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3.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119"/>
  <workbookPr filterPrivacy="1" codeName="ThisWorkbook" hidePivotFieldList="1"/>
  <xr:revisionPtr revIDLastSave="0" documentId="13_ncr:1_{A61CBB90-63CA-0D4C-90C6-328D1344877E}" xr6:coauthVersionLast="47" xr6:coauthVersionMax="47" xr10:uidLastSave="{00000000-0000-0000-0000-000000000000}"/>
  <bookViews>
    <workbookView xWindow="0" yWindow="500" windowWidth="28800" windowHeight="16220" tabRatio="840" activeTab="6" xr2:uid="{00000000-000D-0000-FFFF-FFFF00000000}"/>
  </bookViews>
  <sheets>
    <sheet name="Input RM sheet (2)" sheetId="84" state="hidden" r:id="rId1"/>
    <sheet name="Clean sheet dashboard (2)" sheetId="83" state="hidden" r:id="rId2"/>
    <sheet name="Index " sheetId="21" r:id="rId3"/>
    <sheet name="Clean sheet dashboard" sheetId="22" r:id="rId4"/>
    <sheet name="Input RM sheet" sheetId="1" r:id="rId5"/>
    <sheet name="EDC" sheetId="13" r:id="rId6"/>
    <sheet name="EDA" sheetId="14" r:id="rId7"/>
    <sheet name="EDA (2)" sheetId="36" r:id="rId8"/>
    <sheet name="TEPA" sheetId="12" r:id="rId9"/>
    <sheet name="CHROMIC ACID FLAKES" sheetId="25" r:id="rId10"/>
    <sheet name="Copper II Nitrate trihydrate" sheetId="26" r:id="rId11"/>
    <sheet name="DIETHANOL AMINE" sheetId="16" r:id="rId12"/>
    <sheet name="AEEA" sheetId="15" r:id="rId13"/>
    <sheet name="MonoEthanolamine" sheetId="17" r:id="rId14"/>
    <sheet name="MTMS" sheetId="5" r:id="rId15"/>
    <sheet name="ISOPHORONE" sheetId="11" r:id="rId16"/>
    <sheet name="ISOPHORONENITRILE" sheetId="7" r:id="rId17"/>
    <sheet name="IPDA" sheetId="2" r:id="rId18"/>
    <sheet name="P2O5" sheetId="40" r:id="rId19"/>
    <sheet name="DIMETHYLAMINE" sheetId="10" r:id="rId20"/>
    <sheet name="Dimethylethanolamine" sheetId="41" r:id="rId21"/>
    <sheet name="Nonyl phenol" sheetId="18" r:id="rId22"/>
    <sheet name="Phosphonic acid" sheetId="19" r:id="rId23"/>
    <sheet name="TEA" sheetId="20" r:id="rId24"/>
    <sheet name="Ethyl benzene" sheetId="23" r:id="rId25"/>
    <sheet name="Sheet1" sheetId="59" state="hidden" r:id="rId26"/>
    <sheet name="Maleic Anhydride" sheetId="24" r:id="rId27"/>
    <sheet name="MDA" sheetId="27" r:id="rId28"/>
    <sheet name="DETA EDA" sheetId="42" r:id="rId29"/>
    <sheet name="DETA" sheetId="28" r:id="rId30"/>
    <sheet name="PNCB" sheetId="30" r:id="rId31"/>
    <sheet name="Chloro Benzene" sheetId="57" r:id="rId32"/>
    <sheet name="PNA" sheetId="29" r:id="rId33"/>
    <sheet name="PANA" sheetId="31" r:id="rId34"/>
    <sheet name="Alpha Naphthylamine" sheetId="32" r:id="rId35"/>
    <sheet name="Hexylene Glycol-vendor" sheetId="45" r:id="rId36"/>
    <sheet name="Hexylene Glycol" sheetId="34" r:id="rId37"/>
    <sheet name="Diacetone alcohol " sheetId="35" r:id="rId38"/>
    <sheet name="DBNPA" sheetId="38" r:id="rId39"/>
    <sheet name="DNBA" sheetId="44" r:id="rId40"/>
    <sheet name="DTBP" sheetId="43" r:id="rId41"/>
    <sheet name="Paraformaldehyde" sheetId="39" r:id="rId42"/>
    <sheet name="60000CST" sheetId="51" r:id="rId43"/>
    <sheet name="Dichlorodimethylsilane" sheetId="50" r:id="rId44"/>
    <sheet name="CMIT" sheetId="49" r:id="rId45"/>
    <sheet name="IPA" sheetId="46" r:id="rId46"/>
    <sheet name="Ethyl Acetoacetate" sheetId="55" r:id="rId47"/>
    <sheet name="Acetylacetone" sheetId="54" r:id="rId48"/>
    <sheet name="TICL4" sheetId="47" r:id="rId49"/>
    <sheet name="Benzaldehyde" sheetId="52" r:id="rId50"/>
    <sheet name="Zirconium tetrachloride" sheetId="56" state="hidden" r:id="rId51"/>
    <sheet name="PIB" sheetId="48" r:id="rId52"/>
    <sheet name="PVA" sheetId="58" r:id="rId53"/>
    <sheet name="PEG" sheetId="60" r:id="rId54"/>
    <sheet name="ZINC OXIDE  -  ACTIVE" sheetId="61" r:id="rId55"/>
    <sheet name="DDSA TPSA" sheetId="62" r:id="rId56"/>
    <sheet name="Copper Sulphate " sheetId="63" r:id="rId57"/>
    <sheet name="Dodiflow 57501" sheetId="66" r:id="rId58"/>
    <sheet name="1-Decene" sheetId="67" r:id="rId59"/>
    <sheet name="Sheet4" sheetId="65" state="hidden" r:id="rId60"/>
    <sheet name="SOFA" sheetId="70" r:id="rId61"/>
    <sheet name="n-methylaniline" sheetId="73" r:id="rId62"/>
    <sheet name="N butanol" sheetId="74" r:id="rId63"/>
    <sheet name="2EH" sheetId="75" r:id="rId64"/>
    <sheet name="Butyl cellosolve" sheetId="76" r:id="rId65"/>
    <sheet name="Phthalic Anhydride" sheetId="77" r:id="rId66"/>
    <sheet name="Dimethyl sebacate " sheetId="79" r:id="rId67"/>
    <sheet name="Sheet8" sheetId="72" r:id="rId68"/>
    <sheet name="Sheet6" sheetId="9" r:id="rId69"/>
    <sheet name="tertiary butyl hydroquinone" sheetId="80" r:id="rId70"/>
    <sheet name="Butyl Acetate" sheetId="81" r:id="rId71"/>
    <sheet name="Glyoxal 40" sheetId="82" r:id="rId72"/>
    <sheet name="4-Dodecylphenol" sheetId="85" r:id="rId73"/>
    <sheet name="Methyl Carbitol" sheetId="86" r:id="rId74"/>
    <sheet name="2-Ethyl hexyl nitrate" sheetId="87" r:id="rId75"/>
    <sheet name="Butyl acrylate" sheetId="88" r:id="rId76"/>
    <sheet name="Formaldehyde 37%" sheetId="89" r:id="rId77"/>
    <sheet name="2-Ethylhexyl Amine (2EHA)" sheetId="90" r:id="rId78"/>
    <sheet name="DEHA 85 % " sheetId="91" r:id="rId79"/>
    <sheet name="4 HT" sheetId="92" r:id="rId80"/>
    <sheet name="linoleic acid" sheetId="93" r:id="rId81"/>
    <sheet name="ARMEEN 2HT" sheetId="94" r:id="rId82"/>
    <sheet name="Ethylene Oxide" sheetId="95" r:id="rId83"/>
    <sheet name="Calcium Stearate" sheetId="96" r:id="rId84"/>
    <sheet name="3 Methoxy Propylamine" sheetId="97" r:id="rId85"/>
    <sheet name="acetic acid" sheetId="98" r:id="rId86"/>
    <sheet name="toluene" sheetId="99" r:id="rId87"/>
    <sheet name="BRONOPOL" sheetId="100" r:id="rId88"/>
    <sheet name="Phenol" sheetId="101" r:id="rId89"/>
    <sheet name="2-Ethyl-1,3-hexanediol" sheetId="102" r:id="rId90"/>
    <sheet name="2 Mercapto Ethanol" sheetId="103" r:id="rId91"/>
    <sheet name="2-ethylhexanoic acid" sheetId="104" r:id="rId92"/>
    <sheet name="propylene oxide" sheetId="105" r:id="rId93"/>
    <sheet name="Acetone" sheetId="106" r:id="rId94"/>
    <sheet name="Phosphorus Pentasulfide" sheetId="107" r:id="rId95"/>
    <sheet name="Octanethiol " sheetId="108" r:id="rId96"/>
    <sheet name="Mignol" sheetId="109" r:id="rId97"/>
    <sheet name="Triisopropanolamine" sheetId="110" r:id="rId98"/>
    <sheet name="Sodium Borohydride" sheetId="111" r:id="rId99"/>
    <sheet name="Camphor Synthetic" sheetId="112" r:id="rId100"/>
    <sheet name="Caprolactam" sheetId="113" r:id="rId101"/>
    <sheet name="Tallow Diamine" sheetId="114" r:id="rId102"/>
    <sheet name="Boron Trifluoride Etherate" sheetId="115" r:id="rId103"/>
    <sheet name="THPS 75" sheetId="116" r:id="rId104"/>
    <sheet name="di-n-propylamine" sheetId="117" r:id="rId105"/>
    <sheet name="Morpholine" sheetId="118" r:id="rId106"/>
    <sheet name="Nickel Sulphate Anhydrous" sheetId="119" r:id="rId107"/>
    <sheet name="Para-tertiary amyl phenol (PTAP" sheetId="120" r:id="rId108"/>
    <sheet name="npropyl Alcohol" sheetId="122" r:id="rId109"/>
    <sheet name="Tricresyl phosphate" sheetId="123" r:id="rId110"/>
    <sheet name="ROFA" sheetId="125" state="hidden" r:id="rId111"/>
    <sheet name="ZINC OXIDE  -  WHITE R" sheetId="126" r:id="rId112"/>
    <sheet name="Tolytriazole" sheetId="127" r:id="rId113"/>
    <sheet name="Salicylaldehyde" sheetId="128" r:id="rId114"/>
    <sheet name="methyl chloride" sheetId="129" r:id="rId115"/>
    <sheet name="Butyl cellosolve (3)" sheetId="78" state="hidden" r:id="rId116"/>
  </sheets>
  <externalReferences>
    <externalReference r:id="rId117"/>
    <externalReference r:id="rId118"/>
    <externalReference r:id="rId119"/>
    <externalReference r:id="rId120"/>
    <externalReference r:id="rId121"/>
    <externalReference r:id="rId122"/>
    <externalReference r:id="rId123"/>
    <externalReference r:id="rId124"/>
    <externalReference r:id="rId125"/>
  </externalReferences>
  <definedNames>
    <definedName name="_xlnm._FilterDatabase" localSheetId="3" hidden="1">'Clean sheet dashboard'!$A$2:$FC$125</definedName>
    <definedName name="_xlnm._FilterDatabase" localSheetId="1" hidden="1">'Clean sheet dashboard (2)'!$A$2:$BP$84</definedName>
    <definedName name="_xlnm._FilterDatabase" localSheetId="2" hidden="1">'Index '!$A$1:$D$81</definedName>
    <definedName name="_xlnm._FilterDatabase" localSheetId="4" hidden="1">'Input RM sheet'!$4:$157</definedName>
    <definedName name="_xlnm._FilterDatabase" localSheetId="0" hidden="1">'Input RM sheet (2)'!$4:$118</definedName>
    <definedName name="a" localSheetId="38">#REF!</definedName>
    <definedName name="a" localSheetId="7">#REF!</definedName>
    <definedName name="a">#REF!</definedName>
    <definedName name="A_123">#REF!</definedName>
    <definedName name="aa" localSheetId="38">#REF!</definedName>
    <definedName name="aa" localSheetId="7">#REF!</definedName>
    <definedName name="aa">#REF!</definedName>
    <definedName name="AAA">'[1]TP-Pricing template-DK India'!#REF!</definedName>
    <definedName name="aaaa" localSheetId="38">#REF!</definedName>
    <definedName name="aaaa" localSheetId="7">#REF!</definedName>
    <definedName name="aaaa">#REF!</definedName>
    <definedName name="ABSOLUTE_TIMES" hidden="1">"TEST_ITEM"</definedName>
    <definedName name="Apr" localSheetId="38">#REF!</definedName>
    <definedName name="Apr" localSheetId="7">#REF!</definedName>
    <definedName name="Apr">#REF!</definedName>
    <definedName name="ASA" localSheetId="38">'[1]TP-Pricing template-DK India'!#REF!</definedName>
    <definedName name="ASA" localSheetId="7">'[1]TP-Pricing template-DK India'!#REF!</definedName>
    <definedName name="ASA">'[1]TP-Pricing template-DK India'!#REF!</definedName>
    <definedName name="asd" localSheetId="38">'[1]TP-Pricing template-DK India'!#REF!</definedName>
    <definedName name="asd" localSheetId="7">'[1]TP-Pricing template-DK India'!#REF!</definedName>
    <definedName name="asd">'[1]TP-Pricing template-DK India'!#REF!</definedName>
    <definedName name="Aug" localSheetId="38">#REF!</definedName>
    <definedName name="Aug" localSheetId="7">#REF!</definedName>
    <definedName name="Aug">#REF!</definedName>
    <definedName name="BBBB">#REF!</definedName>
    <definedName name="BSC">'[2]HPS Tracking Matrix'!$AI$2:$AI$6</definedName>
    <definedName name="Bud">[3]Scheme!$B$6</definedName>
    <definedName name="Changed" localSheetId="38">#REF!</definedName>
    <definedName name="Changed" localSheetId="7">#REF!</definedName>
    <definedName name="Changed">#REF!</definedName>
    <definedName name="Dec" localSheetId="38">#REF!</definedName>
    <definedName name="Dec" localSheetId="7">#REF!</definedName>
    <definedName name="Dec">#REF!</definedName>
    <definedName name="DEFAULT_INTERVALS" hidden="1">"OVERALL REDUCTION,1s,5s,10s,30s,1m,2m,5m,10m,30m,1H,2H,4H,8H,1D,7D,30D"</definedName>
    <definedName name="exworks" localSheetId="38">'[1]TP-Pricing template-DK India'!#REF!</definedName>
    <definedName name="exworks" localSheetId="7">'[1]TP-Pricing template-DK India'!#REF!</definedName>
    <definedName name="exworks">'[1]TP-Pricing template-DK India'!#REF!</definedName>
    <definedName name="Feb" localSheetId="38">#REF!</definedName>
    <definedName name="Feb" localSheetId="7">#REF!</definedName>
    <definedName name="Feb">#REF!</definedName>
    <definedName name="guru" localSheetId="38">'[1]TP-Pricing template-DK India'!#REF!</definedName>
    <definedName name="guru" localSheetId="7">'[1]TP-Pricing template-DK India'!#REF!</definedName>
    <definedName name="guru">'[1]TP-Pricing template-DK India'!#REF!</definedName>
    <definedName name="Jan" localSheetId="38">#REF!</definedName>
    <definedName name="Jan" localSheetId="7">#REF!</definedName>
    <definedName name="Jan">#REF!</definedName>
    <definedName name="Jul" localSheetId="38">#REF!</definedName>
    <definedName name="Jul" localSheetId="7">#REF!</definedName>
    <definedName name="Jul">#REF!</definedName>
    <definedName name="july" localSheetId="38">#REF!</definedName>
    <definedName name="july" localSheetId="7">#REF!</definedName>
    <definedName name="july">#REF!</definedName>
    <definedName name="Jun" localSheetId="38">#REF!</definedName>
    <definedName name="Jun" localSheetId="7">#REF!</definedName>
    <definedName name="Jun">#REF!</definedName>
    <definedName name="JUNE" localSheetId="38">#REF!</definedName>
    <definedName name="JUNE" localSheetId="7">#REF!</definedName>
    <definedName name="JUNE">#REF!</definedName>
    <definedName name="JUNE1">#REF!</definedName>
    <definedName name="Mar" localSheetId="38">#REF!</definedName>
    <definedName name="Mar" localSheetId="7">#REF!</definedName>
    <definedName name="Mar">#REF!</definedName>
    <definedName name="May" localSheetId="38">#REF!</definedName>
    <definedName name="May" localSheetId="7">#REF!</definedName>
    <definedName name="May">#REF!</definedName>
    <definedName name="month">[4]Lists!$E$2:$E$18</definedName>
    <definedName name="NNN">#REF!</definedName>
    <definedName name="Nov" localSheetId="38">#REF!</definedName>
    <definedName name="Nov" localSheetId="7">#REF!</definedName>
    <definedName name="Nov">#REF!</definedName>
    <definedName name="Oct" localSheetId="38">#REF!</definedName>
    <definedName name="Oct" localSheetId="7">#REF!</definedName>
    <definedName name="Oct">#REF!</definedName>
    <definedName name="Projects2015" localSheetId="38">#REF!</definedName>
    <definedName name="Projects2015" localSheetId="7">#REF!</definedName>
    <definedName name="Projects2015">#REF!</definedName>
    <definedName name="rank">'[4]Instructions Prioritization'!$B$25:$B$27</definedName>
    <definedName name="s" localSheetId="38">'[1]TP-Pricing template-DK India'!#REF!</definedName>
    <definedName name="s" localSheetId="7">'[1]TP-Pricing template-DK India'!#REF!</definedName>
    <definedName name="s">'[1]TP-Pricing template-DK India'!#REF!</definedName>
    <definedName name="Sep" localSheetId="38">#REF!</definedName>
    <definedName name="Sep" localSheetId="7">#REF!</definedName>
    <definedName name="Sep">#REF!</definedName>
    <definedName name="Sept" localSheetId="38">#REF!</definedName>
    <definedName name="Sept" localSheetId="7">#REF!</definedName>
    <definedName name="Sept">#REF!</definedName>
    <definedName name="Sheet1" localSheetId="38">#REF!</definedName>
    <definedName name="Sheet1" localSheetId="7">#REF!</definedName>
    <definedName name="Sheet1">#REF!</definedName>
    <definedName name="Sponsor">[4]Lists!$B$2:$B$12</definedName>
    <definedName name="ss" localSheetId="38">#REF!</definedName>
    <definedName name="ss" localSheetId="7">#REF!</definedName>
    <definedName name="ss">#REF!</definedName>
    <definedName name="type">'[4]Instructions Prioritization'!$B$20:$B$23</definedName>
    <definedName name="UNI_AA_VERSION" hidden="1">"320.1.0"</definedName>
    <definedName name="UNI_PRES_CLOSEST" hidden="1">512</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MRECORD" hidden="1">64</definedName>
    <definedName name="UNI_PRES_MSTIME" hidden="1">8192</definedName>
    <definedName name="UNI_PRES_POST" hidden="1">256</definedName>
    <definedName name="UNI_PRES_PRIOR" hidden="1">2048</definedName>
    <definedName name="UNI_PRES_RECENT" hidden="1">1024</definedName>
    <definedName name="UNI_PRES_STATIC" hidden="1">128</definedName>
    <definedName name="UNI_PRES_TRANSPOSE" hidden="1">4096</definedName>
    <definedName name="UNI_RET_ATTRIB" hidden="1">64</definedName>
    <definedName name="UNI_RET_CONF" hidden="1">32</definedName>
    <definedName name="UNI_RET_DESC" hidden="1">4</definedName>
    <definedName name="UNI_RET_TAG" hidden="1">1</definedName>
    <definedName name="UNI_RET_TIME" hidden="1">8</definedName>
    <definedName name="UNI_RET_UNIT" hidden="1">2</definedName>
    <definedName name="UNI_RET_VALUE" hidden="1">16</definedName>
    <definedName name="UNIFORMANCES12R10C3" hidden="1">'[5]Coke drum wall'!$C$10:$EQ$10</definedName>
    <definedName name="UNIFORMANCES12R11C3" hidden="1">'[5]Coke drum wall'!$C$11:$EQ$11</definedName>
    <definedName name="UNIFORMANCES12R12C3" hidden="1">'[5]Coke drum wall'!$C$12:$EQ$12</definedName>
    <definedName name="UNIFORMANCES12R15C3" hidden="1">'[5]Coke drum wall'!$C$15:$EQ$16</definedName>
    <definedName name="UNIFORMANCES12R17C3" hidden="1">'[5]Coke drum wall'!$C$17:$EQ$17</definedName>
    <definedName name="UNIFORMANCES12R18C3" hidden="1">'[5]Coke drum wall'!$C$18:$EQ$18</definedName>
    <definedName name="UNIFORMANCES12R19C3" hidden="1">'[5]Coke drum wall'!$C$19:$EQ$19</definedName>
    <definedName name="UNIFORMANCES12R20C3" hidden="1">'[5]Coke drum wall'!$C$20:$EQ$20</definedName>
    <definedName name="UNIFORMANCES12R21C3" hidden="1">'[5]Coke drum wall'!$C$21:$EQ$21</definedName>
    <definedName name="UNIFORMANCES12R22C3" hidden="1">'[5]Coke drum wall'!$C$22:$EQ$22</definedName>
    <definedName name="UNIFORMANCES12R23C3" hidden="1">'[5]Coke drum wall'!$C$23:$EQ$23</definedName>
    <definedName name="UNIFORMANCES12R24C3" hidden="1">'[5]Coke drum wall'!$C$24:$EQ$24</definedName>
    <definedName name="UNIFORMANCES12R27C3" hidden="1">'[5]Coke drum wall'!$C$27:$EQ$28</definedName>
    <definedName name="UNIFORMANCES12R29C3" hidden="1">'[5]Coke drum wall'!$C$29:$EQ$29</definedName>
    <definedName name="UNIFORMANCES12R30C3" hidden="1">'[5]Coke drum wall'!$C$30:$EQ$30</definedName>
    <definedName name="UNIFORMANCES12R31C3" hidden="1">'[5]Coke drum wall'!$C$31:$EQ$31</definedName>
    <definedName name="UNIFORMANCES12R32C3" hidden="1">'[5]Coke drum wall'!$C$32:$EQ$32</definedName>
    <definedName name="UNIFORMANCES12R33C3" hidden="1">'[5]Coke drum wall'!$C$33:$EQ$33</definedName>
    <definedName name="UNIFORMANCES12R34C3" hidden="1">'[5]Coke drum wall'!$C$34:$EQ$34</definedName>
    <definedName name="UNIFORMANCES12R35C3" hidden="1">'[5]Coke drum wall'!$C$35:$EQ$35</definedName>
    <definedName name="UNIFORMANCES12R36C3" hidden="1">'[5]Coke drum wall'!$C$36:$EQ$36</definedName>
    <definedName name="UNIFORMANCES12R39C3" hidden="1">'[5]Coke drum wall'!$C$39:$EQ$40</definedName>
    <definedName name="UNIFORMANCES12R3C3" hidden="1">'[5]Coke drum wall'!$C$3:$EQ$4</definedName>
    <definedName name="UNIFORMANCES12R41C3" hidden="1">'[5]Coke drum wall'!$C$41:$EQ$41</definedName>
    <definedName name="UNIFORMANCES12R42C3" hidden="1">'[5]Coke drum wall'!$C$42:$EQ$42</definedName>
    <definedName name="UNIFORMANCES12R43C3" hidden="1">'[5]Coke drum wall'!$C$43:$EQ$43</definedName>
    <definedName name="UNIFORMANCES12R44C3" hidden="1">'[5]Coke drum wall'!$C$44:$EQ$44</definedName>
    <definedName name="UNIFORMANCES12R45C3" hidden="1">'[5]Coke drum wall'!$C$45:$EQ$45</definedName>
    <definedName name="UNIFORMANCES12R46C3" hidden="1">'[5]Coke drum wall'!$C$46:$EQ$46</definedName>
    <definedName name="UNIFORMANCES12R47C3" hidden="1">'[5]Coke drum wall'!$C$47:$EQ$47</definedName>
    <definedName name="UNIFORMANCES12R48C3" hidden="1">'[5]Coke drum wall'!$C$48:$EQ$48</definedName>
    <definedName name="UNIFORMANCES12R5C3" hidden="1">'[5]Coke drum wall'!$C$5:$EQ$5</definedName>
    <definedName name="UNIFORMANCES12R6C3" hidden="1">'[5]Coke drum wall'!$C$6:$EQ$6</definedName>
    <definedName name="UNIFORMANCES12R7C3" hidden="1">'[5]Coke drum wall'!$C$7:$EQ$7</definedName>
    <definedName name="UNIFORMANCES12R8C3" hidden="1">'[5]Coke drum wall'!$C$8:$EQ$8</definedName>
    <definedName name="UNIFORMANCES12R9C3" hidden="1">'[5]Coke drum wall'!$C$9:$EQ$9</definedName>
    <definedName name="UNIFORMANCES16R14C13" hidden="1">[5]Absorber!$M$14</definedName>
    <definedName name="UNIFORMANCES16R14C5" hidden="1">[5]Absorber!$E$14</definedName>
    <definedName name="UNIFORMANCES16R14C7" hidden="1">[5]Absorber!$G$14</definedName>
    <definedName name="UNIFORMANCES16R15C5" hidden="1">[5]Absorber!$E$15</definedName>
    <definedName name="UNIFORMANCES16R15C7" hidden="1">[5]Absorber!$G$15</definedName>
    <definedName name="UNIFORMANCES16R21C5" hidden="1">[5]Absorber!$E$21</definedName>
    <definedName name="UNIFORMANCES16R21C7" hidden="1">[5]Absorber!$G$21</definedName>
    <definedName name="UNIFORMANCES16R22C13" hidden="1">[5]Absorber!$M$22</definedName>
    <definedName name="UNIFORMANCES16R22C5" hidden="1">[5]Absorber!$E$22</definedName>
    <definedName name="UNIFORMANCES16R22C7" hidden="1">[5]Absorber!$G$22</definedName>
    <definedName name="UNIFORMANCES16R27C13" hidden="1">[5]Absorber!$M$27</definedName>
    <definedName name="UNIFORMANCES16R27C5" hidden="1">[5]Absorber!$E$27</definedName>
    <definedName name="UNIFORMANCES16R27C7" hidden="1">[5]Absorber!$G$27</definedName>
    <definedName name="UNIFORMANCES16R34C5" hidden="1">[5]Absorber!$E$34</definedName>
    <definedName name="UNIFORMANCES16R34C7" hidden="1">[5]Absorber!$G$34</definedName>
    <definedName name="UNIFORMANCES16R40C5" hidden="1">[5]Absorber!$E$40</definedName>
    <definedName name="UNIFORMANCES16R40C7" hidden="1">[5]Absorber!$G$40</definedName>
    <definedName name="UNIFORMANCES16R41C5" hidden="1">[5]Absorber!$E$41</definedName>
    <definedName name="UNIFORMANCES16R41C7" hidden="1">[5]Absorber!$G$41</definedName>
    <definedName name="UNIFORMANCES16R42C5" hidden="1">[5]Absorber!$E$42</definedName>
    <definedName name="UNIFORMANCES16R42C7" hidden="1">[5]Absorber!$G$42</definedName>
    <definedName name="UNIFORMANCES16R43C5" hidden="1">[5]Absorber!$E$43</definedName>
    <definedName name="UNIFORMANCES16R43C7" hidden="1">[5]Absorber!$G$43</definedName>
    <definedName name="UNIFORMANCES16R49C5" hidden="1">[5]Absorber!$E$49</definedName>
    <definedName name="UNIFORMANCES16R49C7" hidden="1">[5]Absorber!$G$49</definedName>
    <definedName name="UNIFORMANCES16R55C5" hidden="1">[5]Absorber!$E$55</definedName>
    <definedName name="UNIFORMANCES16R56C5" hidden="1">[5]Absorber!$E$56</definedName>
    <definedName name="UNIFORMANCES16R64C5" hidden="1">[5]Absorber!$E$64</definedName>
    <definedName name="UNIFORMANCES16R65C5" hidden="1">[5]Absorber!$E$65</definedName>
    <definedName name="UNIFORMANCES16R70C11" hidden="1">[5]Absorber!$K$70</definedName>
    <definedName name="UNIFORMANCES16R70C13" hidden="1">[5]Absorber!$M$70</definedName>
    <definedName name="UNIFORMANCES16R70C5" hidden="1">[5]Absorber!$E$70</definedName>
    <definedName name="UNIFORMANCES16R71C5" hidden="1">[5]Absorber!$E$71</definedName>
    <definedName name="UNIFORMANCES16R72C13" hidden="1">[5]Absorber!$M$72</definedName>
    <definedName name="UNIFORMANCES16R72C5" hidden="1">[5]Absorber!$E$72</definedName>
    <definedName name="UNIFORMANCES16R72C7" hidden="1">[5]Absorber!$G$72</definedName>
    <definedName name="UNIFORMANCES16R73C5" hidden="1">[5]Absorber!$E$73</definedName>
    <definedName name="UNIFORMANCES16R73C7" hidden="1">[5]Absorber!$G$73</definedName>
    <definedName name="UNIFORMANCES16R74C13" hidden="1">[5]Absorber!$M$74</definedName>
    <definedName name="UNIFORMANCES16R74C5" hidden="1">[5]Absorber!$E$74</definedName>
    <definedName name="UNIFORMANCES16R74C7" hidden="1">[5]Absorber!$G$74</definedName>
    <definedName name="UNIFORMANCES16R75C13" hidden="1">[5]Absorber!$M$75</definedName>
    <definedName name="UNIFORMANCES16R75C5" hidden="1">[5]Absorber!$E$75</definedName>
    <definedName name="UNIFORMANCES16R75C7" hidden="1">[5]Absorber!$G$75</definedName>
    <definedName name="UNIFORMANCES16R76C5" hidden="1">[5]Absorber!$E$76</definedName>
    <definedName name="UNIFORMANCES16R77C5" hidden="1">[5]Absorber!$E$77</definedName>
    <definedName name="UNIFORMANCES16R7C5" hidden="1">[5]Absorber!$E$7</definedName>
    <definedName name="UNIFORMANCES16R7C7" hidden="1">[5]Absorber!$G$7</definedName>
    <definedName name="UNIFORMANCES16R8C13" hidden="1">[5]Absorber!$M$8</definedName>
    <definedName name="UNIFORMANCES16R8C5" hidden="1">[5]Absorber!$E$8</definedName>
    <definedName name="UNIFORMANCES16R8C7" hidden="1">[5]Absorber!$G$8</definedName>
    <definedName name="UNIFORMANCES16R9C5" hidden="1">[5]Absorber!$E$9</definedName>
    <definedName name="UNIFORMANCES16R9C7" hidden="1">[5]Absorber!$G$9</definedName>
    <definedName name="UNIFORMANCES17R5C5" hidden="1">'[5]508PV4101C'!$E$5:$AC$5</definedName>
    <definedName name="UNIFORMANCES17R6C5" hidden="1">'[5]508PV4101C'!$E$6:$AC$6</definedName>
    <definedName name="UNIFORMANCES17R9C5" hidden="1">'[5]508PV4101C'!$E$9:$AC$9</definedName>
    <definedName name="UNIFORMANCES18R5C5" hidden="1">'[5]508PV2801B'!$E$5:$AC$5</definedName>
    <definedName name="UNIFORMANCES18R6C5" hidden="1">'[5]508PV2801B'!$E$6:$AC$6</definedName>
    <definedName name="UNIFORMANCES18R9C5" hidden="1">'[5]508PV2801B'!$E$9:$AC$9</definedName>
    <definedName name="UNIFORMANCES19R5C5" hidden="1">'[5]508TV4005'!$E$5:$AC$5</definedName>
    <definedName name="UNIFORMANCES19R6C5" hidden="1">'[5]508TV4005'!$E$6:$AC$6</definedName>
    <definedName name="UNIFORMANCES1R100C10" hidden="1">'[6]CDU parameters'!$J$100:$AI$100</definedName>
    <definedName name="UNIFORMANCES1R100C8" hidden="1">[5]Report!$H$100:$EV$100</definedName>
    <definedName name="UNIFORMANCES1R101C10" hidden="1">'[6]CDU parameters'!$J$101:$AI$101</definedName>
    <definedName name="UNIFORMANCES1R102C10" hidden="1">'[6]CDU parameters'!$J$102:$AI$102</definedName>
    <definedName name="UNIFORMANCES1R102C8" hidden="1">[5]Report!$H$102:$EV$102</definedName>
    <definedName name="UNIFORMANCES1R103C10" hidden="1">'[6]CDU parameters'!$J$103:$AI$103</definedName>
    <definedName name="UNIFORMANCES1R103C8" hidden="1">[5]Report!$H$103:$EV$103</definedName>
    <definedName name="UNIFORMANCES1R104C10" hidden="1">'[6]CDU parameters'!$J$104:$AI$104</definedName>
    <definedName name="UNIFORMANCES1R104C8" hidden="1">[5]Report!$H$104:$EV$104</definedName>
    <definedName name="UNIFORMANCES1R105C10" hidden="1">'[6]CDU parameters'!$J$105:$AI$105</definedName>
    <definedName name="UNIFORMANCES1R105C8" hidden="1">[5]Report!$H$105:$EV$105</definedName>
    <definedName name="UNIFORMANCES1R106C10" hidden="1">'[6]CDU parameters'!$J$106:$AI$106</definedName>
    <definedName name="UNIFORMANCES1R107C8" hidden="1">[5]Report!$H$107:$EV$107</definedName>
    <definedName name="UNIFORMANCES1R108C10" hidden="1">'[6]CDU parameters'!$J$108:$AI$108</definedName>
    <definedName name="UNIFORMANCES1R108C8" hidden="1">[5]Report!$H$108:$EV$108</definedName>
    <definedName name="UNIFORMANCES1R109C10" hidden="1">'[6]CDU parameters'!$J$109:$AI$109</definedName>
    <definedName name="UNIFORMANCES1R109C8" hidden="1">[5]Report!$H$109:$EV$109</definedName>
    <definedName name="UNIFORMANCES1R10C10" hidden="1">'[6]CDU parameters'!$J$10:$AI$10</definedName>
    <definedName name="UNIFORMANCES1R10C8" hidden="1">[5]Report!$H$10:$EV$10</definedName>
    <definedName name="UNIFORMANCES1R110C10" hidden="1">'[6]CDU parameters'!$J$110:$AI$110</definedName>
    <definedName name="UNIFORMANCES1R110C8" hidden="1">[5]Report!$H$110:$EV$110</definedName>
    <definedName name="UNIFORMANCES1R111C10" hidden="1">'[6]CDU parameters'!$J$111:$AI$111</definedName>
    <definedName name="UNIFORMANCES1R112C10" hidden="1">'[6]CDU parameters'!$J$112:$AI$112</definedName>
    <definedName name="UNIFORMANCES1R112C8" hidden="1">[5]Report!$H$112:$EV$112</definedName>
    <definedName name="UNIFORMANCES1R113C10" hidden="1">'[6]CDU parameters'!$J$113:$AI$113</definedName>
    <definedName name="UNIFORMANCES1R113C8" hidden="1">[5]Report!$H$113:$EV$113</definedName>
    <definedName name="UNIFORMANCES1R114C10" hidden="1">'[6]CDU parameters'!$J$114:$AI$114</definedName>
    <definedName name="UNIFORMANCES1R114C8" hidden="1">[5]Report!$H$114:$EV$114</definedName>
    <definedName name="UNIFORMANCES1R115C8" hidden="1">[5]Report!$H$115:$EV$115</definedName>
    <definedName name="UNIFORMANCES1R116C10" hidden="1">'[6]CDU parameters'!$J$116:$AI$116</definedName>
    <definedName name="UNIFORMANCES1R117C10" hidden="1">'[6]CDU parameters'!$J$117:$AI$117</definedName>
    <definedName name="UNIFORMANCES1R117C8" hidden="1">[5]Report!$H$117:$EV$117</definedName>
    <definedName name="UNIFORMANCES1R118C10" hidden="1">'[6]CDU parameters'!$J$118:$AI$118</definedName>
    <definedName name="UNIFORMANCES1R118C8" hidden="1">[5]Report!$H$118:$EV$118</definedName>
    <definedName name="UNIFORMANCES1R119C10" hidden="1">'[6]CDU parameters'!$J$119:$AI$119</definedName>
    <definedName name="UNIFORMANCES1R119C8" hidden="1">[5]Report!$H$119:$EV$119</definedName>
    <definedName name="UNIFORMANCES1R11C10" hidden="1">'[6]CDU parameters'!$J$11:$AI$11</definedName>
    <definedName name="UNIFORMANCES1R11C8" hidden="1">[5]Report!$H$11:$EV$11</definedName>
    <definedName name="UNIFORMANCES1R120C10" hidden="1">'[6]CDU parameters'!$J$120:$AI$120</definedName>
    <definedName name="UNIFORMANCES1R120C8" hidden="1">[5]Report!$H$120:$EV$120</definedName>
    <definedName name="UNIFORMANCES1R121C10" hidden="1">'[6]CDU parameters'!$J$121:$AI$121</definedName>
    <definedName name="UNIFORMANCES1R122C10" hidden="1">'[6]CDU parameters'!$J$122:$AI$122</definedName>
    <definedName name="UNIFORMANCES1R122C8" hidden="1">[5]Report!$H$122:$EV$122</definedName>
    <definedName name="UNIFORMANCES1R123C10" hidden="1">'[6]CDU parameters'!$J$123:$AI$123</definedName>
    <definedName name="UNIFORMANCES1R123C8" hidden="1">[5]Report!$H$123:$EV$123</definedName>
    <definedName name="UNIFORMANCES1R124C10" hidden="1">'[6]CDU parameters'!$J$124:$AI$124</definedName>
    <definedName name="UNIFORMANCES1R124C8" hidden="1">[5]Report!$H$124:$EV$124</definedName>
    <definedName name="UNIFORMANCES1R125C10" hidden="1">'[6]CDU parameters'!$J$125:$AI$125</definedName>
    <definedName name="UNIFORMANCES1R125C8" hidden="1">[5]Report!$H$125:$EV$125</definedName>
    <definedName name="UNIFORMANCES1R126C10" hidden="1">'[6]CDU parameters'!$J$126:$AI$126</definedName>
    <definedName name="UNIFORMANCES1R127C10" hidden="1">'[6]CDU parameters'!$J$127:$AI$127</definedName>
    <definedName name="UNIFORMANCES1R127C8" hidden="1">[5]Report!$H$127:$EV$127</definedName>
    <definedName name="UNIFORMANCES1R128C10" hidden="1">'[6]CDU parameters'!$J$128:$AI$128</definedName>
    <definedName name="UNIFORMANCES1R128C8" hidden="1">[5]Report!$H$128:$EV$128</definedName>
    <definedName name="UNIFORMANCES1R129C10" hidden="1">'[6]CDU parameters'!$J$129:$AI$129</definedName>
    <definedName name="UNIFORMANCES1R129C8" hidden="1">[5]Report!$H$129:$EV$129</definedName>
    <definedName name="UNIFORMANCES1R12C10" hidden="1">'[6]CDU parameters'!$J$12:$AI$12</definedName>
    <definedName name="UNIFORMANCES1R12C8" hidden="1">[5]Report!$H$12:$EV$12</definedName>
    <definedName name="UNIFORMANCES1R130C10" hidden="1">'[6]CDU parameters'!$J$130:$AI$130</definedName>
    <definedName name="UNIFORMANCES1R130C8" hidden="1">[5]Report!$H$130:$EV$130</definedName>
    <definedName name="UNIFORMANCES1R131C10" hidden="1">'[6]CDU parameters'!$J$131:$AI$131</definedName>
    <definedName name="UNIFORMANCES1R132C10" hidden="1">'[6]CDU parameters'!$J$132:$AI$132</definedName>
    <definedName name="UNIFORMANCES1R132C8" hidden="1">[5]Report!$H$132:$EV$132</definedName>
    <definedName name="UNIFORMANCES1R133C10" hidden="1">'[6]CDU parameters'!$J$133:$AI$133</definedName>
    <definedName name="UNIFORMANCES1R133C8" hidden="1">[5]Report!$H$133:$EV$133</definedName>
    <definedName name="UNIFORMANCES1R134C8" hidden="1">[5]Report!$H$134:$EV$134</definedName>
    <definedName name="UNIFORMANCES1R135C10" hidden="1">'[6]CDU parameters'!$J$135:$AI$135</definedName>
    <definedName name="UNIFORMANCES1R136C10" hidden="1">'[6]CDU parameters'!$J$136:$AI$136</definedName>
    <definedName name="UNIFORMANCES1R136C8" hidden="1">[5]Report!$H$136:$EV$136</definedName>
    <definedName name="UNIFORMANCES1R137C8" hidden="1">[5]Report!$H$137:$EV$137</definedName>
    <definedName name="UNIFORMANCES1R138C10" hidden="1">'[6]CDU parameters'!$J$138:$AI$138</definedName>
    <definedName name="UNIFORMANCES1R138C8" hidden="1">[5]Report!$H$138:$EV$138</definedName>
    <definedName name="UNIFORMANCES1R139C10" hidden="1">'[6]CDU parameters'!$J$139:$AI$139</definedName>
    <definedName name="UNIFORMANCES1R139C8" hidden="1">[5]Report!$H$139:$EV$139</definedName>
    <definedName name="UNIFORMANCES1R13C10" hidden="1">'[6]CDU parameters'!$J$13:$AI$13</definedName>
    <definedName name="UNIFORMANCES1R13C8" hidden="1">[5]Report!$H$13:$EV$13</definedName>
    <definedName name="UNIFORMANCES1R140C10" hidden="1">'[6]CDU parameters'!$J$140:$AI$140</definedName>
    <definedName name="UNIFORMANCES1R142C10" hidden="1">'[6]CDU parameters'!$J$142:$AI$142</definedName>
    <definedName name="UNIFORMANCES1R142C8" hidden="1">[5]Report!$H$142:$EV$142</definedName>
    <definedName name="UNIFORMANCES1R143C10" hidden="1">'[6]CDU parameters'!$J$143:$AI$143</definedName>
    <definedName name="UNIFORMANCES1R143C8" hidden="1">[5]Report!$H$143:$EV$143</definedName>
    <definedName name="UNIFORMANCES1R144C10" hidden="1">'[6]CDU parameters'!$J$144:$AI$144</definedName>
    <definedName name="UNIFORMANCES1R145C10" hidden="1">'[6]CDU parameters'!$J$145:$AI$145</definedName>
    <definedName name="UNIFORMANCES1R145C8" hidden="1">[5]Report!$H$145:$EV$145</definedName>
    <definedName name="UNIFORMANCES1R146C10" hidden="1">'[6]CDU parameters'!$J$146:$AI$146</definedName>
    <definedName name="UNIFORMANCES1R146C8" hidden="1">[5]Report!$H$146:$EV$146</definedName>
    <definedName name="UNIFORMANCES1R147C10" hidden="1">'[6]CDU parameters'!$J$147:$AI$147</definedName>
    <definedName name="UNIFORMANCES1R147C8" hidden="1">[5]Report!$H$147:$EV$147</definedName>
    <definedName name="UNIFORMANCES1R148C10" hidden="1">'[6]CDU parameters'!$J$148:$AI$148</definedName>
    <definedName name="UNIFORMANCES1R148C8" hidden="1">[5]Report!$H$148:$EV$148</definedName>
    <definedName name="UNIFORMANCES1R149C10" hidden="1">'[6]CDU parameters'!$J$149:$AI$149</definedName>
    <definedName name="UNIFORMANCES1R149C8" hidden="1">[5]Report!$H$149:$EV$149</definedName>
    <definedName name="UNIFORMANCES1R14C10" hidden="1">'[6]CDU parameters'!$J$14:$AI$14</definedName>
    <definedName name="UNIFORMANCES1R14C8" hidden="1">[5]Report!$H$14:$EV$14</definedName>
    <definedName name="UNIFORMANCES1R151C10" hidden="1">'[6]CDU parameters'!$J$151:$AI$151</definedName>
    <definedName name="UNIFORMANCES1R152C10" hidden="1">'[6]CDU parameters'!$J$152:$AI$152</definedName>
    <definedName name="UNIFORMANCES1R153C10" hidden="1">'[6]CDU parameters'!$J$153:$AI$153</definedName>
    <definedName name="UNIFORMANCES1R154C10" hidden="1">'[6]CDU parameters'!$J$154:$AI$154</definedName>
    <definedName name="UNIFORMANCES1R155C10" hidden="1">'[6]CDU parameters'!$J$155:$AI$155</definedName>
    <definedName name="UNIFORMANCES1R156C8" hidden="1">[5]Report!$H$156:$EV$156</definedName>
    <definedName name="UNIFORMANCES1R157C10" hidden="1">'[6]CDU parameters'!$J$157:$AI$157</definedName>
    <definedName name="UNIFORMANCES1R157C8" hidden="1">[5]Report!$H$157:$EV$157</definedName>
    <definedName name="UNIFORMANCES1R158C10" hidden="1">'[6]CDU parameters'!$J$158:$AI$158</definedName>
    <definedName name="UNIFORMANCES1R158C8" hidden="1">[5]Report!$H$158:$EV$158</definedName>
    <definedName name="UNIFORMANCES1R159C10" hidden="1">'[6]CDU parameters'!$J$159:$AI$159</definedName>
    <definedName name="UNIFORMANCES1R159C8" hidden="1">[5]Report!$H$159:$EV$159</definedName>
    <definedName name="UNIFORMANCES1R15C8" hidden="1">[5]Report!$H$15:$EV$15</definedName>
    <definedName name="UNIFORMANCES1R160C10" hidden="1">'[6]CDU parameters'!$J$160:$AI$160</definedName>
    <definedName name="UNIFORMANCES1R161C8" hidden="1">[5]Report!$H$161:$EV$161</definedName>
    <definedName name="UNIFORMANCES1R162C10" hidden="1">'[6]CDU parameters'!$J$162:$AI$162</definedName>
    <definedName name="UNIFORMANCES1R162C8" hidden="1">[5]Report!$H$162:$EV$162</definedName>
    <definedName name="UNIFORMANCES1R163C10" hidden="1">'[6]CDU parameters'!$J$163:$AI$163</definedName>
    <definedName name="UNIFORMANCES1R163C8" hidden="1">[5]Report!$H$163:$EV$163</definedName>
    <definedName name="UNIFORMANCES1R164C10" hidden="1">'[6]CDU parameters'!$J$164:$AI$164</definedName>
    <definedName name="UNIFORMANCES1R165C10" hidden="1">'[6]CDU parameters'!$J$165:$AI$165</definedName>
    <definedName name="UNIFORMANCES1R165C8" hidden="1">[5]Report!$H$165:$EV$165</definedName>
    <definedName name="UNIFORMANCES1R166C8" hidden="1">[5]Report!$H$166:$EV$166</definedName>
    <definedName name="UNIFORMANCES1R167C10" hidden="1">'[6]CDU parameters'!$J$167:$AI$167</definedName>
    <definedName name="UNIFORMANCES1R167C8" hidden="1">[5]Report!$H$167:$EV$167</definedName>
    <definedName name="UNIFORMANCES1R168C10" hidden="1">'[6]CDU parameters'!$J$168:$AI$168</definedName>
    <definedName name="UNIFORMANCES1R169C10" hidden="1">'[6]CDU parameters'!$J$169:$AI$169</definedName>
    <definedName name="UNIFORMANCES1R169C8" hidden="1">[5]Report!$H$169:$EV$169</definedName>
    <definedName name="UNIFORMANCES1R16C10" hidden="1">'[6]CDU parameters'!$J$16:$AI$16</definedName>
    <definedName name="UNIFORMANCES1R170C8" hidden="1">[5]Report!$H$170:$EV$170</definedName>
    <definedName name="UNIFORMANCES1R171C10" hidden="1">'[6]CDU parameters'!$J$171:$AI$171</definedName>
    <definedName name="UNIFORMANCES1R171C8" hidden="1">[5]Report!$H$171:$EV$171</definedName>
    <definedName name="UNIFORMANCES1R172C10" hidden="1">'[6]CDU parameters'!$J$172:$AI$172</definedName>
    <definedName name="UNIFORMANCES1R173C10" hidden="1">'[6]CDU parameters'!$J$173:$AI$173</definedName>
    <definedName name="UNIFORMANCES1R173C8" hidden="1">[5]Report!$H$173:$EV$173</definedName>
    <definedName name="UNIFORMANCES1R174C8" hidden="1">[5]Report!$H$174:$EV$174</definedName>
    <definedName name="UNIFORMANCES1R175C10" hidden="1">'[6]CDU parameters'!$J$175:$AI$175</definedName>
    <definedName name="UNIFORMANCES1R175C8" hidden="1">[5]Report!$H$175:$EV$175</definedName>
    <definedName name="UNIFORMANCES1R176C10" hidden="1">'[6]CDU parameters'!$J$176:$AI$176</definedName>
    <definedName name="UNIFORMANCES1R177C10" hidden="1">'[6]CDU parameters'!$J$177:$AI$177</definedName>
    <definedName name="UNIFORMANCES1R177C8" hidden="1">[5]Report!$H$177:$EV$177</definedName>
    <definedName name="UNIFORMANCES1R178C8" hidden="1">[5]Report!$H$178:$EV$178</definedName>
    <definedName name="UNIFORMANCES1R179C10" hidden="1">'[6]CDU parameters'!$J$179:$AI$179</definedName>
    <definedName name="UNIFORMANCES1R179C8" hidden="1">[5]Report!$H$179:$EV$179</definedName>
    <definedName name="UNIFORMANCES1R180C10" hidden="1">'[6]CDU parameters'!$J$180:$AI$180</definedName>
    <definedName name="UNIFORMANCES1R180C8" hidden="1">[5]Report!$H$180:$EV$180</definedName>
    <definedName name="UNIFORMANCES1R181C10" hidden="1">'[6]CDU parameters'!$J$181:$AI$181</definedName>
    <definedName name="UNIFORMANCES1R182C10" hidden="1">'[6]CDU parameters'!$J$182:$AI$182</definedName>
    <definedName name="UNIFORMANCES1R182C8" hidden="1">[5]Report!$H$182:$EV$182</definedName>
    <definedName name="UNIFORMANCES1R183C8" hidden="1">[5]Report!$H$183:$EV$183</definedName>
    <definedName name="UNIFORMANCES1R184C8" hidden="1">[5]Report!$H$184:$EV$184</definedName>
    <definedName name="UNIFORMANCES1R185C10" hidden="1">'[6]CDU parameters'!$J$185:$AI$185</definedName>
    <definedName name="UNIFORMANCES1R185C8" hidden="1">[5]Report!$H$185:$EV$185</definedName>
    <definedName name="UNIFORMANCES1R186C10" hidden="1">'[6]CDU parameters'!$J$186:$AI$186</definedName>
    <definedName name="UNIFORMANCES1R187C10" hidden="1">'[6]CDU parameters'!$J$187:$AI$187</definedName>
    <definedName name="UNIFORMANCES1R187C8" hidden="1">[5]Report!$H$187:$EV$187</definedName>
    <definedName name="UNIFORMANCES1R188C10" hidden="1">'[6]CDU parameters'!$J$188:$AI$188</definedName>
    <definedName name="UNIFORMANCES1R188C8" hidden="1">[5]Report!$H$188:$EV$188</definedName>
    <definedName name="UNIFORMANCES1R189C10" hidden="1">'[6]CDU parameters'!$J$189:$AI$189</definedName>
    <definedName name="UNIFORMANCES1R189C8" hidden="1">[5]Report!$H$189:$EV$189</definedName>
    <definedName name="UNIFORMANCES1R18C10" hidden="1">'[6]CDU parameters'!$J$18:$AI$18</definedName>
    <definedName name="UNIFORMANCES1R190C10" hidden="1">'[6]CDU parameters'!$J$190:$AI$190</definedName>
    <definedName name="UNIFORMANCES1R190C8" hidden="1">[5]Report!$H$190:$EV$190</definedName>
    <definedName name="UNIFORMANCES1R191C10" hidden="1">'[6]CDU parameters'!$J$191:$AI$191</definedName>
    <definedName name="UNIFORMANCES1R192C10" hidden="1">'[6]CDU parameters'!$J$192:$AI$192</definedName>
    <definedName name="UNIFORMANCES1R192C8" hidden="1">[5]Report!$H$192:$EV$192</definedName>
    <definedName name="UNIFORMANCES1R193C10" hidden="1">'[6]CDU parameters'!$J$193:$AI$193</definedName>
    <definedName name="UNIFORMANCES1R193C8" hidden="1">[5]Report!$H$193:$EV$193</definedName>
    <definedName name="UNIFORMANCES1R194C10" hidden="1">'[6]CDU parameters'!$J$194:$AI$194</definedName>
    <definedName name="UNIFORMANCES1R194C8" hidden="1">[5]Report!$H$194:$EV$194</definedName>
    <definedName name="UNIFORMANCES1R195C10" hidden="1">'[6]CDU parameters'!$J$195:$AI$195</definedName>
    <definedName name="UNIFORMANCES1R195C8" hidden="1">[5]Report!$H$195:$EV$195</definedName>
    <definedName name="UNIFORMANCES1R196C10" hidden="1">'[6]CDU parameters'!$J$196:$AI$196</definedName>
    <definedName name="UNIFORMANCES1R197C10" hidden="1">'[6]CDU parameters'!$J$197:$AI$197</definedName>
    <definedName name="UNIFORMANCES1R197C8" hidden="1">[5]Report!$H$197:$EV$197</definedName>
    <definedName name="UNIFORMANCES1R198C10" hidden="1">'[6]CDU parameters'!$J$198:$AI$198</definedName>
    <definedName name="UNIFORMANCES1R198C8" hidden="1">[5]Report!$H$198:$EV$198</definedName>
    <definedName name="UNIFORMANCES1R199C10" hidden="1">'[6]CDU parameters'!$J$199:$AI$199</definedName>
    <definedName name="UNIFORMANCES1R199C8" hidden="1">[5]Report!$H$199:$EV$199</definedName>
    <definedName name="UNIFORMANCES1R19C10" hidden="1">'[6]CDU parameters'!$J$19:$AI$19</definedName>
    <definedName name="UNIFORMANCES1R19C8" hidden="1">[5]Report!$H$19:$EV$19</definedName>
    <definedName name="UNIFORMANCES1R200C10" hidden="1">'[6]CDU parameters'!$J$200:$AI$200</definedName>
    <definedName name="UNIFORMANCES1R200C8" hidden="1">[5]Report!$H$200:$EV$200</definedName>
    <definedName name="UNIFORMANCES1R201C10" hidden="1">'[6]CDU parameters'!$J$201:$AI$201</definedName>
    <definedName name="UNIFORMANCES1R202C10" hidden="1">'[6]CDU parameters'!$J$202:$AI$202</definedName>
    <definedName name="UNIFORMANCES1R202C8" hidden="1">[5]Report!$H$202:$EV$202</definedName>
    <definedName name="UNIFORMANCES1R203C10" hidden="1">'[6]CDU parameters'!$J$203:$AI$203</definedName>
    <definedName name="UNIFORMANCES1R203C8" hidden="1">[5]Report!$H$203:$EV$203</definedName>
    <definedName name="UNIFORMANCES1R204C10" hidden="1">'[6]CDU parameters'!$J$204:$AI$204</definedName>
    <definedName name="UNIFORMANCES1R204C8" hidden="1">[5]Report!$H$204:$EV$204</definedName>
    <definedName name="UNIFORMANCES1R205C10" hidden="1">'[6]CDU parameters'!$J$205:$AI$205</definedName>
    <definedName name="UNIFORMANCES1R205C8" hidden="1">[5]Report!$H$205:$EV$205</definedName>
    <definedName name="UNIFORMANCES1R206C10" hidden="1">'[6]CDU parameters'!$J$206:$AI$206</definedName>
    <definedName name="UNIFORMANCES1R207C10" hidden="1">'[6]CDU parameters'!$J$207:$AI$207</definedName>
    <definedName name="UNIFORMANCES1R207C8" hidden="1">[5]Report!$H$207:$EV$207</definedName>
    <definedName name="UNIFORMANCES1R208C10" hidden="1">'[6]CDU parameters'!$J$208:$AI$208</definedName>
    <definedName name="UNIFORMANCES1R208C8" hidden="1">[5]Report!$H$208:$EV$208</definedName>
    <definedName name="UNIFORMANCES1R209C10" hidden="1">'[6]CDU parameters'!$J$209:$AI$209</definedName>
    <definedName name="UNIFORMANCES1R209C8" hidden="1">[5]Report!$H$209:$EV$209</definedName>
    <definedName name="UNIFORMANCES1R20C10" hidden="1">'[6]CDU parameters'!$J$20:$AI$20</definedName>
    <definedName name="UNIFORMANCES1R20C8" hidden="1">[5]Report!$H$20:$EV$20</definedName>
    <definedName name="UNIFORMANCES1R210C10" hidden="1">'[6]CDU parameters'!$J$210:$AI$210</definedName>
    <definedName name="UNIFORMANCES1R210C8" hidden="1">[5]Report!$H$210:$EV$210</definedName>
    <definedName name="UNIFORMANCES1R212C10" hidden="1">'[6]CDU parameters'!$J$212:$AI$212</definedName>
    <definedName name="UNIFORMANCES1R212C8" hidden="1">[5]Report!$H$212:$EV$212</definedName>
    <definedName name="UNIFORMANCES1R213C10" hidden="1">'[6]CDU parameters'!$J$213:$AI$213</definedName>
    <definedName name="UNIFORMANCES1R213C8" hidden="1">[5]Report!$H$213:$EV$213</definedName>
    <definedName name="UNIFORMANCES1R214C10" hidden="1">'[6]CDU parameters'!$J$214:$AI$214</definedName>
    <definedName name="UNIFORMANCES1R214C8" hidden="1">[5]Report!$H$214:$EV$214</definedName>
    <definedName name="UNIFORMANCES1R215C10" hidden="1">'[6]CDU parameters'!$J$215:$AI$215</definedName>
    <definedName name="UNIFORMANCES1R215C8" hidden="1">[5]Report!$H$215:$EV$215</definedName>
    <definedName name="UNIFORMANCES1R216C10" hidden="1">'[6]CDU parameters'!$J$216:$AI$216</definedName>
    <definedName name="UNIFORMANCES1R217C8" hidden="1">[5]Report!$H$217:$EV$217</definedName>
    <definedName name="UNIFORMANCES1R218C10" hidden="1">'[6]CDU parameters'!$J$218:$AI$218</definedName>
    <definedName name="UNIFORMANCES1R218C8" hidden="1">[5]Report!$H$218:$EV$218</definedName>
    <definedName name="UNIFORMANCES1R219C10" hidden="1">'[6]CDU parameters'!$J$219:$AI$219</definedName>
    <definedName name="UNIFORMANCES1R219C8" hidden="1">[5]Report!$H$219:$EV$219</definedName>
    <definedName name="UNIFORMANCES1R21C10" hidden="1">'[6]CDU parameters'!$J$21:$AI$21</definedName>
    <definedName name="UNIFORMANCES1R21C8" hidden="1">[5]Report!$H$21:$EV$21</definedName>
    <definedName name="UNIFORMANCES1R220C10" hidden="1">'[6]CDU parameters'!$J$220:$AI$220</definedName>
    <definedName name="UNIFORMANCES1R220C8" hidden="1">[5]Report!$H$220:$EV$220</definedName>
    <definedName name="UNIFORMANCES1R221C10" hidden="1">'[6]CDU parameters'!$J$221:$AI$221</definedName>
    <definedName name="UNIFORMANCES1R222C10" hidden="1">'[6]CDU parameters'!$J$222:$AI$222</definedName>
    <definedName name="UNIFORMANCES1R222C8" hidden="1">[5]Report!$H$222:$EV$222</definedName>
    <definedName name="UNIFORMANCES1R223C10" hidden="1">'[6]CDU parameters'!$J$223:$AI$223</definedName>
    <definedName name="UNIFORMANCES1R223C8" hidden="1">[5]Report!$H$223:$EV$223</definedName>
    <definedName name="UNIFORMANCES1R224C10" hidden="1">'[6]CDU parameters'!$J$224:$AI$224</definedName>
    <definedName name="UNIFORMANCES1R224C8" hidden="1">[5]Report!$H$224:$EV$224</definedName>
    <definedName name="UNIFORMANCES1R225C10" hidden="1">'[6]CDU parameters'!$J$225:$AI$225</definedName>
    <definedName name="UNIFORMANCES1R225C8" hidden="1">[5]Report!$H$225:$EV$225</definedName>
    <definedName name="UNIFORMANCES1R227C10" hidden="1">'[6]CDU parameters'!$J$227:$AI$227</definedName>
    <definedName name="UNIFORMANCES1R227C8" hidden="1">[5]Report!$H$227:$EV$227</definedName>
    <definedName name="UNIFORMANCES1R228C10" hidden="1">'[6]CDU parameters'!$J$228:$AI$228</definedName>
    <definedName name="UNIFORMANCES1R228C8" hidden="1">[5]Report!$H$228:$EV$228</definedName>
    <definedName name="UNIFORMANCES1R229C10" hidden="1">'[6]CDU parameters'!$J$229:$AI$229</definedName>
    <definedName name="UNIFORMANCES1R229C8" hidden="1">[5]Report!$H$229:$EV$229</definedName>
    <definedName name="UNIFORMANCES1R22C10" hidden="1">'[6]CDU parameters'!$J$22:$AI$22</definedName>
    <definedName name="UNIFORMANCES1R22C8" hidden="1">[5]Report!$H$22:$EV$22</definedName>
    <definedName name="UNIFORMANCES1R230C10" hidden="1">'[6]CDU parameters'!$J$230:$AI$230</definedName>
    <definedName name="UNIFORMANCES1R230C8" hidden="1">[5]Report!$H$230:$EV$230</definedName>
    <definedName name="UNIFORMANCES1R232C10" hidden="1">'[6]CDU parameters'!$J$232:$AI$232</definedName>
    <definedName name="UNIFORMANCES1R232C8" hidden="1">[5]Report!$H$232:$EV$232</definedName>
    <definedName name="UNIFORMANCES1R233C10" hidden="1">'[6]CDU parameters'!$J$233:$AI$233</definedName>
    <definedName name="UNIFORMANCES1R233C8" hidden="1">[5]Report!$H$233:$EV$233</definedName>
    <definedName name="UNIFORMANCES1R234C10" hidden="1">'[6]CDU parameters'!$J$234:$AI$234</definedName>
    <definedName name="UNIFORMANCES1R234C8" hidden="1">[5]Report!$H$234:$EV$234</definedName>
    <definedName name="UNIFORMANCES1R235C10" hidden="1">'[6]CDU parameters'!$J$235:$AI$235</definedName>
    <definedName name="UNIFORMANCES1R235C8" hidden="1">[5]Report!$H$235:$EV$235</definedName>
    <definedName name="UNIFORMANCES1R236C10" hidden="1">'[6]CDU parameters'!$J$236:$AI$236</definedName>
    <definedName name="UNIFORMANCES1R237C10" hidden="1">'[6]CDU parameters'!$J$237:$AI$237</definedName>
    <definedName name="UNIFORMANCES1R237C8" hidden="1">[5]Report!$H$237:$EV$237</definedName>
    <definedName name="UNIFORMANCES1R238C8" hidden="1">[5]Report!$H$238:$EV$238</definedName>
    <definedName name="UNIFORMANCES1R239C10" hidden="1">'[6]CDU parameters'!$J$239:$AI$239</definedName>
    <definedName name="UNIFORMANCES1R239C8" hidden="1">[5]Report!$H$239:$EV$239</definedName>
    <definedName name="UNIFORMANCES1R23C10" hidden="1">'[6]CDU parameters'!$J$23:$AI$23</definedName>
    <definedName name="UNIFORMANCES1R23C8" hidden="1">[5]Report!$H$23:$EV$23</definedName>
    <definedName name="UNIFORMANCES1R240C10" hidden="1">'[6]CDU parameters'!$J$240:$AI$240</definedName>
    <definedName name="UNIFORMANCES1R240C8" hidden="1">[5]Report!$H$240:$EV$240</definedName>
    <definedName name="UNIFORMANCES1R241C10" hidden="1">'[6]CDU parameters'!$J$241:$AI$241</definedName>
    <definedName name="UNIFORMANCES1R242C10" hidden="1">'[6]CDU parameters'!$J$242:$AI$242</definedName>
    <definedName name="UNIFORMANCES1R242C8" hidden="1">[5]Report!$H$242:$EV$242</definedName>
    <definedName name="UNIFORMANCES1R243C8" hidden="1">[5]Report!$H$243:$EV$243</definedName>
    <definedName name="UNIFORMANCES1R244C10" hidden="1">'[6]CDU parameters'!$J$244:$AI$244</definedName>
    <definedName name="UNIFORMANCES1R244C8" hidden="1">[5]Report!$H$244:$EV$244</definedName>
    <definedName name="UNIFORMANCES1R245C10" hidden="1">'[6]CDU parameters'!$J$245:$AI$245</definedName>
    <definedName name="UNIFORMANCES1R246C8" hidden="1">[5]Report!$H$246:$EV$246</definedName>
    <definedName name="UNIFORMANCES1R247C10" hidden="1">'[6]CDU parameters'!$J$247:$AI$247</definedName>
    <definedName name="UNIFORMANCES1R247C8" hidden="1">[5]Report!$H$247:$EV$247</definedName>
    <definedName name="UNIFORMANCES1R248C10" hidden="1">'[6]CDU parameters'!$J$248:$AI$248</definedName>
    <definedName name="UNIFORMANCES1R249C10" hidden="1">'[6]CDU parameters'!$J$249:$AI$249</definedName>
    <definedName name="UNIFORMANCES1R249C8" hidden="1">[5]Report!$H$249:$EV$249</definedName>
    <definedName name="UNIFORMANCES1R24C10" hidden="1">'[6]CDU parameters'!$J$24:$AI$24</definedName>
    <definedName name="UNIFORMANCES1R24C8" hidden="1">[5]Report!$H$24:$EV$24</definedName>
    <definedName name="UNIFORMANCES1R250C10" hidden="1">'[6]CDU parameters'!$J$250:$AI$250</definedName>
    <definedName name="UNIFORMANCES1R250C8" hidden="1">[5]Report!$H$250:$EV$250</definedName>
    <definedName name="UNIFORMANCES1R251C10" hidden="1">'[6]CDU parameters'!$J$251:$AI$251</definedName>
    <definedName name="UNIFORMANCES1R252C10" hidden="1">'[6]CDU parameters'!$J$252:$AI$252</definedName>
    <definedName name="UNIFORMANCES1R252C8" hidden="1">[5]Report!$H$252:$EV$252</definedName>
    <definedName name="UNIFORMANCES1R253C10" hidden="1">'[6]CDU parameters'!$J$253:$AI$253</definedName>
    <definedName name="UNIFORMANCES1R253C8" hidden="1">[5]Report!$H$253:$EV$253</definedName>
    <definedName name="UNIFORMANCES1R255C10" hidden="1">'[6]CDU parameters'!$J$255:$AI$255</definedName>
    <definedName name="UNIFORMANCES1R255C8" hidden="1">[5]Report!$H$255:$EV$255</definedName>
    <definedName name="UNIFORMANCES1R256C10" hidden="1">'[6]CDU parameters'!$J$256:$AI$256</definedName>
    <definedName name="UNIFORMANCES1R256C8" hidden="1">[5]Report!$H$256:$EV$256</definedName>
    <definedName name="UNIFORMANCES1R257C10" hidden="1">'[6]CDU parameters'!$J$257:$AI$257</definedName>
    <definedName name="UNIFORMANCES1R258C10" hidden="1">'[6]CDU parameters'!$J$258:$AI$258</definedName>
    <definedName name="UNIFORMANCES1R25C10" hidden="1">'[6]CDU parameters'!$J$25:$AI$25</definedName>
    <definedName name="UNIFORMANCES1R25C8" hidden="1">[5]Report!$H$25:$EV$25</definedName>
    <definedName name="UNIFORMANCES1R260C10" hidden="1">'[6]CDU parameters'!$J$260:$AI$260</definedName>
    <definedName name="UNIFORMANCES1R261C10" hidden="1">'[6]CDU parameters'!$J$261:$AI$261</definedName>
    <definedName name="UNIFORMANCES1R262C10" hidden="1">'[6]CDU parameters'!$J$262:$AI$262</definedName>
    <definedName name="UNIFORMANCES1R263C10" hidden="1">'[6]CDU parameters'!$J$263:$AI$263</definedName>
    <definedName name="UNIFORMANCES1R264C10" hidden="1">'[6]CDU parameters'!$J$264:$AI$264</definedName>
    <definedName name="UNIFORMANCES1R265C10" hidden="1">'[6]CDU parameters'!$J$265:$AI$265</definedName>
    <definedName name="UNIFORMANCES1R265C8" hidden="1">[5]Report!$H$265:$EV$265</definedName>
    <definedName name="UNIFORMANCES1R266C10" hidden="1">'[6]CDU parameters'!$J$266:$AI$266</definedName>
    <definedName name="UNIFORMANCES1R266C8" hidden="1">[5]Report!$H$266:$EV$266</definedName>
    <definedName name="UNIFORMANCES1R267C10" hidden="1">'[6]CDU parameters'!$J$267:$AI$267</definedName>
    <definedName name="UNIFORMANCES1R268C10" hidden="1">'[6]CDU parameters'!$J$268:$AI$268</definedName>
    <definedName name="UNIFORMANCES1R268C8" hidden="1">[5]Report!$H$268:$EV$268</definedName>
    <definedName name="UNIFORMANCES1R269C10" hidden="1">'[6]CDU parameters'!$J$269:$AI$269</definedName>
    <definedName name="UNIFORMANCES1R269C8" hidden="1">[5]Report!$H$269:$EV$269</definedName>
    <definedName name="UNIFORMANCES1R26C10" hidden="1">'[6]CDU parameters'!$J$26:$AI$26</definedName>
    <definedName name="UNIFORMANCES1R26C8" hidden="1">[5]Report!$H$26:$EV$26</definedName>
    <definedName name="UNIFORMANCES1R270C10" hidden="1">'[6]CDU parameters'!$J$270:$AI$270</definedName>
    <definedName name="UNIFORMANCES1R271C10" hidden="1">'[6]CDU parameters'!$J$271:$AI$271</definedName>
    <definedName name="UNIFORMANCES1R271C8" hidden="1">[5]Report!$H$271:$EV$271</definedName>
    <definedName name="UNIFORMANCES1R272C10" hidden="1">'[6]CDU parameters'!$J$272:$AI$272</definedName>
    <definedName name="UNIFORMANCES1R272C8" hidden="1">[5]Report!$H$272:$EV$272</definedName>
    <definedName name="UNIFORMANCES1R273C10" hidden="1">'[6]CDU parameters'!$J$273:$AI$273</definedName>
    <definedName name="UNIFORMANCES1R273C8" hidden="1">[5]Report!$H$273:$EV$273</definedName>
    <definedName name="UNIFORMANCES1R274C10" hidden="1">'[6]CDU parameters'!$J$274:$AI$274</definedName>
    <definedName name="UNIFORMANCES1R275C10" hidden="1">'[6]CDU parameters'!$J$275:$AI$275</definedName>
    <definedName name="UNIFORMANCES1R275C8" hidden="1">[5]Report!$H$275:$EV$275</definedName>
    <definedName name="UNIFORMANCES1R276C10" hidden="1">'[6]CDU parameters'!$J$276:$AI$276</definedName>
    <definedName name="UNIFORMANCES1R276C8" hidden="1">[5]Report!$H$276:$EV$276</definedName>
    <definedName name="UNIFORMANCES1R277C10" hidden="1">'[6]CDU parameters'!$J$277:$AI$277</definedName>
    <definedName name="UNIFORMANCES1R277C8" hidden="1">[5]Report!$H$277:$EV$277</definedName>
    <definedName name="UNIFORMANCES1R278C10" hidden="1">'[6]CDU parameters'!$J$278:$AI$278</definedName>
    <definedName name="UNIFORMANCES1R279C10" hidden="1">'[6]CDU parameters'!$J$279:$AI$279</definedName>
    <definedName name="UNIFORMANCES1R279C8" hidden="1">[5]Report!$H$279:$EV$279</definedName>
    <definedName name="UNIFORMANCES1R27C10" hidden="1">'[6]CDU parameters'!$J$27:$AI$27</definedName>
    <definedName name="UNIFORMANCES1R27C8" hidden="1">[5]Report!$H$27:$EV$27</definedName>
    <definedName name="UNIFORMANCES1R280C8" hidden="1">[5]Report!$H$280:$EV$280</definedName>
    <definedName name="UNIFORMANCES1R281C10" hidden="1">'[6]CDU parameters'!$J$281:$AI$281</definedName>
    <definedName name="UNIFORMANCES1R282C10" hidden="1">'[6]CDU parameters'!$J$282:$AI$282</definedName>
    <definedName name="UNIFORMANCES1R282C8" hidden="1">[5]Report!$H$282:$EV$282</definedName>
    <definedName name="UNIFORMANCES1R283C10" hidden="1">'[6]CDU parameters'!$J$283:$AI$283</definedName>
    <definedName name="UNIFORMANCES1R283C8" hidden="1">[5]Report!$H$283:$EV$283</definedName>
    <definedName name="UNIFORMANCES1R284C10" hidden="1">'[6]CDU parameters'!$J$284:$AI$284</definedName>
    <definedName name="UNIFORMANCES1R285C10" hidden="1">'[6]CDU parameters'!$J$285:$AI$285</definedName>
    <definedName name="UNIFORMANCES1R285C8" hidden="1">[5]Report!$H$285:$EV$285</definedName>
    <definedName name="UNIFORMANCES1R286C10" hidden="1">'[6]CDU parameters'!$J$286:$AI$286</definedName>
    <definedName name="UNIFORMANCES1R286C8" hidden="1">[5]Report!$H$286:$EV$286</definedName>
    <definedName name="UNIFORMANCES1R287C10" hidden="1">'[6]CDU parameters'!$J$287:$AI$287</definedName>
    <definedName name="UNIFORMANCES1R288C8" hidden="1">[5]Report!$H$288:$EV$288</definedName>
    <definedName name="UNIFORMANCES1R289C10" hidden="1">'[6]CDU parameters'!$J$289:$AI$289</definedName>
    <definedName name="UNIFORMANCES1R289C8" hidden="1">[5]Report!$H$289:$EV$289</definedName>
    <definedName name="UNIFORMANCES1R28C10" hidden="1">'[6]CDU parameters'!$J$28:$AI$28</definedName>
    <definedName name="UNIFORMANCES1R28C8" hidden="1">[5]Report!$H$28:$EV$28</definedName>
    <definedName name="UNIFORMANCES1R290C10" hidden="1">'[6]CDU parameters'!$J$290:$AI$290</definedName>
    <definedName name="UNIFORMANCES1R290C8" hidden="1">[5]Report!$H$290:$EV$290</definedName>
    <definedName name="UNIFORMANCES1R291C10" hidden="1">'[6]CDU parameters'!$J$291:$AI$291</definedName>
    <definedName name="UNIFORMANCES1R292C10" hidden="1">'[6]CDU parameters'!$J$292:$AI$292</definedName>
    <definedName name="UNIFORMANCES1R292C8" hidden="1">[5]Report!$H$292:$EV$292</definedName>
    <definedName name="UNIFORMANCES1R293C10" hidden="1">'[6]CDU parameters'!$J$293:$AI$293</definedName>
    <definedName name="UNIFORMANCES1R293C8" hidden="1">[5]Report!$H$293:$EV$293</definedName>
    <definedName name="UNIFORMANCES1R294C10" hidden="1">'[6]CDU parameters'!$J$294:$AI$294</definedName>
    <definedName name="UNIFORMANCES1R294C8" hidden="1">[5]Report!$H$294:$EV$294</definedName>
    <definedName name="UNIFORMANCES1R295C10" hidden="1">'[6]CDU parameters'!$J$295:$AI$295</definedName>
    <definedName name="UNIFORMANCES1R296C10" hidden="1">'[6]CDU parameters'!$J$296:$AI$296</definedName>
    <definedName name="UNIFORMANCES1R296C8" hidden="1">[5]Report!$H$296:$EV$296</definedName>
    <definedName name="UNIFORMANCES1R297C10" hidden="1">'[6]CDU parameters'!$J$297:$AI$297</definedName>
    <definedName name="UNIFORMANCES1R297C8" hidden="1">[5]Report!$H$297:$EV$297</definedName>
    <definedName name="UNIFORMANCES1R298C10" hidden="1">'[6]CDU parameters'!$J$298:$AI$298</definedName>
    <definedName name="UNIFORMANCES1R299C10" hidden="1">'[6]CDU parameters'!$J$299:$AI$299</definedName>
    <definedName name="UNIFORMANCES1R299C8" hidden="1">[5]Report!$H$299:$EV$299</definedName>
    <definedName name="UNIFORMANCES1R29C10" hidden="1">'[6]CDU parameters'!$J$29:$AI$29</definedName>
    <definedName name="UNIFORMANCES1R29C8" hidden="1">[5]Report!$H$29:$EV$29</definedName>
    <definedName name="UNIFORMANCES1R300C10" hidden="1">'[6]CDU parameters'!$J$300:$AI$300</definedName>
    <definedName name="UNIFORMANCES1R300C8" hidden="1">[5]Report!$H$300:$EV$300</definedName>
    <definedName name="UNIFORMANCES1R301C10" hidden="1">'[6]CDU parameters'!$J$301:$AI$301</definedName>
    <definedName name="UNIFORMANCES1R302C8" hidden="1">[5]Report!$H$302:$EV$302</definedName>
    <definedName name="UNIFORMANCES1R303C10" hidden="1">'[6]CDU parameters'!$J$303:$AI$303</definedName>
    <definedName name="UNIFORMANCES1R303C8" hidden="1">[5]Report!$H$303:$EV$303</definedName>
    <definedName name="UNIFORMANCES1R304C10" hidden="1">'[6]CDU parameters'!$J$304:$AI$304</definedName>
    <definedName name="UNIFORMANCES1R305C10" hidden="1">'[6]CDU parameters'!$J$305:$AI$305</definedName>
    <definedName name="UNIFORMANCES1R305C8" hidden="1">[5]Report!$H$305:$EV$305</definedName>
    <definedName name="UNIFORMANCES1R306C10" hidden="1">'[6]CDU parameters'!$J$306:$AI$306</definedName>
    <definedName name="UNIFORMANCES1R306C8" hidden="1">[5]Report!$H$306:$EV$306</definedName>
    <definedName name="UNIFORMANCES1R307C8" hidden="1">[5]Report!$H$307:$EV$307</definedName>
    <definedName name="UNIFORMANCES1R309C10" hidden="1">'[6]CDU parameters'!$J$309:$AI$309</definedName>
    <definedName name="UNIFORMANCES1R309C8" hidden="1">[5]Report!$H$309:$EV$309</definedName>
    <definedName name="UNIFORMANCES1R30C8" hidden="1">[5]Report!$H$30:$EV$30</definedName>
    <definedName name="UNIFORMANCES1R310C10" hidden="1">'[6]CDU parameters'!$J$310:$AI$310</definedName>
    <definedName name="UNIFORMANCES1R310C8" hidden="1">[5]Report!$H$310:$EV$310</definedName>
    <definedName name="UNIFORMANCES1R311C10" hidden="1">'[6]CDU parameters'!$J$311:$AI$311</definedName>
    <definedName name="UNIFORMANCES1R311C8" hidden="1">[5]Report!$H$311:$EV$311</definedName>
    <definedName name="UNIFORMANCES1R312C10" hidden="1">'[6]CDU parameters'!$J$312:$AI$312</definedName>
    <definedName name="UNIFORMANCES1R313C8" hidden="1">[5]Report!$H$313:$EV$313</definedName>
    <definedName name="UNIFORMANCES1R314C10" hidden="1">'[6]CDU parameters'!$J$314:$AI$314</definedName>
    <definedName name="UNIFORMANCES1R314C8" hidden="1">[5]Report!$H$314:$EV$314</definedName>
    <definedName name="UNIFORMANCES1R315C10" hidden="1">'[6]CDU parameters'!$J$315:$AI$315</definedName>
    <definedName name="UNIFORMANCES1R316C10" hidden="1">'[6]CDU parameters'!$J$316:$AI$316</definedName>
    <definedName name="UNIFORMANCES1R316C8" hidden="1">[5]Report!$H$316:$EV$316</definedName>
    <definedName name="UNIFORMANCES1R317C8" hidden="1">[5]Report!$H$317:$EV$317</definedName>
    <definedName name="UNIFORMANCES1R318C10" hidden="1">'[6]CDU parameters'!$J$318:$AI$318</definedName>
    <definedName name="UNIFORMANCES1R319C8" hidden="1">[5]Report!$H$319:$EV$319</definedName>
    <definedName name="UNIFORMANCES1R31C10" hidden="1">'[6]CDU parameters'!$J$31:$AI$31</definedName>
    <definedName name="UNIFORMANCES1R31C8" hidden="1">[5]Report!$H$31:$EV$31</definedName>
    <definedName name="UNIFORMANCES1R320C10" hidden="1">'[6]CDU parameters'!$J$320:$AI$320</definedName>
    <definedName name="UNIFORMANCES1R320C8" hidden="1">[5]Report!$H$320:$EV$320</definedName>
    <definedName name="UNIFORMANCES1R321C10" hidden="1">'[6]CDU parameters'!$J$321:$AI$321</definedName>
    <definedName name="UNIFORMANCES1R322C10" hidden="1">'[6]CDU parameters'!$J$322:$AI$322</definedName>
    <definedName name="UNIFORMANCES1R322C8" hidden="1">[5]Report!$H$322:$EV$322</definedName>
    <definedName name="UNIFORMANCES1R323C10" hidden="1">'[6]CDU parameters'!$J$323:$AI$323</definedName>
    <definedName name="UNIFORMANCES1R323C8" hidden="1">[5]Report!$H$323:$EV$323</definedName>
    <definedName name="UNIFORMANCES1R324C10" hidden="1">'[6]CDU parameters'!$J$324:$AI$324</definedName>
    <definedName name="UNIFORMANCES1R324C8" hidden="1">[5]Report!$H$324:$EV$324</definedName>
    <definedName name="UNIFORMANCES1R325C10" hidden="1">'[6]CDU parameters'!$J$325:$AI$325</definedName>
    <definedName name="UNIFORMANCES1R325C8" hidden="1">[5]Report!$H$325:$EV$325</definedName>
    <definedName name="UNIFORMANCES1R326C10" hidden="1">'[6]CDU parameters'!$J$326:$AI$326</definedName>
    <definedName name="UNIFORMANCES1R326C8" hidden="1">[5]Report!$H$326:$EV$326</definedName>
    <definedName name="UNIFORMANCES1R327C10" hidden="1">'[6]CDU parameters'!$J$327:$AI$327</definedName>
    <definedName name="UNIFORMANCES1R327C8" hidden="1">[5]Report!$H$327:$EV$327</definedName>
    <definedName name="UNIFORMANCES1R328C10" hidden="1">'[6]CDU parameters'!$J$328:$AI$328</definedName>
    <definedName name="UNIFORMANCES1R329C10" hidden="1">'[6]CDU parameters'!$J$329:$AI$329</definedName>
    <definedName name="UNIFORMANCES1R32C10" hidden="1">'[6]CDU parameters'!$J$32:$AI$32</definedName>
    <definedName name="UNIFORMANCES1R32C8" hidden="1">[5]Report!$H$32:$EV$32</definedName>
    <definedName name="UNIFORMANCES1R330C10" hidden="1">'[6]CDU parameters'!$J$330:$AI$330</definedName>
    <definedName name="UNIFORMANCES1R331C10" hidden="1">'[6]CDU parameters'!$J$331:$AI$331</definedName>
    <definedName name="UNIFORMANCES1R331C8" hidden="1">[5]Report!$H$331:$EV$331</definedName>
    <definedName name="UNIFORMANCES1R332C8" hidden="1">[5]Report!$H$332:$EV$332</definedName>
    <definedName name="UNIFORMANCES1R333C8" hidden="1">[5]Report!$H$333:$EV$333</definedName>
    <definedName name="UNIFORMANCES1R334C10" hidden="1">'[6]CDU parameters'!$J$334:$AI$334</definedName>
    <definedName name="UNIFORMANCES1R334C8" hidden="1">[5]Report!$H$334:$EV$334</definedName>
    <definedName name="UNIFORMANCES1R335C10" hidden="1">'[6]CDU parameters'!$J$335:$AI$335</definedName>
    <definedName name="UNIFORMANCES1R335C8" hidden="1">[5]Report!$H$335:$EV$335</definedName>
    <definedName name="UNIFORMANCES1R336C10" hidden="1">'[6]CDU parameters'!$J$336:$AI$336</definedName>
    <definedName name="UNIFORMANCES1R336C8" hidden="1">[5]Report!$H$336:$EV$336</definedName>
    <definedName name="UNIFORMANCES1R337C10" hidden="1">'[6]CDU parameters'!$J$337:$AI$337</definedName>
    <definedName name="UNIFORMANCES1R337C8" hidden="1">[5]Report!$H$337:$EV$337</definedName>
    <definedName name="UNIFORMANCES1R338C10" hidden="1">'[6]CDU parameters'!$J$338:$AI$338</definedName>
    <definedName name="UNIFORMANCES1R338C8" hidden="1">[5]Report!$H$338:$EV$338</definedName>
    <definedName name="UNIFORMANCES1R339C10" hidden="1">'[6]CDU parameters'!$J$339:$AI$339</definedName>
    <definedName name="UNIFORMANCES1R339C8" hidden="1">[5]Report!$H$339:$EV$339</definedName>
    <definedName name="UNIFORMANCES1R33C10" hidden="1">'[6]CDU parameters'!$J$33:$AI$33</definedName>
    <definedName name="UNIFORMANCES1R33C8" hidden="1">[5]Report!$H$33:$EV$33</definedName>
    <definedName name="UNIFORMANCES1R340C10" hidden="1">'[6]CDU parameters'!$J$340:$AI$340</definedName>
    <definedName name="UNIFORMANCES1R340C8" hidden="1">[5]Report!$H$340:$EV$340</definedName>
    <definedName name="UNIFORMANCES1R341C10" hidden="1">'[6]CDU parameters'!$J$341:$AI$341</definedName>
    <definedName name="UNIFORMANCES1R341C8" hidden="1">[5]Report!$H$341:$EV$341</definedName>
    <definedName name="UNIFORMANCES1R342C10" hidden="1">'[6]CDU parameters'!$J$342:$AI$342</definedName>
    <definedName name="UNIFORMANCES1R342C8" hidden="1">[5]Report!$H$342:$EV$342</definedName>
    <definedName name="UNIFORMANCES1R343C10" hidden="1">'[6]CDU parameters'!$J$343:$AI$343</definedName>
    <definedName name="UNIFORMANCES1R343C8" hidden="1">[5]Report!$H$343:$EV$343</definedName>
    <definedName name="UNIFORMANCES1R344C10" hidden="1">'[6]CDU parameters'!$J$344:$AI$344</definedName>
    <definedName name="UNIFORMANCES1R344C8" hidden="1">[5]Report!$H$344:$EV$344</definedName>
    <definedName name="UNIFORMANCES1R345C10" hidden="1">'[6]CDU parameters'!$J$345:$AI$345</definedName>
    <definedName name="UNIFORMANCES1R345C8" hidden="1">[5]Report!$H$345:$EV$345</definedName>
    <definedName name="UNIFORMANCES1R346C8" hidden="1">[5]Report!$H$346:$EV$346</definedName>
    <definedName name="UNIFORMANCES1R347C8" hidden="1">[5]Report!$H$347:$EV$347</definedName>
    <definedName name="UNIFORMANCES1R348C8" hidden="1">[5]Report!$H$348:$EV$348</definedName>
    <definedName name="UNIFORMANCES1R349C10" hidden="1">'[6]CDU parameters'!$J$349:$AI$349</definedName>
    <definedName name="UNIFORMANCES1R349C8" hidden="1">[5]Report!$H$349:$EV$349</definedName>
    <definedName name="UNIFORMANCES1R34C10" hidden="1">'[6]CDU parameters'!$J$34:$AI$34</definedName>
    <definedName name="UNIFORMANCES1R34C8" hidden="1">[5]Report!$H$34:$EV$34</definedName>
    <definedName name="UNIFORMANCES1R350C10" hidden="1">'[6]CDU parameters'!$J$350:$AI$350</definedName>
    <definedName name="UNIFORMANCES1R350C8" hidden="1">[5]Report!$H$350:$EV$350</definedName>
    <definedName name="UNIFORMANCES1R351C8" hidden="1">[5]Report!$H$351:$EV$351</definedName>
    <definedName name="UNIFORMANCES1R352C8" hidden="1">[5]Report!$H$352:$EV$352</definedName>
    <definedName name="UNIFORMANCES1R353C10" hidden="1">'[6]CDU parameters'!$J$353:$AI$353</definedName>
    <definedName name="UNIFORMANCES1R353C8" hidden="1">[5]Report!$H$353:$EV$353</definedName>
    <definedName name="UNIFORMANCES1R354C10" hidden="1">'[6]CDU parameters'!$J$354:$AI$354</definedName>
    <definedName name="UNIFORMANCES1R354C8" hidden="1">[5]Report!$H$354:$EV$354</definedName>
    <definedName name="UNIFORMANCES1R355C10" hidden="1">'[6]CDU parameters'!$J$355:$AI$355</definedName>
    <definedName name="UNIFORMANCES1R355C8" hidden="1">[5]Report!$H$355:$EV$355</definedName>
    <definedName name="UNIFORMANCES1R356C8" hidden="1">[5]Report!$H$356:$EV$356</definedName>
    <definedName name="UNIFORMANCES1R357C10" hidden="1">'[6]CDU parameters'!$J$357:$AI$357</definedName>
    <definedName name="UNIFORMANCES1R357C8" hidden="1">[5]Report!$H$357:$EV$357</definedName>
    <definedName name="UNIFORMANCES1R358C10" hidden="1">'[6]CDU parameters'!$J$358:$AI$358</definedName>
    <definedName name="UNIFORMANCES1R358C8" hidden="1">[5]Report!$H$358:$EV$358</definedName>
    <definedName name="UNIFORMANCES1R359C10" hidden="1">'[6]CDU parameters'!$J$359:$AI$359</definedName>
    <definedName name="UNIFORMANCES1R359C8" hidden="1">[5]Report!$H$359:$EV$359</definedName>
    <definedName name="UNIFORMANCES1R35C10" hidden="1">'[6]CDU parameters'!$J$35:$AI$35</definedName>
    <definedName name="UNIFORMANCES1R35C8" hidden="1">[5]Report!$H$35:$EV$35</definedName>
    <definedName name="UNIFORMANCES1R360C10" hidden="1">'[6]CDU parameters'!$J$360:$AI$360</definedName>
    <definedName name="UNIFORMANCES1R360C8" hidden="1">[5]Report!$H$360:$EV$360</definedName>
    <definedName name="UNIFORMANCES1R361C10" hidden="1">'[6]CDU parameters'!$J$361:$AI$361</definedName>
    <definedName name="UNIFORMANCES1R361C8" hidden="1">[5]Report!$H$361:$EV$361</definedName>
    <definedName name="UNIFORMANCES1R362C10" hidden="1">'[6]CDU parameters'!$J$362:$AI$362</definedName>
    <definedName name="UNIFORMANCES1R362C8" hidden="1">[5]Report!$H$362:$EV$362</definedName>
    <definedName name="UNIFORMANCES1R363C10" hidden="1">'[6]CDU parameters'!$J$363:$AI$363</definedName>
    <definedName name="UNIFORMANCES1R363C8" hidden="1">[5]Report!$H$363:$EV$363</definedName>
    <definedName name="UNIFORMANCES1R364C10" hidden="1">'[6]CDU parameters'!$J$364:$AI$364</definedName>
    <definedName name="UNIFORMANCES1R364C8" hidden="1">[5]Report!$H$364:$EV$364</definedName>
    <definedName name="UNIFORMANCES1R365C10" hidden="1">'[6]CDU parameters'!$J$365:$AI$365</definedName>
    <definedName name="UNIFORMANCES1R366C10" hidden="1">'[6]CDU parameters'!$J$366:$AI$366</definedName>
    <definedName name="UNIFORMANCES1R366C8" hidden="1">[5]Report!$H$366:$EV$366</definedName>
    <definedName name="UNIFORMANCES1R367C10" hidden="1">'[6]CDU parameters'!$J$367:$AI$367</definedName>
    <definedName name="UNIFORMANCES1R367C8" hidden="1">[5]Report!$H$367:$EV$367</definedName>
    <definedName name="UNIFORMANCES1R368C10" hidden="1">'[6]CDU parameters'!$J$368:$AI$368</definedName>
    <definedName name="UNIFORMANCES1R368C8" hidden="1">[5]Report!$H$368:$EV$368</definedName>
    <definedName name="UNIFORMANCES1R369C10" hidden="1">'[6]CDU parameters'!$J$369:$AI$369</definedName>
    <definedName name="UNIFORMANCES1R369C8" hidden="1">[5]Report!$H$369:$EV$369</definedName>
    <definedName name="UNIFORMANCES1R36C10" hidden="1">'[6]CDU parameters'!$J$36:$AI$36</definedName>
    <definedName name="UNIFORMANCES1R36C8" hidden="1">[5]Report!$H$36:$EV$36</definedName>
    <definedName name="UNIFORMANCES1R370C10" hidden="1">'[6]CDU parameters'!$J$370:$AI$370</definedName>
    <definedName name="UNIFORMANCES1R370C8" hidden="1">[5]Report!$H$370:$EV$370</definedName>
    <definedName name="UNIFORMANCES1R371C10" hidden="1">'[6]CDU parameters'!$J$371:$AI$371</definedName>
    <definedName name="UNIFORMANCES1R371C8" hidden="1">[5]Report!$H$371:$EV$371</definedName>
    <definedName name="UNIFORMANCES1R372C10" hidden="1">'[6]CDU parameters'!$J$372:$AI$372</definedName>
    <definedName name="UNIFORMANCES1R372C8" hidden="1">[5]Report!$H$372:$EV$372</definedName>
    <definedName name="UNIFORMANCES1R373C8" hidden="1">[5]Report!$H$373:$EV$373</definedName>
    <definedName name="UNIFORMANCES1R374C8" hidden="1">[5]Report!$H$374:$EV$374</definedName>
    <definedName name="UNIFORMANCES1R375C8" hidden="1">[5]Report!$H$375:$EV$375</definedName>
    <definedName name="UNIFORMANCES1R376C8" hidden="1">[5]Report!$H$376:$EV$376</definedName>
    <definedName name="UNIFORMANCES1R377C8" hidden="1">[5]Report!$H$377:$EV$377</definedName>
    <definedName name="UNIFORMANCES1R378C8" hidden="1">[5]Report!$H$378:$EV$378</definedName>
    <definedName name="UNIFORMANCES1R379C8" hidden="1">[5]Report!$H$379:$EV$379</definedName>
    <definedName name="UNIFORMANCES1R37C8" hidden="1">[5]Report!$H$37:$EV$37</definedName>
    <definedName name="UNIFORMANCES1R380C8" hidden="1">[5]Report!$H$380:$EV$380</definedName>
    <definedName name="UNIFORMANCES1R381C8" hidden="1">[5]Report!$H$381:$EV$381</definedName>
    <definedName name="UNIFORMANCES1R382C8" hidden="1">[5]Report!$H$382:$EV$382</definedName>
    <definedName name="UNIFORMANCES1R383C8" hidden="1">[5]Report!$H$383:$EV$383</definedName>
    <definedName name="UNIFORMANCES1R384C8" hidden="1">[5]Report!$H$384:$EV$384</definedName>
    <definedName name="UNIFORMANCES1R385C8" hidden="1">[5]Report!$H$385:$EV$385</definedName>
    <definedName name="UNIFORMANCES1R386C8" hidden="1">[5]Report!$H$386:$EV$386</definedName>
    <definedName name="UNIFORMANCES1R387C8" hidden="1">[5]Report!$H$387:$EV$387</definedName>
    <definedName name="UNIFORMANCES1R389C8" hidden="1">[5]Report!$H$389:$EV$389</definedName>
    <definedName name="UNIFORMANCES1R38C10" hidden="1">'[6]CDU parameters'!$J$38:$AI$38</definedName>
    <definedName name="UNIFORMANCES1R38C8" hidden="1">[5]Report!$H$38:$EV$38</definedName>
    <definedName name="UNIFORMANCES1R390C8" hidden="1">[5]Report!$H$390:$EV$390</definedName>
    <definedName name="UNIFORMANCES1R391C8" hidden="1">[5]Report!$H$391:$EV$391</definedName>
    <definedName name="UNIFORMANCES1R392C8" hidden="1">[5]Report!$H$392:$EV$392</definedName>
    <definedName name="UNIFORMANCES1R393C8" hidden="1">[5]Report!$H$393:$EV$393</definedName>
    <definedName name="UNIFORMANCES1R394C8" hidden="1">[5]Report!$H$394:$EV$394</definedName>
    <definedName name="UNIFORMANCES1R395C8" hidden="1">[5]Report!$H$395:$EV$395</definedName>
    <definedName name="UNIFORMANCES1R396C8" hidden="1">[5]Report!$H$396:$EV$396</definedName>
    <definedName name="UNIFORMANCES1R397C8" hidden="1">[5]Report!$H$397:$EV$397</definedName>
    <definedName name="UNIFORMANCES1R398C8" hidden="1">[5]Report!$H$398:$EV$398</definedName>
    <definedName name="UNIFORMANCES1R399C8" hidden="1">[5]Report!$H$399:$EV$399</definedName>
    <definedName name="UNIFORMANCES1R39C8" hidden="1">[5]Report!$H$39:$EV$39</definedName>
    <definedName name="UNIFORMANCES1R3C10" hidden="1">'[6]CDU parameters'!$J$3:$AI$4</definedName>
    <definedName name="UNIFORMANCES1R400C8" hidden="1">[5]Report!$H$400:$EV$400</definedName>
    <definedName name="UNIFORMANCES1R401C8" hidden="1">[5]Report!$H$401:$EV$401</definedName>
    <definedName name="UNIFORMANCES1R402C8" hidden="1">[5]Report!$H$402:$EV$402</definedName>
    <definedName name="UNIFORMANCES1R403C8" hidden="1">[5]Report!$H$403:$EV$403</definedName>
    <definedName name="UNIFORMANCES1R404C8" hidden="1">[5]Report!$H$404:$EV$404</definedName>
    <definedName name="UNIFORMANCES1R405C8" hidden="1">[5]Report!$H$405:$EV$405</definedName>
    <definedName name="UNIFORMANCES1R406C8" hidden="1">[5]Report!$H$406:$EV$406</definedName>
    <definedName name="UNIFORMANCES1R407C8" hidden="1">[5]Report!$H$407:$EV$407</definedName>
    <definedName name="UNIFORMANCES1R408C8" hidden="1">[5]Report!$H$408:$EV$408</definedName>
    <definedName name="UNIFORMANCES1R409C8" hidden="1">[5]Report!$H$409:$EV$409</definedName>
    <definedName name="UNIFORMANCES1R40C10" hidden="1">'[6]CDU parameters'!$J$40:$AI$40</definedName>
    <definedName name="UNIFORMANCES1R40C8" hidden="1">[5]Report!$H$40:$EV$40</definedName>
    <definedName name="UNIFORMANCES1R410C8" hidden="1">[5]Report!$H$410:$EV$410</definedName>
    <definedName name="UNIFORMANCES1R411C8" hidden="1">[5]Report!$H$411:$EV$411</definedName>
    <definedName name="UNIFORMANCES1R412C8" hidden="1">[5]Report!$H$412:$EV$412</definedName>
    <definedName name="UNIFORMANCES1R413C8" hidden="1">[5]Report!$H$413:$EV$413</definedName>
    <definedName name="UNIFORMANCES1R414C8" hidden="1">[5]Report!$H$414:$EV$414</definedName>
    <definedName name="UNIFORMANCES1R415C8" hidden="1">[5]Report!$H$415:$EV$415</definedName>
    <definedName name="UNIFORMANCES1R416C8" hidden="1">[5]Report!$H$416:$EV$416</definedName>
    <definedName name="UNIFORMANCES1R417C8" hidden="1">[5]Report!$H$417:$EV$417</definedName>
    <definedName name="UNIFORMANCES1R418C8" hidden="1">[5]Report!$H$418:$EV$418</definedName>
    <definedName name="UNIFORMANCES1R41C10" hidden="1">'[6]CDU parameters'!$J$41:$AI$41</definedName>
    <definedName name="UNIFORMANCES1R421C8" hidden="1">[5]Report!$H$421:$EV$421</definedName>
    <definedName name="UNIFORMANCES1R422C8" hidden="1">[5]Report!$H$422:$EV$422</definedName>
    <definedName name="UNIFORMANCES1R423C8" hidden="1">[5]Report!$H$423:$EV$423</definedName>
    <definedName name="UNIFORMANCES1R424C8" hidden="1">[5]Report!$H$424:$EV$424</definedName>
    <definedName name="UNIFORMANCES1R425C8" hidden="1">[5]Report!$H$425:$EV$425</definedName>
    <definedName name="UNIFORMANCES1R428C8" hidden="1">[5]Report!$H$428:$EV$428</definedName>
    <definedName name="UNIFORMANCES1R429C8" hidden="1">[5]Report!$H$429:$EV$429</definedName>
    <definedName name="UNIFORMANCES1R42C10" hidden="1">'[6]CDU parameters'!$J$42:$AI$42</definedName>
    <definedName name="UNIFORMANCES1R430C8" hidden="1">[5]Report!$H$430:$EV$430</definedName>
    <definedName name="UNIFORMANCES1R431C8" hidden="1">[5]Report!$H$431:$EV$431</definedName>
    <definedName name="UNIFORMANCES1R432C8" hidden="1">[5]Report!$H$432:$EV$432</definedName>
    <definedName name="UNIFORMANCES1R433C8" hidden="1">[5]Report!$H$433:$EV$433</definedName>
    <definedName name="UNIFORMANCES1R434C8" hidden="1">[5]Report!$H$434:$EV$434</definedName>
    <definedName name="UNIFORMANCES1R435C8" hidden="1">[5]Report!$H$435:$EV$435</definedName>
    <definedName name="UNIFORMANCES1R436C8" hidden="1">[5]Report!$H$436:$EV$436</definedName>
    <definedName name="UNIFORMANCES1R437C8" hidden="1">[5]Report!$H$437:$EV$437</definedName>
    <definedName name="UNIFORMANCES1R438C8" hidden="1">[5]Report!$H$438:$EV$438</definedName>
    <definedName name="UNIFORMANCES1R439C8" hidden="1">[5]Report!$H$439:$EV$439</definedName>
    <definedName name="UNIFORMANCES1R43C10" hidden="1">'[6]CDU parameters'!$J$43:$AI$43</definedName>
    <definedName name="UNIFORMANCES1R440C8" hidden="1">[5]Report!$H$440:$EV$440</definedName>
    <definedName name="UNIFORMANCES1R444C8" hidden="1">[5]Report!$H$444:$EV$444</definedName>
    <definedName name="UNIFORMANCES1R445C8" hidden="1">[5]Report!$H$445:$EV$445</definedName>
    <definedName name="UNIFORMANCES1R446C8" hidden="1">[5]Report!$H$446:$EV$446</definedName>
    <definedName name="UNIFORMANCES1R447C8" hidden="1">[5]Report!$H$447:$EV$447</definedName>
    <definedName name="UNIFORMANCES1R448C8" hidden="1">[5]Report!$H$448:$EV$448</definedName>
    <definedName name="UNIFORMANCES1R449C8" hidden="1">[5]Report!$H$449:$EV$449</definedName>
    <definedName name="UNIFORMANCES1R44C10" hidden="1">'[6]CDU parameters'!$J$44:$AI$44</definedName>
    <definedName name="UNIFORMANCES1R450C8" hidden="1">[5]Report!$H$450:$EV$450</definedName>
    <definedName name="UNIFORMANCES1R451C8" hidden="1">[5]Report!$H$451:$EV$451</definedName>
    <definedName name="UNIFORMANCES1R452C8" hidden="1">[5]Report!$H$452:$EV$452</definedName>
    <definedName name="UNIFORMANCES1R453C8" hidden="1">[5]Report!$H$453:$EV$453</definedName>
    <definedName name="UNIFORMANCES1R454C8" hidden="1">[5]Report!$H$454:$EV$454</definedName>
    <definedName name="UNIFORMANCES1R455C8" hidden="1">[5]Report!$H$455:$EV$455</definedName>
    <definedName name="UNIFORMANCES1R456C8" hidden="1">[5]Report!$H$456:$EV$456</definedName>
    <definedName name="UNIFORMANCES1R457C8" hidden="1">[5]Report!$H$457:$EV$457</definedName>
    <definedName name="UNIFORMANCES1R45C10" hidden="1">'[6]CDU parameters'!$J$45:$AI$45</definedName>
    <definedName name="UNIFORMANCES1R46C10" hidden="1">'[6]CDU parameters'!$J$46:$AI$46</definedName>
    <definedName name="UNIFORMANCES1R46C8" hidden="1">[5]Report!$H$46:$EV$46</definedName>
    <definedName name="UNIFORMANCES1R47C8" hidden="1">[5]Report!$H$47:$EV$47</definedName>
    <definedName name="UNIFORMANCES1R48C10" hidden="1">'[6]CDU parameters'!$J$48:$AI$48</definedName>
    <definedName name="UNIFORMANCES1R48C8" hidden="1">[5]Report!$H$48:$EV$48</definedName>
    <definedName name="UNIFORMANCES1R49C8" hidden="1">[5]Report!$H$49:$EV$49</definedName>
    <definedName name="UNIFORMANCES1R51C10" hidden="1">'[6]CDU parameters'!$J$51:$AI$51</definedName>
    <definedName name="UNIFORMANCES1R51C8" hidden="1">[5]Report!$H$51:$EV$51</definedName>
    <definedName name="UNIFORMANCES1R52C10" hidden="1">'[6]CDU parameters'!$J$52:$AI$52</definedName>
    <definedName name="UNIFORMANCES1R52C8" hidden="1">[5]Report!$H$52:$EV$52</definedName>
    <definedName name="UNIFORMANCES1R53C10" hidden="1">'[6]CDU parameters'!$J$53:$AI$53</definedName>
    <definedName name="UNIFORMANCES1R53C8" hidden="1">[5]Report!$H$53:$EV$53</definedName>
    <definedName name="UNIFORMANCES1R54C10" hidden="1">'[6]CDU parameters'!$J$54:$AI$54</definedName>
    <definedName name="UNIFORMANCES1R55C10" hidden="1">'[6]CDU parameters'!$J$55:$AI$55</definedName>
    <definedName name="UNIFORMANCES1R55C8" hidden="1">[5]Report!$H$55:$EV$55</definedName>
    <definedName name="UNIFORMANCES1R56C10" hidden="1">'[6]CDU parameters'!$J$56:$AI$56</definedName>
    <definedName name="UNIFORMANCES1R56C8" hidden="1">[5]Report!$H$56:$EV$56</definedName>
    <definedName name="UNIFORMANCES1R57C10" hidden="1">'[6]CDU parameters'!$J$57:$AI$57</definedName>
    <definedName name="UNIFORMANCES1R57C8" hidden="1">[5]Report!$H$57:$EV$57</definedName>
    <definedName name="UNIFORMANCES1R58C10" hidden="1">'[6]CDU parameters'!$J$58:$AI$58</definedName>
    <definedName name="UNIFORMANCES1R59C10" hidden="1">'[6]CDU parameters'!$J$59:$AI$59</definedName>
    <definedName name="UNIFORMANCES1R59C8" hidden="1">[5]Report!$H$59:$EV$59</definedName>
    <definedName name="UNIFORMANCES1R5C10" hidden="1">'[6]CDU parameters'!$J$5:$AI$5</definedName>
    <definedName name="UNIFORMANCES1R60C10" hidden="1">'[6]CDU parameters'!$J$60:$AI$60</definedName>
    <definedName name="UNIFORMANCES1R60C8" hidden="1">[5]Report!$H$60:$EV$60</definedName>
    <definedName name="UNIFORMANCES1R61C10" hidden="1">'[6]CDU parameters'!$J$61:$AI$61</definedName>
    <definedName name="UNIFORMANCES1R61C8" hidden="1">[5]Report!$H$61:$EV$61</definedName>
    <definedName name="UNIFORMANCES1R63C8" hidden="1">[5]Report!$H$63:$EV$63</definedName>
    <definedName name="UNIFORMANCES1R64C8" hidden="1">[5]Report!$H$64:$EV$64</definedName>
    <definedName name="UNIFORMANCES1R65C10" hidden="1">'[6]CDU parameters'!$J$65:$AI$65</definedName>
    <definedName name="UNIFORMANCES1R65C8" hidden="1">[5]Report!$H$65:$EV$65</definedName>
    <definedName name="UNIFORMANCES1R67C10" hidden="1">'[6]CDU parameters'!$J$67:$AI$67</definedName>
    <definedName name="UNIFORMANCES1R67C8" hidden="1">[5]Report!$H$67:$EV$67</definedName>
    <definedName name="UNIFORMANCES1R68C10" hidden="1">'[6]CDU parameters'!$J$68:$AI$68</definedName>
    <definedName name="UNIFORMANCES1R68C8" hidden="1">[5]Report!$H$68:$EV$68</definedName>
    <definedName name="UNIFORMANCES1R69C10" hidden="1">'[6]CDU parameters'!$J$69:$AI$69</definedName>
    <definedName name="UNIFORMANCES1R69C8" hidden="1">[5]Report!$H$69:$EV$69</definedName>
    <definedName name="UNIFORMANCES1R6C10" hidden="1">'[6]CDU parameters'!$J$6:$AI$6</definedName>
    <definedName name="UNIFORMANCES1R6C8" hidden="1">[5]Report!$H$6:$EV$7</definedName>
    <definedName name="UNIFORMANCES1R70C10" hidden="1">'[6]CDU parameters'!$J$70:$AI$70</definedName>
    <definedName name="UNIFORMANCES1R70C8" hidden="1">[5]Report!$H$70:$EV$70</definedName>
    <definedName name="UNIFORMANCES1R71C10" hidden="1">'[6]CDU parameters'!$J$71:$AI$71</definedName>
    <definedName name="UNIFORMANCES1R72C10" hidden="1">'[6]CDU parameters'!$J$72:$AI$72</definedName>
    <definedName name="UNIFORMANCES1R72C8" hidden="1">[5]Report!$H$72:$EV$72</definedName>
    <definedName name="UNIFORMANCES1R73C10" hidden="1">'[6]CDU parameters'!$J$73:$AI$73</definedName>
    <definedName name="UNIFORMANCES1R73C8" hidden="1">[5]Report!$H$73:$EV$73</definedName>
    <definedName name="UNIFORMANCES1R74C10" hidden="1">'[6]CDU parameters'!$J$74:$AI$74</definedName>
    <definedName name="UNIFORMANCES1R74C8" hidden="1">[5]Report!$H$74:$EV$74</definedName>
    <definedName name="UNIFORMANCES1R75C8" hidden="1">[5]Report!$H$75:$EV$75</definedName>
    <definedName name="UNIFORMANCES1R76C10" hidden="1">'[6]CDU parameters'!$J$76:$AI$76</definedName>
    <definedName name="UNIFORMANCES1R77C10" hidden="1">'[6]CDU parameters'!$J$77:$AI$77</definedName>
    <definedName name="UNIFORMANCES1R77C8" hidden="1">[5]Report!$H$77:$EV$77</definedName>
    <definedName name="UNIFORMANCES1R78C10" hidden="1">'[6]CDU parameters'!$J$78:$AI$78</definedName>
    <definedName name="UNIFORMANCES1R78C8" hidden="1">[5]Report!$H$78:$EV$78</definedName>
    <definedName name="UNIFORMANCES1R79C10" hidden="1">'[6]CDU parameters'!$J$79:$AI$79</definedName>
    <definedName name="UNIFORMANCES1R79C8" hidden="1">[5]Report!$H$79:$EV$79</definedName>
    <definedName name="UNIFORMANCES1R7C10" hidden="1">'[6]CDU parameters'!$J$7:$AI$7</definedName>
    <definedName name="UNIFORMANCES1R80C10" hidden="1">'[6]CDU parameters'!$J$80:$AI$80</definedName>
    <definedName name="UNIFORMANCES1R80C8" hidden="1">[5]Report!$H$80:$EV$80</definedName>
    <definedName name="UNIFORMANCES1R81C10" hidden="1">'[6]CDU parameters'!$J$81:$AI$81</definedName>
    <definedName name="UNIFORMANCES1R82C10" hidden="1">'[6]CDU parameters'!$J$82:$AI$82</definedName>
    <definedName name="UNIFORMANCES1R82C8" hidden="1">[5]Report!$H$82:$EV$82</definedName>
    <definedName name="UNIFORMANCES1R83C10" hidden="1">'[6]CDU parameters'!$J$83:$AI$83</definedName>
    <definedName name="UNIFORMANCES1R83C8" hidden="1">[5]Report!$H$83:$EV$83</definedName>
    <definedName name="UNIFORMANCES1R84C10" hidden="1">'[6]CDU parameters'!$J$84:$AI$84</definedName>
    <definedName name="UNIFORMANCES1R84C8" hidden="1">[5]Report!$H$84:$EV$84</definedName>
    <definedName name="UNIFORMANCES1R85C10" hidden="1">'[6]CDU parameters'!$J$85:$AI$85</definedName>
    <definedName name="UNIFORMANCES1R85C8" hidden="1">[5]Report!$H$85:$EV$85</definedName>
    <definedName name="UNIFORMANCES1R86C10" hidden="1">'[6]CDU parameters'!$J$86:$AI$86</definedName>
    <definedName name="UNIFORMANCES1R87C10" hidden="1">'[6]CDU parameters'!$J$87:$AI$87</definedName>
    <definedName name="UNIFORMANCES1R87C8" hidden="1">[5]Report!$H$87:$EV$87</definedName>
    <definedName name="UNIFORMANCES1R88C10" hidden="1">'[6]CDU parameters'!$J$88:$AI$88</definedName>
    <definedName name="UNIFORMANCES1R88C8" hidden="1">[5]Report!$H$88:$EV$88</definedName>
    <definedName name="UNIFORMANCES1R89C10" hidden="1">'[6]CDU parameters'!$J$89:$AI$89</definedName>
    <definedName name="UNIFORMANCES1R89C8" hidden="1">[5]Report!$H$89:$EV$89</definedName>
    <definedName name="UNIFORMANCES1R8C10" hidden="1">'[6]CDU parameters'!$J$8:$AI$8</definedName>
    <definedName name="UNIFORMANCES1R8C8" hidden="1">[5]Report!$H$8:$EV$8</definedName>
    <definedName name="UNIFORMANCES1R90C10" hidden="1">'[6]CDU parameters'!$J$90:$AI$90</definedName>
    <definedName name="UNIFORMANCES1R90C8" hidden="1">[5]Report!$H$90:$EV$90</definedName>
    <definedName name="UNIFORMANCES1R91C10" hidden="1">'[6]CDU parameters'!$J$91:$AI$91</definedName>
    <definedName name="UNIFORMANCES1R92C10" hidden="1">'[6]CDU parameters'!$J$92:$AI$92</definedName>
    <definedName name="UNIFORMANCES1R92C8" hidden="1">[5]Report!$H$92:$EV$92</definedName>
    <definedName name="UNIFORMANCES1R93C10" hidden="1">'[6]CDU parameters'!$J$93:$AI$93</definedName>
    <definedName name="UNIFORMANCES1R93C8" hidden="1">[5]Report!$H$93:$EV$93</definedName>
    <definedName name="UNIFORMANCES1R94C10" hidden="1">'[6]CDU parameters'!$J$94:$AI$94</definedName>
    <definedName name="UNIFORMANCES1R94C8" hidden="1">[5]Report!$H$94:$EV$94</definedName>
    <definedName name="UNIFORMANCES1R95C8" hidden="1">[5]Report!$H$95:$EV$95</definedName>
    <definedName name="UNIFORMANCES1R96C10" hidden="1">'[6]CDU parameters'!$J$96:$AI$96</definedName>
    <definedName name="UNIFORMANCES1R97C10" hidden="1">'[6]CDU parameters'!$J$97:$AI$97</definedName>
    <definedName name="UNIFORMANCES1R97C8" hidden="1">[5]Report!$H$97:$EV$97</definedName>
    <definedName name="UNIFORMANCES1R98C10" hidden="1">'[6]CDU parameters'!$J$98:$AI$98</definedName>
    <definedName name="UNIFORMANCES1R98C8" hidden="1">[5]Report!$H$98:$EV$98</definedName>
    <definedName name="UNIFORMANCES1R99C10" hidden="1">'[6]CDU parameters'!$J$99:$AI$99</definedName>
    <definedName name="UNIFORMANCES1R99C8" hidden="1">[5]Report!$H$99:$EV$99</definedName>
    <definedName name="UNIFORMANCES1R9C10" hidden="1">'[6]CDU parameters'!$J$9:$AI$9</definedName>
    <definedName name="UNIFORMANCES1R9C8" hidden="1">[5]Report!$H$9:$EV$9</definedName>
    <definedName name="UNIFORMANCES20R10C5" hidden="1">'[5]508PV3601A'!$E$10:$AC$10</definedName>
    <definedName name="UNIFORMANCES20R5C5" hidden="1">'[5]508PV3601A'!$E$5:$AC$5</definedName>
    <definedName name="UNIFORMANCES20R6C5" hidden="1">'[5]508PV3601A'!$E$6:$AC$6</definedName>
    <definedName name="UNIFORMANCES20R9C5" hidden="1">'[5]508PV3601A'!$E$9:$AC$9</definedName>
    <definedName name="UNIFORMANCES21R5C5" hidden="1">'[5]508FV3602'!$E$5:$AC$5</definedName>
    <definedName name="UNIFORMANCES22R5C5" hidden="1">'[5]508FV3601'!$E$5:$AC$5</definedName>
    <definedName name="UNIFORMANCES23R5C5" hidden="1">'[5]508FV3403'!$E$5:$AC$5</definedName>
    <definedName name="UNIFORMANCES24R5C5" hidden="1">'[5]508FV3404'!$E$5:$AC$5</definedName>
    <definedName name="UNIFORMANCES25R5C5" hidden="1">'[5]508LV5201'!$E$5:$AC$5</definedName>
    <definedName name="UNIFORMANCES26R5C5" hidden="1">'[5]508LV3601'!$E$5:$AC$5</definedName>
    <definedName name="UNIFORMANCES27R4C2" hidden="1">[5]CBD!$B$4:$B$1444</definedName>
    <definedName name="UNIFORMANCES27R4C7" hidden="1">[5]CBD!$G$4:$G$1444</definedName>
    <definedName name="UNIFORMANCES27R4C8" hidden="1">[5]CBD!$H$4:$H$1444</definedName>
    <definedName name="UNIFORMANCES28R3C2" hidden="1">[5]Sheet1!$B$3:$B$11</definedName>
    <definedName name="UNIFORMANCES28R3C3" hidden="1">[5]Sheet1!$C$3:$C$11</definedName>
    <definedName name="UNIFORMANCES28R3C4" hidden="1">[5]Sheet1!$D$3:$D$11</definedName>
    <definedName name="UNIFORMANCES2R10C5" hidden="1">'[5]Material Balance'!$E$10</definedName>
    <definedName name="UNIFORMANCES2R10C7" hidden="1">'[5]Material Balance'!$G$10</definedName>
    <definedName name="UNIFORMANCES2R11C5" hidden="1">'[5]Material Balance'!$E$11</definedName>
    <definedName name="UNIFORMANCES2R12C5" hidden="1">'[5]Material Balance'!$E$12</definedName>
    <definedName name="UNIFORMANCES2R13C5" hidden="1">'[5]Material Balance'!$E$13</definedName>
    <definedName name="UNIFORMANCES2R18C5" hidden="1">'[5]Material Balance'!$E$18</definedName>
    <definedName name="UNIFORMANCES2R19C5" hidden="1">'[5]Material Balance'!$E$19</definedName>
    <definedName name="UNIFORMANCES2R20C5" hidden="1">'[5]Material Balance'!$E$20</definedName>
    <definedName name="UNIFORMANCES2R20C7" hidden="1">'[5]Material Balance'!$G$20</definedName>
    <definedName name="UNIFORMANCES2R22C11" hidden="1">'[5]Material Balance'!$K$22</definedName>
    <definedName name="UNIFORMANCES2R22C5" hidden="1">'[5]Material Balance'!$E$22</definedName>
    <definedName name="UNIFORMANCES2R22C7" hidden="1">'[5]Material Balance'!$G$22</definedName>
    <definedName name="UNIFORMANCES2R23C5" hidden="1">'[5]Material Balance'!$E$23</definedName>
    <definedName name="UNIFORMANCES2R24C5" hidden="1">'[5]Material Balance'!$E$24</definedName>
    <definedName name="UNIFORMANCES2R24C7" hidden="1">'[5]Material Balance'!$G$24</definedName>
    <definedName name="UNIFORMANCES2R25C5" hidden="1">'[5]Material Balance'!$E$25</definedName>
    <definedName name="UNIFORMANCES2R25C7" hidden="1">'[5]Material Balance'!$G$25</definedName>
    <definedName name="UNIFORMANCES2R26C5" hidden="1">'[5]Material Balance'!$E$26</definedName>
    <definedName name="UNIFORMANCES2R26C7" hidden="1">'[5]Material Balance'!$G$26</definedName>
    <definedName name="UNIFORMANCES2R27C5" hidden="1">'[5]Material Balance'!$E$27</definedName>
    <definedName name="UNIFORMANCES2R28C5" hidden="1">'[5]Material Balance'!$E$28</definedName>
    <definedName name="UNIFORMANCES2R28C7" hidden="1">'[5]Material Balance'!$G$28</definedName>
    <definedName name="UNIFORMANCES2R29C5" hidden="1">'[5]Material Balance'!$E$29</definedName>
    <definedName name="UNIFORMANCES2R29C7" hidden="1">'[5]Material Balance'!$G$29</definedName>
    <definedName name="UNIFORMANCES2R30C5" hidden="1">'[5]Material Balance'!$E$30</definedName>
    <definedName name="UNIFORMANCES2R30C7" hidden="1">'[5]Material Balance'!$G$30</definedName>
    <definedName name="UNIFORMANCES2R36C5" hidden="1">'[5]Material Balance'!$E$36</definedName>
    <definedName name="UNIFORMANCES2R36C7" hidden="1">'[5]Material Balance'!$G$36</definedName>
    <definedName name="UNIFORMANCES2R37C5" hidden="1">'[5]Material Balance'!$E$37</definedName>
    <definedName name="UNIFORMANCES2R37C7" hidden="1">'[5]Material Balance'!$G$37</definedName>
    <definedName name="UNIFORMANCES2R38C5" hidden="1">'[5]Material Balance'!$E$38</definedName>
    <definedName name="UNIFORMANCES2R38C7" hidden="1">'[5]Material Balance'!$G$38</definedName>
    <definedName name="UNIFORMANCES2R39C5" hidden="1">'[5]Material Balance'!$E$39</definedName>
    <definedName name="UNIFORMANCES2R39C7" hidden="1">'[5]Material Balance'!$G$39</definedName>
    <definedName name="UNIFORMANCES2R40C5" hidden="1">'[5]Material Balance'!$E$40</definedName>
    <definedName name="UNIFORMANCES2R40C7" hidden="1">'[5]Material Balance'!$G$40</definedName>
    <definedName name="UNIFORMANCES2R41C5" hidden="1">'[5]Material Balance'!$E$41</definedName>
    <definedName name="UNIFORMANCES2R41C7" hidden="1">'[5]Material Balance'!$G$41</definedName>
    <definedName name="UNIFORMANCES2R42C5" hidden="1">'[5]Material Balance'!$E$42</definedName>
    <definedName name="UNIFORMANCES2R42C7" hidden="1">'[5]Material Balance'!$G$42</definedName>
    <definedName name="UNIFORMANCES2R43C5" hidden="1">'[5]Material Balance'!$E$43</definedName>
    <definedName name="UNIFORMANCES2R43C7" hidden="1">'[5]Material Balance'!$G$43</definedName>
    <definedName name="UNIFORMANCES2R46C10" hidden="1">'[5]Material Balance'!$J$46</definedName>
    <definedName name="UNIFORMANCES2R46C5" hidden="1">'[5]Material Balance'!$E$46</definedName>
    <definedName name="UNIFORMANCES2R46C7" hidden="1">'[5]Material Balance'!$G$46</definedName>
    <definedName name="UNIFORMANCES2R47C10" hidden="1">'[5]Material Balance'!$J$47</definedName>
    <definedName name="UNIFORMANCES2R47C5" hidden="1">'[5]Material Balance'!$E$47</definedName>
    <definedName name="UNIFORMANCES2R47C7" hidden="1">'[5]Material Balance'!$G$47</definedName>
    <definedName name="UNIFORMANCES2R48C10" hidden="1">'[5]Material Balance'!$J$48</definedName>
    <definedName name="UNIFORMANCES2R48C5" hidden="1">'[5]Material Balance'!$E$48</definedName>
    <definedName name="UNIFORMANCES2R48C7" hidden="1">'[5]Material Balance'!$G$48</definedName>
    <definedName name="UNIFORMANCES2R49C5" hidden="1">'[5]Material Balance'!$E$49</definedName>
    <definedName name="UNIFORMANCES2R49C7" hidden="1">'[5]Material Balance'!$G$49</definedName>
    <definedName name="UNIFORMANCES2R4C5" hidden="1">[7]Sheet1!$E$4:$BN$26</definedName>
    <definedName name="UNIFORMANCES2R50C10" hidden="1">'[5]Material Balance'!$J$50</definedName>
    <definedName name="UNIFORMANCES2R50C5" hidden="1">'[5]Material Balance'!$E$50</definedName>
    <definedName name="UNIFORMANCES2R50C7" hidden="1">'[5]Material Balance'!$G$50</definedName>
    <definedName name="UNIFORMANCES2R51C5" hidden="1">'[5]Material Balance'!$E$51</definedName>
    <definedName name="UNIFORMANCES2R52C5" hidden="1">'[5]Material Balance'!$E$52</definedName>
    <definedName name="UNIFORMANCES2R53C5" hidden="1">'[5]Material Balance'!$E$53</definedName>
    <definedName name="UNIFORMANCES2R54C5" hidden="1">'[5]Material Balance'!$E$54</definedName>
    <definedName name="UNIFORMANCES2R55C5" hidden="1">'[5]Material Balance'!$E$55</definedName>
    <definedName name="UNIFORMANCES2R57C5" hidden="1">'[5]Material Balance'!$E$57</definedName>
    <definedName name="UNIFORMANCES2R5C2" hidden="1">[8]Sheet2!$B$5:$C$1445</definedName>
    <definedName name="UNIFORMANCES2R5C4" hidden="1">[8]Sheet2!$D$5:$D$1445</definedName>
    <definedName name="UNIFORMANCES2R5C6" hidden="1">[8]Sheet2!$F$5:$F$1445</definedName>
    <definedName name="UNIFORMANCES2R5C7" hidden="1">[8]Sheet2!$G$5:$G$1445</definedName>
    <definedName name="UNIFORMANCES2R5C8" hidden="1">[8]Sheet2!$H$5:$H$1445</definedName>
    <definedName name="UNIFORMANCES2R7C5" hidden="1">'[5]Material Balance'!$E$7</definedName>
    <definedName name="UNIFORMANCES2R7C7" hidden="1">'[5]Material Balance'!$G$7</definedName>
    <definedName name="UNIFORMANCES2R8C5" hidden="1">'[5]Material Balance'!$E$8</definedName>
    <definedName name="UNIFORMANCES2R8C7" hidden="1">'[5]Material Balance'!$G$8</definedName>
    <definedName name="UNIFORMANCES2R9C5" hidden="1">'[5]Material Balance'!$E$9</definedName>
    <definedName name="UNIFORMANCES3R101C4" hidden="1">'[6]Main APC'!$D$101:$CW$101</definedName>
    <definedName name="UNIFORMANCES3R102C4" hidden="1">'[6]Main APC'!$D$102:$CW$102</definedName>
    <definedName name="UNIFORMANCES3R103C4" hidden="1">'[6]Main APC'!$D$103:$CW$103</definedName>
    <definedName name="UNIFORMANCES3R104C4" hidden="1">'[6]Main APC'!$D$104:$CW$104</definedName>
    <definedName name="UNIFORMANCES3R106C4" hidden="1">'[6]Main APC'!$D$106:$CW$106</definedName>
    <definedName name="UNIFORMANCES3R107C4" hidden="1">'[6]Main APC'!$D$107:$CW$107</definedName>
    <definedName name="UNIFORMANCES3R108C4" hidden="1">'[6]Main APC'!$D$108:$CW$108</definedName>
    <definedName name="UNIFORMANCES3R109C4" hidden="1">'[6]Main APC'!$D$109:$CW$109</definedName>
    <definedName name="UNIFORMANCES3R10C3" hidden="1">'[5]Daily Skin TIs - F001A'!$C$10:$EQ$10</definedName>
    <definedName name="UNIFORMANCES3R10C4" hidden="1">'[6]Main APC'!$D$10:$CW$10</definedName>
    <definedName name="UNIFORMANCES3R111C4" hidden="1">'[6]Main APC'!$D$111:$CW$111</definedName>
    <definedName name="UNIFORMANCES3R112C4" hidden="1">'[6]Main APC'!$D$112:$CW$112</definedName>
    <definedName name="UNIFORMANCES3R113C4" hidden="1">'[6]Main APC'!$D$113:$CW$113</definedName>
    <definedName name="UNIFORMANCES3R114C4" hidden="1">'[6]Main APC'!$D$114:$CW$114</definedName>
    <definedName name="UNIFORMANCES3R116C4" hidden="1">'[6]Main APC'!$D$116:$CW$116</definedName>
    <definedName name="UNIFORMANCES3R117C4" hidden="1">'[6]Main APC'!$D$117:$CW$117</definedName>
    <definedName name="UNIFORMANCES3R118C4" hidden="1">'[6]Main APC'!$D$118:$CW$118</definedName>
    <definedName name="UNIFORMANCES3R119C4" hidden="1">'[6]Main APC'!$D$119:$CW$119</definedName>
    <definedName name="UNIFORMANCES3R11C3" hidden="1">'[5]Daily Skin TIs - F001A'!$C$11:$EQ$11</definedName>
    <definedName name="UNIFORMANCES3R11C4" hidden="1">'[6]Main APC'!$D$11:$CW$11</definedName>
    <definedName name="UNIFORMANCES3R121C4" hidden="1">'[6]Main APC'!$D$121:$CW$121</definedName>
    <definedName name="UNIFORMANCES3R122C4" hidden="1">'[6]Main APC'!$D$122:$CW$122</definedName>
    <definedName name="UNIFORMANCES3R123C4" hidden="1">'[6]Main APC'!$D$123:$CW$123</definedName>
    <definedName name="UNIFORMANCES3R124C4" hidden="1">'[6]Main APC'!$D$124:$CW$124</definedName>
    <definedName name="UNIFORMANCES3R126C4" hidden="1">'[6]Main APC'!$D$126:$CW$126</definedName>
    <definedName name="UNIFORMANCES3R127C4" hidden="1">'[6]Main APC'!$D$127:$CW$127</definedName>
    <definedName name="UNIFORMANCES3R128C4" hidden="1">'[6]Main APC'!$D$128:$CW$128</definedName>
    <definedName name="UNIFORMANCES3R129C4" hidden="1">'[6]Main APC'!$D$129:$CW$129</definedName>
    <definedName name="UNIFORMANCES3R12C3" hidden="1">'[5]Daily Skin TIs - F001A'!$C$12:$EQ$12</definedName>
    <definedName name="UNIFORMANCES3R12C4" hidden="1">'[6]Main APC'!$D$12:$CW$12</definedName>
    <definedName name="UNIFORMANCES3R131C4" hidden="1">'[6]Main APC'!$D$131:$CW$131</definedName>
    <definedName name="UNIFORMANCES3R132C4" hidden="1">'[6]Main APC'!$D$132:$CW$132</definedName>
    <definedName name="UNIFORMANCES3R133C4" hidden="1">'[6]Main APC'!$D$133:$CW$133</definedName>
    <definedName name="UNIFORMANCES3R134C4" hidden="1">'[6]Main APC'!$D$134:$CW$134</definedName>
    <definedName name="UNIFORMANCES3R136C4" hidden="1">'[6]Main APC'!$D$136:$CW$136</definedName>
    <definedName name="UNIFORMANCES3R137C4" hidden="1">'[6]Main APC'!$D$137:$CW$137</definedName>
    <definedName name="UNIFORMANCES3R138C4" hidden="1">'[6]Main APC'!$D$138:$CW$138</definedName>
    <definedName name="UNIFORMANCES3R139C4" hidden="1">'[6]Main APC'!$D$139:$CW$139</definedName>
    <definedName name="UNIFORMANCES3R13C3" hidden="1">'[5]Daily Skin TIs - F001A'!$C$13:$EQ$13</definedName>
    <definedName name="UNIFORMANCES3R141C4" hidden="1">'[6]Main APC'!$D$141:$CW$141</definedName>
    <definedName name="UNIFORMANCES3R142C4" hidden="1">'[6]Main APC'!$D$142:$CW$142</definedName>
    <definedName name="UNIFORMANCES3R143C4" hidden="1">'[6]Main APC'!$D$143:$CW$143</definedName>
    <definedName name="UNIFORMANCES3R144C4" hidden="1">'[6]Main APC'!$D$144:$CW$144</definedName>
    <definedName name="UNIFORMANCES3R146C4" hidden="1">'[6]Main APC'!$D$146:$CW$146</definedName>
    <definedName name="UNIFORMANCES3R147C4" hidden="1">'[6]Main APC'!$D$147:$CW$147</definedName>
    <definedName name="UNIFORMANCES3R148C4" hidden="1">'[6]Main APC'!$D$148:$CW$148</definedName>
    <definedName name="UNIFORMANCES3R149C4" hidden="1">'[6]Main APC'!$D$149:$CW$149</definedName>
    <definedName name="UNIFORMANCES3R14C3" hidden="1">'[5]Daily Skin TIs - F001A'!$C$14:$EQ$14</definedName>
    <definedName name="UNIFORMANCES3R14C4" hidden="1">'[6]Main APC'!$D$14:$CW$14</definedName>
    <definedName name="UNIFORMANCES3R151C4" hidden="1">'[6]Main APC'!$D$151:$CW$151</definedName>
    <definedName name="UNIFORMANCES3R152C4" hidden="1">'[6]Main APC'!$D$152:$CW$152</definedName>
    <definedName name="UNIFORMANCES3R153C4" hidden="1">'[6]Main APC'!$D$153:$CW$153</definedName>
    <definedName name="UNIFORMANCES3R154C4" hidden="1">'[6]Main APC'!$D$154:$CW$154</definedName>
    <definedName name="UNIFORMANCES3R156C4" hidden="1">'[6]Main APC'!$D$156:$CW$156</definedName>
    <definedName name="UNIFORMANCES3R157C4" hidden="1">'[6]Main APC'!$D$157:$CW$157</definedName>
    <definedName name="UNIFORMANCES3R158C4" hidden="1">'[6]Main APC'!$D$158:$CW$158</definedName>
    <definedName name="UNIFORMANCES3R159C4" hidden="1">'[6]Main APC'!$D$159:$CW$159</definedName>
    <definedName name="UNIFORMANCES3R15C3" hidden="1">'[5]Daily Skin TIs - F001A'!$C$15:$EQ$15</definedName>
    <definedName name="UNIFORMANCES3R15C4" hidden="1">'[6]Main APC'!$D$15:$CW$15</definedName>
    <definedName name="UNIFORMANCES3R162C4" hidden="1">'[6]Main APC'!$D$162:$CW$162</definedName>
    <definedName name="UNIFORMANCES3R163C4" hidden="1">'[6]Main APC'!$D$163:$CW$163</definedName>
    <definedName name="UNIFORMANCES3R164C4" hidden="1">'[6]Main APC'!$D$164:$CW$164</definedName>
    <definedName name="UNIFORMANCES3R166C4" hidden="1">'[6]Main APC'!$D$166:$CW$166</definedName>
    <definedName name="UNIFORMANCES3R168C4" hidden="1">'[6]Main APC'!$D$168:$CW$168</definedName>
    <definedName name="UNIFORMANCES3R16C3" hidden="1">'[5]Daily Skin TIs - F001A'!$C$16:$EQ$16</definedName>
    <definedName name="UNIFORMANCES3R16C4" hidden="1">'[6]Main APC'!$D$16:$CW$16</definedName>
    <definedName name="UNIFORMANCES3R170C4" hidden="1">'[6]Main APC'!$D$170:$CW$170</definedName>
    <definedName name="UNIFORMANCES3R171C4" hidden="1">'[6]Main APC'!$D$171:$CW$171</definedName>
    <definedName name="UNIFORMANCES3R172C4" hidden="1">'[6]Main APC'!$D$172:$CW$172</definedName>
    <definedName name="UNIFORMANCES3R174C4" hidden="1">'[6]Main APC'!$D$174:$CW$174</definedName>
    <definedName name="UNIFORMANCES3R175C4" hidden="1">'[6]Main APC'!$D$175:$CW$175</definedName>
    <definedName name="UNIFORMANCES3R178C4" hidden="1">'[6]Main APC'!$D$178:$CW$178</definedName>
    <definedName name="UNIFORMANCES3R179C4" hidden="1">'[6]Main APC'!$D$179:$CW$179</definedName>
    <definedName name="UNIFORMANCES3R17C3" hidden="1">'[5]Daily Skin TIs - F001A'!$C$17:$EQ$17</definedName>
    <definedName name="UNIFORMANCES3R17C4" hidden="1">'[6]Main APC'!$D$17:$CW$17</definedName>
    <definedName name="UNIFORMANCES3R182C4" hidden="1">'[6]Main APC'!$D$182:$CW$182</definedName>
    <definedName name="UNIFORMANCES3R183C4" hidden="1">'[6]Main APC'!$D$183:$CW$183</definedName>
    <definedName name="UNIFORMANCES3R186C4" hidden="1">'[6]Main APC'!$D$186:$CW$186</definedName>
    <definedName name="UNIFORMANCES3R189C4" hidden="1">'[6]Main APC'!$D$189:$CW$189</definedName>
    <definedName name="UNIFORMANCES3R190C4" hidden="1">'[6]Main APC'!$D$190:$CW$190</definedName>
    <definedName name="UNIFORMANCES3R192C4" hidden="1">'[6]Main APC'!$D$192:$CW$192</definedName>
    <definedName name="UNIFORMANCES3R193C4" hidden="1">'[6]Main APC'!$D$193:$CW$193</definedName>
    <definedName name="UNIFORMANCES3R195C4" hidden="1">'[6]Main APC'!$D$195:$CW$195</definedName>
    <definedName name="UNIFORMANCES3R196C4" hidden="1">'[6]Main APC'!$D$196:$CW$196</definedName>
    <definedName name="UNIFORMANCES3R197C4" hidden="1">'[6]Main APC'!$D$197:$CW$197</definedName>
    <definedName name="UNIFORMANCES3R199C4" hidden="1">'[6]Main APC'!$D$199:$CW$199</definedName>
    <definedName name="UNIFORMANCES3R19C4" hidden="1">'[6]Main APC'!$D$19:$CW$19</definedName>
    <definedName name="UNIFORMANCES3R200C4" hidden="1">'[6]Main APC'!$D$200:$CW$200</definedName>
    <definedName name="UNIFORMANCES3R202C4" hidden="1">'[6]Main APC'!$D$202:$CW$202</definedName>
    <definedName name="UNIFORMANCES3R203C4" hidden="1">'[6]Main APC'!$D$203:$CW$203</definedName>
    <definedName name="UNIFORMANCES3R208C4" hidden="1">'[6]Main APC'!$D$208:$CW$208</definedName>
    <definedName name="UNIFORMANCES3R209C4" hidden="1">'[6]Main APC'!$D$209:$CW$209</definedName>
    <definedName name="UNIFORMANCES3R20C3" hidden="1">'[5]Daily Skin TIs - F001A'!$C$20:$EQ$21</definedName>
    <definedName name="UNIFORMANCES3R20C4" hidden="1">'[6]Main APC'!$D$20:$CW$20</definedName>
    <definedName name="UNIFORMANCES3R211C4" hidden="1">'[6]Main APC'!$D$211:$CW$211</definedName>
    <definedName name="UNIFORMANCES3R212C4" hidden="1">'[6]Main APC'!$D$212:$CW$212</definedName>
    <definedName name="UNIFORMANCES3R215C4" hidden="1">'[6]Main APC'!$D$215:$CW$215</definedName>
    <definedName name="UNIFORMANCES3R216C4" hidden="1">'[6]Main APC'!$D$216:$CW$216</definedName>
    <definedName name="UNIFORMANCES3R218C4" hidden="1">'[6]Main APC'!$D$218:$CW$218</definedName>
    <definedName name="UNIFORMANCES3R219C4" hidden="1">'[6]Main APC'!$D$219:$CW$219</definedName>
    <definedName name="UNIFORMANCES3R21C4" hidden="1">'[6]Main APC'!$D$21:$CW$21</definedName>
    <definedName name="UNIFORMANCES3R220C4" hidden="1">'[6]Main APC'!$D$220:$CW$220</definedName>
    <definedName name="UNIFORMANCES3R222C4" hidden="1">'[6]Main APC'!$D$222:$CW$222</definedName>
    <definedName name="UNIFORMANCES3R225C4" hidden="1">'[6]Main APC'!$D$225:$CW$225</definedName>
    <definedName name="UNIFORMANCES3R228C4" hidden="1">'[6]Main APC'!$D$228:$CW$228</definedName>
    <definedName name="UNIFORMANCES3R22C3" hidden="1">'[5]Daily Skin TIs - F001A'!$C$22:$EQ$22</definedName>
    <definedName name="UNIFORMANCES3R22C4" hidden="1">'[6]Main APC'!$D$22:$CW$22</definedName>
    <definedName name="UNIFORMANCES3R231C4" hidden="1">'[6]Main APC'!$D$231:$CW$231</definedName>
    <definedName name="UNIFORMANCES3R234C4" hidden="1">'[6]Main APC'!$D$234:$CW$234</definedName>
    <definedName name="UNIFORMANCES3R237C4" hidden="1">'[6]Main APC'!$D$237:$CW$237</definedName>
    <definedName name="UNIFORMANCES3R238C4" hidden="1">'[6]Main APC'!$D$238:$CW$238</definedName>
    <definedName name="UNIFORMANCES3R239C4" hidden="1">'[6]Main APC'!$D$239:$CW$239</definedName>
    <definedName name="UNIFORMANCES3R23C3" hidden="1">'[5]Daily Skin TIs - F001A'!$C$23:$EQ$23</definedName>
    <definedName name="UNIFORMANCES3R241C4" hidden="1">'[6]Main APC'!$D$241:$CW$241</definedName>
    <definedName name="UNIFORMANCES3R242C4" hidden="1">'[6]Main APC'!$D$242:$CW$242</definedName>
    <definedName name="UNIFORMANCES3R243C4" hidden="1">'[6]Main APC'!$D$243:$CW$243</definedName>
    <definedName name="UNIFORMANCES3R245C4" hidden="1">'[6]Main APC'!$D$245:$CW$245</definedName>
    <definedName name="UNIFORMANCES3R247C4" hidden="1">'[6]Main APC'!$D$247:$CW$247</definedName>
    <definedName name="UNIFORMANCES3R248C4" hidden="1">'[6]Main APC'!$D$248:$CW$248</definedName>
    <definedName name="UNIFORMANCES3R249C4" hidden="1">'[6]Main APC'!$D$249:$CW$249</definedName>
    <definedName name="UNIFORMANCES3R24C3" hidden="1">'[5]Daily Skin TIs - F001A'!$C$24:$EQ$24</definedName>
    <definedName name="UNIFORMANCES3R24C4" hidden="1">'[6]Main APC'!$D$24:$CW$24</definedName>
    <definedName name="UNIFORMANCES3R251C4" hidden="1">'[6]Main APC'!$D$251:$CW$251</definedName>
    <definedName name="UNIFORMANCES3R252C4" hidden="1">'[6]Main APC'!$D$252:$CW$252</definedName>
    <definedName name="UNIFORMANCES3R253C4" hidden="1">'[6]Main APC'!$D$253:$CW$253</definedName>
    <definedName name="UNIFORMANCES3R255C4" hidden="1">'[6]Main APC'!$D$255:$CW$255</definedName>
    <definedName name="UNIFORMANCES3R256C4" hidden="1">'[6]Main APC'!$D$256:$CW$256</definedName>
    <definedName name="UNIFORMANCES3R257C4" hidden="1">'[6]Main APC'!$D$257:$CW$257</definedName>
    <definedName name="UNIFORMANCES3R259C4" hidden="1">'[6]Main APC'!$D$259:$CW$259</definedName>
    <definedName name="UNIFORMANCES3R25C3" hidden="1">'[5]Daily Skin TIs - F001A'!$C$25:$EQ$25</definedName>
    <definedName name="UNIFORMANCES3R25C4" hidden="1">'[6]Main APC'!$D$25:$CW$25</definedName>
    <definedName name="UNIFORMANCES3R260C4" hidden="1">'[6]Main APC'!$D$260:$CW$260</definedName>
    <definedName name="UNIFORMANCES3R261C4" hidden="1">'[6]Main APC'!$D$261:$CW$261</definedName>
    <definedName name="UNIFORMANCES3R265C4" hidden="1">'[6]Main APC'!$D$265:$CW$265</definedName>
    <definedName name="UNIFORMANCES3R266C4" hidden="1">'[6]Main APC'!$D$266:$CW$266</definedName>
    <definedName name="UNIFORMANCES3R267C4" hidden="1">'[6]Main APC'!$D$267:$CW$267</definedName>
    <definedName name="UNIFORMANCES3R269C4" hidden="1">'[6]Main APC'!$D$269:$CW$269</definedName>
    <definedName name="UNIFORMANCES3R26C3" hidden="1">'[5]Daily Skin TIs - F001A'!$C$26:$EQ$26</definedName>
    <definedName name="UNIFORMANCES3R26C4" hidden="1">'[6]Main APC'!$D$26:$CW$26</definedName>
    <definedName name="UNIFORMANCES3R27C3" hidden="1">'[5]Daily Skin TIs - F001A'!$C$27:$EQ$27</definedName>
    <definedName name="UNIFORMANCES3R27C4" hidden="1">'[6]Main APC'!$D$27:$CW$27</definedName>
    <definedName name="UNIFORMANCES3R28C3" hidden="1">'[5]Daily Skin TIs - F001A'!$C$28:$EQ$28</definedName>
    <definedName name="UNIFORMANCES3R29C3" hidden="1">'[5]Daily Skin TIs - F001A'!$C$29:$EQ$29</definedName>
    <definedName name="UNIFORMANCES3R29C4" hidden="1">'[6]Main APC'!$D$29:$CW$29</definedName>
    <definedName name="UNIFORMANCES3R30C3" hidden="1">'[5]Daily Skin TIs - F001A'!$C$30:$EQ$30</definedName>
    <definedName name="UNIFORMANCES3R30C4" hidden="1">'[6]Main APC'!$D$30:$CW$30</definedName>
    <definedName name="UNIFORMANCES3R31C3" hidden="1">'[5]Daily Skin TIs - F001A'!$C$31:$EQ$31</definedName>
    <definedName name="UNIFORMANCES3R31C4" hidden="1">'[6]Main APC'!$D$31:$CW$31</definedName>
    <definedName name="UNIFORMANCES3R32C3" hidden="1">'[5]Daily Skin TIs - F001A'!$C$32:$EQ$32</definedName>
    <definedName name="UNIFORMANCES3R33C3" hidden="1">'[5]Daily Skin TIs - F001A'!$C$33:$EQ$33</definedName>
    <definedName name="UNIFORMANCES3R33C4" hidden="1">'[6]Main APC'!$D$33:$CW$33</definedName>
    <definedName name="UNIFORMANCES3R34C3" hidden="1">'[5]Daily Skin TIs - F001A'!$C$34:$EQ$34</definedName>
    <definedName name="UNIFORMANCES3R34C4" hidden="1">'[6]Main APC'!$D$34:$CW$34</definedName>
    <definedName name="UNIFORMANCES3R35C4" hidden="1">'[6]Main APC'!$D$35:$CW$35</definedName>
    <definedName name="UNIFORMANCES3R37C3" hidden="1">'[5]Daily Skin TIs - F001A'!$C$37:$EQ$38</definedName>
    <definedName name="UNIFORMANCES3R37C4" hidden="1">'[6]Main APC'!$D$37:$CW$37</definedName>
    <definedName name="UNIFORMANCES3R38C4" hidden="1">'[6]Main APC'!$D$38:$CW$38</definedName>
    <definedName name="UNIFORMANCES3R39C3" hidden="1">'[5]Daily Skin TIs - F001A'!$C$39:$EQ$39</definedName>
    <definedName name="UNIFORMANCES3R39C4" hidden="1">'[6]Main APC'!$D$39:$CW$39</definedName>
    <definedName name="UNIFORMANCES3R3C3" hidden="1">'[5]Daily Skin TIs - F001A'!$C$3:$EQ$4</definedName>
    <definedName name="UNIFORMANCES3R3C4" hidden="1">'[6]Main APC'!$D$3:$CW$4</definedName>
    <definedName name="UNIFORMANCES3R40C3" hidden="1">'[5]Daily Skin TIs - F001A'!$C$40:$EQ$40</definedName>
    <definedName name="UNIFORMANCES3R41C3" hidden="1">'[5]Daily Skin TIs - F001A'!$C$41:$EQ$41</definedName>
    <definedName name="UNIFORMANCES3R41C4" hidden="1">'[6]Main APC'!$D$41:$CW$41</definedName>
    <definedName name="UNIFORMANCES3R42C3" hidden="1">'[5]Daily Skin TIs - F001A'!$C$42:$EQ$42</definedName>
    <definedName name="UNIFORMANCES3R42C4" hidden="1">'[6]Main APC'!$D$42:$CW$42</definedName>
    <definedName name="UNIFORMANCES3R43C3" hidden="1">'[5]Daily Skin TIs - F001A'!$C$43:$EQ$43</definedName>
    <definedName name="UNIFORMANCES3R43C4" hidden="1">'[6]Main APC'!$D$43:$CW$43</definedName>
    <definedName name="UNIFORMANCES3R44C3" hidden="1">'[5]Daily Skin TIs - F001A'!$C$44:$EQ$44</definedName>
    <definedName name="UNIFORMANCES3R45C3" hidden="1">'[5]Daily Skin TIs - F001A'!$C$45:$EQ$45</definedName>
    <definedName name="UNIFORMANCES3R45C4" hidden="1">'[6]Main APC'!$D$45:$CW$45</definedName>
    <definedName name="UNIFORMANCES3R46C3" hidden="1">'[5]Daily Skin TIs - F001A'!$C$46:$EQ$46</definedName>
    <definedName name="UNIFORMANCES3R46C4" hidden="1">'[6]Main APC'!$D$46:$CW$46</definedName>
    <definedName name="UNIFORMANCES3R47C3" hidden="1">'[5]Daily Skin TIs - F001A'!$C$47:$EQ$47</definedName>
    <definedName name="UNIFORMANCES3R47C4" hidden="1">'[6]Main APC'!$D$47:$CW$47</definedName>
    <definedName name="UNIFORMANCES3R48C3" hidden="1">'[5]Daily Skin TIs - F001A'!$C$48:$EQ$48</definedName>
    <definedName name="UNIFORMANCES3R49C3" hidden="1">'[5]Daily Skin TIs - F001A'!$C$49:$EQ$49</definedName>
    <definedName name="UNIFORMANCES3R49C4" hidden="1">'[6]Main APC'!$D$49:$CW$49</definedName>
    <definedName name="UNIFORMANCES3R50C3" hidden="1">'[5]Daily Skin TIs - F001A'!$C$50:$EQ$50</definedName>
    <definedName name="UNIFORMANCES3R50C4" hidden="1">'[6]Main APC'!$D$50:$CW$50</definedName>
    <definedName name="UNIFORMANCES3R51C3" hidden="1">'[5]Daily Skin TIs - F001A'!$C$51:$EQ$51</definedName>
    <definedName name="UNIFORMANCES3R51C4" hidden="1">'[6]Main APC'!$D$51:$CW$51</definedName>
    <definedName name="UNIFORMANCES3R52C4" hidden="1">'[6]Main APC'!$D$52:$CW$52</definedName>
    <definedName name="UNIFORMANCES3R54C3" hidden="1">'[5]Daily Skin TIs - F001A'!$C$54:$EQ$55</definedName>
    <definedName name="UNIFORMANCES3R54C4" hidden="1">'[6]Main APC'!$D$54:$CW$54</definedName>
    <definedName name="UNIFORMANCES3R55C4" hidden="1">'[6]Main APC'!$D$55:$CW$55</definedName>
    <definedName name="UNIFORMANCES3R56C3" hidden="1">'[5]Daily Skin TIs - F001A'!$C$56:$EQ$56</definedName>
    <definedName name="UNIFORMANCES3R56C4" hidden="1">'[6]Main APC'!$D$56:$CW$56</definedName>
    <definedName name="UNIFORMANCES3R57C3" hidden="1">'[5]Daily Skin TIs - F001A'!$C$57:$EQ$57</definedName>
    <definedName name="UNIFORMANCES3R57C4" hidden="1">'[6]Main APC'!$D$57:$CW$57</definedName>
    <definedName name="UNIFORMANCES3R58C3" hidden="1">'[5]Daily Skin TIs - F001A'!$C$58:$EQ$58</definedName>
    <definedName name="UNIFORMANCES3R59C3" hidden="1">'[5]Daily Skin TIs - F001A'!$C$59:$EQ$59</definedName>
    <definedName name="UNIFORMANCES3R59C4" hidden="1">'[6]Main APC'!$D$59:$CW$59</definedName>
    <definedName name="UNIFORMANCES3R5C3" hidden="1">'[5]Daily Skin TIs - F001A'!$C$5:$EQ$5</definedName>
    <definedName name="UNIFORMANCES3R5C4" hidden="1">'[6]Main APC'!$D$5:$CW$5</definedName>
    <definedName name="UNIFORMANCES3R60C3" hidden="1">'[5]Daily Skin TIs - F001A'!$C$60:$EQ$60</definedName>
    <definedName name="UNIFORMANCES3R60C4" hidden="1">'[6]Main APC'!$D$60:$CW$60</definedName>
    <definedName name="UNIFORMANCES3R61C3" hidden="1">'[5]Daily Skin TIs - F001A'!$C$61:$EQ$61</definedName>
    <definedName name="UNIFORMANCES3R61C4" hidden="1">'[6]Main APC'!$D$61:$CW$61</definedName>
    <definedName name="UNIFORMANCES3R62C3" hidden="1">'[5]Daily Skin TIs - F001A'!$C$62:$EQ$62</definedName>
    <definedName name="UNIFORMANCES3R63C3" hidden="1">'[5]Daily Skin TIs - F001A'!$C$63:$EQ$63</definedName>
    <definedName name="UNIFORMANCES3R63C4" hidden="1">'[6]Main APC'!$D$63:$CW$63</definedName>
    <definedName name="UNIFORMANCES3R64C3" hidden="1">'[5]Daily Skin TIs - F001A'!$C$64:$EQ$64</definedName>
    <definedName name="UNIFORMANCES3R64C4" hidden="1">'[6]Main APC'!$D$64:$CW$64</definedName>
    <definedName name="UNIFORMANCES3R65C3" hidden="1">'[5]Daily Skin TIs - F001A'!$C$65:$EQ$65</definedName>
    <definedName name="UNIFORMANCES3R65C4" hidden="1">'[6]Main APC'!$D$65:$CW$65</definedName>
    <definedName name="UNIFORMANCES3R66C3" hidden="1">'[5]Daily Skin TIs - F001A'!$C$66:$EQ$66</definedName>
    <definedName name="UNIFORMANCES3R66C4" hidden="1">'[6]Main APC'!$D$66:$CW$66</definedName>
    <definedName name="UNIFORMANCES3R67C3" hidden="1">'[5]Daily Skin TIs - F001A'!$C$67:$EQ$67</definedName>
    <definedName name="UNIFORMANCES3R68C3" hidden="1">'[5]Daily Skin TIs - F001A'!$C$68:$EQ$68</definedName>
    <definedName name="UNIFORMANCES3R68C4" hidden="1">'[6]Main APC'!$D$68:$CW$68</definedName>
    <definedName name="UNIFORMANCES3R69C4" hidden="1">'[6]Main APC'!$D$69:$CW$69</definedName>
    <definedName name="UNIFORMANCES3R6C3" hidden="1">'[5]Daily Skin TIs - F001A'!$C$6:$EQ$6</definedName>
    <definedName name="UNIFORMANCES3R6C4" hidden="1">'[6]Main APC'!$D$6:$CW$6</definedName>
    <definedName name="UNIFORMANCES3R70C4" hidden="1">'[6]Main APC'!$D$70:$CW$70</definedName>
    <definedName name="UNIFORMANCES3R71C4" hidden="1">'[6]Main APC'!$D$71:$CW$71</definedName>
    <definedName name="UNIFORMANCES3R73C4" hidden="1">'[6]Main APC'!$D$73:$CW$73</definedName>
    <definedName name="UNIFORMANCES3R77C4" hidden="1">'[6]Main APC'!$D$77:$CW$77</definedName>
    <definedName name="UNIFORMANCES3R78C4" hidden="1">'[6]Main APC'!$D$78:$CW$78</definedName>
    <definedName name="UNIFORMANCES3R79C4" hidden="1">'[6]Main APC'!$D$79:$CW$79</definedName>
    <definedName name="UNIFORMANCES3R7C3" hidden="1">'[5]Daily Skin TIs - F001A'!$C$7:$EQ$7</definedName>
    <definedName name="UNIFORMANCES3R7C4" hidden="1">'[6]Main APC'!$D$7:$CW$7</definedName>
    <definedName name="UNIFORMANCES3R80C4" hidden="1">'[6]Main APC'!$D$80:$CW$80</definedName>
    <definedName name="UNIFORMANCES3R82C4" hidden="1">'[6]Main APC'!$D$82:$CW$82</definedName>
    <definedName name="UNIFORMANCES3R83C4" hidden="1">'[6]Main APC'!$D$83:$CW$83</definedName>
    <definedName name="UNIFORMANCES3R84C4" hidden="1">'[6]Main APC'!$D$84:$CW$84</definedName>
    <definedName name="UNIFORMANCES3R85C4" hidden="1">'[6]Main APC'!$D$85:$CW$85</definedName>
    <definedName name="UNIFORMANCES3R87C4" hidden="1">'[6]Main APC'!$D$87:$CW$87</definedName>
    <definedName name="UNIFORMANCES3R88C4" hidden="1">'[6]Main APC'!$D$88:$CW$88</definedName>
    <definedName name="UNIFORMANCES3R89C4" hidden="1">'[6]Main APC'!$D$89:$CW$89</definedName>
    <definedName name="UNIFORMANCES3R8C3" hidden="1">'[5]Daily Skin TIs - F001A'!$C$8:$EQ$8</definedName>
    <definedName name="UNIFORMANCES3R90C4" hidden="1">'[6]Main APC'!$D$90:$CW$90</definedName>
    <definedName name="UNIFORMANCES3R92C4" hidden="1">'[6]Main APC'!$D$92:$CW$92</definedName>
    <definedName name="UNIFORMANCES3R93C4" hidden="1">'[6]Main APC'!$D$93:$CW$93</definedName>
    <definedName name="UNIFORMANCES3R94C4" hidden="1">'[6]Main APC'!$D$94:$CW$94</definedName>
    <definedName name="UNIFORMANCES3R96C4" hidden="1">'[6]Main APC'!$D$96:$CW$96</definedName>
    <definedName name="UNIFORMANCES3R97C4" hidden="1">'[6]Main APC'!$D$97:$CW$97</definedName>
    <definedName name="UNIFORMANCES3R98C4" hidden="1">'[6]Main APC'!$D$98:$CW$98</definedName>
    <definedName name="UNIFORMANCES3R99C4" hidden="1">'[6]Main APC'!$D$99:$CW$99</definedName>
    <definedName name="UNIFORMANCES3R9C3" hidden="1">'[5]Daily Skin TIs - F001A'!$C$9:$EQ$9</definedName>
    <definedName name="UNIFORMANCES3R9C4" hidden="1">'[6]Main APC'!$D$9:$CW$9</definedName>
    <definedName name="UNIFORMANCES4R10C3" hidden="1">'[5]Daily Skin TIs - F001B'!$C$10:$EQ$10</definedName>
    <definedName name="UNIFORMANCES4R11C3" hidden="1">'[5]Daily Skin TIs - F001B'!$C$11:$EQ$11</definedName>
    <definedName name="UNIFORMANCES4R12C3" hidden="1">'[5]Daily Skin TIs - F001B'!$C$12:$EQ$12</definedName>
    <definedName name="UNIFORMANCES4R13C3" hidden="1">'[5]Daily Skin TIs - F001B'!$C$13:$EQ$13</definedName>
    <definedName name="UNIFORMANCES4R14C3" hidden="1">'[5]Daily Skin TIs - F001B'!$C$14:$EQ$14</definedName>
    <definedName name="UNIFORMANCES4R15C3" hidden="1">'[5]Daily Skin TIs - F001B'!$C$15:$EQ$15</definedName>
    <definedName name="UNIFORMANCES4R16C3" hidden="1">'[5]Daily Skin TIs - F001B'!$C$16:$EQ$16</definedName>
    <definedName name="UNIFORMANCES4R17C3" hidden="1">'[5]Daily Skin TIs - F001B'!$C$17:$EQ$17</definedName>
    <definedName name="UNIFORMANCES4R20C3" hidden="1">'[5]Daily Skin TIs - F001B'!$C$20:$EQ$21</definedName>
    <definedName name="UNIFORMANCES4R22C3" hidden="1">'[5]Daily Skin TIs - F001B'!$C$22:$EQ$22</definedName>
    <definedName name="UNIFORMANCES4R23C3" hidden="1">'[5]Daily Skin TIs - F001B'!$C$23:$EQ$23</definedName>
    <definedName name="UNIFORMANCES4R24C3" hidden="1">'[5]Daily Skin TIs - F001B'!$C$24:$EQ$24</definedName>
    <definedName name="UNIFORMANCES4R25C3" hidden="1">'[5]Daily Skin TIs - F001B'!$C$25:$EQ$25</definedName>
    <definedName name="UNIFORMANCES4R26C3" hidden="1">'[5]Daily Skin TIs - F001B'!$C$26:$EQ$26</definedName>
    <definedName name="UNIFORMANCES4R27C3" hidden="1">'[5]Daily Skin TIs - F001B'!$C$27:$EQ$27</definedName>
    <definedName name="UNIFORMANCES4R28C3" hidden="1">'[5]Daily Skin TIs - F001B'!$C$28:$EQ$28</definedName>
    <definedName name="UNIFORMANCES4R29C3" hidden="1">'[5]Daily Skin TIs - F001B'!$C$29:$EQ$29</definedName>
    <definedName name="UNIFORMANCES4R30C3" hidden="1">'[5]Daily Skin TIs - F001B'!$C$30:$EQ$30</definedName>
    <definedName name="UNIFORMANCES4R31C3" hidden="1">'[5]Daily Skin TIs - F001B'!$C$31:$EQ$31</definedName>
    <definedName name="UNIFORMANCES4R32C3" hidden="1">'[5]Daily Skin TIs - F001B'!$C$32:$EQ$32</definedName>
    <definedName name="UNIFORMANCES4R33C3" hidden="1">'[5]Daily Skin TIs - F001B'!$C$33:$EQ$33</definedName>
    <definedName name="UNIFORMANCES4R34C3" hidden="1">'[5]Daily Skin TIs - F001B'!$C$34:$EQ$34</definedName>
    <definedName name="UNIFORMANCES4R37C3" hidden="1">'[5]Daily Skin TIs - F001B'!$C$37:$EQ$38</definedName>
    <definedName name="UNIFORMANCES4R39C3" hidden="1">'[5]Daily Skin TIs - F001B'!$C$39:$EQ$39</definedName>
    <definedName name="UNIFORMANCES4R3C3" hidden="1">'[5]Daily Skin TIs - F001B'!$C$3:$EQ$4</definedName>
    <definedName name="UNIFORMANCES4R40C3" hidden="1">'[5]Daily Skin TIs - F001B'!$C$40:$EQ$40</definedName>
    <definedName name="UNIFORMANCES4R41C3" hidden="1">'[5]Daily Skin TIs - F001B'!$C$41:$EQ$41</definedName>
    <definedName name="UNIFORMANCES4R42C3" hidden="1">'[5]Daily Skin TIs - F001B'!$C$42:$EQ$42</definedName>
    <definedName name="UNIFORMANCES4R43C3" hidden="1">'[5]Daily Skin TIs - F001B'!$C$43:$EQ$43</definedName>
    <definedName name="UNIFORMANCES4R44C3" hidden="1">'[5]Daily Skin TIs - F001B'!$C$44:$EQ$44</definedName>
    <definedName name="UNIFORMANCES4R45C3" hidden="1">'[5]Daily Skin TIs - F001B'!$C$45:$EQ$45</definedName>
    <definedName name="UNIFORMANCES4R46C3" hidden="1">'[5]Daily Skin TIs - F001B'!$C$46:$EQ$46</definedName>
    <definedName name="UNIFORMANCES4R47C3" hidden="1">'[5]Daily Skin TIs - F001B'!$C$47:$EQ$47</definedName>
    <definedName name="UNIFORMANCES4R48C3" hidden="1">'[5]Daily Skin TIs - F001B'!$C$48:$EQ$48</definedName>
    <definedName name="UNIFORMANCES4R49C3" hidden="1">'[5]Daily Skin TIs - F001B'!$C$49:$EQ$49</definedName>
    <definedName name="UNIFORMANCES4R4C4" hidden="1">'[6]APC tags'!$D$4:$ET$45</definedName>
    <definedName name="UNIFORMANCES4R50C3" hidden="1">'[5]Daily Skin TIs - F001B'!$C$50:$EQ$50</definedName>
    <definedName name="UNIFORMANCES4R51C3" hidden="1">'[5]Daily Skin TIs - F001B'!$C$51:$EQ$51</definedName>
    <definedName name="UNIFORMANCES4R54C3" hidden="1">'[5]Daily Skin TIs - F001B'!$C$54:$EQ$55</definedName>
    <definedName name="UNIFORMANCES4R56C3" hidden="1">'[5]Daily Skin TIs - F001B'!$C$56:$EQ$56</definedName>
    <definedName name="UNIFORMANCES4R57C3" hidden="1">'[5]Daily Skin TIs - F001B'!$C$57:$EQ$57</definedName>
    <definedName name="UNIFORMANCES4R58C3" hidden="1">'[5]Daily Skin TIs - F001B'!$C$58:$EQ$58</definedName>
    <definedName name="UNIFORMANCES4R59C3" hidden="1">'[5]Daily Skin TIs - F001B'!$C$59:$EQ$59</definedName>
    <definedName name="UNIFORMANCES4R5C3" hidden="1">'[5]Daily Skin TIs - F001B'!$C$5:$EQ$5</definedName>
    <definedName name="UNIFORMANCES4R60C3" hidden="1">'[5]Daily Skin TIs - F001B'!$C$60:$EQ$60</definedName>
    <definedName name="UNIFORMANCES4R61C3" hidden="1">'[5]Daily Skin TIs - F001B'!$C$61:$EQ$61</definedName>
    <definedName name="UNIFORMANCES4R62C3" hidden="1">'[5]Daily Skin TIs - F001B'!$C$62:$EQ$62</definedName>
    <definedName name="UNIFORMANCES4R63C3" hidden="1">'[5]Daily Skin TIs - F001B'!$C$63:$EQ$63</definedName>
    <definedName name="UNIFORMANCES4R64C3" hidden="1">'[5]Daily Skin TIs - F001B'!$C$64:$EQ$64</definedName>
    <definedName name="UNIFORMANCES4R65C3" hidden="1">'[5]Daily Skin TIs - F001B'!$C$65:$EQ$65</definedName>
    <definedName name="UNIFORMANCES4R66C3" hidden="1">'[5]Daily Skin TIs - F001B'!$C$66:$EQ$66</definedName>
    <definedName name="UNIFORMANCES4R67C3" hidden="1">'[5]Daily Skin TIs - F001B'!$C$67:$EQ$67</definedName>
    <definedName name="UNIFORMANCES4R68C3" hidden="1">'[5]Daily Skin TIs - F001B'!$C$68:$EQ$68</definedName>
    <definedName name="UNIFORMANCES4R6C3" hidden="1">'[5]Daily Skin TIs - F001B'!$C$6:$EQ$6</definedName>
    <definedName name="UNIFORMANCES4R7C3" hidden="1">'[5]Daily Skin TIs - F001B'!$C$7:$EQ$7</definedName>
    <definedName name="UNIFORMANCES4R8C3" hidden="1">'[5]Daily Skin TIs - F001B'!$C$8:$EQ$8</definedName>
    <definedName name="UNIFORMANCES4R9C3" hidden="1">'[5]Daily Skin TIs - F001B'!$C$9:$EQ$9</definedName>
    <definedName name="UNIFORMANCES5R4C9" hidden="1">'[6]HAC monitoring'!$I$4:$BF$67</definedName>
    <definedName name="YN">'[4]Instructions Prioritization'!$B$17:$B$18</definedName>
    <definedName name="ZZZZ">#REF!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H32" i="22" l="1"/>
  <c r="FH48" i="22"/>
  <c r="FH51" i="22"/>
  <c r="FH52" i="22"/>
  <c r="FH54" i="22"/>
  <c r="FH55" i="22"/>
  <c r="FH56" i="22"/>
  <c r="FH57" i="22"/>
  <c r="FH58" i="22"/>
  <c r="FH59" i="22"/>
  <c r="FH60" i="22"/>
  <c r="FH61" i="22"/>
  <c r="FH63" i="22"/>
  <c r="FH64" i="22"/>
  <c r="FH68" i="22"/>
  <c r="FH69" i="22"/>
  <c r="FH70" i="22"/>
  <c r="FH71" i="22"/>
  <c r="FH72" i="22"/>
  <c r="FH73" i="22"/>
  <c r="FH74" i="22"/>
  <c r="FH75" i="22"/>
  <c r="FH76" i="22"/>
  <c r="FH77" i="22"/>
  <c r="FH97" i="22"/>
  <c r="FH101" i="22"/>
  <c r="FH104" i="22"/>
  <c r="FH2" i="22"/>
  <c r="CD32" i="22"/>
  <c r="CD49" i="22"/>
  <c r="CD96" i="22"/>
  <c r="CD97" i="22"/>
  <c r="CD99" i="22"/>
  <c r="CD101" i="22"/>
  <c r="CD102" i="22"/>
  <c r="CD103" i="22"/>
  <c r="CD104" i="22"/>
  <c r="CD105" i="22"/>
  <c r="CD113" i="22"/>
  <c r="CD114" i="22"/>
  <c r="CD115" i="22"/>
  <c r="CD121" i="22"/>
  <c r="CD1" i="22"/>
  <c r="DP148" i="1"/>
  <c r="DQ148" i="1"/>
  <c r="DR148" i="1"/>
  <c r="DP150" i="1"/>
  <c r="DQ150" i="1"/>
  <c r="DL82" i="1"/>
  <c r="DM82" i="1"/>
  <c r="DN82" i="1"/>
  <c r="DO82" i="1"/>
  <c r="DP82" i="1"/>
  <c r="DQ82" i="1"/>
  <c r="DR82" i="1"/>
  <c r="CD74" i="22" l="1"/>
  <c r="DP157" i="1"/>
  <c r="DQ157" i="1"/>
  <c r="DR157" i="1"/>
  <c r="DS157" i="1"/>
  <c r="DT157" i="1"/>
  <c r="DP116" i="1"/>
  <c r="FH82" i="22" s="1"/>
  <c r="DQ116" i="1"/>
  <c r="DR116" i="1"/>
  <c r="DS116" i="1"/>
  <c r="DT116" i="1"/>
  <c r="DP91" i="1"/>
  <c r="DQ91" i="1"/>
  <c r="DR91" i="1"/>
  <c r="DS91" i="1"/>
  <c r="DT91" i="1"/>
  <c r="DP67" i="1"/>
  <c r="DQ67" i="1"/>
  <c r="DR67" i="1"/>
  <c r="DS67" i="1"/>
  <c r="DT67" i="1"/>
  <c r="DP56" i="1"/>
  <c r="DQ56" i="1"/>
  <c r="DR56" i="1"/>
  <c r="DS56" i="1"/>
  <c r="DT56" i="1"/>
  <c r="DQ6" i="1"/>
  <c r="DR6" i="1"/>
  <c r="DS6" i="1"/>
  <c r="DT6" i="1"/>
  <c r="DP6" i="1"/>
  <c r="AD157" i="1"/>
  <c r="FG32" i="22"/>
  <c r="FG51" i="22"/>
  <c r="CD51" i="22" s="1"/>
  <c r="FG52" i="22"/>
  <c r="CD52" i="22" s="1"/>
  <c r="FG54" i="22"/>
  <c r="CD54" i="22" s="1"/>
  <c r="FG55" i="22"/>
  <c r="CD55" i="22" s="1"/>
  <c r="FG56" i="22"/>
  <c r="CD56" i="22" s="1"/>
  <c r="FG57" i="22"/>
  <c r="CD57" i="22" s="1"/>
  <c r="FG58" i="22"/>
  <c r="CD58" i="22" s="1"/>
  <c r="FG59" i="22"/>
  <c r="CD59" i="22" s="1"/>
  <c r="FG60" i="22"/>
  <c r="CD60" i="22" s="1"/>
  <c r="FG61" i="22"/>
  <c r="CD61" i="22" s="1"/>
  <c r="FG63" i="22"/>
  <c r="CD63" i="22" s="1"/>
  <c r="FG64" i="22"/>
  <c r="CD64" i="22" s="1"/>
  <c r="FG68" i="22"/>
  <c r="CD68" i="22" s="1"/>
  <c r="FG69" i="22"/>
  <c r="CD69" i="22" s="1"/>
  <c r="FG70" i="22"/>
  <c r="CD70" i="22" s="1"/>
  <c r="FG71" i="22"/>
  <c r="CD71" i="22" s="1"/>
  <c r="FG72" i="22"/>
  <c r="CD72" i="22" s="1"/>
  <c r="FG73" i="22"/>
  <c r="CD73" i="22" s="1"/>
  <c r="FG74" i="22"/>
  <c r="FG75" i="22"/>
  <c r="CD75" i="22" s="1"/>
  <c r="FG76" i="22"/>
  <c r="CD76" i="22" s="1"/>
  <c r="FG77" i="22"/>
  <c r="CD77" i="22" s="1"/>
  <c r="FG97" i="22"/>
  <c r="FG101" i="22"/>
  <c r="FG104" i="22"/>
  <c r="CC49" i="22"/>
  <c r="CC96" i="22"/>
  <c r="CC99" i="22"/>
  <c r="CC102" i="22"/>
  <c r="CC103" i="22"/>
  <c r="CC105" i="22"/>
  <c r="CC113" i="22"/>
  <c r="CC114" i="22"/>
  <c r="CC115" i="22"/>
  <c r="CC121" i="22"/>
  <c r="CC1" i="22"/>
  <c r="N157" i="1"/>
  <c r="O157" i="1"/>
  <c r="P157" i="1"/>
  <c r="Q157" i="1"/>
  <c r="R157" i="1"/>
  <c r="S157" i="1"/>
  <c r="T157" i="1"/>
  <c r="U157" i="1"/>
  <c r="V157" i="1"/>
  <c r="W157" i="1"/>
  <c r="X157" i="1"/>
  <c r="Y157" i="1"/>
  <c r="Z157" i="1"/>
  <c r="AA157" i="1"/>
  <c r="AB157" i="1"/>
  <c r="AC157" i="1"/>
  <c r="AE157" i="1"/>
  <c r="AF157" i="1"/>
  <c r="AG157" i="1"/>
  <c r="AH157" i="1"/>
  <c r="AI157" i="1"/>
  <c r="AJ157" i="1"/>
  <c r="AK157" i="1"/>
  <c r="AL157" i="1"/>
  <c r="AM157" i="1"/>
  <c r="AN157" i="1"/>
  <c r="AO157" i="1"/>
  <c r="AP157" i="1"/>
  <c r="AQ157" i="1"/>
  <c r="AR157" i="1"/>
  <c r="AS157" i="1"/>
  <c r="AT157" i="1"/>
  <c r="AU157" i="1"/>
  <c r="AV157" i="1"/>
  <c r="AW157" i="1"/>
  <c r="AX157" i="1"/>
  <c r="AY157" i="1"/>
  <c r="AZ157" i="1"/>
  <c r="BA157" i="1"/>
  <c r="BB157" i="1"/>
  <c r="BC157" i="1"/>
  <c r="BD157" i="1"/>
  <c r="BE157" i="1"/>
  <c r="BF157" i="1"/>
  <c r="BG157" i="1"/>
  <c r="BH157" i="1"/>
  <c r="BI157" i="1"/>
  <c r="BJ157" i="1"/>
  <c r="BK157" i="1"/>
  <c r="BL157" i="1"/>
  <c r="BM157" i="1"/>
  <c r="BN157" i="1"/>
  <c r="BO157" i="1"/>
  <c r="BP157" i="1"/>
  <c r="BQ157" i="1"/>
  <c r="BR157" i="1"/>
  <c r="BS157" i="1"/>
  <c r="BT157" i="1"/>
  <c r="BU157" i="1"/>
  <c r="BV157" i="1"/>
  <c r="BW157" i="1"/>
  <c r="BX157" i="1"/>
  <c r="BY157" i="1"/>
  <c r="BZ157" i="1"/>
  <c r="CA157" i="1"/>
  <c r="CB157" i="1"/>
  <c r="CC157" i="1"/>
  <c r="CD157" i="1"/>
  <c r="CE157" i="1"/>
  <c r="CF157" i="1"/>
  <c r="CG157" i="1"/>
  <c r="CH157" i="1"/>
  <c r="CI157" i="1"/>
  <c r="CJ157" i="1"/>
  <c r="CK157" i="1"/>
  <c r="CL157" i="1"/>
  <c r="CM157" i="1"/>
  <c r="CN157" i="1"/>
  <c r="CO157" i="1"/>
  <c r="CP157" i="1"/>
  <c r="CQ157" i="1"/>
  <c r="CR157" i="1"/>
  <c r="CS157" i="1"/>
  <c r="CT157" i="1"/>
  <c r="CU157" i="1"/>
  <c r="CV157" i="1"/>
  <c r="CW157" i="1"/>
  <c r="CX157" i="1"/>
  <c r="CY157" i="1"/>
  <c r="CZ157" i="1"/>
  <c r="DA157" i="1"/>
  <c r="DB157" i="1"/>
  <c r="DC157" i="1"/>
  <c r="DD157" i="1"/>
  <c r="DE157" i="1"/>
  <c r="DF157" i="1"/>
  <c r="DG157" i="1"/>
  <c r="DH157" i="1"/>
  <c r="DI157" i="1"/>
  <c r="DJ157" i="1"/>
  <c r="DK157" i="1"/>
  <c r="DL157" i="1"/>
  <c r="DM157" i="1"/>
  <c r="DN157" i="1"/>
  <c r="DO157" i="1"/>
  <c r="J157" i="1"/>
  <c r="K157" i="1"/>
  <c r="L157" i="1"/>
  <c r="M157" i="1"/>
  <c r="G157" i="1"/>
  <c r="H157" i="1"/>
  <c r="I157" i="1"/>
  <c r="F157" i="1"/>
  <c r="F91" i="1"/>
  <c r="A157" i="1"/>
  <c r="A156" i="1"/>
  <c r="AX20" i="116" l="1"/>
  <c r="AW20" i="116"/>
  <c r="N20" i="116"/>
  <c r="AY16" i="115"/>
  <c r="DH16" i="104"/>
  <c r="CW16" i="104"/>
  <c r="BC16" i="104"/>
  <c r="AX16" i="104"/>
  <c r="AV16" i="104"/>
  <c r="AU16" i="104"/>
  <c r="AS16" i="104"/>
  <c r="AR16" i="104"/>
  <c r="AE16" i="104"/>
  <c r="AD16" i="104"/>
  <c r="AA16" i="104"/>
  <c r="Z16" i="104"/>
  <c r="Y16" i="104"/>
  <c r="W16" i="104"/>
  <c r="P16" i="104"/>
  <c r="O16" i="104"/>
  <c r="N16" i="104"/>
  <c r="CU15" i="87"/>
  <c r="CX15" i="87"/>
  <c r="DH15" i="87"/>
  <c r="DL15" i="87"/>
  <c r="Q14" i="85"/>
  <c r="CB14" i="85"/>
  <c r="DH14" i="52"/>
  <c r="CZ14" i="52"/>
  <c r="BS14" i="52"/>
  <c r="BO14" i="52"/>
  <c r="BK14" i="52"/>
  <c r="EI19" i="54"/>
  <c r="EJ19" i="54"/>
  <c r="EK19" i="54"/>
  <c r="EL19" i="54"/>
  <c r="CV15" i="55"/>
  <c r="DN11" i="39"/>
  <c r="CW11" i="39"/>
  <c r="BS11" i="39"/>
  <c r="AW11" i="39"/>
  <c r="AV11" i="39"/>
  <c r="AT11" i="39"/>
  <c r="AR11" i="39"/>
  <c r="AO11" i="39"/>
  <c r="AN11" i="39"/>
  <c r="AJ11" i="39"/>
  <c r="AI11" i="39"/>
  <c r="AH11" i="39"/>
  <c r="AG11" i="39"/>
  <c r="AF11" i="39"/>
  <c r="Y11" i="39"/>
  <c r="S11" i="39"/>
  <c r="CZ11" i="44"/>
  <c r="BH11" i="44"/>
  <c r="AP11" i="44"/>
  <c r="AV12" i="34"/>
  <c r="AV12" i="45"/>
  <c r="DO17" i="29"/>
  <c r="DD17" i="29"/>
  <c r="CZ17" i="29"/>
  <c r="CU17" i="29"/>
  <c r="CH17" i="29"/>
  <c r="BB12" i="28"/>
  <c r="BB10" i="42"/>
  <c r="BZ14" i="27"/>
  <c r="J10" i="24"/>
  <c r="U10" i="24"/>
  <c r="V10" i="24"/>
  <c r="AJ10" i="24"/>
  <c r="AM10" i="24"/>
  <c r="AQ10" i="24"/>
  <c r="BR12" i="23"/>
  <c r="BB12" i="20"/>
  <c r="BJ12" i="20"/>
  <c r="BN12" i="20"/>
  <c r="DG12" i="41"/>
  <c r="CY10" i="40"/>
  <c r="DG10" i="40"/>
  <c r="CH11" i="11"/>
  <c r="CL11" i="11"/>
  <c r="CR11" i="11"/>
  <c r="DG11" i="11"/>
  <c r="DH11" i="15"/>
  <c r="BJ13" i="16"/>
  <c r="BQ13" i="16"/>
  <c r="BR13" i="16"/>
  <c r="CQ13" i="16"/>
  <c r="BN11" i="26"/>
  <c r="CY11" i="26"/>
  <c r="DC11" i="26"/>
  <c r="DG13" i="25"/>
  <c r="CB49" i="22" l="1"/>
  <c r="CB96" i="22"/>
  <c r="CB99" i="22"/>
  <c r="CB102" i="22"/>
  <c r="CB103" i="22"/>
  <c r="CB105" i="22"/>
  <c r="CB113" i="22"/>
  <c r="CB114" i="22"/>
  <c r="CB115" i="22"/>
  <c r="CB121" i="22"/>
  <c r="CB1" i="22"/>
  <c r="DN66" i="1"/>
  <c r="DO66" i="1"/>
  <c r="DP66" i="1"/>
  <c r="DQ66" i="1"/>
  <c r="A155" i="1"/>
  <c r="DN71" i="1"/>
  <c r="FF53" i="22" s="1"/>
  <c r="FF32" i="22"/>
  <c r="CC32" i="22" s="1"/>
  <c r="FF51" i="22"/>
  <c r="CC51" i="22" s="1"/>
  <c r="FF52" i="22"/>
  <c r="CC52" i="22" s="1"/>
  <c r="FF54" i="22"/>
  <c r="CC54" i="22" s="1"/>
  <c r="FF55" i="22"/>
  <c r="CC55" i="22" s="1"/>
  <c r="FF56" i="22"/>
  <c r="CC56" i="22" s="1"/>
  <c r="FF57" i="22"/>
  <c r="CC57" i="22" s="1"/>
  <c r="FF58" i="22"/>
  <c r="CC58" i="22" s="1"/>
  <c r="FF59" i="22"/>
  <c r="CC59" i="22" s="1"/>
  <c r="FF60" i="22"/>
  <c r="CC60" i="22" s="1"/>
  <c r="FF61" i="22"/>
  <c r="CC61" i="22" s="1"/>
  <c r="FF63" i="22"/>
  <c r="CC63" i="22" s="1"/>
  <c r="FF64" i="22"/>
  <c r="CC64" i="22" s="1"/>
  <c r="FF68" i="22"/>
  <c r="CC68" i="22" s="1"/>
  <c r="FF69" i="22"/>
  <c r="CC69" i="22" s="1"/>
  <c r="FF70" i="22"/>
  <c r="CC70" i="22" s="1"/>
  <c r="FF71" i="22"/>
  <c r="CC71" i="22" s="1"/>
  <c r="FF72" i="22"/>
  <c r="CC72" i="22" s="1"/>
  <c r="FF73" i="22"/>
  <c r="CC73" i="22" s="1"/>
  <c r="FF74" i="22"/>
  <c r="CC74" i="22" s="1"/>
  <c r="FF75" i="22"/>
  <c r="CC75" i="22" s="1"/>
  <c r="FF76" i="22"/>
  <c r="CC76" i="22" s="1"/>
  <c r="FF77" i="22"/>
  <c r="CC77" i="22" s="1"/>
  <c r="FF97" i="22"/>
  <c r="CC97" i="22" s="1"/>
  <c r="FF101" i="22"/>
  <c r="CC101" i="22" s="1"/>
  <c r="FF104" i="22"/>
  <c r="CC104" i="22" s="1"/>
  <c r="FF2" i="22"/>
  <c r="FG2" i="22"/>
  <c r="CS14" i="43"/>
  <c r="CZ14" i="43"/>
  <c r="DH14" i="43"/>
  <c r="DO7" i="108" l="1"/>
  <c r="DP7" i="108"/>
  <c r="DQ7" i="108"/>
  <c r="DR7" i="108"/>
  <c r="DS7" i="108"/>
  <c r="DT7" i="108"/>
  <c r="DU7" i="108"/>
  <c r="DV7" i="108"/>
  <c r="DW7" i="108"/>
  <c r="DX7" i="108"/>
  <c r="DY7" i="108"/>
  <c r="DZ7" i="108"/>
  <c r="CA49" i="22"/>
  <c r="CA96" i="22"/>
  <c r="CA99" i="22"/>
  <c r="CA102" i="22"/>
  <c r="CA103" i="22"/>
  <c r="CA105" i="22"/>
  <c r="CA113" i="22"/>
  <c r="CA114" i="22"/>
  <c r="CA115" i="22"/>
  <c r="CA121" i="22"/>
  <c r="FE32" i="22"/>
  <c r="FE51" i="22"/>
  <c r="CB51" i="22" s="1"/>
  <c r="FE52" i="22"/>
  <c r="CB52" i="22" s="1"/>
  <c r="FE54" i="22"/>
  <c r="CB54" i="22" s="1"/>
  <c r="FE55" i="22"/>
  <c r="CB55" i="22" s="1"/>
  <c r="FE56" i="22"/>
  <c r="CB56" i="22" s="1"/>
  <c r="FE57" i="22"/>
  <c r="CB57" i="22" s="1"/>
  <c r="FE58" i="22"/>
  <c r="CB58" i="22" s="1"/>
  <c r="FE59" i="22"/>
  <c r="CB59" i="22" s="1"/>
  <c r="FE60" i="22"/>
  <c r="CB60" i="22" s="1"/>
  <c r="FE61" i="22"/>
  <c r="CB61" i="22" s="1"/>
  <c r="FE63" i="22"/>
  <c r="CB63" i="22" s="1"/>
  <c r="FE64" i="22"/>
  <c r="CB64" i="22" s="1"/>
  <c r="FE68" i="22"/>
  <c r="CB68" i="22" s="1"/>
  <c r="FE69" i="22"/>
  <c r="CB69" i="22" s="1"/>
  <c r="FE70" i="22"/>
  <c r="CB70" i="22" s="1"/>
  <c r="FE71" i="22"/>
  <c r="CB71" i="22" s="1"/>
  <c r="FE72" i="22"/>
  <c r="CB72" i="22" s="1"/>
  <c r="FE73" i="22"/>
  <c r="CB73" i="22" s="1"/>
  <c r="FE74" i="22"/>
  <c r="CB74" i="22" s="1"/>
  <c r="FE75" i="22"/>
  <c r="CB75" i="22" s="1"/>
  <c r="FE76" i="22"/>
  <c r="CB76" i="22" s="1"/>
  <c r="FE77" i="22"/>
  <c r="CB77" i="22" s="1"/>
  <c r="FE97" i="22"/>
  <c r="CB97" i="22" s="1"/>
  <c r="FE101" i="22"/>
  <c r="CB101" i="22" s="1"/>
  <c r="FE104" i="22"/>
  <c r="CB104" i="22" s="1"/>
  <c r="FE2" i="22"/>
  <c r="CA1" i="22"/>
  <c r="DM66" i="1"/>
  <c r="BZ49" i="22"/>
  <c r="BZ96" i="22"/>
  <c r="BZ99" i="22"/>
  <c r="BZ102" i="22"/>
  <c r="BZ103" i="22"/>
  <c r="BZ105" i="22"/>
  <c r="BZ113" i="22"/>
  <c r="BZ114" i="22"/>
  <c r="BZ115" i="22"/>
  <c r="BZ121" i="22"/>
  <c r="FD32" i="22"/>
  <c r="FD51" i="22"/>
  <c r="FD52" i="22"/>
  <c r="FD54" i="22"/>
  <c r="FD55" i="22"/>
  <c r="FD56" i="22"/>
  <c r="FD57" i="22"/>
  <c r="FD58" i="22"/>
  <c r="FD59" i="22"/>
  <c r="FD60" i="22"/>
  <c r="FD61" i="22"/>
  <c r="FD63" i="22"/>
  <c r="FD64" i="22"/>
  <c r="FD68" i="22"/>
  <c r="FD69" i="22"/>
  <c r="FD70" i="22"/>
  <c r="FD71" i="22"/>
  <c r="FD72" i="22"/>
  <c r="FD73" i="22"/>
  <c r="FD74" i="22"/>
  <c r="FD75" i="22"/>
  <c r="FD76" i="22"/>
  <c r="FD77" i="22"/>
  <c r="FD97" i="22"/>
  <c r="CA97" i="22" s="1"/>
  <c r="FD101" i="22"/>
  <c r="FD104" i="22"/>
  <c r="FD2" i="22"/>
  <c r="BZ1" i="22"/>
  <c r="DM47" i="1"/>
  <c r="DN47" i="1"/>
  <c r="DO47" i="1"/>
  <c r="DP47" i="1"/>
  <c r="DL47" i="1"/>
  <c r="FC32" i="22"/>
  <c r="BZ32" i="22" s="1"/>
  <c r="FC51" i="22"/>
  <c r="FC52" i="22"/>
  <c r="FC54" i="22"/>
  <c r="FC55" i="22"/>
  <c r="FC56" i="22"/>
  <c r="FC57" i="22"/>
  <c r="FC58" i="22"/>
  <c r="FC59" i="22"/>
  <c r="FC60" i="22"/>
  <c r="FC61" i="22"/>
  <c r="FC63" i="22"/>
  <c r="FC64" i="22"/>
  <c r="FC68" i="22"/>
  <c r="FC69" i="22"/>
  <c r="FC70" i="22"/>
  <c r="FC71" i="22"/>
  <c r="FC72" i="22"/>
  <c r="FC73" i="22"/>
  <c r="FC74" i="22"/>
  <c r="FC75" i="22"/>
  <c r="FC76" i="22"/>
  <c r="FC77" i="22"/>
  <c r="FC97" i="22"/>
  <c r="FC101" i="22"/>
  <c r="FC104" i="22"/>
  <c r="FC2" i="22"/>
  <c r="BY49" i="22"/>
  <c r="BY96" i="22"/>
  <c r="BY99" i="22"/>
  <c r="BY102" i="22"/>
  <c r="BY103" i="22"/>
  <c r="BY105" i="22"/>
  <c r="BY113" i="22"/>
  <c r="BY114" i="22"/>
  <c r="BY115" i="22"/>
  <c r="BY121" i="22"/>
  <c r="BY1" i="22"/>
  <c r="DK150" i="1"/>
  <c r="DL150" i="1"/>
  <c r="DM150" i="1"/>
  <c r="DN150" i="1"/>
  <c r="DO150" i="1"/>
  <c r="DK148" i="1"/>
  <c r="DL148" i="1"/>
  <c r="DM148" i="1"/>
  <c r="DN148" i="1"/>
  <c r="DO148" i="1"/>
  <c r="DL56" i="1"/>
  <c r="DM56" i="1"/>
  <c r="DN56" i="1"/>
  <c r="DO56" i="1"/>
  <c r="DK67" i="1"/>
  <c r="DL67" i="1"/>
  <c r="DM67" i="1"/>
  <c r="DN67" i="1"/>
  <c r="DO67" i="1"/>
  <c r="DK6" i="1"/>
  <c r="DL6" i="1"/>
  <c r="DM6" i="1"/>
  <c r="DN6" i="1"/>
  <c r="DO6" i="1"/>
  <c r="DH47" i="1"/>
  <c r="DI47" i="1"/>
  <c r="DJ47" i="1"/>
  <c r="DK47" i="1"/>
  <c r="DK82" i="1"/>
  <c r="FC48" i="22" s="1"/>
  <c r="BW49" i="22"/>
  <c r="BX49" i="22"/>
  <c r="BW96" i="22"/>
  <c r="BX96" i="22"/>
  <c r="BW99" i="22"/>
  <c r="BX99" i="22"/>
  <c r="BW102" i="22"/>
  <c r="BX102" i="22"/>
  <c r="BW103" i="22"/>
  <c r="BX103" i="22"/>
  <c r="BW105" i="22"/>
  <c r="BX105" i="22"/>
  <c r="BW113" i="22"/>
  <c r="BX113" i="22"/>
  <c r="BW114" i="22"/>
  <c r="BX114" i="22"/>
  <c r="BW115" i="22"/>
  <c r="BX115" i="22"/>
  <c r="BW121" i="22"/>
  <c r="BX121" i="22"/>
  <c r="BW1" i="22"/>
  <c r="BX1" i="22"/>
  <c r="DM19" i="70"/>
  <c r="CA104" i="22" l="1"/>
  <c r="CA32" i="22"/>
  <c r="CB32" i="22"/>
  <c r="BZ104" i="22"/>
  <c r="BZ97" i="22"/>
  <c r="BZ101" i="22"/>
  <c r="CA101" i="22"/>
  <c r="CA61" i="22"/>
  <c r="CA52" i="22"/>
  <c r="BZ75" i="22"/>
  <c r="BZ64" i="22"/>
  <c r="CA75" i="22"/>
  <c r="CA60" i="22"/>
  <c r="CA72" i="22"/>
  <c r="CA51" i="22"/>
  <c r="CA68" i="22"/>
  <c r="CA56" i="22"/>
  <c r="CA76" i="22"/>
  <c r="CA57" i="22"/>
  <c r="CA70" i="22"/>
  <c r="CA58" i="22"/>
  <c r="CA74" i="22"/>
  <c r="CA63" i="22"/>
  <c r="CA54" i="22"/>
  <c r="CA64" i="22"/>
  <c r="CA55" i="22"/>
  <c r="CA73" i="22"/>
  <c r="CA59" i="22"/>
  <c r="CA71" i="22"/>
  <c r="CA69" i="22"/>
  <c r="CA77" i="22"/>
  <c r="BZ71" i="22"/>
  <c r="BZ59" i="22"/>
  <c r="BZ74" i="22"/>
  <c r="BZ63" i="22"/>
  <c r="BZ54" i="22"/>
  <c r="BZ76" i="22"/>
  <c r="BZ68" i="22"/>
  <c r="BZ55" i="22"/>
  <c r="BZ72" i="22"/>
  <c r="BZ60" i="22"/>
  <c r="BZ73" i="22"/>
  <c r="BZ61" i="22"/>
  <c r="BZ52" i="22"/>
  <c r="BZ70" i="22"/>
  <c r="BZ58" i="22"/>
  <c r="BZ77" i="22"/>
  <c r="BZ69" i="22"/>
  <c r="BZ57" i="22"/>
  <c r="BZ51" i="22"/>
  <c r="BZ56" i="22"/>
  <c r="DJ153" i="1"/>
  <c r="DK153" i="1"/>
  <c r="DL153" i="1"/>
  <c r="DM153" i="1"/>
  <c r="DN153" i="1"/>
  <c r="DO153" i="1"/>
  <c r="DP153" i="1"/>
  <c r="DQ153" i="1"/>
  <c r="DJ144" i="1"/>
  <c r="DK144" i="1"/>
  <c r="DL144" i="1"/>
  <c r="DM144" i="1"/>
  <c r="DN144" i="1"/>
  <c r="DO144" i="1"/>
  <c r="DP144" i="1"/>
  <c r="DQ144" i="1"/>
  <c r="DQ136" i="1"/>
  <c r="DR136" i="1"/>
  <c r="DS136" i="1"/>
  <c r="DT136" i="1"/>
  <c r="DU136" i="1"/>
  <c r="DK116" i="1"/>
  <c r="FC82" i="22" s="1"/>
  <c r="DL116" i="1"/>
  <c r="FD82" i="22" s="1"/>
  <c r="DM116" i="1"/>
  <c r="FE82" i="22" s="1"/>
  <c r="DN116" i="1"/>
  <c r="FF82" i="22" s="1"/>
  <c r="DO116" i="1"/>
  <c r="FG82" i="22" s="1"/>
  <c r="CD82" i="22" s="1"/>
  <c r="DJ111" i="1"/>
  <c r="DK111" i="1"/>
  <c r="DL111" i="1"/>
  <c r="DM111" i="1"/>
  <c r="DN111" i="1"/>
  <c r="DO111" i="1"/>
  <c r="DP111" i="1"/>
  <c r="DJ110" i="1"/>
  <c r="DK110" i="1"/>
  <c r="DL110" i="1"/>
  <c r="DM110" i="1"/>
  <c r="DN110" i="1"/>
  <c r="DO110" i="1"/>
  <c r="DP110" i="1"/>
  <c r="DJ109" i="1"/>
  <c r="DK109" i="1"/>
  <c r="DL109" i="1"/>
  <c r="DM109" i="1"/>
  <c r="DN109" i="1"/>
  <c r="DO109" i="1"/>
  <c r="DP109" i="1"/>
  <c r="DJ107" i="1"/>
  <c r="DK107" i="1"/>
  <c r="DL107" i="1"/>
  <c r="DM107" i="1"/>
  <c r="DN107" i="1"/>
  <c r="DO107" i="1"/>
  <c r="DP107" i="1"/>
  <c r="DJ105" i="1"/>
  <c r="DK105" i="1"/>
  <c r="DL105" i="1"/>
  <c r="DM105" i="1"/>
  <c r="DN105" i="1"/>
  <c r="DO105" i="1"/>
  <c r="DP105" i="1"/>
  <c r="DK91" i="1"/>
  <c r="DL91" i="1"/>
  <c r="DM91" i="1"/>
  <c r="DN91" i="1"/>
  <c r="DO91" i="1"/>
  <c r="DJ87" i="1"/>
  <c r="DJ88" i="1" s="1"/>
  <c r="DK87" i="1"/>
  <c r="DK88" i="1" s="1"/>
  <c r="FC65" i="22" s="1"/>
  <c r="DL87" i="1"/>
  <c r="DL88" i="1" s="1"/>
  <c r="FD65" i="22" s="1"/>
  <c r="DM88" i="1"/>
  <c r="FE65" i="22" s="1"/>
  <c r="DN87" i="1"/>
  <c r="DN88" i="1" s="1"/>
  <c r="FF65" i="22" s="1"/>
  <c r="DO87" i="1"/>
  <c r="DO88" i="1" s="1"/>
  <c r="FG65" i="22" s="1"/>
  <c r="DP87" i="1"/>
  <c r="DP88" i="1" s="1"/>
  <c r="FH65" i="22" s="1"/>
  <c r="DJ41" i="1"/>
  <c r="DK41" i="1"/>
  <c r="DL41" i="1"/>
  <c r="DM41" i="1"/>
  <c r="DN41" i="1"/>
  <c r="DO41" i="1"/>
  <c r="DP41" i="1"/>
  <c r="DK33" i="1"/>
  <c r="DL33" i="1"/>
  <c r="DM33" i="1"/>
  <c r="DN33" i="1"/>
  <c r="DO33" i="1"/>
  <c r="DP33" i="1"/>
  <c r="DJ34" i="1"/>
  <c r="DK34" i="1"/>
  <c r="DL34" i="1"/>
  <c r="DM34" i="1"/>
  <c r="DN34" i="1"/>
  <c r="DO34" i="1"/>
  <c r="DP34" i="1"/>
  <c r="DJ33" i="1"/>
  <c r="CD65" i="22" l="1"/>
  <c r="CC82" i="22"/>
  <c r="CC65" i="22"/>
  <c r="CB82" i="22"/>
  <c r="CB65" i="22"/>
  <c r="CA65" i="22"/>
  <c r="CA82" i="22"/>
  <c r="BZ65" i="22"/>
  <c r="BZ82" i="22"/>
  <c r="DJ29" i="1"/>
  <c r="DK29" i="1"/>
  <c r="DL29" i="1"/>
  <c r="DM29" i="1"/>
  <c r="DN29" i="1"/>
  <c r="DO29" i="1"/>
  <c r="DP29" i="1"/>
  <c r="DJ30" i="1"/>
  <c r="DK30" i="1"/>
  <c r="DL30" i="1"/>
  <c r="DM30" i="1"/>
  <c r="DN30" i="1"/>
  <c r="DO30" i="1"/>
  <c r="DP30" i="1"/>
  <c r="DJ10" i="1"/>
  <c r="DK10" i="1"/>
  <c r="DL10" i="1"/>
  <c r="DM10" i="1"/>
  <c r="DN10" i="1"/>
  <c r="DO10" i="1"/>
  <c r="DP10" i="1"/>
  <c r="DJ84" i="1" l="1"/>
  <c r="DK84" i="1"/>
  <c r="FC62" i="22" s="1"/>
  <c r="DL84" i="1"/>
  <c r="FD62" i="22" s="1"/>
  <c r="DM84" i="1"/>
  <c r="FE62" i="22" s="1"/>
  <c r="DN84" i="1"/>
  <c r="FF62" i="22" s="1"/>
  <c r="DO84" i="1"/>
  <c r="FG62" i="22" s="1"/>
  <c r="CD62" i="22" s="1"/>
  <c r="DP84" i="1"/>
  <c r="FH62" i="22" s="1"/>
  <c r="DJ82" i="1"/>
  <c r="FD48" i="22"/>
  <c r="FE48" i="22"/>
  <c r="FF48" i="22"/>
  <c r="FG48" i="22"/>
  <c r="CD48" i="22" s="1"/>
  <c r="CC62" i="22" l="1"/>
  <c r="CC48" i="22"/>
  <c r="CB62" i="22"/>
  <c r="CB48" i="22"/>
  <c r="CA62" i="22"/>
  <c r="BZ48" i="22"/>
  <c r="CA48" i="22"/>
  <c r="BZ62" i="22"/>
  <c r="DK71" i="1"/>
  <c r="FC53" i="22" s="1"/>
  <c r="DL71" i="1"/>
  <c r="FD53" i="22" s="1"/>
  <c r="DM71" i="1"/>
  <c r="FE53" i="22" s="1"/>
  <c r="CB53" i="22" s="1"/>
  <c r="DO71" i="1"/>
  <c r="FG53" i="22" s="1"/>
  <c r="DP71" i="1"/>
  <c r="FH53" i="22" s="1"/>
  <c r="DK25" i="1"/>
  <c r="DL25" i="1"/>
  <c r="DM25" i="1"/>
  <c r="DN25" i="1"/>
  <c r="DO25" i="1"/>
  <c r="DP25" i="1"/>
  <c r="DK21" i="1"/>
  <c r="DL21" i="1"/>
  <c r="DM21" i="1"/>
  <c r="DN21" i="1"/>
  <c r="DO21" i="1"/>
  <c r="DP21" i="1"/>
  <c r="FB32" i="22"/>
  <c r="BY32" i="22" s="1"/>
  <c r="FB48" i="22"/>
  <c r="BY48" i="22" s="1"/>
  <c r="FB51" i="22"/>
  <c r="BY51" i="22" s="1"/>
  <c r="FB52" i="22"/>
  <c r="BY52" i="22" s="1"/>
  <c r="FB54" i="22"/>
  <c r="BY54" i="22" s="1"/>
  <c r="FB55" i="22"/>
  <c r="BY55" i="22" s="1"/>
  <c r="FB56" i="22"/>
  <c r="BY56" i="22" s="1"/>
  <c r="FB57" i="22"/>
  <c r="BY57" i="22" s="1"/>
  <c r="FB58" i="22"/>
  <c r="BY58" i="22" s="1"/>
  <c r="FB59" i="22"/>
  <c r="BY59" i="22" s="1"/>
  <c r="FB60" i="22"/>
  <c r="BY60" i="22" s="1"/>
  <c r="FB61" i="22"/>
  <c r="BY61" i="22" s="1"/>
  <c r="FB62" i="22"/>
  <c r="BY62" i="22" s="1"/>
  <c r="FB63" i="22"/>
  <c r="BY63" i="22" s="1"/>
  <c r="FB64" i="22"/>
  <c r="BY64" i="22" s="1"/>
  <c r="FB65" i="22"/>
  <c r="BY65" i="22" s="1"/>
  <c r="FB68" i="22"/>
  <c r="BY68" i="22" s="1"/>
  <c r="FB69" i="22"/>
  <c r="BY69" i="22" s="1"/>
  <c r="FB70" i="22"/>
  <c r="BY70" i="22" s="1"/>
  <c r="FB71" i="22"/>
  <c r="BY71" i="22" s="1"/>
  <c r="FB72" i="22"/>
  <c r="BY72" i="22" s="1"/>
  <c r="FB73" i="22"/>
  <c r="BY73" i="22" s="1"/>
  <c r="FB74" i="22"/>
  <c r="BY74" i="22" s="1"/>
  <c r="FB75" i="22"/>
  <c r="BY75" i="22" s="1"/>
  <c r="FB76" i="22"/>
  <c r="BY76" i="22" s="1"/>
  <c r="FB77" i="22"/>
  <c r="BY77" i="22" s="1"/>
  <c r="FB97" i="22"/>
  <c r="BY97" i="22" s="1"/>
  <c r="FB101" i="22"/>
  <c r="BY101" i="22" s="1"/>
  <c r="FB104" i="22"/>
  <c r="BY104" i="22" s="1"/>
  <c r="FB2" i="22"/>
  <c r="CC53" i="22" l="1"/>
  <c r="CD53" i="22"/>
  <c r="CA53" i="22"/>
  <c r="BZ53" i="22"/>
  <c r="FA32" i="22"/>
  <c r="BX32" i="22" s="1"/>
  <c r="FA51" i="22"/>
  <c r="BX51" i="22" s="1"/>
  <c r="FA52" i="22"/>
  <c r="BX52" i="22" s="1"/>
  <c r="FA54" i="22"/>
  <c r="BX54" i="22" s="1"/>
  <c r="FA55" i="22"/>
  <c r="BX55" i="22" s="1"/>
  <c r="FA56" i="22"/>
  <c r="BX56" i="22" s="1"/>
  <c r="FA57" i="22"/>
  <c r="BX57" i="22" s="1"/>
  <c r="FA58" i="22"/>
  <c r="BX58" i="22" s="1"/>
  <c r="FA59" i="22"/>
  <c r="BX59" i="22" s="1"/>
  <c r="FA60" i="22"/>
  <c r="BX60" i="22" s="1"/>
  <c r="FA61" i="22"/>
  <c r="BX61" i="22" s="1"/>
  <c r="FA63" i="22"/>
  <c r="BX63" i="22" s="1"/>
  <c r="FA64" i="22"/>
  <c r="BX64" i="22" s="1"/>
  <c r="FA68" i="22"/>
  <c r="BX68" i="22" s="1"/>
  <c r="FA69" i="22"/>
  <c r="BX69" i="22" s="1"/>
  <c r="FA70" i="22"/>
  <c r="BX70" i="22" s="1"/>
  <c r="FA71" i="22"/>
  <c r="BX71" i="22" s="1"/>
  <c r="FA72" i="22"/>
  <c r="BX72" i="22" s="1"/>
  <c r="FA73" i="22"/>
  <c r="BX73" i="22" s="1"/>
  <c r="FA74" i="22"/>
  <c r="BX74" i="22" s="1"/>
  <c r="FA75" i="22"/>
  <c r="BX75" i="22" s="1"/>
  <c r="FA76" i="22"/>
  <c r="BX76" i="22" s="1"/>
  <c r="FA77" i="22"/>
  <c r="BX77" i="22" s="1"/>
  <c r="FA97" i="22"/>
  <c r="BX97" i="22" s="1"/>
  <c r="FA101" i="22"/>
  <c r="BX101" i="22" s="1"/>
  <c r="FA104" i="22"/>
  <c r="BX104" i="22" s="1"/>
  <c r="FA2" i="22"/>
  <c r="DI153" i="1"/>
  <c r="DI30" i="1"/>
  <c r="DG153" i="1" l="1"/>
  <c r="DH153" i="1"/>
  <c r="BU49" i="22"/>
  <c r="BV49" i="22"/>
  <c r="BU96" i="22"/>
  <c r="BV96" i="22"/>
  <c r="BU99" i="22"/>
  <c r="BV99" i="22"/>
  <c r="BU102" i="22"/>
  <c r="BV102" i="22"/>
  <c r="BU103" i="22"/>
  <c r="BV103" i="22"/>
  <c r="BU105" i="22"/>
  <c r="BV105" i="22"/>
  <c r="BU113" i="22"/>
  <c r="BV113" i="22"/>
  <c r="BU114" i="22"/>
  <c r="BV114" i="22"/>
  <c r="BU115" i="22"/>
  <c r="BV115" i="22"/>
  <c r="BU121" i="22"/>
  <c r="BV121" i="22"/>
  <c r="EZ32" i="22"/>
  <c r="BW32" i="22" s="1"/>
  <c r="EY51" i="22"/>
  <c r="EZ51" i="22"/>
  <c r="BW51" i="22" s="1"/>
  <c r="EY52" i="22"/>
  <c r="EZ52" i="22"/>
  <c r="BW52" i="22" s="1"/>
  <c r="EY54" i="22"/>
  <c r="EZ54" i="22"/>
  <c r="BW54" i="22" s="1"/>
  <c r="EY55" i="22"/>
  <c r="EZ55" i="22"/>
  <c r="BW55" i="22" s="1"/>
  <c r="EY56" i="22"/>
  <c r="EZ56" i="22"/>
  <c r="BW56" i="22" s="1"/>
  <c r="EY57" i="22"/>
  <c r="EZ57" i="22"/>
  <c r="BW57" i="22" s="1"/>
  <c r="EY58" i="22"/>
  <c r="EZ58" i="22"/>
  <c r="BW58" i="22" s="1"/>
  <c r="EY59" i="22"/>
  <c r="EZ59" i="22"/>
  <c r="BW59" i="22" s="1"/>
  <c r="EY60" i="22"/>
  <c r="EZ60" i="22"/>
  <c r="BW60" i="22" s="1"/>
  <c r="EY61" i="22"/>
  <c r="EZ61" i="22"/>
  <c r="BW61" i="22" s="1"/>
  <c r="EY63" i="22"/>
  <c r="EZ63" i="22"/>
  <c r="BW63" i="22" s="1"/>
  <c r="EY64" i="22"/>
  <c r="EZ64" i="22"/>
  <c r="BW64" i="22" s="1"/>
  <c r="EY68" i="22"/>
  <c r="EZ68" i="22"/>
  <c r="BW68" i="22" s="1"/>
  <c r="EY69" i="22"/>
  <c r="EZ69" i="22"/>
  <c r="BW69" i="22" s="1"/>
  <c r="EY70" i="22"/>
  <c r="EZ70" i="22"/>
  <c r="BW70" i="22" s="1"/>
  <c r="EY71" i="22"/>
  <c r="EZ71" i="22"/>
  <c r="BW71" i="22" s="1"/>
  <c r="EY72" i="22"/>
  <c r="EZ72" i="22"/>
  <c r="BW72" i="22" s="1"/>
  <c r="EY73" i="22"/>
  <c r="EZ73" i="22"/>
  <c r="BW73" i="22" s="1"/>
  <c r="EY74" i="22"/>
  <c r="EZ74" i="22"/>
  <c r="BW74" i="22" s="1"/>
  <c r="EY75" i="22"/>
  <c r="EZ75" i="22"/>
  <c r="BW75" i="22" s="1"/>
  <c r="EY76" i="22"/>
  <c r="EZ76" i="22"/>
  <c r="BW76" i="22" s="1"/>
  <c r="EY77" i="22"/>
  <c r="EZ77" i="22"/>
  <c r="BW77" i="22" s="1"/>
  <c r="EY97" i="22"/>
  <c r="EZ97" i="22"/>
  <c r="BW97" i="22" s="1"/>
  <c r="EY101" i="22"/>
  <c r="EZ101" i="22"/>
  <c r="BW101" i="22" s="1"/>
  <c r="EY104" i="22"/>
  <c r="EZ104" i="22"/>
  <c r="BW104" i="22" s="1"/>
  <c r="EY2" i="22"/>
  <c r="EZ2" i="22"/>
  <c r="BU1" i="22"/>
  <c r="BV1" i="22"/>
  <c r="DG111" i="1"/>
  <c r="DH111" i="1"/>
  <c r="DI111" i="1"/>
  <c r="DG110" i="1"/>
  <c r="DH110" i="1"/>
  <c r="DI110" i="1"/>
  <c r="DG109" i="1"/>
  <c r="DH109" i="1"/>
  <c r="DI109" i="1"/>
  <c r="DG107" i="1"/>
  <c r="DH107" i="1"/>
  <c r="DI107" i="1"/>
  <c r="BV101" i="22" l="1"/>
  <c r="BV97" i="22"/>
  <c r="BV104" i="22"/>
  <c r="BV75" i="22"/>
  <c r="BV71" i="22"/>
  <c r="BV70" i="22"/>
  <c r="BV63" i="22"/>
  <c r="BV74" i="22"/>
  <c r="BV58" i="22"/>
  <c r="BV77" i="22"/>
  <c r="BV73" i="22"/>
  <c r="BV69" i="22"/>
  <c r="BV76" i="22"/>
  <c r="BV72" i="22"/>
  <c r="BV68" i="22"/>
  <c r="BV60" i="22"/>
  <c r="BV61" i="22"/>
  <c r="BV52" i="22"/>
  <c r="BV57" i="22"/>
  <c r="BV64" i="22"/>
  <c r="BV59" i="22"/>
  <c r="BV55" i="22"/>
  <c r="BV54" i="22"/>
  <c r="BV51" i="22"/>
  <c r="BV56" i="22"/>
  <c r="DG151" i="1"/>
  <c r="CZ13" i="25" l="1"/>
  <c r="CT13" i="25"/>
  <c r="CD13" i="25"/>
  <c r="BZ13" i="25"/>
  <c r="CD13" i="36"/>
  <c r="DH7" i="101"/>
  <c r="DI7" i="101"/>
  <c r="DJ7" i="101"/>
  <c r="DK7" i="101"/>
  <c r="CY12" i="41" l="1"/>
  <c r="CH12" i="41"/>
  <c r="DF153" i="1"/>
  <c r="E10" i="129"/>
  <c r="FD6" i="129"/>
  <c r="FC6" i="129"/>
  <c r="FB6" i="129"/>
  <c r="FA6" i="129"/>
  <c r="EZ6" i="129"/>
  <c r="EY6" i="129"/>
  <c r="EX6" i="129"/>
  <c r="EW6" i="129"/>
  <c r="EV6" i="129"/>
  <c r="EU6" i="129"/>
  <c r="ET6" i="129"/>
  <c r="ES6" i="129"/>
  <c r="ER6" i="129"/>
  <c r="EQ6" i="129"/>
  <c r="EP6" i="129"/>
  <c r="EO6" i="129"/>
  <c r="EN6" i="129"/>
  <c r="EM6" i="129"/>
  <c r="EL6" i="129"/>
  <c r="EK6" i="129"/>
  <c r="EJ6" i="129"/>
  <c r="EI6" i="129"/>
  <c r="EH6" i="129"/>
  <c r="EG6" i="129"/>
  <c r="EF6" i="129"/>
  <c r="EE6" i="129"/>
  <c r="ED6" i="129"/>
  <c r="EC6" i="129"/>
  <c r="EB6" i="129"/>
  <c r="EA6" i="129"/>
  <c r="DZ6" i="129"/>
  <c r="DY6" i="129"/>
  <c r="DX6" i="129"/>
  <c r="DW6" i="129"/>
  <c r="DV6" i="129"/>
  <c r="DU6" i="129"/>
  <c r="DT6" i="129"/>
  <c r="DS6" i="129"/>
  <c r="DR6" i="129"/>
  <c r="DQ6" i="129"/>
  <c r="DP6" i="129"/>
  <c r="DO6" i="129"/>
  <c r="DN6" i="129"/>
  <c r="DM6" i="129"/>
  <c r="DL6" i="129"/>
  <c r="DK6" i="129"/>
  <c r="DJ6" i="129"/>
  <c r="DI6" i="129"/>
  <c r="DH6" i="129"/>
  <c r="DG6" i="129"/>
  <c r="DF6" i="129"/>
  <c r="DE6" i="129"/>
  <c r="DD6" i="129"/>
  <c r="DC6" i="129"/>
  <c r="DB6" i="129"/>
  <c r="DA6" i="129"/>
  <c r="CZ6" i="129"/>
  <c r="CY6" i="129"/>
  <c r="CX6" i="129"/>
  <c r="CW6" i="129"/>
  <c r="CV6" i="129"/>
  <c r="CU6" i="129"/>
  <c r="CT6" i="129"/>
  <c r="CS6" i="129"/>
  <c r="CR6" i="129"/>
  <c r="CQ6" i="129"/>
  <c r="CP6" i="129"/>
  <c r="CO6" i="129"/>
  <c r="CN6" i="129"/>
  <c r="CM6" i="129"/>
  <c r="CL6" i="129"/>
  <c r="CK6" i="129"/>
  <c r="CJ6" i="129"/>
  <c r="CI6" i="129"/>
  <c r="CE6" i="129"/>
  <c r="E2" i="129"/>
  <c r="E13" i="128"/>
  <c r="ET7" i="128"/>
  <c r="ES7" i="128"/>
  <c r="ER7" i="128"/>
  <c r="EQ7" i="128"/>
  <c r="EP7" i="128"/>
  <c r="EO7" i="128"/>
  <c r="EN7" i="128"/>
  <c r="EM7" i="128"/>
  <c r="EL7" i="128"/>
  <c r="EK7" i="128"/>
  <c r="EJ7" i="128"/>
  <c r="EI7" i="128"/>
  <c r="EH7" i="128"/>
  <c r="EG7" i="128"/>
  <c r="EF7" i="128"/>
  <c r="EE7" i="128"/>
  <c r="ED7" i="128"/>
  <c r="EC7" i="128"/>
  <c r="EB7" i="128"/>
  <c r="EA7" i="128"/>
  <c r="DZ7" i="128"/>
  <c r="DY7" i="128"/>
  <c r="DX7" i="128"/>
  <c r="DW7" i="128"/>
  <c r="DV7" i="128"/>
  <c r="DU7" i="128"/>
  <c r="DT7" i="128"/>
  <c r="DS7" i="128"/>
  <c r="DR7" i="128"/>
  <c r="DQ7" i="128"/>
  <c r="DP7" i="128"/>
  <c r="DO7" i="128"/>
  <c r="DN7" i="128"/>
  <c r="DM7" i="128"/>
  <c r="DL7" i="128"/>
  <c r="DK7" i="128"/>
  <c r="DJ7" i="128"/>
  <c r="DI7" i="128"/>
  <c r="DH7" i="128"/>
  <c r="DG7" i="128"/>
  <c r="DF7" i="128"/>
  <c r="DE7" i="128"/>
  <c r="DD7" i="128"/>
  <c r="DC7" i="128"/>
  <c r="DB7" i="128"/>
  <c r="DA7" i="128"/>
  <c r="CZ7" i="128"/>
  <c r="CY7" i="128"/>
  <c r="CX7" i="128"/>
  <c r="CW7" i="128"/>
  <c r="CV7" i="128"/>
  <c r="CU7" i="128"/>
  <c r="CT7" i="128"/>
  <c r="CS7" i="128"/>
  <c r="CR7" i="128"/>
  <c r="CQ7" i="128"/>
  <c r="CP7" i="128"/>
  <c r="CO7" i="128"/>
  <c r="CN7" i="128"/>
  <c r="CM7" i="128"/>
  <c r="CL7" i="128"/>
  <c r="CK7" i="128"/>
  <c r="CJ7" i="128"/>
  <c r="CI7" i="128"/>
  <c r="CE7" i="128"/>
  <c r="F10" i="129" l="1"/>
  <c r="BT49" i="22"/>
  <c r="BT96" i="22"/>
  <c r="BT99" i="22"/>
  <c r="BT102" i="22"/>
  <c r="BT103" i="22"/>
  <c r="BT105" i="22"/>
  <c r="BT113" i="22"/>
  <c r="BT114" i="22"/>
  <c r="BT115" i="22"/>
  <c r="BT121" i="22"/>
  <c r="EX51" i="22"/>
  <c r="BU51" i="22" s="1"/>
  <c r="EX52" i="22"/>
  <c r="BU52" i="22" s="1"/>
  <c r="EX54" i="22"/>
  <c r="BU54" i="22" s="1"/>
  <c r="EX55" i="22"/>
  <c r="BU55" i="22" s="1"/>
  <c r="EX56" i="22"/>
  <c r="BU56" i="22" s="1"/>
  <c r="EX57" i="22"/>
  <c r="BU57" i="22" s="1"/>
  <c r="EX58" i="22"/>
  <c r="BU58" i="22" s="1"/>
  <c r="EX59" i="22"/>
  <c r="BU59" i="22" s="1"/>
  <c r="EX60" i="22"/>
  <c r="BU60" i="22" s="1"/>
  <c r="EX61" i="22"/>
  <c r="BU61" i="22" s="1"/>
  <c r="EX63" i="22"/>
  <c r="BU63" i="22" s="1"/>
  <c r="EX64" i="22"/>
  <c r="BU64" i="22" s="1"/>
  <c r="EX68" i="22"/>
  <c r="BU68" i="22" s="1"/>
  <c r="EX69" i="22"/>
  <c r="BU69" i="22" s="1"/>
  <c r="EX70" i="22"/>
  <c r="BU70" i="22" s="1"/>
  <c r="EX71" i="22"/>
  <c r="BU71" i="22" s="1"/>
  <c r="EX72" i="22"/>
  <c r="BU72" i="22" s="1"/>
  <c r="EX73" i="22"/>
  <c r="BU73" i="22" s="1"/>
  <c r="EX74" i="22"/>
  <c r="BU74" i="22" s="1"/>
  <c r="EX75" i="22"/>
  <c r="BU75" i="22" s="1"/>
  <c r="EX76" i="22"/>
  <c r="BU76" i="22" s="1"/>
  <c r="EX77" i="22"/>
  <c r="BU77" i="22" s="1"/>
  <c r="EX97" i="22"/>
  <c r="BU97" i="22" s="1"/>
  <c r="EX101" i="22"/>
  <c r="BU101" i="22" s="1"/>
  <c r="EX104" i="22"/>
  <c r="BU104" i="22" s="1"/>
  <c r="EX2" i="22"/>
  <c r="BS49" i="22"/>
  <c r="BS96" i="22"/>
  <c r="BS99" i="22"/>
  <c r="BS102" i="22"/>
  <c r="BS103" i="22"/>
  <c r="BS105" i="22"/>
  <c r="BS113" i="22"/>
  <c r="BS114" i="22"/>
  <c r="BS115" i="22"/>
  <c r="BS121" i="22"/>
  <c r="BS1" i="22"/>
  <c r="BT1" i="22"/>
  <c r="DF107" i="1"/>
  <c r="DD106" i="1"/>
  <c r="DF116" i="1"/>
  <c r="EX82" i="22" s="1"/>
  <c r="DG116" i="1"/>
  <c r="EY82" i="22" s="1"/>
  <c r="DH116" i="1"/>
  <c r="EZ82" i="22" s="1"/>
  <c r="DI116" i="1"/>
  <c r="FA82" i="22" s="1"/>
  <c r="DJ116" i="1"/>
  <c r="FB82" i="22" s="1"/>
  <c r="BY82" i="22" s="1"/>
  <c r="DF91" i="1"/>
  <c r="DG91" i="1"/>
  <c r="DH91" i="1"/>
  <c r="DI91" i="1"/>
  <c r="DJ91" i="1"/>
  <c r="DF67" i="1"/>
  <c r="DG67" i="1"/>
  <c r="DH67" i="1"/>
  <c r="DI67" i="1"/>
  <c r="DJ67" i="1"/>
  <c r="DF56" i="1"/>
  <c r="DG56" i="1"/>
  <c r="DH56" i="1"/>
  <c r="DI56" i="1"/>
  <c r="DJ56" i="1"/>
  <c r="DK56" i="1"/>
  <c r="DF6" i="1"/>
  <c r="DG6" i="1"/>
  <c r="DH6" i="1"/>
  <c r="DI6" i="1"/>
  <c r="DJ6" i="1"/>
  <c r="BW82" i="22" l="1"/>
  <c r="BX82" i="22"/>
  <c r="BU82" i="22"/>
  <c r="BV82" i="22"/>
  <c r="EW51" i="22"/>
  <c r="EW52" i="22"/>
  <c r="EW54" i="22"/>
  <c r="EW55" i="22"/>
  <c r="EW56" i="22"/>
  <c r="EW57" i="22"/>
  <c r="EW58" i="22"/>
  <c r="EW59" i="22"/>
  <c r="EW60" i="22"/>
  <c r="EW61" i="22"/>
  <c r="EW63" i="22"/>
  <c r="EW64" i="22"/>
  <c r="EW68" i="22"/>
  <c r="EW69" i="22"/>
  <c r="EW70" i="22"/>
  <c r="EW71" i="22"/>
  <c r="EW72" i="22"/>
  <c r="EW73" i="22"/>
  <c r="EW74" i="22"/>
  <c r="EW75" i="22"/>
  <c r="EW76" i="22"/>
  <c r="EW77" i="22"/>
  <c r="EW97" i="22"/>
  <c r="EW101" i="22"/>
  <c r="EW104" i="22"/>
  <c r="EW2" i="22"/>
  <c r="DE153" i="1"/>
  <c r="DE66" i="1"/>
  <c r="DF66" i="1"/>
  <c r="DG66" i="1"/>
  <c r="DH66" i="1"/>
  <c r="DI66" i="1"/>
  <c r="DJ66" i="1"/>
  <c r="DK66" i="1"/>
  <c r="DL66" i="1"/>
  <c r="DF71" i="1"/>
  <c r="EX53" i="22" s="1"/>
  <c r="DG71" i="1"/>
  <c r="EY53" i="22" s="1"/>
  <c r="DH71" i="1"/>
  <c r="EZ53" i="22" s="1"/>
  <c r="DI71" i="1"/>
  <c r="FA53" i="22" s="1"/>
  <c r="DJ71" i="1"/>
  <c r="FB53" i="22" s="1"/>
  <c r="BY53" i="22" s="1"/>
  <c r="DA71" i="1"/>
  <c r="DB71" i="1"/>
  <c r="DC71" i="1"/>
  <c r="EU53" i="22" s="1"/>
  <c r="DD71" i="1"/>
  <c r="EV53" i="22" s="1"/>
  <c r="DE71" i="1"/>
  <c r="EW53" i="22" s="1"/>
  <c r="AX11" i="82"/>
  <c r="E28" i="70"/>
  <c r="DE107" i="1"/>
  <c r="BR49" i="22"/>
  <c r="BR96" i="22"/>
  <c r="BR99" i="22"/>
  <c r="BR102" i="22"/>
  <c r="BR103" i="22"/>
  <c r="BR105" i="22"/>
  <c r="BR113" i="22"/>
  <c r="BR114" i="22"/>
  <c r="BR115" i="22"/>
  <c r="BR121" i="22"/>
  <c r="BR1" i="22"/>
  <c r="EV51" i="22"/>
  <c r="EV52" i="22"/>
  <c r="EV54" i="22"/>
  <c r="EV55" i="22"/>
  <c r="EV56" i="22"/>
  <c r="EV57" i="22"/>
  <c r="EV58" i="22"/>
  <c r="EV59" i="22"/>
  <c r="EV60" i="22"/>
  <c r="EV61" i="22"/>
  <c r="EV63" i="22"/>
  <c r="EV64" i="22"/>
  <c r="EV68" i="22"/>
  <c r="EV69" i="22"/>
  <c r="EV70" i="22"/>
  <c r="EV71" i="22"/>
  <c r="EV72" i="22"/>
  <c r="EV73" i="22"/>
  <c r="EV74" i="22"/>
  <c r="EV75" i="22"/>
  <c r="EV76" i="22"/>
  <c r="EV77" i="22"/>
  <c r="EV97" i="22"/>
  <c r="EV101" i="22"/>
  <c r="EV2" i="22"/>
  <c r="DD66" i="1"/>
  <c r="DD10" i="1"/>
  <c r="DE10" i="1"/>
  <c r="DF10" i="1"/>
  <c r="DG10" i="1"/>
  <c r="DH10" i="1"/>
  <c r="DI10" i="1"/>
  <c r="DD144" i="1"/>
  <c r="DE144" i="1"/>
  <c r="DF144" i="1"/>
  <c r="DG144" i="1"/>
  <c r="DH144" i="1"/>
  <c r="DI144" i="1"/>
  <c r="DD107" i="1"/>
  <c r="DS25" i="118"/>
  <c r="DT25" i="118"/>
  <c r="DU25" i="118"/>
  <c r="DV25" i="118"/>
  <c r="DW25" i="118"/>
  <c r="DX25" i="118"/>
  <c r="DY25" i="118"/>
  <c r="DZ25" i="118"/>
  <c r="EA25" i="118"/>
  <c r="EB25" i="118"/>
  <c r="EC25" i="118"/>
  <c r="ED25" i="118"/>
  <c r="EE25" i="118"/>
  <c r="EF25" i="118"/>
  <c r="EG25" i="118"/>
  <c r="EH25" i="118"/>
  <c r="EI25" i="118"/>
  <c r="EJ25" i="118"/>
  <c r="EK25" i="118"/>
  <c r="EL25" i="118"/>
  <c r="EM25" i="118"/>
  <c r="EN25" i="118"/>
  <c r="EO25" i="118"/>
  <c r="EP25" i="118"/>
  <c r="EQ25" i="118"/>
  <c r="ER25" i="118"/>
  <c r="ES25" i="118"/>
  <c r="ET25" i="118"/>
  <c r="EU25" i="118"/>
  <c r="EV25" i="118"/>
  <c r="EW25" i="118"/>
  <c r="EX25" i="118"/>
  <c r="EY25" i="118"/>
  <c r="EZ25" i="118"/>
  <c r="FA25" i="118"/>
  <c r="FB25" i="118"/>
  <c r="FC25" i="118"/>
  <c r="FD25" i="118"/>
  <c r="FE25" i="118"/>
  <c r="FF25" i="118"/>
  <c r="EB14" i="118"/>
  <c r="EC14" i="118"/>
  <c r="ED14" i="118"/>
  <c r="EE14" i="118"/>
  <c r="EF14" i="118"/>
  <c r="EG14" i="118"/>
  <c r="EH14" i="118"/>
  <c r="EI14" i="118"/>
  <c r="EJ14" i="118"/>
  <c r="EK14" i="118"/>
  <c r="EL14" i="118"/>
  <c r="EM14" i="118"/>
  <c r="EN14" i="118"/>
  <c r="EO14" i="118"/>
  <c r="EP14" i="118"/>
  <c r="EQ14" i="118"/>
  <c r="ER14" i="118"/>
  <c r="ES14" i="118"/>
  <c r="ET14" i="118"/>
  <c r="EU14" i="118"/>
  <c r="EV14" i="118"/>
  <c r="EW14" i="118"/>
  <c r="EX14" i="118"/>
  <c r="EY14" i="118"/>
  <c r="EZ14" i="118"/>
  <c r="FA14" i="118"/>
  <c r="FB14" i="118"/>
  <c r="FC14" i="118"/>
  <c r="FD14" i="118"/>
  <c r="FE14" i="118"/>
  <c r="FF14" i="118"/>
  <c r="FG14" i="118"/>
  <c r="F14" i="118"/>
  <c r="E14" i="118"/>
  <c r="DC105" i="1"/>
  <c r="DD105" i="1"/>
  <c r="DE105" i="1"/>
  <c r="DF105" i="1"/>
  <c r="DG105" i="1"/>
  <c r="DH105" i="1"/>
  <c r="DI105" i="1"/>
  <c r="BP49" i="22"/>
  <c r="BQ49" i="22"/>
  <c r="BP96" i="22"/>
  <c r="BQ96" i="22"/>
  <c r="BP99" i="22"/>
  <c r="BQ99" i="22"/>
  <c r="BP102" i="22"/>
  <c r="BQ102" i="22"/>
  <c r="BP103" i="22"/>
  <c r="BQ103" i="22"/>
  <c r="BP105" i="22"/>
  <c r="BQ105" i="22"/>
  <c r="BP113" i="22"/>
  <c r="BQ113" i="22"/>
  <c r="BP114" i="22"/>
  <c r="BQ114" i="22"/>
  <c r="BP115" i="22"/>
  <c r="BQ115" i="22"/>
  <c r="BP121" i="22"/>
  <c r="BQ121" i="22"/>
  <c r="ET51" i="22"/>
  <c r="EU51" i="22"/>
  <c r="ET52" i="22"/>
  <c r="EU52" i="22"/>
  <c r="ET54" i="22"/>
  <c r="EU54" i="22"/>
  <c r="ET55" i="22"/>
  <c r="EU55" i="22"/>
  <c r="ET56" i="22"/>
  <c r="EU56" i="22"/>
  <c r="ET57" i="22"/>
  <c r="EU57" i="22"/>
  <c r="ET58" i="22"/>
  <c r="EU58" i="22"/>
  <c r="ET59" i="22"/>
  <c r="EU59" i="22"/>
  <c r="ET60" i="22"/>
  <c r="EU60" i="22"/>
  <c r="ET61" i="22"/>
  <c r="EU61" i="22"/>
  <c r="ET63" i="22"/>
  <c r="EU63" i="22"/>
  <c r="ET64" i="22"/>
  <c r="EU64" i="22"/>
  <c r="ET68" i="22"/>
  <c r="EU68" i="22"/>
  <c r="ET69" i="22"/>
  <c r="EU69" i="22"/>
  <c r="ET70" i="22"/>
  <c r="EU70" i="22"/>
  <c r="ET71" i="22"/>
  <c r="EU71" i="22"/>
  <c r="ET72" i="22"/>
  <c r="EU72" i="22"/>
  <c r="ET73" i="22"/>
  <c r="EU73" i="22"/>
  <c r="ET74" i="22"/>
  <c r="EU74" i="22"/>
  <c r="ET75" i="22"/>
  <c r="EU75" i="22"/>
  <c r="ET76" i="22"/>
  <c r="EU76" i="22"/>
  <c r="ET77" i="22"/>
  <c r="EU77" i="22"/>
  <c r="ET97" i="22"/>
  <c r="EU97" i="22"/>
  <c r="ET101" i="22"/>
  <c r="EU101" i="22"/>
  <c r="ET2" i="22"/>
  <c r="EU2" i="22"/>
  <c r="BP1" i="22"/>
  <c r="BQ1" i="22"/>
  <c r="DC111" i="1"/>
  <c r="DD111" i="1"/>
  <c r="DE111" i="1"/>
  <c r="DF111" i="1"/>
  <c r="DC109" i="1"/>
  <c r="DD109" i="1"/>
  <c r="DE109" i="1"/>
  <c r="DF109" i="1"/>
  <c r="DC110" i="1"/>
  <c r="DD110" i="1"/>
  <c r="DE110" i="1"/>
  <c r="DF110" i="1"/>
  <c r="DC10" i="1"/>
  <c r="BX53" i="22" l="1"/>
  <c r="BW53" i="22"/>
  <c r="BT104" i="22"/>
  <c r="BT101" i="22"/>
  <c r="BT97" i="22"/>
  <c r="BT75" i="22"/>
  <c r="BT74" i="22"/>
  <c r="BT63" i="22"/>
  <c r="BT54" i="22"/>
  <c r="BT76" i="22"/>
  <c r="BT73" i="22"/>
  <c r="BT61" i="22"/>
  <c r="BT52" i="22"/>
  <c r="BT72" i="22"/>
  <c r="BT60" i="22"/>
  <c r="BT51" i="22"/>
  <c r="BT71" i="22"/>
  <c r="BT59" i="22"/>
  <c r="BT56" i="22"/>
  <c r="BT55" i="22"/>
  <c r="BT70" i="22"/>
  <c r="BT58" i="22"/>
  <c r="BT68" i="22"/>
  <c r="BT64" i="22"/>
  <c r="BT77" i="22"/>
  <c r="BT69" i="22"/>
  <c r="BT57" i="22"/>
  <c r="BS101" i="22"/>
  <c r="BS97" i="22"/>
  <c r="BV53" i="22"/>
  <c r="BS77" i="22"/>
  <c r="BS57" i="22"/>
  <c r="BS72" i="22"/>
  <c r="BS71" i="22"/>
  <c r="BS69" i="22"/>
  <c r="BU53" i="22"/>
  <c r="BS52" i="22"/>
  <c r="BR97" i="22"/>
  <c r="BS59" i="22"/>
  <c r="BS56" i="22"/>
  <c r="BS64" i="22"/>
  <c r="BS55" i="22"/>
  <c r="BS63" i="22"/>
  <c r="BS68" i="22"/>
  <c r="BS76" i="22"/>
  <c r="BS60" i="22"/>
  <c r="BS70" i="22"/>
  <c r="BS73" i="22"/>
  <c r="BS75" i="22"/>
  <c r="BS74" i="22"/>
  <c r="BS51" i="22"/>
  <c r="BS58" i="22"/>
  <c r="BS54" i="22"/>
  <c r="BT53" i="22"/>
  <c r="BS61" i="22"/>
  <c r="BS53" i="22"/>
  <c r="BR64" i="22"/>
  <c r="BQ97" i="22"/>
  <c r="BR101" i="22"/>
  <c r="BQ101" i="22"/>
  <c r="BR55" i="22"/>
  <c r="BR73" i="22"/>
  <c r="BR61" i="22"/>
  <c r="BR53" i="22"/>
  <c r="BR75" i="22"/>
  <c r="BR54" i="22"/>
  <c r="BR56" i="22"/>
  <c r="BR77" i="22"/>
  <c r="BR69" i="22"/>
  <c r="BR57" i="22"/>
  <c r="BR72" i="22"/>
  <c r="BR52" i="22"/>
  <c r="BR51" i="22"/>
  <c r="BR74" i="22"/>
  <c r="BR59" i="22"/>
  <c r="BR70" i="22"/>
  <c r="BR63" i="22"/>
  <c r="BR60" i="22"/>
  <c r="BR58" i="22"/>
  <c r="BR76" i="22"/>
  <c r="BR68" i="22"/>
  <c r="BR71" i="22"/>
  <c r="BQ74" i="22"/>
  <c r="BQ73" i="22"/>
  <c r="BQ69" i="22"/>
  <c r="BQ76" i="22"/>
  <c r="BQ72" i="22"/>
  <c r="BQ75" i="22"/>
  <c r="BQ77" i="22"/>
  <c r="BQ61" i="22"/>
  <c r="BQ68" i="22"/>
  <c r="BQ71" i="22"/>
  <c r="BQ64" i="22"/>
  <c r="BQ57" i="22"/>
  <c r="BQ60" i="22"/>
  <c r="BQ59" i="22"/>
  <c r="BQ52" i="22"/>
  <c r="BQ54" i="22"/>
  <c r="BQ63" i="22"/>
  <c r="BQ56" i="22"/>
  <c r="BQ55" i="22"/>
  <c r="BQ51" i="22"/>
  <c r="BQ70" i="22"/>
  <c r="BQ58" i="22"/>
  <c r="DA150" i="1"/>
  <c r="DB150" i="1"/>
  <c r="DC150" i="1"/>
  <c r="DD150" i="1"/>
  <c r="DE150" i="1"/>
  <c r="DF150" i="1"/>
  <c r="DG150" i="1"/>
  <c r="DH150" i="1"/>
  <c r="DI150" i="1"/>
  <c r="DJ150" i="1"/>
  <c r="DB148" i="1"/>
  <c r="DC148" i="1"/>
  <c r="DD148" i="1"/>
  <c r="DE148" i="1"/>
  <c r="DF148" i="1"/>
  <c r="DG148" i="1"/>
  <c r="DH148" i="1"/>
  <c r="DI148" i="1"/>
  <c r="DJ148" i="1"/>
  <c r="DB87" i="1"/>
  <c r="DB88" i="1" s="1"/>
  <c r="ET65" i="22" s="1"/>
  <c r="DC87" i="1"/>
  <c r="DC88" i="1" s="1"/>
  <c r="EU65" i="22" s="1"/>
  <c r="DD87" i="1"/>
  <c r="DD88" i="1" s="1"/>
  <c r="EV65" i="22" s="1"/>
  <c r="DE87" i="1"/>
  <c r="DE88" i="1" s="1"/>
  <c r="EW65" i="22" s="1"/>
  <c r="DF87" i="1"/>
  <c r="DF88" i="1" s="1"/>
  <c r="EX65" i="22" s="1"/>
  <c r="DG87" i="1"/>
  <c r="DG88" i="1" s="1"/>
  <c r="EY65" i="22" s="1"/>
  <c r="DH87" i="1"/>
  <c r="DH88" i="1" s="1"/>
  <c r="EZ65" i="22" s="1"/>
  <c r="DI87" i="1"/>
  <c r="DI88" i="1" s="1"/>
  <c r="FA65" i="22" s="1"/>
  <c r="BX65" i="22" s="1"/>
  <c r="DB41" i="1"/>
  <c r="DC41" i="1"/>
  <c r="DD41" i="1"/>
  <c r="DE41" i="1"/>
  <c r="DF41" i="1"/>
  <c r="DG41" i="1"/>
  <c r="DH41" i="1"/>
  <c r="DI41" i="1"/>
  <c r="DB34" i="1"/>
  <c r="DC34" i="1"/>
  <c r="DD34" i="1"/>
  <c r="DE34" i="1"/>
  <c r="DF34" i="1"/>
  <c r="DG34" i="1"/>
  <c r="DH34" i="1"/>
  <c r="DI34" i="1"/>
  <c r="DB33" i="1"/>
  <c r="DC33" i="1"/>
  <c r="DD33" i="1"/>
  <c r="DE33" i="1"/>
  <c r="DF33" i="1"/>
  <c r="DG33" i="1"/>
  <c r="DH33" i="1"/>
  <c r="DI33" i="1"/>
  <c r="DB29" i="1"/>
  <c r="DC29" i="1"/>
  <c r="DD29" i="1"/>
  <c r="DE29" i="1"/>
  <c r="DF29" i="1"/>
  <c r="DG29" i="1"/>
  <c r="DH29" i="1"/>
  <c r="DI29" i="1"/>
  <c r="DB30" i="1"/>
  <c r="DC30" i="1"/>
  <c r="DD30" i="1"/>
  <c r="DE30" i="1"/>
  <c r="DF30" i="1"/>
  <c r="DG30" i="1"/>
  <c r="DH30" i="1"/>
  <c r="DB10" i="1"/>
  <c r="DC84" i="1"/>
  <c r="EU62" i="22" s="1"/>
  <c r="DD84" i="1"/>
  <c r="EV62" i="22" s="1"/>
  <c r="DE84" i="1"/>
  <c r="EW62" i="22" s="1"/>
  <c r="DF84" i="1"/>
  <c r="EX62" i="22" s="1"/>
  <c r="DG84" i="1"/>
  <c r="EY62" i="22" s="1"/>
  <c r="DH84" i="1"/>
  <c r="EZ62" i="22" s="1"/>
  <c r="DI84" i="1"/>
  <c r="FA62" i="22" s="1"/>
  <c r="BX62" i="22" s="1"/>
  <c r="DB84" i="1"/>
  <c r="ET62" i="22" s="1"/>
  <c r="DB47" i="1"/>
  <c r="DC47" i="1"/>
  <c r="DD47" i="1"/>
  <c r="DE47" i="1"/>
  <c r="DF47" i="1"/>
  <c r="DG47" i="1"/>
  <c r="DB82" i="1"/>
  <c r="ET48" i="22" s="1"/>
  <c r="DC82" i="1"/>
  <c r="EU48" i="22" s="1"/>
  <c r="DD82" i="1"/>
  <c r="EV48" i="22" s="1"/>
  <c r="DE82" i="1"/>
  <c r="EW48" i="22" s="1"/>
  <c r="DF82" i="1"/>
  <c r="EX48" i="22" s="1"/>
  <c r="DG82" i="1"/>
  <c r="EY48" i="22" s="1"/>
  <c r="DH82" i="1"/>
  <c r="EZ48" i="22" s="1"/>
  <c r="DI82" i="1"/>
  <c r="FA48" i="22" s="1"/>
  <c r="BX48" i="22" s="1"/>
  <c r="ET53" i="22"/>
  <c r="BQ53" i="22" s="1"/>
  <c r="DB25" i="1"/>
  <c r="DC25" i="1"/>
  <c r="DD25" i="1"/>
  <c r="DE25" i="1"/>
  <c r="DF25" i="1"/>
  <c r="DG25" i="1"/>
  <c r="DH25" i="1"/>
  <c r="DI25" i="1"/>
  <c r="DJ25" i="1"/>
  <c r="DB21" i="1"/>
  <c r="DC21" i="1"/>
  <c r="DD21" i="1"/>
  <c r="DE21" i="1"/>
  <c r="DG21" i="1"/>
  <c r="DH21" i="1"/>
  <c r="DI21" i="1"/>
  <c r="DJ21" i="1"/>
  <c r="BO1" i="22"/>
  <c r="BO49" i="22"/>
  <c r="BO96" i="22"/>
  <c r="BO99" i="22"/>
  <c r="BO102" i="22"/>
  <c r="BO103" i="22"/>
  <c r="BO105" i="22"/>
  <c r="BO113" i="22"/>
  <c r="BO114" i="22"/>
  <c r="BO115" i="22"/>
  <c r="BO121" i="22"/>
  <c r="BN1" i="22"/>
  <c r="BN49" i="22"/>
  <c r="BN96" i="22"/>
  <c r="BN99" i="22"/>
  <c r="BN102" i="22"/>
  <c r="BN103" i="22"/>
  <c r="BN105" i="22"/>
  <c r="BN113" i="22"/>
  <c r="BN114" i="22"/>
  <c r="BN115" i="22"/>
  <c r="BN121" i="22"/>
  <c r="ES2" i="22"/>
  <c r="ES51" i="22"/>
  <c r="ES52" i="22"/>
  <c r="BP52" i="22" s="1"/>
  <c r="ES54" i="22"/>
  <c r="BP54" i="22" s="1"/>
  <c r="ES55" i="22"/>
  <c r="BP55" i="22" s="1"/>
  <c r="ES56" i="22"/>
  <c r="BP56" i="22" s="1"/>
  <c r="ES57" i="22"/>
  <c r="BP57" i="22" s="1"/>
  <c r="ES58" i="22"/>
  <c r="BP58" i="22" s="1"/>
  <c r="ES59" i="22"/>
  <c r="BP59" i="22" s="1"/>
  <c r="ES60" i="22"/>
  <c r="BP60" i="22" s="1"/>
  <c r="ES61" i="22"/>
  <c r="BP61" i="22" s="1"/>
  <c r="ES63" i="22"/>
  <c r="BP63" i="22" s="1"/>
  <c r="ES64" i="22"/>
  <c r="ES68" i="22"/>
  <c r="ES69" i="22"/>
  <c r="BP69" i="22" s="1"/>
  <c r="ES70" i="22"/>
  <c r="BP70" i="22" s="1"/>
  <c r="ES71" i="22"/>
  <c r="ES72" i="22"/>
  <c r="ES73" i="22"/>
  <c r="BP73" i="22" s="1"/>
  <c r="ES74" i="22"/>
  <c r="BP74" i="22" s="1"/>
  <c r="ES75" i="22"/>
  <c r="BP75" i="22" s="1"/>
  <c r="ES76" i="22"/>
  <c r="ES77" i="22"/>
  <c r="BP77" i="22" s="1"/>
  <c r="ES97" i="22"/>
  <c r="BP97" i="22" s="1"/>
  <c r="ES101" i="22"/>
  <c r="BP101" i="22" s="1"/>
  <c r="BW48" i="22" l="1"/>
  <c r="BW62" i="22"/>
  <c r="BW65" i="22"/>
  <c r="BU48" i="22"/>
  <c r="BU65" i="22"/>
  <c r="BU62" i="22"/>
  <c r="BV48" i="22"/>
  <c r="BV65" i="22"/>
  <c r="BV62" i="22"/>
  <c r="BT48" i="22"/>
  <c r="BS65" i="22"/>
  <c r="BT62" i="22"/>
  <c r="BT65" i="22"/>
  <c r="BS48" i="22"/>
  <c r="BS62" i="22"/>
  <c r="BP72" i="22"/>
  <c r="BP76" i="22"/>
  <c r="BP64" i="22"/>
  <c r="BP51" i="22"/>
  <c r="BP71" i="22"/>
  <c r="BP68" i="22"/>
  <c r="BR62" i="22"/>
  <c r="BR48" i="22"/>
  <c r="BR65" i="22"/>
  <c r="BQ62" i="22"/>
  <c r="BQ48" i="22"/>
  <c r="BQ65" i="22"/>
  <c r="EE24" i="127"/>
  <c r="EF24" i="127"/>
  <c r="F13" i="127"/>
  <c r="E13" i="127"/>
  <c r="ED7" i="127"/>
  <c r="EC7" i="127"/>
  <c r="EB7" i="127"/>
  <c r="EA7" i="127"/>
  <c r="DZ7" i="127"/>
  <c r="DY7" i="127"/>
  <c r="DX7" i="127"/>
  <c r="DW7" i="127"/>
  <c r="DV7" i="127"/>
  <c r="DU7" i="127"/>
  <c r="DT7" i="127"/>
  <c r="DS7" i="127"/>
  <c r="DR7" i="127"/>
  <c r="DQ7" i="127"/>
  <c r="DP7" i="127"/>
  <c r="DO7" i="127"/>
  <c r="DN7" i="127"/>
  <c r="DM7" i="127"/>
  <c r="DL7" i="127"/>
  <c r="DK7" i="127"/>
  <c r="DJ7" i="127"/>
  <c r="DI7" i="127"/>
  <c r="DH7" i="127"/>
  <c r="DG7" i="127"/>
  <c r="DF7" i="127"/>
  <c r="DE7" i="127"/>
  <c r="DD7" i="127"/>
  <c r="DC7" i="127"/>
  <c r="DB7" i="127"/>
  <c r="DA7" i="127"/>
  <c r="CZ7" i="127"/>
  <c r="CY7" i="127"/>
  <c r="CX7" i="127"/>
  <c r="CW7" i="127"/>
  <c r="CV7" i="127"/>
  <c r="CU7" i="127"/>
  <c r="CT7" i="127"/>
  <c r="CS7" i="127"/>
  <c r="CR7" i="127"/>
  <c r="CQ7" i="127"/>
  <c r="CP7" i="127"/>
  <c r="CO7" i="127"/>
  <c r="CN7" i="127"/>
  <c r="CM7" i="127"/>
  <c r="CL7" i="127"/>
  <c r="CK7" i="127"/>
  <c r="CJ7" i="127"/>
  <c r="CI7" i="127"/>
  <c r="CE7" i="127"/>
  <c r="A154" i="1"/>
  <c r="ER2" i="22" l="1"/>
  <c r="BA49" i="22"/>
  <c r="BA96" i="22"/>
  <c r="BA99" i="22"/>
  <c r="BA102" i="22"/>
  <c r="BA103" i="22"/>
  <c r="BA105" i="22"/>
  <c r="BA113" i="22"/>
  <c r="BA114" i="22"/>
  <c r="BA115" i="22"/>
  <c r="BA121" i="22"/>
  <c r="ER51" i="22" l="1"/>
  <c r="BO51" i="22" s="1"/>
  <c r="ER52" i="22"/>
  <c r="BO52" i="22" s="1"/>
  <c r="ER54" i="22"/>
  <c r="BO54" i="22" s="1"/>
  <c r="ER55" i="22"/>
  <c r="BO55" i="22" s="1"/>
  <c r="ER56" i="22"/>
  <c r="BO56" i="22" s="1"/>
  <c r="ER57" i="22"/>
  <c r="BO57" i="22" s="1"/>
  <c r="ER58" i="22"/>
  <c r="BO58" i="22" s="1"/>
  <c r="ER59" i="22"/>
  <c r="BO59" i="22" s="1"/>
  <c r="ER60" i="22"/>
  <c r="BO60" i="22" s="1"/>
  <c r="ER61" i="22"/>
  <c r="BO61" i="22" s="1"/>
  <c r="ER63" i="22"/>
  <c r="BO63" i="22" s="1"/>
  <c r="ER64" i="22"/>
  <c r="BO64" i="22" s="1"/>
  <c r="ER68" i="22"/>
  <c r="BO68" i="22" s="1"/>
  <c r="ER69" i="22"/>
  <c r="BO69" i="22" s="1"/>
  <c r="ER70" i="22"/>
  <c r="BO70" i="22" s="1"/>
  <c r="ER71" i="22"/>
  <c r="BO71" i="22" s="1"/>
  <c r="ER72" i="22"/>
  <c r="BO72" i="22" s="1"/>
  <c r="ER73" i="22"/>
  <c r="BO73" i="22" s="1"/>
  <c r="ER74" i="22"/>
  <c r="BO74" i="22" s="1"/>
  <c r="ER75" i="22"/>
  <c r="BO75" i="22" s="1"/>
  <c r="ER76" i="22"/>
  <c r="BO76" i="22" s="1"/>
  <c r="ER77" i="22"/>
  <c r="BO77" i="22" s="1"/>
  <c r="ER101" i="22"/>
  <c r="BO101" i="22" s="1"/>
  <c r="BB102" i="22" l="1"/>
  <c r="BC102" i="22"/>
  <c r="BD102" i="22"/>
  <c r="BE102" i="22"/>
  <c r="BF102" i="22"/>
  <c r="BG102" i="22"/>
  <c r="BH102" i="22"/>
  <c r="BI102" i="22"/>
  <c r="BJ102" i="22"/>
  <c r="BK102" i="22"/>
  <c r="BL102" i="22"/>
  <c r="BM102" i="22"/>
  <c r="BB103" i="22"/>
  <c r="BC103" i="22"/>
  <c r="BD103" i="22"/>
  <c r="BE103" i="22"/>
  <c r="BF103" i="22"/>
  <c r="BG103" i="22"/>
  <c r="BH103" i="22"/>
  <c r="BI103" i="22"/>
  <c r="BJ103" i="22"/>
  <c r="BK103" i="22"/>
  <c r="BL103" i="22"/>
  <c r="BM103" i="22"/>
  <c r="BB105" i="22"/>
  <c r="BC105" i="22"/>
  <c r="BD105" i="22"/>
  <c r="BE105" i="22"/>
  <c r="BF105" i="22"/>
  <c r="BG105" i="22"/>
  <c r="BH105" i="22"/>
  <c r="BI105" i="22"/>
  <c r="BJ105" i="22"/>
  <c r="BK105" i="22"/>
  <c r="BL105" i="22"/>
  <c r="BM105" i="22"/>
  <c r="BB113" i="22"/>
  <c r="BC113" i="22"/>
  <c r="BD113" i="22"/>
  <c r="BE113" i="22"/>
  <c r="BF113" i="22"/>
  <c r="BG113" i="22"/>
  <c r="BH113" i="22"/>
  <c r="BI113" i="22"/>
  <c r="BJ113" i="22"/>
  <c r="BK113" i="22"/>
  <c r="BL113" i="22"/>
  <c r="BM113" i="22"/>
  <c r="BB114" i="22"/>
  <c r="BC114" i="22"/>
  <c r="BD114" i="22"/>
  <c r="BE114" i="22"/>
  <c r="BF114" i="22"/>
  <c r="BG114" i="22"/>
  <c r="BH114" i="22"/>
  <c r="BI114" i="22"/>
  <c r="BJ114" i="22"/>
  <c r="BK114" i="22"/>
  <c r="BL114" i="22"/>
  <c r="BM114" i="22"/>
  <c r="BB115" i="22"/>
  <c r="BC115" i="22"/>
  <c r="BD115" i="22"/>
  <c r="BE115" i="22"/>
  <c r="BF115" i="22"/>
  <c r="BG115" i="22"/>
  <c r="BH115" i="22"/>
  <c r="BI115" i="22"/>
  <c r="BJ115" i="22"/>
  <c r="BK115" i="22"/>
  <c r="BL115" i="22"/>
  <c r="BM115" i="22"/>
  <c r="BB121" i="22"/>
  <c r="BC121" i="22"/>
  <c r="BD121" i="22"/>
  <c r="BE121" i="22"/>
  <c r="BF121" i="22"/>
  <c r="BG121" i="22"/>
  <c r="BH121" i="22"/>
  <c r="BI121" i="22"/>
  <c r="BJ121" i="22"/>
  <c r="BK121" i="22"/>
  <c r="BL121" i="22"/>
  <c r="BM121" i="22"/>
  <c r="EH101" i="22"/>
  <c r="EI101" i="22"/>
  <c r="EJ101" i="22"/>
  <c r="EK101" i="22"/>
  <c r="EL101" i="22"/>
  <c r="EM101" i="22"/>
  <c r="EN101" i="22"/>
  <c r="EO101" i="22"/>
  <c r="EP101" i="22"/>
  <c r="EQ101" i="22"/>
  <c r="BB96" i="22"/>
  <c r="BC96" i="22"/>
  <c r="BD96" i="22"/>
  <c r="BE96" i="22"/>
  <c r="BF96" i="22"/>
  <c r="BG96" i="22"/>
  <c r="BH96" i="22"/>
  <c r="BI96" i="22"/>
  <c r="BJ96" i="22"/>
  <c r="BK96" i="22"/>
  <c r="BN101" i="22" l="1"/>
  <c r="BM49" i="22"/>
  <c r="BM96" i="22"/>
  <c r="BM99" i="22"/>
  <c r="BM101" i="22"/>
  <c r="BM1" i="22"/>
  <c r="EQ51" i="22"/>
  <c r="EQ52" i="22"/>
  <c r="EQ54" i="22"/>
  <c r="EQ55" i="22"/>
  <c r="EQ56" i="22"/>
  <c r="EQ57" i="22"/>
  <c r="EQ58" i="22"/>
  <c r="EQ59" i="22"/>
  <c r="EQ60" i="22"/>
  <c r="EQ61" i="22"/>
  <c r="EQ63" i="22"/>
  <c r="EQ64" i="22"/>
  <c r="EQ68" i="22"/>
  <c r="EQ69" i="22"/>
  <c r="EQ70" i="22"/>
  <c r="EQ71" i="22"/>
  <c r="EQ72" i="22"/>
  <c r="EQ73" i="22"/>
  <c r="EQ74" i="22"/>
  <c r="EQ75" i="22"/>
  <c r="EQ76" i="22"/>
  <c r="EQ77" i="22"/>
  <c r="EQ2" i="22"/>
  <c r="CY111" i="1"/>
  <c r="CZ111" i="1"/>
  <c r="DA111" i="1"/>
  <c r="DB111" i="1"/>
  <c r="CY110" i="1"/>
  <c r="CZ110" i="1"/>
  <c r="DA110" i="1"/>
  <c r="DB110" i="1"/>
  <c r="CY109" i="1"/>
  <c r="CZ109" i="1"/>
  <c r="DA109" i="1"/>
  <c r="DB109" i="1"/>
  <c r="CY105" i="1"/>
  <c r="CZ105" i="1"/>
  <c r="DA105" i="1"/>
  <c r="DB105" i="1"/>
  <c r="CY87" i="1"/>
  <c r="CY88" i="1" s="1"/>
  <c r="EQ65" i="22" s="1"/>
  <c r="CZ87" i="1"/>
  <c r="CZ88" i="1" s="1"/>
  <c r="ER65" i="22" s="1"/>
  <c r="DA87" i="1"/>
  <c r="DA88" i="1" s="1"/>
  <c r="ES65" i="22" s="1"/>
  <c r="CY66" i="1"/>
  <c r="CZ66" i="1"/>
  <c r="DA66" i="1"/>
  <c r="DB66" i="1"/>
  <c r="DC66" i="1"/>
  <c r="CY106" i="1"/>
  <c r="CY107" i="1" s="1"/>
  <c r="CZ106" i="1"/>
  <c r="CZ107" i="1" s="1"/>
  <c r="DA106" i="1"/>
  <c r="DA107" i="1" s="1"/>
  <c r="DB106" i="1"/>
  <c r="DB107" i="1" s="1"/>
  <c r="DC106" i="1"/>
  <c r="DC107" i="1" s="1"/>
  <c r="CY71" i="1"/>
  <c r="EQ53" i="22" s="1"/>
  <c r="CZ71" i="1"/>
  <c r="ER53" i="22" s="1"/>
  <c r="ES53" i="22"/>
  <c r="CX82" i="1"/>
  <c r="BP65" i="22" l="1"/>
  <c r="BP53" i="22"/>
  <c r="BN73" i="22"/>
  <c r="BN61" i="22"/>
  <c r="BN52" i="22"/>
  <c r="BN72" i="22"/>
  <c r="BN60" i="22"/>
  <c r="BN51" i="22"/>
  <c r="BN77" i="22"/>
  <c r="BN69" i="22"/>
  <c r="BN57" i="22"/>
  <c r="BN59" i="22"/>
  <c r="BN76" i="22"/>
  <c r="BN68" i="22"/>
  <c r="BN56" i="22"/>
  <c r="BN71" i="22"/>
  <c r="BN70" i="22"/>
  <c r="BN75" i="22"/>
  <c r="BN64" i="22"/>
  <c r="BN55" i="22"/>
  <c r="BN58" i="22"/>
  <c r="BN74" i="22"/>
  <c r="BN63" i="22"/>
  <c r="BN54" i="22"/>
  <c r="BN65" i="22"/>
  <c r="BN53" i="22"/>
  <c r="BO65" i="22"/>
  <c r="BO53" i="22"/>
  <c r="CW16" i="107"/>
  <c r="CA16" i="108"/>
  <c r="AW16" i="108"/>
  <c r="AQ16" i="108"/>
  <c r="CM16" i="109"/>
  <c r="CE16" i="109"/>
  <c r="BO16" i="109"/>
  <c r="BC16" i="109"/>
  <c r="AU16" i="109"/>
  <c r="AR16" i="109"/>
  <c r="AQ16" i="109"/>
  <c r="AL16" i="109"/>
  <c r="U16" i="109"/>
  <c r="AC16" i="114"/>
  <c r="Y16" i="114"/>
  <c r="R16" i="114"/>
  <c r="DA7" i="114"/>
  <c r="DB7" i="114"/>
  <c r="DC7" i="114"/>
  <c r="DD7" i="114"/>
  <c r="DE7" i="114"/>
  <c r="DF7" i="114"/>
  <c r="DG7" i="114"/>
  <c r="DH7" i="114"/>
  <c r="DI7" i="114"/>
  <c r="DJ7" i="114"/>
  <c r="DK7" i="114"/>
  <c r="DL7" i="114"/>
  <c r="DM7" i="114"/>
  <c r="DN7" i="114"/>
  <c r="DO7" i="114"/>
  <c r="DP7" i="114"/>
  <c r="DQ7" i="114"/>
  <c r="DR7" i="114"/>
  <c r="DS7" i="114"/>
  <c r="DT7" i="114"/>
  <c r="DU7" i="114"/>
  <c r="DV7" i="114"/>
  <c r="DW7" i="114"/>
  <c r="DX7" i="114"/>
  <c r="DY7" i="114"/>
  <c r="DZ7" i="114"/>
  <c r="EA7" i="114"/>
  <c r="EB7" i="114"/>
  <c r="EC7" i="114"/>
  <c r="ED7" i="114"/>
  <c r="EE7" i="114"/>
  <c r="EF7" i="114"/>
  <c r="EG7" i="114"/>
  <c r="EH7" i="114"/>
  <c r="EI7" i="114"/>
  <c r="EJ7" i="114"/>
  <c r="EK7" i="114"/>
  <c r="EL7" i="114"/>
  <c r="EM7" i="114"/>
  <c r="EN7" i="114"/>
  <c r="EO7" i="114"/>
  <c r="EP7" i="114"/>
  <c r="EQ7" i="114"/>
  <c r="ER7" i="114"/>
  <c r="ES7" i="114"/>
  <c r="ET7" i="114"/>
  <c r="EU7" i="114"/>
  <c r="EV7" i="114"/>
  <c r="EW7" i="114"/>
  <c r="EX7" i="114"/>
  <c r="EY7" i="114"/>
  <c r="EZ7" i="114"/>
  <c r="FA7" i="114"/>
  <c r="FB7" i="114"/>
  <c r="FC7" i="114"/>
  <c r="FD7" i="114"/>
  <c r="FE7" i="114"/>
  <c r="FF7" i="114"/>
  <c r="FG7" i="114"/>
  <c r="FH7" i="114"/>
  <c r="FI7" i="114"/>
  <c r="FJ7" i="114"/>
  <c r="FK7" i="114"/>
  <c r="FL7" i="114"/>
  <c r="FM7" i="114"/>
  <c r="FN7" i="114"/>
  <c r="FO7" i="114"/>
  <c r="FP7" i="114"/>
  <c r="FQ7" i="114"/>
  <c r="FR7" i="114"/>
  <c r="FS7" i="114"/>
  <c r="FT7" i="114"/>
  <c r="FU7" i="114"/>
  <c r="FV7" i="114"/>
  <c r="FW7" i="114"/>
  <c r="FX7" i="114"/>
  <c r="FY7" i="114"/>
  <c r="FZ7" i="114"/>
  <c r="GA7" i="114"/>
  <c r="GB7" i="114"/>
  <c r="GC7" i="114"/>
  <c r="GD7" i="114"/>
  <c r="GE7" i="114"/>
  <c r="GF7" i="114"/>
  <c r="GG7" i="114"/>
  <c r="GH7" i="114"/>
  <c r="GI7" i="114"/>
  <c r="GJ7" i="114"/>
  <c r="GK7" i="114"/>
  <c r="GL7" i="114"/>
  <c r="GM7" i="114"/>
  <c r="GN7" i="114"/>
  <c r="GO7" i="114"/>
  <c r="GP7" i="114"/>
  <c r="CS7" i="114"/>
  <c r="CT7" i="114"/>
  <c r="CU7" i="114"/>
  <c r="CV7" i="114"/>
  <c r="CW7" i="114"/>
  <c r="CX7" i="114"/>
  <c r="CY7" i="114"/>
  <c r="CZ7" i="114"/>
  <c r="CV16" i="115"/>
  <c r="CR16" i="115"/>
  <c r="CM16" i="115"/>
  <c r="CI16" i="115"/>
  <c r="CE16" i="115"/>
  <c r="BW16" i="115"/>
  <c r="BO16" i="115"/>
  <c r="BM16" i="115"/>
  <c r="BH16" i="115"/>
  <c r="BC16" i="115"/>
  <c r="AW16" i="115"/>
  <c r="AU16" i="115"/>
  <c r="AS16" i="115"/>
  <c r="AR16" i="115"/>
  <c r="AO16" i="115"/>
  <c r="AM16" i="115"/>
  <c r="AL16" i="115"/>
  <c r="AA16" i="115"/>
  <c r="X16" i="115"/>
  <c r="Q16" i="115"/>
  <c r="M16" i="115"/>
  <c r="X20" i="116"/>
  <c r="FK9" i="116"/>
  <c r="FL9" i="116"/>
  <c r="AE20" i="117"/>
  <c r="AO20" i="117"/>
  <c r="DA7" i="117"/>
  <c r="DB7" i="117"/>
  <c r="DC7" i="117"/>
  <c r="DD7" i="117"/>
  <c r="DE7" i="117"/>
  <c r="DF7" i="117"/>
  <c r="DG7" i="117"/>
  <c r="DH7" i="117"/>
  <c r="DI7" i="117"/>
  <c r="DJ7" i="117"/>
  <c r="DK7" i="117"/>
  <c r="DL7" i="117"/>
  <c r="DM7" i="117"/>
  <c r="DN7" i="117"/>
  <c r="DO7" i="117"/>
  <c r="DP7" i="117"/>
  <c r="DQ7" i="117"/>
  <c r="DR7" i="117"/>
  <c r="DS7" i="117"/>
  <c r="DT7" i="117"/>
  <c r="DU7" i="117"/>
  <c r="DV7" i="117"/>
  <c r="DW7" i="117"/>
  <c r="DX7" i="117"/>
  <c r="DY7" i="117"/>
  <c r="DZ7" i="117"/>
  <c r="EA7" i="117"/>
  <c r="EB7" i="117"/>
  <c r="EC7" i="117"/>
  <c r="ED7" i="117"/>
  <c r="EE7" i="117"/>
  <c r="EF7" i="117"/>
  <c r="EG7" i="117"/>
  <c r="EH7" i="117"/>
  <c r="EI7" i="117"/>
  <c r="EJ7" i="117"/>
  <c r="EK7" i="117"/>
  <c r="EL7" i="117"/>
  <c r="EM7" i="117"/>
  <c r="EN7" i="117"/>
  <c r="EO7" i="117"/>
  <c r="EP7" i="117"/>
  <c r="EQ7" i="117"/>
  <c r="ER7" i="117"/>
  <c r="ES7" i="117"/>
  <c r="CZ20" i="118"/>
  <c r="CO20" i="118"/>
  <c r="CI20" i="118"/>
  <c r="BO20" i="118"/>
  <c r="BG20" i="118"/>
  <c r="AY20" i="118"/>
  <c r="AW20" i="118"/>
  <c r="AS20" i="118"/>
  <c r="DA7" i="118"/>
  <c r="DB7" i="118"/>
  <c r="DC7" i="118"/>
  <c r="DD7" i="118"/>
  <c r="DE7" i="118"/>
  <c r="DF7" i="118"/>
  <c r="DG7" i="118"/>
  <c r="DH7" i="118"/>
  <c r="DI7" i="118"/>
  <c r="DJ7" i="118"/>
  <c r="DK7" i="118"/>
  <c r="DL7" i="118"/>
  <c r="DM7" i="118"/>
  <c r="DN7" i="118"/>
  <c r="DO7" i="118"/>
  <c r="DP7" i="118"/>
  <c r="DQ7" i="118"/>
  <c r="DR7" i="118"/>
  <c r="DS7" i="118"/>
  <c r="DT7" i="118"/>
  <c r="DU7" i="118"/>
  <c r="DV7" i="118"/>
  <c r="DW7" i="118"/>
  <c r="DX7" i="118"/>
  <c r="DY7" i="118"/>
  <c r="DZ7" i="118"/>
  <c r="EA7" i="118"/>
  <c r="EB7" i="118"/>
  <c r="EC7" i="118"/>
  <c r="ED7" i="118"/>
  <c r="EE7" i="118"/>
  <c r="EF7" i="118"/>
  <c r="EG7" i="118"/>
  <c r="EH7" i="118"/>
  <c r="EI7" i="118"/>
  <c r="EJ7" i="118"/>
  <c r="EK7" i="118"/>
  <c r="EL7" i="118"/>
  <c r="EM7" i="118"/>
  <c r="EN7" i="118"/>
  <c r="EO7" i="118"/>
  <c r="EP7" i="118"/>
  <c r="EQ7" i="118"/>
  <c r="ER7" i="118"/>
  <c r="ES7" i="118"/>
  <c r="ET7" i="118"/>
  <c r="EU7" i="118"/>
  <c r="EV7" i="118"/>
  <c r="EW7" i="118"/>
  <c r="EX7" i="118"/>
  <c r="EY7" i="118"/>
  <c r="EZ7" i="118"/>
  <c r="FA7" i="118"/>
  <c r="FB7" i="118"/>
  <c r="FC7" i="118"/>
  <c r="FD7" i="118"/>
  <c r="FE7" i="118"/>
  <c r="FF7" i="118"/>
  <c r="CS7" i="118"/>
  <c r="CT7" i="118"/>
  <c r="CU7" i="118"/>
  <c r="CV7" i="118"/>
  <c r="CW7" i="118"/>
  <c r="CX7" i="118"/>
  <c r="CY7" i="118"/>
  <c r="CZ7" i="118"/>
  <c r="DA7" i="120"/>
  <c r="DB7" i="120"/>
  <c r="DC7" i="120"/>
  <c r="DD7" i="120"/>
  <c r="DE7" i="120"/>
  <c r="DF7" i="120"/>
  <c r="DG7" i="120"/>
  <c r="DH7" i="120"/>
  <c r="DI7" i="120"/>
  <c r="DJ7" i="120"/>
  <c r="DK7" i="120"/>
  <c r="DL7" i="120"/>
  <c r="DM7" i="120"/>
  <c r="DN7" i="120"/>
  <c r="DO7" i="120"/>
  <c r="DP7" i="120"/>
  <c r="DQ7" i="120"/>
  <c r="DR7" i="120"/>
  <c r="DS7" i="120"/>
  <c r="DT7" i="120"/>
  <c r="DU7" i="120"/>
  <c r="DV7" i="120"/>
  <c r="DW7" i="120"/>
  <c r="DX7" i="120"/>
  <c r="DY7" i="120"/>
  <c r="DZ7" i="120"/>
  <c r="EA7" i="120"/>
  <c r="EB7" i="120"/>
  <c r="EC7" i="120"/>
  <c r="ED7" i="120"/>
  <c r="EE7" i="120"/>
  <c r="EF7" i="120"/>
  <c r="EG7" i="120"/>
  <c r="EH7" i="120"/>
  <c r="EI7" i="120"/>
  <c r="EJ7" i="120"/>
  <c r="EK7" i="120"/>
  <c r="EL7" i="120"/>
  <c r="EM7" i="120"/>
  <c r="EN7" i="120"/>
  <c r="EO7" i="120"/>
  <c r="EP7" i="120"/>
  <c r="EQ7" i="120"/>
  <c r="ER7" i="120"/>
  <c r="ES7" i="120"/>
  <c r="ET7" i="120"/>
  <c r="CV20" i="120"/>
  <c r="EP24" i="122"/>
  <c r="EO18" i="122"/>
  <c r="EO24" i="122" s="1"/>
  <c r="CZ20" i="122"/>
  <c r="CI20" i="122"/>
  <c r="CE20" i="122"/>
  <c r="AX20" i="122"/>
  <c r="AT20" i="122"/>
  <c r="AQ20" i="122"/>
  <c r="AP20" i="122"/>
  <c r="AO20" i="122"/>
  <c r="AN20" i="122"/>
  <c r="AI20" i="122"/>
  <c r="AD20" i="122"/>
  <c r="AA20" i="122"/>
  <c r="S20" i="122"/>
  <c r="T20" i="122"/>
  <c r="R20" i="122"/>
  <c r="I20" i="122"/>
  <c r="DA7" i="122"/>
  <c r="DB7" i="122"/>
  <c r="DC7" i="122"/>
  <c r="DD7" i="122"/>
  <c r="DE7" i="122"/>
  <c r="DF7" i="122"/>
  <c r="DG7" i="122"/>
  <c r="DH7" i="122"/>
  <c r="DI7" i="122"/>
  <c r="DJ7" i="122"/>
  <c r="DK7" i="122"/>
  <c r="DL7" i="122"/>
  <c r="DM7" i="122"/>
  <c r="DN7" i="122"/>
  <c r="DO7" i="122"/>
  <c r="DP7" i="122"/>
  <c r="DQ7" i="122"/>
  <c r="DR7" i="122"/>
  <c r="DS7" i="122"/>
  <c r="DT7" i="122"/>
  <c r="DU7" i="122"/>
  <c r="DV7" i="122"/>
  <c r="DW7" i="122"/>
  <c r="DX7" i="122"/>
  <c r="DY7" i="122"/>
  <c r="DZ7" i="122"/>
  <c r="EA7" i="122"/>
  <c r="EB7" i="122"/>
  <c r="EC7" i="122"/>
  <c r="ED7" i="122"/>
  <c r="EE7" i="122"/>
  <c r="EF7" i="122"/>
  <c r="EG7" i="122"/>
  <c r="EH7" i="122"/>
  <c r="EI7" i="122"/>
  <c r="EJ7" i="122"/>
  <c r="EK7" i="122"/>
  <c r="EL7" i="122"/>
  <c r="CY7" i="116"/>
  <c r="CZ7" i="116"/>
  <c r="DA7" i="116"/>
  <c r="DB7" i="116"/>
  <c r="DC7" i="116"/>
  <c r="DD7" i="116"/>
  <c r="DE7" i="116"/>
  <c r="DF7" i="116"/>
  <c r="DG7" i="116"/>
  <c r="DH7" i="116"/>
  <c r="DI7" i="116"/>
  <c r="DJ7" i="116"/>
  <c r="DK7" i="116"/>
  <c r="DL7" i="116"/>
  <c r="DM7" i="116"/>
  <c r="DN7" i="116"/>
  <c r="DO7" i="116"/>
  <c r="DP7" i="116"/>
  <c r="DQ7" i="116"/>
  <c r="DR7" i="116"/>
  <c r="DS7" i="116"/>
  <c r="DT7" i="116"/>
  <c r="DU7" i="116"/>
  <c r="DV7" i="116"/>
  <c r="DW7" i="116"/>
  <c r="DX7" i="116"/>
  <c r="DY7" i="116"/>
  <c r="DZ7" i="116"/>
  <c r="EA7" i="116"/>
  <c r="EB7" i="116"/>
  <c r="EC7" i="116"/>
  <c r="ED7" i="116"/>
  <c r="EE7" i="116"/>
  <c r="EF7" i="116"/>
  <c r="EG7" i="116"/>
  <c r="EH7" i="116"/>
  <c r="EI7" i="116"/>
  <c r="EJ7" i="116"/>
  <c r="EK7" i="116"/>
  <c r="EL7" i="116"/>
  <c r="EM7" i="116"/>
  <c r="EN7" i="116"/>
  <c r="EO7" i="116"/>
  <c r="EP7" i="116"/>
  <c r="EQ7" i="116"/>
  <c r="ER7" i="116"/>
  <c r="ES7" i="116"/>
  <c r="ET7" i="116"/>
  <c r="EU7" i="116"/>
  <c r="EV7" i="116"/>
  <c r="EW7" i="116"/>
  <c r="EX7" i="116"/>
  <c r="EY7" i="116"/>
  <c r="EZ7" i="116"/>
  <c r="FA7" i="116"/>
  <c r="FB7" i="116"/>
  <c r="FC7" i="116"/>
  <c r="FD7" i="116"/>
  <c r="FE7" i="116"/>
  <c r="FF7" i="116"/>
  <c r="FG7" i="116"/>
  <c r="FH7" i="116"/>
  <c r="FI7" i="116"/>
  <c r="FJ7" i="116"/>
  <c r="FK7" i="116"/>
  <c r="FL7" i="116"/>
  <c r="CS7" i="116"/>
  <c r="CT7" i="116"/>
  <c r="CU7" i="116"/>
  <c r="CV7" i="116"/>
  <c r="CW7" i="116"/>
  <c r="CX7" i="116"/>
  <c r="CS7" i="115"/>
  <c r="CT7" i="115"/>
  <c r="CU7" i="115"/>
  <c r="CV7" i="115"/>
  <c r="CW7" i="115"/>
  <c r="CX7" i="115"/>
  <c r="CY7" i="115"/>
  <c r="CZ7" i="115"/>
  <c r="DA7" i="115"/>
  <c r="DB7" i="115"/>
  <c r="DC7" i="115"/>
  <c r="DD7" i="115"/>
  <c r="DE7" i="115"/>
  <c r="DF7" i="115"/>
  <c r="DG7" i="115"/>
  <c r="DH7" i="115"/>
  <c r="DI7" i="115"/>
  <c r="DJ7" i="115"/>
  <c r="DK7" i="115"/>
  <c r="DL7" i="115"/>
  <c r="DM7" i="115"/>
  <c r="DN7" i="115"/>
  <c r="DO7" i="115"/>
  <c r="DP7" i="115"/>
  <c r="DQ7" i="115"/>
  <c r="DR7" i="115"/>
  <c r="DS7" i="115"/>
  <c r="DT7" i="115"/>
  <c r="DU7" i="115"/>
  <c r="DV7" i="115"/>
  <c r="DW7" i="115"/>
  <c r="DX7" i="115"/>
  <c r="DY7" i="115"/>
  <c r="DZ7" i="115"/>
  <c r="EA7" i="115"/>
  <c r="EB7" i="115"/>
  <c r="EC7" i="115"/>
  <c r="ED7" i="115"/>
  <c r="EE7" i="115"/>
  <c r="EF7" i="115"/>
  <c r="EG7" i="115"/>
  <c r="EH7" i="115"/>
  <c r="EI7" i="115"/>
  <c r="EJ7" i="115"/>
  <c r="EK7" i="115"/>
  <c r="EL7" i="115"/>
  <c r="EM7" i="115"/>
  <c r="EN7" i="115"/>
  <c r="EO7" i="115"/>
  <c r="EP7" i="115"/>
  <c r="EQ7" i="115"/>
  <c r="ER7" i="115"/>
  <c r="ES7" i="115"/>
  <c r="ET7" i="115"/>
  <c r="EU7" i="115"/>
  <c r="EV7" i="115"/>
  <c r="EW7" i="115"/>
  <c r="EX7" i="115"/>
  <c r="EY7" i="115"/>
  <c r="EZ7" i="115"/>
  <c r="CS7" i="110"/>
  <c r="CT7" i="110"/>
  <c r="CU7" i="110"/>
  <c r="CV7" i="110"/>
  <c r="CW7" i="110"/>
  <c r="CX7" i="110"/>
  <c r="CY7" i="110"/>
  <c r="CZ7" i="110"/>
  <c r="DA7" i="110"/>
  <c r="DB7" i="110"/>
  <c r="DC7" i="110"/>
  <c r="DD7" i="110"/>
  <c r="DE7" i="110"/>
  <c r="DF7" i="110"/>
  <c r="DG7" i="110"/>
  <c r="DH7" i="110"/>
  <c r="DI7" i="110"/>
  <c r="DJ7" i="110"/>
  <c r="DK7" i="110"/>
  <c r="DL7" i="110"/>
  <c r="DM7" i="110"/>
  <c r="DN7" i="110"/>
  <c r="DO7" i="110"/>
  <c r="DP7" i="110"/>
  <c r="DQ7" i="110"/>
  <c r="DR7" i="110"/>
  <c r="DS7" i="110"/>
  <c r="DT7" i="110"/>
  <c r="DU7" i="110"/>
  <c r="DV7" i="110"/>
  <c r="DW7" i="110"/>
  <c r="DX7" i="110"/>
  <c r="DY7" i="110"/>
  <c r="DZ7" i="110"/>
  <c r="EA7" i="110"/>
  <c r="EB7" i="110"/>
  <c r="EC7" i="110"/>
  <c r="ED7" i="110"/>
  <c r="EE7" i="110"/>
  <c r="EF7" i="110"/>
  <c r="EG7" i="110"/>
  <c r="EH7" i="110"/>
  <c r="EI7" i="110"/>
  <c r="EJ7" i="110"/>
  <c r="EK7" i="110"/>
  <c r="EL7" i="110"/>
  <c r="EM7" i="110"/>
  <c r="EN7" i="110"/>
  <c r="EO7" i="110"/>
  <c r="EP7" i="110"/>
  <c r="EQ7" i="110"/>
  <c r="ER7" i="110"/>
  <c r="ES7" i="110"/>
  <c r="ET7" i="110"/>
  <c r="EU7" i="110"/>
  <c r="EV7" i="110"/>
  <c r="EW7" i="110"/>
  <c r="EX7" i="110"/>
  <c r="EY7" i="110"/>
  <c r="EZ7" i="110"/>
  <c r="FA7" i="110"/>
  <c r="FB7" i="110"/>
  <c r="FC7" i="110"/>
  <c r="FD7" i="110"/>
  <c r="FE7" i="110"/>
  <c r="FF7" i="110"/>
  <c r="FG7" i="110"/>
  <c r="FH7" i="110"/>
  <c r="FI7" i="110"/>
  <c r="FJ7" i="110"/>
  <c r="FK7" i="110"/>
  <c r="FL7" i="110"/>
  <c r="FM7" i="110"/>
  <c r="FN7" i="110"/>
  <c r="FO7" i="110"/>
  <c r="FP7" i="110"/>
  <c r="FQ7" i="110"/>
  <c r="FR7" i="110"/>
  <c r="FS7" i="110"/>
  <c r="FT7" i="110"/>
  <c r="FU7" i="110"/>
  <c r="FV7" i="110"/>
  <c r="CS7" i="109"/>
  <c r="CT7" i="109"/>
  <c r="CU7" i="109"/>
  <c r="CV7" i="109"/>
  <c r="CW7" i="109"/>
  <c r="CX7" i="109"/>
  <c r="CY7" i="109"/>
  <c r="CZ7" i="109"/>
  <c r="DA7" i="109"/>
  <c r="DB7" i="109"/>
  <c r="DC7" i="109"/>
  <c r="DD7" i="109"/>
  <c r="DE7" i="109"/>
  <c r="DF7" i="109"/>
  <c r="DG7" i="109"/>
  <c r="DH7" i="109"/>
  <c r="DI7" i="109"/>
  <c r="DJ7" i="109"/>
  <c r="DK7" i="109"/>
  <c r="DL7" i="109"/>
  <c r="DM7" i="109"/>
  <c r="DN7" i="109"/>
  <c r="DO7" i="109"/>
  <c r="DP7" i="109"/>
  <c r="DQ7" i="109"/>
  <c r="DR7" i="109"/>
  <c r="DS7" i="109"/>
  <c r="DT7" i="109"/>
  <c r="DU7" i="109"/>
  <c r="DV7" i="109"/>
  <c r="DW7" i="109"/>
  <c r="DX7" i="109"/>
  <c r="DY7" i="109"/>
  <c r="DZ7" i="109"/>
  <c r="EA7" i="109"/>
  <c r="EB7" i="109"/>
  <c r="EC7" i="109"/>
  <c r="ED7" i="109"/>
  <c r="EE7" i="109"/>
  <c r="EF7" i="109"/>
  <c r="EG7" i="109"/>
  <c r="EH7" i="109"/>
  <c r="EI7" i="109"/>
  <c r="EJ7" i="109"/>
  <c r="EK7" i="109"/>
  <c r="EL7" i="109"/>
  <c r="EM7" i="109"/>
  <c r="EN7" i="109"/>
  <c r="EO7" i="109"/>
  <c r="EP7" i="109"/>
  <c r="EQ7" i="109"/>
  <c r="ER7" i="109"/>
  <c r="ES7" i="109"/>
  <c r="ET7" i="109"/>
  <c r="EU7" i="109"/>
  <c r="EV7" i="109"/>
  <c r="EW7" i="109"/>
  <c r="EX7" i="109"/>
  <c r="EY7" i="109"/>
  <c r="EZ7" i="109"/>
  <c r="FA7" i="109"/>
  <c r="DA7" i="108"/>
  <c r="DB7" i="108"/>
  <c r="DC7" i="108"/>
  <c r="DD7" i="108"/>
  <c r="DE7" i="108"/>
  <c r="DF7" i="108"/>
  <c r="DG7" i="108"/>
  <c r="DH7" i="108"/>
  <c r="DI7" i="108"/>
  <c r="DJ7" i="108"/>
  <c r="DK7" i="108"/>
  <c r="DL7" i="108"/>
  <c r="DM7" i="108"/>
  <c r="DN7" i="108"/>
  <c r="CX7" i="108"/>
  <c r="CY7" i="108"/>
  <c r="CZ7" i="108"/>
  <c r="CS7" i="108"/>
  <c r="CT7" i="108"/>
  <c r="CU7" i="108"/>
  <c r="CV7" i="108"/>
  <c r="CW7" i="108"/>
  <c r="CV7" i="107"/>
  <c r="CW7" i="107"/>
  <c r="CX7" i="107"/>
  <c r="CY7" i="107"/>
  <c r="CZ7" i="107"/>
  <c r="DA7" i="107"/>
  <c r="DB7" i="107"/>
  <c r="DC7" i="107"/>
  <c r="DD7" i="107"/>
  <c r="DE7" i="107"/>
  <c r="DF7" i="107"/>
  <c r="DG7" i="107"/>
  <c r="DH7" i="107"/>
  <c r="DI7" i="107"/>
  <c r="DJ7" i="107"/>
  <c r="DK7" i="107"/>
  <c r="DL7" i="107"/>
  <c r="DM7" i="107"/>
  <c r="DN7" i="107"/>
  <c r="DO7" i="107"/>
  <c r="DP7" i="107"/>
  <c r="DQ7" i="107"/>
  <c r="DR7" i="107"/>
  <c r="DS7" i="107"/>
  <c r="DT7" i="107"/>
  <c r="DU7" i="107"/>
  <c r="DV7" i="107"/>
  <c r="DW7" i="107"/>
  <c r="DX7" i="107"/>
  <c r="DY7" i="107"/>
  <c r="DZ7" i="107"/>
  <c r="EA7" i="107"/>
  <c r="EB7" i="107"/>
  <c r="EC7" i="107"/>
  <c r="ED7" i="107"/>
  <c r="EE7" i="107"/>
  <c r="EF7" i="107"/>
  <c r="EG7" i="107"/>
  <c r="EH7" i="107"/>
  <c r="EI7" i="107"/>
  <c r="EJ7" i="107"/>
  <c r="EK7" i="107"/>
  <c r="CS7" i="107"/>
  <c r="CT7" i="107"/>
  <c r="CU7" i="107"/>
  <c r="DA7" i="106"/>
  <c r="DB7" i="106"/>
  <c r="DC7" i="106"/>
  <c r="CU7" i="106"/>
  <c r="CV7" i="106"/>
  <c r="CW7" i="106"/>
  <c r="CX7" i="106"/>
  <c r="CY7" i="106"/>
  <c r="CZ7" i="106"/>
  <c r="CS7" i="106"/>
  <c r="CT7" i="106"/>
  <c r="DB7" i="105"/>
  <c r="DC7" i="105"/>
  <c r="DD7" i="105"/>
  <c r="DE7" i="105"/>
  <c r="DF7" i="105"/>
  <c r="DG7" i="105"/>
  <c r="DH7" i="105"/>
  <c r="DI7" i="105"/>
  <c r="DJ7" i="105"/>
  <c r="DK7" i="105"/>
  <c r="DL7" i="105"/>
  <c r="DM7" i="105"/>
  <c r="DN7" i="105"/>
  <c r="DO7" i="105"/>
  <c r="DP7" i="105"/>
  <c r="DQ7" i="105"/>
  <c r="DR7" i="105"/>
  <c r="DS7" i="105"/>
  <c r="DT7" i="105"/>
  <c r="DU7" i="105"/>
  <c r="DV7" i="105"/>
  <c r="DW7" i="105"/>
  <c r="DX7" i="105"/>
  <c r="DY7" i="105"/>
  <c r="DZ7" i="105"/>
  <c r="EA7" i="105"/>
  <c r="EB7" i="105"/>
  <c r="EC7" i="105"/>
  <c r="ED7" i="105"/>
  <c r="EE7" i="105"/>
  <c r="EF7" i="105"/>
  <c r="CV7" i="105"/>
  <c r="CW7" i="105"/>
  <c r="CX7" i="105"/>
  <c r="CY7" i="105"/>
  <c r="CZ7" i="105"/>
  <c r="DA7" i="105"/>
  <c r="CS7" i="105"/>
  <c r="CT7" i="105"/>
  <c r="CU7" i="105"/>
  <c r="DA7" i="104"/>
  <c r="DB7" i="104"/>
  <c r="DC7" i="104"/>
  <c r="DD7" i="104"/>
  <c r="DE7" i="104"/>
  <c r="DF7" i="104"/>
  <c r="DG7" i="104"/>
  <c r="DH7" i="104"/>
  <c r="DI7" i="104"/>
  <c r="DJ7" i="104"/>
  <c r="DK7" i="104"/>
  <c r="DL7" i="104"/>
  <c r="DM7" i="104"/>
  <c r="DN7" i="104"/>
  <c r="DO7" i="104"/>
  <c r="DP7" i="104"/>
  <c r="DQ7" i="104"/>
  <c r="DR7" i="104"/>
  <c r="DS7" i="104"/>
  <c r="DT7" i="104"/>
  <c r="DU7" i="104"/>
  <c r="DV7" i="104"/>
  <c r="DW7" i="104"/>
  <c r="DX7" i="104"/>
  <c r="DY7" i="104"/>
  <c r="DZ7" i="104"/>
  <c r="EA7" i="104"/>
  <c r="EB7" i="104"/>
  <c r="EC7" i="104"/>
  <c r="ED7" i="104"/>
  <c r="EE7" i="104"/>
  <c r="EF7" i="104"/>
  <c r="EG7" i="104"/>
  <c r="EH7" i="104"/>
  <c r="EI7" i="104"/>
  <c r="EJ7" i="104"/>
  <c r="EK7" i="104"/>
  <c r="EL7" i="104"/>
  <c r="EM7" i="104"/>
  <c r="EN7" i="104"/>
  <c r="EO7" i="104"/>
  <c r="EP7" i="104"/>
  <c r="EQ7" i="104"/>
  <c r="ER7" i="104"/>
  <c r="ES7" i="104"/>
  <c r="ET7" i="104"/>
  <c r="DA7" i="103"/>
  <c r="DB7" i="103"/>
  <c r="DC7" i="103"/>
  <c r="DD7" i="103"/>
  <c r="DE7" i="103"/>
  <c r="DF7" i="103"/>
  <c r="DG7" i="103"/>
  <c r="DH7" i="103"/>
  <c r="DI7" i="103"/>
  <c r="DJ7" i="103"/>
  <c r="DK7" i="103"/>
  <c r="DL7" i="103"/>
  <c r="DM7" i="103"/>
  <c r="DN7" i="103"/>
  <c r="DO7" i="103"/>
  <c r="DP7" i="103"/>
  <c r="DQ7" i="103"/>
  <c r="DR7" i="103"/>
  <c r="DS7" i="103"/>
  <c r="DT7" i="103"/>
  <c r="DU7" i="103"/>
  <c r="DV7" i="103"/>
  <c r="DW7" i="103"/>
  <c r="DX7" i="103"/>
  <c r="DY7" i="103"/>
  <c r="DZ7" i="103"/>
  <c r="EA7" i="103"/>
  <c r="EB7" i="103"/>
  <c r="EC7" i="103"/>
  <c r="ED7" i="103"/>
  <c r="EE7" i="103"/>
  <c r="EF7" i="103"/>
  <c r="EG7" i="103"/>
  <c r="EH7" i="103"/>
  <c r="EI7" i="103"/>
  <c r="EJ7" i="103"/>
  <c r="EK7" i="103"/>
  <c r="EL7" i="103"/>
  <c r="EM7" i="103"/>
  <c r="EN7" i="103"/>
  <c r="EO7" i="103"/>
  <c r="EP7" i="103"/>
  <c r="EQ7" i="103"/>
  <c r="ER7" i="103"/>
  <c r="ES7" i="103"/>
  <c r="ET7" i="103"/>
  <c r="EU7" i="103"/>
  <c r="EV7" i="103"/>
  <c r="EW7" i="103"/>
  <c r="EX7" i="103"/>
  <c r="DA7" i="102"/>
  <c r="DB7" i="102"/>
  <c r="DC7" i="102"/>
  <c r="DD7" i="102"/>
  <c r="DE7" i="102"/>
  <c r="DF7" i="102"/>
  <c r="DG7" i="102"/>
  <c r="DH7" i="102"/>
  <c r="DI7" i="102"/>
  <c r="DJ7" i="102"/>
  <c r="DK7" i="102"/>
  <c r="DL7" i="102"/>
  <c r="DM7" i="102"/>
  <c r="DN7" i="102"/>
  <c r="DO7" i="102"/>
  <c r="DP7" i="102"/>
  <c r="DQ7" i="102"/>
  <c r="DR7" i="102"/>
  <c r="DS7" i="102"/>
  <c r="DT7" i="102"/>
  <c r="DU7" i="102"/>
  <c r="DA7" i="100" l="1"/>
  <c r="DB7" i="100"/>
  <c r="DC7" i="100"/>
  <c r="DD7" i="100"/>
  <c r="DE7" i="100"/>
  <c r="DF7" i="100"/>
  <c r="DG7" i="100"/>
  <c r="DH7" i="100"/>
  <c r="DI7" i="100"/>
  <c r="DJ7" i="100"/>
  <c r="DK7" i="100"/>
  <c r="DL7" i="100"/>
  <c r="DM7" i="100"/>
  <c r="DN7" i="100"/>
  <c r="DO7" i="100"/>
  <c r="DP7" i="100"/>
  <c r="DQ7" i="100"/>
  <c r="DR7" i="100"/>
  <c r="DS7" i="100"/>
  <c r="DT7" i="100"/>
  <c r="DU7" i="100"/>
  <c r="DV7" i="100"/>
  <c r="DW7" i="100"/>
  <c r="DX7" i="100"/>
  <c r="G153" i="1"/>
  <c r="H153" i="1"/>
  <c r="I153" i="1"/>
  <c r="J153" i="1"/>
  <c r="K153" i="1"/>
  <c r="L153" i="1"/>
  <c r="M153" i="1"/>
  <c r="N153" i="1"/>
  <c r="O153" i="1"/>
  <c r="P153" i="1"/>
  <c r="Q153" i="1"/>
  <c r="R153" i="1"/>
  <c r="S153" i="1"/>
  <c r="T153" i="1"/>
  <c r="U153" i="1"/>
  <c r="V153" i="1"/>
  <c r="W153" i="1"/>
  <c r="X153" i="1"/>
  <c r="Y153" i="1"/>
  <c r="Z153" i="1"/>
  <c r="AA153" i="1"/>
  <c r="AB153" i="1"/>
  <c r="AC153" i="1"/>
  <c r="AD153" i="1"/>
  <c r="AE153" i="1"/>
  <c r="AF153" i="1"/>
  <c r="AG153" i="1"/>
  <c r="AH153" i="1"/>
  <c r="AI153" i="1"/>
  <c r="AJ153" i="1"/>
  <c r="AK153" i="1"/>
  <c r="AL153" i="1"/>
  <c r="AM153" i="1"/>
  <c r="AN153" i="1"/>
  <c r="AO153" i="1"/>
  <c r="AP153" i="1"/>
  <c r="AQ153" i="1"/>
  <c r="AR153" i="1"/>
  <c r="AS153" i="1"/>
  <c r="AT153" i="1"/>
  <c r="AU153" i="1"/>
  <c r="AV153" i="1"/>
  <c r="AW153" i="1"/>
  <c r="AX153" i="1"/>
  <c r="AY153" i="1"/>
  <c r="AZ153" i="1"/>
  <c r="BA153" i="1"/>
  <c r="BB153" i="1"/>
  <c r="BC153" i="1"/>
  <c r="BD153" i="1"/>
  <c r="BE153" i="1"/>
  <c r="BF153" i="1"/>
  <c r="BG153" i="1"/>
  <c r="BH153" i="1"/>
  <c r="BI153" i="1"/>
  <c r="BJ153" i="1"/>
  <c r="BK153" i="1"/>
  <c r="BL153" i="1"/>
  <c r="BM153" i="1"/>
  <c r="BN153" i="1"/>
  <c r="BO153" i="1"/>
  <c r="BP153" i="1"/>
  <c r="BQ153" i="1"/>
  <c r="BR153" i="1"/>
  <c r="BS153" i="1"/>
  <c r="BT153" i="1"/>
  <c r="BU153" i="1"/>
  <c r="BV153" i="1"/>
  <c r="BW153" i="1"/>
  <c r="BX153" i="1"/>
  <c r="BY153" i="1"/>
  <c r="BZ153" i="1"/>
  <c r="CA153" i="1"/>
  <c r="CB153" i="1"/>
  <c r="CC153" i="1"/>
  <c r="CD153" i="1"/>
  <c r="CE153" i="1"/>
  <c r="CF153" i="1"/>
  <c r="CG153" i="1"/>
  <c r="CH153" i="1"/>
  <c r="CI153" i="1"/>
  <c r="CJ153" i="1"/>
  <c r="CK153" i="1"/>
  <c r="CL153" i="1"/>
  <c r="CM153" i="1"/>
  <c r="CN153" i="1"/>
  <c r="CO153" i="1"/>
  <c r="CP153" i="1"/>
  <c r="CQ153" i="1"/>
  <c r="CR153" i="1"/>
  <c r="CS153" i="1"/>
  <c r="CT153" i="1"/>
  <c r="CU153" i="1"/>
  <c r="CV153" i="1"/>
  <c r="CW153" i="1"/>
  <c r="CX153" i="1"/>
  <c r="CY153" i="1"/>
  <c r="CZ153" i="1"/>
  <c r="DA153" i="1"/>
  <c r="DB153" i="1"/>
  <c r="DC153" i="1"/>
  <c r="DD153" i="1"/>
  <c r="F153" i="1"/>
  <c r="A153" i="1"/>
  <c r="CU7" i="99"/>
  <c r="CV7" i="99"/>
  <c r="CW7" i="99"/>
  <c r="CX7" i="99"/>
  <c r="CY7" i="99"/>
  <c r="CZ7" i="99"/>
  <c r="DA7" i="99"/>
  <c r="DB7" i="99"/>
  <c r="DC7" i="99"/>
  <c r="DD7" i="99"/>
  <c r="DE7" i="99"/>
  <c r="DF7" i="99"/>
  <c r="DG7" i="99"/>
  <c r="DH7" i="99"/>
  <c r="DI7" i="99"/>
  <c r="DJ7" i="99"/>
  <c r="DK7" i="99"/>
  <c r="DL7" i="99"/>
  <c r="DM7" i="99"/>
  <c r="DN7" i="99"/>
  <c r="DO7" i="99"/>
  <c r="DP7" i="99"/>
  <c r="DQ7" i="99"/>
  <c r="DR7" i="99"/>
  <c r="DS7" i="99"/>
  <c r="DT7" i="99"/>
  <c r="DC7" i="101"/>
  <c r="DD7" i="101"/>
  <c r="DE7" i="101"/>
  <c r="DF7" i="101"/>
  <c r="DG7" i="101"/>
  <c r="DA7" i="101"/>
  <c r="DB7" i="101"/>
  <c r="BE101" i="22"/>
  <c r="BF101" i="22"/>
  <c r="BG101" i="22"/>
  <c r="BH101" i="22"/>
  <c r="BI101" i="22"/>
  <c r="BJ101" i="22"/>
  <c r="BK101" i="22"/>
  <c r="CG99" i="22"/>
  <c r="BL49" i="22" l="1"/>
  <c r="BL96" i="22"/>
  <c r="BL99" i="22"/>
  <c r="BL101" i="22"/>
  <c r="EN51" i="22"/>
  <c r="EO51" i="22"/>
  <c r="EP51" i="22"/>
  <c r="BM51" i="22" s="1"/>
  <c r="EN52" i="22"/>
  <c r="EO52" i="22"/>
  <c r="EP52" i="22"/>
  <c r="BM52" i="22" s="1"/>
  <c r="EN54" i="22"/>
  <c r="EO54" i="22"/>
  <c r="EP54" i="22"/>
  <c r="BM54" i="22" s="1"/>
  <c r="EN55" i="22"/>
  <c r="EO55" i="22"/>
  <c r="EP55" i="22"/>
  <c r="BM55" i="22" s="1"/>
  <c r="EN56" i="22"/>
  <c r="EO56" i="22"/>
  <c r="EP56" i="22"/>
  <c r="BM56" i="22" s="1"/>
  <c r="EN57" i="22"/>
  <c r="EO57" i="22"/>
  <c r="EP57" i="22"/>
  <c r="BM57" i="22" s="1"/>
  <c r="EN58" i="22"/>
  <c r="EO58" i="22"/>
  <c r="EP58" i="22"/>
  <c r="BM58" i="22" s="1"/>
  <c r="EN59" i="22"/>
  <c r="EO59" i="22"/>
  <c r="EP59" i="22"/>
  <c r="BM59" i="22" s="1"/>
  <c r="EN60" i="22"/>
  <c r="EO60" i="22"/>
  <c r="EP60" i="22"/>
  <c r="BM60" i="22" s="1"/>
  <c r="EN61" i="22"/>
  <c r="EO61" i="22"/>
  <c r="EP61" i="22"/>
  <c r="BM61" i="22" s="1"/>
  <c r="EN63" i="22"/>
  <c r="EO63" i="22"/>
  <c r="EP63" i="22"/>
  <c r="BM63" i="22" s="1"/>
  <c r="EN64" i="22"/>
  <c r="EO64" i="22"/>
  <c r="EP64" i="22"/>
  <c r="BM64" i="22" s="1"/>
  <c r="EN68" i="22"/>
  <c r="EO68" i="22"/>
  <c r="EP68" i="22"/>
  <c r="BM68" i="22" s="1"/>
  <c r="EN69" i="22"/>
  <c r="EO69" i="22"/>
  <c r="EP69" i="22"/>
  <c r="BM69" i="22" s="1"/>
  <c r="EN70" i="22"/>
  <c r="EO70" i="22"/>
  <c r="EP70" i="22"/>
  <c r="BM70" i="22" s="1"/>
  <c r="EN71" i="22"/>
  <c r="EO71" i="22"/>
  <c r="EP71" i="22"/>
  <c r="BM71" i="22" s="1"/>
  <c r="EN72" i="22"/>
  <c r="EO72" i="22"/>
  <c r="EP72" i="22"/>
  <c r="BM72" i="22" s="1"/>
  <c r="EN73" i="22"/>
  <c r="EO73" i="22"/>
  <c r="EP73" i="22"/>
  <c r="BM73" i="22" s="1"/>
  <c r="EN74" i="22"/>
  <c r="EO74" i="22"/>
  <c r="EP74" i="22"/>
  <c r="BM74" i="22" s="1"/>
  <c r="EN75" i="22"/>
  <c r="EO75" i="22"/>
  <c r="EP75" i="22"/>
  <c r="BM75" i="22" s="1"/>
  <c r="EN76" i="22"/>
  <c r="EO76" i="22"/>
  <c r="EP76" i="22"/>
  <c r="BM76" i="22" s="1"/>
  <c r="EN77" i="22"/>
  <c r="EO77" i="22"/>
  <c r="EP77" i="22"/>
  <c r="BM77" i="22" s="1"/>
  <c r="EO2" i="22"/>
  <c r="EP2" i="22"/>
  <c r="BJ49" i="22"/>
  <c r="BK49" i="22"/>
  <c r="BJ1" i="22"/>
  <c r="BK1" i="22"/>
  <c r="BL1" i="22"/>
  <c r="CX150" i="1"/>
  <c r="CY150" i="1"/>
  <c r="CZ150" i="1"/>
  <c r="CX148" i="1"/>
  <c r="CY148" i="1"/>
  <c r="CZ148" i="1"/>
  <c r="DA148" i="1"/>
  <c r="CW111" i="1"/>
  <c r="CX111" i="1"/>
  <c r="CW110" i="1"/>
  <c r="CX110" i="1"/>
  <c r="CW109" i="1"/>
  <c r="CX109" i="1"/>
  <c r="CW106" i="1"/>
  <c r="CW107" i="1" s="1"/>
  <c r="CX106" i="1"/>
  <c r="CX107" i="1" s="1"/>
  <c r="CW105" i="1"/>
  <c r="CX105" i="1"/>
  <c r="CW87" i="1"/>
  <c r="CW88" i="1" s="1"/>
  <c r="EO65" i="22" s="1"/>
  <c r="CX87" i="1"/>
  <c r="CX88" i="1" s="1"/>
  <c r="EP65" i="22" s="1"/>
  <c r="BM65" i="22" s="1"/>
  <c r="CW66" i="1"/>
  <c r="CX66" i="1"/>
  <c r="CW33" i="1"/>
  <c r="CX33" i="1"/>
  <c r="CY33" i="1"/>
  <c r="CZ33" i="1"/>
  <c r="DA33" i="1"/>
  <c r="CW41" i="1"/>
  <c r="CX41" i="1"/>
  <c r="CY41" i="1"/>
  <c r="CZ41" i="1"/>
  <c r="DA41" i="1"/>
  <c r="CW34" i="1"/>
  <c r="CX34" i="1"/>
  <c r="CY34" i="1"/>
  <c r="CZ34" i="1"/>
  <c r="DA34" i="1"/>
  <c r="CW29" i="1"/>
  <c r="CX29" i="1"/>
  <c r="CY29" i="1"/>
  <c r="CZ29" i="1"/>
  <c r="DA29" i="1"/>
  <c r="CW10" i="1"/>
  <c r="CX10" i="1"/>
  <c r="CY10" i="1"/>
  <c r="CZ10" i="1"/>
  <c r="DA10" i="1"/>
  <c r="CW30" i="1"/>
  <c r="CX30" i="1"/>
  <c r="CY30" i="1"/>
  <c r="CZ30" i="1"/>
  <c r="DA30" i="1"/>
  <c r="CW84" i="1"/>
  <c r="EO62" i="22" s="1"/>
  <c r="CX84" i="1"/>
  <c r="EP62" i="22" s="1"/>
  <c r="CY84" i="1"/>
  <c r="EQ62" i="22" s="1"/>
  <c r="CZ84" i="1"/>
  <c r="ER62" i="22" s="1"/>
  <c r="DA84" i="1"/>
  <c r="ES62" i="22" s="1"/>
  <c r="CW82" i="1"/>
  <c r="EO48" i="22" s="1"/>
  <c r="EP48" i="22"/>
  <c r="CY82" i="1"/>
  <c r="EQ48" i="22" s="1"/>
  <c r="CZ82" i="1"/>
  <c r="ER48" i="22" s="1"/>
  <c r="DA82" i="1"/>
  <c r="ES48" i="22" s="1"/>
  <c r="CW71" i="1"/>
  <c r="EO53" i="22" s="1"/>
  <c r="CX71" i="1"/>
  <c r="EP53" i="22" s="1"/>
  <c r="BM53" i="22" s="1"/>
  <c r="CW47" i="1"/>
  <c r="CX47" i="1"/>
  <c r="CY47" i="1"/>
  <c r="CZ47" i="1"/>
  <c r="DA47" i="1"/>
  <c r="CW25" i="1"/>
  <c r="CX25" i="1"/>
  <c r="CY25" i="1"/>
  <c r="CZ25" i="1"/>
  <c r="DA25" i="1"/>
  <c r="CW21" i="1"/>
  <c r="CX21" i="1"/>
  <c r="CY21" i="1"/>
  <c r="CZ21" i="1"/>
  <c r="DA21" i="1"/>
  <c r="BP48" i="22" l="1"/>
  <c r="BP62" i="22"/>
  <c r="BN62" i="22"/>
  <c r="BN48" i="22"/>
  <c r="BO62" i="22"/>
  <c r="BO48" i="22"/>
  <c r="BM48" i="22"/>
  <c r="BM62" i="22"/>
  <c r="BL77" i="22"/>
  <c r="BL69" i="22"/>
  <c r="BK51" i="22"/>
  <c r="BK75" i="22"/>
  <c r="BL73" i="22"/>
  <c r="BK52" i="22"/>
  <c r="BL75" i="22"/>
  <c r="BL64" i="22"/>
  <c r="BK74" i="22"/>
  <c r="BL71" i="22"/>
  <c r="BK63" i="22"/>
  <c r="BL54" i="22"/>
  <c r="BL72" i="22"/>
  <c r="BL74" i="22"/>
  <c r="BL58" i="22"/>
  <c r="BK58" i="22"/>
  <c r="BK71" i="22"/>
  <c r="BL56" i="22"/>
  <c r="BL48" i="22"/>
  <c r="BL59" i="22"/>
  <c r="BK59" i="22"/>
  <c r="BL76" i="22"/>
  <c r="BL68" i="22"/>
  <c r="BL55" i="22"/>
  <c r="BL63" i="22"/>
  <c r="BK60" i="22"/>
  <c r="BK76" i="22"/>
  <c r="BK68" i="22"/>
  <c r="BL70" i="22"/>
  <c r="BL61" i="22"/>
  <c r="BL52" i="22"/>
  <c r="BL62" i="22"/>
  <c r="BL60" i="22"/>
  <c r="BL57" i="22"/>
  <c r="BK55" i="22"/>
  <c r="BL51" i="22"/>
  <c r="BL65" i="22"/>
  <c r="BL53" i="22"/>
  <c r="BK57" i="22"/>
  <c r="BK70" i="22"/>
  <c r="BK54" i="22"/>
  <c r="BK73" i="22"/>
  <c r="BK72" i="22"/>
  <c r="BK64" i="22"/>
  <c r="BK56" i="22"/>
  <c r="BK77" i="22"/>
  <c r="BK69" i="22"/>
  <c r="BK61" i="22"/>
  <c r="CW67" i="1"/>
  <c r="CX67" i="1"/>
  <c r="CY67" i="1"/>
  <c r="CZ67" i="1"/>
  <c r="DA67" i="1"/>
  <c r="DB67" i="1"/>
  <c r="DC67" i="1"/>
  <c r="DD67" i="1"/>
  <c r="DE67" i="1"/>
  <c r="CW91" i="1"/>
  <c r="CX91" i="1"/>
  <c r="CY91" i="1"/>
  <c r="CZ91" i="1"/>
  <c r="DA91" i="1"/>
  <c r="DB91" i="1"/>
  <c r="DC91" i="1"/>
  <c r="DD91" i="1"/>
  <c r="DE91" i="1"/>
  <c r="CW116" i="1"/>
  <c r="EO82" i="22" s="1"/>
  <c r="CX116" i="1"/>
  <c r="EP82" i="22" s="1"/>
  <c r="CY116" i="1"/>
  <c r="EQ82" i="22" s="1"/>
  <c r="CZ116" i="1"/>
  <c r="ER82" i="22" s="1"/>
  <c r="DA116" i="1"/>
  <c r="ES82" i="22" s="1"/>
  <c r="DB116" i="1"/>
  <c r="ET82" i="22" s="1"/>
  <c r="DC116" i="1"/>
  <c r="EU82" i="22" s="1"/>
  <c r="DD116" i="1"/>
  <c r="EV82" i="22" s="1"/>
  <c r="DE116" i="1"/>
  <c r="EW82" i="22" s="1"/>
  <c r="CW6" i="1"/>
  <c r="CX6" i="1"/>
  <c r="CY6" i="1"/>
  <c r="CZ6" i="1"/>
  <c r="DA6" i="1"/>
  <c r="DB6" i="1"/>
  <c r="DC6" i="1"/>
  <c r="DD6" i="1"/>
  <c r="DE6" i="1"/>
  <c r="CX56" i="1"/>
  <c r="CY56" i="1"/>
  <c r="CZ56" i="1"/>
  <c r="DA56" i="1"/>
  <c r="DB56" i="1"/>
  <c r="DC56" i="1"/>
  <c r="DD56" i="1"/>
  <c r="DE56" i="1"/>
  <c r="CW56" i="1"/>
  <c r="E10" i="126"/>
  <c r="F10" i="126" s="1"/>
  <c r="EM6" i="126"/>
  <c r="EL6" i="126"/>
  <c r="EK6" i="126"/>
  <c r="EJ6" i="126"/>
  <c r="EI6" i="126"/>
  <c r="EH6" i="126"/>
  <c r="EG6" i="126"/>
  <c r="EF6" i="126"/>
  <c r="EE6" i="126"/>
  <c r="ED6" i="126"/>
  <c r="EC6" i="126"/>
  <c r="EB6" i="126"/>
  <c r="EA6" i="126"/>
  <c r="DZ6" i="126"/>
  <c r="DY6" i="126"/>
  <c r="DX6" i="126"/>
  <c r="DW6" i="126"/>
  <c r="DV6" i="126"/>
  <c r="DU6" i="126"/>
  <c r="DT6" i="126"/>
  <c r="DS6" i="126"/>
  <c r="DR6" i="126"/>
  <c r="DQ6" i="126"/>
  <c r="DP6" i="126"/>
  <c r="DO6" i="126"/>
  <c r="DN6" i="126"/>
  <c r="DM6" i="126"/>
  <c r="DL6" i="126"/>
  <c r="DK6" i="126"/>
  <c r="DJ6" i="126"/>
  <c r="DI6" i="126"/>
  <c r="DH6" i="126"/>
  <c r="DG6" i="126"/>
  <c r="DF6" i="126"/>
  <c r="DE6" i="126"/>
  <c r="DD6" i="126"/>
  <c r="DC6" i="126"/>
  <c r="DB6" i="126"/>
  <c r="DA6" i="126"/>
  <c r="CZ6" i="126"/>
  <c r="CY6" i="126"/>
  <c r="CX6" i="126"/>
  <c r="CW6" i="126"/>
  <c r="CV6" i="126"/>
  <c r="CU6" i="126"/>
  <c r="CT6" i="126"/>
  <c r="CS6" i="126"/>
  <c r="CR6" i="126"/>
  <c r="CQ6" i="126"/>
  <c r="CP6" i="126"/>
  <c r="CO6" i="126"/>
  <c r="CN6" i="126"/>
  <c r="CM6" i="126"/>
  <c r="CL6" i="126"/>
  <c r="CK6" i="126"/>
  <c r="CJ6" i="126"/>
  <c r="CI6" i="126"/>
  <c r="CE6" i="126"/>
  <c r="AG20" i="123"/>
  <c r="AL20" i="123"/>
  <c r="AM20" i="123"/>
  <c r="AP20" i="123"/>
  <c r="BU20" i="123"/>
  <c r="CD20" i="123"/>
  <c r="CQ20" i="123"/>
  <c r="DA7" i="123"/>
  <c r="DB7" i="123"/>
  <c r="DC7" i="123"/>
  <c r="DD7" i="123"/>
  <c r="DE7" i="123"/>
  <c r="DF7" i="123"/>
  <c r="DG7" i="123"/>
  <c r="DH7" i="123"/>
  <c r="DI7" i="123"/>
  <c r="DJ7" i="123"/>
  <c r="DK7" i="123"/>
  <c r="DL7" i="123"/>
  <c r="DM7" i="123"/>
  <c r="DN7" i="123"/>
  <c r="DO7" i="123"/>
  <c r="DP7" i="123"/>
  <c r="DQ7" i="123"/>
  <c r="DR7" i="123"/>
  <c r="DS7" i="123"/>
  <c r="DT7" i="123"/>
  <c r="DU7" i="123"/>
  <c r="DV7" i="123"/>
  <c r="DW7" i="123"/>
  <c r="DX7" i="123"/>
  <c r="DY7" i="123"/>
  <c r="DZ7" i="123"/>
  <c r="EA7" i="123"/>
  <c r="EB7" i="123"/>
  <c r="EC7" i="123"/>
  <c r="ED7" i="123"/>
  <c r="BH49" i="22"/>
  <c r="BI49" i="22"/>
  <c r="BH1" i="22"/>
  <c r="BI1" i="22"/>
  <c r="EM51" i="22"/>
  <c r="EM52" i="22"/>
  <c r="EM54" i="22"/>
  <c r="EM55" i="22"/>
  <c r="EM56" i="22"/>
  <c r="EM57" i="22"/>
  <c r="EM58" i="22"/>
  <c r="EM59" i="22"/>
  <c r="EM60" i="22"/>
  <c r="EM61" i="22"/>
  <c r="EM63" i="22"/>
  <c r="EM64" i="22"/>
  <c r="EM68" i="22"/>
  <c r="EM69" i="22"/>
  <c r="EM70" i="22"/>
  <c r="EM71" i="22"/>
  <c r="EM72" i="22"/>
  <c r="EM73" i="22"/>
  <c r="EM74" i="22"/>
  <c r="EM75" i="22"/>
  <c r="EM76" i="22"/>
  <c r="EM77" i="22"/>
  <c r="EM2" i="22"/>
  <c r="EN2" i="22"/>
  <c r="CU148" i="1"/>
  <c r="CV148" i="1"/>
  <c r="CW148" i="1"/>
  <c r="CU150" i="1"/>
  <c r="CV150" i="1"/>
  <c r="CW150" i="1"/>
  <c r="CU151" i="1"/>
  <c r="BT82" i="22" l="1"/>
  <c r="BS82" i="22"/>
  <c r="BR82" i="22"/>
  <c r="BQ82" i="22"/>
  <c r="BP82" i="22"/>
  <c r="BN82" i="22"/>
  <c r="BO82" i="22"/>
  <c r="BJ74" i="22"/>
  <c r="BJ63" i="22"/>
  <c r="BJ54" i="22"/>
  <c r="BJ73" i="22"/>
  <c r="BJ61" i="22"/>
  <c r="BJ52" i="22"/>
  <c r="BJ60" i="22"/>
  <c r="BJ59" i="22"/>
  <c r="BJ58" i="22"/>
  <c r="BJ70" i="22"/>
  <c r="BJ77" i="22"/>
  <c r="BJ69" i="22"/>
  <c r="BJ57" i="22"/>
  <c r="BJ72" i="22"/>
  <c r="BJ76" i="22"/>
  <c r="BJ68" i="22"/>
  <c r="BJ56" i="22"/>
  <c r="BJ51" i="22"/>
  <c r="BJ71" i="22"/>
  <c r="BJ75" i="22"/>
  <c r="BJ64" i="22"/>
  <c r="BJ55" i="22"/>
  <c r="BM82" i="22"/>
  <c r="BL82" i="22"/>
  <c r="EL51" i="22"/>
  <c r="BI51" i="22" s="1"/>
  <c r="EL52" i="22"/>
  <c r="BI52" i="22" s="1"/>
  <c r="EL54" i="22"/>
  <c r="BI54" i="22" s="1"/>
  <c r="EL55" i="22"/>
  <c r="BI55" i="22" s="1"/>
  <c r="EL56" i="22"/>
  <c r="BI56" i="22" s="1"/>
  <c r="EL57" i="22"/>
  <c r="BI57" i="22" s="1"/>
  <c r="EL58" i="22"/>
  <c r="BI58" i="22" s="1"/>
  <c r="EL59" i="22"/>
  <c r="BI59" i="22" s="1"/>
  <c r="EL60" i="22"/>
  <c r="BI60" i="22" s="1"/>
  <c r="EL61" i="22"/>
  <c r="BI61" i="22" s="1"/>
  <c r="EL63" i="22"/>
  <c r="BI63" i="22" s="1"/>
  <c r="EL64" i="22"/>
  <c r="BI64" i="22" s="1"/>
  <c r="EL68" i="22"/>
  <c r="BI68" i="22" s="1"/>
  <c r="EL69" i="22"/>
  <c r="BI69" i="22" s="1"/>
  <c r="EL70" i="22"/>
  <c r="BI70" i="22" s="1"/>
  <c r="EL71" i="22"/>
  <c r="BI71" i="22" s="1"/>
  <c r="EL72" i="22"/>
  <c r="BI72" i="22" s="1"/>
  <c r="EL73" i="22"/>
  <c r="BI73" i="22" s="1"/>
  <c r="EL74" i="22"/>
  <c r="BI74" i="22" s="1"/>
  <c r="EL75" i="22"/>
  <c r="BI75" i="22" s="1"/>
  <c r="EL76" i="22"/>
  <c r="BI76" i="22" s="1"/>
  <c r="EL77" i="22"/>
  <c r="BI77" i="22" s="1"/>
  <c r="CR19" i="97"/>
  <c r="CI19" i="97"/>
  <c r="BX19" i="97"/>
  <c r="BU19" i="97"/>
  <c r="BL19" i="97"/>
  <c r="BH19" i="97"/>
  <c r="AR19" i="97"/>
  <c r="AP19" i="97"/>
  <c r="AM19" i="97"/>
  <c r="AI19" i="97"/>
  <c r="AG19" i="97"/>
  <c r="AD19" i="97"/>
  <c r="E13" i="97"/>
  <c r="E12" i="97"/>
  <c r="DA7" i="97"/>
  <c r="DB7" i="97"/>
  <c r="DC7" i="97"/>
  <c r="DD7" i="97"/>
  <c r="DE7" i="97"/>
  <c r="DF7" i="97"/>
  <c r="DG7" i="97"/>
  <c r="DH7" i="97"/>
  <c r="DI7" i="97"/>
  <c r="DJ7" i="97"/>
  <c r="DK7" i="97"/>
  <c r="DL7" i="97"/>
  <c r="DM7" i="97"/>
  <c r="DN7" i="97"/>
  <c r="DO7" i="97"/>
  <c r="DP7" i="97"/>
  <c r="DQ7" i="97"/>
  <c r="DR7" i="97"/>
  <c r="DS7" i="97"/>
  <c r="DT7" i="97"/>
  <c r="DU7" i="97"/>
  <c r="DV7" i="97"/>
  <c r="DW7" i="97"/>
  <c r="DX7" i="97"/>
  <c r="DY7" i="97"/>
  <c r="DZ7" i="97"/>
  <c r="EA7" i="97"/>
  <c r="EB7" i="97"/>
  <c r="EC7" i="97"/>
  <c r="ED7" i="97"/>
  <c r="EE7" i="97"/>
  <c r="EF7" i="97"/>
  <c r="EG7" i="97"/>
  <c r="EH7" i="97"/>
  <c r="EI7" i="97"/>
  <c r="EJ7" i="97"/>
  <c r="EK7" i="97"/>
  <c r="EL7" i="97"/>
  <c r="EM7" i="97"/>
  <c r="EN7" i="97"/>
  <c r="EO7" i="97"/>
  <c r="EP7" i="97"/>
  <c r="EQ7" i="97"/>
  <c r="ER7" i="97"/>
  <c r="ES7" i="97"/>
  <c r="ET7" i="97"/>
  <c r="EU7" i="97"/>
  <c r="EV7" i="97"/>
  <c r="EW7" i="97"/>
  <c r="EX7" i="97"/>
  <c r="EY7" i="97"/>
  <c r="EZ7" i="97"/>
  <c r="FA7" i="97"/>
  <c r="FB7" i="97"/>
  <c r="FC7" i="97"/>
  <c r="FD7" i="97"/>
  <c r="FE7" i="97"/>
  <c r="FF7" i="97"/>
  <c r="FG7" i="97"/>
  <c r="FH7" i="97"/>
  <c r="FI7" i="97"/>
  <c r="FJ7" i="97"/>
  <c r="FK7" i="97"/>
  <c r="FL7" i="97"/>
  <c r="FM7" i="97"/>
  <c r="FN7" i="97"/>
  <c r="FO7" i="97"/>
  <c r="FP7" i="97"/>
  <c r="FQ7" i="97"/>
  <c r="FR7" i="97"/>
  <c r="FS7" i="97"/>
  <c r="FT7" i="97"/>
  <c r="FU7" i="97"/>
  <c r="FV7" i="97"/>
  <c r="FW7" i="97"/>
  <c r="FX7" i="97"/>
  <c r="FY7" i="97"/>
  <c r="FZ7" i="97"/>
  <c r="GA7" i="97"/>
  <c r="GB7" i="97"/>
  <c r="GC7" i="97"/>
  <c r="GD7" i="97"/>
  <c r="GE7" i="97"/>
  <c r="GF7" i="97"/>
  <c r="GG7" i="97"/>
  <c r="GH7" i="97"/>
  <c r="CS19" i="94"/>
  <c r="EH97" i="22" s="1"/>
  <c r="CT19" i="94"/>
  <c r="EI97" i="22" s="1"/>
  <c r="CU19" i="94"/>
  <c r="EJ97" i="22" s="1"/>
  <c r="CV19" i="94"/>
  <c r="EK97" i="22" s="1"/>
  <c r="CW19" i="94"/>
  <c r="EL97" i="22" s="1"/>
  <c r="CX19" i="94"/>
  <c r="EM97" i="22" s="1"/>
  <c r="CY19" i="94"/>
  <c r="EN97" i="22" s="1"/>
  <c r="CZ19" i="94"/>
  <c r="EO97" i="22" s="1"/>
  <c r="DA19" i="94"/>
  <c r="EP97" i="22" s="1"/>
  <c r="DB19" i="94"/>
  <c r="EQ97" i="22" s="1"/>
  <c r="DC19" i="94"/>
  <c r="ER97" i="22" s="1"/>
  <c r="BO97" i="22" s="1"/>
  <c r="DD19" i="94"/>
  <c r="DE19" i="94"/>
  <c r="DF19" i="94"/>
  <c r="DG19" i="94"/>
  <c r="DH19" i="94"/>
  <c r="DI19" i="94"/>
  <c r="DJ19" i="94"/>
  <c r="DK19" i="94"/>
  <c r="DL19" i="94"/>
  <c r="DM19" i="94"/>
  <c r="DN19" i="94"/>
  <c r="DO19" i="94"/>
  <c r="DP19" i="94"/>
  <c r="DQ19" i="94"/>
  <c r="DR19" i="94"/>
  <c r="DS19" i="94"/>
  <c r="DT19" i="94"/>
  <c r="DU19" i="94"/>
  <c r="DV19" i="94"/>
  <c r="DW19" i="94"/>
  <c r="DX19" i="94"/>
  <c r="DY19" i="94"/>
  <c r="DZ19" i="94"/>
  <c r="EA19" i="94"/>
  <c r="EB19" i="94"/>
  <c r="EC19" i="94"/>
  <c r="ED19" i="94"/>
  <c r="EE19" i="94"/>
  <c r="EF19" i="94"/>
  <c r="EG19" i="94"/>
  <c r="EH19" i="94"/>
  <c r="EI19" i="94"/>
  <c r="EJ19" i="94"/>
  <c r="EK19" i="94"/>
  <c r="EL19" i="94"/>
  <c r="EM19" i="94"/>
  <c r="EN19" i="94"/>
  <c r="EO19" i="94"/>
  <c r="EP19" i="94"/>
  <c r="EQ19" i="94"/>
  <c r="ER19" i="94"/>
  <c r="ES19" i="94"/>
  <c r="ET19" i="94"/>
  <c r="EU19" i="94"/>
  <c r="EV19" i="94"/>
  <c r="DB11" i="94"/>
  <c r="DC11" i="94"/>
  <c r="DD11" i="94"/>
  <c r="DE11" i="94"/>
  <c r="DF11" i="94"/>
  <c r="DG11" i="94"/>
  <c r="DH11" i="94"/>
  <c r="DI11" i="94"/>
  <c r="DJ11" i="94"/>
  <c r="DK11" i="94"/>
  <c r="DL11" i="94"/>
  <c r="DM11" i="94"/>
  <c r="DN11" i="94"/>
  <c r="DO11" i="94"/>
  <c r="DP11" i="94"/>
  <c r="DQ11" i="94"/>
  <c r="DR11" i="94"/>
  <c r="DS11" i="94"/>
  <c r="DT11" i="94"/>
  <c r="DU11" i="94"/>
  <c r="DV11" i="94"/>
  <c r="DW11" i="94"/>
  <c r="DX11" i="94"/>
  <c r="DY11" i="94"/>
  <c r="DZ11" i="94"/>
  <c r="EA11" i="94"/>
  <c r="EB11" i="94"/>
  <c r="EC11" i="94"/>
  <c r="ED11" i="94"/>
  <c r="EE11" i="94"/>
  <c r="EF11" i="94"/>
  <c r="EG11" i="94"/>
  <c r="EH11" i="94"/>
  <c r="EI11" i="94"/>
  <c r="EJ11" i="94"/>
  <c r="EK11" i="94"/>
  <c r="EL11" i="94"/>
  <c r="EM11" i="94"/>
  <c r="EN11" i="94"/>
  <c r="EO11" i="94"/>
  <c r="EP11" i="94"/>
  <c r="EQ11" i="94"/>
  <c r="ER11" i="94"/>
  <c r="ES11" i="94"/>
  <c r="ET11" i="94"/>
  <c r="EU11" i="94"/>
  <c r="EV11" i="94"/>
  <c r="EW11" i="94"/>
  <c r="R15" i="94"/>
  <c r="Q15" i="94"/>
  <c r="DL7" i="94"/>
  <c r="DM7" i="94"/>
  <c r="DN7" i="94"/>
  <c r="DO7" i="94"/>
  <c r="DP7" i="94"/>
  <c r="DQ7" i="94"/>
  <c r="DR7" i="94"/>
  <c r="DS7" i="94"/>
  <c r="DT7" i="94"/>
  <c r="DU7" i="94"/>
  <c r="DV7" i="94"/>
  <c r="DW7" i="94"/>
  <c r="DX7" i="94"/>
  <c r="DY7" i="94"/>
  <c r="DZ7" i="94"/>
  <c r="EA7" i="94"/>
  <c r="EB7" i="94"/>
  <c r="EC7" i="94"/>
  <c r="ED7" i="94"/>
  <c r="EE7" i="94"/>
  <c r="EF7" i="94"/>
  <c r="EG7" i="94"/>
  <c r="EH7" i="94"/>
  <c r="EI7" i="94"/>
  <c r="EJ7" i="94"/>
  <c r="EK7" i="94"/>
  <c r="EL7" i="94"/>
  <c r="EM7" i="94"/>
  <c r="EN7" i="94"/>
  <c r="EO7" i="94"/>
  <c r="EP7" i="94"/>
  <c r="EQ7" i="94"/>
  <c r="ER7" i="94"/>
  <c r="ES7" i="94"/>
  <c r="ET7" i="94"/>
  <c r="EU7" i="94"/>
  <c r="EV7" i="94"/>
  <c r="EW7" i="94"/>
  <c r="DA7" i="94"/>
  <c r="DB7" i="94"/>
  <c r="DC7" i="94"/>
  <c r="DD7" i="94"/>
  <c r="DE7" i="94"/>
  <c r="DF7" i="94"/>
  <c r="DG7" i="94"/>
  <c r="DH7" i="94"/>
  <c r="DI7" i="94"/>
  <c r="DJ7" i="94"/>
  <c r="DK7" i="94"/>
  <c r="BN97" i="22" l="1"/>
  <c r="BH97" i="22"/>
  <c r="BK97" i="22"/>
  <c r="BJ97" i="22"/>
  <c r="BI97" i="22"/>
  <c r="BG97" i="22"/>
  <c r="BE97" i="22"/>
  <c r="BF97" i="22"/>
  <c r="BM97" i="22"/>
  <c r="BL97" i="22"/>
  <c r="A152" i="1"/>
  <c r="CL106" i="1" l="1"/>
  <c r="G151" i="1"/>
  <c r="H151" i="1"/>
  <c r="I151" i="1"/>
  <c r="J151" i="1"/>
  <c r="K151" i="1"/>
  <c r="L151" i="1"/>
  <c r="M151" i="1"/>
  <c r="N151" i="1"/>
  <c r="O151" i="1"/>
  <c r="P151" i="1"/>
  <c r="Q151" i="1"/>
  <c r="R151" i="1"/>
  <c r="S151" i="1"/>
  <c r="T151" i="1"/>
  <c r="U151" i="1"/>
  <c r="V151" i="1"/>
  <c r="W151" i="1"/>
  <c r="X151" i="1"/>
  <c r="Y151" i="1"/>
  <c r="Z151" i="1"/>
  <c r="AA151" i="1"/>
  <c r="AB151" i="1"/>
  <c r="AD151" i="1"/>
  <c r="AE151" i="1"/>
  <c r="AF151" i="1"/>
  <c r="AG151" i="1"/>
  <c r="AH151" i="1"/>
  <c r="AI151" i="1"/>
  <c r="AJ151" i="1"/>
  <c r="AK151" i="1"/>
  <c r="AL151" i="1"/>
  <c r="AM151" i="1"/>
  <c r="AN151" i="1"/>
  <c r="AO151" i="1"/>
  <c r="AP151" i="1"/>
  <c r="AQ151" i="1"/>
  <c r="AR151" i="1"/>
  <c r="AS151" i="1"/>
  <c r="AT151" i="1"/>
  <c r="AU151" i="1"/>
  <c r="AV151" i="1"/>
  <c r="AW151" i="1"/>
  <c r="AX151" i="1"/>
  <c r="AY151" i="1"/>
  <c r="AZ151" i="1"/>
  <c r="BA151" i="1"/>
  <c r="BB151" i="1"/>
  <c r="BC151" i="1"/>
  <c r="BD151" i="1"/>
  <c r="BE151" i="1"/>
  <c r="BF151" i="1"/>
  <c r="BG151" i="1"/>
  <c r="BH151" i="1"/>
  <c r="BI151" i="1"/>
  <c r="BJ151" i="1"/>
  <c r="BK151" i="1"/>
  <c r="BL151" i="1"/>
  <c r="BM151" i="1"/>
  <c r="BN151" i="1"/>
  <c r="BO151" i="1"/>
  <c r="BP151" i="1"/>
  <c r="BQ151" i="1"/>
  <c r="BR151" i="1"/>
  <c r="BS151" i="1"/>
  <c r="BT151" i="1"/>
  <c r="BU151" i="1"/>
  <c r="BV151" i="1"/>
  <c r="BW151" i="1"/>
  <c r="BX151" i="1"/>
  <c r="BY151" i="1"/>
  <c r="BZ151" i="1"/>
  <c r="CA151" i="1"/>
  <c r="CB151" i="1"/>
  <c r="CC151" i="1"/>
  <c r="CD151" i="1"/>
  <c r="CE151" i="1"/>
  <c r="CF151" i="1"/>
  <c r="CG151" i="1"/>
  <c r="CH151" i="1"/>
  <c r="CI151" i="1"/>
  <c r="CJ151" i="1"/>
  <c r="CK151" i="1"/>
  <c r="CL151" i="1"/>
  <c r="CM151" i="1"/>
  <c r="CN151" i="1"/>
  <c r="CO151" i="1"/>
  <c r="CP151" i="1"/>
  <c r="CQ151" i="1"/>
  <c r="CR151" i="1"/>
  <c r="CS151" i="1"/>
  <c r="CT151" i="1"/>
  <c r="CV151" i="1"/>
  <c r="CW151" i="1"/>
  <c r="CX151" i="1"/>
  <c r="CY151" i="1"/>
  <c r="CZ151" i="1"/>
  <c r="DA151" i="1"/>
  <c r="DB151" i="1"/>
  <c r="DC151" i="1"/>
  <c r="DD151" i="1"/>
  <c r="DE151" i="1"/>
  <c r="DF151" i="1"/>
  <c r="DH151" i="1"/>
  <c r="DI151" i="1"/>
  <c r="DJ151" i="1"/>
  <c r="DK151" i="1"/>
  <c r="DL151" i="1"/>
  <c r="DM151" i="1"/>
  <c r="DN151" i="1"/>
  <c r="DO151" i="1"/>
  <c r="DP151" i="1"/>
  <c r="DQ151" i="1"/>
  <c r="F151" i="1"/>
  <c r="A151" i="1"/>
  <c r="CT106" i="1" l="1"/>
  <c r="CT150" i="1"/>
  <c r="AR15" i="125"/>
  <c r="AS15" i="125"/>
  <c r="AT15" i="125"/>
  <c r="AU15" i="125"/>
  <c r="AO15" i="125"/>
  <c r="AP15" i="125"/>
  <c r="AQ15" i="125"/>
  <c r="AN15" i="125"/>
  <c r="AM15" i="125"/>
  <c r="AT2" i="125" l="1"/>
  <c r="FF21" i="125"/>
  <c r="FF22" i="125"/>
  <c r="FF23" i="125" s="1"/>
  <c r="AL21" i="125"/>
  <c r="AL20" i="125"/>
  <c r="AL17" i="125"/>
  <c r="AQ150" i="1" l="1"/>
  <c r="AR150" i="1"/>
  <c r="AS150" i="1"/>
  <c r="AT150" i="1"/>
  <c r="AU150" i="1"/>
  <c r="AV150" i="1"/>
  <c r="AW150" i="1"/>
  <c r="AX150" i="1"/>
  <c r="AY150" i="1"/>
  <c r="AZ150" i="1"/>
  <c r="BA150" i="1"/>
  <c r="BB150" i="1"/>
  <c r="BC150" i="1"/>
  <c r="BD150" i="1"/>
  <c r="BE150" i="1"/>
  <c r="BF150" i="1"/>
  <c r="BG150" i="1"/>
  <c r="BH150" i="1"/>
  <c r="BI150" i="1"/>
  <c r="BJ150" i="1"/>
  <c r="BK150" i="1"/>
  <c r="BL150" i="1"/>
  <c r="BM150" i="1"/>
  <c r="BN150" i="1"/>
  <c r="BO150" i="1"/>
  <c r="BP150" i="1"/>
  <c r="BQ150" i="1"/>
  <c r="BR150" i="1"/>
  <c r="BS150" i="1"/>
  <c r="BT150" i="1"/>
  <c r="BU150" i="1"/>
  <c r="BV150" i="1"/>
  <c r="BW150" i="1"/>
  <c r="BX150" i="1"/>
  <c r="BY150" i="1"/>
  <c r="BZ150" i="1"/>
  <c r="CA150" i="1"/>
  <c r="CB150" i="1"/>
  <c r="CC150" i="1"/>
  <c r="CD150" i="1"/>
  <c r="CE150" i="1"/>
  <c r="CF150" i="1"/>
  <c r="CG150" i="1"/>
  <c r="CH150" i="1"/>
  <c r="CI150" i="1"/>
  <c r="CJ150" i="1"/>
  <c r="CK150" i="1"/>
  <c r="CL150" i="1"/>
  <c r="CM150" i="1"/>
  <c r="CN150" i="1"/>
  <c r="CO150" i="1"/>
  <c r="CP150" i="1"/>
  <c r="CQ150" i="1"/>
  <c r="CR150" i="1"/>
  <c r="CS150" i="1"/>
  <c r="AP150" i="1"/>
  <c r="AF150" i="1"/>
  <c r="AG150" i="1"/>
  <c r="AH150" i="1"/>
  <c r="AI150" i="1"/>
  <c r="AJ150" i="1"/>
  <c r="AK150" i="1"/>
  <c r="AL150" i="1"/>
  <c r="AM150" i="1"/>
  <c r="AN150" i="1"/>
  <c r="AO150" i="1"/>
  <c r="AD150" i="1"/>
  <c r="AE150" i="1"/>
  <c r="R150" i="1"/>
  <c r="S150" i="1"/>
  <c r="T150" i="1"/>
  <c r="U150" i="1"/>
  <c r="V150" i="1"/>
  <c r="W150" i="1"/>
  <c r="X150" i="1"/>
  <c r="Y150" i="1"/>
  <c r="Z150" i="1"/>
  <c r="AA150" i="1"/>
  <c r="AB150" i="1"/>
  <c r="AC150" i="1"/>
  <c r="G150" i="1"/>
  <c r="H150" i="1"/>
  <c r="I150" i="1"/>
  <c r="J150" i="1"/>
  <c r="K150" i="1"/>
  <c r="L150" i="1"/>
  <c r="M150" i="1"/>
  <c r="N150" i="1"/>
  <c r="O150" i="1"/>
  <c r="P150" i="1"/>
  <c r="Q150" i="1"/>
  <c r="F150" i="1"/>
  <c r="A150" i="1"/>
  <c r="A149" i="1"/>
  <c r="AJ148" i="1"/>
  <c r="AK148" i="1"/>
  <c r="AL148" i="1"/>
  <c r="AM148" i="1"/>
  <c r="AN148" i="1"/>
  <c r="AO148" i="1"/>
  <c r="AP148" i="1"/>
  <c r="AQ148" i="1"/>
  <c r="AR148" i="1"/>
  <c r="AS148" i="1"/>
  <c r="AT148" i="1"/>
  <c r="AU148" i="1"/>
  <c r="AV148" i="1"/>
  <c r="AW148" i="1"/>
  <c r="AX148" i="1"/>
  <c r="AY148" i="1"/>
  <c r="AZ148" i="1"/>
  <c r="BA148" i="1"/>
  <c r="BB148" i="1"/>
  <c r="BC148" i="1"/>
  <c r="BD148" i="1"/>
  <c r="BE148" i="1"/>
  <c r="BF148" i="1"/>
  <c r="BG148" i="1"/>
  <c r="BH148" i="1"/>
  <c r="BI148" i="1"/>
  <c r="BJ148" i="1"/>
  <c r="BK148" i="1"/>
  <c r="BL148" i="1"/>
  <c r="BM148" i="1"/>
  <c r="BN148" i="1"/>
  <c r="BO148" i="1"/>
  <c r="BP148" i="1"/>
  <c r="BQ148" i="1"/>
  <c r="BR148" i="1"/>
  <c r="BS148" i="1"/>
  <c r="BT148" i="1"/>
  <c r="BU148" i="1"/>
  <c r="BV148" i="1"/>
  <c r="BW148" i="1"/>
  <c r="BX148" i="1"/>
  <c r="BY148" i="1"/>
  <c r="BZ148" i="1"/>
  <c r="CA148" i="1"/>
  <c r="CB148" i="1"/>
  <c r="CC148" i="1"/>
  <c r="CD148" i="1"/>
  <c r="CE148" i="1"/>
  <c r="CF148" i="1"/>
  <c r="CG148" i="1"/>
  <c r="CH148" i="1"/>
  <c r="CI148" i="1"/>
  <c r="CJ148" i="1"/>
  <c r="CK148" i="1"/>
  <c r="CL148" i="1"/>
  <c r="CM148" i="1"/>
  <c r="CN148" i="1"/>
  <c r="CO148" i="1"/>
  <c r="CP148" i="1"/>
  <c r="CQ148" i="1"/>
  <c r="CR148" i="1"/>
  <c r="CS148" i="1"/>
  <c r="CT148" i="1"/>
  <c r="AI148" i="1"/>
  <c r="A148" i="1"/>
  <c r="A147" i="1"/>
  <c r="AC30" i="125" l="1"/>
  <c r="AB30" i="125"/>
  <c r="AA30" i="125"/>
  <c r="Z30" i="125"/>
  <c r="Y30" i="125"/>
  <c r="X30" i="125"/>
  <c r="W30" i="125"/>
  <c r="V30" i="125"/>
  <c r="U30" i="125"/>
  <c r="T30" i="125"/>
  <c r="S30" i="125"/>
  <c r="R30" i="125"/>
  <c r="Q30" i="125"/>
  <c r="P30" i="125"/>
  <c r="O30" i="125"/>
  <c r="N30" i="125"/>
  <c r="M30" i="125"/>
  <c r="L30" i="125"/>
  <c r="K30" i="125"/>
  <c r="J30" i="125"/>
  <c r="I30" i="125"/>
  <c r="FE6" i="125"/>
  <c r="FD6" i="125"/>
  <c r="FC6" i="125"/>
  <c r="FB6" i="125"/>
  <c r="FA6" i="125"/>
  <c r="EZ6" i="125"/>
  <c r="EY6" i="125"/>
  <c r="EX6" i="125"/>
  <c r="EW6" i="125"/>
  <c r="EV6" i="125"/>
  <c r="EU6" i="125"/>
  <c r="ET6" i="125"/>
  <c r="ES6" i="125"/>
  <c r="ER6" i="125"/>
  <c r="EQ6" i="125"/>
  <c r="EP6" i="125"/>
  <c r="EO6" i="125"/>
  <c r="EN6" i="125"/>
  <c r="EM6" i="125"/>
  <c r="EL6" i="125"/>
  <c r="EK6" i="125"/>
  <c r="EJ6" i="125"/>
  <c r="EI6" i="125"/>
  <c r="EH6" i="125"/>
  <c r="EG6" i="125"/>
  <c r="EF6" i="125"/>
  <c r="EE6" i="125"/>
  <c r="ED6" i="125"/>
  <c r="EC6" i="125"/>
  <c r="EB6" i="125"/>
  <c r="EA6" i="125"/>
  <c r="DZ6" i="125"/>
  <c r="DY6" i="125"/>
  <c r="DX6" i="125"/>
  <c r="DW6" i="125"/>
  <c r="DV6" i="125"/>
  <c r="DU6" i="125"/>
  <c r="DT6" i="125"/>
  <c r="DS6" i="125"/>
  <c r="DR6" i="125"/>
  <c r="DQ6" i="125"/>
  <c r="DP6" i="125"/>
  <c r="DO6" i="125"/>
  <c r="DN6" i="125"/>
  <c r="DM6" i="125"/>
  <c r="DL6" i="125"/>
  <c r="DK6" i="125"/>
  <c r="DJ6" i="125"/>
  <c r="DI6" i="125"/>
  <c r="DH6" i="125"/>
  <c r="DG6" i="125"/>
  <c r="DF6" i="125"/>
  <c r="DE6" i="125"/>
  <c r="DD6" i="125"/>
  <c r="DC6" i="125"/>
  <c r="DB6" i="125"/>
  <c r="DA6" i="125"/>
  <c r="CZ6" i="125"/>
  <c r="CY6" i="125"/>
  <c r="CX6" i="125"/>
  <c r="CW6" i="125"/>
  <c r="CV6" i="125"/>
  <c r="CU6" i="125"/>
  <c r="CT6" i="125"/>
  <c r="CS6" i="125"/>
  <c r="CR6" i="125"/>
  <c r="CQ6" i="125"/>
  <c r="CP6" i="125"/>
  <c r="CO6" i="125"/>
  <c r="CN6" i="125"/>
  <c r="CM6" i="125"/>
  <c r="CL6" i="125"/>
  <c r="CK6" i="125"/>
  <c r="CJ6" i="125"/>
  <c r="CI6" i="125"/>
  <c r="CE6" i="125"/>
  <c r="CG96" i="22" l="1"/>
  <c r="CG102" i="22"/>
  <c r="CG103" i="22"/>
  <c r="CG105" i="22"/>
  <c r="CG113" i="22"/>
  <c r="CG114" i="22"/>
  <c r="CG115" i="22"/>
  <c r="CG121" i="22"/>
  <c r="EL2" i="22"/>
  <c r="CW7" i="95"/>
  <c r="CX7" i="95"/>
  <c r="CY7" i="95"/>
  <c r="CZ7" i="95"/>
  <c r="DA7" i="95"/>
  <c r="DB7" i="95"/>
  <c r="DC7" i="95"/>
  <c r="DD7" i="95"/>
  <c r="DE7" i="95"/>
  <c r="DF7" i="95"/>
  <c r="DG7" i="95"/>
  <c r="DH7" i="95"/>
  <c r="DI7" i="95"/>
  <c r="DJ7" i="95"/>
  <c r="DK7" i="95"/>
  <c r="DL7" i="95"/>
  <c r="DM7" i="95"/>
  <c r="DN7" i="95"/>
  <c r="DO7" i="95"/>
  <c r="DP7" i="95"/>
  <c r="DQ7" i="95"/>
  <c r="DR7" i="95"/>
  <c r="DS7" i="95"/>
  <c r="DT7" i="95"/>
  <c r="DU7" i="95"/>
  <c r="DV7" i="95"/>
  <c r="DW7" i="95"/>
  <c r="DX7" i="95"/>
  <c r="DY7" i="95"/>
  <c r="DZ7" i="95"/>
  <c r="EA7" i="95"/>
  <c r="EB7" i="95"/>
  <c r="EC7" i="95"/>
  <c r="ED7" i="95"/>
  <c r="EE7" i="95"/>
  <c r="EF7" i="95"/>
  <c r="EG7" i="95"/>
  <c r="EH7" i="95"/>
  <c r="EI7" i="95"/>
  <c r="EJ7" i="95"/>
  <c r="EK7" i="95"/>
  <c r="EL7" i="95"/>
  <c r="EM7" i="95"/>
  <c r="EN7" i="95"/>
  <c r="EO7" i="95"/>
  <c r="EP7" i="95"/>
  <c r="EQ7" i="95"/>
  <c r="ER7" i="95"/>
  <c r="ES7" i="95"/>
  <c r="CS7" i="95"/>
  <c r="CT7" i="95"/>
  <c r="CU7" i="95"/>
  <c r="CV7" i="95"/>
  <c r="A146" i="1"/>
  <c r="CS7" i="92"/>
  <c r="CT7" i="92"/>
  <c r="CU7" i="92"/>
  <c r="CV7" i="92"/>
  <c r="CW7" i="92"/>
  <c r="CX7" i="92"/>
  <c r="CY7" i="92"/>
  <c r="CZ7" i="92"/>
  <c r="DA7" i="92"/>
  <c r="DB7" i="92"/>
  <c r="DC7" i="92"/>
  <c r="DD7" i="92"/>
  <c r="DE7" i="92"/>
  <c r="DF7" i="92"/>
  <c r="DG7" i="92"/>
  <c r="DH7" i="92"/>
  <c r="DI7" i="92"/>
  <c r="DJ7" i="92"/>
  <c r="DK7" i="92"/>
  <c r="DL7" i="92"/>
  <c r="DM7" i="92"/>
  <c r="DN7" i="92"/>
  <c r="DO7" i="92"/>
  <c r="DP7" i="92"/>
  <c r="DQ7" i="92"/>
  <c r="DR7" i="92"/>
  <c r="DS7" i="92"/>
  <c r="DT7" i="92"/>
  <c r="DU7" i="92"/>
  <c r="DV7" i="92"/>
  <c r="DW7" i="92"/>
  <c r="DX7" i="92"/>
  <c r="DY7" i="92"/>
  <c r="DZ7" i="92"/>
  <c r="EA7" i="92"/>
  <c r="EB7" i="92"/>
  <c r="EC7" i="92"/>
  <c r="ED7" i="92"/>
  <c r="EE7" i="92"/>
  <c r="EF7" i="92"/>
  <c r="EG7" i="92"/>
  <c r="EH7" i="92"/>
  <c r="EI7" i="92"/>
  <c r="EJ7" i="92"/>
  <c r="EK7" i="92"/>
  <c r="EL7" i="92"/>
  <c r="EM7" i="92"/>
  <c r="EN7" i="92"/>
  <c r="EO7" i="92"/>
  <c r="EP7" i="92"/>
  <c r="EQ7" i="92"/>
  <c r="ER7" i="92"/>
  <c r="ES7" i="92"/>
  <c r="ET7" i="92"/>
  <c r="EU7" i="92"/>
  <c r="EV7" i="92"/>
  <c r="EW7" i="92"/>
  <c r="EX7" i="92"/>
  <c r="EY7" i="92"/>
  <c r="EZ7" i="92"/>
  <c r="FA7" i="92"/>
  <c r="FB7" i="92"/>
  <c r="FC7" i="92"/>
  <c r="EV19" i="91"/>
  <c r="EV20" i="91"/>
  <c r="CA15" i="91"/>
  <c r="AY15" i="91"/>
  <c r="AV15" i="91"/>
  <c r="AU15" i="91"/>
  <c r="AR15" i="91"/>
  <c r="AM15" i="91"/>
  <c r="AI15" i="91"/>
  <c r="AG15" i="91"/>
  <c r="AF15" i="91"/>
  <c r="AD15" i="91"/>
  <c r="I15" i="91"/>
  <c r="CS7" i="91"/>
  <c r="CT7" i="91"/>
  <c r="CU7" i="91"/>
  <c r="CV7" i="91"/>
  <c r="CW7" i="91"/>
  <c r="CX7" i="91"/>
  <c r="CY7" i="91"/>
  <c r="CZ7" i="91"/>
  <c r="DA7" i="91"/>
  <c r="DB7" i="91"/>
  <c r="DC7" i="91"/>
  <c r="DD7" i="91"/>
  <c r="DE7" i="91"/>
  <c r="DF7" i="91"/>
  <c r="DG7" i="91"/>
  <c r="DH7" i="91"/>
  <c r="DI7" i="91"/>
  <c r="DJ7" i="91"/>
  <c r="DK7" i="91"/>
  <c r="DL7" i="91"/>
  <c r="DM7" i="91"/>
  <c r="DN7" i="91"/>
  <c r="DO7" i="91"/>
  <c r="DP7" i="91"/>
  <c r="DQ7" i="91"/>
  <c r="DR7" i="91"/>
  <c r="DS7" i="91"/>
  <c r="DT7" i="91"/>
  <c r="DU7" i="91"/>
  <c r="DV7" i="91"/>
  <c r="DW7" i="91"/>
  <c r="DX7" i="91"/>
  <c r="DY7" i="91"/>
  <c r="DZ7" i="91"/>
  <c r="EA7" i="91"/>
  <c r="EB7" i="91"/>
  <c r="EC7" i="91"/>
  <c r="ED7" i="91"/>
  <c r="EE7" i="91"/>
  <c r="EF7" i="91"/>
  <c r="EG7" i="91"/>
  <c r="EH7" i="91"/>
  <c r="EI7" i="91"/>
  <c r="EJ7" i="91"/>
  <c r="EK7" i="91"/>
  <c r="EL7" i="91"/>
  <c r="EM7" i="91"/>
  <c r="EN7" i="91"/>
  <c r="EO7" i="91"/>
  <c r="EP7" i="91"/>
  <c r="EQ7" i="91"/>
  <c r="ER7" i="91"/>
  <c r="ES7" i="91"/>
  <c r="ET7" i="91"/>
  <c r="EU7" i="91"/>
  <c r="AR12" i="90"/>
  <c r="AU12" i="90"/>
  <c r="AW12" i="90"/>
  <c r="BK12" i="90"/>
  <c r="CL12" i="90"/>
  <c r="CU7" i="90"/>
  <c r="CV7" i="90"/>
  <c r="CW7" i="90"/>
  <c r="CX7" i="90"/>
  <c r="CY7" i="90"/>
  <c r="CZ7" i="90"/>
  <c r="DA7" i="90"/>
  <c r="DB7" i="90"/>
  <c r="DC7" i="90"/>
  <c r="DD7" i="90"/>
  <c r="DE7" i="90"/>
  <c r="DF7" i="90"/>
  <c r="DG7" i="90"/>
  <c r="DH7" i="90"/>
  <c r="DI7" i="90"/>
  <c r="DJ7" i="90"/>
  <c r="DK7" i="90"/>
  <c r="DL7" i="90"/>
  <c r="DM7" i="90"/>
  <c r="DN7" i="90"/>
  <c r="DO7" i="90"/>
  <c r="DP7" i="90"/>
  <c r="DQ7" i="90"/>
  <c r="DR7" i="90"/>
  <c r="DS7" i="90"/>
  <c r="DT7" i="90"/>
  <c r="DU7" i="90"/>
  <c r="DV7" i="90"/>
  <c r="DW7" i="90"/>
  <c r="DX7" i="90"/>
  <c r="DY7" i="90"/>
  <c r="DZ7" i="90"/>
  <c r="EA7" i="90"/>
  <c r="EB7" i="90"/>
  <c r="EC7" i="90"/>
  <c r="ED7" i="90"/>
  <c r="EE7" i="90"/>
  <c r="EF7" i="90"/>
  <c r="EG7" i="90"/>
  <c r="EH7" i="90"/>
  <c r="EI7" i="90"/>
  <c r="EJ7" i="90"/>
  <c r="CI12" i="89"/>
  <c r="CB12" i="89"/>
  <c r="BX12" i="89"/>
  <c r="BT12" i="89"/>
  <c r="BP12" i="89"/>
  <c r="BC12" i="89"/>
  <c r="AY12" i="89"/>
  <c r="AX12" i="89"/>
  <c r="AS12" i="89"/>
  <c r="AQ12" i="89"/>
  <c r="AL12" i="89"/>
  <c r="AK12" i="89"/>
  <c r="AJ12" i="89"/>
  <c r="AA12" i="89"/>
  <c r="W12" i="89"/>
  <c r="T12" i="89"/>
  <c r="S12" i="89"/>
  <c r="M12" i="89"/>
  <c r="I12" i="89"/>
  <c r="CQ7" i="89"/>
  <c r="CR7" i="89"/>
  <c r="CS7" i="89"/>
  <c r="CT7" i="89"/>
  <c r="CU7" i="89"/>
  <c r="CV7" i="89"/>
  <c r="CW7" i="89"/>
  <c r="CX7" i="89"/>
  <c r="CY7" i="89"/>
  <c r="CZ7" i="89"/>
  <c r="DA7" i="89"/>
  <c r="DB7" i="89"/>
  <c r="DC7" i="89"/>
  <c r="DD7" i="89"/>
  <c r="DE7" i="89"/>
  <c r="DF7" i="89"/>
  <c r="DG7" i="89"/>
  <c r="DH7" i="89"/>
  <c r="DI7" i="89"/>
  <c r="DJ7" i="89"/>
  <c r="DK7" i="89"/>
  <c r="DL7" i="89"/>
  <c r="DM7" i="89"/>
  <c r="DN7" i="89"/>
  <c r="DO7" i="89"/>
  <c r="DP7" i="89"/>
  <c r="DQ7" i="89"/>
  <c r="DR7" i="89"/>
  <c r="DS7" i="89"/>
  <c r="DT7" i="89"/>
  <c r="DU7" i="89"/>
  <c r="DV7" i="89"/>
  <c r="DW7" i="89"/>
  <c r="DX7" i="89"/>
  <c r="DY7" i="89"/>
  <c r="DZ7" i="89"/>
  <c r="EA7" i="89"/>
  <c r="EB7" i="89"/>
  <c r="EC7" i="89"/>
  <c r="ED7" i="89"/>
  <c r="EE7" i="89"/>
  <c r="EF7" i="89"/>
  <c r="EG7" i="89"/>
  <c r="EH7" i="89"/>
  <c r="EI7" i="89"/>
  <c r="EJ7" i="89"/>
  <c r="EK7" i="89"/>
  <c r="EL7" i="89"/>
  <c r="EM7" i="89"/>
  <c r="EN7" i="89"/>
  <c r="EO7" i="89"/>
  <c r="EP7" i="89"/>
  <c r="EQ7" i="89"/>
  <c r="ER7" i="89"/>
  <c r="ES7" i="89"/>
  <c r="ET7" i="89"/>
  <c r="EU7" i="89"/>
  <c r="EV7" i="89"/>
  <c r="EW7" i="89"/>
  <c r="EX7" i="89"/>
  <c r="EY7" i="89"/>
  <c r="EZ7" i="89"/>
  <c r="FA7" i="89"/>
  <c r="FB7" i="89"/>
  <c r="FC7" i="89"/>
  <c r="FD7" i="89"/>
  <c r="FE7" i="89"/>
  <c r="FF7" i="89"/>
  <c r="FG7" i="89"/>
  <c r="FH7" i="89"/>
  <c r="FI7" i="89"/>
  <c r="FJ7" i="89"/>
  <c r="CT6" i="88"/>
  <c r="CU6" i="88"/>
  <c r="CV6" i="88"/>
  <c r="CW6" i="88"/>
  <c r="CX6" i="88"/>
  <c r="CY6" i="88"/>
  <c r="CZ6" i="88"/>
  <c r="DA6" i="88"/>
  <c r="DB6" i="88"/>
  <c r="DC6" i="88"/>
  <c r="DD6" i="88"/>
  <c r="DE6" i="88"/>
  <c r="DF6" i="88"/>
  <c r="DG6" i="88"/>
  <c r="DH6" i="88"/>
  <c r="DI6" i="88"/>
  <c r="DJ6" i="88"/>
  <c r="DK6" i="88"/>
  <c r="DL6" i="88"/>
  <c r="DM6" i="88"/>
  <c r="DN6" i="88"/>
  <c r="DO6" i="88"/>
  <c r="DP6" i="88"/>
  <c r="DQ6" i="88"/>
  <c r="DR6" i="88"/>
  <c r="DS6" i="88"/>
  <c r="DT6" i="88"/>
  <c r="DU6" i="88"/>
  <c r="DV6" i="88"/>
  <c r="DW6" i="88"/>
  <c r="DX6" i="88"/>
  <c r="DY6" i="88"/>
  <c r="DZ6" i="88"/>
  <c r="EA6" i="88"/>
  <c r="EB6" i="88"/>
  <c r="EC6" i="88"/>
  <c r="ED6" i="88"/>
  <c r="EE6" i="88"/>
  <c r="EF6" i="88"/>
  <c r="EG6" i="88"/>
  <c r="EH6" i="88"/>
  <c r="EI6" i="88"/>
  <c r="EJ6" i="88"/>
  <c r="EK6" i="88"/>
  <c r="EL6" i="88"/>
  <c r="EM6" i="88"/>
  <c r="CY6" i="87"/>
  <c r="CZ6" i="87"/>
  <c r="DA6" i="87"/>
  <c r="DB6" i="87"/>
  <c r="DC6" i="87"/>
  <c r="DD6" i="87"/>
  <c r="DE6" i="87"/>
  <c r="DF6" i="87"/>
  <c r="DG6" i="87"/>
  <c r="DH6" i="87"/>
  <c r="DI6" i="87"/>
  <c r="DJ6" i="87"/>
  <c r="DK6" i="87"/>
  <c r="DL6" i="87"/>
  <c r="DM6" i="87"/>
  <c r="DN6" i="87"/>
  <c r="DO6" i="87"/>
  <c r="DP6" i="87"/>
  <c r="DQ6" i="87"/>
  <c r="DR6" i="87"/>
  <c r="DS6" i="87"/>
  <c r="DT6" i="87"/>
  <c r="DU6" i="87"/>
  <c r="DV6" i="87"/>
  <c r="DW6" i="87"/>
  <c r="DX6" i="87"/>
  <c r="DY6" i="87"/>
  <c r="DZ6" i="87"/>
  <c r="EA6" i="87"/>
  <c r="EB6" i="87"/>
  <c r="EC6" i="87"/>
  <c r="ED6" i="87"/>
  <c r="EE6" i="87"/>
  <c r="EF6" i="87"/>
  <c r="EG6" i="87"/>
  <c r="EH6" i="87"/>
  <c r="EI6" i="87"/>
  <c r="EJ6" i="87"/>
  <c r="CV6" i="87"/>
  <c r="CW6" i="87"/>
  <c r="CX6" i="87"/>
  <c r="DO6" i="86"/>
  <c r="DP6" i="86"/>
  <c r="DQ6" i="86"/>
  <c r="DR6" i="86"/>
  <c r="DS6" i="86"/>
  <c r="DT6" i="86"/>
  <c r="DU6" i="86"/>
  <c r="DV6" i="86"/>
  <c r="DW6" i="86"/>
  <c r="DX6" i="86"/>
  <c r="DY6" i="86"/>
  <c r="DZ6" i="86"/>
  <c r="EA6" i="86"/>
  <c r="EB6" i="86"/>
  <c r="EC6" i="86"/>
  <c r="ED6" i="86"/>
  <c r="EE6" i="86"/>
  <c r="EF6" i="86"/>
  <c r="CX6" i="86"/>
  <c r="CY6" i="86"/>
  <c r="CZ6" i="86"/>
  <c r="DA6" i="86"/>
  <c r="DB6" i="86"/>
  <c r="DC6" i="86"/>
  <c r="DD6" i="86"/>
  <c r="DE6" i="86"/>
  <c r="DF6" i="86"/>
  <c r="DG6" i="86"/>
  <c r="DH6" i="86"/>
  <c r="DI6" i="86"/>
  <c r="DJ6" i="86"/>
  <c r="DK6" i="86"/>
  <c r="DL6" i="86"/>
  <c r="DM6" i="86"/>
  <c r="DN6" i="86"/>
  <c r="CV6" i="85"/>
  <c r="CW6" i="85"/>
  <c r="CX6" i="85"/>
  <c r="CY6" i="85"/>
  <c r="CZ6" i="85"/>
  <c r="DA6" i="85"/>
  <c r="DB6" i="85"/>
  <c r="DC6" i="85"/>
  <c r="DD6" i="85"/>
  <c r="DE6" i="85"/>
  <c r="DF6" i="85"/>
  <c r="DG6" i="85"/>
  <c r="DH6" i="85"/>
  <c r="DI6" i="85"/>
  <c r="DJ6" i="85"/>
  <c r="DK6" i="85"/>
  <c r="DL6" i="85"/>
  <c r="DM6" i="85"/>
  <c r="DN6" i="85"/>
  <c r="DO6" i="85"/>
  <c r="DP6" i="85"/>
  <c r="DQ6" i="85"/>
  <c r="DR6" i="85"/>
  <c r="DS6" i="85"/>
  <c r="DT6" i="85"/>
  <c r="DU6" i="85"/>
  <c r="DV6" i="85"/>
  <c r="DW6" i="85"/>
  <c r="DX6" i="85"/>
  <c r="DY6" i="85"/>
  <c r="DZ6" i="85"/>
  <c r="EA6" i="85"/>
  <c r="EB6" i="85"/>
  <c r="EC6" i="85"/>
  <c r="ED6" i="85"/>
  <c r="EE6" i="85"/>
  <c r="EF6" i="85"/>
  <c r="EG6" i="85"/>
  <c r="EH6" i="85"/>
  <c r="EI6" i="85"/>
  <c r="EJ6" i="85"/>
  <c r="EK6" i="85"/>
  <c r="EL6" i="85"/>
  <c r="EM6" i="85"/>
  <c r="EN6" i="85"/>
  <c r="EO6" i="85"/>
  <c r="EP6" i="85"/>
  <c r="EQ6" i="85"/>
  <c r="ER6" i="85"/>
  <c r="ES6" i="85"/>
  <c r="ET6" i="85"/>
  <c r="EU6" i="85"/>
  <c r="EV6" i="85"/>
  <c r="EW6" i="85"/>
  <c r="EX6" i="85"/>
  <c r="EY6" i="85"/>
  <c r="EZ6" i="85"/>
  <c r="FA6" i="85"/>
  <c r="FB6" i="85"/>
  <c r="FC6" i="85"/>
  <c r="FD6" i="85"/>
  <c r="FE6" i="85"/>
  <c r="FF6" i="85"/>
  <c r="FG6" i="85"/>
  <c r="FH6" i="85"/>
  <c r="FI6" i="85"/>
  <c r="FJ6" i="85"/>
  <c r="FK6" i="85"/>
  <c r="FL6" i="85"/>
  <c r="FM6" i="85"/>
  <c r="FN6" i="85"/>
  <c r="FO6" i="85"/>
  <c r="FP6" i="85"/>
  <c r="FQ6" i="85"/>
  <c r="CU6" i="85"/>
  <c r="CS6" i="82"/>
  <c r="CT6" i="82"/>
  <c r="CU6" i="82"/>
  <c r="CV6" i="82"/>
  <c r="CW6" i="82"/>
  <c r="CX6" i="82"/>
  <c r="CY6" i="82"/>
  <c r="CZ6" i="82"/>
  <c r="DA6" i="82"/>
  <c r="DB6" i="82"/>
  <c r="DC6" i="82"/>
  <c r="DD6" i="82"/>
  <c r="DE6" i="82"/>
  <c r="DF6" i="82"/>
  <c r="DG6" i="82"/>
  <c r="DH6" i="82"/>
  <c r="DI6" i="82"/>
  <c r="DJ6" i="82"/>
  <c r="DK6" i="82"/>
  <c r="DL6" i="82"/>
  <c r="DM6" i="82"/>
  <c r="DN6" i="82"/>
  <c r="DO6" i="82"/>
  <c r="DP6" i="82"/>
  <c r="DQ6" i="82"/>
  <c r="DR6" i="82"/>
  <c r="DS6" i="82"/>
  <c r="DT6" i="82"/>
  <c r="DU6" i="82"/>
  <c r="DV6" i="82"/>
  <c r="DW6" i="82"/>
  <c r="DX6" i="82"/>
  <c r="DY6" i="82"/>
  <c r="DZ6" i="82"/>
  <c r="EA6" i="82"/>
  <c r="EB6" i="82"/>
  <c r="EC6" i="82"/>
  <c r="ED6" i="82"/>
  <c r="EE6" i="82"/>
  <c r="EF6" i="82"/>
  <c r="EG6" i="82"/>
  <c r="EH6" i="82"/>
  <c r="EI6" i="82"/>
  <c r="EJ6" i="82"/>
  <c r="EK6" i="82"/>
  <c r="EL6" i="82"/>
  <c r="EM6" i="82"/>
  <c r="EN6" i="82"/>
  <c r="EO6" i="82"/>
  <c r="EP6" i="82"/>
  <c r="EQ6" i="82"/>
  <c r="ER6" i="82"/>
  <c r="ES6" i="82"/>
  <c r="ET6" i="82"/>
  <c r="EU6" i="82"/>
  <c r="EV6" i="82"/>
  <c r="CS11" i="82"/>
  <c r="CT11" i="82"/>
  <c r="CU11" i="82"/>
  <c r="CV11" i="82"/>
  <c r="CW11" i="82"/>
  <c r="CX11" i="82"/>
  <c r="CY11" i="82"/>
  <c r="CZ11" i="82"/>
  <c r="DA11" i="82"/>
  <c r="DB11" i="82"/>
  <c r="DC11" i="82"/>
  <c r="DD11" i="82"/>
  <c r="DE11" i="82"/>
  <c r="DF11" i="82"/>
  <c r="DG11" i="82"/>
  <c r="DH11" i="82"/>
  <c r="DI11" i="82"/>
  <c r="DJ11" i="82"/>
  <c r="DK11" i="82"/>
  <c r="DL11" i="82"/>
  <c r="DM11" i="82"/>
  <c r="DN11" i="82"/>
  <c r="DO11" i="82"/>
  <c r="DP11" i="82"/>
  <c r="DQ11" i="82"/>
  <c r="DR11" i="82"/>
  <c r="DS11" i="82"/>
  <c r="DT11" i="82"/>
  <c r="DU11" i="82"/>
  <c r="DV11" i="82"/>
  <c r="DW11" i="82"/>
  <c r="DX11" i="82"/>
  <c r="DY11" i="82"/>
  <c r="DZ11" i="82"/>
  <c r="EA11" i="82"/>
  <c r="EB11" i="82"/>
  <c r="EC11" i="82"/>
  <c r="ED11" i="82"/>
  <c r="EE11" i="82"/>
  <c r="EF11" i="82"/>
  <c r="EG11" i="82"/>
  <c r="EH11" i="82"/>
  <c r="EI11" i="82"/>
  <c r="EJ11" i="82"/>
  <c r="EK11" i="82"/>
  <c r="EL11" i="82"/>
  <c r="EM11" i="82"/>
  <c r="EN11" i="82"/>
  <c r="EO11" i="82"/>
  <c r="EP11" i="82"/>
  <c r="EQ11" i="82"/>
  <c r="ER11" i="82"/>
  <c r="ES11" i="82"/>
  <c r="ET11" i="82"/>
  <c r="EU11" i="82"/>
  <c r="EV11" i="82"/>
  <c r="DJ6" i="81"/>
  <c r="DK6" i="81"/>
  <c r="DL6" i="81"/>
  <c r="DM6" i="81"/>
  <c r="DN6" i="81"/>
  <c r="DO6" i="81"/>
  <c r="DP6" i="81"/>
  <c r="DQ6" i="81"/>
  <c r="DR6" i="81"/>
  <c r="DS6" i="81"/>
  <c r="DT6" i="81"/>
  <c r="DU6" i="81"/>
  <c r="DV6" i="81"/>
  <c r="DW6" i="81"/>
  <c r="DX6" i="81"/>
  <c r="DY6" i="81"/>
  <c r="DZ6" i="81"/>
  <c r="EA6" i="81"/>
  <c r="EB6" i="81"/>
  <c r="EC6" i="81"/>
  <c r="ED6" i="81"/>
  <c r="EE6" i="81"/>
  <c r="EF6" i="81"/>
  <c r="EG6" i="81"/>
  <c r="EH6" i="81"/>
  <c r="EI6" i="81"/>
  <c r="EJ6" i="81"/>
  <c r="EK6" i="81"/>
  <c r="EL6" i="81"/>
  <c r="EM6" i="81"/>
  <c r="EN6" i="81"/>
  <c r="EO6" i="81"/>
  <c r="EP6" i="81"/>
  <c r="DA6" i="81"/>
  <c r="DB6" i="81"/>
  <c r="DC6" i="81"/>
  <c r="DD6" i="81"/>
  <c r="DE6" i="81"/>
  <c r="DF6" i="81"/>
  <c r="DG6" i="81"/>
  <c r="DH6" i="81"/>
  <c r="DI6" i="81"/>
  <c r="CW6" i="80" l="1"/>
  <c r="CX6" i="80"/>
  <c r="CY6" i="80"/>
  <c r="CZ6" i="80"/>
  <c r="DA6" i="80"/>
  <c r="DB6" i="80"/>
  <c r="DC6" i="80"/>
  <c r="DD6" i="80"/>
  <c r="DE6" i="80"/>
  <c r="DF6" i="80"/>
  <c r="DG6" i="80"/>
  <c r="DH6" i="80"/>
  <c r="DI6" i="80"/>
  <c r="DJ6" i="80"/>
  <c r="DK6" i="80"/>
  <c r="DL6" i="80"/>
  <c r="DM6" i="80"/>
  <c r="DN6" i="80"/>
  <c r="DO6" i="80"/>
  <c r="DP6" i="80"/>
  <c r="DQ6" i="80"/>
  <c r="DR6" i="80"/>
  <c r="DS6" i="80"/>
  <c r="DT6" i="80"/>
  <c r="DU6" i="80"/>
  <c r="DV6" i="80"/>
  <c r="DW6" i="80"/>
  <c r="DX6" i="80"/>
  <c r="DY6" i="80"/>
  <c r="DZ6" i="80"/>
  <c r="EA6" i="80"/>
  <c r="EB6" i="80"/>
  <c r="EC6" i="80"/>
  <c r="ED6" i="80"/>
  <c r="EE6" i="80"/>
  <c r="EF6" i="80"/>
  <c r="EG6" i="80"/>
  <c r="EH6" i="80"/>
  <c r="EI6" i="80"/>
  <c r="EJ6" i="80"/>
  <c r="EK6" i="80"/>
  <c r="EL6" i="80"/>
  <c r="EM6" i="80"/>
  <c r="EN6" i="80"/>
  <c r="EO6" i="80"/>
  <c r="EP6" i="80"/>
  <c r="CK6" i="80"/>
  <c r="CL6" i="80"/>
  <c r="CM6" i="80"/>
  <c r="CN6" i="80"/>
  <c r="CO6" i="80"/>
  <c r="CP6" i="80"/>
  <c r="CQ6" i="80"/>
  <c r="CR6" i="80"/>
  <c r="CS6" i="80"/>
  <c r="CT6" i="80"/>
  <c r="CU6" i="80"/>
  <c r="CV6" i="80"/>
  <c r="CJ6" i="80"/>
  <c r="CT6" i="79"/>
  <c r="A145" i="1"/>
  <c r="F144" i="1"/>
  <c r="G144" i="1"/>
  <c r="H144" i="1"/>
  <c r="I144" i="1"/>
  <c r="J144" i="1"/>
  <c r="K144" i="1"/>
  <c r="L144" i="1"/>
  <c r="M144" i="1"/>
  <c r="N144" i="1"/>
  <c r="O144" i="1"/>
  <c r="P144" i="1"/>
  <c r="Q144" i="1"/>
  <c r="R144" i="1"/>
  <c r="S144" i="1"/>
  <c r="T144" i="1"/>
  <c r="U144" i="1"/>
  <c r="V144" i="1"/>
  <c r="W144" i="1"/>
  <c r="X144" i="1"/>
  <c r="Y144" i="1"/>
  <c r="Z144" i="1"/>
  <c r="AA144" i="1"/>
  <c r="AB144" i="1"/>
  <c r="AC144" i="1"/>
  <c r="AD144" i="1"/>
  <c r="AE144" i="1"/>
  <c r="AF144" i="1"/>
  <c r="AG144" i="1"/>
  <c r="AH144" i="1"/>
  <c r="AI144" i="1"/>
  <c r="AJ144" i="1"/>
  <c r="AK144" i="1"/>
  <c r="AL144" i="1"/>
  <c r="AM144" i="1"/>
  <c r="AN144" i="1"/>
  <c r="AO144" i="1"/>
  <c r="AP144" i="1"/>
  <c r="AQ144" i="1"/>
  <c r="AR144" i="1"/>
  <c r="AS144" i="1"/>
  <c r="AT144" i="1"/>
  <c r="AU144" i="1"/>
  <c r="AV144" i="1"/>
  <c r="AW144" i="1"/>
  <c r="AX144" i="1"/>
  <c r="AY144" i="1"/>
  <c r="AZ144" i="1"/>
  <c r="BA144" i="1"/>
  <c r="BB144" i="1"/>
  <c r="BC144" i="1"/>
  <c r="BD144" i="1"/>
  <c r="BE144" i="1"/>
  <c r="BF144" i="1"/>
  <c r="BG144" i="1"/>
  <c r="BH144" i="1"/>
  <c r="BI144" i="1"/>
  <c r="BJ144" i="1"/>
  <c r="BK144" i="1"/>
  <c r="BL144" i="1"/>
  <c r="BM144" i="1"/>
  <c r="BN144" i="1"/>
  <c r="BO144" i="1"/>
  <c r="BP144" i="1"/>
  <c r="BQ144" i="1"/>
  <c r="BR144" i="1"/>
  <c r="BS144" i="1"/>
  <c r="BT144" i="1"/>
  <c r="BU144" i="1"/>
  <c r="BV144" i="1"/>
  <c r="BW144" i="1"/>
  <c r="BX144" i="1"/>
  <c r="BY144" i="1"/>
  <c r="DD6" i="79"/>
  <c r="DE6" i="79"/>
  <c r="DF6" i="79"/>
  <c r="DG6" i="79"/>
  <c r="DH6" i="79"/>
  <c r="DI6" i="79"/>
  <c r="DJ6" i="79"/>
  <c r="DK6" i="79"/>
  <c r="DL6" i="79"/>
  <c r="DM6" i="79"/>
  <c r="DN6" i="79"/>
  <c r="DO6" i="79"/>
  <c r="DP6" i="79"/>
  <c r="DQ6" i="79"/>
  <c r="DR6" i="79"/>
  <c r="DS6" i="79"/>
  <c r="DT6" i="79"/>
  <c r="DU6" i="79"/>
  <c r="DV6" i="79"/>
  <c r="DW6" i="79"/>
  <c r="DX6" i="79"/>
  <c r="DY6" i="79"/>
  <c r="DZ6" i="79"/>
  <c r="EA6" i="79"/>
  <c r="EB6" i="79"/>
  <c r="EC6" i="79"/>
  <c r="ED6" i="79"/>
  <c r="EE6" i="79"/>
  <c r="EF6" i="79"/>
  <c r="EG6" i="79"/>
  <c r="EH6" i="79"/>
  <c r="EI6" i="79"/>
  <c r="EJ6" i="79"/>
  <c r="EK6" i="79"/>
  <c r="EL6" i="79"/>
  <c r="EM6" i="79"/>
  <c r="EN6" i="79"/>
  <c r="EO6" i="79"/>
  <c r="EP6" i="79"/>
  <c r="EQ6" i="79"/>
  <c r="ER6" i="79"/>
  <c r="ES6" i="79"/>
  <c r="ET6" i="79"/>
  <c r="EU6" i="79"/>
  <c r="EV6" i="79"/>
  <c r="EW6" i="79"/>
  <c r="EX6" i="79"/>
  <c r="EY6" i="79"/>
  <c r="EZ6" i="79"/>
  <c r="FA6" i="79"/>
  <c r="FB6" i="79"/>
  <c r="FC6" i="79"/>
  <c r="FD6" i="79"/>
  <c r="CW6" i="77"/>
  <c r="CX6" i="77"/>
  <c r="CY6" i="77"/>
  <c r="CZ6" i="77"/>
  <c r="DA6" i="77"/>
  <c r="DB6" i="77"/>
  <c r="DC6" i="77"/>
  <c r="DD6" i="77"/>
  <c r="DE6" i="77"/>
  <c r="DF6" i="77"/>
  <c r="DG6" i="77"/>
  <c r="DH6" i="77"/>
  <c r="DI6" i="77"/>
  <c r="DJ6" i="77"/>
  <c r="DK6" i="77"/>
  <c r="DL6" i="77"/>
  <c r="DM6" i="77"/>
  <c r="DN6" i="77"/>
  <c r="DO6" i="77"/>
  <c r="DP6" i="77"/>
  <c r="DQ6" i="77"/>
  <c r="DR6" i="77"/>
  <c r="DS6" i="77"/>
  <c r="DT6" i="77"/>
  <c r="DU6" i="77"/>
  <c r="DV6" i="77"/>
  <c r="DW6" i="77"/>
  <c r="DX6" i="77"/>
  <c r="DY6" i="77"/>
  <c r="DZ6" i="77"/>
  <c r="EA6" i="77"/>
  <c r="EB6" i="77"/>
  <c r="EC6" i="77"/>
  <c r="ED6" i="77"/>
  <c r="EE6" i="77"/>
  <c r="EF6" i="77"/>
  <c r="EG6" i="77"/>
  <c r="EH6" i="77"/>
  <c r="EI6" i="77"/>
  <c r="EJ6" i="77"/>
  <c r="EK6" i="77"/>
  <c r="EL6" i="77"/>
  <c r="EM6" i="77"/>
  <c r="EN6" i="77"/>
  <c r="EO6" i="77"/>
  <c r="EP6" i="77"/>
  <c r="EQ6" i="77"/>
  <c r="ER6" i="77"/>
  <c r="ES6" i="77"/>
  <c r="DG6" i="76"/>
  <c r="DH6" i="76"/>
  <c r="DI6" i="76"/>
  <c r="DJ6" i="76"/>
  <c r="DK6" i="76"/>
  <c r="DL6" i="76"/>
  <c r="DM6" i="76"/>
  <c r="DN6" i="76"/>
  <c r="DO6" i="76"/>
  <c r="DP6" i="76"/>
  <c r="DQ6" i="76"/>
  <c r="DR6" i="76"/>
  <c r="DS6" i="76"/>
  <c r="DT6" i="76"/>
  <c r="DU6" i="76"/>
  <c r="DV6" i="76"/>
  <c r="DW6" i="76"/>
  <c r="DX6" i="76"/>
  <c r="DY6" i="76"/>
  <c r="DZ6" i="76"/>
  <c r="EA6" i="76"/>
  <c r="EB6" i="76"/>
  <c r="EC6" i="76"/>
  <c r="ED6" i="76"/>
  <c r="CY6" i="76"/>
  <c r="CZ6" i="76"/>
  <c r="DA6" i="76"/>
  <c r="DB6" i="76"/>
  <c r="DC6" i="76"/>
  <c r="DD6" i="76"/>
  <c r="DE6" i="76"/>
  <c r="DF6" i="76"/>
  <c r="CW6" i="75"/>
  <c r="CX6" i="75"/>
  <c r="CY6" i="75"/>
  <c r="CZ6" i="75"/>
  <c r="DA6" i="75"/>
  <c r="DB6" i="75"/>
  <c r="DC6" i="75"/>
  <c r="DD6" i="75"/>
  <c r="DE6" i="75"/>
  <c r="DF6" i="75"/>
  <c r="DG6" i="75"/>
  <c r="DH6" i="75"/>
  <c r="DI6" i="75"/>
  <c r="DJ6" i="75"/>
  <c r="DK6" i="75"/>
  <c r="DL6" i="75"/>
  <c r="DM6" i="75"/>
  <c r="DN6" i="75"/>
  <c r="DO6" i="75"/>
  <c r="DP6" i="75"/>
  <c r="DQ6" i="75"/>
  <c r="DR6" i="75"/>
  <c r="DS6" i="75"/>
  <c r="DT6" i="75"/>
  <c r="DU6" i="75"/>
  <c r="DV6" i="75"/>
  <c r="DW6" i="75"/>
  <c r="DX6" i="75"/>
  <c r="CW10" i="75"/>
  <c r="CX10" i="75"/>
  <c r="CY10" i="75"/>
  <c r="CZ10" i="75"/>
  <c r="DA10" i="75"/>
  <c r="DB10" i="75"/>
  <c r="DC10" i="75"/>
  <c r="DD10" i="75"/>
  <c r="DE10" i="75"/>
  <c r="DF10" i="75"/>
  <c r="DG10" i="75"/>
  <c r="DH10" i="75"/>
  <c r="DI10" i="75"/>
  <c r="DJ10" i="75"/>
  <c r="DK10" i="75"/>
  <c r="DL10" i="75"/>
  <c r="DM10" i="75"/>
  <c r="DN10" i="75"/>
  <c r="DO10" i="75"/>
  <c r="DP10" i="75"/>
  <c r="DQ10" i="75"/>
  <c r="DR10" i="75"/>
  <c r="DS10" i="75"/>
  <c r="DT10" i="75"/>
  <c r="DU10" i="75"/>
  <c r="DV10" i="75"/>
  <c r="DW10" i="75"/>
  <c r="DX10" i="75"/>
  <c r="CU6" i="75"/>
  <c r="CV6" i="75"/>
  <c r="CU10" i="75"/>
  <c r="CV10" i="75"/>
  <c r="CS6" i="74"/>
  <c r="CT6" i="74"/>
  <c r="CU6" i="74"/>
  <c r="CV6" i="74"/>
  <c r="CW6" i="74"/>
  <c r="CX6" i="74"/>
  <c r="CY6" i="74"/>
  <c r="CZ6" i="74"/>
  <c r="DA6" i="74"/>
  <c r="DB6" i="74"/>
  <c r="DC6" i="74"/>
  <c r="DD6" i="74"/>
  <c r="DE6" i="74"/>
  <c r="DF6" i="74"/>
  <c r="DG6" i="74"/>
  <c r="DH6" i="74"/>
  <c r="DI6" i="74"/>
  <c r="DJ6" i="74"/>
  <c r="DK6" i="74"/>
  <c r="DL6" i="74"/>
  <c r="DM6" i="74"/>
  <c r="DN6" i="74"/>
  <c r="DO6" i="74"/>
  <c r="DP6" i="74"/>
  <c r="DQ6" i="74"/>
  <c r="DR6" i="74"/>
  <c r="DS6" i="74"/>
  <c r="DT6" i="74"/>
  <c r="DU6" i="74"/>
  <c r="DV6" i="74"/>
  <c r="DW6" i="74"/>
  <c r="DX6" i="74"/>
  <c r="DY6" i="74"/>
  <c r="DZ6" i="74"/>
  <c r="EA6" i="74"/>
  <c r="EB6" i="74"/>
  <c r="EC6" i="74"/>
  <c r="ED6" i="74"/>
  <c r="CS10" i="74"/>
  <c r="CT10" i="74"/>
  <c r="CU10" i="74"/>
  <c r="CV10" i="74"/>
  <c r="CW10" i="74"/>
  <c r="CX10" i="74"/>
  <c r="CY10" i="74"/>
  <c r="CZ10" i="74"/>
  <c r="DA10" i="74"/>
  <c r="DB10" i="74"/>
  <c r="DC10" i="74"/>
  <c r="DD10" i="74"/>
  <c r="DE10" i="74"/>
  <c r="DF10" i="74"/>
  <c r="DG10" i="74"/>
  <c r="DH10" i="74"/>
  <c r="DI10" i="74"/>
  <c r="DJ10" i="74"/>
  <c r="DK10" i="74"/>
  <c r="DL10" i="74"/>
  <c r="DM10" i="74"/>
  <c r="DN10" i="74"/>
  <c r="DO10" i="74"/>
  <c r="DP10" i="74"/>
  <c r="DQ10" i="74"/>
  <c r="DR10" i="74"/>
  <c r="DS10" i="74"/>
  <c r="DT10" i="74"/>
  <c r="DU10" i="74"/>
  <c r="DV10" i="74"/>
  <c r="DW10" i="74"/>
  <c r="DX10" i="74"/>
  <c r="DY10" i="74"/>
  <c r="DZ10" i="74"/>
  <c r="EA10" i="74"/>
  <c r="EB10" i="74"/>
  <c r="EC10" i="74"/>
  <c r="ED10" i="74"/>
  <c r="DC6" i="73"/>
  <c r="DD6" i="73"/>
  <c r="DE6" i="73"/>
  <c r="DF6" i="73"/>
  <c r="DG6" i="73"/>
  <c r="DH6" i="73"/>
  <c r="DI6" i="73"/>
  <c r="DJ6" i="73"/>
  <c r="DK6" i="73"/>
  <c r="DL6" i="73"/>
  <c r="DM6" i="73"/>
  <c r="DN6" i="73"/>
  <c r="DO6" i="73"/>
  <c r="DP6" i="73"/>
  <c r="DQ6" i="73"/>
  <c r="DR6" i="73"/>
  <c r="DS6" i="73"/>
  <c r="DT6" i="73"/>
  <c r="DU6" i="73"/>
  <c r="DV6" i="73"/>
  <c r="DW6" i="73"/>
  <c r="DX6" i="73"/>
  <c r="DY6" i="73"/>
  <c r="DZ6" i="73"/>
  <c r="EA6" i="73"/>
  <c r="EB6" i="73"/>
  <c r="EC6" i="73"/>
  <c r="ED6" i="73"/>
  <c r="EE6" i="73"/>
  <c r="EF6" i="73"/>
  <c r="EG6" i="73"/>
  <c r="EH6" i="73"/>
  <c r="EI6" i="73"/>
  <c r="EJ6" i="73"/>
  <c r="DC12" i="73"/>
  <c r="DD12" i="73"/>
  <c r="DE12" i="73"/>
  <c r="DF12" i="73"/>
  <c r="DG12" i="73"/>
  <c r="DH12" i="73"/>
  <c r="DI12" i="73"/>
  <c r="DJ12" i="73"/>
  <c r="DK12" i="73"/>
  <c r="DL12" i="73"/>
  <c r="DM12" i="73"/>
  <c r="DN12" i="73"/>
  <c r="DO12" i="73"/>
  <c r="DP12" i="73"/>
  <c r="DQ12" i="73"/>
  <c r="DR12" i="73"/>
  <c r="DS12" i="73"/>
  <c r="DT12" i="73"/>
  <c r="DU12" i="73"/>
  <c r="DV12" i="73"/>
  <c r="DW12" i="73"/>
  <c r="DX12" i="73"/>
  <c r="DY12" i="73"/>
  <c r="DZ12" i="73"/>
  <c r="EA12" i="73"/>
  <c r="EB12" i="73"/>
  <c r="EC12" i="73"/>
  <c r="ED12" i="73"/>
  <c r="EE12" i="73"/>
  <c r="EF12" i="73"/>
  <c r="EG12" i="73"/>
  <c r="EH12" i="73"/>
  <c r="EI12" i="73"/>
  <c r="EJ12" i="73"/>
  <c r="CS6" i="73"/>
  <c r="CT6" i="73"/>
  <c r="CU6" i="73"/>
  <c r="CV6" i="73"/>
  <c r="CW6" i="73"/>
  <c r="CX6" i="73"/>
  <c r="CY6" i="73"/>
  <c r="CZ6" i="73"/>
  <c r="DA6" i="73"/>
  <c r="DB6" i="73"/>
  <c r="CS12" i="73"/>
  <c r="CT12" i="73"/>
  <c r="CU12" i="73"/>
  <c r="CV12" i="73"/>
  <c r="CW12" i="73"/>
  <c r="CX12" i="73"/>
  <c r="CY12" i="73"/>
  <c r="CZ12" i="73"/>
  <c r="DA12" i="73"/>
  <c r="DB12" i="73"/>
  <c r="CT6" i="70"/>
  <c r="CU6" i="70"/>
  <c r="CV6" i="70"/>
  <c r="CW6" i="70"/>
  <c r="CX6" i="70"/>
  <c r="CY6" i="70"/>
  <c r="CZ6" i="70"/>
  <c r="DA6" i="70"/>
  <c r="DB6" i="70"/>
  <c r="DC6" i="70"/>
  <c r="DD6" i="70"/>
  <c r="DE6" i="70"/>
  <c r="DF6" i="70"/>
  <c r="DG6" i="70"/>
  <c r="DH6" i="70"/>
  <c r="DI6" i="70"/>
  <c r="DJ6" i="70"/>
  <c r="DK6" i="70"/>
  <c r="DL6" i="70"/>
  <c r="DM6" i="70"/>
  <c r="DN6" i="70"/>
  <c r="DO6" i="70"/>
  <c r="DP6" i="70"/>
  <c r="DQ6" i="70"/>
  <c r="DR6" i="70"/>
  <c r="DS6" i="70"/>
  <c r="DT6" i="70"/>
  <c r="DU6" i="70"/>
  <c r="DV6" i="70"/>
  <c r="DW6" i="70"/>
  <c r="DX6" i="70"/>
  <c r="DY6" i="70"/>
  <c r="DZ6" i="70"/>
  <c r="EA6" i="70"/>
  <c r="EB6" i="70"/>
  <c r="EC6" i="70"/>
  <c r="ED6" i="70"/>
  <c r="EE6" i="70"/>
  <c r="EF6" i="70"/>
  <c r="EG6" i="70"/>
  <c r="EH6" i="70"/>
  <c r="EI6" i="70"/>
  <c r="EJ6" i="70"/>
  <c r="EK6" i="70"/>
  <c r="EL6" i="70"/>
  <c r="EM6" i="70"/>
  <c r="EN6" i="70"/>
  <c r="EO6" i="70"/>
  <c r="EP6" i="70"/>
  <c r="EQ6" i="70"/>
  <c r="ER6" i="70"/>
  <c r="ES6" i="70"/>
  <c r="ET6" i="70"/>
  <c r="EU6" i="70"/>
  <c r="EV6" i="70"/>
  <c r="EW6" i="70"/>
  <c r="EX6" i="70"/>
  <c r="EY6" i="70"/>
  <c r="EZ6" i="70"/>
  <c r="FA6" i="70"/>
  <c r="FB6" i="70"/>
  <c r="FC6" i="70"/>
  <c r="FD6" i="70"/>
  <c r="FE6" i="70"/>
  <c r="CS6" i="70"/>
  <c r="CT6" i="67"/>
  <c r="CU6" i="67"/>
  <c r="CV6" i="67"/>
  <c r="CW6" i="67"/>
  <c r="CX6" i="67"/>
  <c r="CY6" i="67"/>
  <c r="CZ6" i="67"/>
  <c r="DA6" i="67"/>
  <c r="DB6" i="67"/>
  <c r="DC6" i="67"/>
  <c r="DD6" i="67"/>
  <c r="DE6" i="67"/>
  <c r="DF6" i="67"/>
  <c r="DG6" i="67"/>
  <c r="DH6" i="67"/>
  <c r="DI6" i="67"/>
  <c r="DJ6" i="67"/>
  <c r="DK6" i="67"/>
  <c r="DL6" i="67"/>
  <c r="DM6" i="67"/>
  <c r="DN6" i="67"/>
  <c r="DO6" i="67"/>
  <c r="DP6" i="67"/>
  <c r="DQ6" i="67"/>
  <c r="DR6" i="67"/>
  <c r="DS6" i="67"/>
  <c r="DT6" i="67"/>
  <c r="DU6" i="67"/>
  <c r="DV6" i="67"/>
  <c r="DW6" i="67"/>
  <c r="DX6" i="67"/>
  <c r="DY6" i="67"/>
  <c r="DZ6" i="67"/>
  <c r="EA6" i="67"/>
  <c r="EB6" i="67"/>
  <c r="EC6" i="67"/>
  <c r="ED6" i="67"/>
  <c r="EE6" i="67"/>
  <c r="EF6" i="67"/>
  <c r="EG6" i="67"/>
  <c r="EH6" i="67"/>
  <c r="EI6" i="67"/>
  <c r="EJ6" i="67"/>
  <c r="EK6" i="67"/>
  <c r="CZ6" i="66"/>
  <c r="DA6" i="66"/>
  <c r="DB6" i="66"/>
  <c r="DC6" i="66"/>
  <c r="DD6" i="66"/>
  <c r="DE6" i="66"/>
  <c r="DF6" i="66"/>
  <c r="DG6" i="66"/>
  <c r="DH6" i="66"/>
  <c r="DI6" i="66"/>
  <c r="DJ6" i="66"/>
  <c r="DK6" i="66"/>
  <c r="DL6" i="66"/>
  <c r="DM6" i="66"/>
  <c r="DN6" i="66"/>
  <c r="DO6" i="66"/>
  <c r="DP6" i="66"/>
  <c r="DQ6" i="66"/>
  <c r="DR6" i="66"/>
  <c r="DS6" i="66"/>
  <c r="DT6" i="66"/>
  <c r="DU6" i="66"/>
  <c r="DV6" i="66"/>
  <c r="DW6" i="66"/>
  <c r="DX6" i="66"/>
  <c r="DY6" i="66"/>
  <c r="DZ6" i="66"/>
  <c r="EA6" i="66"/>
  <c r="CS6" i="66"/>
  <c r="CT6" i="66"/>
  <c r="CU6" i="66"/>
  <c r="CV6" i="66"/>
  <c r="CW6" i="66"/>
  <c r="CX6" i="66"/>
  <c r="CY6" i="66"/>
  <c r="CS6" i="63"/>
  <c r="CT6" i="63"/>
  <c r="CU6" i="63"/>
  <c r="CV6" i="63"/>
  <c r="CW6" i="63"/>
  <c r="CX6" i="63"/>
  <c r="CY6" i="63"/>
  <c r="CZ6" i="63"/>
  <c r="DA6" i="63"/>
  <c r="DB6" i="63"/>
  <c r="DC6" i="63"/>
  <c r="DD6" i="63"/>
  <c r="DE6" i="63"/>
  <c r="DF6" i="63"/>
  <c r="DG6" i="63"/>
  <c r="DH6" i="63"/>
  <c r="DI6" i="63"/>
  <c r="DJ6" i="63"/>
  <c r="DK6" i="63"/>
  <c r="DL6" i="63"/>
  <c r="DM6" i="63"/>
  <c r="DN6" i="63"/>
  <c r="DO6" i="63"/>
  <c r="DP6" i="63"/>
  <c r="DQ6" i="63"/>
  <c r="DR6" i="63"/>
  <c r="DS6" i="63"/>
  <c r="DT6" i="63"/>
  <c r="DU6" i="63"/>
  <c r="DV6" i="63"/>
  <c r="DM6" i="62" l="1"/>
  <c r="DN6" i="62"/>
  <c r="DO6" i="62"/>
  <c r="DP6" i="62"/>
  <c r="DQ6" i="62"/>
  <c r="DR6" i="62"/>
  <c r="DS6" i="62"/>
  <c r="DT6" i="62"/>
  <c r="DU6" i="62"/>
  <c r="DV6" i="62"/>
  <c r="DW6" i="62"/>
  <c r="DX6" i="62"/>
  <c r="DY6" i="62"/>
  <c r="DZ6" i="62"/>
  <c r="EA6" i="62"/>
  <c r="EB6" i="62"/>
  <c r="EC6" i="62"/>
  <c r="ED6" i="62"/>
  <c r="EE6" i="62"/>
  <c r="EF6" i="62"/>
  <c r="EG6" i="62"/>
  <c r="EH6" i="62"/>
  <c r="EI6" i="62"/>
  <c r="EJ6" i="62"/>
  <c r="EK6" i="62"/>
  <c r="EL6" i="62"/>
  <c r="EM6" i="62"/>
  <c r="EN6" i="62"/>
  <c r="EO6" i="62"/>
  <c r="EP6" i="62"/>
  <c r="EQ6" i="62"/>
  <c r="ER6" i="62"/>
  <c r="ES6" i="62"/>
  <c r="ET6" i="62"/>
  <c r="DM12" i="62"/>
  <c r="DN12" i="62"/>
  <c r="DO12" i="62"/>
  <c r="DP12" i="62"/>
  <c r="DQ12" i="62"/>
  <c r="DR12" i="62"/>
  <c r="DS12" i="62"/>
  <c r="DT12" i="62"/>
  <c r="DU12" i="62"/>
  <c r="DV12" i="62"/>
  <c r="DW12" i="62"/>
  <c r="DX12" i="62"/>
  <c r="DY12" i="62"/>
  <c r="DZ12" i="62"/>
  <c r="EA12" i="62"/>
  <c r="EB12" i="62"/>
  <c r="EC12" i="62"/>
  <c r="ED12" i="62"/>
  <c r="EE12" i="62"/>
  <c r="EF12" i="62"/>
  <c r="EG12" i="62"/>
  <c r="EH12" i="62"/>
  <c r="EI12" i="62"/>
  <c r="EJ12" i="62"/>
  <c r="EK12" i="62"/>
  <c r="EL12" i="62"/>
  <c r="EM12" i="62"/>
  <c r="EN12" i="62"/>
  <c r="EO12" i="62"/>
  <c r="EP12" i="62"/>
  <c r="EQ12" i="62"/>
  <c r="ER12" i="62"/>
  <c r="ES12" i="62"/>
  <c r="ET12" i="62"/>
  <c r="CW6" i="62"/>
  <c r="CX6" i="62"/>
  <c r="CY6" i="62"/>
  <c r="CZ6" i="62"/>
  <c r="DA6" i="62"/>
  <c r="DB6" i="62"/>
  <c r="DC6" i="62"/>
  <c r="DD6" i="62"/>
  <c r="DE6" i="62"/>
  <c r="DF6" i="62"/>
  <c r="DG6" i="62"/>
  <c r="DH6" i="62"/>
  <c r="DI6" i="62"/>
  <c r="DJ6" i="62"/>
  <c r="DK6" i="62"/>
  <c r="DL6" i="62"/>
  <c r="CW12" i="62"/>
  <c r="CX12" i="62"/>
  <c r="CY12" i="62"/>
  <c r="CZ12" i="62"/>
  <c r="DA12" i="62"/>
  <c r="DB12" i="62"/>
  <c r="DC12" i="62"/>
  <c r="DD12" i="62"/>
  <c r="DE12" i="62"/>
  <c r="DF12" i="62"/>
  <c r="DG12" i="62"/>
  <c r="DH12" i="62"/>
  <c r="DI12" i="62"/>
  <c r="DJ12" i="62"/>
  <c r="DK12" i="62"/>
  <c r="DL12" i="62"/>
  <c r="CX6" i="61"/>
  <c r="CY6" i="61"/>
  <c r="CZ6" i="61"/>
  <c r="DA6" i="61"/>
  <c r="DB6" i="61"/>
  <c r="DC6" i="61"/>
  <c r="DD6" i="61"/>
  <c r="DE6" i="61"/>
  <c r="DF6" i="61"/>
  <c r="DG6" i="61"/>
  <c r="DH6" i="61"/>
  <c r="DI6" i="61"/>
  <c r="DJ6" i="61"/>
  <c r="DK6" i="61"/>
  <c r="DL6" i="61"/>
  <c r="DM6" i="61"/>
  <c r="DN6" i="61"/>
  <c r="DO6" i="61"/>
  <c r="DP6" i="61"/>
  <c r="DQ6" i="61"/>
  <c r="DR6" i="61"/>
  <c r="DS6" i="61"/>
  <c r="DT6" i="61"/>
  <c r="DU6" i="61"/>
  <c r="DV6" i="61"/>
  <c r="DW6" i="61"/>
  <c r="DX6" i="61"/>
  <c r="DY6" i="61"/>
  <c r="DZ6" i="61"/>
  <c r="EA6" i="61"/>
  <c r="EB6" i="61"/>
  <c r="EC6" i="61"/>
  <c r="ED6" i="61"/>
  <c r="EE6" i="61"/>
  <c r="EF6" i="61"/>
  <c r="EG6" i="61"/>
  <c r="EH6" i="61"/>
  <c r="EI6" i="61"/>
  <c r="EJ6" i="61"/>
  <c r="EK6" i="61"/>
  <c r="EL6" i="61"/>
  <c r="EM6" i="61"/>
  <c r="CV6" i="61"/>
  <c r="CW6" i="61"/>
  <c r="CS6" i="61"/>
  <c r="CT6" i="61"/>
  <c r="CU6" i="61"/>
  <c r="DJ6" i="60"/>
  <c r="DK6" i="60"/>
  <c r="DL6" i="60"/>
  <c r="DM6" i="60"/>
  <c r="DN6" i="60"/>
  <c r="DO6" i="60"/>
  <c r="DP6" i="60"/>
  <c r="DQ6" i="60"/>
  <c r="DR6" i="60"/>
  <c r="DS6" i="60"/>
  <c r="DT6" i="60"/>
  <c r="DU6" i="60"/>
  <c r="DV6" i="60"/>
  <c r="DW6" i="60"/>
  <c r="DX6" i="60"/>
  <c r="DY6" i="60"/>
  <c r="DZ6" i="60"/>
  <c r="EA6" i="60"/>
  <c r="EB6" i="60"/>
  <c r="EC6" i="60"/>
  <c r="ED6" i="60"/>
  <c r="EE6" i="60"/>
  <c r="EF6" i="60"/>
  <c r="CV6" i="60"/>
  <c r="CW6" i="60"/>
  <c r="CX6" i="60"/>
  <c r="CY6" i="60"/>
  <c r="CZ6" i="60"/>
  <c r="DA6" i="60"/>
  <c r="DB6" i="60"/>
  <c r="DC6" i="60"/>
  <c r="DD6" i="60"/>
  <c r="DE6" i="60"/>
  <c r="DF6" i="60"/>
  <c r="DG6" i="60"/>
  <c r="DH6" i="60"/>
  <c r="DI6" i="60"/>
  <c r="CX6" i="58" l="1"/>
  <c r="CY6" i="58"/>
  <c r="CZ6" i="58"/>
  <c r="DA6" i="58"/>
  <c r="DB6" i="58"/>
  <c r="DC6" i="58"/>
  <c r="DD6" i="58"/>
  <c r="DE6" i="58"/>
  <c r="DF6" i="58"/>
  <c r="DG6" i="58"/>
  <c r="DH6" i="58"/>
  <c r="DI6" i="58"/>
  <c r="DJ6" i="58"/>
  <c r="DK6" i="58"/>
  <c r="DL6" i="58"/>
  <c r="DM6" i="58"/>
  <c r="DN6" i="58"/>
  <c r="DO6" i="58"/>
  <c r="DP6" i="58"/>
  <c r="DQ6" i="58"/>
  <c r="DR6" i="58"/>
  <c r="DS6" i="58"/>
  <c r="DT6" i="58"/>
  <c r="DU6" i="58"/>
  <c r="DV6" i="58"/>
  <c r="DW6" i="58"/>
  <c r="DX6" i="58"/>
  <c r="DY6" i="58"/>
  <c r="DZ6" i="58"/>
  <c r="EA6" i="58"/>
  <c r="EB6" i="58"/>
  <c r="EC6" i="58"/>
  <c r="ED6" i="58"/>
  <c r="EE6" i="58"/>
  <c r="EF6" i="58"/>
  <c r="EG6" i="58"/>
  <c r="CX14" i="58"/>
  <c r="CY14" i="58"/>
  <c r="CZ14" i="58"/>
  <c r="DA14" i="58"/>
  <c r="DB14" i="58"/>
  <c r="DC14" i="58"/>
  <c r="DD14" i="58"/>
  <c r="DE14" i="58"/>
  <c r="DF14" i="58"/>
  <c r="DG14" i="58"/>
  <c r="DH14" i="58"/>
  <c r="DI14" i="58"/>
  <c r="DJ14" i="58"/>
  <c r="DK14" i="58"/>
  <c r="DL14" i="58"/>
  <c r="DM14" i="58"/>
  <c r="DN14" i="58"/>
  <c r="DO14" i="58"/>
  <c r="DP14" i="58"/>
  <c r="DQ14" i="58"/>
  <c r="DR14" i="58"/>
  <c r="DS14" i="58"/>
  <c r="DT14" i="58"/>
  <c r="DU14" i="58"/>
  <c r="DV14" i="58"/>
  <c r="DW14" i="58"/>
  <c r="DX14" i="58"/>
  <c r="DY14" i="58"/>
  <c r="DZ14" i="58"/>
  <c r="EA14" i="58"/>
  <c r="EB14" i="58"/>
  <c r="EC14" i="58"/>
  <c r="ED14" i="58"/>
  <c r="EE14" i="58"/>
  <c r="EF14" i="58"/>
  <c r="EG14" i="58"/>
  <c r="CX15" i="58"/>
  <c r="CY15" i="58"/>
  <c r="CZ15" i="58"/>
  <c r="DA15" i="58"/>
  <c r="DB15" i="58"/>
  <c r="DC15" i="58"/>
  <c r="DD15" i="58"/>
  <c r="DE15" i="58"/>
  <c r="DF15" i="58"/>
  <c r="DG15" i="58"/>
  <c r="DH15" i="58"/>
  <c r="DI15" i="58"/>
  <c r="DJ15" i="58"/>
  <c r="DK15" i="58"/>
  <c r="DL15" i="58"/>
  <c r="DM15" i="58"/>
  <c r="DN15" i="58"/>
  <c r="DO15" i="58"/>
  <c r="DP15" i="58"/>
  <c r="DQ15" i="58"/>
  <c r="DR15" i="58"/>
  <c r="DS15" i="58"/>
  <c r="DT15" i="58"/>
  <c r="DU15" i="58"/>
  <c r="DV15" i="58"/>
  <c r="DW15" i="58"/>
  <c r="DX15" i="58"/>
  <c r="DY15" i="58"/>
  <c r="DZ15" i="58"/>
  <c r="EA15" i="58"/>
  <c r="EB15" i="58"/>
  <c r="EC15" i="58"/>
  <c r="ED15" i="58"/>
  <c r="EE15" i="58"/>
  <c r="EF15" i="58"/>
  <c r="EG15" i="58"/>
  <c r="CV6" i="58"/>
  <c r="CW6" i="58"/>
  <c r="CV14" i="58"/>
  <c r="CW14" i="58"/>
  <c r="CV15" i="58"/>
  <c r="CW15" i="58"/>
  <c r="CX6" i="48" l="1"/>
  <c r="CY6" i="48"/>
  <c r="CZ6" i="48"/>
  <c r="DA6" i="48"/>
  <c r="DB6" i="48"/>
  <c r="DC6" i="48"/>
  <c r="DD6" i="48"/>
  <c r="DE6" i="48"/>
  <c r="DF6" i="48"/>
  <c r="DG6" i="48"/>
  <c r="DH6" i="48"/>
  <c r="DI6" i="48"/>
  <c r="DJ6" i="48"/>
  <c r="DK6" i="48"/>
  <c r="DL6" i="48"/>
  <c r="DM6" i="48"/>
  <c r="DN6" i="48"/>
  <c r="DO6" i="48"/>
  <c r="DP6" i="48"/>
  <c r="DQ6" i="48"/>
  <c r="DR6" i="48"/>
  <c r="DS6" i="48"/>
  <c r="DT6" i="48"/>
  <c r="DU6" i="48"/>
  <c r="DV6" i="48"/>
  <c r="DW6" i="48"/>
  <c r="DX6" i="48"/>
  <c r="DY6" i="48"/>
  <c r="DZ6" i="48"/>
  <c r="EA6" i="48"/>
  <c r="EB6" i="48"/>
  <c r="EC6" i="48"/>
  <c r="ED6" i="48"/>
  <c r="EE6" i="48"/>
  <c r="EF6" i="48"/>
  <c r="EG6" i="48"/>
  <c r="EH6" i="48"/>
  <c r="EI6" i="48"/>
  <c r="EJ6" i="48"/>
  <c r="EK6" i="48"/>
  <c r="EL6" i="48"/>
  <c r="EM6" i="48"/>
  <c r="EN6" i="48"/>
  <c r="EO6" i="48"/>
  <c r="EP6" i="48"/>
  <c r="EQ6" i="48"/>
  <c r="ER6" i="48"/>
  <c r="ES6" i="48"/>
  <c r="ET6" i="48"/>
  <c r="EU6" i="48"/>
  <c r="EV6" i="48"/>
  <c r="EW6" i="48"/>
  <c r="EX6" i="48"/>
  <c r="EY6" i="48"/>
  <c r="EZ6" i="48"/>
  <c r="FA6" i="48"/>
  <c r="CX10" i="48"/>
  <c r="CY10" i="48"/>
  <c r="CZ10" i="48"/>
  <c r="DA10" i="48"/>
  <c r="DB10" i="48"/>
  <c r="DC10" i="48"/>
  <c r="DD10" i="48"/>
  <c r="DE10" i="48"/>
  <c r="DF10" i="48"/>
  <c r="DG10" i="48"/>
  <c r="DH10" i="48"/>
  <c r="DI10" i="48"/>
  <c r="DJ10" i="48"/>
  <c r="DK10" i="48"/>
  <c r="DL10" i="48"/>
  <c r="DM10" i="48"/>
  <c r="DN10" i="48"/>
  <c r="DO10" i="48"/>
  <c r="DP10" i="48"/>
  <c r="DQ10" i="48"/>
  <c r="DR10" i="48"/>
  <c r="DS10" i="48"/>
  <c r="DT10" i="48"/>
  <c r="DU10" i="48"/>
  <c r="DV10" i="48"/>
  <c r="DW10" i="48"/>
  <c r="DX10" i="48"/>
  <c r="DY10" i="48"/>
  <c r="DZ10" i="48"/>
  <c r="EA10" i="48"/>
  <c r="EB10" i="48"/>
  <c r="EC10" i="48"/>
  <c r="ED10" i="48"/>
  <c r="EE10" i="48"/>
  <c r="EF10" i="48"/>
  <c r="EG10" i="48"/>
  <c r="EH10" i="48"/>
  <c r="EI10" i="48"/>
  <c r="EJ10" i="48"/>
  <c r="EK10" i="48"/>
  <c r="EL10" i="48"/>
  <c r="EM10" i="48"/>
  <c r="EN10" i="48"/>
  <c r="EO10" i="48"/>
  <c r="EP10" i="48"/>
  <c r="EQ10" i="48"/>
  <c r="ER10" i="48"/>
  <c r="ES10" i="48"/>
  <c r="ET10" i="48"/>
  <c r="EU10" i="48"/>
  <c r="EV10" i="48"/>
  <c r="EW10" i="48"/>
  <c r="EX10" i="48"/>
  <c r="EY10" i="48"/>
  <c r="EZ10" i="48"/>
  <c r="FA10" i="48"/>
  <c r="CV6" i="48"/>
  <c r="CW6" i="48"/>
  <c r="CV10" i="48"/>
  <c r="CW10" i="48"/>
  <c r="CT6" i="48"/>
  <c r="CU6" i="48"/>
  <c r="CT10" i="48"/>
  <c r="CU10" i="48"/>
  <c r="CS6" i="48"/>
  <c r="CS10" i="48"/>
  <c r="CS6" i="52"/>
  <c r="CT6" i="52"/>
  <c r="CU6" i="52"/>
  <c r="CV6" i="52"/>
  <c r="CW6" i="52"/>
  <c r="CX6" i="52"/>
  <c r="CY6" i="52"/>
  <c r="CZ6" i="52"/>
  <c r="DA6" i="52"/>
  <c r="DB6" i="52"/>
  <c r="DC6" i="52"/>
  <c r="DD6" i="52"/>
  <c r="DE6" i="52"/>
  <c r="DF6" i="52"/>
  <c r="DG6" i="52"/>
  <c r="DH6" i="52"/>
  <c r="DI6" i="52"/>
  <c r="DJ6" i="52"/>
  <c r="DK6" i="52"/>
  <c r="DL6" i="52"/>
  <c r="DM6" i="52"/>
  <c r="DN6" i="52"/>
  <c r="DO6" i="52"/>
  <c r="DP6" i="52"/>
  <c r="DQ6" i="52"/>
  <c r="DR6" i="52"/>
  <c r="DS6" i="52"/>
  <c r="DT6" i="52"/>
  <c r="DU6" i="52"/>
  <c r="DV6" i="52"/>
  <c r="DW6" i="52"/>
  <c r="DX6" i="52"/>
  <c r="DY6" i="52"/>
  <c r="DZ6" i="52"/>
  <c r="EA6" i="52"/>
  <c r="EB6" i="52"/>
  <c r="EC6" i="52"/>
  <c r="ED6" i="52"/>
  <c r="EE6" i="52"/>
  <c r="EF6" i="52"/>
  <c r="EG6" i="52"/>
  <c r="EH6" i="52"/>
  <c r="EI6" i="52"/>
  <c r="EJ6" i="52"/>
  <c r="EK6" i="52"/>
  <c r="CV6" i="54"/>
  <c r="CW6" i="54"/>
  <c r="CX6" i="54"/>
  <c r="CY6" i="54"/>
  <c r="CZ6" i="54"/>
  <c r="DA6" i="54"/>
  <c r="DB6" i="54"/>
  <c r="DC6" i="54"/>
  <c r="DD6" i="54"/>
  <c r="DE6" i="54"/>
  <c r="DF6" i="54"/>
  <c r="DG6" i="54"/>
  <c r="DH6" i="54"/>
  <c r="DI6" i="54"/>
  <c r="DJ6" i="54"/>
  <c r="DK6" i="54"/>
  <c r="DL6" i="54"/>
  <c r="DM6" i="54"/>
  <c r="DN6" i="54"/>
  <c r="DO6" i="54"/>
  <c r="DP6" i="54"/>
  <c r="DQ6" i="54"/>
  <c r="DR6" i="54"/>
  <c r="DS6" i="54"/>
  <c r="DT6" i="54"/>
  <c r="DU6" i="54"/>
  <c r="DV6" i="54"/>
  <c r="DW6" i="54"/>
  <c r="DX6" i="54"/>
  <c r="DY6" i="54"/>
  <c r="DZ6" i="54"/>
  <c r="EA6" i="54"/>
  <c r="EB6" i="54"/>
  <c r="EC6" i="54"/>
  <c r="ED6" i="54"/>
  <c r="EE6" i="54"/>
  <c r="EF6" i="54"/>
  <c r="EG6" i="54"/>
  <c r="EH6" i="54"/>
  <c r="CY6" i="55"/>
  <c r="CZ6" i="55"/>
  <c r="DA6" i="55"/>
  <c r="DB6" i="55"/>
  <c r="DC6" i="55"/>
  <c r="DD6" i="55"/>
  <c r="DE6" i="55"/>
  <c r="DF6" i="55"/>
  <c r="DG6" i="55"/>
  <c r="DH6" i="55"/>
  <c r="DI6" i="55"/>
  <c r="DJ6" i="55"/>
  <c r="DK6" i="55"/>
  <c r="DL6" i="55"/>
  <c r="DM6" i="55"/>
  <c r="DN6" i="55"/>
  <c r="DO6" i="55"/>
  <c r="DP6" i="55"/>
  <c r="DQ6" i="55"/>
  <c r="DR6" i="55"/>
  <c r="DS6" i="55"/>
  <c r="DT6" i="55"/>
  <c r="DU6" i="55"/>
  <c r="DV6" i="55"/>
  <c r="DW6" i="55"/>
  <c r="DX6" i="55"/>
  <c r="DY6" i="55"/>
  <c r="DZ6" i="55"/>
  <c r="EA6" i="55"/>
  <c r="EB6" i="55"/>
  <c r="EC6" i="55"/>
  <c r="ED6" i="55"/>
  <c r="EE6" i="55"/>
  <c r="EF6" i="55"/>
  <c r="EG6" i="55"/>
  <c r="EH6" i="55"/>
  <c r="EI6" i="55"/>
  <c r="EJ6" i="55"/>
  <c r="EK6" i="55"/>
  <c r="EL6" i="55"/>
  <c r="EM6" i="55"/>
  <c r="EN6" i="55"/>
  <c r="CW6" i="55"/>
  <c r="CX6" i="55"/>
  <c r="CY6" i="46"/>
  <c r="CZ6" i="46"/>
  <c r="DA6" i="46"/>
  <c r="DB6" i="46"/>
  <c r="DC6" i="46"/>
  <c r="DD6" i="46"/>
  <c r="DE6" i="46"/>
  <c r="DF6" i="46"/>
  <c r="DG6" i="46"/>
  <c r="DH6" i="46"/>
  <c r="DI6" i="46"/>
  <c r="DJ6" i="46"/>
  <c r="DK6" i="46"/>
  <c r="DL6" i="46"/>
  <c r="DM6" i="46"/>
  <c r="DN6" i="46"/>
  <c r="DO6" i="46"/>
  <c r="DP6" i="46"/>
  <c r="DQ6" i="46"/>
  <c r="DR6" i="46"/>
  <c r="DS6" i="46"/>
  <c r="DT6" i="46"/>
  <c r="DU6" i="46"/>
  <c r="DV6" i="46"/>
  <c r="DW6" i="46"/>
  <c r="DX6" i="46"/>
  <c r="DY6" i="46"/>
  <c r="DZ6" i="46"/>
  <c r="CU6" i="46"/>
  <c r="CV6" i="46"/>
  <c r="CW6" i="46"/>
  <c r="CX6" i="46"/>
  <c r="CX6" i="49"/>
  <c r="CY6" i="49"/>
  <c r="CZ6" i="49"/>
  <c r="DA6" i="49"/>
  <c r="DB6" i="49"/>
  <c r="DC6" i="49"/>
  <c r="DD6" i="49"/>
  <c r="DE6" i="49"/>
  <c r="DF6" i="49"/>
  <c r="DG6" i="49"/>
  <c r="DH6" i="49"/>
  <c r="DI6" i="49"/>
  <c r="DJ6" i="49"/>
  <c r="DK6" i="49"/>
  <c r="DL6" i="49"/>
  <c r="DM6" i="49"/>
  <c r="DN6" i="49"/>
  <c r="DO6" i="49"/>
  <c r="DP6" i="49"/>
  <c r="DQ6" i="49"/>
  <c r="DR6" i="49"/>
  <c r="DS6" i="49"/>
  <c r="DT6" i="49"/>
  <c r="DU6" i="49"/>
  <c r="DV6" i="49"/>
  <c r="DW6" i="49"/>
  <c r="DX6" i="49"/>
  <c r="DY6" i="49"/>
  <c r="DZ6" i="49"/>
  <c r="EA6" i="49"/>
  <c r="EB6" i="49"/>
  <c r="EC6" i="49"/>
  <c r="ED6" i="49"/>
  <c r="EE6" i="49"/>
  <c r="EF6" i="49"/>
  <c r="EG6" i="49"/>
  <c r="EH6" i="49"/>
  <c r="EI6" i="49"/>
  <c r="EJ6" i="49"/>
  <c r="EK6" i="49"/>
  <c r="EL6" i="49"/>
  <c r="EM6" i="49"/>
  <c r="CS6" i="50"/>
  <c r="CT6" i="50"/>
  <c r="CU6" i="50"/>
  <c r="CV6" i="50"/>
  <c r="CW6" i="50"/>
  <c r="CX6" i="50"/>
  <c r="CY6" i="50"/>
  <c r="CZ6" i="50"/>
  <c r="DA6" i="50"/>
  <c r="DB6" i="50"/>
  <c r="DC6" i="50"/>
  <c r="DD6" i="50"/>
  <c r="DE6" i="50"/>
  <c r="DF6" i="50"/>
  <c r="DG6" i="50"/>
  <c r="DH6" i="50"/>
  <c r="DI6" i="50"/>
  <c r="DJ6" i="50"/>
  <c r="DK6" i="50"/>
  <c r="DL6" i="50"/>
  <c r="DM6" i="50"/>
  <c r="DN6" i="50"/>
  <c r="DO6" i="50"/>
  <c r="DP6" i="50"/>
  <c r="DQ6" i="50"/>
  <c r="DR6" i="50"/>
  <c r="DS6" i="50"/>
  <c r="DT6" i="50"/>
  <c r="DU6" i="50"/>
  <c r="DV6" i="50"/>
  <c r="DW6" i="50"/>
  <c r="DX6" i="50"/>
  <c r="DY6" i="50"/>
  <c r="DZ6" i="50"/>
  <c r="EA6" i="50"/>
  <c r="EB6" i="50"/>
  <c r="EC6" i="50"/>
  <c r="ED6" i="50"/>
  <c r="EE6" i="50"/>
  <c r="EF6" i="50"/>
  <c r="EG6" i="50"/>
  <c r="EH6" i="50"/>
  <c r="EI6" i="50"/>
  <c r="EJ6" i="50"/>
  <c r="EK6" i="50"/>
  <c r="EL6" i="50"/>
  <c r="EM6" i="50"/>
  <c r="EN6" i="50"/>
  <c r="EO6" i="50"/>
  <c r="EP6" i="50"/>
  <c r="EQ6" i="50"/>
  <c r="ER6" i="50"/>
  <c r="ES6" i="50"/>
  <c r="ET6" i="50"/>
  <c r="EU6" i="50"/>
  <c r="EV6" i="50"/>
  <c r="EW6" i="50"/>
  <c r="EX6" i="50"/>
  <c r="EY6" i="50"/>
  <c r="EZ6" i="50"/>
  <c r="FA6" i="50"/>
  <c r="FB6" i="50"/>
  <c r="FC6" i="50"/>
  <c r="DO6" i="51"/>
  <c r="DP6" i="51"/>
  <c r="DQ6" i="51"/>
  <c r="DR6" i="51"/>
  <c r="DS6" i="51"/>
  <c r="DT6" i="51"/>
  <c r="DU6" i="51"/>
  <c r="DV6" i="51"/>
  <c r="DW6" i="51"/>
  <c r="DX6" i="51"/>
  <c r="DY6" i="51"/>
  <c r="DZ6" i="51"/>
  <c r="EA6" i="51"/>
  <c r="EB6" i="51"/>
  <c r="EC6" i="51"/>
  <c r="ED6" i="51"/>
  <c r="CQ6" i="51"/>
  <c r="CR6" i="51"/>
  <c r="CS6" i="51"/>
  <c r="CT6" i="51"/>
  <c r="CU6" i="51"/>
  <c r="CV6" i="51"/>
  <c r="CW6" i="51"/>
  <c r="CX6" i="51"/>
  <c r="CY6" i="51"/>
  <c r="CZ6" i="51"/>
  <c r="DA6" i="51"/>
  <c r="DB6" i="51"/>
  <c r="DC6" i="51"/>
  <c r="DD6" i="51"/>
  <c r="DE6" i="51"/>
  <c r="DF6" i="51"/>
  <c r="DG6" i="51"/>
  <c r="DH6" i="51"/>
  <c r="DI6" i="51"/>
  <c r="DJ6" i="51"/>
  <c r="DK6" i="51"/>
  <c r="DL6" i="51"/>
  <c r="DM6" i="51"/>
  <c r="DN6" i="51"/>
  <c r="CP6" i="51"/>
  <c r="CO6" i="51"/>
  <c r="CT6" i="39"/>
  <c r="CU6" i="39"/>
  <c r="CV6" i="39"/>
  <c r="CW6" i="39"/>
  <c r="CX6" i="39"/>
  <c r="CY6" i="39"/>
  <c r="CZ6" i="39"/>
  <c r="DA6" i="39"/>
  <c r="DB6" i="39"/>
  <c r="DC6" i="39"/>
  <c r="DD6" i="39"/>
  <c r="DE6" i="39"/>
  <c r="DF6" i="39"/>
  <c r="DG6" i="39"/>
  <c r="DH6" i="39"/>
  <c r="DI6" i="39"/>
  <c r="DJ6" i="39"/>
  <c r="DK6" i="39"/>
  <c r="DL6" i="39"/>
  <c r="DM6" i="39"/>
  <c r="DN6" i="39"/>
  <c r="DO6" i="39"/>
  <c r="DP6" i="39"/>
  <c r="DQ6" i="39"/>
  <c r="DR6" i="39"/>
  <c r="DS6" i="39"/>
  <c r="DT6" i="39"/>
  <c r="DU6" i="39"/>
  <c r="DV6" i="39"/>
  <c r="DW6" i="39"/>
  <c r="DX6" i="39"/>
  <c r="DY6" i="39"/>
  <c r="DZ6" i="39"/>
  <c r="EA6" i="39"/>
  <c r="EB6" i="39"/>
  <c r="EC6" i="39"/>
  <c r="ED6" i="39"/>
  <c r="EE6" i="39"/>
  <c r="EF6" i="39"/>
  <c r="EG6" i="39"/>
  <c r="EH6" i="39"/>
  <c r="EI6" i="39"/>
  <c r="EJ6" i="39"/>
  <c r="EK6" i="39"/>
  <c r="CS6" i="39"/>
  <c r="DB5" i="43"/>
  <c r="DC5" i="43"/>
  <c r="DD5" i="43"/>
  <c r="DE5" i="43"/>
  <c r="DF5" i="43"/>
  <c r="DG5" i="43"/>
  <c r="DH5" i="43"/>
  <c r="DI5" i="43"/>
  <c r="DJ5" i="43"/>
  <c r="DK5" i="43"/>
  <c r="DL5" i="43"/>
  <c r="DM5" i="43"/>
  <c r="DN5" i="43"/>
  <c r="DO5" i="43"/>
  <c r="DP5" i="43"/>
  <c r="DQ5" i="43"/>
  <c r="DR5" i="43"/>
  <c r="DS5" i="43"/>
  <c r="DT5" i="43"/>
  <c r="DU5" i="43"/>
  <c r="DV5" i="43"/>
  <c r="DW5" i="43"/>
  <c r="DX5" i="43"/>
  <c r="DY5" i="43"/>
  <c r="DZ5" i="43"/>
  <c r="EA5" i="43"/>
  <c r="EB5" i="43"/>
  <c r="EC5" i="43"/>
  <c r="ED5" i="43"/>
  <c r="EE5" i="43"/>
  <c r="EF5" i="43"/>
  <c r="EG5" i="43"/>
  <c r="EH5" i="43"/>
  <c r="EI5" i="43"/>
  <c r="EJ5" i="43"/>
  <c r="EK5" i="43"/>
  <c r="EL5" i="43"/>
  <c r="EM5" i="43"/>
  <c r="EN5" i="43"/>
  <c r="EO5" i="43"/>
  <c r="CT3" i="44"/>
  <c r="CU3" i="44"/>
  <c r="CV3" i="44"/>
  <c r="CW3" i="44"/>
  <c r="CX3" i="44"/>
  <c r="CY3" i="44"/>
  <c r="CZ3" i="44"/>
  <c r="DA3" i="44"/>
  <c r="DB3" i="44"/>
  <c r="DC3" i="44"/>
  <c r="DD3" i="44"/>
  <c r="DE3" i="44"/>
  <c r="DF3" i="44"/>
  <c r="DG3" i="44"/>
  <c r="DH3" i="44"/>
  <c r="DI3" i="44"/>
  <c r="DJ3" i="44"/>
  <c r="DK3" i="44"/>
  <c r="DL3" i="44"/>
  <c r="DM3" i="44"/>
  <c r="DN3" i="44"/>
  <c r="DO3" i="44"/>
  <c r="DP3" i="44"/>
  <c r="DQ3" i="44"/>
  <c r="DR3" i="44"/>
  <c r="DS3" i="44"/>
  <c r="CS3" i="44"/>
  <c r="CT7" i="38"/>
  <c r="CU7" i="38"/>
  <c r="CV7" i="38"/>
  <c r="CW7" i="38"/>
  <c r="CX7" i="38"/>
  <c r="CY7" i="38"/>
  <c r="CZ7" i="38"/>
  <c r="DA7" i="38"/>
  <c r="DB7" i="38"/>
  <c r="DC7" i="38"/>
  <c r="DD7" i="38"/>
  <c r="DE7" i="38"/>
  <c r="DF7" i="38"/>
  <c r="DG7" i="38"/>
  <c r="DH7" i="38"/>
  <c r="DI7" i="38"/>
  <c r="DJ7" i="38"/>
  <c r="DK7" i="38"/>
  <c r="DL7" i="38"/>
  <c r="DM7" i="38"/>
  <c r="DN7" i="38"/>
  <c r="DO7" i="38"/>
  <c r="DP7" i="38"/>
  <c r="DQ7" i="38"/>
  <c r="DR7" i="38"/>
  <c r="DS7" i="38"/>
  <c r="DT7" i="38"/>
  <c r="DU7" i="38"/>
  <c r="DV7" i="38"/>
  <c r="DW7" i="38"/>
  <c r="DX7" i="38"/>
  <c r="CS7" i="38"/>
  <c r="CU3" i="35"/>
  <c r="CV3" i="35"/>
  <c r="CW3" i="35"/>
  <c r="CX3" i="35"/>
  <c r="CY3" i="35"/>
  <c r="CZ3" i="35"/>
  <c r="DA3" i="35"/>
  <c r="DB3" i="35"/>
  <c r="DC3" i="35"/>
  <c r="DD3" i="35"/>
  <c r="DE3" i="35"/>
  <c r="DF3" i="35"/>
  <c r="DG3" i="35"/>
  <c r="DH3" i="35"/>
  <c r="DI3" i="35"/>
  <c r="DJ3" i="35"/>
  <c r="DK3" i="35"/>
  <c r="DL3" i="35"/>
  <c r="DM3" i="35"/>
  <c r="DN3" i="35"/>
  <c r="DO3" i="35"/>
  <c r="DP3" i="35"/>
  <c r="DQ3" i="35"/>
  <c r="DR3" i="35"/>
  <c r="DS3" i="35"/>
  <c r="DT3" i="35"/>
  <c r="DU3" i="35"/>
  <c r="DV3" i="35"/>
  <c r="DW3" i="35"/>
  <c r="DX3" i="35"/>
  <c r="DY3" i="35"/>
  <c r="ED4" i="34"/>
  <c r="EE4" i="34"/>
  <c r="EF4" i="34"/>
  <c r="EG4" i="34"/>
  <c r="EH4" i="34"/>
  <c r="EI4" i="34"/>
  <c r="EJ4" i="34"/>
  <c r="EK4" i="34"/>
  <c r="ED5" i="34"/>
  <c r="EE5" i="34"/>
  <c r="EF5" i="34"/>
  <c r="EG5" i="34"/>
  <c r="EH5" i="34"/>
  <c r="EI5" i="34"/>
  <c r="EJ5" i="34"/>
  <c r="EK5" i="34"/>
  <c r="CT4" i="34"/>
  <c r="CU4" i="34"/>
  <c r="CV4" i="34"/>
  <c r="CW4" i="34"/>
  <c r="CX4" i="34"/>
  <c r="CY4" i="34"/>
  <c r="CZ4" i="34"/>
  <c r="DA4" i="34"/>
  <c r="DB4" i="34"/>
  <c r="DC4" i="34"/>
  <c r="DD4" i="34"/>
  <c r="DE4" i="34"/>
  <c r="DF4" i="34"/>
  <c r="DG4" i="34"/>
  <c r="DH4" i="34"/>
  <c r="DI4" i="34"/>
  <c r="DJ4" i="34"/>
  <c r="DK4" i="34"/>
  <c r="DL4" i="34"/>
  <c r="DM4" i="34"/>
  <c r="DN4" i="34"/>
  <c r="DO4" i="34"/>
  <c r="DP4" i="34"/>
  <c r="DQ4" i="34"/>
  <c r="DR4" i="34"/>
  <c r="DS4" i="34"/>
  <c r="DT4" i="34"/>
  <c r="DU4" i="34"/>
  <c r="DV4" i="34"/>
  <c r="DW4" i="34"/>
  <c r="DX4" i="34"/>
  <c r="DY4" i="34"/>
  <c r="DZ4" i="34"/>
  <c r="EA4" i="34"/>
  <c r="EB4" i="34"/>
  <c r="EC4" i="34"/>
  <c r="DZ5" i="34"/>
  <c r="EA5" i="34"/>
  <c r="EB5" i="34"/>
  <c r="EC5" i="34"/>
  <c r="CR4" i="45"/>
  <c r="CS4" i="45"/>
  <c r="CT4" i="45"/>
  <c r="CU4" i="45"/>
  <c r="CV4" i="45"/>
  <c r="CW4" i="45"/>
  <c r="CX4" i="45"/>
  <c r="CY4" i="45"/>
  <c r="CZ4" i="45"/>
  <c r="DA4" i="45"/>
  <c r="DB4" i="45"/>
  <c r="DC4" i="45"/>
  <c r="DD4" i="45"/>
  <c r="DE4" i="45"/>
  <c r="DF4" i="45"/>
  <c r="DG4" i="45"/>
  <c r="DH4" i="45"/>
  <c r="DI4" i="45"/>
  <c r="DJ4" i="45"/>
  <c r="DK4" i="45"/>
  <c r="DL4" i="45"/>
  <c r="DM4" i="45"/>
  <c r="DN4" i="45"/>
  <c r="DO4" i="45"/>
  <c r="DP4" i="45"/>
  <c r="DQ4" i="45"/>
  <c r="DR4" i="45"/>
  <c r="DS4" i="45"/>
  <c r="DT4" i="45"/>
  <c r="DU4" i="45"/>
  <c r="DV4" i="45"/>
  <c r="DW4" i="45"/>
  <c r="DX4" i="45"/>
  <c r="CT3" i="32"/>
  <c r="CU3" i="32"/>
  <c r="CV3" i="32"/>
  <c r="CW3" i="32"/>
  <c r="CX3" i="32"/>
  <c r="CY3" i="32"/>
  <c r="CZ3" i="32"/>
  <c r="DA3" i="32"/>
  <c r="DB3" i="32"/>
  <c r="DC3" i="32"/>
  <c r="DD3" i="32"/>
  <c r="DE3" i="32"/>
  <c r="DF3" i="32"/>
  <c r="DG3" i="32"/>
  <c r="DH3" i="32"/>
  <c r="DI3" i="32"/>
  <c r="DJ3" i="32"/>
  <c r="DK3" i="32"/>
  <c r="DL3" i="32"/>
  <c r="DM3" i="32"/>
  <c r="DN3" i="32"/>
  <c r="DO3" i="32"/>
  <c r="DP3" i="32"/>
  <c r="DQ3" i="32"/>
  <c r="DR3" i="32"/>
  <c r="DS3" i="32"/>
  <c r="DT3" i="32"/>
  <c r="DU3" i="32"/>
  <c r="DV3" i="32"/>
  <c r="DW3" i="32"/>
  <c r="DX3" i="32"/>
  <c r="DY3" i="32"/>
  <c r="DZ3" i="32"/>
  <c r="EA3" i="32"/>
  <c r="EB3" i="32"/>
  <c r="EC3" i="32"/>
  <c r="ED3" i="32"/>
  <c r="EE3" i="32"/>
  <c r="EF3" i="32"/>
  <c r="EG3" i="32"/>
  <c r="EH3" i="32"/>
  <c r="EI3" i="32"/>
  <c r="EJ3" i="32"/>
  <c r="EK3" i="32"/>
  <c r="EL3" i="32"/>
  <c r="EM3" i="32"/>
  <c r="EN3" i="32"/>
  <c r="EO3" i="32"/>
  <c r="EP3" i="32"/>
  <c r="EQ3" i="32"/>
  <c r="ER3" i="32"/>
  <c r="ES3" i="32"/>
  <c r="CS3" i="31"/>
  <c r="CT3" i="31"/>
  <c r="CU3" i="31"/>
  <c r="CV3" i="31"/>
  <c r="CW3" i="31"/>
  <c r="CX3" i="31"/>
  <c r="CY3" i="31"/>
  <c r="CZ3" i="31"/>
  <c r="DA3" i="31"/>
  <c r="DB3" i="31"/>
  <c r="DC3" i="31"/>
  <c r="DD3" i="31"/>
  <c r="DE3" i="31"/>
  <c r="DF3" i="31"/>
  <c r="DG3" i="31"/>
  <c r="DH3" i="31"/>
  <c r="DI3" i="31"/>
  <c r="DJ3" i="31"/>
  <c r="DK3" i="31"/>
  <c r="DL3" i="31"/>
  <c r="DM3" i="31"/>
  <c r="DN3" i="31"/>
  <c r="DO3" i="31"/>
  <c r="DP3" i="31"/>
  <c r="DQ3" i="31"/>
  <c r="DR3" i="31"/>
  <c r="DS3" i="31"/>
  <c r="DT3" i="31"/>
  <c r="DU3" i="31"/>
  <c r="DV3" i="31"/>
  <c r="DW3" i="31"/>
  <c r="DX3" i="31"/>
  <c r="DY3" i="31"/>
  <c r="CR3" i="31"/>
  <c r="DP6" i="29"/>
  <c r="DQ6" i="29"/>
  <c r="DR6" i="29"/>
  <c r="DS6" i="29"/>
  <c r="DT6" i="29"/>
  <c r="DU6" i="29"/>
  <c r="DV6" i="29"/>
  <c r="DW6" i="29"/>
  <c r="DX6" i="29"/>
  <c r="DY6" i="29"/>
  <c r="DZ6" i="29"/>
  <c r="EA6" i="29"/>
  <c r="EB6" i="29"/>
  <c r="EC6" i="29"/>
  <c r="CR6" i="29"/>
  <c r="CS6" i="29"/>
  <c r="CT6" i="29"/>
  <c r="CU6" i="29"/>
  <c r="CV6" i="29"/>
  <c r="CW6" i="29"/>
  <c r="CX6" i="29"/>
  <c r="CY6" i="29"/>
  <c r="CZ6" i="29"/>
  <c r="DA6" i="29"/>
  <c r="DB6" i="29"/>
  <c r="DC6" i="29"/>
  <c r="DD6" i="29"/>
  <c r="DE6" i="29"/>
  <c r="DF6" i="29"/>
  <c r="DG6" i="29"/>
  <c r="DH6" i="29"/>
  <c r="DI6" i="29"/>
  <c r="DJ6" i="29"/>
  <c r="DK6" i="29"/>
  <c r="DL6" i="29"/>
  <c r="DM6" i="29"/>
  <c r="DN6" i="29"/>
  <c r="DO6" i="29"/>
  <c r="CV4" i="57"/>
  <c r="CW4" i="57"/>
  <c r="CX4" i="57"/>
  <c r="CY4" i="57"/>
  <c r="CZ4" i="57"/>
  <c r="DA4" i="57"/>
  <c r="DB4" i="57"/>
  <c r="DC4" i="57"/>
  <c r="DD4" i="57"/>
  <c r="DE4" i="57"/>
  <c r="DF4" i="57"/>
  <c r="DG4" i="57"/>
  <c r="DH4" i="57"/>
  <c r="DI4" i="57"/>
  <c r="DJ4" i="57"/>
  <c r="DK4" i="57"/>
  <c r="DL4" i="57"/>
  <c r="DM4" i="57"/>
  <c r="DN4" i="57"/>
  <c r="DO4" i="57"/>
  <c r="DP4" i="57"/>
  <c r="DQ4" i="57"/>
  <c r="DR4" i="57"/>
  <c r="DS4" i="57"/>
  <c r="DT4" i="57"/>
  <c r="DU4" i="57"/>
  <c r="DV4" i="57"/>
  <c r="DW4" i="57"/>
  <c r="DX4" i="57"/>
  <c r="DY4" i="57"/>
  <c r="DZ4" i="57"/>
  <c r="EA4" i="57"/>
  <c r="CS4" i="57"/>
  <c r="CT4" i="57"/>
  <c r="CU4" i="57"/>
  <c r="CU4" i="30"/>
  <c r="CV4" i="30"/>
  <c r="CW4" i="30"/>
  <c r="CX4" i="30"/>
  <c r="CY4" i="30"/>
  <c r="CZ4" i="30"/>
  <c r="DA4" i="30"/>
  <c r="DB4" i="30"/>
  <c r="DC4" i="30"/>
  <c r="DD4" i="30"/>
  <c r="DE4" i="30"/>
  <c r="DF4" i="30"/>
  <c r="DG4" i="30"/>
  <c r="DH4" i="30"/>
  <c r="DI4" i="30"/>
  <c r="DJ4" i="30"/>
  <c r="DK4" i="30"/>
  <c r="DL4" i="30"/>
  <c r="DM4" i="30"/>
  <c r="DN4" i="30"/>
  <c r="DO4" i="30"/>
  <c r="DP4" i="30"/>
  <c r="DQ4" i="30"/>
  <c r="DR4" i="30"/>
  <c r="DS4" i="30"/>
  <c r="DT4" i="30"/>
  <c r="DU4" i="30"/>
  <c r="DV4" i="30"/>
  <c r="DW4" i="30"/>
  <c r="DX4" i="30"/>
  <c r="DY4" i="30"/>
  <c r="DZ4" i="30"/>
  <c r="EA4" i="30"/>
  <c r="EB4" i="30"/>
  <c r="EC4" i="30"/>
  <c r="ED4" i="30"/>
  <c r="EE4" i="30"/>
  <c r="EF4" i="30"/>
  <c r="EG4" i="30"/>
  <c r="EH4" i="30"/>
  <c r="EI4" i="30"/>
  <c r="EJ4" i="30"/>
  <c r="EB5" i="30"/>
  <c r="EC5" i="30"/>
  <c r="ED5" i="30"/>
  <c r="EE5" i="30"/>
  <c r="EF5" i="30"/>
  <c r="EG5" i="30"/>
  <c r="EH5" i="30"/>
  <c r="EI5" i="30"/>
  <c r="EJ5" i="30"/>
  <c r="CS5" i="28"/>
  <c r="CT5" i="28"/>
  <c r="CU5" i="28"/>
  <c r="CV5" i="28"/>
  <c r="CW5" i="28"/>
  <c r="CX5" i="28"/>
  <c r="CY5" i="28"/>
  <c r="CZ5" i="28"/>
  <c r="DA5" i="28"/>
  <c r="DB5" i="28"/>
  <c r="DC5" i="28"/>
  <c r="DD5" i="28"/>
  <c r="DE5" i="28"/>
  <c r="DF5" i="28"/>
  <c r="DG5" i="28"/>
  <c r="DH5" i="28"/>
  <c r="DI5" i="28"/>
  <c r="DJ5" i="28"/>
  <c r="DK5" i="28"/>
  <c r="DL5" i="28"/>
  <c r="DM5" i="28"/>
  <c r="DN5" i="28"/>
  <c r="DO5" i="28"/>
  <c r="DP5" i="28"/>
  <c r="DQ5" i="28"/>
  <c r="DR5" i="28"/>
  <c r="DS5" i="28"/>
  <c r="DT5" i="28"/>
  <c r="DU5" i="28"/>
  <c r="DV5" i="28"/>
  <c r="DW5" i="28"/>
  <c r="CR5" i="28"/>
  <c r="CS5" i="42"/>
  <c r="CT5" i="42"/>
  <c r="CU5" i="42"/>
  <c r="CV5" i="42"/>
  <c r="CW5" i="42"/>
  <c r="CX5" i="42"/>
  <c r="CY5" i="42"/>
  <c r="CZ5" i="42"/>
  <c r="DA5" i="42"/>
  <c r="DB5" i="42"/>
  <c r="DC5" i="42"/>
  <c r="DD5" i="42"/>
  <c r="DE5" i="42"/>
  <c r="DF5" i="42"/>
  <c r="DG5" i="42"/>
  <c r="DH5" i="42"/>
  <c r="DI5" i="42"/>
  <c r="DJ5" i="42"/>
  <c r="DK5" i="42"/>
  <c r="DL5" i="42"/>
  <c r="DM5" i="42"/>
  <c r="DN5" i="42"/>
  <c r="DO5" i="42"/>
  <c r="DP5" i="42"/>
  <c r="DQ5" i="42"/>
  <c r="DR5" i="42"/>
  <c r="DS5" i="42"/>
  <c r="DT5" i="42"/>
  <c r="DU5" i="42"/>
  <c r="DV5" i="42"/>
  <c r="DW5" i="42"/>
  <c r="DX5" i="42"/>
  <c r="DY5" i="42"/>
  <c r="DZ5" i="42"/>
  <c r="EA5" i="42"/>
  <c r="EB5" i="42"/>
  <c r="EC5" i="42"/>
  <c r="ED5" i="42"/>
  <c r="EE5" i="42"/>
  <c r="EF5" i="42"/>
  <c r="EG5" i="42"/>
  <c r="EH5" i="42"/>
  <c r="EI5" i="42"/>
  <c r="EJ5" i="42"/>
  <c r="EK5" i="42"/>
  <c r="EL5" i="42"/>
  <c r="DS6" i="42"/>
  <c r="DT6" i="42"/>
  <c r="DU6" i="42"/>
  <c r="DV6" i="42"/>
  <c r="DW6" i="42"/>
  <c r="DX6" i="42"/>
  <c r="DY6" i="42"/>
  <c r="DZ6" i="42"/>
  <c r="EA6" i="42"/>
  <c r="EB6" i="42"/>
  <c r="EC6" i="42"/>
  <c r="ED6" i="42"/>
  <c r="EE6" i="42"/>
  <c r="EF6" i="42"/>
  <c r="EG6" i="42"/>
  <c r="EH6" i="42"/>
  <c r="EI6" i="42"/>
  <c r="EJ6" i="42"/>
  <c r="EK6" i="42"/>
  <c r="EL6" i="42"/>
  <c r="CW5" i="27"/>
  <c r="CX5" i="27"/>
  <c r="CY5" i="27"/>
  <c r="CZ5" i="27"/>
  <c r="DA5" i="27"/>
  <c r="DB5" i="27"/>
  <c r="DC5" i="27"/>
  <c r="DD5" i="27"/>
  <c r="DE5" i="27"/>
  <c r="DF5" i="27"/>
  <c r="DG5" i="27"/>
  <c r="DH5" i="27"/>
  <c r="DI5" i="27"/>
  <c r="DJ5" i="27"/>
  <c r="DK5" i="27"/>
  <c r="DL5" i="27"/>
  <c r="DM5" i="27"/>
  <c r="DN5" i="27"/>
  <c r="DO5" i="27"/>
  <c r="DP5" i="27"/>
  <c r="DQ5" i="27"/>
  <c r="DR5" i="27"/>
  <c r="DS5" i="27"/>
  <c r="DT5" i="27"/>
  <c r="DU5" i="27"/>
  <c r="DV5" i="27"/>
  <c r="DW5" i="27"/>
  <c r="DX5" i="27"/>
  <c r="DY5" i="27"/>
  <c r="DZ5" i="27"/>
  <c r="EA5" i="27"/>
  <c r="EB5" i="27"/>
  <c r="EC5" i="27"/>
  <c r="ED5" i="27"/>
  <c r="EE5" i="27"/>
  <c r="EF5" i="27"/>
  <c r="CT5" i="27"/>
  <c r="CU5" i="27"/>
  <c r="CV5" i="27"/>
  <c r="CR5" i="27"/>
  <c r="CS5" i="27"/>
  <c r="DF4" i="24"/>
  <c r="DG4" i="24"/>
  <c r="DH4" i="24"/>
  <c r="DI4" i="24"/>
  <c r="DJ4" i="24"/>
  <c r="DK4" i="24"/>
  <c r="DL4" i="24"/>
  <c r="DM4" i="24"/>
  <c r="DN4" i="24"/>
  <c r="DO4" i="24"/>
  <c r="DP4" i="24"/>
  <c r="DQ4" i="24"/>
  <c r="DR4" i="24"/>
  <c r="DS4" i="24"/>
  <c r="DT4" i="24"/>
  <c r="DU4" i="24"/>
  <c r="DV4" i="24"/>
  <c r="DW4" i="24"/>
  <c r="DX4" i="24"/>
  <c r="DY4" i="24"/>
  <c r="DZ4" i="24"/>
  <c r="EA4" i="24"/>
  <c r="EB4" i="24"/>
  <c r="EC4" i="24"/>
  <c r="DF8" i="24"/>
  <c r="DG8" i="24"/>
  <c r="DH8" i="24"/>
  <c r="DI8" i="24"/>
  <c r="DJ8" i="24"/>
  <c r="DK8" i="24"/>
  <c r="DL8" i="24"/>
  <c r="DM8" i="24"/>
  <c r="DN8" i="24"/>
  <c r="DO8" i="24"/>
  <c r="DP8" i="24"/>
  <c r="DQ8" i="24"/>
  <c r="DR8" i="24"/>
  <c r="DS8" i="24"/>
  <c r="DT8" i="24"/>
  <c r="DU8" i="24"/>
  <c r="DV8" i="24"/>
  <c r="DW8" i="24"/>
  <c r="DX8" i="24"/>
  <c r="DY8" i="24"/>
  <c r="DZ8" i="24"/>
  <c r="EA8" i="24"/>
  <c r="EB8" i="24"/>
  <c r="EC8" i="24"/>
  <c r="CS4" i="24"/>
  <c r="CT4" i="24"/>
  <c r="CU4" i="24"/>
  <c r="CV4" i="24"/>
  <c r="CW4" i="24"/>
  <c r="CX4" i="24"/>
  <c r="CY4" i="24"/>
  <c r="CZ4" i="24"/>
  <c r="DA4" i="24"/>
  <c r="DB4" i="24"/>
  <c r="DC4" i="24"/>
  <c r="DD4" i="24"/>
  <c r="DE4" i="24"/>
  <c r="CS8" i="24"/>
  <c r="CT8" i="24"/>
  <c r="CU8" i="24"/>
  <c r="CV8" i="24"/>
  <c r="CW8" i="24"/>
  <c r="CX8" i="24"/>
  <c r="CY8" i="24"/>
  <c r="CZ8" i="24"/>
  <c r="DA8" i="24"/>
  <c r="DB8" i="24"/>
  <c r="DC8" i="24"/>
  <c r="DD8" i="24"/>
  <c r="DE8" i="24"/>
  <c r="CR5" i="23"/>
  <c r="CS5" i="23"/>
  <c r="CT5" i="23"/>
  <c r="CU5" i="23"/>
  <c r="CV5" i="23"/>
  <c r="CW5" i="23"/>
  <c r="CX5" i="23"/>
  <c r="CY5" i="23"/>
  <c r="CZ5" i="23"/>
  <c r="DA5" i="23"/>
  <c r="DB5" i="23"/>
  <c r="DC5" i="23"/>
  <c r="DD5" i="23"/>
  <c r="DE5" i="23"/>
  <c r="DF5" i="23"/>
  <c r="DG5" i="23"/>
  <c r="DH5" i="23"/>
  <c r="DI5" i="23"/>
  <c r="DJ5" i="23"/>
  <c r="DK5" i="23"/>
  <c r="DL5" i="23"/>
  <c r="DM5" i="23"/>
  <c r="DN5" i="23"/>
  <c r="DO5" i="23"/>
  <c r="DP5" i="23"/>
  <c r="DQ5" i="23"/>
  <c r="DR5" i="23"/>
  <c r="DS5" i="23"/>
  <c r="DT5" i="23"/>
  <c r="DU5" i="23"/>
  <c r="DV5" i="23"/>
  <c r="DW5" i="23"/>
  <c r="DX5" i="23"/>
  <c r="DY5" i="23"/>
  <c r="DZ5" i="23"/>
  <c r="EA5" i="23"/>
  <c r="EB5" i="23"/>
  <c r="EC5" i="23"/>
  <c r="ED5" i="23"/>
  <c r="EE5" i="23"/>
  <c r="EF5" i="23"/>
  <c r="EG5" i="23"/>
  <c r="EH5" i="23"/>
  <c r="EI5" i="23"/>
  <c r="EJ5" i="23"/>
  <c r="EK5" i="23"/>
  <c r="EL5" i="23"/>
  <c r="EM5" i="23"/>
  <c r="CV5" i="20"/>
  <c r="CW5" i="20"/>
  <c r="CX5" i="20"/>
  <c r="CY5" i="20"/>
  <c r="CZ5" i="20"/>
  <c r="DA5" i="20"/>
  <c r="DB5" i="20"/>
  <c r="DC5" i="20"/>
  <c r="DD5" i="20"/>
  <c r="DE5" i="20"/>
  <c r="DF5" i="20"/>
  <c r="DG5" i="20"/>
  <c r="DH5" i="20"/>
  <c r="DI5" i="20"/>
  <c r="DJ5" i="20"/>
  <c r="DK5" i="20"/>
  <c r="DL5" i="20"/>
  <c r="DM5" i="20"/>
  <c r="DN5" i="20"/>
  <c r="DO5" i="20"/>
  <c r="DP5" i="20"/>
  <c r="DQ5" i="20"/>
  <c r="DR5" i="20"/>
  <c r="DS5" i="20"/>
  <c r="DT5" i="20"/>
  <c r="DU5" i="20"/>
  <c r="DV5" i="20"/>
  <c r="DW5" i="20"/>
  <c r="DX5" i="20"/>
  <c r="CR5" i="20"/>
  <c r="CS5" i="20"/>
  <c r="CT5" i="20"/>
  <c r="CU5" i="20"/>
  <c r="DD5" i="19"/>
  <c r="DE5" i="19"/>
  <c r="DF5" i="19"/>
  <c r="DG5" i="19"/>
  <c r="DH5" i="19"/>
  <c r="DI5" i="19"/>
  <c r="DJ5" i="19"/>
  <c r="DK5" i="19"/>
  <c r="DL5" i="19"/>
  <c r="DM5" i="19"/>
  <c r="DN5" i="19"/>
  <c r="DO5" i="19"/>
  <c r="DP5" i="19"/>
  <c r="DQ5" i="19"/>
  <c r="DR5" i="19"/>
  <c r="DS5" i="19"/>
  <c r="DT5" i="19"/>
  <c r="DU5" i="19"/>
  <c r="DV5" i="19"/>
  <c r="DW5" i="19"/>
  <c r="DX5" i="19"/>
  <c r="DY5" i="19"/>
  <c r="CS5" i="19"/>
  <c r="CT5" i="19"/>
  <c r="CU5" i="19"/>
  <c r="CV5" i="19"/>
  <c r="CW5" i="19"/>
  <c r="CX5" i="19"/>
  <c r="CY5" i="19"/>
  <c r="CZ5" i="19"/>
  <c r="DA5" i="19"/>
  <c r="DB5" i="19"/>
  <c r="DC5" i="19"/>
  <c r="DB7" i="18"/>
  <c r="DC7" i="18"/>
  <c r="DD7" i="18"/>
  <c r="DE7" i="18"/>
  <c r="DF7" i="18"/>
  <c r="DG7" i="18"/>
  <c r="DH7" i="18"/>
  <c r="DI7" i="18"/>
  <c r="DJ7" i="18"/>
  <c r="DK7" i="18"/>
  <c r="DL7" i="18"/>
  <c r="DM7" i="18"/>
  <c r="DN7" i="18"/>
  <c r="DO7" i="18"/>
  <c r="DP7" i="18"/>
  <c r="DQ7" i="18"/>
  <c r="DR7" i="18"/>
  <c r="CX7" i="18"/>
  <c r="CY7" i="18"/>
  <c r="CZ7" i="18"/>
  <c r="DA7" i="18"/>
  <c r="DK5" i="41"/>
  <c r="DL5" i="41"/>
  <c r="DM5" i="41"/>
  <c r="DN5" i="41"/>
  <c r="DO5" i="41"/>
  <c r="DP5" i="41"/>
  <c r="DQ5" i="41"/>
  <c r="DR5" i="41"/>
  <c r="DS5" i="41"/>
  <c r="DT5" i="41"/>
  <c r="DU5" i="41"/>
  <c r="DV5" i="41"/>
  <c r="CS5" i="41"/>
  <c r="CT5" i="41"/>
  <c r="CU5" i="41"/>
  <c r="CV5" i="41"/>
  <c r="CW5" i="41"/>
  <c r="CX5" i="41"/>
  <c r="CY5" i="41"/>
  <c r="CZ5" i="41"/>
  <c r="DA5" i="41"/>
  <c r="DB5" i="41"/>
  <c r="DC5" i="41"/>
  <c r="DD5" i="41"/>
  <c r="DE5" i="41"/>
  <c r="DF5" i="41"/>
  <c r="DG5" i="41"/>
  <c r="DH5" i="41"/>
  <c r="DI5" i="41"/>
  <c r="DJ5" i="41"/>
  <c r="CR5" i="41"/>
  <c r="DO5" i="10"/>
  <c r="DP5" i="10"/>
  <c r="DQ5" i="10"/>
  <c r="DR5" i="10"/>
  <c r="DS5" i="10"/>
  <c r="DT5" i="10"/>
  <c r="DU5" i="10"/>
  <c r="DV5" i="10"/>
  <c r="DW5" i="10"/>
  <c r="DX5" i="10"/>
  <c r="DY5" i="10"/>
  <c r="DZ5" i="10"/>
  <c r="CW5" i="10"/>
  <c r="CX5" i="10"/>
  <c r="CY5" i="10"/>
  <c r="CZ5" i="10"/>
  <c r="DA5" i="10"/>
  <c r="DB5" i="10"/>
  <c r="DC5" i="10"/>
  <c r="DD5" i="10"/>
  <c r="DE5" i="10"/>
  <c r="DF5" i="10"/>
  <c r="DG5" i="10"/>
  <c r="DH5" i="10"/>
  <c r="DI5" i="10"/>
  <c r="DJ5" i="10"/>
  <c r="DK5" i="10"/>
  <c r="DL5" i="10"/>
  <c r="DM5" i="10"/>
  <c r="DN5" i="10"/>
  <c r="CU5" i="10"/>
  <c r="CV5" i="10"/>
  <c r="CR5" i="10"/>
  <c r="CS5" i="10"/>
  <c r="CT5" i="10"/>
  <c r="DL3" i="40"/>
  <c r="DM3" i="40"/>
  <c r="DN3" i="40"/>
  <c r="DO3" i="40"/>
  <c r="DP3" i="40"/>
  <c r="DQ3" i="40"/>
  <c r="DR3" i="40"/>
  <c r="DS3" i="40"/>
  <c r="DT3" i="40"/>
  <c r="DU3" i="40"/>
  <c r="DL8" i="40"/>
  <c r="DM8" i="40"/>
  <c r="DN8" i="40"/>
  <c r="DO8" i="40"/>
  <c r="DP8" i="40"/>
  <c r="DQ8" i="40"/>
  <c r="DR8" i="40"/>
  <c r="DS8" i="40"/>
  <c r="DT8" i="40"/>
  <c r="DU8" i="40"/>
  <c r="CR3" i="40"/>
  <c r="CS3" i="40"/>
  <c r="CT3" i="40"/>
  <c r="CU3" i="40"/>
  <c r="CV3" i="40"/>
  <c r="CW3" i="40"/>
  <c r="CX3" i="40"/>
  <c r="CY3" i="40"/>
  <c r="CZ3" i="40"/>
  <c r="DA3" i="40"/>
  <c r="DB3" i="40"/>
  <c r="DC3" i="40"/>
  <c r="DD3" i="40"/>
  <c r="DE3" i="40"/>
  <c r="DF3" i="40"/>
  <c r="DG3" i="40"/>
  <c r="DH3" i="40"/>
  <c r="DI3" i="40"/>
  <c r="DJ3" i="40"/>
  <c r="DK3" i="40"/>
  <c r="CR8" i="40"/>
  <c r="CS8" i="40"/>
  <c r="CT8" i="40"/>
  <c r="CU8" i="40"/>
  <c r="CV8" i="40"/>
  <c r="CW8" i="40"/>
  <c r="CX8" i="40"/>
  <c r="CY8" i="40"/>
  <c r="CZ8" i="40"/>
  <c r="DA8" i="40"/>
  <c r="DB8" i="40"/>
  <c r="DC8" i="40"/>
  <c r="DD8" i="40"/>
  <c r="DE8" i="40"/>
  <c r="DF8" i="40"/>
  <c r="DG8" i="40"/>
  <c r="DH8" i="40"/>
  <c r="DI8" i="40"/>
  <c r="DJ8" i="40"/>
  <c r="DK8" i="40"/>
  <c r="CY3" i="2"/>
  <c r="CZ3" i="2"/>
  <c r="DA3" i="2"/>
  <c r="DB3" i="2"/>
  <c r="DC3" i="2"/>
  <c r="DD3" i="2"/>
  <c r="DE3" i="2"/>
  <c r="DF3" i="2"/>
  <c r="DG3" i="2"/>
  <c r="DH3" i="2"/>
  <c r="DI3" i="2"/>
  <c r="DJ3" i="2"/>
  <c r="DK3" i="2"/>
  <c r="DL3" i="2"/>
  <c r="DM3" i="2"/>
  <c r="DN3" i="2"/>
  <c r="DO3" i="2"/>
  <c r="DP3" i="2"/>
  <c r="DQ3" i="2"/>
  <c r="DR3" i="2"/>
  <c r="DS3" i="2"/>
  <c r="DT3" i="2"/>
  <c r="DU3" i="2"/>
  <c r="DV3" i="2"/>
  <c r="DW3" i="2"/>
  <c r="DX3" i="2"/>
  <c r="DY3" i="2"/>
  <c r="DZ3" i="2"/>
  <c r="CX3" i="2"/>
  <c r="CW4" i="7"/>
  <c r="CX4" i="7"/>
  <c r="CY4" i="7"/>
  <c r="CZ4" i="7"/>
  <c r="DA4" i="7"/>
  <c r="DB4" i="7"/>
  <c r="DC4" i="7"/>
  <c r="DD4" i="7"/>
  <c r="DE4" i="7"/>
  <c r="DF4" i="7"/>
  <c r="DG4" i="7"/>
  <c r="DH4" i="7"/>
  <c r="DI4" i="7"/>
  <c r="DJ4" i="7"/>
  <c r="DK4" i="7"/>
  <c r="DL4" i="7"/>
  <c r="DM4" i="7"/>
  <c r="DN4" i="7"/>
  <c r="DO4" i="7"/>
  <c r="DP4" i="7"/>
  <c r="DQ4" i="7"/>
  <c r="DR4" i="7"/>
  <c r="DS4" i="7"/>
  <c r="DT4" i="7"/>
  <c r="DU4" i="7"/>
  <c r="DV4" i="7"/>
  <c r="DW4" i="7"/>
  <c r="DX4" i="7"/>
  <c r="DY4" i="7"/>
  <c r="DZ4" i="7"/>
  <c r="CS4" i="7"/>
  <c r="CT4" i="7"/>
  <c r="CU4" i="7"/>
  <c r="CV4" i="7"/>
  <c r="DQ5" i="11"/>
  <c r="DR5" i="11"/>
  <c r="DS5" i="11"/>
  <c r="DT5" i="11"/>
  <c r="DI5" i="11"/>
  <c r="DJ5" i="11"/>
  <c r="DK5" i="11"/>
  <c r="DL5" i="11"/>
  <c r="DM5" i="11"/>
  <c r="DN5" i="11"/>
  <c r="DO5" i="11"/>
  <c r="DP5" i="11"/>
  <c r="DE5" i="11"/>
  <c r="DF5" i="11"/>
  <c r="DG5" i="11"/>
  <c r="DH5" i="11"/>
  <c r="CR5" i="11"/>
  <c r="CS5" i="11"/>
  <c r="CT5" i="11"/>
  <c r="CU5" i="11"/>
  <c r="CV5" i="11"/>
  <c r="CW5" i="11"/>
  <c r="CX5" i="11"/>
  <c r="CY5" i="11"/>
  <c r="CZ5" i="11"/>
  <c r="DA5" i="11"/>
  <c r="DB5" i="11"/>
  <c r="DC5" i="11"/>
  <c r="DD5" i="11"/>
  <c r="DF4" i="5"/>
  <c r="DG4" i="5"/>
  <c r="DH4" i="5"/>
  <c r="DI4" i="5"/>
  <c r="DJ4" i="5"/>
  <c r="DK4" i="5"/>
  <c r="DL4" i="5"/>
  <c r="DM4" i="5"/>
  <c r="DN4" i="5"/>
  <c r="DO4" i="5"/>
  <c r="DP4" i="5"/>
  <c r="DQ4" i="5"/>
  <c r="DR4" i="5"/>
  <c r="DS4" i="5"/>
  <c r="DT4" i="5"/>
  <c r="DU4" i="5"/>
  <c r="DV4" i="5"/>
  <c r="CT4" i="5"/>
  <c r="CU4" i="5"/>
  <c r="CV4" i="5"/>
  <c r="CW4" i="5"/>
  <c r="CX4" i="5"/>
  <c r="CY4" i="5"/>
  <c r="CZ4" i="5"/>
  <c r="DA4" i="5"/>
  <c r="DB4" i="5"/>
  <c r="DC4" i="5"/>
  <c r="DD4" i="5"/>
  <c r="DE4" i="5"/>
  <c r="CY6" i="17"/>
  <c r="CZ6" i="17"/>
  <c r="DA6" i="17"/>
  <c r="DB6" i="17"/>
  <c r="DC6" i="17"/>
  <c r="DD6" i="17"/>
  <c r="DE6" i="17"/>
  <c r="DF6" i="17"/>
  <c r="DG6" i="17"/>
  <c r="DH6" i="17"/>
  <c r="DI6" i="17"/>
  <c r="DJ6" i="17"/>
  <c r="DK6" i="17"/>
  <c r="DL6" i="17"/>
  <c r="DM6" i="17"/>
  <c r="DN6" i="17"/>
  <c r="DO6" i="17"/>
  <c r="DP6" i="17"/>
  <c r="DQ6" i="17"/>
  <c r="DR6" i="17"/>
  <c r="DS6" i="17"/>
  <c r="DT6" i="17"/>
  <c r="DU6" i="17"/>
  <c r="DV6" i="17"/>
  <c r="DW6" i="17"/>
  <c r="DX6" i="17"/>
  <c r="DY6" i="17"/>
  <c r="DZ6" i="17"/>
  <c r="EA6" i="17"/>
  <c r="CR6" i="17"/>
  <c r="CS6" i="17"/>
  <c r="CT6" i="17"/>
  <c r="CU6" i="17"/>
  <c r="CV6" i="17"/>
  <c r="CW6" i="17"/>
  <c r="CX6" i="17"/>
  <c r="DB4" i="15"/>
  <c r="DC4" i="15"/>
  <c r="DD4" i="15"/>
  <c r="DE4" i="15"/>
  <c r="DF4" i="15"/>
  <c r="DG4" i="15"/>
  <c r="DH4" i="15"/>
  <c r="DI4" i="15"/>
  <c r="DJ4" i="15"/>
  <c r="DK4" i="15"/>
  <c r="DL4" i="15"/>
  <c r="DM4" i="15"/>
  <c r="DN4" i="15"/>
  <c r="DO4" i="15"/>
  <c r="DP4" i="15"/>
  <c r="DQ4" i="15"/>
  <c r="DR4" i="15"/>
  <c r="DS4" i="15"/>
  <c r="DT4" i="15"/>
  <c r="DU4" i="15"/>
  <c r="DS5" i="15"/>
  <c r="DT5" i="15"/>
  <c r="DU5" i="15"/>
  <c r="CR6" i="16"/>
  <c r="CS6" i="16"/>
  <c r="CT6" i="16"/>
  <c r="CU6" i="16"/>
  <c r="CV6" i="16"/>
  <c r="CW6" i="16"/>
  <c r="CX6" i="16"/>
  <c r="CY6" i="16"/>
  <c r="CZ6" i="16"/>
  <c r="DA6" i="16"/>
  <c r="DB6" i="16"/>
  <c r="DC6" i="16"/>
  <c r="DD6" i="16"/>
  <c r="DE6" i="16"/>
  <c r="DF6" i="16"/>
  <c r="DG6" i="16"/>
  <c r="DH6" i="16"/>
  <c r="DI6" i="16"/>
  <c r="DJ6" i="16"/>
  <c r="DK6" i="16"/>
  <c r="DL6" i="16"/>
  <c r="DM6" i="16"/>
  <c r="DN6" i="16"/>
  <c r="DO6" i="16"/>
  <c r="DP6" i="16"/>
  <c r="DQ6" i="16"/>
  <c r="DR6" i="16"/>
  <c r="DS6" i="16"/>
  <c r="DT6" i="16"/>
  <c r="DU6" i="16"/>
  <c r="DV6" i="16"/>
  <c r="DW6" i="16"/>
  <c r="DX6" i="16"/>
  <c r="DY6" i="16"/>
  <c r="DZ6" i="16"/>
  <c r="EA6" i="16"/>
  <c r="EB6" i="16"/>
  <c r="EC6" i="16"/>
  <c r="ED6" i="16"/>
  <c r="DI4" i="26"/>
  <c r="DJ4" i="26"/>
  <c r="DK4" i="26"/>
  <c r="DL4" i="26"/>
  <c r="DM4" i="26"/>
  <c r="DN4" i="26"/>
  <c r="DO4" i="26"/>
  <c r="DP4" i="26"/>
  <c r="DQ4" i="26"/>
  <c r="DR4" i="26"/>
  <c r="DS4" i="26"/>
  <c r="DT4" i="26"/>
  <c r="DU4" i="26"/>
  <c r="CY4" i="26"/>
  <c r="CZ4" i="26"/>
  <c r="DA4" i="26"/>
  <c r="DB4" i="26"/>
  <c r="DC4" i="26"/>
  <c r="DD4" i="26"/>
  <c r="DE4" i="26"/>
  <c r="DF4" i="26"/>
  <c r="DG4" i="26"/>
  <c r="DH4" i="26"/>
  <c r="CU4" i="26"/>
  <c r="CV4" i="26"/>
  <c r="CW4" i="26"/>
  <c r="CX4" i="26"/>
  <c r="CR4" i="26"/>
  <c r="CS4" i="26"/>
  <c r="CT4" i="26"/>
  <c r="DP6" i="25"/>
  <c r="DQ6" i="25"/>
  <c r="DR6" i="25"/>
  <c r="DL6" i="25"/>
  <c r="DM6" i="25"/>
  <c r="DN6" i="25"/>
  <c r="DO6" i="25"/>
  <c r="CS6" i="25"/>
  <c r="CT6" i="25"/>
  <c r="CU6" i="25"/>
  <c r="CV6" i="25"/>
  <c r="CW6" i="25"/>
  <c r="CX6" i="25"/>
  <c r="CY6" i="25"/>
  <c r="CZ6" i="25"/>
  <c r="DA6" i="25"/>
  <c r="DB6" i="25"/>
  <c r="DC6" i="25"/>
  <c r="DD6" i="25"/>
  <c r="DE6" i="25"/>
  <c r="DF6" i="25"/>
  <c r="DG6" i="25"/>
  <c r="DH6" i="25"/>
  <c r="DI6" i="25"/>
  <c r="DJ6" i="25"/>
  <c r="DK6" i="25"/>
  <c r="DO6" i="12"/>
  <c r="DP6" i="12"/>
  <c r="DQ6" i="12"/>
  <c r="DR6" i="12"/>
  <c r="DS6" i="12"/>
  <c r="CX6" i="12"/>
  <c r="CY6" i="12"/>
  <c r="CZ6" i="12"/>
  <c r="DA6" i="12"/>
  <c r="DB6" i="12"/>
  <c r="DC6" i="12"/>
  <c r="DD6" i="12"/>
  <c r="DE6" i="12"/>
  <c r="DF6" i="12"/>
  <c r="DG6" i="12"/>
  <c r="DH6" i="12"/>
  <c r="DI6" i="12"/>
  <c r="DJ6" i="12"/>
  <c r="DK6" i="12"/>
  <c r="DL6" i="12"/>
  <c r="DM6" i="12"/>
  <c r="DN6" i="12"/>
  <c r="CR6" i="12"/>
  <c r="CS6" i="12"/>
  <c r="CT6" i="12"/>
  <c r="DS6" i="36"/>
  <c r="DQ6" i="36"/>
  <c r="DR6" i="36"/>
  <c r="DA6" i="36"/>
  <c r="DB6" i="36"/>
  <c r="DC6" i="36"/>
  <c r="DD6" i="36"/>
  <c r="DE6" i="36"/>
  <c r="DF6" i="36"/>
  <c r="DG6" i="36"/>
  <c r="DH6" i="36"/>
  <c r="DI6" i="36"/>
  <c r="DJ6" i="36"/>
  <c r="DK6" i="36"/>
  <c r="DL6" i="36"/>
  <c r="DM6" i="36"/>
  <c r="DN6" i="36"/>
  <c r="DO6" i="36"/>
  <c r="DP6" i="36"/>
  <c r="EK51" i="22" l="1"/>
  <c r="BH51" i="22" s="1"/>
  <c r="EK52" i="22"/>
  <c r="BH52" i="22" s="1"/>
  <c r="EK54" i="22"/>
  <c r="BH54" i="22" s="1"/>
  <c r="EK55" i="22"/>
  <c r="BH55" i="22" s="1"/>
  <c r="EK56" i="22"/>
  <c r="BH56" i="22" s="1"/>
  <c r="EK57" i="22"/>
  <c r="BH57" i="22" s="1"/>
  <c r="EK58" i="22"/>
  <c r="BH58" i="22" s="1"/>
  <c r="EK59" i="22"/>
  <c r="BH59" i="22" s="1"/>
  <c r="EK60" i="22"/>
  <c r="BH60" i="22" s="1"/>
  <c r="EK61" i="22"/>
  <c r="BH61" i="22" s="1"/>
  <c r="EK63" i="22"/>
  <c r="BH63" i="22" s="1"/>
  <c r="EK64" i="22"/>
  <c r="BH64" i="22" s="1"/>
  <c r="EK68" i="22"/>
  <c r="BH68" i="22" s="1"/>
  <c r="EK69" i="22"/>
  <c r="BH69" i="22" s="1"/>
  <c r="EK70" i="22"/>
  <c r="BH70" i="22" s="1"/>
  <c r="EK71" i="22"/>
  <c r="BH71" i="22" s="1"/>
  <c r="EK72" i="22"/>
  <c r="BH72" i="22" s="1"/>
  <c r="EK73" i="22"/>
  <c r="BH73" i="22" s="1"/>
  <c r="EK74" i="22"/>
  <c r="BH74" i="22" s="1"/>
  <c r="EK75" i="22"/>
  <c r="BH75" i="22" s="1"/>
  <c r="EK76" i="22"/>
  <c r="BH76" i="22" s="1"/>
  <c r="EK77" i="22"/>
  <c r="BH77" i="22" s="1"/>
  <c r="BG49" i="22"/>
  <c r="BZ144" i="1" l="1"/>
  <c r="CA144" i="1"/>
  <c r="CB144" i="1"/>
  <c r="CC144" i="1"/>
  <c r="CD144" i="1"/>
  <c r="CE144" i="1"/>
  <c r="CF144" i="1"/>
  <c r="CG144" i="1"/>
  <c r="CH144" i="1"/>
  <c r="CI144" i="1"/>
  <c r="CJ144" i="1"/>
  <c r="CK144" i="1"/>
  <c r="CL144" i="1"/>
  <c r="CM144" i="1"/>
  <c r="CN144" i="1"/>
  <c r="CO144" i="1"/>
  <c r="CP144" i="1"/>
  <c r="CQ144" i="1"/>
  <c r="CR144" i="1"/>
  <c r="CS144" i="1"/>
  <c r="CT144" i="1"/>
  <c r="CU144" i="1"/>
  <c r="CV144" i="1"/>
  <c r="CW144" i="1"/>
  <c r="CX144" i="1"/>
  <c r="CY144" i="1"/>
  <c r="CZ144" i="1"/>
  <c r="DA144" i="1"/>
  <c r="DB144" i="1"/>
  <c r="DC144" i="1"/>
  <c r="A144"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6" i="1"/>
  <c r="A127" i="1"/>
  <c r="A128" i="1"/>
  <c r="A129" i="1"/>
  <c r="A130" i="1"/>
  <c r="A131" i="1"/>
  <c r="A132" i="1"/>
  <c r="A133" i="1"/>
  <c r="A134" i="1"/>
  <c r="A135" i="1"/>
  <c r="A136" i="1"/>
  <c r="A137" i="1"/>
  <c r="A138" i="1"/>
  <c r="A139" i="1"/>
  <c r="A140" i="1"/>
  <c r="A141" i="1"/>
  <c r="A142" i="1"/>
  <c r="A143" i="1"/>
  <c r="EH51" i="22" l="1"/>
  <c r="EI51" i="22"/>
  <c r="EJ51" i="22"/>
  <c r="BG51" i="22" s="1"/>
  <c r="EH52" i="22"/>
  <c r="EI52" i="22"/>
  <c r="EJ52" i="22"/>
  <c r="BG52" i="22" s="1"/>
  <c r="EH54" i="22"/>
  <c r="EI54" i="22"/>
  <c r="EJ54" i="22"/>
  <c r="BG54" i="22" s="1"/>
  <c r="EH55" i="22"/>
  <c r="EI55" i="22"/>
  <c r="EJ55" i="22"/>
  <c r="BG55" i="22" s="1"/>
  <c r="EH56" i="22"/>
  <c r="EI56" i="22"/>
  <c r="EJ56" i="22"/>
  <c r="BG56" i="22" s="1"/>
  <c r="EH57" i="22"/>
  <c r="EI57" i="22"/>
  <c r="EJ57" i="22"/>
  <c r="BG57" i="22" s="1"/>
  <c r="EH58" i="22"/>
  <c r="EI58" i="22"/>
  <c r="EJ58" i="22"/>
  <c r="BG58" i="22" s="1"/>
  <c r="EH59" i="22"/>
  <c r="EI59" i="22"/>
  <c r="EJ59" i="22"/>
  <c r="BG59" i="22" s="1"/>
  <c r="EH60" i="22"/>
  <c r="EI60" i="22"/>
  <c r="EJ60" i="22"/>
  <c r="BG60" i="22" s="1"/>
  <c r="EH61" i="22"/>
  <c r="EI61" i="22"/>
  <c r="EJ61" i="22"/>
  <c r="BG61" i="22" s="1"/>
  <c r="EH63" i="22"/>
  <c r="EI63" i="22"/>
  <c r="EJ63" i="22"/>
  <c r="BG63" i="22" s="1"/>
  <c r="EH64" i="22"/>
  <c r="EI64" i="22"/>
  <c r="EJ64" i="22"/>
  <c r="BG64" i="22" s="1"/>
  <c r="EH68" i="22"/>
  <c r="EI68" i="22"/>
  <c r="EJ68" i="22"/>
  <c r="BG68" i="22" s="1"/>
  <c r="EH69" i="22"/>
  <c r="EI69" i="22"/>
  <c r="EJ69" i="22"/>
  <c r="BG69" i="22" s="1"/>
  <c r="EH70" i="22"/>
  <c r="EI70" i="22"/>
  <c r="EJ70" i="22"/>
  <c r="BG70" i="22" s="1"/>
  <c r="EH71" i="22"/>
  <c r="EI71" i="22"/>
  <c r="EJ71" i="22"/>
  <c r="BG71" i="22" s="1"/>
  <c r="EH72" i="22"/>
  <c r="EI72" i="22"/>
  <c r="EJ72" i="22"/>
  <c r="BG72" i="22" s="1"/>
  <c r="EH73" i="22"/>
  <c r="EI73" i="22"/>
  <c r="EJ73" i="22"/>
  <c r="BG73" i="22" s="1"/>
  <c r="EH74" i="22"/>
  <c r="EI74" i="22"/>
  <c r="EJ74" i="22"/>
  <c r="BG74" i="22" s="1"/>
  <c r="EH75" i="22"/>
  <c r="EI75" i="22"/>
  <c r="EJ75" i="22"/>
  <c r="BG75" i="22" s="1"/>
  <c r="EH76" i="22"/>
  <c r="EI76" i="22"/>
  <c r="EJ76" i="22"/>
  <c r="BG76" i="22" s="1"/>
  <c r="EH77" i="22"/>
  <c r="EI77" i="22"/>
  <c r="EJ77" i="22"/>
  <c r="BG77" i="22" s="1"/>
  <c r="EH2" i="22"/>
  <c r="EI2" i="22"/>
  <c r="EJ2" i="22"/>
  <c r="EK2" i="22"/>
  <c r="BD49" i="22"/>
  <c r="BE49" i="22"/>
  <c r="BF49" i="22"/>
  <c r="BG1" i="22"/>
  <c r="BD1" i="22"/>
  <c r="BE1" i="22"/>
  <c r="BF1" i="22"/>
  <c r="BE63" i="22" l="1"/>
  <c r="BE52" i="22"/>
  <c r="BF52" i="22"/>
  <c r="BF57" i="22"/>
  <c r="BE59" i="22"/>
  <c r="BF56" i="22"/>
  <c r="BE68" i="22"/>
  <c r="BF60" i="22"/>
  <c r="BF72" i="22"/>
  <c r="BE76" i="22"/>
  <c r="BF73" i="22"/>
  <c r="BE60" i="22"/>
  <c r="BE54" i="22"/>
  <c r="BF77" i="22"/>
  <c r="BF61" i="22"/>
  <c r="BF58" i="22"/>
  <c r="BF76" i="22"/>
  <c r="BE71" i="22"/>
  <c r="BF68" i="22"/>
  <c r="BE55" i="22"/>
  <c r="BF51" i="22"/>
  <c r="BF75" i="22"/>
  <c r="BE70" i="22"/>
  <c r="BE57" i="22"/>
  <c r="BF54" i="22"/>
  <c r="BE73" i="22"/>
  <c r="BF69" i="22"/>
  <c r="BF74" i="22"/>
  <c r="BF70" i="22"/>
  <c r="BF64" i="22"/>
  <c r="BF59" i="22"/>
  <c r="BE75" i="22"/>
  <c r="BE51" i="22"/>
  <c r="BE74" i="22"/>
  <c r="BF71" i="22"/>
  <c r="BF63" i="22"/>
  <c r="BE58" i="22"/>
  <c r="BF55" i="22"/>
  <c r="BE72" i="22"/>
  <c r="BE64" i="22"/>
  <c r="BE56" i="22"/>
  <c r="BE77" i="22"/>
  <c r="BE69" i="22"/>
  <c r="BE61" i="22"/>
  <c r="DO4" i="1"/>
  <c r="DP4" i="1"/>
  <c r="DQ4" i="1"/>
  <c r="DR4" i="1"/>
  <c r="E14" i="123"/>
  <c r="F14" i="123" s="1"/>
  <c r="E13" i="123"/>
  <c r="F13" i="123" s="1"/>
  <c r="CZ7" i="123"/>
  <c r="CY7" i="123"/>
  <c r="CX7" i="123"/>
  <c r="CW7" i="123"/>
  <c r="CV7" i="123"/>
  <c r="CU7" i="123"/>
  <c r="CT7" i="123"/>
  <c r="CS7" i="123"/>
  <c r="CR7" i="123"/>
  <c r="CQ7" i="123"/>
  <c r="CP7" i="123"/>
  <c r="CO7" i="123"/>
  <c r="CN7" i="123"/>
  <c r="CM7" i="123"/>
  <c r="CL7" i="123"/>
  <c r="CK7" i="123"/>
  <c r="CJ7" i="123"/>
  <c r="CI7" i="123"/>
  <c r="CE7" i="123"/>
  <c r="E13" i="122"/>
  <c r="F13" i="122" s="1"/>
  <c r="CZ7" i="122"/>
  <c r="CY7" i="122"/>
  <c r="CX7" i="122"/>
  <c r="CW7" i="122"/>
  <c r="CV7" i="122"/>
  <c r="CU7" i="122"/>
  <c r="CT7" i="122"/>
  <c r="CS7" i="122"/>
  <c r="CR7" i="122"/>
  <c r="CQ7" i="122"/>
  <c r="CP7" i="122"/>
  <c r="CO7" i="122"/>
  <c r="CN7" i="122"/>
  <c r="CM7" i="122"/>
  <c r="CL7" i="122"/>
  <c r="CK7" i="122"/>
  <c r="CJ7" i="122"/>
  <c r="CI7" i="122"/>
  <c r="CE7" i="122"/>
  <c r="E13" i="120"/>
  <c r="F13" i="120" s="1"/>
  <c r="CZ7" i="120"/>
  <c r="CY7" i="120"/>
  <c r="CX7" i="120"/>
  <c r="CW7" i="120"/>
  <c r="CV7" i="120"/>
  <c r="CU7" i="120"/>
  <c r="CT7" i="120"/>
  <c r="CS7" i="120"/>
  <c r="CR7" i="120"/>
  <c r="CQ7" i="120"/>
  <c r="CP7" i="120"/>
  <c r="CO7" i="120"/>
  <c r="CN7" i="120"/>
  <c r="CM7" i="120"/>
  <c r="CL7" i="120"/>
  <c r="CK7" i="120"/>
  <c r="CJ7" i="120"/>
  <c r="CI7" i="120"/>
  <c r="CE7" i="120"/>
  <c r="E14" i="119"/>
  <c r="F14" i="119" s="1"/>
  <c r="E13" i="119"/>
  <c r="F13" i="119" s="1"/>
  <c r="CZ7" i="119"/>
  <c r="CY7" i="119"/>
  <c r="CX7" i="119"/>
  <c r="CW7" i="119"/>
  <c r="CV7" i="119"/>
  <c r="CU7" i="119"/>
  <c r="CT7" i="119"/>
  <c r="CS7" i="119"/>
  <c r="CR7" i="119"/>
  <c r="CQ7" i="119"/>
  <c r="CP7" i="119"/>
  <c r="CO7" i="119"/>
  <c r="CN7" i="119"/>
  <c r="CM7" i="119"/>
  <c r="CL7" i="119"/>
  <c r="CK7" i="119"/>
  <c r="CJ7" i="119"/>
  <c r="CI7" i="119"/>
  <c r="CE7" i="119"/>
  <c r="E13" i="118"/>
  <c r="F13" i="118" s="1"/>
  <c r="CR7" i="118"/>
  <c r="CQ7" i="118"/>
  <c r="CP7" i="118"/>
  <c r="CO7" i="118"/>
  <c r="CN7" i="118"/>
  <c r="CM7" i="118"/>
  <c r="CL7" i="118"/>
  <c r="CK7" i="118"/>
  <c r="CJ7" i="118"/>
  <c r="CI7" i="118"/>
  <c r="CE7" i="118"/>
  <c r="E14" i="117"/>
  <c r="F14" i="117" s="1"/>
  <c r="E13" i="117"/>
  <c r="F13" i="117" s="1"/>
  <c r="CZ7" i="117"/>
  <c r="CY7" i="117"/>
  <c r="CX7" i="117"/>
  <c r="CW7" i="117"/>
  <c r="CV7" i="117"/>
  <c r="CU7" i="117"/>
  <c r="CT7" i="117"/>
  <c r="CS7" i="117"/>
  <c r="CR7" i="117"/>
  <c r="CQ7" i="117"/>
  <c r="CP7" i="117"/>
  <c r="CO7" i="117"/>
  <c r="CN7" i="117"/>
  <c r="CM7" i="117"/>
  <c r="CL7" i="117"/>
  <c r="CK7" i="117"/>
  <c r="CJ7" i="117"/>
  <c r="CI7" i="117"/>
  <c r="CE7" i="117"/>
  <c r="E16" i="116"/>
  <c r="F16" i="116" s="1"/>
  <c r="E15" i="116"/>
  <c r="F15" i="116" s="1"/>
  <c r="E14" i="116"/>
  <c r="F14" i="116" s="1"/>
  <c r="E13" i="116"/>
  <c r="F13" i="116" s="1"/>
  <c r="CR7" i="116"/>
  <c r="CQ7" i="116"/>
  <c r="CP7" i="116"/>
  <c r="CO7" i="116"/>
  <c r="CN7" i="116"/>
  <c r="CM7" i="116"/>
  <c r="CL7" i="116"/>
  <c r="CK7" i="116"/>
  <c r="CJ7" i="116"/>
  <c r="CI7" i="116"/>
  <c r="CE7" i="116"/>
  <c r="E12" i="115"/>
  <c r="F12" i="115" s="1"/>
  <c r="E11" i="115"/>
  <c r="F11" i="115" s="1"/>
  <c r="CR7" i="115"/>
  <c r="CQ7" i="115"/>
  <c r="CP7" i="115"/>
  <c r="CO7" i="115"/>
  <c r="CN7" i="115"/>
  <c r="CM7" i="115"/>
  <c r="CL7" i="115"/>
  <c r="CK7" i="115"/>
  <c r="CJ7" i="115"/>
  <c r="CI7" i="115"/>
  <c r="CE7" i="115"/>
  <c r="CR7" i="114"/>
  <c r="CQ7" i="114"/>
  <c r="CP7" i="114"/>
  <c r="CO7" i="114"/>
  <c r="CN7" i="114"/>
  <c r="CM7" i="114"/>
  <c r="CL7" i="114"/>
  <c r="CK7" i="114"/>
  <c r="CJ7" i="114"/>
  <c r="CI7" i="114"/>
  <c r="CE7" i="114"/>
  <c r="E15" i="97"/>
  <c r="F15" i="97" s="1"/>
  <c r="E12" i="113"/>
  <c r="F12" i="113" s="1"/>
  <c r="E11" i="113"/>
  <c r="F11" i="113" s="1"/>
  <c r="CZ7" i="113"/>
  <c r="CY7" i="113"/>
  <c r="CX7" i="113"/>
  <c r="CW7" i="113"/>
  <c r="CV7" i="113"/>
  <c r="CU7" i="113"/>
  <c r="CT7" i="113"/>
  <c r="CS7" i="113"/>
  <c r="CR7" i="113"/>
  <c r="CQ7" i="113"/>
  <c r="CP7" i="113"/>
  <c r="CO7" i="113"/>
  <c r="CN7" i="113"/>
  <c r="CM7" i="113"/>
  <c r="CL7" i="113"/>
  <c r="CK7" i="113"/>
  <c r="CJ7" i="113"/>
  <c r="CI7" i="113"/>
  <c r="CE7" i="113"/>
  <c r="E11" i="112"/>
  <c r="F11" i="112" s="1"/>
  <c r="CZ7" i="112"/>
  <c r="CY7" i="112"/>
  <c r="CX7" i="112"/>
  <c r="CW7" i="112"/>
  <c r="CV7" i="112"/>
  <c r="CU7" i="112"/>
  <c r="CT7" i="112"/>
  <c r="CS7" i="112"/>
  <c r="CR7" i="112"/>
  <c r="CQ7" i="112"/>
  <c r="CP7" i="112"/>
  <c r="CO7" i="112"/>
  <c r="CN7" i="112"/>
  <c r="CM7" i="112"/>
  <c r="CL7" i="112"/>
  <c r="CK7" i="112"/>
  <c r="CJ7" i="112"/>
  <c r="CI7" i="112"/>
  <c r="CE7" i="112"/>
  <c r="E11" i="111"/>
  <c r="F11" i="111" s="1"/>
  <c r="E12" i="111"/>
  <c r="F12" i="111" s="1"/>
  <c r="CZ7" i="111"/>
  <c r="CY7" i="111"/>
  <c r="CX7" i="111"/>
  <c r="CW7" i="111"/>
  <c r="CV7" i="111"/>
  <c r="CU7" i="111"/>
  <c r="CT7" i="111"/>
  <c r="CS7" i="111"/>
  <c r="CR7" i="111"/>
  <c r="CQ7" i="111"/>
  <c r="CP7" i="111"/>
  <c r="CO7" i="111"/>
  <c r="CN7" i="111"/>
  <c r="CM7" i="111"/>
  <c r="CL7" i="111"/>
  <c r="CK7" i="111"/>
  <c r="CJ7" i="111"/>
  <c r="CI7" i="111"/>
  <c r="CE7" i="111"/>
  <c r="E12" i="110"/>
  <c r="F12" i="110" s="1"/>
  <c r="CR7" i="110"/>
  <c r="CQ7" i="110"/>
  <c r="CP7" i="110"/>
  <c r="CO7" i="110"/>
  <c r="CN7" i="110"/>
  <c r="CM7" i="110"/>
  <c r="CL7" i="110"/>
  <c r="CK7" i="110"/>
  <c r="CJ7" i="110"/>
  <c r="CI7" i="110"/>
  <c r="CE7" i="110"/>
  <c r="EN13" i="122" l="1"/>
  <c r="EN18" i="122" s="1"/>
  <c r="EN24" i="122" s="1"/>
  <c r="EJ13" i="122"/>
  <c r="EJ18" i="122" s="1"/>
  <c r="EJ24" i="122" s="1"/>
  <c r="EI13" i="122"/>
  <c r="EI18" i="122" s="1"/>
  <c r="EI24" i="122" s="1"/>
  <c r="EK13" i="122"/>
  <c r="EK18" i="122" s="1"/>
  <c r="EK24" i="122" s="1"/>
  <c r="EL13" i="122"/>
  <c r="EL18" i="122" s="1"/>
  <c r="EL24" i="122" s="1"/>
  <c r="EM13" i="122"/>
  <c r="EM18" i="122" s="1"/>
  <c r="EM24" i="122" s="1"/>
  <c r="FK14" i="116"/>
  <c r="FL14" i="116"/>
  <c r="E11" i="109"/>
  <c r="F11" i="109" s="1"/>
  <c r="CR7" i="109"/>
  <c r="CQ7" i="109"/>
  <c r="CP7" i="109"/>
  <c r="CO7" i="109"/>
  <c r="CN7" i="109"/>
  <c r="CM7" i="109"/>
  <c r="CL7" i="109"/>
  <c r="CK7" i="109"/>
  <c r="CJ7" i="109"/>
  <c r="CI7" i="109"/>
  <c r="CE7" i="109"/>
  <c r="DB5" i="14"/>
  <c r="DC5" i="14"/>
  <c r="DD5" i="14"/>
  <c r="DE5" i="14"/>
  <c r="DF5" i="14"/>
  <c r="DG5" i="14"/>
  <c r="DH5" i="14"/>
  <c r="DI5" i="14"/>
  <c r="DJ5" i="14"/>
  <c r="DK5" i="14"/>
  <c r="DL5" i="14"/>
  <c r="DM5" i="14"/>
  <c r="DN5" i="14"/>
  <c r="DO5" i="14"/>
  <c r="DP5" i="14"/>
  <c r="DQ5" i="14"/>
  <c r="DR5" i="14"/>
  <c r="CX5" i="14"/>
  <c r="CY5" i="14"/>
  <c r="CZ5" i="14"/>
  <c r="DA5" i="14"/>
  <c r="DI6" i="13"/>
  <c r="DJ6" i="13"/>
  <c r="DK6" i="13"/>
  <c r="DL6" i="13"/>
  <c r="DM6" i="13"/>
  <c r="DN6" i="13"/>
  <c r="DO6" i="13"/>
  <c r="DP6" i="13"/>
  <c r="DQ6" i="13"/>
  <c r="DR6" i="13"/>
  <c r="CP84" i="1"/>
  <c r="CY6" i="13"/>
  <c r="CZ6" i="13"/>
  <c r="DA6" i="13"/>
  <c r="DB6" i="13"/>
  <c r="DC6" i="13"/>
  <c r="DD6" i="13"/>
  <c r="DE6" i="13"/>
  <c r="DF6" i="13"/>
  <c r="DG6" i="13"/>
  <c r="DH6" i="13"/>
  <c r="CX4" i="1"/>
  <c r="CY4" i="1"/>
  <c r="CW4" i="1"/>
  <c r="CZ4" i="1"/>
  <c r="DA4" i="1"/>
  <c r="DB4" i="1"/>
  <c r="DC4" i="1"/>
  <c r="DD4" i="1"/>
  <c r="DE4" i="1"/>
  <c r="DF4" i="1"/>
  <c r="DG4" i="1"/>
  <c r="DH4" i="1"/>
  <c r="DI4" i="1"/>
  <c r="DJ4" i="1"/>
  <c r="DK4" i="1"/>
  <c r="DL4" i="1"/>
  <c r="DM4" i="1"/>
  <c r="DN4" i="1"/>
  <c r="EH62" i="22" l="1"/>
  <c r="E11" i="108" l="1"/>
  <c r="F11" i="108" s="1"/>
  <c r="CR7" i="108"/>
  <c r="CQ7" i="108"/>
  <c r="CP7" i="108"/>
  <c r="CO7" i="108"/>
  <c r="CN7" i="108"/>
  <c r="CM7" i="108"/>
  <c r="CL7" i="108"/>
  <c r="CK7" i="108"/>
  <c r="CJ7" i="108"/>
  <c r="CI7" i="108"/>
  <c r="CE7" i="108"/>
  <c r="E11" i="107"/>
  <c r="F11" i="107" s="1"/>
  <c r="CR7" i="107"/>
  <c r="CQ7" i="107"/>
  <c r="CP7" i="107"/>
  <c r="CO7" i="107"/>
  <c r="CN7" i="107"/>
  <c r="CM7" i="107"/>
  <c r="CL7" i="107"/>
  <c r="CK7" i="107"/>
  <c r="CJ7" i="107"/>
  <c r="CI7" i="107"/>
  <c r="CE7" i="107"/>
  <c r="E12" i="106" l="1"/>
  <c r="F12" i="106" s="1"/>
  <c r="E11" i="106"/>
  <c r="F11" i="106" s="1"/>
  <c r="CR7" i="106"/>
  <c r="CQ7" i="106"/>
  <c r="CP7" i="106"/>
  <c r="CO7" i="106"/>
  <c r="CN7" i="106"/>
  <c r="CM7" i="106"/>
  <c r="CL7" i="106"/>
  <c r="CK7" i="106"/>
  <c r="CJ7" i="106"/>
  <c r="CI7" i="106"/>
  <c r="CE7" i="106"/>
  <c r="E11" i="105"/>
  <c r="F11" i="105" s="1"/>
  <c r="CR7" i="105"/>
  <c r="CQ7" i="105"/>
  <c r="CP7" i="105"/>
  <c r="CO7" i="105"/>
  <c r="CN7" i="105"/>
  <c r="CM7" i="105"/>
  <c r="CL7" i="105"/>
  <c r="CK7" i="105"/>
  <c r="CJ7" i="105"/>
  <c r="CI7" i="105"/>
  <c r="CE7" i="105"/>
  <c r="E11" i="104"/>
  <c r="F11" i="104" s="1"/>
  <c r="CZ7" i="104"/>
  <c r="CY7" i="104"/>
  <c r="CX7" i="104"/>
  <c r="CW7" i="104"/>
  <c r="CV7" i="104"/>
  <c r="CU7" i="104"/>
  <c r="CT7" i="104"/>
  <c r="CS7" i="104"/>
  <c r="CR7" i="104"/>
  <c r="CQ7" i="104"/>
  <c r="CP7" i="104"/>
  <c r="CO7" i="104"/>
  <c r="CN7" i="104"/>
  <c r="CM7" i="104"/>
  <c r="CL7" i="104"/>
  <c r="CK7" i="104"/>
  <c r="CJ7" i="104"/>
  <c r="CI7" i="104"/>
  <c r="CE7" i="104"/>
  <c r="E11" i="102"/>
  <c r="F11" i="102" s="1"/>
  <c r="E11" i="103"/>
  <c r="F11" i="103" s="1"/>
  <c r="CZ7" i="103"/>
  <c r="CY7" i="103"/>
  <c r="CX7" i="103"/>
  <c r="CW7" i="103"/>
  <c r="CV7" i="103"/>
  <c r="CU7" i="103"/>
  <c r="CT7" i="103"/>
  <c r="CS7" i="103"/>
  <c r="CR7" i="103"/>
  <c r="CQ7" i="103"/>
  <c r="CP7" i="103"/>
  <c r="CO7" i="103"/>
  <c r="CN7" i="103"/>
  <c r="CM7" i="103"/>
  <c r="CL7" i="103"/>
  <c r="CK7" i="103"/>
  <c r="CJ7" i="103"/>
  <c r="CI7" i="103"/>
  <c r="CE7" i="103"/>
  <c r="CZ7" i="102"/>
  <c r="CY7" i="102"/>
  <c r="CX7" i="102"/>
  <c r="CW7" i="102"/>
  <c r="CV7" i="102"/>
  <c r="CU7" i="102"/>
  <c r="CT7" i="102"/>
  <c r="CS7" i="102"/>
  <c r="CR7" i="102"/>
  <c r="CQ7" i="102"/>
  <c r="CP7" i="102"/>
  <c r="CO7" i="102"/>
  <c r="CN7" i="102"/>
  <c r="CM7" i="102"/>
  <c r="CL7" i="102"/>
  <c r="CK7" i="102"/>
  <c r="CJ7" i="102"/>
  <c r="CI7" i="102"/>
  <c r="CE7" i="102"/>
  <c r="E12" i="101"/>
  <c r="F12" i="101" s="1"/>
  <c r="E11" i="101"/>
  <c r="F11" i="101" s="1"/>
  <c r="CZ7" i="101"/>
  <c r="CY7" i="101"/>
  <c r="CX7" i="101"/>
  <c r="CW7" i="101"/>
  <c r="CV7" i="101"/>
  <c r="CU7" i="101"/>
  <c r="CT7" i="101"/>
  <c r="CS7" i="101"/>
  <c r="CR7" i="101"/>
  <c r="CQ7" i="101"/>
  <c r="CP7" i="101"/>
  <c r="CO7" i="101"/>
  <c r="CN7" i="101"/>
  <c r="CM7" i="101"/>
  <c r="CL7" i="101"/>
  <c r="CK7" i="101"/>
  <c r="CJ7" i="101"/>
  <c r="CI7" i="101"/>
  <c r="CE7" i="101"/>
  <c r="E14" i="100" l="1"/>
  <c r="F14" i="100" s="1"/>
  <c r="E15" i="100"/>
  <c r="F15" i="100" s="1"/>
  <c r="E16" i="100"/>
  <c r="F16" i="100" s="1"/>
  <c r="E17" i="100"/>
  <c r="F17" i="100" s="1"/>
  <c r="E13" i="100" l="1"/>
  <c r="F13" i="100" s="1"/>
  <c r="CZ7" i="100"/>
  <c r="CY7" i="100"/>
  <c r="CX7" i="100"/>
  <c r="CW7" i="100"/>
  <c r="CV7" i="100"/>
  <c r="CU7" i="100"/>
  <c r="CT7" i="100"/>
  <c r="CS7" i="100"/>
  <c r="CR7" i="100"/>
  <c r="CQ7" i="100"/>
  <c r="CP7" i="100"/>
  <c r="CO7" i="100"/>
  <c r="CN7" i="100"/>
  <c r="CM7" i="100"/>
  <c r="CL7" i="100"/>
  <c r="CK7" i="100"/>
  <c r="CJ7" i="100"/>
  <c r="CI7" i="100"/>
  <c r="CE7" i="100"/>
  <c r="E11" i="99"/>
  <c r="F11" i="99" s="1"/>
  <c r="CT7" i="99"/>
  <c r="CS7" i="99"/>
  <c r="CR7" i="99"/>
  <c r="CQ7" i="99"/>
  <c r="CP7" i="99"/>
  <c r="CO7" i="99"/>
  <c r="CN7" i="99"/>
  <c r="CM7" i="99"/>
  <c r="CL7" i="99"/>
  <c r="CK7" i="99"/>
  <c r="CJ7" i="99"/>
  <c r="CI7" i="99"/>
  <c r="CE7" i="99"/>
  <c r="E11" i="98" l="1"/>
  <c r="F11" i="98" s="1"/>
  <c r="CZ7" i="98"/>
  <c r="CY7" i="98"/>
  <c r="CX7" i="98"/>
  <c r="CW7" i="98"/>
  <c r="CV7" i="98"/>
  <c r="CU7" i="98"/>
  <c r="CT7" i="98"/>
  <c r="CS7" i="98"/>
  <c r="CR7" i="98"/>
  <c r="CQ7" i="98"/>
  <c r="CP7" i="98"/>
  <c r="CO7" i="98"/>
  <c r="CN7" i="98"/>
  <c r="CM7" i="98"/>
  <c r="CL7" i="98"/>
  <c r="CK7" i="98"/>
  <c r="CJ7" i="98"/>
  <c r="CI7" i="98"/>
  <c r="CE7" i="98"/>
  <c r="E14" i="97"/>
  <c r="CZ7" i="97"/>
  <c r="CY7" i="97"/>
  <c r="CX7" i="97"/>
  <c r="CW7" i="97"/>
  <c r="CV7" i="97"/>
  <c r="CU7" i="97"/>
  <c r="CT7" i="97"/>
  <c r="CS7" i="97"/>
  <c r="CR7" i="97"/>
  <c r="CQ7" i="97"/>
  <c r="CP7" i="97"/>
  <c r="CO7" i="97"/>
  <c r="CN7" i="97"/>
  <c r="CM7" i="97"/>
  <c r="CL7" i="97"/>
  <c r="CK7" i="97"/>
  <c r="CJ7" i="97"/>
  <c r="CI7" i="97"/>
  <c r="CE7" i="97"/>
  <c r="E11" i="96"/>
  <c r="CZ7" i="96"/>
  <c r="CY7" i="96"/>
  <c r="CX7" i="96"/>
  <c r="CW7" i="96"/>
  <c r="CV7" i="96"/>
  <c r="CU7" i="96"/>
  <c r="CT7" i="96"/>
  <c r="CS7" i="96"/>
  <c r="CR7" i="96"/>
  <c r="CQ7" i="96"/>
  <c r="CP7" i="96"/>
  <c r="CO7" i="96"/>
  <c r="CN7" i="96"/>
  <c r="CM7" i="96"/>
  <c r="CL7" i="96"/>
  <c r="CK7" i="96"/>
  <c r="CJ7" i="96"/>
  <c r="CI7" i="96"/>
  <c r="CE7" i="96"/>
  <c r="CS19" i="93"/>
  <c r="E11" i="95"/>
  <c r="F11" i="95" s="1"/>
  <c r="CR7" i="95"/>
  <c r="CQ7" i="95"/>
  <c r="CP7" i="95"/>
  <c r="CO7" i="95"/>
  <c r="CN7" i="95"/>
  <c r="CM7" i="95"/>
  <c r="CL7" i="95"/>
  <c r="CK7" i="95"/>
  <c r="CJ7" i="95"/>
  <c r="CI7" i="95"/>
  <c r="CE7" i="95"/>
  <c r="F13" i="97" l="1"/>
  <c r="F12" i="97"/>
  <c r="F14" i="97"/>
  <c r="CZ7" i="94"/>
  <c r="CY7" i="94"/>
  <c r="CX7" i="94"/>
  <c r="CW7" i="94"/>
  <c r="CV7" i="94"/>
  <c r="CU7" i="94"/>
  <c r="CT7" i="94"/>
  <c r="CS7" i="94"/>
  <c r="CR7" i="94"/>
  <c r="CQ7" i="94"/>
  <c r="CP7" i="94"/>
  <c r="CO7" i="94"/>
  <c r="CN7" i="94"/>
  <c r="CM7" i="94"/>
  <c r="CL7" i="94"/>
  <c r="CK7" i="94"/>
  <c r="CJ7" i="94"/>
  <c r="CI7" i="94"/>
  <c r="CE7" i="94"/>
  <c r="CZ7" i="93"/>
  <c r="CY7" i="93"/>
  <c r="CX7" i="93"/>
  <c r="CW7" i="93"/>
  <c r="CV7" i="93"/>
  <c r="CU7" i="93"/>
  <c r="CT7" i="93"/>
  <c r="CS7" i="93"/>
  <c r="CR7" i="93"/>
  <c r="CQ7" i="93"/>
  <c r="CP7" i="93"/>
  <c r="CO7" i="93"/>
  <c r="CN7" i="93"/>
  <c r="CM7" i="93"/>
  <c r="CL7" i="93"/>
  <c r="CK7" i="93"/>
  <c r="CJ7" i="93"/>
  <c r="CI7" i="93"/>
  <c r="CE7" i="93"/>
  <c r="BC49" i="22" l="1"/>
  <c r="BC1" i="22"/>
  <c r="EG51" i="22"/>
  <c r="BD51" i="22" s="1"/>
  <c r="EG52" i="22"/>
  <c r="BD52" i="22" s="1"/>
  <c r="EG54" i="22"/>
  <c r="BD54" i="22" s="1"/>
  <c r="EG55" i="22"/>
  <c r="BD55" i="22" s="1"/>
  <c r="EG56" i="22"/>
  <c r="BD56" i="22" s="1"/>
  <c r="EG57" i="22"/>
  <c r="BD57" i="22" s="1"/>
  <c r="EG58" i="22"/>
  <c r="BD58" i="22" s="1"/>
  <c r="EG59" i="22"/>
  <c r="BD59" i="22" s="1"/>
  <c r="EG60" i="22"/>
  <c r="BD60" i="22" s="1"/>
  <c r="EG61" i="22"/>
  <c r="BD61" i="22" s="1"/>
  <c r="EG63" i="22"/>
  <c r="BD63" i="22" s="1"/>
  <c r="EG64" i="22"/>
  <c r="BD64" i="22" s="1"/>
  <c r="EG68" i="22"/>
  <c r="BD68" i="22" s="1"/>
  <c r="EG69" i="22"/>
  <c r="BD69" i="22" s="1"/>
  <c r="EG70" i="22"/>
  <c r="BD70" i="22" s="1"/>
  <c r="EG71" i="22"/>
  <c r="BD71" i="22" s="1"/>
  <c r="EG72" i="22"/>
  <c r="BD72" i="22" s="1"/>
  <c r="EG73" i="22"/>
  <c r="BD73" i="22" s="1"/>
  <c r="EG74" i="22"/>
  <c r="BD74" i="22" s="1"/>
  <c r="EG75" i="22"/>
  <c r="BD75" i="22" s="1"/>
  <c r="EG76" i="22"/>
  <c r="BD76" i="22" s="1"/>
  <c r="EG77" i="22"/>
  <c r="BD77" i="22" s="1"/>
  <c r="EG2" i="22"/>
  <c r="CR7" i="91"/>
  <c r="CR6" i="82"/>
  <c r="CR11" i="82"/>
  <c r="CR6" i="70"/>
  <c r="CR6" i="63"/>
  <c r="CR6" i="61"/>
  <c r="CR10" i="48"/>
  <c r="CR6" i="52"/>
  <c r="CR6" i="50"/>
  <c r="CQ6" i="50"/>
  <c r="CN6" i="50"/>
  <c r="CO6" i="50"/>
  <c r="CP6" i="50"/>
  <c r="CR6" i="39"/>
  <c r="CP6" i="39"/>
  <c r="CQ6" i="39"/>
  <c r="CO6" i="39"/>
  <c r="CR3" i="44"/>
  <c r="CR7" i="38"/>
  <c r="CO3" i="35"/>
  <c r="CP3" i="35"/>
  <c r="CQ3" i="35"/>
  <c r="CR3" i="35"/>
  <c r="CS3" i="35"/>
  <c r="CT3" i="35"/>
  <c r="CQ4" i="34"/>
  <c r="CR4" i="34"/>
  <c r="CS4" i="34"/>
  <c r="CQ4" i="45"/>
  <c r="CQ3" i="32"/>
  <c r="CR3" i="32"/>
  <c r="CS3" i="32"/>
  <c r="CP3" i="32"/>
  <c r="CQ6" i="29"/>
  <c r="CQ5" i="42"/>
  <c r="CR5" i="42"/>
  <c r="CQ5" i="27"/>
  <c r="CQ5" i="20"/>
  <c r="CO5" i="19"/>
  <c r="CP5" i="19"/>
  <c r="CQ5" i="19"/>
  <c r="CR5" i="19"/>
  <c r="CQ3" i="2"/>
  <c r="CR3" i="2"/>
  <c r="CS3" i="2"/>
  <c r="CT3" i="2"/>
  <c r="CU3" i="2"/>
  <c r="CV3" i="2"/>
  <c r="CW3" i="2"/>
  <c r="CQ6" i="16"/>
  <c r="CU6" i="12"/>
  <c r="CV6" i="12"/>
  <c r="CW6" i="12"/>
  <c r="CR6" i="36"/>
  <c r="CS6" i="36"/>
  <c r="CT6" i="36"/>
  <c r="CU6" i="36"/>
  <c r="CV6" i="36"/>
  <c r="CW6" i="36"/>
  <c r="CX6" i="36"/>
  <c r="CY6" i="36"/>
  <c r="CZ6" i="36"/>
  <c r="CV6" i="13"/>
  <c r="CW6" i="13"/>
  <c r="CX6" i="13"/>
  <c r="CR6" i="13"/>
  <c r="CS6" i="13"/>
  <c r="CT6" i="13"/>
  <c r="CU6" i="13"/>
  <c r="CQ6" i="13"/>
  <c r="CO111" i="1"/>
  <c r="CP111" i="1"/>
  <c r="CQ111" i="1"/>
  <c r="CR111" i="1"/>
  <c r="CS111" i="1"/>
  <c r="CT111" i="1"/>
  <c r="CU111" i="1"/>
  <c r="CV111" i="1"/>
  <c r="CO110" i="1"/>
  <c r="CP110" i="1"/>
  <c r="CQ110" i="1"/>
  <c r="CR110" i="1"/>
  <c r="CS110" i="1"/>
  <c r="CT110" i="1"/>
  <c r="CU110" i="1"/>
  <c r="CV110" i="1"/>
  <c r="CO109" i="1"/>
  <c r="CP109" i="1"/>
  <c r="CQ109" i="1"/>
  <c r="CR109" i="1"/>
  <c r="CS109" i="1"/>
  <c r="CT109" i="1"/>
  <c r="CU109" i="1"/>
  <c r="CV109" i="1"/>
  <c r="CO106" i="1"/>
  <c r="CO107" i="1" s="1"/>
  <c r="CP106" i="1"/>
  <c r="CP107" i="1" s="1"/>
  <c r="CQ106" i="1"/>
  <c r="CQ107" i="1" s="1"/>
  <c r="CR106" i="1"/>
  <c r="CR107" i="1" s="1"/>
  <c r="CS106" i="1"/>
  <c r="CS107" i="1" s="1"/>
  <c r="CT107" i="1"/>
  <c r="CU106" i="1"/>
  <c r="CU107" i="1" s="1"/>
  <c r="CV106" i="1"/>
  <c r="CV107" i="1" s="1"/>
  <c r="CO105" i="1"/>
  <c r="CP105" i="1"/>
  <c r="CQ105" i="1"/>
  <c r="CR105" i="1"/>
  <c r="CS105" i="1"/>
  <c r="CT105" i="1"/>
  <c r="CU105" i="1"/>
  <c r="CV105" i="1"/>
  <c r="CO87" i="1"/>
  <c r="CO88" i="1" s="1"/>
  <c r="CP87" i="1"/>
  <c r="CP88" i="1" s="1"/>
  <c r="CQ87" i="1"/>
  <c r="CQ88" i="1" s="1"/>
  <c r="CR87" i="1"/>
  <c r="CR88" i="1" s="1"/>
  <c r="CS87" i="1"/>
  <c r="CS88" i="1" s="1"/>
  <c r="CT87" i="1"/>
  <c r="CT88" i="1" s="1"/>
  <c r="EL65" i="22" s="1"/>
  <c r="CU87" i="1"/>
  <c r="CU88" i="1" s="1"/>
  <c r="EM65" i="22" s="1"/>
  <c r="CV87" i="1"/>
  <c r="CV88" i="1" s="1"/>
  <c r="EN65" i="22" s="1"/>
  <c r="BK65" i="22" s="1"/>
  <c r="CO66" i="1"/>
  <c r="CP66" i="1"/>
  <c r="CQ66" i="1"/>
  <c r="CR66" i="1"/>
  <c r="CS66" i="1"/>
  <c r="CT66" i="1"/>
  <c r="CU66" i="1"/>
  <c r="CV66" i="1"/>
  <c r="CO41" i="1"/>
  <c r="CP41" i="1"/>
  <c r="CQ41" i="1"/>
  <c r="CR41" i="1"/>
  <c r="CS41" i="1"/>
  <c r="CT41" i="1"/>
  <c r="CU41" i="1"/>
  <c r="CV41" i="1"/>
  <c r="CO34" i="1"/>
  <c r="CP34" i="1"/>
  <c r="CQ34" i="1"/>
  <c r="CR34" i="1"/>
  <c r="CS34" i="1"/>
  <c r="CT34" i="1"/>
  <c r="CU34" i="1"/>
  <c r="CV34" i="1"/>
  <c r="CO33" i="1"/>
  <c r="CP33" i="1"/>
  <c r="CQ33" i="1"/>
  <c r="CR33" i="1"/>
  <c r="CS33" i="1"/>
  <c r="CT33" i="1"/>
  <c r="CU33" i="1"/>
  <c r="CV33" i="1"/>
  <c r="CO29" i="1"/>
  <c r="CP29" i="1"/>
  <c r="CQ29" i="1"/>
  <c r="CR29" i="1"/>
  <c r="CS29" i="1"/>
  <c r="CT29" i="1"/>
  <c r="CU29" i="1"/>
  <c r="CV29" i="1"/>
  <c r="CO10" i="1"/>
  <c r="CP10" i="1"/>
  <c r="CQ10" i="1"/>
  <c r="CR10" i="1"/>
  <c r="CS10" i="1"/>
  <c r="CT10" i="1"/>
  <c r="CU10" i="1"/>
  <c r="CV10" i="1"/>
  <c r="CO30" i="1"/>
  <c r="CP30" i="1"/>
  <c r="CQ30" i="1"/>
  <c r="CR30" i="1"/>
  <c r="CS30" i="1"/>
  <c r="CT30" i="1"/>
  <c r="CU30" i="1"/>
  <c r="CV30" i="1"/>
  <c r="CO84" i="1"/>
  <c r="CQ84" i="1"/>
  <c r="CR84" i="1"/>
  <c r="CS84" i="1"/>
  <c r="CT84" i="1"/>
  <c r="EL62" i="22" s="1"/>
  <c r="CU84" i="1"/>
  <c r="EM62" i="22" s="1"/>
  <c r="CV84" i="1"/>
  <c r="EN62" i="22" s="1"/>
  <c r="BK62" i="22" s="1"/>
  <c r="CO82" i="1"/>
  <c r="CP82" i="1"/>
  <c r="CQ82" i="1"/>
  <c r="CR82" i="1"/>
  <c r="CS82" i="1"/>
  <c r="CT82" i="1"/>
  <c r="EL48" i="22" s="1"/>
  <c r="CU82" i="1"/>
  <c r="EM48" i="22" s="1"/>
  <c r="CV82" i="1"/>
  <c r="EN48" i="22" s="1"/>
  <c r="BK48" i="22" s="1"/>
  <c r="CO71" i="1"/>
  <c r="CP71" i="1"/>
  <c r="CQ71" i="1"/>
  <c r="CR71" i="1"/>
  <c r="CS71" i="1"/>
  <c r="CT71" i="1"/>
  <c r="EL53" i="22" s="1"/>
  <c r="CU71" i="1"/>
  <c r="EM53" i="22" s="1"/>
  <c r="CV71" i="1"/>
  <c r="EN53" i="22" s="1"/>
  <c r="BK53" i="22" s="1"/>
  <c r="CO47" i="1"/>
  <c r="CP47" i="1"/>
  <c r="CQ47" i="1"/>
  <c r="CR47" i="1"/>
  <c r="CS47" i="1"/>
  <c r="CT47" i="1"/>
  <c r="CU47" i="1"/>
  <c r="CV47" i="1"/>
  <c r="CO25" i="1"/>
  <c r="CP25" i="1"/>
  <c r="CQ25" i="1"/>
  <c r="CR25" i="1"/>
  <c r="CS25" i="1"/>
  <c r="CT25" i="1"/>
  <c r="CU25" i="1"/>
  <c r="CV25" i="1"/>
  <c r="CO21" i="1"/>
  <c r="CP21" i="1"/>
  <c r="CQ21" i="1"/>
  <c r="CR21" i="1"/>
  <c r="CS21" i="1"/>
  <c r="CT21" i="1"/>
  <c r="CU21" i="1"/>
  <c r="CV21" i="1"/>
  <c r="BC15" i="92"/>
  <c r="BW15" i="92"/>
  <c r="CJ15" i="92"/>
  <c r="BJ65" i="22" l="1"/>
  <c r="BJ48" i="22"/>
  <c r="BJ62" i="22"/>
  <c r="BJ53" i="22"/>
  <c r="BI48" i="22"/>
  <c r="BI53" i="22"/>
  <c r="BI65" i="22"/>
  <c r="BI62" i="22"/>
  <c r="EI62" i="22"/>
  <c r="EK65" i="22"/>
  <c r="BH65" i="22" s="1"/>
  <c r="EJ53" i="22"/>
  <c r="EK53" i="22"/>
  <c r="BH53" i="22" s="1"/>
  <c r="EK48" i="22"/>
  <c r="BH48" i="22" s="1"/>
  <c r="EK62" i="22"/>
  <c r="BH62" i="22" s="1"/>
  <c r="EJ65" i="22"/>
  <c r="EJ48" i="22"/>
  <c r="EI53" i="22"/>
  <c r="EH65" i="22"/>
  <c r="EH53" i="22"/>
  <c r="EH48" i="22"/>
  <c r="EG62" i="22"/>
  <c r="BD62" i="22" s="1"/>
  <c r="EG65" i="22"/>
  <c r="EI65" i="22"/>
  <c r="EG53" i="22"/>
  <c r="EG48" i="22"/>
  <c r="EJ62" i="22"/>
  <c r="EI48" i="22"/>
  <c r="CR7" i="92"/>
  <c r="E11" i="92"/>
  <c r="F11" i="92" s="1"/>
  <c r="CQ7" i="92"/>
  <c r="CP7" i="92"/>
  <c r="CO7" i="92"/>
  <c r="CN7" i="92"/>
  <c r="CM7" i="92"/>
  <c r="CL7" i="92"/>
  <c r="CK7" i="92"/>
  <c r="CJ7" i="92"/>
  <c r="CI7" i="92"/>
  <c r="CE7" i="92"/>
  <c r="CO116" i="1"/>
  <c r="CP116" i="1"/>
  <c r="CQ116" i="1"/>
  <c r="CR116" i="1"/>
  <c r="CS116" i="1"/>
  <c r="CT116" i="1"/>
  <c r="EL82" i="22" s="1"/>
  <c r="CU116" i="1"/>
  <c r="EM82" i="22" s="1"/>
  <c r="CV116" i="1"/>
  <c r="EN82" i="22" s="1"/>
  <c r="BK82" i="22" s="1"/>
  <c r="CO91" i="1"/>
  <c r="CP91" i="1"/>
  <c r="CQ91" i="1"/>
  <c r="CR91" i="1"/>
  <c r="CS91" i="1"/>
  <c r="CT91" i="1"/>
  <c r="CU91" i="1"/>
  <c r="CV91" i="1"/>
  <c r="CO67" i="1"/>
  <c r="CP67" i="1"/>
  <c r="CQ67" i="1"/>
  <c r="CR67" i="1"/>
  <c r="CS67" i="1"/>
  <c r="CT67" i="1"/>
  <c r="CU67" i="1"/>
  <c r="CV67" i="1"/>
  <c r="CO56" i="1"/>
  <c r="CP56" i="1"/>
  <c r="CQ56" i="1"/>
  <c r="CR56" i="1"/>
  <c r="CS56" i="1"/>
  <c r="CT56" i="1"/>
  <c r="CU56" i="1"/>
  <c r="CV56" i="1"/>
  <c r="CO6" i="1"/>
  <c r="CP6" i="1"/>
  <c r="CQ6" i="1"/>
  <c r="CR6" i="1"/>
  <c r="CS6" i="1"/>
  <c r="CT6" i="1"/>
  <c r="CU6" i="1"/>
  <c r="CV6" i="1"/>
  <c r="CS4" i="1"/>
  <c r="CT4" i="1"/>
  <c r="CU4" i="1"/>
  <c r="CV4" i="1"/>
  <c r="CP4" i="1"/>
  <c r="CQ4" i="1"/>
  <c r="CR4" i="1"/>
  <c r="CO4" i="1"/>
  <c r="CO7" i="91"/>
  <c r="CP7" i="91"/>
  <c r="CQ7" i="91"/>
  <c r="CO7" i="90"/>
  <c r="CP7" i="90"/>
  <c r="CQ7" i="90"/>
  <c r="CR7" i="90"/>
  <c r="CS7" i="90"/>
  <c r="CT7" i="90"/>
  <c r="CO7" i="89"/>
  <c r="CP7" i="89"/>
  <c r="CQ11" i="82"/>
  <c r="CQ6" i="82"/>
  <c r="CQ6" i="70"/>
  <c r="CP5" i="42"/>
  <c r="CQ6" i="49"/>
  <c r="CR6" i="49"/>
  <c r="CS6" i="49"/>
  <c r="CT6" i="49"/>
  <c r="CU6" i="49"/>
  <c r="CV6" i="49"/>
  <c r="CW6" i="49"/>
  <c r="CP6" i="17"/>
  <c r="CQ6" i="17"/>
  <c r="CP5" i="27"/>
  <c r="ED51" i="22"/>
  <c r="EE51" i="22"/>
  <c r="EF51" i="22"/>
  <c r="BC51" i="22" s="1"/>
  <c r="ED52" i="22"/>
  <c r="EE52" i="22"/>
  <c r="EF52" i="22"/>
  <c r="BC52" i="22" s="1"/>
  <c r="ED54" i="22"/>
  <c r="EE54" i="22"/>
  <c r="EF54" i="22"/>
  <c r="BC54" i="22" s="1"/>
  <c r="ED55" i="22"/>
  <c r="EE55" i="22"/>
  <c r="EF55" i="22"/>
  <c r="BC55" i="22" s="1"/>
  <c r="ED56" i="22"/>
  <c r="EE56" i="22"/>
  <c r="EF56" i="22"/>
  <c r="BC56" i="22" s="1"/>
  <c r="ED57" i="22"/>
  <c r="EE57" i="22"/>
  <c r="EF57" i="22"/>
  <c r="BC57" i="22" s="1"/>
  <c r="ED58" i="22"/>
  <c r="EE58" i="22"/>
  <c r="EF58" i="22"/>
  <c r="BC58" i="22" s="1"/>
  <c r="ED59" i="22"/>
  <c r="EE59" i="22"/>
  <c r="EF59" i="22"/>
  <c r="BC59" i="22" s="1"/>
  <c r="ED60" i="22"/>
  <c r="EE60" i="22"/>
  <c r="EF60" i="22"/>
  <c r="BC60" i="22" s="1"/>
  <c r="ED61" i="22"/>
  <c r="EE61" i="22"/>
  <c r="EF61" i="22"/>
  <c r="BC61" i="22" s="1"/>
  <c r="ED63" i="22"/>
  <c r="EE63" i="22"/>
  <c r="EF63" i="22"/>
  <c r="BC63" i="22" s="1"/>
  <c r="ED64" i="22"/>
  <c r="EE64" i="22"/>
  <c r="EF64" i="22"/>
  <c r="BC64" i="22" s="1"/>
  <c r="ED68" i="22"/>
  <c r="EE68" i="22"/>
  <c r="EF68" i="22"/>
  <c r="BC68" i="22" s="1"/>
  <c r="ED69" i="22"/>
  <c r="EE69" i="22"/>
  <c r="EF69" i="22"/>
  <c r="BC69" i="22" s="1"/>
  <c r="ED70" i="22"/>
  <c r="EE70" i="22"/>
  <c r="EF70" i="22"/>
  <c r="BC70" i="22" s="1"/>
  <c r="ED71" i="22"/>
  <c r="EE71" i="22"/>
  <c r="EF71" i="22"/>
  <c r="BC71" i="22" s="1"/>
  <c r="ED72" i="22"/>
  <c r="EE72" i="22"/>
  <c r="EF72" i="22"/>
  <c r="BC72" i="22" s="1"/>
  <c r="ED73" i="22"/>
  <c r="EE73" i="22"/>
  <c r="EF73" i="22"/>
  <c r="BC73" i="22" s="1"/>
  <c r="ED74" i="22"/>
  <c r="EE74" i="22"/>
  <c r="EF74" i="22"/>
  <c r="BC74" i="22" s="1"/>
  <c r="ED75" i="22"/>
  <c r="EE75" i="22"/>
  <c r="EF75" i="22"/>
  <c r="BC75" i="22" s="1"/>
  <c r="ED76" i="22"/>
  <c r="EE76" i="22"/>
  <c r="EF76" i="22"/>
  <c r="BC76" i="22" s="1"/>
  <c r="ED77" i="22"/>
  <c r="EE77" i="22"/>
  <c r="EF77" i="22"/>
  <c r="BC77" i="22" s="1"/>
  <c r="ED2" i="22"/>
  <c r="EE2" i="22"/>
  <c r="EF2" i="22"/>
  <c r="AZ49" i="22"/>
  <c r="BB49" i="22"/>
  <c r="AZ1" i="22"/>
  <c r="BA1" i="22"/>
  <c r="BB1" i="22"/>
  <c r="DX55" i="22"/>
  <c r="DY55" i="22"/>
  <c r="DZ55" i="22"/>
  <c r="EA55" i="22"/>
  <c r="EB55" i="22"/>
  <c r="EC55" i="22"/>
  <c r="DZ54" i="22"/>
  <c r="EA54" i="22"/>
  <c r="EB54" i="22"/>
  <c r="EC54" i="22"/>
  <c r="DX54" i="22"/>
  <c r="DY54" i="22"/>
  <c r="DW54" i="22"/>
  <c r="BA70" i="22" l="1"/>
  <c r="BA57" i="22"/>
  <c r="BA77" i="22"/>
  <c r="BA69" i="22"/>
  <c r="BA71" i="22"/>
  <c r="BA59" i="22"/>
  <c r="BA58" i="22"/>
  <c r="BA74" i="22"/>
  <c r="BA63" i="22"/>
  <c r="BA54" i="22"/>
  <c r="BA68" i="22"/>
  <c r="BA76" i="22"/>
  <c r="BA56" i="22"/>
  <c r="BA73" i="22"/>
  <c r="BA61" i="22"/>
  <c r="BA52" i="22"/>
  <c r="BA75" i="22"/>
  <c r="BA64" i="22"/>
  <c r="BA55" i="22"/>
  <c r="BA72" i="22"/>
  <c r="BA60" i="22"/>
  <c r="BA51" i="22"/>
  <c r="BJ82" i="22"/>
  <c r="BI82" i="22"/>
  <c r="BG62" i="22"/>
  <c r="BE65" i="22"/>
  <c r="BG65" i="22"/>
  <c r="BD53" i="22"/>
  <c r="BE48" i="22"/>
  <c r="BD48" i="22"/>
  <c r="BG48" i="22"/>
  <c r="BF62" i="22"/>
  <c r="BF48" i="22"/>
  <c r="BG53" i="22"/>
  <c r="BD65" i="22"/>
  <c r="BE62" i="22"/>
  <c r="BE53" i="22"/>
  <c r="EG82" i="22"/>
  <c r="EJ82" i="22"/>
  <c r="EI82" i="22"/>
  <c r="BF53" i="22"/>
  <c r="EH82" i="22"/>
  <c r="BF65" i="22"/>
  <c r="EK82" i="22"/>
  <c r="BH82" i="22" s="1"/>
  <c r="AZ54" i="22"/>
  <c r="BB58" i="22"/>
  <c r="BB51" i="22"/>
  <c r="BB76" i="22"/>
  <c r="BB56" i="22"/>
  <c r="BB52" i="22"/>
  <c r="BB75" i="22"/>
  <c r="BB72" i="22"/>
  <c r="BB55" i="22"/>
  <c r="BB77" i="22"/>
  <c r="BB61" i="22"/>
  <c r="BB63" i="22"/>
  <c r="BB71" i="22"/>
  <c r="BB59" i="22"/>
  <c r="BB73" i="22"/>
  <c r="BB68" i="22"/>
  <c r="BB60" i="22"/>
  <c r="BB69" i="22"/>
  <c r="BB57" i="22"/>
  <c r="BB74" i="22"/>
  <c r="AZ55" i="22"/>
  <c r="BB70" i="22"/>
  <c r="BB64" i="22"/>
  <c r="BB54" i="22"/>
  <c r="CK84" i="1"/>
  <c r="CL84" i="1"/>
  <c r="CM84" i="1"/>
  <c r="CN84" i="1"/>
  <c r="CG49" i="22"/>
  <c r="EA51" i="22"/>
  <c r="EB51" i="22"/>
  <c r="EC51" i="22"/>
  <c r="AZ51" i="22" s="1"/>
  <c r="EA52" i="22"/>
  <c r="EB52" i="22"/>
  <c r="EC52" i="22"/>
  <c r="AZ52" i="22" s="1"/>
  <c r="AX55" i="22"/>
  <c r="EA56" i="22"/>
  <c r="EB56" i="22"/>
  <c r="EC56" i="22"/>
  <c r="AZ56" i="22" s="1"/>
  <c r="EA57" i="22"/>
  <c r="EB57" i="22"/>
  <c r="EC57" i="22"/>
  <c r="AZ57" i="22" s="1"/>
  <c r="EA58" i="22"/>
  <c r="EB58" i="22"/>
  <c r="EC58" i="22"/>
  <c r="AZ58" i="22" s="1"/>
  <c r="EA59" i="22"/>
  <c r="EB59" i="22"/>
  <c r="EC59" i="22"/>
  <c r="AZ59" i="22" s="1"/>
  <c r="EA60" i="22"/>
  <c r="EB60" i="22"/>
  <c r="EC60" i="22"/>
  <c r="AZ60" i="22" s="1"/>
  <c r="EA61" i="22"/>
  <c r="EB61" i="22"/>
  <c r="EC61" i="22"/>
  <c r="AZ61" i="22" s="1"/>
  <c r="EA63" i="22"/>
  <c r="EB63" i="22"/>
  <c r="EC63" i="22"/>
  <c r="AZ63" i="22" s="1"/>
  <c r="EA64" i="22"/>
  <c r="EB64" i="22"/>
  <c r="EC64" i="22"/>
  <c r="AZ64" i="22" s="1"/>
  <c r="EA68" i="22"/>
  <c r="EB68" i="22"/>
  <c r="EC68" i="22"/>
  <c r="AZ68" i="22" s="1"/>
  <c r="EA69" i="22"/>
  <c r="EB69" i="22"/>
  <c r="EC69" i="22"/>
  <c r="AZ69" i="22" s="1"/>
  <c r="EA70" i="22"/>
  <c r="EB70" i="22"/>
  <c r="EC70" i="22"/>
  <c r="AZ70" i="22" s="1"/>
  <c r="EA71" i="22"/>
  <c r="EB71" i="22"/>
  <c r="EC71" i="22"/>
  <c r="AZ71" i="22" s="1"/>
  <c r="EA72" i="22"/>
  <c r="EB72" i="22"/>
  <c r="EC72" i="22"/>
  <c r="AZ72" i="22" s="1"/>
  <c r="EA73" i="22"/>
  <c r="EB73" i="22"/>
  <c r="EC73" i="22"/>
  <c r="AZ73" i="22" s="1"/>
  <c r="EA74" i="22"/>
  <c r="EB74" i="22"/>
  <c r="EC74" i="22"/>
  <c r="AZ74" i="22" s="1"/>
  <c r="EA75" i="22"/>
  <c r="EB75" i="22"/>
  <c r="EC75" i="22"/>
  <c r="AZ75" i="22" s="1"/>
  <c r="EA76" i="22"/>
  <c r="EB76" i="22"/>
  <c r="EC76" i="22"/>
  <c r="AZ76" i="22" s="1"/>
  <c r="EA77" i="22"/>
  <c r="EB77" i="22"/>
  <c r="EC77" i="22"/>
  <c r="AZ77" i="22" s="1"/>
  <c r="EC2" i="22"/>
  <c r="EA2" i="22"/>
  <c r="EB2" i="22"/>
  <c r="AW49" i="22"/>
  <c r="AX49" i="22"/>
  <c r="AY49" i="22"/>
  <c r="AY1" i="22"/>
  <c r="AW1" i="22"/>
  <c r="AX1" i="22"/>
  <c r="CM6" i="88"/>
  <c r="CN6" i="88"/>
  <c r="CO6" i="88"/>
  <c r="CP6" i="88"/>
  <c r="CQ6" i="88"/>
  <c r="CR6" i="88"/>
  <c r="CS6" i="88"/>
  <c r="CL6" i="87"/>
  <c r="CM6" i="87"/>
  <c r="CN6" i="87"/>
  <c r="CO6" i="87"/>
  <c r="CP6" i="87"/>
  <c r="CQ6" i="87"/>
  <c r="CR6" i="87"/>
  <c r="CS6" i="87"/>
  <c r="CT6" i="87"/>
  <c r="CU6" i="87"/>
  <c r="CL6" i="86"/>
  <c r="CM6" i="86"/>
  <c r="CN6" i="86"/>
  <c r="CO6" i="86"/>
  <c r="CP6" i="86"/>
  <c r="CQ6" i="86"/>
  <c r="CR6" i="86"/>
  <c r="CS6" i="86"/>
  <c r="CT6" i="86"/>
  <c r="CU6" i="86"/>
  <c r="CV6" i="86"/>
  <c r="CW6" i="86"/>
  <c r="CM6" i="85"/>
  <c r="CN6" i="85"/>
  <c r="CO6" i="85"/>
  <c r="CP6" i="85"/>
  <c r="CQ6" i="85"/>
  <c r="CR6" i="85"/>
  <c r="CS6" i="85"/>
  <c r="CT6" i="85"/>
  <c r="CL6" i="82"/>
  <c r="CM6" i="82"/>
  <c r="CN6" i="82"/>
  <c r="CO6" i="82"/>
  <c r="CP6" i="82"/>
  <c r="CL11" i="82"/>
  <c r="CM11" i="82"/>
  <c r="CN11" i="82"/>
  <c r="CO11" i="82"/>
  <c r="CP11" i="82"/>
  <c r="CM6" i="81"/>
  <c r="CN6" i="81"/>
  <c r="CO6" i="81"/>
  <c r="CP6" i="81"/>
  <c r="CQ6" i="81"/>
  <c r="CR6" i="81"/>
  <c r="CS6" i="81"/>
  <c r="CT6" i="81"/>
  <c r="CU6" i="81"/>
  <c r="CV6" i="81"/>
  <c r="CW6" i="81"/>
  <c r="CX6" i="81"/>
  <c r="CY6" i="81"/>
  <c r="CZ6" i="81"/>
  <c r="CL6" i="79"/>
  <c r="CM6" i="79"/>
  <c r="CN6" i="79"/>
  <c r="CO6" i="79"/>
  <c r="CP6" i="79"/>
  <c r="CQ6" i="79"/>
  <c r="CR6" i="79"/>
  <c r="CS6" i="79"/>
  <c r="CU6" i="79"/>
  <c r="CV6" i="79"/>
  <c r="CW6" i="79"/>
  <c r="CX6" i="79"/>
  <c r="CY6" i="79"/>
  <c r="CZ6" i="79"/>
  <c r="DA6" i="79"/>
  <c r="DB6" i="79"/>
  <c r="DC6" i="79"/>
  <c r="CM6" i="77"/>
  <c r="CN6" i="77"/>
  <c r="CO6" i="77"/>
  <c r="CP6" i="77"/>
  <c r="CQ6" i="77"/>
  <c r="CR6" i="77"/>
  <c r="CS6" i="77"/>
  <c r="CT6" i="77"/>
  <c r="CU6" i="77"/>
  <c r="CV6" i="77"/>
  <c r="CJ6" i="76"/>
  <c r="CK6" i="76"/>
  <c r="CL6" i="76"/>
  <c r="CM6" i="76"/>
  <c r="CN6" i="76"/>
  <c r="CO6" i="76"/>
  <c r="CP6" i="76"/>
  <c r="CQ6" i="76"/>
  <c r="CR6" i="76"/>
  <c r="CS6" i="76"/>
  <c r="CT6" i="76"/>
  <c r="CU6" i="76"/>
  <c r="CV6" i="76"/>
  <c r="CW6" i="76"/>
  <c r="CX6" i="76"/>
  <c r="CL10" i="75"/>
  <c r="CM10" i="75"/>
  <c r="CN10" i="75"/>
  <c r="CO10" i="75"/>
  <c r="CP10" i="75"/>
  <c r="CQ10" i="75"/>
  <c r="CR10" i="75"/>
  <c r="CS10" i="75"/>
  <c r="CT10" i="75"/>
  <c r="CL6" i="75"/>
  <c r="CM6" i="75"/>
  <c r="CN6" i="75"/>
  <c r="CO6" i="75"/>
  <c r="CP6" i="75"/>
  <c r="CQ6" i="75"/>
  <c r="CR6" i="75"/>
  <c r="CS6" i="75"/>
  <c r="CT6" i="75"/>
  <c r="CM10" i="74"/>
  <c r="CN10" i="74"/>
  <c r="CO10" i="74"/>
  <c r="CP10" i="74"/>
  <c r="CQ10" i="74"/>
  <c r="CR10" i="74"/>
  <c r="CM6" i="74"/>
  <c r="CN6" i="74"/>
  <c r="CO6" i="74"/>
  <c r="CP6" i="74"/>
  <c r="CQ6" i="74"/>
  <c r="CR6" i="74"/>
  <c r="CM12" i="73"/>
  <c r="CN12" i="73"/>
  <c r="CO12" i="73"/>
  <c r="CP12" i="73"/>
  <c r="CQ12" i="73"/>
  <c r="CR12" i="73"/>
  <c r="CN6" i="73"/>
  <c r="CO6" i="73"/>
  <c r="CP6" i="73"/>
  <c r="CQ6" i="73"/>
  <c r="CR6" i="73"/>
  <c r="CN27" i="70"/>
  <c r="CO27" i="70"/>
  <c r="CP27" i="70"/>
  <c r="CM6" i="67"/>
  <c r="CN6" i="67"/>
  <c r="CO6" i="67"/>
  <c r="CP6" i="67"/>
  <c r="CQ6" i="67"/>
  <c r="CR6" i="67"/>
  <c r="CS6" i="67"/>
  <c r="CN6" i="66"/>
  <c r="CO6" i="66"/>
  <c r="CP6" i="66"/>
  <c r="CQ6" i="66"/>
  <c r="CR6" i="66"/>
  <c r="CO6" i="63"/>
  <c r="CP6" i="63"/>
  <c r="CQ6" i="63"/>
  <c r="CL12" i="62"/>
  <c r="CM12" i="62"/>
  <c r="CN12" i="62"/>
  <c r="CO12" i="62"/>
  <c r="CP12" i="62"/>
  <c r="CQ12" i="62"/>
  <c r="CR12" i="62"/>
  <c r="CS12" i="62"/>
  <c r="CT12" i="62"/>
  <c r="CU12" i="62"/>
  <c r="CV12" i="62"/>
  <c r="CM6" i="62"/>
  <c r="CN6" i="62"/>
  <c r="CO6" i="62"/>
  <c r="CP6" i="62"/>
  <c r="CQ6" i="62"/>
  <c r="CR6" i="62"/>
  <c r="CS6" i="62"/>
  <c r="CT6" i="62"/>
  <c r="CU6" i="62"/>
  <c r="CV6" i="62"/>
  <c r="CL6" i="61"/>
  <c r="CM6" i="61"/>
  <c r="CN6" i="61"/>
  <c r="CO6" i="61"/>
  <c r="CP6" i="61"/>
  <c r="CQ6" i="61"/>
  <c r="CN6" i="60"/>
  <c r="CO6" i="60"/>
  <c r="CP6" i="60"/>
  <c r="CQ6" i="60"/>
  <c r="CR6" i="60"/>
  <c r="CS6" i="60"/>
  <c r="CT6" i="60"/>
  <c r="CU6" i="60"/>
  <c r="CL6" i="58"/>
  <c r="CM6" i="58"/>
  <c r="CN6" i="58"/>
  <c r="CO6" i="58"/>
  <c r="CP6" i="58"/>
  <c r="CQ6" i="58"/>
  <c r="CR6" i="58"/>
  <c r="CS6" i="58"/>
  <c r="CT6" i="58"/>
  <c r="CU6" i="58"/>
  <c r="CL14" i="58"/>
  <c r="CM14" i="58"/>
  <c r="CN14" i="58"/>
  <c r="CO14" i="58"/>
  <c r="CP14" i="58"/>
  <c r="CQ14" i="58"/>
  <c r="CR14" i="58"/>
  <c r="CS14" i="58"/>
  <c r="CT14" i="58"/>
  <c r="CU14" i="58"/>
  <c r="CL15" i="58"/>
  <c r="CM15" i="58"/>
  <c r="CN15" i="58"/>
  <c r="CO15" i="58"/>
  <c r="CP15" i="58"/>
  <c r="CQ15" i="58"/>
  <c r="CR15" i="58"/>
  <c r="CS15" i="58"/>
  <c r="CT15" i="58"/>
  <c r="CU15" i="58"/>
  <c r="CL10" i="48"/>
  <c r="CM10" i="48"/>
  <c r="CN10" i="48"/>
  <c r="CO10" i="48"/>
  <c r="CP10" i="48"/>
  <c r="CQ10" i="48"/>
  <c r="CL6" i="48"/>
  <c r="CM6" i="48"/>
  <c r="CN6" i="48"/>
  <c r="CO6" i="48"/>
  <c r="CP6" i="48"/>
  <c r="CQ6" i="48"/>
  <c r="CR6" i="48"/>
  <c r="CL6" i="54"/>
  <c r="CM6" i="54"/>
  <c r="CN6" i="54"/>
  <c r="CO6" i="54"/>
  <c r="CP6" i="54"/>
  <c r="CQ6" i="54"/>
  <c r="CR6" i="54"/>
  <c r="CS6" i="54"/>
  <c r="CT6" i="54"/>
  <c r="CU6" i="54"/>
  <c r="CN6" i="55"/>
  <c r="CO6" i="55"/>
  <c r="CP6" i="55"/>
  <c r="CQ6" i="55"/>
  <c r="CR6" i="55"/>
  <c r="CS6" i="55"/>
  <c r="CT6" i="55"/>
  <c r="CU6" i="55"/>
  <c r="CV6" i="55"/>
  <c r="CO6" i="46"/>
  <c r="CP6" i="46"/>
  <c r="CQ6" i="46"/>
  <c r="CR6" i="46"/>
  <c r="CS6" i="46"/>
  <c r="CT6" i="46"/>
  <c r="CM6" i="46"/>
  <c r="CN6" i="46"/>
  <c r="CN6" i="49"/>
  <c r="CO6" i="49"/>
  <c r="CP6" i="49"/>
  <c r="CM6" i="51"/>
  <c r="CN6" i="51"/>
  <c r="CN5" i="43"/>
  <c r="CO5" i="43"/>
  <c r="CP5" i="43"/>
  <c r="CQ5" i="43"/>
  <c r="CR5" i="43"/>
  <c r="CS5" i="43"/>
  <c r="CT5" i="43"/>
  <c r="CU5" i="43"/>
  <c r="CV5" i="43"/>
  <c r="CW5" i="43"/>
  <c r="CX5" i="43"/>
  <c r="CY5" i="43"/>
  <c r="CZ5" i="43"/>
  <c r="DA5" i="43"/>
  <c r="CL3" i="44"/>
  <c r="CM3" i="44"/>
  <c r="CN3" i="44"/>
  <c r="CO3" i="44"/>
  <c r="CP3" i="44"/>
  <c r="CQ3" i="44"/>
  <c r="CL3" i="35"/>
  <c r="CM3" i="35"/>
  <c r="CN3" i="35"/>
  <c r="CN4" i="34"/>
  <c r="CO4" i="34"/>
  <c r="CP4" i="34"/>
  <c r="CO4" i="45"/>
  <c r="CP4" i="45"/>
  <c r="CL3" i="32"/>
  <c r="CM3" i="32"/>
  <c r="CN3" i="32"/>
  <c r="CO3" i="32"/>
  <c r="CN6" i="29"/>
  <c r="CO6" i="29"/>
  <c r="CP6" i="29"/>
  <c r="CM4" i="57"/>
  <c r="CN4" i="57"/>
  <c r="CO4" i="57"/>
  <c r="CP4" i="57"/>
  <c r="CQ4" i="57"/>
  <c r="CR4" i="57"/>
  <c r="CL4" i="30"/>
  <c r="CM4" i="30"/>
  <c r="CN4" i="30"/>
  <c r="CO4" i="30"/>
  <c r="CP4" i="30"/>
  <c r="CQ4" i="30"/>
  <c r="CR4" i="30"/>
  <c r="CS4" i="30"/>
  <c r="CT4" i="30"/>
  <c r="CL5" i="28"/>
  <c r="CM5" i="28"/>
  <c r="CN5" i="28"/>
  <c r="CO5" i="28"/>
  <c r="CP5" i="28"/>
  <c r="CQ5" i="28"/>
  <c r="CI5" i="42"/>
  <c r="CJ5" i="42"/>
  <c r="CK5" i="42"/>
  <c r="CL5" i="42"/>
  <c r="CM5" i="42"/>
  <c r="CN5" i="42"/>
  <c r="CO5" i="42"/>
  <c r="CM5" i="27"/>
  <c r="CN5" i="27"/>
  <c r="CO5" i="27"/>
  <c r="CL8" i="24"/>
  <c r="CM8" i="24"/>
  <c r="CN8" i="24"/>
  <c r="CO8" i="24"/>
  <c r="CP8" i="24"/>
  <c r="CQ8" i="24"/>
  <c r="CR8" i="24"/>
  <c r="CM4" i="24"/>
  <c r="CN4" i="24"/>
  <c r="CO4" i="24"/>
  <c r="CP4" i="24"/>
  <c r="CQ4" i="24"/>
  <c r="CR4" i="24"/>
  <c r="CL5" i="23"/>
  <c r="CM5" i="23"/>
  <c r="CN5" i="23"/>
  <c r="CO5" i="23"/>
  <c r="CP5" i="23"/>
  <c r="CQ5" i="23"/>
  <c r="CK5" i="20"/>
  <c r="CL5" i="20"/>
  <c r="CM5" i="20"/>
  <c r="CN5" i="20"/>
  <c r="CO5" i="20"/>
  <c r="CP5" i="20"/>
  <c r="CL5" i="19"/>
  <c r="CM5" i="19"/>
  <c r="CN5" i="19"/>
  <c r="CI5" i="19"/>
  <c r="CJ5" i="19"/>
  <c r="CK5" i="19"/>
  <c r="CK7" i="18"/>
  <c r="CL7" i="18"/>
  <c r="CM7" i="18"/>
  <c r="CN7" i="18"/>
  <c r="CO7" i="18"/>
  <c r="CP7" i="18"/>
  <c r="CQ7" i="18"/>
  <c r="CR7" i="18"/>
  <c r="CS7" i="18"/>
  <c r="CT7" i="18"/>
  <c r="CU7" i="18"/>
  <c r="CV7" i="18"/>
  <c r="CW7" i="18"/>
  <c r="CM5" i="41"/>
  <c r="CN5" i="41"/>
  <c r="CO5" i="41"/>
  <c r="CP5" i="41"/>
  <c r="CQ5" i="41"/>
  <c r="CM5" i="10"/>
  <c r="CN5" i="10"/>
  <c r="CO5" i="10"/>
  <c r="CP5" i="10"/>
  <c r="CQ5" i="10"/>
  <c r="CK8" i="40"/>
  <c r="CL8" i="40"/>
  <c r="CM8" i="40"/>
  <c r="CN8" i="40"/>
  <c r="CO8" i="40"/>
  <c r="CP8" i="40"/>
  <c r="CQ8" i="40"/>
  <c r="CL3" i="40"/>
  <c r="CM3" i="40"/>
  <c r="CN3" i="40"/>
  <c r="CO3" i="40"/>
  <c r="CP3" i="40"/>
  <c r="CQ3" i="40"/>
  <c r="CL3" i="2"/>
  <c r="CM3" i="2"/>
  <c r="CN3" i="2"/>
  <c r="CO3" i="2"/>
  <c r="CP3" i="2"/>
  <c r="CH3" i="2"/>
  <c r="CI3" i="2"/>
  <c r="CJ3" i="2"/>
  <c r="CK3" i="2"/>
  <c r="CL4" i="7"/>
  <c r="CM4" i="7"/>
  <c r="CN4" i="7"/>
  <c r="CO4" i="7"/>
  <c r="CP4" i="7"/>
  <c r="CQ4" i="7"/>
  <c r="CR4" i="7"/>
  <c r="CL5" i="11"/>
  <c r="CM5" i="11"/>
  <c r="CN5" i="11"/>
  <c r="CO5" i="11"/>
  <c r="CP5" i="11"/>
  <c r="CQ5" i="11"/>
  <c r="CK4" i="5"/>
  <c r="CL4" i="5"/>
  <c r="CM4" i="5"/>
  <c r="CN4" i="5"/>
  <c r="CO4" i="5"/>
  <c r="CP4" i="5"/>
  <c r="CQ4" i="5"/>
  <c r="CR4" i="5"/>
  <c r="CS4" i="5"/>
  <c r="CK6" i="17"/>
  <c r="CL6" i="17"/>
  <c r="CM6" i="17"/>
  <c r="CN6" i="17"/>
  <c r="CO6" i="17"/>
  <c r="CK4" i="15"/>
  <c r="CL4" i="15"/>
  <c r="CM4" i="15"/>
  <c r="CN4" i="15"/>
  <c r="CO4" i="15"/>
  <c r="CP4" i="15"/>
  <c r="CQ4" i="15"/>
  <c r="CR4" i="15"/>
  <c r="CS4" i="15"/>
  <c r="CT4" i="15"/>
  <c r="CU4" i="15"/>
  <c r="CV4" i="15"/>
  <c r="CW4" i="15"/>
  <c r="CX4" i="15"/>
  <c r="CY4" i="15"/>
  <c r="CZ4" i="15"/>
  <c r="DA4" i="15"/>
  <c r="CK6" i="16"/>
  <c r="CL6" i="16"/>
  <c r="CM6" i="16"/>
  <c r="CN6" i="16"/>
  <c r="CO6" i="16"/>
  <c r="CP6" i="16"/>
  <c r="CM4" i="26"/>
  <c r="CN4" i="26"/>
  <c r="CO4" i="26"/>
  <c r="CP4" i="26"/>
  <c r="CQ4" i="26"/>
  <c r="CL6" i="25"/>
  <c r="CM6" i="25"/>
  <c r="CN6" i="25"/>
  <c r="CO6" i="25"/>
  <c r="CP6" i="25"/>
  <c r="CQ6" i="25"/>
  <c r="CR6" i="25"/>
  <c r="CL6" i="12"/>
  <c r="CM6" i="12"/>
  <c r="CN6" i="12"/>
  <c r="CO6" i="12"/>
  <c r="CP6" i="12"/>
  <c r="CQ6" i="12"/>
  <c r="CO6" i="36"/>
  <c r="CP6" i="36"/>
  <c r="CQ6" i="36"/>
  <c r="CM5" i="14"/>
  <c r="CN5" i="14"/>
  <c r="CO5" i="14"/>
  <c r="CP5" i="14"/>
  <c r="CQ5" i="14"/>
  <c r="CR5" i="14"/>
  <c r="CS5" i="14"/>
  <c r="CT5" i="14"/>
  <c r="CU5" i="14"/>
  <c r="CV5" i="14"/>
  <c r="CW5" i="14"/>
  <c r="CN6" i="70"/>
  <c r="CO6" i="70"/>
  <c r="CP6" i="70"/>
  <c r="CJ106" i="1"/>
  <c r="CM6" i="70"/>
  <c r="CL6" i="70"/>
  <c r="BD82" i="22" l="1"/>
  <c r="BF82" i="22"/>
  <c r="BG82" i="22"/>
  <c r="BE82" i="22"/>
  <c r="EF62" i="22"/>
  <c r="BC62" i="22" s="1"/>
  <c r="EE62" i="22"/>
  <c r="EC62" i="22"/>
  <c r="ED62" i="22"/>
  <c r="AX52" i="22"/>
  <c r="AY71" i="22"/>
  <c r="AX60" i="22"/>
  <c r="AX57" i="22"/>
  <c r="AY74" i="22"/>
  <c r="AY58" i="22"/>
  <c r="AX61" i="22"/>
  <c r="AX56" i="22"/>
  <c r="AX76" i="22"/>
  <c r="AY73" i="22"/>
  <c r="AX69" i="22"/>
  <c r="AY57" i="22"/>
  <c r="AY61" i="22"/>
  <c r="AY77" i="22"/>
  <c r="AX72" i="22"/>
  <c r="AX58" i="22"/>
  <c r="AX77" i="22"/>
  <c r="AX68" i="22"/>
  <c r="AX54" i="22"/>
  <c r="AX73" i="22"/>
  <c r="AX70" i="22"/>
  <c r="AY69" i="22"/>
  <c r="AY59" i="22"/>
  <c r="AY60" i="22"/>
  <c r="AY51" i="22"/>
  <c r="AY76" i="22"/>
  <c r="AX74" i="22"/>
  <c r="AX71" i="22"/>
  <c r="AY68" i="22"/>
  <c r="AX63" i="22"/>
  <c r="AY55" i="22"/>
  <c r="AY54" i="22"/>
  <c r="AY70" i="22"/>
  <c r="AY75" i="22"/>
  <c r="AY52" i="22"/>
  <c r="AY63" i="22"/>
  <c r="AX75" i="22"/>
  <c r="AY72" i="22"/>
  <c r="AX64" i="22"/>
  <c r="AX59" i="22"/>
  <c r="AY56" i="22"/>
  <c r="AX51" i="22"/>
  <c r="AY64" i="22"/>
  <c r="CM27" i="70"/>
  <c r="BA62" i="22" l="1"/>
  <c r="AZ62" i="22"/>
  <c r="BB62" i="22"/>
  <c r="CJ10" i="1"/>
  <c r="CK10" i="1"/>
  <c r="CL10" i="1"/>
  <c r="CM10" i="1"/>
  <c r="CN10" i="1"/>
  <c r="CK87" i="1" l="1"/>
  <c r="CK88" i="1" s="1"/>
  <c r="CL87" i="1"/>
  <c r="CL88" i="1" s="1"/>
  <c r="CM87" i="1"/>
  <c r="CM88" i="1" s="1"/>
  <c r="CN87" i="1"/>
  <c r="CN88" i="1" s="1"/>
  <c r="CI87" i="1"/>
  <c r="CI88" i="1" s="1"/>
  <c r="CJ87" i="1"/>
  <c r="CJ88" i="1" s="1"/>
  <c r="CJ111" i="1"/>
  <c r="CK111" i="1"/>
  <c r="CL111" i="1"/>
  <c r="CM111" i="1"/>
  <c r="CN111" i="1"/>
  <c r="CJ110" i="1"/>
  <c r="CK110" i="1"/>
  <c r="CL110" i="1"/>
  <c r="CM110" i="1"/>
  <c r="CN110" i="1"/>
  <c r="CJ109" i="1"/>
  <c r="CK109" i="1"/>
  <c r="CL109" i="1"/>
  <c r="CM109" i="1"/>
  <c r="CN109" i="1"/>
  <c r="CJ66" i="1"/>
  <c r="CK66" i="1"/>
  <c r="CL66" i="1"/>
  <c r="CM66" i="1"/>
  <c r="CN66" i="1"/>
  <c r="CJ41" i="1"/>
  <c r="CK41" i="1"/>
  <c r="CL41" i="1"/>
  <c r="CM41" i="1"/>
  <c r="CN41" i="1"/>
  <c r="CJ29" i="1"/>
  <c r="CK29" i="1"/>
  <c r="CL29" i="1"/>
  <c r="CM29" i="1"/>
  <c r="CN29" i="1"/>
  <c r="CJ33" i="1"/>
  <c r="CK33" i="1"/>
  <c r="CL33" i="1"/>
  <c r="CM33" i="1"/>
  <c r="CN33" i="1"/>
  <c r="CJ30" i="1"/>
  <c r="CK30" i="1"/>
  <c r="CL30" i="1"/>
  <c r="CM30" i="1"/>
  <c r="CN30" i="1"/>
  <c r="CJ6" i="1"/>
  <c r="CK6" i="1"/>
  <c r="CL6" i="1"/>
  <c r="CM6" i="1"/>
  <c r="CN6" i="1"/>
  <c r="CJ116" i="1"/>
  <c r="CK116" i="1"/>
  <c r="CL116" i="1"/>
  <c r="CM116" i="1"/>
  <c r="CN116" i="1"/>
  <c r="CJ91" i="1"/>
  <c r="CK91" i="1"/>
  <c r="CL91" i="1"/>
  <c r="CM91" i="1"/>
  <c r="CN91" i="1"/>
  <c r="CJ67" i="1"/>
  <c r="CK67" i="1"/>
  <c r="CL67" i="1"/>
  <c r="CM67" i="1"/>
  <c r="CN67" i="1"/>
  <c r="CJ56" i="1"/>
  <c r="CK56" i="1"/>
  <c r="CL56" i="1"/>
  <c r="CM56" i="1"/>
  <c r="CN56" i="1"/>
  <c r="CJ84" i="1"/>
  <c r="CJ82" i="1"/>
  <c r="CK82" i="1"/>
  <c r="CL82" i="1"/>
  <c r="CM82" i="1"/>
  <c r="CN82" i="1"/>
  <c r="CJ71" i="1"/>
  <c r="CK71" i="1"/>
  <c r="CL71" i="1"/>
  <c r="CM71" i="1"/>
  <c r="CN71" i="1"/>
  <c r="CJ47" i="1"/>
  <c r="CI47" i="1"/>
  <c r="CK47" i="1"/>
  <c r="CL47" i="1"/>
  <c r="CM47" i="1"/>
  <c r="CN47" i="1"/>
  <c r="CJ25" i="1"/>
  <c r="CK25" i="1"/>
  <c r="CL25" i="1"/>
  <c r="CM25" i="1"/>
  <c r="CN25" i="1"/>
  <c r="CJ21" i="1"/>
  <c r="CK21" i="1"/>
  <c r="CL21" i="1"/>
  <c r="CM21" i="1"/>
  <c r="CN21" i="1"/>
  <c r="CI106" i="1"/>
  <c r="CI107" i="1" s="1"/>
  <c r="CJ107" i="1"/>
  <c r="CK106" i="1"/>
  <c r="CK107" i="1" s="1"/>
  <c r="CL107" i="1"/>
  <c r="CM106" i="1"/>
  <c r="CM107" i="1" s="1"/>
  <c r="CN106" i="1"/>
  <c r="CN107" i="1" s="1"/>
  <c r="CJ105" i="1"/>
  <c r="CK105" i="1"/>
  <c r="CL105" i="1"/>
  <c r="CM105" i="1"/>
  <c r="CN105" i="1"/>
  <c r="CJ34" i="1"/>
  <c r="CK34" i="1"/>
  <c r="CL34" i="1"/>
  <c r="CM34" i="1"/>
  <c r="CN34" i="1"/>
  <c r="CK4" i="1"/>
  <c r="CL4" i="1"/>
  <c r="CM4" i="1"/>
  <c r="CN4" i="1"/>
  <c r="CJ4" i="1"/>
  <c r="CI21" i="1"/>
  <c r="CI25" i="1"/>
  <c r="E12" i="91"/>
  <c r="F12" i="91" s="1"/>
  <c r="E11" i="91"/>
  <c r="F11" i="91" s="1"/>
  <c r="CN7" i="91"/>
  <c r="CM7" i="91"/>
  <c r="CL7" i="91"/>
  <c r="CK7" i="91"/>
  <c r="CJ7" i="91"/>
  <c r="CI7" i="91"/>
  <c r="CE7" i="91"/>
  <c r="F10" i="90"/>
  <c r="E10" i="90"/>
  <c r="CN7" i="90"/>
  <c r="CM7" i="90"/>
  <c r="CL7" i="90"/>
  <c r="CK7" i="90"/>
  <c r="CJ7" i="90"/>
  <c r="CI7" i="90"/>
  <c r="CE7" i="90"/>
  <c r="E10" i="89"/>
  <c r="F10" i="89" s="1"/>
  <c r="CN7" i="89"/>
  <c r="CM7" i="89"/>
  <c r="CL7" i="89"/>
  <c r="CK7" i="89"/>
  <c r="CJ7" i="89"/>
  <c r="CI7" i="89"/>
  <c r="CE7" i="89"/>
  <c r="CF33" i="1"/>
  <c r="CG33" i="1"/>
  <c r="CH33" i="1"/>
  <c r="CI33" i="1"/>
  <c r="DX51" i="22"/>
  <c r="DY51" i="22"/>
  <c r="DZ51" i="22"/>
  <c r="AW51" i="22" s="1"/>
  <c r="DX52" i="22"/>
  <c r="DY52" i="22"/>
  <c r="DZ52" i="22"/>
  <c r="AW52" i="22" s="1"/>
  <c r="AW54" i="22"/>
  <c r="AW55" i="22"/>
  <c r="DX56" i="22"/>
  <c r="DY56" i="22"/>
  <c r="DZ56" i="22"/>
  <c r="AW56" i="22" s="1"/>
  <c r="DX57" i="22"/>
  <c r="DY57" i="22"/>
  <c r="DZ57" i="22"/>
  <c r="AW57" i="22" s="1"/>
  <c r="DX58" i="22"/>
  <c r="DY58" i="22"/>
  <c r="DZ58" i="22"/>
  <c r="AW58" i="22" s="1"/>
  <c r="DX59" i="22"/>
  <c r="DY59" i="22"/>
  <c r="DZ59" i="22"/>
  <c r="AW59" i="22" s="1"/>
  <c r="DX60" i="22"/>
  <c r="DY60" i="22"/>
  <c r="DZ60" i="22"/>
  <c r="AW60" i="22" s="1"/>
  <c r="DX61" i="22"/>
  <c r="DY61" i="22"/>
  <c r="DZ61" i="22"/>
  <c r="AW61" i="22" s="1"/>
  <c r="DX63" i="22"/>
  <c r="DY63" i="22"/>
  <c r="DZ63" i="22"/>
  <c r="AW63" i="22" s="1"/>
  <c r="DX64" i="22"/>
  <c r="DY64" i="22"/>
  <c r="DZ64" i="22"/>
  <c r="AW64" i="22" s="1"/>
  <c r="DX68" i="22"/>
  <c r="DY68" i="22"/>
  <c r="DZ68" i="22"/>
  <c r="AW68" i="22" s="1"/>
  <c r="DX69" i="22"/>
  <c r="DY69" i="22"/>
  <c r="DZ69" i="22"/>
  <c r="AW69" i="22" s="1"/>
  <c r="DX70" i="22"/>
  <c r="DY70" i="22"/>
  <c r="DZ70" i="22"/>
  <c r="AW70" i="22" s="1"/>
  <c r="DX71" i="22"/>
  <c r="DY71" i="22"/>
  <c r="DZ71" i="22"/>
  <c r="AW71" i="22" s="1"/>
  <c r="DX72" i="22"/>
  <c r="DY72" i="22"/>
  <c r="DZ72" i="22"/>
  <c r="AW72" i="22" s="1"/>
  <c r="DX73" i="22"/>
  <c r="DY73" i="22"/>
  <c r="DZ73" i="22"/>
  <c r="AW73" i="22" s="1"/>
  <c r="DX74" i="22"/>
  <c r="DY74" i="22"/>
  <c r="DZ74" i="22"/>
  <c r="AW74" i="22" s="1"/>
  <c r="DX75" i="22"/>
  <c r="DY75" i="22"/>
  <c r="DZ75" i="22"/>
  <c r="AW75" i="22" s="1"/>
  <c r="DX76" i="22"/>
  <c r="DY76" i="22"/>
  <c r="DZ76" i="22"/>
  <c r="AW76" i="22" s="1"/>
  <c r="DX77" i="22"/>
  <c r="DY77" i="22"/>
  <c r="DZ77" i="22"/>
  <c r="AW77" i="22" s="1"/>
  <c r="DY2" i="22"/>
  <c r="DZ2" i="22"/>
  <c r="DX2" i="22"/>
  <c r="AS1" i="22"/>
  <c r="AS49" i="22"/>
  <c r="AT49" i="22"/>
  <c r="AV49" i="22"/>
  <c r="AT1" i="22"/>
  <c r="AV1" i="22"/>
  <c r="CH6" i="13"/>
  <c r="CI5" i="23"/>
  <c r="CJ5" i="23"/>
  <c r="CK5" i="23"/>
  <c r="CJ5" i="20"/>
  <c r="CI5" i="20"/>
  <c r="CI7" i="18"/>
  <c r="CJ7" i="18"/>
  <c r="CI5" i="41"/>
  <c r="CJ5" i="41"/>
  <c r="CK5" i="41"/>
  <c r="CL5" i="41"/>
  <c r="CK5" i="10"/>
  <c r="CL5" i="10"/>
  <c r="CH8" i="40"/>
  <c r="CI8" i="40"/>
  <c r="CJ8" i="40"/>
  <c r="CI3" i="40"/>
  <c r="CJ3" i="40"/>
  <c r="CK3" i="40"/>
  <c r="CI4" i="7"/>
  <c r="CJ4" i="7"/>
  <c r="CK4" i="7"/>
  <c r="CI5" i="11"/>
  <c r="CJ5" i="11"/>
  <c r="CK5" i="11"/>
  <c r="CI4" i="5"/>
  <c r="CJ4" i="5"/>
  <c r="CI6" i="17"/>
  <c r="CJ6" i="17"/>
  <c r="CI4" i="15"/>
  <c r="CJ4" i="15"/>
  <c r="CI6" i="16"/>
  <c r="CJ6" i="16"/>
  <c r="CI4" i="26"/>
  <c r="CJ4" i="26"/>
  <c r="CK4" i="26"/>
  <c r="CL4" i="26"/>
  <c r="CI6" i="25"/>
  <c r="CJ6" i="25"/>
  <c r="CK6" i="25"/>
  <c r="CI6" i="12"/>
  <c r="CJ6" i="12"/>
  <c r="CK6" i="12"/>
  <c r="M8" i="24"/>
  <c r="N8" i="24"/>
  <c r="O8" i="24"/>
  <c r="P8" i="24"/>
  <c r="Q8" i="24"/>
  <c r="R8" i="24"/>
  <c r="S8" i="24"/>
  <c r="T8" i="24"/>
  <c r="U8" i="24"/>
  <c r="V8" i="24"/>
  <c r="W8" i="24"/>
  <c r="X8" i="24"/>
  <c r="Y8" i="24"/>
  <c r="Z8" i="24"/>
  <c r="AA8" i="24"/>
  <c r="AB8" i="24"/>
  <c r="AC8" i="24"/>
  <c r="AD8" i="24"/>
  <c r="AE8" i="24"/>
  <c r="AF8" i="24"/>
  <c r="AG8" i="24"/>
  <c r="AH8" i="24"/>
  <c r="AI8" i="24"/>
  <c r="AJ8" i="24"/>
  <c r="AK8" i="24"/>
  <c r="AL8" i="24"/>
  <c r="AM8" i="24"/>
  <c r="AN8" i="24"/>
  <c r="AO8" i="24"/>
  <c r="AP8" i="24"/>
  <c r="AQ8" i="24"/>
  <c r="AR8" i="24"/>
  <c r="AS8" i="24"/>
  <c r="AT8" i="24"/>
  <c r="AU8" i="24"/>
  <c r="AV8" i="24"/>
  <c r="AW8" i="24"/>
  <c r="AX8" i="24"/>
  <c r="AY8" i="24"/>
  <c r="AZ8" i="24"/>
  <c r="BA8" i="24"/>
  <c r="BB8" i="24"/>
  <c r="BC8" i="24"/>
  <c r="BD8" i="24"/>
  <c r="BE8" i="24"/>
  <c r="BF8" i="24"/>
  <c r="BG8" i="24"/>
  <c r="BH8" i="24"/>
  <c r="BI8" i="24"/>
  <c r="BJ8" i="24"/>
  <c r="BK8" i="24"/>
  <c r="BL8" i="24"/>
  <c r="BM8" i="24"/>
  <c r="BN8" i="24"/>
  <c r="BO8" i="24"/>
  <c r="BP8" i="24"/>
  <c r="BQ8" i="24"/>
  <c r="BR8" i="24"/>
  <c r="BS8" i="24"/>
  <c r="BT8" i="24"/>
  <c r="BU8" i="24"/>
  <c r="BV8" i="24"/>
  <c r="BW8" i="24"/>
  <c r="BX8" i="24"/>
  <c r="BY8" i="24"/>
  <c r="BZ8" i="24"/>
  <c r="CA8" i="24"/>
  <c r="CB8" i="24"/>
  <c r="CC8" i="24"/>
  <c r="CD8" i="24"/>
  <c r="CE8" i="24"/>
  <c r="CF8" i="24"/>
  <c r="CG8" i="24"/>
  <c r="CH8" i="24"/>
  <c r="CI8" i="24"/>
  <c r="CJ8" i="24"/>
  <c r="CK8" i="24"/>
  <c r="CI4" i="24"/>
  <c r="CJ4" i="24"/>
  <c r="CK4" i="24"/>
  <c r="CL4" i="24"/>
  <c r="CI5" i="27"/>
  <c r="CJ5" i="27"/>
  <c r="CK5" i="27"/>
  <c r="CL5" i="27"/>
  <c r="CI5" i="28"/>
  <c r="CJ5" i="28"/>
  <c r="CK5" i="28"/>
  <c r="CI4" i="30"/>
  <c r="CJ4" i="30"/>
  <c r="CK4" i="30"/>
  <c r="CK6" i="29"/>
  <c r="CL6" i="29"/>
  <c r="CM6" i="29"/>
  <c r="CJ3" i="31"/>
  <c r="CK3" i="31"/>
  <c r="CL3" i="31"/>
  <c r="CM3" i="31"/>
  <c r="CN3" i="31"/>
  <c r="CO3" i="31"/>
  <c r="CP3" i="31"/>
  <c r="CQ3" i="31"/>
  <c r="CI3" i="31"/>
  <c r="CI3" i="32"/>
  <c r="CJ3" i="32"/>
  <c r="CK3" i="32"/>
  <c r="CI4" i="45"/>
  <c r="CJ4" i="45"/>
  <c r="CK4" i="45"/>
  <c r="CL4" i="45"/>
  <c r="CM4" i="45"/>
  <c r="CN4" i="45"/>
  <c r="CI4" i="34"/>
  <c r="CJ4" i="34"/>
  <c r="CK4" i="34"/>
  <c r="CL4" i="34"/>
  <c r="CM4" i="34"/>
  <c r="CI3" i="35"/>
  <c r="CJ3" i="35"/>
  <c r="CK3" i="35"/>
  <c r="CJ7" i="38"/>
  <c r="CK7" i="38"/>
  <c r="CL7" i="38"/>
  <c r="CM7" i="38"/>
  <c r="CN7" i="38"/>
  <c r="CO7" i="38"/>
  <c r="CP7" i="38"/>
  <c r="CQ7" i="38"/>
  <c r="CJ3" i="44"/>
  <c r="CK3" i="44"/>
  <c r="CJ5" i="43"/>
  <c r="CK5" i="43"/>
  <c r="CL5" i="43"/>
  <c r="CM5" i="43"/>
  <c r="CJ6" i="39"/>
  <c r="CK6" i="39"/>
  <c r="CL6" i="39"/>
  <c r="CM6" i="39"/>
  <c r="CN6" i="39"/>
  <c r="CJ6" i="51"/>
  <c r="CK6" i="51"/>
  <c r="CL6" i="51"/>
  <c r="CJ6" i="50"/>
  <c r="CK6" i="50"/>
  <c r="CL6" i="50"/>
  <c r="CM6" i="50"/>
  <c r="CJ6" i="49"/>
  <c r="CK6" i="49"/>
  <c r="CL6" i="49"/>
  <c r="CM6" i="49"/>
  <c r="CJ6" i="46"/>
  <c r="CK6" i="46"/>
  <c r="CL6" i="46"/>
  <c r="CJ6" i="55"/>
  <c r="CK6" i="55"/>
  <c r="CL6" i="55"/>
  <c r="CM6" i="55"/>
  <c r="CJ6" i="54"/>
  <c r="CK6" i="54"/>
  <c r="CJ6" i="52"/>
  <c r="CK6" i="52"/>
  <c r="CL6" i="52"/>
  <c r="CM6" i="52"/>
  <c r="CN6" i="52"/>
  <c r="CO6" i="52"/>
  <c r="CP6" i="52"/>
  <c r="CQ6" i="52"/>
  <c r="CI10" i="48"/>
  <c r="CJ10" i="48"/>
  <c r="CK10" i="48"/>
  <c r="CJ6" i="48"/>
  <c r="CK6" i="48"/>
  <c r="CI14" i="58"/>
  <c r="CJ14" i="58"/>
  <c r="CK14" i="58"/>
  <c r="CI15" i="58"/>
  <c r="CJ15" i="58"/>
  <c r="CK15" i="58"/>
  <c r="CJ6" i="58"/>
  <c r="CK6" i="58"/>
  <c r="CJ6" i="60"/>
  <c r="CK6" i="60"/>
  <c r="CL6" i="60"/>
  <c r="CM6" i="60"/>
  <c r="CJ6" i="61"/>
  <c r="CK6" i="61"/>
  <c r="CI12" i="62"/>
  <c r="CJ12" i="62"/>
  <c r="CK12" i="62"/>
  <c r="CJ6" i="62"/>
  <c r="CK6" i="62"/>
  <c r="CL6" i="62"/>
  <c r="CJ6" i="63"/>
  <c r="CK6" i="63"/>
  <c r="CL6" i="63"/>
  <c r="CM6" i="63"/>
  <c r="CN6" i="63"/>
  <c r="CJ6" i="66"/>
  <c r="CK6" i="66"/>
  <c r="CL6" i="66"/>
  <c r="CM6" i="66"/>
  <c r="CJ6" i="67"/>
  <c r="CK6" i="67"/>
  <c r="CL6" i="67"/>
  <c r="CJ6" i="70"/>
  <c r="CK6" i="70"/>
  <c r="CI12" i="73"/>
  <c r="CJ12" i="73"/>
  <c r="CK12" i="73"/>
  <c r="CL12" i="73"/>
  <c r="CJ6" i="73"/>
  <c r="CK6" i="73"/>
  <c r="CL6" i="73"/>
  <c r="CM6" i="73"/>
  <c r="CI10" i="74"/>
  <c r="CJ10" i="74"/>
  <c r="CK10" i="74"/>
  <c r="CL10" i="74"/>
  <c r="CJ6" i="74"/>
  <c r="CK6" i="74"/>
  <c r="CL6" i="74"/>
  <c r="CK10" i="75"/>
  <c r="CJ6" i="75"/>
  <c r="CK6" i="75"/>
  <c r="CI10" i="75"/>
  <c r="CJ10" i="75"/>
  <c r="CJ6" i="77"/>
  <c r="CK6" i="77"/>
  <c r="CL6" i="77"/>
  <c r="CJ6" i="79"/>
  <c r="CK6" i="79"/>
  <c r="CJ6" i="81"/>
  <c r="CK6" i="81"/>
  <c r="CL6" i="81"/>
  <c r="CI11" i="82"/>
  <c r="CJ11" i="82"/>
  <c r="CK11" i="82"/>
  <c r="CJ6" i="82"/>
  <c r="CK6" i="82"/>
  <c r="CJ6" i="85"/>
  <c r="CK6" i="85"/>
  <c r="CL6" i="85"/>
  <c r="CJ6" i="88"/>
  <c r="CK6" i="88"/>
  <c r="CL6" i="88"/>
  <c r="CI6" i="80"/>
  <c r="CI6" i="81"/>
  <c r="CI6" i="82"/>
  <c r="CI6" i="88"/>
  <c r="CI6" i="79"/>
  <c r="CI6" i="77"/>
  <c r="CI6" i="76"/>
  <c r="CI6" i="75"/>
  <c r="CI6" i="74"/>
  <c r="CI6" i="73"/>
  <c r="CI6" i="70"/>
  <c r="CI6" i="67"/>
  <c r="CI6" i="66"/>
  <c r="CI6" i="63"/>
  <c r="CI6" i="62"/>
  <c r="CI6" i="61"/>
  <c r="CI6" i="60"/>
  <c r="CI6" i="58"/>
  <c r="CI6" i="48"/>
  <c r="CI6" i="52"/>
  <c r="CI6" i="54"/>
  <c r="CI6" i="55"/>
  <c r="CI6" i="46"/>
  <c r="CI6" i="49"/>
  <c r="CI6" i="50"/>
  <c r="CI6" i="51"/>
  <c r="CI6" i="39"/>
  <c r="CI5" i="43"/>
  <c r="CI3" i="44"/>
  <c r="CI7" i="38"/>
  <c r="CH3" i="35"/>
  <c r="CH4" i="34"/>
  <c r="CH4" i="45"/>
  <c r="CH3" i="32"/>
  <c r="CH3" i="31"/>
  <c r="CH5" i="28"/>
  <c r="CH5" i="42"/>
  <c r="CH5" i="27"/>
  <c r="CH4" i="24"/>
  <c r="CH5" i="23"/>
  <c r="CH5" i="20"/>
  <c r="CH5" i="19"/>
  <c r="CH7" i="18"/>
  <c r="CH5" i="41"/>
  <c r="CI5" i="10"/>
  <c r="CH3" i="40"/>
  <c r="CH4" i="7"/>
  <c r="CH5" i="11"/>
  <c r="CH4" i="5"/>
  <c r="CH6" i="17"/>
  <c r="CH4" i="15"/>
  <c r="CH6" i="16"/>
  <c r="CH4" i="26"/>
  <c r="CH6" i="25"/>
  <c r="CH6" i="12"/>
  <c r="CI6" i="36"/>
  <c r="CJ6" i="36"/>
  <c r="CK6" i="36"/>
  <c r="CL6" i="36"/>
  <c r="CM6" i="36"/>
  <c r="CN6" i="36"/>
  <c r="CH6" i="36"/>
  <c r="CH5" i="14"/>
  <c r="CA12" i="14"/>
  <c r="CE12" i="14"/>
  <c r="CI5" i="14"/>
  <c r="CJ5" i="14"/>
  <c r="CK5" i="14"/>
  <c r="CL5" i="14"/>
  <c r="CF29" i="1"/>
  <c r="CG29" i="1"/>
  <c r="CH29" i="1"/>
  <c r="CI29" i="1"/>
  <c r="CF111" i="1"/>
  <c r="CG111" i="1"/>
  <c r="CH111" i="1"/>
  <c r="CI111" i="1"/>
  <c r="CF110" i="1"/>
  <c r="CG110" i="1"/>
  <c r="CH110" i="1"/>
  <c r="CI110" i="1"/>
  <c r="CF109" i="1"/>
  <c r="CG109" i="1"/>
  <c r="CH109" i="1"/>
  <c r="CI109" i="1"/>
  <c r="CF87" i="1"/>
  <c r="CF88" i="1" s="1"/>
  <c r="CG87" i="1"/>
  <c r="CG88" i="1" s="1"/>
  <c r="CH87" i="1"/>
  <c r="CH88" i="1" s="1"/>
  <c r="CF66" i="1"/>
  <c r="CG66" i="1"/>
  <c r="CH66" i="1"/>
  <c r="CI66" i="1"/>
  <c r="CF41" i="1"/>
  <c r="CG41" i="1"/>
  <c r="CH41" i="1"/>
  <c r="CI41" i="1"/>
  <c r="CF10" i="1"/>
  <c r="CG10" i="1"/>
  <c r="CH10" i="1"/>
  <c r="CI10" i="1"/>
  <c r="CG30" i="1"/>
  <c r="CH30" i="1"/>
  <c r="CI30" i="1"/>
  <c r="CF105" i="1"/>
  <c r="CG105" i="1"/>
  <c r="CH105" i="1"/>
  <c r="CI105" i="1"/>
  <c r="CF106" i="1"/>
  <c r="CF107" i="1" s="1"/>
  <c r="CG106" i="1"/>
  <c r="CG107" i="1" s="1"/>
  <c r="CH106" i="1"/>
  <c r="CH107" i="1" s="1"/>
  <c r="CG34" i="1"/>
  <c r="CH34" i="1"/>
  <c r="CI34" i="1"/>
  <c r="EC48" i="22" l="1"/>
  <c r="ED65" i="22"/>
  <c r="ED53" i="22"/>
  <c r="EB62" i="22"/>
  <c r="AY62" i="22" s="1"/>
  <c r="EF82" i="22"/>
  <c r="BC82" i="22" s="1"/>
  <c r="EB65" i="22"/>
  <c r="EC53" i="22"/>
  <c r="EE82" i="22"/>
  <c r="EF48" i="22"/>
  <c r="BC48" i="22" s="1"/>
  <c r="EA65" i="22"/>
  <c r="DY65" i="22"/>
  <c r="EE48" i="22"/>
  <c r="EB82" i="22"/>
  <c r="EF65" i="22"/>
  <c r="BC65" i="22" s="1"/>
  <c r="ED82" i="22"/>
  <c r="EC82" i="22"/>
  <c r="DX65" i="22"/>
  <c r="ED48" i="22"/>
  <c r="EE65" i="22"/>
  <c r="EB53" i="22"/>
  <c r="DZ65" i="22"/>
  <c r="EF53" i="22"/>
  <c r="BC53" i="22" s="1"/>
  <c r="EE53" i="22"/>
  <c r="EB48" i="22"/>
  <c r="EC65" i="22"/>
  <c r="AT70" i="22"/>
  <c r="AV54" i="22"/>
  <c r="AV59" i="22"/>
  <c r="AT54" i="22"/>
  <c r="AV60" i="22"/>
  <c r="AT55" i="22"/>
  <c r="AT77" i="22"/>
  <c r="AT69" i="22"/>
  <c r="AT57" i="22"/>
  <c r="AT63" i="22"/>
  <c r="AV76" i="22"/>
  <c r="AT71" i="22"/>
  <c r="AV68" i="22"/>
  <c r="AT73" i="22"/>
  <c r="AV70" i="22"/>
  <c r="AT61" i="22"/>
  <c r="AT76" i="22"/>
  <c r="AT68" i="22"/>
  <c r="AV52" i="22"/>
  <c r="AT52" i="22"/>
  <c r="AV73" i="22"/>
  <c r="AV75" i="22"/>
  <c r="AT60" i="22"/>
  <c r="AV51" i="22"/>
  <c r="AV74" i="22"/>
  <c r="AV57" i="22"/>
  <c r="AV58" i="22"/>
  <c r="AV77" i="22"/>
  <c r="AT72" i="22"/>
  <c r="AV69" i="22"/>
  <c r="AT64" i="22"/>
  <c r="AV61" i="22"/>
  <c r="AT56" i="22"/>
  <c r="AT74" i="22"/>
  <c r="AV71" i="22"/>
  <c r="AV63" i="22"/>
  <c r="AT58" i="22"/>
  <c r="AV55" i="22"/>
  <c r="AT75" i="22"/>
  <c r="AV72" i="22"/>
  <c r="AV64" i="22"/>
  <c r="AT59" i="22"/>
  <c r="AV56" i="22"/>
  <c r="AT51" i="22"/>
  <c r="CF84" i="1"/>
  <c r="CG84" i="1"/>
  <c r="CH84" i="1"/>
  <c r="CI84" i="1"/>
  <c r="CF82" i="1"/>
  <c r="CG82" i="1"/>
  <c r="CH82" i="1"/>
  <c r="CI82" i="1"/>
  <c r="CF71" i="1"/>
  <c r="CG71" i="1"/>
  <c r="CH71" i="1"/>
  <c r="CI71" i="1"/>
  <c r="CF47" i="1"/>
  <c r="CG47" i="1"/>
  <c r="CH47" i="1"/>
  <c r="CF25" i="1"/>
  <c r="CG25" i="1"/>
  <c r="CH25" i="1"/>
  <c r="CF21" i="1"/>
  <c r="CG21" i="1"/>
  <c r="CH21" i="1"/>
  <c r="BA82" i="22" l="1"/>
  <c r="BA53" i="22"/>
  <c r="BA48" i="22"/>
  <c r="BA65" i="22"/>
  <c r="AX65" i="22"/>
  <c r="BB65" i="22"/>
  <c r="BB53" i="22"/>
  <c r="AZ48" i="22"/>
  <c r="AY48" i="22"/>
  <c r="BB82" i="22"/>
  <c r="AV65" i="22"/>
  <c r="AY65" i="22"/>
  <c r="AW65" i="22"/>
  <c r="AZ82" i="22"/>
  <c r="AZ65" i="22"/>
  <c r="AY82" i="22"/>
  <c r="BB48" i="22"/>
  <c r="AY53" i="22"/>
  <c r="EA62" i="22"/>
  <c r="AX62" i="22" s="1"/>
  <c r="EA48" i="22"/>
  <c r="AX48" i="22" s="1"/>
  <c r="DY48" i="22"/>
  <c r="AZ53" i="22"/>
  <c r="DX48" i="22"/>
  <c r="AT65" i="22"/>
  <c r="DZ53" i="22"/>
  <c r="DY53" i="22"/>
  <c r="DY62" i="22"/>
  <c r="DZ62" i="22"/>
  <c r="DX53" i="22"/>
  <c r="DX62" i="22"/>
  <c r="EA53" i="22"/>
  <c r="AX53" i="22" s="1"/>
  <c r="DZ48" i="22"/>
  <c r="CF30" i="1"/>
  <c r="CF34" i="1"/>
  <c r="CE4" i="30"/>
  <c r="CF4" i="30"/>
  <c r="CG4" i="30"/>
  <c r="CH4" i="30"/>
  <c r="BZ17" i="29"/>
  <c r="BB17" i="29"/>
  <c r="CE4" i="57"/>
  <c r="CF4" i="57"/>
  <c r="CG4" i="57"/>
  <c r="CH4" i="57"/>
  <c r="CI4" i="57"/>
  <c r="CJ4" i="57"/>
  <c r="CK4" i="57"/>
  <c r="CL4" i="57"/>
  <c r="CI6" i="29"/>
  <c r="CJ6" i="29"/>
  <c r="CH6" i="29"/>
  <c r="CE6" i="29"/>
  <c r="CF6" i="29"/>
  <c r="CG6" i="29"/>
  <c r="CF67" i="1"/>
  <c r="CG67" i="1"/>
  <c r="CH67" i="1"/>
  <c r="CI67" i="1"/>
  <c r="CF116" i="1"/>
  <c r="CG116" i="1"/>
  <c r="CH116" i="1"/>
  <c r="CI116" i="1"/>
  <c r="CF56" i="1"/>
  <c r="CG56" i="1"/>
  <c r="CH56" i="1"/>
  <c r="CI56" i="1"/>
  <c r="CF6" i="1"/>
  <c r="CG6" i="1"/>
  <c r="CH6" i="1"/>
  <c r="CI6" i="1"/>
  <c r="CI91" i="1"/>
  <c r="CG4" i="1"/>
  <c r="CH4" i="1"/>
  <c r="CI4" i="1"/>
  <c r="CF91" i="1"/>
  <c r="CG91" i="1"/>
  <c r="CH91" i="1"/>
  <c r="DW51" i="22"/>
  <c r="AS51" i="22" s="1"/>
  <c r="DW52" i="22"/>
  <c r="AS52" i="22" s="1"/>
  <c r="AS54" i="22"/>
  <c r="DW55" i="22"/>
  <c r="AS55" i="22" s="1"/>
  <c r="DW56" i="22"/>
  <c r="AS56" i="22" s="1"/>
  <c r="DW57" i="22"/>
  <c r="AS57" i="22" s="1"/>
  <c r="DW58" i="22"/>
  <c r="AS58" i="22" s="1"/>
  <c r="DW59" i="22"/>
  <c r="AS59" i="22" s="1"/>
  <c r="DW60" i="22"/>
  <c r="AS60" i="22" s="1"/>
  <c r="DW61" i="22"/>
  <c r="AS61" i="22" s="1"/>
  <c r="DW63" i="22"/>
  <c r="AS63" i="22" s="1"/>
  <c r="DW64" i="22"/>
  <c r="AS64" i="22" s="1"/>
  <c r="DW68" i="22"/>
  <c r="AS68" i="22" s="1"/>
  <c r="DW69" i="22"/>
  <c r="AS69" i="22" s="1"/>
  <c r="DW70" i="22"/>
  <c r="AS70" i="22" s="1"/>
  <c r="DW71" i="22"/>
  <c r="AS71" i="22" s="1"/>
  <c r="DW72" i="22"/>
  <c r="AS72" i="22" s="1"/>
  <c r="DW73" i="22"/>
  <c r="AS73" i="22" s="1"/>
  <c r="DW74" i="22"/>
  <c r="AS74" i="22" s="1"/>
  <c r="DW75" i="22"/>
  <c r="AS75" i="22" s="1"/>
  <c r="DW76" i="22"/>
  <c r="AS76" i="22" s="1"/>
  <c r="DW77" i="22"/>
  <c r="AS77" i="22" s="1"/>
  <c r="AR49" i="22"/>
  <c r="CE33" i="1"/>
  <c r="CF4" i="1"/>
  <c r="CC4" i="1"/>
  <c r="CD4" i="1"/>
  <c r="CE4" i="1"/>
  <c r="CB4" i="1"/>
  <c r="CD6" i="13"/>
  <c r="AT48" i="22" l="1"/>
  <c r="AW48" i="22"/>
  <c r="AV62" i="22"/>
  <c r="AV53" i="22"/>
  <c r="AT53" i="22"/>
  <c r="AT62" i="22"/>
  <c r="AW53" i="22"/>
  <c r="AV48" i="22"/>
  <c r="AW62" i="22"/>
  <c r="DX82" i="22"/>
  <c r="DZ82" i="22"/>
  <c r="DY82" i="22"/>
  <c r="EA82" i="22"/>
  <c r="AX82" i="22" s="1"/>
  <c r="CG14" i="88"/>
  <c r="AT82" i="22" l="1"/>
  <c r="AW82" i="22"/>
  <c r="AV82" i="22"/>
  <c r="BA14" i="88"/>
  <c r="AX14" i="88"/>
  <c r="AR14" i="88"/>
  <c r="AO14" i="88"/>
  <c r="AM14" i="88"/>
  <c r="AL14" i="88"/>
  <c r="AJ14" i="88"/>
  <c r="AA14" i="88"/>
  <c r="Z14" i="88"/>
  <c r="Y14" i="88"/>
  <c r="W14" i="88"/>
  <c r="E10" i="88"/>
  <c r="F10" i="88" s="1"/>
  <c r="CE6" i="88"/>
  <c r="E2" i="88"/>
  <c r="CK6" i="13" l="1"/>
  <c r="CL6" i="13"/>
  <c r="CM6" i="13"/>
  <c r="CN6" i="13"/>
  <c r="CO6" i="13"/>
  <c r="CP6" i="13"/>
  <c r="CI6" i="13"/>
  <c r="CJ6" i="13"/>
  <c r="DV51" i="22"/>
  <c r="AR51" i="22" s="1"/>
  <c r="DV52" i="22"/>
  <c r="AR52" i="22" s="1"/>
  <c r="DV54" i="22"/>
  <c r="AR54" i="22" s="1"/>
  <c r="DV55" i="22"/>
  <c r="AR55" i="22" s="1"/>
  <c r="DV56" i="22"/>
  <c r="AR56" i="22" s="1"/>
  <c r="DV57" i="22"/>
  <c r="AR57" i="22" s="1"/>
  <c r="DV58" i="22"/>
  <c r="AR58" i="22" s="1"/>
  <c r="DV59" i="22"/>
  <c r="AR59" i="22" s="1"/>
  <c r="DV60" i="22"/>
  <c r="AR60" i="22" s="1"/>
  <c r="DV61" i="22"/>
  <c r="AR61" i="22" s="1"/>
  <c r="DV63" i="22"/>
  <c r="AR63" i="22" s="1"/>
  <c r="DV64" i="22"/>
  <c r="AR64" i="22" s="1"/>
  <c r="DV68" i="22"/>
  <c r="AR68" i="22" s="1"/>
  <c r="DV69" i="22"/>
  <c r="AR69" i="22" s="1"/>
  <c r="DV70" i="22"/>
  <c r="AR70" i="22" s="1"/>
  <c r="DV71" i="22"/>
  <c r="AR71" i="22" s="1"/>
  <c r="DV72" i="22"/>
  <c r="AR72" i="22" s="1"/>
  <c r="DV73" i="22"/>
  <c r="AR73" i="22" s="1"/>
  <c r="DV74" i="22"/>
  <c r="AR74" i="22" s="1"/>
  <c r="DV75" i="22"/>
  <c r="AR75" i="22" s="1"/>
  <c r="DV76" i="22"/>
  <c r="AR76" i="22" s="1"/>
  <c r="DV77" i="22"/>
  <c r="AR77" i="22" s="1"/>
  <c r="AQ49" i="22"/>
  <c r="CD30" i="1"/>
  <c r="CE30" i="1"/>
  <c r="CD33" i="1"/>
  <c r="CD84" i="1"/>
  <c r="CE84" i="1"/>
  <c r="CD82" i="1"/>
  <c r="CE82" i="1"/>
  <c r="I14" i="87"/>
  <c r="O14" i="87"/>
  <c r="P14" i="87"/>
  <c r="Q14" i="87"/>
  <c r="AC14" i="87"/>
  <c r="AA14" i="87"/>
  <c r="Z14" i="87"/>
  <c r="Y14" i="87"/>
  <c r="R14" i="87"/>
  <c r="AW14" i="87"/>
  <c r="BV14" i="87"/>
  <c r="DV48" i="22" l="1"/>
  <c r="DW62" i="22"/>
  <c r="AS62" i="22" s="1"/>
  <c r="DV62" i="22"/>
  <c r="DW48" i="22"/>
  <c r="AS48" i="22" s="1"/>
  <c r="E11" i="87"/>
  <c r="CK6" i="87"/>
  <c r="CJ6" i="87"/>
  <c r="CI6" i="87"/>
  <c r="CH6" i="87"/>
  <c r="CG6" i="87"/>
  <c r="CF6" i="87"/>
  <c r="CE6" i="87"/>
  <c r="E2" i="87"/>
  <c r="CC110" i="1"/>
  <c r="CC106" i="1"/>
  <c r="F11" i="87" l="1"/>
  <c r="AR62" i="22"/>
  <c r="AR48" i="22"/>
  <c r="CF6" i="85"/>
  <c r="CG6" i="85"/>
  <c r="CH6" i="85"/>
  <c r="CI6" i="85"/>
  <c r="CD8" i="40"/>
  <c r="CE8" i="40"/>
  <c r="CF8" i="40"/>
  <c r="CG8" i="40"/>
  <c r="CB66" i="1"/>
  <c r="CC66" i="1"/>
  <c r="CD66" i="1"/>
  <c r="CE66" i="1"/>
  <c r="CC87" i="1"/>
  <c r="CC88" i="1" s="1"/>
  <c r="CD87" i="1"/>
  <c r="CD88" i="1" s="1"/>
  <c r="CE87" i="1"/>
  <c r="CE88" i="1" s="1"/>
  <c r="CB87" i="1"/>
  <c r="CB88" i="1" s="1"/>
  <c r="CB111" i="1"/>
  <c r="CC111" i="1"/>
  <c r="CD111" i="1"/>
  <c r="CE111" i="1"/>
  <c r="CB110" i="1"/>
  <c r="CD110" i="1"/>
  <c r="CE110" i="1"/>
  <c r="CB109" i="1"/>
  <c r="CC109" i="1"/>
  <c r="CD109" i="1"/>
  <c r="CE109" i="1"/>
  <c r="CB106" i="1"/>
  <c r="CB107" i="1" s="1"/>
  <c r="CC107" i="1"/>
  <c r="CD106" i="1"/>
  <c r="CD107" i="1" s="1"/>
  <c r="CE106" i="1"/>
  <c r="CE107" i="1" s="1"/>
  <c r="CA105" i="1"/>
  <c r="CB105" i="1"/>
  <c r="CC105" i="1"/>
  <c r="CD105" i="1"/>
  <c r="CE105" i="1"/>
  <c r="CB41" i="1"/>
  <c r="CC41" i="1"/>
  <c r="CD41" i="1"/>
  <c r="CE41" i="1"/>
  <c r="CB34" i="1"/>
  <c r="CC34" i="1"/>
  <c r="CD34" i="1"/>
  <c r="CE34" i="1"/>
  <c r="CB33" i="1"/>
  <c r="CC33" i="1"/>
  <c r="CB10" i="1"/>
  <c r="CC10" i="1"/>
  <c r="CD10" i="1"/>
  <c r="CE10" i="1"/>
  <c r="CB30" i="1"/>
  <c r="CC30" i="1"/>
  <c r="CD29" i="1"/>
  <c r="CE29" i="1"/>
  <c r="CB29" i="1"/>
  <c r="CC29" i="1"/>
  <c r="CB84" i="1"/>
  <c r="CC84" i="1"/>
  <c r="CB82" i="1"/>
  <c r="CC82" i="1"/>
  <c r="CB71" i="1"/>
  <c r="CC71" i="1"/>
  <c r="CD71" i="1"/>
  <c r="CE71" i="1"/>
  <c r="CB21" i="1"/>
  <c r="CC21" i="1"/>
  <c r="CD21" i="1"/>
  <c r="CE21" i="1"/>
  <c r="CB47" i="1"/>
  <c r="CC47" i="1"/>
  <c r="CD47" i="1"/>
  <c r="CE47" i="1"/>
  <c r="CB25" i="1"/>
  <c r="CC25" i="1"/>
  <c r="CD25" i="1"/>
  <c r="CE25" i="1"/>
  <c r="DW53" i="22" l="1"/>
  <c r="AS53" i="22" s="1"/>
  <c r="DV53" i="22"/>
  <c r="DW65" i="22"/>
  <c r="AS65" i="22" s="1"/>
  <c r="DV65" i="22"/>
  <c r="AO49" i="22"/>
  <c r="AP49" i="22"/>
  <c r="DT48" i="22"/>
  <c r="DU48" i="22"/>
  <c r="AQ48" i="22" s="1"/>
  <c r="DT51" i="22"/>
  <c r="DU51" i="22"/>
  <c r="AQ51" i="22" s="1"/>
  <c r="DT52" i="22"/>
  <c r="DU52" i="22"/>
  <c r="AQ52" i="22" s="1"/>
  <c r="DT53" i="22"/>
  <c r="DU53" i="22"/>
  <c r="DT54" i="22"/>
  <c r="DU54" i="22"/>
  <c r="AQ54" i="22" s="1"/>
  <c r="DT55" i="22"/>
  <c r="DU55" i="22"/>
  <c r="AQ55" i="22" s="1"/>
  <c r="DT56" i="22"/>
  <c r="DU56" i="22"/>
  <c r="AQ56" i="22" s="1"/>
  <c r="DT57" i="22"/>
  <c r="DU57" i="22"/>
  <c r="AQ57" i="22" s="1"/>
  <c r="DT58" i="22"/>
  <c r="DU58" i="22"/>
  <c r="AQ58" i="22" s="1"/>
  <c r="DT59" i="22"/>
  <c r="DU59" i="22"/>
  <c r="AQ59" i="22" s="1"/>
  <c r="DT60" i="22"/>
  <c r="DU60" i="22"/>
  <c r="AQ60" i="22" s="1"/>
  <c r="DT61" i="22"/>
  <c r="DU61" i="22"/>
  <c r="AQ61" i="22" s="1"/>
  <c r="DT62" i="22"/>
  <c r="DU62" i="22"/>
  <c r="AQ62" i="22" s="1"/>
  <c r="DT63" i="22"/>
  <c r="DU63" i="22"/>
  <c r="AQ63" i="22" s="1"/>
  <c r="DT64" i="22"/>
  <c r="DU64" i="22"/>
  <c r="AQ64" i="22" s="1"/>
  <c r="DT65" i="22"/>
  <c r="DU65" i="22"/>
  <c r="DT68" i="22"/>
  <c r="DU68" i="22"/>
  <c r="AQ68" i="22" s="1"/>
  <c r="DT69" i="22"/>
  <c r="DU69" i="22"/>
  <c r="AQ69" i="22" s="1"/>
  <c r="DT70" i="22"/>
  <c r="DU70" i="22"/>
  <c r="AQ70" i="22" s="1"/>
  <c r="DT71" i="22"/>
  <c r="DU71" i="22"/>
  <c r="AQ71" i="22" s="1"/>
  <c r="DT72" i="22"/>
  <c r="DU72" i="22"/>
  <c r="AQ72" i="22" s="1"/>
  <c r="DT73" i="22"/>
  <c r="DU73" i="22"/>
  <c r="AQ73" i="22" s="1"/>
  <c r="DT74" i="22"/>
  <c r="DU74" i="22"/>
  <c r="AQ74" i="22" s="1"/>
  <c r="DT75" i="22"/>
  <c r="DU75" i="22"/>
  <c r="AQ75" i="22" s="1"/>
  <c r="DT76" i="22"/>
  <c r="DU76" i="22"/>
  <c r="AQ76" i="22" s="1"/>
  <c r="DT77" i="22"/>
  <c r="DU77" i="22"/>
  <c r="AQ77" i="22" s="1"/>
  <c r="CB67" i="1"/>
  <c r="CC67" i="1"/>
  <c r="CD67" i="1"/>
  <c r="CE67" i="1"/>
  <c r="CB56" i="1"/>
  <c r="CC56" i="1"/>
  <c r="CD56" i="1"/>
  <c r="CE56" i="1"/>
  <c r="CB116" i="1"/>
  <c r="CC116" i="1"/>
  <c r="CD116" i="1"/>
  <c r="CE116" i="1"/>
  <c r="CB91" i="1"/>
  <c r="CC91" i="1"/>
  <c r="CD91" i="1"/>
  <c r="CE91" i="1"/>
  <c r="CB6" i="1"/>
  <c r="CC6" i="1"/>
  <c r="CD6" i="1"/>
  <c r="CE6" i="1"/>
  <c r="CE6" i="85"/>
  <c r="CE6" i="82"/>
  <c r="CE6" i="81"/>
  <c r="CE6" i="80"/>
  <c r="CE6" i="79"/>
  <c r="CE6" i="77"/>
  <c r="CE6" i="76"/>
  <c r="CE6" i="75"/>
  <c r="CE6" i="74"/>
  <c r="CE6" i="73"/>
  <c r="CE6" i="70"/>
  <c r="CE6" i="67"/>
  <c r="CE6" i="66"/>
  <c r="CE6" i="63"/>
  <c r="CE6" i="62"/>
  <c r="CE6" i="61"/>
  <c r="CE6" i="60"/>
  <c r="CE6" i="58"/>
  <c r="CE6" i="48"/>
  <c r="CE6" i="52"/>
  <c r="CE6" i="54"/>
  <c r="CE6" i="55"/>
  <c r="CE6" i="46"/>
  <c r="CE6" i="49"/>
  <c r="CE6" i="50"/>
  <c r="CE6" i="51"/>
  <c r="CE6" i="39"/>
  <c r="CE5" i="43"/>
  <c r="CE3" i="44"/>
  <c r="CE7" i="38"/>
  <c r="CD3" i="35"/>
  <c r="CD4" i="34"/>
  <c r="CD4" i="45"/>
  <c r="CD3" i="32"/>
  <c r="CD3" i="31"/>
  <c r="CD6" i="29"/>
  <c r="CD4" i="57"/>
  <c r="CD4" i="30"/>
  <c r="CD5" i="28"/>
  <c r="CD5" i="42"/>
  <c r="CD5" i="27"/>
  <c r="CD4" i="24"/>
  <c r="CD5" i="23"/>
  <c r="CD5" i="20"/>
  <c r="CD5" i="19"/>
  <c r="CD7" i="18"/>
  <c r="CD5" i="41"/>
  <c r="CE5" i="10"/>
  <c r="CF5" i="10"/>
  <c r="CG5" i="10"/>
  <c r="CH5" i="10"/>
  <c r="CJ5" i="10"/>
  <c r="CD5" i="10"/>
  <c r="CD3" i="40"/>
  <c r="CD3" i="2"/>
  <c r="CD4" i="7"/>
  <c r="CD5" i="11"/>
  <c r="CD4" i="5"/>
  <c r="CD6" i="17"/>
  <c r="CD4" i="15"/>
  <c r="CD6" i="16"/>
  <c r="CD4" i="26"/>
  <c r="CD6" i="25"/>
  <c r="CD6" i="12"/>
  <c r="CD6" i="36"/>
  <c r="CD5" i="14"/>
  <c r="CE6" i="13"/>
  <c r="CF6" i="13"/>
  <c r="CG6" i="13"/>
  <c r="CE6" i="86"/>
  <c r="CF6" i="86"/>
  <c r="CG6" i="86"/>
  <c r="CH6" i="86"/>
  <c r="CI6" i="86"/>
  <c r="CJ6" i="86"/>
  <c r="CK6" i="86"/>
  <c r="DR51" i="22"/>
  <c r="DS51" i="22"/>
  <c r="DR52" i="22"/>
  <c r="DS52" i="22"/>
  <c r="DR54" i="22"/>
  <c r="DS54" i="22"/>
  <c r="DR55" i="22"/>
  <c r="DS55" i="22"/>
  <c r="DR56" i="22"/>
  <c r="DS56" i="22"/>
  <c r="DR57" i="22"/>
  <c r="DS57" i="22"/>
  <c r="DR58" i="22"/>
  <c r="DS58" i="22"/>
  <c r="DR59" i="22"/>
  <c r="DS59" i="22"/>
  <c r="DR60" i="22"/>
  <c r="DS60" i="22"/>
  <c r="DR61" i="22"/>
  <c r="DS61" i="22"/>
  <c r="DR63" i="22"/>
  <c r="DS63" i="22"/>
  <c r="DR64" i="22"/>
  <c r="DS64" i="22"/>
  <c r="DR68" i="22"/>
  <c r="DS68" i="22"/>
  <c r="DR69" i="22"/>
  <c r="DS69" i="22"/>
  <c r="DR70" i="22"/>
  <c r="DS70" i="22"/>
  <c r="DR71" i="22"/>
  <c r="DS71" i="22"/>
  <c r="DR72" i="22"/>
  <c r="DS72" i="22"/>
  <c r="DR73" i="22"/>
  <c r="DS73" i="22"/>
  <c r="DR74" i="22"/>
  <c r="DS74" i="22"/>
  <c r="DR75" i="22"/>
  <c r="DS75" i="22"/>
  <c r="DR76" i="22"/>
  <c r="DS76" i="22"/>
  <c r="DR77" i="22"/>
  <c r="DS77" i="22"/>
  <c r="AM49" i="22"/>
  <c r="AN49" i="22"/>
  <c r="BZ88" i="1"/>
  <c r="CA88" i="1"/>
  <c r="BZ66" i="1"/>
  <c r="CA66" i="1"/>
  <c r="CA41" i="1"/>
  <c r="CA34" i="1"/>
  <c r="CA33" i="1"/>
  <c r="CA82" i="1"/>
  <c r="BZ41" i="1"/>
  <c r="BZ34" i="1"/>
  <c r="BZ33" i="1"/>
  <c r="BZ30" i="1"/>
  <c r="CA30" i="1"/>
  <c r="BZ29" i="1"/>
  <c r="CA29" i="1"/>
  <c r="BZ10" i="1"/>
  <c r="CA10" i="1"/>
  <c r="BZ105" i="1"/>
  <c r="BZ106" i="1"/>
  <c r="BZ107" i="1" s="1"/>
  <c r="CA106" i="1"/>
  <c r="CA107" i="1" s="1"/>
  <c r="BZ109" i="1"/>
  <c r="CA109" i="1"/>
  <c r="BZ110" i="1"/>
  <c r="CA110" i="1"/>
  <c r="BZ111" i="1"/>
  <c r="CA111" i="1"/>
  <c r="BZ116" i="1"/>
  <c r="CA116" i="1"/>
  <c r="BZ91" i="1"/>
  <c r="CA91" i="1"/>
  <c r="BZ67" i="1"/>
  <c r="CA67" i="1"/>
  <c r="BZ56" i="1"/>
  <c r="CA56" i="1"/>
  <c r="BZ6" i="1"/>
  <c r="CA6" i="1"/>
  <c r="AR53" i="22" l="1"/>
  <c r="AQ53" i="22"/>
  <c r="AR65" i="22"/>
  <c r="DR65" i="22"/>
  <c r="DT82" i="22"/>
  <c r="DS48" i="22"/>
  <c r="AO48" i="22" s="1"/>
  <c r="DW82" i="22"/>
  <c r="AS82" i="22" s="1"/>
  <c r="DV82" i="22"/>
  <c r="AQ65" i="22"/>
  <c r="DS82" i="22"/>
  <c r="DU82" i="22"/>
  <c r="DR82" i="22"/>
  <c r="DS65" i="22"/>
  <c r="AO65" i="22" s="1"/>
  <c r="AO54" i="22"/>
  <c r="AP76" i="22"/>
  <c r="AP68" i="22"/>
  <c r="AP62" i="22"/>
  <c r="AP54" i="22"/>
  <c r="AO70" i="22"/>
  <c r="AO56" i="22"/>
  <c r="AP63" i="22"/>
  <c r="AP59" i="22"/>
  <c r="AP55" i="22"/>
  <c r="AP51" i="22"/>
  <c r="AN56" i="22"/>
  <c r="AP75" i="22"/>
  <c r="AP65" i="22"/>
  <c r="AO61" i="22"/>
  <c r="AO55" i="22"/>
  <c r="AP70" i="22"/>
  <c r="AO77" i="22"/>
  <c r="AO73" i="22"/>
  <c r="AO69" i="22"/>
  <c r="AP58" i="22"/>
  <c r="AP74" i="22"/>
  <c r="AP64" i="22"/>
  <c r="AP56" i="22"/>
  <c r="AP52" i="22"/>
  <c r="AO71" i="22"/>
  <c r="AO63" i="22"/>
  <c r="AN61" i="22"/>
  <c r="AN57" i="22"/>
  <c r="AO58" i="22"/>
  <c r="AN68" i="22"/>
  <c r="AN60" i="22"/>
  <c r="AO51" i="22"/>
  <c r="AP72" i="22"/>
  <c r="AO72" i="22"/>
  <c r="AO76" i="22"/>
  <c r="AO75" i="22"/>
  <c r="AO74" i="22"/>
  <c r="AP57" i="22"/>
  <c r="AO52" i="22"/>
  <c r="AP71" i="22"/>
  <c r="AP53" i="22"/>
  <c r="AP60" i="22"/>
  <c r="AO59" i="22"/>
  <c r="AP48" i="22"/>
  <c r="AN64" i="22"/>
  <c r="AO64" i="22"/>
  <c r="AP73" i="22"/>
  <c r="AP61" i="22"/>
  <c r="AN77" i="22"/>
  <c r="AN52" i="22"/>
  <c r="AO68" i="22"/>
  <c r="AO60" i="22"/>
  <c r="AP69" i="22"/>
  <c r="AO57" i="22"/>
  <c r="AP77" i="22"/>
  <c r="AN72" i="22"/>
  <c r="AN51" i="22"/>
  <c r="AN76" i="22"/>
  <c r="AN73" i="22"/>
  <c r="AN69" i="22"/>
  <c r="AN75" i="22"/>
  <c r="AN71" i="22"/>
  <c r="AN63" i="22"/>
  <c r="AN59" i="22"/>
  <c r="AN55" i="22"/>
  <c r="AN74" i="22"/>
  <c r="AN70" i="22"/>
  <c r="AN58" i="22"/>
  <c r="AN54" i="22"/>
  <c r="BZ84" i="1"/>
  <c r="CA84" i="1"/>
  <c r="BZ71" i="1"/>
  <c r="CA71" i="1"/>
  <c r="BZ82" i="1"/>
  <c r="BZ47" i="1"/>
  <c r="CA47" i="1"/>
  <c r="CA21" i="1"/>
  <c r="BZ25" i="1"/>
  <c r="CA25" i="1"/>
  <c r="BZ21" i="1"/>
  <c r="AC14" i="86"/>
  <c r="AQ82" i="22" l="1"/>
  <c r="AN82" i="22"/>
  <c r="AP82" i="22"/>
  <c r="DR48" i="22"/>
  <c r="AN48" i="22" s="1"/>
  <c r="DS53" i="22"/>
  <c r="AO53" i="22" s="1"/>
  <c r="DR53" i="22"/>
  <c r="AO82" i="22"/>
  <c r="AR82" i="22"/>
  <c r="AN65" i="22"/>
  <c r="DS62" i="22"/>
  <c r="AO62" i="22" s="1"/>
  <c r="DR62" i="22"/>
  <c r="E12" i="86"/>
  <c r="E11" i="86"/>
  <c r="F11" i="86" s="1"/>
  <c r="E2" i="86"/>
  <c r="CA11" i="82"/>
  <c r="CB11" i="82"/>
  <c r="CC11" i="82"/>
  <c r="CD11" i="82"/>
  <c r="CE11" i="82"/>
  <c r="CF11" i="82"/>
  <c r="CG11" i="82"/>
  <c r="CH11" i="82"/>
  <c r="CB10" i="75"/>
  <c r="CC10" i="75"/>
  <c r="CD10" i="75"/>
  <c r="CE10" i="75"/>
  <c r="CF10" i="75"/>
  <c r="CG10" i="75"/>
  <c r="CH10" i="75"/>
  <c r="CC10" i="74"/>
  <c r="CD10" i="74"/>
  <c r="CE10" i="74"/>
  <c r="CF10" i="74"/>
  <c r="CG10" i="74"/>
  <c r="CH10" i="74"/>
  <c r="CA12" i="73"/>
  <c r="CB12" i="73"/>
  <c r="CC12" i="73"/>
  <c r="CD12" i="73"/>
  <c r="CE12" i="73"/>
  <c r="CF12" i="73"/>
  <c r="CG12" i="73"/>
  <c r="CH12" i="73"/>
  <c r="CA12" i="62"/>
  <c r="CB12" i="62"/>
  <c r="CC12" i="62"/>
  <c r="CD12" i="62"/>
  <c r="CE12" i="62"/>
  <c r="CF12" i="62"/>
  <c r="CG12" i="62"/>
  <c r="CH12" i="62"/>
  <c r="CA14" i="58"/>
  <c r="CB14" i="58"/>
  <c r="CC14" i="58"/>
  <c r="CD14" i="58"/>
  <c r="CE14" i="58"/>
  <c r="CF14" i="58"/>
  <c r="CG14" i="58"/>
  <c r="CH14" i="58"/>
  <c r="CA15" i="58"/>
  <c r="CB15" i="58"/>
  <c r="CC15" i="58"/>
  <c r="CD15" i="58"/>
  <c r="CE15" i="58"/>
  <c r="CF15" i="58"/>
  <c r="CG15" i="58"/>
  <c r="CH15" i="58"/>
  <c r="CA10" i="48"/>
  <c r="CB10" i="48"/>
  <c r="CC10" i="48"/>
  <c r="CD10" i="48"/>
  <c r="CE10" i="48"/>
  <c r="CF10" i="48"/>
  <c r="CG10" i="48"/>
  <c r="CH10" i="48"/>
  <c r="CA8" i="40"/>
  <c r="CB8" i="40"/>
  <c r="CC8" i="40"/>
  <c r="DP51" i="22"/>
  <c r="DQ51" i="22"/>
  <c r="AM51" i="22" s="1"/>
  <c r="DP52" i="22"/>
  <c r="DQ52" i="22"/>
  <c r="AM52" i="22" s="1"/>
  <c r="DP54" i="22"/>
  <c r="DQ54" i="22"/>
  <c r="AM54" i="22" s="1"/>
  <c r="DP55" i="22"/>
  <c r="DQ55" i="22"/>
  <c r="AM55" i="22" s="1"/>
  <c r="DP56" i="22"/>
  <c r="DQ56" i="22"/>
  <c r="AM56" i="22" s="1"/>
  <c r="DP57" i="22"/>
  <c r="DQ57" i="22"/>
  <c r="AM57" i="22" s="1"/>
  <c r="DP58" i="22"/>
  <c r="DQ58" i="22"/>
  <c r="AM58" i="22" s="1"/>
  <c r="DP59" i="22"/>
  <c r="DQ59" i="22"/>
  <c r="AM59" i="22" s="1"/>
  <c r="DP60" i="22"/>
  <c r="DQ60" i="22"/>
  <c r="AM60" i="22" s="1"/>
  <c r="DP61" i="22"/>
  <c r="DQ61" i="22"/>
  <c r="AM61" i="22" s="1"/>
  <c r="DP63" i="22"/>
  <c r="DQ63" i="22"/>
  <c r="AM63" i="22" s="1"/>
  <c r="DP64" i="22"/>
  <c r="DQ64" i="22"/>
  <c r="AM64" i="22" s="1"/>
  <c r="DP68" i="22"/>
  <c r="DQ68" i="22"/>
  <c r="AM68" i="22" s="1"/>
  <c r="DP69" i="22"/>
  <c r="DQ69" i="22"/>
  <c r="AM69" i="22" s="1"/>
  <c r="DP70" i="22"/>
  <c r="DQ70" i="22"/>
  <c r="AM70" i="22" s="1"/>
  <c r="DP71" i="22"/>
  <c r="DQ71" i="22"/>
  <c r="AM71" i="22" s="1"/>
  <c r="DP72" i="22"/>
  <c r="DQ72" i="22"/>
  <c r="AM72" i="22" s="1"/>
  <c r="DP73" i="22"/>
  <c r="DQ73" i="22"/>
  <c r="AM73" i="22" s="1"/>
  <c r="DP74" i="22"/>
  <c r="DQ74" i="22"/>
  <c r="AM74" i="22" s="1"/>
  <c r="DP75" i="22"/>
  <c r="DQ75" i="22"/>
  <c r="AM75" i="22" s="1"/>
  <c r="DP76" i="22"/>
  <c r="DQ76" i="22"/>
  <c r="AM76" i="22" s="1"/>
  <c r="DP77" i="22"/>
  <c r="DQ77" i="22"/>
  <c r="AM77" i="22" s="1"/>
  <c r="AL49" i="22"/>
  <c r="BX10" i="1"/>
  <c r="BY10" i="1"/>
  <c r="BX111" i="1"/>
  <c r="BY111" i="1"/>
  <c r="BX110" i="1"/>
  <c r="BY110" i="1"/>
  <c r="BX109" i="1"/>
  <c r="BY109" i="1"/>
  <c r="BX106" i="1"/>
  <c r="BX107" i="1" s="1"/>
  <c r="BY106" i="1"/>
  <c r="BY107" i="1" s="1"/>
  <c r="BX105" i="1"/>
  <c r="BY105" i="1"/>
  <c r="BX88" i="1"/>
  <c r="BY88" i="1"/>
  <c r="BX66" i="1"/>
  <c r="BY66" i="1"/>
  <c r="BX34" i="1"/>
  <c r="BY34" i="1"/>
  <c r="BY29" i="1"/>
  <c r="BX30" i="1"/>
  <c r="BY30" i="1"/>
  <c r="BX116" i="1"/>
  <c r="BY116" i="1"/>
  <c r="BX91" i="1"/>
  <c r="BY91" i="1"/>
  <c r="BX67" i="1"/>
  <c r="BY67" i="1"/>
  <c r="BX56" i="1"/>
  <c r="BY56" i="1"/>
  <c r="BX6" i="1"/>
  <c r="BY6" i="1"/>
  <c r="BX84" i="1"/>
  <c r="BY84" i="1"/>
  <c r="BX82" i="1"/>
  <c r="BY82" i="1"/>
  <c r="BX47" i="1"/>
  <c r="BY47" i="1"/>
  <c r="BX25" i="1"/>
  <c r="BY25" i="1"/>
  <c r="BX71" i="1"/>
  <c r="BY71" i="1"/>
  <c r="BX21" i="1"/>
  <c r="BY21" i="1"/>
  <c r="AN53" i="22" l="1"/>
  <c r="DP65" i="22"/>
  <c r="DP48" i="22"/>
  <c r="AN62" i="22"/>
  <c r="DQ48" i="22"/>
  <c r="AM48" i="22" s="1"/>
  <c r="DQ53" i="22"/>
  <c r="AM53" i="22" s="1"/>
  <c r="DQ62" i="22"/>
  <c r="AM62" i="22" s="1"/>
  <c r="DP53" i="22"/>
  <c r="DP62" i="22"/>
  <c r="DQ82" i="22"/>
  <c r="AM82" i="22" s="1"/>
  <c r="DP82" i="22"/>
  <c r="DQ65" i="22"/>
  <c r="AM65" i="22" s="1"/>
  <c r="F12" i="86"/>
  <c r="AL54" i="22"/>
  <c r="AL68" i="22"/>
  <c r="AL56" i="22"/>
  <c r="AL52" i="22"/>
  <c r="AL76" i="22"/>
  <c r="AL72" i="22"/>
  <c r="AL60" i="22"/>
  <c r="AL77" i="22"/>
  <c r="AL74" i="22"/>
  <c r="AL61" i="22"/>
  <c r="AL73" i="22"/>
  <c r="AL69" i="22"/>
  <c r="AL57" i="22"/>
  <c r="AL64" i="22"/>
  <c r="AL70" i="22"/>
  <c r="AL58" i="22"/>
  <c r="AL75" i="22"/>
  <c r="AL71" i="22"/>
  <c r="AL63" i="22"/>
  <c r="AL59" i="22"/>
  <c r="AL55" i="22"/>
  <c r="AL51" i="22"/>
  <c r="BZ11" i="82"/>
  <c r="BZ10" i="75"/>
  <c r="CA10" i="75"/>
  <c r="BZ10" i="74"/>
  <c r="CA10" i="74"/>
  <c r="CB10" i="74"/>
  <c r="BZ12" i="73"/>
  <c r="BZ12" i="62"/>
  <c r="BZ14" i="58"/>
  <c r="BZ15" i="58"/>
  <c r="BZ10" i="48"/>
  <c r="BY8" i="40"/>
  <c r="BZ8" i="40"/>
  <c r="DO51" i="22"/>
  <c r="AK51" i="22" s="1"/>
  <c r="DO52" i="22"/>
  <c r="AK52" i="22" s="1"/>
  <c r="DO54" i="22"/>
  <c r="AK54" i="22" s="1"/>
  <c r="DO55" i="22"/>
  <c r="AK55" i="22" s="1"/>
  <c r="DO56" i="22"/>
  <c r="AK56" i="22" s="1"/>
  <c r="DO57" i="22"/>
  <c r="AK57" i="22" s="1"/>
  <c r="DO58" i="22"/>
  <c r="AK58" i="22" s="1"/>
  <c r="DO59" i="22"/>
  <c r="AK59" i="22" s="1"/>
  <c r="DO60" i="22"/>
  <c r="AK60" i="22" s="1"/>
  <c r="DO61" i="22"/>
  <c r="AK61" i="22" s="1"/>
  <c r="DO63" i="22"/>
  <c r="AK63" i="22" s="1"/>
  <c r="DO64" i="22"/>
  <c r="AK64" i="22" s="1"/>
  <c r="DO68" i="22"/>
  <c r="AK68" i="22" s="1"/>
  <c r="DO69" i="22"/>
  <c r="AK69" i="22" s="1"/>
  <c r="DO70" i="22"/>
  <c r="AK70" i="22" s="1"/>
  <c r="DO71" i="22"/>
  <c r="AK71" i="22" s="1"/>
  <c r="DO72" i="22"/>
  <c r="AK72" i="22" s="1"/>
  <c r="DO73" i="22"/>
  <c r="AK73" i="22" s="1"/>
  <c r="DO74" i="22"/>
  <c r="AK74" i="22" s="1"/>
  <c r="DO75" i="22"/>
  <c r="AK75" i="22" s="1"/>
  <c r="DO76" i="22"/>
  <c r="AK76" i="22" s="1"/>
  <c r="DO77" i="22"/>
  <c r="AK77" i="22" s="1"/>
  <c r="AJ49" i="22"/>
  <c r="AK49" i="22"/>
  <c r="AL62" i="22" l="1"/>
  <c r="AL82" i="22"/>
  <c r="AL53" i="22"/>
  <c r="AL65" i="22"/>
  <c r="AL48" i="22"/>
  <c r="BY41" i="1"/>
  <c r="BX41" i="1"/>
  <c r="BY33" i="1"/>
  <c r="BX33" i="1"/>
  <c r="O14" i="85"/>
  <c r="E10" i="85"/>
  <c r="E2" i="85"/>
  <c r="F10" i="85" l="1"/>
  <c r="A118" i="84"/>
  <c r="A117" i="84"/>
  <c r="BW116" i="84"/>
  <c r="BV116" i="84"/>
  <c r="BU116" i="84"/>
  <c r="BT116" i="84"/>
  <c r="BS116" i="84"/>
  <c r="BR116" i="84"/>
  <c r="BQ116" i="84"/>
  <c r="BP116" i="84"/>
  <c r="BO116" i="84"/>
  <c r="BN116" i="84"/>
  <c r="BM116" i="84"/>
  <c r="BL116" i="84"/>
  <c r="BK116" i="84"/>
  <c r="BJ116" i="84"/>
  <c r="BI116" i="84"/>
  <c r="BH116" i="84"/>
  <c r="BG116" i="84"/>
  <c r="BF116" i="84"/>
  <c r="BE116" i="84"/>
  <c r="BD116" i="84"/>
  <c r="BC116" i="84"/>
  <c r="BB116" i="84"/>
  <c r="BA116" i="84"/>
  <c r="AZ116" i="84"/>
  <c r="AY116" i="84"/>
  <c r="AX116" i="84"/>
  <c r="AW116" i="84"/>
  <c r="AV116" i="84"/>
  <c r="AU116" i="84"/>
  <c r="AT116" i="84"/>
  <c r="AS116" i="84"/>
  <c r="AR116" i="84"/>
  <c r="AQ116" i="84"/>
  <c r="AP116" i="84"/>
  <c r="AO116" i="84"/>
  <c r="AN116" i="84"/>
  <c r="AM116" i="84"/>
  <c r="AL116" i="84"/>
  <c r="AK116" i="84"/>
  <c r="AJ116" i="84"/>
  <c r="AI116" i="84"/>
  <c r="AH116" i="84"/>
  <c r="AG116" i="84"/>
  <c r="AF116" i="84"/>
  <c r="A116" i="84"/>
  <c r="A115" i="84"/>
  <c r="A114" i="84"/>
  <c r="A113" i="84"/>
  <c r="A112" i="84"/>
  <c r="BW111" i="84"/>
  <c r="BV111" i="84"/>
  <c r="BU111" i="84"/>
  <c r="BT111" i="84"/>
  <c r="BS111" i="84"/>
  <c r="BR111" i="84"/>
  <c r="BQ111" i="84"/>
  <c r="BP111" i="84"/>
  <c r="BO111" i="84"/>
  <c r="BN111" i="84"/>
  <c r="BM111" i="84"/>
  <c r="BL111" i="84"/>
  <c r="BK111" i="84"/>
  <c r="BJ111" i="84"/>
  <c r="BI111" i="84"/>
  <c r="BH111" i="84"/>
  <c r="BG111" i="84"/>
  <c r="BF111" i="84"/>
  <c r="BE111" i="84"/>
  <c r="BD111" i="84"/>
  <c r="BC111" i="84"/>
  <c r="BB111" i="84"/>
  <c r="BA111" i="84"/>
  <c r="AZ111" i="84"/>
  <c r="AY111" i="84"/>
  <c r="AX111" i="84"/>
  <c r="AW111" i="84"/>
  <c r="AV111" i="84"/>
  <c r="AU111" i="84"/>
  <c r="AT111" i="84"/>
  <c r="AS111" i="84"/>
  <c r="AR111" i="84"/>
  <c r="AQ111" i="84"/>
  <c r="AP111" i="84"/>
  <c r="AO111" i="84"/>
  <c r="AN111" i="84"/>
  <c r="AM111" i="84"/>
  <c r="AL111" i="84"/>
  <c r="AK111" i="84"/>
  <c r="AJ111" i="84"/>
  <c r="AI111" i="84"/>
  <c r="AH111" i="84"/>
  <c r="AG111" i="84"/>
  <c r="AF111" i="84"/>
  <c r="AE111" i="84"/>
  <c r="AD111" i="84"/>
  <c r="AC111" i="84"/>
  <c r="AB111" i="84"/>
  <c r="AA111" i="84"/>
  <c r="A111" i="84"/>
  <c r="BW110" i="84"/>
  <c r="BV110" i="84"/>
  <c r="BU110" i="84"/>
  <c r="BT110" i="84"/>
  <c r="BS110" i="84"/>
  <c r="BR110" i="84"/>
  <c r="BQ110" i="84"/>
  <c r="BP110" i="84"/>
  <c r="BO110" i="84"/>
  <c r="BN110" i="84"/>
  <c r="BM110" i="84"/>
  <c r="BL110" i="84"/>
  <c r="BK110" i="84"/>
  <c r="BJ110" i="84"/>
  <c r="BI110" i="84"/>
  <c r="BH110" i="84"/>
  <c r="BG110" i="84"/>
  <c r="BF110" i="84"/>
  <c r="BE110" i="84"/>
  <c r="BD110" i="84"/>
  <c r="BC110" i="84"/>
  <c r="BB110" i="84"/>
  <c r="BA110" i="84"/>
  <c r="AZ110" i="84"/>
  <c r="AY110" i="84"/>
  <c r="AX110" i="84"/>
  <c r="AW110" i="84"/>
  <c r="AV110" i="84"/>
  <c r="AU110" i="84"/>
  <c r="AT110" i="84"/>
  <c r="AS110" i="84"/>
  <c r="AR110" i="84"/>
  <c r="AQ110" i="84"/>
  <c r="AP110" i="84"/>
  <c r="AO110" i="84"/>
  <c r="AN110" i="84"/>
  <c r="AM110" i="84"/>
  <c r="AL110" i="84"/>
  <c r="AK110" i="84"/>
  <c r="AJ110" i="84"/>
  <c r="AI110" i="84"/>
  <c r="AH110" i="84"/>
  <c r="AG110" i="84"/>
  <c r="AF110" i="84"/>
  <c r="AE110" i="84"/>
  <c r="AD110" i="84"/>
  <c r="AC110" i="84"/>
  <c r="AB110" i="84"/>
  <c r="AA110" i="84"/>
  <c r="A110" i="84"/>
  <c r="BW109" i="84"/>
  <c r="BV109" i="84"/>
  <c r="BU109" i="84"/>
  <c r="BT109" i="84"/>
  <c r="BS109" i="84"/>
  <c r="BR109" i="84"/>
  <c r="BQ109" i="84"/>
  <c r="BP109" i="84"/>
  <c r="BO109" i="84"/>
  <c r="BN109" i="84"/>
  <c r="BM109" i="84"/>
  <c r="BL109" i="84"/>
  <c r="BK109" i="84"/>
  <c r="BJ109" i="84"/>
  <c r="BI109" i="84"/>
  <c r="BH109" i="84"/>
  <c r="BG109" i="84"/>
  <c r="BF109" i="84"/>
  <c r="BE109" i="84"/>
  <c r="BD109" i="84"/>
  <c r="BC109" i="84"/>
  <c r="BB109" i="84"/>
  <c r="BA109" i="84"/>
  <c r="AZ109" i="84"/>
  <c r="AY109" i="84"/>
  <c r="AX109" i="84"/>
  <c r="AW109" i="84"/>
  <c r="AV109" i="84"/>
  <c r="AU109" i="84"/>
  <c r="AT109" i="84"/>
  <c r="AS109" i="84"/>
  <c r="AR109" i="84"/>
  <c r="AQ109" i="84"/>
  <c r="AP109" i="84"/>
  <c r="AO109" i="84"/>
  <c r="AN109" i="84"/>
  <c r="AM109" i="84"/>
  <c r="AL109" i="84"/>
  <c r="AK109" i="84"/>
  <c r="A109" i="84"/>
  <c r="A108" i="84"/>
  <c r="A107" i="84"/>
  <c r="BW106" i="84"/>
  <c r="BW107" i="84" s="1"/>
  <c r="BV106" i="84"/>
  <c r="BV107" i="84" s="1"/>
  <c r="BU106" i="84"/>
  <c r="BU107" i="84" s="1"/>
  <c r="BT106" i="84"/>
  <c r="BT107" i="84" s="1"/>
  <c r="BS106" i="84"/>
  <c r="BS107" i="84" s="1"/>
  <c r="BR106" i="84"/>
  <c r="BR107" i="84" s="1"/>
  <c r="BQ106" i="84"/>
  <c r="BQ107" i="84" s="1"/>
  <c r="BP106" i="84"/>
  <c r="BP107" i="84" s="1"/>
  <c r="BO106" i="84"/>
  <c r="BO107" i="84" s="1"/>
  <c r="BN106" i="84"/>
  <c r="BN107" i="84" s="1"/>
  <c r="BM106" i="84"/>
  <c r="BM107" i="84" s="1"/>
  <c r="BL106" i="84"/>
  <c r="BL107" i="84" s="1"/>
  <c r="BK106" i="84"/>
  <c r="BK107" i="84" s="1"/>
  <c r="BJ106" i="84"/>
  <c r="BJ107" i="84" s="1"/>
  <c r="BI106" i="84"/>
  <c r="BI107" i="84" s="1"/>
  <c r="BH106" i="84"/>
  <c r="BH107" i="84" s="1"/>
  <c r="BG106" i="84"/>
  <c r="BG107" i="84" s="1"/>
  <c r="BF106" i="84"/>
  <c r="BF107" i="84" s="1"/>
  <c r="BE106" i="84"/>
  <c r="BE107" i="84" s="1"/>
  <c r="BD106" i="84"/>
  <c r="BD107" i="84" s="1"/>
  <c r="BC106" i="84"/>
  <c r="BC107" i="84" s="1"/>
  <c r="BB106" i="84"/>
  <c r="BB107" i="84" s="1"/>
  <c r="BA106" i="84"/>
  <c r="BA107" i="84" s="1"/>
  <c r="AZ106" i="84"/>
  <c r="AZ107" i="84" s="1"/>
  <c r="AY106" i="84"/>
  <c r="AY107" i="84" s="1"/>
  <c r="AX106" i="84"/>
  <c r="AX107" i="84" s="1"/>
  <c r="AW106" i="84"/>
  <c r="AW107" i="84" s="1"/>
  <c r="AV106" i="84"/>
  <c r="AV107" i="84" s="1"/>
  <c r="AU106" i="84"/>
  <c r="AU107" i="84" s="1"/>
  <c r="AT106" i="84"/>
  <c r="AT107" i="84" s="1"/>
  <c r="AS106" i="84"/>
  <c r="AS107" i="84" s="1"/>
  <c r="AR106" i="84"/>
  <c r="AR107" i="84" s="1"/>
  <c r="AQ106" i="84"/>
  <c r="AQ107" i="84" s="1"/>
  <c r="AP106" i="84"/>
  <c r="AP107" i="84" s="1"/>
  <c r="AO106" i="84"/>
  <c r="AO107" i="84" s="1"/>
  <c r="AN106" i="84"/>
  <c r="AN107" i="84" s="1"/>
  <c r="AM106" i="84"/>
  <c r="AM107" i="84" s="1"/>
  <c r="AL106" i="84"/>
  <c r="AL107" i="84" s="1"/>
  <c r="AK106" i="84"/>
  <c r="AK107" i="84" s="1"/>
  <c r="AJ106" i="84"/>
  <c r="AJ107" i="84" s="1"/>
  <c r="AI106" i="84"/>
  <c r="AI107" i="84" s="1"/>
  <c r="AH106" i="84"/>
  <c r="AH107" i="84" s="1"/>
  <c r="AG106" i="84"/>
  <c r="AG107" i="84" s="1"/>
  <c r="AF106" i="84"/>
  <c r="AF107" i="84" s="1"/>
  <c r="AE106" i="84"/>
  <c r="AE107" i="84" s="1"/>
  <c r="AD106" i="84"/>
  <c r="AD107" i="84" s="1"/>
  <c r="AC106" i="84"/>
  <c r="AC107" i="84" s="1"/>
  <c r="AB106" i="84"/>
  <c r="AB107" i="84" s="1"/>
  <c r="AA106" i="84"/>
  <c r="AA107" i="84" s="1"/>
  <c r="A106" i="84"/>
  <c r="BW105" i="84"/>
  <c r="BV105" i="84"/>
  <c r="BU105" i="84"/>
  <c r="BT105" i="84"/>
  <c r="BS105" i="84"/>
  <c r="BR105" i="84"/>
  <c r="BQ105" i="84"/>
  <c r="BP105" i="84"/>
  <c r="BO105" i="84"/>
  <c r="BN105" i="84"/>
  <c r="BM105" i="84"/>
  <c r="BL105" i="84"/>
  <c r="BK105" i="84"/>
  <c r="BJ105" i="84"/>
  <c r="BI105" i="84"/>
  <c r="BH105" i="84"/>
  <c r="BG105" i="84"/>
  <c r="BF105" i="84"/>
  <c r="BE105" i="84"/>
  <c r="BD105" i="84"/>
  <c r="BC105" i="84"/>
  <c r="BB105" i="84"/>
  <c r="BA105" i="84"/>
  <c r="AZ105" i="84"/>
  <c r="AY105" i="84"/>
  <c r="AX105" i="84"/>
  <c r="AW105" i="84"/>
  <c r="AV105" i="84"/>
  <c r="AU105" i="84"/>
  <c r="AT105" i="84"/>
  <c r="AS105" i="84"/>
  <c r="AR105" i="84"/>
  <c r="AQ105" i="84"/>
  <c r="AP105" i="84"/>
  <c r="AO105" i="84"/>
  <c r="AN105" i="84"/>
  <c r="AM105" i="84"/>
  <c r="AL105" i="84"/>
  <c r="AK105" i="84"/>
  <c r="AJ105" i="84"/>
  <c r="AI105" i="84"/>
  <c r="AH105" i="84"/>
  <c r="AG105" i="84"/>
  <c r="AF105" i="84"/>
  <c r="AE105" i="84"/>
  <c r="AD105" i="84"/>
  <c r="AC105" i="84"/>
  <c r="AB105" i="84"/>
  <c r="AA105" i="84"/>
  <c r="A105" i="84"/>
  <c r="A104" i="84"/>
  <c r="A103" i="84"/>
  <c r="A102" i="84"/>
  <c r="A101" i="84"/>
  <c r="A100" i="84"/>
  <c r="A99" i="84"/>
  <c r="A98" i="84"/>
  <c r="A97" i="84"/>
  <c r="A96" i="84"/>
  <c r="A95" i="84"/>
  <c r="A94" i="84"/>
  <c r="A93" i="84"/>
  <c r="A92" i="84"/>
  <c r="BW91" i="84"/>
  <c r="BV91" i="84"/>
  <c r="BU91" i="84"/>
  <c r="BT91" i="84"/>
  <c r="BS91" i="84"/>
  <c r="BR91" i="84"/>
  <c r="BQ91" i="84"/>
  <c r="BP91" i="84"/>
  <c r="BO91" i="84"/>
  <c r="BN91" i="84"/>
  <c r="BM91" i="84"/>
  <c r="BL91" i="84"/>
  <c r="BK91" i="84"/>
  <c r="BJ91" i="84"/>
  <c r="BI91" i="84"/>
  <c r="BH91" i="84"/>
  <c r="BG91" i="84"/>
  <c r="BF91" i="84"/>
  <c r="BE91" i="84"/>
  <c r="BD91" i="84"/>
  <c r="BC91" i="84"/>
  <c r="BB91" i="84"/>
  <c r="BA91" i="84"/>
  <c r="AZ91" i="84"/>
  <c r="AY91" i="84"/>
  <c r="AX91" i="84"/>
  <c r="AW91" i="84"/>
  <c r="AV91" i="84"/>
  <c r="AU91" i="84"/>
  <c r="AT91" i="84"/>
  <c r="AS91" i="84"/>
  <c r="AR91" i="84"/>
  <c r="AQ91" i="84"/>
  <c r="AP91" i="84"/>
  <c r="AO91" i="84"/>
  <c r="AN91" i="84"/>
  <c r="AM91" i="84"/>
  <c r="AL91" i="84"/>
  <c r="AK91" i="84"/>
  <c r="AJ91" i="84"/>
  <c r="AI91" i="84"/>
  <c r="AH91" i="84"/>
  <c r="AG91" i="84"/>
  <c r="AF91" i="84"/>
  <c r="AE91" i="84"/>
  <c r="AD91" i="84"/>
  <c r="AC91" i="84"/>
  <c r="AB91" i="84"/>
  <c r="AA91" i="84"/>
  <c r="Z91" i="84"/>
  <c r="Y91" i="84"/>
  <c r="X91" i="84"/>
  <c r="W91" i="84"/>
  <c r="V91" i="84"/>
  <c r="U91" i="84"/>
  <c r="T91" i="84"/>
  <c r="S91" i="84"/>
  <c r="R91" i="84"/>
  <c r="Q91" i="84"/>
  <c r="P91" i="84"/>
  <c r="O91" i="84"/>
  <c r="N91" i="84"/>
  <c r="M91" i="84"/>
  <c r="L91" i="84"/>
  <c r="K91" i="84"/>
  <c r="J91" i="84"/>
  <c r="I91" i="84"/>
  <c r="H91" i="84"/>
  <c r="G91" i="84"/>
  <c r="F91" i="84"/>
  <c r="A91" i="84"/>
  <c r="A90" i="84"/>
  <c r="A89" i="84"/>
  <c r="BW88" i="84"/>
  <c r="BV88" i="84"/>
  <c r="BU88" i="84"/>
  <c r="BT88" i="84"/>
  <c r="BN88" i="84"/>
  <c r="BM88" i="84"/>
  <c r="BL88" i="84"/>
  <c r="BK88" i="84"/>
  <c r="BJ88" i="84"/>
  <c r="BI88" i="84"/>
  <c r="BH88" i="84"/>
  <c r="BG88" i="84"/>
  <c r="BF88" i="84"/>
  <c r="BE88" i="84"/>
  <c r="BD88" i="84"/>
  <c r="BC88" i="84"/>
  <c r="BB88" i="84"/>
  <c r="BA88" i="84"/>
  <c r="AZ88" i="84"/>
  <c r="AY88" i="84"/>
  <c r="AX88" i="84"/>
  <c r="AW88" i="84"/>
  <c r="AV88" i="84"/>
  <c r="AU88" i="84"/>
  <c r="AT88" i="84"/>
  <c r="AS88" i="84"/>
  <c r="AR88" i="84"/>
  <c r="AQ88" i="84"/>
  <c r="AP88" i="84"/>
  <c r="AO88" i="84"/>
  <c r="AN88" i="84"/>
  <c r="AM88" i="84"/>
  <c r="AL88" i="84"/>
  <c r="AK88" i="84"/>
  <c r="AJ88" i="84"/>
  <c r="AI88" i="84"/>
  <c r="AH88" i="84"/>
  <c r="AG88" i="84"/>
  <c r="AF88" i="84"/>
  <c r="AE88" i="84"/>
  <c r="AD88" i="84"/>
  <c r="AC88" i="84"/>
  <c r="AB88" i="84"/>
  <c r="AA88" i="84"/>
  <c r="Z88" i="84"/>
  <c r="Y88" i="84"/>
  <c r="X88" i="84"/>
  <c r="W88" i="84"/>
  <c r="V88" i="84"/>
  <c r="U88" i="84"/>
  <c r="T88" i="84"/>
  <c r="S88" i="84"/>
  <c r="R88" i="84"/>
  <c r="Q88" i="84"/>
  <c r="P88" i="84"/>
  <c r="O88" i="84"/>
  <c r="N88" i="84"/>
  <c r="M88" i="84"/>
  <c r="L88" i="84"/>
  <c r="K88" i="84"/>
  <c r="J88" i="84"/>
  <c r="I88" i="84"/>
  <c r="H88" i="84"/>
  <c r="G88" i="84"/>
  <c r="F88" i="84"/>
  <c r="A88" i="84"/>
  <c r="BS87" i="84"/>
  <c r="BS88" i="84" s="1"/>
  <c r="BR87" i="84"/>
  <c r="BR88" i="84" s="1"/>
  <c r="BQ87" i="84"/>
  <c r="BQ88" i="84" s="1"/>
  <c r="BP87" i="84"/>
  <c r="BP88" i="84" s="1"/>
  <c r="BO87" i="84"/>
  <c r="BO88" i="84" s="1"/>
  <c r="A87" i="84"/>
  <c r="A86" i="84"/>
  <c r="A85" i="84"/>
  <c r="BW84" i="84"/>
  <c r="BV84" i="84"/>
  <c r="BU84" i="84"/>
  <c r="BT84" i="84"/>
  <c r="BS84" i="84"/>
  <c r="BR84" i="84"/>
  <c r="BQ84" i="84"/>
  <c r="BP84" i="84"/>
  <c r="BO84" i="84"/>
  <c r="BN84" i="84"/>
  <c r="BM84" i="84"/>
  <c r="BL84" i="84"/>
  <c r="BK84" i="84"/>
  <c r="BJ84" i="84"/>
  <c r="BI84" i="84"/>
  <c r="BH84" i="84"/>
  <c r="BG84" i="84"/>
  <c r="BF84" i="84"/>
  <c r="BE84" i="84"/>
  <c r="BD84" i="84"/>
  <c r="BC84" i="84"/>
  <c r="BB84" i="84"/>
  <c r="BA84" i="84"/>
  <c r="AZ84" i="84"/>
  <c r="AY84" i="84"/>
  <c r="A84" i="84"/>
  <c r="A83" i="84"/>
  <c r="BW82" i="84"/>
  <c r="BV82" i="84"/>
  <c r="BU82" i="84"/>
  <c r="BT82" i="84"/>
  <c r="BS82" i="84"/>
  <c r="BR82" i="84"/>
  <c r="BQ82" i="84"/>
  <c r="BP82" i="84"/>
  <c r="BO82" i="84"/>
  <c r="BN82" i="84"/>
  <c r="BM82" i="84"/>
  <c r="BL82" i="84"/>
  <c r="BK82" i="84"/>
  <c r="BJ82" i="84"/>
  <c r="BI82" i="84"/>
  <c r="BH82" i="84"/>
  <c r="BG82" i="84"/>
  <c r="BF82" i="84"/>
  <c r="BE82" i="84"/>
  <c r="BD82" i="84"/>
  <c r="BC82" i="84"/>
  <c r="BB82" i="84"/>
  <c r="AZ82" i="84"/>
  <c r="AY82" i="84"/>
  <c r="AC82" i="84"/>
  <c r="A82" i="84"/>
  <c r="A81" i="84"/>
  <c r="A80" i="84"/>
  <c r="A79" i="84"/>
  <c r="A78" i="84"/>
  <c r="A77" i="84"/>
  <c r="A76" i="84"/>
  <c r="A75" i="84"/>
  <c r="A74" i="84"/>
  <c r="A73" i="84"/>
  <c r="A72" i="84"/>
  <c r="BW71" i="84"/>
  <c r="BV71" i="84"/>
  <c r="BU71" i="84"/>
  <c r="BT71" i="84"/>
  <c r="BS71" i="84"/>
  <c r="BR71" i="84"/>
  <c r="BQ71" i="84"/>
  <c r="BP71" i="84"/>
  <c r="BO71" i="84"/>
  <c r="BN71" i="84"/>
  <c r="BM71" i="84"/>
  <c r="BL71" i="84"/>
  <c r="BK71" i="84"/>
  <c r="BJ71" i="84"/>
  <c r="BI71" i="84"/>
  <c r="BH71" i="84"/>
  <c r="BG71" i="84"/>
  <c r="BF71" i="84"/>
  <c r="BE71" i="84"/>
  <c r="BD71" i="84"/>
  <c r="BB71" i="84"/>
  <c r="BA71" i="84"/>
  <c r="AZ71" i="84"/>
  <c r="AY71" i="84"/>
  <c r="A71" i="84"/>
  <c r="AC70" i="84"/>
  <c r="A70" i="84"/>
  <c r="A69" i="84"/>
  <c r="A68" i="84"/>
  <c r="BW67" i="84"/>
  <c r="BV67" i="84"/>
  <c r="BU67" i="84"/>
  <c r="BT67" i="84"/>
  <c r="BS67" i="84"/>
  <c r="BR67" i="84"/>
  <c r="BQ67" i="84"/>
  <c r="BP67" i="84"/>
  <c r="BO67" i="84"/>
  <c r="BN67" i="84"/>
  <c r="BM67" i="84"/>
  <c r="BL67" i="84"/>
  <c r="BK67" i="84"/>
  <c r="BJ67" i="84"/>
  <c r="BI67" i="84"/>
  <c r="BH67" i="84"/>
  <c r="BG67" i="84"/>
  <c r="BF67" i="84"/>
  <c r="BE67" i="84"/>
  <c r="BD67" i="84"/>
  <c r="BC67" i="84"/>
  <c r="BB67" i="84"/>
  <c r="BA67" i="84"/>
  <c r="AZ67" i="84"/>
  <c r="AY67" i="84"/>
  <c r="AX67" i="84"/>
  <c r="AW67" i="84"/>
  <c r="AV67" i="84"/>
  <c r="AU67" i="84"/>
  <c r="AT67" i="84"/>
  <c r="AS67" i="84"/>
  <c r="AR67" i="84"/>
  <c r="AQ67" i="84"/>
  <c r="AP67" i="84"/>
  <c r="AO67" i="84"/>
  <c r="AN67" i="84"/>
  <c r="AM67" i="84"/>
  <c r="AL67" i="84"/>
  <c r="AK67" i="84"/>
  <c r="AJ67" i="84"/>
  <c r="AI67" i="84"/>
  <c r="AH67" i="84"/>
  <c r="AG67" i="84"/>
  <c r="AF67" i="84"/>
  <c r="A67" i="84"/>
  <c r="BW66" i="84"/>
  <c r="BV66" i="84"/>
  <c r="BU66" i="84"/>
  <c r="BT66" i="84"/>
  <c r="BS66" i="84"/>
  <c r="BR66" i="84"/>
  <c r="BQ66" i="84"/>
  <c r="BP66" i="84"/>
  <c r="BO66" i="84"/>
  <c r="BN66" i="84"/>
  <c r="BM66" i="84"/>
  <c r="BL66" i="84"/>
  <c r="BK66" i="84"/>
  <c r="BJ66" i="84"/>
  <c r="BI66" i="84"/>
  <c r="BH66" i="84"/>
  <c r="BG66" i="84"/>
  <c r="BF66" i="84"/>
  <c r="BE66" i="84"/>
  <c r="BD66" i="84"/>
  <c r="BC66" i="84"/>
  <c r="BB66" i="84"/>
  <c r="BA66" i="84"/>
  <c r="AZ66" i="84"/>
  <c r="AY66" i="84"/>
  <c r="AX66" i="84"/>
  <c r="AW66" i="84"/>
  <c r="AV66" i="84"/>
  <c r="AU66" i="84"/>
  <c r="AT66" i="84"/>
  <c r="AS66" i="84"/>
  <c r="AR66" i="84"/>
  <c r="AQ66" i="84"/>
  <c r="AP66" i="84"/>
  <c r="AO66" i="84"/>
  <c r="AN66" i="84"/>
  <c r="AM66" i="84"/>
  <c r="AL66" i="84"/>
  <c r="AK66" i="84"/>
  <c r="AJ66" i="84"/>
  <c r="AI66" i="84"/>
  <c r="A66" i="84"/>
  <c r="A65" i="84"/>
  <c r="A64" i="84"/>
  <c r="A63" i="84"/>
  <c r="A62" i="84"/>
  <c r="A61" i="84"/>
  <c r="A60" i="84"/>
  <c r="A59" i="84"/>
  <c r="A58" i="84"/>
  <c r="A57" i="84"/>
  <c r="BW56" i="84"/>
  <c r="BV56" i="84"/>
  <c r="BU56" i="84"/>
  <c r="BT56" i="84"/>
  <c r="BS56" i="84"/>
  <c r="BR56" i="84"/>
  <c r="BQ56" i="84"/>
  <c r="BP56" i="84"/>
  <c r="BO56" i="84"/>
  <c r="BN56" i="84"/>
  <c r="BM56" i="84"/>
  <c r="BL56" i="84"/>
  <c r="BK56" i="84"/>
  <c r="BJ56" i="84"/>
  <c r="BI56" i="84"/>
  <c r="BH56" i="84"/>
  <c r="BG56" i="84"/>
  <c r="BF56" i="84"/>
  <c r="BE56" i="84"/>
  <c r="BD56" i="84"/>
  <c r="BC56" i="84"/>
  <c r="BB56" i="84"/>
  <c r="BA56" i="84"/>
  <c r="AZ56" i="84"/>
  <c r="AY56" i="84"/>
  <c r="AX56" i="84"/>
  <c r="AW56" i="84"/>
  <c r="AV56" i="84"/>
  <c r="AU56" i="84"/>
  <c r="AT56" i="84"/>
  <c r="AS56" i="84"/>
  <c r="AR56" i="84"/>
  <c r="AQ56" i="84"/>
  <c r="AP56" i="84"/>
  <c r="AO56" i="84"/>
  <c r="AN56" i="84"/>
  <c r="AM56" i="84"/>
  <c r="AL56" i="84"/>
  <c r="AK56" i="84"/>
  <c r="AJ56" i="84"/>
  <c r="AI56" i="84"/>
  <c r="AH56" i="84"/>
  <c r="AG56" i="84"/>
  <c r="AF56" i="84"/>
  <c r="AE56" i="84"/>
  <c r="AD56" i="84"/>
  <c r="AC56" i="84"/>
  <c r="AB56" i="84"/>
  <c r="AA56" i="84"/>
  <c r="Y56" i="84"/>
  <c r="X56" i="84"/>
  <c r="W56" i="84"/>
  <c r="V56" i="84"/>
  <c r="U56" i="84"/>
  <c r="T56" i="84"/>
  <c r="S56" i="84"/>
  <c r="R56" i="84"/>
  <c r="Q56" i="84"/>
  <c r="P56" i="84"/>
  <c r="O56" i="84"/>
  <c r="N56" i="84"/>
  <c r="M56" i="84"/>
  <c r="L56" i="84"/>
  <c r="K56" i="84"/>
  <c r="J56" i="84"/>
  <c r="I56" i="84"/>
  <c r="H56" i="84"/>
  <c r="G56" i="84"/>
  <c r="F56" i="84"/>
  <c r="A56" i="84"/>
  <c r="Z55" i="84"/>
  <c r="Z56" i="84" s="1"/>
  <c r="A55" i="84"/>
  <c r="A54" i="84"/>
  <c r="A53" i="84"/>
  <c r="AI52" i="84"/>
  <c r="AE52" i="84"/>
  <c r="AB52" i="84"/>
  <c r="AC52" i="84" s="1"/>
  <c r="Y52" i="84"/>
  <c r="Z52" i="84" s="1"/>
  <c r="S52" i="84"/>
  <c r="T52" i="84" s="1"/>
  <c r="K52" i="84"/>
  <c r="L52" i="84" s="1"/>
  <c r="M52" i="84" s="1"/>
  <c r="H52" i="84"/>
  <c r="A52" i="84"/>
  <c r="AM51" i="84"/>
  <c r="AJ51" i="84"/>
  <c r="A51" i="84"/>
  <c r="A50" i="84"/>
  <c r="A49" i="84"/>
  <c r="AP48" i="84"/>
  <c r="AQ48" i="84" s="1"/>
  <c r="AR48" i="84" s="1"/>
  <c r="AS48" i="84" s="1"/>
  <c r="AT48" i="84" s="1"/>
  <c r="AU48" i="84" s="1"/>
  <c r="AV48" i="84" s="1"/>
  <c r="AW48" i="84" s="1"/>
  <c r="AX48" i="84" s="1"/>
  <c r="AY48" i="84" s="1"/>
  <c r="AZ48" i="84" s="1"/>
  <c r="BA48" i="84" s="1"/>
  <c r="BB48" i="84" s="1"/>
  <c r="BC48" i="84" s="1"/>
  <c r="BD48" i="84" s="1"/>
  <c r="BE48" i="84" s="1"/>
  <c r="BF48" i="84" s="1"/>
  <c r="BG48" i="84" s="1"/>
  <c r="BH48" i="84" s="1"/>
  <c r="BI48" i="84" s="1"/>
  <c r="BJ48" i="84" s="1"/>
  <c r="BK48" i="84" s="1"/>
  <c r="BL48" i="84" s="1"/>
  <c r="BM48" i="84" s="1"/>
  <c r="BN48" i="84" s="1"/>
  <c r="BO48" i="84" s="1"/>
  <c r="BP48" i="84" s="1"/>
  <c r="BQ48" i="84" s="1"/>
  <c r="BR48" i="84" s="1"/>
  <c r="BS48" i="84" s="1"/>
  <c r="BT48" i="84" s="1"/>
  <c r="BU48" i="84" s="1"/>
  <c r="BV48" i="84" s="1"/>
  <c r="BW48" i="84" s="1"/>
  <c r="AE48" i="84"/>
  <c r="AF48" i="84" s="1"/>
  <c r="Y48" i="84"/>
  <c r="U48" i="84"/>
  <c r="V48" i="84" s="1"/>
  <c r="Q48" i="84"/>
  <c r="O48" i="84"/>
  <c r="J48" i="84"/>
  <c r="A48" i="84"/>
  <c r="BW47" i="84"/>
  <c r="BV47" i="84"/>
  <c r="BU47" i="84"/>
  <c r="BT47" i="84"/>
  <c r="BS47" i="84"/>
  <c r="BR47" i="84"/>
  <c r="BQ47" i="84"/>
  <c r="BP47" i="84"/>
  <c r="BO47" i="84"/>
  <c r="BN47" i="84"/>
  <c r="BM47" i="84"/>
  <c r="BL47" i="84"/>
  <c r="BK47" i="84"/>
  <c r="BJ47" i="84"/>
  <c r="BI47" i="84"/>
  <c r="BH47" i="84"/>
  <c r="BG47" i="84"/>
  <c r="BF47" i="84"/>
  <c r="BE47" i="84"/>
  <c r="BD47" i="84"/>
  <c r="BC47" i="84"/>
  <c r="BB47" i="84"/>
  <c r="BA47" i="84"/>
  <c r="AZ47" i="84"/>
  <c r="AY47" i="84"/>
  <c r="AX47" i="84"/>
  <c r="AW47" i="84"/>
  <c r="AV47" i="84"/>
  <c r="AU47" i="84"/>
  <c r="AT47" i="84"/>
  <c r="AS47" i="84"/>
  <c r="AR47" i="84"/>
  <c r="AQ47" i="84"/>
  <c r="AP47" i="84"/>
  <c r="AO47" i="84"/>
  <c r="AN47" i="84"/>
  <c r="AM47" i="84"/>
  <c r="AL47" i="84"/>
  <c r="AK47" i="84"/>
  <c r="AJ47" i="84"/>
  <c r="AI47" i="84"/>
  <c r="AH47" i="84"/>
  <c r="AG47" i="84"/>
  <c r="AF47" i="84"/>
  <c r="AE47" i="84"/>
  <c r="AD47" i="84"/>
  <c r="AC47" i="84"/>
  <c r="AB47" i="84"/>
  <c r="AA47" i="84"/>
  <c r="A47" i="84"/>
  <c r="A46" i="84"/>
  <c r="A45" i="84"/>
  <c r="A44" i="84"/>
  <c r="A43" i="84"/>
  <c r="AG42" i="84"/>
  <c r="AA42" i="84"/>
  <c r="M42" i="84"/>
  <c r="L42" i="84"/>
  <c r="H42" i="84"/>
  <c r="A42" i="84"/>
  <c r="BW41" i="84"/>
  <c r="BV41" i="84"/>
  <c r="BU41" i="84"/>
  <c r="BT41" i="84"/>
  <c r="BS41" i="84"/>
  <c r="BR41" i="84"/>
  <c r="BQ41" i="84"/>
  <c r="BP41" i="84"/>
  <c r="BO41" i="84"/>
  <c r="BN41" i="84"/>
  <c r="BM41" i="84"/>
  <c r="BL41" i="84"/>
  <c r="BK41" i="84"/>
  <c r="BJ41" i="84"/>
  <c r="BI41" i="84"/>
  <c r="BH41" i="84"/>
  <c r="BG41" i="84"/>
  <c r="BF41" i="84"/>
  <c r="BE41" i="84"/>
  <c r="BD41" i="84"/>
  <c r="BC41" i="84"/>
  <c r="BB41" i="84"/>
  <c r="BA41" i="84"/>
  <c r="AZ41" i="84"/>
  <c r="AY41" i="84"/>
  <c r="AX41" i="84"/>
  <c r="AW41" i="84"/>
  <c r="AV41" i="84"/>
  <c r="AU41" i="84"/>
  <c r="AT41" i="84"/>
  <c r="AS41" i="84"/>
  <c r="AR41" i="84"/>
  <c r="AQ41" i="84"/>
  <c r="AP41" i="84"/>
  <c r="AO41" i="84"/>
  <c r="AN41" i="84"/>
  <c r="AM41" i="84"/>
  <c r="AL41" i="84"/>
  <c r="AK41" i="84"/>
  <c r="AJ41" i="84"/>
  <c r="AI41" i="84"/>
  <c r="AH41" i="84"/>
  <c r="AG41" i="84"/>
  <c r="AF41" i="84"/>
  <c r="AE41" i="84"/>
  <c r="AD41" i="84"/>
  <c r="AC41" i="84"/>
  <c r="AB41" i="84"/>
  <c r="AA41" i="84"/>
  <c r="Z41" i="84"/>
  <c r="Y41" i="84"/>
  <c r="X41" i="84"/>
  <c r="W41" i="84"/>
  <c r="V41" i="84"/>
  <c r="U41" i="84"/>
  <c r="T41" i="84"/>
  <c r="S41" i="84"/>
  <c r="R41" i="84"/>
  <c r="Q41" i="84"/>
  <c r="P41" i="84"/>
  <c r="O41" i="84"/>
  <c r="N41" i="84"/>
  <c r="M41" i="84"/>
  <c r="L41" i="84"/>
  <c r="K41" i="84"/>
  <c r="J41" i="84"/>
  <c r="I41" i="84"/>
  <c r="H41" i="84"/>
  <c r="G41" i="84"/>
  <c r="F41" i="84"/>
  <c r="A41" i="84"/>
  <c r="AK40" i="84"/>
  <c r="AL40" i="84" s="1"/>
  <c r="AF40" i="84"/>
  <c r="AG40" i="84" s="1"/>
  <c r="AH40" i="84" s="1"/>
  <c r="AB40" i="84"/>
  <c r="AC40" i="84" s="1"/>
  <c r="W40" i="84"/>
  <c r="X40" i="84" s="1"/>
  <c r="R40" i="84"/>
  <c r="J40" i="84"/>
  <c r="K40" i="84" s="1"/>
  <c r="A40" i="84"/>
  <c r="A39" i="84"/>
  <c r="A38" i="84"/>
  <c r="A37" i="84"/>
  <c r="A36" i="84"/>
  <c r="A35" i="84"/>
  <c r="BW34" i="84"/>
  <c r="BV34" i="84"/>
  <c r="BU34" i="84"/>
  <c r="BT34" i="84"/>
  <c r="BS34" i="84"/>
  <c r="BR34" i="84"/>
  <c r="BQ34" i="84"/>
  <c r="BP34" i="84"/>
  <c r="BO34" i="84"/>
  <c r="BN34" i="84"/>
  <c r="BM34" i="84"/>
  <c r="BL34" i="84"/>
  <c r="BK34" i="84"/>
  <c r="BJ34" i="84"/>
  <c r="BI34" i="84"/>
  <c r="BH34" i="84"/>
  <c r="BG34" i="84"/>
  <c r="BF34" i="84"/>
  <c r="BE34" i="84"/>
  <c r="BD34" i="84"/>
  <c r="BC34" i="84"/>
  <c r="BB34" i="84"/>
  <c r="BA34" i="84"/>
  <c r="AZ34" i="84"/>
  <c r="AY34" i="84"/>
  <c r="AX34" i="84"/>
  <c r="AW34" i="84"/>
  <c r="AV34" i="84"/>
  <c r="AU34" i="84"/>
  <c r="AT34" i="84"/>
  <c r="AS34" i="84"/>
  <c r="AR34" i="84"/>
  <c r="AQ34" i="84"/>
  <c r="AP34" i="84"/>
  <c r="AO34" i="84"/>
  <c r="AN34" i="84"/>
  <c r="AM34" i="84"/>
  <c r="AL34" i="84"/>
  <c r="AK34" i="84"/>
  <c r="AJ34" i="84"/>
  <c r="AI34" i="84"/>
  <c r="AH34" i="84"/>
  <c r="AG34" i="84"/>
  <c r="AF34" i="84"/>
  <c r="AE34" i="84"/>
  <c r="AD34" i="84"/>
  <c r="AC34" i="84"/>
  <c r="AB34" i="84"/>
  <c r="AA34" i="84"/>
  <c r="Z34" i="84"/>
  <c r="Y34" i="84"/>
  <c r="X34" i="84"/>
  <c r="W34" i="84"/>
  <c r="V34" i="84"/>
  <c r="U34" i="84"/>
  <c r="T34" i="84"/>
  <c r="S34" i="84"/>
  <c r="R34" i="84"/>
  <c r="Q34" i="84"/>
  <c r="P34" i="84"/>
  <c r="O34" i="84"/>
  <c r="N34" i="84"/>
  <c r="M34" i="84"/>
  <c r="L34" i="84"/>
  <c r="K34" i="84"/>
  <c r="J34" i="84"/>
  <c r="I34" i="84"/>
  <c r="H34" i="84"/>
  <c r="G34" i="84"/>
  <c r="F34" i="84"/>
  <c r="A34" i="84"/>
  <c r="BW33" i="84"/>
  <c r="BV33" i="84"/>
  <c r="BU33" i="84"/>
  <c r="BT33" i="84"/>
  <c r="BS33" i="84"/>
  <c r="BR33" i="84"/>
  <c r="BQ33" i="84"/>
  <c r="BP33" i="84"/>
  <c r="BO33" i="84"/>
  <c r="BN33" i="84"/>
  <c r="BM33" i="84"/>
  <c r="BL33" i="84"/>
  <c r="BK33" i="84"/>
  <c r="BJ33" i="84"/>
  <c r="BI33" i="84"/>
  <c r="BH33" i="84"/>
  <c r="BG33" i="84"/>
  <c r="BF33" i="84"/>
  <c r="BE33" i="84"/>
  <c r="BD33" i="84"/>
  <c r="BC33" i="84"/>
  <c r="BB33" i="84"/>
  <c r="BA33" i="84"/>
  <c r="AZ33" i="84"/>
  <c r="AY33" i="84"/>
  <c r="AX33" i="84"/>
  <c r="AW33" i="84"/>
  <c r="AV33" i="84"/>
  <c r="AU33" i="84"/>
  <c r="AT33" i="84"/>
  <c r="AS33" i="84"/>
  <c r="AR33" i="84"/>
  <c r="AQ33" i="84"/>
  <c r="AP33" i="84"/>
  <c r="AO33" i="84"/>
  <c r="AN33" i="84"/>
  <c r="AM33" i="84"/>
  <c r="AL33" i="84"/>
  <c r="AK33" i="84"/>
  <c r="AJ33" i="84"/>
  <c r="AI33" i="84"/>
  <c r="AH33" i="84"/>
  <c r="AG33" i="84"/>
  <c r="AF33" i="84"/>
  <c r="AE33" i="84"/>
  <c r="AD33" i="84"/>
  <c r="AC33" i="84"/>
  <c r="AB33" i="84"/>
  <c r="AA33" i="84"/>
  <c r="Z33" i="84"/>
  <c r="Y33" i="84"/>
  <c r="X33" i="84"/>
  <c r="W33" i="84"/>
  <c r="V33" i="84"/>
  <c r="U33" i="84"/>
  <c r="T33" i="84"/>
  <c r="S33" i="84"/>
  <c r="R33" i="84"/>
  <c r="Q33" i="84"/>
  <c r="P33" i="84"/>
  <c r="O33" i="84"/>
  <c r="N33" i="84"/>
  <c r="M33" i="84"/>
  <c r="L33" i="84"/>
  <c r="K33" i="84"/>
  <c r="J33" i="84"/>
  <c r="I33" i="84"/>
  <c r="H33" i="84"/>
  <c r="G33" i="84"/>
  <c r="F33" i="84"/>
  <c r="A33" i="84"/>
  <c r="A32" i="84"/>
  <c r="A31" i="84"/>
  <c r="BW30" i="84"/>
  <c r="BV30" i="84"/>
  <c r="BU30" i="84"/>
  <c r="BT30" i="84"/>
  <c r="BS30" i="84"/>
  <c r="BR30" i="84"/>
  <c r="BQ30" i="84"/>
  <c r="BP30" i="84"/>
  <c r="BO30" i="84"/>
  <c r="BN30" i="84"/>
  <c r="BM30" i="84"/>
  <c r="BL30" i="84"/>
  <c r="BK30" i="84"/>
  <c r="BJ30" i="84"/>
  <c r="BI30" i="84"/>
  <c r="BH30" i="84"/>
  <c r="BG30" i="84"/>
  <c r="BF30" i="84"/>
  <c r="BE30" i="84"/>
  <c r="BD30" i="84"/>
  <c r="BC30" i="84"/>
  <c r="BB30" i="84"/>
  <c r="BA30" i="84"/>
  <c r="AZ30" i="84"/>
  <c r="AY30" i="84"/>
  <c r="AX30" i="84"/>
  <c r="AW30" i="84"/>
  <c r="AV30" i="84"/>
  <c r="AU30" i="84"/>
  <c r="AT30" i="84"/>
  <c r="AS30" i="84"/>
  <c r="AR30" i="84"/>
  <c r="AQ30" i="84"/>
  <c r="AP30" i="84"/>
  <c r="AO30" i="84"/>
  <c r="AN30" i="84"/>
  <c r="AM30" i="84"/>
  <c r="AL30" i="84"/>
  <c r="AK30" i="84"/>
  <c r="AJ30" i="84"/>
  <c r="AI30" i="84"/>
  <c r="AH30" i="84"/>
  <c r="AG30" i="84"/>
  <c r="AF30" i="84"/>
  <c r="AE30" i="84"/>
  <c r="AD30" i="84"/>
  <c r="AC30" i="84"/>
  <c r="AB30" i="84"/>
  <c r="AA30" i="84"/>
  <c r="Z30" i="84"/>
  <c r="Y30" i="84"/>
  <c r="X30" i="84"/>
  <c r="W30" i="84"/>
  <c r="V30" i="84"/>
  <c r="U30" i="84"/>
  <c r="T30" i="84"/>
  <c r="S30" i="84"/>
  <c r="R30" i="84"/>
  <c r="Q30" i="84"/>
  <c r="P30" i="84"/>
  <c r="O30" i="84"/>
  <c r="N30" i="84"/>
  <c r="M30" i="84"/>
  <c r="L30" i="84"/>
  <c r="K30" i="84"/>
  <c r="J30" i="84"/>
  <c r="I30" i="84"/>
  <c r="H30" i="84"/>
  <c r="G30" i="84"/>
  <c r="F30" i="84"/>
  <c r="A30" i="84"/>
  <c r="BX29" i="84"/>
  <c r="BW29" i="84"/>
  <c r="BV29" i="84"/>
  <c r="BU29" i="84"/>
  <c r="BT29" i="84"/>
  <c r="BS29" i="84"/>
  <c r="BR29" i="84"/>
  <c r="BQ29" i="84"/>
  <c r="BP29" i="84"/>
  <c r="BO29" i="84"/>
  <c r="BN29" i="84"/>
  <c r="BM29" i="84"/>
  <c r="BL29" i="84"/>
  <c r="BK29" i="84"/>
  <c r="BJ29" i="84"/>
  <c r="BI29" i="84"/>
  <c r="BH29" i="84"/>
  <c r="BG29" i="84"/>
  <c r="BF29" i="84"/>
  <c r="BE29" i="84"/>
  <c r="BD29" i="84"/>
  <c r="BC29" i="84"/>
  <c r="BB29" i="84"/>
  <c r="BA29" i="84"/>
  <c r="AZ29" i="84"/>
  <c r="AY29" i="84"/>
  <c r="AX29" i="84"/>
  <c r="AW29" i="84"/>
  <c r="AV29" i="84"/>
  <c r="AU29" i="84"/>
  <c r="AT29" i="84"/>
  <c r="AS29" i="84"/>
  <c r="AR29" i="84"/>
  <c r="AQ29" i="84"/>
  <c r="AP29" i="84"/>
  <c r="AO29" i="84"/>
  <c r="AN29" i="84"/>
  <c r="AM29" i="84"/>
  <c r="AL29" i="84"/>
  <c r="AK29" i="84"/>
  <c r="AJ29" i="84"/>
  <c r="AI29" i="84"/>
  <c r="AH29" i="84"/>
  <c r="AG29" i="84"/>
  <c r="AF29" i="84"/>
  <c r="AE29" i="84"/>
  <c r="AD29" i="84"/>
  <c r="A29" i="84"/>
  <c r="A28" i="84"/>
  <c r="A27" i="84"/>
  <c r="A26" i="84"/>
  <c r="BW25" i="84"/>
  <c r="BV25" i="84"/>
  <c r="BU25" i="84"/>
  <c r="BT25" i="84"/>
  <c r="BS25" i="84"/>
  <c r="BR25" i="84"/>
  <c r="BQ25" i="84"/>
  <c r="BP25" i="84"/>
  <c r="BO25" i="84"/>
  <c r="BN25" i="84"/>
  <c r="BM25" i="84"/>
  <c r="BL25" i="84"/>
  <c r="BK25" i="84"/>
  <c r="BJ25" i="84"/>
  <c r="BI25" i="84"/>
  <c r="BH25" i="84"/>
  <c r="BG25" i="84"/>
  <c r="BF25" i="84"/>
  <c r="BE25" i="84"/>
  <c r="BD25" i="84"/>
  <c r="BC25" i="84"/>
  <c r="BB25" i="84"/>
  <c r="BA25" i="84"/>
  <c r="AZ25" i="84"/>
  <c r="AY25" i="84"/>
  <c r="AX25" i="84"/>
  <c r="AW25" i="84"/>
  <c r="AV25" i="84"/>
  <c r="AU25" i="84"/>
  <c r="AT25" i="84"/>
  <c r="AS25" i="84"/>
  <c r="AR25" i="84"/>
  <c r="AQ25" i="84"/>
  <c r="AP25" i="84"/>
  <c r="AO25" i="84"/>
  <c r="AN25" i="84"/>
  <c r="AM25" i="84"/>
  <c r="AL25" i="84"/>
  <c r="AK25" i="84"/>
  <c r="AJ25" i="84"/>
  <c r="AI25" i="84"/>
  <c r="AH25" i="84"/>
  <c r="AG25" i="84"/>
  <c r="AF25" i="84"/>
  <c r="AE25" i="84"/>
  <c r="AD25" i="84"/>
  <c r="A25" i="84"/>
  <c r="A24" i="84"/>
  <c r="A23" i="84"/>
  <c r="A22" i="84"/>
  <c r="BW21" i="84"/>
  <c r="BV21" i="84"/>
  <c r="BU21" i="84"/>
  <c r="BT21" i="84"/>
  <c r="BS21" i="84"/>
  <c r="BR21" i="84"/>
  <c r="BQ21" i="84"/>
  <c r="BP21" i="84"/>
  <c r="BO21" i="84"/>
  <c r="BN21" i="84"/>
  <c r="BM21" i="84"/>
  <c r="BL21" i="84"/>
  <c r="BK21" i="84"/>
  <c r="BJ21" i="84"/>
  <c r="BI21" i="84"/>
  <c r="BH21" i="84"/>
  <c r="BG21" i="84"/>
  <c r="A21" i="84"/>
  <c r="A20" i="84"/>
  <c r="A19" i="84"/>
  <c r="A18" i="84"/>
  <c r="A17" i="84"/>
  <c r="H16" i="84"/>
  <c r="A16" i="84"/>
  <c r="A15" i="84"/>
  <c r="A14" i="84"/>
  <c r="AY13" i="84"/>
  <c r="A13" i="84"/>
  <c r="A12" i="84"/>
  <c r="A11" i="84"/>
  <c r="BW10" i="84"/>
  <c r="BV10" i="84"/>
  <c r="BU10" i="84"/>
  <c r="BT10" i="84"/>
  <c r="BS10" i="84"/>
  <c r="BR10" i="84"/>
  <c r="BQ10" i="84"/>
  <c r="BP10" i="84"/>
  <c r="BO10" i="84"/>
  <c r="BN10" i="84"/>
  <c r="BM10" i="84"/>
  <c r="BL10" i="84"/>
  <c r="BK10" i="84"/>
  <c r="BJ10" i="84"/>
  <c r="BI10" i="84"/>
  <c r="BH10" i="84"/>
  <c r="BG10" i="84"/>
  <c r="BF10" i="84"/>
  <c r="BE10" i="84"/>
  <c r="BD10" i="84"/>
  <c r="BC10" i="84"/>
  <c r="BB10" i="84"/>
  <c r="BA10" i="84"/>
  <c r="AZ10" i="84"/>
  <c r="AY10" i="84"/>
  <c r="AX10" i="84"/>
  <c r="AW10" i="84"/>
  <c r="AV10" i="84"/>
  <c r="AU10" i="84"/>
  <c r="AT10" i="84"/>
  <c r="AS10" i="84"/>
  <c r="AR10" i="84"/>
  <c r="AQ10" i="84"/>
  <c r="AP10" i="84"/>
  <c r="AO10" i="84"/>
  <c r="AN10" i="84"/>
  <c r="AM10" i="84"/>
  <c r="AL10" i="84"/>
  <c r="AK10" i="84"/>
  <c r="AJ10" i="84"/>
  <c r="AI10" i="84"/>
  <c r="AH10" i="84"/>
  <c r="AG10" i="84"/>
  <c r="AF10" i="84"/>
  <c r="AE10" i="84"/>
  <c r="AD10" i="84"/>
  <c r="AC10" i="84"/>
  <c r="AB10" i="84"/>
  <c r="AA10" i="84"/>
  <c r="Z10" i="84"/>
  <c r="Y10" i="84"/>
  <c r="X10" i="84"/>
  <c r="W10" i="84"/>
  <c r="V10" i="84"/>
  <c r="U10" i="84"/>
  <c r="T10" i="84"/>
  <c r="S10" i="84"/>
  <c r="R10" i="84"/>
  <c r="Q10" i="84"/>
  <c r="P10" i="84"/>
  <c r="O10" i="84"/>
  <c r="N10" i="84"/>
  <c r="M10" i="84"/>
  <c r="L10" i="84"/>
  <c r="K10" i="84"/>
  <c r="J10" i="84"/>
  <c r="I10" i="84"/>
  <c r="H10" i="84"/>
  <c r="G10" i="84"/>
  <c r="F10" i="84"/>
  <c r="A10" i="84"/>
  <c r="A9" i="84"/>
  <c r="A8" i="84"/>
  <c r="A7" i="84"/>
  <c r="BW6" i="84"/>
  <c r="BV6" i="84"/>
  <c r="BU6" i="84"/>
  <c r="BT6" i="84"/>
  <c r="BS6" i="84"/>
  <c r="BR6" i="84"/>
  <c r="BQ6" i="84"/>
  <c r="BP6" i="84"/>
  <c r="BO6" i="84"/>
  <c r="BN6" i="84"/>
  <c r="BM6" i="84"/>
  <c r="BL6" i="84"/>
  <c r="BK6" i="84"/>
  <c r="BJ6" i="84"/>
  <c r="BI6" i="84"/>
  <c r="BH6" i="84"/>
  <c r="BG6" i="84"/>
  <c r="BF6" i="84"/>
  <c r="BE6" i="84"/>
  <c r="BD6" i="84"/>
  <c r="BC6" i="84"/>
  <c r="BB6" i="84"/>
  <c r="BA6" i="84"/>
  <c r="AZ6" i="84"/>
  <c r="AY6" i="84"/>
  <c r="AX6" i="84"/>
  <c r="AW6" i="84"/>
  <c r="AV6" i="84"/>
  <c r="AU6" i="84"/>
  <c r="AT6" i="84"/>
  <c r="AS6" i="84"/>
  <c r="AR6" i="84"/>
  <c r="AQ6" i="84"/>
  <c r="AP6" i="84"/>
  <c r="AO6" i="84"/>
  <c r="AN6" i="84"/>
  <c r="AM6" i="84"/>
  <c r="AL6" i="84"/>
  <c r="AK6" i="84"/>
  <c r="AJ6" i="84"/>
  <c r="AI6" i="84"/>
  <c r="AH6" i="84"/>
  <c r="AG6" i="84"/>
  <c r="AF6" i="84"/>
  <c r="AE6" i="84"/>
  <c r="AD6" i="84"/>
  <c r="AC6" i="84"/>
  <c r="AB6" i="84"/>
  <c r="AA6" i="84"/>
  <c r="Z6" i="84"/>
  <c r="Y6" i="84"/>
  <c r="X6" i="84"/>
  <c r="W6" i="84"/>
  <c r="V6" i="84"/>
  <c r="U6" i="84"/>
  <c r="T6" i="84"/>
  <c r="S6" i="84"/>
  <c r="R6" i="84"/>
  <c r="Q6" i="84"/>
  <c r="P6" i="84"/>
  <c r="O6" i="84"/>
  <c r="N6" i="84"/>
  <c r="M6" i="84"/>
  <c r="L6" i="84"/>
  <c r="K6" i="84"/>
  <c r="J6" i="84"/>
  <c r="I6" i="84"/>
  <c r="H6" i="84"/>
  <c r="G6" i="84"/>
  <c r="F6" i="84"/>
  <c r="A6" i="84"/>
  <c r="A5" i="84"/>
  <c r="F10" i="43"/>
  <c r="EP10" i="43" l="1"/>
  <c r="EI10" i="43"/>
  <c r="EJ10" i="43"/>
  <c r="EL10" i="43"/>
  <c r="EK10" i="43"/>
  <c r="EM10" i="43"/>
  <c r="EN10" i="43"/>
  <c r="EO10" i="43"/>
  <c r="E8" i="26"/>
  <c r="G8" i="26" s="1"/>
  <c r="E9" i="26"/>
  <c r="G9" i="26" s="1"/>
  <c r="BS77" i="83" l="1"/>
  <c r="BR77" i="83"/>
  <c r="BQ77" i="83"/>
  <c r="BP77" i="83"/>
  <c r="BO77" i="83"/>
  <c r="BN77" i="83"/>
  <c r="BM77" i="83"/>
  <c r="BL77" i="83"/>
  <c r="BK77" i="83"/>
  <c r="BJ77" i="83"/>
  <c r="BI77" i="83"/>
  <c r="BH77" i="83"/>
  <c r="BG77" i="83"/>
  <c r="BF77" i="83"/>
  <c r="BE77" i="83"/>
  <c r="BD77" i="83"/>
  <c r="BC77" i="83"/>
  <c r="BB77" i="83"/>
  <c r="BA77" i="83"/>
  <c r="AZ77" i="83"/>
  <c r="AY77" i="83"/>
  <c r="AX77" i="83"/>
  <c r="AW77" i="83"/>
  <c r="AV77" i="83"/>
  <c r="AU77" i="83"/>
  <c r="AT77" i="83"/>
  <c r="AS77" i="83"/>
  <c r="AR77" i="83"/>
  <c r="AQ77" i="83"/>
  <c r="AP77" i="83"/>
  <c r="AO77" i="83"/>
  <c r="AN77" i="83"/>
  <c r="AM77" i="83"/>
  <c r="AL77" i="83"/>
  <c r="BS76" i="83"/>
  <c r="BR76" i="83"/>
  <c r="BQ76" i="83"/>
  <c r="BP76" i="83"/>
  <c r="BO76" i="83"/>
  <c r="BN76" i="83"/>
  <c r="BM76" i="83"/>
  <c r="BL76" i="83"/>
  <c r="BK76" i="83"/>
  <c r="BJ76" i="83"/>
  <c r="BI76" i="83"/>
  <c r="BH76" i="83"/>
  <c r="BG76" i="83"/>
  <c r="BF76" i="83"/>
  <c r="BE76" i="83"/>
  <c r="BD76" i="83"/>
  <c r="BC76" i="83"/>
  <c r="BB76" i="83"/>
  <c r="BA76" i="83"/>
  <c r="AZ76" i="83"/>
  <c r="AY76" i="83"/>
  <c r="AX76" i="83"/>
  <c r="AW76" i="83"/>
  <c r="AV76" i="83"/>
  <c r="AU76" i="83"/>
  <c r="AT76" i="83"/>
  <c r="AS76" i="83"/>
  <c r="AR76" i="83"/>
  <c r="AQ76" i="83"/>
  <c r="AP76" i="83"/>
  <c r="AO76" i="83"/>
  <c r="AN76" i="83"/>
  <c r="AM76" i="83"/>
  <c r="AL76" i="83"/>
  <c r="BS75" i="83"/>
  <c r="BR75" i="83"/>
  <c r="BQ75" i="83"/>
  <c r="BP75" i="83"/>
  <c r="BO75" i="83"/>
  <c r="BN75" i="83"/>
  <c r="BM75" i="83"/>
  <c r="BL75" i="83"/>
  <c r="BK75" i="83"/>
  <c r="BJ75" i="83"/>
  <c r="BI75" i="83"/>
  <c r="BH75" i="83"/>
  <c r="BG75" i="83"/>
  <c r="BF75" i="83"/>
  <c r="BE75" i="83"/>
  <c r="BD75" i="83"/>
  <c r="BC75" i="83"/>
  <c r="BB75" i="83"/>
  <c r="BA75" i="83"/>
  <c r="AZ75" i="83"/>
  <c r="AY75" i="83"/>
  <c r="AX75" i="83"/>
  <c r="AW75" i="83"/>
  <c r="AV75" i="83"/>
  <c r="AU75" i="83"/>
  <c r="AT75" i="83"/>
  <c r="AS75" i="83"/>
  <c r="AR75" i="83"/>
  <c r="AQ75" i="83"/>
  <c r="AP75" i="83"/>
  <c r="AO75" i="83"/>
  <c r="AN75" i="83"/>
  <c r="AM75" i="83"/>
  <c r="AL75" i="83"/>
  <c r="BS74" i="83"/>
  <c r="BR74" i="83"/>
  <c r="BQ74" i="83"/>
  <c r="BP74" i="83"/>
  <c r="BO74" i="83"/>
  <c r="BN74" i="83"/>
  <c r="BM74" i="83"/>
  <c r="BL74" i="83"/>
  <c r="BK74" i="83"/>
  <c r="BJ74" i="83"/>
  <c r="BI74" i="83"/>
  <c r="BH74" i="83"/>
  <c r="BG74" i="83"/>
  <c r="BF74" i="83"/>
  <c r="BE74" i="83"/>
  <c r="BD74" i="83"/>
  <c r="BC74" i="83"/>
  <c r="BB74" i="83"/>
  <c r="BA74" i="83"/>
  <c r="AZ74" i="83"/>
  <c r="AY74" i="83"/>
  <c r="AX74" i="83"/>
  <c r="AW74" i="83"/>
  <c r="AV74" i="83"/>
  <c r="AU74" i="83"/>
  <c r="AT74" i="83"/>
  <c r="AS74" i="83"/>
  <c r="AR74" i="83"/>
  <c r="AQ74" i="83"/>
  <c r="AP74" i="83"/>
  <c r="AO74" i="83"/>
  <c r="AN74" i="83"/>
  <c r="AM74" i="83"/>
  <c r="AL74" i="83"/>
  <c r="BS73" i="83"/>
  <c r="BR73" i="83"/>
  <c r="BQ73" i="83"/>
  <c r="BP73" i="83"/>
  <c r="BO73" i="83"/>
  <c r="BN73" i="83"/>
  <c r="BM73" i="83"/>
  <c r="BL73" i="83"/>
  <c r="BK73" i="83"/>
  <c r="BJ73" i="83"/>
  <c r="BI73" i="83"/>
  <c r="BH73" i="83"/>
  <c r="BG73" i="83"/>
  <c r="BF73" i="83"/>
  <c r="BE73" i="83"/>
  <c r="BD73" i="83"/>
  <c r="BC73" i="83"/>
  <c r="BB73" i="83"/>
  <c r="BA73" i="83"/>
  <c r="AZ73" i="83"/>
  <c r="AY73" i="83"/>
  <c r="AX73" i="83"/>
  <c r="AW73" i="83"/>
  <c r="AV73" i="83"/>
  <c r="AU73" i="83"/>
  <c r="AT73" i="83"/>
  <c r="AS73" i="83"/>
  <c r="AR73" i="83"/>
  <c r="AQ73" i="83"/>
  <c r="AP73" i="83"/>
  <c r="AO73" i="83"/>
  <c r="AN73" i="83"/>
  <c r="AM73" i="83"/>
  <c r="AL73" i="83"/>
  <c r="BS72" i="83"/>
  <c r="BR72" i="83"/>
  <c r="BQ72" i="83"/>
  <c r="BP72" i="83"/>
  <c r="BO72" i="83"/>
  <c r="BN72" i="83"/>
  <c r="BM72" i="83"/>
  <c r="BL72" i="83"/>
  <c r="BK72" i="83"/>
  <c r="BJ72" i="83"/>
  <c r="BI72" i="83"/>
  <c r="BH72" i="83"/>
  <c r="BG72" i="83"/>
  <c r="BF72" i="83"/>
  <c r="BE72" i="83"/>
  <c r="BD72" i="83"/>
  <c r="BC72" i="83"/>
  <c r="BB72" i="83"/>
  <c r="BA72" i="83"/>
  <c r="AZ72" i="83"/>
  <c r="AY72" i="83"/>
  <c r="AX72" i="83"/>
  <c r="AW72" i="83"/>
  <c r="AV72" i="83"/>
  <c r="AU72" i="83"/>
  <c r="AT72" i="83"/>
  <c r="AS72" i="83"/>
  <c r="AR72" i="83"/>
  <c r="AQ72" i="83"/>
  <c r="AP72" i="83"/>
  <c r="AO72" i="83"/>
  <c r="AN72" i="83"/>
  <c r="AM72" i="83"/>
  <c r="AL72" i="83"/>
  <c r="BS71" i="83"/>
  <c r="BR71" i="83"/>
  <c r="BQ71" i="83"/>
  <c r="BP71" i="83"/>
  <c r="BO71" i="83"/>
  <c r="BN71" i="83"/>
  <c r="BM71" i="83"/>
  <c r="BL71" i="83"/>
  <c r="BK71" i="83"/>
  <c r="BJ71" i="83"/>
  <c r="BI71" i="83"/>
  <c r="BH71" i="83"/>
  <c r="BG71" i="83"/>
  <c r="BF71" i="83"/>
  <c r="BE71" i="83"/>
  <c r="BD71" i="83"/>
  <c r="BC71" i="83"/>
  <c r="BB71" i="83"/>
  <c r="BA71" i="83"/>
  <c r="AZ71" i="83"/>
  <c r="AY71" i="83"/>
  <c r="AX71" i="83"/>
  <c r="AW71" i="83"/>
  <c r="AV71" i="83"/>
  <c r="AU71" i="83"/>
  <c r="AT71" i="83"/>
  <c r="AS71" i="83"/>
  <c r="AR71" i="83"/>
  <c r="AQ71" i="83"/>
  <c r="AP71" i="83"/>
  <c r="AO71" i="83"/>
  <c r="AN71" i="83"/>
  <c r="AM71" i="83"/>
  <c r="C71" i="83" s="1"/>
  <c r="BS70" i="83"/>
  <c r="BR70" i="83"/>
  <c r="BQ70" i="83"/>
  <c r="BP70" i="83"/>
  <c r="BO70" i="83"/>
  <c r="BN70" i="83"/>
  <c r="BM70" i="83"/>
  <c r="BL70" i="83"/>
  <c r="BK70" i="83"/>
  <c r="BJ70" i="83"/>
  <c r="BI70" i="83"/>
  <c r="BH70" i="83"/>
  <c r="BG70" i="83"/>
  <c r="BF70" i="83"/>
  <c r="BE70" i="83"/>
  <c r="BD70" i="83"/>
  <c r="BC70" i="83"/>
  <c r="BB70" i="83"/>
  <c r="BA70" i="83"/>
  <c r="AZ70" i="83"/>
  <c r="AY70" i="83"/>
  <c r="AX70" i="83"/>
  <c r="AW70" i="83"/>
  <c r="AV70" i="83"/>
  <c r="AU70" i="83"/>
  <c r="AT70" i="83"/>
  <c r="AS70" i="83"/>
  <c r="AR70" i="83"/>
  <c r="AQ70" i="83"/>
  <c r="AP70" i="83"/>
  <c r="AO70" i="83"/>
  <c r="AN70" i="83"/>
  <c r="AM70" i="83"/>
  <c r="C70" i="83" s="1"/>
  <c r="BS69" i="83"/>
  <c r="BR69" i="83"/>
  <c r="BQ69" i="83"/>
  <c r="BP69" i="83"/>
  <c r="BO69" i="83"/>
  <c r="BN69" i="83"/>
  <c r="BM69" i="83"/>
  <c r="BL69" i="83"/>
  <c r="BK69" i="83"/>
  <c r="BJ69" i="83"/>
  <c r="BI69" i="83"/>
  <c r="BH69" i="83"/>
  <c r="BG69" i="83"/>
  <c r="BF69" i="83"/>
  <c r="BE69" i="83"/>
  <c r="BD69" i="83"/>
  <c r="BC69" i="83"/>
  <c r="BB69" i="83"/>
  <c r="BA69" i="83"/>
  <c r="AZ69" i="83"/>
  <c r="AY69" i="83"/>
  <c r="AX69" i="83"/>
  <c r="AW69" i="83"/>
  <c r="AV69" i="83"/>
  <c r="AU69" i="83"/>
  <c r="AT69" i="83"/>
  <c r="AS69" i="83"/>
  <c r="AR69" i="83"/>
  <c r="AQ69" i="83"/>
  <c r="AP69" i="83"/>
  <c r="AO69" i="83"/>
  <c r="AN69" i="83"/>
  <c r="AM69" i="83"/>
  <c r="C69" i="83" s="1"/>
  <c r="BS68" i="83"/>
  <c r="BR68" i="83"/>
  <c r="BQ68" i="83"/>
  <c r="BP68" i="83"/>
  <c r="BO68" i="83"/>
  <c r="BN68" i="83"/>
  <c r="BM68" i="83"/>
  <c r="BL68" i="83"/>
  <c r="BK68" i="83"/>
  <c r="BJ68" i="83"/>
  <c r="BI68" i="83"/>
  <c r="BH68" i="83"/>
  <c r="BG68" i="83"/>
  <c r="BF68" i="83"/>
  <c r="BE68" i="83"/>
  <c r="BD68" i="83"/>
  <c r="BC68" i="83"/>
  <c r="BB68" i="83"/>
  <c r="BA68" i="83"/>
  <c r="AZ68" i="83"/>
  <c r="AY68" i="83"/>
  <c r="AX68" i="83"/>
  <c r="AW68" i="83"/>
  <c r="AV68" i="83"/>
  <c r="AU68" i="83"/>
  <c r="AT68" i="83"/>
  <c r="AS68" i="83"/>
  <c r="AR68" i="83"/>
  <c r="AQ68" i="83"/>
  <c r="AP68" i="83"/>
  <c r="AO68" i="83"/>
  <c r="AN68" i="83"/>
  <c r="AM68" i="83"/>
  <c r="C68" i="83" s="1"/>
  <c r="AL68" i="83"/>
  <c r="BS64" i="83"/>
  <c r="BR64" i="83"/>
  <c r="BQ64" i="83"/>
  <c r="BP64" i="83"/>
  <c r="BO64" i="83"/>
  <c r="BN64" i="83"/>
  <c r="BM64" i="83"/>
  <c r="BL64" i="83"/>
  <c r="BK64" i="83"/>
  <c r="BJ64" i="83"/>
  <c r="BI64" i="83"/>
  <c r="BH64" i="83"/>
  <c r="BG64" i="83"/>
  <c r="BF64" i="83"/>
  <c r="BE64" i="83"/>
  <c r="BD64" i="83"/>
  <c r="BC64" i="83"/>
  <c r="BB64" i="83"/>
  <c r="BA64" i="83"/>
  <c r="AZ64" i="83"/>
  <c r="AY64" i="83"/>
  <c r="AX64" i="83"/>
  <c r="AW64" i="83"/>
  <c r="AV64" i="83"/>
  <c r="AU64" i="83"/>
  <c r="AT64" i="83"/>
  <c r="AS64" i="83"/>
  <c r="AR64" i="83"/>
  <c r="AQ64" i="83"/>
  <c r="AP64" i="83"/>
  <c r="AO64" i="83"/>
  <c r="AN64" i="83"/>
  <c r="AM64" i="83"/>
  <c r="C64" i="83" s="1"/>
  <c r="AL64" i="83"/>
  <c r="BS63" i="83"/>
  <c r="BR63" i="83"/>
  <c r="BQ63" i="83"/>
  <c r="BP63" i="83"/>
  <c r="BO63" i="83"/>
  <c r="BN63" i="83"/>
  <c r="BM63" i="83"/>
  <c r="BL63" i="83"/>
  <c r="BK63" i="83"/>
  <c r="BJ63" i="83"/>
  <c r="BI63" i="83"/>
  <c r="BH63" i="83"/>
  <c r="BG63" i="83"/>
  <c r="BF63" i="83"/>
  <c r="BE63" i="83"/>
  <c r="BD63" i="83"/>
  <c r="BC63" i="83"/>
  <c r="BB63" i="83"/>
  <c r="BA63" i="83"/>
  <c r="AZ63" i="83"/>
  <c r="AY63" i="83"/>
  <c r="AX63" i="83"/>
  <c r="AW63" i="83"/>
  <c r="AV63" i="83"/>
  <c r="AU63" i="83"/>
  <c r="AT63" i="83"/>
  <c r="AS63" i="83"/>
  <c r="AR63" i="83"/>
  <c r="AQ63" i="83"/>
  <c r="AP63" i="83"/>
  <c r="AO63" i="83"/>
  <c r="AN63" i="83"/>
  <c r="AM63" i="83"/>
  <c r="AL63" i="83"/>
  <c r="AU62" i="83"/>
  <c r="AT62" i="83"/>
  <c r="AS62" i="83"/>
  <c r="AR62" i="83"/>
  <c r="AQ62" i="83"/>
  <c r="AP62" i="83"/>
  <c r="AO62" i="83"/>
  <c r="AN62" i="83"/>
  <c r="AM62" i="83"/>
  <c r="AL62" i="83"/>
  <c r="BS61" i="83"/>
  <c r="BR61" i="83"/>
  <c r="BQ61" i="83"/>
  <c r="BP61" i="83"/>
  <c r="BO61" i="83"/>
  <c r="BN61" i="83"/>
  <c r="BM61" i="83"/>
  <c r="BL61" i="83"/>
  <c r="BK61" i="83"/>
  <c r="BJ61" i="83"/>
  <c r="BI61" i="83"/>
  <c r="BH61" i="83"/>
  <c r="BG61" i="83"/>
  <c r="BF61" i="83"/>
  <c r="BE61" i="83"/>
  <c r="BD61" i="83"/>
  <c r="BC61" i="83"/>
  <c r="BB61" i="83"/>
  <c r="BA61" i="83"/>
  <c r="AZ61" i="83"/>
  <c r="AY61" i="83"/>
  <c r="AX61" i="83"/>
  <c r="AW61" i="83"/>
  <c r="AV61" i="83"/>
  <c r="AU61" i="83"/>
  <c r="AT61" i="83"/>
  <c r="AS61" i="83"/>
  <c r="AR61" i="83"/>
  <c r="AQ61" i="83"/>
  <c r="AP61" i="83"/>
  <c r="AO61" i="83"/>
  <c r="AN61" i="83"/>
  <c r="AM61" i="83"/>
  <c r="AL61" i="83"/>
  <c r="BS60" i="83"/>
  <c r="BR60" i="83"/>
  <c r="BQ60" i="83"/>
  <c r="BP60" i="83"/>
  <c r="BO60" i="83"/>
  <c r="BN60" i="83"/>
  <c r="BM60" i="83"/>
  <c r="BL60" i="83"/>
  <c r="BK60" i="83"/>
  <c r="BJ60" i="83"/>
  <c r="BI60" i="83"/>
  <c r="BH60" i="83"/>
  <c r="BG60" i="83"/>
  <c r="BF60" i="83"/>
  <c r="BE60" i="83"/>
  <c r="BD60" i="83"/>
  <c r="BC60" i="83"/>
  <c r="BB60" i="83"/>
  <c r="BA60" i="83"/>
  <c r="AZ60" i="83"/>
  <c r="AY60" i="83"/>
  <c r="AX60" i="83"/>
  <c r="AW60" i="83"/>
  <c r="AV60" i="83"/>
  <c r="AU60" i="83"/>
  <c r="AT60" i="83"/>
  <c r="AS60" i="83"/>
  <c r="AR60" i="83"/>
  <c r="AQ60" i="83"/>
  <c r="AP60" i="83"/>
  <c r="AO60" i="83"/>
  <c r="AN60" i="83"/>
  <c r="AM60" i="83"/>
  <c r="C60" i="83" s="1"/>
  <c r="AL60" i="83"/>
  <c r="BS59" i="83"/>
  <c r="BR59" i="83"/>
  <c r="BQ59" i="83"/>
  <c r="BP59" i="83"/>
  <c r="BO59" i="83"/>
  <c r="BN59" i="83"/>
  <c r="BM59" i="83"/>
  <c r="BL59" i="83"/>
  <c r="BK59" i="83"/>
  <c r="BJ59" i="83"/>
  <c r="BI59" i="83"/>
  <c r="BH59" i="83"/>
  <c r="BG59" i="83"/>
  <c r="BF59" i="83"/>
  <c r="BE59" i="83"/>
  <c r="BD59" i="83"/>
  <c r="BC59" i="83"/>
  <c r="BB59" i="83"/>
  <c r="BA59" i="83"/>
  <c r="AZ59" i="83"/>
  <c r="AY59" i="83"/>
  <c r="AX59" i="83"/>
  <c r="AW59" i="83"/>
  <c r="AV59" i="83"/>
  <c r="AU59" i="83"/>
  <c r="AT59" i="83"/>
  <c r="AS59" i="83"/>
  <c r="AR59" i="83"/>
  <c r="AQ59" i="83"/>
  <c r="AP59" i="83"/>
  <c r="AO59" i="83"/>
  <c r="AN59" i="83"/>
  <c r="AM59" i="83"/>
  <c r="C59" i="83" s="1"/>
  <c r="AL59" i="83"/>
  <c r="BS58" i="83"/>
  <c r="BR58" i="83"/>
  <c r="BQ58" i="83"/>
  <c r="BP58" i="83"/>
  <c r="BO58" i="83"/>
  <c r="BN58" i="83"/>
  <c r="BM58" i="83"/>
  <c r="BL58" i="83"/>
  <c r="BK58" i="83"/>
  <c r="BJ58" i="83"/>
  <c r="BI58" i="83"/>
  <c r="BH58" i="83"/>
  <c r="BG58" i="83"/>
  <c r="BF58" i="83"/>
  <c r="BE58" i="83"/>
  <c r="BD58" i="83"/>
  <c r="BC58" i="83"/>
  <c r="BB58" i="83"/>
  <c r="BA58" i="83"/>
  <c r="AZ58" i="83"/>
  <c r="AY58" i="83"/>
  <c r="AX58" i="83"/>
  <c r="AW58" i="83"/>
  <c r="AV58" i="83"/>
  <c r="AU58" i="83"/>
  <c r="AT58" i="83"/>
  <c r="AS58" i="83"/>
  <c r="AR58" i="83"/>
  <c r="AQ58" i="83"/>
  <c r="AP58" i="83"/>
  <c r="AO58" i="83"/>
  <c r="AN58" i="83"/>
  <c r="AM58" i="83"/>
  <c r="AL58" i="83"/>
  <c r="BS57" i="83"/>
  <c r="BR57" i="83"/>
  <c r="BQ57" i="83"/>
  <c r="BP57" i="83"/>
  <c r="BO57" i="83"/>
  <c r="BN57" i="83"/>
  <c r="BM57" i="83"/>
  <c r="BL57" i="83"/>
  <c r="BK57" i="83"/>
  <c r="BJ57" i="83"/>
  <c r="BI57" i="83"/>
  <c r="BH57" i="83"/>
  <c r="BG57" i="83"/>
  <c r="BF57" i="83"/>
  <c r="BE57" i="83"/>
  <c r="BD57" i="83"/>
  <c r="BC57" i="83"/>
  <c r="BB57" i="83"/>
  <c r="BA57" i="83"/>
  <c r="AZ57" i="83"/>
  <c r="AY57" i="83"/>
  <c r="AX57" i="83"/>
  <c r="AW57" i="83"/>
  <c r="AV57" i="83"/>
  <c r="AU57" i="83"/>
  <c r="AT57" i="83"/>
  <c r="AS57" i="83"/>
  <c r="AR57" i="83"/>
  <c r="AQ57" i="83"/>
  <c r="AP57" i="83"/>
  <c r="AO57" i="83"/>
  <c r="AN57" i="83"/>
  <c r="AM57" i="83"/>
  <c r="C57" i="83" s="1"/>
  <c r="BS56" i="83"/>
  <c r="BR56" i="83"/>
  <c r="BQ56" i="83"/>
  <c r="BP56" i="83"/>
  <c r="BO56" i="83"/>
  <c r="BN56" i="83"/>
  <c r="BM56" i="83"/>
  <c r="BL56" i="83"/>
  <c r="BK56" i="83"/>
  <c r="BJ56" i="83"/>
  <c r="BI56" i="83"/>
  <c r="BH56" i="83"/>
  <c r="BG56" i="83"/>
  <c r="BF56" i="83"/>
  <c r="BE56" i="83"/>
  <c r="BD56" i="83"/>
  <c r="BC56" i="83"/>
  <c r="BB56" i="83"/>
  <c r="BA56" i="83"/>
  <c r="AZ56" i="83"/>
  <c r="AY56" i="83"/>
  <c r="AX56" i="83"/>
  <c r="AW56" i="83"/>
  <c r="AV56" i="83"/>
  <c r="AU56" i="83"/>
  <c r="AT56" i="83"/>
  <c r="AS56" i="83"/>
  <c r="AR56" i="83"/>
  <c r="AQ56" i="83"/>
  <c r="AP56" i="83"/>
  <c r="AO56" i="83"/>
  <c r="AN56" i="83"/>
  <c r="AM56" i="83"/>
  <c r="C56" i="83" s="1"/>
  <c r="BS55" i="83"/>
  <c r="BR55" i="83"/>
  <c r="BQ55" i="83"/>
  <c r="BP55" i="83"/>
  <c r="BO55" i="83"/>
  <c r="BN55" i="83"/>
  <c r="BM55" i="83"/>
  <c r="BL55" i="83"/>
  <c r="BK55" i="83"/>
  <c r="BJ55" i="83"/>
  <c r="BI55" i="83"/>
  <c r="BH55" i="83"/>
  <c r="BG55" i="83"/>
  <c r="BF55" i="83"/>
  <c r="BE55" i="83"/>
  <c r="BD55" i="83"/>
  <c r="BC55" i="83"/>
  <c r="BB55" i="83"/>
  <c r="BA55" i="83"/>
  <c r="AZ55" i="83"/>
  <c r="AY55" i="83"/>
  <c r="AX55" i="83"/>
  <c r="AW55" i="83"/>
  <c r="AV55" i="83"/>
  <c r="AU55" i="83"/>
  <c r="AT55" i="83"/>
  <c r="AS55" i="83"/>
  <c r="AR55" i="83"/>
  <c r="AQ55" i="83"/>
  <c r="AP55" i="83"/>
  <c r="AO55" i="83"/>
  <c r="AN55" i="83"/>
  <c r="AM55" i="83"/>
  <c r="AL55" i="83"/>
  <c r="BS54" i="83"/>
  <c r="BR54" i="83"/>
  <c r="BQ54" i="83"/>
  <c r="BP54" i="83"/>
  <c r="BO54" i="83"/>
  <c r="BN54" i="83"/>
  <c r="BM54" i="83"/>
  <c r="BL54" i="83"/>
  <c r="BK54" i="83"/>
  <c r="BJ54" i="83"/>
  <c r="BI54" i="83"/>
  <c r="BH54" i="83"/>
  <c r="BG54" i="83"/>
  <c r="BF54" i="83"/>
  <c r="BE54" i="83"/>
  <c r="BD54" i="83"/>
  <c r="BC54" i="83"/>
  <c r="BB54" i="83"/>
  <c r="BA54" i="83"/>
  <c r="AZ54" i="83"/>
  <c r="AY54" i="83"/>
  <c r="AX54" i="83"/>
  <c r="AW54" i="83"/>
  <c r="AV54" i="83"/>
  <c r="AU54" i="83"/>
  <c r="AT54" i="83"/>
  <c r="AS54" i="83"/>
  <c r="AR54" i="83"/>
  <c r="AQ54" i="83"/>
  <c r="AP54" i="83"/>
  <c r="AO54" i="83"/>
  <c r="AN54" i="83"/>
  <c r="AM54" i="83"/>
  <c r="C54" i="83" s="1"/>
  <c r="AL54" i="83"/>
  <c r="AZ53" i="83"/>
  <c r="AU53" i="83"/>
  <c r="AT53" i="83"/>
  <c r="AS53" i="83"/>
  <c r="AR53" i="83"/>
  <c r="AQ53" i="83"/>
  <c r="AP53" i="83"/>
  <c r="AO53" i="83"/>
  <c r="AN53" i="83"/>
  <c r="AM53" i="83"/>
  <c r="C53" i="83" s="1"/>
  <c r="BS52" i="83"/>
  <c r="BR52" i="83"/>
  <c r="BQ52" i="83"/>
  <c r="BP52" i="83"/>
  <c r="BO52" i="83"/>
  <c r="BN52" i="83"/>
  <c r="BM52" i="83"/>
  <c r="BL52" i="83"/>
  <c r="BK52" i="83"/>
  <c r="BJ52" i="83"/>
  <c r="BI52" i="83"/>
  <c r="BH52" i="83"/>
  <c r="BG52" i="83"/>
  <c r="BF52" i="83"/>
  <c r="BE52" i="83"/>
  <c r="BD52" i="83"/>
  <c r="BC52" i="83"/>
  <c r="BB52" i="83"/>
  <c r="BA52" i="83"/>
  <c r="AZ52" i="83"/>
  <c r="AY52" i="83"/>
  <c r="AX52" i="83"/>
  <c r="AW52" i="83"/>
  <c r="AV52" i="83"/>
  <c r="AU52" i="83"/>
  <c r="AT52" i="83"/>
  <c r="AS52" i="83"/>
  <c r="AR52" i="83"/>
  <c r="AQ52" i="83"/>
  <c r="AP52" i="83"/>
  <c r="AO52" i="83"/>
  <c r="AN52" i="83"/>
  <c r="AM52" i="83"/>
  <c r="C52" i="83" s="1"/>
  <c r="BS51" i="83"/>
  <c r="BR51" i="83"/>
  <c r="BQ51" i="83"/>
  <c r="BP51" i="83"/>
  <c r="BO51" i="83"/>
  <c r="BN51" i="83"/>
  <c r="BM51" i="83"/>
  <c r="BL51" i="83"/>
  <c r="BK51" i="83"/>
  <c r="BJ51" i="83"/>
  <c r="BI51" i="83"/>
  <c r="BH51" i="83"/>
  <c r="BG51" i="83"/>
  <c r="BF51" i="83"/>
  <c r="BE51" i="83"/>
  <c r="BD51" i="83"/>
  <c r="BC51" i="83"/>
  <c r="BB51" i="83"/>
  <c r="BA51" i="83"/>
  <c r="AZ51" i="83"/>
  <c r="AY51" i="83"/>
  <c r="AX51" i="83"/>
  <c r="AW51" i="83"/>
  <c r="AV51" i="83"/>
  <c r="AU51" i="83"/>
  <c r="AT51" i="83"/>
  <c r="AS51" i="83"/>
  <c r="AR51" i="83"/>
  <c r="AQ51" i="83"/>
  <c r="AP51" i="83"/>
  <c r="AO51" i="83"/>
  <c r="AN51" i="83"/>
  <c r="AM51" i="83"/>
  <c r="C51" i="83" s="1"/>
  <c r="AI49" i="83"/>
  <c r="AH49" i="83"/>
  <c r="AG49" i="83"/>
  <c r="AF49" i="83"/>
  <c r="AE49" i="83"/>
  <c r="AD49" i="83"/>
  <c r="AC49" i="83"/>
  <c r="AB49" i="83"/>
  <c r="AA49" i="83"/>
  <c r="Z49" i="83"/>
  <c r="Y49" i="83"/>
  <c r="X49" i="83"/>
  <c r="W49" i="83"/>
  <c r="V49" i="83"/>
  <c r="U49" i="83"/>
  <c r="T49" i="83"/>
  <c r="S49" i="83"/>
  <c r="R49" i="83"/>
  <c r="Q49" i="83"/>
  <c r="P49" i="83"/>
  <c r="O49" i="83"/>
  <c r="N49" i="83"/>
  <c r="M49" i="83"/>
  <c r="L49" i="83"/>
  <c r="K49" i="83"/>
  <c r="I49" i="83"/>
  <c r="AX48" i="83"/>
  <c r="AU48" i="83"/>
  <c r="AT48" i="83"/>
  <c r="AS48" i="83"/>
  <c r="AR48" i="83"/>
  <c r="AQ48" i="83"/>
  <c r="AP48" i="83"/>
  <c r="AO48" i="83"/>
  <c r="AN48" i="83"/>
  <c r="AM48" i="83"/>
  <c r="AL48" i="83"/>
  <c r="AL44" i="83"/>
  <c r="BL33" i="1"/>
  <c r="BX11" i="82"/>
  <c r="BY11" i="82"/>
  <c r="BW10" i="75"/>
  <c r="BX10" i="75"/>
  <c r="BY10" i="75"/>
  <c r="BW10" i="74"/>
  <c r="BX10" i="74"/>
  <c r="BY10" i="74"/>
  <c r="BY12" i="73"/>
  <c r="BW12" i="62"/>
  <c r="BX12" i="62"/>
  <c r="BY12" i="62"/>
  <c r="BW14" i="58"/>
  <c r="BX14" i="58"/>
  <c r="BY14" i="58"/>
  <c r="BW15" i="58"/>
  <c r="BX15" i="58"/>
  <c r="BY15" i="58"/>
  <c r="BW10" i="48"/>
  <c r="BX10" i="48"/>
  <c r="BY10" i="48"/>
  <c r="BV8" i="40"/>
  <c r="BW8" i="40"/>
  <c r="BX8" i="40"/>
  <c r="AG49" i="22"/>
  <c r="AH49" i="22"/>
  <c r="AI49" i="22"/>
  <c r="DL51" i="22"/>
  <c r="DM51" i="22"/>
  <c r="DN51" i="22"/>
  <c r="AJ51" i="22" s="1"/>
  <c r="DL52" i="22"/>
  <c r="DM52" i="22"/>
  <c r="DN52" i="22"/>
  <c r="AJ52" i="22" s="1"/>
  <c r="DL54" i="22"/>
  <c r="DM54" i="22"/>
  <c r="DN54" i="22"/>
  <c r="AJ54" i="22" s="1"/>
  <c r="DL55" i="22"/>
  <c r="DM55" i="22"/>
  <c r="DN55" i="22"/>
  <c r="AJ55" i="22" s="1"/>
  <c r="DL56" i="22"/>
  <c r="DM56" i="22"/>
  <c r="DN56" i="22"/>
  <c r="AJ56" i="22" s="1"/>
  <c r="DL57" i="22"/>
  <c r="DM57" i="22"/>
  <c r="DN57" i="22"/>
  <c r="AJ57" i="22" s="1"/>
  <c r="DL58" i="22"/>
  <c r="DM58" i="22"/>
  <c r="DN58" i="22"/>
  <c r="AJ58" i="22" s="1"/>
  <c r="DL59" i="22"/>
  <c r="DM59" i="22"/>
  <c r="DN59" i="22"/>
  <c r="AJ59" i="22" s="1"/>
  <c r="DL60" i="22"/>
  <c r="DM60" i="22"/>
  <c r="DN60" i="22"/>
  <c r="AJ60" i="22" s="1"/>
  <c r="DL61" i="22"/>
  <c r="DM61" i="22"/>
  <c r="DN61" i="22"/>
  <c r="AJ61" i="22" s="1"/>
  <c r="DL63" i="22"/>
  <c r="DM63" i="22"/>
  <c r="DN63" i="22"/>
  <c r="AJ63" i="22" s="1"/>
  <c r="DL64" i="22"/>
  <c r="DM64" i="22"/>
  <c r="DN64" i="22"/>
  <c r="AJ64" i="22" s="1"/>
  <c r="DL68" i="22"/>
  <c r="DM68" i="22"/>
  <c r="DN68" i="22"/>
  <c r="AJ68" i="22" s="1"/>
  <c r="DL69" i="22"/>
  <c r="DM69" i="22"/>
  <c r="DN69" i="22"/>
  <c r="AJ69" i="22" s="1"/>
  <c r="DL70" i="22"/>
  <c r="DM70" i="22"/>
  <c r="DN70" i="22"/>
  <c r="AJ70" i="22" s="1"/>
  <c r="DL71" i="22"/>
  <c r="DM71" i="22"/>
  <c r="DN71" i="22"/>
  <c r="AJ71" i="22" s="1"/>
  <c r="DL72" i="22"/>
  <c r="DM72" i="22"/>
  <c r="DN72" i="22"/>
  <c r="AJ72" i="22" s="1"/>
  <c r="DL73" i="22"/>
  <c r="DM73" i="22"/>
  <c r="DN73" i="22"/>
  <c r="AJ73" i="22" s="1"/>
  <c r="DL74" i="22"/>
  <c r="DM74" i="22"/>
  <c r="DN74" i="22"/>
  <c r="AJ74" i="22" s="1"/>
  <c r="DL75" i="22"/>
  <c r="DM75" i="22"/>
  <c r="DN75" i="22"/>
  <c r="AJ75" i="22" s="1"/>
  <c r="DL76" i="22"/>
  <c r="DM76" i="22"/>
  <c r="DN76" i="22"/>
  <c r="AJ76" i="22" s="1"/>
  <c r="DL77" i="22"/>
  <c r="DM77" i="22"/>
  <c r="DN77" i="22"/>
  <c r="AJ77" i="22" s="1"/>
  <c r="BU88" i="1"/>
  <c r="BV88" i="1"/>
  <c r="BW88" i="1"/>
  <c r="DO65" i="22" l="1"/>
  <c r="AK65" i="22" s="1"/>
  <c r="C58" i="83"/>
  <c r="AD76" i="83"/>
  <c r="AI51" i="83"/>
  <c r="J77" i="83"/>
  <c r="R77" i="83"/>
  <c r="Z77" i="83"/>
  <c r="AH77" i="83"/>
  <c r="V51" i="83"/>
  <c r="M52" i="83"/>
  <c r="U52" i="83"/>
  <c r="AC52" i="83"/>
  <c r="E68" i="83"/>
  <c r="M68" i="83"/>
  <c r="U68" i="83"/>
  <c r="AC68" i="83"/>
  <c r="AF76" i="83"/>
  <c r="AH52" i="83"/>
  <c r="K56" i="83"/>
  <c r="F59" i="83"/>
  <c r="N59" i="83"/>
  <c r="V59" i="83"/>
  <c r="G71" i="83"/>
  <c r="G75" i="83"/>
  <c r="O75" i="83"/>
  <c r="W75" i="83"/>
  <c r="H56" i="83"/>
  <c r="P56" i="83"/>
  <c r="T72" i="83"/>
  <c r="K68" i="83"/>
  <c r="S68" i="83"/>
  <c r="AA68" i="83"/>
  <c r="AI68" i="83"/>
  <c r="E48" i="83"/>
  <c r="U69" i="83"/>
  <c r="O71" i="83"/>
  <c r="W71" i="83"/>
  <c r="AE71" i="83"/>
  <c r="AB72" i="83"/>
  <c r="K69" i="83"/>
  <c r="I71" i="83"/>
  <c r="Z61" i="83"/>
  <c r="F57" i="83"/>
  <c r="N57" i="83"/>
  <c r="V57" i="83"/>
  <c r="Y64" i="83"/>
  <c r="AG64" i="83"/>
  <c r="AD59" i="83"/>
  <c r="K48" i="83"/>
  <c r="H54" i="83"/>
  <c r="F64" i="83"/>
  <c r="N64" i="83"/>
  <c r="V64" i="83"/>
  <c r="X56" i="83"/>
  <c r="G53" i="83"/>
  <c r="E55" i="83"/>
  <c r="AC55" i="83"/>
  <c r="G62" i="83"/>
  <c r="H73" i="83"/>
  <c r="P73" i="83"/>
  <c r="X73" i="83"/>
  <c r="AF73" i="83"/>
  <c r="H59" i="83"/>
  <c r="P59" i="83"/>
  <c r="AD64" i="83"/>
  <c r="AG70" i="83"/>
  <c r="W56" i="83"/>
  <c r="AF56" i="83"/>
  <c r="N58" i="83"/>
  <c r="E54" i="83"/>
  <c r="H61" i="83"/>
  <c r="P61" i="83"/>
  <c r="X61" i="83"/>
  <c r="AF61" i="83"/>
  <c r="L63" i="83"/>
  <c r="AA58" i="83"/>
  <c r="O57" i="83"/>
  <c r="V68" i="83"/>
  <c r="K70" i="83"/>
  <c r="AI52" i="22"/>
  <c r="G51" i="83"/>
  <c r="O51" i="83"/>
  <c r="W51" i="83"/>
  <c r="AE51" i="83"/>
  <c r="X54" i="83"/>
  <c r="AF54" i="83"/>
  <c r="D70" i="83"/>
  <c r="L70" i="83"/>
  <c r="T70" i="83"/>
  <c r="AI77" i="83"/>
  <c r="K54" i="83"/>
  <c r="S58" i="83"/>
  <c r="AI58" i="83"/>
  <c r="L64" i="83"/>
  <c r="L51" i="83"/>
  <c r="G57" i="83"/>
  <c r="W57" i="83"/>
  <c r="M51" i="83"/>
  <c r="U51" i="83"/>
  <c r="AC51" i="83"/>
  <c r="F68" i="83"/>
  <c r="AI70" i="83"/>
  <c r="D51" i="83"/>
  <c r="J58" i="83"/>
  <c r="Z58" i="83"/>
  <c r="K64" i="83"/>
  <c r="S64" i="83"/>
  <c r="AA64" i="83"/>
  <c r="AI64" i="83"/>
  <c r="N70" i="83"/>
  <c r="AD70" i="83"/>
  <c r="L74" i="83"/>
  <c r="T74" i="83"/>
  <c r="AB74" i="83"/>
  <c r="J75" i="83"/>
  <c r="R75" i="83"/>
  <c r="Z75" i="83"/>
  <c r="T51" i="83"/>
  <c r="AB51" i="83"/>
  <c r="S56" i="83"/>
  <c r="AI56" i="83"/>
  <c r="I70" i="83"/>
  <c r="Q70" i="83"/>
  <c r="Y70" i="83"/>
  <c r="AG73" i="83"/>
  <c r="AH76" i="83"/>
  <c r="U57" i="83"/>
  <c r="AE75" i="83"/>
  <c r="H76" i="83"/>
  <c r="P76" i="83"/>
  <c r="M54" i="83"/>
  <c r="U54" i="83"/>
  <c r="AC54" i="83"/>
  <c r="J55" i="83"/>
  <c r="R55" i="83"/>
  <c r="Z55" i="83"/>
  <c r="G56" i="83"/>
  <c r="O63" i="83"/>
  <c r="AE63" i="83"/>
  <c r="AB70" i="83"/>
  <c r="AG75" i="83"/>
  <c r="H48" i="83"/>
  <c r="X60" i="83"/>
  <c r="AF60" i="83"/>
  <c r="T64" i="83"/>
  <c r="AB64" i="83"/>
  <c r="I72" i="83"/>
  <c r="Q72" i="83"/>
  <c r="Y72" i="83"/>
  <c r="AG72" i="83"/>
  <c r="O73" i="83"/>
  <c r="W73" i="83"/>
  <c r="E74" i="83"/>
  <c r="M74" i="83"/>
  <c r="U74" i="83"/>
  <c r="AC74" i="83"/>
  <c r="E77" i="83"/>
  <c r="M77" i="83"/>
  <c r="U77" i="83"/>
  <c r="AC77" i="83"/>
  <c r="H53" i="83"/>
  <c r="S54" i="83"/>
  <c r="AA54" i="83"/>
  <c r="AI54" i="83"/>
  <c r="J56" i="83"/>
  <c r="Z56" i="83"/>
  <c r="AE57" i="83"/>
  <c r="U60" i="83"/>
  <c r="D63" i="83"/>
  <c r="T63" i="83"/>
  <c r="E75" i="83"/>
  <c r="U75" i="83"/>
  <c r="X76" i="83"/>
  <c r="J52" i="83"/>
  <c r="R52" i="83"/>
  <c r="Z52" i="83"/>
  <c r="P55" i="83"/>
  <c r="X55" i="83"/>
  <c r="AF55" i="83"/>
  <c r="I57" i="83"/>
  <c r="Q57" i="83"/>
  <c r="Y57" i="83"/>
  <c r="AG57" i="83"/>
  <c r="F58" i="83"/>
  <c r="K59" i="83"/>
  <c r="S59" i="83"/>
  <c r="AA59" i="83"/>
  <c r="AI59" i="83"/>
  <c r="AD63" i="83"/>
  <c r="P64" i="83"/>
  <c r="X64" i="83"/>
  <c r="AF64" i="83"/>
  <c r="J68" i="83"/>
  <c r="R68" i="83"/>
  <c r="Z68" i="83"/>
  <c r="AH68" i="83"/>
  <c r="D71" i="83"/>
  <c r="F72" i="83"/>
  <c r="N72" i="83"/>
  <c r="V72" i="83"/>
  <c r="AD72" i="83"/>
  <c r="C73" i="83"/>
  <c r="K73" i="83"/>
  <c r="S73" i="83"/>
  <c r="AA73" i="83"/>
  <c r="AI73" i="83"/>
  <c r="H60" i="83"/>
  <c r="P60" i="83"/>
  <c r="W63" i="83"/>
  <c r="Q64" i="83"/>
  <c r="K53" i="83"/>
  <c r="AH55" i="83"/>
  <c r="AI57" i="83"/>
  <c r="AH69" i="83"/>
  <c r="W70" i="83"/>
  <c r="AI76" i="83"/>
  <c r="AH51" i="83"/>
  <c r="E52" i="83"/>
  <c r="O56" i="83"/>
  <c r="AE56" i="83"/>
  <c r="Q63" i="83"/>
  <c r="AG63" i="83"/>
  <c r="AI69" i="83"/>
  <c r="U71" i="83"/>
  <c r="AC71" i="83"/>
  <c r="AH75" i="83"/>
  <c r="AD57" i="83"/>
  <c r="D60" i="83"/>
  <c r="T60" i="83"/>
  <c r="AB60" i="83"/>
  <c r="X70" i="83"/>
  <c r="N76" i="83"/>
  <c r="M55" i="83"/>
  <c r="U55" i="83"/>
  <c r="E57" i="83"/>
  <c r="J62" i="83"/>
  <c r="AB63" i="83"/>
  <c r="S69" i="83"/>
  <c r="AA69" i="83"/>
  <c r="M72" i="83"/>
  <c r="H72" i="83"/>
  <c r="P72" i="83"/>
  <c r="X72" i="83"/>
  <c r="AF72" i="83"/>
  <c r="AH73" i="83"/>
  <c r="J73" i="83"/>
  <c r="R73" i="83"/>
  <c r="Z73" i="83"/>
  <c r="G74" i="83"/>
  <c r="O74" i="83"/>
  <c r="I75" i="83"/>
  <c r="Y75" i="83"/>
  <c r="D77" i="83"/>
  <c r="L77" i="83"/>
  <c r="T77" i="83"/>
  <c r="AB77" i="83"/>
  <c r="K52" i="83"/>
  <c r="AI52" i="83"/>
  <c r="AI55" i="83"/>
  <c r="E61" i="83"/>
  <c r="U61" i="83"/>
  <c r="AB69" i="83"/>
  <c r="D48" i="83"/>
  <c r="N51" i="83"/>
  <c r="AH57" i="83"/>
  <c r="V58" i="83"/>
  <c r="AD58" i="83"/>
  <c r="X59" i="83"/>
  <c r="AF59" i="83"/>
  <c r="E62" i="83"/>
  <c r="G63" i="83"/>
  <c r="O64" i="83"/>
  <c r="D64" i="83"/>
  <c r="H71" i="83"/>
  <c r="C72" i="83"/>
  <c r="S72" i="83"/>
  <c r="AA72" i="83"/>
  <c r="E73" i="83"/>
  <c r="M73" i="83"/>
  <c r="U73" i="83"/>
  <c r="AC73" i="83"/>
  <c r="D74" i="83"/>
  <c r="J74" i="83"/>
  <c r="R74" i="83"/>
  <c r="Z74" i="83"/>
  <c r="AH74" i="83"/>
  <c r="AI75" i="83"/>
  <c r="O77" i="83"/>
  <c r="AE77" i="83"/>
  <c r="AC61" i="83"/>
  <c r="T69" i="83"/>
  <c r="AG76" i="83"/>
  <c r="V71" i="83"/>
  <c r="AA52" i="83"/>
  <c r="AF57" i="83"/>
  <c r="Q76" i="83"/>
  <c r="P54" i="83"/>
  <c r="R56" i="83"/>
  <c r="AA56" i="83"/>
  <c r="AH56" i="83"/>
  <c r="D57" i="83"/>
  <c r="L57" i="83"/>
  <c r="I58" i="83"/>
  <c r="Y58" i="83"/>
  <c r="I61" i="83"/>
  <c r="Q61" i="83"/>
  <c r="Y61" i="83"/>
  <c r="AG61" i="83"/>
  <c r="W64" i="83"/>
  <c r="AE64" i="83"/>
  <c r="N68" i="83"/>
  <c r="AD68" i="83"/>
  <c r="G69" i="83"/>
  <c r="W69" i="83"/>
  <c r="J71" i="83"/>
  <c r="R71" i="83"/>
  <c r="Z71" i="83"/>
  <c r="AH71" i="83"/>
  <c r="D72" i="83"/>
  <c r="L72" i="83"/>
  <c r="U72" i="83"/>
  <c r="AC72" i="83"/>
  <c r="G73" i="83"/>
  <c r="AE73" i="83"/>
  <c r="M75" i="83"/>
  <c r="AC75" i="83"/>
  <c r="E76" i="83"/>
  <c r="M76" i="83"/>
  <c r="U76" i="83"/>
  <c r="AC76" i="83"/>
  <c r="AI72" i="22"/>
  <c r="P51" i="83"/>
  <c r="X51" i="83"/>
  <c r="AF51" i="83"/>
  <c r="D53" i="83"/>
  <c r="Q55" i="83"/>
  <c r="Y55" i="83"/>
  <c r="AG55" i="83"/>
  <c r="J61" i="83"/>
  <c r="R61" i="83"/>
  <c r="AH61" i="83"/>
  <c r="C63" i="83"/>
  <c r="S63" i="83"/>
  <c r="AA63" i="83"/>
  <c r="I64" i="83"/>
  <c r="AG69" i="83"/>
  <c r="E72" i="83"/>
  <c r="Q75" i="83"/>
  <c r="G76" i="83"/>
  <c r="O76" i="83"/>
  <c r="W76" i="83"/>
  <c r="AE76" i="83"/>
  <c r="DM65" i="22"/>
  <c r="BR65" i="83"/>
  <c r="DN65" i="22"/>
  <c r="BS65" i="83"/>
  <c r="F52" i="83"/>
  <c r="G52" i="83"/>
  <c r="N52" i="83"/>
  <c r="O52" i="83"/>
  <c r="V52" i="83"/>
  <c r="W52" i="83"/>
  <c r="AD52" i="83"/>
  <c r="AE52" i="83"/>
  <c r="H52" i="83"/>
  <c r="I52" i="83"/>
  <c r="P52" i="83"/>
  <c r="Q52" i="83"/>
  <c r="X52" i="83"/>
  <c r="Y52" i="83"/>
  <c r="AF52" i="83"/>
  <c r="AG52" i="83"/>
  <c r="J51" i="83"/>
  <c r="K51" i="83"/>
  <c r="R51" i="83"/>
  <c r="S51" i="83"/>
  <c r="Z51" i="83"/>
  <c r="AA51" i="83"/>
  <c r="G70" i="83"/>
  <c r="H70" i="83"/>
  <c r="O70" i="83"/>
  <c r="P70" i="83"/>
  <c r="AE70" i="83"/>
  <c r="AF70" i="83"/>
  <c r="S52" i="83"/>
  <c r="T52" i="83"/>
  <c r="S60" i="83"/>
  <c r="P71" i="83"/>
  <c r="Q71" i="83"/>
  <c r="X71" i="83"/>
  <c r="Y71" i="83"/>
  <c r="AF71" i="83"/>
  <c r="AG71" i="83"/>
  <c r="K72" i="83"/>
  <c r="J72" i="83"/>
  <c r="AI72" i="83"/>
  <c r="AH72" i="83"/>
  <c r="E51" i="83"/>
  <c r="F51" i="83"/>
  <c r="O69" i="83"/>
  <c r="P69" i="83"/>
  <c r="AE69" i="83"/>
  <c r="AF69" i="83"/>
  <c r="I55" i="83"/>
  <c r="H55" i="83"/>
  <c r="AA60" i="83"/>
  <c r="AI60" i="83"/>
  <c r="M61" i="83"/>
  <c r="K63" i="83"/>
  <c r="J63" i="83"/>
  <c r="AI63" i="83"/>
  <c r="AH63" i="83"/>
  <c r="H64" i="83"/>
  <c r="G64" i="83"/>
  <c r="L60" i="83"/>
  <c r="K60" i="83"/>
  <c r="H51" i="83"/>
  <c r="I51" i="83"/>
  <c r="P57" i="83"/>
  <c r="R58" i="83"/>
  <c r="Q58" i="83"/>
  <c r="AH58" i="83"/>
  <c r="AG58" i="83"/>
  <c r="E60" i="83"/>
  <c r="M60" i="83"/>
  <c r="AC60" i="83"/>
  <c r="V74" i="83"/>
  <c r="W74" i="83"/>
  <c r="AE74" i="83"/>
  <c r="AD74" i="83"/>
  <c r="K58" i="83"/>
  <c r="D56" i="83"/>
  <c r="L56" i="83"/>
  <c r="T56" i="83"/>
  <c r="AB56" i="83"/>
  <c r="G61" i="83"/>
  <c r="O61" i="83"/>
  <c r="W61" i="83"/>
  <c r="AE61" i="83"/>
  <c r="R72" i="83"/>
  <c r="Z72" i="83"/>
  <c r="F53" i="83"/>
  <c r="M56" i="83"/>
  <c r="F56" i="83"/>
  <c r="N56" i="83"/>
  <c r="V56" i="83"/>
  <c r="AD56" i="83"/>
  <c r="AC69" i="83"/>
  <c r="D75" i="83"/>
  <c r="C75" i="83"/>
  <c r="L75" i="83"/>
  <c r="K75" i="83"/>
  <c r="T75" i="83"/>
  <c r="S75" i="83"/>
  <c r="AB75" i="83"/>
  <c r="AA75" i="83"/>
  <c r="J76" i="83"/>
  <c r="I76" i="83"/>
  <c r="Z76" i="83"/>
  <c r="Y76" i="83"/>
  <c r="N77" i="83"/>
  <c r="AD77" i="83"/>
  <c r="H57" i="83"/>
  <c r="X57" i="83"/>
  <c r="T57" i="83"/>
  <c r="AB57" i="83"/>
  <c r="G59" i="83"/>
  <c r="O59" i="83"/>
  <c r="W59" i="83"/>
  <c r="AE59" i="83"/>
  <c r="D62" i="83"/>
  <c r="J64" i="83"/>
  <c r="R64" i="83"/>
  <c r="Z64" i="83"/>
  <c r="AH64" i="83"/>
  <c r="I69" i="83"/>
  <c r="J69" i="83"/>
  <c r="Q69" i="83"/>
  <c r="R69" i="83"/>
  <c r="Y69" i="83"/>
  <c r="Z69" i="83"/>
  <c r="AD71" i="83"/>
  <c r="G77" i="83"/>
  <c r="F77" i="83"/>
  <c r="W77" i="83"/>
  <c r="V77" i="83"/>
  <c r="I53" i="83"/>
  <c r="I56" i="83"/>
  <c r="Q56" i="83"/>
  <c r="Y56" i="83"/>
  <c r="AG56" i="83"/>
  <c r="M57" i="83"/>
  <c r="AC57" i="83"/>
  <c r="J60" i="83"/>
  <c r="R60" i="83"/>
  <c r="Z60" i="83"/>
  <c r="AH60" i="83"/>
  <c r="AI61" i="83"/>
  <c r="F62" i="83"/>
  <c r="I63" i="83"/>
  <c r="Y63" i="83"/>
  <c r="E53" i="83"/>
  <c r="D54" i="83"/>
  <c r="L54" i="83"/>
  <c r="T54" i="83"/>
  <c r="AB54" i="83"/>
  <c r="E64" i="83"/>
  <c r="M64" i="83"/>
  <c r="U64" i="83"/>
  <c r="AC64" i="83"/>
  <c r="D69" i="83"/>
  <c r="E69" i="83"/>
  <c r="L69" i="83"/>
  <c r="M69" i="83"/>
  <c r="E71" i="83"/>
  <c r="F71" i="83"/>
  <c r="M71" i="83"/>
  <c r="N71" i="83"/>
  <c r="F74" i="83"/>
  <c r="N74" i="83"/>
  <c r="R76" i="83"/>
  <c r="I68" i="83"/>
  <c r="Q68" i="83"/>
  <c r="Y68" i="83"/>
  <c r="AG68" i="83"/>
  <c r="Y73" i="83"/>
  <c r="F73" i="83"/>
  <c r="N73" i="83"/>
  <c r="V73" i="83"/>
  <c r="AD73" i="83"/>
  <c r="H74" i="83"/>
  <c r="P74" i="83"/>
  <c r="X74" i="83"/>
  <c r="AF74" i="83"/>
  <c r="F76" i="83"/>
  <c r="V76" i="83"/>
  <c r="J70" i="83"/>
  <c r="R70" i="83"/>
  <c r="Z70" i="83"/>
  <c r="AH70" i="83"/>
  <c r="K71" i="83"/>
  <c r="S71" i="83"/>
  <c r="AA71" i="83"/>
  <c r="AI71" i="83"/>
  <c r="I73" i="83"/>
  <c r="C77" i="83"/>
  <c r="S77" i="83"/>
  <c r="D68" i="83"/>
  <c r="L68" i="83"/>
  <c r="T68" i="83"/>
  <c r="AB68" i="83"/>
  <c r="S70" i="83"/>
  <c r="T71" i="83"/>
  <c r="C74" i="83"/>
  <c r="K74" i="83"/>
  <c r="S74" i="83"/>
  <c r="AA74" i="83"/>
  <c r="AI74" i="83"/>
  <c r="H75" i="83"/>
  <c r="P75" i="83"/>
  <c r="X75" i="83"/>
  <c r="AF75" i="83"/>
  <c r="E70" i="83"/>
  <c r="M70" i="83"/>
  <c r="U70" i="83"/>
  <c r="AC70" i="83"/>
  <c r="Q73" i="83"/>
  <c r="G68" i="83"/>
  <c r="O68" i="83"/>
  <c r="W68" i="83"/>
  <c r="AE68" i="83"/>
  <c r="F69" i="83"/>
  <c r="N69" i="83"/>
  <c r="V69" i="83"/>
  <c r="AD69" i="83"/>
  <c r="AA70" i="83"/>
  <c r="K77" i="83"/>
  <c r="AA77" i="83"/>
  <c r="G55" i="83"/>
  <c r="F55" i="83"/>
  <c r="O55" i="83"/>
  <c r="N55" i="83"/>
  <c r="W55" i="83"/>
  <c r="V55" i="83"/>
  <c r="AE55" i="83"/>
  <c r="AD55" i="83"/>
  <c r="J57" i="83"/>
  <c r="K57" i="83"/>
  <c r="R57" i="83"/>
  <c r="S57" i="83"/>
  <c r="Z57" i="83"/>
  <c r="AA57" i="83"/>
  <c r="E59" i="83"/>
  <c r="D59" i="83"/>
  <c r="M59" i="83"/>
  <c r="L59" i="83"/>
  <c r="U59" i="83"/>
  <c r="T59" i="83"/>
  <c r="AC59" i="83"/>
  <c r="AB59" i="83"/>
  <c r="J53" i="83"/>
  <c r="E56" i="83"/>
  <c r="H62" i="83"/>
  <c r="I62" i="83"/>
  <c r="C48" i="83"/>
  <c r="Q51" i="83"/>
  <c r="AD51" i="83"/>
  <c r="U56" i="83"/>
  <c r="D58" i="83"/>
  <c r="E58" i="83"/>
  <c r="L58" i="83"/>
  <c r="M58" i="83"/>
  <c r="T58" i="83"/>
  <c r="U58" i="83"/>
  <c r="AB58" i="83"/>
  <c r="AC58" i="83"/>
  <c r="F60" i="83"/>
  <c r="G60" i="83"/>
  <c r="N60" i="83"/>
  <c r="O60" i="83"/>
  <c r="V60" i="83"/>
  <c r="W60" i="83"/>
  <c r="AD60" i="83"/>
  <c r="AE60" i="83"/>
  <c r="E63" i="83"/>
  <c r="F63" i="83"/>
  <c r="N63" i="83"/>
  <c r="M63" i="83"/>
  <c r="V63" i="83"/>
  <c r="U63" i="83"/>
  <c r="F48" i="83"/>
  <c r="G48" i="83"/>
  <c r="F54" i="83"/>
  <c r="G54" i="83"/>
  <c r="N54" i="83"/>
  <c r="O54" i="83"/>
  <c r="V54" i="83"/>
  <c r="W54" i="83"/>
  <c r="AD54" i="83"/>
  <c r="AE54" i="83"/>
  <c r="AG51" i="83"/>
  <c r="L52" i="83"/>
  <c r="H58" i="83"/>
  <c r="G58" i="83"/>
  <c r="P58" i="83"/>
  <c r="O58" i="83"/>
  <c r="X58" i="83"/>
  <c r="W58" i="83"/>
  <c r="AF58" i="83"/>
  <c r="AE58" i="83"/>
  <c r="C61" i="83"/>
  <c r="D61" i="83"/>
  <c r="K61" i="83"/>
  <c r="L61" i="83"/>
  <c r="S61" i="83"/>
  <c r="T61" i="83"/>
  <c r="AA61" i="83"/>
  <c r="AB61" i="83"/>
  <c r="J48" i="83"/>
  <c r="I48" i="83"/>
  <c r="AB52" i="83"/>
  <c r="J54" i="83"/>
  <c r="I54" i="83"/>
  <c r="R54" i="83"/>
  <c r="Q54" i="83"/>
  <c r="Z54" i="83"/>
  <c r="Y54" i="83"/>
  <c r="AH54" i="83"/>
  <c r="AG54" i="83"/>
  <c r="C55" i="83"/>
  <c r="D55" i="83"/>
  <c r="K55" i="83"/>
  <c r="L55" i="83"/>
  <c r="S55" i="83"/>
  <c r="T55" i="83"/>
  <c r="AA55" i="83"/>
  <c r="AB55" i="83"/>
  <c r="I59" i="83"/>
  <c r="J59" i="83"/>
  <c r="Q59" i="83"/>
  <c r="R59" i="83"/>
  <c r="Y59" i="83"/>
  <c r="Z59" i="83"/>
  <c r="AG59" i="83"/>
  <c r="AH59" i="83"/>
  <c r="Y51" i="83"/>
  <c r="D52" i="83"/>
  <c r="AC56" i="83"/>
  <c r="Z63" i="83"/>
  <c r="AC63" i="83"/>
  <c r="L71" i="83"/>
  <c r="AB71" i="83"/>
  <c r="I60" i="83"/>
  <c r="Q60" i="83"/>
  <c r="Y60" i="83"/>
  <c r="AG60" i="83"/>
  <c r="F61" i="83"/>
  <c r="N61" i="83"/>
  <c r="V61" i="83"/>
  <c r="AD61" i="83"/>
  <c r="C62" i="83"/>
  <c r="K62" i="83"/>
  <c r="H63" i="83"/>
  <c r="R63" i="83"/>
  <c r="H69" i="83"/>
  <c r="X69" i="83"/>
  <c r="P63" i="83"/>
  <c r="X63" i="83"/>
  <c r="AF63" i="83"/>
  <c r="F70" i="83"/>
  <c r="V70" i="83"/>
  <c r="D76" i="83"/>
  <c r="L76" i="83"/>
  <c r="T76" i="83"/>
  <c r="AB76" i="83"/>
  <c r="I77" i="83"/>
  <c r="Q77" i="83"/>
  <c r="Y77" i="83"/>
  <c r="AG77" i="83"/>
  <c r="H68" i="83"/>
  <c r="P68" i="83"/>
  <c r="X68" i="83"/>
  <c r="AF68" i="83"/>
  <c r="G72" i="83"/>
  <c r="O72" i="83"/>
  <c r="W72" i="83"/>
  <c r="AE72" i="83"/>
  <c r="D73" i="83"/>
  <c r="L73" i="83"/>
  <c r="T73" i="83"/>
  <c r="AB73" i="83"/>
  <c r="I74" i="83"/>
  <c r="Q74" i="83"/>
  <c r="Y74" i="83"/>
  <c r="AG74" i="83"/>
  <c r="F75" i="83"/>
  <c r="N75" i="83"/>
  <c r="V75" i="83"/>
  <c r="AD75" i="83"/>
  <c r="C76" i="83"/>
  <c r="K76" i="83"/>
  <c r="S76" i="83"/>
  <c r="AA76" i="83"/>
  <c r="H77" i="83"/>
  <c r="P77" i="83"/>
  <c r="X77" i="83"/>
  <c r="AF77" i="83"/>
  <c r="AI73" i="22"/>
  <c r="AI70" i="22"/>
  <c r="AI58" i="22"/>
  <c r="AH73" i="22"/>
  <c r="AH61" i="22"/>
  <c r="AH77" i="22"/>
  <c r="AI74" i="22"/>
  <c r="AH57" i="22"/>
  <c r="AI54" i="22"/>
  <c r="AH75" i="22"/>
  <c r="AH76" i="22"/>
  <c r="AI64" i="22"/>
  <c r="AH58" i="22"/>
  <c r="AI55" i="22"/>
  <c r="AH72" i="22"/>
  <c r="AI69" i="22"/>
  <c r="AH64" i="22"/>
  <c r="AI51" i="22"/>
  <c r="AI76" i="22"/>
  <c r="AH71" i="22"/>
  <c r="AI68" i="22"/>
  <c r="AH63" i="22"/>
  <c r="AI59" i="22"/>
  <c r="AH54" i="22"/>
  <c r="AH69" i="22"/>
  <c r="AI63" i="22"/>
  <c r="AI60" i="22"/>
  <c r="AH55" i="22"/>
  <c r="AH52" i="22"/>
  <c r="AH74" i="22"/>
  <c r="AI71" i="22"/>
  <c r="AH60" i="22"/>
  <c r="AI57" i="22"/>
  <c r="AI77" i="22"/>
  <c r="AH51" i="22"/>
  <c r="AH59" i="22"/>
  <c r="AI56" i="22"/>
  <c r="AI75" i="22"/>
  <c r="AH70" i="22"/>
  <c r="AI61" i="22"/>
  <c r="AH56" i="22"/>
  <c r="AH68" i="22"/>
  <c r="BW11" i="82"/>
  <c r="BT11" i="82"/>
  <c r="BO11" i="82"/>
  <c r="BL11" i="82"/>
  <c r="BD11" i="82"/>
  <c r="AP11" i="82"/>
  <c r="AM11" i="82"/>
  <c r="Z11" i="82"/>
  <c r="Y11" i="82"/>
  <c r="K11" i="82"/>
  <c r="E10" i="82"/>
  <c r="BU11" i="82"/>
  <c r="BS11" i="82"/>
  <c r="BR11" i="82"/>
  <c r="BQ11" i="82"/>
  <c r="BN11" i="82"/>
  <c r="BM11" i="82"/>
  <c r="BK11" i="82"/>
  <c r="BJ11" i="82"/>
  <c r="BI11" i="82"/>
  <c r="BH11" i="82"/>
  <c r="BG11" i="82"/>
  <c r="BE11" i="82"/>
  <c r="BC11" i="82"/>
  <c r="BB11" i="82"/>
  <c r="BA11" i="82"/>
  <c r="AZ11" i="82"/>
  <c r="AW11" i="82"/>
  <c r="AV11" i="82"/>
  <c r="AT11" i="82"/>
  <c r="AS11" i="82"/>
  <c r="AR11" i="82"/>
  <c r="AQ11" i="82"/>
  <c r="AO11" i="82"/>
  <c r="AL11" i="82"/>
  <c r="AK11" i="82"/>
  <c r="AI11" i="82"/>
  <c r="AH11" i="82"/>
  <c r="AG11" i="82"/>
  <c r="AF11" i="82"/>
  <c r="AE11" i="82"/>
  <c r="AD11" i="82"/>
  <c r="AC11" i="82"/>
  <c r="AA11" i="82"/>
  <c r="X11" i="82"/>
  <c r="W11" i="82"/>
  <c r="V11" i="82"/>
  <c r="U11" i="82"/>
  <c r="T11" i="82"/>
  <c r="S11" i="82"/>
  <c r="Q11" i="82"/>
  <c r="P11" i="82"/>
  <c r="O11" i="82"/>
  <c r="N11" i="82"/>
  <c r="M11" i="82"/>
  <c r="L11" i="82"/>
  <c r="J11" i="82"/>
  <c r="E2" i="82"/>
  <c r="F10" i="14"/>
  <c r="E9" i="14"/>
  <c r="F9" i="14" s="1"/>
  <c r="BW12" i="73"/>
  <c r="BX12" i="73"/>
  <c r="BT88" i="1"/>
  <c r="BT30" i="1"/>
  <c r="BU30" i="1"/>
  <c r="BV30" i="1"/>
  <c r="BW30" i="1"/>
  <c r="BT29" i="1"/>
  <c r="BU29" i="1"/>
  <c r="BV29" i="1"/>
  <c r="BW29" i="1"/>
  <c r="BX29" i="1"/>
  <c r="BT10" i="1"/>
  <c r="BU10" i="1"/>
  <c r="BV10" i="1"/>
  <c r="BW10" i="1"/>
  <c r="BT116" i="1"/>
  <c r="BU116" i="1"/>
  <c r="BV116" i="1"/>
  <c r="BW116" i="1"/>
  <c r="BT111" i="1"/>
  <c r="BU111" i="1"/>
  <c r="BV111" i="1"/>
  <c r="BW111" i="1"/>
  <c r="BT110" i="1"/>
  <c r="BU110" i="1"/>
  <c r="BV110" i="1"/>
  <c r="BW110" i="1"/>
  <c r="BT109" i="1"/>
  <c r="BU109" i="1"/>
  <c r="BV109" i="1"/>
  <c r="BW109" i="1"/>
  <c r="BT106" i="1"/>
  <c r="BT107" i="1" s="1"/>
  <c r="BU106" i="1"/>
  <c r="BU107" i="1" s="1"/>
  <c r="BV106" i="1"/>
  <c r="BV107" i="1" s="1"/>
  <c r="BW106" i="1"/>
  <c r="BW107" i="1" s="1"/>
  <c r="BT105" i="1"/>
  <c r="BU105" i="1"/>
  <c r="BV105" i="1"/>
  <c r="BW105" i="1"/>
  <c r="BT66" i="1"/>
  <c r="BU66" i="1"/>
  <c r="BV66" i="1"/>
  <c r="BW66" i="1"/>
  <c r="BT41" i="1"/>
  <c r="BU41" i="1"/>
  <c r="BV41" i="1"/>
  <c r="BW41" i="1"/>
  <c r="BT34" i="1"/>
  <c r="BU34" i="1"/>
  <c r="BV34" i="1"/>
  <c r="BW34" i="1"/>
  <c r="BT33" i="1"/>
  <c r="BU33" i="1"/>
  <c r="BV33" i="1"/>
  <c r="BW33" i="1"/>
  <c r="BT67" i="1"/>
  <c r="BU67" i="1"/>
  <c r="BV67" i="1"/>
  <c r="BW67" i="1"/>
  <c r="BT91" i="1"/>
  <c r="BU91" i="1"/>
  <c r="BV91" i="1"/>
  <c r="BW91" i="1"/>
  <c r="BT56" i="1"/>
  <c r="BU56" i="1"/>
  <c r="BV56" i="1"/>
  <c r="BW56" i="1"/>
  <c r="BT6" i="1"/>
  <c r="BU6" i="1"/>
  <c r="BV6" i="1"/>
  <c r="BW6" i="1"/>
  <c r="BT84" i="1"/>
  <c r="BU84" i="1"/>
  <c r="BV84" i="1"/>
  <c r="BW84" i="1"/>
  <c r="BT82" i="1"/>
  <c r="BU82" i="1"/>
  <c r="BV82" i="1"/>
  <c r="BW82" i="1"/>
  <c r="BT71" i="1"/>
  <c r="BU71" i="1"/>
  <c r="BV71" i="1"/>
  <c r="BW71" i="1"/>
  <c r="BT47" i="1"/>
  <c r="BU47" i="1"/>
  <c r="BV47" i="1"/>
  <c r="BW47" i="1"/>
  <c r="BT25" i="1"/>
  <c r="BU25" i="1"/>
  <c r="BV25" i="1"/>
  <c r="BW25" i="1"/>
  <c r="BT21" i="1"/>
  <c r="BU21" i="1"/>
  <c r="BV21" i="1"/>
  <c r="BW21" i="1"/>
  <c r="DK51" i="22"/>
  <c r="AG51" i="22" s="1"/>
  <c r="DK52" i="22"/>
  <c r="AG52" i="22" s="1"/>
  <c r="DK54" i="22"/>
  <c r="AG54" i="22" s="1"/>
  <c r="DK55" i="22"/>
  <c r="AG55" i="22" s="1"/>
  <c r="DK56" i="22"/>
  <c r="AG56" i="22" s="1"/>
  <c r="DK57" i="22"/>
  <c r="AG57" i="22" s="1"/>
  <c r="DK58" i="22"/>
  <c r="AG58" i="22" s="1"/>
  <c r="DK59" i="22"/>
  <c r="AG59" i="22" s="1"/>
  <c r="DK60" i="22"/>
  <c r="AG60" i="22" s="1"/>
  <c r="DK61" i="22"/>
  <c r="AG61" i="22" s="1"/>
  <c r="DK63" i="22"/>
  <c r="AG63" i="22" s="1"/>
  <c r="DK64" i="22"/>
  <c r="AG64" i="22" s="1"/>
  <c r="DK68" i="22"/>
  <c r="AG68" i="22" s="1"/>
  <c r="DK69" i="22"/>
  <c r="AG69" i="22" s="1"/>
  <c r="DK70" i="22"/>
  <c r="AG70" i="22" s="1"/>
  <c r="DK71" i="22"/>
  <c r="AG71" i="22" s="1"/>
  <c r="DK72" i="22"/>
  <c r="AG72" i="22" s="1"/>
  <c r="DK73" i="22"/>
  <c r="AG73" i="22" s="1"/>
  <c r="DK74" i="22"/>
  <c r="AG74" i="22" s="1"/>
  <c r="DK75" i="22"/>
  <c r="AG75" i="22" s="1"/>
  <c r="DK76" i="22"/>
  <c r="AG76" i="22" s="1"/>
  <c r="DK77" i="22"/>
  <c r="AG77" i="22" s="1"/>
  <c r="AF49" i="22"/>
  <c r="BS33" i="1"/>
  <c r="AJ65" i="22" l="1"/>
  <c r="DO48" i="22"/>
  <c r="AK48" i="22" s="1"/>
  <c r="DO53" i="22"/>
  <c r="AK53" i="22" s="1"/>
  <c r="DO62" i="22"/>
  <c r="AK62" i="22" s="1"/>
  <c r="DO82" i="22"/>
  <c r="AK82" i="22" s="1"/>
  <c r="F10" i="82"/>
  <c r="AI65" i="22"/>
  <c r="DN48" i="22"/>
  <c r="BS48" i="83"/>
  <c r="DL48" i="22"/>
  <c r="BQ48" i="83"/>
  <c r="DN53" i="22"/>
  <c r="BS53" i="83"/>
  <c r="DN62" i="22"/>
  <c r="BS62" i="83"/>
  <c r="DN82" i="22"/>
  <c r="BS82" i="83"/>
  <c r="DM53" i="22"/>
  <c r="BR53" i="83"/>
  <c r="DM62" i="22"/>
  <c r="BR62" i="83"/>
  <c r="DM82" i="22"/>
  <c r="BR82" i="83"/>
  <c r="DL65" i="22"/>
  <c r="AH65" i="22" s="1"/>
  <c r="BQ65" i="83"/>
  <c r="AH65" i="83" s="1"/>
  <c r="DL53" i="22"/>
  <c r="BQ53" i="83"/>
  <c r="DL62" i="22"/>
  <c r="BQ62" i="83"/>
  <c r="DL82" i="22"/>
  <c r="BQ82" i="83"/>
  <c r="AI65" i="83"/>
  <c r="DM48" i="22"/>
  <c r="BR48" i="83"/>
  <c r="AN11" i="82"/>
  <c r="BV11" i="82"/>
  <c r="I11" i="82"/>
  <c r="R11" i="82"/>
  <c r="AB11" i="82"/>
  <c r="AJ11" i="82"/>
  <c r="AU11" i="82"/>
  <c r="BF11" i="82"/>
  <c r="BP11" i="82"/>
  <c r="AY11" i="82"/>
  <c r="BS10" i="1"/>
  <c r="BR6" i="1"/>
  <c r="E11" i="13"/>
  <c r="F11" i="13" s="1"/>
  <c r="DJ51" i="22"/>
  <c r="AF51" i="22" s="1"/>
  <c r="DJ52" i="22"/>
  <c r="AF52" i="22" s="1"/>
  <c r="DJ54" i="22"/>
  <c r="AF54" i="22" s="1"/>
  <c r="DJ55" i="22"/>
  <c r="AF55" i="22" s="1"/>
  <c r="DJ56" i="22"/>
  <c r="AF56" i="22" s="1"/>
  <c r="DJ57" i="22"/>
  <c r="AF57" i="22" s="1"/>
  <c r="DJ58" i="22"/>
  <c r="AF58" i="22" s="1"/>
  <c r="DJ59" i="22"/>
  <c r="AF59" i="22" s="1"/>
  <c r="DJ60" i="22"/>
  <c r="AF60" i="22" s="1"/>
  <c r="DJ61" i="22"/>
  <c r="AF61" i="22" s="1"/>
  <c r="DJ63" i="22"/>
  <c r="AF63" i="22" s="1"/>
  <c r="DJ64" i="22"/>
  <c r="AF64" i="22" s="1"/>
  <c r="DJ68" i="22"/>
  <c r="AF68" i="22" s="1"/>
  <c r="DJ69" i="22"/>
  <c r="AF69" i="22" s="1"/>
  <c r="DJ70" i="22"/>
  <c r="AF70" i="22" s="1"/>
  <c r="DJ71" i="22"/>
  <c r="AF71" i="22" s="1"/>
  <c r="DJ72" i="22"/>
  <c r="AF72" i="22" s="1"/>
  <c r="DJ73" i="22"/>
  <c r="AF73" i="22" s="1"/>
  <c r="DJ74" i="22"/>
  <c r="AF74" i="22" s="1"/>
  <c r="DJ75" i="22"/>
  <c r="AF75" i="22" s="1"/>
  <c r="DJ76" i="22"/>
  <c r="AF76" i="22" s="1"/>
  <c r="DJ77" i="22"/>
  <c r="AF77" i="22" s="1"/>
  <c r="AE49" i="22"/>
  <c r="BR82" i="1"/>
  <c r="BR71" i="1"/>
  <c r="AG13" i="81"/>
  <c r="AH13" i="81"/>
  <c r="AK13" i="81"/>
  <c r="BL13" i="81"/>
  <c r="AU13" i="81"/>
  <c r="AW13" i="81"/>
  <c r="AY13" i="81"/>
  <c r="BD13" i="81"/>
  <c r="AJ48" i="22" l="1"/>
  <c r="AJ53" i="22"/>
  <c r="AJ62" i="22"/>
  <c r="AJ82" i="22"/>
  <c r="AH82" i="22"/>
  <c r="AH62" i="22"/>
  <c r="AH53" i="22"/>
  <c r="AI53" i="22"/>
  <c r="AI82" i="22"/>
  <c r="AH48" i="22"/>
  <c r="AI82" i="83"/>
  <c r="AI62" i="22"/>
  <c r="AI48" i="22"/>
  <c r="AI62" i="83"/>
  <c r="AH62" i="83"/>
  <c r="AH53" i="83"/>
  <c r="AI53" i="83"/>
  <c r="AH48" i="83"/>
  <c r="AH82" i="83"/>
  <c r="DJ53" i="22"/>
  <c r="BO53" i="83"/>
  <c r="AI48" i="83"/>
  <c r="DJ48" i="22"/>
  <c r="BO48" i="83"/>
  <c r="E11" i="81"/>
  <c r="E10" i="81"/>
  <c r="E2" i="81"/>
  <c r="AD49" i="22"/>
  <c r="DI51" i="22"/>
  <c r="AE51" i="22" s="1"/>
  <c r="DI52" i="22"/>
  <c r="AE52" i="22" s="1"/>
  <c r="DI54" i="22"/>
  <c r="AE54" i="22" s="1"/>
  <c r="DI55" i="22"/>
  <c r="AE55" i="22" s="1"/>
  <c r="DI56" i="22"/>
  <c r="AE56" i="22" s="1"/>
  <c r="DI57" i="22"/>
  <c r="AE57" i="22" s="1"/>
  <c r="DI58" i="22"/>
  <c r="AE58" i="22" s="1"/>
  <c r="DI59" i="22"/>
  <c r="AE59" i="22" s="1"/>
  <c r="DI60" i="22"/>
  <c r="AE60" i="22" s="1"/>
  <c r="DI61" i="22"/>
  <c r="AE61" i="22" s="1"/>
  <c r="DI63" i="22"/>
  <c r="AE63" i="22" s="1"/>
  <c r="DI64" i="22"/>
  <c r="AE64" i="22" s="1"/>
  <c r="DI68" i="22"/>
  <c r="AE68" i="22" s="1"/>
  <c r="DI69" i="22"/>
  <c r="AE69" i="22" s="1"/>
  <c r="DI70" i="22"/>
  <c r="AE70" i="22" s="1"/>
  <c r="DI71" i="22"/>
  <c r="AE71" i="22" s="1"/>
  <c r="DI72" i="22"/>
  <c r="AE72" i="22" s="1"/>
  <c r="DI73" i="22"/>
  <c r="AE73" i="22" s="1"/>
  <c r="DI74" i="22"/>
  <c r="AE74" i="22" s="1"/>
  <c r="DI75" i="22"/>
  <c r="AE75" i="22" s="1"/>
  <c r="DI76" i="22"/>
  <c r="AE76" i="22" s="1"/>
  <c r="DI77" i="22"/>
  <c r="AE77" i="22" s="1"/>
  <c r="E10" i="80" l="1"/>
  <c r="E2" i="80"/>
  <c r="AC49" i="22"/>
  <c r="DH51" i="22"/>
  <c r="AD51" i="22" s="1"/>
  <c r="DH52" i="22"/>
  <c r="AD52" i="22" s="1"/>
  <c r="DH54" i="22"/>
  <c r="AD54" i="22" s="1"/>
  <c r="DH55" i="22"/>
  <c r="AD55" i="22" s="1"/>
  <c r="DH56" i="22"/>
  <c r="AD56" i="22" s="1"/>
  <c r="DH57" i="22"/>
  <c r="AD57" i="22" s="1"/>
  <c r="DH58" i="22"/>
  <c r="AD58" i="22" s="1"/>
  <c r="DH59" i="22"/>
  <c r="AD59" i="22" s="1"/>
  <c r="DH60" i="22"/>
  <c r="AD60" i="22" s="1"/>
  <c r="DH61" i="22"/>
  <c r="AD61" i="22" s="1"/>
  <c r="DH63" i="22"/>
  <c r="AD63" i="22" s="1"/>
  <c r="DH64" i="22"/>
  <c r="AD64" i="22" s="1"/>
  <c r="DH68" i="22"/>
  <c r="AD68" i="22" s="1"/>
  <c r="DH69" i="22"/>
  <c r="AD69" i="22" s="1"/>
  <c r="DH70" i="22"/>
  <c r="AD70" i="22" s="1"/>
  <c r="DH71" i="22"/>
  <c r="AD71" i="22" s="1"/>
  <c r="DH72" i="22"/>
  <c r="AD72" i="22" s="1"/>
  <c r="DH73" i="22"/>
  <c r="AD73" i="22" s="1"/>
  <c r="DH74" i="22"/>
  <c r="AD74" i="22" s="1"/>
  <c r="DH75" i="22"/>
  <c r="AD75" i="22" s="1"/>
  <c r="DH76" i="22"/>
  <c r="AD76" i="22" s="1"/>
  <c r="DH77" i="22"/>
  <c r="AD77" i="22" s="1"/>
  <c r="BP34" i="1"/>
  <c r="BQ34" i="1"/>
  <c r="BR34" i="1"/>
  <c r="BS34" i="1"/>
  <c r="BP33" i="1"/>
  <c r="BQ33" i="1"/>
  <c r="BR33" i="1"/>
  <c r="BP41" i="1"/>
  <c r="BQ41" i="1"/>
  <c r="BR41" i="1"/>
  <c r="BS41" i="1"/>
  <c r="BP66" i="1"/>
  <c r="BQ66" i="1"/>
  <c r="BR66" i="1"/>
  <c r="BS66" i="1"/>
  <c r="BP87" i="1"/>
  <c r="BP88" i="1" s="1"/>
  <c r="BQ87" i="1"/>
  <c r="BQ88" i="1" s="1"/>
  <c r="BR87" i="1"/>
  <c r="BR88" i="1" s="1"/>
  <c r="BS87" i="1"/>
  <c r="BS88" i="1" s="1"/>
  <c r="BP105" i="1"/>
  <c r="BQ105" i="1"/>
  <c r="BR105" i="1"/>
  <c r="BS105" i="1"/>
  <c r="BP106" i="1"/>
  <c r="BP107" i="1" s="1"/>
  <c r="BQ106" i="1"/>
  <c r="BQ107" i="1" s="1"/>
  <c r="BR106" i="1"/>
  <c r="BR107" i="1" s="1"/>
  <c r="BS106" i="1"/>
  <c r="BS107" i="1" s="1"/>
  <c r="BP111" i="1"/>
  <c r="BQ111" i="1"/>
  <c r="BR111" i="1"/>
  <c r="BS111" i="1"/>
  <c r="BP110" i="1"/>
  <c r="BQ110" i="1"/>
  <c r="BR110" i="1"/>
  <c r="BS110" i="1"/>
  <c r="BP109" i="1"/>
  <c r="BQ109" i="1"/>
  <c r="BR109" i="1"/>
  <c r="BS109" i="1"/>
  <c r="BP29" i="1"/>
  <c r="BQ29" i="1"/>
  <c r="BR29" i="1"/>
  <c r="BS29" i="1"/>
  <c r="BP10" i="1"/>
  <c r="BQ10" i="1"/>
  <c r="BR10" i="1"/>
  <c r="BP30" i="1"/>
  <c r="BQ30" i="1"/>
  <c r="BR30" i="1"/>
  <c r="BS30" i="1"/>
  <c r="BP67" i="1"/>
  <c r="BQ67" i="1"/>
  <c r="BR67" i="1"/>
  <c r="BS67" i="1"/>
  <c r="BP6" i="1"/>
  <c r="BQ6" i="1"/>
  <c r="BS6" i="1"/>
  <c r="BP116" i="1"/>
  <c r="BQ116" i="1"/>
  <c r="BR116" i="1"/>
  <c r="BS116" i="1"/>
  <c r="BP91" i="1"/>
  <c r="BQ91" i="1"/>
  <c r="BR91" i="1"/>
  <c r="BS91" i="1"/>
  <c r="BP56" i="1"/>
  <c r="BQ56" i="1"/>
  <c r="BR56" i="1"/>
  <c r="BS56" i="1"/>
  <c r="BP84" i="1"/>
  <c r="BQ84" i="1"/>
  <c r="BR84" i="1"/>
  <c r="BS84" i="1"/>
  <c r="BP82" i="1"/>
  <c r="BQ82" i="1"/>
  <c r="BS82" i="1"/>
  <c r="BP71" i="1"/>
  <c r="BQ71" i="1"/>
  <c r="BS71" i="1"/>
  <c r="BP47" i="1"/>
  <c r="BQ47" i="1"/>
  <c r="BR47" i="1"/>
  <c r="BS47" i="1"/>
  <c r="BP25" i="1"/>
  <c r="BQ25" i="1"/>
  <c r="BR25" i="1"/>
  <c r="BS25" i="1"/>
  <c r="BP21" i="1"/>
  <c r="BQ21" i="1"/>
  <c r="BR21" i="1"/>
  <c r="BS21" i="1"/>
  <c r="E11" i="79"/>
  <c r="E10" i="79"/>
  <c r="E2" i="79"/>
  <c r="BL6" i="1"/>
  <c r="BO6" i="1"/>
  <c r="BN6" i="1"/>
  <c r="BN13" i="25"/>
  <c r="BJ13" i="25"/>
  <c r="BB13" i="25"/>
  <c r="AS13" i="25"/>
  <c r="AW13" i="25"/>
  <c r="F10" i="79" l="1"/>
  <c r="F11" i="79"/>
  <c r="BR10" i="79"/>
  <c r="BD10" i="79"/>
  <c r="F10" i="80"/>
  <c r="DI48" i="22"/>
  <c r="AE48" i="22" s="1"/>
  <c r="BN48" i="83"/>
  <c r="AE48" i="83" s="1"/>
  <c r="DK65" i="22"/>
  <c r="AG65" i="22" s="1"/>
  <c r="BP65" i="83"/>
  <c r="DH48" i="22"/>
  <c r="BM48" i="83"/>
  <c r="DJ62" i="22"/>
  <c r="BO62" i="83"/>
  <c r="DH65" i="22"/>
  <c r="BM65" i="83"/>
  <c r="DK62" i="22"/>
  <c r="AG62" i="22" s="1"/>
  <c r="BP62" i="83"/>
  <c r="AG62" i="83" s="1"/>
  <c r="DK53" i="22"/>
  <c r="AF53" i="22" s="1"/>
  <c r="BP53" i="83"/>
  <c r="DI62" i="22"/>
  <c r="BN62" i="83"/>
  <c r="DI82" i="22"/>
  <c r="BN82" i="83"/>
  <c r="DH82" i="22"/>
  <c r="BM82" i="83"/>
  <c r="DI65" i="22"/>
  <c r="BN65" i="83"/>
  <c r="DI53" i="22"/>
  <c r="AE53" i="22" s="1"/>
  <c r="BN53" i="83"/>
  <c r="DH62" i="22"/>
  <c r="BM62" i="83"/>
  <c r="DJ65" i="22"/>
  <c r="BO65" i="83"/>
  <c r="DH53" i="22"/>
  <c r="BM53" i="83"/>
  <c r="DK82" i="22"/>
  <c r="AG82" i="22" s="1"/>
  <c r="BP82" i="83"/>
  <c r="AG82" i="83" s="1"/>
  <c r="DK48" i="22"/>
  <c r="AF48" i="22" s="1"/>
  <c r="BP48" i="83"/>
  <c r="DJ82" i="22"/>
  <c r="BO82" i="83"/>
  <c r="DG51" i="22"/>
  <c r="AC51" i="22" s="1"/>
  <c r="DG52" i="22"/>
  <c r="AC52" i="22" s="1"/>
  <c r="DG54" i="22"/>
  <c r="AC54" i="22" s="1"/>
  <c r="DG55" i="22"/>
  <c r="AC55" i="22" s="1"/>
  <c r="DG56" i="22"/>
  <c r="AC56" i="22" s="1"/>
  <c r="DG57" i="22"/>
  <c r="AC57" i="22" s="1"/>
  <c r="DG58" i="22"/>
  <c r="AC58" i="22" s="1"/>
  <c r="DG59" i="22"/>
  <c r="AC59" i="22" s="1"/>
  <c r="DG60" i="22"/>
  <c r="AC60" i="22" s="1"/>
  <c r="DG61" i="22"/>
  <c r="AC61" i="22" s="1"/>
  <c r="DG63" i="22"/>
  <c r="AC63" i="22" s="1"/>
  <c r="DG64" i="22"/>
  <c r="AC64" i="22" s="1"/>
  <c r="DG68" i="22"/>
  <c r="AC68" i="22" s="1"/>
  <c r="DG69" i="22"/>
  <c r="AC69" i="22" s="1"/>
  <c r="DG70" i="22"/>
  <c r="AC70" i="22" s="1"/>
  <c r="DG71" i="22"/>
  <c r="AC71" i="22" s="1"/>
  <c r="DG72" i="22"/>
  <c r="AC72" i="22" s="1"/>
  <c r="DG73" i="22"/>
  <c r="AC73" i="22" s="1"/>
  <c r="DG74" i="22"/>
  <c r="AC74" i="22" s="1"/>
  <c r="DG75" i="22"/>
  <c r="AC75" i="22" s="1"/>
  <c r="DG76" i="22"/>
  <c r="AC76" i="22" s="1"/>
  <c r="DG77" i="22"/>
  <c r="AC77" i="22" s="1"/>
  <c r="AB49" i="22"/>
  <c r="BO87" i="1"/>
  <c r="AG53" i="22" l="1"/>
  <c r="AF65" i="22"/>
  <c r="AE62" i="22"/>
  <c r="AF62" i="83"/>
  <c r="AF62" i="22"/>
  <c r="AE65" i="22"/>
  <c r="AD48" i="22"/>
  <c r="AD62" i="22"/>
  <c r="AE82" i="22"/>
  <c r="AE62" i="83"/>
  <c r="AD53" i="22"/>
  <c r="AD65" i="22"/>
  <c r="AE65" i="83"/>
  <c r="AD82" i="22"/>
  <c r="AG48" i="22"/>
  <c r="AG53" i="83"/>
  <c r="AF53" i="83"/>
  <c r="AD48" i="83"/>
  <c r="AE82" i="83"/>
  <c r="AF82" i="83"/>
  <c r="AF65" i="83"/>
  <c r="AG65" i="83"/>
  <c r="AG48" i="83"/>
  <c r="AF48" i="83"/>
  <c r="AD62" i="83"/>
  <c r="AD82" i="83"/>
  <c r="AD65" i="83"/>
  <c r="AD53" i="83"/>
  <c r="AE53" i="83"/>
  <c r="AF82" i="22"/>
  <c r="BO116" i="1"/>
  <c r="DG82" i="22" l="1"/>
  <c r="AC82" i="22" s="1"/>
  <c r="BL82" i="83"/>
  <c r="AC82" i="83" s="1"/>
  <c r="BO71" i="1"/>
  <c r="Q13" i="76"/>
  <c r="F4" i="72"/>
  <c r="AK116" i="1"/>
  <c r="AL116" i="1"/>
  <c r="AM116" i="1"/>
  <c r="AN116" i="1"/>
  <c r="AO116" i="1"/>
  <c r="AP116" i="1"/>
  <c r="AQ116" i="1"/>
  <c r="AR116" i="1"/>
  <c r="AS116" i="1"/>
  <c r="AT116" i="1"/>
  <c r="AU116" i="1"/>
  <c r="AV116" i="1"/>
  <c r="AW116" i="1"/>
  <c r="AX116" i="1"/>
  <c r="AY116" i="1"/>
  <c r="AZ116" i="1"/>
  <c r="BA116" i="1"/>
  <c r="BB116" i="1"/>
  <c r="BC116" i="1"/>
  <c r="BD116" i="1"/>
  <c r="BE116" i="1"/>
  <c r="BF116" i="1"/>
  <c r="BG116" i="1"/>
  <c r="BH116" i="1"/>
  <c r="BI116" i="1"/>
  <c r="BJ116" i="1"/>
  <c r="BK116" i="1"/>
  <c r="BL116" i="1"/>
  <c r="BM116" i="1"/>
  <c r="BN116" i="1"/>
  <c r="AG116" i="1"/>
  <c r="AH116" i="1"/>
  <c r="AI116" i="1"/>
  <c r="AJ116" i="1"/>
  <c r="AF116" i="1"/>
  <c r="DC82" i="22" l="1"/>
  <c r="BH82" i="83"/>
  <c r="CL82" i="22"/>
  <c r="AQ82" i="83"/>
  <c r="CK82" i="22"/>
  <c r="AP82" i="83"/>
  <c r="CJ82" i="22"/>
  <c r="AO82" i="83"/>
  <c r="CU82" i="22"/>
  <c r="AZ82" i="83"/>
  <c r="CZ82" i="22"/>
  <c r="BE82" i="83"/>
  <c r="CT82" i="22"/>
  <c r="AY82" i="83"/>
  <c r="CS82" i="22"/>
  <c r="AX82" i="83"/>
  <c r="CR82" i="22"/>
  <c r="AW82" i="83"/>
  <c r="CY82" i="22"/>
  <c r="BD82" i="83"/>
  <c r="CQ82" i="22"/>
  <c r="AV82" i="83"/>
  <c r="CI82" i="22"/>
  <c r="AN82" i="83"/>
  <c r="DF82" i="22"/>
  <c r="AB82" i="22" s="1"/>
  <c r="BK82" i="83"/>
  <c r="AB82" i="83" s="1"/>
  <c r="CX82" i="22"/>
  <c r="BC82" i="83"/>
  <c r="CP82" i="22"/>
  <c r="AU82" i="83"/>
  <c r="CH82" i="22"/>
  <c r="AM82" i="83"/>
  <c r="DG53" i="22"/>
  <c r="AC53" i="22" s="1"/>
  <c r="BL53" i="83"/>
  <c r="DE82" i="22"/>
  <c r="BJ82" i="83"/>
  <c r="CW82" i="22"/>
  <c r="BB82" i="83"/>
  <c r="CO82" i="22"/>
  <c r="AT82" i="83"/>
  <c r="CM82" i="22"/>
  <c r="AR82" i="83"/>
  <c r="DB82" i="22"/>
  <c r="BG82" i="83"/>
  <c r="DA82" i="22"/>
  <c r="BF82" i="83"/>
  <c r="DD82" i="22"/>
  <c r="BI82" i="83"/>
  <c r="CV82" i="22"/>
  <c r="BA82" i="83"/>
  <c r="CN82" i="22"/>
  <c r="AS82" i="83"/>
  <c r="BM13" i="77"/>
  <c r="AT13" i="77"/>
  <c r="AQ13" i="77"/>
  <c r="AO13" i="77"/>
  <c r="AE13" i="77"/>
  <c r="AC13" i="77"/>
  <c r="P13" i="77"/>
  <c r="CG82" i="22" l="1"/>
  <c r="C82" i="22" s="1"/>
  <c r="Q82" i="22"/>
  <c r="U82" i="22"/>
  <c r="Z82" i="22"/>
  <c r="T82" i="83"/>
  <c r="S82" i="22"/>
  <c r="V82" i="22"/>
  <c r="U82" i="83"/>
  <c r="V82" i="83"/>
  <c r="G82" i="22"/>
  <c r="AA82" i="22"/>
  <c r="T82" i="22"/>
  <c r="N82" i="83"/>
  <c r="S82" i="83"/>
  <c r="M82" i="83"/>
  <c r="K82" i="22"/>
  <c r="E82" i="22"/>
  <c r="W82" i="22"/>
  <c r="I82" i="22"/>
  <c r="L82" i="22"/>
  <c r="P82" i="22"/>
  <c r="H82" i="22"/>
  <c r="M82" i="22"/>
  <c r="Y82" i="22"/>
  <c r="R82" i="22"/>
  <c r="K82" i="83"/>
  <c r="O82" i="22"/>
  <c r="F82" i="22"/>
  <c r="AA82" i="83"/>
  <c r="L82" i="83"/>
  <c r="X82" i="22"/>
  <c r="J82" i="22"/>
  <c r="D82" i="83"/>
  <c r="C82" i="83"/>
  <c r="E82" i="83"/>
  <c r="F82" i="83"/>
  <c r="G82" i="83"/>
  <c r="H82" i="83"/>
  <c r="Y82" i="83"/>
  <c r="Z82" i="83"/>
  <c r="D82" i="22"/>
  <c r="I82" i="83"/>
  <c r="J82" i="83"/>
  <c r="Q82" i="83"/>
  <c r="R82" i="83"/>
  <c r="AC53" i="83"/>
  <c r="O82" i="83"/>
  <c r="P82" i="83"/>
  <c r="N82" i="22"/>
  <c r="W82" i="83"/>
  <c r="X82" i="83"/>
  <c r="E11" i="78"/>
  <c r="E10" i="78"/>
  <c r="E2" i="78"/>
  <c r="E10" i="77"/>
  <c r="E2" i="77"/>
  <c r="BF14" i="18"/>
  <c r="F10" i="77" l="1"/>
  <c r="F10" i="78"/>
  <c r="F11" i="78"/>
  <c r="E11" i="76"/>
  <c r="E10" i="76"/>
  <c r="E2" i="76"/>
  <c r="J10" i="74"/>
  <c r="K10" i="74"/>
  <c r="L10" i="74"/>
  <c r="M10" i="74"/>
  <c r="N10" i="74"/>
  <c r="O10" i="74"/>
  <c r="P10" i="74"/>
  <c r="Q10" i="74"/>
  <c r="R10" i="74"/>
  <c r="S10" i="74"/>
  <c r="T10" i="74"/>
  <c r="U10" i="74"/>
  <c r="V10" i="74"/>
  <c r="W10" i="74"/>
  <c r="X10" i="74"/>
  <c r="Y10" i="74"/>
  <c r="Z10" i="74"/>
  <c r="AA10" i="74"/>
  <c r="AB10" i="74"/>
  <c r="AC10" i="74"/>
  <c r="AD10" i="74"/>
  <c r="AE10" i="74"/>
  <c r="AF10" i="74"/>
  <c r="AG10" i="74"/>
  <c r="AH10" i="74"/>
  <c r="AI10" i="74"/>
  <c r="AJ10" i="74"/>
  <c r="AK10" i="74"/>
  <c r="AL10" i="74"/>
  <c r="AM10" i="74"/>
  <c r="AN10" i="74"/>
  <c r="AO10" i="74"/>
  <c r="AP10" i="74"/>
  <c r="AQ10" i="74"/>
  <c r="AR10" i="74"/>
  <c r="AS10" i="74"/>
  <c r="AT10" i="74"/>
  <c r="AU10" i="74"/>
  <c r="AV10" i="74"/>
  <c r="AW10" i="74"/>
  <c r="AX10" i="74"/>
  <c r="AY10" i="74"/>
  <c r="AZ10" i="74"/>
  <c r="BA10" i="74"/>
  <c r="BB10" i="74"/>
  <c r="BC10" i="74"/>
  <c r="BD10" i="74"/>
  <c r="BE10" i="74"/>
  <c r="BF10" i="74"/>
  <c r="BG10" i="74"/>
  <c r="BH10" i="74"/>
  <c r="BI10" i="74"/>
  <c r="BJ10" i="74"/>
  <c r="BK10" i="74"/>
  <c r="BL10" i="74"/>
  <c r="BM10" i="74"/>
  <c r="BN10" i="74"/>
  <c r="BO10" i="74"/>
  <c r="BP10" i="74"/>
  <c r="BQ10" i="74"/>
  <c r="BR10" i="74"/>
  <c r="BS10" i="74"/>
  <c r="BT10" i="74"/>
  <c r="BU10" i="74"/>
  <c r="BV10" i="74"/>
  <c r="I10" i="74"/>
  <c r="E9" i="74"/>
  <c r="J10" i="75"/>
  <c r="K10" i="75"/>
  <c r="L10" i="75"/>
  <c r="M10" i="75"/>
  <c r="N10" i="75"/>
  <c r="O10" i="75"/>
  <c r="P10" i="75"/>
  <c r="Q10" i="75"/>
  <c r="R10" i="75"/>
  <c r="S10" i="75"/>
  <c r="T10" i="75"/>
  <c r="U10" i="75"/>
  <c r="V10" i="75"/>
  <c r="W10" i="75"/>
  <c r="X10" i="75"/>
  <c r="Y10" i="75"/>
  <c r="Z10" i="75"/>
  <c r="AA10" i="75"/>
  <c r="AB10" i="75"/>
  <c r="AC10" i="75"/>
  <c r="AD10" i="75"/>
  <c r="AE10" i="75"/>
  <c r="AF10" i="75"/>
  <c r="AG10" i="75"/>
  <c r="AH10" i="75"/>
  <c r="AI10" i="75"/>
  <c r="AJ10" i="75"/>
  <c r="AK10" i="75"/>
  <c r="AL10" i="75"/>
  <c r="AM10" i="75"/>
  <c r="AN10" i="75"/>
  <c r="AO10" i="75"/>
  <c r="AP10" i="75"/>
  <c r="AQ10" i="75"/>
  <c r="AR10" i="75"/>
  <c r="AS10" i="75"/>
  <c r="AT10" i="75"/>
  <c r="AU10" i="75"/>
  <c r="AV10" i="75"/>
  <c r="AW10" i="75"/>
  <c r="AX10" i="75"/>
  <c r="AY10" i="75"/>
  <c r="AZ10" i="75"/>
  <c r="BA10" i="75"/>
  <c r="BB10" i="75"/>
  <c r="BC10" i="75"/>
  <c r="BD10" i="75"/>
  <c r="BE10" i="75"/>
  <c r="BF10" i="75"/>
  <c r="BG10" i="75"/>
  <c r="BH10" i="75"/>
  <c r="BI10" i="75"/>
  <c r="BJ10" i="75"/>
  <c r="BK10" i="75"/>
  <c r="BL10" i="75"/>
  <c r="BM10" i="75"/>
  <c r="BN10" i="75"/>
  <c r="BO10" i="75"/>
  <c r="BP10" i="75"/>
  <c r="BQ10" i="75"/>
  <c r="BR10" i="75"/>
  <c r="BS10" i="75"/>
  <c r="BT10" i="75"/>
  <c r="BU10" i="75"/>
  <c r="BV10" i="75"/>
  <c r="I10" i="75"/>
  <c r="E9" i="75"/>
  <c r="E2" i="75"/>
  <c r="E2" i="74"/>
  <c r="Z49" i="22"/>
  <c r="AA49" i="22"/>
  <c r="DE51" i="22"/>
  <c r="DF51" i="22"/>
  <c r="AB51" i="22" s="1"/>
  <c r="DE52" i="22"/>
  <c r="DF52" i="22"/>
  <c r="AB52" i="22" s="1"/>
  <c r="DE54" i="22"/>
  <c r="DF54" i="22"/>
  <c r="AB54" i="22" s="1"/>
  <c r="DE55" i="22"/>
  <c r="DF55" i="22"/>
  <c r="AB55" i="22" s="1"/>
  <c r="DE56" i="22"/>
  <c r="DF56" i="22"/>
  <c r="AB56" i="22" s="1"/>
  <c r="DE57" i="22"/>
  <c r="DF57" i="22"/>
  <c r="AB57" i="22" s="1"/>
  <c r="DE58" i="22"/>
  <c r="DF58" i="22"/>
  <c r="AB58" i="22" s="1"/>
  <c r="DE59" i="22"/>
  <c r="DF59" i="22"/>
  <c r="AB59" i="22" s="1"/>
  <c r="DE60" i="22"/>
  <c r="DF60" i="22"/>
  <c r="AB60" i="22" s="1"/>
  <c r="DE61" i="22"/>
  <c r="DF61" i="22"/>
  <c r="AB61" i="22" s="1"/>
  <c r="DE63" i="22"/>
  <c r="DF63" i="22"/>
  <c r="AB63" i="22" s="1"/>
  <c r="DE64" i="22"/>
  <c r="DF64" i="22"/>
  <c r="AB64" i="22" s="1"/>
  <c r="DE68" i="22"/>
  <c r="DF68" i="22"/>
  <c r="AB68" i="22" s="1"/>
  <c r="DE69" i="22"/>
  <c r="DF69" i="22"/>
  <c r="AB69" i="22" s="1"/>
  <c r="DE70" i="22"/>
  <c r="DF70" i="22"/>
  <c r="AB70" i="22" s="1"/>
  <c r="DE71" i="22"/>
  <c r="DF71" i="22"/>
  <c r="AB71" i="22" s="1"/>
  <c r="DE72" i="22"/>
  <c r="DF72" i="22"/>
  <c r="AB72" i="22" s="1"/>
  <c r="DE73" i="22"/>
  <c r="DF73" i="22"/>
  <c r="AB73" i="22" s="1"/>
  <c r="DE74" i="22"/>
  <c r="DF74" i="22"/>
  <c r="AB74" i="22" s="1"/>
  <c r="DE75" i="22"/>
  <c r="DF75" i="22"/>
  <c r="AB75" i="22" s="1"/>
  <c r="DE76" i="22"/>
  <c r="DF76" i="22"/>
  <c r="AB76" i="22" s="1"/>
  <c r="DE77" i="22"/>
  <c r="DF77" i="22"/>
  <c r="AB77" i="22" s="1"/>
  <c r="BM71" i="1"/>
  <c r="BN71" i="1"/>
  <c r="AG67" i="1"/>
  <c r="AH67" i="1"/>
  <c r="AI67" i="1"/>
  <c r="AJ67" i="1"/>
  <c r="AK67" i="1"/>
  <c r="AL67" i="1"/>
  <c r="AM67" i="1"/>
  <c r="AN67" i="1"/>
  <c r="AO67" i="1"/>
  <c r="AP67" i="1"/>
  <c r="AQ67" i="1"/>
  <c r="AR67" i="1"/>
  <c r="AS67" i="1"/>
  <c r="AT67" i="1"/>
  <c r="AU67" i="1"/>
  <c r="AV67" i="1"/>
  <c r="AW67" i="1"/>
  <c r="AX67" i="1"/>
  <c r="AY67" i="1"/>
  <c r="AZ67" i="1"/>
  <c r="BA67" i="1"/>
  <c r="BB67" i="1"/>
  <c r="BC67" i="1"/>
  <c r="BD67" i="1"/>
  <c r="BE67" i="1"/>
  <c r="BF67" i="1"/>
  <c r="BG67" i="1"/>
  <c r="BH67" i="1"/>
  <c r="BI67" i="1"/>
  <c r="BJ67" i="1"/>
  <c r="BK67" i="1"/>
  <c r="BL67" i="1"/>
  <c r="BM67" i="1"/>
  <c r="BN67" i="1"/>
  <c r="BO67" i="1"/>
  <c r="AF67" i="1"/>
  <c r="G91" i="1"/>
  <c r="H91" i="1"/>
  <c r="I91" i="1"/>
  <c r="J91" i="1"/>
  <c r="K91" i="1"/>
  <c r="L91" i="1"/>
  <c r="M91" i="1"/>
  <c r="N91" i="1"/>
  <c r="O91" i="1"/>
  <c r="P91" i="1"/>
  <c r="Q91" i="1"/>
  <c r="R91" i="1"/>
  <c r="S91" i="1"/>
  <c r="T91" i="1"/>
  <c r="U91" i="1"/>
  <c r="V91" i="1"/>
  <c r="W91" i="1"/>
  <c r="X91" i="1"/>
  <c r="Y91" i="1"/>
  <c r="Z91" i="1"/>
  <c r="AA91" i="1"/>
  <c r="AB91" i="1"/>
  <c r="AC91" i="1"/>
  <c r="AD91" i="1"/>
  <c r="AE91" i="1"/>
  <c r="AF91" i="1"/>
  <c r="AG91" i="1"/>
  <c r="AH91" i="1"/>
  <c r="AI91" i="1"/>
  <c r="AJ91" i="1"/>
  <c r="AK91" i="1"/>
  <c r="AL91" i="1"/>
  <c r="AM91" i="1"/>
  <c r="AN91" i="1"/>
  <c r="AO91" i="1"/>
  <c r="AP91" i="1"/>
  <c r="AQ91" i="1"/>
  <c r="AR91" i="1"/>
  <c r="AS91" i="1"/>
  <c r="AT91" i="1"/>
  <c r="AU91" i="1"/>
  <c r="AV91" i="1"/>
  <c r="AW91" i="1"/>
  <c r="AX91" i="1"/>
  <c r="AY91" i="1"/>
  <c r="AZ91" i="1"/>
  <c r="BA91" i="1"/>
  <c r="BB91" i="1"/>
  <c r="BC91" i="1"/>
  <c r="BD91" i="1"/>
  <c r="BE91" i="1"/>
  <c r="BF91" i="1"/>
  <c r="BG91" i="1"/>
  <c r="BH91" i="1"/>
  <c r="BI91" i="1"/>
  <c r="BJ91" i="1"/>
  <c r="BK91" i="1"/>
  <c r="BL91" i="1"/>
  <c r="BM91" i="1"/>
  <c r="BN91" i="1"/>
  <c r="BO91" i="1"/>
  <c r="G56" i="1"/>
  <c r="H56" i="1"/>
  <c r="I56" i="1"/>
  <c r="J56" i="1"/>
  <c r="K56" i="1"/>
  <c r="L56" i="1"/>
  <c r="M56" i="1"/>
  <c r="N56" i="1"/>
  <c r="O56" i="1"/>
  <c r="P56" i="1"/>
  <c r="Q56" i="1"/>
  <c r="R56" i="1"/>
  <c r="S56" i="1"/>
  <c r="T56" i="1"/>
  <c r="U56" i="1"/>
  <c r="V56" i="1"/>
  <c r="W56" i="1"/>
  <c r="X56" i="1"/>
  <c r="Y56" i="1"/>
  <c r="AA56" i="1"/>
  <c r="AB56" i="1"/>
  <c r="AC56" i="1"/>
  <c r="AD56" i="1"/>
  <c r="AE56" i="1"/>
  <c r="AF56" i="1"/>
  <c r="AG56" i="1"/>
  <c r="AH56" i="1"/>
  <c r="AI56" i="1"/>
  <c r="AJ56" i="1"/>
  <c r="AK56" i="1"/>
  <c r="AL56" i="1"/>
  <c r="AM56" i="1"/>
  <c r="AN56" i="1"/>
  <c r="AO56" i="1"/>
  <c r="AP56" i="1"/>
  <c r="AQ56" i="1"/>
  <c r="AR56" i="1"/>
  <c r="AS56" i="1"/>
  <c r="AT56" i="1"/>
  <c r="AU56" i="1"/>
  <c r="AV56" i="1"/>
  <c r="AW56" i="1"/>
  <c r="AX56" i="1"/>
  <c r="AY56" i="1"/>
  <c r="AZ56" i="1"/>
  <c r="BA56" i="1"/>
  <c r="BB56" i="1"/>
  <c r="BC56" i="1"/>
  <c r="BD56" i="1"/>
  <c r="BE56" i="1"/>
  <c r="BF56" i="1"/>
  <c r="BG56" i="1"/>
  <c r="BH56" i="1"/>
  <c r="BI56" i="1"/>
  <c r="BJ56" i="1"/>
  <c r="BK56" i="1"/>
  <c r="BL56" i="1"/>
  <c r="BM56" i="1"/>
  <c r="BN56" i="1"/>
  <c r="BO56" i="1"/>
  <c r="F56" i="1"/>
  <c r="S6" i="1"/>
  <c r="T6" i="1"/>
  <c r="U6" i="1"/>
  <c r="V6" i="1"/>
  <c r="W6" i="1"/>
  <c r="X6" i="1"/>
  <c r="Y6" i="1"/>
  <c r="Z6" i="1"/>
  <c r="AA6" i="1"/>
  <c r="AB6" i="1"/>
  <c r="AC6" i="1"/>
  <c r="AD6" i="1"/>
  <c r="AE6" i="1"/>
  <c r="AF6" i="1"/>
  <c r="AG6" i="1"/>
  <c r="AH6" i="1"/>
  <c r="AI6" i="1"/>
  <c r="AJ6" i="1"/>
  <c r="AK6" i="1"/>
  <c r="AL6" i="1"/>
  <c r="AM6" i="1"/>
  <c r="AN6" i="1"/>
  <c r="AO6" i="1"/>
  <c r="AP6" i="1"/>
  <c r="AQ6" i="1"/>
  <c r="AR6" i="1"/>
  <c r="AS6" i="1"/>
  <c r="AT6" i="1"/>
  <c r="AU6" i="1"/>
  <c r="AV6" i="1"/>
  <c r="AW6" i="1"/>
  <c r="AX6" i="1"/>
  <c r="AY6" i="1"/>
  <c r="AZ6" i="1"/>
  <c r="BA6" i="1"/>
  <c r="BB6" i="1"/>
  <c r="BC6" i="1"/>
  <c r="BD6" i="1"/>
  <c r="BE6" i="1"/>
  <c r="BF6" i="1"/>
  <c r="BG6" i="1"/>
  <c r="BH6" i="1"/>
  <c r="BI6" i="1"/>
  <c r="BJ6" i="1"/>
  <c r="BK6" i="1"/>
  <c r="BM6" i="1"/>
  <c r="R6" i="1"/>
  <c r="J12" i="73"/>
  <c r="K12" i="73"/>
  <c r="L12" i="73"/>
  <c r="M12" i="73"/>
  <c r="N12" i="73"/>
  <c r="O12" i="73"/>
  <c r="P12" i="73"/>
  <c r="Q12" i="73"/>
  <c r="R12" i="73"/>
  <c r="S12" i="73"/>
  <c r="T12" i="73"/>
  <c r="U12" i="73"/>
  <c r="V12" i="73"/>
  <c r="W12" i="73"/>
  <c r="X12" i="73"/>
  <c r="Y12" i="73"/>
  <c r="Z12" i="73"/>
  <c r="AA12" i="73"/>
  <c r="AB12" i="73"/>
  <c r="AC12" i="73"/>
  <c r="AD12" i="73"/>
  <c r="AE12" i="73"/>
  <c r="AF12" i="73"/>
  <c r="AG12" i="73"/>
  <c r="AH12" i="73"/>
  <c r="AI12" i="73"/>
  <c r="AJ12" i="73"/>
  <c r="AK12" i="73"/>
  <c r="AL12" i="73"/>
  <c r="AM12" i="73"/>
  <c r="AN12" i="73"/>
  <c r="AO12" i="73"/>
  <c r="AP12" i="73"/>
  <c r="AQ12" i="73"/>
  <c r="AR12" i="73"/>
  <c r="AS12" i="73"/>
  <c r="AT12" i="73"/>
  <c r="AU12" i="73"/>
  <c r="AV12" i="73"/>
  <c r="AW12" i="73"/>
  <c r="AX12" i="73"/>
  <c r="AY12" i="73"/>
  <c r="AZ12" i="73"/>
  <c r="BA12" i="73"/>
  <c r="BB12" i="73"/>
  <c r="BC12" i="73"/>
  <c r="BD12" i="73"/>
  <c r="BE12" i="73"/>
  <c r="BF12" i="73"/>
  <c r="BG12" i="73"/>
  <c r="BH12" i="73"/>
  <c r="BI12" i="73"/>
  <c r="BJ12" i="73"/>
  <c r="BK12" i="73"/>
  <c r="BL12" i="73"/>
  <c r="BM12" i="73"/>
  <c r="BN12" i="73"/>
  <c r="BO12" i="73"/>
  <c r="BP12" i="73"/>
  <c r="BQ12" i="73"/>
  <c r="BR12" i="73"/>
  <c r="BS12" i="73"/>
  <c r="BT12" i="73"/>
  <c r="BU12" i="73"/>
  <c r="BV12" i="73"/>
  <c r="I12" i="73"/>
  <c r="F10" i="76" l="1"/>
  <c r="F9" i="75"/>
  <c r="F11" i="76"/>
  <c r="DF53" i="22"/>
  <c r="AB53" i="22" s="1"/>
  <c r="BK53" i="83"/>
  <c r="AB53" i="83" s="1"/>
  <c r="DE53" i="22"/>
  <c r="BJ53" i="83"/>
  <c r="AA75" i="22"/>
  <c r="AA76" i="22"/>
  <c r="AA72" i="22"/>
  <c r="AA68" i="22"/>
  <c r="AA71" i="22"/>
  <c r="AA64" i="22"/>
  <c r="AA58" i="22"/>
  <c r="AA54" i="22"/>
  <c r="AA74" i="22"/>
  <c r="AA70" i="22"/>
  <c r="AA63" i="22"/>
  <c r="F9" i="74"/>
  <c r="AA73" i="22"/>
  <c r="AA57" i="22"/>
  <c r="AA69" i="22"/>
  <c r="AA51" i="22"/>
  <c r="AA59" i="22"/>
  <c r="AA55" i="22"/>
  <c r="AA52" i="22"/>
  <c r="AA60" i="22"/>
  <c r="AA77" i="22"/>
  <c r="AA61" i="22"/>
  <c r="AA56" i="22"/>
  <c r="BP12" i="62"/>
  <c r="BQ12" i="62"/>
  <c r="BR12" i="62"/>
  <c r="BS12" i="62"/>
  <c r="BT12" i="62"/>
  <c r="BU12" i="62"/>
  <c r="BV12" i="62"/>
  <c r="BP14" i="58"/>
  <c r="BQ14" i="58"/>
  <c r="BR14" i="58"/>
  <c r="BS14" i="58"/>
  <c r="BT14" i="58"/>
  <c r="BU14" i="58"/>
  <c r="BV14" i="58"/>
  <c r="BP15" i="58"/>
  <c r="BQ15" i="58"/>
  <c r="BR15" i="58"/>
  <c r="BS15" i="58"/>
  <c r="BT15" i="58"/>
  <c r="BU15" i="58"/>
  <c r="BV15" i="58"/>
  <c r="BP10" i="48"/>
  <c r="BQ10" i="48"/>
  <c r="BR10" i="48"/>
  <c r="BS10" i="48"/>
  <c r="BT10" i="48"/>
  <c r="BU10" i="48"/>
  <c r="BV10" i="48"/>
  <c r="BU8" i="40"/>
  <c r="BN8" i="40"/>
  <c r="BO8" i="40"/>
  <c r="BP8" i="40"/>
  <c r="BQ8" i="40"/>
  <c r="BR8" i="40"/>
  <c r="BS8" i="40"/>
  <c r="BT8" i="40"/>
  <c r="Y49" i="22"/>
  <c r="DD51" i="22"/>
  <c r="Z51" i="22" s="1"/>
  <c r="DD52" i="22"/>
  <c r="Z52" i="22" s="1"/>
  <c r="DD54" i="22"/>
  <c r="Z54" i="22" s="1"/>
  <c r="DD55" i="22"/>
  <c r="Z55" i="22" s="1"/>
  <c r="DD56" i="22"/>
  <c r="Z56" i="22" s="1"/>
  <c r="DD57" i="22"/>
  <c r="Z57" i="22" s="1"/>
  <c r="DD58" i="22"/>
  <c r="Z58" i="22" s="1"/>
  <c r="DD59" i="22"/>
  <c r="Z59" i="22" s="1"/>
  <c r="DD60" i="22"/>
  <c r="Z60" i="22" s="1"/>
  <c r="DD61" i="22"/>
  <c r="Z61" i="22" s="1"/>
  <c r="DD63" i="22"/>
  <c r="Z63" i="22" s="1"/>
  <c r="DD64" i="22"/>
  <c r="Z64" i="22" s="1"/>
  <c r="DD68" i="22"/>
  <c r="Z68" i="22" s="1"/>
  <c r="DD69" i="22"/>
  <c r="Z69" i="22" s="1"/>
  <c r="DD70" i="22"/>
  <c r="Z70" i="22" s="1"/>
  <c r="DD71" i="22"/>
  <c r="Z71" i="22" s="1"/>
  <c r="DD72" i="22"/>
  <c r="Z72" i="22" s="1"/>
  <c r="DD73" i="22"/>
  <c r="Z73" i="22" s="1"/>
  <c r="DD74" i="22"/>
  <c r="Z74" i="22" s="1"/>
  <c r="DD75" i="22"/>
  <c r="Z75" i="22" s="1"/>
  <c r="DD76" i="22"/>
  <c r="Z76" i="22" s="1"/>
  <c r="DD77" i="22"/>
  <c r="Z77" i="22" s="1"/>
  <c r="BM111" i="1"/>
  <c r="BN111" i="1"/>
  <c r="BO111" i="1"/>
  <c r="BM110" i="1"/>
  <c r="BN110" i="1"/>
  <c r="BO110" i="1"/>
  <c r="BM109" i="1"/>
  <c r="BN109" i="1"/>
  <c r="BO109" i="1"/>
  <c r="BM106" i="1"/>
  <c r="BM107" i="1" s="1"/>
  <c r="BN106" i="1"/>
  <c r="BN107" i="1" s="1"/>
  <c r="BO106" i="1"/>
  <c r="BO107" i="1" s="1"/>
  <c r="BM105" i="1"/>
  <c r="BN105" i="1"/>
  <c r="BO105" i="1"/>
  <c r="BM88" i="1"/>
  <c r="BN88" i="1"/>
  <c r="BO88" i="1"/>
  <c r="BM84" i="1"/>
  <c r="BN84" i="1"/>
  <c r="BO84" i="1"/>
  <c r="BM82" i="1"/>
  <c r="BN82" i="1"/>
  <c r="BO82" i="1"/>
  <c r="BM66" i="1"/>
  <c r="BN66" i="1"/>
  <c r="BO66" i="1"/>
  <c r="BM47" i="1"/>
  <c r="BN47" i="1"/>
  <c r="BO47" i="1"/>
  <c r="BM41" i="1"/>
  <c r="BN41" i="1"/>
  <c r="BO41" i="1"/>
  <c r="BM34" i="1"/>
  <c r="BN34" i="1"/>
  <c r="BO34" i="1"/>
  <c r="BM33" i="1"/>
  <c r="BN33" i="1"/>
  <c r="BO33" i="1"/>
  <c r="BM30" i="1"/>
  <c r="BN30" i="1"/>
  <c r="BO30" i="1"/>
  <c r="BM29" i="1"/>
  <c r="BN29" i="1"/>
  <c r="BO29" i="1"/>
  <c r="BM25" i="1"/>
  <c r="BN25" i="1"/>
  <c r="BO25" i="1"/>
  <c r="BM21" i="1"/>
  <c r="BN21" i="1"/>
  <c r="BO21" i="1"/>
  <c r="BM10" i="1"/>
  <c r="BN10" i="1"/>
  <c r="BO10" i="1"/>
  <c r="BL88" i="1"/>
  <c r="BL66" i="1"/>
  <c r="BL41" i="1"/>
  <c r="BL34" i="1"/>
  <c r="BL30" i="1"/>
  <c r="BL29" i="1"/>
  <c r="BL10" i="1"/>
  <c r="BL84" i="1"/>
  <c r="BL82" i="1"/>
  <c r="BL71" i="1"/>
  <c r="BL47" i="1"/>
  <c r="BL25" i="1"/>
  <c r="BL21" i="1"/>
  <c r="AA53" i="22" l="1"/>
  <c r="AA53" i="83"/>
  <c r="DG65" i="22"/>
  <c r="AC65" i="22" s="1"/>
  <c r="BL65" i="83"/>
  <c r="AC65" i="83" s="1"/>
  <c r="DF65" i="22"/>
  <c r="BK65" i="83"/>
  <c r="DE65" i="22"/>
  <c r="BJ65" i="83"/>
  <c r="DD48" i="22"/>
  <c r="BI48" i="83"/>
  <c r="DD65" i="22"/>
  <c r="BI65" i="83"/>
  <c r="DF48" i="22"/>
  <c r="BK48" i="83"/>
  <c r="DF62" i="22"/>
  <c r="BK62" i="83"/>
  <c r="DE62" i="22"/>
  <c r="BJ62" i="83"/>
  <c r="DD53" i="22"/>
  <c r="Z53" i="22" s="1"/>
  <c r="BI53" i="83"/>
  <c r="DG48" i="22"/>
  <c r="AC48" i="22" s="1"/>
  <c r="BL48" i="83"/>
  <c r="AC48" i="83" s="1"/>
  <c r="DD62" i="22"/>
  <c r="BI62" i="83"/>
  <c r="DE48" i="22"/>
  <c r="BJ48" i="83"/>
  <c r="DG62" i="22"/>
  <c r="AC62" i="22" s="1"/>
  <c r="BL62" i="83"/>
  <c r="AC62" i="83" s="1"/>
  <c r="BL111" i="1"/>
  <c r="BL110" i="1"/>
  <c r="BL109" i="1"/>
  <c r="BL106" i="1"/>
  <c r="BL107" i="1" s="1"/>
  <c r="BL105" i="1"/>
  <c r="Z48" i="22" l="1"/>
  <c r="Z62" i="22"/>
  <c r="AA62" i="22"/>
  <c r="AB48" i="22"/>
  <c r="AA48" i="83"/>
  <c r="AB62" i="22"/>
  <c r="AA65" i="22"/>
  <c r="AA48" i="22"/>
  <c r="AA62" i="83"/>
  <c r="Z65" i="22"/>
  <c r="Z62" i="83"/>
  <c r="AB62" i="83"/>
  <c r="Z65" i="83"/>
  <c r="AA65" i="83"/>
  <c r="Z53" i="83"/>
  <c r="Z48" i="83"/>
  <c r="AB65" i="22"/>
  <c r="AB48" i="83"/>
  <c r="AB65" i="83"/>
  <c r="DC51" i="22"/>
  <c r="Y51" i="22" s="1"/>
  <c r="DC52" i="22"/>
  <c r="Y52" i="22" s="1"/>
  <c r="DC54" i="22"/>
  <c r="Y54" i="22" s="1"/>
  <c r="DC55" i="22"/>
  <c r="Y55" i="22" s="1"/>
  <c r="DC56" i="22"/>
  <c r="Y56" i="22" s="1"/>
  <c r="DC57" i="22"/>
  <c r="Y57" i="22" s="1"/>
  <c r="DC58" i="22"/>
  <c r="Y58" i="22" s="1"/>
  <c r="DC59" i="22"/>
  <c r="Y59" i="22" s="1"/>
  <c r="DC60" i="22"/>
  <c r="Y60" i="22" s="1"/>
  <c r="DC61" i="22"/>
  <c r="Y61" i="22" s="1"/>
  <c r="DC63" i="22"/>
  <c r="Y63" i="22" s="1"/>
  <c r="DC64" i="22"/>
  <c r="Y64" i="22" s="1"/>
  <c r="DC68" i="22"/>
  <c r="Y68" i="22" s="1"/>
  <c r="DC69" i="22"/>
  <c r="Y69" i="22" s="1"/>
  <c r="DC70" i="22"/>
  <c r="Y70" i="22" s="1"/>
  <c r="DC71" i="22"/>
  <c r="Y71" i="22" s="1"/>
  <c r="DC72" i="22"/>
  <c r="Y72" i="22" s="1"/>
  <c r="DC73" i="22"/>
  <c r="Y73" i="22" s="1"/>
  <c r="DC74" i="22"/>
  <c r="Y74" i="22" s="1"/>
  <c r="DC75" i="22"/>
  <c r="Y75" i="22" s="1"/>
  <c r="DC76" i="22"/>
  <c r="Y76" i="22" s="1"/>
  <c r="DC77" i="22"/>
  <c r="Y77" i="22" s="1"/>
  <c r="X49" i="22"/>
  <c r="BK88" i="1"/>
  <c r="BK66" i="1"/>
  <c r="BK111" i="1"/>
  <c r="BK110" i="1"/>
  <c r="BK109" i="1"/>
  <c r="AE47" i="1"/>
  <c r="AF47" i="1"/>
  <c r="AG47" i="1"/>
  <c r="AH47" i="1"/>
  <c r="AI47" i="1"/>
  <c r="AJ47" i="1"/>
  <c r="AK47" i="1"/>
  <c r="AL47" i="1"/>
  <c r="AM47" i="1"/>
  <c r="AN47" i="1"/>
  <c r="AO47" i="1"/>
  <c r="AP47" i="1"/>
  <c r="AQ47" i="1"/>
  <c r="AR47" i="1"/>
  <c r="AS47" i="1"/>
  <c r="AT47" i="1"/>
  <c r="AU47" i="1"/>
  <c r="AV47" i="1"/>
  <c r="AW47" i="1"/>
  <c r="AX47" i="1"/>
  <c r="AY47" i="1"/>
  <c r="AZ47" i="1"/>
  <c r="BA47" i="1"/>
  <c r="BB47" i="1"/>
  <c r="BC47" i="1"/>
  <c r="BD47" i="1"/>
  <c r="BE47" i="1"/>
  <c r="BF47" i="1"/>
  <c r="BG47" i="1"/>
  <c r="BH47" i="1"/>
  <c r="BI47" i="1"/>
  <c r="BJ47" i="1"/>
  <c r="BK47" i="1"/>
  <c r="AD47" i="1"/>
  <c r="AC47" i="1"/>
  <c r="AB47" i="1"/>
  <c r="AA47" i="1"/>
  <c r="BK33" i="1"/>
  <c r="BK29" i="1"/>
  <c r="BK41" i="1"/>
  <c r="BK10" i="1"/>
  <c r="BK30" i="1"/>
  <c r="BK106" i="1"/>
  <c r="BK107" i="1" s="1"/>
  <c r="BK105" i="1"/>
  <c r="BK34" i="1"/>
  <c r="BK82" i="1"/>
  <c r="BK84" i="1"/>
  <c r="BK25" i="1"/>
  <c r="BK71" i="1"/>
  <c r="BK21" i="1"/>
  <c r="I49" i="22"/>
  <c r="H4" i="72"/>
  <c r="F8" i="72"/>
  <c r="H8" i="72" s="1"/>
  <c r="F7" i="72"/>
  <c r="H7" i="72" s="1"/>
  <c r="F6" i="72"/>
  <c r="H6" i="72" s="1"/>
  <c r="F5" i="72"/>
  <c r="H5" i="72" s="1"/>
  <c r="AT14" i="73"/>
  <c r="E11" i="73"/>
  <c r="E10" i="73"/>
  <c r="E2" i="73"/>
  <c r="G7" i="59"/>
  <c r="H7" i="59" s="1"/>
  <c r="J7" i="59" s="1"/>
  <c r="H6" i="59"/>
  <c r="J6" i="59" s="1"/>
  <c r="I7" i="59"/>
  <c r="BH14" i="52"/>
  <c r="AS14" i="52"/>
  <c r="AC14" i="52"/>
  <c r="S14" i="52"/>
  <c r="R14" i="52"/>
  <c r="K14" i="52"/>
  <c r="F10" i="73" l="1"/>
  <c r="DC62" i="22"/>
  <c r="Y62" i="22" s="1"/>
  <c r="BH62" i="83"/>
  <c r="Y62" i="83" s="1"/>
  <c r="DC48" i="22"/>
  <c r="Y48" i="22" s="1"/>
  <c r="BH48" i="83"/>
  <c r="Y48" i="83" s="1"/>
  <c r="DC65" i="22"/>
  <c r="Y65" i="22" s="1"/>
  <c r="BH65" i="83"/>
  <c r="DC53" i="22"/>
  <c r="Y53" i="22" s="1"/>
  <c r="BH53" i="83"/>
  <c r="Y53" i="83" s="1"/>
  <c r="H9" i="72"/>
  <c r="H10" i="72" s="1"/>
  <c r="J8" i="59"/>
  <c r="J9" i="59" s="1"/>
  <c r="Y65" i="83" l="1"/>
  <c r="F9" i="19"/>
  <c r="BJ110" i="1" l="1"/>
  <c r="BC106" i="1"/>
  <c r="DB51" i="22" l="1"/>
  <c r="X51" i="22" s="1"/>
  <c r="DB52" i="22"/>
  <c r="X52" i="22" s="1"/>
  <c r="DB54" i="22"/>
  <c r="X54" i="22" s="1"/>
  <c r="DB55" i="22"/>
  <c r="X55" i="22" s="1"/>
  <c r="DB56" i="22"/>
  <c r="X56" i="22" s="1"/>
  <c r="DB57" i="22"/>
  <c r="X57" i="22" s="1"/>
  <c r="DB58" i="22"/>
  <c r="X58" i="22" s="1"/>
  <c r="DB59" i="22"/>
  <c r="X59" i="22" s="1"/>
  <c r="DB60" i="22"/>
  <c r="X60" i="22" s="1"/>
  <c r="DB61" i="22"/>
  <c r="X61" i="22" s="1"/>
  <c r="DB63" i="22"/>
  <c r="X63" i="22" s="1"/>
  <c r="DB64" i="22"/>
  <c r="X64" i="22" s="1"/>
  <c r="DB68" i="22"/>
  <c r="X68" i="22" s="1"/>
  <c r="DB69" i="22"/>
  <c r="X69" i="22" s="1"/>
  <c r="DB70" i="22"/>
  <c r="X70" i="22" s="1"/>
  <c r="DB71" i="22"/>
  <c r="X71" i="22" s="1"/>
  <c r="DB72" i="22"/>
  <c r="X72" i="22" s="1"/>
  <c r="DB73" i="22"/>
  <c r="X73" i="22" s="1"/>
  <c r="DB74" i="22"/>
  <c r="X74" i="22" s="1"/>
  <c r="DB75" i="22"/>
  <c r="X75" i="22" s="1"/>
  <c r="DB76" i="22"/>
  <c r="X76" i="22" s="1"/>
  <c r="DB77" i="22"/>
  <c r="X77" i="22" s="1"/>
  <c r="W49" i="22"/>
  <c r="BJ66" i="1"/>
  <c r="BJ88" i="1"/>
  <c r="BJ105" i="1"/>
  <c r="BJ106" i="1"/>
  <c r="BJ107" i="1" s="1"/>
  <c r="BJ109" i="1"/>
  <c r="BJ111" i="1"/>
  <c r="BJ41" i="1"/>
  <c r="BJ34" i="1"/>
  <c r="BJ33" i="1"/>
  <c r="BJ29" i="1"/>
  <c r="BJ10" i="1"/>
  <c r="BJ30" i="1"/>
  <c r="BJ84" i="1"/>
  <c r="BJ82" i="1"/>
  <c r="BJ71" i="1"/>
  <c r="BJ25" i="1"/>
  <c r="BJ21" i="1"/>
  <c r="DB53" i="22" l="1"/>
  <c r="X53" i="22" s="1"/>
  <c r="BG53" i="83"/>
  <c r="X53" i="83" s="1"/>
  <c r="DB48" i="22"/>
  <c r="X48" i="22" s="1"/>
  <c r="BG48" i="83"/>
  <c r="X48" i="83" s="1"/>
  <c r="DB62" i="22"/>
  <c r="X62" i="22" s="1"/>
  <c r="BG62" i="83"/>
  <c r="X62" i="83" s="1"/>
  <c r="DB65" i="22"/>
  <c r="X65" i="22" s="1"/>
  <c r="BG65" i="83"/>
  <c r="CJ72" i="22"/>
  <c r="CK72" i="22"/>
  <c r="CL72" i="22"/>
  <c r="CM72" i="22"/>
  <c r="CN72" i="22"/>
  <c r="CO72" i="22"/>
  <c r="CP72" i="22"/>
  <c r="CQ72" i="22"/>
  <c r="CR72" i="22"/>
  <c r="CS72" i="22"/>
  <c r="CT72" i="22"/>
  <c r="CU72" i="22"/>
  <c r="CV72" i="22"/>
  <c r="CW72" i="22"/>
  <c r="CX72" i="22"/>
  <c r="CY72" i="22"/>
  <c r="CZ72" i="22"/>
  <c r="DA72" i="22"/>
  <c r="W72" i="22" s="1"/>
  <c r="CJ73" i="22"/>
  <c r="CK73" i="22"/>
  <c r="CL73" i="22"/>
  <c r="CM73" i="22"/>
  <c r="CN73" i="22"/>
  <c r="CO73" i="22"/>
  <c r="CP73" i="22"/>
  <c r="CQ73" i="22"/>
  <c r="CR73" i="22"/>
  <c r="CS73" i="22"/>
  <c r="CT73" i="22"/>
  <c r="CU73" i="22"/>
  <c r="CV73" i="22"/>
  <c r="CW73" i="22"/>
  <c r="CX73" i="22"/>
  <c r="CY73" i="22"/>
  <c r="CZ73" i="22"/>
  <c r="DA73" i="22"/>
  <c r="W73" i="22" s="1"/>
  <c r="CJ74" i="22"/>
  <c r="CK74" i="22"/>
  <c r="CL74" i="22"/>
  <c r="CM74" i="22"/>
  <c r="CN74" i="22"/>
  <c r="CO74" i="22"/>
  <c r="CP74" i="22"/>
  <c r="CQ74" i="22"/>
  <c r="CR74" i="22"/>
  <c r="CS74" i="22"/>
  <c r="CT74" i="22"/>
  <c r="CU74" i="22"/>
  <c r="CV74" i="22"/>
  <c r="CW74" i="22"/>
  <c r="CX74" i="22"/>
  <c r="CY74" i="22"/>
  <c r="CZ74" i="22"/>
  <c r="DA74" i="22"/>
  <c r="W74" i="22" s="1"/>
  <c r="CJ75" i="22"/>
  <c r="CK75" i="22"/>
  <c r="CL75" i="22"/>
  <c r="CM75" i="22"/>
  <c r="CN75" i="22"/>
  <c r="CO75" i="22"/>
  <c r="CP75" i="22"/>
  <c r="CQ75" i="22"/>
  <c r="CR75" i="22"/>
  <c r="CS75" i="22"/>
  <c r="CT75" i="22"/>
  <c r="CU75" i="22"/>
  <c r="CV75" i="22"/>
  <c r="CW75" i="22"/>
  <c r="CX75" i="22"/>
  <c r="CY75" i="22"/>
  <c r="CZ75" i="22"/>
  <c r="DA75" i="22"/>
  <c r="W75" i="22" s="1"/>
  <c r="CJ76" i="22"/>
  <c r="CK76" i="22"/>
  <c r="CL76" i="22"/>
  <c r="CM76" i="22"/>
  <c r="CN76" i="22"/>
  <c r="CO76" i="22"/>
  <c r="CP76" i="22"/>
  <c r="CQ76" i="22"/>
  <c r="CR76" i="22"/>
  <c r="CS76" i="22"/>
  <c r="CT76" i="22"/>
  <c r="CU76" i="22"/>
  <c r="CV76" i="22"/>
  <c r="CW76" i="22"/>
  <c r="CX76" i="22"/>
  <c r="CY76" i="22"/>
  <c r="CZ76" i="22"/>
  <c r="DA76" i="22"/>
  <c r="W76" i="22" s="1"/>
  <c r="CJ77" i="22"/>
  <c r="CK77" i="22"/>
  <c r="CL77" i="22"/>
  <c r="CM77" i="22"/>
  <c r="CN77" i="22"/>
  <c r="CO77" i="22"/>
  <c r="CP77" i="22"/>
  <c r="CQ77" i="22"/>
  <c r="CR77" i="22"/>
  <c r="CS77" i="22"/>
  <c r="CT77" i="22"/>
  <c r="CU77" i="22"/>
  <c r="CV77" i="22"/>
  <c r="CW77" i="22"/>
  <c r="CX77" i="22"/>
  <c r="CY77" i="22"/>
  <c r="CZ77" i="22"/>
  <c r="DA77" i="22"/>
  <c r="W77" i="22" s="1"/>
  <c r="CI72" i="22"/>
  <c r="CI73" i="22"/>
  <c r="CI74" i="22"/>
  <c r="CI75" i="22"/>
  <c r="CI76" i="22"/>
  <c r="CI77" i="22"/>
  <c r="CH73" i="22"/>
  <c r="CH72" i="22"/>
  <c r="CH77" i="22"/>
  <c r="CH76" i="22"/>
  <c r="CH75" i="22"/>
  <c r="CH74" i="22"/>
  <c r="CL68" i="22"/>
  <c r="CM68" i="22"/>
  <c r="CN68" i="22"/>
  <c r="CO68" i="22"/>
  <c r="CP68" i="22"/>
  <c r="CQ68" i="22"/>
  <c r="CR68" i="22"/>
  <c r="CS68" i="22"/>
  <c r="CT68" i="22"/>
  <c r="CU68" i="22"/>
  <c r="CV68" i="22"/>
  <c r="CW68" i="22"/>
  <c r="CX68" i="22"/>
  <c r="CY68" i="22"/>
  <c r="CZ68" i="22"/>
  <c r="DA68" i="22"/>
  <c r="W68" i="22" s="1"/>
  <c r="CK68" i="22"/>
  <c r="CJ68" i="22"/>
  <c r="CI68" i="22"/>
  <c r="CH68" i="22"/>
  <c r="BG2" i="43"/>
  <c r="BF2" i="43"/>
  <c r="BK8" i="40"/>
  <c r="BL8" i="40"/>
  <c r="BM8" i="40"/>
  <c r="DA51" i="22"/>
  <c r="W51" i="22" s="1"/>
  <c r="DA52" i="22"/>
  <c r="W52" i="22" s="1"/>
  <c r="DA54" i="22"/>
  <c r="W54" i="22" s="1"/>
  <c r="DA55" i="22"/>
  <c r="W55" i="22" s="1"/>
  <c r="DA56" i="22"/>
  <c r="W56" i="22" s="1"/>
  <c r="DA57" i="22"/>
  <c r="W57" i="22" s="1"/>
  <c r="DA58" i="22"/>
  <c r="W58" i="22" s="1"/>
  <c r="DA59" i="22"/>
  <c r="W59" i="22" s="1"/>
  <c r="DA60" i="22"/>
  <c r="W60" i="22" s="1"/>
  <c r="DA61" i="22"/>
  <c r="W61" i="22" s="1"/>
  <c r="DA63" i="22"/>
  <c r="W63" i="22" s="1"/>
  <c r="DA64" i="22"/>
  <c r="W64" i="22" s="1"/>
  <c r="DA69" i="22"/>
  <c r="W69" i="22" s="1"/>
  <c r="DA70" i="22"/>
  <c r="W70" i="22" s="1"/>
  <c r="DA71" i="22"/>
  <c r="W71" i="22" s="1"/>
  <c r="V49" i="22"/>
  <c r="BI88" i="1"/>
  <c r="BI106" i="1"/>
  <c r="BI107" i="1" s="1"/>
  <c r="BI105" i="1"/>
  <c r="BI111" i="1"/>
  <c r="BI110" i="1"/>
  <c r="BI109" i="1"/>
  <c r="BI66" i="1"/>
  <c r="BI41" i="1"/>
  <c r="BI34" i="1"/>
  <c r="BI33" i="1"/>
  <c r="BI29" i="1"/>
  <c r="CG75" i="22" l="1"/>
  <c r="CG77" i="22"/>
  <c r="CG73" i="22"/>
  <c r="CG74" i="22"/>
  <c r="CG76" i="22"/>
  <c r="CG72" i="22"/>
  <c r="CG68" i="22"/>
  <c r="X65" i="83"/>
  <c r="DA65" i="22"/>
  <c r="W65" i="22" s="1"/>
  <c r="BF65" i="83"/>
  <c r="W65" i="83" s="1"/>
  <c r="BI10" i="1"/>
  <c r="BI30" i="1"/>
  <c r="BI21" i="1"/>
  <c r="BI25" i="1"/>
  <c r="CI51" i="22"/>
  <c r="CZ51" i="22"/>
  <c r="V51" i="22" s="1"/>
  <c r="CZ52" i="22"/>
  <c r="V52" i="22" s="1"/>
  <c r="CZ54" i="22"/>
  <c r="V54" i="22" s="1"/>
  <c r="CZ55" i="22"/>
  <c r="V55" i="22" s="1"/>
  <c r="CZ56" i="22"/>
  <c r="V56" i="22" s="1"/>
  <c r="CZ57" i="22"/>
  <c r="V57" i="22" s="1"/>
  <c r="CZ58" i="22"/>
  <c r="V58" i="22" s="1"/>
  <c r="CZ59" i="22"/>
  <c r="V59" i="22" s="1"/>
  <c r="CZ60" i="22"/>
  <c r="V60" i="22" s="1"/>
  <c r="CZ61" i="22"/>
  <c r="V61" i="22" s="1"/>
  <c r="CZ63" i="22"/>
  <c r="V63" i="22" s="1"/>
  <c r="CZ64" i="22"/>
  <c r="V64" i="22" s="1"/>
  <c r="V68" i="22"/>
  <c r="CZ69" i="22"/>
  <c r="V69" i="22" s="1"/>
  <c r="CZ70" i="22"/>
  <c r="V70" i="22" s="1"/>
  <c r="CZ71" i="22"/>
  <c r="V71" i="22" s="1"/>
  <c r="V72" i="22"/>
  <c r="V73" i="22"/>
  <c r="V74" i="22"/>
  <c r="V75" i="22"/>
  <c r="V76" i="22"/>
  <c r="V77" i="22"/>
  <c r="U49" i="22"/>
  <c r="CJ51" i="22"/>
  <c r="CK51" i="22"/>
  <c r="CL51" i="22"/>
  <c r="CM51" i="22"/>
  <c r="CN51" i="22"/>
  <c r="CO51" i="22"/>
  <c r="CP51" i="22"/>
  <c r="CQ51" i="22"/>
  <c r="CR51" i="22"/>
  <c r="CS51" i="22"/>
  <c r="CT51" i="22"/>
  <c r="CU51" i="22"/>
  <c r="CV51" i="22"/>
  <c r="CW51" i="22"/>
  <c r="CX51" i="22"/>
  <c r="CY51" i="22"/>
  <c r="AB111" i="1"/>
  <c r="AC111" i="1"/>
  <c r="AD111" i="1"/>
  <c r="AE111" i="1"/>
  <c r="AF111" i="1"/>
  <c r="AG111" i="1"/>
  <c r="AH111" i="1"/>
  <c r="AI111" i="1"/>
  <c r="AJ111" i="1"/>
  <c r="AK111" i="1"/>
  <c r="AL111" i="1"/>
  <c r="AM111" i="1"/>
  <c r="AN111" i="1"/>
  <c r="AO111" i="1"/>
  <c r="AP111" i="1"/>
  <c r="AQ111" i="1"/>
  <c r="AR111" i="1"/>
  <c r="AS111" i="1"/>
  <c r="AT111" i="1"/>
  <c r="AU111" i="1"/>
  <c r="AV111" i="1"/>
  <c r="AW111" i="1"/>
  <c r="AX111" i="1"/>
  <c r="AY111" i="1"/>
  <c r="AZ111" i="1"/>
  <c r="BA111" i="1"/>
  <c r="BB111" i="1"/>
  <c r="BC111" i="1"/>
  <c r="BD111" i="1"/>
  <c r="BE111" i="1"/>
  <c r="BF111" i="1"/>
  <c r="BG111" i="1"/>
  <c r="BH111" i="1"/>
  <c r="AA111" i="1"/>
  <c r="AB110" i="1"/>
  <c r="AC110" i="1"/>
  <c r="AD110" i="1"/>
  <c r="AE110" i="1"/>
  <c r="AF110" i="1"/>
  <c r="AG110" i="1"/>
  <c r="AH110" i="1"/>
  <c r="AI110" i="1"/>
  <c r="AJ110" i="1"/>
  <c r="AK110" i="1"/>
  <c r="AL110" i="1"/>
  <c r="AM110" i="1"/>
  <c r="AN110" i="1"/>
  <c r="AO110" i="1"/>
  <c r="AP110" i="1"/>
  <c r="AQ110" i="1"/>
  <c r="AR110" i="1"/>
  <c r="AS110" i="1"/>
  <c r="AT110" i="1"/>
  <c r="AU110" i="1"/>
  <c r="AV110" i="1"/>
  <c r="AW110" i="1"/>
  <c r="AX110" i="1"/>
  <c r="AY110" i="1"/>
  <c r="AZ110" i="1"/>
  <c r="BA110" i="1"/>
  <c r="BB110" i="1"/>
  <c r="BC110" i="1"/>
  <c r="BD110" i="1"/>
  <c r="BE110" i="1"/>
  <c r="BF110" i="1"/>
  <c r="BG110" i="1"/>
  <c r="BH110" i="1"/>
  <c r="AA110" i="1"/>
  <c r="CG51" i="22" l="1"/>
  <c r="U51" i="22"/>
  <c r="AL109" i="1"/>
  <c r="AM109" i="1"/>
  <c r="AN109" i="1"/>
  <c r="AO109" i="1"/>
  <c r="AP109" i="1"/>
  <c r="AQ109" i="1"/>
  <c r="AR109" i="1"/>
  <c r="AS109" i="1"/>
  <c r="AT109" i="1"/>
  <c r="AU109" i="1"/>
  <c r="AV109" i="1"/>
  <c r="AW109" i="1"/>
  <c r="AX109" i="1"/>
  <c r="AY109" i="1"/>
  <c r="AZ109" i="1"/>
  <c r="BA109" i="1"/>
  <c r="BB109" i="1"/>
  <c r="BC109" i="1"/>
  <c r="BD109" i="1"/>
  <c r="BE109" i="1"/>
  <c r="BF109" i="1"/>
  <c r="BG109" i="1"/>
  <c r="BH109" i="1"/>
  <c r="AK109" i="1"/>
  <c r="AB106" i="1" l="1"/>
  <c r="AB107" i="1" s="1"/>
  <c r="AC106" i="1"/>
  <c r="AC107" i="1" s="1"/>
  <c r="AD106" i="1"/>
  <c r="AD107" i="1" s="1"/>
  <c r="AE106" i="1"/>
  <c r="AE107" i="1" s="1"/>
  <c r="AF106" i="1"/>
  <c r="AF107" i="1" s="1"/>
  <c r="AG106" i="1"/>
  <c r="AG107" i="1" s="1"/>
  <c r="AH106" i="1"/>
  <c r="AH107" i="1" s="1"/>
  <c r="AI106" i="1"/>
  <c r="AI107" i="1" s="1"/>
  <c r="AJ106" i="1"/>
  <c r="AJ107" i="1" s="1"/>
  <c r="AK106" i="1"/>
  <c r="AK107" i="1" s="1"/>
  <c r="AL106" i="1"/>
  <c r="AL107" i="1" s="1"/>
  <c r="AM106" i="1"/>
  <c r="AM107" i="1" s="1"/>
  <c r="AN106" i="1"/>
  <c r="AN107" i="1" s="1"/>
  <c r="AO106" i="1"/>
  <c r="AO107" i="1" s="1"/>
  <c r="AP106" i="1"/>
  <c r="AP107" i="1" s="1"/>
  <c r="AQ106" i="1"/>
  <c r="AQ107" i="1" s="1"/>
  <c r="AR106" i="1"/>
  <c r="AR107" i="1" s="1"/>
  <c r="AS106" i="1"/>
  <c r="AS107" i="1" s="1"/>
  <c r="AT106" i="1"/>
  <c r="AT107" i="1" s="1"/>
  <c r="AU106" i="1"/>
  <c r="AU107" i="1" s="1"/>
  <c r="AV106" i="1"/>
  <c r="AV107" i="1" s="1"/>
  <c r="AW106" i="1"/>
  <c r="AW107" i="1" s="1"/>
  <c r="AX106" i="1"/>
  <c r="AX107" i="1" s="1"/>
  <c r="AY106" i="1"/>
  <c r="AY107" i="1" s="1"/>
  <c r="AZ106" i="1"/>
  <c r="AZ107" i="1" s="1"/>
  <c r="BA106" i="1"/>
  <c r="BA107" i="1" s="1"/>
  <c r="BB106" i="1"/>
  <c r="BB107" i="1" s="1"/>
  <c r="BC107" i="1"/>
  <c r="BD106" i="1"/>
  <c r="BD107" i="1" s="1"/>
  <c r="BE106" i="1"/>
  <c r="BE107" i="1" s="1"/>
  <c r="BF106" i="1"/>
  <c r="BF107" i="1" s="1"/>
  <c r="BG106" i="1"/>
  <c r="BG107" i="1" s="1"/>
  <c r="BH106" i="1"/>
  <c r="BH107" i="1" s="1"/>
  <c r="AA106" i="1"/>
  <c r="AA107" i="1" s="1"/>
  <c r="AB105" i="1"/>
  <c r="AC105" i="1"/>
  <c r="AD105" i="1"/>
  <c r="AE105" i="1"/>
  <c r="AF105" i="1"/>
  <c r="AG105" i="1"/>
  <c r="AH105" i="1"/>
  <c r="AI105" i="1"/>
  <c r="AJ105" i="1"/>
  <c r="AK105" i="1"/>
  <c r="AL105" i="1"/>
  <c r="AM105" i="1"/>
  <c r="AN105" i="1"/>
  <c r="AO105" i="1"/>
  <c r="AP105" i="1"/>
  <c r="AQ105" i="1"/>
  <c r="AR105" i="1"/>
  <c r="AS105" i="1"/>
  <c r="AT105" i="1"/>
  <c r="AU105" i="1"/>
  <c r="AV105" i="1"/>
  <c r="AW105" i="1"/>
  <c r="AX105" i="1"/>
  <c r="AY105" i="1"/>
  <c r="AZ105" i="1"/>
  <c r="BA105" i="1"/>
  <c r="BB105" i="1"/>
  <c r="BC105" i="1"/>
  <c r="BD105" i="1"/>
  <c r="BE105" i="1"/>
  <c r="BF105" i="1"/>
  <c r="BG105" i="1"/>
  <c r="BH105" i="1"/>
  <c r="AA105" i="1"/>
  <c r="T29" i="70" l="1"/>
  <c r="U29" i="70"/>
  <c r="L29" i="70"/>
  <c r="AB29" i="70"/>
  <c r="M29" i="70"/>
  <c r="AC29" i="70"/>
  <c r="Q29" i="70"/>
  <c r="J29" i="70"/>
  <c r="R29" i="70"/>
  <c r="Z29" i="70"/>
  <c r="I29" i="70"/>
  <c r="Y29" i="70"/>
  <c r="K29" i="70"/>
  <c r="S29" i="70"/>
  <c r="AA29" i="70"/>
  <c r="N29" i="70"/>
  <c r="V29" i="70"/>
  <c r="O29" i="70"/>
  <c r="W29" i="70"/>
  <c r="P29" i="70"/>
  <c r="X29" i="70"/>
  <c r="BK12" i="62" l="1"/>
  <c r="BL12" i="62"/>
  <c r="BM12" i="62"/>
  <c r="BN12" i="62"/>
  <c r="BO12" i="62"/>
  <c r="BK14" i="58"/>
  <c r="BL14" i="58"/>
  <c r="BM14" i="58"/>
  <c r="BN14" i="58"/>
  <c r="BO14" i="58"/>
  <c r="BK15" i="58"/>
  <c r="BL15" i="58"/>
  <c r="BM15" i="58"/>
  <c r="BN15" i="58"/>
  <c r="BO15" i="58"/>
  <c r="BL10" i="48"/>
  <c r="BM10" i="48"/>
  <c r="BN10" i="48"/>
  <c r="BO10" i="48"/>
  <c r="BK10" i="48"/>
  <c r="BJ8" i="40"/>
  <c r="BH88" i="1"/>
  <c r="BH66" i="1"/>
  <c r="BH41" i="1"/>
  <c r="BH34" i="1"/>
  <c r="BH33" i="1"/>
  <c r="BH29" i="1"/>
  <c r="BH30" i="1"/>
  <c r="BH10" i="1"/>
  <c r="CZ65" i="22" l="1"/>
  <c r="V65" i="22" s="1"/>
  <c r="BE65" i="83"/>
  <c r="BH21" i="1"/>
  <c r="BH25" i="1"/>
  <c r="U68" i="22"/>
  <c r="CI69" i="22"/>
  <c r="CJ69" i="22"/>
  <c r="CK69" i="22"/>
  <c r="CL69" i="22"/>
  <c r="CM69" i="22"/>
  <c r="CN69" i="22"/>
  <c r="CO69" i="22"/>
  <c r="CP69" i="22"/>
  <c r="CQ69" i="22"/>
  <c r="CR69" i="22"/>
  <c r="CS69" i="22"/>
  <c r="CT69" i="22"/>
  <c r="CU69" i="22"/>
  <c r="CV69" i="22"/>
  <c r="CW69" i="22"/>
  <c r="CX69" i="22"/>
  <c r="CY69" i="22"/>
  <c r="U69" i="22" s="1"/>
  <c r="CI70" i="22"/>
  <c r="CJ70" i="22"/>
  <c r="CK70" i="22"/>
  <c r="CL70" i="22"/>
  <c r="CM70" i="22"/>
  <c r="CN70" i="22"/>
  <c r="CO70" i="22"/>
  <c r="CP70" i="22"/>
  <c r="CQ70" i="22"/>
  <c r="CR70" i="22"/>
  <c r="CS70" i="22"/>
  <c r="CT70" i="22"/>
  <c r="CU70" i="22"/>
  <c r="CV70" i="22"/>
  <c r="CW70" i="22"/>
  <c r="CX70" i="22"/>
  <c r="CY70" i="22"/>
  <c r="U70" i="22" s="1"/>
  <c r="CI71" i="22"/>
  <c r="CJ71" i="22"/>
  <c r="CK71" i="22"/>
  <c r="CL71" i="22"/>
  <c r="CM71" i="22"/>
  <c r="CN71" i="22"/>
  <c r="CO71" i="22"/>
  <c r="CP71" i="22"/>
  <c r="CQ71" i="22"/>
  <c r="CR71" i="22"/>
  <c r="CS71" i="22"/>
  <c r="CT71" i="22"/>
  <c r="CU71" i="22"/>
  <c r="CV71" i="22"/>
  <c r="CW71" i="22"/>
  <c r="CX71" i="22"/>
  <c r="CY71" i="22"/>
  <c r="U71" i="22" s="1"/>
  <c r="U72" i="22"/>
  <c r="U73" i="22"/>
  <c r="U74" i="22"/>
  <c r="U75" i="22"/>
  <c r="U76" i="22"/>
  <c r="U77" i="22"/>
  <c r="C75" i="22"/>
  <c r="C74" i="22"/>
  <c r="C72" i="22"/>
  <c r="CH71" i="22"/>
  <c r="CH70" i="22"/>
  <c r="CH69" i="22"/>
  <c r="C68" i="22"/>
  <c r="CW52" i="22"/>
  <c r="CX52" i="22"/>
  <c r="CY52" i="22"/>
  <c r="U52" i="22" s="1"/>
  <c r="CW54" i="22"/>
  <c r="CX54" i="22"/>
  <c r="CY54" i="22"/>
  <c r="U54" i="22" s="1"/>
  <c r="CW55" i="22"/>
  <c r="CX55" i="22"/>
  <c r="CY55" i="22"/>
  <c r="U55" i="22" s="1"/>
  <c r="CW56" i="22"/>
  <c r="CX56" i="22"/>
  <c r="CY56" i="22"/>
  <c r="U56" i="22" s="1"/>
  <c r="CW57" i="22"/>
  <c r="CX57" i="22"/>
  <c r="CY57" i="22"/>
  <c r="U57" i="22" s="1"/>
  <c r="CW58" i="22"/>
  <c r="CX58" i="22"/>
  <c r="CY58" i="22"/>
  <c r="U58" i="22" s="1"/>
  <c r="CW59" i="22"/>
  <c r="CX59" i="22"/>
  <c r="CY59" i="22"/>
  <c r="U59" i="22" s="1"/>
  <c r="CW60" i="22"/>
  <c r="CX60" i="22"/>
  <c r="CY60" i="22"/>
  <c r="U60" i="22" s="1"/>
  <c r="CW61" i="22"/>
  <c r="CX61" i="22"/>
  <c r="CY61" i="22"/>
  <c r="U61" i="22" s="1"/>
  <c r="CW63" i="22"/>
  <c r="CX63" i="22"/>
  <c r="CY63" i="22"/>
  <c r="U63" i="22" s="1"/>
  <c r="CW64" i="22"/>
  <c r="CX64" i="22"/>
  <c r="CY64" i="22"/>
  <c r="U64" i="22" s="1"/>
  <c r="R49" i="22"/>
  <c r="S49" i="22"/>
  <c r="T49" i="22"/>
  <c r="BH12" i="62"/>
  <c r="BI12" i="62"/>
  <c r="BJ12" i="62"/>
  <c r="BH14" i="58"/>
  <c r="BI14" i="58"/>
  <c r="BJ14" i="58"/>
  <c r="BH15" i="58"/>
  <c r="BI15" i="58"/>
  <c r="BJ15" i="58"/>
  <c r="BH10" i="48"/>
  <c r="BI10" i="48"/>
  <c r="BJ10" i="48"/>
  <c r="BI8" i="40"/>
  <c r="CG71" i="22" l="1"/>
  <c r="C71" i="22" s="1"/>
  <c r="CG70" i="22"/>
  <c r="C70" i="22" s="1"/>
  <c r="CG69" i="22"/>
  <c r="C69" i="22" s="1"/>
  <c r="V65" i="83"/>
  <c r="I74" i="22"/>
  <c r="K72" i="22"/>
  <c r="E70" i="22"/>
  <c r="D70" i="22"/>
  <c r="E77" i="22"/>
  <c r="O75" i="22"/>
  <c r="P74" i="22"/>
  <c r="S71" i="22"/>
  <c r="M77" i="22"/>
  <c r="N76" i="22"/>
  <c r="F76" i="22"/>
  <c r="G75" i="22"/>
  <c r="H74" i="22"/>
  <c r="Q73" i="22"/>
  <c r="I73" i="22"/>
  <c r="R72" i="22"/>
  <c r="J72" i="22"/>
  <c r="K71" i="22"/>
  <c r="T70" i="22"/>
  <c r="L70" i="22"/>
  <c r="M69" i="22"/>
  <c r="E69" i="22"/>
  <c r="S55" i="22"/>
  <c r="T51" i="22"/>
  <c r="D69" i="22"/>
  <c r="E68" i="22"/>
  <c r="T72" i="22"/>
  <c r="H77" i="22"/>
  <c r="I76" i="22"/>
  <c r="J75" i="22"/>
  <c r="I68" i="22"/>
  <c r="S61" i="22"/>
  <c r="F69" i="22"/>
  <c r="G68" i="22"/>
  <c r="F71" i="22"/>
  <c r="N68" i="22"/>
  <c r="F68" i="22"/>
  <c r="Q76" i="22"/>
  <c r="R75" i="22"/>
  <c r="Q72" i="22"/>
  <c r="R71" i="22"/>
  <c r="P77" i="22"/>
  <c r="D73" i="22"/>
  <c r="T58" i="22"/>
  <c r="O77" i="22"/>
  <c r="G77" i="22"/>
  <c r="P76" i="22"/>
  <c r="H76" i="22"/>
  <c r="Q75" i="22"/>
  <c r="I75" i="22"/>
  <c r="R74" i="22"/>
  <c r="S73" i="22"/>
  <c r="K73" i="22"/>
  <c r="M71" i="22"/>
  <c r="E71" i="22"/>
  <c r="N70" i="22"/>
  <c r="O69" i="22"/>
  <c r="G69" i="22"/>
  <c r="P68" i="22"/>
  <c r="H68" i="22"/>
  <c r="D77" i="22"/>
  <c r="R73" i="22"/>
  <c r="J73" i="22"/>
  <c r="S72" i="22"/>
  <c r="T71" i="22"/>
  <c r="L71" i="22"/>
  <c r="S51" i="22"/>
  <c r="M76" i="22"/>
  <c r="E76" i="22"/>
  <c r="N75" i="22"/>
  <c r="F75" i="22"/>
  <c r="G74" i="22"/>
  <c r="H73" i="22"/>
  <c r="I72" i="22"/>
  <c r="J71" i="22"/>
  <c r="T61" i="22"/>
  <c r="S56" i="22"/>
  <c r="S57" i="22"/>
  <c r="T54" i="22"/>
  <c r="S77" i="22"/>
  <c r="K77" i="22"/>
  <c r="T76" i="22"/>
  <c r="L76" i="22"/>
  <c r="M75" i="22"/>
  <c r="E75" i="22"/>
  <c r="C77" i="22"/>
  <c r="S64" i="22"/>
  <c r="Q74" i="22"/>
  <c r="M70" i="22"/>
  <c r="N69" i="22"/>
  <c r="O68" i="22"/>
  <c r="T57" i="22"/>
  <c r="Q77" i="22"/>
  <c r="I77" i="22"/>
  <c r="R76" i="22"/>
  <c r="J76" i="22"/>
  <c r="S75" i="22"/>
  <c r="K75" i="22"/>
  <c r="T74" i="22"/>
  <c r="L74" i="22"/>
  <c r="M73" i="22"/>
  <c r="E73" i="22"/>
  <c r="N72" i="22"/>
  <c r="F72" i="22"/>
  <c r="O71" i="22"/>
  <c r="G71" i="22"/>
  <c r="P70" i="22"/>
  <c r="H70" i="22"/>
  <c r="Q69" i="22"/>
  <c r="I69" i="22"/>
  <c r="R68" i="22"/>
  <c r="J68" i="22"/>
  <c r="C73" i="22"/>
  <c r="S74" i="22"/>
  <c r="K74" i="22"/>
  <c r="T73" i="22"/>
  <c r="L73" i="22"/>
  <c r="M72" i="22"/>
  <c r="E72" i="22"/>
  <c r="N71" i="22"/>
  <c r="O70" i="22"/>
  <c r="G70" i="22"/>
  <c r="P69" i="22"/>
  <c r="H69" i="22"/>
  <c r="Q68" i="22"/>
  <c r="J74" i="22"/>
  <c r="L72" i="22"/>
  <c r="F70" i="22"/>
  <c r="S58" i="22"/>
  <c r="T55" i="22"/>
  <c r="N77" i="22"/>
  <c r="F77" i="22"/>
  <c r="O76" i="22"/>
  <c r="G76" i="22"/>
  <c r="P75" i="22"/>
  <c r="H75" i="22"/>
  <c r="T77" i="22"/>
  <c r="L77" i="22"/>
  <c r="O74" i="22"/>
  <c r="P73" i="22"/>
  <c r="S70" i="22"/>
  <c r="K70" i="22"/>
  <c r="T69" i="22"/>
  <c r="L69" i="22"/>
  <c r="M68" i="22"/>
  <c r="T63" i="22"/>
  <c r="O72" i="22"/>
  <c r="P72" i="22"/>
  <c r="H71" i="22"/>
  <c r="I71" i="22"/>
  <c r="R69" i="22"/>
  <c r="S69" i="22"/>
  <c r="K68" i="22"/>
  <c r="L68" i="22"/>
  <c r="S63" i="22"/>
  <c r="R77" i="22"/>
  <c r="J77" i="22"/>
  <c r="S76" i="22"/>
  <c r="K76" i="22"/>
  <c r="T75" i="22"/>
  <c r="L75" i="22"/>
  <c r="N73" i="22"/>
  <c r="O73" i="22"/>
  <c r="G72" i="22"/>
  <c r="H72" i="22"/>
  <c r="I70" i="22"/>
  <c r="J70" i="22"/>
  <c r="J69" i="22"/>
  <c r="K69" i="22"/>
  <c r="S52" i="22"/>
  <c r="T52" i="22"/>
  <c r="D71" i="22"/>
  <c r="M74" i="22"/>
  <c r="N74" i="22"/>
  <c r="E74" i="22"/>
  <c r="F74" i="22"/>
  <c r="F73" i="22"/>
  <c r="G73" i="22"/>
  <c r="P71" i="22"/>
  <c r="Q71" i="22"/>
  <c r="Q70" i="22"/>
  <c r="R70" i="22"/>
  <c r="S68" i="22"/>
  <c r="T68" i="22"/>
  <c r="D75" i="22"/>
  <c r="D68" i="22"/>
  <c r="D76" i="22"/>
  <c r="S60" i="22"/>
  <c r="T60" i="22"/>
  <c r="D72" i="22"/>
  <c r="D74" i="22"/>
  <c r="C76" i="22"/>
  <c r="T64" i="22"/>
  <c r="S59" i="22"/>
  <c r="T56" i="22"/>
  <c r="T59" i="22"/>
  <c r="S54" i="22"/>
  <c r="BE66" i="1"/>
  <c r="BF66" i="1"/>
  <c r="BG66" i="1"/>
  <c r="BF29" i="1"/>
  <c r="BG29" i="1"/>
  <c r="BE88" i="1"/>
  <c r="BF88" i="1"/>
  <c r="BG88" i="1"/>
  <c r="BF41" i="1"/>
  <c r="BG41" i="1"/>
  <c r="BE34" i="1"/>
  <c r="BF34" i="1"/>
  <c r="BG34" i="1"/>
  <c r="BF33" i="1"/>
  <c r="BG33" i="1"/>
  <c r="BF10" i="1"/>
  <c r="BG10" i="1"/>
  <c r="CY65" i="22" l="1"/>
  <c r="U65" i="22" s="1"/>
  <c r="BD65" i="83"/>
  <c r="U65" i="83" s="1"/>
  <c r="CX65" i="22"/>
  <c r="BC65" i="83"/>
  <c r="CW65" i="22"/>
  <c r="BB65" i="83"/>
  <c r="BF30" i="1"/>
  <c r="BG30" i="1"/>
  <c r="BG84" i="1"/>
  <c r="BH84" i="1"/>
  <c r="BI84" i="1"/>
  <c r="BG82" i="1"/>
  <c r="BH82" i="1"/>
  <c r="BI82" i="1"/>
  <c r="BG71" i="1"/>
  <c r="BH71" i="1"/>
  <c r="BI71" i="1"/>
  <c r="BG25" i="1"/>
  <c r="BG21" i="1"/>
  <c r="BF84" i="1"/>
  <c r="BC82" i="1"/>
  <c r="BD82" i="1"/>
  <c r="BE82" i="1"/>
  <c r="BF82" i="1"/>
  <c r="BF71" i="1"/>
  <c r="BF25" i="1"/>
  <c r="AZ41" i="1"/>
  <c r="BA41" i="1"/>
  <c r="BB41" i="1"/>
  <c r="BC41" i="1"/>
  <c r="BD41" i="1"/>
  <c r="BE41" i="1"/>
  <c r="BE29" i="1"/>
  <c r="BE84" i="1"/>
  <c r="BE71" i="1"/>
  <c r="BE25" i="1"/>
  <c r="AZ48" i="83" l="1"/>
  <c r="BA48" i="83"/>
  <c r="T65" i="22"/>
  <c r="S65" i="22"/>
  <c r="T65" i="83"/>
  <c r="S65" i="83"/>
  <c r="CZ62" i="22"/>
  <c r="BE62" i="83"/>
  <c r="CX48" i="22"/>
  <c r="BC48" i="83"/>
  <c r="CY62" i="22"/>
  <c r="BD62" i="83"/>
  <c r="CY53" i="22"/>
  <c r="BD53" i="83"/>
  <c r="CW48" i="22"/>
  <c r="BB48" i="83"/>
  <c r="CX62" i="22"/>
  <c r="BC62" i="83"/>
  <c r="DA53" i="22"/>
  <c r="W53" i="22" s="1"/>
  <c r="BF53" i="83"/>
  <c r="CY48" i="22"/>
  <c r="BD48" i="83"/>
  <c r="CX53" i="22"/>
  <c r="BC53" i="83"/>
  <c r="CZ53" i="22"/>
  <c r="BE53" i="83"/>
  <c r="DA48" i="22"/>
  <c r="W48" i="22" s="1"/>
  <c r="BF48" i="83"/>
  <c r="W48" i="83" s="1"/>
  <c r="CZ48" i="22"/>
  <c r="BE48" i="83"/>
  <c r="CW53" i="22"/>
  <c r="BB53" i="83"/>
  <c r="CW62" i="22"/>
  <c r="BB62" i="83"/>
  <c r="DA62" i="22"/>
  <c r="W62" i="22" s="1"/>
  <c r="BF62" i="83"/>
  <c r="W62" i="83" s="1"/>
  <c r="BE33" i="1"/>
  <c r="BE10" i="1"/>
  <c r="BE30" i="1"/>
  <c r="BG12" i="62"/>
  <c r="BG14" i="58"/>
  <c r="BG15" i="58"/>
  <c r="BG10" i="48"/>
  <c r="BF8" i="40"/>
  <c r="BG8" i="40"/>
  <c r="BH8" i="40"/>
  <c r="Q49" i="22"/>
  <c r="R51" i="22"/>
  <c r="CV52" i="22"/>
  <c r="R52" i="22" s="1"/>
  <c r="CV54" i="22"/>
  <c r="R54" i="22" s="1"/>
  <c r="CV55" i="22"/>
  <c r="R55" i="22" s="1"/>
  <c r="CV56" i="22"/>
  <c r="R56" i="22" s="1"/>
  <c r="CV57" i="22"/>
  <c r="R57" i="22" s="1"/>
  <c r="CV58" i="22"/>
  <c r="R58" i="22" s="1"/>
  <c r="CV59" i="22"/>
  <c r="R59" i="22" s="1"/>
  <c r="CV60" i="22"/>
  <c r="R60" i="22" s="1"/>
  <c r="CV61" i="22"/>
  <c r="R61" i="22" s="1"/>
  <c r="CV63" i="22"/>
  <c r="R63" i="22" s="1"/>
  <c r="CV64" i="22"/>
  <c r="R64" i="22" s="1"/>
  <c r="CT52" i="22"/>
  <c r="CU52" i="22"/>
  <c r="CU53" i="22"/>
  <c r="CT54" i="22"/>
  <c r="CU54" i="22"/>
  <c r="CT55" i="22"/>
  <c r="CU55" i="22"/>
  <c r="CT56" i="22"/>
  <c r="CU56" i="22"/>
  <c r="CT57" i="22"/>
  <c r="CU57" i="22"/>
  <c r="CT58" i="22"/>
  <c r="CU58" i="22"/>
  <c r="CT59" i="22"/>
  <c r="CU59" i="22"/>
  <c r="CT60" i="22"/>
  <c r="CU60" i="22"/>
  <c r="CT61" i="22"/>
  <c r="CU61" i="22"/>
  <c r="CT63" i="22"/>
  <c r="CU63" i="22"/>
  <c r="CT64" i="22"/>
  <c r="CU64" i="22"/>
  <c r="BD66" i="1"/>
  <c r="BD29" i="1"/>
  <c r="Q48" i="83" l="1"/>
  <c r="S53" i="22"/>
  <c r="S62" i="22"/>
  <c r="T48" i="22"/>
  <c r="U48" i="22"/>
  <c r="T48" i="83"/>
  <c r="U62" i="22"/>
  <c r="S62" i="83"/>
  <c r="S53" i="83"/>
  <c r="T53" i="22"/>
  <c r="U62" i="83"/>
  <c r="V62" i="83"/>
  <c r="T62" i="22"/>
  <c r="S48" i="22"/>
  <c r="V53" i="22"/>
  <c r="V48" i="83"/>
  <c r="U53" i="22"/>
  <c r="S48" i="83"/>
  <c r="V48" i="22"/>
  <c r="U48" i="83"/>
  <c r="T53" i="83"/>
  <c r="U53" i="83"/>
  <c r="V62" i="22"/>
  <c r="T62" i="83"/>
  <c r="V53" i="83"/>
  <c r="W53" i="83"/>
  <c r="R48" i="83"/>
  <c r="Q56" i="22"/>
  <c r="Q58" i="22"/>
  <c r="Q63" i="22"/>
  <c r="Q57" i="22"/>
  <c r="Q64" i="22"/>
  <c r="Q59" i="22"/>
  <c r="Q55" i="22"/>
  <c r="Q52" i="22"/>
  <c r="Q60" i="22"/>
  <c r="Q51" i="22"/>
  <c r="Q61" i="22"/>
  <c r="Q54" i="22"/>
  <c r="BD88" i="1" l="1"/>
  <c r="BD34" i="1"/>
  <c r="BD10" i="1"/>
  <c r="BD30" i="1"/>
  <c r="BE12" i="66"/>
  <c r="BF12" i="66"/>
  <c r="BE12" i="62"/>
  <c r="BF12" i="62"/>
  <c r="BE14" i="58"/>
  <c r="BF14" i="58"/>
  <c r="BE15" i="58"/>
  <c r="BF15" i="58"/>
  <c r="BE10" i="48"/>
  <c r="BF10" i="48"/>
  <c r="BD8" i="40"/>
  <c r="BE8" i="40"/>
  <c r="O49" i="22"/>
  <c r="P49" i="22"/>
  <c r="BC10" i="1"/>
  <c r="BB88" i="1"/>
  <c r="BC88" i="1"/>
  <c r="BB66" i="1"/>
  <c r="BC66" i="1"/>
  <c r="CU65" i="22" l="1"/>
  <c r="AZ65" i="83"/>
  <c r="CT65" i="22"/>
  <c r="AY65" i="83"/>
  <c r="CV65" i="22"/>
  <c r="R65" i="22" s="1"/>
  <c r="BA65" i="83"/>
  <c r="R65" i="83" s="1"/>
  <c r="P60" i="22"/>
  <c r="P56" i="22"/>
  <c r="P61" i="22"/>
  <c r="P51" i="22"/>
  <c r="P64" i="22"/>
  <c r="P55" i="22"/>
  <c r="P57" i="22"/>
  <c r="P59" i="22"/>
  <c r="P52" i="22"/>
  <c r="P54" i="22"/>
  <c r="P63" i="22"/>
  <c r="P58" i="22"/>
  <c r="BC34" i="1"/>
  <c r="BC29" i="1"/>
  <c r="P65" i="22" l="1"/>
  <c r="Q65" i="22"/>
  <c r="P65" i="83"/>
  <c r="Q65" i="83"/>
  <c r="BC30" i="1"/>
  <c r="BB34" i="1"/>
  <c r="BB29" i="1"/>
  <c r="BB10" i="1"/>
  <c r="BB30" i="1"/>
  <c r="BB84" i="1" l="1"/>
  <c r="BC84" i="1"/>
  <c r="BD84" i="1"/>
  <c r="CU48" i="22"/>
  <c r="CV48" i="22"/>
  <c r="R48" i="22" s="1"/>
  <c r="BB82" i="1"/>
  <c r="BB71" i="1"/>
  <c r="BD71" i="1"/>
  <c r="BB25" i="1"/>
  <c r="BC25" i="1"/>
  <c r="BD25" i="1"/>
  <c r="CS48" i="22"/>
  <c r="O51" i="22"/>
  <c r="CR52" i="22"/>
  <c r="CS52" i="22"/>
  <c r="O52" i="22" s="1"/>
  <c r="CR54" i="22"/>
  <c r="CS54" i="22"/>
  <c r="O54" i="22" s="1"/>
  <c r="CR55" i="22"/>
  <c r="CS55" i="22"/>
  <c r="O55" i="22" s="1"/>
  <c r="CR56" i="22"/>
  <c r="CS56" i="22"/>
  <c r="O56" i="22" s="1"/>
  <c r="CR57" i="22"/>
  <c r="CS57" i="22"/>
  <c r="O57" i="22" s="1"/>
  <c r="CR58" i="22"/>
  <c r="CS58" i="22"/>
  <c r="O58" i="22" s="1"/>
  <c r="CR59" i="22"/>
  <c r="CS59" i="22"/>
  <c r="O59" i="22" s="1"/>
  <c r="CR60" i="22"/>
  <c r="CS60" i="22"/>
  <c r="O60" i="22" s="1"/>
  <c r="CR61" i="22"/>
  <c r="CS61" i="22"/>
  <c r="O61" i="22" s="1"/>
  <c r="CR63" i="22"/>
  <c r="CS63" i="22"/>
  <c r="O63" i="22" s="1"/>
  <c r="CR64" i="22"/>
  <c r="CS64" i="22"/>
  <c r="O64" i="22" s="1"/>
  <c r="BC12" i="66"/>
  <c r="BD12" i="66"/>
  <c r="BC12" i="62"/>
  <c r="BD12" i="62"/>
  <c r="BC14" i="58"/>
  <c r="BD14" i="58"/>
  <c r="BC15" i="58"/>
  <c r="BD15" i="58"/>
  <c r="BC10" i="48"/>
  <c r="BD10" i="48"/>
  <c r="AZ88" i="1"/>
  <c r="BA88" i="1"/>
  <c r="AZ66" i="1"/>
  <c r="BA66" i="1"/>
  <c r="BA71" i="1"/>
  <c r="AZ71" i="1"/>
  <c r="BA34" i="1"/>
  <c r="BA30" i="1"/>
  <c r="BA29" i="1"/>
  <c r="AY53" i="83" l="1"/>
  <c r="P53" i="83" s="1"/>
  <c r="CT48" i="22"/>
  <c r="P48" i="22" s="1"/>
  <c r="AY48" i="83"/>
  <c r="CV53" i="22"/>
  <c r="R53" i="22" s="1"/>
  <c r="BA53" i="83"/>
  <c r="CR53" i="22"/>
  <c r="AW53" i="83"/>
  <c r="CS53" i="22"/>
  <c r="AX53" i="83"/>
  <c r="CV62" i="22"/>
  <c r="R62" i="22" s="1"/>
  <c r="BA62" i="83"/>
  <c r="R62" i="83" s="1"/>
  <c r="CS65" i="22"/>
  <c r="O65" i="22" s="1"/>
  <c r="AX65" i="83"/>
  <c r="O65" i="83" s="1"/>
  <c r="CR65" i="22"/>
  <c r="AW65" i="83"/>
  <c r="CU62" i="22"/>
  <c r="AZ62" i="83"/>
  <c r="CT62" i="22"/>
  <c r="AY62" i="83"/>
  <c r="Q48" i="22"/>
  <c r="CT53" i="22"/>
  <c r="P53" i="22" s="1"/>
  <c r="BA10" i="1"/>
  <c r="BA84" i="1"/>
  <c r="BA25" i="1"/>
  <c r="N49" i="22"/>
  <c r="N51" i="22"/>
  <c r="N52" i="22"/>
  <c r="N54" i="22"/>
  <c r="N55" i="22"/>
  <c r="N56" i="22"/>
  <c r="N57" i="22"/>
  <c r="N58" i="22"/>
  <c r="N59" i="22"/>
  <c r="N60" i="22"/>
  <c r="N61" i="22"/>
  <c r="N63" i="22"/>
  <c r="N64" i="22"/>
  <c r="M49" i="22"/>
  <c r="BB8" i="40"/>
  <c r="AZ29" i="1"/>
  <c r="AZ34" i="1"/>
  <c r="AZ25" i="1"/>
  <c r="AZ84" i="1"/>
  <c r="AZ82" i="1"/>
  <c r="AZ10" i="1"/>
  <c r="AZ30" i="1"/>
  <c r="Q53" i="22" l="1"/>
  <c r="O48" i="22"/>
  <c r="N65" i="22"/>
  <c r="Q62" i="83"/>
  <c r="P62" i="22"/>
  <c r="Q62" i="22"/>
  <c r="N53" i="22"/>
  <c r="N53" i="83"/>
  <c r="O53" i="83"/>
  <c r="N65" i="83"/>
  <c r="CS62" i="22"/>
  <c r="O62" i="22" s="1"/>
  <c r="AX62" i="83"/>
  <c r="O62" i="83" s="1"/>
  <c r="Q53" i="83"/>
  <c r="R53" i="83"/>
  <c r="CR48" i="22"/>
  <c r="N48" i="22" s="1"/>
  <c r="AW48" i="83"/>
  <c r="N48" i="83" s="1"/>
  <c r="P62" i="83"/>
  <c r="P48" i="83"/>
  <c r="O48" i="83"/>
  <c r="CR62" i="22"/>
  <c r="AW62" i="83"/>
  <c r="O53" i="22"/>
  <c r="AY66" i="1"/>
  <c r="AX66" i="1"/>
  <c r="AY88" i="1"/>
  <c r="AV65" i="83" l="1"/>
  <c r="M65" i="83" s="1"/>
  <c r="N62" i="22"/>
  <c r="N62" i="83"/>
  <c r="M51" i="22"/>
  <c r="CQ52" i="22"/>
  <c r="M52" i="22" s="1"/>
  <c r="CQ54" i="22"/>
  <c r="M54" i="22" s="1"/>
  <c r="CQ55" i="22"/>
  <c r="M55" i="22" s="1"/>
  <c r="CQ56" i="22"/>
  <c r="M56" i="22" s="1"/>
  <c r="CQ57" i="22"/>
  <c r="M57" i="22" s="1"/>
  <c r="CQ58" i="22"/>
  <c r="M58" i="22" s="1"/>
  <c r="CQ59" i="22"/>
  <c r="M59" i="22" s="1"/>
  <c r="CQ60" i="22"/>
  <c r="M60" i="22" s="1"/>
  <c r="CQ61" i="22"/>
  <c r="M61" i="22" s="1"/>
  <c r="CQ63" i="22"/>
  <c r="M63" i="22" s="1"/>
  <c r="CQ64" i="22"/>
  <c r="M64" i="22" s="1"/>
  <c r="CQ65" i="22"/>
  <c r="M65" i="22" s="1"/>
  <c r="L49" i="22"/>
  <c r="BB12" i="66"/>
  <c r="BB12" i="62"/>
  <c r="BB14" i="58"/>
  <c r="BB15" i="58"/>
  <c r="BB10" i="48"/>
  <c r="AY34" i="1"/>
  <c r="AY29" i="1"/>
  <c r="AX29" i="1"/>
  <c r="AW29" i="1"/>
  <c r="AY30" i="1"/>
  <c r="AX30" i="1"/>
  <c r="AY10" i="1"/>
  <c r="AY71" i="1"/>
  <c r="AY13" i="1"/>
  <c r="AY84" i="1"/>
  <c r="AY82" i="1"/>
  <c r="AY25" i="1"/>
  <c r="CQ53" i="22" l="1"/>
  <c r="M53" i="22" s="1"/>
  <c r="AV53" i="83"/>
  <c r="CQ48" i="22"/>
  <c r="M48" i="22" s="1"/>
  <c r="AV48" i="83"/>
  <c r="CQ62" i="22"/>
  <c r="M62" i="22" s="1"/>
  <c r="AV62" i="83"/>
  <c r="CP48" i="22"/>
  <c r="L51" i="22"/>
  <c r="CP52" i="22"/>
  <c r="L52" i="22" s="1"/>
  <c r="CP53" i="22"/>
  <c r="CP54" i="22"/>
  <c r="L54" i="22" s="1"/>
  <c r="CP55" i="22"/>
  <c r="L55" i="22" s="1"/>
  <c r="CP56" i="22"/>
  <c r="L56" i="22" s="1"/>
  <c r="CP57" i="22"/>
  <c r="L57" i="22" s="1"/>
  <c r="CP58" i="22"/>
  <c r="L58" i="22" s="1"/>
  <c r="CP59" i="22"/>
  <c r="L59" i="22" s="1"/>
  <c r="CP60" i="22"/>
  <c r="L60" i="22" s="1"/>
  <c r="CP61" i="22"/>
  <c r="L61" i="22" s="1"/>
  <c r="CP62" i="22"/>
  <c r="CP63" i="22"/>
  <c r="L63" i="22" s="1"/>
  <c r="CP64" i="22"/>
  <c r="L64" i="22" s="1"/>
  <c r="BA12" i="66"/>
  <c r="BA12" i="62"/>
  <c r="BA14" i="58"/>
  <c r="BA15" i="58"/>
  <c r="BA10" i="48"/>
  <c r="AX34" i="1"/>
  <c r="AX88" i="1"/>
  <c r="AX10" i="1"/>
  <c r="AX25" i="1"/>
  <c r="L62" i="22" l="1"/>
  <c r="L48" i="22"/>
  <c r="CP65" i="22"/>
  <c r="L65" i="22" s="1"/>
  <c r="AU65" i="83"/>
  <c r="L65" i="83" s="1"/>
  <c r="M62" i="83"/>
  <c r="L62" i="83"/>
  <c r="L53" i="22"/>
  <c r="M48" i="83"/>
  <c r="L48" i="83"/>
  <c r="L53" i="83"/>
  <c r="M53" i="83"/>
  <c r="K49" i="22"/>
  <c r="E2" i="67" l="1"/>
  <c r="I10" i="48"/>
  <c r="AN88" i="1" l="1"/>
  <c r="AO88" i="1"/>
  <c r="AP88" i="1"/>
  <c r="AQ88" i="1"/>
  <c r="AR88" i="1"/>
  <c r="AS88" i="1"/>
  <c r="AT88" i="1"/>
  <c r="AU88" i="1"/>
  <c r="AV88" i="1"/>
  <c r="AW88" i="1"/>
  <c r="Q88" i="1"/>
  <c r="R88" i="1"/>
  <c r="S88" i="1"/>
  <c r="T88" i="1"/>
  <c r="U88" i="1"/>
  <c r="V88" i="1"/>
  <c r="W88" i="1"/>
  <c r="X88" i="1"/>
  <c r="Y88" i="1"/>
  <c r="Z88" i="1"/>
  <c r="AA88" i="1"/>
  <c r="AB88" i="1"/>
  <c r="AC88" i="1"/>
  <c r="AD88" i="1"/>
  <c r="AE88" i="1"/>
  <c r="AF88" i="1"/>
  <c r="AG88" i="1"/>
  <c r="AH88" i="1"/>
  <c r="AI88" i="1"/>
  <c r="AJ88" i="1"/>
  <c r="AK88" i="1"/>
  <c r="AL88" i="1"/>
  <c r="AM88" i="1"/>
  <c r="G88" i="1"/>
  <c r="H88" i="1"/>
  <c r="I88" i="1"/>
  <c r="J88" i="1"/>
  <c r="K88" i="1"/>
  <c r="L88" i="1"/>
  <c r="M88" i="1"/>
  <c r="N88" i="1"/>
  <c r="O88" i="1"/>
  <c r="P88" i="1"/>
  <c r="F88" i="1"/>
  <c r="CM65" i="22" l="1"/>
  <c r="AR65" i="83"/>
  <c r="CL65" i="22"/>
  <c r="AQ65" i="83"/>
  <c r="CK65" i="22"/>
  <c r="AP65" i="83"/>
  <c r="CJ65" i="22"/>
  <c r="AO65" i="83"/>
  <c r="CI65" i="22"/>
  <c r="AN65" i="83"/>
  <c r="CH65" i="22"/>
  <c r="AM65" i="83"/>
  <c r="CO65" i="22"/>
  <c r="K65" i="22" s="1"/>
  <c r="AT65" i="83"/>
  <c r="CN65" i="22"/>
  <c r="AS65" i="83"/>
  <c r="CI64" i="22"/>
  <c r="CJ64" i="22"/>
  <c r="CK64" i="22"/>
  <c r="CL64" i="22"/>
  <c r="CM64" i="22"/>
  <c r="CN64" i="22"/>
  <c r="CO64" i="22"/>
  <c r="K64" i="22" s="1"/>
  <c r="CH64" i="22"/>
  <c r="CM63" i="22"/>
  <c r="CN63" i="22"/>
  <c r="CO63" i="22"/>
  <c r="K63" i="22" s="1"/>
  <c r="CL63" i="22"/>
  <c r="CI63" i="22"/>
  <c r="CJ63" i="22"/>
  <c r="CK63" i="22"/>
  <c r="CH63" i="22"/>
  <c r="CO62" i="22"/>
  <c r="K62" i="22" s="1"/>
  <c r="CI62" i="22"/>
  <c r="CJ62" i="22"/>
  <c r="CK62" i="22"/>
  <c r="CL62" i="22"/>
  <c r="CM62" i="22"/>
  <c r="CN62" i="22"/>
  <c r="CH62" i="22"/>
  <c r="CI61" i="22"/>
  <c r="CJ61" i="22"/>
  <c r="CK61" i="22"/>
  <c r="CL61" i="22"/>
  <c r="CM61" i="22"/>
  <c r="CN61" i="22"/>
  <c r="CO61" i="22"/>
  <c r="K61" i="22" s="1"/>
  <c r="CH61" i="22"/>
  <c r="CI60" i="22"/>
  <c r="CJ60" i="22"/>
  <c r="CK60" i="22"/>
  <c r="CL60" i="22"/>
  <c r="CM60" i="22"/>
  <c r="CN60" i="22"/>
  <c r="CO60" i="22"/>
  <c r="K60" i="22" s="1"/>
  <c r="CH60" i="22"/>
  <c r="CI59" i="22"/>
  <c r="CJ59" i="22"/>
  <c r="CK59" i="22"/>
  <c r="CL59" i="22"/>
  <c r="CM59" i="22"/>
  <c r="CN59" i="22"/>
  <c r="CO59" i="22"/>
  <c r="K59" i="22" s="1"/>
  <c r="CH59" i="22"/>
  <c r="CI58" i="22"/>
  <c r="CJ58" i="22"/>
  <c r="CK58" i="22"/>
  <c r="CL58" i="22"/>
  <c r="CM58" i="22"/>
  <c r="CN58" i="22"/>
  <c r="CO58" i="22"/>
  <c r="K58" i="22" s="1"/>
  <c r="CH58" i="22"/>
  <c r="CI48" i="22"/>
  <c r="CJ48" i="22"/>
  <c r="CK48" i="22"/>
  <c r="CL48" i="22"/>
  <c r="CM48" i="22"/>
  <c r="CN48" i="22"/>
  <c r="CO48" i="22"/>
  <c r="K48" i="22" s="1"/>
  <c r="CH48" i="22"/>
  <c r="AC82" i="1"/>
  <c r="AZ12" i="66"/>
  <c r="E2" i="66"/>
  <c r="K51" i="22"/>
  <c r="CH51" i="22"/>
  <c r="C51" i="22" s="1"/>
  <c r="CI52" i="22"/>
  <c r="CJ52" i="22"/>
  <c r="CK52" i="22"/>
  <c r="CL52" i="22"/>
  <c r="CM52" i="22"/>
  <c r="CN52" i="22"/>
  <c r="CO52" i="22"/>
  <c r="K52" i="22" s="1"/>
  <c r="CH52" i="22"/>
  <c r="CI53" i="22"/>
  <c r="CJ53" i="22"/>
  <c r="CK53" i="22"/>
  <c r="CL53" i="22"/>
  <c r="CM53" i="22"/>
  <c r="CN53" i="22"/>
  <c r="CO53" i="22"/>
  <c r="K53" i="22" s="1"/>
  <c r="CH53" i="22"/>
  <c r="CI55" i="22"/>
  <c r="CJ55" i="22"/>
  <c r="CK55" i="22"/>
  <c r="CL55" i="22"/>
  <c r="CM55" i="22"/>
  <c r="CN55" i="22"/>
  <c r="CO55" i="22"/>
  <c r="K55" i="22" s="1"/>
  <c r="CH55" i="22"/>
  <c r="CH54" i="22"/>
  <c r="CI54" i="22"/>
  <c r="CJ54" i="22"/>
  <c r="CK54" i="22"/>
  <c r="CL54" i="22"/>
  <c r="CM54" i="22"/>
  <c r="CN54" i="22"/>
  <c r="CO54" i="22"/>
  <c r="CI57" i="22"/>
  <c r="CJ57" i="22"/>
  <c r="CK57" i="22"/>
  <c r="CL57" i="22"/>
  <c r="CM57" i="22"/>
  <c r="CN57" i="22"/>
  <c r="CO57" i="22"/>
  <c r="CH57" i="22"/>
  <c r="CI56" i="22"/>
  <c r="CJ56" i="22"/>
  <c r="CK56" i="22"/>
  <c r="CL56" i="22"/>
  <c r="CM56" i="22"/>
  <c r="CN56" i="22"/>
  <c r="CO56" i="22"/>
  <c r="K56" i="22" s="1"/>
  <c r="CH56" i="22"/>
  <c r="AZ12" i="62"/>
  <c r="AZ14" i="58"/>
  <c r="AZ15" i="58"/>
  <c r="AZ10" i="48"/>
  <c r="AW66" i="1"/>
  <c r="AW30" i="1"/>
  <c r="AW10" i="1"/>
  <c r="AW34" i="1"/>
  <c r="AW25" i="1"/>
  <c r="AC70" i="1"/>
  <c r="AC151" i="1" s="1"/>
  <c r="AY12" i="62"/>
  <c r="AY14" i="58"/>
  <c r="AY15" i="58"/>
  <c r="AY10" i="48"/>
  <c r="AV34" i="1"/>
  <c r="AV66" i="1"/>
  <c r="CG63" i="22" l="1"/>
  <c r="C63" i="22" s="1"/>
  <c r="CG56" i="22"/>
  <c r="C56" i="22" s="1"/>
  <c r="CG54" i="22"/>
  <c r="C54" i="22" s="1"/>
  <c r="CG57" i="22"/>
  <c r="C57" i="22" s="1"/>
  <c r="CG55" i="22"/>
  <c r="C55" i="22" s="1"/>
  <c r="CG53" i="22"/>
  <c r="C53" i="22" s="1"/>
  <c r="CG52" i="22"/>
  <c r="C52" i="22" s="1"/>
  <c r="CG48" i="22"/>
  <c r="C48" i="22" s="1"/>
  <c r="CG58" i="22"/>
  <c r="C58" i="22" s="1"/>
  <c r="CG59" i="22"/>
  <c r="C59" i="22" s="1"/>
  <c r="CG60" i="22"/>
  <c r="C60" i="22" s="1"/>
  <c r="CG65" i="22"/>
  <c r="C65" i="22" s="1"/>
  <c r="CG61" i="22"/>
  <c r="C61" i="22" s="1"/>
  <c r="CG64" i="22"/>
  <c r="C64" i="22" s="1"/>
  <c r="CG62" i="22"/>
  <c r="C62" i="22" s="1"/>
  <c r="I65" i="22"/>
  <c r="D65" i="22"/>
  <c r="H65" i="22"/>
  <c r="F65" i="22"/>
  <c r="J65" i="22"/>
  <c r="E65" i="22"/>
  <c r="G65" i="22"/>
  <c r="E65" i="83"/>
  <c r="F65" i="83"/>
  <c r="C65" i="83"/>
  <c r="D65" i="83"/>
  <c r="G65" i="83"/>
  <c r="J65" i="83"/>
  <c r="K65" i="83"/>
  <c r="H65" i="83"/>
  <c r="I65" i="83"/>
  <c r="I52" i="22"/>
  <c r="J48" i="22"/>
  <c r="F56" i="22"/>
  <c r="F57" i="22"/>
  <c r="F54" i="22"/>
  <c r="G55" i="22"/>
  <c r="F61" i="22"/>
  <c r="D55" i="22"/>
  <c r="H53" i="22"/>
  <c r="E62" i="22"/>
  <c r="G63" i="22"/>
  <c r="D64" i="22"/>
  <c r="F63" i="22"/>
  <c r="J64" i="22"/>
  <c r="I56" i="22"/>
  <c r="I54" i="22"/>
  <c r="I48" i="22"/>
  <c r="J59" i="22"/>
  <c r="H61" i="22"/>
  <c r="I60" i="22"/>
  <c r="H63" i="22"/>
  <c r="G64" i="22"/>
  <c r="F48" i="22"/>
  <c r="H60" i="22"/>
  <c r="F62" i="22"/>
  <c r="F64" i="22"/>
  <c r="I53" i="22"/>
  <c r="I58" i="22"/>
  <c r="I59" i="22"/>
  <c r="I64" i="22"/>
  <c r="G61" i="22"/>
  <c r="H62" i="22"/>
  <c r="H64" i="22"/>
  <c r="E57" i="22"/>
  <c r="E54" i="22"/>
  <c r="F51" i="22"/>
  <c r="G60" i="22"/>
  <c r="D56" i="22"/>
  <c r="D57" i="22"/>
  <c r="D54" i="22"/>
  <c r="E55" i="22"/>
  <c r="E51" i="22"/>
  <c r="E59" i="22"/>
  <c r="F60" i="22"/>
  <c r="E64" i="22"/>
  <c r="E56" i="22"/>
  <c r="F55" i="22"/>
  <c r="J57" i="22"/>
  <c r="K57" i="22"/>
  <c r="J54" i="22"/>
  <c r="K54" i="22"/>
  <c r="I51" i="22"/>
  <c r="D58" i="22"/>
  <c r="E60" i="22"/>
  <c r="G56" i="22"/>
  <c r="G57" i="22"/>
  <c r="H55" i="22"/>
  <c r="F53" i="22"/>
  <c r="H48" i="22"/>
  <c r="J58" i="22"/>
  <c r="I62" i="22"/>
  <c r="J60" i="22"/>
  <c r="J63" i="22"/>
  <c r="I61" i="22"/>
  <c r="E48" i="22"/>
  <c r="H58" i="22"/>
  <c r="H59" i="22"/>
  <c r="D62" i="22"/>
  <c r="G58" i="22"/>
  <c r="J62" i="22"/>
  <c r="E63" i="22"/>
  <c r="H56" i="22"/>
  <c r="F52" i="22"/>
  <c r="D59" i="22"/>
  <c r="G52" i="22"/>
  <c r="I63" i="22"/>
  <c r="D63" i="22"/>
  <c r="G62" i="22"/>
  <c r="D61" i="22"/>
  <c r="J61" i="22"/>
  <c r="E61" i="22"/>
  <c r="E53" i="22"/>
  <c r="E52" i="22"/>
  <c r="I57" i="22"/>
  <c r="J55" i="22"/>
  <c r="D53" i="22"/>
  <c r="D52" i="22"/>
  <c r="E58" i="22"/>
  <c r="F59" i="22"/>
  <c r="H57" i="22"/>
  <c r="H54" i="22"/>
  <c r="I55" i="22"/>
  <c r="G54" i="22"/>
  <c r="J53" i="22"/>
  <c r="J52" i="22"/>
  <c r="J56" i="22"/>
  <c r="F58" i="22"/>
  <c r="D51" i="22"/>
  <c r="G48" i="22"/>
  <c r="D60" i="22"/>
  <c r="H51" i="22"/>
  <c r="G59" i="22"/>
  <c r="G53" i="22"/>
  <c r="J51" i="22"/>
  <c r="G51" i="22"/>
  <c r="H52" i="22"/>
  <c r="D48" i="22"/>
  <c r="AV29" i="1"/>
  <c r="AV25" i="1"/>
  <c r="AV10" i="1"/>
  <c r="AV30" i="1"/>
  <c r="I14" i="65"/>
  <c r="AJ66" i="1"/>
  <c r="AK66" i="1"/>
  <c r="AL66" i="1"/>
  <c r="AM66" i="1"/>
  <c r="AN66" i="1"/>
  <c r="AO66" i="1"/>
  <c r="AP66" i="1"/>
  <c r="AQ66" i="1"/>
  <c r="AR66" i="1"/>
  <c r="AS66" i="1"/>
  <c r="AT66" i="1"/>
  <c r="AU66" i="1"/>
  <c r="AI66" i="1"/>
  <c r="I26" i="65" l="1"/>
  <c r="I23" i="65"/>
  <c r="I27" i="65" s="1"/>
  <c r="I29" i="65" s="1"/>
  <c r="I31" i="65" s="1"/>
  <c r="I33" i="65" s="1"/>
  <c r="I20" i="65"/>
  <c r="I17" i="65"/>
  <c r="E12" i="65" l="1"/>
  <c r="F12" i="65" s="1"/>
  <c r="AX14" i="63" l="1"/>
  <c r="AC14" i="63"/>
  <c r="D15" i="63"/>
  <c r="E2" i="63"/>
  <c r="AX12" i="62"/>
  <c r="AX14" i="58"/>
  <c r="AX15" i="58"/>
  <c r="AX10" i="48"/>
  <c r="AU30" i="1" l="1"/>
  <c r="AU29" i="1"/>
  <c r="AU33" i="1"/>
  <c r="AV33" i="1"/>
  <c r="AW33" i="1"/>
  <c r="AX33" i="1"/>
  <c r="AY33" i="1"/>
  <c r="AZ33" i="1"/>
  <c r="BA33" i="1"/>
  <c r="BB33" i="1"/>
  <c r="BC33" i="1"/>
  <c r="BD33" i="1"/>
  <c r="AU25" i="1"/>
  <c r="AU10" i="1"/>
  <c r="AU34" i="1"/>
  <c r="AT30" i="1" l="1"/>
  <c r="AT10" i="1" l="1"/>
  <c r="J12" i="62" l="1"/>
  <c r="K12" i="62"/>
  <c r="L12" i="62"/>
  <c r="M12" i="62"/>
  <c r="N12" i="62"/>
  <c r="O12" i="62"/>
  <c r="P12" i="62"/>
  <c r="Q12" i="62"/>
  <c r="R12" i="62"/>
  <c r="S12" i="62"/>
  <c r="T12" i="62"/>
  <c r="U12" i="62"/>
  <c r="V12" i="62"/>
  <c r="W12" i="62"/>
  <c r="X12" i="62"/>
  <c r="Y12" i="62"/>
  <c r="Z12" i="62"/>
  <c r="AA12" i="62"/>
  <c r="AB12" i="62"/>
  <c r="AC12" i="62"/>
  <c r="AD12" i="62"/>
  <c r="AE12" i="62"/>
  <c r="AF12" i="62"/>
  <c r="AG12" i="62"/>
  <c r="AH12" i="62"/>
  <c r="AI12" i="62"/>
  <c r="AJ12" i="62"/>
  <c r="AK12" i="62"/>
  <c r="AL12" i="62"/>
  <c r="AM12" i="62"/>
  <c r="AN12" i="62"/>
  <c r="AO12" i="62"/>
  <c r="AP12" i="62"/>
  <c r="AQ12" i="62"/>
  <c r="AR12" i="62"/>
  <c r="AS12" i="62"/>
  <c r="AT12" i="62"/>
  <c r="AU12" i="62"/>
  <c r="AV12" i="62"/>
  <c r="AW12" i="62"/>
  <c r="I12" i="62"/>
  <c r="E2" i="62"/>
  <c r="E10" i="61" l="1"/>
  <c r="F10" i="61" s="1"/>
  <c r="AW14" i="58" l="1"/>
  <c r="AW15" i="58"/>
  <c r="AS29" i="1"/>
  <c r="AT29" i="1"/>
  <c r="AR29" i="1"/>
  <c r="AV10" i="48" l="1"/>
  <c r="AW10" i="48"/>
  <c r="AS30" i="1"/>
  <c r="E10" i="60" l="1"/>
  <c r="E2" i="60"/>
  <c r="F10" i="60" l="1"/>
  <c r="AS10" i="1"/>
  <c r="AT34" i="1"/>
  <c r="AS33" i="1" l="1"/>
  <c r="AT33" i="1"/>
  <c r="AS34" i="1"/>
  <c r="AT25" i="1" l="1"/>
  <c r="AS25" i="1"/>
  <c r="Z55" i="1" l="1"/>
  <c r="Z56" i="1" s="1"/>
  <c r="AV15" i="58" l="1"/>
  <c r="AV14" i="58"/>
  <c r="E2" i="58" l="1"/>
  <c r="J14" i="58"/>
  <c r="K14" i="58"/>
  <c r="L14" i="58"/>
  <c r="M14" i="58"/>
  <c r="N14" i="58"/>
  <c r="O14" i="58"/>
  <c r="P14" i="58"/>
  <c r="Q14" i="58"/>
  <c r="R14" i="58"/>
  <c r="S14" i="58"/>
  <c r="T14" i="58"/>
  <c r="U14" i="58"/>
  <c r="V14" i="58"/>
  <c r="W14" i="58"/>
  <c r="X14" i="58"/>
  <c r="Y14" i="58"/>
  <c r="Z14" i="58"/>
  <c r="AA14" i="58"/>
  <c r="AB14" i="58"/>
  <c r="AC14" i="58"/>
  <c r="AD14" i="58"/>
  <c r="AE14" i="58"/>
  <c r="AF14" i="58"/>
  <c r="AG14" i="58"/>
  <c r="AH14" i="58"/>
  <c r="AI14" i="58"/>
  <c r="AJ14" i="58"/>
  <c r="AK14" i="58"/>
  <c r="AL14" i="58"/>
  <c r="AM14" i="58"/>
  <c r="AN14" i="58"/>
  <c r="AO14" i="58"/>
  <c r="AP14" i="58"/>
  <c r="AQ14" i="58"/>
  <c r="AR14" i="58"/>
  <c r="AS14" i="58"/>
  <c r="AT14" i="58"/>
  <c r="AU14" i="58"/>
  <c r="J15" i="58"/>
  <c r="K15" i="58"/>
  <c r="L15" i="58"/>
  <c r="M15" i="58"/>
  <c r="N15" i="58"/>
  <c r="O15" i="58"/>
  <c r="P15" i="58"/>
  <c r="Q15" i="58"/>
  <c r="R15" i="58"/>
  <c r="S15" i="58"/>
  <c r="T15" i="58"/>
  <c r="U15" i="58"/>
  <c r="V15" i="58"/>
  <c r="W15" i="58"/>
  <c r="X15" i="58"/>
  <c r="Y15" i="58"/>
  <c r="Z15" i="58"/>
  <c r="AA15" i="58"/>
  <c r="AB15" i="58"/>
  <c r="AC15" i="58"/>
  <c r="AD15" i="58"/>
  <c r="AE15" i="58"/>
  <c r="AF15" i="58"/>
  <c r="AG15" i="58"/>
  <c r="AH15" i="58"/>
  <c r="AI15" i="58"/>
  <c r="AJ15" i="58"/>
  <c r="AK15" i="58"/>
  <c r="AL15" i="58"/>
  <c r="AM15" i="58"/>
  <c r="AN15" i="58"/>
  <c r="AO15" i="58"/>
  <c r="AP15" i="58"/>
  <c r="AQ15" i="58"/>
  <c r="AR15" i="58"/>
  <c r="AS15" i="58"/>
  <c r="AT15" i="58"/>
  <c r="AU15" i="58"/>
  <c r="I15" i="58"/>
  <c r="I14" i="58"/>
  <c r="G9" i="57" l="1"/>
  <c r="E9" i="57"/>
  <c r="F9" i="57" s="1"/>
  <c r="G8" i="57"/>
  <c r="E8" i="57"/>
  <c r="F8" i="57" s="1"/>
  <c r="AU10" i="48" l="1"/>
  <c r="AT10" i="48"/>
  <c r="J10" i="48" l="1"/>
  <c r="K10" i="48"/>
  <c r="L10" i="48"/>
  <c r="M10" i="48"/>
  <c r="N10" i="48"/>
  <c r="O10" i="48"/>
  <c r="P10" i="48"/>
  <c r="Q10" i="48"/>
  <c r="R10" i="48"/>
  <c r="S10" i="48"/>
  <c r="T10" i="48"/>
  <c r="AI10" i="48"/>
  <c r="AJ10" i="48"/>
  <c r="AK10" i="48"/>
  <c r="AL10" i="48"/>
  <c r="AM10" i="48"/>
  <c r="AN10" i="48"/>
  <c r="AO10" i="48"/>
  <c r="AP10" i="48"/>
  <c r="AQ10" i="48"/>
  <c r="AR10" i="48"/>
  <c r="AS10" i="48"/>
  <c r="AH10" i="48"/>
  <c r="V10" i="48"/>
  <c r="W10" i="48"/>
  <c r="X10" i="48"/>
  <c r="Y10" i="48"/>
  <c r="Z10" i="48"/>
  <c r="AA10" i="48"/>
  <c r="AB10" i="48"/>
  <c r="AC10" i="48"/>
  <c r="AD10" i="48"/>
  <c r="AE10" i="48"/>
  <c r="AF10" i="48"/>
  <c r="AG10" i="48"/>
  <c r="U10" i="48"/>
  <c r="E11" i="56" l="1"/>
  <c r="E10" i="56"/>
  <c r="E2" i="56"/>
  <c r="F10" i="56" l="1"/>
  <c r="F11" i="56"/>
  <c r="AR10" i="1"/>
  <c r="AI52" i="1" l="1"/>
  <c r="AE52" i="1"/>
  <c r="AB52" i="1"/>
  <c r="AC52" i="1" s="1"/>
  <c r="Y52" i="1"/>
  <c r="Z52" i="1" s="1"/>
  <c r="S52" i="1"/>
  <c r="T52" i="1" s="1"/>
  <c r="K52" i="1"/>
  <c r="L52" i="1" s="1"/>
  <c r="M52" i="1" s="1"/>
  <c r="H52" i="1"/>
  <c r="AM51" i="1" l="1"/>
  <c r="AJ51" i="1"/>
  <c r="F30" i="1" l="1"/>
  <c r="AR30" i="1"/>
  <c r="AQ30" i="1"/>
  <c r="AO25" i="1"/>
  <c r="AP25" i="1"/>
  <c r="AQ25" i="1"/>
  <c r="AR25" i="1"/>
  <c r="E13" i="55" l="1"/>
  <c r="E12" i="55"/>
  <c r="E11" i="55"/>
  <c r="E2" i="55"/>
  <c r="F11" i="55" l="1"/>
  <c r="F12" i="55"/>
  <c r="F13" i="55"/>
  <c r="K13" i="55"/>
  <c r="E13" i="54"/>
  <c r="E12" i="54"/>
  <c r="E2" i="54"/>
  <c r="E11" i="54"/>
  <c r="J13" i="55" l="1"/>
  <c r="DD13" i="55"/>
  <c r="DL13" i="55"/>
  <c r="DT13" i="55"/>
  <c r="EB13" i="55"/>
  <c r="EJ13" i="55"/>
  <c r="CX13" i="55"/>
  <c r="DX13" i="55"/>
  <c r="DE13" i="55"/>
  <c r="DM13" i="55"/>
  <c r="DU13" i="55"/>
  <c r="EC13" i="55"/>
  <c r="EK13" i="55"/>
  <c r="CZ13" i="55"/>
  <c r="DH13" i="55"/>
  <c r="DP13" i="55"/>
  <c r="EF13" i="55"/>
  <c r="EN13" i="55"/>
  <c r="DF13" i="55"/>
  <c r="DN13" i="55"/>
  <c r="DV13" i="55"/>
  <c r="ED13" i="55"/>
  <c r="EL13" i="55"/>
  <c r="CY13" i="55"/>
  <c r="DG13" i="55"/>
  <c r="DO13" i="55"/>
  <c r="DW13" i="55"/>
  <c r="EE13" i="55"/>
  <c r="EM13" i="55"/>
  <c r="DA13" i="55"/>
  <c r="DI13" i="55"/>
  <c r="DQ13" i="55"/>
  <c r="DY13" i="55"/>
  <c r="EG13" i="55"/>
  <c r="DC13" i="55"/>
  <c r="DK13" i="55"/>
  <c r="DS13" i="55"/>
  <c r="EA13" i="55"/>
  <c r="CW13" i="55"/>
  <c r="DB13" i="55"/>
  <c r="DJ13" i="55"/>
  <c r="DR13" i="55"/>
  <c r="DZ13" i="55"/>
  <c r="EH13" i="55"/>
  <c r="EI13" i="55"/>
  <c r="CS13" i="55"/>
  <c r="CO13" i="55"/>
  <c r="CR13" i="55"/>
  <c r="CT13" i="55"/>
  <c r="CU13" i="55"/>
  <c r="CN13" i="55"/>
  <c r="CV13" i="55"/>
  <c r="CQ13" i="55"/>
  <c r="CP13" i="55"/>
  <c r="CM13" i="55"/>
  <c r="CI13" i="55"/>
  <c r="CJ13" i="55"/>
  <c r="CK13" i="55"/>
  <c r="CL13" i="55"/>
  <c r="F13" i="54"/>
  <c r="F12" i="54"/>
  <c r="CH13" i="54"/>
  <c r="CG13" i="54"/>
  <c r="CE13" i="54"/>
  <c r="CD13" i="54"/>
  <c r="CC13" i="54"/>
  <c r="CA13" i="54"/>
  <c r="CB13" i="54"/>
  <c r="BX13" i="54"/>
  <c r="BY13" i="54"/>
  <c r="BZ13" i="54"/>
  <c r="BW13" i="54"/>
  <c r="BO13" i="54"/>
  <c r="BP13" i="54"/>
  <c r="BT13" i="54"/>
  <c r="BQ13" i="54"/>
  <c r="BR13" i="54"/>
  <c r="BS13" i="54"/>
  <c r="BU13" i="54"/>
  <c r="BV13" i="54"/>
  <c r="BN13" i="54"/>
  <c r="BL13" i="54"/>
  <c r="BM13" i="54"/>
  <c r="BK13" i="54"/>
  <c r="BH13" i="54"/>
  <c r="BJ13" i="54"/>
  <c r="BI13" i="54"/>
  <c r="BG13" i="54"/>
  <c r="BE13" i="54"/>
  <c r="BF13" i="54"/>
  <c r="BD13" i="54"/>
  <c r="BC13" i="54"/>
  <c r="BB13" i="54"/>
  <c r="BA13" i="54"/>
  <c r="AZ13" i="54"/>
  <c r="AY13" i="54"/>
  <c r="AX13" i="54"/>
  <c r="I13" i="55"/>
  <c r="CB13" i="55"/>
  <c r="CC13" i="55"/>
  <c r="CF13" i="55"/>
  <c r="CG13" i="55"/>
  <c r="CD13" i="55"/>
  <c r="CE13" i="55"/>
  <c r="CH13" i="55"/>
  <c r="BZ13" i="55"/>
  <c r="BW13" i="55"/>
  <c r="BY13" i="55"/>
  <c r="BX13" i="55"/>
  <c r="CA13" i="55"/>
  <c r="BQ13" i="55"/>
  <c r="BR13" i="55"/>
  <c r="BS13" i="55"/>
  <c r="BV13" i="55"/>
  <c r="BT13" i="55"/>
  <c r="BU13" i="55"/>
  <c r="BM13" i="55"/>
  <c r="BN13" i="55"/>
  <c r="BL13" i="55"/>
  <c r="BO13" i="55"/>
  <c r="BP13" i="55"/>
  <c r="BK13" i="55"/>
  <c r="Q13" i="55"/>
  <c r="Y13" i="55"/>
  <c r="AG13" i="55"/>
  <c r="AO13" i="55"/>
  <c r="AW13" i="55"/>
  <c r="BE13" i="55"/>
  <c r="AQ13" i="55"/>
  <c r="L13" i="55"/>
  <c r="AJ13" i="55"/>
  <c r="AZ13" i="55"/>
  <c r="BC13" i="55"/>
  <c r="X13" i="55"/>
  <c r="R13" i="55"/>
  <c r="Z13" i="55"/>
  <c r="AH13" i="55"/>
  <c r="AP13" i="55"/>
  <c r="AX13" i="55"/>
  <c r="BF13" i="55"/>
  <c r="AA13" i="55"/>
  <c r="AY13" i="55"/>
  <c r="AB13" i="55"/>
  <c r="AR13" i="55"/>
  <c r="BH13" i="55"/>
  <c r="P13" i="55"/>
  <c r="AF13" i="55"/>
  <c r="AV13" i="55"/>
  <c r="BD13" i="55"/>
  <c r="S13" i="55"/>
  <c r="AI13" i="55"/>
  <c r="BG13" i="55"/>
  <c r="T13" i="55"/>
  <c r="W13" i="55"/>
  <c r="AM13" i="55"/>
  <c r="AU13" i="55"/>
  <c r="AN13" i="55"/>
  <c r="M13" i="55"/>
  <c r="U13" i="55"/>
  <c r="AC13" i="55"/>
  <c r="AK13" i="55"/>
  <c r="AS13" i="55"/>
  <c r="BA13" i="55"/>
  <c r="BI13" i="55"/>
  <c r="AE13" i="55"/>
  <c r="N13" i="55"/>
  <c r="V13" i="55"/>
  <c r="AD13" i="55"/>
  <c r="AL13" i="55"/>
  <c r="AT13" i="55"/>
  <c r="BB13" i="55"/>
  <c r="BJ13" i="55"/>
  <c r="O13" i="55"/>
  <c r="AV13" i="54"/>
  <c r="AW13" i="54"/>
  <c r="L13" i="54"/>
  <c r="T13" i="54"/>
  <c r="AB13" i="54"/>
  <c r="AJ13" i="54"/>
  <c r="AR13" i="54"/>
  <c r="U13" i="54"/>
  <c r="AC13" i="54"/>
  <c r="AK13" i="54"/>
  <c r="AS13" i="54"/>
  <c r="AT13" i="54"/>
  <c r="AE13" i="54"/>
  <c r="AU13" i="54"/>
  <c r="X13" i="54"/>
  <c r="Q13" i="54"/>
  <c r="AO13" i="54"/>
  <c r="Z13" i="54"/>
  <c r="K13" i="54"/>
  <c r="M13" i="54"/>
  <c r="I13" i="54"/>
  <c r="AG13" i="54"/>
  <c r="J13" i="54"/>
  <c r="N13" i="54"/>
  <c r="V13" i="54"/>
  <c r="AD13" i="54"/>
  <c r="AL13" i="54"/>
  <c r="W13" i="54"/>
  <c r="AM13" i="54"/>
  <c r="P13" i="54"/>
  <c r="Y13" i="54"/>
  <c r="AP13" i="54"/>
  <c r="S13" i="54"/>
  <c r="AQ13" i="54"/>
  <c r="O13" i="54"/>
  <c r="AF13" i="54"/>
  <c r="AH13" i="54"/>
  <c r="AI13" i="54"/>
  <c r="AN13" i="54"/>
  <c r="R13" i="54"/>
  <c r="AA13" i="54"/>
  <c r="F11" i="54"/>
  <c r="DB13" i="54" l="1"/>
  <c r="DJ13" i="54"/>
  <c r="DR13" i="54"/>
  <c r="DZ13" i="54"/>
  <c r="EH13" i="54"/>
  <c r="ED13" i="54"/>
  <c r="DC13" i="54"/>
  <c r="DK13" i="54"/>
  <c r="DS13" i="54"/>
  <c r="EA13" i="54"/>
  <c r="DN13" i="54"/>
  <c r="CV13" i="54"/>
  <c r="DD13" i="54"/>
  <c r="DL13" i="54"/>
  <c r="DT13" i="54"/>
  <c r="EB13" i="54"/>
  <c r="CW13" i="54"/>
  <c r="DE13" i="54"/>
  <c r="DM13" i="54"/>
  <c r="DU13" i="54"/>
  <c r="EC13" i="54"/>
  <c r="CX13" i="54"/>
  <c r="DF13" i="54"/>
  <c r="DV13" i="54"/>
  <c r="CY13" i="54"/>
  <c r="DG13" i="54"/>
  <c r="DO13" i="54"/>
  <c r="DW13" i="54"/>
  <c r="EE13" i="54"/>
  <c r="DA13" i="54"/>
  <c r="DI13" i="54"/>
  <c r="DQ13" i="54"/>
  <c r="DY13" i="54"/>
  <c r="EG13" i="54"/>
  <c r="CZ13" i="54"/>
  <c r="DH13" i="54"/>
  <c r="DP13" i="54"/>
  <c r="DX13" i="54"/>
  <c r="EF13" i="54"/>
  <c r="CS13" i="54"/>
  <c r="CR13" i="54"/>
  <c r="CL13" i="54"/>
  <c r="CT13" i="54"/>
  <c r="CO13" i="54"/>
  <c r="CM13" i="54"/>
  <c r="CU13" i="54"/>
  <c r="CN13" i="54"/>
  <c r="CQ13" i="54"/>
  <c r="CP13" i="54"/>
  <c r="CI13" i="54"/>
  <c r="CK13" i="54"/>
  <c r="CJ13" i="54"/>
  <c r="CF13" i="54"/>
  <c r="H16" i="1"/>
  <c r="AK10" i="1"/>
  <c r="AL10" i="1"/>
  <c r="AM10" i="1"/>
  <c r="AN10" i="1"/>
  <c r="AO10" i="1"/>
  <c r="AP10" i="1"/>
  <c r="AQ10" i="1"/>
  <c r="E12" i="52" l="1"/>
  <c r="E11" i="52"/>
  <c r="E2" i="52"/>
  <c r="F11" i="52" l="1"/>
  <c r="F12" i="52"/>
  <c r="E2" i="50" l="1"/>
  <c r="E12" i="51"/>
  <c r="E11" i="51"/>
  <c r="E2" i="51"/>
  <c r="E12" i="50"/>
  <c r="E11" i="50"/>
  <c r="E11" i="49"/>
  <c r="E1048576" i="49"/>
  <c r="E10" i="49"/>
  <c r="E2" i="49"/>
  <c r="F12" i="51" l="1"/>
  <c r="F11" i="50"/>
  <c r="F12" i="50"/>
  <c r="F11" i="51"/>
  <c r="AU14" i="43" l="1"/>
  <c r="E9" i="48" l="1"/>
  <c r="E2" i="48"/>
  <c r="E11" i="47"/>
  <c r="E10" i="47"/>
  <c r="E2" i="47"/>
  <c r="F10" i="47" l="1"/>
  <c r="F11" i="47"/>
  <c r="E2" i="46" l="1"/>
  <c r="E9" i="45" l="1"/>
  <c r="AG42" i="1" l="1"/>
  <c r="AA42" i="1"/>
  <c r="L42" i="1"/>
  <c r="M42" i="1" s="1"/>
  <c r="H42" i="1"/>
  <c r="G6" i="1" l="1"/>
  <c r="H6" i="1"/>
  <c r="I6" i="1"/>
  <c r="J6" i="1"/>
  <c r="K6" i="1"/>
  <c r="L6" i="1"/>
  <c r="M6" i="1"/>
  <c r="N6" i="1"/>
  <c r="O6" i="1"/>
  <c r="P6" i="1"/>
  <c r="Q6" i="1"/>
  <c r="F6" i="1"/>
  <c r="E8" i="44" l="1"/>
  <c r="F8" i="44" s="1"/>
  <c r="E7" i="44"/>
  <c r="F7" i="44" s="1"/>
  <c r="B5" i="44"/>
  <c r="A5" i="44"/>
  <c r="AS14" i="43"/>
  <c r="E9" i="43"/>
  <c r="F9" i="43" s="1"/>
  <c r="EP9" i="43" l="1"/>
  <c r="EP13" i="43" s="1"/>
  <c r="EP18" i="43" s="1"/>
  <c r="EL9" i="43"/>
  <c r="EL13" i="43" s="1"/>
  <c r="EL18" i="43" s="1"/>
  <c r="EI9" i="43"/>
  <c r="EI13" i="43" s="1"/>
  <c r="EI18" i="43" s="1"/>
  <c r="EJ9" i="43"/>
  <c r="EJ13" i="43" s="1"/>
  <c r="EJ18" i="43" s="1"/>
  <c r="EK9" i="43"/>
  <c r="EK13" i="43" s="1"/>
  <c r="EK18" i="43" s="1"/>
  <c r="EM9" i="43"/>
  <c r="EM13" i="43" s="1"/>
  <c r="EM18" i="43" s="1"/>
  <c r="EN9" i="43"/>
  <c r="EN13" i="43" s="1"/>
  <c r="EN18" i="43" s="1"/>
  <c r="EO9" i="43"/>
  <c r="EO13" i="43" s="1"/>
  <c r="EO18" i="43" s="1"/>
  <c r="E8" i="42"/>
  <c r="F8" i="42" s="1"/>
  <c r="EA8" i="42" l="1"/>
  <c r="EA9" i="42" s="1"/>
  <c r="EA14" i="42" s="1"/>
  <c r="EJ8" i="42"/>
  <c r="EJ9" i="42" s="1"/>
  <c r="EJ14" i="42" s="1"/>
  <c r="EE8" i="42"/>
  <c r="EE9" i="42" s="1"/>
  <c r="EE14" i="42" s="1"/>
  <c r="DS8" i="42"/>
  <c r="DS9" i="42" s="1"/>
  <c r="DS14" i="42" s="1"/>
  <c r="EB8" i="42"/>
  <c r="EB9" i="42" s="1"/>
  <c r="EB14" i="42" s="1"/>
  <c r="EK8" i="42"/>
  <c r="EK9" i="42" s="1"/>
  <c r="EK14" i="42" s="1"/>
  <c r="DV8" i="42"/>
  <c r="DV9" i="42" s="1"/>
  <c r="DV14" i="42" s="1"/>
  <c r="DT8" i="42"/>
  <c r="DT9" i="42" s="1"/>
  <c r="DT14" i="42" s="1"/>
  <c r="EC8" i="42"/>
  <c r="EC9" i="42" s="1"/>
  <c r="EC14" i="42" s="1"/>
  <c r="EL8" i="42"/>
  <c r="EL9" i="42" s="1"/>
  <c r="EL14" i="42" s="1"/>
  <c r="DU8" i="42"/>
  <c r="DU9" i="42" s="1"/>
  <c r="DU14" i="42" s="1"/>
  <c r="ED8" i="42"/>
  <c r="ED9" i="42" s="1"/>
  <c r="ED14" i="42" s="1"/>
  <c r="DW8" i="42"/>
  <c r="DW9" i="42" s="1"/>
  <c r="DW14" i="42" s="1"/>
  <c r="EF8" i="42"/>
  <c r="EF9" i="42" s="1"/>
  <c r="EF14" i="42" s="1"/>
  <c r="DZ8" i="42"/>
  <c r="DZ9" i="42" s="1"/>
  <c r="DZ14" i="42" s="1"/>
  <c r="DX8" i="42"/>
  <c r="DX9" i="42" s="1"/>
  <c r="DX14" i="42" s="1"/>
  <c r="EH8" i="42"/>
  <c r="EH9" i="42" s="1"/>
  <c r="EH14" i="42" s="1"/>
  <c r="EI8" i="42"/>
  <c r="EI9" i="42" s="1"/>
  <c r="EI14" i="42" s="1"/>
  <c r="EG8" i="42"/>
  <c r="EG9" i="42" s="1"/>
  <c r="EG14" i="42" s="1"/>
  <c r="DY8" i="42"/>
  <c r="DY9" i="42" s="1"/>
  <c r="DY14" i="42" s="1"/>
  <c r="G41" i="1"/>
  <c r="H41" i="1"/>
  <c r="I41" i="1"/>
  <c r="J41" i="1"/>
  <c r="K41" i="1"/>
  <c r="L41" i="1"/>
  <c r="M41" i="1"/>
  <c r="N41" i="1"/>
  <c r="O41" i="1"/>
  <c r="P41" i="1"/>
  <c r="Q41" i="1"/>
  <c r="R41" i="1"/>
  <c r="S41" i="1"/>
  <c r="T41" i="1"/>
  <c r="U41" i="1"/>
  <c r="V41" i="1"/>
  <c r="W41" i="1"/>
  <c r="X41" i="1"/>
  <c r="Y41" i="1"/>
  <c r="Z41" i="1"/>
  <c r="AA41" i="1"/>
  <c r="AB41" i="1"/>
  <c r="AC41" i="1"/>
  <c r="AD41" i="1"/>
  <c r="AE41" i="1"/>
  <c r="AF41" i="1"/>
  <c r="AG41" i="1"/>
  <c r="AH41" i="1"/>
  <c r="AI41" i="1"/>
  <c r="AJ41" i="1"/>
  <c r="AK41" i="1"/>
  <c r="AL41" i="1"/>
  <c r="AM41" i="1"/>
  <c r="AN41" i="1"/>
  <c r="AO41" i="1"/>
  <c r="AP41" i="1"/>
  <c r="AQ41" i="1"/>
  <c r="AR41" i="1"/>
  <c r="AS41" i="1"/>
  <c r="AT41" i="1"/>
  <c r="AU41" i="1"/>
  <c r="AV41" i="1"/>
  <c r="AW41" i="1"/>
  <c r="AX41" i="1"/>
  <c r="AY41" i="1"/>
  <c r="F41" i="1"/>
  <c r="H8" i="24"/>
  <c r="I8" i="24"/>
  <c r="J8" i="24"/>
  <c r="K8" i="24"/>
  <c r="L8" i="24"/>
  <c r="E2" i="24"/>
  <c r="F33" i="1"/>
  <c r="F34" i="1"/>
  <c r="E11" i="18"/>
  <c r="F11" i="18" s="1"/>
  <c r="E10" i="41" l="1"/>
  <c r="E9" i="41"/>
  <c r="E2" i="41"/>
  <c r="D9" i="10"/>
  <c r="E9" i="10" s="1"/>
  <c r="A4" i="10"/>
  <c r="AK40" i="1"/>
  <c r="AL40" i="1" s="1"/>
  <c r="AF40" i="1"/>
  <c r="AG40" i="1" s="1"/>
  <c r="AH40" i="1" s="1"/>
  <c r="AB40" i="1"/>
  <c r="AC40" i="1" s="1"/>
  <c r="W40" i="1"/>
  <c r="X40" i="1" s="1"/>
  <c r="R40" i="1"/>
  <c r="J40" i="1"/>
  <c r="K40" i="1" s="1"/>
  <c r="E2" i="40"/>
  <c r="E7" i="40"/>
  <c r="F9" i="41" l="1"/>
  <c r="F10" i="41"/>
  <c r="F7" i="40"/>
  <c r="I8" i="40"/>
  <c r="AW8" i="40"/>
  <c r="AO8" i="40"/>
  <c r="AG8" i="40"/>
  <c r="Y8" i="40"/>
  <c r="Q8" i="40"/>
  <c r="AD8" i="40"/>
  <c r="AS8" i="40"/>
  <c r="U8" i="40"/>
  <c r="AZ8" i="40"/>
  <c r="AJ8" i="40"/>
  <c r="L8" i="40"/>
  <c r="AA8" i="40"/>
  <c r="AH8" i="40"/>
  <c r="J8" i="40"/>
  <c r="AV8" i="40"/>
  <c r="AF8" i="40"/>
  <c r="X8" i="40"/>
  <c r="H8" i="40"/>
  <c r="AL8" i="40"/>
  <c r="N8" i="40"/>
  <c r="AK8" i="40"/>
  <c r="AR8" i="40"/>
  <c r="AB8" i="40"/>
  <c r="AY8" i="40"/>
  <c r="S8" i="40"/>
  <c r="AX8" i="40"/>
  <c r="Z8" i="40"/>
  <c r="AU8" i="40"/>
  <c r="AM8" i="40"/>
  <c r="AE8" i="40"/>
  <c r="W8" i="40"/>
  <c r="AT8" i="40"/>
  <c r="V8" i="40"/>
  <c r="BA8" i="40"/>
  <c r="AC8" i="40"/>
  <c r="T8" i="40"/>
  <c r="AP8" i="40"/>
  <c r="R8" i="40"/>
  <c r="O8" i="40" l="1"/>
  <c r="AI8" i="40"/>
  <c r="P8" i="40"/>
  <c r="K8" i="40"/>
  <c r="BC8" i="40"/>
  <c r="M8" i="40"/>
  <c r="AN8" i="40"/>
  <c r="AQ8" i="40"/>
  <c r="E9" i="39" l="1"/>
  <c r="AE13" i="36" l="1"/>
  <c r="Z13" i="36"/>
  <c r="Y13" i="36"/>
  <c r="T13" i="36"/>
  <c r="L13" i="36"/>
  <c r="L12" i="14"/>
  <c r="G34" i="1" l="1"/>
  <c r="H34" i="1"/>
  <c r="I34" i="1"/>
  <c r="J34" i="1"/>
  <c r="K34" i="1"/>
  <c r="L34" i="1"/>
  <c r="M34" i="1"/>
  <c r="N34" i="1"/>
  <c r="O34" i="1"/>
  <c r="P34" i="1"/>
  <c r="Q34" i="1"/>
  <c r="R34" i="1"/>
  <c r="S34" i="1"/>
  <c r="T34" i="1"/>
  <c r="U34" i="1"/>
  <c r="V34" i="1"/>
  <c r="W34" i="1"/>
  <c r="X34" i="1"/>
  <c r="Y34" i="1"/>
  <c r="Z34" i="1"/>
  <c r="AA34" i="1"/>
  <c r="AB34" i="1"/>
  <c r="AC34" i="1"/>
  <c r="AD34" i="1"/>
  <c r="AE34" i="1"/>
  <c r="AF34" i="1"/>
  <c r="AG34" i="1"/>
  <c r="AH34" i="1"/>
  <c r="AI34" i="1"/>
  <c r="AJ34" i="1"/>
  <c r="AK34" i="1"/>
  <c r="AL34" i="1"/>
  <c r="AM34" i="1"/>
  <c r="AN34" i="1"/>
  <c r="AO34" i="1"/>
  <c r="AP34" i="1"/>
  <c r="AQ34" i="1"/>
  <c r="AR34" i="1"/>
  <c r="G33" i="1" l="1"/>
  <c r="H33" i="1"/>
  <c r="I33" i="1"/>
  <c r="J33" i="1"/>
  <c r="K33" i="1"/>
  <c r="L33" i="1"/>
  <c r="M33" i="1"/>
  <c r="N33" i="1"/>
  <c r="O33" i="1"/>
  <c r="P33" i="1"/>
  <c r="Q33" i="1"/>
  <c r="R33" i="1"/>
  <c r="S33" i="1"/>
  <c r="T33" i="1"/>
  <c r="U33" i="1"/>
  <c r="V33" i="1"/>
  <c r="W33" i="1"/>
  <c r="X33" i="1"/>
  <c r="Y33" i="1"/>
  <c r="Z33" i="1"/>
  <c r="AA33" i="1"/>
  <c r="AB33" i="1"/>
  <c r="AC33" i="1"/>
  <c r="AD33" i="1"/>
  <c r="AE33" i="1"/>
  <c r="AF33" i="1"/>
  <c r="AG33" i="1"/>
  <c r="AH33" i="1"/>
  <c r="AI33" i="1"/>
  <c r="AJ33" i="1"/>
  <c r="AK33" i="1"/>
  <c r="AL33" i="1"/>
  <c r="AM33" i="1"/>
  <c r="AN33" i="1"/>
  <c r="AO33" i="1"/>
  <c r="AP33" i="1"/>
  <c r="AQ33" i="1"/>
  <c r="AR33" i="1"/>
  <c r="G10" i="1"/>
  <c r="H10" i="1"/>
  <c r="I10" i="1"/>
  <c r="J10" i="1"/>
  <c r="K10" i="1"/>
  <c r="L10" i="1"/>
  <c r="M10" i="1"/>
  <c r="N10" i="1"/>
  <c r="O10" i="1"/>
  <c r="P10" i="1"/>
  <c r="Q10" i="1"/>
  <c r="R10" i="1"/>
  <c r="S10" i="1"/>
  <c r="T10" i="1"/>
  <c r="U10" i="1"/>
  <c r="V10" i="1"/>
  <c r="W10" i="1"/>
  <c r="X10" i="1"/>
  <c r="Y10" i="1"/>
  <c r="Z10" i="1"/>
  <c r="AA10" i="1"/>
  <c r="AB10" i="1"/>
  <c r="AC10" i="1"/>
  <c r="AD10" i="1"/>
  <c r="AE10" i="1"/>
  <c r="AF10" i="1"/>
  <c r="AG10" i="1"/>
  <c r="AH10" i="1"/>
  <c r="AI10" i="1"/>
  <c r="AJ10" i="1"/>
  <c r="F10" i="1"/>
  <c r="G30" i="1"/>
  <c r="H30" i="1"/>
  <c r="I30" i="1"/>
  <c r="J30" i="1"/>
  <c r="K30" i="1"/>
  <c r="L30" i="1"/>
  <c r="M30" i="1"/>
  <c r="N30" i="1"/>
  <c r="O30" i="1"/>
  <c r="P30" i="1"/>
  <c r="Q30" i="1"/>
  <c r="R30" i="1"/>
  <c r="S30" i="1"/>
  <c r="T30" i="1"/>
  <c r="U30" i="1"/>
  <c r="V30" i="1"/>
  <c r="W30" i="1"/>
  <c r="X30" i="1"/>
  <c r="Y30" i="1"/>
  <c r="Z30" i="1"/>
  <c r="AA30" i="1"/>
  <c r="AB30" i="1"/>
  <c r="AC30" i="1"/>
  <c r="AD30" i="1"/>
  <c r="AE30" i="1"/>
  <c r="AF30" i="1"/>
  <c r="AG30" i="1"/>
  <c r="AH30" i="1"/>
  <c r="AI30" i="1"/>
  <c r="AJ30" i="1"/>
  <c r="AK30" i="1"/>
  <c r="AL30" i="1"/>
  <c r="AM30" i="1"/>
  <c r="AN30" i="1"/>
  <c r="AO30" i="1"/>
  <c r="AP30" i="1"/>
  <c r="E13" i="38" l="1"/>
  <c r="E12" i="38"/>
  <c r="F12" i="38" s="1"/>
  <c r="B5" i="38"/>
  <c r="A5" i="38"/>
  <c r="AQ29" i="1" l="1"/>
  <c r="E12" i="17" l="1"/>
  <c r="F12" i="17" s="1"/>
  <c r="E11" i="16"/>
  <c r="F11" i="16" s="1"/>
  <c r="E11" i="12" l="1"/>
  <c r="F11" i="36"/>
  <c r="E11" i="36"/>
  <c r="E10" i="36"/>
  <c r="F10" i="36" s="1"/>
  <c r="E4" i="36"/>
  <c r="AD25" i="1" l="1"/>
  <c r="E9" i="23" l="1"/>
  <c r="F9" i="23" s="1"/>
  <c r="AE29" i="1" l="1"/>
  <c r="AF29" i="1"/>
  <c r="AG29" i="1"/>
  <c r="AH29" i="1"/>
  <c r="AI29" i="1"/>
  <c r="AJ29" i="1"/>
  <c r="AK29" i="1"/>
  <c r="AL29" i="1"/>
  <c r="AM29" i="1"/>
  <c r="AN29" i="1"/>
  <c r="AO29" i="1"/>
  <c r="AP29" i="1"/>
  <c r="AD29" i="1"/>
  <c r="C14" i="9" l="1"/>
  <c r="C13" i="9"/>
  <c r="D9" i="35"/>
  <c r="D8" i="35"/>
  <c r="E8" i="35" s="1"/>
  <c r="F8" i="35" s="1"/>
  <c r="D10" i="34"/>
  <c r="E10" i="34" s="1"/>
  <c r="F10" i="34" s="1"/>
  <c r="D9" i="34"/>
  <c r="E9" i="34" s="1"/>
  <c r="F9" i="34" s="1"/>
  <c r="D12" i="32"/>
  <c r="E12" i="32" s="1"/>
  <c r="F12" i="32" s="1"/>
  <c r="D11" i="32"/>
  <c r="E11" i="32" s="1"/>
  <c r="F11" i="32" s="1"/>
  <c r="D10" i="32"/>
  <c r="E10" i="32" s="1"/>
  <c r="F10" i="32" s="1"/>
  <c r="D9" i="32"/>
  <c r="E9" i="32" s="1"/>
  <c r="F9" i="32" s="1"/>
  <c r="D10" i="31"/>
  <c r="E10" i="31" s="1"/>
  <c r="F10" i="31" s="1"/>
  <c r="D9" i="31"/>
  <c r="E9" i="31" s="1"/>
  <c r="F9" i="31" s="1"/>
  <c r="B30" i="29"/>
  <c r="C27" i="29" s="1"/>
  <c r="E14" i="29"/>
  <c r="F14" i="29" s="1"/>
  <c r="E13" i="29"/>
  <c r="F13" i="29" s="1"/>
  <c r="E12" i="29"/>
  <c r="F12" i="29" s="1"/>
  <c r="D11" i="29"/>
  <c r="E11" i="29" s="1"/>
  <c r="F11" i="29" s="1"/>
  <c r="G11" i="30"/>
  <c r="D11" i="30"/>
  <c r="E11" i="30" s="1"/>
  <c r="F11" i="30" s="1"/>
  <c r="G10" i="30"/>
  <c r="D10" i="30"/>
  <c r="E10" i="30" s="1"/>
  <c r="F10" i="30" s="1"/>
  <c r="G9" i="30"/>
  <c r="D9" i="30"/>
  <c r="E9" i="30" s="1"/>
  <c r="F9" i="30" s="1"/>
  <c r="E10" i="28"/>
  <c r="F10" i="28" s="1"/>
  <c r="E9" i="28"/>
  <c r="F9" i="28" s="1"/>
  <c r="E12" i="27"/>
  <c r="F12" i="27" s="1"/>
  <c r="E11" i="27"/>
  <c r="F11" i="27" s="1"/>
  <c r="E10" i="27"/>
  <c r="F10" i="27" s="1"/>
  <c r="E7" i="24"/>
  <c r="F7" i="24" s="1"/>
  <c r="E10" i="23"/>
  <c r="F10" i="23" s="1"/>
  <c r="E10" i="20"/>
  <c r="F10" i="20" s="1"/>
  <c r="E9" i="20"/>
  <c r="F9" i="20" s="1"/>
  <c r="B5" i="19"/>
  <c r="A5" i="19"/>
  <c r="E12" i="18"/>
  <c r="F12" i="18" s="1"/>
  <c r="B6" i="18"/>
  <c r="A6" i="18"/>
  <c r="E10" i="10"/>
  <c r="B5" i="10"/>
  <c r="E4" i="10"/>
  <c r="A5" i="10"/>
  <c r="E2" i="10"/>
  <c r="F9" i="10" s="1"/>
  <c r="E10" i="2"/>
  <c r="E9" i="2"/>
  <c r="E8" i="2"/>
  <c r="E2" i="2"/>
  <c r="E10" i="7"/>
  <c r="E9" i="7"/>
  <c r="E2" i="7"/>
  <c r="E9" i="11"/>
  <c r="F9" i="11" s="1"/>
  <c r="E11" i="5"/>
  <c r="E10" i="5"/>
  <c r="E9" i="5"/>
  <c r="E8" i="5"/>
  <c r="E11" i="17"/>
  <c r="F11" i="17" s="1"/>
  <c r="E9" i="15"/>
  <c r="F9" i="15" s="1"/>
  <c r="E8" i="15"/>
  <c r="F8" i="15" s="1"/>
  <c r="B5" i="15"/>
  <c r="A5" i="15"/>
  <c r="E10" i="16"/>
  <c r="F10" i="16" s="1"/>
  <c r="B5" i="26"/>
  <c r="A5" i="26"/>
  <c r="E11" i="25"/>
  <c r="E10" i="25"/>
  <c r="I2" i="25"/>
  <c r="F11" i="12"/>
  <c r="DS11" i="12" s="1"/>
  <c r="E10" i="12"/>
  <c r="F10" i="12" s="1"/>
  <c r="DS10" i="12" s="1"/>
  <c r="DS12" i="12" s="1"/>
  <c r="E4" i="12"/>
  <c r="E10" i="14"/>
  <c r="E4" i="14"/>
  <c r="E12" i="13"/>
  <c r="F12" i="13" s="1"/>
  <c r="B5" i="13"/>
  <c r="A5" i="13"/>
  <c r="AN25" i="1"/>
  <c r="AM25" i="1"/>
  <c r="AL25" i="1"/>
  <c r="AK25" i="1"/>
  <c r="AJ25" i="1"/>
  <c r="AI25" i="1"/>
  <c r="AH25" i="1"/>
  <c r="AG25" i="1"/>
  <c r="AF25" i="1"/>
  <c r="AE25" i="1"/>
  <c r="A8" i="1"/>
  <c r="A7" i="1"/>
  <c r="A6" i="1"/>
  <c r="A5" i="1"/>
  <c r="DT9" i="70" l="1"/>
  <c r="DM9" i="70"/>
  <c r="DM8" i="70"/>
  <c r="DU8" i="70"/>
  <c r="EC8" i="70"/>
  <c r="DV8" i="108"/>
  <c r="DV11" i="108" s="1"/>
  <c r="DV14" i="108" s="1"/>
  <c r="DV20" i="108" s="1"/>
  <c r="DU9" i="70"/>
  <c r="DU10" i="70" s="1"/>
  <c r="DU19" i="70" s="1"/>
  <c r="DO9" i="70"/>
  <c r="DN8" i="70"/>
  <c r="DV8" i="70"/>
  <c r="ED8" i="70"/>
  <c r="DO8" i="108"/>
  <c r="DO11" i="108" s="1"/>
  <c r="DO14" i="108" s="1"/>
  <c r="DO20" i="108" s="1"/>
  <c r="FD110" i="22" s="1"/>
  <c r="DW8" i="108"/>
  <c r="DW11" i="108" s="1"/>
  <c r="DW14" i="108" s="1"/>
  <c r="DW20" i="108" s="1"/>
  <c r="DR8" i="70"/>
  <c r="DH8" i="70"/>
  <c r="EA8" i="108"/>
  <c r="EA11" i="108" s="1"/>
  <c r="EA14" i="108" s="1"/>
  <c r="DV9" i="70"/>
  <c r="DP9" i="70"/>
  <c r="DO8" i="70"/>
  <c r="DW8" i="70"/>
  <c r="EE8" i="70"/>
  <c r="DP8" i="108"/>
  <c r="DP11" i="108" s="1"/>
  <c r="DP14" i="108" s="1"/>
  <c r="DP20" i="108" s="1"/>
  <c r="FE110" i="22" s="1"/>
  <c r="DX8" i="108"/>
  <c r="DX11" i="108" s="1"/>
  <c r="DX14" i="108" s="1"/>
  <c r="DX20" i="108" s="1"/>
  <c r="DJ9" i="70"/>
  <c r="DZ8" i="70"/>
  <c r="DS8" i="108"/>
  <c r="DS11" i="108" s="1"/>
  <c r="DS14" i="108" s="1"/>
  <c r="DS20" i="108" s="1"/>
  <c r="FH110" i="22" s="1"/>
  <c r="DN9" i="70"/>
  <c r="DQ9" i="70"/>
  <c r="DQ10" i="70" s="1"/>
  <c r="DQ19" i="70" s="1"/>
  <c r="DP8" i="70"/>
  <c r="DX8" i="70"/>
  <c r="DI8" i="70"/>
  <c r="DQ8" i="108"/>
  <c r="DQ11" i="108" s="1"/>
  <c r="DQ14" i="108" s="1"/>
  <c r="DQ20" i="108" s="1"/>
  <c r="FF110" i="22" s="1"/>
  <c r="DY8" i="108"/>
  <c r="DY11" i="108" s="1"/>
  <c r="DY14" i="108" s="1"/>
  <c r="DY20" i="108" s="1"/>
  <c r="DH9" i="70"/>
  <c r="DI9" i="70"/>
  <c r="DR9" i="70"/>
  <c r="DR10" i="70" s="1"/>
  <c r="DR19" i="70" s="1"/>
  <c r="DQ8" i="70"/>
  <c r="DY8" i="70"/>
  <c r="DJ8" i="70"/>
  <c r="DR8" i="108"/>
  <c r="DR11" i="108" s="1"/>
  <c r="DR14" i="108" s="1"/>
  <c r="DR20" i="108" s="1"/>
  <c r="FG110" i="22" s="1"/>
  <c r="CD110" i="22" s="1"/>
  <c r="DZ8" i="108"/>
  <c r="DZ11" i="108" s="1"/>
  <c r="DZ14" i="108" s="1"/>
  <c r="DZ20" i="108" s="1"/>
  <c r="DK9" i="70"/>
  <c r="DK8" i="70"/>
  <c r="DS8" i="70"/>
  <c r="EA8" i="70"/>
  <c r="DT8" i="108"/>
  <c r="DT11" i="108" s="1"/>
  <c r="DT14" i="108" s="1"/>
  <c r="DT20" i="108" s="1"/>
  <c r="DS9" i="70"/>
  <c r="DS10" i="70" s="1"/>
  <c r="DS19" i="70" s="1"/>
  <c r="DL9" i="70"/>
  <c r="DL8" i="70"/>
  <c r="DT8" i="70"/>
  <c r="EB8" i="70"/>
  <c r="DU8" i="108"/>
  <c r="DU11" i="108" s="1"/>
  <c r="DU14" i="108" s="1"/>
  <c r="DU20" i="108" s="1"/>
  <c r="DO8" i="109"/>
  <c r="DO11" i="109" s="1"/>
  <c r="DO14" i="109" s="1"/>
  <c r="DO20" i="109" s="1"/>
  <c r="FD111" i="22" s="1"/>
  <c r="EA8" i="109"/>
  <c r="EA11" i="109" s="1"/>
  <c r="EA14" i="109" s="1"/>
  <c r="EA20" i="109" s="1"/>
  <c r="DT8" i="109"/>
  <c r="DT11" i="109" s="1"/>
  <c r="DT14" i="109" s="1"/>
  <c r="DT20" i="109" s="1"/>
  <c r="DP8" i="109"/>
  <c r="DP11" i="109" s="1"/>
  <c r="DP14" i="109" s="1"/>
  <c r="DP20" i="109" s="1"/>
  <c r="FE111" i="22" s="1"/>
  <c r="DU8" i="109"/>
  <c r="DU11" i="109" s="1"/>
  <c r="DU14" i="109" s="1"/>
  <c r="DU20" i="109" s="1"/>
  <c r="DQ8" i="109"/>
  <c r="DQ11" i="109" s="1"/>
  <c r="DQ14" i="109" s="1"/>
  <c r="DQ20" i="109" s="1"/>
  <c r="FF111" i="22" s="1"/>
  <c r="DV8" i="109"/>
  <c r="DV11" i="109" s="1"/>
  <c r="DV14" i="109" s="1"/>
  <c r="DV20" i="109" s="1"/>
  <c r="DR8" i="109"/>
  <c r="DR11" i="109" s="1"/>
  <c r="DR14" i="109" s="1"/>
  <c r="DR20" i="109" s="1"/>
  <c r="FG111" i="22" s="1"/>
  <c r="CD111" i="22" s="1"/>
  <c r="DW8" i="109"/>
  <c r="DW11" i="109" s="1"/>
  <c r="DW14" i="109" s="1"/>
  <c r="DW20" i="109" s="1"/>
  <c r="DS8" i="109"/>
  <c r="DS11" i="109" s="1"/>
  <c r="DS14" i="109" s="1"/>
  <c r="DS20" i="109" s="1"/>
  <c r="FH111" i="22" s="1"/>
  <c r="DX8" i="109"/>
  <c r="DX11" i="109" s="1"/>
  <c r="DX14" i="109" s="1"/>
  <c r="DX20" i="109" s="1"/>
  <c r="DY8" i="109"/>
  <c r="DY11" i="109" s="1"/>
  <c r="DY14" i="109" s="1"/>
  <c r="DY20" i="109" s="1"/>
  <c r="DZ8" i="109"/>
  <c r="DZ11" i="109" s="1"/>
  <c r="DZ14" i="109" s="1"/>
  <c r="DZ20" i="109" s="1"/>
  <c r="DN8" i="109"/>
  <c r="DN11" i="109" s="1"/>
  <c r="DN14" i="109" s="1"/>
  <c r="DN20" i="109" s="1"/>
  <c r="FC111" i="22" s="1"/>
  <c r="DN9" i="118"/>
  <c r="DN14" i="118" s="1"/>
  <c r="DN19" i="118" s="1"/>
  <c r="DN25" i="118" s="1"/>
  <c r="DV9" i="118"/>
  <c r="DV14" i="118" s="1"/>
  <c r="DJ9" i="118"/>
  <c r="DJ14" i="118" s="1"/>
  <c r="DJ19" i="118" s="1"/>
  <c r="DJ25" i="118" s="1"/>
  <c r="DY9" i="118"/>
  <c r="DY14" i="118" s="1"/>
  <c r="DT9" i="118"/>
  <c r="DT14" i="118" s="1"/>
  <c r="DO9" i="118"/>
  <c r="DO14" i="118" s="1"/>
  <c r="DO19" i="118" s="1"/>
  <c r="DO25" i="118" s="1"/>
  <c r="DW9" i="118"/>
  <c r="DW14" i="118" s="1"/>
  <c r="DK9" i="118"/>
  <c r="DK14" i="118" s="1"/>
  <c r="DK19" i="118" s="1"/>
  <c r="DK25" i="118" s="1"/>
  <c r="DM9" i="118"/>
  <c r="DM14" i="118" s="1"/>
  <c r="DM19" i="118" s="1"/>
  <c r="DM25" i="118" s="1"/>
  <c r="DR9" i="118"/>
  <c r="DR14" i="118" s="1"/>
  <c r="DR19" i="118" s="1"/>
  <c r="DR25" i="118" s="1"/>
  <c r="DS9" i="118"/>
  <c r="DS14" i="118" s="1"/>
  <c r="DH9" i="118"/>
  <c r="DH14" i="118" s="1"/>
  <c r="DH19" i="118" s="1"/>
  <c r="DH25" i="118" s="1"/>
  <c r="DI9" i="118"/>
  <c r="DI14" i="118" s="1"/>
  <c r="DI19" i="118" s="1"/>
  <c r="DI25" i="118" s="1"/>
  <c r="DP9" i="118"/>
  <c r="DP14" i="118" s="1"/>
  <c r="DP19" i="118" s="1"/>
  <c r="DP25" i="118" s="1"/>
  <c r="DX9" i="118"/>
  <c r="DX14" i="118" s="1"/>
  <c r="DL9" i="118"/>
  <c r="DL14" i="118" s="1"/>
  <c r="DL19" i="118" s="1"/>
  <c r="DL25" i="118" s="1"/>
  <c r="DQ9" i="118"/>
  <c r="DQ14" i="118" s="1"/>
  <c r="DQ19" i="118" s="1"/>
  <c r="DQ25" i="118" s="1"/>
  <c r="DZ9" i="118"/>
  <c r="DZ14" i="118" s="1"/>
  <c r="EA9" i="118"/>
  <c r="EA14" i="118" s="1"/>
  <c r="DU9" i="118"/>
  <c r="DU14" i="118" s="1"/>
  <c r="DK8" i="109"/>
  <c r="DK11" i="109" s="1"/>
  <c r="DK14" i="109" s="1"/>
  <c r="DK20" i="109" s="1"/>
  <c r="EZ111" i="22" s="1"/>
  <c r="DJ9" i="125"/>
  <c r="DR9" i="125"/>
  <c r="DR10" i="125" s="1"/>
  <c r="DR19" i="125" s="1"/>
  <c r="DJ8" i="125"/>
  <c r="DL8" i="109"/>
  <c r="DL11" i="109" s="1"/>
  <c r="DL14" i="109" s="1"/>
  <c r="DL20" i="109" s="1"/>
  <c r="FA111" i="22" s="1"/>
  <c r="DK9" i="125"/>
  <c r="DS9" i="125"/>
  <c r="DS10" i="125" s="1"/>
  <c r="DS19" i="125" s="1"/>
  <c r="DN9" i="125"/>
  <c r="DN10" i="125" s="1"/>
  <c r="DN19" i="125" s="1"/>
  <c r="DM8" i="109"/>
  <c r="DM11" i="109" s="1"/>
  <c r="DM14" i="109" s="1"/>
  <c r="DM20" i="109" s="1"/>
  <c r="FB111" i="22" s="1"/>
  <c r="DL9" i="125"/>
  <c r="DT9" i="125"/>
  <c r="DT10" i="125" s="1"/>
  <c r="DT19" i="125" s="1"/>
  <c r="DH9" i="125"/>
  <c r="DK8" i="125"/>
  <c r="DM9" i="125"/>
  <c r="DP9" i="125"/>
  <c r="DP10" i="125" s="1"/>
  <c r="DP19" i="125" s="1"/>
  <c r="DQ9" i="125"/>
  <c r="DQ10" i="125" s="1"/>
  <c r="DQ19" i="125" s="1"/>
  <c r="DJ8" i="109"/>
  <c r="DJ11" i="109" s="1"/>
  <c r="DJ14" i="109" s="1"/>
  <c r="DJ20" i="109" s="1"/>
  <c r="EY111" i="22" s="1"/>
  <c r="DI8" i="109"/>
  <c r="DI11" i="109" s="1"/>
  <c r="DI14" i="109" s="1"/>
  <c r="DI20" i="109" s="1"/>
  <c r="EX111" i="22" s="1"/>
  <c r="DL8" i="125"/>
  <c r="DO9" i="125"/>
  <c r="DO10" i="125" s="1"/>
  <c r="DO19" i="125" s="1"/>
  <c r="DI8" i="125"/>
  <c r="DM8" i="125"/>
  <c r="DI9" i="125"/>
  <c r="DI8" i="101"/>
  <c r="DI11" i="101" s="1"/>
  <c r="DJ8" i="101"/>
  <c r="DJ11" i="101" s="1"/>
  <c r="DJ9" i="101"/>
  <c r="DJ12" i="101" s="1"/>
  <c r="DK8" i="101"/>
  <c r="DK11" i="101" s="1"/>
  <c r="DK9" i="101"/>
  <c r="DK12" i="101" s="1"/>
  <c r="DH9" i="101"/>
  <c r="DH12" i="101" s="1"/>
  <c r="DH8" i="101"/>
  <c r="DH11" i="101" s="1"/>
  <c r="DI9" i="101"/>
  <c r="DI12" i="101" s="1"/>
  <c r="EZ8" i="129"/>
  <c r="EZ10" i="129" s="1"/>
  <c r="EZ12" i="129" s="1"/>
  <c r="EZ17" i="129" s="1"/>
  <c r="ER8" i="129"/>
  <c r="ER10" i="129" s="1"/>
  <c r="ER12" i="129" s="1"/>
  <c r="ER17" i="129" s="1"/>
  <c r="EJ8" i="129"/>
  <c r="EJ10" i="129" s="1"/>
  <c r="EJ12" i="129" s="1"/>
  <c r="EJ17" i="129" s="1"/>
  <c r="EB8" i="129"/>
  <c r="EB10" i="129" s="1"/>
  <c r="EB12" i="129" s="1"/>
  <c r="EB17" i="129" s="1"/>
  <c r="DT8" i="129"/>
  <c r="DT10" i="129" s="1"/>
  <c r="DT12" i="129" s="1"/>
  <c r="DT17" i="129" s="1"/>
  <c r="DL8" i="129"/>
  <c r="DL10" i="129" s="1"/>
  <c r="DL12" i="129" s="1"/>
  <c r="DL17" i="129" s="1"/>
  <c r="DI48" i="1" s="1"/>
  <c r="DL8" i="50" s="1"/>
  <c r="DL12" i="50" s="1"/>
  <c r="DD8" i="129"/>
  <c r="DD10" i="129" s="1"/>
  <c r="DD12" i="129" s="1"/>
  <c r="CV8" i="129"/>
  <c r="CV10" i="129" s="1"/>
  <c r="CV12" i="129" s="1"/>
  <c r="CN8" i="129"/>
  <c r="CN10" i="129" s="1"/>
  <c r="CN12" i="129" s="1"/>
  <c r="CF8" i="129"/>
  <c r="CF10" i="129" s="1"/>
  <c r="CF12" i="129" s="1"/>
  <c r="BX8" i="129"/>
  <c r="BX10" i="129" s="1"/>
  <c r="BX12" i="129" s="1"/>
  <c r="BP8" i="129"/>
  <c r="BP10" i="129" s="1"/>
  <c r="BP12" i="129" s="1"/>
  <c r="BH8" i="129"/>
  <c r="BH10" i="129" s="1"/>
  <c r="BH12" i="129" s="1"/>
  <c r="AZ8" i="129"/>
  <c r="AZ10" i="129" s="1"/>
  <c r="AZ12" i="129" s="1"/>
  <c r="AR8" i="129"/>
  <c r="AR10" i="129" s="1"/>
  <c r="AR12" i="129" s="1"/>
  <c r="AR17" i="129" s="1"/>
  <c r="AJ8" i="129"/>
  <c r="AJ10" i="129" s="1"/>
  <c r="AJ12" i="129" s="1"/>
  <c r="AJ17" i="129" s="1"/>
  <c r="AB8" i="129"/>
  <c r="AB10" i="129" s="1"/>
  <c r="AB12" i="129" s="1"/>
  <c r="AB17" i="129" s="1"/>
  <c r="T8" i="129"/>
  <c r="T10" i="129" s="1"/>
  <c r="T12" i="129" s="1"/>
  <c r="L8" i="129"/>
  <c r="L10" i="129" s="1"/>
  <c r="L12" i="129" s="1"/>
  <c r="L17" i="129" s="1"/>
  <c r="EM8" i="128"/>
  <c r="EM13" i="128" s="1"/>
  <c r="EM18" i="128" s="1"/>
  <c r="EM24" i="128" s="1"/>
  <c r="EE8" i="128"/>
  <c r="EE13" i="128" s="1"/>
  <c r="EE18" i="128" s="1"/>
  <c r="EE24" i="128" s="1"/>
  <c r="DW8" i="128"/>
  <c r="DW13" i="128" s="1"/>
  <c r="DW18" i="128" s="1"/>
  <c r="DW24" i="128" s="1"/>
  <c r="DO8" i="128"/>
  <c r="DO13" i="128" s="1"/>
  <c r="DO18" i="128" s="1"/>
  <c r="DO24" i="128" s="1"/>
  <c r="DG8" i="128"/>
  <c r="DG13" i="128" s="1"/>
  <c r="DG18" i="128" s="1"/>
  <c r="DG24" i="128" s="1"/>
  <c r="CY8" i="128"/>
  <c r="CY13" i="128" s="1"/>
  <c r="CY18" i="128" s="1"/>
  <c r="CY24" i="128" s="1"/>
  <c r="CQ8" i="128"/>
  <c r="CQ13" i="128" s="1"/>
  <c r="CQ18" i="128" s="1"/>
  <c r="CQ24" i="128" s="1"/>
  <c r="CI8" i="128"/>
  <c r="CI13" i="128" s="1"/>
  <c r="CI18" i="128" s="1"/>
  <c r="CI24" i="128" s="1"/>
  <c r="CA8" i="128"/>
  <c r="CA13" i="128" s="1"/>
  <c r="CA18" i="128" s="1"/>
  <c r="CA24" i="128" s="1"/>
  <c r="EY8" i="129"/>
  <c r="EY10" i="129" s="1"/>
  <c r="EY12" i="129" s="1"/>
  <c r="EY17" i="129" s="1"/>
  <c r="EQ8" i="129"/>
  <c r="EQ10" i="129" s="1"/>
  <c r="EQ12" i="129" s="1"/>
  <c r="EQ17" i="129" s="1"/>
  <c r="EI8" i="129"/>
  <c r="EI10" i="129" s="1"/>
  <c r="EI12" i="129" s="1"/>
  <c r="EI17" i="129" s="1"/>
  <c r="EA8" i="129"/>
  <c r="EA10" i="129" s="1"/>
  <c r="EA12" i="129" s="1"/>
  <c r="EA17" i="129" s="1"/>
  <c r="DS8" i="129"/>
  <c r="DS10" i="129" s="1"/>
  <c r="DS12" i="129" s="1"/>
  <c r="DS17" i="129" s="1"/>
  <c r="DP48" i="1" s="1"/>
  <c r="DS8" i="50" s="1"/>
  <c r="DS12" i="50" s="1"/>
  <c r="DK8" i="129"/>
  <c r="DK10" i="129" s="1"/>
  <c r="DK12" i="129" s="1"/>
  <c r="DK17" i="129" s="1"/>
  <c r="DH48" i="1" s="1"/>
  <c r="DK8" i="50" s="1"/>
  <c r="DK12" i="50" s="1"/>
  <c r="DC8" i="129"/>
  <c r="DC10" i="129" s="1"/>
  <c r="DC12" i="129" s="1"/>
  <c r="CU8" i="129"/>
  <c r="CU10" i="129" s="1"/>
  <c r="CU12" i="129" s="1"/>
  <c r="CM8" i="129"/>
  <c r="CM10" i="129" s="1"/>
  <c r="CM12" i="129" s="1"/>
  <c r="CE8" i="129"/>
  <c r="CE10" i="129" s="1"/>
  <c r="CE12" i="129" s="1"/>
  <c r="BW8" i="129"/>
  <c r="BW10" i="129" s="1"/>
  <c r="BW12" i="129" s="1"/>
  <c r="BO8" i="129"/>
  <c r="BO10" i="129" s="1"/>
  <c r="BO12" i="129" s="1"/>
  <c r="BG8" i="129"/>
  <c r="BG10" i="129" s="1"/>
  <c r="BG12" i="129" s="1"/>
  <c r="AY8" i="129"/>
  <c r="AY10" i="129" s="1"/>
  <c r="AY12" i="129" s="1"/>
  <c r="AQ8" i="129"/>
  <c r="AQ10" i="129" s="1"/>
  <c r="AQ12" i="129" s="1"/>
  <c r="AQ17" i="129" s="1"/>
  <c r="AI8" i="129"/>
  <c r="AI10" i="129" s="1"/>
  <c r="AI12" i="129" s="1"/>
  <c r="AA8" i="129"/>
  <c r="AA10" i="129" s="1"/>
  <c r="AA12" i="129" s="1"/>
  <c r="AA17" i="129" s="1"/>
  <c r="S8" i="129"/>
  <c r="S10" i="129" s="1"/>
  <c r="S12" i="129" s="1"/>
  <c r="S17" i="129" s="1"/>
  <c r="K8" i="129"/>
  <c r="K10" i="129" s="1"/>
  <c r="K12" i="129" s="1"/>
  <c r="K17" i="129" s="1"/>
  <c r="ET8" i="128"/>
  <c r="ET13" i="128" s="1"/>
  <c r="ET18" i="128" s="1"/>
  <c r="ET24" i="128" s="1"/>
  <c r="EL8" i="128"/>
  <c r="EL13" i="128" s="1"/>
  <c r="EL18" i="128" s="1"/>
  <c r="EL24" i="128" s="1"/>
  <c r="ED8" i="128"/>
  <c r="ED13" i="128" s="1"/>
  <c r="ED18" i="128" s="1"/>
  <c r="ED24" i="128" s="1"/>
  <c r="DV8" i="128"/>
  <c r="DV13" i="128" s="1"/>
  <c r="DV18" i="128" s="1"/>
  <c r="DV24" i="128" s="1"/>
  <c r="DN8" i="128"/>
  <c r="DN13" i="128" s="1"/>
  <c r="DN18" i="128" s="1"/>
  <c r="DN24" i="128" s="1"/>
  <c r="DF8" i="128"/>
  <c r="DF13" i="128" s="1"/>
  <c r="DF18" i="128" s="1"/>
  <c r="DF24" i="128" s="1"/>
  <c r="CX8" i="128"/>
  <c r="CX13" i="128" s="1"/>
  <c r="CX18" i="128" s="1"/>
  <c r="CX24" i="128" s="1"/>
  <c r="CP8" i="128"/>
  <c r="CP13" i="128" s="1"/>
  <c r="CP18" i="128" s="1"/>
  <c r="CP24" i="128" s="1"/>
  <c r="CH8" i="128"/>
  <c r="CH13" i="128" s="1"/>
  <c r="CH18" i="128" s="1"/>
  <c r="CH24" i="128" s="1"/>
  <c r="BZ8" i="128"/>
  <c r="BZ13" i="128" s="1"/>
  <c r="BZ18" i="128" s="1"/>
  <c r="BZ24" i="128" s="1"/>
  <c r="BR8" i="128"/>
  <c r="BR13" i="128" s="1"/>
  <c r="BR18" i="128" s="1"/>
  <c r="BR24" i="128" s="1"/>
  <c r="EX8" i="129"/>
  <c r="EX10" i="129" s="1"/>
  <c r="EX12" i="129" s="1"/>
  <c r="EX17" i="129" s="1"/>
  <c r="EP8" i="129"/>
  <c r="EP10" i="129" s="1"/>
  <c r="EP12" i="129" s="1"/>
  <c r="EP17" i="129" s="1"/>
  <c r="EH8" i="129"/>
  <c r="EH10" i="129" s="1"/>
  <c r="EH12" i="129" s="1"/>
  <c r="EH17" i="129" s="1"/>
  <c r="DZ8" i="129"/>
  <c r="DZ10" i="129" s="1"/>
  <c r="DZ12" i="129" s="1"/>
  <c r="DZ17" i="129" s="1"/>
  <c r="DR8" i="129"/>
  <c r="DR10" i="129" s="1"/>
  <c r="DR12" i="129" s="1"/>
  <c r="DR17" i="129" s="1"/>
  <c r="DO48" i="1" s="1"/>
  <c r="DR8" i="50" s="1"/>
  <c r="DR12" i="50" s="1"/>
  <c r="DJ8" i="129"/>
  <c r="DJ10" i="129" s="1"/>
  <c r="DJ12" i="129" s="1"/>
  <c r="DB8" i="129"/>
  <c r="DB10" i="129" s="1"/>
  <c r="DB12" i="129" s="1"/>
  <c r="CT8" i="129"/>
  <c r="CT10" i="129" s="1"/>
  <c r="CT12" i="129" s="1"/>
  <c r="CL8" i="129"/>
  <c r="CL10" i="129" s="1"/>
  <c r="CL12" i="129" s="1"/>
  <c r="CD8" i="129"/>
  <c r="CD10" i="129" s="1"/>
  <c r="CD12" i="129" s="1"/>
  <c r="BV8" i="129"/>
  <c r="BV10" i="129" s="1"/>
  <c r="BV12" i="129" s="1"/>
  <c r="BN8" i="129"/>
  <c r="BN10" i="129" s="1"/>
  <c r="BN12" i="129" s="1"/>
  <c r="BF8" i="129"/>
  <c r="BF10" i="129" s="1"/>
  <c r="BF12" i="129" s="1"/>
  <c r="AX8" i="129"/>
  <c r="AX10" i="129" s="1"/>
  <c r="AX12" i="129" s="1"/>
  <c r="AP8" i="129"/>
  <c r="AP10" i="129" s="1"/>
  <c r="AP12" i="129" s="1"/>
  <c r="AP17" i="129" s="1"/>
  <c r="AH8" i="129"/>
  <c r="AH10" i="129" s="1"/>
  <c r="AH12" i="129" s="1"/>
  <c r="Z8" i="129"/>
  <c r="Z10" i="129" s="1"/>
  <c r="Z12" i="129" s="1"/>
  <c r="Z17" i="129" s="1"/>
  <c r="R8" i="129"/>
  <c r="R10" i="129" s="1"/>
  <c r="R12" i="129" s="1"/>
  <c r="J8" i="129"/>
  <c r="J10" i="129" s="1"/>
  <c r="J12" i="129" s="1"/>
  <c r="J17" i="129" s="1"/>
  <c r="ES8" i="128"/>
  <c r="ES13" i="128" s="1"/>
  <c r="ES18" i="128" s="1"/>
  <c r="ES24" i="128" s="1"/>
  <c r="EK8" i="128"/>
  <c r="EK13" i="128" s="1"/>
  <c r="EK18" i="128" s="1"/>
  <c r="EK24" i="128" s="1"/>
  <c r="EC8" i="128"/>
  <c r="EC13" i="128" s="1"/>
  <c r="EC18" i="128" s="1"/>
  <c r="EC24" i="128" s="1"/>
  <c r="DU8" i="128"/>
  <c r="DU13" i="128" s="1"/>
  <c r="DU18" i="128" s="1"/>
  <c r="DU24" i="128" s="1"/>
  <c r="DM8" i="128"/>
  <c r="DM13" i="128" s="1"/>
  <c r="DM18" i="128" s="1"/>
  <c r="DM24" i="128" s="1"/>
  <c r="DE8" i="128"/>
  <c r="DE13" i="128" s="1"/>
  <c r="DE18" i="128" s="1"/>
  <c r="DE24" i="128" s="1"/>
  <c r="CW8" i="128"/>
  <c r="CW13" i="128" s="1"/>
  <c r="CW18" i="128" s="1"/>
  <c r="CW24" i="128" s="1"/>
  <c r="CO8" i="128"/>
  <c r="CO13" i="128" s="1"/>
  <c r="CO18" i="128" s="1"/>
  <c r="CO24" i="128" s="1"/>
  <c r="CG8" i="128"/>
  <c r="CG13" i="128" s="1"/>
  <c r="CG18" i="128" s="1"/>
  <c r="CG24" i="128" s="1"/>
  <c r="BY8" i="128"/>
  <c r="BY13" i="128" s="1"/>
  <c r="BY18" i="128" s="1"/>
  <c r="BY24" i="128" s="1"/>
  <c r="BQ8" i="128"/>
  <c r="BQ13" i="128" s="1"/>
  <c r="BQ18" i="128" s="1"/>
  <c r="BQ24" i="128" s="1"/>
  <c r="EW8" i="129"/>
  <c r="EW10" i="129" s="1"/>
  <c r="EW12" i="129" s="1"/>
  <c r="EW17" i="129" s="1"/>
  <c r="EO8" i="129"/>
  <c r="EO10" i="129" s="1"/>
  <c r="EO12" i="129" s="1"/>
  <c r="EO17" i="129" s="1"/>
  <c r="EG8" i="129"/>
  <c r="EG10" i="129" s="1"/>
  <c r="EG12" i="129" s="1"/>
  <c r="EG17" i="129" s="1"/>
  <c r="DY8" i="129"/>
  <c r="DY10" i="129" s="1"/>
  <c r="DY12" i="129" s="1"/>
  <c r="DY17" i="129" s="1"/>
  <c r="DQ8" i="129"/>
  <c r="DQ10" i="129" s="1"/>
  <c r="DQ12" i="129" s="1"/>
  <c r="DQ17" i="129" s="1"/>
  <c r="DN48" i="1" s="1"/>
  <c r="DQ8" i="50" s="1"/>
  <c r="DQ12" i="50" s="1"/>
  <c r="DI8" i="129"/>
  <c r="DI10" i="129" s="1"/>
  <c r="DI12" i="129" s="1"/>
  <c r="DA8" i="129"/>
  <c r="DA10" i="129" s="1"/>
  <c r="DA12" i="129" s="1"/>
  <c r="CS8" i="129"/>
  <c r="CS10" i="129" s="1"/>
  <c r="CS12" i="129" s="1"/>
  <c r="CK8" i="129"/>
  <c r="CK10" i="129" s="1"/>
  <c r="CK12" i="129" s="1"/>
  <c r="CC8" i="129"/>
  <c r="CC10" i="129" s="1"/>
  <c r="CC12" i="129" s="1"/>
  <c r="BU8" i="129"/>
  <c r="BU10" i="129" s="1"/>
  <c r="BU12" i="129" s="1"/>
  <c r="BM8" i="129"/>
  <c r="BM10" i="129" s="1"/>
  <c r="BM12" i="129" s="1"/>
  <c r="BE8" i="129"/>
  <c r="BE10" i="129" s="1"/>
  <c r="BE12" i="129" s="1"/>
  <c r="AW8" i="129"/>
  <c r="AW10" i="129" s="1"/>
  <c r="AW12" i="129" s="1"/>
  <c r="AO8" i="129"/>
  <c r="AO10" i="129" s="1"/>
  <c r="AO12" i="129" s="1"/>
  <c r="AO17" i="129" s="1"/>
  <c r="AG8" i="129"/>
  <c r="AG10" i="129" s="1"/>
  <c r="AG12" i="129" s="1"/>
  <c r="AG17" i="129" s="1"/>
  <c r="Y8" i="129"/>
  <c r="Y10" i="129" s="1"/>
  <c r="Y12" i="129" s="1"/>
  <c r="Y17" i="129" s="1"/>
  <c r="Q8" i="129"/>
  <c r="Q10" i="129" s="1"/>
  <c r="Q12" i="129" s="1"/>
  <c r="Q17" i="129" s="1"/>
  <c r="I8" i="129"/>
  <c r="I10" i="129" s="1"/>
  <c r="I12" i="129" s="1"/>
  <c r="I17" i="129" s="1"/>
  <c r="ER8" i="128"/>
  <c r="ER13" i="128" s="1"/>
  <c r="ER18" i="128" s="1"/>
  <c r="ER24" i="128" s="1"/>
  <c r="EJ8" i="128"/>
  <c r="EJ13" i="128" s="1"/>
  <c r="EJ18" i="128" s="1"/>
  <c r="EJ24" i="128" s="1"/>
  <c r="EB8" i="128"/>
  <c r="EB13" i="128" s="1"/>
  <c r="EB18" i="128" s="1"/>
  <c r="EB24" i="128" s="1"/>
  <c r="DT8" i="128"/>
  <c r="DT13" i="128" s="1"/>
  <c r="DT18" i="128" s="1"/>
  <c r="DT24" i="128" s="1"/>
  <c r="DL8" i="128"/>
  <c r="DL13" i="128" s="1"/>
  <c r="DL18" i="128" s="1"/>
  <c r="DL24" i="128" s="1"/>
  <c r="DD8" i="128"/>
  <c r="DD13" i="128" s="1"/>
  <c r="DD18" i="128" s="1"/>
  <c r="DD24" i="128" s="1"/>
  <c r="CV8" i="128"/>
  <c r="CV13" i="128" s="1"/>
  <c r="CV18" i="128" s="1"/>
  <c r="CV24" i="128" s="1"/>
  <c r="CN8" i="128"/>
  <c r="CN13" i="128" s="1"/>
  <c r="CN18" i="128" s="1"/>
  <c r="CN24" i="128" s="1"/>
  <c r="CF8" i="128"/>
  <c r="CF13" i="128" s="1"/>
  <c r="CF18" i="128" s="1"/>
  <c r="CF24" i="128" s="1"/>
  <c r="BX8" i="128"/>
  <c r="BX13" i="128" s="1"/>
  <c r="BX18" i="128" s="1"/>
  <c r="BX24" i="128" s="1"/>
  <c r="BP8" i="128"/>
  <c r="BP13" i="128" s="1"/>
  <c r="BP18" i="128" s="1"/>
  <c r="BP24" i="128" s="1"/>
  <c r="BH8" i="128"/>
  <c r="BH13" i="128" s="1"/>
  <c r="BH18" i="128" s="1"/>
  <c r="BH24" i="128" s="1"/>
  <c r="FD8" i="129"/>
  <c r="FD10" i="129" s="1"/>
  <c r="FD12" i="129" s="1"/>
  <c r="FD17" i="129" s="1"/>
  <c r="EV8" i="129"/>
  <c r="EV10" i="129" s="1"/>
  <c r="EV12" i="129" s="1"/>
  <c r="EV17" i="129" s="1"/>
  <c r="EN8" i="129"/>
  <c r="EN10" i="129" s="1"/>
  <c r="EN12" i="129" s="1"/>
  <c r="EN17" i="129" s="1"/>
  <c r="EF8" i="129"/>
  <c r="EF10" i="129" s="1"/>
  <c r="EF12" i="129" s="1"/>
  <c r="EF17" i="129" s="1"/>
  <c r="DX8" i="129"/>
  <c r="DX10" i="129" s="1"/>
  <c r="DX12" i="129" s="1"/>
  <c r="DX17" i="129" s="1"/>
  <c r="DP8" i="129"/>
  <c r="DP10" i="129" s="1"/>
  <c r="DP12" i="129" s="1"/>
  <c r="DP17" i="129" s="1"/>
  <c r="DM48" i="1" s="1"/>
  <c r="DP8" i="50" s="1"/>
  <c r="DP12" i="50" s="1"/>
  <c r="DH8" i="129"/>
  <c r="DH10" i="129" s="1"/>
  <c r="DH12" i="129" s="1"/>
  <c r="CZ8" i="129"/>
  <c r="CZ10" i="129" s="1"/>
  <c r="CZ12" i="129" s="1"/>
  <c r="CR8" i="129"/>
  <c r="CR10" i="129" s="1"/>
  <c r="CR12" i="129" s="1"/>
  <c r="CJ8" i="129"/>
  <c r="CJ10" i="129" s="1"/>
  <c r="CJ12" i="129" s="1"/>
  <c r="CB8" i="129"/>
  <c r="CB10" i="129" s="1"/>
  <c r="CB12" i="129" s="1"/>
  <c r="BT8" i="129"/>
  <c r="BT10" i="129" s="1"/>
  <c r="BT12" i="129" s="1"/>
  <c r="BL8" i="129"/>
  <c r="BL10" i="129" s="1"/>
  <c r="BL12" i="129" s="1"/>
  <c r="BD8" i="129"/>
  <c r="BD10" i="129" s="1"/>
  <c r="BD12" i="129" s="1"/>
  <c r="AV8" i="129"/>
  <c r="AV10" i="129" s="1"/>
  <c r="AV12" i="129" s="1"/>
  <c r="AN8" i="129"/>
  <c r="AN10" i="129" s="1"/>
  <c r="AN12" i="129" s="1"/>
  <c r="AN17" i="129" s="1"/>
  <c r="AF8" i="129"/>
  <c r="AF10" i="129" s="1"/>
  <c r="AF12" i="129" s="1"/>
  <c r="AF17" i="129" s="1"/>
  <c r="X8" i="129"/>
  <c r="X10" i="129" s="1"/>
  <c r="X12" i="129" s="1"/>
  <c r="P8" i="129"/>
  <c r="P10" i="129" s="1"/>
  <c r="P12" i="129" s="1"/>
  <c r="P17" i="129" s="1"/>
  <c r="EQ8" i="128"/>
  <c r="EQ13" i="128" s="1"/>
  <c r="EQ18" i="128" s="1"/>
  <c r="EQ24" i="128" s="1"/>
  <c r="EI8" i="128"/>
  <c r="EI13" i="128" s="1"/>
  <c r="EI18" i="128" s="1"/>
  <c r="EI24" i="128" s="1"/>
  <c r="EA8" i="128"/>
  <c r="EA13" i="128" s="1"/>
  <c r="EA18" i="128" s="1"/>
  <c r="EA24" i="128" s="1"/>
  <c r="DS8" i="128"/>
  <c r="DS13" i="128" s="1"/>
  <c r="DS18" i="128" s="1"/>
  <c r="DS24" i="128" s="1"/>
  <c r="DK8" i="128"/>
  <c r="DK13" i="128" s="1"/>
  <c r="DK18" i="128" s="1"/>
  <c r="DK24" i="128" s="1"/>
  <c r="DC8" i="128"/>
  <c r="DC13" i="128" s="1"/>
  <c r="DC18" i="128" s="1"/>
  <c r="DC24" i="128" s="1"/>
  <c r="CU8" i="128"/>
  <c r="CU13" i="128" s="1"/>
  <c r="CU18" i="128" s="1"/>
  <c r="CU24" i="128" s="1"/>
  <c r="CM8" i="128"/>
  <c r="CM13" i="128" s="1"/>
  <c r="CM18" i="128" s="1"/>
  <c r="CE8" i="128"/>
  <c r="CE13" i="128" s="1"/>
  <c r="CE18" i="128" s="1"/>
  <c r="CE24" i="128" s="1"/>
  <c r="BW8" i="128"/>
  <c r="BW13" i="128" s="1"/>
  <c r="BW18" i="128" s="1"/>
  <c r="BW24" i="128" s="1"/>
  <c r="BO8" i="128"/>
  <c r="BO13" i="128" s="1"/>
  <c r="BO18" i="128" s="1"/>
  <c r="BO24" i="128" s="1"/>
  <c r="FC8" i="129"/>
  <c r="FC10" i="129" s="1"/>
  <c r="FC12" i="129" s="1"/>
  <c r="FC17" i="129" s="1"/>
  <c r="EU8" i="129"/>
  <c r="EU10" i="129" s="1"/>
  <c r="EU12" i="129" s="1"/>
  <c r="EU17" i="129" s="1"/>
  <c r="EM8" i="129"/>
  <c r="EM10" i="129" s="1"/>
  <c r="EM12" i="129" s="1"/>
  <c r="EM17" i="129" s="1"/>
  <c r="EE8" i="129"/>
  <c r="EE10" i="129" s="1"/>
  <c r="EE12" i="129" s="1"/>
  <c r="EE17" i="129" s="1"/>
  <c r="DW8" i="129"/>
  <c r="DW10" i="129" s="1"/>
  <c r="DW12" i="129" s="1"/>
  <c r="DW17" i="129" s="1"/>
  <c r="DO8" i="129"/>
  <c r="DO10" i="129" s="1"/>
  <c r="DO12" i="129" s="1"/>
  <c r="DO17" i="129" s="1"/>
  <c r="DL48" i="1" s="1"/>
  <c r="DO8" i="50" s="1"/>
  <c r="DO12" i="50" s="1"/>
  <c r="DG8" i="129"/>
  <c r="DG10" i="129" s="1"/>
  <c r="DG12" i="129" s="1"/>
  <c r="CY8" i="129"/>
  <c r="CY10" i="129" s="1"/>
  <c r="CY12" i="129" s="1"/>
  <c r="CQ8" i="129"/>
  <c r="CQ10" i="129" s="1"/>
  <c r="CQ12" i="129" s="1"/>
  <c r="CI8" i="129"/>
  <c r="CI10" i="129" s="1"/>
  <c r="CI12" i="129" s="1"/>
  <c r="CI17" i="129" s="1"/>
  <c r="CA8" i="129"/>
  <c r="CA10" i="129" s="1"/>
  <c r="CA12" i="129" s="1"/>
  <c r="BS8" i="129"/>
  <c r="BS10" i="129" s="1"/>
  <c r="BS12" i="129" s="1"/>
  <c r="BK8" i="129"/>
  <c r="BK10" i="129" s="1"/>
  <c r="BK12" i="129" s="1"/>
  <c r="BC8" i="129"/>
  <c r="BC10" i="129" s="1"/>
  <c r="BC12" i="129" s="1"/>
  <c r="AU8" i="129"/>
  <c r="AU10" i="129" s="1"/>
  <c r="AU12" i="129" s="1"/>
  <c r="AM8" i="129"/>
  <c r="AM10" i="129" s="1"/>
  <c r="AM12" i="129" s="1"/>
  <c r="AM17" i="129" s="1"/>
  <c r="AE8" i="129"/>
  <c r="AE10" i="129" s="1"/>
  <c r="AE12" i="129" s="1"/>
  <c r="AE17" i="129" s="1"/>
  <c r="W8" i="129"/>
  <c r="W10" i="129" s="1"/>
  <c r="W12" i="129" s="1"/>
  <c r="W17" i="129" s="1"/>
  <c r="O8" i="129"/>
  <c r="O10" i="129" s="1"/>
  <c r="O12" i="129" s="1"/>
  <c r="O17" i="129" s="1"/>
  <c r="EP8" i="128"/>
  <c r="EP13" i="128" s="1"/>
  <c r="EP18" i="128" s="1"/>
  <c r="EP24" i="128" s="1"/>
  <c r="EH8" i="128"/>
  <c r="EH13" i="128" s="1"/>
  <c r="EH18" i="128" s="1"/>
  <c r="EH24" i="128" s="1"/>
  <c r="DZ8" i="128"/>
  <c r="DZ13" i="128" s="1"/>
  <c r="DZ18" i="128" s="1"/>
  <c r="DZ24" i="128" s="1"/>
  <c r="DR8" i="128"/>
  <c r="DR13" i="128" s="1"/>
  <c r="DR18" i="128" s="1"/>
  <c r="DR24" i="128" s="1"/>
  <c r="DJ8" i="128"/>
  <c r="DJ13" i="128" s="1"/>
  <c r="DJ18" i="128" s="1"/>
  <c r="DJ24" i="128" s="1"/>
  <c r="DB8" i="128"/>
  <c r="DB13" i="128" s="1"/>
  <c r="DB18" i="128" s="1"/>
  <c r="DB24" i="128" s="1"/>
  <c r="CT8" i="128"/>
  <c r="CT13" i="128" s="1"/>
  <c r="CT18" i="128" s="1"/>
  <c r="CT24" i="128" s="1"/>
  <c r="CL8" i="128"/>
  <c r="CL13" i="128" s="1"/>
  <c r="CL18" i="128" s="1"/>
  <c r="CL24" i="128" s="1"/>
  <c r="CD8" i="128"/>
  <c r="CD13" i="128" s="1"/>
  <c r="CD18" i="128" s="1"/>
  <c r="CD24" i="128" s="1"/>
  <c r="BV8" i="128"/>
  <c r="BV13" i="128" s="1"/>
  <c r="BV18" i="128" s="1"/>
  <c r="BV24" i="128" s="1"/>
  <c r="BN8" i="128"/>
  <c r="BN13" i="128" s="1"/>
  <c r="BN18" i="128" s="1"/>
  <c r="BN24" i="128" s="1"/>
  <c r="EC8" i="129"/>
  <c r="EC10" i="129" s="1"/>
  <c r="EC12" i="129" s="1"/>
  <c r="EC17" i="129" s="1"/>
  <c r="CW8" i="129"/>
  <c r="CW10" i="129" s="1"/>
  <c r="CW12" i="129" s="1"/>
  <c r="BQ8" i="129"/>
  <c r="BQ10" i="129" s="1"/>
  <c r="BQ12" i="129" s="1"/>
  <c r="AK8" i="129"/>
  <c r="AK10" i="129" s="1"/>
  <c r="AK12" i="129" s="1"/>
  <c r="AK17" i="129" s="1"/>
  <c r="EO8" i="128"/>
  <c r="EO13" i="128" s="1"/>
  <c r="EO18" i="128" s="1"/>
  <c r="EO24" i="128" s="1"/>
  <c r="DI8" i="128"/>
  <c r="DI13" i="128" s="1"/>
  <c r="DI18" i="128" s="1"/>
  <c r="DI24" i="128" s="1"/>
  <c r="CC8" i="128"/>
  <c r="CC13" i="128" s="1"/>
  <c r="CC18" i="128" s="1"/>
  <c r="CC24" i="128" s="1"/>
  <c r="BJ8" i="128"/>
  <c r="BJ13" i="128" s="1"/>
  <c r="BJ18" i="128" s="1"/>
  <c r="BJ24" i="128" s="1"/>
  <c r="BA8" i="128"/>
  <c r="BA13" i="128" s="1"/>
  <c r="BA18" i="128" s="1"/>
  <c r="BA24" i="128" s="1"/>
  <c r="AS8" i="128"/>
  <c r="AS13" i="128" s="1"/>
  <c r="AS18" i="128" s="1"/>
  <c r="AS24" i="128" s="1"/>
  <c r="AK8" i="128"/>
  <c r="AK13" i="128" s="1"/>
  <c r="AK18" i="128" s="1"/>
  <c r="AK24" i="128" s="1"/>
  <c r="AC8" i="128"/>
  <c r="AC13" i="128" s="1"/>
  <c r="AC18" i="128" s="1"/>
  <c r="AC24" i="128" s="1"/>
  <c r="U8" i="128"/>
  <c r="U13" i="128" s="1"/>
  <c r="U18" i="128" s="1"/>
  <c r="U24" i="128" s="1"/>
  <c r="M8" i="128"/>
  <c r="M13" i="128" s="1"/>
  <c r="M18" i="128" s="1"/>
  <c r="M24" i="128" s="1"/>
  <c r="AZ8" i="128"/>
  <c r="AZ13" i="128" s="1"/>
  <c r="AZ18" i="128" s="1"/>
  <c r="AZ24" i="128" s="1"/>
  <c r="AJ8" i="128"/>
  <c r="AJ13" i="128" s="1"/>
  <c r="AJ18" i="128" s="1"/>
  <c r="AJ24" i="128" s="1"/>
  <c r="T8" i="128"/>
  <c r="T13" i="128" s="1"/>
  <c r="T18" i="128" s="1"/>
  <c r="T24" i="128" s="1"/>
  <c r="CS8" i="128"/>
  <c r="CS13" i="128" s="1"/>
  <c r="CS18" i="128" s="1"/>
  <c r="CS24" i="128" s="1"/>
  <c r="Q8" i="128"/>
  <c r="Q13" i="128" s="1"/>
  <c r="Q18" i="128" s="1"/>
  <c r="Q24" i="128" s="1"/>
  <c r="DF8" i="129"/>
  <c r="DF10" i="129" s="1"/>
  <c r="DF12" i="129" s="1"/>
  <c r="DX8" i="128"/>
  <c r="DX13" i="128" s="1"/>
  <c r="DX18" i="128" s="1"/>
  <c r="DX24" i="128" s="1"/>
  <c r="BD8" i="128"/>
  <c r="BD13" i="128" s="1"/>
  <c r="BD18" i="128" s="1"/>
  <c r="BD24" i="128" s="1"/>
  <c r="P8" i="128"/>
  <c r="P13" i="128" s="1"/>
  <c r="P18" i="128" s="1"/>
  <c r="P24" i="128" s="1"/>
  <c r="AS8" i="129"/>
  <c r="AS10" i="129" s="1"/>
  <c r="AS12" i="129" s="1"/>
  <c r="DQ8" i="128"/>
  <c r="DQ13" i="128" s="1"/>
  <c r="DQ18" i="128" s="1"/>
  <c r="DQ24" i="128" s="1"/>
  <c r="AU8" i="128"/>
  <c r="AU13" i="128" s="1"/>
  <c r="AU18" i="128" s="1"/>
  <c r="AU24" i="128" s="1"/>
  <c r="ED8" i="129"/>
  <c r="ED10" i="129" s="1"/>
  <c r="ED12" i="129" s="1"/>
  <c r="ED17" i="129" s="1"/>
  <c r="DP8" i="128"/>
  <c r="DP13" i="128" s="1"/>
  <c r="DP18" i="128" s="1"/>
  <c r="DP24" i="128" s="1"/>
  <c r="AT8" i="128"/>
  <c r="AT13" i="128" s="1"/>
  <c r="AT18" i="128" s="1"/>
  <c r="AT24" i="128" s="1"/>
  <c r="N8" i="128"/>
  <c r="N13" i="128" s="1"/>
  <c r="N18" i="128" s="1"/>
  <c r="N24" i="128" s="1"/>
  <c r="FB8" i="129"/>
  <c r="FB10" i="129" s="1"/>
  <c r="FB12" i="129" s="1"/>
  <c r="FB17" i="129" s="1"/>
  <c r="DV8" i="129"/>
  <c r="DV10" i="129" s="1"/>
  <c r="DV12" i="129" s="1"/>
  <c r="DV17" i="129" s="1"/>
  <c r="CP8" i="129"/>
  <c r="CP10" i="129" s="1"/>
  <c r="CP12" i="129" s="1"/>
  <c r="BJ8" i="129"/>
  <c r="BJ10" i="129" s="1"/>
  <c r="BJ12" i="129" s="1"/>
  <c r="AD8" i="129"/>
  <c r="AD10" i="129" s="1"/>
  <c r="AD12" i="129" s="1"/>
  <c r="AD17" i="129" s="1"/>
  <c r="EN8" i="128"/>
  <c r="EN13" i="128" s="1"/>
  <c r="EN18" i="128" s="1"/>
  <c r="EN24" i="128" s="1"/>
  <c r="DH8" i="128"/>
  <c r="DH13" i="128" s="1"/>
  <c r="DH18" i="128" s="1"/>
  <c r="DH24" i="128" s="1"/>
  <c r="CB8" i="128"/>
  <c r="CB13" i="128" s="1"/>
  <c r="CB18" i="128" s="1"/>
  <c r="CB24" i="128" s="1"/>
  <c r="BI8" i="128"/>
  <c r="BI13" i="128" s="1"/>
  <c r="BI18" i="128" s="1"/>
  <c r="BI24" i="128" s="1"/>
  <c r="AR8" i="128"/>
  <c r="AR13" i="128" s="1"/>
  <c r="AR18" i="128" s="1"/>
  <c r="AR24" i="128" s="1"/>
  <c r="AB8" i="128"/>
  <c r="AB13" i="128" s="1"/>
  <c r="AB18" i="128" s="1"/>
  <c r="AB24" i="128" s="1"/>
  <c r="L8" i="128"/>
  <c r="L13" i="128" s="1"/>
  <c r="L18" i="128" s="1"/>
  <c r="L24" i="128" s="1"/>
  <c r="DY8" i="128"/>
  <c r="DY13" i="128" s="1"/>
  <c r="DY18" i="128" s="1"/>
  <c r="DY24" i="128" s="1"/>
  <c r="AW8" i="128"/>
  <c r="AW13" i="128" s="1"/>
  <c r="AW18" i="128" s="1"/>
  <c r="AW24" i="128" s="1"/>
  <c r="I8" i="128"/>
  <c r="I13" i="128" s="1"/>
  <c r="I18" i="128" s="1"/>
  <c r="I24" i="128" s="1"/>
  <c r="EL8" i="129"/>
  <c r="EL10" i="129" s="1"/>
  <c r="EL12" i="129" s="1"/>
  <c r="EL17" i="129" s="1"/>
  <c r="N8" i="129"/>
  <c r="N10" i="129" s="1"/>
  <c r="N12" i="129" s="1"/>
  <c r="N17" i="129" s="1"/>
  <c r="BM8" i="128"/>
  <c r="BM13" i="128" s="1"/>
  <c r="BM18" i="128" s="1"/>
  <c r="BM24" i="128" s="1"/>
  <c r="X8" i="128"/>
  <c r="X13" i="128" s="1"/>
  <c r="X18" i="128" s="1"/>
  <c r="X24" i="128" s="1"/>
  <c r="BY8" i="129"/>
  <c r="BY10" i="129" s="1"/>
  <c r="BY12" i="129" s="1"/>
  <c r="CK8" i="128"/>
  <c r="CK13" i="128" s="1"/>
  <c r="CK18" i="128" s="1"/>
  <c r="CK24" i="128" s="1"/>
  <c r="AM8" i="128"/>
  <c r="AM13" i="128" s="1"/>
  <c r="AM18" i="128" s="1"/>
  <c r="AM24" i="128" s="1"/>
  <c r="DH8" i="109"/>
  <c r="DH11" i="109" s="1"/>
  <c r="DH14" i="109" s="1"/>
  <c r="DH20" i="109" s="1"/>
  <c r="EW111" i="22" s="1"/>
  <c r="AL8" i="129"/>
  <c r="AL10" i="129" s="1"/>
  <c r="AL12" i="129" s="1"/>
  <c r="AL17" i="129" s="1"/>
  <c r="CJ8" i="128"/>
  <c r="CJ13" i="128" s="1"/>
  <c r="CJ18" i="128" s="1"/>
  <c r="CJ24" i="128" s="1"/>
  <c r="DG8" i="109"/>
  <c r="DG11" i="109" s="1"/>
  <c r="DG14" i="109" s="1"/>
  <c r="DG20" i="109" s="1"/>
  <c r="EV111" i="22" s="1"/>
  <c r="FA8" i="129"/>
  <c r="FA10" i="129" s="1"/>
  <c r="FA12" i="129" s="1"/>
  <c r="FA17" i="129" s="1"/>
  <c r="DU8" i="129"/>
  <c r="DU10" i="129" s="1"/>
  <c r="DU12" i="129" s="1"/>
  <c r="DU17" i="129" s="1"/>
  <c r="CO8" i="129"/>
  <c r="CO10" i="129" s="1"/>
  <c r="CO12" i="129" s="1"/>
  <c r="BI8" i="129"/>
  <c r="BI10" i="129" s="1"/>
  <c r="BI12" i="129" s="1"/>
  <c r="AC8" i="129"/>
  <c r="AC10" i="129" s="1"/>
  <c r="AC12" i="129" s="1"/>
  <c r="AC17" i="129" s="1"/>
  <c r="EG8" i="128"/>
  <c r="EG13" i="128" s="1"/>
  <c r="EG18" i="128" s="1"/>
  <c r="EG24" i="128" s="1"/>
  <c r="DA8" i="128"/>
  <c r="DA13" i="128" s="1"/>
  <c r="DA18" i="128" s="1"/>
  <c r="DA24" i="128" s="1"/>
  <c r="BU8" i="128"/>
  <c r="BU13" i="128" s="1"/>
  <c r="BU18" i="128" s="1"/>
  <c r="BU24" i="128" s="1"/>
  <c r="BG8" i="128"/>
  <c r="BG13" i="128" s="1"/>
  <c r="BG18" i="128" s="1"/>
  <c r="BG24" i="128" s="1"/>
  <c r="AY8" i="128"/>
  <c r="AY13" i="128" s="1"/>
  <c r="AY18" i="128" s="1"/>
  <c r="AY24" i="128" s="1"/>
  <c r="AQ8" i="128"/>
  <c r="AQ13" i="128" s="1"/>
  <c r="AQ18" i="128" s="1"/>
  <c r="AQ24" i="128" s="1"/>
  <c r="AI8" i="128"/>
  <c r="AI13" i="128" s="1"/>
  <c r="AI18" i="128" s="1"/>
  <c r="AI24" i="128" s="1"/>
  <c r="AA8" i="128"/>
  <c r="AA13" i="128" s="1"/>
  <c r="AA18" i="128" s="1"/>
  <c r="AA24" i="128" s="1"/>
  <c r="S8" i="128"/>
  <c r="S13" i="128" s="1"/>
  <c r="S18" i="128" s="1"/>
  <c r="S24" i="128" s="1"/>
  <c r="K8" i="128"/>
  <c r="K13" i="128" s="1"/>
  <c r="K18" i="128" s="1"/>
  <c r="K24" i="128" s="1"/>
  <c r="ES8" i="129"/>
  <c r="ES10" i="129" s="1"/>
  <c r="ES12" i="129" s="1"/>
  <c r="ES17" i="129" s="1"/>
  <c r="BA8" i="129"/>
  <c r="BA10" i="129" s="1"/>
  <c r="BA12" i="129" s="1"/>
  <c r="BE8" i="128"/>
  <c r="BE13" i="128" s="1"/>
  <c r="BE18" i="128" s="1"/>
  <c r="BE24" i="128" s="1"/>
  <c r="AG8" i="128"/>
  <c r="AG13" i="128" s="1"/>
  <c r="AG18" i="128" s="1"/>
  <c r="AG24" i="128" s="1"/>
  <c r="AN8" i="128"/>
  <c r="AN13" i="128" s="1"/>
  <c r="AN18" i="128" s="1"/>
  <c r="AN24" i="128" s="1"/>
  <c r="M8" i="129"/>
  <c r="M10" i="129" s="1"/>
  <c r="M12" i="129" s="1"/>
  <c r="BC8" i="128"/>
  <c r="BC13" i="128" s="1"/>
  <c r="BC18" i="128" s="1"/>
  <c r="BC24" i="128" s="1"/>
  <c r="O8" i="128"/>
  <c r="O13" i="128" s="1"/>
  <c r="O18" i="128" s="1"/>
  <c r="O24" i="128" s="1"/>
  <c r="BK8" i="128"/>
  <c r="BK13" i="128" s="1"/>
  <c r="BK18" i="128" s="1"/>
  <c r="BK24" i="128" s="1"/>
  <c r="AL8" i="128"/>
  <c r="AL13" i="128" s="1"/>
  <c r="AL18" i="128" s="1"/>
  <c r="AL24" i="128" s="1"/>
  <c r="ET8" i="129"/>
  <c r="ET10" i="129" s="1"/>
  <c r="ET12" i="129" s="1"/>
  <c r="ET17" i="129" s="1"/>
  <c r="DN8" i="129"/>
  <c r="DN10" i="129" s="1"/>
  <c r="DN12" i="129" s="1"/>
  <c r="DN17" i="129" s="1"/>
  <c r="DK48" i="1" s="1"/>
  <c r="DN8" i="50" s="1"/>
  <c r="DN12" i="50" s="1"/>
  <c r="CH8" i="129"/>
  <c r="CH10" i="129" s="1"/>
  <c r="CH12" i="129" s="1"/>
  <c r="BB8" i="129"/>
  <c r="BB10" i="129" s="1"/>
  <c r="BB12" i="129" s="1"/>
  <c r="V8" i="129"/>
  <c r="V10" i="129" s="1"/>
  <c r="V12" i="129" s="1"/>
  <c r="V17" i="129" s="1"/>
  <c r="EF8" i="128"/>
  <c r="EF13" i="128" s="1"/>
  <c r="EF18" i="128" s="1"/>
  <c r="EF24" i="128" s="1"/>
  <c r="CZ8" i="128"/>
  <c r="CZ13" i="128" s="1"/>
  <c r="CZ18" i="128" s="1"/>
  <c r="BT8" i="128"/>
  <c r="BT13" i="128" s="1"/>
  <c r="BT18" i="128" s="1"/>
  <c r="BT24" i="128" s="1"/>
  <c r="BF8" i="128"/>
  <c r="BF13" i="128" s="1"/>
  <c r="BF18" i="128" s="1"/>
  <c r="BF24" i="128" s="1"/>
  <c r="AX8" i="128"/>
  <c r="AX13" i="128" s="1"/>
  <c r="AX18" i="128" s="1"/>
  <c r="AX24" i="128" s="1"/>
  <c r="AP8" i="128"/>
  <c r="AP13" i="128" s="1"/>
  <c r="AP18" i="128" s="1"/>
  <c r="AP24" i="128" s="1"/>
  <c r="AH8" i="128"/>
  <c r="AH13" i="128" s="1"/>
  <c r="AH18" i="128" s="1"/>
  <c r="AH24" i="128" s="1"/>
  <c r="Z8" i="128"/>
  <c r="Z13" i="128" s="1"/>
  <c r="Z18" i="128" s="1"/>
  <c r="Z24" i="128" s="1"/>
  <c r="R8" i="128"/>
  <c r="R13" i="128" s="1"/>
  <c r="R18" i="128" s="1"/>
  <c r="R24" i="128" s="1"/>
  <c r="J8" i="128"/>
  <c r="J13" i="128" s="1"/>
  <c r="J18" i="128" s="1"/>
  <c r="J24" i="128" s="1"/>
  <c r="CG8" i="129"/>
  <c r="CG10" i="129" s="1"/>
  <c r="CG12" i="129" s="1"/>
  <c r="U8" i="129"/>
  <c r="U10" i="129" s="1"/>
  <c r="U12" i="129" s="1"/>
  <c r="U17" i="129" s="1"/>
  <c r="BS8" i="128"/>
  <c r="BS13" i="128" s="1"/>
  <c r="BS18" i="128" s="1"/>
  <c r="BS24" i="128" s="1"/>
  <c r="AO8" i="128"/>
  <c r="AO13" i="128" s="1"/>
  <c r="AO18" i="128" s="1"/>
  <c r="AO24" i="128" s="1"/>
  <c r="BZ8" i="129"/>
  <c r="BZ10" i="129" s="1"/>
  <c r="BZ12" i="129" s="1"/>
  <c r="CR8" i="128"/>
  <c r="CR13" i="128" s="1"/>
  <c r="CR18" i="128" s="1"/>
  <c r="CR24" i="128" s="1"/>
  <c r="AF8" i="128"/>
  <c r="AF13" i="128" s="1"/>
  <c r="AF18" i="128" s="1"/>
  <c r="AF24" i="128" s="1"/>
  <c r="DE8" i="129"/>
  <c r="DE10" i="129" s="1"/>
  <c r="DE12" i="129" s="1"/>
  <c r="BL8" i="128"/>
  <c r="BL13" i="128" s="1"/>
  <c r="BL18" i="128" s="1"/>
  <c r="BL24" i="128" s="1"/>
  <c r="AE8" i="128"/>
  <c r="AE13" i="128" s="1"/>
  <c r="AE18" i="128" s="1"/>
  <c r="AE24" i="128" s="1"/>
  <c r="BR8" i="129"/>
  <c r="BR10" i="129" s="1"/>
  <c r="BR12" i="129" s="1"/>
  <c r="AD8" i="128"/>
  <c r="AD13" i="128" s="1"/>
  <c r="AD18" i="128" s="1"/>
  <c r="AD24" i="128" s="1"/>
  <c r="DM8" i="129"/>
  <c r="DM10" i="129" s="1"/>
  <c r="DM12" i="129" s="1"/>
  <c r="DM17" i="129" s="1"/>
  <c r="Y8" i="128"/>
  <c r="Y13" i="128" s="1"/>
  <c r="Y18" i="128" s="1"/>
  <c r="Y24" i="128" s="1"/>
  <c r="AT8" i="129"/>
  <c r="AT10" i="129" s="1"/>
  <c r="AT12" i="129" s="1"/>
  <c r="AV8" i="128"/>
  <c r="AV13" i="128" s="1"/>
  <c r="AV18" i="128" s="1"/>
  <c r="AV24" i="128" s="1"/>
  <c r="EK8" i="129"/>
  <c r="EK10" i="129" s="1"/>
  <c r="EK12" i="129" s="1"/>
  <c r="EK17" i="129" s="1"/>
  <c r="W8" i="128"/>
  <c r="W13" i="128" s="1"/>
  <c r="W18" i="128" s="1"/>
  <c r="W24" i="128" s="1"/>
  <c r="CX8" i="129"/>
  <c r="CX10" i="129" s="1"/>
  <c r="CX12" i="129" s="1"/>
  <c r="BB8" i="128"/>
  <c r="BB13" i="128" s="1"/>
  <c r="BB18" i="128" s="1"/>
  <c r="BB24" i="128" s="1"/>
  <c r="V8" i="128"/>
  <c r="V13" i="128" s="1"/>
  <c r="V18" i="128" s="1"/>
  <c r="V24" i="128" s="1"/>
  <c r="DK7" i="75"/>
  <c r="DK9" i="75" s="1"/>
  <c r="DK11" i="75" s="1"/>
  <c r="DK16" i="75" s="1"/>
  <c r="EZ80" i="22" s="1"/>
  <c r="DS7" i="75"/>
  <c r="DS9" i="75" s="1"/>
  <c r="DS11" i="75" s="1"/>
  <c r="DS16" i="75" s="1"/>
  <c r="FH80" i="22" s="1"/>
  <c r="DH7" i="75"/>
  <c r="DH9" i="75" s="1"/>
  <c r="DH11" i="75" s="1"/>
  <c r="DH16" i="75" s="1"/>
  <c r="EW80" i="22" s="1"/>
  <c r="DL7" i="75"/>
  <c r="DL9" i="75" s="1"/>
  <c r="DL11" i="75" s="1"/>
  <c r="DL16" i="75" s="1"/>
  <c r="FA80" i="22" s="1"/>
  <c r="DT7" i="75"/>
  <c r="DT9" i="75" s="1"/>
  <c r="DT11" i="75" s="1"/>
  <c r="DT16" i="75" s="1"/>
  <c r="DG7" i="75"/>
  <c r="DG9" i="75" s="1"/>
  <c r="DG11" i="75" s="1"/>
  <c r="DG16" i="75" s="1"/>
  <c r="EV80" i="22" s="1"/>
  <c r="DM7" i="75"/>
  <c r="DM9" i="75" s="1"/>
  <c r="DM11" i="75" s="1"/>
  <c r="DM16" i="75" s="1"/>
  <c r="FB80" i="22" s="1"/>
  <c r="DU7" i="75"/>
  <c r="DU9" i="75" s="1"/>
  <c r="DU11" i="75" s="1"/>
  <c r="DU16" i="75" s="1"/>
  <c r="DV7" i="75"/>
  <c r="DV9" i="75" s="1"/>
  <c r="DV11" i="75" s="1"/>
  <c r="DV16" i="75" s="1"/>
  <c r="DN7" i="75"/>
  <c r="DN9" i="75" s="1"/>
  <c r="DN11" i="75" s="1"/>
  <c r="DN16" i="75" s="1"/>
  <c r="FC80" i="22" s="1"/>
  <c r="DO7" i="75"/>
  <c r="DO9" i="75" s="1"/>
  <c r="DO11" i="75" s="1"/>
  <c r="DO16" i="75" s="1"/>
  <c r="FD80" i="22" s="1"/>
  <c r="DW7" i="75"/>
  <c r="DW9" i="75" s="1"/>
  <c r="DW11" i="75" s="1"/>
  <c r="DW16" i="75" s="1"/>
  <c r="DX7" i="75"/>
  <c r="DX9" i="75" s="1"/>
  <c r="DX11" i="75" s="1"/>
  <c r="DX16" i="75" s="1"/>
  <c r="DP7" i="75"/>
  <c r="DP9" i="75" s="1"/>
  <c r="DP11" i="75" s="1"/>
  <c r="DP16" i="75" s="1"/>
  <c r="FE80" i="22" s="1"/>
  <c r="DQ7" i="75"/>
  <c r="DQ9" i="75" s="1"/>
  <c r="DQ11" i="75" s="1"/>
  <c r="DQ16" i="75" s="1"/>
  <c r="FF80" i="22" s="1"/>
  <c r="DI7" i="75"/>
  <c r="DI9" i="75" s="1"/>
  <c r="DI11" i="75" s="1"/>
  <c r="DI16" i="75" s="1"/>
  <c r="EX80" i="22" s="1"/>
  <c r="DJ7" i="75"/>
  <c r="DJ9" i="75" s="1"/>
  <c r="DJ11" i="75" s="1"/>
  <c r="DJ16" i="75" s="1"/>
  <c r="EY80" i="22" s="1"/>
  <c r="BV80" i="22" s="1"/>
  <c r="DR7" i="75"/>
  <c r="DR9" i="75" s="1"/>
  <c r="DR11" i="75" s="1"/>
  <c r="DR16" i="75" s="1"/>
  <c r="FG80" i="22" s="1"/>
  <c r="CD80" i="22" s="1"/>
  <c r="AQ9" i="118"/>
  <c r="AQ14" i="118" s="1"/>
  <c r="AQ19" i="118" s="1"/>
  <c r="AQ25" i="118" s="1"/>
  <c r="AY9" i="118"/>
  <c r="AY14" i="118" s="1"/>
  <c r="AY19" i="118" s="1"/>
  <c r="BG9" i="118"/>
  <c r="BG14" i="118" s="1"/>
  <c r="BG19" i="118" s="1"/>
  <c r="BO9" i="118"/>
  <c r="BO14" i="118" s="1"/>
  <c r="BO19" i="118" s="1"/>
  <c r="BW9" i="118"/>
  <c r="BW14" i="118" s="1"/>
  <c r="BW19" i="118" s="1"/>
  <c r="CE9" i="118"/>
  <c r="CE14" i="118" s="1"/>
  <c r="CE19" i="118" s="1"/>
  <c r="CE25" i="118" s="1"/>
  <c r="CM9" i="118"/>
  <c r="CM14" i="118" s="1"/>
  <c r="CM19" i="118" s="1"/>
  <c r="CM25" i="118" s="1"/>
  <c r="CU9" i="118"/>
  <c r="CU14" i="118" s="1"/>
  <c r="CU19" i="118" s="1"/>
  <c r="CU25" i="118" s="1"/>
  <c r="DC9" i="118"/>
  <c r="DC14" i="118" s="1"/>
  <c r="DC19" i="118" s="1"/>
  <c r="DC25" i="118" s="1"/>
  <c r="AC9" i="118"/>
  <c r="AC14" i="118" s="1"/>
  <c r="AC19" i="118" s="1"/>
  <c r="DG9" i="118"/>
  <c r="DG14" i="118" s="1"/>
  <c r="DG19" i="118" s="1"/>
  <c r="DG25" i="118" s="1"/>
  <c r="DD9" i="118"/>
  <c r="DD14" i="118" s="1"/>
  <c r="DD19" i="118" s="1"/>
  <c r="DD25" i="118" s="1"/>
  <c r="AD9" i="118"/>
  <c r="AD14" i="118" s="1"/>
  <c r="AD19" i="118" s="1"/>
  <c r="AR9" i="118"/>
  <c r="AR14" i="118" s="1"/>
  <c r="AR19" i="118" s="1"/>
  <c r="AR25" i="118" s="1"/>
  <c r="AZ9" i="118"/>
  <c r="AZ14" i="118" s="1"/>
  <c r="AZ19" i="118" s="1"/>
  <c r="AZ25" i="118" s="1"/>
  <c r="BH9" i="118"/>
  <c r="BH14" i="118" s="1"/>
  <c r="BH19" i="118" s="1"/>
  <c r="BH25" i="118" s="1"/>
  <c r="BP9" i="118"/>
  <c r="BP14" i="118" s="1"/>
  <c r="BP19" i="118" s="1"/>
  <c r="BP25" i="118" s="1"/>
  <c r="BX9" i="118"/>
  <c r="BX14" i="118" s="1"/>
  <c r="BX19" i="118" s="1"/>
  <c r="BX25" i="118" s="1"/>
  <c r="CF9" i="118"/>
  <c r="CF14" i="118" s="1"/>
  <c r="CF19" i="118" s="1"/>
  <c r="CF25" i="118" s="1"/>
  <c r="CN9" i="118"/>
  <c r="CN14" i="118" s="1"/>
  <c r="CN19" i="118" s="1"/>
  <c r="CN25" i="118" s="1"/>
  <c r="CV9" i="118"/>
  <c r="CV14" i="118" s="1"/>
  <c r="CV19" i="118" s="1"/>
  <c r="CV25" i="118" s="1"/>
  <c r="CW8" i="118"/>
  <c r="AS9" i="118"/>
  <c r="AS14" i="118" s="1"/>
  <c r="AS19" i="118" s="1"/>
  <c r="BA9" i="118"/>
  <c r="BA14" i="118" s="1"/>
  <c r="BA19" i="118" s="1"/>
  <c r="BA25" i="118" s="1"/>
  <c r="BI9" i="118"/>
  <c r="BI14" i="118" s="1"/>
  <c r="BI19" i="118" s="1"/>
  <c r="BI25" i="118" s="1"/>
  <c r="BQ9" i="118"/>
  <c r="BQ14" i="118" s="1"/>
  <c r="BQ19" i="118" s="1"/>
  <c r="BQ25" i="118" s="1"/>
  <c r="BY9" i="118"/>
  <c r="BY14" i="118" s="1"/>
  <c r="BY19" i="118" s="1"/>
  <c r="BY25" i="118" s="1"/>
  <c r="CG9" i="118"/>
  <c r="CG14" i="118" s="1"/>
  <c r="CG19" i="118" s="1"/>
  <c r="CG25" i="118" s="1"/>
  <c r="CO9" i="118"/>
  <c r="CO14" i="118" s="1"/>
  <c r="CO19" i="118" s="1"/>
  <c r="CW9" i="118"/>
  <c r="CW14" i="118" s="1"/>
  <c r="CW19" i="118" s="1"/>
  <c r="CW25" i="118" s="1"/>
  <c r="DE9" i="118"/>
  <c r="DE14" i="118" s="1"/>
  <c r="DE19" i="118" s="1"/>
  <c r="DE25" i="118" s="1"/>
  <c r="AE9" i="118"/>
  <c r="AE14" i="118" s="1"/>
  <c r="AE19" i="118" s="1"/>
  <c r="AH9" i="118"/>
  <c r="AH14" i="118" s="1"/>
  <c r="AH19" i="118" s="1"/>
  <c r="AH25" i="118" s="1"/>
  <c r="AF9" i="118"/>
  <c r="AF14" i="118" s="1"/>
  <c r="AF19" i="118" s="1"/>
  <c r="AT9" i="118"/>
  <c r="AT14" i="118" s="1"/>
  <c r="AT19" i="118" s="1"/>
  <c r="AT25" i="118" s="1"/>
  <c r="BB9" i="118"/>
  <c r="BB14" i="118" s="1"/>
  <c r="BB19" i="118" s="1"/>
  <c r="BB25" i="118" s="1"/>
  <c r="BJ9" i="118"/>
  <c r="BJ14" i="118" s="1"/>
  <c r="BJ19" i="118" s="1"/>
  <c r="BJ25" i="118" s="1"/>
  <c r="BR9" i="118"/>
  <c r="BR14" i="118" s="1"/>
  <c r="BR19" i="118" s="1"/>
  <c r="BR25" i="118" s="1"/>
  <c r="BZ9" i="118"/>
  <c r="BZ14" i="118" s="1"/>
  <c r="BZ19" i="118" s="1"/>
  <c r="BZ25" i="118" s="1"/>
  <c r="CH9" i="118"/>
  <c r="CH14" i="118" s="1"/>
  <c r="CH19" i="118" s="1"/>
  <c r="CH25" i="118" s="1"/>
  <c r="CP9" i="118"/>
  <c r="CP14" i="118" s="1"/>
  <c r="CP19" i="118" s="1"/>
  <c r="CP25" i="118" s="1"/>
  <c r="CX9" i="118"/>
  <c r="CX14" i="118" s="1"/>
  <c r="CX19" i="118" s="1"/>
  <c r="CX25" i="118" s="1"/>
  <c r="AM9" i="118"/>
  <c r="AM14" i="118" s="1"/>
  <c r="AM19" i="118" s="1"/>
  <c r="AM25" i="118" s="1"/>
  <c r="AU9" i="118"/>
  <c r="AU14" i="118" s="1"/>
  <c r="AU19" i="118" s="1"/>
  <c r="BC9" i="118"/>
  <c r="BC14" i="118" s="1"/>
  <c r="BC19" i="118" s="1"/>
  <c r="BC25" i="118" s="1"/>
  <c r="BK9" i="118"/>
  <c r="BK14" i="118" s="1"/>
  <c r="BK19" i="118" s="1"/>
  <c r="BK25" i="118" s="1"/>
  <c r="BS9" i="118"/>
  <c r="BS14" i="118" s="1"/>
  <c r="BS19" i="118" s="1"/>
  <c r="BS25" i="118" s="1"/>
  <c r="CA9" i="118"/>
  <c r="CA14" i="118" s="1"/>
  <c r="CA19" i="118" s="1"/>
  <c r="CA25" i="118" s="1"/>
  <c r="CI9" i="118"/>
  <c r="CI14" i="118" s="1"/>
  <c r="CI19" i="118" s="1"/>
  <c r="CQ9" i="118"/>
  <c r="CQ14" i="118" s="1"/>
  <c r="CQ19" i="118" s="1"/>
  <c r="CQ25" i="118" s="1"/>
  <c r="CY9" i="118"/>
  <c r="CY14" i="118" s="1"/>
  <c r="CY19" i="118" s="1"/>
  <c r="CY25" i="118" s="1"/>
  <c r="AI9" i="118"/>
  <c r="AI14" i="118" s="1"/>
  <c r="AI19" i="118" s="1"/>
  <c r="AI25" i="118" s="1"/>
  <c r="AG9" i="118"/>
  <c r="AG14" i="118" s="1"/>
  <c r="AG19" i="118" s="1"/>
  <c r="AG25" i="118" s="1"/>
  <c r="AX9" i="118"/>
  <c r="AX14" i="118" s="1"/>
  <c r="AX19" i="118" s="1"/>
  <c r="AX25" i="118" s="1"/>
  <c r="BV9" i="118"/>
  <c r="BV14" i="118" s="1"/>
  <c r="BV19" i="118" s="1"/>
  <c r="BV25" i="118" s="1"/>
  <c r="CL9" i="118"/>
  <c r="CL14" i="118" s="1"/>
  <c r="CL19" i="118" s="1"/>
  <c r="CL25" i="118" s="1"/>
  <c r="AL9" i="118"/>
  <c r="AL14" i="118" s="1"/>
  <c r="AL19" i="118" s="1"/>
  <c r="AL25" i="118" s="1"/>
  <c r="AN9" i="118"/>
  <c r="AN14" i="118" s="1"/>
  <c r="AN19" i="118" s="1"/>
  <c r="AN25" i="118" s="1"/>
  <c r="AV9" i="118"/>
  <c r="AV14" i="118" s="1"/>
  <c r="AV19" i="118" s="1"/>
  <c r="AV25" i="118" s="1"/>
  <c r="BD9" i="118"/>
  <c r="BD14" i="118" s="1"/>
  <c r="BD19" i="118" s="1"/>
  <c r="BD25" i="118" s="1"/>
  <c r="BL9" i="118"/>
  <c r="BL14" i="118" s="1"/>
  <c r="BL19" i="118" s="1"/>
  <c r="BL25" i="118" s="1"/>
  <c r="BT9" i="118"/>
  <c r="BT14" i="118" s="1"/>
  <c r="BT19" i="118" s="1"/>
  <c r="BT25" i="118" s="1"/>
  <c r="CB9" i="118"/>
  <c r="CB14" i="118" s="1"/>
  <c r="CB19" i="118" s="1"/>
  <c r="CB25" i="118" s="1"/>
  <c r="CJ9" i="118"/>
  <c r="CJ14" i="118" s="1"/>
  <c r="CJ19" i="118" s="1"/>
  <c r="CJ25" i="118" s="1"/>
  <c r="CR9" i="118"/>
  <c r="CR14" i="118" s="1"/>
  <c r="CR19" i="118" s="1"/>
  <c r="CR25" i="118" s="1"/>
  <c r="CZ9" i="118"/>
  <c r="CZ14" i="118" s="1"/>
  <c r="CZ19" i="118" s="1"/>
  <c r="AJ9" i="118"/>
  <c r="AJ14" i="118" s="1"/>
  <c r="AJ19" i="118" s="1"/>
  <c r="AJ25" i="118" s="1"/>
  <c r="AB9" i="118"/>
  <c r="AB14" i="118" s="1"/>
  <c r="AB19" i="118" s="1"/>
  <c r="AP9" i="118"/>
  <c r="AP14" i="118" s="1"/>
  <c r="AP19" i="118" s="1"/>
  <c r="AP25" i="118" s="1"/>
  <c r="BN9" i="118"/>
  <c r="BN14" i="118" s="1"/>
  <c r="BN19" i="118" s="1"/>
  <c r="BN25" i="118" s="1"/>
  <c r="CD9" i="118"/>
  <c r="CD14" i="118" s="1"/>
  <c r="CD19" i="118" s="1"/>
  <c r="CD25" i="118" s="1"/>
  <c r="CT9" i="118"/>
  <c r="CT14" i="118" s="1"/>
  <c r="CT19" i="118" s="1"/>
  <c r="CT25" i="118" s="1"/>
  <c r="DF9" i="118"/>
  <c r="DF14" i="118" s="1"/>
  <c r="DF19" i="118" s="1"/>
  <c r="DF25" i="118" s="1"/>
  <c r="AO9" i="118"/>
  <c r="AO14" i="118" s="1"/>
  <c r="AO19" i="118" s="1"/>
  <c r="AO25" i="118" s="1"/>
  <c r="AW9" i="118"/>
  <c r="AW14" i="118" s="1"/>
  <c r="AW19" i="118" s="1"/>
  <c r="BE9" i="118"/>
  <c r="BE14" i="118" s="1"/>
  <c r="BE19" i="118" s="1"/>
  <c r="BE25" i="118" s="1"/>
  <c r="BM9" i="118"/>
  <c r="BM14" i="118" s="1"/>
  <c r="BM19" i="118" s="1"/>
  <c r="BM25" i="118" s="1"/>
  <c r="BU9" i="118"/>
  <c r="BU14" i="118" s="1"/>
  <c r="BU19" i="118" s="1"/>
  <c r="BU25" i="118" s="1"/>
  <c r="CC9" i="118"/>
  <c r="CC14" i="118" s="1"/>
  <c r="CC19" i="118" s="1"/>
  <c r="CC25" i="118" s="1"/>
  <c r="CK9" i="118"/>
  <c r="CK14" i="118" s="1"/>
  <c r="CK19" i="118" s="1"/>
  <c r="CK25" i="118" s="1"/>
  <c r="CS9" i="118"/>
  <c r="CS14" i="118" s="1"/>
  <c r="CS19" i="118" s="1"/>
  <c r="CS25" i="118" s="1"/>
  <c r="DA9" i="118"/>
  <c r="DA14" i="118" s="1"/>
  <c r="DA19" i="118" s="1"/>
  <c r="DA25" i="118" s="1"/>
  <c r="AK9" i="118"/>
  <c r="AK14" i="118" s="1"/>
  <c r="AK19" i="118" s="1"/>
  <c r="AK25" i="118" s="1"/>
  <c r="AB8" i="118"/>
  <c r="AB13" i="118" s="1"/>
  <c r="AB18" i="118" s="1"/>
  <c r="AB24" i="118" s="1"/>
  <c r="BF9" i="118"/>
  <c r="BF14" i="118" s="1"/>
  <c r="BF19" i="118" s="1"/>
  <c r="BF25" i="118" s="1"/>
  <c r="DB9" i="118"/>
  <c r="DB14" i="118" s="1"/>
  <c r="DB19" i="118" s="1"/>
  <c r="DB25" i="118" s="1"/>
  <c r="EB8" i="127"/>
  <c r="EB13" i="127" s="1"/>
  <c r="EB18" i="127" s="1"/>
  <c r="EB24" i="127" s="1"/>
  <c r="DT8" i="127"/>
  <c r="DT13" i="127" s="1"/>
  <c r="DT18" i="127" s="1"/>
  <c r="DT24" i="127" s="1"/>
  <c r="DL8" i="127"/>
  <c r="DL13" i="127" s="1"/>
  <c r="DL18" i="127" s="1"/>
  <c r="DL24" i="127" s="1"/>
  <c r="DD8" i="127"/>
  <c r="DD13" i="127" s="1"/>
  <c r="DD18" i="127" s="1"/>
  <c r="DD24" i="127" s="1"/>
  <c r="CV8" i="127"/>
  <c r="CV13" i="127" s="1"/>
  <c r="CV18" i="127" s="1"/>
  <c r="CN8" i="127"/>
  <c r="CN13" i="127" s="1"/>
  <c r="CN18" i="127" s="1"/>
  <c r="CN24" i="127" s="1"/>
  <c r="CF8" i="127"/>
  <c r="CF13" i="127" s="1"/>
  <c r="CF18" i="127" s="1"/>
  <c r="CF24" i="127" s="1"/>
  <c r="BX8" i="127"/>
  <c r="BX13" i="127" s="1"/>
  <c r="BX18" i="127" s="1"/>
  <c r="BX24" i="127" s="1"/>
  <c r="BP8" i="127"/>
  <c r="BP13" i="127" s="1"/>
  <c r="BP18" i="127" s="1"/>
  <c r="BP24" i="127" s="1"/>
  <c r="BH8" i="127"/>
  <c r="BH13" i="127" s="1"/>
  <c r="BH18" i="127" s="1"/>
  <c r="BH24" i="127" s="1"/>
  <c r="AZ8" i="127"/>
  <c r="AZ13" i="127" s="1"/>
  <c r="AZ18" i="127" s="1"/>
  <c r="AZ24" i="127" s="1"/>
  <c r="AR8" i="127"/>
  <c r="AR13" i="127" s="1"/>
  <c r="AR18" i="127" s="1"/>
  <c r="AJ8" i="127"/>
  <c r="AJ13" i="127" s="1"/>
  <c r="AJ18" i="127" s="1"/>
  <c r="AJ24" i="127" s="1"/>
  <c r="AB8" i="127"/>
  <c r="AB13" i="127" s="1"/>
  <c r="AB18" i="127" s="1"/>
  <c r="AB24" i="127" s="1"/>
  <c r="T8" i="127"/>
  <c r="T13" i="127" s="1"/>
  <c r="T18" i="127" s="1"/>
  <c r="T24" i="127" s="1"/>
  <c r="L8" i="127"/>
  <c r="L13" i="127" s="1"/>
  <c r="L18" i="127" s="1"/>
  <c r="L24" i="127" s="1"/>
  <c r="DS8" i="127"/>
  <c r="DS13" i="127" s="1"/>
  <c r="DS18" i="127" s="1"/>
  <c r="DS24" i="127" s="1"/>
  <c r="DK8" i="127"/>
  <c r="DK13" i="127" s="1"/>
  <c r="DK18" i="127" s="1"/>
  <c r="DK24" i="127" s="1"/>
  <c r="DC8" i="127"/>
  <c r="DC13" i="127" s="1"/>
  <c r="DC18" i="127" s="1"/>
  <c r="DC24" i="127" s="1"/>
  <c r="CU8" i="127"/>
  <c r="CU13" i="127" s="1"/>
  <c r="CU18" i="127" s="1"/>
  <c r="CU24" i="127" s="1"/>
  <c r="CM8" i="127"/>
  <c r="CM13" i="127" s="1"/>
  <c r="CM18" i="127" s="1"/>
  <c r="CM24" i="127" s="1"/>
  <c r="CE8" i="127"/>
  <c r="CE13" i="127" s="1"/>
  <c r="CE18" i="127" s="1"/>
  <c r="CE24" i="127" s="1"/>
  <c r="BW8" i="127"/>
  <c r="BW13" i="127" s="1"/>
  <c r="BW18" i="127" s="1"/>
  <c r="BW24" i="127" s="1"/>
  <c r="BO8" i="127"/>
  <c r="BO13" i="127" s="1"/>
  <c r="BO18" i="127" s="1"/>
  <c r="BO24" i="127" s="1"/>
  <c r="BG8" i="127"/>
  <c r="BG13" i="127" s="1"/>
  <c r="BG18" i="127" s="1"/>
  <c r="BG24" i="127" s="1"/>
  <c r="AY8" i="127"/>
  <c r="AY13" i="127" s="1"/>
  <c r="AY18" i="127" s="1"/>
  <c r="AQ8" i="127"/>
  <c r="AQ13" i="127" s="1"/>
  <c r="AQ18" i="127" s="1"/>
  <c r="AI8" i="127"/>
  <c r="AI13" i="127" s="1"/>
  <c r="AI18" i="127" s="1"/>
  <c r="AA8" i="127"/>
  <c r="AA13" i="127" s="1"/>
  <c r="AA18" i="127" s="1"/>
  <c r="AA24" i="127" s="1"/>
  <c r="EA8" i="127"/>
  <c r="EA13" i="127" s="1"/>
  <c r="EA18" i="127" s="1"/>
  <c r="EA24" i="127" s="1"/>
  <c r="DZ8" i="127"/>
  <c r="DZ13" i="127" s="1"/>
  <c r="DZ18" i="127" s="1"/>
  <c r="DZ24" i="127" s="1"/>
  <c r="DR8" i="127"/>
  <c r="DR13" i="127" s="1"/>
  <c r="DR18" i="127" s="1"/>
  <c r="DR24" i="127" s="1"/>
  <c r="DJ8" i="127"/>
  <c r="DJ13" i="127" s="1"/>
  <c r="DJ18" i="127" s="1"/>
  <c r="DJ24" i="127" s="1"/>
  <c r="DB8" i="127"/>
  <c r="DB13" i="127" s="1"/>
  <c r="DB18" i="127" s="1"/>
  <c r="DB24" i="127" s="1"/>
  <c r="CT8" i="127"/>
  <c r="CT13" i="127" s="1"/>
  <c r="CT18" i="127" s="1"/>
  <c r="CT24" i="127" s="1"/>
  <c r="CL8" i="127"/>
  <c r="CL13" i="127" s="1"/>
  <c r="CL18" i="127" s="1"/>
  <c r="CL24" i="127" s="1"/>
  <c r="CD8" i="127"/>
  <c r="CD13" i="127" s="1"/>
  <c r="CD18" i="127" s="1"/>
  <c r="CD24" i="127" s="1"/>
  <c r="BV8" i="127"/>
  <c r="BV13" i="127" s="1"/>
  <c r="BV18" i="127" s="1"/>
  <c r="BV24" i="127" s="1"/>
  <c r="BN8" i="127"/>
  <c r="BN13" i="127" s="1"/>
  <c r="BN18" i="127" s="1"/>
  <c r="BN24" i="127" s="1"/>
  <c r="BF8" i="127"/>
  <c r="BF13" i="127" s="1"/>
  <c r="BF18" i="127" s="1"/>
  <c r="BF24" i="127" s="1"/>
  <c r="AX8" i="127"/>
  <c r="AX13" i="127" s="1"/>
  <c r="AX18" i="127" s="1"/>
  <c r="AX24" i="127" s="1"/>
  <c r="AP8" i="127"/>
  <c r="AP13" i="127" s="1"/>
  <c r="AP18" i="127" s="1"/>
  <c r="AP24" i="127" s="1"/>
  <c r="AH8" i="127"/>
  <c r="AH13" i="127" s="1"/>
  <c r="AH18" i="127" s="1"/>
  <c r="AH24" i="127" s="1"/>
  <c r="Z8" i="127"/>
  <c r="Z13" i="127" s="1"/>
  <c r="Z18" i="127" s="1"/>
  <c r="R8" i="127"/>
  <c r="R13" i="127" s="1"/>
  <c r="R18" i="127" s="1"/>
  <c r="R24" i="127" s="1"/>
  <c r="J8" i="127"/>
  <c r="J13" i="127" s="1"/>
  <c r="J18" i="127" s="1"/>
  <c r="J24" i="127" s="1"/>
  <c r="Y8" i="127"/>
  <c r="Y13" i="127" s="1"/>
  <c r="Y18" i="127" s="1"/>
  <c r="Y24" i="127" s="1"/>
  <c r="Q8" i="127"/>
  <c r="Q13" i="127" s="1"/>
  <c r="Q18" i="127" s="1"/>
  <c r="Q24" i="127" s="1"/>
  <c r="I8" i="127"/>
  <c r="I13" i="127" s="1"/>
  <c r="I18" i="127" s="1"/>
  <c r="I24" i="127" s="1"/>
  <c r="CI8" i="127"/>
  <c r="CI13" i="127" s="1"/>
  <c r="CI18" i="127" s="1"/>
  <c r="CI24" i="127" s="1"/>
  <c r="BS8" i="127"/>
  <c r="BS13" i="127" s="1"/>
  <c r="BS18" i="127" s="1"/>
  <c r="BS24" i="127" s="1"/>
  <c r="BC8" i="127"/>
  <c r="BC13" i="127" s="1"/>
  <c r="BC18" i="127" s="1"/>
  <c r="BC24" i="127" s="1"/>
  <c r="AM8" i="127"/>
  <c r="AM13" i="127" s="1"/>
  <c r="AM18" i="127" s="1"/>
  <c r="AM24" i="127" s="1"/>
  <c r="W8" i="127"/>
  <c r="W13" i="127" s="1"/>
  <c r="W18" i="127" s="1"/>
  <c r="DY8" i="127"/>
  <c r="DY13" i="127" s="1"/>
  <c r="DY18" i="127" s="1"/>
  <c r="DY24" i="127" s="1"/>
  <c r="DQ8" i="127"/>
  <c r="DQ13" i="127" s="1"/>
  <c r="DQ18" i="127" s="1"/>
  <c r="DQ24" i="127" s="1"/>
  <c r="DI8" i="127"/>
  <c r="DI13" i="127" s="1"/>
  <c r="DI18" i="127" s="1"/>
  <c r="DI24" i="127" s="1"/>
  <c r="DA8" i="127"/>
  <c r="DA13" i="127" s="1"/>
  <c r="DA18" i="127" s="1"/>
  <c r="CS8" i="127"/>
  <c r="CS13" i="127" s="1"/>
  <c r="CS18" i="127" s="1"/>
  <c r="CS24" i="127" s="1"/>
  <c r="CK8" i="127"/>
  <c r="CK13" i="127" s="1"/>
  <c r="CK18" i="127" s="1"/>
  <c r="CK24" i="127" s="1"/>
  <c r="CC8" i="127"/>
  <c r="CC13" i="127" s="1"/>
  <c r="CC18" i="127" s="1"/>
  <c r="CC24" i="127" s="1"/>
  <c r="BU8" i="127"/>
  <c r="BU13" i="127" s="1"/>
  <c r="BU18" i="127" s="1"/>
  <c r="BU24" i="127" s="1"/>
  <c r="BM8" i="127"/>
  <c r="BM13" i="127" s="1"/>
  <c r="BM18" i="127" s="1"/>
  <c r="BM24" i="127" s="1"/>
  <c r="BE8" i="127"/>
  <c r="BE13" i="127" s="1"/>
  <c r="BE18" i="127" s="1"/>
  <c r="BE24" i="127" s="1"/>
  <c r="AW8" i="127"/>
  <c r="AW13" i="127" s="1"/>
  <c r="AW18" i="127" s="1"/>
  <c r="AW24" i="127" s="1"/>
  <c r="AO8" i="127"/>
  <c r="AO13" i="127" s="1"/>
  <c r="AO18" i="127" s="1"/>
  <c r="AG8" i="127"/>
  <c r="AG13" i="127" s="1"/>
  <c r="AG18" i="127" s="1"/>
  <c r="AG24" i="127" s="1"/>
  <c r="DX8" i="127"/>
  <c r="DX13" i="127" s="1"/>
  <c r="DX18" i="127" s="1"/>
  <c r="DX24" i="127" s="1"/>
  <c r="DP8" i="127"/>
  <c r="DP13" i="127" s="1"/>
  <c r="DP18" i="127" s="1"/>
  <c r="DP24" i="127" s="1"/>
  <c r="DH8" i="127"/>
  <c r="DH13" i="127" s="1"/>
  <c r="DH18" i="127" s="1"/>
  <c r="DH24" i="127" s="1"/>
  <c r="CZ8" i="127"/>
  <c r="CZ13" i="127" s="1"/>
  <c r="CZ18" i="127" s="1"/>
  <c r="CZ24" i="127" s="1"/>
  <c r="CR8" i="127"/>
  <c r="CR13" i="127" s="1"/>
  <c r="CR18" i="127" s="1"/>
  <c r="CR24" i="127" s="1"/>
  <c r="CJ8" i="127"/>
  <c r="CJ13" i="127" s="1"/>
  <c r="CJ18" i="127" s="1"/>
  <c r="CJ24" i="127" s="1"/>
  <c r="CB8" i="127"/>
  <c r="CB13" i="127" s="1"/>
  <c r="CB18" i="127" s="1"/>
  <c r="CB24" i="127" s="1"/>
  <c r="BT8" i="127"/>
  <c r="BT13" i="127" s="1"/>
  <c r="BT18" i="127" s="1"/>
  <c r="BT24" i="127" s="1"/>
  <c r="BL8" i="127"/>
  <c r="BL13" i="127" s="1"/>
  <c r="BL18" i="127" s="1"/>
  <c r="BL24" i="127" s="1"/>
  <c r="BD8" i="127"/>
  <c r="BD13" i="127" s="1"/>
  <c r="BD18" i="127" s="1"/>
  <c r="BD24" i="127" s="1"/>
  <c r="AV8" i="127"/>
  <c r="AV13" i="127" s="1"/>
  <c r="AV18" i="127" s="1"/>
  <c r="AV24" i="127" s="1"/>
  <c r="AN8" i="127"/>
  <c r="AN13" i="127" s="1"/>
  <c r="AN18" i="127" s="1"/>
  <c r="AN24" i="127" s="1"/>
  <c r="AF8" i="127"/>
  <c r="AF13" i="127" s="1"/>
  <c r="AF18" i="127" s="1"/>
  <c r="AF24" i="127" s="1"/>
  <c r="X8" i="127"/>
  <c r="X13" i="127" s="1"/>
  <c r="X18" i="127" s="1"/>
  <c r="X24" i="127" s="1"/>
  <c r="P8" i="127"/>
  <c r="P13" i="127" s="1"/>
  <c r="P18" i="127" s="1"/>
  <c r="P24" i="127" s="1"/>
  <c r="DO8" i="127"/>
  <c r="DO13" i="127" s="1"/>
  <c r="DO18" i="127" s="1"/>
  <c r="DO24" i="127" s="1"/>
  <c r="DG8" i="127"/>
  <c r="DG13" i="127" s="1"/>
  <c r="DG18" i="127" s="1"/>
  <c r="DG24" i="127" s="1"/>
  <c r="CY8" i="127"/>
  <c r="CY13" i="127" s="1"/>
  <c r="CY18" i="127" s="1"/>
  <c r="CY24" i="127" s="1"/>
  <c r="CQ8" i="127"/>
  <c r="CQ13" i="127" s="1"/>
  <c r="CQ18" i="127" s="1"/>
  <c r="CQ24" i="127" s="1"/>
  <c r="CA8" i="127"/>
  <c r="CA13" i="127" s="1"/>
  <c r="CA18" i="127" s="1"/>
  <c r="CA24" i="127" s="1"/>
  <c r="BK8" i="127"/>
  <c r="BK13" i="127" s="1"/>
  <c r="BK18" i="127" s="1"/>
  <c r="BK24" i="127" s="1"/>
  <c r="AU8" i="127"/>
  <c r="AU13" i="127" s="1"/>
  <c r="AU18" i="127" s="1"/>
  <c r="AU24" i="127" s="1"/>
  <c r="AE8" i="127"/>
  <c r="AE13" i="127" s="1"/>
  <c r="AE18" i="127" s="1"/>
  <c r="O8" i="127"/>
  <c r="O13" i="127" s="1"/>
  <c r="O18" i="127" s="1"/>
  <c r="O24" i="127" s="1"/>
  <c r="BA8" i="127"/>
  <c r="BA13" i="127" s="1"/>
  <c r="BA18" i="127" s="1"/>
  <c r="BA24" i="127" s="1"/>
  <c r="AC8" i="127"/>
  <c r="AC13" i="127" s="1"/>
  <c r="AC18" i="127" s="1"/>
  <c r="M8" i="127"/>
  <c r="M13" i="127" s="1"/>
  <c r="M18" i="127" s="1"/>
  <c r="M24" i="127" s="1"/>
  <c r="K8" i="127"/>
  <c r="K13" i="127" s="1"/>
  <c r="K18" i="127" s="1"/>
  <c r="K24" i="127" s="1"/>
  <c r="DW8" i="127"/>
  <c r="DW13" i="127" s="1"/>
  <c r="DW18" i="127" s="1"/>
  <c r="DW24" i="127" s="1"/>
  <c r="ED8" i="127"/>
  <c r="ED13" i="127" s="1"/>
  <c r="ED18" i="127" s="1"/>
  <c r="ED24" i="127" s="1"/>
  <c r="DV8" i="127"/>
  <c r="DV13" i="127" s="1"/>
  <c r="DV18" i="127" s="1"/>
  <c r="DV24" i="127" s="1"/>
  <c r="DN8" i="127"/>
  <c r="DN13" i="127" s="1"/>
  <c r="DN18" i="127" s="1"/>
  <c r="DN24" i="127" s="1"/>
  <c r="DF8" i="127"/>
  <c r="DF13" i="127" s="1"/>
  <c r="DF18" i="127" s="1"/>
  <c r="DF24" i="127" s="1"/>
  <c r="CX8" i="127"/>
  <c r="CX13" i="127" s="1"/>
  <c r="CX18" i="127" s="1"/>
  <c r="CX24" i="127" s="1"/>
  <c r="CP8" i="127"/>
  <c r="CP13" i="127" s="1"/>
  <c r="CP18" i="127" s="1"/>
  <c r="CP24" i="127" s="1"/>
  <c r="CH8" i="127"/>
  <c r="CH13" i="127" s="1"/>
  <c r="CH18" i="127" s="1"/>
  <c r="CH24" i="127" s="1"/>
  <c r="BZ8" i="127"/>
  <c r="BZ13" i="127" s="1"/>
  <c r="BZ18" i="127" s="1"/>
  <c r="BZ24" i="127" s="1"/>
  <c r="BR8" i="127"/>
  <c r="BR13" i="127" s="1"/>
  <c r="BR18" i="127" s="1"/>
  <c r="BR24" i="127" s="1"/>
  <c r="BJ8" i="127"/>
  <c r="BJ13" i="127" s="1"/>
  <c r="BJ18" i="127" s="1"/>
  <c r="BJ24" i="127" s="1"/>
  <c r="BB8" i="127"/>
  <c r="BB13" i="127" s="1"/>
  <c r="BB18" i="127" s="1"/>
  <c r="BB24" i="127" s="1"/>
  <c r="AT8" i="127"/>
  <c r="AT13" i="127" s="1"/>
  <c r="AT18" i="127" s="1"/>
  <c r="AT24" i="127" s="1"/>
  <c r="AL8" i="127"/>
  <c r="AL13" i="127" s="1"/>
  <c r="AL18" i="127" s="1"/>
  <c r="AD8" i="127"/>
  <c r="AD13" i="127" s="1"/>
  <c r="AD18" i="127" s="1"/>
  <c r="AD24" i="127" s="1"/>
  <c r="V8" i="127"/>
  <c r="V13" i="127" s="1"/>
  <c r="V18" i="127" s="1"/>
  <c r="V24" i="127" s="1"/>
  <c r="N8" i="127"/>
  <c r="N13" i="127" s="1"/>
  <c r="N18" i="127" s="1"/>
  <c r="N24" i="127" s="1"/>
  <c r="DU8" i="127"/>
  <c r="DU13" i="127" s="1"/>
  <c r="DU18" i="127" s="1"/>
  <c r="DU24" i="127" s="1"/>
  <c r="DM8" i="127"/>
  <c r="DM13" i="127" s="1"/>
  <c r="DM18" i="127" s="1"/>
  <c r="DM24" i="127" s="1"/>
  <c r="DE8" i="127"/>
  <c r="DE13" i="127" s="1"/>
  <c r="DE18" i="127" s="1"/>
  <c r="DE24" i="127" s="1"/>
  <c r="CW8" i="127"/>
  <c r="CW13" i="127" s="1"/>
  <c r="CW18" i="127" s="1"/>
  <c r="CW24" i="127" s="1"/>
  <c r="CO8" i="127"/>
  <c r="CO13" i="127" s="1"/>
  <c r="CO18" i="127" s="1"/>
  <c r="CO24" i="127" s="1"/>
  <c r="CG8" i="127"/>
  <c r="CG13" i="127" s="1"/>
  <c r="CG18" i="127" s="1"/>
  <c r="CG24" i="127" s="1"/>
  <c r="BY8" i="127"/>
  <c r="BY13" i="127" s="1"/>
  <c r="BY18" i="127" s="1"/>
  <c r="BY24" i="127" s="1"/>
  <c r="BQ8" i="127"/>
  <c r="BQ13" i="127" s="1"/>
  <c r="BQ18" i="127" s="1"/>
  <c r="BQ24" i="127" s="1"/>
  <c r="BI8" i="127"/>
  <c r="BI13" i="127" s="1"/>
  <c r="BI18" i="127" s="1"/>
  <c r="BI24" i="127" s="1"/>
  <c r="AS8" i="127"/>
  <c r="AS13" i="127" s="1"/>
  <c r="AS18" i="127" s="1"/>
  <c r="AS24" i="127" s="1"/>
  <c r="AK8" i="127"/>
  <c r="AK13" i="127" s="1"/>
  <c r="AK18" i="127" s="1"/>
  <c r="AK24" i="127" s="1"/>
  <c r="U8" i="127"/>
  <c r="U13" i="127" s="1"/>
  <c r="U18" i="127" s="1"/>
  <c r="U24" i="127" s="1"/>
  <c r="S8" i="127"/>
  <c r="S13" i="127" s="1"/>
  <c r="S18" i="127" s="1"/>
  <c r="S24" i="127" s="1"/>
  <c r="EC8" i="127"/>
  <c r="EC13" i="127" s="1"/>
  <c r="EC18" i="127" s="1"/>
  <c r="EC24" i="127" s="1"/>
  <c r="EF9" i="34"/>
  <c r="EG9" i="34"/>
  <c r="EH9" i="34"/>
  <c r="EJ9" i="34"/>
  <c r="DZ9" i="34"/>
  <c r="EI9" i="34"/>
  <c r="EK9" i="34"/>
  <c r="EK11" i="34" s="1"/>
  <c r="EK16" i="34" s="1"/>
  <c r="EA9" i="34"/>
  <c r="EA11" i="34" s="1"/>
  <c r="EA16" i="34" s="1"/>
  <c r="ED9" i="34"/>
  <c r="EB9" i="34"/>
  <c r="EE9" i="34"/>
  <c r="EC9" i="34"/>
  <c r="CV12" i="32"/>
  <c r="DD12" i="32"/>
  <c r="DL12" i="32"/>
  <c r="DT12" i="32"/>
  <c r="EB12" i="32"/>
  <c r="EJ12" i="32"/>
  <c r="ER12" i="32"/>
  <c r="CW12" i="32"/>
  <c r="DE12" i="32"/>
  <c r="DM12" i="32"/>
  <c r="DU12" i="32"/>
  <c r="EC12" i="32"/>
  <c r="EK12" i="32"/>
  <c r="ES12" i="32"/>
  <c r="DP12" i="32"/>
  <c r="CX12" i="32"/>
  <c r="DF12" i="32"/>
  <c r="DN12" i="32"/>
  <c r="DV12" i="32"/>
  <c r="ED12" i="32"/>
  <c r="EL12" i="32"/>
  <c r="CZ12" i="32"/>
  <c r="DX12" i="32"/>
  <c r="EN12" i="32"/>
  <c r="CY12" i="32"/>
  <c r="DG12" i="32"/>
  <c r="DO12" i="32"/>
  <c r="DW12" i="32"/>
  <c r="EE12" i="32"/>
  <c r="EM12" i="32"/>
  <c r="DH12" i="32"/>
  <c r="EF12" i="32"/>
  <c r="DA12" i="32"/>
  <c r="DI12" i="32"/>
  <c r="DQ12" i="32"/>
  <c r="DY12" i="32"/>
  <c r="EG12" i="32"/>
  <c r="EO12" i="32"/>
  <c r="CT12" i="32"/>
  <c r="DB12" i="32"/>
  <c r="DJ12" i="32"/>
  <c r="DR12" i="32"/>
  <c r="DZ12" i="32"/>
  <c r="EH12" i="32"/>
  <c r="EP12" i="32"/>
  <c r="CU12" i="32"/>
  <c r="DC12" i="32"/>
  <c r="DK12" i="32"/>
  <c r="DS12" i="32"/>
  <c r="EA12" i="32"/>
  <c r="EI12" i="32"/>
  <c r="EQ12" i="32"/>
  <c r="CP12" i="32"/>
  <c r="CQ12" i="32"/>
  <c r="CR12" i="32"/>
  <c r="CS12" i="32"/>
  <c r="CM12" i="32"/>
  <c r="CN12" i="32"/>
  <c r="CO12" i="32"/>
  <c r="CI12" i="32"/>
  <c r="CJ12" i="32"/>
  <c r="CK12" i="32"/>
  <c r="CL12" i="32"/>
  <c r="CH12" i="32"/>
  <c r="EF10" i="34"/>
  <c r="CU10" i="34"/>
  <c r="DC10" i="34"/>
  <c r="DK10" i="34"/>
  <c r="DS10" i="34"/>
  <c r="EA10" i="34"/>
  <c r="EJ10" i="34"/>
  <c r="CY10" i="34"/>
  <c r="DG10" i="34"/>
  <c r="EG10" i="34"/>
  <c r="CV10" i="34"/>
  <c r="DD10" i="34"/>
  <c r="DL10" i="34"/>
  <c r="DT10" i="34"/>
  <c r="EB10" i="34"/>
  <c r="EH10" i="34"/>
  <c r="CW10" i="34"/>
  <c r="DE10" i="34"/>
  <c r="DM10" i="34"/>
  <c r="DU10" i="34"/>
  <c r="EC10" i="34"/>
  <c r="DO10" i="34"/>
  <c r="EI10" i="34"/>
  <c r="CX10" i="34"/>
  <c r="DF10" i="34"/>
  <c r="DN10" i="34"/>
  <c r="DV10" i="34"/>
  <c r="DW10" i="34"/>
  <c r="EK10" i="34"/>
  <c r="CZ10" i="34"/>
  <c r="DH10" i="34"/>
  <c r="DP10" i="34"/>
  <c r="DX10" i="34"/>
  <c r="DB10" i="34"/>
  <c r="DZ10" i="34"/>
  <c r="ED10" i="34"/>
  <c r="DA10" i="34"/>
  <c r="DI10" i="34"/>
  <c r="DQ10" i="34"/>
  <c r="DY10" i="34"/>
  <c r="EE10" i="34"/>
  <c r="CT10" i="34"/>
  <c r="DJ10" i="34"/>
  <c r="DR10" i="34"/>
  <c r="CR10" i="34"/>
  <c r="CS10" i="34"/>
  <c r="CQ10" i="34"/>
  <c r="CN10" i="34"/>
  <c r="CO10" i="34"/>
  <c r="CP10" i="34"/>
  <c r="CJ10" i="34"/>
  <c r="CK10" i="34"/>
  <c r="CL10" i="34"/>
  <c r="CM10" i="34"/>
  <c r="CH10" i="34"/>
  <c r="CI10" i="34"/>
  <c r="EB9" i="30"/>
  <c r="ED9" i="30"/>
  <c r="EE9" i="30"/>
  <c r="EG9" i="30"/>
  <c r="EH9" i="30"/>
  <c r="EI9" i="30"/>
  <c r="EJ9" i="30"/>
  <c r="EF9" i="30"/>
  <c r="EC9" i="30"/>
  <c r="DT8" i="15"/>
  <c r="DS8" i="15"/>
  <c r="DU8" i="15"/>
  <c r="DG8" i="101"/>
  <c r="DG11" i="101" s="1"/>
  <c r="DF8" i="101"/>
  <c r="DF11" i="101" s="1"/>
  <c r="DB9" i="101"/>
  <c r="DB12" i="101" s="1"/>
  <c r="DC9" i="101"/>
  <c r="DC12" i="101" s="1"/>
  <c r="DB8" i="101"/>
  <c r="DB11" i="101" s="1"/>
  <c r="DD9" i="101"/>
  <c r="DD12" i="101" s="1"/>
  <c r="DC8" i="101"/>
  <c r="DC11" i="101" s="1"/>
  <c r="DE9" i="101"/>
  <c r="DE12" i="101" s="1"/>
  <c r="DD8" i="101"/>
  <c r="DD11" i="101" s="1"/>
  <c r="DF9" i="101"/>
  <c r="DF12" i="101" s="1"/>
  <c r="DE8" i="101"/>
  <c r="DE11" i="101" s="1"/>
  <c r="DG9" i="101"/>
  <c r="DG12" i="101" s="1"/>
  <c r="CW8" i="114"/>
  <c r="CW11" i="114" s="1"/>
  <c r="CW14" i="114" s="1"/>
  <c r="CW20" i="114" s="1"/>
  <c r="EL116" i="22" s="1"/>
  <c r="DG8" i="114"/>
  <c r="DG11" i="114" s="1"/>
  <c r="DG14" i="114" s="1"/>
  <c r="DG20" i="114" s="1"/>
  <c r="EV116" i="22" s="1"/>
  <c r="DO8" i="114"/>
  <c r="DO11" i="114" s="1"/>
  <c r="DO14" i="114" s="1"/>
  <c r="DO20" i="114" s="1"/>
  <c r="FD116" i="22" s="1"/>
  <c r="DW8" i="114"/>
  <c r="DW11" i="114" s="1"/>
  <c r="DW14" i="114" s="1"/>
  <c r="DW20" i="114" s="1"/>
  <c r="EE8" i="114"/>
  <c r="EE11" i="114" s="1"/>
  <c r="EE14" i="114" s="1"/>
  <c r="EE20" i="114" s="1"/>
  <c r="EM8" i="114"/>
  <c r="EM11" i="114" s="1"/>
  <c r="EM14" i="114" s="1"/>
  <c r="EM20" i="114" s="1"/>
  <c r="EU8" i="114"/>
  <c r="EU11" i="114" s="1"/>
  <c r="EU14" i="114" s="1"/>
  <c r="EU20" i="114" s="1"/>
  <c r="FC8" i="114"/>
  <c r="FC11" i="114" s="1"/>
  <c r="FC14" i="114" s="1"/>
  <c r="FC20" i="114" s="1"/>
  <c r="FK8" i="114"/>
  <c r="FK11" i="114" s="1"/>
  <c r="FK14" i="114" s="1"/>
  <c r="FK20" i="114" s="1"/>
  <c r="FS8" i="114"/>
  <c r="FS11" i="114" s="1"/>
  <c r="FS14" i="114" s="1"/>
  <c r="FS20" i="114" s="1"/>
  <c r="GA8" i="114"/>
  <c r="GA11" i="114" s="1"/>
  <c r="GA14" i="114" s="1"/>
  <c r="GA20" i="114" s="1"/>
  <c r="GI8" i="114"/>
  <c r="GI11" i="114" s="1"/>
  <c r="GI14" i="114" s="1"/>
  <c r="GI20" i="114" s="1"/>
  <c r="CU8" i="114"/>
  <c r="CU11" i="114" s="1"/>
  <c r="CU14" i="114" s="1"/>
  <c r="CU20" i="114" s="1"/>
  <c r="EJ116" i="22" s="1"/>
  <c r="CX8" i="114"/>
  <c r="CX11" i="114" s="1"/>
  <c r="CX14" i="114" s="1"/>
  <c r="CX20" i="114" s="1"/>
  <c r="EM116" i="22" s="1"/>
  <c r="DH8" i="114"/>
  <c r="DH11" i="114" s="1"/>
  <c r="DH14" i="114" s="1"/>
  <c r="DH20" i="114" s="1"/>
  <c r="EW116" i="22" s="1"/>
  <c r="DP8" i="114"/>
  <c r="DP11" i="114" s="1"/>
  <c r="DP14" i="114" s="1"/>
  <c r="DP20" i="114" s="1"/>
  <c r="FE116" i="22" s="1"/>
  <c r="DX8" i="114"/>
  <c r="DX11" i="114" s="1"/>
  <c r="DX14" i="114" s="1"/>
  <c r="DX20" i="114" s="1"/>
  <c r="EF8" i="114"/>
  <c r="EF11" i="114" s="1"/>
  <c r="EF14" i="114" s="1"/>
  <c r="EF20" i="114" s="1"/>
  <c r="EN8" i="114"/>
  <c r="EN11" i="114" s="1"/>
  <c r="EN14" i="114" s="1"/>
  <c r="EN20" i="114" s="1"/>
  <c r="EV8" i="114"/>
  <c r="EV11" i="114" s="1"/>
  <c r="EV14" i="114" s="1"/>
  <c r="EV20" i="114" s="1"/>
  <c r="FD8" i="114"/>
  <c r="FD11" i="114" s="1"/>
  <c r="FD14" i="114" s="1"/>
  <c r="FD20" i="114" s="1"/>
  <c r="FL8" i="114"/>
  <c r="FL11" i="114" s="1"/>
  <c r="FL14" i="114" s="1"/>
  <c r="FL20" i="114" s="1"/>
  <c r="FT8" i="114"/>
  <c r="FT11" i="114" s="1"/>
  <c r="FT14" i="114" s="1"/>
  <c r="FT20" i="114" s="1"/>
  <c r="GB8" i="114"/>
  <c r="GB11" i="114" s="1"/>
  <c r="GB14" i="114" s="1"/>
  <c r="GB20" i="114" s="1"/>
  <c r="GJ8" i="114"/>
  <c r="GJ11" i="114" s="1"/>
  <c r="GJ14" i="114" s="1"/>
  <c r="GJ20" i="114" s="1"/>
  <c r="CV8" i="114"/>
  <c r="CV11" i="114" s="1"/>
  <c r="CV14" i="114" s="1"/>
  <c r="CV20" i="114" s="1"/>
  <c r="EK116" i="22" s="1"/>
  <c r="CY8" i="114"/>
  <c r="CY11" i="114" s="1"/>
  <c r="CY14" i="114" s="1"/>
  <c r="CY20" i="114" s="1"/>
  <c r="EN116" i="22" s="1"/>
  <c r="DA8" i="114"/>
  <c r="DA11" i="114" s="1"/>
  <c r="DA14" i="114" s="1"/>
  <c r="DA20" i="114" s="1"/>
  <c r="EP116" i="22" s="1"/>
  <c r="DI8" i="114"/>
  <c r="DI11" i="114" s="1"/>
  <c r="DI14" i="114" s="1"/>
  <c r="DI20" i="114" s="1"/>
  <c r="EX116" i="22" s="1"/>
  <c r="DQ8" i="114"/>
  <c r="DQ11" i="114" s="1"/>
  <c r="DQ14" i="114" s="1"/>
  <c r="DQ20" i="114" s="1"/>
  <c r="FF116" i="22" s="1"/>
  <c r="DY8" i="114"/>
  <c r="DY11" i="114" s="1"/>
  <c r="DY14" i="114" s="1"/>
  <c r="DY20" i="114" s="1"/>
  <c r="EG8" i="114"/>
  <c r="EG11" i="114" s="1"/>
  <c r="EG14" i="114" s="1"/>
  <c r="EG20" i="114" s="1"/>
  <c r="EO8" i="114"/>
  <c r="EO11" i="114" s="1"/>
  <c r="EO14" i="114" s="1"/>
  <c r="EO20" i="114" s="1"/>
  <c r="EW8" i="114"/>
  <c r="EW11" i="114" s="1"/>
  <c r="EW14" i="114" s="1"/>
  <c r="EW20" i="114" s="1"/>
  <c r="FE8" i="114"/>
  <c r="FE11" i="114" s="1"/>
  <c r="FE14" i="114" s="1"/>
  <c r="FE20" i="114" s="1"/>
  <c r="FM8" i="114"/>
  <c r="FM11" i="114" s="1"/>
  <c r="FM14" i="114" s="1"/>
  <c r="FM20" i="114" s="1"/>
  <c r="FU8" i="114"/>
  <c r="FU11" i="114" s="1"/>
  <c r="FU14" i="114" s="1"/>
  <c r="FU20" i="114" s="1"/>
  <c r="GC8" i="114"/>
  <c r="GC11" i="114" s="1"/>
  <c r="GC14" i="114" s="1"/>
  <c r="GC20" i="114" s="1"/>
  <c r="GK8" i="114"/>
  <c r="GK11" i="114" s="1"/>
  <c r="GK14" i="114" s="1"/>
  <c r="GK20" i="114" s="1"/>
  <c r="CZ8" i="114"/>
  <c r="CZ11" i="114" s="1"/>
  <c r="CZ14" i="114" s="1"/>
  <c r="CZ20" i="114" s="1"/>
  <c r="EO116" i="22" s="1"/>
  <c r="DB8" i="114"/>
  <c r="DB11" i="114" s="1"/>
  <c r="DB14" i="114" s="1"/>
  <c r="DB20" i="114" s="1"/>
  <c r="EQ116" i="22" s="1"/>
  <c r="DJ8" i="114"/>
  <c r="DJ11" i="114" s="1"/>
  <c r="DJ14" i="114" s="1"/>
  <c r="DJ20" i="114" s="1"/>
  <c r="EY116" i="22" s="1"/>
  <c r="DR8" i="114"/>
  <c r="DR11" i="114" s="1"/>
  <c r="DR14" i="114" s="1"/>
  <c r="DR20" i="114" s="1"/>
  <c r="FG116" i="22" s="1"/>
  <c r="DZ8" i="114"/>
  <c r="DZ11" i="114" s="1"/>
  <c r="DZ14" i="114" s="1"/>
  <c r="DZ20" i="114" s="1"/>
  <c r="EH8" i="114"/>
  <c r="EH11" i="114" s="1"/>
  <c r="EH14" i="114" s="1"/>
  <c r="EH20" i="114" s="1"/>
  <c r="EP8" i="114"/>
  <c r="EP11" i="114" s="1"/>
  <c r="EP14" i="114" s="1"/>
  <c r="EP20" i="114" s="1"/>
  <c r="EX8" i="114"/>
  <c r="EX11" i="114" s="1"/>
  <c r="EX14" i="114" s="1"/>
  <c r="EX20" i="114" s="1"/>
  <c r="FF8" i="114"/>
  <c r="FF11" i="114" s="1"/>
  <c r="FF14" i="114" s="1"/>
  <c r="FF20" i="114" s="1"/>
  <c r="FN8" i="114"/>
  <c r="FN11" i="114" s="1"/>
  <c r="FN14" i="114" s="1"/>
  <c r="FN20" i="114" s="1"/>
  <c r="FV8" i="114"/>
  <c r="FV11" i="114" s="1"/>
  <c r="FV14" i="114" s="1"/>
  <c r="FV20" i="114" s="1"/>
  <c r="GD8" i="114"/>
  <c r="GD11" i="114" s="1"/>
  <c r="GD14" i="114" s="1"/>
  <c r="GD20" i="114" s="1"/>
  <c r="GL8" i="114"/>
  <c r="GL11" i="114" s="1"/>
  <c r="GL14" i="114" s="1"/>
  <c r="GL20" i="114" s="1"/>
  <c r="DC8" i="114"/>
  <c r="DC11" i="114" s="1"/>
  <c r="DC14" i="114" s="1"/>
  <c r="DC20" i="114" s="1"/>
  <c r="ER116" i="22" s="1"/>
  <c r="DK8" i="114"/>
  <c r="DK11" i="114" s="1"/>
  <c r="DK14" i="114" s="1"/>
  <c r="DK20" i="114" s="1"/>
  <c r="EZ116" i="22" s="1"/>
  <c r="DS8" i="114"/>
  <c r="DS11" i="114" s="1"/>
  <c r="DS14" i="114" s="1"/>
  <c r="DS20" i="114" s="1"/>
  <c r="FH116" i="22" s="1"/>
  <c r="EA8" i="114"/>
  <c r="EA11" i="114" s="1"/>
  <c r="EA14" i="114" s="1"/>
  <c r="EA20" i="114" s="1"/>
  <c r="EI8" i="114"/>
  <c r="EI11" i="114" s="1"/>
  <c r="EI14" i="114" s="1"/>
  <c r="EI20" i="114" s="1"/>
  <c r="EQ8" i="114"/>
  <c r="EQ11" i="114" s="1"/>
  <c r="EQ14" i="114" s="1"/>
  <c r="EQ20" i="114" s="1"/>
  <c r="EY8" i="114"/>
  <c r="EY11" i="114" s="1"/>
  <c r="EY14" i="114" s="1"/>
  <c r="EY20" i="114" s="1"/>
  <c r="FG8" i="114"/>
  <c r="FG11" i="114" s="1"/>
  <c r="FG14" i="114" s="1"/>
  <c r="FG20" i="114" s="1"/>
  <c r="FO8" i="114"/>
  <c r="FO11" i="114" s="1"/>
  <c r="FO14" i="114" s="1"/>
  <c r="FO20" i="114" s="1"/>
  <c r="FW8" i="114"/>
  <c r="FW11" i="114" s="1"/>
  <c r="FW14" i="114" s="1"/>
  <c r="FW20" i="114" s="1"/>
  <c r="GE8" i="114"/>
  <c r="GE11" i="114" s="1"/>
  <c r="GE14" i="114" s="1"/>
  <c r="GE20" i="114" s="1"/>
  <c r="GM8" i="114"/>
  <c r="GM11" i="114" s="1"/>
  <c r="GM14" i="114" s="1"/>
  <c r="GM20" i="114" s="1"/>
  <c r="CR8" i="114"/>
  <c r="CR11" i="114" s="1"/>
  <c r="CR14" i="114" s="1"/>
  <c r="CR20" i="114" s="1"/>
  <c r="EG116" i="22" s="1"/>
  <c r="DD8" i="114"/>
  <c r="DD11" i="114" s="1"/>
  <c r="DD14" i="114" s="1"/>
  <c r="DD20" i="114" s="1"/>
  <c r="ES116" i="22" s="1"/>
  <c r="DL8" i="114"/>
  <c r="DL11" i="114" s="1"/>
  <c r="DL14" i="114" s="1"/>
  <c r="DL20" i="114" s="1"/>
  <c r="FA116" i="22" s="1"/>
  <c r="DT8" i="114"/>
  <c r="DT11" i="114" s="1"/>
  <c r="DT14" i="114" s="1"/>
  <c r="DT20" i="114" s="1"/>
  <c r="EB8" i="114"/>
  <c r="EB11" i="114" s="1"/>
  <c r="EB14" i="114" s="1"/>
  <c r="EB20" i="114" s="1"/>
  <c r="EJ8" i="114"/>
  <c r="EJ11" i="114" s="1"/>
  <c r="EJ14" i="114" s="1"/>
  <c r="EJ20" i="114" s="1"/>
  <c r="ER8" i="114"/>
  <c r="ER11" i="114" s="1"/>
  <c r="ER14" i="114" s="1"/>
  <c r="ER20" i="114" s="1"/>
  <c r="EZ8" i="114"/>
  <c r="EZ11" i="114" s="1"/>
  <c r="EZ14" i="114" s="1"/>
  <c r="EZ20" i="114" s="1"/>
  <c r="FH8" i="114"/>
  <c r="FH11" i="114" s="1"/>
  <c r="FH14" i="114" s="1"/>
  <c r="FH20" i="114" s="1"/>
  <c r="FP8" i="114"/>
  <c r="FP11" i="114" s="1"/>
  <c r="FP14" i="114" s="1"/>
  <c r="FP20" i="114" s="1"/>
  <c r="FX8" i="114"/>
  <c r="FX11" i="114" s="1"/>
  <c r="FX14" i="114" s="1"/>
  <c r="FX20" i="114" s="1"/>
  <c r="GF8" i="114"/>
  <c r="GF11" i="114" s="1"/>
  <c r="GF14" i="114" s="1"/>
  <c r="GF20" i="114" s="1"/>
  <c r="GN8" i="114"/>
  <c r="GN11" i="114" s="1"/>
  <c r="GN14" i="114" s="1"/>
  <c r="GN20" i="114" s="1"/>
  <c r="DE8" i="114"/>
  <c r="DE11" i="114" s="1"/>
  <c r="DE14" i="114" s="1"/>
  <c r="DE20" i="114" s="1"/>
  <c r="ET116" i="22" s="1"/>
  <c r="DM8" i="114"/>
  <c r="DM11" i="114" s="1"/>
  <c r="DM14" i="114" s="1"/>
  <c r="DM20" i="114" s="1"/>
  <c r="FB116" i="22" s="1"/>
  <c r="DU8" i="114"/>
  <c r="DU11" i="114" s="1"/>
  <c r="DU14" i="114" s="1"/>
  <c r="DU20" i="114" s="1"/>
  <c r="EC8" i="114"/>
  <c r="EC11" i="114" s="1"/>
  <c r="EC14" i="114" s="1"/>
  <c r="EC20" i="114" s="1"/>
  <c r="EK8" i="114"/>
  <c r="EK11" i="114" s="1"/>
  <c r="EK14" i="114" s="1"/>
  <c r="EK20" i="114" s="1"/>
  <c r="ES8" i="114"/>
  <c r="ES11" i="114" s="1"/>
  <c r="ES14" i="114" s="1"/>
  <c r="ES20" i="114" s="1"/>
  <c r="FA8" i="114"/>
  <c r="FA11" i="114" s="1"/>
  <c r="FA14" i="114" s="1"/>
  <c r="FA20" i="114" s="1"/>
  <c r="FI8" i="114"/>
  <c r="FI11" i="114" s="1"/>
  <c r="FI14" i="114" s="1"/>
  <c r="FI20" i="114" s="1"/>
  <c r="FQ8" i="114"/>
  <c r="FQ11" i="114" s="1"/>
  <c r="FQ14" i="114" s="1"/>
  <c r="FQ20" i="114" s="1"/>
  <c r="FY8" i="114"/>
  <c r="FY11" i="114" s="1"/>
  <c r="FY14" i="114" s="1"/>
  <c r="FY20" i="114" s="1"/>
  <c r="GG8" i="114"/>
  <c r="GG11" i="114" s="1"/>
  <c r="GG14" i="114" s="1"/>
  <c r="GG20" i="114" s="1"/>
  <c r="GO8" i="114"/>
  <c r="GO11" i="114" s="1"/>
  <c r="GO14" i="114" s="1"/>
  <c r="GO20" i="114" s="1"/>
  <c r="CS8" i="114"/>
  <c r="CS11" i="114" s="1"/>
  <c r="CS14" i="114" s="1"/>
  <c r="CS20" i="114" s="1"/>
  <c r="EH116" i="22" s="1"/>
  <c r="DF8" i="114"/>
  <c r="DF11" i="114" s="1"/>
  <c r="DF14" i="114" s="1"/>
  <c r="DF20" i="114" s="1"/>
  <c r="EU116" i="22" s="1"/>
  <c r="DN8" i="114"/>
  <c r="DN11" i="114" s="1"/>
  <c r="DN14" i="114" s="1"/>
  <c r="DN20" i="114" s="1"/>
  <c r="FC116" i="22" s="1"/>
  <c r="DV8" i="114"/>
  <c r="DV11" i="114" s="1"/>
  <c r="DV14" i="114" s="1"/>
  <c r="DV20" i="114" s="1"/>
  <c r="ED8" i="114"/>
  <c r="ED11" i="114" s="1"/>
  <c r="ED14" i="114" s="1"/>
  <c r="ED20" i="114" s="1"/>
  <c r="EL8" i="114"/>
  <c r="EL11" i="114" s="1"/>
  <c r="EL14" i="114" s="1"/>
  <c r="EL20" i="114" s="1"/>
  <c r="ET8" i="114"/>
  <c r="ET11" i="114" s="1"/>
  <c r="ET14" i="114" s="1"/>
  <c r="ET20" i="114" s="1"/>
  <c r="FB8" i="114"/>
  <c r="FB11" i="114" s="1"/>
  <c r="FB14" i="114" s="1"/>
  <c r="FB20" i="114" s="1"/>
  <c r="FJ8" i="114"/>
  <c r="FJ11" i="114" s="1"/>
  <c r="FJ14" i="114" s="1"/>
  <c r="FJ20" i="114" s="1"/>
  <c r="FR8" i="114"/>
  <c r="FR11" i="114" s="1"/>
  <c r="FR14" i="114" s="1"/>
  <c r="FR20" i="114" s="1"/>
  <c r="FZ8" i="114"/>
  <c r="FZ11" i="114" s="1"/>
  <c r="FZ14" i="114" s="1"/>
  <c r="FZ20" i="114" s="1"/>
  <c r="GH8" i="114"/>
  <c r="GH11" i="114" s="1"/>
  <c r="GH14" i="114" s="1"/>
  <c r="GH20" i="114" s="1"/>
  <c r="GP8" i="114"/>
  <c r="GP11" i="114" s="1"/>
  <c r="GP14" i="114" s="1"/>
  <c r="GP20" i="114" s="1"/>
  <c r="CT8" i="114"/>
  <c r="CT11" i="114" s="1"/>
  <c r="CT14" i="114" s="1"/>
  <c r="CT20" i="114" s="1"/>
  <c r="EI116" i="22" s="1"/>
  <c r="Y8" i="116"/>
  <c r="Y13" i="116" s="1"/>
  <c r="AG8" i="116"/>
  <c r="AG13" i="116" s="1"/>
  <c r="AO8" i="116"/>
  <c r="AO13" i="116" s="1"/>
  <c r="AW8" i="116"/>
  <c r="AW13" i="116" s="1"/>
  <c r="BE8" i="116"/>
  <c r="BE13" i="116" s="1"/>
  <c r="BM8" i="116"/>
  <c r="BM13" i="116" s="1"/>
  <c r="BU8" i="116"/>
  <c r="BU13" i="116" s="1"/>
  <c r="CC8" i="116"/>
  <c r="CC13" i="116" s="1"/>
  <c r="CK8" i="116"/>
  <c r="CK13" i="116" s="1"/>
  <c r="CS8" i="116"/>
  <c r="CS13" i="116" s="1"/>
  <c r="DA8" i="116"/>
  <c r="DA13" i="116" s="1"/>
  <c r="DI8" i="116"/>
  <c r="DI13" i="116" s="1"/>
  <c r="DQ8" i="116"/>
  <c r="DQ13" i="116" s="1"/>
  <c r="DY8" i="116"/>
  <c r="DY13" i="116" s="1"/>
  <c r="EG8" i="116"/>
  <c r="EG13" i="116" s="1"/>
  <c r="EO8" i="116"/>
  <c r="EO13" i="116" s="1"/>
  <c r="EW8" i="116"/>
  <c r="EW13" i="116" s="1"/>
  <c r="FE8" i="116"/>
  <c r="FE13" i="116" s="1"/>
  <c r="Z8" i="116"/>
  <c r="Z13" i="116" s="1"/>
  <c r="AH8" i="116"/>
  <c r="AH13" i="116" s="1"/>
  <c r="AP8" i="116"/>
  <c r="AP13" i="116" s="1"/>
  <c r="AX8" i="116"/>
  <c r="AX13" i="116" s="1"/>
  <c r="BF8" i="116"/>
  <c r="BF13" i="116" s="1"/>
  <c r="BN8" i="116"/>
  <c r="BN13" i="116" s="1"/>
  <c r="BV8" i="116"/>
  <c r="BV13" i="116" s="1"/>
  <c r="CD8" i="116"/>
  <c r="CD13" i="116" s="1"/>
  <c r="CL8" i="116"/>
  <c r="CL13" i="116" s="1"/>
  <c r="CT8" i="116"/>
  <c r="CT13" i="116" s="1"/>
  <c r="DB8" i="116"/>
  <c r="DB13" i="116" s="1"/>
  <c r="DJ8" i="116"/>
  <c r="DJ13" i="116" s="1"/>
  <c r="DR8" i="116"/>
  <c r="DR13" i="116" s="1"/>
  <c r="DZ8" i="116"/>
  <c r="DZ13" i="116" s="1"/>
  <c r="EH8" i="116"/>
  <c r="EH13" i="116" s="1"/>
  <c r="EP8" i="116"/>
  <c r="EP13" i="116" s="1"/>
  <c r="EX8" i="116"/>
  <c r="EX13" i="116" s="1"/>
  <c r="FF8" i="116"/>
  <c r="FF13" i="116" s="1"/>
  <c r="AB8" i="116"/>
  <c r="AB13" i="116" s="1"/>
  <c r="AJ8" i="116"/>
  <c r="AJ13" i="116" s="1"/>
  <c r="AR8" i="116"/>
  <c r="AR13" i="116" s="1"/>
  <c r="AZ8" i="116"/>
  <c r="AZ13" i="116" s="1"/>
  <c r="BH8" i="116"/>
  <c r="BH13" i="116" s="1"/>
  <c r="BP8" i="116"/>
  <c r="BP13" i="116" s="1"/>
  <c r="BX8" i="116"/>
  <c r="BX13" i="116" s="1"/>
  <c r="CF8" i="116"/>
  <c r="CF13" i="116" s="1"/>
  <c r="CN8" i="116"/>
  <c r="CN13" i="116" s="1"/>
  <c r="CV8" i="116"/>
  <c r="CV13" i="116" s="1"/>
  <c r="DD8" i="116"/>
  <c r="DD13" i="116" s="1"/>
  <c r="DL8" i="116"/>
  <c r="DL13" i="116" s="1"/>
  <c r="DT8" i="116"/>
  <c r="DT13" i="116" s="1"/>
  <c r="EB8" i="116"/>
  <c r="EB13" i="116" s="1"/>
  <c r="EJ8" i="116"/>
  <c r="EJ13" i="116" s="1"/>
  <c r="ER8" i="116"/>
  <c r="ER13" i="116" s="1"/>
  <c r="EZ8" i="116"/>
  <c r="EZ13" i="116" s="1"/>
  <c r="FH8" i="116"/>
  <c r="FH13" i="116" s="1"/>
  <c r="U8" i="116"/>
  <c r="U13" i="116" s="1"/>
  <c r="AC8" i="116"/>
  <c r="AC13" i="116" s="1"/>
  <c r="AK8" i="116"/>
  <c r="AK13" i="116" s="1"/>
  <c r="AS8" i="116"/>
  <c r="AS13" i="116" s="1"/>
  <c r="BA8" i="116"/>
  <c r="BA13" i="116" s="1"/>
  <c r="BI8" i="116"/>
  <c r="BI13" i="116" s="1"/>
  <c r="BQ8" i="116"/>
  <c r="BQ13" i="116" s="1"/>
  <c r="BY8" i="116"/>
  <c r="BY13" i="116" s="1"/>
  <c r="CG8" i="116"/>
  <c r="CG13" i="116" s="1"/>
  <c r="CO8" i="116"/>
  <c r="CO13" i="116" s="1"/>
  <c r="CW8" i="116"/>
  <c r="CW13" i="116" s="1"/>
  <c r="DE8" i="116"/>
  <c r="DE13" i="116" s="1"/>
  <c r="DM8" i="116"/>
  <c r="DM13" i="116" s="1"/>
  <c r="DU8" i="116"/>
  <c r="DU13" i="116" s="1"/>
  <c r="EC8" i="116"/>
  <c r="EC13" i="116" s="1"/>
  <c r="EK8" i="116"/>
  <c r="EK13" i="116" s="1"/>
  <c r="ES8" i="116"/>
  <c r="ES13" i="116" s="1"/>
  <c r="FA8" i="116"/>
  <c r="FA13" i="116" s="1"/>
  <c r="FI8" i="116"/>
  <c r="FI13" i="116" s="1"/>
  <c r="V8" i="116"/>
  <c r="V13" i="116" s="1"/>
  <c r="AD8" i="116"/>
  <c r="AD13" i="116" s="1"/>
  <c r="AL8" i="116"/>
  <c r="AL13" i="116" s="1"/>
  <c r="AT8" i="116"/>
  <c r="AT13" i="116" s="1"/>
  <c r="BB8" i="116"/>
  <c r="BB13" i="116" s="1"/>
  <c r="BJ8" i="116"/>
  <c r="BJ13" i="116" s="1"/>
  <c r="BR8" i="116"/>
  <c r="BR13" i="116" s="1"/>
  <c r="BZ8" i="116"/>
  <c r="BZ13" i="116" s="1"/>
  <c r="CH8" i="116"/>
  <c r="CH13" i="116" s="1"/>
  <c r="CP8" i="116"/>
  <c r="CP13" i="116" s="1"/>
  <c r="CX8" i="116"/>
  <c r="CX13" i="116" s="1"/>
  <c r="DF8" i="116"/>
  <c r="DF13" i="116" s="1"/>
  <c r="DN8" i="116"/>
  <c r="DN13" i="116" s="1"/>
  <c r="DV8" i="116"/>
  <c r="DV13" i="116" s="1"/>
  <c r="ED8" i="116"/>
  <c r="ED13" i="116" s="1"/>
  <c r="EL8" i="116"/>
  <c r="EL13" i="116" s="1"/>
  <c r="ET8" i="116"/>
  <c r="ET13" i="116" s="1"/>
  <c r="FB8" i="116"/>
  <c r="FB13" i="116" s="1"/>
  <c r="FJ8" i="116"/>
  <c r="FJ13" i="116" s="1"/>
  <c r="AF8" i="116"/>
  <c r="AF13" i="116" s="1"/>
  <c r="BC8" i="116"/>
  <c r="BC13" i="116" s="1"/>
  <c r="BW8" i="116"/>
  <c r="BW13" i="116" s="1"/>
  <c r="CR8" i="116"/>
  <c r="CR13" i="116" s="1"/>
  <c r="DO8" i="116"/>
  <c r="DO13" i="116" s="1"/>
  <c r="EI8" i="116"/>
  <c r="EI13" i="116" s="1"/>
  <c r="FD8" i="116"/>
  <c r="FD13" i="116" s="1"/>
  <c r="P8" i="116"/>
  <c r="P13" i="116" s="1"/>
  <c r="AI8" i="116"/>
  <c r="AI13" i="116" s="1"/>
  <c r="BD8" i="116"/>
  <c r="BD13" i="116" s="1"/>
  <c r="CA8" i="116"/>
  <c r="CA13" i="116" s="1"/>
  <c r="CU8" i="116"/>
  <c r="CU13" i="116" s="1"/>
  <c r="DP8" i="116"/>
  <c r="DP13" i="116" s="1"/>
  <c r="EM8" i="116"/>
  <c r="EM13" i="116" s="1"/>
  <c r="FG8" i="116"/>
  <c r="FG13" i="116" s="1"/>
  <c r="Q8" i="116"/>
  <c r="Q13" i="116" s="1"/>
  <c r="AM8" i="116"/>
  <c r="AM13" i="116" s="1"/>
  <c r="BG8" i="116"/>
  <c r="BG13" i="116" s="1"/>
  <c r="CB8" i="116"/>
  <c r="CB13" i="116" s="1"/>
  <c r="CY8" i="116"/>
  <c r="CY13" i="116" s="1"/>
  <c r="DS8" i="116"/>
  <c r="DS13" i="116" s="1"/>
  <c r="EN8" i="116"/>
  <c r="EN13" i="116" s="1"/>
  <c r="FK8" i="116"/>
  <c r="FK13" i="116" s="1"/>
  <c r="FK18" i="116" s="1"/>
  <c r="R8" i="116"/>
  <c r="R13" i="116" s="1"/>
  <c r="J8" i="116"/>
  <c r="J13" i="116" s="1"/>
  <c r="I8" i="116"/>
  <c r="AN8" i="116"/>
  <c r="AN13" i="116" s="1"/>
  <c r="BK8" i="116"/>
  <c r="BK13" i="116" s="1"/>
  <c r="CE8" i="116"/>
  <c r="CE13" i="116" s="1"/>
  <c r="CZ8" i="116"/>
  <c r="CZ13" i="116" s="1"/>
  <c r="DW8" i="116"/>
  <c r="DW13" i="116" s="1"/>
  <c r="EQ8" i="116"/>
  <c r="EQ13" i="116" s="1"/>
  <c r="FL8" i="116"/>
  <c r="FL13" i="116" s="1"/>
  <c r="FL18" i="116" s="1"/>
  <c r="S8" i="116"/>
  <c r="S13" i="116" s="1"/>
  <c r="K8" i="116"/>
  <c r="K13" i="116" s="1"/>
  <c r="W8" i="116"/>
  <c r="W13" i="116" s="1"/>
  <c r="AQ8" i="116"/>
  <c r="AQ13" i="116" s="1"/>
  <c r="BL8" i="116"/>
  <c r="BL13" i="116" s="1"/>
  <c r="CI8" i="116"/>
  <c r="CI13" i="116" s="1"/>
  <c r="DC8" i="116"/>
  <c r="DC13" i="116" s="1"/>
  <c r="DX8" i="116"/>
  <c r="DX13" i="116" s="1"/>
  <c r="EU8" i="116"/>
  <c r="EU13" i="116" s="1"/>
  <c r="T8" i="116"/>
  <c r="T13" i="116" s="1"/>
  <c r="L8" i="116"/>
  <c r="L13" i="116" s="1"/>
  <c r="X8" i="116"/>
  <c r="X13" i="116" s="1"/>
  <c r="AU8" i="116"/>
  <c r="AU13" i="116" s="1"/>
  <c r="BO8" i="116"/>
  <c r="BO13" i="116" s="1"/>
  <c r="CJ8" i="116"/>
  <c r="CJ13" i="116" s="1"/>
  <c r="DG8" i="116"/>
  <c r="DG13" i="116" s="1"/>
  <c r="EA8" i="116"/>
  <c r="EA13" i="116" s="1"/>
  <c r="EV8" i="116"/>
  <c r="EV13" i="116" s="1"/>
  <c r="M8" i="116"/>
  <c r="M13" i="116" s="1"/>
  <c r="AA8" i="116"/>
  <c r="AA13" i="116" s="1"/>
  <c r="AV8" i="116"/>
  <c r="AV13" i="116" s="1"/>
  <c r="BS8" i="116"/>
  <c r="BS13" i="116" s="1"/>
  <c r="CM8" i="116"/>
  <c r="CM13" i="116" s="1"/>
  <c r="DH8" i="116"/>
  <c r="DH13" i="116" s="1"/>
  <c r="EE8" i="116"/>
  <c r="EE13" i="116" s="1"/>
  <c r="EY8" i="116"/>
  <c r="EY13" i="116" s="1"/>
  <c r="N8" i="116"/>
  <c r="N13" i="116" s="1"/>
  <c r="AE8" i="116"/>
  <c r="AE13" i="116" s="1"/>
  <c r="AY8" i="116"/>
  <c r="AY13" i="116" s="1"/>
  <c r="BT8" i="116"/>
  <c r="BT13" i="116" s="1"/>
  <c r="CQ8" i="116"/>
  <c r="CQ13" i="116" s="1"/>
  <c r="DK8" i="116"/>
  <c r="DK13" i="116" s="1"/>
  <c r="EF8" i="116"/>
  <c r="EF13" i="116" s="1"/>
  <c r="FC8" i="116"/>
  <c r="FC13" i="116" s="1"/>
  <c r="O8" i="116"/>
  <c r="O13" i="116" s="1"/>
  <c r="CX8" i="117"/>
  <c r="CX13" i="117" s="1"/>
  <c r="DF8" i="117"/>
  <c r="DF13" i="117" s="1"/>
  <c r="DN8" i="117"/>
  <c r="DN13" i="117" s="1"/>
  <c r="DV8" i="117"/>
  <c r="DV13" i="117" s="1"/>
  <c r="ED8" i="117"/>
  <c r="ED13" i="117" s="1"/>
  <c r="ED18" i="117" s="1"/>
  <c r="ED24" i="117" s="1"/>
  <c r="EL8" i="117"/>
  <c r="EL13" i="117" s="1"/>
  <c r="EL18" i="117" s="1"/>
  <c r="EL24" i="117" s="1"/>
  <c r="CU9" i="117"/>
  <c r="CU14" i="117" s="1"/>
  <c r="DC9" i="117"/>
  <c r="DC14" i="117" s="1"/>
  <c r="DK9" i="117"/>
  <c r="DK14" i="117" s="1"/>
  <c r="DS9" i="117"/>
  <c r="DS14" i="117" s="1"/>
  <c r="EA9" i="117"/>
  <c r="EA14" i="117" s="1"/>
  <c r="EI9" i="117"/>
  <c r="EI14" i="117" s="1"/>
  <c r="EQ9" i="117"/>
  <c r="EQ14" i="117" s="1"/>
  <c r="CS9" i="117"/>
  <c r="CS14" i="117" s="1"/>
  <c r="BV9" i="117"/>
  <c r="BV14" i="117" s="1"/>
  <c r="CD9" i="117"/>
  <c r="CD14" i="117" s="1"/>
  <c r="L9" i="117"/>
  <c r="L14" i="117" s="1"/>
  <c r="T9" i="117"/>
  <c r="T14" i="117" s="1"/>
  <c r="AB9" i="117"/>
  <c r="AB14" i="117" s="1"/>
  <c r="AJ9" i="117"/>
  <c r="AJ14" i="117" s="1"/>
  <c r="AR9" i="117"/>
  <c r="AR14" i="117" s="1"/>
  <c r="AZ9" i="117"/>
  <c r="AZ14" i="117" s="1"/>
  <c r="BH9" i="117"/>
  <c r="BH14" i="117" s="1"/>
  <c r="BP9" i="117"/>
  <c r="BP14" i="117" s="1"/>
  <c r="CY8" i="117"/>
  <c r="CY13" i="117" s="1"/>
  <c r="DG8" i="117"/>
  <c r="DG13" i="117" s="1"/>
  <c r="DO8" i="117"/>
  <c r="DO13" i="117" s="1"/>
  <c r="DW8" i="117"/>
  <c r="DW13" i="117" s="1"/>
  <c r="DW18" i="117" s="1"/>
  <c r="DW24" i="117" s="1"/>
  <c r="EE8" i="117"/>
  <c r="EE13" i="117" s="1"/>
  <c r="EE18" i="117" s="1"/>
  <c r="EE24" i="117" s="1"/>
  <c r="EM8" i="117"/>
  <c r="EM13" i="117" s="1"/>
  <c r="EM18" i="117" s="1"/>
  <c r="EM24" i="117" s="1"/>
  <c r="CV9" i="117"/>
  <c r="CV14" i="117" s="1"/>
  <c r="DD9" i="117"/>
  <c r="DD14" i="117" s="1"/>
  <c r="DL9" i="117"/>
  <c r="DL14" i="117" s="1"/>
  <c r="DT9" i="117"/>
  <c r="DT14" i="117" s="1"/>
  <c r="EB9" i="117"/>
  <c r="EB14" i="117" s="1"/>
  <c r="EJ9" i="117"/>
  <c r="EJ14" i="117" s="1"/>
  <c r="ER9" i="117"/>
  <c r="ER14" i="117" s="1"/>
  <c r="CZ8" i="117"/>
  <c r="CZ13" i="117" s="1"/>
  <c r="DH8" i="117"/>
  <c r="DH13" i="117" s="1"/>
  <c r="DP8" i="117"/>
  <c r="DP13" i="117" s="1"/>
  <c r="DX8" i="117"/>
  <c r="DX13" i="117" s="1"/>
  <c r="DX18" i="117" s="1"/>
  <c r="DX24" i="117" s="1"/>
  <c r="EF8" i="117"/>
  <c r="EF13" i="117" s="1"/>
  <c r="EF18" i="117" s="1"/>
  <c r="EF24" i="117" s="1"/>
  <c r="EN8" i="117"/>
  <c r="EN13" i="117" s="1"/>
  <c r="EN18" i="117" s="1"/>
  <c r="EN24" i="117" s="1"/>
  <c r="CW9" i="117"/>
  <c r="CW14" i="117" s="1"/>
  <c r="DE9" i="117"/>
  <c r="DE14" i="117" s="1"/>
  <c r="DM9" i="117"/>
  <c r="DM14" i="117" s="1"/>
  <c r="DU9" i="117"/>
  <c r="DU14" i="117" s="1"/>
  <c r="EC9" i="117"/>
  <c r="EC14" i="117" s="1"/>
  <c r="EK9" i="117"/>
  <c r="EK14" i="117" s="1"/>
  <c r="ES9" i="117"/>
  <c r="ES14" i="117" s="1"/>
  <c r="CM9" i="117"/>
  <c r="CM14" i="117" s="1"/>
  <c r="BX9" i="117"/>
  <c r="BX14" i="117" s="1"/>
  <c r="CF9" i="117"/>
  <c r="CF14" i="117" s="1"/>
  <c r="N9" i="117"/>
  <c r="N14" i="117" s="1"/>
  <c r="V9" i="117"/>
  <c r="V14" i="117" s="1"/>
  <c r="AD9" i="117"/>
  <c r="AD14" i="117" s="1"/>
  <c r="AL9" i="117"/>
  <c r="AL14" i="117" s="1"/>
  <c r="AT9" i="117"/>
  <c r="AT14" i="117" s="1"/>
  <c r="BB9" i="117"/>
  <c r="BB14" i="117" s="1"/>
  <c r="BJ9" i="117"/>
  <c r="BJ14" i="117" s="1"/>
  <c r="BR9" i="117"/>
  <c r="BR14" i="117" s="1"/>
  <c r="DA8" i="117"/>
  <c r="DA13" i="117" s="1"/>
  <c r="DI8" i="117"/>
  <c r="DI13" i="117" s="1"/>
  <c r="DQ8" i="117"/>
  <c r="DQ13" i="117" s="1"/>
  <c r="DY8" i="117"/>
  <c r="DY13" i="117" s="1"/>
  <c r="DY18" i="117" s="1"/>
  <c r="DY24" i="117" s="1"/>
  <c r="EG8" i="117"/>
  <c r="EG13" i="117" s="1"/>
  <c r="EG18" i="117" s="1"/>
  <c r="EG24" i="117" s="1"/>
  <c r="EO8" i="117"/>
  <c r="EO13" i="117" s="1"/>
  <c r="EO18" i="117" s="1"/>
  <c r="EO24" i="117" s="1"/>
  <c r="CX9" i="117"/>
  <c r="CX14" i="117" s="1"/>
  <c r="DF9" i="117"/>
  <c r="DF14" i="117" s="1"/>
  <c r="DN9" i="117"/>
  <c r="DN14" i="117" s="1"/>
  <c r="DV9" i="117"/>
  <c r="DV14" i="117" s="1"/>
  <c r="ED9" i="117"/>
  <c r="ED14" i="117" s="1"/>
  <c r="EL9" i="117"/>
  <c r="EL14" i="117" s="1"/>
  <c r="CR8" i="117"/>
  <c r="CR13" i="117" s="1"/>
  <c r="CN9" i="117"/>
  <c r="CN14" i="117" s="1"/>
  <c r="BY9" i="117"/>
  <c r="BY14" i="117" s="1"/>
  <c r="CG9" i="117"/>
  <c r="CG14" i="117" s="1"/>
  <c r="O9" i="117"/>
  <c r="O14" i="117" s="1"/>
  <c r="W9" i="117"/>
  <c r="W14" i="117" s="1"/>
  <c r="AE9" i="117"/>
  <c r="AE14" i="117" s="1"/>
  <c r="AM9" i="117"/>
  <c r="AM14" i="117" s="1"/>
  <c r="AU9" i="117"/>
  <c r="AU14" i="117" s="1"/>
  <c r="BC9" i="117"/>
  <c r="BC14" i="117" s="1"/>
  <c r="BK9" i="117"/>
  <c r="BK14" i="117" s="1"/>
  <c r="BS9" i="117"/>
  <c r="BS14" i="117" s="1"/>
  <c r="DB8" i="117"/>
  <c r="DB13" i="117" s="1"/>
  <c r="DJ8" i="117"/>
  <c r="DJ13" i="117" s="1"/>
  <c r="DR8" i="117"/>
  <c r="DR13" i="117" s="1"/>
  <c r="DZ8" i="117"/>
  <c r="DZ13" i="117" s="1"/>
  <c r="DZ18" i="117" s="1"/>
  <c r="DZ24" i="117" s="1"/>
  <c r="EH8" i="117"/>
  <c r="EH13" i="117" s="1"/>
  <c r="EH18" i="117" s="1"/>
  <c r="EH24" i="117" s="1"/>
  <c r="EP8" i="117"/>
  <c r="EP13" i="117" s="1"/>
  <c r="EP18" i="117" s="1"/>
  <c r="EP24" i="117" s="1"/>
  <c r="CY9" i="117"/>
  <c r="CY14" i="117" s="1"/>
  <c r="DG9" i="117"/>
  <c r="DG14" i="117" s="1"/>
  <c r="DO9" i="117"/>
  <c r="DO14" i="117" s="1"/>
  <c r="DW9" i="117"/>
  <c r="DW14" i="117" s="1"/>
  <c r="EE9" i="117"/>
  <c r="EE14" i="117" s="1"/>
  <c r="EM9" i="117"/>
  <c r="EM14" i="117" s="1"/>
  <c r="CO9" i="117"/>
  <c r="CO14" i="117" s="1"/>
  <c r="BZ9" i="117"/>
  <c r="BZ14" i="117" s="1"/>
  <c r="CH9" i="117"/>
  <c r="CH14" i="117" s="1"/>
  <c r="P9" i="117"/>
  <c r="P14" i="117" s="1"/>
  <c r="X9" i="117"/>
  <c r="X14" i="117" s="1"/>
  <c r="AF9" i="117"/>
  <c r="AF14" i="117" s="1"/>
  <c r="AN9" i="117"/>
  <c r="AN14" i="117" s="1"/>
  <c r="AV9" i="117"/>
  <c r="AV14" i="117" s="1"/>
  <c r="BD9" i="117"/>
  <c r="BD14" i="117" s="1"/>
  <c r="BL9" i="117"/>
  <c r="BL14" i="117" s="1"/>
  <c r="BT9" i="117"/>
  <c r="BT14" i="117" s="1"/>
  <c r="CU8" i="117"/>
  <c r="CU13" i="117" s="1"/>
  <c r="DC8" i="117"/>
  <c r="DC13" i="117" s="1"/>
  <c r="DK8" i="117"/>
  <c r="DK13" i="117" s="1"/>
  <c r="DS8" i="117"/>
  <c r="DS13" i="117" s="1"/>
  <c r="EA8" i="117"/>
  <c r="EA13" i="117" s="1"/>
  <c r="EA18" i="117" s="1"/>
  <c r="EA24" i="117" s="1"/>
  <c r="EI8" i="117"/>
  <c r="EI13" i="117" s="1"/>
  <c r="EI18" i="117" s="1"/>
  <c r="EI24" i="117" s="1"/>
  <c r="EQ8" i="117"/>
  <c r="EQ13" i="117" s="1"/>
  <c r="EQ18" i="117" s="1"/>
  <c r="EQ24" i="117" s="1"/>
  <c r="CZ9" i="117"/>
  <c r="CZ14" i="117" s="1"/>
  <c r="DH9" i="117"/>
  <c r="DH14" i="117" s="1"/>
  <c r="DP9" i="117"/>
  <c r="DP14" i="117" s="1"/>
  <c r="DX9" i="117"/>
  <c r="DX14" i="117" s="1"/>
  <c r="EF9" i="117"/>
  <c r="EF14" i="117" s="1"/>
  <c r="EN9" i="117"/>
  <c r="EN14" i="117" s="1"/>
  <c r="CP9" i="117"/>
  <c r="CP14" i="117" s="1"/>
  <c r="CA9" i="117"/>
  <c r="CA14" i="117" s="1"/>
  <c r="CI9" i="117"/>
  <c r="CI14" i="117" s="1"/>
  <c r="Q9" i="117"/>
  <c r="Q14" i="117" s="1"/>
  <c r="Y9" i="117"/>
  <c r="Y14" i="117" s="1"/>
  <c r="AG9" i="117"/>
  <c r="AG14" i="117" s="1"/>
  <c r="AO9" i="117"/>
  <c r="AO14" i="117" s="1"/>
  <c r="AW9" i="117"/>
  <c r="AW14" i="117" s="1"/>
  <c r="BE9" i="117"/>
  <c r="BE14" i="117" s="1"/>
  <c r="BM9" i="117"/>
  <c r="BM14" i="117" s="1"/>
  <c r="BU9" i="117"/>
  <c r="BU14" i="117" s="1"/>
  <c r="CV8" i="117"/>
  <c r="CV13" i="117" s="1"/>
  <c r="DD8" i="117"/>
  <c r="DD13" i="117" s="1"/>
  <c r="DL8" i="117"/>
  <c r="DL13" i="117" s="1"/>
  <c r="DT8" i="117"/>
  <c r="DT13" i="117" s="1"/>
  <c r="EB8" i="117"/>
  <c r="EB13" i="117" s="1"/>
  <c r="EB18" i="117" s="1"/>
  <c r="EB24" i="117" s="1"/>
  <c r="EJ8" i="117"/>
  <c r="EJ13" i="117" s="1"/>
  <c r="EJ18" i="117" s="1"/>
  <c r="EJ24" i="117" s="1"/>
  <c r="ER8" i="117"/>
  <c r="ER13" i="117" s="1"/>
  <c r="ER18" i="117" s="1"/>
  <c r="ER24" i="117" s="1"/>
  <c r="DA9" i="117"/>
  <c r="DA14" i="117" s="1"/>
  <c r="DI9" i="117"/>
  <c r="DI14" i="117" s="1"/>
  <c r="DQ9" i="117"/>
  <c r="DQ14" i="117" s="1"/>
  <c r="DY9" i="117"/>
  <c r="DY14" i="117" s="1"/>
  <c r="EG9" i="117"/>
  <c r="EG14" i="117" s="1"/>
  <c r="EO9" i="117"/>
  <c r="EO14" i="117" s="1"/>
  <c r="CS8" i="117"/>
  <c r="CS13" i="117" s="1"/>
  <c r="CQ9" i="117"/>
  <c r="CQ14" i="117" s="1"/>
  <c r="CB9" i="117"/>
  <c r="CB14" i="117" s="1"/>
  <c r="CJ9" i="117"/>
  <c r="CJ14" i="117" s="1"/>
  <c r="R9" i="117"/>
  <c r="R14" i="117" s="1"/>
  <c r="Z9" i="117"/>
  <c r="Z14" i="117" s="1"/>
  <c r="AH9" i="117"/>
  <c r="AH14" i="117" s="1"/>
  <c r="AP9" i="117"/>
  <c r="AP14" i="117" s="1"/>
  <c r="AX9" i="117"/>
  <c r="AX14" i="117" s="1"/>
  <c r="BF9" i="117"/>
  <c r="BF14" i="117" s="1"/>
  <c r="BN9" i="117"/>
  <c r="BN14" i="117" s="1"/>
  <c r="K9" i="117"/>
  <c r="K14" i="117" s="1"/>
  <c r="EK8" i="117"/>
  <c r="EK13" i="117" s="1"/>
  <c r="EK18" i="117" s="1"/>
  <c r="EK24" i="117" s="1"/>
  <c r="CK9" i="117"/>
  <c r="CK14" i="117" s="1"/>
  <c r="AQ9" i="117"/>
  <c r="AQ14" i="117" s="1"/>
  <c r="DG8" i="118"/>
  <c r="DG13" i="118" s="1"/>
  <c r="DG18" i="118" s="1"/>
  <c r="DG24" i="118" s="1"/>
  <c r="EV120" i="22" s="1"/>
  <c r="DO8" i="118"/>
  <c r="DO13" i="118" s="1"/>
  <c r="DO18" i="118" s="1"/>
  <c r="DO24" i="118" s="1"/>
  <c r="FD120" i="22" s="1"/>
  <c r="DW8" i="118"/>
  <c r="DW13" i="118" s="1"/>
  <c r="DW18" i="118" s="1"/>
  <c r="DW24" i="118" s="1"/>
  <c r="EE8" i="118"/>
  <c r="EE13" i="118" s="1"/>
  <c r="EE18" i="118" s="1"/>
  <c r="EE24" i="118" s="1"/>
  <c r="EM8" i="118"/>
  <c r="EM13" i="118" s="1"/>
  <c r="EM18" i="118" s="1"/>
  <c r="EM24" i="118" s="1"/>
  <c r="EU8" i="118"/>
  <c r="EU13" i="118" s="1"/>
  <c r="EU18" i="118" s="1"/>
  <c r="EU24" i="118" s="1"/>
  <c r="FC8" i="118"/>
  <c r="FC13" i="118" s="1"/>
  <c r="FC18" i="118" s="1"/>
  <c r="FC24" i="118" s="1"/>
  <c r="CU8" i="118"/>
  <c r="CU13" i="118" s="1"/>
  <c r="CU18" i="118" s="1"/>
  <c r="CU24" i="118" s="1"/>
  <c r="EJ120" i="22" s="1"/>
  <c r="DB8" i="120"/>
  <c r="DB13" i="120" s="1"/>
  <c r="DB18" i="120" s="1"/>
  <c r="DB24" i="120" s="1"/>
  <c r="EQ122" i="22" s="1"/>
  <c r="DJ8" i="120"/>
  <c r="DJ13" i="120" s="1"/>
  <c r="DJ18" i="120" s="1"/>
  <c r="DJ24" i="120" s="1"/>
  <c r="EY122" i="22" s="1"/>
  <c r="DR8" i="120"/>
  <c r="DR13" i="120" s="1"/>
  <c r="DR18" i="120" s="1"/>
  <c r="DR24" i="120" s="1"/>
  <c r="FG122" i="22" s="1"/>
  <c r="CD122" i="22" s="1"/>
  <c r="DZ8" i="120"/>
  <c r="DZ13" i="120" s="1"/>
  <c r="DZ18" i="120" s="1"/>
  <c r="DZ24" i="120" s="1"/>
  <c r="EH8" i="120"/>
  <c r="EH13" i="120" s="1"/>
  <c r="EH18" i="120" s="1"/>
  <c r="EH24" i="120" s="1"/>
  <c r="EP8" i="120"/>
  <c r="EP13" i="120" s="1"/>
  <c r="EP18" i="120" s="1"/>
  <c r="EP24" i="120" s="1"/>
  <c r="CX8" i="120"/>
  <c r="CX13" i="120" s="1"/>
  <c r="CX18" i="120" s="1"/>
  <c r="CX24" i="120" s="1"/>
  <c r="EM122" i="22" s="1"/>
  <c r="CR8" i="120"/>
  <c r="CR13" i="120" s="1"/>
  <c r="CR18" i="120" s="1"/>
  <c r="CR24" i="120" s="1"/>
  <c r="EG122" i="22" s="1"/>
  <c r="ES8" i="117"/>
  <c r="ES13" i="117" s="1"/>
  <c r="ES18" i="117" s="1"/>
  <c r="ES24" i="117" s="1"/>
  <c r="M9" i="117"/>
  <c r="M14" i="117" s="1"/>
  <c r="AS9" i="117"/>
  <c r="AS14" i="117" s="1"/>
  <c r="DH8" i="118"/>
  <c r="DH13" i="118" s="1"/>
  <c r="DH18" i="118" s="1"/>
  <c r="DH24" i="118" s="1"/>
  <c r="EW120" i="22" s="1"/>
  <c r="DP8" i="118"/>
  <c r="DP13" i="118" s="1"/>
  <c r="DP18" i="118" s="1"/>
  <c r="DP24" i="118" s="1"/>
  <c r="FE120" i="22" s="1"/>
  <c r="DX8" i="118"/>
  <c r="DX13" i="118" s="1"/>
  <c r="DX18" i="118" s="1"/>
  <c r="DX24" i="118" s="1"/>
  <c r="EF8" i="118"/>
  <c r="EF13" i="118" s="1"/>
  <c r="EF18" i="118" s="1"/>
  <c r="EF24" i="118" s="1"/>
  <c r="EN8" i="118"/>
  <c r="EN13" i="118" s="1"/>
  <c r="EN18" i="118" s="1"/>
  <c r="EN24" i="118" s="1"/>
  <c r="EV8" i="118"/>
  <c r="EV13" i="118" s="1"/>
  <c r="EV18" i="118" s="1"/>
  <c r="EV24" i="118" s="1"/>
  <c r="FD8" i="118"/>
  <c r="FD13" i="118" s="1"/>
  <c r="FD18" i="118" s="1"/>
  <c r="FD24" i="118" s="1"/>
  <c r="CV8" i="118"/>
  <c r="CV13" i="118" s="1"/>
  <c r="CV18" i="118" s="1"/>
  <c r="CV24" i="118" s="1"/>
  <c r="EK120" i="22" s="1"/>
  <c r="DB9" i="117"/>
  <c r="DB14" i="117" s="1"/>
  <c r="S9" i="117"/>
  <c r="S14" i="117" s="1"/>
  <c r="AY9" i="117"/>
  <c r="AY14" i="117" s="1"/>
  <c r="DA8" i="118"/>
  <c r="DA13" i="118" s="1"/>
  <c r="DA18" i="118" s="1"/>
  <c r="DA24" i="118" s="1"/>
  <c r="EP120" i="22" s="1"/>
  <c r="DI8" i="118"/>
  <c r="DI13" i="118" s="1"/>
  <c r="DI18" i="118" s="1"/>
  <c r="DI24" i="118" s="1"/>
  <c r="EX120" i="22" s="1"/>
  <c r="DQ8" i="118"/>
  <c r="DQ13" i="118" s="1"/>
  <c r="DQ18" i="118" s="1"/>
  <c r="DQ24" i="118" s="1"/>
  <c r="FF120" i="22" s="1"/>
  <c r="DY8" i="118"/>
  <c r="DY13" i="118" s="1"/>
  <c r="DY18" i="118" s="1"/>
  <c r="DY24" i="118" s="1"/>
  <c r="EG8" i="118"/>
  <c r="EG13" i="118" s="1"/>
  <c r="EG18" i="118" s="1"/>
  <c r="EG24" i="118" s="1"/>
  <c r="EO8" i="118"/>
  <c r="EO13" i="118" s="1"/>
  <c r="EO18" i="118" s="1"/>
  <c r="EO24" i="118" s="1"/>
  <c r="EW8" i="118"/>
  <c r="EW13" i="118" s="1"/>
  <c r="EW18" i="118" s="1"/>
  <c r="EW24" i="118" s="1"/>
  <c r="FE8" i="118"/>
  <c r="FE13" i="118" s="1"/>
  <c r="FE18" i="118" s="1"/>
  <c r="FE24" i="118" s="1"/>
  <c r="CW13" i="118"/>
  <c r="CW18" i="118" s="1"/>
  <c r="CW24" i="118" s="1"/>
  <c r="EL120" i="22" s="1"/>
  <c r="CR8" i="118"/>
  <c r="CR13" i="118" s="1"/>
  <c r="CR18" i="118" s="1"/>
  <c r="CR24" i="118" s="1"/>
  <c r="EG120" i="22" s="1"/>
  <c r="DD8" i="120"/>
  <c r="DD13" i="120" s="1"/>
  <c r="DD18" i="120" s="1"/>
  <c r="DD24" i="120" s="1"/>
  <c r="ES122" i="22" s="1"/>
  <c r="DL8" i="120"/>
  <c r="DL13" i="120" s="1"/>
  <c r="DL18" i="120" s="1"/>
  <c r="DL24" i="120" s="1"/>
  <c r="FA122" i="22" s="1"/>
  <c r="DT8" i="120"/>
  <c r="DT13" i="120" s="1"/>
  <c r="DT18" i="120" s="1"/>
  <c r="DT24" i="120" s="1"/>
  <c r="EB8" i="120"/>
  <c r="EB13" i="120" s="1"/>
  <c r="EB18" i="120" s="1"/>
  <c r="EB24" i="120" s="1"/>
  <c r="EJ8" i="120"/>
  <c r="EJ13" i="120" s="1"/>
  <c r="EJ18" i="120" s="1"/>
  <c r="EJ24" i="120" s="1"/>
  <c r="ER8" i="120"/>
  <c r="ER13" i="120" s="1"/>
  <c r="ER18" i="120" s="1"/>
  <c r="ER24" i="120" s="1"/>
  <c r="CZ8" i="120"/>
  <c r="CZ13" i="120" s="1"/>
  <c r="CZ18" i="120" s="1"/>
  <c r="CZ24" i="120" s="1"/>
  <c r="EO122" i="22" s="1"/>
  <c r="CW8" i="117"/>
  <c r="CW13" i="117" s="1"/>
  <c r="DJ9" i="117"/>
  <c r="DJ14" i="117" s="1"/>
  <c r="CL9" i="117"/>
  <c r="CL14" i="117" s="1"/>
  <c r="U9" i="117"/>
  <c r="U14" i="117" s="1"/>
  <c r="BA9" i="117"/>
  <c r="BA14" i="117" s="1"/>
  <c r="DB8" i="118"/>
  <c r="DB13" i="118" s="1"/>
  <c r="DB18" i="118" s="1"/>
  <c r="DB24" i="118" s="1"/>
  <c r="EQ120" i="22" s="1"/>
  <c r="DJ8" i="118"/>
  <c r="DJ13" i="118" s="1"/>
  <c r="DJ18" i="118" s="1"/>
  <c r="DJ24" i="118" s="1"/>
  <c r="EY120" i="22" s="1"/>
  <c r="DR8" i="118"/>
  <c r="DR13" i="118" s="1"/>
  <c r="DR18" i="118" s="1"/>
  <c r="DZ8" i="118"/>
  <c r="DZ13" i="118" s="1"/>
  <c r="DZ18" i="118" s="1"/>
  <c r="DZ24" i="118" s="1"/>
  <c r="EH8" i="118"/>
  <c r="EH13" i="118" s="1"/>
  <c r="EH18" i="118" s="1"/>
  <c r="EH24" i="118" s="1"/>
  <c r="EP8" i="118"/>
  <c r="EP13" i="118" s="1"/>
  <c r="EP18" i="118" s="1"/>
  <c r="EP24" i="118" s="1"/>
  <c r="EX8" i="118"/>
  <c r="EX13" i="118" s="1"/>
  <c r="EX18" i="118" s="1"/>
  <c r="EX24" i="118" s="1"/>
  <c r="FF8" i="118"/>
  <c r="FF13" i="118" s="1"/>
  <c r="FF18" i="118" s="1"/>
  <c r="FF24" i="118" s="1"/>
  <c r="CX8" i="118"/>
  <c r="CX13" i="118" s="1"/>
  <c r="CX18" i="118" s="1"/>
  <c r="CX24" i="118" s="1"/>
  <c r="EM120" i="22" s="1"/>
  <c r="DE8" i="120"/>
  <c r="DE13" i="120" s="1"/>
  <c r="DE18" i="120" s="1"/>
  <c r="DE24" i="120" s="1"/>
  <c r="ET122" i="22" s="1"/>
  <c r="DM8" i="120"/>
  <c r="DM13" i="120" s="1"/>
  <c r="DM18" i="120" s="1"/>
  <c r="DM24" i="120" s="1"/>
  <c r="FB122" i="22" s="1"/>
  <c r="DU8" i="120"/>
  <c r="DU13" i="120" s="1"/>
  <c r="DU18" i="120" s="1"/>
  <c r="DU24" i="120" s="1"/>
  <c r="EC8" i="120"/>
  <c r="EC13" i="120" s="1"/>
  <c r="EC18" i="120" s="1"/>
  <c r="EC24" i="120" s="1"/>
  <c r="EK8" i="120"/>
  <c r="EK13" i="120" s="1"/>
  <c r="EK18" i="120" s="1"/>
  <c r="EK24" i="120" s="1"/>
  <c r="ES8" i="120"/>
  <c r="ES13" i="120" s="1"/>
  <c r="ES18" i="120" s="1"/>
  <c r="ES24" i="120" s="1"/>
  <c r="DU8" i="117"/>
  <c r="DU13" i="117" s="1"/>
  <c r="EH9" i="117"/>
  <c r="EH14" i="117" s="1"/>
  <c r="CC9" i="117"/>
  <c r="CC14" i="117" s="1"/>
  <c r="AI9" i="117"/>
  <c r="AI14" i="117" s="1"/>
  <c r="BO9" i="117"/>
  <c r="BO14" i="117" s="1"/>
  <c r="DE8" i="118"/>
  <c r="DE13" i="118" s="1"/>
  <c r="DE18" i="118" s="1"/>
  <c r="DE24" i="118" s="1"/>
  <c r="ET120" i="22" s="1"/>
  <c r="DM8" i="118"/>
  <c r="DM13" i="118" s="1"/>
  <c r="DM18" i="118" s="1"/>
  <c r="DM24" i="118" s="1"/>
  <c r="FB120" i="22" s="1"/>
  <c r="DU8" i="118"/>
  <c r="DU13" i="118" s="1"/>
  <c r="DU18" i="118" s="1"/>
  <c r="DU24" i="118" s="1"/>
  <c r="EC8" i="118"/>
  <c r="EC13" i="118" s="1"/>
  <c r="EC18" i="118" s="1"/>
  <c r="EC24" i="118" s="1"/>
  <c r="EK8" i="118"/>
  <c r="EK13" i="118" s="1"/>
  <c r="EK18" i="118" s="1"/>
  <c r="EK24" i="118" s="1"/>
  <c r="ES8" i="118"/>
  <c r="ES13" i="118" s="1"/>
  <c r="ES18" i="118" s="1"/>
  <c r="ES24" i="118" s="1"/>
  <c r="FA8" i="118"/>
  <c r="FA13" i="118" s="1"/>
  <c r="FA18" i="118" s="1"/>
  <c r="FA24" i="118" s="1"/>
  <c r="CS8" i="118"/>
  <c r="CS13" i="118" s="1"/>
  <c r="CS18" i="118" s="1"/>
  <c r="CS24" i="118" s="1"/>
  <c r="EH120" i="22" s="1"/>
  <c r="DH8" i="120"/>
  <c r="DH13" i="120" s="1"/>
  <c r="DH18" i="120" s="1"/>
  <c r="DH24" i="120" s="1"/>
  <c r="EW122" i="22" s="1"/>
  <c r="DP8" i="120"/>
  <c r="DP13" i="120" s="1"/>
  <c r="DP18" i="120" s="1"/>
  <c r="DP24" i="120" s="1"/>
  <c r="FE122" i="22" s="1"/>
  <c r="DX8" i="120"/>
  <c r="DX13" i="120" s="1"/>
  <c r="DX18" i="120" s="1"/>
  <c r="DX24" i="120" s="1"/>
  <c r="EF8" i="120"/>
  <c r="EF13" i="120" s="1"/>
  <c r="EF18" i="120" s="1"/>
  <c r="EF24" i="120" s="1"/>
  <c r="EN8" i="120"/>
  <c r="EN13" i="120" s="1"/>
  <c r="EN18" i="120" s="1"/>
  <c r="EN24" i="120" s="1"/>
  <c r="CU8" i="120"/>
  <c r="CU13" i="120" s="1"/>
  <c r="CU18" i="120" s="1"/>
  <c r="CU24" i="120" s="1"/>
  <c r="EJ122" i="22" s="1"/>
  <c r="DZ9" i="117"/>
  <c r="DZ14" i="117" s="1"/>
  <c r="AC9" i="117"/>
  <c r="AC14" i="117" s="1"/>
  <c r="DF8" i="118"/>
  <c r="DF13" i="118" s="1"/>
  <c r="DF18" i="118" s="1"/>
  <c r="DF24" i="118" s="1"/>
  <c r="EU120" i="22" s="1"/>
  <c r="BR120" i="22" s="1"/>
  <c r="EB8" i="118"/>
  <c r="EB13" i="118" s="1"/>
  <c r="EB18" i="118" s="1"/>
  <c r="EB24" i="118" s="1"/>
  <c r="EY8" i="118"/>
  <c r="EY13" i="118" s="1"/>
  <c r="EY18" i="118" s="1"/>
  <c r="EY24" i="118" s="1"/>
  <c r="CT8" i="118"/>
  <c r="CT13" i="118" s="1"/>
  <c r="CT18" i="118" s="1"/>
  <c r="CT24" i="118" s="1"/>
  <c r="EI120" i="22" s="1"/>
  <c r="DF8" i="120"/>
  <c r="DF13" i="120" s="1"/>
  <c r="DF18" i="120" s="1"/>
  <c r="DF24" i="120" s="1"/>
  <c r="EU122" i="22" s="1"/>
  <c r="DV8" i="120"/>
  <c r="DV13" i="120" s="1"/>
  <c r="DV18" i="120" s="1"/>
  <c r="DV24" i="120" s="1"/>
  <c r="EL8" i="120"/>
  <c r="EL13" i="120" s="1"/>
  <c r="EL18" i="120" s="1"/>
  <c r="EL24" i="120" s="1"/>
  <c r="DH8" i="122"/>
  <c r="DH13" i="122" s="1"/>
  <c r="DH18" i="122" s="1"/>
  <c r="DH24" i="122" s="1"/>
  <c r="EW123" i="22" s="1"/>
  <c r="DP8" i="122"/>
  <c r="DP13" i="122" s="1"/>
  <c r="DP18" i="122" s="1"/>
  <c r="DP24" i="122" s="1"/>
  <c r="FE123" i="22" s="1"/>
  <c r="DX8" i="122"/>
  <c r="DX13" i="122" s="1"/>
  <c r="DX18" i="122" s="1"/>
  <c r="DX24" i="122" s="1"/>
  <c r="EF8" i="122"/>
  <c r="EF13" i="122" s="1"/>
  <c r="EF18" i="122" s="1"/>
  <c r="EF24" i="122" s="1"/>
  <c r="DB8" i="122"/>
  <c r="DB13" i="122" s="1"/>
  <c r="DB18" i="122" s="1"/>
  <c r="DB24" i="122" s="1"/>
  <c r="EQ123" i="22" s="1"/>
  <c r="CV8" i="122"/>
  <c r="CV13" i="122" s="1"/>
  <c r="CV18" i="122" s="1"/>
  <c r="CV24" i="122" s="1"/>
  <c r="EK123" i="22" s="1"/>
  <c r="EP9" i="117"/>
  <c r="EP14" i="117" s="1"/>
  <c r="AK9" i="117"/>
  <c r="AK14" i="117" s="1"/>
  <c r="DK8" i="118"/>
  <c r="DK13" i="118" s="1"/>
  <c r="DK18" i="118" s="1"/>
  <c r="DK24" i="118" s="1"/>
  <c r="EZ120" i="22" s="1"/>
  <c r="ED8" i="118"/>
  <c r="ED13" i="118" s="1"/>
  <c r="ED18" i="118" s="1"/>
  <c r="ED24" i="118" s="1"/>
  <c r="EZ8" i="118"/>
  <c r="EZ13" i="118" s="1"/>
  <c r="EZ18" i="118" s="1"/>
  <c r="EZ24" i="118" s="1"/>
  <c r="CY8" i="118"/>
  <c r="CY13" i="118" s="1"/>
  <c r="CY18" i="118" s="1"/>
  <c r="CY24" i="118" s="1"/>
  <c r="EN120" i="22" s="1"/>
  <c r="DG8" i="120"/>
  <c r="DG13" i="120" s="1"/>
  <c r="DG18" i="120" s="1"/>
  <c r="DG24" i="120" s="1"/>
  <c r="EV122" i="22" s="1"/>
  <c r="DW8" i="120"/>
  <c r="DW13" i="120" s="1"/>
  <c r="DW18" i="120" s="1"/>
  <c r="DW24" i="120" s="1"/>
  <c r="EM8" i="120"/>
  <c r="EM13" i="120" s="1"/>
  <c r="EM18" i="120" s="1"/>
  <c r="EM24" i="120" s="1"/>
  <c r="DI8" i="122"/>
  <c r="DI13" i="122" s="1"/>
  <c r="DI18" i="122" s="1"/>
  <c r="DI24" i="122" s="1"/>
  <c r="EX123" i="22" s="1"/>
  <c r="DQ8" i="122"/>
  <c r="DQ13" i="122" s="1"/>
  <c r="DQ18" i="122" s="1"/>
  <c r="DQ24" i="122" s="1"/>
  <c r="FF123" i="22" s="1"/>
  <c r="DY8" i="122"/>
  <c r="DY13" i="122" s="1"/>
  <c r="DY18" i="122" s="1"/>
  <c r="DY24" i="122" s="1"/>
  <c r="EG8" i="122"/>
  <c r="EG13" i="122" s="1"/>
  <c r="EG18" i="122" s="1"/>
  <c r="EG24" i="122" s="1"/>
  <c r="DC8" i="122"/>
  <c r="DC13" i="122" s="1"/>
  <c r="DC18" i="122" s="1"/>
  <c r="DC24" i="122" s="1"/>
  <c r="ER123" i="22" s="1"/>
  <c r="BG9" i="117"/>
  <c r="BG14" i="117" s="1"/>
  <c r="DL8" i="118"/>
  <c r="DL13" i="118" s="1"/>
  <c r="DL18" i="118" s="1"/>
  <c r="DL24" i="118" s="1"/>
  <c r="FA120" i="22" s="1"/>
  <c r="EI8" i="118"/>
  <c r="EI13" i="118" s="1"/>
  <c r="EI18" i="118" s="1"/>
  <c r="EI24" i="118" s="1"/>
  <c r="FB8" i="118"/>
  <c r="FB13" i="118" s="1"/>
  <c r="FB18" i="118" s="1"/>
  <c r="FB24" i="118" s="1"/>
  <c r="CZ8" i="118"/>
  <c r="CZ13" i="118" s="1"/>
  <c r="CZ18" i="118" s="1"/>
  <c r="DI8" i="120"/>
  <c r="DI13" i="120" s="1"/>
  <c r="DI18" i="120" s="1"/>
  <c r="DI24" i="120" s="1"/>
  <c r="EX122" i="22" s="1"/>
  <c r="DY8" i="120"/>
  <c r="DY13" i="120" s="1"/>
  <c r="DY18" i="120" s="1"/>
  <c r="DY24" i="120" s="1"/>
  <c r="EO8" i="120"/>
  <c r="EO13" i="120" s="1"/>
  <c r="EO18" i="120" s="1"/>
  <c r="EO24" i="120" s="1"/>
  <c r="CW8" i="120"/>
  <c r="CW13" i="120" s="1"/>
  <c r="CW18" i="120" s="1"/>
  <c r="CW24" i="120" s="1"/>
  <c r="EL122" i="22" s="1"/>
  <c r="DJ8" i="122"/>
  <c r="DJ13" i="122" s="1"/>
  <c r="DJ18" i="122" s="1"/>
  <c r="DJ24" i="122" s="1"/>
  <c r="EY123" i="22" s="1"/>
  <c r="DR8" i="122"/>
  <c r="DR13" i="122" s="1"/>
  <c r="DR18" i="122" s="1"/>
  <c r="DR24" i="122" s="1"/>
  <c r="FG123" i="22" s="1"/>
  <c r="DZ8" i="122"/>
  <c r="DZ13" i="122" s="1"/>
  <c r="DZ18" i="122" s="1"/>
  <c r="DZ24" i="122" s="1"/>
  <c r="EH8" i="122"/>
  <c r="EH13" i="122" s="1"/>
  <c r="EH18" i="122" s="1"/>
  <c r="EH24" i="122" s="1"/>
  <c r="DD8" i="122"/>
  <c r="DD13" i="122" s="1"/>
  <c r="DD18" i="122" s="1"/>
  <c r="DD24" i="122" s="1"/>
  <c r="ES123" i="22" s="1"/>
  <c r="BI9" i="117"/>
  <c r="BI14" i="117" s="1"/>
  <c r="DN8" i="118"/>
  <c r="DN13" i="118" s="1"/>
  <c r="DN18" i="118" s="1"/>
  <c r="DN24" i="118" s="1"/>
  <c r="FC120" i="22" s="1"/>
  <c r="EJ8" i="118"/>
  <c r="EJ13" i="118" s="1"/>
  <c r="EJ18" i="118" s="1"/>
  <c r="EJ24" i="118" s="1"/>
  <c r="DK8" i="120"/>
  <c r="DK13" i="120" s="1"/>
  <c r="DK18" i="120" s="1"/>
  <c r="DK24" i="120" s="1"/>
  <c r="EZ122" i="22" s="1"/>
  <c r="EA8" i="120"/>
  <c r="EA13" i="120" s="1"/>
  <c r="EA18" i="120" s="1"/>
  <c r="EA24" i="120" s="1"/>
  <c r="EQ8" i="120"/>
  <c r="EQ13" i="120" s="1"/>
  <c r="EQ18" i="120" s="1"/>
  <c r="EQ24" i="120" s="1"/>
  <c r="CY8" i="120"/>
  <c r="CY13" i="120" s="1"/>
  <c r="CY18" i="120" s="1"/>
  <c r="CY24" i="120" s="1"/>
  <c r="EN122" i="22" s="1"/>
  <c r="DK8" i="122"/>
  <c r="DK13" i="122" s="1"/>
  <c r="DK18" i="122" s="1"/>
  <c r="DK24" i="122" s="1"/>
  <c r="EZ123" i="22" s="1"/>
  <c r="DS8" i="122"/>
  <c r="DS13" i="122" s="1"/>
  <c r="DS18" i="122" s="1"/>
  <c r="DS24" i="122" s="1"/>
  <c r="FH123" i="22" s="1"/>
  <c r="CD123" i="22" s="1"/>
  <c r="EA8" i="122"/>
  <c r="EA13" i="122" s="1"/>
  <c r="EA18" i="122" s="1"/>
  <c r="EA24" i="122" s="1"/>
  <c r="CW8" i="122"/>
  <c r="CW13" i="122" s="1"/>
  <c r="CW18" i="122" s="1"/>
  <c r="CW24" i="122" s="1"/>
  <c r="EL123" i="22" s="1"/>
  <c r="DE8" i="122"/>
  <c r="DE13" i="122" s="1"/>
  <c r="DE18" i="122" s="1"/>
  <c r="DE24" i="122" s="1"/>
  <c r="ET123" i="22" s="1"/>
  <c r="DE8" i="117"/>
  <c r="DE13" i="117" s="1"/>
  <c r="CR9" i="117"/>
  <c r="CR14" i="117" s="1"/>
  <c r="BQ9" i="117"/>
  <c r="BQ14" i="117" s="1"/>
  <c r="DS8" i="118"/>
  <c r="DS13" i="118" s="1"/>
  <c r="DS18" i="118" s="1"/>
  <c r="DS24" i="118" s="1"/>
  <c r="FH120" i="22" s="1"/>
  <c r="EL8" i="118"/>
  <c r="EL13" i="118" s="1"/>
  <c r="EL18" i="118" s="1"/>
  <c r="EL24" i="118" s="1"/>
  <c r="DN8" i="120"/>
  <c r="DN13" i="120" s="1"/>
  <c r="DN18" i="120" s="1"/>
  <c r="DN24" i="120" s="1"/>
  <c r="FC122" i="22" s="1"/>
  <c r="ED8" i="120"/>
  <c r="ED13" i="120" s="1"/>
  <c r="ED18" i="120" s="1"/>
  <c r="ED24" i="120" s="1"/>
  <c r="ET8" i="120"/>
  <c r="ET13" i="120" s="1"/>
  <c r="ET18" i="120" s="1"/>
  <c r="ET24" i="120" s="1"/>
  <c r="CS8" i="120"/>
  <c r="CS13" i="120" s="1"/>
  <c r="CS18" i="120" s="1"/>
  <c r="CS24" i="120" s="1"/>
  <c r="EH122" i="22" s="1"/>
  <c r="DL8" i="122"/>
  <c r="DL13" i="122" s="1"/>
  <c r="DL18" i="122" s="1"/>
  <c r="DL24" i="122" s="1"/>
  <c r="FA123" i="22" s="1"/>
  <c r="DT8" i="122"/>
  <c r="DT13" i="122" s="1"/>
  <c r="DT18" i="122" s="1"/>
  <c r="DT24" i="122" s="1"/>
  <c r="EB8" i="122"/>
  <c r="EB13" i="122" s="1"/>
  <c r="EB18" i="122" s="1"/>
  <c r="EB24" i="122" s="1"/>
  <c r="CX8" i="122"/>
  <c r="CX13" i="122" s="1"/>
  <c r="CX18" i="122" s="1"/>
  <c r="CX24" i="122" s="1"/>
  <c r="EM123" i="22" s="1"/>
  <c r="DF8" i="122"/>
  <c r="DF13" i="122" s="1"/>
  <c r="DF18" i="122" s="1"/>
  <c r="DF24" i="122" s="1"/>
  <c r="EU123" i="22" s="1"/>
  <c r="EC8" i="117"/>
  <c r="EC13" i="117" s="1"/>
  <c r="EC18" i="117" s="1"/>
  <c r="EC24" i="117" s="1"/>
  <c r="CT9" i="117"/>
  <c r="CT14" i="117" s="1"/>
  <c r="CE9" i="117"/>
  <c r="CE14" i="117" s="1"/>
  <c r="DC8" i="118"/>
  <c r="DC13" i="118" s="1"/>
  <c r="DC18" i="118" s="1"/>
  <c r="DC24" i="118" s="1"/>
  <c r="ER120" i="22" s="1"/>
  <c r="DV8" i="118"/>
  <c r="DV13" i="118" s="1"/>
  <c r="DV18" i="118" s="1"/>
  <c r="DV24" i="118" s="1"/>
  <c r="ER8" i="118"/>
  <c r="ER13" i="118" s="1"/>
  <c r="ER18" i="118" s="1"/>
  <c r="ER24" i="118" s="1"/>
  <c r="DA8" i="120"/>
  <c r="DA13" i="120" s="1"/>
  <c r="DA18" i="120" s="1"/>
  <c r="DA24" i="120" s="1"/>
  <c r="EP122" i="22" s="1"/>
  <c r="DQ8" i="120"/>
  <c r="DQ13" i="120" s="1"/>
  <c r="DQ18" i="120" s="1"/>
  <c r="DQ24" i="120" s="1"/>
  <c r="FF122" i="22" s="1"/>
  <c r="EG8" i="120"/>
  <c r="EG13" i="120" s="1"/>
  <c r="EG18" i="120" s="1"/>
  <c r="EG24" i="120" s="1"/>
  <c r="CV8" i="120"/>
  <c r="CV13" i="120" s="1"/>
  <c r="CV18" i="120" s="1"/>
  <c r="DN8" i="122"/>
  <c r="DN13" i="122" s="1"/>
  <c r="DN18" i="122" s="1"/>
  <c r="DN24" i="122" s="1"/>
  <c r="FC123" i="22" s="1"/>
  <c r="DV8" i="122"/>
  <c r="DV13" i="122" s="1"/>
  <c r="DV18" i="122" s="1"/>
  <c r="DV24" i="122" s="1"/>
  <c r="ED8" i="122"/>
  <c r="ED13" i="122" s="1"/>
  <c r="ED18" i="122" s="1"/>
  <c r="ED24" i="122" s="1"/>
  <c r="CZ8" i="122"/>
  <c r="CZ13" i="122" s="1"/>
  <c r="CZ18" i="122" s="1"/>
  <c r="CT8" i="122"/>
  <c r="CT13" i="122" s="1"/>
  <c r="CT18" i="122" s="1"/>
  <c r="CT24" i="122" s="1"/>
  <c r="EI123" i="22" s="1"/>
  <c r="EQ8" i="118"/>
  <c r="EQ13" i="118" s="1"/>
  <c r="EQ18" i="118" s="1"/>
  <c r="EQ24" i="118" s="1"/>
  <c r="EI8" i="120"/>
  <c r="EI13" i="120" s="1"/>
  <c r="EI18" i="120" s="1"/>
  <c r="EI24" i="120" s="1"/>
  <c r="EC8" i="122"/>
  <c r="EC13" i="122" s="1"/>
  <c r="EC18" i="122" s="1"/>
  <c r="EC24" i="122" s="1"/>
  <c r="CZ8" i="115"/>
  <c r="CZ11" i="115" s="1"/>
  <c r="CZ14" i="115" s="1"/>
  <c r="CZ20" i="115" s="1"/>
  <c r="EO117" i="22" s="1"/>
  <c r="DH8" i="115"/>
  <c r="DH11" i="115" s="1"/>
  <c r="DH14" i="115" s="1"/>
  <c r="DH20" i="115" s="1"/>
  <c r="EW117" i="22" s="1"/>
  <c r="DP8" i="115"/>
  <c r="DP11" i="115" s="1"/>
  <c r="DP14" i="115" s="1"/>
  <c r="DP20" i="115" s="1"/>
  <c r="FE117" i="22" s="1"/>
  <c r="DX8" i="115"/>
  <c r="DX11" i="115" s="1"/>
  <c r="DX14" i="115" s="1"/>
  <c r="DX20" i="115" s="1"/>
  <c r="EF8" i="115"/>
  <c r="EF11" i="115" s="1"/>
  <c r="EF14" i="115" s="1"/>
  <c r="EF20" i="115" s="1"/>
  <c r="EN8" i="115"/>
  <c r="EN11" i="115" s="1"/>
  <c r="EN14" i="115" s="1"/>
  <c r="EN20" i="115" s="1"/>
  <c r="EV8" i="115"/>
  <c r="EV11" i="115" s="1"/>
  <c r="EV14" i="115" s="1"/>
  <c r="EV20" i="115" s="1"/>
  <c r="CW8" i="110"/>
  <c r="CW11" i="110" s="1"/>
  <c r="CW14" i="110" s="1"/>
  <c r="CW20" i="110" s="1"/>
  <c r="EL112" i="22" s="1"/>
  <c r="DE8" i="110"/>
  <c r="DE11" i="110" s="1"/>
  <c r="DE14" i="110" s="1"/>
  <c r="DE20" i="110" s="1"/>
  <c r="ET112" i="22" s="1"/>
  <c r="DM8" i="110"/>
  <c r="DM11" i="110" s="1"/>
  <c r="DM14" i="110" s="1"/>
  <c r="DM20" i="110" s="1"/>
  <c r="FB112" i="22" s="1"/>
  <c r="DU8" i="110"/>
  <c r="DU11" i="110" s="1"/>
  <c r="DU14" i="110" s="1"/>
  <c r="DU20" i="110" s="1"/>
  <c r="EC8" i="110"/>
  <c r="EC11" i="110" s="1"/>
  <c r="EC14" i="110" s="1"/>
  <c r="EC20" i="110" s="1"/>
  <c r="EK8" i="110"/>
  <c r="EK11" i="110" s="1"/>
  <c r="EK14" i="110" s="1"/>
  <c r="EK20" i="110" s="1"/>
  <c r="ES8" i="110"/>
  <c r="ES11" i="110" s="1"/>
  <c r="ES14" i="110" s="1"/>
  <c r="ES20" i="110" s="1"/>
  <c r="FA8" i="110"/>
  <c r="FA11" i="110" s="1"/>
  <c r="FA14" i="110" s="1"/>
  <c r="FA20" i="110" s="1"/>
  <c r="FI8" i="110"/>
  <c r="FI11" i="110" s="1"/>
  <c r="FI14" i="110" s="1"/>
  <c r="FI20" i="110" s="1"/>
  <c r="FQ8" i="110"/>
  <c r="FQ11" i="110" s="1"/>
  <c r="FQ14" i="110" s="1"/>
  <c r="FQ20" i="110" s="1"/>
  <c r="ET8" i="118"/>
  <c r="ET13" i="118" s="1"/>
  <c r="ET18" i="118" s="1"/>
  <c r="ET24" i="118" s="1"/>
  <c r="EE8" i="122"/>
  <c r="EE13" i="122" s="1"/>
  <c r="EE18" i="122" s="1"/>
  <c r="EE24" i="122" s="1"/>
  <c r="CS8" i="115"/>
  <c r="CS11" i="115" s="1"/>
  <c r="CS14" i="115" s="1"/>
  <c r="CS20" i="115" s="1"/>
  <c r="EH117" i="22" s="1"/>
  <c r="DA8" i="115"/>
  <c r="DA11" i="115" s="1"/>
  <c r="DA14" i="115" s="1"/>
  <c r="DA20" i="115" s="1"/>
  <c r="EP117" i="22" s="1"/>
  <c r="DI8" i="115"/>
  <c r="DI11" i="115" s="1"/>
  <c r="DI14" i="115" s="1"/>
  <c r="DI20" i="115" s="1"/>
  <c r="EX117" i="22" s="1"/>
  <c r="DQ8" i="115"/>
  <c r="DQ11" i="115" s="1"/>
  <c r="DQ14" i="115" s="1"/>
  <c r="DQ20" i="115" s="1"/>
  <c r="FF117" i="22" s="1"/>
  <c r="DY8" i="115"/>
  <c r="DY11" i="115" s="1"/>
  <c r="DY14" i="115" s="1"/>
  <c r="DY20" i="115" s="1"/>
  <c r="EG8" i="115"/>
  <c r="EG11" i="115" s="1"/>
  <c r="EG14" i="115" s="1"/>
  <c r="EG20" i="115" s="1"/>
  <c r="EO8" i="115"/>
  <c r="EO11" i="115" s="1"/>
  <c r="EO14" i="115" s="1"/>
  <c r="EO20" i="115" s="1"/>
  <c r="EW8" i="115"/>
  <c r="EW11" i="115" s="1"/>
  <c r="EW14" i="115" s="1"/>
  <c r="EW20" i="115" s="1"/>
  <c r="CR8" i="115"/>
  <c r="CR11" i="115" s="1"/>
  <c r="CR14" i="115" s="1"/>
  <c r="CX8" i="110"/>
  <c r="CX11" i="110" s="1"/>
  <c r="CX14" i="110" s="1"/>
  <c r="CX20" i="110" s="1"/>
  <c r="EM112" i="22" s="1"/>
  <c r="DF8" i="110"/>
  <c r="DF11" i="110" s="1"/>
  <c r="DF14" i="110" s="1"/>
  <c r="DF20" i="110" s="1"/>
  <c r="EU112" i="22" s="1"/>
  <c r="DN8" i="110"/>
  <c r="DN11" i="110" s="1"/>
  <c r="DN14" i="110" s="1"/>
  <c r="DN20" i="110" s="1"/>
  <c r="FC112" i="22" s="1"/>
  <c r="DV8" i="110"/>
  <c r="DV11" i="110" s="1"/>
  <c r="DV14" i="110" s="1"/>
  <c r="DV20" i="110" s="1"/>
  <c r="ED8" i="110"/>
  <c r="ED11" i="110" s="1"/>
  <c r="ED14" i="110" s="1"/>
  <c r="ED20" i="110" s="1"/>
  <c r="EL8" i="110"/>
  <c r="EL11" i="110" s="1"/>
  <c r="EL14" i="110" s="1"/>
  <c r="EL20" i="110" s="1"/>
  <c r="ET8" i="110"/>
  <c r="ET11" i="110" s="1"/>
  <c r="ET14" i="110" s="1"/>
  <c r="ET20" i="110" s="1"/>
  <c r="FB8" i="110"/>
  <c r="FB11" i="110" s="1"/>
  <c r="FB14" i="110" s="1"/>
  <c r="FB20" i="110" s="1"/>
  <c r="FJ8" i="110"/>
  <c r="FJ11" i="110" s="1"/>
  <c r="FJ14" i="110" s="1"/>
  <c r="FJ20" i="110" s="1"/>
  <c r="FR8" i="110"/>
  <c r="FR11" i="110" s="1"/>
  <c r="FR14" i="110" s="1"/>
  <c r="FR20" i="110" s="1"/>
  <c r="CY8" i="122"/>
  <c r="CY13" i="122" s="1"/>
  <c r="CY18" i="122" s="1"/>
  <c r="CY24" i="122" s="1"/>
  <c r="EN123" i="22" s="1"/>
  <c r="CT8" i="115"/>
  <c r="CT11" i="115" s="1"/>
  <c r="CT14" i="115" s="1"/>
  <c r="CT20" i="115" s="1"/>
  <c r="EI117" i="22" s="1"/>
  <c r="DB8" i="115"/>
  <c r="DB11" i="115" s="1"/>
  <c r="DB14" i="115" s="1"/>
  <c r="DB20" i="115" s="1"/>
  <c r="EQ117" i="22" s="1"/>
  <c r="DJ8" i="115"/>
  <c r="DJ11" i="115" s="1"/>
  <c r="DJ14" i="115" s="1"/>
  <c r="DJ20" i="115" s="1"/>
  <c r="EY117" i="22" s="1"/>
  <c r="DR8" i="115"/>
  <c r="DR11" i="115" s="1"/>
  <c r="DR14" i="115" s="1"/>
  <c r="DR20" i="115" s="1"/>
  <c r="FG117" i="22" s="1"/>
  <c r="DZ8" i="115"/>
  <c r="DZ11" i="115" s="1"/>
  <c r="DZ14" i="115" s="1"/>
  <c r="DZ20" i="115" s="1"/>
  <c r="EH8" i="115"/>
  <c r="EH11" i="115" s="1"/>
  <c r="EH14" i="115" s="1"/>
  <c r="EH20" i="115" s="1"/>
  <c r="DG8" i="122"/>
  <c r="DG13" i="122" s="1"/>
  <c r="DG18" i="122" s="1"/>
  <c r="DG24" i="122" s="1"/>
  <c r="EV123" i="22" s="1"/>
  <c r="DA8" i="122"/>
  <c r="DA13" i="122" s="1"/>
  <c r="DA18" i="122" s="1"/>
  <c r="DA24" i="122" s="1"/>
  <c r="EP123" i="22" s="1"/>
  <c r="BM123" i="22" s="1"/>
  <c r="CU8" i="115"/>
  <c r="CU11" i="115" s="1"/>
  <c r="CU14" i="115" s="1"/>
  <c r="CU20" i="115" s="1"/>
  <c r="EJ117" i="22" s="1"/>
  <c r="DC8" i="115"/>
  <c r="DC11" i="115" s="1"/>
  <c r="DC14" i="115" s="1"/>
  <c r="DC20" i="115" s="1"/>
  <c r="ER117" i="22" s="1"/>
  <c r="DK8" i="115"/>
  <c r="DK11" i="115" s="1"/>
  <c r="DK14" i="115" s="1"/>
  <c r="DK20" i="115" s="1"/>
  <c r="EZ117" i="22" s="1"/>
  <c r="DS8" i="115"/>
  <c r="DS11" i="115" s="1"/>
  <c r="DS14" i="115" s="1"/>
  <c r="DS20" i="115" s="1"/>
  <c r="FH117" i="22" s="1"/>
  <c r="EA8" i="115"/>
  <c r="EA11" i="115" s="1"/>
  <c r="EA14" i="115" s="1"/>
  <c r="EA20" i="115" s="1"/>
  <c r="EI8" i="115"/>
  <c r="EI11" i="115" s="1"/>
  <c r="EI14" i="115" s="1"/>
  <c r="EI20" i="115" s="1"/>
  <c r="EQ8" i="115"/>
  <c r="EQ11" i="115" s="1"/>
  <c r="EQ14" i="115" s="1"/>
  <c r="EQ20" i="115" s="1"/>
  <c r="EY8" i="115"/>
  <c r="EY11" i="115" s="1"/>
  <c r="EY14" i="115" s="1"/>
  <c r="EY20" i="115" s="1"/>
  <c r="CZ8" i="110"/>
  <c r="CZ11" i="110" s="1"/>
  <c r="CZ14" i="110" s="1"/>
  <c r="CZ20" i="110" s="1"/>
  <c r="EO112" i="22" s="1"/>
  <c r="DH8" i="110"/>
  <c r="DH11" i="110" s="1"/>
  <c r="DH14" i="110" s="1"/>
  <c r="DH20" i="110" s="1"/>
  <c r="EW112" i="22" s="1"/>
  <c r="DP8" i="110"/>
  <c r="DP11" i="110" s="1"/>
  <c r="DP14" i="110" s="1"/>
  <c r="DP20" i="110" s="1"/>
  <c r="FE112" i="22" s="1"/>
  <c r="DX8" i="110"/>
  <c r="DX11" i="110" s="1"/>
  <c r="DX14" i="110" s="1"/>
  <c r="DX20" i="110" s="1"/>
  <c r="EF8" i="110"/>
  <c r="EF11" i="110" s="1"/>
  <c r="EF14" i="110" s="1"/>
  <c r="EF20" i="110" s="1"/>
  <c r="EN8" i="110"/>
  <c r="EN11" i="110" s="1"/>
  <c r="EN14" i="110" s="1"/>
  <c r="EN20" i="110" s="1"/>
  <c r="EV8" i="110"/>
  <c r="EV11" i="110" s="1"/>
  <c r="EV14" i="110" s="1"/>
  <c r="EV20" i="110" s="1"/>
  <c r="FD8" i="110"/>
  <c r="FD11" i="110" s="1"/>
  <c r="FD14" i="110" s="1"/>
  <c r="FD20" i="110" s="1"/>
  <c r="FL8" i="110"/>
  <c r="FL11" i="110" s="1"/>
  <c r="FL14" i="110" s="1"/>
  <c r="FL20" i="110" s="1"/>
  <c r="FT8" i="110"/>
  <c r="FT11" i="110" s="1"/>
  <c r="FT14" i="110" s="1"/>
  <c r="FT20" i="110" s="1"/>
  <c r="DR9" i="117"/>
  <c r="DR14" i="117" s="1"/>
  <c r="AA9" i="117"/>
  <c r="AA14" i="117" s="1"/>
  <c r="DT8" i="118"/>
  <c r="DT13" i="118" s="1"/>
  <c r="DT18" i="118" s="1"/>
  <c r="DT24" i="118" s="1"/>
  <c r="DS8" i="120"/>
  <c r="DS13" i="120" s="1"/>
  <c r="DS18" i="120" s="1"/>
  <c r="DS24" i="120" s="1"/>
  <c r="FH122" i="22" s="1"/>
  <c r="DU8" i="122"/>
  <c r="DU13" i="122" s="1"/>
  <c r="DU18" i="122" s="1"/>
  <c r="DU24" i="122" s="1"/>
  <c r="CX8" i="115"/>
  <c r="CX11" i="115" s="1"/>
  <c r="CX14" i="115" s="1"/>
  <c r="CX20" i="115" s="1"/>
  <c r="EM117" i="22" s="1"/>
  <c r="DF8" i="115"/>
  <c r="DF11" i="115" s="1"/>
  <c r="DF14" i="115" s="1"/>
  <c r="DF20" i="115" s="1"/>
  <c r="EU117" i="22" s="1"/>
  <c r="DN8" i="115"/>
  <c r="DN11" i="115" s="1"/>
  <c r="DN14" i="115" s="1"/>
  <c r="DN20" i="115" s="1"/>
  <c r="FC117" i="22" s="1"/>
  <c r="DV8" i="115"/>
  <c r="DV11" i="115" s="1"/>
  <c r="DV14" i="115" s="1"/>
  <c r="DV20" i="115" s="1"/>
  <c r="ED8" i="115"/>
  <c r="ED11" i="115" s="1"/>
  <c r="ED14" i="115" s="1"/>
  <c r="ED20" i="115" s="1"/>
  <c r="EL8" i="115"/>
  <c r="EL11" i="115" s="1"/>
  <c r="EL14" i="115" s="1"/>
  <c r="EL20" i="115" s="1"/>
  <c r="ET8" i="115"/>
  <c r="ET11" i="115" s="1"/>
  <c r="ET14" i="115" s="1"/>
  <c r="ET20" i="115" s="1"/>
  <c r="CU8" i="110"/>
  <c r="CU11" i="110" s="1"/>
  <c r="CU14" i="110" s="1"/>
  <c r="CU20" i="110" s="1"/>
  <c r="EJ112" i="22" s="1"/>
  <c r="DC8" i="110"/>
  <c r="DC11" i="110" s="1"/>
  <c r="DC14" i="110" s="1"/>
  <c r="DC20" i="110" s="1"/>
  <c r="ER112" i="22" s="1"/>
  <c r="DK8" i="110"/>
  <c r="DK11" i="110" s="1"/>
  <c r="DK14" i="110" s="1"/>
  <c r="DK20" i="110" s="1"/>
  <c r="EZ112" i="22" s="1"/>
  <c r="DS8" i="110"/>
  <c r="DS11" i="110" s="1"/>
  <c r="DS14" i="110" s="1"/>
  <c r="DS20" i="110" s="1"/>
  <c r="FH112" i="22" s="1"/>
  <c r="EA8" i="110"/>
  <c r="EA11" i="110" s="1"/>
  <c r="EA14" i="110" s="1"/>
  <c r="EA20" i="110" s="1"/>
  <c r="EI8" i="110"/>
  <c r="EI11" i="110" s="1"/>
  <c r="EI14" i="110" s="1"/>
  <c r="EI20" i="110" s="1"/>
  <c r="EQ8" i="110"/>
  <c r="EQ11" i="110" s="1"/>
  <c r="EQ14" i="110" s="1"/>
  <c r="EQ20" i="110" s="1"/>
  <c r="EY8" i="110"/>
  <c r="EY11" i="110" s="1"/>
  <c r="EY14" i="110" s="1"/>
  <c r="EY20" i="110" s="1"/>
  <c r="FG8" i="110"/>
  <c r="FG11" i="110" s="1"/>
  <c r="FG14" i="110" s="1"/>
  <c r="FG20" i="110" s="1"/>
  <c r="FO8" i="110"/>
  <c r="FO11" i="110" s="1"/>
  <c r="FO14" i="110" s="1"/>
  <c r="FO20" i="110" s="1"/>
  <c r="CS8" i="122"/>
  <c r="CS13" i="122" s="1"/>
  <c r="CS18" i="122" s="1"/>
  <c r="CS24" i="122" s="1"/>
  <c r="EH123" i="22" s="1"/>
  <c r="CR8" i="122"/>
  <c r="CR13" i="122" s="1"/>
  <c r="CR18" i="122" s="1"/>
  <c r="CR24" i="122" s="1"/>
  <c r="EG123" i="22" s="1"/>
  <c r="DE8" i="115"/>
  <c r="DE11" i="115" s="1"/>
  <c r="DE14" i="115" s="1"/>
  <c r="DE20" i="115" s="1"/>
  <c r="ET117" i="22" s="1"/>
  <c r="EB8" i="115"/>
  <c r="EB11" i="115" s="1"/>
  <c r="EB14" i="115" s="1"/>
  <c r="EB20" i="115" s="1"/>
  <c r="ES8" i="115"/>
  <c r="ES11" i="115" s="1"/>
  <c r="ES14" i="115" s="1"/>
  <c r="ES20" i="115" s="1"/>
  <c r="CS8" i="110"/>
  <c r="CS11" i="110" s="1"/>
  <c r="CS14" i="110" s="1"/>
  <c r="CS20" i="110" s="1"/>
  <c r="EH112" i="22" s="1"/>
  <c r="DI8" i="110"/>
  <c r="DI11" i="110" s="1"/>
  <c r="DI14" i="110" s="1"/>
  <c r="DI20" i="110" s="1"/>
  <c r="EX112" i="22" s="1"/>
  <c r="DY8" i="110"/>
  <c r="DY11" i="110" s="1"/>
  <c r="DY14" i="110" s="1"/>
  <c r="DY20" i="110" s="1"/>
  <c r="EO8" i="110"/>
  <c r="EO11" i="110" s="1"/>
  <c r="EO14" i="110" s="1"/>
  <c r="EO20" i="110" s="1"/>
  <c r="FE8" i="110"/>
  <c r="FE11" i="110" s="1"/>
  <c r="FE14" i="110" s="1"/>
  <c r="FE20" i="110" s="1"/>
  <c r="FU8" i="110"/>
  <c r="FU11" i="110" s="1"/>
  <c r="FU14" i="110" s="1"/>
  <c r="FU20" i="110" s="1"/>
  <c r="CV8" i="109"/>
  <c r="CV11" i="109" s="1"/>
  <c r="CV14" i="109" s="1"/>
  <c r="CV20" i="109" s="1"/>
  <c r="EK111" i="22" s="1"/>
  <c r="DD8" i="109"/>
  <c r="DD11" i="109" s="1"/>
  <c r="DD14" i="109" s="1"/>
  <c r="DD20" i="109" s="1"/>
  <c r="ES111" i="22" s="1"/>
  <c r="EB8" i="109"/>
  <c r="EB11" i="109" s="1"/>
  <c r="EB14" i="109" s="1"/>
  <c r="EB20" i="109" s="1"/>
  <c r="EJ8" i="109"/>
  <c r="EJ11" i="109" s="1"/>
  <c r="EJ14" i="109" s="1"/>
  <c r="EJ20" i="109" s="1"/>
  <c r="ER8" i="109"/>
  <c r="ER11" i="109" s="1"/>
  <c r="ER14" i="109" s="1"/>
  <c r="ER20" i="109" s="1"/>
  <c r="EZ8" i="109"/>
  <c r="EZ11" i="109" s="1"/>
  <c r="EZ14" i="109" s="1"/>
  <c r="EZ20" i="109" s="1"/>
  <c r="DH8" i="108"/>
  <c r="DH11" i="108" s="1"/>
  <c r="DH14" i="108" s="1"/>
  <c r="DH20" i="108" s="1"/>
  <c r="EW110" i="22" s="1"/>
  <c r="CW8" i="108"/>
  <c r="CW11" i="108" s="1"/>
  <c r="CW14" i="108" s="1"/>
  <c r="CW20" i="108" s="1"/>
  <c r="EL110" i="22" s="1"/>
  <c r="CW8" i="107"/>
  <c r="CW11" i="107" s="1"/>
  <c r="CW14" i="107" s="1"/>
  <c r="DE8" i="107"/>
  <c r="DE11" i="107" s="1"/>
  <c r="DE14" i="107" s="1"/>
  <c r="DE20" i="107" s="1"/>
  <c r="ET109" i="22" s="1"/>
  <c r="DM8" i="107"/>
  <c r="DM11" i="107" s="1"/>
  <c r="DM14" i="107" s="1"/>
  <c r="DM20" i="107" s="1"/>
  <c r="FB109" i="22" s="1"/>
  <c r="DU8" i="107"/>
  <c r="DU11" i="107" s="1"/>
  <c r="DU14" i="107" s="1"/>
  <c r="DU20" i="107" s="1"/>
  <c r="EC8" i="107"/>
  <c r="EC11" i="107" s="1"/>
  <c r="EC14" i="107" s="1"/>
  <c r="EC20" i="107" s="1"/>
  <c r="EK8" i="107"/>
  <c r="EK11" i="107" s="1"/>
  <c r="EK14" i="107" s="1"/>
  <c r="EK20" i="107" s="1"/>
  <c r="DC8" i="106"/>
  <c r="DC11" i="106" s="1"/>
  <c r="CZ8" i="106"/>
  <c r="CZ11" i="106" s="1"/>
  <c r="CT8" i="106"/>
  <c r="CT11" i="106" s="1"/>
  <c r="DF8" i="105"/>
  <c r="DF11" i="105" s="1"/>
  <c r="DF14" i="105" s="1"/>
  <c r="DF20" i="105" s="1"/>
  <c r="EU108" i="22" s="1"/>
  <c r="DN8" i="105"/>
  <c r="DN11" i="105" s="1"/>
  <c r="DN14" i="105" s="1"/>
  <c r="DN20" i="105" s="1"/>
  <c r="FC108" i="22" s="1"/>
  <c r="DV8" i="105"/>
  <c r="DV11" i="105" s="1"/>
  <c r="DV14" i="105" s="1"/>
  <c r="DV20" i="105" s="1"/>
  <c r="ED8" i="105"/>
  <c r="ED11" i="105" s="1"/>
  <c r="ED14" i="105" s="1"/>
  <c r="ED20" i="105" s="1"/>
  <c r="CS8" i="104"/>
  <c r="CS11" i="104" s="1"/>
  <c r="CS14" i="104" s="1"/>
  <c r="DA8" i="104"/>
  <c r="DA11" i="104" s="1"/>
  <c r="DA14" i="104" s="1"/>
  <c r="DI8" i="104"/>
  <c r="DI11" i="104" s="1"/>
  <c r="DI14" i="104" s="1"/>
  <c r="DQ8" i="104"/>
  <c r="DQ11" i="104" s="1"/>
  <c r="DQ14" i="104" s="1"/>
  <c r="DY8" i="104"/>
  <c r="DY11" i="104" s="1"/>
  <c r="DY14" i="104" s="1"/>
  <c r="DY20" i="104" s="1"/>
  <c r="EG8" i="104"/>
  <c r="EG11" i="104" s="1"/>
  <c r="EG14" i="104" s="1"/>
  <c r="EG20" i="104" s="1"/>
  <c r="DG8" i="103"/>
  <c r="DG11" i="103" s="1"/>
  <c r="DG14" i="103" s="1"/>
  <c r="DG20" i="103" s="1"/>
  <c r="EV106" i="22" s="1"/>
  <c r="DO8" i="103"/>
  <c r="DO11" i="103" s="1"/>
  <c r="DO14" i="103" s="1"/>
  <c r="DO20" i="103" s="1"/>
  <c r="FD106" i="22" s="1"/>
  <c r="DW8" i="103"/>
  <c r="DW11" i="103" s="1"/>
  <c r="DW14" i="103" s="1"/>
  <c r="DW20" i="103" s="1"/>
  <c r="EE8" i="103"/>
  <c r="EE11" i="103" s="1"/>
  <c r="EE14" i="103" s="1"/>
  <c r="EE20" i="103" s="1"/>
  <c r="EM8" i="103"/>
  <c r="EM11" i="103" s="1"/>
  <c r="EM14" i="103" s="1"/>
  <c r="EM20" i="103" s="1"/>
  <c r="EU8" i="103"/>
  <c r="EU11" i="103" s="1"/>
  <c r="EU14" i="103" s="1"/>
  <c r="EU20" i="103" s="1"/>
  <c r="CU8" i="102"/>
  <c r="CU11" i="102" s="1"/>
  <c r="CU14" i="102" s="1"/>
  <c r="CU20" i="102" s="1"/>
  <c r="DC8" i="102"/>
  <c r="DC11" i="102" s="1"/>
  <c r="DC14" i="102" s="1"/>
  <c r="DC20" i="102" s="1"/>
  <c r="DK8" i="102"/>
  <c r="DK11" i="102" s="1"/>
  <c r="DK14" i="102" s="1"/>
  <c r="DK20" i="102" s="1"/>
  <c r="DS8" i="102"/>
  <c r="DS11" i="102" s="1"/>
  <c r="DS14" i="102" s="1"/>
  <c r="DS20" i="102" s="1"/>
  <c r="DD8" i="118"/>
  <c r="DD13" i="118" s="1"/>
  <c r="DD18" i="118" s="1"/>
  <c r="DD24" i="118" s="1"/>
  <c r="ES120" i="22" s="1"/>
  <c r="CT8" i="120"/>
  <c r="CT13" i="120" s="1"/>
  <c r="CT18" i="120" s="1"/>
  <c r="CT24" i="120" s="1"/>
  <c r="EI122" i="22" s="1"/>
  <c r="CU8" i="122"/>
  <c r="CU13" i="122" s="1"/>
  <c r="CU18" i="122" s="1"/>
  <c r="CU24" i="122" s="1"/>
  <c r="EJ123" i="22" s="1"/>
  <c r="DG8" i="115"/>
  <c r="DG11" i="115" s="1"/>
  <c r="DG14" i="115" s="1"/>
  <c r="DG20" i="115" s="1"/>
  <c r="EV117" i="22" s="1"/>
  <c r="EC8" i="115"/>
  <c r="EC11" i="115" s="1"/>
  <c r="EC14" i="115" s="1"/>
  <c r="EC20" i="115" s="1"/>
  <c r="EU8" i="115"/>
  <c r="EU11" i="115" s="1"/>
  <c r="EU14" i="115" s="1"/>
  <c r="EU20" i="115" s="1"/>
  <c r="CT8" i="110"/>
  <c r="CT11" i="110" s="1"/>
  <c r="CT14" i="110" s="1"/>
  <c r="CT20" i="110" s="1"/>
  <c r="EI112" i="22" s="1"/>
  <c r="DJ8" i="110"/>
  <c r="DJ11" i="110" s="1"/>
  <c r="DJ14" i="110" s="1"/>
  <c r="DJ20" i="110" s="1"/>
  <c r="EY112" i="22" s="1"/>
  <c r="DZ8" i="110"/>
  <c r="DZ11" i="110" s="1"/>
  <c r="DZ14" i="110" s="1"/>
  <c r="DZ20" i="110" s="1"/>
  <c r="EP8" i="110"/>
  <c r="EP11" i="110" s="1"/>
  <c r="EP14" i="110" s="1"/>
  <c r="EP20" i="110" s="1"/>
  <c r="FF8" i="110"/>
  <c r="FF11" i="110" s="1"/>
  <c r="FF14" i="110" s="1"/>
  <c r="FF20" i="110" s="1"/>
  <c r="FV8" i="110"/>
  <c r="FV11" i="110" s="1"/>
  <c r="FV14" i="110" s="1"/>
  <c r="FV20" i="110" s="1"/>
  <c r="CW8" i="109"/>
  <c r="CW11" i="109" s="1"/>
  <c r="CW14" i="109" s="1"/>
  <c r="CW20" i="109" s="1"/>
  <c r="EL111" i="22" s="1"/>
  <c r="DE8" i="109"/>
  <c r="DE11" i="109" s="1"/>
  <c r="DE14" i="109" s="1"/>
  <c r="DE20" i="109" s="1"/>
  <c r="ET111" i="22" s="1"/>
  <c r="EC8" i="109"/>
  <c r="EC11" i="109" s="1"/>
  <c r="EC14" i="109" s="1"/>
  <c r="EC20" i="109" s="1"/>
  <c r="EK8" i="109"/>
  <c r="EK11" i="109" s="1"/>
  <c r="EK14" i="109" s="1"/>
  <c r="EK20" i="109" s="1"/>
  <c r="ES8" i="109"/>
  <c r="ES11" i="109" s="1"/>
  <c r="ES14" i="109" s="1"/>
  <c r="ES20" i="109" s="1"/>
  <c r="FA8" i="109"/>
  <c r="FA11" i="109" s="1"/>
  <c r="FA14" i="109" s="1"/>
  <c r="FA20" i="109" s="1"/>
  <c r="DA8" i="108"/>
  <c r="DA11" i="108" s="1"/>
  <c r="DA14" i="108" s="1"/>
  <c r="DA20" i="108" s="1"/>
  <c r="EP110" i="22" s="1"/>
  <c r="DI8" i="108"/>
  <c r="DI11" i="108" s="1"/>
  <c r="DI14" i="108" s="1"/>
  <c r="DI20" i="108" s="1"/>
  <c r="EX110" i="22" s="1"/>
  <c r="CX8" i="107"/>
  <c r="CX11" i="107" s="1"/>
  <c r="CX14" i="107" s="1"/>
  <c r="CX20" i="107" s="1"/>
  <c r="EM109" i="22" s="1"/>
  <c r="DF8" i="107"/>
  <c r="DF11" i="107" s="1"/>
  <c r="DF14" i="107" s="1"/>
  <c r="DF20" i="107" s="1"/>
  <c r="EU109" i="22" s="1"/>
  <c r="DN8" i="107"/>
  <c r="DN11" i="107" s="1"/>
  <c r="DN14" i="107" s="1"/>
  <c r="DN20" i="107" s="1"/>
  <c r="FC109" i="22" s="1"/>
  <c r="DV8" i="107"/>
  <c r="DV11" i="107" s="1"/>
  <c r="DV14" i="107" s="1"/>
  <c r="DV20" i="107" s="1"/>
  <c r="ED8" i="107"/>
  <c r="ED11" i="107" s="1"/>
  <c r="ED14" i="107" s="1"/>
  <c r="ED20" i="107" s="1"/>
  <c r="CR8" i="107"/>
  <c r="DA9" i="106"/>
  <c r="DA12" i="106" s="1"/>
  <c r="CU9" i="106"/>
  <c r="CU12" i="106" s="1"/>
  <c r="CS9" i="106"/>
  <c r="CS12" i="106" s="1"/>
  <c r="DG8" i="105"/>
  <c r="DG11" i="105" s="1"/>
  <c r="DG14" i="105" s="1"/>
  <c r="DG20" i="105" s="1"/>
  <c r="EV108" i="22" s="1"/>
  <c r="DO8" i="105"/>
  <c r="DO11" i="105" s="1"/>
  <c r="DO14" i="105" s="1"/>
  <c r="DO20" i="105" s="1"/>
  <c r="FD108" i="22" s="1"/>
  <c r="DW8" i="105"/>
  <c r="DW11" i="105" s="1"/>
  <c r="DW14" i="105" s="1"/>
  <c r="DW20" i="105" s="1"/>
  <c r="EE8" i="105"/>
  <c r="EE11" i="105" s="1"/>
  <c r="EE14" i="105" s="1"/>
  <c r="EE20" i="105" s="1"/>
  <c r="CV8" i="105"/>
  <c r="CV11" i="105" s="1"/>
  <c r="CV14" i="105" s="1"/>
  <c r="CV20" i="105" s="1"/>
  <c r="EK108" i="22" s="1"/>
  <c r="CT8" i="104"/>
  <c r="CT11" i="104" s="1"/>
  <c r="CT14" i="104" s="1"/>
  <c r="DB8" i="104"/>
  <c r="DB11" i="104" s="1"/>
  <c r="DB14" i="104" s="1"/>
  <c r="DJ8" i="104"/>
  <c r="DJ11" i="104" s="1"/>
  <c r="DJ14" i="104" s="1"/>
  <c r="DR8" i="104"/>
  <c r="DR11" i="104" s="1"/>
  <c r="DR14" i="104" s="1"/>
  <c r="DR20" i="104" s="1"/>
  <c r="FG107" i="22" s="1"/>
  <c r="DZ8" i="104"/>
  <c r="DZ11" i="104" s="1"/>
  <c r="DZ14" i="104" s="1"/>
  <c r="DZ20" i="104" s="1"/>
  <c r="EH8" i="104"/>
  <c r="EH11" i="104" s="1"/>
  <c r="EH14" i="104" s="1"/>
  <c r="EH20" i="104" s="1"/>
  <c r="DH8" i="103"/>
  <c r="DH11" i="103" s="1"/>
  <c r="DH14" i="103" s="1"/>
  <c r="DH20" i="103" s="1"/>
  <c r="EW106" i="22" s="1"/>
  <c r="DP8" i="103"/>
  <c r="DP11" i="103" s="1"/>
  <c r="DP14" i="103" s="1"/>
  <c r="DP20" i="103" s="1"/>
  <c r="FE106" i="22" s="1"/>
  <c r="DX8" i="103"/>
  <c r="DX11" i="103" s="1"/>
  <c r="DX14" i="103" s="1"/>
  <c r="DX20" i="103" s="1"/>
  <c r="EF8" i="103"/>
  <c r="EF11" i="103" s="1"/>
  <c r="EF14" i="103" s="1"/>
  <c r="EF20" i="103" s="1"/>
  <c r="EN8" i="103"/>
  <c r="EN11" i="103" s="1"/>
  <c r="EN14" i="103" s="1"/>
  <c r="EN20" i="103" s="1"/>
  <c r="EV8" i="103"/>
  <c r="EV11" i="103" s="1"/>
  <c r="EV14" i="103" s="1"/>
  <c r="EV20" i="103" s="1"/>
  <c r="CV8" i="102"/>
  <c r="CV11" i="102" s="1"/>
  <c r="CV14" i="102" s="1"/>
  <c r="CV20" i="102" s="1"/>
  <c r="DD8" i="102"/>
  <c r="DD11" i="102" s="1"/>
  <c r="DD14" i="102" s="1"/>
  <c r="DD20" i="102" s="1"/>
  <c r="DL8" i="102"/>
  <c r="DL11" i="102" s="1"/>
  <c r="DL14" i="102" s="1"/>
  <c r="DL20" i="102" s="1"/>
  <c r="DT8" i="102"/>
  <c r="DT11" i="102" s="1"/>
  <c r="DT14" i="102" s="1"/>
  <c r="DT20" i="102" s="1"/>
  <c r="CW8" i="115"/>
  <c r="CW11" i="115" s="1"/>
  <c r="CW14" i="115" s="1"/>
  <c r="CW20" i="115" s="1"/>
  <c r="EL117" i="22" s="1"/>
  <c r="BW9" i="117"/>
  <c r="BW14" i="117" s="1"/>
  <c r="EA8" i="118"/>
  <c r="EA13" i="118" s="1"/>
  <c r="EA18" i="118" s="1"/>
  <c r="EA24" i="118" s="1"/>
  <c r="DL8" i="115"/>
  <c r="DL11" i="115" s="1"/>
  <c r="DL14" i="115" s="1"/>
  <c r="DL20" i="115" s="1"/>
  <c r="FA117" i="22" s="1"/>
  <c r="EE8" i="115"/>
  <c r="EE11" i="115" s="1"/>
  <c r="EE14" i="115" s="1"/>
  <c r="EE20" i="115" s="1"/>
  <c r="EX8" i="115"/>
  <c r="EX11" i="115" s="1"/>
  <c r="EX14" i="115" s="1"/>
  <c r="EX20" i="115" s="1"/>
  <c r="CV8" i="110"/>
  <c r="CV11" i="110" s="1"/>
  <c r="CV14" i="110" s="1"/>
  <c r="CV20" i="110" s="1"/>
  <c r="EK112" i="22" s="1"/>
  <c r="DL8" i="110"/>
  <c r="DL11" i="110" s="1"/>
  <c r="DL14" i="110" s="1"/>
  <c r="DL20" i="110" s="1"/>
  <c r="FA112" i="22" s="1"/>
  <c r="EB8" i="110"/>
  <c r="EB11" i="110" s="1"/>
  <c r="EB14" i="110" s="1"/>
  <c r="EB20" i="110" s="1"/>
  <c r="ER8" i="110"/>
  <c r="ER11" i="110" s="1"/>
  <c r="ER14" i="110" s="1"/>
  <c r="ER20" i="110" s="1"/>
  <c r="FH8" i="110"/>
  <c r="FH11" i="110" s="1"/>
  <c r="FH14" i="110" s="1"/>
  <c r="FH20" i="110" s="1"/>
  <c r="CX8" i="109"/>
  <c r="CX11" i="109" s="1"/>
  <c r="CX14" i="109" s="1"/>
  <c r="CX20" i="109" s="1"/>
  <c r="EM111" i="22" s="1"/>
  <c r="DF8" i="109"/>
  <c r="DF11" i="109" s="1"/>
  <c r="DF14" i="109" s="1"/>
  <c r="DF20" i="109" s="1"/>
  <c r="EU111" i="22" s="1"/>
  <c r="ED8" i="109"/>
  <c r="ED11" i="109" s="1"/>
  <c r="ED14" i="109" s="1"/>
  <c r="ED20" i="109" s="1"/>
  <c r="EL8" i="109"/>
  <c r="EL11" i="109" s="1"/>
  <c r="EL14" i="109" s="1"/>
  <c r="EL20" i="109" s="1"/>
  <c r="ET8" i="109"/>
  <c r="ET11" i="109" s="1"/>
  <c r="ET14" i="109" s="1"/>
  <c r="ET20" i="109" s="1"/>
  <c r="DB8" i="108"/>
  <c r="DB11" i="108" s="1"/>
  <c r="DB14" i="108" s="1"/>
  <c r="DB20" i="108" s="1"/>
  <c r="EQ110" i="22" s="1"/>
  <c r="DJ8" i="108"/>
  <c r="DJ11" i="108" s="1"/>
  <c r="DJ14" i="108" s="1"/>
  <c r="DJ20" i="108" s="1"/>
  <c r="EY110" i="22" s="1"/>
  <c r="CX8" i="108"/>
  <c r="CX11" i="108" s="1"/>
  <c r="CX14" i="108" s="1"/>
  <c r="CX20" i="108" s="1"/>
  <c r="EM110" i="22" s="1"/>
  <c r="CY8" i="107"/>
  <c r="CY11" i="107" s="1"/>
  <c r="CY14" i="107" s="1"/>
  <c r="CY20" i="107" s="1"/>
  <c r="EN109" i="22" s="1"/>
  <c r="DG8" i="107"/>
  <c r="DG11" i="107" s="1"/>
  <c r="DG14" i="107" s="1"/>
  <c r="DG20" i="107" s="1"/>
  <c r="EV109" i="22" s="1"/>
  <c r="DO8" i="107"/>
  <c r="DO11" i="107" s="1"/>
  <c r="DO14" i="107" s="1"/>
  <c r="DO20" i="107" s="1"/>
  <c r="FD109" i="22" s="1"/>
  <c r="DW8" i="107"/>
  <c r="DW11" i="107" s="1"/>
  <c r="DW14" i="107" s="1"/>
  <c r="DW20" i="107" s="1"/>
  <c r="EE8" i="107"/>
  <c r="EE11" i="107" s="1"/>
  <c r="EE14" i="107" s="1"/>
  <c r="EE20" i="107" s="1"/>
  <c r="DB9" i="106"/>
  <c r="DB12" i="106" s="1"/>
  <c r="CV9" i="106"/>
  <c r="CV12" i="106" s="1"/>
  <c r="CT9" i="106"/>
  <c r="CT12" i="106" s="1"/>
  <c r="DH8" i="105"/>
  <c r="DH11" i="105" s="1"/>
  <c r="DH14" i="105" s="1"/>
  <c r="DH20" i="105" s="1"/>
  <c r="EW108" i="22" s="1"/>
  <c r="DP8" i="105"/>
  <c r="DP11" i="105" s="1"/>
  <c r="DP14" i="105" s="1"/>
  <c r="DP20" i="105" s="1"/>
  <c r="FE108" i="22" s="1"/>
  <c r="DX8" i="105"/>
  <c r="DX11" i="105" s="1"/>
  <c r="DX14" i="105" s="1"/>
  <c r="DX20" i="105" s="1"/>
  <c r="EF8" i="105"/>
  <c r="EF11" i="105" s="1"/>
  <c r="EF14" i="105" s="1"/>
  <c r="EF20" i="105" s="1"/>
  <c r="CW8" i="105"/>
  <c r="CW11" i="105" s="1"/>
  <c r="CW14" i="105" s="1"/>
  <c r="CW20" i="105" s="1"/>
  <c r="EL108" i="22" s="1"/>
  <c r="CU8" i="104"/>
  <c r="CU11" i="104" s="1"/>
  <c r="CU14" i="104" s="1"/>
  <c r="DC8" i="104"/>
  <c r="DC11" i="104" s="1"/>
  <c r="DC14" i="104" s="1"/>
  <c r="DK8" i="104"/>
  <c r="DK11" i="104" s="1"/>
  <c r="DK14" i="104" s="1"/>
  <c r="DS8" i="104"/>
  <c r="DS11" i="104" s="1"/>
  <c r="DS14" i="104" s="1"/>
  <c r="DS20" i="104" s="1"/>
  <c r="FH107" i="22" s="1"/>
  <c r="EA8" i="104"/>
  <c r="EA11" i="104" s="1"/>
  <c r="EA14" i="104" s="1"/>
  <c r="EA20" i="104" s="1"/>
  <c r="EI8" i="104"/>
  <c r="EI11" i="104" s="1"/>
  <c r="EI14" i="104" s="1"/>
  <c r="EI20" i="104" s="1"/>
  <c r="CR8" i="104"/>
  <c r="CR11" i="104" s="1"/>
  <c r="CR14" i="104" s="1"/>
  <c r="DI8" i="103"/>
  <c r="DI11" i="103" s="1"/>
  <c r="DI14" i="103" s="1"/>
  <c r="DI20" i="103" s="1"/>
  <c r="EX106" i="22" s="1"/>
  <c r="DQ8" i="103"/>
  <c r="DQ11" i="103" s="1"/>
  <c r="DQ14" i="103" s="1"/>
  <c r="DQ20" i="103" s="1"/>
  <c r="FF106" i="22" s="1"/>
  <c r="DY8" i="103"/>
  <c r="DY11" i="103" s="1"/>
  <c r="DY14" i="103" s="1"/>
  <c r="DY20" i="103" s="1"/>
  <c r="EG8" i="103"/>
  <c r="EG11" i="103" s="1"/>
  <c r="EG14" i="103" s="1"/>
  <c r="EG20" i="103" s="1"/>
  <c r="EO8" i="103"/>
  <c r="EO11" i="103" s="1"/>
  <c r="EO14" i="103" s="1"/>
  <c r="EO20" i="103" s="1"/>
  <c r="EW8" i="103"/>
  <c r="EW11" i="103" s="1"/>
  <c r="EW14" i="103" s="1"/>
  <c r="EW20" i="103" s="1"/>
  <c r="CW8" i="102"/>
  <c r="CW11" i="102" s="1"/>
  <c r="CW14" i="102" s="1"/>
  <c r="CW20" i="102" s="1"/>
  <c r="DE8" i="102"/>
  <c r="DE11" i="102" s="1"/>
  <c r="DE14" i="102" s="1"/>
  <c r="DE20" i="102" s="1"/>
  <c r="DM8" i="102"/>
  <c r="DM11" i="102" s="1"/>
  <c r="DM14" i="102" s="1"/>
  <c r="DM20" i="102" s="1"/>
  <c r="DU8" i="102"/>
  <c r="DU11" i="102" s="1"/>
  <c r="DU14" i="102" s="1"/>
  <c r="DU20" i="102" s="1"/>
  <c r="EM8" i="115"/>
  <c r="EM11" i="115" s="1"/>
  <c r="EM14" i="115" s="1"/>
  <c r="EM20" i="115" s="1"/>
  <c r="DM8" i="117"/>
  <c r="DM13" i="117" s="1"/>
  <c r="DM8" i="115"/>
  <c r="DM11" i="115" s="1"/>
  <c r="DM14" i="115" s="1"/>
  <c r="DM20" i="115" s="1"/>
  <c r="FB117" i="22" s="1"/>
  <c r="EJ8" i="115"/>
  <c r="EJ11" i="115" s="1"/>
  <c r="EJ14" i="115" s="1"/>
  <c r="EJ20" i="115" s="1"/>
  <c r="EZ8" i="115"/>
  <c r="EZ11" i="115" s="1"/>
  <c r="EZ14" i="115" s="1"/>
  <c r="EZ20" i="115" s="1"/>
  <c r="CY8" i="110"/>
  <c r="CY11" i="110" s="1"/>
  <c r="CY14" i="110" s="1"/>
  <c r="CY20" i="110" s="1"/>
  <c r="EN112" i="22" s="1"/>
  <c r="DO8" i="110"/>
  <c r="DO11" i="110" s="1"/>
  <c r="DO14" i="110" s="1"/>
  <c r="DO20" i="110" s="1"/>
  <c r="FD112" i="22" s="1"/>
  <c r="EE8" i="110"/>
  <c r="EE11" i="110" s="1"/>
  <c r="EE14" i="110" s="1"/>
  <c r="EE20" i="110" s="1"/>
  <c r="EU8" i="110"/>
  <c r="EU11" i="110" s="1"/>
  <c r="EU14" i="110" s="1"/>
  <c r="EU20" i="110" s="1"/>
  <c r="FK8" i="110"/>
  <c r="FK11" i="110" s="1"/>
  <c r="FK14" i="110" s="1"/>
  <c r="FK20" i="110" s="1"/>
  <c r="CY8" i="109"/>
  <c r="CY11" i="109" s="1"/>
  <c r="CY14" i="109" s="1"/>
  <c r="CY20" i="109" s="1"/>
  <c r="EN111" i="22" s="1"/>
  <c r="EE8" i="109"/>
  <c r="EE11" i="109" s="1"/>
  <c r="EE14" i="109" s="1"/>
  <c r="EE20" i="109" s="1"/>
  <c r="EM8" i="109"/>
  <c r="EM11" i="109" s="1"/>
  <c r="EM14" i="109" s="1"/>
  <c r="EM20" i="109" s="1"/>
  <c r="EU8" i="109"/>
  <c r="EU11" i="109" s="1"/>
  <c r="EU14" i="109" s="1"/>
  <c r="EU20" i="109" s="1"/>
  <c r="DC8" i="108"/>
  <c r="DC11" i="108" s="1"/>
  <c r="DC14" i="108" s="1"/>
  <c r="DC20" i="108" s="1"/>
  <c r="ER110" i="22" s="1"/>
  <c r="DK8" i="108"/>
  <c r="DK11" i="108" s="1"/>
  <c r="DK14" i="108" s="1"/>
  <c r="DK20" i="108" s="1"/>
  <c r="EZ110" i="22" s="1"/>
  <c r="CY8" i="108"/>
  <c r="CY11" i="108" s="1"/>
  <c r="CY14" i="108" s="1"/>
  <c r="CY20" i="108" s="1"/>
  <c r="EN110" i="22" s="1"/>
  <c r="CR8" i="108"/>
  <c r="CR11" i="108" s="1"/>
  <c r="CR14" i="108" s="1"/>
  <c r="CR20" i="108" s="1"/>
  <c r="EG110" i="22" s="1"/>
  <c r="CZ8" i="107"/>
  <c r="CZ11" i="107" s="1"/>
  <c r="CZ14" i="107" s="1"/>
  <c r="CZ20" i="107" s="1"/>
  <c r="EO109" i="22" s="1"/>
  <c r="DH8" i="107"/>
  <c r="DH11" i="107" s="1"/>
  <c r="DH14" i="107" s="1"/>
  <c r="DH20" i="107" s="1"/>
  <c r="EW109" i="22" s="1"/>
  <c r="DP8" i="107"/>
  <c r="DP11" i="107" s="1"/>
  <c r="DP14" i="107" s="1"/>
  <c r="DP20" i="107" s="1"/>
  <c r="FE109" i="22" s="1"/>
  <c r="DX8" i="107"/>
  <c r="DX11" i="107" s="1"/>
  <c r="DX14" i="107" s="1"/>
  <c r="DX20" i="107" s="1"/>
  <c r="EF8" i="107"/>
  <c r="EF11" i="107" s="1"/>
  <c r="EF14" i="107" s="1"/>
  <c r="EF20" i="107" s="1"/>
  <c r="DC9" i="106"/>
  <c r="DC12" i="106" s="1"/>
  <c r="CU8" i="106"/>
  <c r="CU11" i="106" s="1"/>
  <c r="CW9" i="106"/>
  <c r="CW12" i="106" s="1"/>
  <c r="CR9" i="106"/>
  <c r="CR12" i="106" s="1"/>
  <c r="DI8" i="105"/>
  <c r="DI11" i="105" s="1"/>
  <c r="DI14" i="105" s="1"/>
  <c r="DI20" i="105" s="1"/>
  <c r="EX108" i="22" s="1"/>
  <c r="DQ8" i="105"/>
  <c r="DQ11" i="105" s="1"/>
  <c r="DQ14" i="105" s="1"/>
  <c r="DQ20" i="105" s="1"/>
  <c r="FF108" i="22" s="1"/>
  <c r="DY8" i="105"/>
  <c r="DY11" i="105" s="1"/>
  <c r="DY14" i="105" s="1"/>
  <c r="DY20" i="105" s="1"/>
  <c r="CX8" i="105"/>
  <c r="CX11" i="105" s="1"/>
  <c r="CX14" i="105" s="1"/>
  <c r="CX20" i="105" s="1"/>
  <c r="EM108" i="22" s="1"/>
  <c r="CV8" i="104"/>
  <c r="CV11" i="104" s="1"/>
  <c r="CV14" i="104" s="1"/>
  <c r="DD8" i="104"/>
  <c r="DD11" i="104" s="1"/>
  <c r="DD14" i="104" s="1"/>
  <c r="DL8" i="104"/>
  <c r="DL11" i="104" s="1"/>
  <c r="DL14" i="104" s="1"/>
  <c r="DT8" i="104"/>
  <c r="DT11" i="104" s="1"/>
  <c r="DT14" i="104" s="1"/>
  <c r="DT20" i="104" s="1"/>
  <c r="EB8" i="104"/>
  <c r="EB11" i="104" s="1"/>
  <c r="EB14" i="104" s="1"/>
  <c r="EB20" i="104" s="1"/>
  <c r="EJ8" i="104"/>
  <c r="EJ11" i="104" s="1"/>
  <c r="EJ14" i="104" s="1"/>
  <c r="EJ20" i="104" s="1"/>
  <c r="DB8" i="103"/>
  <c r="DB11" i="103" s="1"/>
  <c r="DB14" i="103" s="1"/>
  <c r="DB20" i="103" s="1"/>
  <c r="EQ106" i="22" s="1"/>
  <c r="DJ8" i="103"/>
  <c r="DJ11" i="103" s="1"/>
  <c r="DJ14" i="103" s="1"/>
  <c r="DJ20" i="103" s="1"/>
  <c r="EY106" i="22" s="1"/>
  <c r="DR8" i="103"/>
  <c r="DR11" i="103" s="1"/>
  <c r="DR14" i="103" s="1"/>
  <c r="DR20" i="103" s="1"/>
  <c r="FG106" i="22" s="1"/>
  <c r="DZ8" i="103"/>
  <c r="DZ11" i="103" s="1"/>
  <c r="DZ14" i="103" s="1"/>
  <c r="DZ20" i="103" s="1"/>
  <c r="EH8" i="103"/>
  <c r="EH11" i="103" s="1"/>
  <c r="EH14" i="103" s="1"/>
  <c r="EH20" i="103" s="1"/>
  <c r="EP8" i="103"/>
  <c r="EP11" i="103" s="1"/>
  <c r="EP14" i="103" s="1"/>
  <c r="EP20" i="103" s="1"/>
  <c r="EX8" i="103"/>
  <c r="EX11" i="103" s="1"/>
  <c r="EX14" i="103" s="1"/>
  <c r="EX20" i="103" s="1"/>
  <c r="DA8" i="103"/>
  <c r="DA11" i="103" s="1"/>
  <c r="DA14" i="103" s="1"/>
  <c r="DA20" i="103" s="1"/>
  <c r="EP106" i="22" s="1"/>
  <c r="CX8" i="102"/>
  <c r="CX11" i="102" s="1"/>
  <c r="CX14" i="102" s="1"/>
  <c r="CX20" i="102" s="1"/>
  <c r="DF8" i="102"/>
  <c r="DF11" i="102" s="1"/>
  <c r="DF14" i="102" s="1"/>
  <c r="DF20" i="102" s="1"/>
  <c r="DN8" i="102"/>
  <c r="DN11" i="102" s="1"/>
  <c r="DN14" i="102" s="1"/>
  <c r="DN20" i="102" s="1"/>
  <c r="DT8" i="115"/>
  <c r="DT11" i="115" s="1"/>
  <c r="DT14" i="115" s="1"/>
  <c r="DT20" i="115" s="1"/>
  <c r="CT8" i="117"/>
  <c r="CT13" i="117" s="1"/>
  <c r="DC8" i="120"/>
  <c r="DC13" i="120" s="1"/>
  <c r="DC18" i="120" s="1"/>
  <c r="DC24" i="120" s="1"/>
  <c r="ER122" i="22" s="1"/>
  <c r="CV8" i="115"/>
  <c r="CV11" i="115" s="1"/>
  <c r="CV14" i="115" s="1"/>
  <c r="DO8" i="115"/>
  <c r="DO11" i="115" s="1"/>
  <c r="DO14" i="115" s="1"/>
  <c r="DO20" i="115" s="1"/>
  <c r="FD117" i="22" s="1"/>
  <c r="EK8" i="115"/>
  <c r="EK11" i="115" s="1"/>
  <c r="EK14" i="115" s="1"/>
  <c r="EK20" i="115" s="1"/>
  <c r="DA8" i="110"/>
  <c r="DA11" i="110" s="1"/>
  <c r="DA14" i="110" s="1"/>
  <c r="DA20" i="110" s="1"/>
  <c r="EP112" i="22" s="1"/>
  <c r="DQ8" i="110"/>
  <c r="DQ11" i="110" s="1"/>
  <c r="DQ14" i="110" s="1"/>
  <c r="DQ20" i="110" s="1"/>
  <c r="FF112" i="22" s="1"/>
  <c r="EG8" i="110"/>
  <c r="EG11" i="110" s="1"/>
  <c r="EG14" i="110" s="1"/>
  <c r="EG20" i="110" s="1"/>
  <c r="EW8" i="110"/>
  <c r="EW11" i="110" s="1"/>
  <c r="EW14" i="110" s="1"/>
  <c r="EW20" i="110" s="1"/>
  <c r="FM8" i="110"/>
  <c r="FM11" i="110" s="1"/>
  <c r="FM14" i="110" s="1"/>
  <c r="FM20" i="110" s="1"/>
  <c r="CZ8" i="109"/>
  <c r="CZ11" i="109" s="1"/>
  <c r="CZ14" i="109" s="1"/>
  <c r="CZ20" i="109" s="1"/>
  <c r="EO111" i="22" s="1"/>
  <c r="EF8" i="109"/>
  <c r="EF11" i="109" s="1"/>
  <c r="EF14" i="109" s="1"/>
  <c r="EF20" i="109" s="1"/>
  <c r="EN8" i="109"/>
  <c r="EN11" i="109" s="1"/>
  <c r="EN14" i="109" s="1"/>
  <c r="EN20" i="109" s="1"/>
  <c r="EV8" i="109"/>
  <c r="EV11" i="109" s="1"/>
  <c r="EV14" i="109" s="1"/>
  <c r="EV20" i="109" s="1"/>
  <c r="DD8" i="108"/>
  <c r="DD11" i="108" s="1"/>
  <c r="DD14" i="108" s="1"/>
  <c r="DD20" i="108" s="1"/>
  <c r="ES110" i="22" s="1"/>
  <c r="DL8" i="108"/>
  <c r="DL11" i="108" s="1"/>
  <c r="DL14" i="108" s="1"/>
  <c r="DL20" i="108" s="1"/>
  <c r="FA110" i="22" s="1"/>
  <c r="CZ8" i="108"/>
  <c r="CZ11" i="108" s="1"/>
  <c r="CZ14" i="108" s="1"/>
  <c r="CZ20" i="108" s="1"/>
  <c r="EO110" i="22" s="1"/>
  <c r="CS8" i="108"/>
  <c r="CS11" i="108" s="1"/>
  <c r="CS14" i="108" s="1"/>
  <c r="CS20" i="108" s="1"/>
  <c r="EH110" i="22" s="1"/>
  <c r="DA8" i="107"/>
  <c r="DA11" i="107" s="1"/>
  <c r="DA14" i="107" s="1"/>
  <c r="DA20" i="107" s="1"/>
  <c r="EP109" i="22" s="1"/>
  <c r="DI8" i="107"/>
  <c r="DI11" i="107" s="1"/>
  <c r="DI14" i="107" s="1"/>
  <c r="DI20" i="107" s="1"/>
  <c r="EX109" i="22" s="1"/>
  <c r="DQ8" i="107"/>
  <c r="DQ11" i="107" s="1"/>
  <c r="DQ14" i="107" s="1"/>
  <c r="DQ20" i="107" s="1"/>
  <c r="FF109" i="22" s="1"/>
  <c r="DY8" i="107"/>
  <c r="DY11" i="107" s="1"/>
  <c r="DY14" i="107" s="1"/>
  <c r="DY20" i="107" s="1"/>
  <c r="EG8" i="107"/>
  <c r="EG11" i="107" s="1"/>
  <c r="EG14" i="107" s="1"/>
  <c r="EG20" i="107" s="1"/>
  <c r="CV8" i="106"/>
  <c r="CV11" i="106" s="1"/>
  <c r="CX9" i="106"/>
  <c r="CX12" i="106" s="1"/>
  <c r="CR8" i="106"/>
  <c r="CR11" i="106" s="1"/>
  <c r="DB8" i="105"/>
  <c r="DB11" i="105" s="1"/>
  <c r="DB14" i="105" s="1"/>
  <c r="DB20" i="105" s="1"/>
  <c r="EQ108" i="22" s="1"/>
  <c r="DJ8" i="105"/>
  <c r="DJ11" i="105" s="1"/>
  <c r="DJ14" i="105" s="1"/>
  <c r="DJ20" i="105" s="1"/>
  <c r="EY108" i="22" s="1"/>
  <c r="DR8" i="105"/>
  <c r="DR11" i="105" s="1"/>
  <c r="DR14" i="105" s="1"/>
  <c r="DR20" i="105" s="1"/>
  <c r="FG108" i="22" s="1"/>
  <c r="CD108" i="22" s="1"/>
  <c r="DZ8" i="105"/>
  <c r="DZ11" i="105" s="1"/>
  <c r="DZ14" i="105" s="1"/>
  <c r="DZ20" i="105" s="1"/>
  <c r="CY8" i="105"/>
  <c r="CY11" i="105" s="1"/>
  <c r="CY14" i="105" s="1"/>
  <c r="CY20" i="105" s="1"/>
  <c r="EN108" i="22" s="1"/>
  <c r="CS8" i="105"/>
  <c r="CS11" i="105" s="1"/>
  <c r="CS14" i="105" s="1"/>
  <c r="CS20" i="105" s="1"/>
  <c r="EH108" i="22" s="1"/>
  <c r="CW8" i="104"/>
  <c r="CW11" i="104" s="1"/>
  <c r="CW14" i="104" s="1"/>
  <c r="DE8" i="104"/>
  <c r="DE11" i="104" s="1"/>
  <c r="DE14" i="104" s="1"/>
  <c r="DM8" i="104"/>
  <c r="DM11" i="104" s="1"/>
  <c r="DM14" i="104" s="1"/>
  <c r="DU8" i="104"/>
  <c r="DU11" i="104" s="1"/>
  <c r="DU14" i="104" s="1"/>
  <c r="DU20" i="104" s="1"/>
  <c r="EC8" i="104"/>
  <c r="EC11" i="104" s="1"/>
  <c r="EC14" i="104" s="1"/>
  <c r="EC20" i="104" s="1"/>
  <c r="EK8" i="104"/>
  <c r="EK11" i="104" s="1"/>
  <c r="EK14" i="104" s="1"/>
  <c r="EK20" i="104" s="1"/>
  <c r="DC8" i="103"/>
  <c r="DC11" i="103" s="1"/>
  <c r="DC14" i="103" s="1"/>
  <c r="DC20" i="103" s="1"/>
  <c r="ER106" i="22" s="1"/>
  <c r="DK8" i="103"/>
  <c r="DK11" i="103" s="1"/>
  <c r="DK14" i="103" s="1"/>
  <c r="DK20" i="103" s="1"/>
  <c r="EZ106" i="22" s="1"/>
  <c r="DS8" i="103"/>
  <c r="DS11" i="103" s="1"/>
  <c r="DS14" i="103" s="1"/>
  <c r="DS20" i="103" s="1"/>
  <c r="FH106" i="22" s="1"/>
  <c r="EA8" i="103"/>
  <c r="EA11" i="103" s="1"/>
  <c r="EA14" i="103" s="1"/>
  <c r="EA20" i="103" s="1"/>
  <c r="EI8" i="103"/>
  <c r="EI11" i="103" s="1"/>
  <c r="EI14" i="103" s="1"/>
  <c r="EI20" i="103" s="1"/>
  <c r="EQ8" i="103"/>
  <c r="EQ11" i="103" s="1"/>
  <c r="EQ14" i="103" s="1"/>
  <c r="EQ20" i="103" s="1"/>
  <c r="CY8" i="102"/>
  <c r="CY11" i="102" s="1"/>
  <c r="CY14" i="102" s="1"/>
  <c r="CY20" i="102" s="1"/>
  <c r="DG8" i="102"/>
  <c r="DG11" i="102" s="1"/>
  <c r="DG14" i="102" s="1"/>
  <c r="DG20" i="102" s="1"/>
  <c r="DO8" i="102"/>
  <c r="DO11" i="102" s="1"/>
  <c r="DO14" i="102" s="1"/>
  <c r="DO20" i="102" s="1"/>
  <c r="CR8" i="102"/>
  <c r="CR11" i="102" s="1"/>
  <c r="CR14" i="102" s="1"/>
  <c r="CR20" i="102" s="1"/>
  <c r="DO8" i="120"/>
  <c r="DO13" i="120" s="1"/>
  <c r="DO18" i="120" s="1"/>
  <c r="DO24" i="120" s="1"/>
  <c r="FD122" i="22" s="1"/>
  <c r="DM8" i="122"/>
  <c r="DM13" i="122" s="1"/>
  <c r="DM18" i="122" s="1"/>
  <c r="DM24" i="122" s="1"/>
  <c r="FB123" i="22" s="1"/>
  <c r="EE8" i="120"/>
  <c r="EE13" i="120" s="1"/>
  <c r="EE18" i="120" s="1"/>
  <c r="EE24" i="120" s="1"/>
  <c r="DO8" i="122"/>
  <c r="DO13" i="122" s="1"/>
  <c r="DO18" i="122" s="1"/>
  <c r="DO24" i="122" s="1"/>
  <c r="FD123" i="22" s="1"/>
  <c r="CY8" i="115"/>
  <c r="CY11" i="115" s="1"/>
  <c r="CY14" i="115" s="1"/>
  <c r="CY20" i="115" s="1"/>
  <c r="EN117" i="22" s="1"/>
  <c r="DU8" i="115"/>
  <c r="DU11" i="115" s="1"/>
  <c r="DU14" i="115" s="1"/>
  <c r="DU20" i="115" s="1"/>
  <c r="EP8" i="115"/>
  <c r="EP11" i="115" s="1"/>
  <c r="EP14" i="115" s="1"/>
  <c r="EP20" i="115" s="1"/>
  <c r="DD8" i="110"/>
  <c r="DD11" i="110" s="1"/>
  <c r="DD14" i="110" s="1"/>
  <c r="DD20" i="110" s="1"/>
  <c r="ES112" i="22" s="1"/>
  <c r="DT8" i="110"/>
  <c r="DT11" i="110" s="1"/>
  <c r="DT14" i="110" s="1"/>
  <c r="DT20" i="110" s="1"/>
  <c r="EJ8" i="110"/>
  <c r="EJ11" i="110" s="1"/>
  <c r="EJ14" i="110" s="1"/>
  <c r="EJ20" i="110" s="1"/>
  <c r="EZ8" i="110"/>
  <c r="EZ11" i="110" s="1"/>
  <c r="EZ14" i="110" s="1"/>
  <c r="EZ20" i="110" s="1"/>
  <c r="FP8" i="110"/>
  <c r="FP11" i="110" s="1"/>
  <c r="FP14" i="110" s="1"/>
  <c r="FP20" i="110" s="1"/>
  <c r="CT8" i="109"/>
  <c r="CT11" i="109" s="1"/>
  <c r="CT14" i="109" s="1"/>
  <c r="CT20" i="109" s="1"/>
  <c r="EI111" i="22" s="1"/>
  <c r="DB8" i="109"/>
  <c r="DB11" i="109" s="1"/>
  <c r="DB14" i="109" s="1"/>
  <c r="DB20" i="109" s="1"/>
  <c r="EQ111" i="22" s="1"/>
  <c r="EH8" i="109"/>
  <c r="EH11" i="109" s="1"/>
  <c r="EH14" i="109" s="1"/>
  <c r="EH20" i="109" s="1"/>
  <c r="EP8" i="109"/>
  <c r="EP11" i="109" s="1"/>
  <c r="EP14" i="109" s="1"/>
  <c r="EP20" i="109" s="1"/>
  <c r="EX8" i="109"/>
  <c r="EX11" i="109" s="1"/>
  <c r="EX14" i="109" s="1"/>
  <c r="EX20" i="109" s="1"/>
  <c r="DF8" i="108"/>
  <c r="DF11" i="108" s="1"/>
  <c r="DF14" i="108" s="1"/>
  <c r="DF20" i="108" s="1"/>
  <c r="EU110" i="22" s="1"/>
  <c r="DN8" i="108"/>
  <c r="DN11" i="108" s="1"/>
  <c r="DN14" i="108" s="1"/>
  <c r="DN20" i="108" s="1"/>
  <c r="FC110" i="22" s="1"/>
  <c r="CU8" i="108"/>
  <c r="CU11" i="108" s="1"/>
  <c r="CU14" i="108" s="1"/>
  <c r="CU20" i="108" s="1"/>
  <c r="EJ110" i="22" s="1"/>
  <c r="DC8" i="107"/>
  <c r="DC11" i="107" s="1"/>
  <c r="DC14" i="107" s="1"/>
  <c r="DC20" i="107" s="1"/>
  <c r="ER109" i="22" s="1"/>
  <c r="DK8" i="107"/>
  <c r="DK11" i="107" s="1"/>
  <c r="DK14" i="107" s="1"/>
  <c r="DK20" i="107" s="1"/>
  <c r="EZ109" i="22" s="1"/>
  <c r="DS8" i="107"/>
  <c r="DS11" i="107" s="1"/>
  <c r="DS14" i="107" s="1"/>
  <c r="DS20" i="107" s="1"/>
  <c r="FH109" i="22" s="1"/>
  <c r="EA8" i="107"/>
  <c r="EA11" i="107" s="1"/>
  <c r="EA14" i="107" s="1"/>
  <c r="EA20" i="107" s="1"/>
  <c r="EI8" i="107"/>
  <c r="EI11" i="107" s="1"/>
  <c r="EI14" i="107" s="1"/>
  <c r="EI20" i="107" s="1"/>
  <c r="CT8" i="107"/>
  <c r="CT11" i="107" s="1"/>
  <c r="CT14" i="107" s="1"/>
  <c r="CT20" i="107" s="1"/>
  <c r="EI109" i="22" s="1"/>
  <c r="DA8" i="106"/>
  <c r="DA11" i="106" s="1"/>
  <c r="CX8" i="106"/>
  <c r="CX11" i="106" s="1"/>
  <c r="CZ9" i="106"/>
  <c r="CZ12" i="106" s="1"/>
  <c r="DD8" i="105"/>
  <c r="DD11" i="105" s="1"/>
  <c r="DD14" i="105" s="1"/>
  <c r="DD20" i="105" s="1"/>
  <c r="ES108" i="22" s="1"/>
  <c r="DL8" i="105"/>
  <c r="DL11" i="105" s="1"/>
  <c r="DL14" i="105" s="1"/>
  <c r="DL20" i="105" s="1"/>
  <c r="FA108" i="22" s="1"/>
  <c r="DT8" i="105"/>
  <c r="DT11" i="105" s="1"/>
  <c r="DT14" i="105" s="1"/>
  <c r="DT20" i="105" s="1"/>
  <c r="EB8" i="105"/>
  <c r="EB11" i="105" s="1"/>
  <c r="EB14" i="105" s="1"/>
  <c r="EB20" i="105" s="1"/>
  <c r="DA8" i="105"/>
  <c r="DA11" i="105" s="1"/>
  <c r="DA14" i="105" s="1"/>
  <c r="DA20" i="105" s="1"/>
  <c r="EP108" i="22" s="1"/>
  <c r="CU8" i="105"/>
  <c r="CU11" i="105" s="1"/>
  <c r="CU14" i="105" s="1"/>
  <c r="CU20" i="105" s="1"/>
  <c r="EJ108" i="22" s="1"/>
  <c r="CY8" i="104"/>
  <c r="CY11" i="104" s="1"/>
  <c r="CY14" i="104" s="1"/>
  <c r="DG8" i="104"/>
  <c r="DG11" i="104" s="1"/>
  <c r="DG14" i="104" s="1"/>
  <c r="DO8" i="104"/>
  <c r="DO11" i="104" s="1"/>
  <c r="DO14" i="104" s="1"/>
  <c r="DW8" i="104"/>
  <c r="DW11" i="104" s="1"/>
  <c r="DW14" i="104" s="1"/>
  <c r="DW20" i="104" s="1"/>
  <c r="EE8" i="104"/>
  <c r="EE11" i="104" s="1"/>
  <c r="EE14" i="104" s="1"/>
  <c r="EE20" i="104" s="1"/>
  <c r="EM8" i="104"/>
  <c r="EM11" i="104" s="1"/>
  <c r="EM14" i="104" s="1"/>
  <c r="EM20" i="104" s="1"/>
  <c r="DE8" i="103"/>
  <c r="DE11" i="103" s="1"/>
  <c r="DE14" i="103" s="1"/>
  <c r="DE20" i="103" s="1"/>
  <c r="ET106" i="22" s="1"/>
  <c r="DM8" i="103"/>
  <c r="DM11" i="103" s="1"/>
  <c r="DM14" i="103" s="1"/>
  <c r="DM20" i="103" s="1"/>
  <c r="FB106" i="22" s="1"/>
  <c r="DU8" i="103"/>
  <c r="DU11" i="103" s="1"/>
  <c r="DU14" i="103" s="1"/>
  <c r="DU20" i="103" s="1"/>
  <c r="EC8" i="103"/>
  <c r="EC11" i="103" s="1"/>
  <c r="EC14" i="103" s="1"/>
  <c r="EC20" i="103" s="1"/>
  <c r="EK8" i="103"/>
  <c r="EK11" i="103" s="1"/>
  <c r="EK14" i="103" s="1"/>
  <c r="EK20" i="103" s="1"/>
  <c r="ES8" i="103"/>
  <c r="ES11" i="103" s="1"/>
  <c r="ES14" i="103" s="1"/>
  <c r="ES20" i="103" s="1"/>
  <c r="CS8" i="102"/>
  <c r="CS11" i="102" s="1"/>
  <c r="CS14" i="102" s="1"/>
  <c r="CS20" i="102" s="1"/>
  <c r="DA8" i="102"/>
  <c r="DA11" i="102" s="1"/>
  <c r="DA14" i="102" s="1"/>
  <c r="DA20" i="102" s="1"/>
  <c r="DI8" i="102"/>
  <c r="DI11" i="102" s="1"/>
  <c r="DI14" i="102" s="1"/>
  <c r="DI20" i="102" s="1"/>
  <c r="DQ8" i="102"/>
  <c r="DQ11" i="102" s="1"/>
  <c r="DQ14" i="102" s="1"/>
  <c r="DQ20" i="102" s="1"/>
  <c r="DW8" i="122"/>
  <c r="DW13" i="122" s="1"/>
  <c r="DW18" i="122" s="1"/>
  <c r="DW24" i="122" s="1"/>
  <c r="EX8" i="110"/>
  <c r="EX11" i="110" s="1"/>
  <c r="EX14" i="110" s="1"/>
  <c r="EX20" i="110" s="1"/>
  <c r="EY8" i="109"/>
  <c r="EY11" i="109" s="1"/>
  <c r="EY14" i="109" s="1"/>
  <c r="EY20" i="109" s="1"/>
  <c r="DJ8" i="107"/>
  <c r="DJ11" i="107" s="1"/>
  <c r="DJ14" i="107" s="1"/>
  <c r="DJ20" i="107" s="1"/>
  <c r="EY109" i="22" s="1"/>
  <c r="CU8" i="107"/>
  <c r="CU11" i="107" s="1"/>
  <c r="CU14" i="107" s="1"/>
  <c r="CU20" i="107" s="1"/>
  <c r="EJ109" i="22" s="1"/>
  <c r="EC8" i="105"/>
  <c r="EC11" i="105" s="1"/>
  <c r="EC14" i="105" s="1"/>
  <c r="EC20" i="105" s="1"/>
  <c r="DN8" i="104"/>
  <c r="DN11" i="104" s="1"/>
  <c r="DN14" i="104" s="1"/>
  <c r="DL8" i="103"/>
  <c r="DL11" i="103" s="1"/>
  <c r="DL14" i="103" s="1"/>
  <c r="DL20" i="103" s="1"/>
  <c r="FA106" i="22" s="1"/>
  <c r="ER8" i="103"/>
  <c r="ER11" i="103" s="1"/>
  <c r="ER14" i="103" s="1"/>
  <c r="ER20" i="103" s="1"/>
  <c r="CT8" i="102"/>
  <c r="CT11" i="102" s="1"/>
  <c r="CT14" i="102" s="1"/>
  <c r="CT20" i="102" s="1"/>
  <c r="DD8" i="115"/>
  <c r="DD11" i="115" s="1"/>
  <c r="DD14" i="115" s="1"/>
  <c r="DD20" i="115" s="1"/>
  <c r="ES117" i="22" s="1"/>
  <c r="FC8" i="110"/>
  <c r="FC11" i="110" s="1"/>
  <c r="FC14" i="110" s="1"/>
  <c r="FC20" i="110" s="1"/>
  <c r="CR8" i="110"/>
  <c r="CR11" i="110" s="1"/>
  <c r="CR14" i="110" s="1"/>
  <c r="CR20" i="110" s="1"/>
  <c r="EG112" i="22" s="1"/>
  <c r="CS8" i="109"/>
  <c r="CS11" i="109" s="1"/>
  <c r="CS14" i="109" s="1"/>
  <c r="CS20" i="109" s="1"/>
  <c r="EH111" i="22" s="1"/>
  <c r="DL8" i="107"/>
  <c r="DL11" i="107" s="1"/>
  <c r="DL14" i="107" s="1"/>
  <c r="DL20" i="107" s="1"/>
  <c r="FA109" i="22" s="1"/>
  <c r="CS8" i="106"/>
  <c r="CS11" i="106" s="1"/>
  <c r="DC8" i="105"/>
  <c r="DC11" i="105" s="1"/>
  <c r="DC14" i="105" s="1"/>
  <c r="DC20" i="105" s="1"/>
  <c r="ER108" i="22" s="1"/>
  <c r="DP8" i="104"/>
  <c r="DP11" i="104" s="1"/>
  <c r="DP14" i="104" s="1"/>
  <c r="DN8" i="103"/>
  <c r="DN11" i="103" s="1"/>
  <c r="DN14" i="103" s="1"/>
  <c r="DN20" i="103" s="1"/>
  <c r="FC106" i="22" s="1"/>
  <c r="ET8" i="103"/>
  <c r="ET11" i="103" s="1"/>
  <c r="ET14" i="103" s="1"/>
  <c r="ET20" i="103" s="1"/>
  <c r="CZ8" i="102"/>
  <c r="CZ11" i="102" s="1"/>
  <c r="CZ14" i="102" s="1"/>
  <c r="CZ20" i="102" s="1"/>
  <c r="DW8" i="110"/>
  <c r="DW11" i="110" s="1"/>
  <c r="DW14" i="110" s="1"/>
  <c r="DW20" i="110" s="1"/>
  <c r="EB8" i="107"/>
  <c r="EB11" i="107" s="1"/>
  <c r="EB14" i="107" s="1"/>
  <c r="EB20" i="107" s="1"/>
  <c r="DW8" i="115"/>
  <c r="DW11" i="115" s="1"/>
  <c r="DW14" i="115" s="1"/>
  <c r="DW20" i="115" s="1"/>
  <c r="DB8" i="110"/>
  <c r="DB11" i="110" s="1"/>
  <c r="DB14" i="110" s="1"/>
  <c r="DB20" i="110" s="1"/>
  <c r="EQ112" i="22" s="1"/>
  <c r="FN8" i="110"/>
  <c r="FN11" i="110" s="1"/>
  <c r="FN14" i="110" s="1"/>
  <c r="FN20" i="110" s="1"/>
  <c r="CU8" i="109"/>
  <c r="CU11" i="109" s="1"/>
  <c r="CU14" i="109" s="1"/>
  <c r="CU20" i="109" s="1"/>
  <c r="EJ111" i="22" s="1"/>
  <c r="DR8" i="107"/>
  <c r="DR11" i="107" s="1"/>
  <c r="DR14" i="107" s="1"/>
  <c r="DR20" i="107" s="1"/>
  <c r="FG109" i="22" s="1"/>
  <c r="CD109" i="22" s="1"/>
  <c r="DE8" i="105"/>
  <c r="DE11" i="105" s="1"/>
  <c r="DE14" i="105" s="1"/>
  <c r="DE20" i="105" s="1"/>
  <c r="ET108" i="22" s="1"/>
  <c r="CT8" i="105"/>
  <c r="CT11" i="105" s="1"/>
  <c r="CT14" i="105" s="1"/>
  <c r="CT20" i="105" s="1"/>
  <c r="EI108" i="22" s="1"/>
  <c r="DV8" i="104"/>
  <c r="DV11" i="104" s="1"/>
  <c r="DV14" i="104" s="1"/>
  <c r="DV20" i="104" s="1"/>
  <c r="DT8" i="103"/>
  <c r="DT11" i="103" s="1"/>
  <c r="DT14" i="103" s="1"/>
  <c r="DT20" i="103" s="1"/>
  <c r="DB8" i="102"/>
  <c r="DB11" i="102" s="1"/>
  <c r="DB14" i="102" s="1"/>
  <c r="DB20" i="102" s="1"/>
  <c r="CZ8" i="104"/>
  <c r="CZ11" i="104" s="1"/>
  <c r="CZ14" i="104" s="1"/>
  <c r="DP8" i="102"/>
  <c r="DP11" i="102" s="1"/>
  <c r="DP14" i="102" s="1"/>
  <c r="DP20" i="102" s="1"/>
  <c r="ER8" i="115"/>
  <c r="ER11" i="115" s="1"/>
  <c r="ER14" i="115" s="1"/>
  <c r="ER20" i="115" s="1"/>
  <c r="DG8" i="110"/>
  <c r="DG11" i="110" s="1"/>
  <c r="DG14" i="110" s="1"/>
  <c r="DG20" i="110" s="1"/>
  <c r="EV112" i="22" s="1"/>
  <c r="FS8" i="110"/>
  <c r="FS11" i="110" s="1"/>
  <c r="FS14" i="110" s="1"/>
  <c r="FS20" i="110" s="1"/>
  <c r="DA8" i="109"/>
  <c r="DA11" i="109" s="1"/>
  <c r="DA14" i="109" s="1"/>
  <c r="DA20" i="109" s="1"/>
  <c r="EP111" i="22" s="1"/>
  <c r="EG8" i="109"/>
  <c r="EG11" i="109" s="1"/>
  <c r="EG14" i="109" s="1"/>
  <c r="EG20" i="109" s="1"/>
  <c r="DE8" i="108"/>
  <c r="DE11" i="108" s="1"/>
  <c r="DE14" i="108" s="1"/>
  <c r="DE20" i="108" s="1"/>
  <c r="ET110" i="22" s="1"/>
  <c r="CT8" i="108"/>
  <c r="CT11" i="108" s="1"/>
  <c r="CT14" i="108" s="1"/>
  <c r="CT20" i="108" s="1"/>
  <c r="EI110" i="22" s="1"/>
  <c r="DT8" i="107"/>
  <c r="DT11" i="107" s="1"/>
  <c r="DT14" i="107" s="1"/>
  <c r="DT20" i="107" s="1"/>
  <c r="CW8" i="106"/>
  <c r="CW11" i="106" s="1"/>
  <c r="DK8" i="105"/>
  <c r="DK11" i="105" s="1"/>
  <c r="DK14" i="105" s="1"/>
  <c r="DK20" i="105" s="1"/>
  <c r="EZ108" i="22" s="1"/>
  <c r="CR8" i="105"/>
  <c r="CR11" i="105" s="1"/>
  <c r="DX8" i="104"/>
  <c r="DX11" i="104" s="1"/>
  <c r="DX14" i="104" s="1"/>
  <c r="DX20" i="104" s="1"/>
  <c r="DV8" i="103"/>
  <c r="DV11" i="103" s="1"/>
  <c r="DV14" i="103" s="1"/>
  <c r="DV20" i="103" s="1"/>
  <c r="DH8" i="102"/>
  <c r="DH11" i="102" s="1"/>
  <c r="DH14" i="102" s="1"/>
  <c r="DH20" i="102" s="1"/>
  <c r="CZ8" i="105"/>
  <c r="CZ11" i="105" s="1"/>
  <c r="CZ14" i="105" s="1"/>
  <c r="CZ20" i="105" s="1"/>
  <c r="EO108" i="22" s="1"/>
  <c r="DR8" i="110"/>
  <c r="DR11" i="110" s="1"/>
  <c r="DR14" i="110" s="1"/>
  <c r="DR20" i="110" s="1"/>
  <c r="FG112" i="22" s="1"/>
  <c r="CD112" i="22" s="1"/>
  <c r="DC8" i="109"/>
  <c r="DC11" i="109" s="1"/>
  <c r="DC14" i="109" s="1"/>
  <c r="DC20" i="109" s="1"/>
  <c r="ER111" i="22" s="1"/>
  <c r="EI8" i="109"/>
  <c r="EI11" i="109" s="1"/>
  <c r="EI14" i="109" s="1"/>
  <c r="EI20" i="109" s="1"/>
  <c r="DG8" i="108"/>
  <c r="DG11" i="108" s="1"/>
  <c r="DG14" i="108" s="1"/>
  <c r="DG20" i="108" s="1"/>
  <c r="EV110" i="22" s="1"/>
  <c r="CV8" i="108"/>
  <c r="CV11" i="108" s="1"/>
  <c r="CV14" i="108" s="1"/>
  <c r="CV20" i="108" s="1"/>
  <c r="EK110" i="22" s="1"/>
  <c r="DZ8" i="107"/>
  <c r="DZ11" i="107" s="1"/>
  <c r="DZ14" i="107" s="1"/>
  <c r="DZ20" i="107" s="1"/>
  <c r="DB8" i="106"/>
  <c r="DB11" i="106" s="1"/>
  <c r="CY8" i="106"/>
  <c r="CY11" i="106" s="1"/>
  <c r="DM8" i="105"/>
  <c r="DM11" i="105" s="1"/>
  <c r="DM14" i="105" s="1"/>
  <c r="DM20" i="105" s="1"/>
  <c r="FB108" i="22" s="1"/>
  <c r="CX8" i="104"/>
  <c r="CX11" i="104" s="1"/>
  <c r="CX14" i="104" s="1"/>
  <c r="ED8" i="104"/>
  <c r="ED11" i="104" s="1"/>
  <c r="ED14" i="104" s="1"/>
  <c r="ED20" i="104" s="1"/>
  <c r="EB8" i="103"/>
  <c r="EB11" i="103" s="1"/>
  <c r="EB14" i="103" s="1"/>
  <c r="EB20" i="103" s="1"/>
  <c r="EO8" i="109"/>
  <c r="EO11" i="109" s="1"/>
  <c r="EO14" i="109" s="1"/>
  <c r="EO20" i="109" s="1"/>
  <c r="CY9" i="106"/>
  <c r="CY12" i="106" s="1"/>
  <c r="ED8" i="103"/>
  <c r="ED11" i="103" s="1"/>
  <c r="ED14" i="103" s="1"/>
  <c r="ED20" i="103" s="1"/>
  <c r="EH8" i="110"/>
  <c r="EH11" i="110" s="1"/>
  <c r="EH14" i="110" s="1"/>
  <c r="EH20" i="110" s="1"/>
  <c r="EQ8" i="109"/>
  <c r="EQ11" i="109" s="1"/>
  <c r="EQ14" i="109" s="1"/>
  <c r="EQ20" i="109" s="1"/>
  <c r="DB8" i="107"/>
  <c r="DB11" i="107" s="1"/>
  <c r="DB14" i="107" s="1"/>
  <c r="DB20" i="107" s="1"/>
  <c r="EQ109" i="22" s="1"/>
  <c r="EH8" i="107"/>
  <c r="EH11" i="107" s="1"/>
  <c r="EH14" i="107" s="1"/>
  <c r="EH20" i="107" s="1"/>
  <c r="DU8" i="105"/>
  <c r="DU11" i="105" s="1"/>
  <c r="DU14" i="105" s="1"/>
  <c r="DU20" i="105" s="1"/>
  <c r="DF8" i="104"/>
  <c r="DF11" i="104" s="1"/>
  <c r="DF14" i="104" s="1"/>
  <c r="EL8" i="104"/>
  <c r="EL11" i="104" s="1"/>
  <c r="EL14" i="104" s="1"/>
  <c r="EL20" i="104" s="1"/>
  <c r="DD8" i="103"/>
  <c r="DD11" i="103" s="1"/>
  <c r="DD14" i="103" s="1"/>
  <c r="DD20" i="103" s="1"/>
  <c r="ES106" i="22" s="1"/>
  <c r="EJ8" i="103"/>
  <c r="EJ11" i="103" s="1"/>
  <c r="EJ14" i="103" s="1"/>
  <c r="EJ20" i="103" s="1"/>
  <c r="DR8" i="102"/>
  <c r="DR11" i="102" s="1"/>
  <c r="DR14" i="102" s="1"/>
  <c r="DR20" i="102" s="1"/>
  <c r="CV8" i="107"/>
  <c r="CV11" i="107" s="1"/>
  <c r="CV14" i="107" s="1"/>
  <c r="CV20" i="107" s="1"/>
  <c r="EK109" i="22" s="1"/>
  <c r="EF8" i="104"/>
  <c r="EF11" i="104" s="1"/>
  <c r="EF14" i="104" s="1"/>
  <c r="EF20" i="104" s="1"/>
  <c r="EM8" i="110"/>
  <c r="EM11" i="110" s="1"/>
  <c r="EM14" i="110" s="1"/>
  <c r="EM20" i="110" s="1"/>
  <c r="EW8" i="109"/>
  <c r="EW11" i="109" s="1"/>
  <c r="EW14" i="109" s="1"/>
  <c r="EW20" i="109" s="1"/>
  <c r="DD8" i="107"/>
  <c r="DD11" i="107" s="1"/>
  <c r="DD14" i="107" s="1"/>
  <c r="DD20" i="107" s="1"/>
  <c r="ES109" i="22" s="1"/>
  <c r="EJ8" i="107"/>
  <c r="EJ11" i="107" s="1"/>
  <c r="EJ14" i="107" s="1"/>
  <c r="EJ20" i="107" s="1"/>
  <c r="CS8" i="107"/>
  <c r="CS11" i="107" s="1"/>
  <c r="CS14" i="107" s="1"/>
  <c r="CS20" i="107" s="1"/>
  <c r="EH109" i="22" s="1"/>
  <c r="EA8" i="105"/>
  <c r="EA11" i="105" s="1"/>
  <c r="EA14" i="105" s="1"/>
  <c r="EA20" i="105" s="1"/>
  <c r="DH8" i="104"/>
  <c r="DH11" i="104" s="1"/>
  <c r="DH14" i="104" s="1"/>
  <c r="DF8" i="103"/>
  <c r="DF11" i="103" s="1"/>
  <c r="DF14" i="103" s="1"/>
  <c r="DF20" i="103" s="1"/>
  <c r="EU106" i="22" s="1"/>
  <c r="EL8" i="103"/>
  <c r="EL11" i="103" s="1"/>
  <c r="EL14" i="103" s="1"/>
  <c r="EL20" i="103" s="1"/>
  <c r="DJ8" i="102"/>
  <c r="DJ11" i="102" s="1"/>
  <c r="DJ14" i="102" s="1"/>
  <c r="DJ20" i="102" s="1"/>
  <c r="DM8" i="108"/>
  <c r="DM11" i="108" s="1"/>
  <c r="DM14" i="108" s="1"/>
  <c r="DM20" i="108" s="1"/>
  <c r="FB110" i="22" s="1"/>
  <c r="DS8" i="105"/>
  <c r="DS11" i="105" s="1"/>
  <c r="DS14" i="105" s="1"/>
  <c r="DS20" i="105" s="1"/>
  <c r="FH108" i="22" s="1"/>
  <c r="AL8" i="100"/>
  <c r="AL13" i="100" s="1"/>
  <c r="AT8" i="100"/>
  <c r="AT13" i="100" s="1"/>
  <c r="BB8" i="100"/>
  <c r="BB13" i="100" s="1"/>
  <c r="BJ8" i="100"/>
  <c r="BJ13" i="100" s="1"/>
  <c r="BR8" i="100"/>
  <c r="BR13" i="100" s="1"/>
  <c r="BZ8" i="100"/>
  <c r="BZ13" i="100" s="1"/>
  <c r="CH8" i="100"/>
  <c r="CH13" i="100" s="1"/>
  <c r="CP8" i="100"/>
  <c r="CP13" i="100" s="1"/>
  <c r="CX8" i="100"/>
  <c r="DF8" i="100"/>
  <c r="DN8" i="100"/>
  <c r="DV8" i="100"/>
  <c r="ED8" i="100"/>
  <c r="EL8" i="100"/>
  <c r="ET8" i="100"/>
  <c r="FB8" i="100"/>
  <c r="FJ8" i="100"/>
  <c r="FR8" i="100"/>
  <c r="AH9" i="100"/>
  <c r="AP9" i="100"/>
  <c r="AP17" i="100" s="1"/>
  <c r="AX9" i="100"/>
  <c r="AX17" i="100" s="1"/>
  <c r="BF9" i="100"/>
  <c r="BF17" i="100" s="1"/>
  <c r="BN9" i="100"/>
  <c r="BN17" i="100" s="1"/>
  <c r="BV9" i="100"/>
  <c r="BV17" i="100" s="1"/>
  <c r="CD9" i="100"/>
  <c r="CD17" i="100" s="1"/>
  <c r="CL9" i="100"/>
  <c r="CL17" i="100" s="1"/>
  <c r="CT9" i="100"/>
  <c r="CT17" i="100" s="1"/>
  <c r="DB9" i="100"/>
  <c r="DB17" i="100" s="1"/>
  <c r="DJ9" i="100"/>
  <c r="DJ17" i="100" s="1"/>
  <c r="DR9" i="100"/>
  <c r="DR17" i="100" s="1"/>
  <c r="DZ9" i="100"/>
  <c r="EH9" i="100"/>
  <c r="EP9" i="100"/>
  <c r="EX9" i="100"/>
  <c r="FF9" i="100"/>
  <c r="FN9" i="100"/>
  <c r="FV9" i="100"/>
  <c r="AL10" i="100"/>
  <c r="AL14" i="100" s="1"/>
  <c r="AT10" i="100"/>
  <c r="AT14" i="100" s="1"/>
  <c r="BB10" i="100"/>
  <c r="BB14" i="100" s="1"/>
  <c r="BJ10" i="100"/>
  <c r="BJ14" i="100" s="1"/>
  <c r="BR10" i="100"/>
  <c r="BR14" i="100" s="1"/>
  <c r="BZ10" i="100"/>
  <c r="BZ14" i="100" s="1"/>
  <c r="CH10" i="100"/>
  <c r="CH14" i="100" s="1"/>
  <c r="CP10" i="100"/>
  <c r="CP14" i="100" s="1"/>
  <c r="CX10" i="100"/>
  <c r="CX14" i="100" s="1"/>
  <c r="DF10" i="100"/>
  <c r="DF14" i="100" s="1"/>
  <c r="DN10" i="100"/>
  <c r="DN14" i="100" s="1"/>
  <c r="DV10" i="100"/>
  <c r="ED10" i="100"/>
  <c r="EL10" i="100"/>
  <c r="ET10" i="100"/>
  <c r="FB10" i="100"/>
  <c r="FJ10" i="100"/>
  <c r="AM8" i="100"/>
  <c r="AM13" i="100" s="1"/>
  <c r="AU8" i="100"/>
  <c r="AU13" i="100" s="1"/>
  <c r="BC8" i="100"/>
  <c r="BC13" i="100" s="1"/>
  <c r="BK8" i="100"/>
  <c r="BK13" i="100" s="1"/>
  <c r="BS8" i="100"/>
  <c r="BS13" i="100" s="1"/>
  <c r="CA8" i="100"/>
  <c r="CA13" i="100" s="1"/>
  <c r="CI8" i="100"/>
  <c r="CI13" i="100" s="1"/>
  <c r="CQ8" i="100"/>
  <c r="CQ13" i="100" s="1"/>
  <c r="CY8" i="100"/>
  <c r="DG8" i="100"/>
  <c r="DO8" i="100"/>
  <c r="DW8" i="100"/>
  <c r="EE8" i="100"/>
  <c r="EM8" i="100"/>
  <c r="EU8" i="100"/>
  <c r="FC8" i="100"/>
  <c r="FK8" i="100"/>
  <c r="FS8" i="100"/>
  <c r="AI9" i="100"/>
  <c r="AI17" i="100" s="1"/>
  <c r="AQ9" i="100"/>
  <c r="AQ17" i="100" s="1"/>
  <c r="AY9" i="100"/>
  <c r="AY17" i="100" s="1"/>
  <c r="BG9" i="100"/>
  <c r="BG17" i="100" s="1"/>
  <c r="BO9" i="100"/>
  <c r="BO17" i="100" s="1"/>
  <c r="BW9" i="100"/>
  <c r="BW17" i="100" s="1"/>
  <c r="CE9" i="100"/>
  <c r="CE17" i="100" s="1"/>
  <c r="CM9" i="100"/>
  <c r="CM17" i="100" s="1"/>
  <c r="CU9" i="100"/>
  <c r="CU17" i="100" s="1"/>
  <c r="DC9" i="100"/>
  <c r="DC17" i="100" s="1"/>
  <c r="DK9" i="100"/>
  <c r="DK17" i="100" s="1"/>
  <c r="DS9" i="100"/>
  <c r="EA9" i="100"/>
  <c r="EI9" i="100"/>
  <c r="EQ9" i="100"/>
  <c r="EY9" i="100"/>
  <c r="FG9" i="100"/>
  <c r="FO9" i="100"/>
  <c r="FW9" i="100"/>
  <c r="AM10" i="100"/>
  <c r="AM14" i="100" s="1"/>
  <c r="AU10" i="100"/>
  <c r="AU14" i="100" s="1"/>
  <c r="BC10" i="100"/>
  <c r="BC14" i="100" s="1"/>
  <c r="BK10" i="100"/>
  <c r="BK14" i="100" s="1"/>
  <c r="BS10" i="100"/>
  <c r="BS14" i="100" s="1"/>
  <c r="CA10" i="100"/>
  <c r="CA14" i="100" s="1"/>
  <c r="CI10" i="100"/>
  <c r="CI14" i="100" s="1"/>
  <c r="CQ10" i="100"/>
  <c r="CQ14" i="100" s="1"/>
  <c r="CY10" i="100"/>
  <c r="CY14" i="100" s="1"/>
  <c r="DG10" i="100"/>
  <c r="DG14" i="100" s="1"/>
  <c r="DO10" i="100"/>
  <c r="DO14" i="100" s="1"/>
  <c r="DW10" i="100"/>
  <c r="EE10" i="100"/>
  <c r="EM10" i="100"/>
  <c r="EU10" i="100"/>
  <c r="FC10" i="100"/>
  <c r="FK10" i="100"/>
  <c r="FS10" i="100"/>
  <c r="U8" i="100"/>
  <c r="U13" i="100" s="1"/>
  <c r="U18" i="100" s="1"/>
  <c r="U24" i="100" s="1"/>
  <c r="AC8" i="100"/>
  <c r="AC13" i="100" s="1"/>
  <c r="AC18" i="100" s="1"/>
  <c r="AC24" i="100" s="1"/>
  <c r="W9" i="100"/>
  <c r="AN8" i="100"/>
  <c r="AN13" i="100" s="1"/>
  <c r="AV8" i="100"/>
  <c r="AV13" i="100" s="1"/>
  <c r="BD8" i="100"/>
  <c r="BD13" i="100" s="1"/>
  <c r="BL8" i="100"/>
  <c r="BL13" i="100" s="1"/>
  <c r="BT8" i="100"/>
  <c r="BT13" i="100" s="1"/>
  <c r="CB8" i="100"/>
  <c r="CB13" i="100" s="1"/>
  <c r="CJ8" i="100"/>
  <c r="CJ13" i="100" s="1"/>
  <c r="CR8" i="100"/>
  <c r="CR13" i="100" s="1"/>
  <c r="CZ8" i="100"/>
  <c r="DH8" i="100"/>
  <c r="DP8" i="100"/>
  <c r="DX8" i="100"/>
  <c r="EF8" i="100"/>
  <c r="EN8" i="100"/>
  <c r="EV8" i="100"/>
  <c r="FD8" i="100"/>
  <c r="FL8" i="100"/>
  <c r="FT8" i="100"/>
  <c r="AJ9" i="100"/>
  <c r="AJ17" i="100" s="1"/>
  <c r="AR9" i="100"/>
  <c r="AR17" i="100" s="1"/>
  <c r="AZ9" i="100"/>
  <c r="AZ17" i="100" s="1"/>
  <c r="BH9" i="100"/>
  <c r="BH17" i="100" s="1"/>
  <c r="BP9" i="100"/>
  <c r="BP17" i="100" s="1"/>
  <c r="BX9" i="100"/>
  <c r="BX17" i="100" s="1"/>
  <c r="CF9" i="100"/>
  <c r="CF17" i="100" s="1"/>
  <c r="CN9" i="100"/>
  <c r="CN17" i="100" s="1"/>
  <c r="CV9" i="100"/>
  <c r="CV17" i="100" s="1"/>
  <c r="DD9" i="100"/>
  <c r="DD17" i="100" s="1"/>
  <c r="DL9" i="100"/>
  <c r="DL17" i="100" s="1"/>
  <c r="DT9" i="100"/>
  <c r="EB9" i="100"/>
  <c r="EJ9" i="100"/>
  <c r="ER9" i="100"/>
  <c r="EZ9" i="100"/>
  <c r="FH9" i="100"/>
  <c r="FP9" i="100"/>
  <c r="FX9" i="100"/>
  <c r="AN10" i="100"/>
  <c r="AN14" i="100" s="1"/>
  <c r="AV10" i="100"/>
  <c r="AV14" i="100" s="1"/>
  <c r="BD10" i="100"/>
  <c r="BD14" i="100" s="1"/>
  <c r="BL10" i="100"/>
  <c r="BL14" i="100" s="1"/>
  <c r="BT10" i="100"/>
  <c r="BT14" i="100" s="1"/>
  <c r="CB10" i="100"/>
  <c r="CB14" i="100" s="1"/>
  <c r="CJ10" i="100"/>
  <c r="CJ14" i="100" s="1"/>
  <c r="CR10" i="100"/>
  <c r="CR14" i="100" s="1"/>
  <c r="CZ10" i="100"/>
  <c r="CZ14" i="100" s="1"/>
  <c r="DH10" i="100"/>
  <c r="DH14" i="100" s="1"/>
  <c r="DP10" i="100"/>
  <c r="DP14" i="100" s="1"/>
  <c r="DX10" i="100"/>
  <c r="AO8" i="100"/>
  <c r="AO13" i="100" s="1"/>
  <c r="AW8" i="100"/>
  <c r="AW13" i="100" s="1"/>
  <c r="BE8" i="100"/>
  <c r="BE13" i="100" s="1"/>
  <c r="BM8" i="100"/>
  <c r="BM13" i="100" s="1"/>
  <c r="BU8" i="100"/>
  <c r="BU13" i="100" s="1"/>
  <c r="CC8" i="100"/>
  <c r="CC13" i="100" s="1"/>
  <c r="CK8" i="100"/>
  <c r="CK13" i="100" s="1"/>
  <c r="CS8" i="100"/>
  <c r="DA8" i="100"/>
  <c r="DI8" i="100"/>
  <c r="DQ8" i="100"/>
  <c r="DY8" i="100"/>
  <c r="EG8" i="100"/>
  <c r="EO8" i="100"/>
  <c r="EW8" i="100"/>
  <c r="FE8" i="100"/>
  <c r="FM8" i="100"/>
  <c r="FU8" i="100"/>
  <c r="AK9" i="100"/>
  <c r="AK17" i="100" s="1"/>
  <c r="AS9" i="100"/>
  <c r="AS17" i="100" s="1"/>
  <c r="BA9" i="100"/>
  <c r="BA17" i="100" s="1"/>
  <c r="BI9" i="100"/>
  <c r="BI17" i="100" s="1"/>
  <c r="BQ9" i="100"/>
  <c r="BQ17" i="100" s="1"/>
  <c r="BY9" i="100"/>
  <c r="BY17" i="100" s="1"/>
  <c r="CG9" i="100"/>
  <c r="CG17" i="100" s="1"/>
  <c r="CO9" i="100"/>
  <c r="CO17" i="100" s="1"/>
  <c r="CW9" i="100"/>
  <c r="CW17" i="100" s="1"/>
  <c r="DE9" i="100"/>
  <c r="DE17" i="100" s="1"/>
  <c r="DM9" i="100"/>
  <c r="DM17" i="100" s="1"/>
  <c r="DU9" i="100"/>
  <c r="EC9" i="100"/>
  <c r="EK9" i="100"/>
  <c r="ES9" i="100"/>
  <c r="FA9" i="100"/>
  <c r="FI9" i="100"/>
  <c r="FQ9" i="100"/>
  <c r="FY9" i="100"/>
  <c r="AO10" i="100"/>
  <c r="AO14" i="100" s="1"/>
  <c r="AW10" i="100"/>
  <c r="AW14" i="100" s="1"/>
  <c r="BE10" i="100"/>
  <c r="BE14" i="100" s="1"/>
  <c r="BM10" i="100"/>
  <c r="BM14" i="100" s="1"/>
  <c r="BU10" i="100"/>
  <c r="BU14" i="100" s="1"/>
  <c r="CC10" i="100"/>
  <c r="CC14" i="100" s="1"/>
  <c r="CK10" i="100"/>
  <c r="CK14" i="100" s="1"/>
  <c r="CS10" i="100"/>
  <c r="CS14" i="100" s="1"/>
  <c r="DA10" i="100"/>
  <c r="DA14" i="100" s="1"/>
  <c r="DI10" i="100"/>
  <c r="DI14" i="100" s="1"/>
  <c r="DQ10" i="100"/>
  <c r="DQ14" i="100" s="1"/>
  <c r="DY10" i="100"/>
  <c r="EG10" i="100"/>
  <c r="AH8" i="100"/>
  <c r="AH13" i="100" s="1"/>
  <c r="AH18" i="100" s="1"/>
  <c r="AH24" i="100" s="1"/>
  <c r="AP8" i="100"/>
  <c r="AP13" i="100" s="1"/>
  <c r="AX8" i="100"/>
  <c r="AX13" i="100" s="1"/>
  <c r="BF8" i="100"/>
  <c r="BF13" i="100" s="1"/>
  <c r="BN8" i="100"/>
  <c r="BN13" i="100" s="1"/>
  <c r="BV8" i="100"/>
  <c r="BV13" i="100" s="1"/>
  <c r="CD8" i="100"/>
  <c r="CD13" i="100" s="1"/>
  <c r="CL8" i="100"/>
  <c r="CL13" i="100" s="1"/>
  <c r="CT8" i="100"/>
  <c r="DB8" i="100"/>
  <c r="AJ8" i="100"/>
  <c r="AJ13" i="100" s="1"/>
  <c r="AR8" i="100"/>
  <c r="AR13" i="100" s="1"/>
  <c r="AZ8" i="100"/>
  <c r="AZ13" i="100" s="1"/>
  <c r="BH8" i="100"/>
  <c r="BH13" i="100" s="1"/>
  <c r="BP8" i="100"/>
  <c r="BP13" i="100" s="1"/>
  <c r="BX8" i="100"/>
  <c r="BX13" i="100" s="1"/>
  <c r="CF8" i="100"/>
  <c r="CF13" i="100" s="1"/>
  <c r="CN8" i="100"/>
  <c r="CN13" i="100" s="1"/>
  <c r="CV8" i="100"/>
  <c r="DD8" i="100"/>
  <c r="DL8" i="100"/>
  <c r="DT8" i="100"/>
  <c r="EB8" i="100"/>
  <c r="EJ8" i="100"/>
  <c r="ER8" i="100"/>
  <c r="EZ8" i="100"/>
  <c r="FH8" i="100"/>
  <c r="FP8" i="100"/>
  <c r="FX8" i="100"/>
  <c r="AN9" i="100"/>
  <c r="AN17" i="100" s="1"/>
  <c r="AV9" i="100"/>
  <c r="AV17" i="100" s="1"/>
  <c r="BD9" i="100"/>
  <c r="BD17" i="100" s="1"/>
  <c r="BL9" i="100"/>
  <c r="BL17" i="100" s="1"/>
  <c r="BT9" i="100"/>
  <c r="BT17" i="100" s="1"/>
  <c r="CB9" i="100"/>
  <c r="CB17" i="100" s="1"/>
  <c r="CJ9" i="100"/>
  <c r="CJ17" i="100" s="1"/>
  <c r="CR9" i="100"/>
  <c r="CR17" i="100" s="1"/>
  <c r="CZ9" i="100"/>
  <c r="CZ17" i="100" s="1"/>
  <c r="DH9" i="100"/>
  <c r="DH17" i="100" s="1"/>
  <c r="DP9" i="100"/>
  <c r="DP17" i="100" s="1"/>
  <c r="DX9" i="100"/>
  <c r="EF9" i="100"/>
  <c r="EN9" i="100"/>
  <c r="EV9" i="100"/>
  <c r="FD9" i="100"/>
  <c r="FL9" i="100"/>
  <c r="FT9" i="100"/>
  <c r="AJ10" i="100"/>
  <c r="AJ14" i="100" s="1"/>
  <c r="AR10" i="100"/>
  <c r="AR14" i="100" s="1"/>
  <c r="AZ10" i="100"/>
  <c r="AZ14" i="100" s="1"/>
  <c r="BH10" i="100"/>
  <c r="BH14" i="100" s="1"/>
  <c r="BP10" i="100"/>
  <c r="BP14" i="100" s="1"/>
  <c r="BX10" i="100"/>
  <c r="BX14" i="100" s="1"/>
  <c r="CF10" i="100"/>
  <c r="CF14" i="100" s="1"/>
  <c r="CN10" i="100"/>
  <c r="CN14" i="100" s="1"/>
  <c r="CV10" i="100"/>
  <c r="CV14" i="100" s="1"/>
  <c r="CV18" i="100" s="1"/>
  <c r="DD10" i="100"/>
  <c r="DD14" i="100" s="1"/>
  <c r="DL10" i="100"/>
  <c r="DL14" i="100" s="1"/>
  <c r="DT10" i="100"/>
  <c r="EB10" i="100"/>
  <c r="EJ10" i="100"/>
  <c r="AK8" i="100"/>
  <c r="AK13" i="100" s="1"/>
  <c r="AS8" i="100"/>
  <c r="AS13" i="100" s="1"/>
  <c r="BA8" i="100"/>
  <c r="BA13" i="100" s="1"/>
  <c r="BI8" i="100"/>
  <c r="BI13" i="100" s="1"/>
  <c r="BQ8" i="100"/>
  <c r="BQ13" i="100" s="1"/>
  <c r="BY8" i="100"/>
  <c r="BY13" i="100" s="1"/>
  <c r="CG8" i="100"/>
  <c r="CG13" i="100" s="1"/>
  <c r="CO8" i="100"/>
  <c r="CO13" i="100" s="1"/>
  <c r="CW8" i="100"/>
  <c r="DE8" i="100"/>
  <c r="DM8" i="100"/>
  <c r="DU8" i="100"/>
  <c r="EC8" i="100"/>
  <c r="EK8" i="100"/>
  <c r="ES8" i="100"/>
  <c r="FA8" i="100"/>
  <c r="FI8" i="100"/>
  <c r="FQ8" i="100"/>
  <c r="FY8" i="100"/>
  <c r="AO9" i="100"/>
  <c r="AO17" i="100" s="1"/>
  <c r="AW9" i="100"/>
  <c r="AW17" i="100" s="1"/>
  <c r="BE9" i="100"/>
  <c r="BE17" i="100" s="1"/>
  <c r="BM9" i="100"/>
  <c r="BM17" i="100" s="1"/>
  <c r="BU9" i="100"/>
  <c r="BU17" i="100" s="1"/>
  <c r="CC9" i="100"/>
  <c r="CC17" i="100" s="1"/>
  <c r="CK9" i="100"/>
  <c r="CK17" i="100" s="1"/>
  <c r="CS9" i="100"/>
  <c r="CS17" i="100" s="1"/>
  <c r="DA9" i="100"/>
  <c r="DA17" i="100" s="1"/>
  <c r="DI9" i="100"/>
  <c r="DI17" i="100" s="1"/>
  <c r="DQ9" i="100"/>
  <c r="DQ17" i="100" s="1"/>
  <c r="DY9" i="100"/>
  <c r="EG9" i="100"/>
  <c r="EO9" i="100"/>
  <c r="EW9" i="100"/>
  <c r="FE9" i="100"/>
  <c r="FM9" i="100"/>
  <c r="FU9" i="100"/>
  <c r="AK10" i="100"/>
  <c r="AK14" i="100" s="1"/>
  <c r="AS10" i="100"/>
  <c r="AS14" i="100" s="1"/>
  <c r="BA10" i="100"/>
  <c r="BA14" i="100" s="1"/>
  <c r="BI10" i="100"/>
  <c r="BI14" i="100" s="1"/>
  <c r="BQ10" i="100"/>
  <c r="BQ14" i="100" s="1"/>
  <c r="BY10" i="100"/>
  <c r="BY14" i="100" s="1"/>
  <c r="CG10" i="100"/>
  <c r="CG14" i="100" s="1"/>
  <c r="CO10" i="100"/>
  <c r="CO14" i="100" s="1"/>
  <c r="CW10" i="100"/>
  <c r="CW14" i="100" s="1"/>
  <c r="DE10" i="100"/>
  <c r="DE14" i="100" s="1"/>
  <c r="DM10" i="100"/>
  <c r="DM14" i="100" s="1"/>
  <c r="DU10" i="100"/>
  <c r="EC10" i="100"/>
  <c r="EK10" i="100"/>
  <c r="ES10" i="100"/>
  <c r="FA10" i="100"/>
  <c r="FI10" i="100"/>
  <c r="AQ8" i="100"/>
  <c r="AQ13" i="100" s="1"/>
  <c r="DC8" i="100"/>
  <c r="EI8" i="100"/>
  <c r="FO8" i="100"/>
  <c r="BC9" i="100"/>
  <c r="BC17" i="100" s="1"/>
  <c r="CI9" i="100"/>
  <c r="CI17" i="100" s="1"/>
  <c r="DO9" i="100"/>
  <c r="DO17" i="100" s="1"/>
  <c r="EU9" i="100"/>
  <c r="AI10" i="100"/>
  <c r="AI14" i="100" s="1"/>
  <c r="BO10" i="100"/>
  <c r="BO14" i="100" s="1"/>
  <c r="CU10" i="100"/>
  <c r="CU14" i="100" s="1"/>
  <c r="CU18" i="100" s="1"/>
  <c r="EA10" i="100"/>
  <c r="ER10" i="100"/>
  <c r="FF10" i="100"/>
  <c r="FQ10" i="100"/>
  <c r="T8" i="100"/>
  <c r="T13" i="100" s="1"/>
  <c r="T18" i="100" s="1"/>
  <c r="T24" i="100" s="1"/>
  <c r="AD8" i="100"/>
  <c r="AD13" i="100" s="1"/>
  <c r="AD18" i="100" s="1"/>
  <c r="AD24" i="100" s="1"/>
  <c r="Y9" i="100"/>
  <c r="AG9" i="100"/>
  <c r="AA10" i="100"/>
  <c r="Q8" i="100"/>
  <c r="Q13" i="100" s="1"/>
  <c r="Q18" i="100" s="1"/>
  <c r="Q24" i="100" s="1"/>
  <c r="Q10" i="100"/>
  <c r="O8" i="100"/>
  <c r="O13" i="100" s="1"/>
  <c r="O18" i="100" s="1"/>
  <c r="O24" i="100" s="1"/>
  <c r="K10" i="100"/>
  <c r="AY8" i="100"/>
  <c r="AY13" i="100" s="1"/>
  <c r="DJ8" i="100"/>
  <c r="EP8" i="100"/>
  <c r="FV8" i="100"/>
  <c r="BJ9" i="100"/>
  <c r="BJ17" i="100" s="1"/>
  <c r="CP9" i="100"/>
  <c r="CP17" i="100" s="1"/>
  <c r="DV9" i="100"/>
  <c r="FB9" i="100"/>
  <c r="AP10" i="100"/>
  <c r="AP14" i="100" s="1"/>
  <c r="BV10" i="100"/>
  <c r="BV14" i="100" s="1"/>
  <c r="DB10" i="100"/>
  <c r="DB14" i="100" s="1"/>
  <c r="EF10" i="100"/>
  <c r="EV10" i="100"/>
  <c r="FG10" i="100"/>
  <c r="FR10" i="100"/>
  <c r="V8" i="100"/>
  <c r="V13" i="100" s="1"/>
  <c r="V18" i="100" s="1"/>
  <c r="V24" i="100" s="1"/>
  <c r="AE8" i="100"/>
  <c r="AE13" i="100" s="1"/>
  <c r="AE18" i="100" s="1"/>
  <c r="AE24" i="100" s="1"/>
  <c r="Z9" i="100"/>
  <c r="T10" i="100"/>
  <c r="AB10" i="100"/>
  <c r="R8" i="100"/>
  <c r="R13" i="100" s="1"/>
  <c r="R18" i="100" s="1"/>
  <c r="R24" i="100" s="1"/>
  <c r="R10" i="100"/>
  <c r="J9" i="100"/>
  <c r="L10" i="100"/>
  <c r="CS8" i="99"/>
  <c r="CS11" i="99" s="1"/>
  <c r="CS13" i="99" s="1"/>
  <c r="CS19" i="99" s="1"/>
  <c r="DA8" i="99"/>
  <c r="DA11" i="99" s="1"/>
  <c r="DA13" i="99" s="1"/>
  <c r="DA19" i="99" s="1"/>
  <c r="DI8" i="99"/>
  <c r="DI11" i="99" s="1"/>
  <c r="DI13" i="99" s="1"/>
  <c r="DI19" i="99" s="1"/>
  <c r="CV8" i="99"/>
  <c r="CV11" i="99" s="1"/>
  <c r="CV13" i="99" s="1"/>
  <c r="CV19" i="99" s="1"/>
  <c r="DZ8" i="100"/>
  <c r="DR10" i="100"/>
  <c r="DR14" i="100" s="1"/>
  <c r="U9" i="100"/>
  <c r="L8" i="100"/>
  <c r="L13" i="100" s="1"/>
  <c r="L18" i="100" s="1"/>
  <c r="L24" i="100" s="1"/>
  <c r="CW8" i="99"/>
  <c r="CW11" i="99" s="1"/>
  <c r="CW13" i="99" s="1"/>
  <c r="CW19" i="99" s="1"/>
  <c r="BG8" i="100"/>
  <c r="BG13" i="100" s="1"/>
  <c r="DK8" i="100"/>
  <c r="EQ8" i="100"/>
  <c r="FW8" i="100"/>
  <c r="BK9" i="100"/>
  <c r="BK17" i="100" s="1"/>
  <c r="CQ9" i="100"/>
  <c r="CQ17" i="100" s="1"/>
  <c r="DW9" i="100"/>
  <c r="FC9" i="100"/>
  <c r="AQ10" i="100"/>
  <c r="AQ14" i="100" s="1"/>
  <c r="BW10" i="100"/>
  <c r="BW14" i="100" s="1"/>
  <c r="DC10" i="100"/>
  <c r="DC14" i="100" s="1"/>
  <c r="DC18" i="100" s="1"/>
  <c r="EH10" i="100"/>
  <c r="EW10" i="100"/>
  <c r="FH10" i="100"/>
  <c r="FT10" i="100"/>
  <c r="W8" i="100"/>
  <c r="W13" i="100" s="1"/>
  <c r="W18" i="100" s="1"/>
  <c r="W24" i="100" s="1"/>
  <c r="AF8" i="100"/>
  <c r="AF13" i="100" s="1"/>
  <c r="AF18" i="100" s="1"/>
  <c r="AF24" i="100" s="1"/>
  <c r="AA9" i="100"/>
  <c r="U10" i="100"/>
  <c r="AC10" i="100"/>
  <c r="S8" i="100"/>
  <c r="S13" i="100" s="1"/>
  <c r="S18" i="100" s="1"/>
  <c r="S24" i="100" s="1"/>
  <c r="S10" i="100"/>
  <c r="K9" i="100"/>
  <c r="M10" i="100"/>
  <c r="CT8" i="99"/>
  <c r="CT11" i="99" s="1"/>
  <c r="CT13" i="99" s="1"/>
  <c r="CT19" i="99" s="1"/>
  <c r="DB8" i="99"/>
  <c r="DB11" i="99" s="1"/>
  <c r="DB13" i="99" s="1"/>
  <c r="DB19" i="99" s="1"/>
  <c r="DJ8" i="99"/>
  <c r="DJ11" i="99" s="1"/>
  <c r="DJ13" i="99" s="1"/>
  <c r="DJ19" i="99" s="1"/>
  <c r="DC8" i="99"/>
  <c r="DC11" i="99" s="1"/>
  <c r="DC13" i="99" s="1"/>
  <c r="DC19" i="99" s="1"/>
  <c r="Q9" i="100"/>
  <c r="FR9" i="100"/>
  <c r="FN10" i="100"/>
  <c r="X10" i="100"/>
  <c r="I10" i="100"/>
  <c r="DM8" i="99"/>
  <c r="DM11" i="99" s="1"/>
  <c r="DM13" i="99" s="1"/>
  <c r="DM19" i="99" s="1"/>
  <c r="BO8" i="100"/>
  <c r="BO13" i="100" s="1"/>
  <c r="DR8" i="100"/>
  <c r="EX8" i="100"/>
  <c r="AL9" i="100"/>
  <c r="AL17" i="100" s="1"/>
  <c r="BR9" i="100"/>
  <c r="BR17" i="100" s="1"/>
  <c r="CX9" i="100"/>
  <c r="CX17" i="100" s="1"/>
  <c r="ED9" i="100"/>
  <c r="FJ9" i="100"/>
  <c r="AX10" i="100"/>
  <c r="AX14" i="100" s="1"/>
  <c r="CD10" i="100"/>
  <c r="CD14" i="100" s="1"/>
  <c r="DJ10" i="100"/>
  <c r="DJ14" i="100" s="1"/>
  <c r="EI10" i="100"/>
  <c r="EX10" i="100"/>
  <c r="FL10" i="100"/>
  <c r="FU10" i="100"/>
  <c r="X8" i="100"/>
  <c r="X13" i="100" s="1"/>
  <c r="X18" i="100" s="1"/>
  <c r="X24" i="100" s="1"/>
  <c r="AG8" i="100"/>
  <c r="AG13" i="100" s="1"/>
  <c r="AG18" i="100" s="1"/>
  <c r="AG24" i="100" s="1"/>
  <c r="AB9" i="100"/>
  <c r="V10" i="100"/>
  <c r="AD10" i="100"/>
  <c r="P9" i="100"/>
  <c r="J8" i="100"/>
  <c r="J13" i="100" s="1"/>
  <c r="J18" i="100" s="1"/>
  <c r="J24" i="100" s="1"/>
  <c r="L9" i="100"/>
  <c r="N10" i="100"/>
  <c r="CU8" i="99"/>
  <c r="CU11" i="99" s="1"/>
  <c r="CU13" i="99" s="1"/>
  <c r="CU19" i="99" s="1"/>
  <c r="DK8" i="99"/>
  <c r="DK11" i="99" s="1"/>
  <c r="DK13" i="99" s="1"/>
  <c r="DK19" i="99" s="1"/>
  <c r="K8" i="100"/>
  <c r="K13" i="100" s="1"/>
  <c r="K18" i="100" s="1"/>
  <c r="K24" i="100" s="1"/>
  <c r="DL8" i="99"/>
  <c r="DL11" i="99" s="1"/>
  <c r="DL13" i="99" s="1"/>
  <c r="DL19" i="99" s="1"/>
  <c r="AT9" i="100"/>
  <c r="AT17" i="100" s="1"/>
  <c r="EL9" i="100"/>
  <c r="EO10" i="100"/>
  <c r="Z8" i="100"/>
  <c r="Z13" i="100" s="1"/>
  <c r="Z18" i="100" s="1"/>
  <c r="Z24" i="100" s="1"/>
  <c r="R9" i="100"/>
  <c r="BW8" i="100"/>
  <c r="BW13" i="100" s="1"/>
  <c r="DS8" i="100"/>
  <c r="EY8" i="100"/>
  <c r="AM9" i="100"/>
  <c r="AM17" i="100" s="1"/>
  <c r="BS9" i="100"/>
  <c r="BS17" i="100" s="1"/>
  <c r="CY9" i="100"/>
  <c r="CY17" i="100" s="1"/>
  <c r="EE9" i="100"/>
  <c r="FK9" i="100"/>
  <c r="AY10" i="100"/>
  <c r="AY14" i="100" s="1"/>
  <c r="CE10" i="100"/>
  <c r="CE14" i="100" s="1"/>
  <c r="DK10" i="100"/>
  <c r="DK14" i="100" s="1"/>
  <c r="EN10" i="100"/>
  <c r="EY10" i="100"/>
  <c r="FM10" i="100"/>
  <c r="FV10" i="100"/>
  <c r="Y8" i="100"/>
  <c r="Y13" i="100" s="1"/>
  <c r="Y18" i="100" s="1"/>
  <c r="Y24" i="100" s="1"/>
  <c r="T9" i="100"/>
  <c r="AC9" i="100"/>
  <c r="W10" i="100"/>
  <c r="AE10" i="100"/>
  <c r="M9" i="100"/>
  <c r="CE8" i="100"/>
  <c r="CE13" i="100" s="1"/>
  <c r="FF8" i="100"/>
  <c r="DF9" i="100"/>
  <c r="DF17" i="100" s="1"/>
  <c r="CL10" i="100"/>
  <c r="CL14" i="100" s="1"/>
  <c r="FW10" i="100"/>
  <c r="AF10" i="100"/>
  <c r="CM8" i="100"/>
  <c r="CM13" i="100" s="1"/>
  <c r="EA8" i="100"/>
  <c r="FG8" i="100"/>
  <c r="AU9" i="100"/>
  <c r="AU17" i="100" s="1"/>
  <c r="CA9" i="100"/>
  <c r="CA17" i="100" s="1"/>
  <c r="DG9" i="100"/>
  <c r="DG17" i="100" s="1"/>
  <c r="EM9" i="100"/>
  <c r="FS9" i="100"/>
  <c r="BG10" i="100"/>
  <c r="BG14" i="100" s="1"/>
  <c r="CM10" i="100"/>
  <c r="CM14" i="100" s="1"/>
  <c r="DS10" i="100"/>
  <c r="EP10" i="100"/>
  <c r="FD10" i="100"/>
  <c r="FO10" i="100"/>
  <c r="FX10" i="100"/>
  <c r="AA8" i="100"/>
  <c r="AA13" i="100" s="1"/>
  <c r="AA18" i="100" s="1"/>
  <c r="AA24" i="100" s="1"/>
  <c r="V9" i="100"/>
  <c r="AE9" i="100"/>
  <c r="Y10" i="100"/>
  <c r="AG10" i="100"/>
  <c r="S9" i="100"/>
  <c r="M8" i="100"/>
  <c r="M13" i="100" s="1"/>
  <c r="M18" i="100" s="1"/>
  <c r="M24" i="100" s="1"/>
  <c r="O9" i="100"/>
  <c r="I9" i="100"/>
  <c r="CX8" i="99"/>
  <c r="CX11" i="99" s="1"/>
  <c r="CX13" i="99" s="1"/>
  <c r="CX19" i="99" s="1"/>
  <c r="DF8" i="99"/>
  <c r="DF11" i="99" s="1"/>
  <c r="DF13" i="99" s="1"/>
  <c r="DF19" i="99" s="1"/>
  <c r="DH8" i="99"/>
  <c r="DH11" i="99" s="1"/>
  <c r="DH13" i="99" s="1"/>
  <c r="DH19" i="99" s="1"/>
  <c r="CR8" i="99"/>
  <c r="CR11" i="99" s="1"/>
  <c r="CR13" i="99" s="1"/>
  <c r="CR19" i="99" s="1"/>
  <c r="AI8" i="100"/>
  <c r="AI13" i="100" s="1"/>
  <c r="CU8" i="100"/>
  <c r="EH8" i="100"/>
  <c r="FN8" i="100"/>
  <c r="BB9" i="100"/>
  <c r="BB17" i="100" s="1"/>
  <c r="CH9" i="100"/>
  <c r="CH17" i="100" s="1"/>
  <c r="DN9" i="100"/>
  <c r="DN17" i="100" s="1"/>
  <c r="ET9" i="100"/>
  <c r="AH10" i="100"/>
  <c r="BN10" i="100"/>
  <c r="BN14" i="100" s="1"/>
  <c r="CT10" i="100"/>
  <c r="CT14" i="100" s="1"/>
  <c r="DZ10" i="100"/>
  <c r="EQ10" i="100"/>
  <c r="FE10" i="100"/>
  <c r="FP10" i="100"/>
  <c r="FY10" i="100"/>
  <c r="AB8" i="100"/>
  <c r="AB13" i="100" s="1"/>
  <c r="AB18" i="100" s="1"/>
  <c r="AB24" i="100" s="1"/>
  <c r="X9" i="100"/>
  <c r="AF9" i="100"/>
  <c r="Z10" i="100"/>
  <c r="P8" i="100"/>
  <c r="P13" i="100" s="1"/>
  <c r="P18" i="100" s="1"/>
  <c r="P24" i="100" s="1"/>
  <c r="P10" i="100"/>
  <c r="N8" i="100"/>
  <c r="N13" i="100" s="1"/>
  <c r="N18" i="100" s="1"/>
  <c r="N24" i="100" s="1"/>
  <c r="J10" i="100"/>
  <c r="I8" i="100"/>
  <c r="I13" i="100" s="1"/>
  <c r="I18" i="100" s="1"/>
  <c r="I24" i="100" s="1"/>
  <c r="CY8" i="99"/>
  <c r="CY11" i="99" s="1"/>
  <c r="CY13" i="99" s="1"/>
  <c r="CY19" i="99" s="1"/>
  <c r="DG8" i="99"/>
  <c r="DG11" i="99" s="1"/>
  <c r="DG13" i="99" s="1"/>
  <c r="DG19" i="99" s="1"/>
  <c r="CZ8" i="99"/>
  <c r="CZ11" i="99" s="1"/>
  <c r="CZ13" i="99" s="1"/>
  <c r="CZ19" i="99" s="1"/>
  <c r="O10" i="100"/>
  <c r="DD8" i="99"/>
  <c r="DD11" i="99" s="1"/>
  <c r="DD13" i="99" s="1"/>
  <c r="DD19" i="99" s="1"/>
  <c r="BZ9" i="100"/>
  <c r="BZ17" i="100" s="1"/>
  <c r="BF10" i="100"/>
  <c r="BF14" i="100" s="1"/>
  <c r="EZ10" i="100"/>
  <c r="AD9" i="100"/>
  <c r="N9" i="100"/>
  <c r="DE8" i="99"/>
  <c r="DE11" i="99" s="1"/>
  <c r="DE13" i="99" s="1"/>
  <c r="DE19" i="99" s="1"/>
  <c r="CS8" i="103"/>
  <c r="CS11" i="103" s="1"/>
  <c r="CS14" i="103" s="1"/>
  <c r="CS20" i="103" s="1"/>
  <c r="EH106" i="22" s="1"/>
  <c r="CF8" i="101"/>
  <c r="CF11" i="101" s="1"/>
  <c r="CN8" i="101"/>
  <c r="CN11" i="101" s="1"/>
  <c r="CV8" i="101"/>
  <c r="CV11" i="101" s="1"/>
  <c r="CB9" i="101"/>
  <c r="CB12" i="101" s="1"/>
  <c r="CJ9" i="101"/>
  <c r="CJ12" i="101" s="1"/>
  <c r="CR9" i="101"/>
  <c r="CR12" i="101" s="1"/>
  <c r="CZ9" i="101"/>
  <c r="CZ12" i="101" s="1"/>
  <c r="AU8" i="101"/>
  <c r="AU11" i="101" s="1"/>
  <c r="BC8" i="101"/>
  <c r="BC11" i="101" s="1"/>
  <c r="BK8" i="101"/>
  <c r="BK11" i="101" s="1"/>
  <c r="BS8" i="101"/>
  <c r="BS11" i="101" s="1"/>
  <c r="AS9" i="101"/>
  <c r="AS12" i="101" s="1"/>
  <c r="BA9" i="101"/>
  <c r="BA12" i="101" s="1"/>
  <c r="BI9" i="101"/>
  <c r="BI12" i="101" s="1"/>
  <c r="BQ9" i="101"/>
  <c r="BQ12" i="101" s="1"/>
  <c r="AP8" i="101"/>
  <c r="AP11" i="101" s="1"/>
  <c r="CH8" i="101"/>
  <c r="CH11" i="101" s="1"/>
  <c r="CP8" i="101"/>
  <c r="CP11" i="101" s="1"/>
  <c r="CL9" i="101"/>
  <c r="CL12" i="101" s="1"/>
  <c r="BY8" i="101"/>
  <c r="BY11" i="101" s="1"/>
  <c r="BE8" i="101"/>
  <c r="BE11" i="101" s="1"/>
  <c r="BU8" i="101"/>
  <c r="BU11" i="101" s="1"/>
  <c r="BK9" i="101"/>
  <c r="BK12" i="101" s="1"/>
  <c r="CD8" i="101"/>
  <c r="CD11" i="101" s="1"/>
  <c r="CH9" i="101"/>
  <c r="CH12" i="101" s="1"/>
  <c r="AS8" i="101"/>
  <c r="AS11" i="101" s="1"/>
  <c r="AY9" i="101"/>
  <c r="AY12" i="101" s="1"/>
  <c r="CR8" i="103"/>
  <c r="CR11" i="103" s="1"/>
  <c r="CR14" i="103" s="1"/>
  <c r="CR20" i="103" s="1"/>
  <c r="EG106" i="22" s="1"/>
  <c r="CM8" i="101"/>
  <c r="CM11" i="101" s="1"/>
  <c r="CQ9" i="101"/>
  <c r="CQ12" i="101" s="1"/>
  <c r="BJ8" i="101"/>
  <c r="BJ11" i="101" s="1"/>
  <c r="BH9" i="101"/>
  <c r="BH12" i="101" s="1"/>
  <c r="CT8" i="103"/>
  <c r="CT11" i="103" s="1"/>
  <c r="CT14" i="103" s="1"/>
  <c r="CT20" i="103" s="1"/>
  <c r="EI106" i="22" s="1"/>
  <c r="CG8" i="101"/>
  <c r="CG11" i="101" s="1"/>
  <c r="CO8" i="101"/>
  <c r="CO11" i="101" s="1"/>
  <c r="CW8" i="101"/>
  <c r="CW11" i="101" s="1"/>
  <c r="CC9" i="101"/>
  <c r="CC12" i="101" s="1"/>
  <c r="CK9" i="101"/>
  <c r="CK12" i="101" s="1"/>
  <c r="CS9" i="101"/>
  <c r="CS12" i="101" s="1"/>
  <c r="DA9" i="101"/>
  <c r="DA12" i="101" s="1"/>
  <c r="AV8" i="101"/>
  <c r="AV11" i="101" s="1"/>
  <c r="BD8" i="101"/>
  <c r="BD11" i="101" s="1"/>
  <c r="BL8" i="101"/>
  <c r="BL11" i="101" s="1"/>
  <c r="BT8" i="101"/>
  <c r="BT11" i="101" s="1"/>
  <c r="AT9" i="101"/>
  <c r="AT12" i="101" s="1"/>
  <c r="BB9" i="101"/>
  <c r="BB12" i="101" s="1"/>
  <c r="BJ9" i="101"/>
  <c r="BJ12" i="101" s="1"/>
  <c r="BR9" i="101"/>
  <c r="BR12" i="101" s="1"/>
  <c r="AP9" i="101"/>
  <c r="AP12" i="101" s="1"/>
  <c r="CU8" i="103"/>
  <c r="CU11" i="103" s="1"/>
  <c r="CU14" i="103" s="1"/>
  <c r="CU20" i="103" s="1"/>
  <c r="EJ106" i="22" s="1"/>
  <c r="BZ8" i="101"/>
  <c r="BZ11" i="101" s="1"/>
  <c r="CX8" i="101"/>
  <c r="CX11" i="101" s="1"/>
  <c r="CD9" i="101"/>
  <c r="CD12" i="101" s="1"/>
  <c r="CT9" i="101"/>
  <c r="CT12" i="101" s="1"/>
  <c r="AW8" i="101"/>
  <c r="AW11" i="101" s="1"/>
  <c r="BM8" i="101"/>
  <c r="BM11" i="101" s="1"/>
  <c r="AU9" i="101"/>
  <c r="AU12" i="101" s="1"/>
  <c r="BC9" i="101"/>
  <c r="BC12" i="101" s="1"/>
  <c r="BS9" i="101"/>
  <c r="BS12" i="101" s="1"/>
  <c r="BZ9" i="101"/>
  <c r="BZ12" i="101" s="1"/>
  <c r="BA8" i="101"/>
  <c r="BA11" i="101" s="1"/>
  <c r="AQ9" i="101"/>
  <c r="AQ12" i="101" s="1"/>
  <c r="BW9" i="101"/>
  <c r="BW12" i="101" s="1"/>
  <c r="CZ8" i="103"/>
  <c r="CZ11" i="103" s="1"/>
  <c r="CZ14" i="103" s="1"/>
  <c r="CZ20" i="103" s="1"/>
  <c r="EO106" i="22" s="1"/>
  <c r="CU8" i="101"/>
  <c r="CU11" i="101" s="1"/>
  <c r="CI9" i="101"/>
  <c r="CI12" i="101" s="1"/>
  <c r="BB8" i="101"/>
  <c r="BB11" i="101" s="1"/>
  <c r="AZ9" i="101"/>
  <c r="AZ12" i="101" s="1"/>
  <c r="BX9" i="101"/>
  <c r="BX12" i="101" s="1"/>
  <c r="CV8" i="103"/>
  <c r="CV11" i="103" s="1"/>
  <c r="CV14" i="103" s="1"/>
  <c r="CV20" i="103" s="1"/>
  <c r="EK106" i="22" s="1"/>
  <c r="CA8" i="101"/>
  <c r="CA11" i="101" s="1"/>
  <c r="CI8" i="101"/>
  <c r="CI11" i="101" s="1"/>
  <c r="CQ8" i="101"/>
  <c r="CQ11" i="101" s="1"/>
  <c r="CY8" i="101"/>
  <c r="CY11" i="101" s="1"/>
  <c r="CE9" i="101"/>
  <c r="CE12" i="101" s="1"/>
  <c r="CM9" i="101"/>
  <c r="CM12" i="101" s="1"/>
  <c r="CU9" i="101"/>
  <c r="CU12" i="101" s="1"/>
  <c r="BY9" i="101"/>
  <c r="BY12" i="101" s="1"/>
  <c r="AX8" i="101"/>
  <c r="AX11" i="101" s="1"/>
  <c r="BF8" i="101"/>
  <c r="BF11" i="101" s="1"/>
  <c r="BN8" i="101"/>
  <c r="BN11" i="101" s="1"/>
  <c r="BV8" i="101"/>
  <c r="BV11" i="101" s="1"/>
  <c r="AV9" i="101"/>
  <c r="AV12" i="101" s="1"/>
  <c r="BD9" i="101"/>
  <c r="BD12" i="101" s="1"/>
  <c r="BL9" i="101"/>
  <c r="BL12" i="101" s="1"/>
  <c r="BT9" i="101"/>
  <c r="BT12" i="101" s="1"/>
  <c r="CC8" i="101"/>
  <c r="CC11" i="101" s="1"/>
  <c r="CS8" i="101"/>
  <c r="CS11" i="101" s="1"/>
  <c r="CG9" i="101"/>
  <c r="CG12" i="101" s="1"/>
  <c r="CW9" i="101"/>
  <c r="CW12" i="101" s="1"/>
  <c r="AZ8" i="101"/>
  <c r="AZ11" i="101" s="1"/>
  <c r="BP8" i="101"/>
  <c r="BP11" i="101" s="1"/>
  <c r="AX9" i="101"/>
  <c r="AX12" i="101" s="1"/>
  <c r="BN9" i="101"/>
  <c r="BN12" i="101" s="1"/>
  <c r="CY8" i="103"/>
  <c r="CY11" i="103" s="1"/>
  <c r="CY14" i="103" s="1"/>
  <c r="CY20" i="103" s="1"/>
  <c r="EN106" i="22" s="1"/>
  <c r="CL8" i="101"/>
  <c r="CL11" i="101" s="1"/>
  <c r="CP9" i="101"/>
  <c r="CP12" i="101" s="1"/>
  <c r="BI8" i="101"/>
  <c r="BI11" i="101" s="1"/>
  <c r="BG9" i="101"/>
  <c r="BG12" i="101" s="1"/>
  <c r="CA9" i="101"/>
  <c r="CA12" i="101" s="1"/>
  <c r="AT8" i="101"/>
  <c r="AT11" i="101" s="1"/>
  <c r="AR9" i="101"/>
  <c r="AR12" i="101" s="1"/>
  <c r="CW8" i="103"/>
  <c r="CW11" i="103" s="1"/>
  <c r="CW14" i="103" s="1"/>
  <c r="CW20" i="103" s="1"/>
  <c r="EL106" i="22" s="1"/>
  <c r="CB8" i="101"/>
  <c r="CB11" i="101" s="1"/>
  <c r="CJ8" i="101"/>
  <c r="CJ11" i="101" s="1"/>
  <c r="CR8" i="101"/>
  <c r="CR11" i="101" s="1"/>
  <c r="CZ8" i="101"/>
  <c r="CZ11" i="101" s="1"/>
  <c r="CF9" i="101"/>
  <c r="CF12" i="101" s="1"/>
  <c r="CN9" i="101"/>
  <c r="CN12" i="101" s="1"/>
  <c r="CV9" i="101"/>
  <c r="CV12" i="101" s="1"/>
  <c r="AQ8" i="101"/>
  <c r="AQ11" i="101" s="1"/>
  <c r="AY8" i="101"/>
  <c r="AY11" i="101" s="1"/>
  <c r="BG8" i="101"/>
  <c r="BG11" i="101" s="1"/>
  <c r="BO8" i="101"/>
  <c r="BO11" i="101" s="1"/>
  <c r="BW8" i="101"/>
  <c r="BW11" i="101" s="1"/>
  <c r="AW9" i="101"/>
  <c r="AW12" i="101" s="1"/>
  <c r="BE9" i="101"/>
  <c r="BE12" i="101" s="1"/>
  <c r="BM9" i="101"/>
  <c r="BM12" i="101" s="1"/>
  <c r="BU9" i="101"/>
  <c r="BU12" i="101" s="1"/>
  <c r="CX8" i="103"/>
  <c r="CX11" i="103" s="1"/>
  <c r="CX14" i="103" s="1"/>
  <c r="CX20" i="103" s="1"/>
  <c r="EM106" i="22" s="1"/>
  <c r="CK8" i="101"/>
  <c r="CK11" i="101" s="1"/>
  <c r="DA8" i="101"/>
  <c r="DA11" i="101" s="1"/>
  <c r="CO9" i="101"/>
  <c r="CO12" i="101" s="1"/>
  <c r="AR8" i="101"/>
  <c r="AR11" i="101" s="1"/>
  <c r="BH8" i="101"/>
  <c r="BH11" i="101" s="1"/>
  <c r="BX8" i="101"/>
  <c r="BX11" i="101" s="1"/>
  <c r="BF9" i="101"/>
  <c r="BF12" i="101" s="1"/>
  <c r="BV9" i="101"/>
  <c r="BV12" i="101" s="1"/>
  <c r="CT8" i="101"/>
  <c r="CT11" i="101" s="1"/>
  <c r="CX9" i="101"/>
  <c r="CX12" i="101" s="1"/>
  <c r="BQ8" i="101"/>
  <c r="BQ11" i="101" s="1"/>
  <c r="BO9" i="101"/>
  <c r="BO12" i="101" s="1"/>
  <c r="CE8" i="101"/>
  <c r="CE11" i="101" s="1"/>
  <c r="CY9" i="101"/>
  <c r="CY12" i="101" s="1"/>
  <c r="BR8" i="101"/>
  <c r="BR11" i="101" s="1"/>
  <c r="BP9" i="101"/>
  <c r="BP12" i="101" s="1"/>
  <c r="EM7" i="126"/>
  <c r="EM10" i="126" s="1"/>
  <c r="EM12" i="126" s="1"/>
  <c r="EM13" i="126" s="1"/>
  <c r="EM14" i="126" s="1"/>
  <c r="EM15" i="126" s="1"/>
  <c r="EM18" i="126" s="1"/>
  <c r="EM25" i="126" s="1"/>
  <c r="EE7" i="126"/>
  <c r="EE10" i="126" s="1"/>
  <c r="EE12" i="126" s="1"/>
  <c r="EE13" i="126" s="1"/>
  <c r="EE14" i="126" s="1"/>
  <c r="EE15" i="126" s="1"/>
  <c r="EE18" i="126" s="1"/>
  <c r="EE25" i="126" s="1"/>
  <c r="DW7" i="126"/>
  <c r="DW10" i="126" s="1"/>
  <c r="DW12" i="126" s="1"/>
  <c r="DW13" i="126" s="1"/>
  <c r="DW14" i="126" s="1"/>
  <c r="DW15" i="126" s="1"/>
  <c r="DW18" i="126" s="1"/>
  <c r="DW25" i="126" s="1"/>
  <c r="DO7" i="126"/>
  <c r="DO10" i="126" s="1"/>
  <c r="DO12" i="126" s="1"/>
  <c r="DO13" i="126" s="1"/>
  <c r="DO14" i="126" s="1"/>
  <c r="DO15" i="126" s="1"/>
  <c r="DO18" i="126" s="1"/>
  <c r="DO25" i="126" s="1"/>
  <c r="FD125" i="22" s="1"/>
  <c r="DG7" i="126"/>
  <c r="DG10" i="126" s="1"/>
  <c r="DG12" i="126" s="1"/>
  <c r="DG13" i="126" s="1"/>
  <c r="DG14" i="126" s="1"/>
  <c r="DG15" i="126" s="1"/>
  <c r="DG18" i="126" s="1"/>
  <c r="CY7" i="126"/>
  <c r="CY10" i="126" s="1"/>
  <c r="CY12" i="126" s="1"/>
  <c r="CY13" i="126" s="1"/>
  <c r="CY14" i="126" s="1"/>
  <c r="CY15" i="126" s="1"/>
  <c r="CY18" i="126" s="1"/>
  <c r="CQ7" i="126"/>
  <c r="CQ10" i="126" s="1"/>
  <c r="CQ12" i="126" s="1"/>
  <c r="CQ13" i="126" s="1"/>
  <c r="CQ14" i="126" s="1"/>
  <c r="CQ15" i="126" s="1"/>
  <c r="CQ18" i="126" s="1"/>
  <c r="CI7" i="126"/>
  <c r="CI10" i="126" s="1"/>
  <c r="CI12" i="126" s="1"/>
  <c r="CI13" i="126" s="1"/>
  <c r="CI14" i="126" s="1"/>
  <c r="CI15" i="126" s="1"/>
  <c r="CI18" i="126" s="1"/>
  <c r="CA7" i="126"/>
  <c r="CA10" i="126" s="1"/>
  <c r="CA12" i="126" s="1"/>
  <c r="CA13" i="126" s="1"/>
  <c r="CA14" i="126" s="1"/>
  <c r="CA15" i="126" s="1"/>
  <c r="CA18" i="126" s="1"/>
  <c r="BS7" i="126"/>
  <c r="BS10" i="126" s="1"/>
  <c r="BS12" i="126" s="1"/>
  <c r="BS13" i="126" s="1"/>
  <c r="BS14" i="126" s="1"/>
  <c r="BS15" i="126" s="1"/>
  <c r="BS18" i="126" s="1"/>
  <c r="BK7" i="126"/>
  <c r="BK10" i="126" s="1"/>
  <c r="BK12" i="126" s="1"/>
  <c r="BK13" i="126" s="1"/>
  <c r="BK14" i="126" s="1"/>
  <c r="BK15" i="126" s="1"/>
  <c r="BK18" i="126" s="1"/>
  <c r="BC7" i="126"/>
  <c r="BC10" i="126" s="1"/>
  <c r="BC12" i="126" s="1"/>
  <c r="BC13" i="126" s="1"/>
  <c r="BC14" i="126" s="1"/>
  <c r="BC15" i="126" s="1"/>
  <c r="BC18" i="126" s="1"/>
  <c r="AU7" i="126"/>
  <c r="AU10" i="126" s="1"/>
  <c r="AU12" i="126" s="1"/>
  <c r="AU13" i="126" s="1"/>
  <c r="AU14" i="126" s="1"/>
  <c r="AU15" i="126" s="1"/>
  <c r="AU18" i="126" s="1"/>
  <c r="AM7" i="126"/>
  <c r="AM10" i="126" s="1"/>
  <c r="AM12" i="126" s="1"/>
  <c r="AM13" i="126" s="1"/>
  <c r="AM14" i="126" s="1"/>
  <c r="AM15" i="126" s="1"/>
  <c r="AM18" i="126" s="1"/>
  <c r="AM25" i="126" s="1"/>
  <c r="AE7" i="126"/>
  <c r="AE10" i="126" s="1"/>
  <c r="AE12" i="126" s="1"/>
  <c r="AE13" i="126" s="1"/>
  <c r="AE14" i="126" s="1"/>
  <c r="AE15" i="126" s="1"/>
  <c r="AE18" i="126" s="1"/>
  <c r="AE25" i="126" s="1"/>
  <c r="W7" i="126"/>
  <c r="W10" i="126" s="1"/>
  <c r="W12" i="126" s="1"/>
  <c r="W13" i="126" s="1"/>
  <c r="W14" i="126" s="1"/>
  <c r="W15" i="126" s="1"/>
  <c r="W18" i="126" s="1"/>
  <c r="W25" i="126" s="1"/>
  <c r="O7" i="126"/>
  <c r="O10" i="126" s="1"/>
  <c r="O12" i="126" s="1"/>
  <c r="O13" i="126" s="1"/>
  <c r="O14" i="126" s="1"/>
  <c r="O15" i="126" s="1"/>
  <c r="O18" i="126" s="1"/>
  <c r="O25" i="126" s="1"/>
  <c r="DH8" i="123"/>
  <c r="DH13" i="123" s="1"/>
  <c r="DH18" i="123" s="1"/>
  <c r="DH24" i="123" s="1"/>
  <c r="EW124" i="22" s="1"/>
  <c r="DP8" i="123"/>
  <c r="DP13" i="123" s="1"/>
  <c r="DP18" i="123" s="1"/>
  <c r="DP24" i="123" s="1"/>
  <c r="FE124" i="22" s="1"/>
  <c r="DX8" i="123"/>
  <c r="DX13" i="123" s="1"/>
  <c r="DX18" i="123" s="1"/>
  <c r="DX24" i="123" s="1"/>
  <c r="CW8" i="123"/>
  <c r="CW13" i="123" s="1"/>
  <c r="CW18" i="123" s="1"/>
  <c r="CW24" i="123" s="1"/>
  <c r="EL124" i="22" s="1"/>
  <c r="EL7" i="126"/>
  <c r="EL10" i="126" s="1"/>
  <c r="EL12" i="126" s="1"/>
  <c r="EL13" i="126" s="1"/>
  <c r="EL14" i="126" s="1"/>
  <c r="EL15" i="126" s="1"/>
  <c r="EL18" i="126" s="1"/>
  <c r="EL25" i="126" s="1"/>
  <c r="ED7" i="126"/>
  <c r="ED10" i="126" s="1"/>
  <c r="ED12" i="126" s="1"/>
  <c r="ED13" i="126" s="1"/>
  <c r="ED14" i="126" s="1"/>
  <c r="ED15" i="126" s="1"/>
  <c r="ED18" i="126" s="1"/>
  <c r="ED25" i="126" s="1"/>
  <c r="EK7" i="126"/>
  <c r="EK10" i="126" s="1"/>
  <c r="EK12" i="126" s="1"/>
  <c r="EK13" i="126" s="1"/>
  <c r="EK14" i="126" s="1"/>
  <c r="EK15" i="126" s="1"/>
  <c r="EK18" i="126" s="1"/>
  <c r="EK25" i="126" s="1"/>
  <c r="EC7" i="126"/>
  <c r="EC10" i="126" s="1"/>
  <c r="EC12" i="126" s="1"/>
  <c r="EC13" i="126" s="1"/>
  <c r="EC14" i="126" s="1"/>
  <c r="EC15" i="126" s="1"/>
  <c r="EC18" i="126" s="1"/>
  <c r="EC25" i="126" s="1"/>
  <c r="DU7" i="126"/>
  <c r="DU10" i="126" s="1"/>
  <c r="DU12" i="126" s="1"/>
  <c r="DU13" i="126" s="1"/>
  <c r="DU14" i="126" s="1"/>
  <c r="DU15" i="126" s="1"/>
  <c r="DU18" i="126" s="1"/>
  <c r="DU25" i="126" s="1"/>
  <c r="DM7" i="126"/>
  <c r="DM10" i="126" s="1"/>
  <c r="DM12" i="126" s="1"/>
  <c r="DM13" i="126" s="1"/>
  <c r="DM14" i="126" s="1"/>
  <c r="DM15" i="126" s="1"/>
  <c r="DM18" i="126" s="1"/>
  <c r="DE7" i="126"/>
  <c r="DE10" i="126" s="1"/>
  <c r="DE12" i="126" s="1"/>
  <c r="DE13" i="126" s="1"/>
  <c r="DE14" i="126" s="1"/>
  <c r="DE15" i="126" s="1"/>
  <c r="DE18" i="126" s="1"/>
  <c r="CW7" i="126"/>
  <c r="CW10" i="126" s="1"/>
  <c r="CW12" i="126" s="1"/>
  <c r="CW13" i="126" s="1"/>
  <c r="CW14" i="126" s="1"/>
  <c r="CW15" i="126" s="1"/>
  <c r="CW18" i="126" s="1"/>
  <c r="CO7" i="126"/>
  <c r="CO10" i="126" s="1"/>
  <c r="CO12" i="126" s="1"/>
  <c r="CO13" i="126" s="1"/>
  <c r="CO14" i="126" s="1"/>
  <c r="CO15" i="126" s="1"/>
  <c r="CO18" i="126" s="1"/>
  <c r="CG7" i="126"/>
  <c r="CG10" i="126" s="1"/>
  <c r="CG12" i="126" s="1"/>
  <c r="CG13" i="126" s="1"/>
  <c r="CG14" i="126" s="1"/>
  <c r="CG15" i="126" s="1"/>
  <c r="CG18" i="126" s="1"/>
  <c r="BY7" i="126"/>
  <c r="BY10" i="126" s="1"/>
  <c r="BY12" i="126" s="1"/>
  <c r="BY13" i="126" s="1"/>
  <c r="BY14" i="126" s="1"/>
  <c r="BY15" i="126" s="1"/>
  <c r="BY18" i="126" s="1"/>
  <c r="BQ7" i="126"/>
  <c r="BQ10" i="126" s="1"/>
  <c r="BQ12" i="126" s="1"/>
  <c r="BQ13" i="126" s="1"/>
  <c r="BQ14" i="126" s="1"/>
  <c r="BQ15" i="126" s="1"/>
  <c r="BQ18" i="126" s="1"/>
  <c r="BI7" i="126"/>
  <c r="BI10" i="126" s="1"/>
  <c r="BI12" i="126" s="1"/>
  <c r="BI13" i="126" s="1"/>
  <c r="BI14" i="126" s="1"/>
  <c r="BI15" i="126" s="1"/>
  <c r="BI18" i="126" s="1"/>
  <c r="BA7" i="126"/>
  <c r="BA10" i="126" s="1"/>
  <c r="BA12" i="126" s="1"/>
  <c r="BA13" i="126" s="1"/>
  <c r="BA14" i="126" s="1"/>
  <c r="BA15" i="126" s="1"/>
  <c r="BA18" i="126" s="1"/>
  <c r="AS7" i="126"/>
  <c r="AS10" i="126" s="1"/>
  <c r="AS12" i="126" s="1"/>
  <c r="AS13" i="126" s="1"/>
  <c r="AS14" i="126" s="1"/>
  <c r="AS15" i="126" s="1"/>
  <c r="AS18" i="126" s="1"/>
  <c r="AK7" i="126"/>
  <c r="AK10" i="126" s="1"/>
  <c r="AK12" i="126" s="1"/>
  <c r="AK13" i="126" s="1"/>
  <c r="AK14" i="126" s="1"/>
  <c r="AK15" i="126" s="1"/>
  <c r="AK18" i="126" s="1"/>
  <c r="AK25" i="126" s="1"/>
  <c r="AC7" i="126"/>
  <c r="AC10" i="126" s="1"/>
  <c r="AC12" i="126" s="1"/>
  <c r="AC13" i="126" s="1"/>
  <c r="AC14" i="126" s="1"/>
  <c r="AC15" i="126" s="1"/>
  <c r="AC18" i="126" s="1"/>
  <c r="AC25" i="126" s="1"/>
  <c r="U7" i="126"/>
  <c r="U10" i="126" s="1"/>
  <c r="U12" i="126" s="1"/>
  <c r="U13" i="126" s="1"/>
  <c r="U14" i="126" s="1"/>
  <c r="U15" i="126" s="1"/>
  <c r="U18" i="126" s="1"/>
  <c r="U25" i="126" s="1"/>
  <c r="M7" i="126"/>
  <c r="M10" i="126" s="1"/>
  <c r="M12" i="126" s="1"/>
  <c r="M13" i="126" s="1"/>
  <c r="M14" i="126" s="1"/>
  <c r="M15" i="126" s="1"/>
  <c r="M18" i="126" s="1"/>
  <c r="M25" i="126" s="1"/>
  <c r="DB8" i="123"/>
  <c r="DB13" i="123" s="1"/>
  <c r="DB18" i="123" s="1"/>
  <c r="DB24" i="123" s="1"/>
  <c r="EQ124" i="22" s="1"/>
  <c r="DJ8" i="123"/>
  <c r="DJ13" i="123" s="1"/>
  <c r="DJ18" i="123" s="1"/>
  <c r="DJ24" i="123" s="1"/>
  <c r="EY124" i="22" s="1"/>
  <c r="DR8" i="123"/>
  <c r="DR13" i="123" s="1"/>
  <c r="DR18" i="123" s="1"/>
  <c r="DR24" i="123" s="1"/>
  <c r="FG124" i="22" s="1"/>
  <c r="DZ8" i="123"/>
  <c r="DZ13" i="123" s="1"/>
  <c r="DZ18" i="123" s="1"/>
  <c r="DZ24" i="123" s="1"/>
  <c r="CY8" i="123"/>
  <c r="CY13" i="123" s="1"/>
  <c r="CY18" i="123" s="1"/>
  <c r="CY24" i="123" s="1"/>
  <c r="EN124" i="22" s="1"/>
  <c r="EJ7" i="126"/>
  <c r="EJ10" i="126" s="1"/>
  <c r="EJ12" i="126" s="1"/>
  <c r="EJ13" i="126" s="1"/>
  <c r="EJ14" i="126" s="1"/>
  <c r="EJ15" i="126" s="1"/>
  <c r="EJ18" i="126" s="1"/>
  <c r="EJ25" i="126" s="1"/>
  <c r="EB7" i="126"/>
  <c r="EB10" i="126" s="1"/>
  <c r="EB12" i="126" s="1"/>
  <c r="EB13" i="126" s="1"/>
  <c r="EB14" i="126" s="1"/>
  <c r="EB15" i="126" s="1"/>
  <c r="EB18" i="126" s="1"/>
  <c r="EB25" i="126" s="1"/>
  <c r="DT7" i="126"/>
  <c r="DT10" i="126" s="1"/>
  <c r="DT12" i="126" s="1"/>
  <c r="DT13" i="126" s="1"/>
  <c r="DT14" i="126" s="1"/>
  <c r="DT15" i="126" s="1"/>
  <c r="DT18" i="126" s="1"/>
  <c r="DT25" i="126" s="1"/>
  <c r="DL7" i="126"/>
  <c r="DL10" i="126" s="1"/>
  <c r="DL12" i="126" s="1"/>
  <c r="DL13" i="126" s="1"/>
  <c r="DL14" i="126" s="1"/>
  <c r="DL15" i="126" s="1"/>
  <c r="DL18" i="126" s="1"/>
  <c r="DD7" i="126"/>
  <c r="DD10" i="126" s="1"/>
  <c r="DD12" i="126" s="1"/>
  <c r="DD13" i="126" s="1"/>
  <c r="DD14" i="126" s="1"/>
  <c r="DD15" i="126" s="1"/>
  <c r="DD18" i="126" s="1"/>
  <c r="CV7" i="126"/>
  <c r="CV10" i="126" s="1"/>
  <c r="CV12" i="126" s="1"/>
  <c r="CV13" i="126" s="1"/>
  <c r="CV14" i="126" s="1"/>
  <c r="CV15" i="126" s="1"/>
  <c r="CV18" i="126" s="1"/>
  <c r="CN7" i="126"/>
  <c r="CN10" i="126" s="1"/>
  <c r="CN12" i="126" s="1"/>
  <c r="CN13" i="126" s="1"/>
  <c r="CN14" i="126" s="1"/>
  <c r="CN15" i="126" s="1"/>
  <c r="CN18" i="126" s="1"/>
  <c r="CF7" i="126"/>
  <c r="CF10" i="126" s="1"/>
  <c r="CF12" i="126" s="1"/>
  <c r="CF13" i="126" s="1"/>
  <c r="CF14" i="126" s="1"/>
  <c r="CF15" i="126" s="1"/>
  <c r="CF18" i="126" s="1"/>
  <c r="BX7" i="126"/>
  <c r="BX10" i="126" s="1"/>
  <c r="BX12" i="126" s="1"/>
  <c r="BX13" i="126" s="1"/>
  <c r="BX14" i="126" s="1"/>
  <c r="BX15" i="126" s="1"/>
  <c r="BX18" i="126" s="1"/>
  <c r="BP7" i="126"/>
  <c r="BP10" i="126" s="1"/>
  <c r="BP12" i="126" s="1"/>
  <c r="BP13" i="126" s="1"/>
  <c r="BP14" i="126" s="1"/>
  <c r="BP15" i="126" s="1"/>
  <c r="BP18" i="126" s="1"/>
  <c r="BH7" i="126"/>
  <c r="BH10" i="126" s="1"/>
  <c r="BH12" i="126" s="1"/>
  <c r="BH13" i="126" s="1"/>
  <c r="BH14" i="126" s="1"/>
  <c r="BH15" i="126" s="1"/>
  <c r="BH18" i="126" s="1"/>
  <c r="AZ7" i="126"/>
  <c r="AZ10" i="126" s="1"/>
  <c r="AZ12" i="126" s="1"/>
  <c r="AZ13" i="126" s="1"/>
  <c r="AZ14" i="126" s="1"/>
  <c r="AZ15" i="126" s="1"/>
  <c r="AZ18" i="126" s="1"/>
  <c r="AR7" i="126"/>
  <c r="AR10" i="126" s="1"/>
  <c r="AR12" i="126" s="1"/>
  <c r="AR13" i="126" s="1"/>
  <c r="AR14" i="126" s="1"/>
  <c r="AR15" i="126" s="1"/>
  <c r="AR18" i="126" s="1"/>
  <c r="AR25" i="126" s="1"/>
  <c r="AJ7" i="126"/>
  <c r="AJ10" i="126" s="1"/>
  <c r="AJ12" i="126" s="1"/>
  <c r="AJ13" i="126" s="1"/>
  <c r="AJ14" i="126" s="1"/>
  <c r="AJ15" i="126" s="1"/>
  <c r="AJ18" i="126" s="1"/>
  <c r="AJ25" i="126" s="1"/>
  <c r="AB7" i="126"/>
  <c r="AB10" i="126" s="1"/>
  <c r="AB12" i="126" s="1"/>
  <c r="AB13" i="126" s="1"/>
  <c r="AB14" i="126" s="1"/>
  <c r="AB15" i="126" s="1"/>
  <c r="AB18" i="126" s="1"/>
  <c r="AB25" i="126" s="1"/>
  <c r="T7" i="126"/>
  <c r="T10" i="126" s="1"/>
  <c r="T12" i="126" s="1"/>
  <c r="T13" i="126" s="1"/>
  <c r="T14" i="126" s="1"/>
  <c r="T15" i="126" s="1"/>
  <c r="T18" i="126" s="1"/>
  <c r="T25" i="126" s="1"/>
  <c r="L7" i="126"/>
  <c r="L10" i="126" s="1"/>
  <c r="L12" i="126" s="1"/>
  <c r="L13" i="126" s="1"/>
  <c r="L14" i="126" s="1"/>
  <c r="L15" i="126" s="1"/>
  <c r="L18" i="126" s="1"/>
  <c r="L25" i="126" s="1"/>
  <c r="DC8" i="123"/>
  <c r="DC13" i="123" s="1"/>
  <c r="DC18" i="123" s="1"/>
  <c r="DC24" i="123" s="1"/>
  <c r="ER124" i="22" s="1"/>
  <c r="DK8" i="123"/>
  <c r="DK13" i="123" s="1"/>
  <c r="DK18" i="123" s="1"/>
  <c r="DK24" i="123" s="1"/>
  <c r="EZ124" i="22" s="1"/>
  <c r="DS8" i="123"/>
  <c r="DS13" i="123" s="1"/>
  <c r="DS18" i="123" s="1"/>
  <c r="DS24" i="123" s="1"/>
  <c r="FH124" i="22" s="1"/>
  <c r="EA8" i="123"/>
  <c r="EA13" i="123" s="1"/>
  <c r="EA18" i="123" s="1"/>
  <c r="EA24" i="123" s="1"/>
  <c r="CZ8" i="123"/>
  <c r="CZ13" i="123" s="1"/>
  <c r="CZ18" i="123" s="1"/>
  <c r="CZ24" i="123" s="1"/>
  <c r="EO124" i="22" s="1"/>
  <c r="EI7" i="126"/>
  <c r="EI10" i="126" s="1"/>
  <c r="EI12" i="126" s="1"/>
  <c r="EI13" i="126" s="1"/>
  <c r="EI14" i="126" s="1"/>
  <c r="EI15" i="126" s="1"/>
  <c r="EI18" i="126" s="1"/>
  <c r="EI25" i="126" s="1"/>
  <c r="EA7" i="126"/>
  <c r="EA10" i="126" s="1"/>
  <c r="EA12" i="126" s="1"/>
  <c r="EA13" i="126" s="1"/>
  <c r="EA14" i="126" s="1"/>
  <c r="EA15" i="126" s="1"/>
  <c r="EA18" i="126" s="1"/>
  <c r="EA25" i="126" s="1"/>
  <c r="DS7" i="126"/>
  <c r="DS10" i="126" s="1"/>
  <c r="DS12" i="126" s="1"/>
  <c r="DS13" i="126" s="1"/>
  <c r="DS14" i="126" s="1"/>
  <c r="DS15" i="126" s="1"/>
  <c r="DS18" i="126" s="1"/>
  <c r="DS25" i="126" s="1"/>
  <c r="FH125" i="22" s="1"/>
  <c r="DK7" i="126"/>
  <c r="DK10" i="126" s="1"/>
  <c r="DK12" i="126" s="1"/>
  <c r="DK13" i="126" s="1"/>
  <c r="DK14" i="126" s="1"/>
  <c r="DK15" i="126" s="1"/>
  <c r="DK18" i="126" s="1"/>
  <c r="DC7" i="126"/>
  <c r="DC10" i="126" s="1"/>
  <c r="DC12" i="126" s="1"/>
  <c r="DC13" i="126" s="1"/>
  <c r="DC14" i="126" s="1"/>
  <c r="DC15" i="126" s="1"/>
  <c r="DC18" i="126" s="1"/>
  <c r="CU7" i="126"/>
  <c r="CU10" i="126" s="1"/>
  <c r="CU12" i="126" s="1"/>
  <c r="CU13" i="126" s="1"/>
  <c r="CU14" i="126" s="1"/>
  <c r="CU15" i="126" s="1"/>
  <c r="CU18" i="126" s="1"/>
  <c r="CM7" i="126"/>
  <c r="CM10" i="126" s="1"/>
  <c r="CM12" i="126" s="1"/>
  <c r="CM13" i="126" s="1"/>
  <c r="CM14" i="126" s="1"/>
  <c r="CM15" i="126" s="1"/>
  <c r="CM18" i="126" s="1"/>
  <c r="CE7" i="126"/>
  <c r="CE10" i="126" s="1"/>
  <c r="CE12" i="126" s="1"/>
  <c r="CE13" i="126" s="1"/>
  <c r="CE14" i="126" s="1"/>
  <c r="CE15" i="126" s="1"/>
  <c r="CE18" i="126" s="1"/>
  <c r="BW7" i="126"/>
  <c r="BW10" i="126" s="1"/>
  <c r="BW12" i="126" s="1"/>
  <c r="BW13" i="126" s="1"/>
  <c r="BW14" i="126" s="1"/>
  <c r="BW15" i="126" s="1"/>
  <c r="BW18" i="126" s="1"/>
  <c r="BO7" i="126"/>
  <c r="BO10" i="126" s="1"/>
  <c r="BO12" i="126" s="1"/>
  <c r="BO13" i="126" s="1"/>
  <c r="BO14" i="126" s="1"/>
  <c r="BO15" i="126" s="1"/>
  <c r="BO18" i="126" s="1"/>
  <c r="BG7" i="126"/>
  <c r="BG10" i="126" s="1"/>
  <c r="BG12" i="126" s="1"/>
  <c r="BG13" i="126" s="1"/>
  <c r="BG14" i="126" s="1"/>
  <c r="BG15" i="126" s="1"/>
  <c r="BG18" i="126" s="1"/>
  <c r="AY7" i="126"/>
  <c r="AY10" i="126" s="1"/>
  <c r="AY12" i="126" s="1"/>
  <c r="AY13" i="126" s="1"/>
  <c r="AY14" i="126" s="1"/>
  <c r="AY15" i="126" s="1"/>
  <c r="AY18" i="126" s="1"/>
  <c r="AQ7" i="126"/>
  <c r="AQ10" i="126" s="1"/>
  <c r="AQ12" i="126" s="1"/>
  <c r="AQ13" i="126" s="1"/>
  <c r="AQ14" i="126" s="1"/>
  <c r="AQ15" i="126" s="1"/>
  <c r="AQ18" i="126" s="1"/>
  <c r="AQ25" i="126" s="1"/>
  <c r="AI7" i="126"/>
  <c r="AI10" i="126" s="1"/>
  <c r="AI12" i="126" s="1"/>
  <c r="AI13" i="126" s="1"/>
  <c r="AI14" i="126" s="1"/>
  <c r="AI15" i="126" s="1"/>
  <c r="AI18" i="126" s="1"/>
  <c r="AI25" i="126" s="1"/>
  <c r="AA7" i="126"/>
  <c r="AA10" i="126" s="1"/>
  <c r="AA12" i="126" s="1"/>
  <c r="AA13" i="126" s="1"/>
  <c r="AA14" i="126" s="1"/>
  <c r="AA15" i="126" s="1"/>
  <c r="AA18" i="126" s="1"/>
  <c r="AA25" i="126" s="1"/>
  <c r="S7" i="126"/>
  <c r="S10" i="126" s="1"/>
  <c r="S12" i="126" s="1"/>
  <c r="S13" i="126" s="1"/>
  <c r="S14" i="126" s="1"/>
  <c r="S15" i="126" s="1"/>
  <c r="S18" i="126" s="1"/>
  <c r="S25" i="126" s="1"/>
  <c r="K7" i="126"/>
  <c r="K10" i="126" s="1"/>
  <c r="K12" i="126" s="1"/>
  <c r="K13" i="126" s="1"/>
  <c r="K14" i="126" s="1"/>
  <c r="K15" i="126" s="1"/>
  <c r="K18" i="126" s="1"/>
  <c r="K25" i="126" s="1"/>
  <c r="DD8" i="123"/>
  <c r="DD13" i="123" s="1"/>
  <c r="DD18" i="123" s="1"/>
  <c r="DD24" i="123" s="1"/>
  <c r="ES124" i="22" s="1"/>
  <c r="DL8" i="123"/>
  <c r="DL13" i="123" s="1"/>
  <c r="DL18" i="123" s="1"/>
  <c r="DL24" i="123" s="1"/>
  <c r="FA124" i="22" s="1"/>
  <c r="DT8" i="123"/>
  <c r="DT13" i="123" s="1"/>
  <c r="DT18" i="123" s="1"/>
  <c r="DT24" i="123" s="1"/>
  <c r="EB8" i="123"/>
  <c r="EB13" i="123" s="1"/>
  <c r="EB18" i="123" s="1"/>
  <c r="EB24" i="123" s="1"/>
  <c r="CS8" i="123"/>
  <c r="CS13" i="123" s="1"/>
  <c r="CS18" i="123" s="1"/>
  <c r="CS24" i="123" s="1"/>
  <c r="EH124" i="22" s="1"/>
  <c r="CR8" i="123"/>
  <c r="CR13" i="123" s="1"/>
  <c r="CR18" i="123" s="1"/>
  <c r="CR24" i="123" s="1"/>
  <c r="EG124" i="22" s="1"/>
  <c r="EH7" i="126"/>
  <c r="EH10" i="126" s="1"/>
  <c r="EH12" i="126" s="1"/>
  <c r="EH13" i="126" s="1"/>
  <c r="EH14" i="126" s="1"/>
  <c r="EH15" i="126" s="1"/>
  <c r="EH18" i="126" s="1"/>
  <c r="EH25" i="126" s="1"/>
  <c r="DZ7" i="126"/>
  <c r="DZ10" i="126" s="1"/>
  <c r="DZ12" i="126" s="1"/>
  <c r="DZ13" i="126" s="1"/>
  <c r="DZ14" i="126" s="1"/>
  <c r="DZ15" i="126" s="1"/>
  <c r="DZ18" i="126" s="1"/>
  <c r="DZ25" i="126" s="1"/>
  <c r="EG7" i="126"/>
  <c r="EG10" i="126" s="1"/>
  <c r="EG12" i="126" s="1"/>
  <c r="EG13" i="126" s="1"/>
  <c r="EG14" i="126" s="1"/>
  <c r="EG15" i="126" s="1"/>
  <c r="EG18" i="126" s="1"/>
  <c r="EG25" i="126" s="1"/>
  <c r="DY7" i="126"/>
  <c r="DY10" i="126" s="1"/>
  <c r="DY12" i="126" s="1"/>
  <c r="DY13" i="126" s="1"/>
  <c r="DY14" i="126" s="1"/>
  <c r="DY15" i="126" s="1"/>
  <c r="DY18" i="126" s="1"/>
  <c r="DY25" i="126" s="1"/>
  <c r="DQ7" i="126"/>
  <c r="DQ10" i="126" s="1"/>
  <c r="DQ12" i="126" s="1"/>
  <c r="DQ13" i="126" s="1"/>
  <c r="DQ14" i="126" s="1"/>
  <c r="DQ15" i="126" s="1"/>
  <c r="DQ18" i="126" s="1"/>
  <c r="DQ25" i="126" s="1"/>
  <c r="FF125" i="22" s="1"/>
  <c r="DI7" i="126"/>
  <c r="DI10" i="126" s="1"/>
  <c r="DI12" i="126" s="1"/>
  <c r="DI13" i="126" s="1"/>
  <c r="DI14" i="126" s="1"/>
  <c r="DI15" i="126" s="1"/>
  <c r="DI18" i="126" s="1"/>
  <c r="DA7" i="126"/>
  <c r="DA10" i="126" s="1"/>
  <c r="DA12" i="126" s="1"/>
  <c r="DA13" i="126" s="1"/>
  <c r="DA14" i="126" s="1"/>
  <c r="DA15" i="126" s="1"/>
  <c r="DA18" i="126" s="1"/>
  <c r="CS7" i="126"/>
  <c r="CS10" i="126" s="1"/>
  <c r="CS12" i="126" s="1"/>
  <c r="CS13" i="126" s="1"/>
  <c r="CS14" i="126" s="1"/>
  <c r="CS15" i="126" s="1"/>
  <c r="CS18" i="126" s="1"/>
  <c r="CK7" i="126"/>
  <c r="CK10" i="126" s="1"/>
  <c r="CK12" i="126" s="1"/>
  <c r="CK13" i="126" s="1"/>
  <c r="CK14" i="126" s="1"/>
  <c r="CK15" i="126" s="1"/>
  <c r="CK18" i="126" s="1"/>
  <c r="CC7" i="126"/>
  <c r="CC10" i="126" s="1"/>
  <c r="CC12" i="126" s="1"/>
  <c r="CC13" i="126" s="1"/>
  <c r="CC14" i="126" s="1"/>
  <c r="CC15" i="126" s="1"/>
  <c r="CC18" i="126" s="1"/>
  <c r="BU7" i="126"/>
  <c r="BU10" i="126" s="1"/>
  <c r="BU12" i="126" s="1"/>
  <c r="BU13" i="126" s="1"/>
  <c r="BU14" i="126" s="1"/>
  <c r="BU15" i="126" s="1"/>
  <c r="BU18" i="126" s="1"/>
  <c r="BM7" i="126"/>
  <c r="BM10" i="126" s="1"/>
  <c r="BM12" i="126" s="1"/>
  <c r="BM13" i="126" s="1"/>
  <c r="BM14" i="126" s="1"/>
  <c r="BM15" i="126" s="1"/>
  <c r="BM18" i="126" s="1"/>
  <c r="BE7" i="126"/>
  <c r="BE10" i="126" s="1"/>
  <c r="BE12" i="126" s="1"/>
  <c r="BE13" i="126" s="1"/>
  <c r="BE14" i="126" s="1"/>
  <c r="BE15" i="126" s="1"/>
  <c r="BE18" i="126" s="1"/>
  <c r="AW7" i="126"/>
  <c r="AW10" i="126" s="1"/>
  <c r="AW12" i="126" s="1"/>
  <c r="AW13" i="126" s="1"/>
  <c r="AW14" i="126" s="1"/>
  <c r="AW15" i="126" s="1"/>
  <c r="AW18" i="126" s="1"/>
  <c r="EF7" i="126"/>
  <c r="EF10" i="126" s="1"/>
  <c r="EF12" i="126" s="1"/>
  <c r="EF13" i="126" s="1"/>
  <c r="EF14" i="126" s="1"/>
  <c r="EF15" i="126" s="1"/>
  <c r="EF18" i="126" s="1"/>
  <c r="EF25" i="126" s="1"/>
  <c r="DX7" i="126"/>
  <c r="DX10" i="126" s="1"/>
  <c r="DX12" i="126" s="1"/>
  <c r="DX13" i="126" s="1"/>
  <c r="DX14" i="126" s="1"/>
  <c r="DX15" i="126" s="1"/>
  <c r="DX18" i="126" s="1"/>
  <c r="DX25" i="126" s="1"/>
  <c r="DP7" i="126"/>
  <c r="DP10" i="126" s="1"/>
  <c r="DP12" i="126" s="1"/>
  <c r="DP13" i="126" s="1"/>
  <c r="DP14" i="126" s="1"/>
  <c r="DP15" i="126" s="1"/>
  <c r="DP18" i="126" s="1"/>
  <c r="DP25" i="126" s="1"/>
  <c r="FE125" i="22" s="1"/>
  <c r="DH7" i="126"/>
  <c r="DH10" i="126" s="1"/>
  <c r="DH12" i="126" s="1"/>
  <c r="DH13" i="126" s="1"/>
  <c r="DH14" i="126" s="1"/>
  <c r="DH15" i="126" s="1"/>
  <c r="DH18" i="126" s="1"/>
  <c r="CZ7" i="126"/>
  <c r="CZ10" i="126" s="1"/>
  <c r="CZ12" i="126" s="1"/>
  <c r="CZ13" i="126" s="1"/>
  <c r="CZ14" i="126" s="1"/>
  <c r="CZ15" i="126" s="1"/>
  <c r="CZ18" i="126" s="1"/>
  <c r="CR7" i="126"/>
  <c r="CR10" i="126" s="1"/>
  <c r="CR12" i="126" s="1"/>
  <c r="CR13" i="126" s="1"/>
  <c r="CR14" i="126" s="1"/>
  <c r="CR15" i="126" s="1"/>
  <c r="CR18" i="126" s="1"/>
  <c r="CJ7" i="126"/>
  <c r="CJ10" i="126" s="1"/>
  <c r="CJ12" i="126" s="1"/>
  <c r="CJ13" i="126" s="1"/>
  <c r="CJ14" i="126" s="1"/>
  <c r="CJ15" i="126" s="1"/>
  <c r="CJ18" i="126" s="1"/>
  <c r="CB7" i="126"/>
  <c r="CB10" i="126" s="1"/>
  <c r="CB12" i="126" s="1"/>
  <c r="CB13" i="126" s="1"/>
  <c r="CB14" i="126" s="1"/>
  <c r="CB15" i="126" s="1"/>
  <c r="CB18" i="126" s="1"/>
  <c r="BT7" i="126"/>
  <c r="BT10" i="126" s="1"/>
  <c r="BT12" i="126" s="1"/>
  <c r="BT13" i="126" s="1"/>
  <c r="BT14" i="126" s="1"/>
  <c r="BT15" i="126" s="1"/>
  <c r="BT18" i="126" s="1"/>
  <c r="BL7" i="126"/>
  <c r="BL10" i="126" s="1"/>
  <c r="BL12" i="126" s="1"/>
  <c r="BL13" i="126" s="1"/>
  <c r="BL14" i="126" s="1"/>
  <c r="BL15" i="126" s="1"/>
  <c r="BL18" i="126" s="1"/>
  <c r="BD7" i="126"/>
  <c r="BD10" i="126" s="1"/>
  <c r="BD12" i="126" s="1"/>
  <c r="BD13" i="126" s="1"/>
  <c r="BD14" i="126" s="1"/>
  <c r="BD15" i="126" s="1"/>
  <c r="BD18" i="126" s="1"/>
  <c r="AV7" i="126"/>
  <c r="AV10" i="126" s="1"/>
  <c r="AV12" i="126" s="1"/>
  <c r="AV13" i="126" s="1"/>
  <c r="AV14" i="126" s="1"/>
  <c r="AV15" i="126" s="1"/>
  <c r="AV18" i="126" s="1"/>
  <c r="AN7" i="126"/>
  <c r="AN10" i="126" s="1"/>
  <c r="AN12" i="126" s="1"/>
  <c r="AN13" i="126" s="1"/>
  <c r="AN14" i="126" s="1"/>
  <c r="AN15" i="126" s="1"/>
  <c r="AN18" i="126" s="1"/>
  <c r="AN25" i="126" s="1"/>
  <c r="AF7" i="126"/>
  <c r="AF10" i="126" s="1"/>
  <c r="AF12" i="126" s="1"/>
  <c r="AF13" i="126" s="1"/>
  <c r="AF14" i="126" s="1"/>
  <c r="AF15" i="126" s="1"/>
  <c r="AF18" i="126" s="1"/>
  <c r="AF25" i="126" s="1"/>
  <c r="X7" i="126"/>
  <c r="X10" i="126" s="1"/>
  <c r="X12" i="126" s="1"/>
  <c r="X13" i="126" s="1"/>
  <c r="X14" i="126" s="1"/>
  <c r="X15" i="126" s="1"/>
  <c r="X18" i="126" s="1"/>
  <c r="X25" i="126" s="1"/>
  <c r="P7" i="126"/>
  <c r="P10" i="126" s="1"/>
  <c r="P12" i="126" s="1"/>
  <c r="P13" i="126" s="1"/>
  <c r="P14" i="126" s="1"/>
  <c r="P15" i="126" s="1"/>
  <c r="P18" i="126" s="1"/>
  <c r="P25" i="126" s="1"/>
  <c r="DG8" i="123"/>
  <c r="DG13" i="123" s="1"/>
  <c r="DG18" i="123" s="1"/>
  <c r="DG24" i="123" s="1"/>
  <c r="EV124" i="22" s="1"/>
  <c r="DO8" i="123"/>
  <c r="DO13" i="123" s="1"/>
  <c r="DO18" i="123" s="1"/>
  <c r="DO24" i="123" s="1"/>
  <c r="FD124" i="22" s="1"/>
  <c r="DW8" i="123"/>
  <c r="DW13" i="123" s="1"/>
  <c r="DW18" i="123" s="1"/>
  <c r="DW24" i="123" s="1"/>
  <c r="CV8" i="123"/>
  <c r="CV13" i="123" s="1"/>
  <c r="CV18" i="123" s="1"/>
  <c r="CV24" i="123" s="1"/>
  <c r="EK124" i="22" s="1"/>
  <c r="CT7" i="126"/>
  <c r="CT10" i="126" s="1"/>
  <c r="CT12" i="126" s="1"/>
  <c r="CT13" i="126" s="1"/>
  <c r="CT14" i="126" s="1"/>
  <c r="CT15" i="126" s="1"/>
  <c r="CT18" i="126" s="1"/>
  <c r="BN7" i="126"/>
  <c r="BN10" i="126" s="1"/>
  <c r="BN12" i="126" s="1"/>
  <c r="BN13" i="126" s="1"/>
  <c r="BN14" i="126" s="1"/>
  <c r="BN15" i="126" s="1"/>
  <c r="BN18" i="126" s="1"/>
  <c r="AL7" i="126"/>
  <c r="AL10" i="126" s="1"/>
  <c r="AL12" i="126" s="1"/>
  <c r="AL13" i="126" s="1"/>
  <c r="AL14" i="126" s="1"/>
  <c r="AL15" i="126" s="1"/>
  <c r="AL18" i="126" s="1"/>
  <c r="AL25" i="126" s="1"/>
  <c r="Q7" i="126"/>
  <c r="Q10" i="126" s="1"/>
  <c r="Q12" i="126" s="1"/>
  <c r="Q13" i="126" s="1"/>
  <c r="Q14" i="126" s="1"/>
  <c r="Q15" i="126" s="1"/>
  <c r="Q18" i="126" s="1"/>
  <c r="Q25" i="126" s="1"/>
  <c r="DQ8" i="123"/>
  <c r="DQ13" i="123" s="1"/>
  <c r="DQ18" i="123" s="1"/>
  <c r="DQ24" i="123" s="1"/>
  <c r="FF124" i="22" s="1"/>
  <c r="DM8" i="123"/>
  <c r="DM13" i="123" s="1"/>
  <c r="DM18" i="123" s="1"/>
  <c r="DM24" i="123" s="1"/>
  <c r="FB124" i="22" s="1"/>
  <c r="BR7" i="126"/>
  <c r="BR10" i="126" s="1"/>
  <c r="BR12" i="126" s="1"/>
  <c r="BR13" i="126" s="1"/>
  <c r="BR14" i="126" s="1"/>
  <c r="BR15" i="126" s="1"/>
  <c r="BR18" i="126" s="1"/>
  <c r="R7" i="126"/>
  <c r="R10" i="126" s="1"/>
  <c r="R12" i="126" s="1"/>
  <c r="R13" i="126" s="1"/>
  <c r="R14" i="126" s="1"/>
  <c r="R15" i="126" s="1"/>
  <c r="R18" i="126" s="1"/>
  <c r="R25" i="126" s="1"/>
  <c r="DV7" i="126"/>
  <c r="DV10" i="126" s="1"/>
  <c r="DV12" i="126" s="1"/>
  <c r="DV13" i="126" s="1"/>
  <c r="DV14" i="126" s="1"/>
  <c r="DV15" i="126" s="1"/>
  <c r="DV18" i="126" s="1"/>
  <c r="DV25" i="126" s="1"/>
  <c r="CP7" i="126"/>
  <c r="CP10" i="126" s="1"/>
  <c r="CP12" i="126" s="1"/>
  <c r="CP13" i="126" s="1"/>
  <c r="CP14" i="126" s="1"/>
  <c r="CP15" i="126" s="1"/>
  <c r="CP18" i="126" s="1"/>
  <c r="BJ7" i="126"/>
  <c r="BJ10" i="126" s="1"/>
  <c r="BJ12" i="126" s="1"/>
  <c r="BJ13" i="126" s="1"/>
  <c r="BJ14" i="126" s="1"/>
  <c r="BJ15" i="126" s="1"/>
  <c r="BJ18" i="126" s="1"/>
  <c r="AH7" i="126"/>
  <c r="AH10" i="126" s="1"/>
  <c r="AH12" i="126" s="1"/>
  <c r="AH13" i="126" s="1"/>
  <c r="AH14" i="126" s="1"/>
  <c r="AH15" i="126" s="1"/>
  <c r="AH18" i="126" s="1"/>
  <c r="AH25" i="126" s="1"/>
  <c r="N7" i="126"/>
  <c r="N10" i="126" s="1"/>
  <c r="N12" i="126" s="1"/>
  <c r="N13" i="126" s="1"/>
  <c r="N14" i="126" s="1"/>
  <c r="N15" i="126" s="1"/>
  <c r="N18" i="126" s="1"/>
  <c r="N25" i="126" s="1"/>
  <c r="DU8" i="123"/>
  <c r="DU13" i="123" s="1"/>
  <c r="DU18" i="123" s="1"/>
  <c r="DU24" i="123" s="1"/>
  <c r="DR7" i="126"/>
  <c r="DR10" i="126" s="1"/>
  <c r="DR12" i="126" s="1"/>
  <c r="DR13" i="126" s="1"/>
  <c r="DR14" i="126" s="1"/>
  <c r="DR15" i="126" s="1"/>
  <c r="DR18" i="126" s="1"/>
  <c r="DR25" i="126" s="1"/>
  <c r="FG125" i="22" s="1"/>
  <c r="CL7" i="126"/>
  <c r="CL10" i="126" s="1"/>
  <c r="CL12" i="126" s="1"/>
  <c r="CL13" i="126" s="1"/>
  <c r="CL14" i="126" s="1"/>
  <c r="CL15" i="126" s="1"/>
  <c r="CL18" i="126" s="1"/>
  <c r="BF7" i="126"/>
  <c r="BF10" i="126" s="1"/>
  <c r="BF12" i="126" s="1"/>
  <c r="BF13" i="126" s="1"/>
  <c r="BF14" i="126" s="1"/>
  <c r="BF15" i="126" s="1"/>
  <c r="BF18" i="126" s="1"/>
  <c r="AG7" i="126"/>
  <c r="AG10" i="126" s="1"/>
  <c r="AG12" i="126" s="1"/>
  <c r="AG13" i="126" s="1"/>
  <c r="AG14" i="126" s="1"/>
  <c r="AG15" i="126" s="1"/>
  <c r="AG18" i="126" s="1"/>
  <c r="AG25" i="126" s="1"/>
  <c r="J7" i="126"/>
  <c r="J10" i="126" s="1"/>
  <c r="J12" i="126" s="1"/>
  <c r="J13" i="126" s="1"/>
  <c r="J14" i="126" s="1"/>
  <c r="J15" i="126" s="1"/>
  <c r="J18" i="126" s="1"/>
  <c r="J25" i="126" s="1"/>
  <c r="DA8" i="123"/>
  <c r="DA13" i="123" s="1"/>
  <c r="DA18" i="123" s="1"/>
  <c r="DA24" i="123" s="1"/>
  <c r="EP124" i="22" s="1"/>
  <c r="DV8" i="123"/>
  <c r="DV13" i="123" s="1"/>
  <c r="DV18" i="123" s="1"/>
  <c r="DV24" i="123" s="1"/>
  <c r="AP7" i="126"/>
  <c r="AP10" i="126" s="1"/>
  <c r="AP12" i="126" s="1"/>
  <c r="AP13" i="126" s="1"/>
  <c r="AP14" i="126" s="1"/>
  <c r="AP15" i="126" s="1"/>
  <c r="AP18" i="126" s="1"/>
  <c r="AP25" i="126" s="1"/>
  <c r="AO7" i="126"/>
  <c r="AO10" i="126" s="1"/>
  <c r="AO12" i="126" s="1"/>
  <c r="AO13" i="126" s="1"/>
  <c r="AO14" i="126" s="1"/>
  <c r="AO15" i="126" s="1"/>
  <c r="AO18" i="126" s="1"/>
  <c r="AO25" i="126" s="1"/>
  <c r="DN7" i="126"/>
  <c r="DN10" i="126" s="1"/>
  <c r="DN12" i="126" s="1"/>
  <c r="DN13" i="126" s="1"/>
  <c r="DN14" i="126" s="1"/>
  <c r="DN15" i="126" s="1"/>
  <c r="DN18" i="126" s="1"/>
  <c r="CH7" i="126"/>
  <c r="CH10" i="126" s="1"/>
  <c r="CH12" i="126" s="1"/>
  <c r="CH13" i="126" s="1"/>
  <c r="CH14" i="126" s="1"/>
  <c r="CH15" i="126" s="1"/>
  <c r="CH18" i="126" s="1"/>
  <c r="BB7" i="126"/>
  <c r="BB10" i="126" s="1"/>
  <c r="BB12" i="126" s="1"/>
  <c r="BB13" i="126" s="1"/>
  <c r="BB14" i="126" s="1"/>
  <c r="BB15" i="126" s="1"/>
  <c r="BB18" i="126" s="1"/>
  <c r="AD7" i="126"/>
  <c r="AD10" i="126" s="1"/>
  <c r="AD12" i="126" s="1"/>
  <c r="AD13" i="126" s="1"/>
  <c r="AD14" i="126" s="1"/>
  <c r="AD15" i="126" s="1"/>
  <c r="AD18" i="126" s="1"/>
  <c r="AD25" i="126" s="1"/>
  <c r="I7" i="126"/>
  <c r="I10" i="126" s="1"/>
  <c r="I12" i="126" s="1"/>
  <c r="I13" i="126" s="1"/>
  <c r="I14" i="126" s="1"/>
  <c r="I15" i="126" s="1"/>
  <c r="I18" i="126" s="1"/>
  <c r="I25" i="126" s="1"/>
  <c r="DE8" i="123"/>
  <c r="DE13" i="123" s="1"/>
  <c r="DE18" i="123" s="1"/>
  <c r="DE24" i="123" s="1"/>
  <c r="ET124" i="22" s="1"/>
  <c r="DY8" i="123"/>
  <c r="DY13" i="123" s="1"/>
  <c r="DY18" i="123" s="1"/>
  <c r="DY24" i="123" s="1"/>
  <c r="V7" i="126"/>
  <c r="V10" i="126" s="1"/>
  <c r="V12" i="126" s="1"/>
  <c r="V13" i="126" s="1"/>
  <c r="V14" i="126" s="1"/>
  <c r="V15" i="126" s="1"/>
  <c r="V18" i="126" s="1"/>
  <c r="V25" i="126" s="1"/>
  <c r="DJ7" i="126"/>
  <c r="DJ10" i="126" s="1"/>
  <c r="DJ12" i="126" s="1"/>
  <c r="DJ13" i="126" s="1"/>
  <c r="DJ14" i="126" s="1"/>
  <c r="DJ15" i="126" s="1"/>
  <c r="DJ18" i="126" s="1"/>
  <c r="CD7" i="126"/>
  <c r="CD10" i="126" s="1"/>
  <c r="CD12" i="126" s="1"/>
  <c r="CD13" i="126" s="1"/>
  <c r="CD14" i="126" s="1"/>
  <c r="CD15" i="126" s="1"/>
  <c r="CD18" i="126" s="1"/>
  <c r="AX7" i="126"/>
  <c r="AX10" i="126" s="1"/>
  <c r="AX12" i="126" s="1"/>
  <c r="AX13" i="126" s="1"/>
  <c r="AX14" i="126" s="1"/>
  <c r="AX15" i="126" s="1"/>
  <c r="AX18" i="126" s="1"/>
  <c r="Z7" i="126"/>
  <c r="Z10" i="126" s="1"/>
  <c r="Z12" i="126" s="1"/>
  <c r="Z13" i="126" s="1"/>
  <c r="Z14" i="126" s="1"/>
  <c r="Z15" i="126" s="1"/>
  <c r="Z18" i="126" s="1"/>
  <c r="Z25" i="126" s="1"/>
  <c r="DF8" i="123"/>
  <c r="DF13" i="123" s="1"/>
  <c r="DF18" i="123" s="1"/>
  <c r="DF24" i="123" s="1"/>
  <c r="EU124" i="22" s="1"/>
  <c r="EC8" i="123"/>
  <c r="EC13" i="123" s="1"/>
  <c r="EC18" i="123" s="1"/>
  <c r="CT8" i="123"/>
  <c r="CT13" i="123" s="1"/>
  <c r="CT18" i="123" s="1"/>
  <c r="CT24" i="123" s="1"/>
  <c r="EI124" i="22" s="1"/>
  <c r="BV7" i="126"/>
  <c r="BV10" i="126" s="1"/>
  <c r="BV12" i="126" s="1"/>
  <c r="BV13" i="126" s="1"/>
  <c r="BV14" i="126" s="1"/>
  <c r="BV15" i="126" s="1"/>
  <c r="BV18" i="126" s="1"/>
  <c r="CX8" i="123"/>
  <c r="CX13" i="123" s="1"/>
  <c r="CX18" i="123" s="1"/>
  <c r="CX24" i="123" s="1"/>
  <c r="EM124" i="22" s="1"/>
  <c r="CX7" i="126"/>
  <c r="CX10" i="126" s="1"/>
  <c r="CX12" i="126" s="1"/>
  <c r="CX13" i="126" s="1"/>
  <c r="CX14" i="126" s="1"/>
  <c r="CX15" i="126" s="1"/>
  <c r="CX18" i="126" s="1"/>
  <c r="DF7" i="126"/>
  <c r="DF10" i="126" s="1"/>
  <c r="DF12" i="126" s="1"/>
  <c r="DF13" i="126" s="1"/>
  <c r="DF14" i="126" s="1"/>
  <c r="DF15" i="126" s="1"/>
  <c r="DF18" i="126" s="1"/>
  <c r="BZ7" i="126"/>
  <c r="BZ10" i="126" s="1"/>
  <c r="BZ12" i="126" s="1"/>
  <c r="BZ13" i="126" s="1"/>
  <c r="BZ14" i="126" s="1"/>
  <c r="BZ15" i="126" s="1"/>
  <c r="BZ18" i="126" s="1"/>
  <c r="AT7" i="126"/>
  <c r="AT10" i="126" s="1"/>
  <c r="AT12" i="126" s="1"/>
  <c r="AT13" i="126" s="1"/>
  <c r="AT14" i="126" s="1"/>
  <c r="AT15" i="126" s="1"/>
  <c r="AT18" i="126" s="1"/>
  <c r="Y7" i="126"/>
  <c r="Y10" i="126" s="1"/>
  <c r="Y12" i="126" s="1"/>
  <c r="Y13" i="126" s="1"/>
  <c r="Y14" i="126" s="1"/>
  <c r="Y15" i="126" s="1"/>
  <c r="Y18" i="126" s="1"/>
  <c r="Y25" i="126" s="1"/>
  <c r="DI8" i="123"/>
  <c r="DI13" i="123" s="1"/>
  <c r="DI18" i="123" s="1"/>
  <c r="DI24" i="123" s="1"/>
  <c r="EX124" i="22" s="1"/>
  <c r="BU124" i="22" s="1"/>
  <c r="ED8" i="123"/>
  <c r="ED13" i="123" s="1"/>
  <c r="ED18" i="123" s="1"/>
  <c r="CU8" i="123"/>
  <c r="CU13" i="123" s="1"/>
  <c r="CU18" i="123" s="1"/>
  <c r="CU24" i="123" s="1"/>
  <c r="EJ124" i="22" s="1"/>
  <c r="BG124" i="22" s="1"/>
  <c r="DB7" i="126"/>
  <c r="DB10" i="126" s="1"/>
  <c r="DB12" i="126" s="1"/>
  <c r="DB13" i="126" s="1"/>
  <c r="DB14" i="126" s="1"/>
  <c r="DB15" i="126" s="1"/>
  <c r="DB18" i="126" s="1"/>
  <c r="DN8" i="123"/>
  <c r="DN13" i="123" s="1"/>
  <c r="DN18" i="123" s="1"/>
  <c r="DN24" i="123" s="1"/>
  <c r="FC124" i="22" s="1"/>
  <c r="CW7" i="75"/>
  <c r="CW9" i="75" s="1"/>
  <c r="CW11" i="75" s="1"/>
  <c r="CW16" i="75" s="1"/>
  <c r="EL80" i="22" s="1"/>
  <c r="CX7" i="75"/>
  <c r="CX9" i="75" s="1"/>
  <c r="CX11" i="75" s="1"/>
  <c r="CX16" i="75" s="1"/>
  <c r="EM80" i="22" s="1"/>
  <c r="CY7" i="75"/>
  <c r="CY9" i="75" s="1"/>
  <c r="CY11" i="75" s="1"/>
  <c r="CY16" i="75" s="1"/>
  <c r="EN80" i="22" s="1"/>
  <c r="CZ7" i="75"/>
  <c r="CZ9" i="75" s="1"/>
  <c r="CZ11" i="75" s="1"/>
  <c r="CZ16" i="75" s="1"/>
  <c r="EO80" i="22" s="1"/>
  <c r="CV7" i="75"/>
  <c r="CV9" i="75" s="1"/>
  <c r="CV11" i="75" s="1"/>
  <c r="CV16" i="75" s="1"/>
  <c r="N10" i="97"/>
  <c r="N15" i="97" s="1"/>
  <c r="V10" i="97"/>
  <c r="V15" i="97" s="1"/>
  <c r="AD10" i="97"/>
  <c r="AD15" i="97" s="1"/>
  <c r="AL10" i="97"/>
  <c r="AL15" i="97" s="1"/>
  <c r="AT10" i="97"/>
  <c r="AT15" i="97" s="1"/>
  <c r="BB10" i="97"/>
  <c r="BB15" i="97" s="1"/>
  <c r="BJ10" i="97"/>
  <c r="BJ15" i="97" s="1"/>
  <c r="BR10" i="97"/>
  <c r="BR15" i="97" s="1"/>
  <c r="BZ10" i="97"/>
  <c r="BZ15" i="97" s="1"/>
  <c r="CH10" i="97"/>
  <c r="CH15" i="97" s="1"/>
  <c r="CP10" i="97"/>
  <c r="CP15" i="97" s="1"/>
  <c r="CX10" i="97"/>
  <c r="CX15" i="97" s="1"/>
  <c r="DF10" i="97"/>
  <c r="DF15" i="97" s="1"/>
  <c r="DN10" i="97"/>
  <c r="DN15" i="97" s="1"/>
  <c r="O10" i="97"/>
  <c r="O15" i="97" s="1"/>
  <c r="W10" i="97"/>
  <c r="W15" i="97" s="1"/>
  <c r="AE10" i="97"/>
  <c r="AE15" i="97" s="1"/>
  <c r="AM10" i="97"/>
  <c r="AM15" i="97" s="1"/>
  <c r="AU10" i="97"/>
  <c r="AU15" i="97" s="1"/>
  <c r="BC10" i="97"/>
  <c r="BC15" i="97" s="1"/>
  <c r="BK10" i="97"/>
  <c r="BK15" i="97" s="1"/>
  <c r="BS10" i="97"/>
  <c r="BS15" i="97" s="1"/>
  <c r="CA10" i="97"/>
  <c r="CA15" i="97" s="1"/>
  <c r="CI10" i="97"/>
  <c r="CI15" i="97" s="1"/>
  <c r="CQ10" i="97"/>
  <c r="CQ15" i="97" s="1"/>
  <c r="CY10" i="97"/>
  <c r="CY15" i="97" s="1"/>
  <c r="DG10" i="97"/>
  <c r="DG15" i="97" s="1"/>
  <c r="DO10" i="97"/>
  <c r="DO15" i="97" s="1"/>
  <c r="P10" i="97"/>
  <c r="P15" i="97" s="1"/>
  <c r="X10" i="97"/>
  <c r="X15" i="97" s="1"/>
  <c r="AF10" i="97"/>
  <c r="AF15" i="97" s="1"/>
  <c r="AN10" i="97"/>
  <c r="AN15" i="97" s="1"/>
  <c r="AV10" i="97"/>
  <c r="AV15" i="97" s="1"/>
  <c r="BD10" i="97"/>
  <c r="BD15" i="97" s="1"/>
  <c r="BL10" i="97"/>
  <c r="BL15" i="97" s="1"/>
  <c r="BT10" i="97"/>
  <c r="BT15" i="97" s="1"/>
  <c r="CB10" i="97"/>
  <c r="CB15" i="97" s="1"/>
  <c r="CJ10" i="97"/>
  <c r="CJ15" i="97" s="1"/>
  <c r="CR10" i="97"/>
  <c r="CR15" i="97" s="1"/>
  <c r="CZ10" i="97"/>
  <c r="CZ15" i="97" s="1"/>
  <c r="DH10" i="97"/>
  <c r="DH15" i="97" s="1"/>
  <c r="DP10" i="97"/>
  <c r="DP15" i="97" s="1"/>
  <c r="DX10" i="97"/>
  <c r="DX15" i="97" s="1"/>
  <c r="EF10" i="97"/>
  <c r="EF15" i="97" s="1"/>
  <c r="Q10" i="97"/>
  <c r="Q15" i="97" s="1"/>
  <c r="Y10" i="97"/>
  <c r="Y15" i="97" s="1"/>
  <c r="AG10" i="97"/>
  <c r="AG15" i="97" s="1"/>
  <c r="AO10" i="97"/>
  <c r="AO15" i="97" s="1"/>
  <c r="AW10" i="97"/>
  <c r="AW15" i="97" s="1"/>
  <c r="BE10" i="97"/>
  <c r="BE15" i="97" s="1"/>
  <c r="BM10" i="97"/>
  <c r="BM15" i="97" s="1"/>
  <c r="BU10" i="97"/>
  <c r="BU15" i="97" s="1"/>
  <c r="CC10" i="97"/>
  <c r="CC15" i="97" s="1"/>
  <c r="CK10" i="97"/>
  <c r="CK15" i="97" s="1"/>
  <c r="CS10" i="97"/>
  <c r="CS15" i="97" s="1"/>
  <c r="DA10" i="97"/>
  <c r="DA15" i="97" s="1"/>
  <c r="DI10" i="97"/>
  <c r="DI15" i="97" s="1"/>
  <c r="DQ10" i="97"/>
  <c r="DQ15" i="97" s="1"/>
  <c r="DY10" i="97"/>
  <c r="DY15" i="97" s="1"/>
  <c r="EG10" i="97"/>
  <c r="EG15" i="97" s="1"/>
  <c r="EO10" i="97"/>
  <c r="EO15" i="97" s="1"/>
  <c r="R10" i="97"/>
  <c r="R15" i="97" s="1"/>
  <c r="Z10" i="97"/>
  <c r="Z15" i="97" s="1"/>
  <c r="AH10" i="97"/>
  <c r="AH15" i="97" s="1"/>
  <c r="AP10" i="97"/>
  <c r="AP15" i="97" s="1"/>
  <c r="AX10" i="97"/>
  <c r="AX15" i="97" s="1"/>
  <c r="BF10" i="97"/>
  <c r="BF15" i="97" s="1"/>
  <c r="BN10" i="97"/>
  <c r="BN15" i="97" s="1"/>
  <c r="BV10" i="97"/>
  <c r="BV15" i="97" s="1"/>
  <c r="CD10" i="97"/>
  <c r="CD15" i="97" s="1"/>
  <c r="CL10" i="97"/>
  <c r="CL15" i="97" s="1"/>
  <c r="CT10" i="97"/>
  <c r="CT15" i="97" s="1"/>
  <c r="DB10" i="97"/>
  <c r="DB15" i="97" s="1"/>
  <c r="DJ10" i="97"/>
  <c r="DJ15" i="97" s="1"/>
  <c r="DR10" i="97"/>
  <c r="DR15" i="97" s="1"/>
  <c r="DZ10" i="97"/>
  <c r="DZ15" i="97" s="1"/>
  <c r="S10" i="97"/>
  <c r="S15" i="97" s="1"/>
  <c r="AA10" i="97"/>
  <c r="AA15" i="97" s="1"/>
  <c r="AI10" i="97"/>
  <c r="AI15" i="97" s="1"/>
  <c r="AQ10" i="97"/>
  <c r="AQ15" i="97" s="1"/>
  <c r="AY10" i="97"/>
  <c r="AY15" i="97" s="1"/>
  <c r="BG10" i="97"/>
  <c r="BG15" i="97" s="1"/>
  <c r="BO10" i="97"/>
  <c r="BO15" i="97" s="1"/>
  <c r="BW10" i="97"/>
  <c r="BW15" i="97" s="1"/>
  <c r="CE10" i="97"/>
  <c r="CE15" i="97" s="1"/>
  <c r="CM10" i="97"/>
  <c r="CM15" i="97" s="1"/>
  <c r="CU10" i="97"/>
  <c r="CU15" i="97" s="1"/>
  <c r="DC10" i="97"/>
  <c r="DC15" i="97" s="1"/>
  <c r="DK10" i="97"/>
  <c r="DK15" i="97" s="1"/>
  <c r="DS10" i="97"/>
  <c r="DS15" i="97" s="1"/>
  <c r="EA10" i="97"/>
  <c r="EA15" i="97" s="1"/>
  <c r="AB10" i="97"/>
  <c r="AB15" i="97" s="1"/>
  <c r="BH10" i="97"/>
  <c r="BH15" i="97" s="1"/>
  <c r="CN10" i="97"/>
  <c r="CN15" i="97" s="1"/>
  <c r="DT10" i="97"/>
  <c r="DT15" i="97" s="1"/>
  <c r="EH10" i="97"/>
  <c r="EH15" i="97" s="1"/>
  <c r="EQ10" i="97"/>
  <c r="EQ15" i="97" s="1"/>
  <c r="EY10" i="97"/>
  <c r="EY15" i="97" s="1"/>
  <c r="FG10" i="97"/>
  <c r="FG15" i="97" s="1"/>
  <c r="FO10" i="97"/>
  <c r="FO15" i="97" s="1"/>
  <c r="FW10" i="97"/>
  <c r="FW15" i="97" s="1"/>
  <c r="GE10" i="97"/>
  <c r="GE15" i="97" s="1"/>
  <c r="I10" i="97"/>
  <c r="I15" i="97" s="1"/>
  <c r="CW10" i="97"/>
  <c r="CW15" i="97" s="1"/>
  <c r="ET10" i="97"/>
  <c r="ET15" i="97" s="1"/>
  <c r="FR10" i="97"/>
  <c r="FR15" i="97" s="1"/>
  <c r="GH10" i="97"/>
  <c r="GH15" i="97" s="1"/>
  <c r="FM10" i="97"/>
  <c r="FM15" i="97" s="1"/>
  <c r="CG10" i="97"/>
  <c r="CG15" i="97" s="1"/>
  <c r="FF10" i="97"/>
  <c r="FF15" i="97" s="1"/>
  <c r="AC10" i="97"/>
  <c r="AC15" i="97" s="1"/>
  <c r="BI10" i="97"/>
  <c r="BI15" i="97" s="1"/>
  <c r="CO10" i="97"/>
  <c r="CO15" i="97" s="1"/>
  <c r="DU10" i="97"/>
  <c r="DU15" i="97" s="1"/>
  <c r="EI10" i="97"/>
  <c r="EI15" i="97" s="1"/>
  <c r="ER10" i="97"/>
  <c r="ER15" i="97" s="1"/>
  <c r="EZ10" i="97"/>
  <c r="EZ15" i="97" s="1"/>
  <c r="FH10" i="97"/>
  <c r="FH15" i="97" s="1"/>
  <c r="FP10" i="97"/>
  <c r="FP15" i="97" s="1"/>
  <c r="FX10" i="97"/>
  <c r="FX15" i="97" s="1"/>
  <c r="GF10" i="97"/>
  <c r="GF15" i="97" s="1"/>
  <c r="I9" i="97"/>
  <c r="I13" i="97" s="1"/>
  <c r="BQ10" i="97"/>
  <c r="BQ15" i="97" s="1"/>
  <c r="EK10" i="97"/>
  <c r="EK15" i="97" s="1"/>
  <c r="FJ10" i="97"/>
  <c r="FJ15" i="97" s="1"/>
  <c r="FE10" i="97"/>
  <c r="FE15" i="97" s="1"/>
  <c r="EE10" i="97"/>
  <c r="EE15" i="97" s="1"/>
  <c r="FV10" i="97"/>
  <c r="FV15" i="97" s="1"/>
  <c r="AJ10" i="97"/>
  <c r="AJ15" i="97" s="1"/>
  <c r="BP10" i="97"/>
  <c r="BP15" i="97" s="1"/>
  <c r="CV10" i="97"/>
  <c r="CV15" i="97" s="1"/>
  <c r="DV10" i="97"/>
  <c r="DV15" i="97" s="1"/>
  <c r="EJ10" i="97"/>
  <c r="EJ15" i="97" s="1"/>
  <c r="ES10" i="97"/>
  <c r="ES15" i="97" s="1"/>
  <c r="FA10" i="97"/>
  <c r="FA15" i="97" s="1"/>
  <c r="FI10" i="97"/>
  <c r="FI15" i="97" s="1"/>
  <c r="FQ10" i="97"/>
  <c r="FQ15" i="97" s="1"/>
  <c r="FY10" i="97"/>
  <c r="FY15" i="97" s="1"/>
  <c r="GG10" i="97"/>
  <c r="GG15" i="97" s="1"/>
  <c r="AK10" i="97"/>
  <c r="AK15" i="97" s="1"/>
  <c r="DW10" i="97"/>
  <c r="DW15" i="97" s="1"/>
  <c r="FB10" i="97"/>
  <c r="FB15" i="97" s="1"/>
  <c r="FZ10" i="97"/>
  <c r="FZ15" i="97" s="1"/>
  <c r="FU10" i="97"/>
  <c r="FU15" i="97" s="1"/>
  <c r="DM10" i="97"/>
  <c r="DM15" i="97" s="1"/>
  <c r="EX10" i="97"/>
  <c r="EX15" i="97" s="1"/>
  <c r="M10" i="97"/>
  <c r="M15" i="97" s="1"/>
  <c r="AR10" i="97"/>
  <c r="AR15" i="97" s="1"/>
  <c r="BX10" i="97"/>
  <c r="BX15" i="97" s="1"/>
  <c r="DD10" i="97"/>
  <c r="DD15" i="97" s="1"/>
  <c r="EB10" i="97"/>
  <c r="EB15" i="97" s="1"/>
  <c r="EL10" i="97"/>
  <c r="EL15" i="97" s="1"/>
  <c r="EU10" i="97"/>
  <c r="EU15" i="97" s="1"/>
  <c r="FC10" i="97"/>
  <c r="FC15" i="97" s="1"/>
  <c r="FK10" i="97"/>
  <c r="FK15" i="97" s="1"/>
  <c r="FS10" i="97"/>
  <c r="FS15" i="97" s="1"/>
  <c r="GA10" i="97"/>
  <c r="GA15" i="97" s="1"/>
  <c r="J10" i="97"/>
  <c r="J15" i="97" s="1"/>
  <c r="AZ10" i="97"/>
  <c r="AZ15" i="97" s="1"/>
  <c r="CF10" i="97"/>
  <c r="CF15" i="97" s="1"/>
  <c r="ED10" i="97"/>
  <c r="ED15" i="97" s="1"/>
  <c r="EW10" i="97"/>
  <c r="EW15" i="97" s="1"/>
  <c r="GC10" i="97"/>
  <c r="GC15" i="97" s="1"/>
  <c r="BA10" i="97"/>
  <c r="BA15" i="97" s="1"/>
  <c r="EP10" i="97"/>
  <c r="EP15" i="97" s="1"/>
  <c r="GD10" i="97"/>
  <c r="GD15" i="97" s="1"/>
  <c r="AS10" i="97"/>
  <c r="AS15" i="97" s="1"/>
  <c r="BY10" i="97"/>
  <c r="BY15" i="97" s="1"/>
  <c r="DE10" i="97"/>
  <c r="DE15" i="97" s="1"/>
  <c r="EC10" i="97"/>
  <c r="EC15" i="97" s="1"/>
  <c r="EM10" i="97"/>
  <c r="EM15" i="97" s="1"/>
  <c r="EV10" i="97"/>
  <c r="EV15" i="97" s="1"/>
  <c r="FD10" i="97"/>
  <c r="FD15" i="97" s="1"/>
  <c r="FL10" i="97"/>
  <c r="FL15" i="97" s="1"/>
  <c r="FT10" i="97"/>
  <c r="FT15" i="97" s="1"/>
  <c r="GB10" i="97"/>
  <c r="GB15" i="97" s="1"/>
  <c r="K10" i="97"/>
  <c r="K15" i="97" s="1"/>
  <c r="T10" i="97"/>
  <c r="T15" i="97" s="1"/>
  <c r="DL10" i="97"/>
  <c r="DL15" i="97" s="1"/>
  <c r="EN10" i="97"/>
  <c r="EN15" i="97" s="1"/>
  <c r="L10" i="97"/>
  <c r="L15" i="97" s="1"/>
  <c r="U10" i="97"/>
  <c r="U15" i="97" s="1"/>
  <c r="FN10" i="97"/>
  <c r="FN15" i="97" s="1"/>
  <c r="DA8" i="97"/>
  <c r="DA12" i="97" s="1"/>
  <c r="DI8" i="97"/>
  <c r="DI12" i="97" s="1"/>
  <c r="DQ8" i="97"/>
  <c r="DQ12" i="97" s="1"/>
  <c r="DY8" i="97"/>
  <c r="DY12" i="97" s="1"/>
  <c r="EG8" i="97"/>
  <c r="EG12" i="97" s="1"/>
  <c r="EO8" i="97"/>
  <c r="EO12" i="97" s="1"/>
  <c r="EW8" i="97"/>
  <c r="EW12" i="97" s="1"/>
  <c r="FE8" i="97"/>
  <c r="FE12" i="97" s="1"/>
  <c r="FM8" i="97"/>
  <c r="FM12" i="97" s="1"/>
  <c r="FU8" i="97"/>
  <c r="FU12" i="97" s="1"/>
  <c r="GC8" i="97"/>
  <c r="GC12" i="97" s="1"/>
  <c r="DC9" i="97"/>
  <c r="DC13" i="97" s="1"/>
  <c r="DK9" i="97"/>
  <c r="DK13" i="97" s="1"/>
  <c r="DS9" i="97"/>
  <c r="DS13" i="97" s="1"/>
  <c r="EA9" i="97"/>
  <c r="EA13" i="97" s="1"/>
  <c r="EI9" i="97"/>
  <c r="EI13" i="97" s="1"/>
  <c r="EQ9" i="97"/>
  <c r="EQ13" i="97" s="1"/>
  <c r="EY9" i="97"/>
  <c r="EY13" i="97" s="1"/>
  <c r="FG9" i="97"/>
  <c r="FG13" i="97" s="1"/>
  <c r="FO9" i="97"/>
  <c r="FO13" i="97" s="1"/>
  <c r="FW9" i="97"/>
  <c r="FW13" i="97" s="1"/>
  <c r="GE9" i="97"/>
  <c r="GE13" i="97" s="1"/>
  <c r="CZ8" i="97"/>
  <c r="CZ12" i="97" s="1"/>
  <c r="CU8" i="97"/>
  <c r="CU12" i="97" s="1"/>
  <c r="AI9" i="97"/>
  <c r="AI13" i="97" s="1"/>
  <c r="AQ9" i="97"/>
  <c r="AQ13" i="97" s="1"/>
  <c r="AY9" i="97"/>
  <c r="AY13" i="97" s="1"/>
  <c r="BG9" i="97"/>
  <c r="BG13" i="97" s="1"/>
  <c r="BO9" i="97"/>
  <c r="BO13" i="97" s="1"/>
  <c r="BW9" i="97"/>
  <c r="BW13" i="97" s="1"/>
  <c r="CE9" i="97"/>
  <c r="CE13" i="97" s="1"/>
  <c r="CM9" i="97"/>
  <c r="CM13" i="97" s="1"/>
  <c r="L9" i="97"/>
  <c r="L13" i="97" s="1"/>
  <c r="T9" i="97"/>
  <c r="T13" i="97" s="1"/>
  <c r="AB9" i="97"/>
  <c r="AB13" i="97" s="1"/>
  <c r="DT8" i="97"/>
  <c r="DT12" i="97" s="1"/>
  <c r="EJ8" i="97"/>
  <c r="EJ12" i="97" s="1"/>
  <c r="EZ8" i="97"/>
  <c r="EZ12" i="97" s="1"/>
  <c r="FX8" i="97"/>
  <c r="FX12" i="97" s="1"/>
  <c r="DN9" i="97"/>
  <c r="DN13" i="97" s="1"/>
  <c r="EL9" i="97"/>
  <c r="EL13" i="97" s="1"/>
  <c r="FJ9" i="97"/>
  <c r="FJ13" i="97" s="1"/>
  <c r="GH9" i="97"/>
  <c r="GH13" i="97" s="1"/>
  <c r="AL9" i="97"/>
  <c r="AL13" i="97" s="1"/>
  <c r="BJ9" i="97"/>
  <c r="BJ13" i="97" s="1"/>
  <c r="CH9" i="97"/>
  <c r="CH13" i="97" s="1"/>
  <c r="W9" i="97"/>
  <c r="W13" i="97" s="1"/>
  <c r="DB8" i="97"/>
  <c r="DB12" i="97" s="1"/>
  <c r="DJ8" i="97"/>
  <c r="DJ12" i="97" s="1"/>
  <c r="DR8" i="97"/>
  <c r="DR12" i="97" s="1"/>
  <c r="DZ8" i="97"/>
  <c r="DZ12" i="97" s="1"/>
  <c r="EH8" i="97"/>
  <c r="EH12" i="97" s="1"/>
  <c r="EP8" i="97"/>
  <c r="EP12" i="97" s="1"/>
  <c r="EX8" i="97"/>
  <c r="EX12" i="97" s="1"/>
  <c r="FF8" i="97"/>
  <c r="FF12" i="97" s="1"/>
  <c r="FN8" i="97"/>
  <c r="FN12" i="97" s="1"/>
  <c r="FV8" i="97"/>
  <c r="FV12" i="97" s="1"/>
  <c r="GD8" i="97"/>
  <c r="GD12" i="97" s="1"/>
  <c r="DD9" i="97"/>
  <c r="DD13" i="97" s="1"/>
  <c r="DL9" i="97"/>
  <c r="DL13" i="97" s="1"/>
  <c r="DT9" i="97"/>
  <c r="DT13" i="97" s="1"/>
  <c r="EB9" i="97"/>
  <c r="EB13" i="97" s="1"/>
  <c r="EJ9" i="97"/>
  <c r="EJ13" i="97" s="1"/>
  <c r="ER9" i="97"/>
  <c r="ER13" i="97" s="1"/>
  <c r="EZ9" i="97"/>
  <c r="EZ13" i="97" s="1"/>
  <c r="FH9" i="97"/>
  <c r="FH13" i="97" s="1"/>
  <c r="FP9" i="97"/>
  <c r="FP13" i="97" s="1"/>
  <c r="FX9" i="97"/>
  <c r="FX13" i="97" s="1"/>
  <c r="GF9" i="97"/>
  <c r="GF13" i="97" s="1"/>
  <c r="CV9" i="97"/>
  <c r="CV13" i="97" s="1"/>
  <c r="CS9" i="97"/>
  <c r="CS13" i="97" s="1"/>
  <c r="AJ9" i="97"/>
  <c r="AJ13" i="97" s="1"/>
  <c r="AR9" i="97"/>
  <c r="AR13" i="97" s="1"/>
  <c r="AZ9" i="97"/>
  <c r="AZ13" i="97" s="1"/>
  <c r="BH9" i="97"/>
  <c r="BH13" i="97" s="1"/>
  <c r="BP9" i="97"/>
  <c r="BP13" i="97" s="1"/>
  <c r="BX9" i="97"/>
  <c r="BX13" i="97" s="1"/>
  <c r="CF9" i="97"/>
  <c r="CF13" i="97" s="1"/>
  <c r="CN9" i="97"/>
  <c r="CN13" i="97" s="1"/>
  <c r="M9" i="97"/>
  <c r="M13" i="97" s="1"/>
  <c r="U9" i="97"/>
  <c r="U13" i="97" s="1"/>
  <c r="AC9" i="97"/>
  <c r="AC13" i="97" s="1"/>
  <c r="I8" i="94"/>
  <c r="I11" i="94" s="1"/>
  <c r="I13" i="94" s="1"/>
  <c r="I19" i="94" s="1"/>
  <c r="EB8" i="97"/>
  <c r="EB12" i="97" s="1"/>
  <c r="FH8" i="97"/>
  <c r="FH12" i="97" s="1"/>
  <c r="GF8" i="97"/>
  <c r="GF12" i="97" s="1"/>
  <c r="DV9" i="97"/>
  <c r="DV13" i="97" s="1"/>
  <c r="ET9" i="97"/>
  <c r="ET13" i="97" s="1"/>
  <c r="FR9" i="97"/>
  <c r="FR13" i="97" s="1"/>
  <c r="CX9" i="97"/>
  <c r="CX13" i="97" s="1"/>
  <c r="AT9" i="97"/>
  <c r="AT13" i="97" s="1"/>
  <c r="BR9" i="97"/>
  <c r="BR13" i="97" s="1"/>
  <c r="CP9" i="97"/>
  <c r="CP13" i="97" s="1"/>
  <c r="AE9" i="97"/>
  <c r="AE13" i="97" s="1"/>
  <c r="DC8" i="97"/>
  <c r="DC12" i="97" s="1"/>
  <c r="DK8" i="97"/>
  <c r="DK12" i="97" s="1"/>
  <c r="DS8" i="97"/>
  <c r="DS12" i="97" s="1"/>
  <c r="EA8" i="97"/>
  <c r="EA12" i="97" s="1"/>
  <c r="EI8" i="97"/>
  <c r="EI12" i="97" s="1"/>
  <c r="EQ8" i="97"/>
  <c r="EQ12" i="97" s="1"/>
  <c r="EY8" i="97"/>
  <c r="EY12" i="97" s="1"/>
  <c r="FG8" i="97"/>
  <c r="FG12" i="97" s="1"/>
  <c r="FO8" i="97"/>
  <c r="FO12" i="97" s="1"/>
  <c r="FW8" i="97"/>
  <c r="FW12" i="97" s="1"/>
  <c r="GE8" i="97"/>
  <c r="GE12" i="97" s="1"/>
  <c r="DE9" i="97"/>
  <c r="DE13" i="97" s="1"/>
  <c r="DM9" i="97"/>
  <c r="DM13" i="97" s="1"/>
  <c r="DU9" i="97"/>
  <c r="DU13" i="97" s="1"/>
  <c r="EC9" i="97"/>
  <c r="EC13" i="97" s="1"/>
  <c r="EK9" i="97"/>
  <c r="EK13" i="97" s="1"/>
  <c r="ES9" i="97"/>
  <c r="ES13" i="97" s="1"/>
  <c r="FA9" i="97"/>
  <c r="FA13" i="97" s="1"/>
  <c r="FI9" i="97"/>
  <c r="FI13" i="97" s="1"/>
  <c r="FQ9" i="97"/>
  <c r="FQ13" i="97" s="1"/>
  <c r="FY9" i="97"/>
  <c r="FY13" i="97" s="1"/>
  <c r="GG9" i="97"/>
  <c r="GG13" i="97" s="1"/>
  <c r="CW9" i="97"/>
  <c r="CW13" i="97" s="1"/>
  <c r="CT9" i="97"/>
  <c r="CT13" i="97" s="1"/>
  <c r="AK9" i="97"/>
  <c r="AK13" i="97" s="1"/>
  <c r="AS9" i="97"/>
  <c r="AS13" i="97" s="1"/>
  <c r="BA9" i="97"/>
  <c r="BA13" i="97" s="1"/>
  <c r="BI9" i="97"/>
  <c r="BI13" i="97" s="1"/>
  <c r="BQ9" i="97"/>
  <c r="BQ13" i="97" s="1"/>
  <c r="BY9" i="97"/>
  <c r="BY13" i="97" s="1"/>
  <c r="CG9" i="97"/>
  <c r="CG13" i="97" s="1"/>
  <c r="CO9" i="97"/>
  <c r="CO13" i="97" s="1"/>
  <c r="N9" i="97"/>
  <c r="N13" i="97" s="1"/>
  <c r="V9" i="97"/>
  <c r="V13" i="97" s="1"/>
  <c r="AD9" i="97"/>
  <c r="AD13" i="97" s="1"/>
  <c r="DL8" i="97"/>
  <c r="DL12" i="97" s="1"/>
  <c r="ER8" i="97"/>
  <c r="ER12" i="97" s="1"/>
  <c r="FP8" i="97"/>
  <c r="FP12" i="97" s="1"/>
  <c r="DF9" i="97"/>
  <c r="DF13" i="97" s="1"/>
  <c r="ED9" i="97"/>
  <c r="ED13" i="97" s="1"/>
  <c r="FB9" i="97"/>
  <c r="FB13" i="97" s="1"/>
  <c r="FZ9" i="97"/>
  <c r="FZ13" i="97" s="1"/>
  <c r="CU9" i="97"/>
  <c r="CU13" i="97" s="1"/>
  <c r="BB9" i="97"/>
  <c r="BB13" i="97" s="1"/>
  <c r="BZ9" i="97"/>
  <c r="BZ13" i="97" s="1"/>
  <c r="O9" i="97"/>
  <c r="O13" i="97" s="1"/>
  <c r="Z9" i="97"/>
  <c r="Z13" i="97" s="1"/>
  <c r="DD8" i="97"/>
  <c r="DD12" i="97" s="1"/>
  <c r="DE8" i="97"/>
  <c r="DE12" i="97" s="1"/>
  <c r="DM8" i="97"/>
  <c r="DM12" i="97" s="1"/>
  <c r="DU8" i="97"/>
  <c r="DU12" i="97" s="1"/>
  <c r="EC8" i="97"/>
  <c r="EC12" i="97" s="1"/>
  <c r="EK8" i="97"/>
  <c r="EK12" i="97" s="1"/>
  <c r="ES8" i="97"/>
  <c r="ES12" i="97" s="1"/>
  <c r="FA8" i="97"/>
  <c r="FA12" i="97" s="1"/>
  <c r="FI8" i="97"/>
  <c r="FI12" i="97" s="1"/>
  <c r="FQ8" i="97"/>
  <c r="FQ12" i="97" s="1"/>
  <c r="FY8" i="97"/>
  <c r="FY12" i="97" s="1"/>
  <c r="GG8" i="97"/>
  <c r="GG12" i="97" s="1"/>
  <c r="DG9" i="97"/>
  <c r="DG13" i="97" s="1"/>
  <c r="DO9" i="97"/>
  <c r="DO13" i="97" s="1"/>
  <c r="DW9" i="97"/>
  <c r="DW13" i="97" s="1"/>
  <c r="EE9" i="97"/>
  <c r="EE13" i="97" s="1"/>
  <c r="EM9" i="97"/>
  <c r="EM13" i="97" s="1"/>
  <c r="EU9" i="97"/>
  <c r="EU13" i="97" s="1"/>
  <c r="FC9" i="97"/>
  <c r="FC13" i="97" s="1"/>
  <c r="FK9" i="97"/>
  <c r="FK13" i="97" s="1"/>
  <c r="FS9" i="97"/>
  <c r="FS13" i="97" s="1"/>
  <c r="GA9" i="97"/>
  <c r="GA13" i="97" s="1"/>
  <c r="CV8" i="97"/>
  <c r="CV12" i="97" s="1"/>
  <c r="CY9" i="97"/>
  <c r="CY13" i="97" s="1"/>
  <c r="CR8" i="97"/>
  <c r="CR12" i="97" s="1"/>
  <c r="AM9" i="97"/>
  <c r="AM13" i="97" s="1"/>
  <c r="AU9" i="97"/>
  <c r="AU13" i="97" s="1"/>
  <c r="BC9" i="97"/>
  <c r="BC13" i="97" s="1"/>
  <c r="BK9" i="97"/>
  <c r="BK13" i="97" s="1"/>
  <c r="BS9" i="97"/>
  <c r="BS13" i="97" s="1"/>
  <c r="CA9" i="97"/>
  <c r="CA13" i="97" s="1"/>
  <c r="CI9" i="97"/>
  <c r="CI13" i="97" s="1"/>
  <c r="CQ9" i="97"/>
  <c r="CQ13" i="97" s="1"/>
  <c r="P9" i="97"/>
  <c r="P13" i="97" s="1"/>
  <c r="X9" i="97"/>
  <c r="X13" i="97" s="1"/>
  <c r="DO8" i="97"/>
  <c r="DO12" i="97" s="1"/>
  <c r="EE8" i="97"/>
  <c r="EE12" i="97" s="1"/>
  <c r="EU8" i="97"/>
  <c r="EU12" i="97" s="1"/>
  <c r="FK8" i="97"/>
  <c r="FK12" i="97" s="1"/>
  <c r="GA8" i="97"/>
  <c r="GA12" i="97" s="1"/>
  <c r="DI9" i="97"/>
  <c r="DI13" i="97" s="1"/>
  <c r="DY9" i="97"/>
  <c r="DY13" i="97" s="1"/>
  <c r="EO9" i="97"/>
  <c r="EO13" i="97" s="1"/>
  <c r="FE9" i="97"/>
  <c r="FE13" i="97" s="1"/>
  <c r="FU9" i="97"/>
  <c r="FU13" i="97" s="1"/>
  <c r="CX8" i="97"/>
  <c r="CX12" i="97" s="1"/>
  <c r="AG9" i="97"/>
  <c r="AG13" i="97" s="1"/>
  <c r="AW9" i="97"/>
  <c r="AW13" i="97" s="1"/>
  <c r="BU9" i="97"/>
  <c r="BU13" i="97" s="1"/>
  <c r="CK9" i="97"/>
  <c r="CK13" i="97" s="1"/>
  <c r="R9" i="97"/>
  <c r="R13" i="97" s="1"/>
  <c r="DF8" i="97"/>
  <c r="DF12" i="97" s="1"/>
  <c r="DN8" i="97"/>
  <c r="DN12" i="97" s="1"/>
  <c r="DV8" i="97"/>
  <c r="DV12" i="97" s="1"/>
  <c r="ED8" i="97"/>
  <c r="ED12" i="97" s="1"/>
  <c r="EL8" i="97"/>
  <c r="EL12" i="97" s="1"/>
  <c r="ET8" i="97"/>
  <c r="ET12" i="97" s="1"/>
  <c r="FB8" i="97"/>
  <c r="FB12" i="97" s="1"/>
  <c r="FJ8" i="97"/>
  <c r="FJ12" i="97" s="1"/>
  <c r="FR8" i="97"/>
  <c r="FR12" i="97" s="1"/>
  <c r="FZ8" i="97"/>
  <c r="FZ12" i="97" s="1"/>
  <c r="GH8" i="97"/>
  <c r="GH12" i="97" s="1"/>
  <c r="DH9" i="97"/>
  <c r="DH13" i="97" s="1"/>
  <c r="DP9" i="97"/>
  <c r="DP13" i="97" s="1"/>
  <c r="DX9" i="97"/>
  <c r="DX13" i="97" s="1"/>
  <c r="EF9" i="97"/>
  <c r="EF13" i="97" s="1"/>
  <c r="EN9" i="97"/>
  <c r="EN13" i="97" s="1"/>
  <c r="EV9" i="97"/>
  <c r="EV13" i="97" s="1"/>
  <c r="FD9" i="97"/>
  <c r="FD13" i="97" s="1"/>
  <c r="FL9" i="97"/>
  <c r="FL13" i="97" s="1"/>
  <c r="FT9" i="97"/>
  <c r="FT13" i="97" s="1"/>
  <c r="GB9" i="97"/>
  <c r="GB13" i="97" s="1"/>
  <c r="CW8" i="97"/>
  <c r="CW12" i="97" s="1"/>
  <c r="CZ9" i="97"/>
  <c r="CZ13" i="97" s="1"/>
  <c r="AF9" i="97"/>
  <c r="AF13" i="97" s="1"/>
  <c r="AN9" i="97"/>
  <c r="AN13" i="97" s="1"/>
  <c r="AV9" i="97"/>
  <c r="AV13" i="97" s="1"/>
  <c r="BD9" i="97"/>
  <c r="BD13" i="97" s="1"/>
  <c r="BL9" i="97"/>
  <c r="BL13" i="97" s="1"/>
  <c r="BT9" i="97"/>
  <c r="BT13" i="97" s="1"/>
  <c r="CB9" i="97"/>
  <c r="CB13" i="97" s="1"/>
  <c r="CJ9" i="97"/>
  <c r="CJ13" i="97" s="1"/>
  <c r="CR9" i="97"/>
  <c r="CR13" i="97" s="1"/>
  <c r="Q9" i="97"/>
  <c r="Q13" i="97" s="1"/>
  <c r="Y9" i="97"/>
  <c r="Y13" i="97" s="1"/>
  <c r="I8" i="97"/>
  <c r="I12" i="97" s="1"/>
  <c r="DG8" i="97"/>
  <c r="DG12" i="97" s="1"/>
  <c r="DW8" i="97"/>
  <c r="DW12" i="97" s="1"/>
  <c r="EM8" i="97"/>
  <c r="EM12" i="97" s="1"/>
  <c r="FC8" i="97"/>
  <c r="FC12" i="97" s="1"/>
  <c r="FS8" i="97"/>
  <c r="FS12" i="97" s="1"/>
  <c r="DA9" i="97"/>
  <c r="DA13" i="97" s="1"/>
  <c r="DQ9" i="97"/>
  <c r="DQ13" i="97" s="1"/>
  <c r="EG9" i="97"/>
  <c r="EG13" i="97" s="1"/>
  <c r="EW9" i="97"/>
  <c r="EW13" i="97" s="1"/>
  <c r="FM9" i="97"/>
  <c r="FM13" i="97" s="1"/>
  <c r="GC9" i="97"/>
  <c r="GC13" i="97" s="1"/>
  <c r="CS8" i="97"/>
  <c r="CS12" i="97" s="1"/>
  <c r="AO9" i="97"/>
  <c r="AO13" i="97" s="1"/>
  <c r="BE9" i="97"/>
  <c r="BE13" i="97" s="1"/>
  <c r="BM9" i="97"/>
  <c r="BM13" i="97" s="1"/>
  <c r="CC9" i="97"/>
  <c r="CC13" i="97" s="1"/>
  <c r="J9" i="97"/>
  <c r="J13" i="97" s="1"/>
  <c r="DH8" i="97"/>
  <c r="DH12" i="97" s="1"/>
  <c r="FT8" i="97"/>
  <c r="FT12" i="97" s="1"/>
  <c r="EX9" i="97"/>
  <c r="EX13" i="97" s="1"/>
  <c r="AP9" i="97"/>
  <c r="AP13" i="97" s="1"/>
  <c r="S9" i="97"/>
  <c r="S13" i="97" s="1"/>
  <c r="DR9" i="97"/>
  <c r="DR13" i="97" s="1"/>
  <c r="BV9" i="97"/>
  <c r="BV13" i="97" s="1"/>
  <c r="DZ9" i="97"/>
  <c r="DZ13" i="97" s="1"/>
  <c r="CD9" i="97"/>
  <c r="CD13" i="97" s="1"/>
  <c r="FD8" i="97"/>
  <c r="FD12" i="97" s="1"/>
  <c r="FL8" i="97"/>
  <c r="FL12" i="97" s="1"/>
  <c r="DP8" i="97"/>
  <c r="DP12" i="97" s="1"/>
  <c r="GB8" i="97"/>
  <c r="GB12" i="97" s="1"/>
  <c r="FF9" i="97"/>
  <c r="FF13" i="97" s="1"/>
  <c r="AX9" i="97"/>
  <c r="AX13" i="97" s="1"/>
  <c r="AA9" i="97"/>
  <c r="AA13" i="97" s="1"/>
  <c r="GD9" i="97"/>
  <c r="GD13" i="97" s="1"/>
  <c r="CY8" i="97"/>
  <c r="CY12" i="97" s="1"/>
  <c r="CT8" i="97"/>
  <c r="CT12" i="97" s="1"/>
  <c r="AH9" i="97"/>
  <c r="AH13" i="97" s="1"/>
  <c r="DX8" i="97"/>
  <c r="DX12" i="97" s="1"/>
  <c r="DB9" i="97"/>
  <c r="DB13" i="97" s="1"/>
  <c r="FN9" i="97"/>
  <c r="FN13" i="97" s="1"/>
  <c r="BF9" i="97"/>
  <c r="BF13" i="97" s="1"/>
  <c r="EN8" i="97"/>
  <c r="EN12" i="97" s="1"/>
  <c r="EV8" i="97"/>
  <c r="EV12" i="97" s="1"/>
  <c r="EH9" i="97"/>
  <c r="EH13" i="97" s="1"/>
  <c r="CL9" i="97"/>
  <c r="CL13" i="97" s="1"/>
  <c r="EP9" i="97"/>
  <c r="EP13" i="97" s="1"/>
  <c r="EF8" i="97"/>
  <c r="EF12" i="97" s="1"/>
  <c r="DJ9" i="97"/>
  <c r="DJ13" i="97" s="1"/>
  <c r="FV9" i="97"/>
  <c r="FV13" i="97" s="1"/>
  <c r="BN9" i="97"/>
  <c r="BN13" i="97" s="1"/>
  <c r="K9" i="97"/>
  <c r="K13" i="97" s="1"/>
  <c r="DC8" i="125"/>
  <c r="CA8" i="125"/>
  <c r="CA20" i="125" s="1"/>
  <c r="CI8" i="125"/>
  <c r="CI20" i="125" s="1"/>
  <c r="CQ8" i="125"/>
  <c r="CQ20" i="125" s="1"/>
  <c r="L8" i="125"/>
  <c r="T8" i="125"/>
  <c r="AB8" i="125"/>
  <c r="AJ8" i="125"/>
  <c r="AR8" i="125"/>
  <c r="AR20" i="125" s="1"/>
  <c r="AZ8" i="125"/>
  <c r="AZ20" i="125" s="1"/>
  <c r="BH8" i="125"/>
  <c r="BH20" i="125" s="1"/>
  <c r="BP8" i="125"/>
  <c r="BP20" i="125" s="1"/>
  <c r="BX8" i="125"/>
  <c r="BX20" i="125" s="1"/>
  <c r="P7" i="125"/>
  <c r="P13" i="125" s="1"/>
  <c r="X7" i="125"/>
  <c r="X13" i="125" s="1"/>
  <c r="AF7" i="125"/>
  <c r="AF17" i="125" s="1"/>
  <c r="AN7" i="125"/>
  <c r="AN14" i="125" s="1"/>
  <c r="AN16" i="125" s="1"/>
  <c r="DF8" i="125"/>
  <c r="CT8" i="125"/>
  <c r="CT20" i="125" s="1"/>
  <c r="AE8" i="125"/>
  <c r="AU8" i="125"/>
  <c r="AU20" i="125" s="1"/>
  <c r="BS8" i="125"/>
  <c r="BS20" i="125" s="1"/>
  <c r="AA7" i="125"/>
  <c r="AA13" i="125" s="1"/>
  <c r="CE8" i="125"/>
  <c r="CE20" i="125" s="1"/>
  <c r="P8" i="125"/>
  <c r="AN8" i="125"/>
  <c r="AN20" i="125" s="1"/>
  <c r="BL8" i="125"/>
  <c r="BL20" i="125" s="1"/>
  <c r="T7" i="125"/>
  <c r="T13" i="125" s="1"/>
  <c r="DH8" i="125"/>
  <c r="CV8" i="125"/>
  <c r="CV20" i="125" s="1"/>
  <c r="AG8" i="125"/>
  <c r="BE8" i="125"/>
  <c r="BE20" i="125" s="1"/>
  <c r="U7" i="125"/>
  <c r="U13" i="125" s="1"/>
  <c r="CG8" i="125"/>
  <c r="CG20" i="125" s="1"/>
  <c r="CO8" i="125"/>
  <c r="CO20" i="125" s="1"/>
  <c r="Z8" i="125"/>
  <c r="AX8" i="125"/>
  <c r="AX20" i="125" s="1"/>
  <c r="BV8" i="125"/>
  <c r="BV20" i="125" s="1"/>
  <c r="AD7" i="125"/>
  <c r="AD17" i="125" s="1"/>
  <c r="BZ8" i="125"/>
  <c r="BZ20" i="125" s="1"/>
  <c r="CP8" i="125"/>
  <c r="CP20" i="125" s="1"/>
  <c r="AI8" i="125"/>
  <c r="BG8" i="125"/>
  <c r="BG20" i="125" s="1"/>
  <c r="O7" i="125"/>
  <c r="O13" i="125" s="1"/>
  <c r="AM7" i="125"/>
  <c r="AM14" i="125" s="1"/>
  <c r="AM16" i="125" s="1"/>
  <c r="AM9" i="125"/>
  <c r="AM17" i="125" s="1"/>
  <c r="DD8" i="125"/>
  <c r="CB8" i="125"/>
  <c r="CB20" i="125" s="1"/>
  <c r="CJ8" i="125"/>
  <c r="CJ20" i="125" s="1"/>
  <c r="CR8" i="125"/>
  <c r="CR20" i="125" s="1"/>
  <c r="M8" i="125"/>
  <c r="U8" i="125"/>
  <c r="AC8" i="125"/>
  <c r="AK8" i="125"/>
  <c r="AS8" i="125"/>
  <c r="AS20" i="125" s="1"/>
  <c r="BA8" i="125"/>
  <c r="BA20" i="125" s="1"/>
  <c r="BI8" i="125"/>
  <c r="BI20" i="125" s="1"/>
  <c r="BQ8" i="125"/>
  <c r="BQ20" i="125" s="1"/>
  <c r="I8" i="125"/>
  <c r="Q7" i="125"/>
  <c r="Q13" i="125" s="1"/>
  <c r="Y7" i="125"/>
  <c r="Y13" i="125" s="1"/>
  <c r="AG7" i="125"/>
  <c r="AG17" i="125" s="1"/>
  <c r="AO7" i="125"/>
  <c r="AO14" i="125" s="1"/>
  <c r="AO16" i="125" s="1"/>
  <c r="CX8" i="125"/>
  <c r="CL8" i="125"/>
  <c r="CL20" i="125" s="1"/>
  <c r="W8" i="125"/>
  <c r="BC8" i="125"/>
  <c r="BC20" i="125" s="1"/>
  <c r="K7" i="125"/>
  <c r="K13" i="125" s="1"/>
  <c r="AI7" i="125"/>
  <c r="AI17" i="125" s="1"/>
  <c r="DG8" i="125"/>
  <c r="CM8" i="125"/>
  <c r="CM20" i="125" s="1"/>
  <c r="X8" i="125"/>
  <c r="AV8" i="125"/>
  <c r="AV20" i="125" s="1"/>
  <c r="L7" i="125"/>
  <c r="L13" i="125" s="1"/>
  <c r="AJ7" i="125"/>
  <c r="AJ17" i="125" s="1"/>
  <c r="CZ8" i="125"/>
  <c r="CN8" i="125"/>
  <c r="CN20" i="125" s="1"/>
  <c r="Y8" i="125"/>
  <c r="AW8" i="125"/>
  <c r="AW20" i="125" s="1"/>
  <c r="BU8" i="125"/>
  <c r="BU20" i="125" s="1"/>
  <c r="AC7" i="125"/>
  <c r="AC13" i="125" s="1"/>
  <c r="DA8" i="125"/>
  <c r="J8" i="125"/>
  <c r="AH8" i="125"/>
  <c r="BF8" i="125"/>
  <c r="BF20" i="125" s="1"/>
  <c r="N7" i="125"/>
  <c r="N13" i="125" s="1"/>
  <c r="AL7" i="125"/>
  <c r="AL14" i="125" s="1"/>
  <c r="AL16" i="125" s="1"/>
  <c r="CH8" i="125"/>
  <c r="CH20" i="125" s="1"/>
  <c r="K8" i="125"/>
  <c r="AA8" i="125"/>
  <c r="AY8" i="125"/>
  <c r="AY20" i="125" s="1"/>
  <c r="BW8" i="125"/>
  <c r="BW20" i="125" s="1"/>
  <c r="AE7" i="125"/>
  <c r="AE17" i="125" s="1"/>
  <c r="CW8" i="125"/>
  <c r="CW20" i="125" s="1"/>
  <c r="DE8" i="125"/>
  <c r="CC8" i="125"/>
  <c r="CC20" i="125" s="1"/>
  <c r="CK8" i="125"/>
  <c r="CK20" i="125" s="1"/>
  <c r="CS8" i="125"/>
  <c r="CS20" i="125" s="1"/>
  <c r="N8" i="125"/>
  <c r="V8" i="125"/>
  <c r="AD8" i="125"/>
  <c r="AL8" i="125"/>
  <c r="AT8" i="125"/>
  <c r="AT20" i="125" s="1"/>
  <c r="BB8" i="125"/>
  <c r="BB20" i="125" s="1"/>
  <c r="BJ8" i="125"/>
  <c r="BJ20" i="125" s="1"/>
  <c r="BR8" i="125"/>
  <c r="BR20" i="125" s="1"/>
  <c r="J7" i="125"/>
  <c r="J13" i="125" s="1"/>
  <c r="R7" i="125"/>
  <c r="R13" i="125" s="1"/>
  <c r="Z7" i="125"/>
  <c r="Z13" i="125" s="1"/>
  <c r="AH7" i="125"/>
  <c r="AH17" i="125" s="1"/>
  <c r="AP7" i="125"/>
  <c r="AP14" i="125" s="1"/>
  <c r="AP16" i="125" s="1"/>
  <c r="CD8" i="125"/>
  <c r="CD20" i="125" s="1"/>
  <c r="O8" i="125"/>
  <c r="AM8" i="125"/>
  <c r="AM20" i="125" s="1"/>
  <c r="BK8" i="125"/>
  <c r="BK20" i="125" s="1"/>
  <c r="S7" i="125"/>
  <c r="S13" i="125" s="1"/>
  <c r="CY8" i="125"/>
  <c r="CU8" i="125"/>
  <c r="CU20" i="125" s="1"/>
  <c r="AF8" i="125"/>
  <c r="BD8" i="125"/>
  <c r="BD20" i="125" s="1"/>
  <c r="BT8" i="125"/>
  <c r="BT20" i="125" s="1"/>
  <c r="AB7" i="125"/>
  <c r="AB13" i="125" s="1"/>
  <c r="CF8" i="125"/>
  <c r="CF20" i="125" s="1"/>
  <c r="Q8" i="125"/>
  <c r="AO8" i="125"/>
  <c r="AO20" i="125" s="1"/>
  <c r="BM8" i="125"/>
  <c r="BM20" i="125" s="1"/>
  <c r="M7" i="125"/>
  <c r="M13" i="125" s="1"/>
  <c r="AK7" i="125"/>
  <c r="AK17" i="125" s="1"/>
  <c r="BY8" i="125"/>
  <c r="BY20" i="125" s="1"/>
  <c r="R8" i="125"/>
  <c r="AP8" i="125"/>
  <c r="AP20" i="125" s="1"/>
  <c r="BN8" i="125"/>
  <c r="BN20" i="125" s="1"/>
  <c r="V7" i="125"/>
  <c r="V13" i="125" s="1"/>
  <c r="DB8" i="125"/>
  <c r="S8" i="125"/>
  <c r="AQ8" i="125"/>
  <c r="AQ20" i="125" s="1"/>
  <c r="BO8" i="125"/>
  <c r="BO20" i="125" s="1"/>
  <c r="W7" i="125"/>
  <c r="W13" i="125" s="1"/>
  <c r="AU9" i="125"/>
  <c r="AU17" i="125" s="1"/>
  <c r="BC9" i="125"/>
  <c r="BC10" i="125" s="1"/>
  <c r="BK9" i="125"/>
  <c r="BK10" i="125" s="1"/>
  <c r="BS9" i="125"/>
  <c r="BS10" i="125" s="1"/>
  <c r="CA9" i="125"/>
  <c r="CI9" i="125"/>
  <c r="CQ9" i="125"/>
  <c r="CY9" i="125"/>
  <c r="CY10" i="125" s="1"/>
  <c r="CY19" i="125" s="1"/>
  <c r="DG9" i="125"/>
  <c r="DG10" i="125" s="1"/>
  <c r="DG19" i="125" s="1"/>
  <c r="DW9" i="125"/>
  <c r="DW10" i="125" s="1"/>
  <c r="DW19" i="125" s="1"/>
  <c r="EE9" i="125"/>
  <c r="EE10" i="125" s="1"/>
  <c r="EE19" i="125" s="1"/>
  <c r="EM9" i="125"/>
  <c r="EM10" i="125" s="1"/>
  <c r="EM19" i="125" s="1"/>
  <c r="EU9" i="125"/>
  <c r="EU10" i="125" s="1"/>
  <c r="EU19" i="125" s="1"/>
  <c r="FC9" i="125"/>
  <c r="FC10" i="125" s="1"/>
  <c r="FC19" i="125" s="1"/>
  <c r="AN9" i="125"/>
  <c r="AN17" i="125" s="1"/>
  <c r="AV9" i="125"/>
  <c r="AV10" i="125" s="1"/>
  <c r="BD9" i="125"/>
  <c r="BL9" i="125"/>
  <c r="BL10" i="125" s="1"/>
  <c r="BT9" i="125"/>
  <c r="CB9" i="125"/>
  <c r="CJ9" i="125"/>
  <c r="CR9" i="125"/>
  <c r="CZ9" i="125"/>
  <c r="CZ10" i="125" s="1"/>
  <c r="CZ19" i="125" s="1"/>
  <c r="DH19" i="125"/>
  <c r="DX9" i="125"/>
  <c r="DX10" i="125" s="1"/>
  <c r="DX19" i="125" s="1"/>
  <c r="EF9" i="125"/>
  <c r="EF10" i="125" s="1"/>
  <c r="EF19" i="125" s="1"/>
  <c r="EN9" i="125"/>
  <c r="EN10" i="125" s="1"/>
  <c r="EN19" i="125" s="1"/>
  <c r="EV9" i="125"/>
  <c r="EV10" i="125" s="1"/>
  <c r="EV19" i="125" s="1"/>
  <c r="FD9" i="125"/>
  <c r="FD10" i="125" s="1"/>
  <c r="FD19" i="125" s="1"/>
  <c r="EQ9" i="125"/>
  <c r="EQ10" i="125" s="1"/>
  <c r="EQ19" i="125" s="1"/>
  <c r="BZ9" i="125"/>
  <c r="BZ10" i="125" s="1"/>
  <c r="FB9" i="125"/>
  <c r="FB10" i="125" s="1"/>
  <c r="FB19" i="125" s="1"/>
  <c r="AO9" i="125"/>
  <c r="AO17" i="125" s="1"/>
  <c r="AW9" i="125"/>
  <c r="BE9" i="125"/>
  <c r="BM9" i="125"/>
  <c r="BU9" i="125"/>
  <c r="CC9" i="125"/>
  <c r="CC10" i="125" s="1"/>
  <c r="CK9" i="125"/>
  <c r="CS9" i="125"/>
  <c r="CS10" i="125" s="1"/>
  <c r="DA9" i="125"/>
  <c r="DA10" i="125" s="1"/>
  <c r="DA19" i="125" s="1"/>
  <c r="DI19" i="125"/>
  <c r="DY9" i="125"/>
  <c r="DY10" i="125" s="1"/>
  <c r="DY19" i="125" s="1"/>
  <c r="EG9" i="125"/>
  <c r="EG10" i="125" s="1"/>
  <c r="EG19" i="125" s="1"/>
  <c r="EO9" i="125"/>
  <c r="EO10" i="125" s="1"/>
  <c r="EO19" i="125" s="1"/>
  <c r="EW9" i="125"/>
  <c r="EW10" i="125" s="1"/>
  <c r="EW19" i="125" s="1"/>
  <c r="FE9" i="125"/>
  <c r="FE10" i="125" s="1"/>
  <c r="FE19" i="125" s="1"/>
  <c r="EI9" i="125"/>
  <c r="EI10" i="125" s="1"/>
  <c r="EI19" i="125" s="1"/>
  <c r="CH9" i="125"/>
  <c r="ED9" i="125"/>
  <c r="ED10" i="125" s="1"/>
  <c r="ED19" i="125" s="1"/>
  <c r="AP9" i="125"/>
  <c r="AP17" i="125" s="1"/>
  <c r="AX9" i="125"/>
  <c r="BF9" i="125"/>
  <c r="BF10" i="125" s="1"/>
  <c r="BN9" i="125"/>
  <c r="BV9" i="125"/>
  <c r="BV10" i="125" s="1"/>
  <c r="CD9" i="125"/>
  <c r="CD10" i="125" s="1"/>
  <c r="CL9" i="125"/>
  <c r="CT9" i="125"/>
  <c r="DB9" i="125"/>
  <c r="DB10" i="125" s="1"/>
  <c r="DB19" i="125" s="1"/>
  <c r="DJ19" i="125"/>
  <c r="DZ9" i="125"/>
  <c r="DZ10" i="125" s="1"/>
  <c r="DZ19" i="125" s="1"/>
  <c r="EH9" i="125"/>
  <c r="EH10" i="125" s="1"/>
  <c r="EH19" i="125" s="1"/>
  <c r="EP9" i="125"/>
  <c r="EP10" i="125" s="1"/>
  <c r="EP19" i="125" s="1"/>
  <c r="EX9" i="125"/>
  <c r="EX10" i="125" s="1"/>
  <c r="EX19" i="125" s="1"/>
  <c r="EY9" i="125"/>
  <c r="EY10" i="125" s="1"/>
  <c r="EY19" i="125" s="1"/>
  <c r="CP9" i="125"/>
  <c r="ET9" i="125"/>
  <c r="ET10" i="125" s="1"/>
  <c r="ET19" i="125" s="1"/>
  <c r="AQ9" i="125"/>
  <c r="AQ17" i="125" s="1"/>
  <c r="AY9" i="125"/>
  <c r="BG9" i="125"/>
  <c r="BG10" i="125" s="1"/>
  <c r="BO9" i="125"/>
  <c r="BW9" i="125"/>
  <c r="CE9" i="125"/>
  <c r="CM9" i="125"/>
  <c r="CU9" i="125"/>
  <c r="DC9" i="125"/>
  <c r="DC10" i="125" s="1"/>
  <c r="DC19" i="125" s="1"/>
  <c r="DK19" i="125"/>
  <c r="EA9" i="125"/>
  <c r="EA10" i="125" s="1"/>
  <c r="EA19" i="125" s="1"/>
  <c r="CV7" i="125"/>
  <c r="CV14" i="125" s="1"/>
  <c r="CV16" i="125" s="1"/>
  <c r="AR9" i="125"/>
  <c r="AR17" i="125" s="1"/>
  <c r="AZ9" i="125"/>
  <c r="BH9" i="125"/>
  <c r="BP9" i="125"/>
  <c r="BX9" i="125"/>
  <c r="CF9" i="125"/>
  <c r="CF10" i="125" s="1"/>
  <c r="CF19" i="125" s="1"/>
  <c r="CN9" i="125"/>
  <c r="CN17" i="125" s="1"/>
  <c r="CV9" i="125"/>
  <c r="CV10" i="125" s="1"/>
  <c r="DD9" i="125"/>
  <c r="DD10" i="125" s="1"/>
  <c r="DD19" i="125" s="1"/>
  <c r="DL19" i="125"/>
  <c r="EB9" i="125"/>
  <c r="EB10" i="125" s="1"/>
  <c r="EB19" i="125" s="1"/>
  <c r="EJ9" i="125"/>
  <c r="EJ10" i="125" s="1"/>
  <c r="EJ19" i="125" s="1"/>
  <c r="ER9" i="125"/>
  <c r="ER10" i="125" s="1"/>
  <c r="ER19" i="125" s="1"/>
  <c r="EZ9" i="125"/>
  <c r="EZ10" i="125" s="1"/>
  <c r="EZ19" i="125" s="1"/>
  <c r="CW12" i="125"/>
  <c r="CW21" i="125" s="1"/>
  <c r="BB9" i="125"/>
  <c r="BR9" i="125"/>
  <c r="DF9" i="125"/>
  <c r="DF10" i="125" s="1"/>
  <c r="DF19" i="125" s="1"/>
  <c r="EL9" i="125"/>
  <c r="EL10" i="125" s="1"/>
  <c r="EL19" i="125" s="1"/>
  <c r="AS9" i="125"/>
  <c r="AS17" i="125" s="1"/>
  <c r="BA9" i="125"/>
  <c r="BA10" i="125" s="1"/>
  <c r="BI9" i="125"/>
  <c r="BQ9" i="125"/>
  <c r="BY9" i="125"/>
  <c r="CG9" i="125"/>
  <c r="CO9" i="125"/>
  <c r="CW9" i="125"/>
  <c r="CW10" i="125" s="1"/>
  <c r="DE9" i="125"/>
  <c r="DE10" i="125" s="1"/>
  <c r="DE19" i="125" s="1"/>
  <c r="DM19" i="125"/>
  <c r="DU9" i="125"/>
  <c r="DU10" i="125" s="1"/>
  <c r="DU19" i="125" s="1"/>
  <c r="EC9" i="125"/>
  <c r="EC10" i="125" s="1"/>
  <c r="EC19" i="125" s="1"/>
  <c r="EK9" i="125"/>
  <c r="EK10" i="125" s="1"/>
  <c r="EK19" i="125" s="1"/>
  <c r="ES9" i="125"/>
  <c r="ES10" i="125" s="1"/>
  <c r="ES19" i="125" s="1"/>
  <c r="FA9" i="125"/>
  <c r="FA10" i="125" s="1"/>
  <c r="FA19" i="125" s="1"/>
  <c r="AT9" i="125"/>
  <c r="AT17" i="125" s="1"/>
  <c r="BJ9" i="125"/>
  <c r="CX9" i="125"/>
  <c r="CX10" i="125" s="1"/>
  <c r="CX19" i="125" s="1"/>
  <c r="DV9" i="125"/>
  <c r="DV10" i="125" s="1"/>
  <c r="DV19" i="125" s="1"/>
  <c r="AK12" i="125"/>
  <c r="AS12" i="125"/>
  <c r="AS21" i="125" s="1"/>
  <c r="BA12" i="125"/>
  <c r="BA21" i="125" s="1"/>
  <c r="BI12" i="125"/>
  <c r="BI21" i="125" s="1"/>
  <c r="BQ12" i="125"/>
  <c r="BQ21" i="125" s="1"/>
  <c r="BY12" i="125"/>
  <c r="BY21" i="125" s="1"/>
  <c r="CG12" i="125"/>
  <c r="CG21" i="125" s="1"/>
  <c r="CO12" i="125"/>
  <c r="CO21" i="125" s="1"/>
  <c r="DE12" i="125"/>
  <c r="DE21" i="125" s="1"/>
  <c r="DM12" i="125"/>
  <c r="DM21" i="125" s="1"/>
  <c r="DU12" i="125"/>
  <c r="DU21" i="125" s="1"/>
  <c r="EC12" i="125"/>
  <c r="EC21" i="125" s="1"/>
  <c r="EK12" i="125"/>
  <c r="EK21" i="125" s="1"/>
  <c r="ES12" i="125"/>
  <c r="ES21" i="125" s="1"/>
  <c r="FA12" i="125"/>
  <c r="FA21" i="125" s="1"/>
  <c r="L9" i="125"/>
  <c r="T9" i="125"/>
  <c r="AB9" i="125"/>
  <c r="AJ9" i="125"/>
  <c r="AJ10" i="125" s="1"/>
  <c r="AJ19" i="125" s="1"/>
  <c r="BP12" i="125"/>
  <c r="BP21" i="125" s="1"/>
  <c r="DT12" i="125"/>
  <c r="DT21" i="125" s="1"/>
  <c r="EZ12" i="125"/>
  <c r="EZ21" i="125" s="1"/>
  <c r="AD12" i="125"/>
  <c r="AT12" i="125"/>
  <c r="AT21" i="125" s="1"/>
  <c r="BB12" i="125"/>
  <c r="BB21" i="125" s="1"/>
  <c r="BJ12" i="125"/>
  <c r="BJ21" i="125" s="1"/>
  <c r="BR12" i="125"/>
  <c r="BR21" i="125" s="1"/>
  <c r="BZ12" i="125"/>
  <c r="BZ21" i="125" s="1"/>
  <c r="CH12" i="125"/>
  <c r="CH21" i="125" s="1"/>
  <c r="CP12" i="125"/>
  <c r="CP21" i="125" s="1"/>
  <c r="CX12" i="125"/>
  <c r="CX21" i="125" s="1"/>
  <c r="DF12" i="125"/>
  <c r="DF21" i="125" s="1"/>
  <c r="DN12" i="125"/>
  <c r="DN21" i="125" s="1"/>
  <c r="DV12" i="125"/>
  <c r="DV21" i="125" s="1"/>
  <c r="ED12" i="125"/>
  <c r="ED21" i="125" s="1"/>
  <c r="EL12" i="125"/>
  <c r="EL21" i="125" s="1"/>
  <c r="ET12" i="125"/>
  <c r="ET21" i="125" s="1"/>
  <c r="FB12" i="125"/>
  <c r="FB21" i="125" s="1"/>
  <c r="M9" i="125"/>
  <c r="U9" i="125"/>
  <c r="AC9" i="125"/>
  <c r="AK9" i="125"/>
  <c r="AK10" i="125" s="1"/>
  <c r="AK19" i="125" s="1"/>
  <c r="AJ12" i="125"/>
  <c r="CF12" i="125"/>
  <c r="CF21" i="125" s="1"/>
  <c r="DL12" i="125"/>
  <c r="DL21" i="125" s="1"/>
  <c r="ER12" i="125"/>
  <c r="ER21" i="125" s="1"/>
  <c r="AI9" i="125"/>
  <c r="AI10" i="125" s="1"/>
  <c r="AI19" i="125" s="1"/>
  <c r="AE12" i="125"/>
  <c r="AM12" i="125"/>
  <c r="AM21" i="125" s="1"/>
  <c r="AU12" i="125"/>
  <c r="AU21" i="125" s="1"/>
  <c r="BC12" i="125"/>
  <c r="BC21" i="125" s="1"/>
  <c r="BK12" i="125"/>
  <c r="BK21" i="125" s="1"/>
  <c r="BS12" i="125"/>
  <c r="BS21" i="125" s="1"/>
  <c r="CA12" i="125"/>
  <c r="CA21" i="125" s="1"/>
  <c r="CI12" i="125"/>
  <c r="CI21" i="125" s="1"/>
  <c r="CQ12" i="125"/>
  <c r="CQ21" i="125" s="1"/>
  <c r="CY12" i="125"/>
  <c r="CY21" i="125" s="1"/>
  <c r="DG12" i="125"/>
  <c r="DG21" i="125" s="1"/>
  <c r="DO12" i="125"/>
  <c r="DO21" i="125" s="1"/>
  <c r="DW12" i="125"/>
  <c r="DW21" i="125" s="1"/>
  <c r="EE12" i="125"/>
  <c r="EE21" i="125" s="1"/>
  <c r="EM12" i="125"/>
  <c r="EM21" i="125" s="1"/>
  <c r="EU12" i="125"/>
  <c r="EU21" i="125" s="1"/>
  <c r="FC12" i="125"/>
  <c r="FC21" i="125" s="1"/>
  <c r="N9" i="125"/>
  <c r="V9" i="125"/>
  <c r="AD9" i="125"/>
  <c r="AD10" i="125" s="1"/>
  <c r="AD19" i="125" s="1"/>
  <c r="BH12" i="125"/>
  <c r="BH21" i="125" s="1"/>
  <c r="S9" i="125"/>
  <c r="AF12" i="125"/>
  <c r="AN12" i="125"/>
  <c r="AN21" i="125" s="1"/>
  <c r="AV12" i="125"/>
  <c r="AV21" i="125" s="1"/>
  <c r="BD12" i="125"/>
  <c r="BD21" i="125" s="1"/>
  <c r="BL12" i="125"/>
  <c r="BL21" i="125" s="1"/>
  <c r="BT12" i="125"/>
  <c r="BT21" i="125" s="1"/>
  <c r="CB12" i="125"/>
  <c r="CB21" i="125" s="1"/>
  <c r="CJ12" i="125"/>
  <c r="CJ21" i="125" s="1"/>
  <c r="CR12" i="125"/>
  <c r="CR21" i="125" s="1"/>
  <c r="CZ12" i="125"/>
  <c r="CZ21" i="125" s="1"/>
  <c r="DH12" i="125"/>
  <c r="DH21" i="125" s="1"/>
  <c r="DP12" i="125"/>
  <c r="DP21" i="125" s="1"/>
  <c r="DX12" i="125"/>
  <c r="DX21" i="125" s="1"/>
  <c r="EF12" i="125"/>
  <c r="EF21" i="125" s="1"/>
  <c r="EN12" i="125"/>
  <c r="EN21" i="125" s="1"/>
  <c r="EV12" i="125"/>
  <c r="EV21" i="125" s="1"/>
  <c r="FD12" i="125"/>
  <c r="FD21" i="125" s="1"/>
  <c r="O9" i="125"/>
  <c r="W9" i="125"/>
  <c r="AE9" i="125"/>
  <c r="AE10" i="125" s="1"/>
  <c r="AE19" i="125" s="1"/>
  <c r="AZ12" i="125"/>
  <c r="AZ21" i="125" s="1"/>
  <c r="AG12" i="125"/>
  <c r="AO12" i="125"/>
  <c r="AO21" i="125" s="1"/>
  <c r="AW12" i="125"/>
  <c r="AW21" i="125" s="1"/>
  <c r="BE12" i="125"/>
  <c r="BE21" i="125" s="1"/>
  <c r="BM12" i="125"/>
  <c r="BM21" i="125" s="1"/>
  <c r="BU12" i="125"/>
  <c r="BU21" i="125" s="1"/>
  <c r="CC12" i="125"/>
  <c r="CC21" i="125" s="1"/>
  <c r="CK12" i="125"/>
  <c r="CK21" i="125" s="1"/>
  <c r="CS12" i="125"/>
  <c r="CS21" i="125" s="1"/>
  <c r="DA12" i="125"/>
  <c r="DA21" i="125" s="1"/>
  <c r="DI12" i="125"/>
  <c r="DI21" i="125" s="1"/>
  <c r="DQ12" i="125"/>
  <c r="DQ21" i="125" s="1"/>
  <c r="DY12" i="125"/>
  <c r="DY21" i="125" s="1"/>
  <c r="EG12" i="125"/>
  <c r="EG21" i="125" s="1"/>
  <c r="EO12" i="125"/>
  <c r="EO21" i="125" s="1"/>
  <c r="EW12" i="125"/>
  <c r="EW21" i="125" s="1"/>
  <c r="FE12" i="125"/>
  <c r="FE21" i="125" s="1"/>
  <c r="P9" i="125"/>
  <c r="X9" i="125"/>
  <c r="AF9" i="125"/>
  <c r="AF10" i="125" s="1"/>
  <c r="AF19" i="125" s="1"/>
  <c r="CE12" i="125"/>
  <c r="CE21" i="125" s="1"/>
  <c r="DK12" i="125"/>
  <c r="DK21" i="125" s="1"/>
  <c r="EA12" i="125"/>
  <c r="EA21" i="125" s="1"/>
  <c r="EQ12" i="125"/>
  <c r="EQ21" i="125" s="1"/>
  <c r="J9" i="125"/>
  <c r="Z9" i="125"/>
  <c r="AR12" i="125"/>
  <c r="AR21" i="125" s="1"/>
  <c r="CV12" i="125"/>
  <c r="CV21" i="125" s="1"/>
  <c r="EB12" i="125"/>
  <c r="EB21" i="125" s="1"/>
  <c r="K9" i="125"/>
  <c r="AH12" i="125"/>
  <c r="AP12" i="125"/>
  <c r="AP21" i="125" s="1"/>
  <c r="AX12" i="125"/>
  <c r="AX21" i="125" s="1"/>
  <c r="BF12" i="125"/>
  <c r="BF21" i="125" s="1"/>
  <c r="BN12" i="125"/>
  <c r="BN21" i="125" s="1"/>
  <c r="BV12" i="125"/>
  <c r="BV21" i="125" s="1"/>
  <c r="CD12" i="125"/>
  <c r="CD21" i="125" s="1"/>
  <c r="CL12" i="125"/>
  <c r="CL21" i="125" s="1"/>
  <c r="CT12" i="125"/>
  <c r="CT21" i="125" s="1"/>
  <c r="DB12" i="125"/>
  <c r="DB21" i="125" s="1"/>
  <c r="DJ12" i="125"/>
  <c r="DJ21" i="125" s="1"/>
  <c r="DR12" i="125"/>
  <c r="DR21" i="125" s="1"/>
  <c r="DZ12" i="125"/>
  <c r="DZ21" i="125" s="1"/>
  <c r="EH12" i="125"/>
  <c r="EH21" i="125" s="1"/>
  <c r="EP12" i="125"/>
  <c r="EP21" i="125" s="1"/>
  <c r="EX12" i="125"/>
  <c r="EX21" i="125" s="1"/>
  <c r="I9" i="125"/>
  <c r="Q9" i="125"/>
  <c r="Y9" i="125"/>
  <c r="AG9" i="125"/>
  <c r="AG10" i="125" s="1"/>
  <c r="AG19" i="125" s="1"/>
  <c r="AI12" i="125"/>
  <c r="AQ12" i="125"/>
  <c r="AQ21" i="125" s="1"/>
  <c r="AY12" i="125"/>
  <c r="AY21" i="125" s="1"/>
  <c r="BG12" i="125"/>
  <c r="BG21" i="125" s="1"/>
  <c r="BO12" i="125"/>
  <c r="BO21" i="125" s="1"/>
  <c r="BW12" i="125"/>
  <c r="BW21" i="125" s="1"/>
  <c r="CM12" i="125"/>
  <c r="CM21" i="125" s="1"/>
  <c r="CU12" i="125"/>
  <c r="CU21" i="125" s="1"/>
  <c r="DC12" i="125"/>
  <c r="DC21" i="125" s="1"/>
  <c r="DS12" i="125"/>
  <c r="DS21" i="125" s="1"/>
  <c r="EI12" i="125"/>
  <c r="EI21" i="125" s="1"/>
  <c r="EY12" i="125"/>
  <c r="EY21" i="125" s="1"/>
  <c r="R9" i="125"/>
  <c r="AH9" i="125"/>
  <c r="AH10" i="125" s="1"/>
  <c r="AH19" i="125" s="1"/>
  <c r="BX12" i="125"/>
  <c r="BX21" i="125" s="1"/>
  <c r="CN12" i="125"/>
  <c r="CN21" i="125" s="1"/>
  <c r="DD12" i="125"/>
  <c r="DD21" i="125" s="1"/>
  <c r="EJ12" i="125"/>
  <c r="EJ21" i="125" s="1"/>
  <c r="AA9" i="125"/>
  <c r="FC11" i="125"/>
  <c r="FC20" i="125" s="1"/>
  <c r="EU11" i="125"/>
  <c r="EU20" i="125" s="1"/>
  <c r="EM11" i="125"/>
  <c r="EM20" i="125" s="1"/>
  <c r="EE11" i="125"/>
  <c r="EE20" i="125" s="1"/>
  <c r="DW11" i="125"/>
  <c r="DW20" i="125" s="1"/>
  <c r="DO11" i="125"/>
  <c r="DO20" i="125" s="1"/>
  <c r="DG11" i="125"/>
  <c r="DG20" i="125" s="1"/>
  <c r="CY11" i="125"/>
  <c r="CY20" i="125" s="1"/>
  <c r="CP11" i="125"/>
  <c r="CH11" i="125"/>
  <c r="BZ11" i="125"/>
  <c r="BR11" i="125"/>
  <c r="BJ11" i="125"/>
  <c r="BB11" i="125"/>
  <c r="AT11" i="125"/>
  <c r="AD11" i="125"/>
  <c r="AD20" i="125" s="1"/>
  <c r="V11" i="125"/>
  <c r="N11" i="125"/>
  <c r="FB11" i="125"/>
  <c r="FB20" i="125" s="1"/>
  <c r="ET11" i="125"/>
  <c r="ET20" i="125" s="1"/>
  <c r="EL11" i="125"/>
  <c r="EL20" i="125" s="1"/>
  <c r="ED11" i="125"/>
  <c r="ED20" i="125" s="1"/>
  <c r="DV11" i="125"/>
  <c r="DV20" i="125" s="1"/>
  <c r="DN11" i="125"/>
  <c r="DN20" i="125" s="1"/>
  <c r="DF11" i="125"/>
  <c r="DF20" i="125" s="1"/>
  <c r="CX11" i="125"/>
  <c r="CX20" i="125" s="1"/>
  <c r="CO11" i="125"/>
  <c r="CG11" i="125"/>
  <c r="BY11" i="125"/>
  <c r="BQ11" i="125"/>
  <c r="BI11" i="125"/>
  <c r="BA11" i="125"/>
  <c r="AS11" i="125"/>
  <c r="AK11" i="125"/>
  <c r="AK20" i="125" s="1"/>
  <c r="AC11" i="125"/>
  <c r="U11" i="125"/>
  <c r="M11" i="125"/>
  <c r="AL19" i="125"/>
  <c r="FC7" i="125"/>
  <c r="EU7" i="125"/>
  <c r="FA11" i="125"/>
  <c r="FA20" i="125" s="1"/>
  <c r="ES11" i="125"/>
  <c r="ES20" i="125" s="1"/>
  <c r="EK11" i="125"/>
  <c r="EK20" i="125" s="1"/>
  <c r="EC11" i="125"/>
  <c r="EC20" i="125" s="1"/>
  <c r="DU11" i="125"/>
  <c r="DU20" i="125" s="1"/>
  <c r="DM11" i="125"/>
  <c r="DM20" i="125" s="1"/>
  <c r="DE11" i="125"/>
  <c r="DE20" i="125" s="1"/>
  <c r="CV11" i="125"/>
  <c r="CN11" i="125"/>
  <c r="CF11" i="125"/>
  <c r="BX11" i="125"/>
  <c r="BP11" i="125"/>
  <c r="BH11" i="125"/>
  <c r="AZ11" i="125"/>
  <c r="AR11" i="125"/>
  <c r="AJ11" i="125"/>
  <c r="AJ20" i="125" s="1"/>
  <c r="AB11" i="125"/>
  <c r="T11" i="125"/>
  <c r="L11" i="125"/>
  <c r="FB7" i="125"/>
  <c r="ET7" i="125"/>
  <c r="EZ11" i="125"/>
  <c r="EZ20" i="125" s="1"/>
  <c r="ER11" i="125"/>
  <c r="ER20" i="125" s="1"/>
  <c r="EJ11" i="125"/>
  <c r="EJ20" i="125" s="1"/>
  <c r="EB11" i="125"/>
  <c r="EB20" i="125" s="1"/>
  <c r="DT11" i="125"/>
  <c r="DT20" i="125" s="1"/>
  <c r="DL11" i="125"/>
  <c r="DL20" i="125" s="1"/>
  <c r="DD11" i="125"/>
  <c r="DD20" i="125" s="1"/>
  <c r="CU11" i="125"/>
  <c r="CM11" i="125"/>
  <c r="CE11" i="125"/>
  <c r="BW11" i="125"/>
  <c r="BO11" i="125"/>
  <c r="BG11" i="125"/>
  <c r="AY11" i="125"/>
  <c r="AQ11" i="125"/>
  <c r="AI11" i="125"/>
  <c r="AI20" i="125" s="1"/>
  <c r="AA11" i="125"/>
  <c r="S11" i="125"/>
  <c r="K11" i="125"/>
  <c r="FA7" i="125"/>
  <c r="ES7" i="125"/>
  <c r="EK7" i="125"/>
  <c r="EC7" i="125"/>
  <c r="DU7" i="125"/>
  <c r="DM7" i="125"/>
  <c r="DE7" i="125"/>
  <c r="CW7" i="125"/>
  <c r="CW14" i="125" s="1"/>
  <c r="CW16" i="125" s="1"/>
  <c r="CO7" i="125"/>
  <c r="CO14" i="125" s="1"/>
  <c r="CO16" i="125" s="1"/>
  <c r="CG7" i="125"/>
  <c r="CG14" i="125" s="1"/>
  <c r="CG16" i="125" s="1"/>
  <c r="BY7" i="125"/>
  <c r="BY14" i="125" s="1"/>
  <c r="BY16" i="125" s="1"/>
  <c r="EY11" i="125"/>
  <c r="EY20" i="125" s="1"/>
  <c r="EQ11" i="125"/>
  <c r="EQ20" i="125" s="1"/>
  <c r="EI11" i="125"/>
  <c r="EI20" i="125" s="1"/>
  <c r="EA11" i="125"/>
  <c r="EA20" i="125" s="1"/>
  <c r="DS11" i="125"/>
  <c r="DS20" i="125" s="1"/>
  <c r="DK11" i="125"/>
  <c r="DK20" i="125" s="1"/>
  <c r="DC11" i="125"/>
  <c r="DC20" i="125" s="1"/>
  <c r="CT11" i="125"/>
  <c r="CL11" i="125"/>
  <c r="CD11" i="125"/>
  <c r="BV11" i="125"/>
  <c r="BN11" i="125"/>
  <c r="BF11" i="125"/>
  <c r="AX11" i="125"/>
  <c r="AP11" i="125"/>
  <c r="AH11" i="125"/>
  <c r="AH20" i="125" s="1"/>
  <c r="Z11" i="125"/>
  <c r="R11" i="125"/>
  <c r="J11" i="125"/>
  <c r="EP11" i="125"/>
  <c r="EP20" i="125" s="1"/>
  <c r="DX11" i="125"/>
  <c r="DX20" i="125" s="1"/>
  <c r="DA11" i="125"/>
  <c r="DA20" i="125" s="1"/>
  <c r="CC11" i="125"/>
  <c r="BK11" i="125"/>
  <c r="AN11" i="125"/>
  <c r="Q11" i="125"/>
  <c r="EO11" i="125"/>
  <c r="EO20" i="125" s="1"/>
  <c r="DR11" i="125"/>
  <c r="DR20" i="125" s="1"/>
  <c r="CZ11" i="125"/>
  <c r="CZ20" i="125" s="1"/>
  <c r="CB11" i="125"/>
  <c r="BE11" i="125"/>
  <c r="AM11" i="125"/>
  <c r="P11" i="125"/>
  <c r="FD7" i="125"/>
  <c r="EP7" i="125"/>
  <c r="EG7" i="125"/>
  <c r="DX7" i="125"/>
  <c r="DO7" i="125"/>
  <c r="DF7" i="125"/>
  <c r="CM7" i="125"/>
  <c r="CM14" i="125" s="1"/>
  <c r="CM16" i="125" s="1"/>
  <c r="CD7" i="125"/>
  <c r="CD14" i="125" s="1"/>
  <c r="CD16" i="125" s="1"/>
  <c r="BU7" i="125"/>
  <c r="BU14" i="125" s="1"/>
  <c r="BU16" i="125" s="1"/>
  <c r="BM7" i="125"/>
  <c r="BM14" i="125" s="1"/>
  <c r="BM16" i="125" s="1"/>
  <c r="BE7" i="125"/>
  <c r="BE14" i="125" s="1"/>
  <c r="BE16" i="125" s="1"/>
  <c r="AW7" i="125"/>
  <c r="AW14" i="125" s="1"/>
  <c r="AW16" i="125" s="1"/>
  <c r="I7" i="125"/>
  <c r="I13" i="125" s="1"/>
  <c r="EN11" i="125"/>
  <c r="EN20" i="125" s="1"/>
  <c r="DQ11" i="125"/>
  <c r="DQ20" i="125" s="1"/>
  <c r="CS11" i="125"/>
  <c r="CA11" i="125"/>
  <c r="BD11" i="125"/>
  <c r="AG11" i="125"/>
  <c r="AG20" i="125" s="1"/>
  <c r="O11" i="125"/>
  <c r="EO7" i="125"/>
  <c r="EF7" i="125"/>
  <c r="DN7" i="125"/>
  <c r="CU7" i="125"/>
  <c r="CU14" i="125" s="1"/>
  <c r="CU16" i="125" s="1"/>
  <c r="CC7" i="125"/>
  <c r="CC14" i="125" s="1"/>
  <c r="CC16" i="125" s="1"/>
  <c r="BL7" i="125"/>
  <c r="BL14" i="125" s="1"/>
  <c r="BL16" i="125" s="1"/>
  <c r="AV7" i="125"/>
  <c r="AV14" i="125" s="1"/>
  <c r="AV16" i="125" s="1"/>
  <c r="EA7" i="125"/>
  <c r="CQ7" i="125"/>
  <c r="CQ14" i="125" s="1"/>
  <c r="CQ16" i="125" s="1"/>
  <c r="BH7" i="125"/>
  <c r="BH14" i="125" s="1"/>
  <c r="BH16" i="125" s="1"/>
  <c r="EZ7" i="125"/>
  <c r="DW7" i="125"/>
  <c r="DD7" i="125"/>
  <c r="CL7" i="125"/>
  <c r="CL14" i="125" s="1"/>
  <c r="CL16" i="125" s="1"/>
  <c r="BT7" i="125"/>
  <c r="BT14" i="125" s="1"/>
  <c r="BT16" i="125" s="1"/>
  <c r="BD7" i="125"/>
  <c r="BD14" i="125" s="1"/>
  <c r="BD16" i="125" s="1"/>
  <c r="EV7" i="125"/>
  <c r="DI7" i="125"/>
  <c r="BX7" i="125"/>
  <c r="BX14" i="125" s="1"/>
  <c r="BX16" i="125" s="1"/>
  <c r="AR7" i="125"/>
  <c r="AR14" i="125" s="1"/>
  <c r="AR16" i="125" s="1"/>
  <c r="FE11" i="125"/>
  <c r="FE20" i="125" s="1"/>
  <c r="EH11" i="125"/>
  <c r="EH20" i="125" s="1"/>
  <c r="DP11" i="125"/>
  <c r="DP20" i="125" s="1"/>
  <c r="CR11" i="125"/>
  <c r="BU11" i="125"/>
  <c r="BC11" i="125"/>
  <c r="AF11" i="125"/>
  <c r="AF20" i="125" s="1"/>
  <c r="I11" i="125"/>
  <c r="EY7" i="125"/>
  <c r="EN7" i="125"/>
  <c r="EE7" i="125"/>
  <c r="DV7" i="125"/>
  <c r="DL7" i="125"/>
  <c r="DC7" i="125"/>
  <c r="CT7" i="125"/>
  <c r="CT14" i="125" s="1"/>
  <c r="CT16" i="125" s="1"/>
  <c r="CK7" i="125"/>
  <c r="CK14" i="125" s="1"/>
  <c r="CK16" i="125" s="1"/>
  <c r="CB7" i="125"/>
  <c r="CB14" i="125" s="1"/>
  <c r="CB16" i="125" s="1"/>
  <c r="BS7" i="125"/>
  <c r="BS14" i="125" s="1"/>
  <c r="BS16" i="125" s="1"/>
  <c r="BK7" i="125"/>
  <c r="BK14" i="125" s="1"/>
  <c r="BK16" i="125" s="1"/>
  <c r="BC7" i="125"/>
  <c r="BC14" i="125" s="1"/>
  <c r="BC16" i="125" s="1"/>
  <c r="AU7" i="125"/>
  <c r="AU14" i="125" s="1"/>
  <c r="AU16" i="125" s="1"/>
  <c r="EF11" i="125"/>
  <c r="EF20" i="125" s="1"/>
  <c r="CK11" i="125"/>
  <c r="AV11" i="125"/>
  <c r="EW7" i="125"/>
  <c r="DS7" i="125"/>
  <c r="DA7" i="125"/>
  <c r="CI7" i="125"/>
  <c r="CI14" i="125" s="1"/>
  <c r="CI16" i="125" s="1"/>
  <c r="BQ7" i="125"/>
  <c r="BQ14" i="125" s="1"/>
  <c r="BQ16" i="125" s="1"/>
  <c r="BA7" i="125"/>
  <c r="BA14" i="125" s="1"/>
  <c r="BA16" i="125" s="1"/>
  <c r="EW11" i="125"/>
  <c r="EW20" i="125" s="1"/>
  <c r="DH11" i="125"/>
  <c r="DH20" i="125" s="1"/>
  <c r="BM11" i="125"/>
  <c r="X11" i="125"/>
  <c r="DR7" i="125"/>
  <c r="CH7" i="125"/>
  <c r="CH14" i="125" s="1"/>
  <c r="CH16" i="125" s="1"/>
  <c r="AZ7" i="125"/>
  <c r="AZ14" i="125" s="1"/>
  <c r="AZ16" i="125" s="1"/>
  <c r="FD11" i="125"/>
  <c r="FD20" i="125" s="1"/>
  <c r="EG11" i="125"/>
  <c r="EG20" i="125" s="1"/>
  <c r="DJ11" i="125"/>
  <c r="DJ20" i="125" s="1"/>
  <c r="CQ11" i="125"/>
  <c r="BT11" i="125"/>
  <c r="AW11" i="125"/>
  <c r="AE11" i="125"/>
  <c r="AE20" i="125" s="1"/>
  <c r="EX7" i="125"/>
  <c r="EM7" i="125"/>
  <c r="ED7" i="125"/>
  <c r="DT7" i="125"/>
  <c r="DK7" i="125"/>
  <c r="DB7" i="125"/>
  <c r="CS7" i="125"/>
  <c r="CS14" i="125" s="1"/>
  <c r="CS16" i="125" s="1"/>
  <c r="CJ7" i="125"/>
  <c r="CJ14" i="125" s="1"/>
  <c r="CJ16" i="125" s="1"/>
  <c r="CA7" i="125"/>
  <c r="CA14" i="125" s="1"/>
  <c r="CA16" i="125" s="1"/>
  <c r="BR7" i="125"/>
  <c r="BR14" i="125" s="1"/>
  <c r="BR16" i="125" s="1"/>
  <c r="BJ7" i="125"/>
  <c r="BJ14" i="125" s="1"/>
  <c r="BJ16" i="125" s="1"/>
  <c r="BB7" i="125"/>
  <c r="BB14" i="125" s="1"/>
  <c r="BB16" i="125" s="1"/>
  <c r="AT7" i="125"/>
  <c r="AT14" i="125" s="1"/>
  <c r="AT16" i="125" s="1"/>
  <c r="EX11" i="125"/>
  <c r="EX20" i="125" s="1"/>
  <c r="DI11" i="125"/>
  <c r="DI20" i="125" s="1"/>
  <c r="BS11" i="125"/>
  <c r="Y11" i="125"/>
  <c r="EL7" i="125"/>
  <c r="EB7" i="125"/>
  <c r="DJ7" i="125"/>
  <c r="CR7" i="125"/>
  <c r="CR14" i="125" s="1"/>
  <c r="CR16" i="125" s="1"/>
  <c r="BZ7" i="125"/>
  <c r="BZ14" i="125" s="1"/>
  <c r="BZ16" i="125" s="1"/>
  <c r="BI7" i="125"/>
  <c r="BI14" i="125" s="1"/>
  <c r="BI16" i="125" s="1"/>
  <c r="AS7" i="125"/>
  <c r="AS14" i="125" s="1"/>
  <c r="AS16" i="125" s="1"/>
  <c r="DZ11" i="125"/>
  <c r="DZ20" i="125" s="1"/>
  <c r="CJ11" i="125"/>
  <c r="AU11" i="125"/>
  <c r="EJ7" i="125"/>
  <c r="CZ7" i="125"/>
  <c r="BP7" i="125"/>
  <c r="BP14" i="125" s="1"/>
  <c r="BP16" i="125" s="1"/>
  <c r="DY11" i="125"/>
  <c r="DY20" i="125" s="1"/>
  <c r="DZ7" i="125"/>
  <c r="CP7" i="125"/>
  <c r="CP14" i="125" s="1"/>
  <c r="CP16" i="125" s="1"/>
  <c r="BG7" i="125"/>
  <c r="BG14" i="125" s="1"/>
  <c r="BG16" i="125" s="1"/>
  <c r="DB11" i="125"/>
  <c r="DB20" i="125" s="1"/>
  <c r="DY7" i="125"/>
  <c r="CN7" i="125"/>
  <c r="CN14" i="125" s="1"/>
  <c r="CN16" i="125" s="1"/>
  <c r="BF7" i="125"/>
  <c r="BF14" i="125" s="1"/>
  <c r="BF16" i="125" s="1"/>
  <c r="AO11" i="125"/>
  <c r="DH7" i="125"/>
  <c r="AQ7" i="125"/>
  <c r="AQ14" i="125" s="1"/>
  <c r="AQ16" i="125" s="1"/>
  <c r="EQ7" i="125"/>
  <c r="BV7" i="125"/>
  <c r="BV14" i="125" s="1"/>
  <c r="BV16" i="125" s="1"/>
  <c r="CY7" i="125"/>
  <c r="CX7" i="125"/>
  <c r="CI11" i="125"/>
  <c r="DQ7" i="125"/>
  <c r="CF7" i="125"/>
  <c r="CF14" i="125" s="1"/>
  <c r="CF16" i="125" s="1"/>
  <c r="AY7" i="125"/>
  <c r="AY14" i="125" s="1"/>
  <c r="AY16" i="125" s="1"/>
  <c r="BL11" i="125"/>
  <c r="FE7" i="125"/>
  <c r="DP7" i="125"/>
  <c r="CE7" i="125"/>
  <c r="CE14" i="125" s="1"/>
  <c r="CE16" i="125" s="1"/>
  <c r="AX7" i="125"/>
  <c r="AX14" i="125" s="1"/>
  <c r="AX16" i="125" s="1"/>
  <c r="ER7" i="125"/>
  <c r="BW7" i="125"/>
  <c r="BW14" i="125" s="1"/>
  <c r="BW16" i="125" s="1"/>
  <c r="W11" i="125"/>
  <c r="DG7" i="125"/>
  <c r="EI7" i="125"/>
  <c r="BO7" i="125"/>
  <c r="BO14" i="125" s="1"/>
  <c r="BO16" i="125" s="1"/>
  <c r="EV11" i="125"/>
  <c r="EV20" i="125" s="1"/>
  <c r="BN7" i="125"/>
  <c r="BN14" i="125" s="1"/>
  <c r="BN16" i="125" s="1"/>
  <c r="EH7" i="125"/>
  <c r="CW11" i="125"/>
  <c r="DA8" i="95"/>
  <c r="DA11" i="95" s="1"/>
  <c r="DA13" i="95" s="1"/>
  <c r="DA19" i="95" s="1"/>
  <c r="EP98" i="22" s="1"/>
  <c r="DI8" i="95"/>
  <c r="DI11" i="95" s="1"/>
  <c r="DI13" i="95" s="1"/>
  <c r="DI19" i="95" s="1"/>
  <c r="EX98" i="22" s="1"/>
  <c r="DQ8" i="95"/>
  <c r="DQ11" i="95" s="1"/>
  <c r="DQ13" i="95" s="1"/>
  <c r="DQ19" i="95" s="1"/>
  <c r="FF98" i="22" s="1"/>
  <c r="DY8" i="95"/>
  <c r="DY11" i="95" s="1"/>
  <c r="DY13" i="95" s="1"/>
  <c r="DY19" i="95" s="1"/>
  <c r="EG8" i="95"/>
  <c r="EG11" i="95" s="1"/>
  <c r="EG13" i="95" s="1"/>
  <c r="EG19" i="95" s="1"/>
  <c r="EO8" i="95"/>
  <c r="EO11" i="95" s="1"/>
  <c r="EO13" i="95" s="1"/>
  <c r="EO19" i="95" s="1"/>
  <c r="CR8" i="94"/>
  <c r="CZ8" i="94"/>
  <c r="CZ11" i="94" s="1"/>
  <c r="P8" i="94"/>
  <c r="X8" i="94"/>
  <c r="X11" i="94" s="1"/>
  <c r="X13" i="94" s="1"/>
  <c r="X19" i="94" s="1"/>
  <c r="AF8" i="94"/>
  <c r="AN8" i="94"/>
  <c r="AV8" i="94"/>
  <c r="BD8" i="94"/>
  <c r="BL8" i="94"/>
  <c r="BT8" i="94"/>
  <c r="CB8" i="94"/>
  <c r="CJ8" i="94"/>
  <c r="CX8" i="92"/>
  <c r="CX11" i="92" s="1"/>
  <c r="CX13" i="92" s="1"/>
  <c r="CX19" i="92" s="1"/>
  <c r="EM92" i="22" s="1"/>
  <c r="DF8" i="92"/>
  <c r="DF11" i="92" s="1"/>
  <c r="DF13" i="92" s="1"/>
  <c r="DF19" i="92" s="1"/>
  <c r="EU92" i="22" s="1"/>
  <c r="DN8" i="92"/>
  <c r="DN11" i="92" s="1"/>
  <c r="DN13" i="92" s="1"/>
  <c r="DN19" i="92" s="1"/>
  <c r="FC92" i="22" s="1"/>
  <c r="DV8" i="92"/>
  <c r="DV11" i="92" s="1"/>
  <c r="DV13" i="92" s="1"/>
  <c r="DV19" i="92" s="1"/>
  <c r="ED8" i="92"/>
  <c r="ED11" i="92" s="1"/>
  <c r="ED13" i="92" s="1"/>
  <c r="ED19" i="92" s="1"/>
  <c r="EL8" i="92"/>
  <c r="EL11" i="92" s="1"/>
  <c r="EL13" i="92" s="1"/>
  <c r="EL19" i="92" s="1"/>
  <c r="ET8" i="92"/>
  <c r="ET11" i="92" s="1"/>
  <c r="ET13" i="92" s="1"/>
  <c r="ET19" i="92" s="1"/>
  <c r="FB8" i="92"/>
  <c r="FB11" i="92" s="1"/>
  <c r="FB13" i="92" s="1"/>
  <c r="FB19" i="92" s="1"/>
  <c r="CT8" i="91"/>
  <c r="CT11" i="91" s="1"/>
  <c r="CT13" i="91" s="1"/>
  <c r="CT19" i="91" s="1"/>
  <c r="DB8" i="91"/>
  <c r="DB11" i="91" s="1"/>
  <c r="DB13" i="91" s="1"/>
  <c r="DB19" i="91" s="1"/>
  <c r="DJ8" i="91"/>
  <c r="DJ11" i="91" s="1"/>
  <c r="DJ13" i="91" s="1"/>
  <c r="DJ19" i="91" s="1"/>
  <c r="DR8" i="91"/>
  <c r="DR11" i="91" s="1"/>
  <c r="DR13" i="91" s="1"/>
  <c r="DR19" i="91" s="1"/>
  <c r="DZ8" i="91"/>
  <c r="DZ11" i="91" s="1"/>
  <c r="DZ13" i="91" s="1"/>
  <c r="DZ19" i="91" s="1"/>
  <c r="EH8" i="91"/>
  <c r="EH11" i="91" s="1"/>
  <c r="EH13" i="91" s="1"/>
  <c r="EH19" i="91" s="1"/>
  <c r="EP8" i="91"/>
  <c r="EP11" i="91" s="1"/>
  <c r="EP13" i="91" s="1"/>
  <c r="EP19" i="91" s="1"/>
  <c r="CU9" i="91"/>
  <c r="CU12" i="91" s="1"/>
  <c r="CU14" i="91" s="1"/>
  <c r="CU20" i="91" s="1"/>
  <c r="EJ95" i="22" s="1"/>
  <c r="DC9" i="91"/>
  <c r="DC12" i="91" s="1"/>
  <c r="DC14" i="91" s="1"/>
  <c r="DC20" i="91" s="1"/>
  <c r="ER95" i="22" s="1"/>
  <c r="DK9" i="91"/>
  <c r="DK12" i="91" s="1"/>
  <c r="DK14" i="91" s="1"/>
  <c r="DK20" i="91" s="1"/>
  <c r="EZ95" i="22" s="1"/>
  <c r="DS9" i="91"/>
  <c r="DS12" i="91" s="1"/>
  <c r="DS14" i="91" s="1"/>
  <c r="DS20" i="91" s="1"/>
  <c r="FH95" i="22" s="1"/>
  <c r="EA9" i="91"/>
  <c r="EA12" i="91" s="1"/>
  <c r="EA14" i="91" s="1"/>
  <c r="EA20" i="91" s="1"/>
  <c r="EI9" i="91"/>
  <c r="EI12" i="91" s="1"/>
  <c r="EI14" i="91" s="1"/>
  <c r="EI20" i="91" s="1"/>
  <c r="EQ9" i="91"/>
  <c r="EQ12" i="91" s="1"/>
  <c r="EQ14" i="91" s="1"/>
  <c r="EQ20" i="91" s="1"/>
  <c r="CW8" i="90"/>
  <c r="CW10" i="90" s="1"/>
  <c r="CW11" i="90" s="1"/>
  <c r="CW16" i="90" s="1"/>
  <c r="EL91" i="22" s="1"/>
  <c r="DE8" i="90"/>
  <c r="DE10" i="90" s="1"/>
  <c r="DE11" i="90" s="1"/>
  <c r="DE16" i="90" s="1"/>
  <c r="ET91" i="22" s="1"/>
  <c r="DM8" i="90"/>
  <c r="DM10" i="90" s="1"/>
  <c r="DM11" i="90" s="1"/>
  <c r="DM16" i="90" s="1"/>
  <c r="FB91" i="22" s="1"/>
  <c r="DU8" i="90"/>
  <c r="DU10" i="90" s="1"/>
  <c r="DU11" i="90" s="1"/>
  <c r="DU16" i="90" s="1"/>
  <c r="EC8" i="90"/>
  <c r="EC10" i="90" s="1"/>
  <c r="EC11" i="90" s="1"/>
  <c r="EC16" i="90" s="1"/>
  <c r="CT8" i="90"/>
  <c r="CT10" i="90" s="1"/>
  <c r="CT11" i="90" s="1"/>
  <c r="CU8" i="89"/>
  <c r="CU10" i="89" s="1"/>
  <c r="CU11" i="89" s="1"/>
  <c r="CU16" i="89" s="1"/>
  <c r="CU9" i="116" s="1"/>
  <c r="CU14" i="116" s="1"/>
  <c r="DC8" i="89"/>
  <c r="DC10" i="89" s="1"/>
  <c r="DC11" i="89" s="1"/>
  <c r="DC16" i="89" s="1"/>
  <c r="DK8" i="89"/>
  <c r="DK10" i="89" s="1"/>
  <c r="DK11" i="89" s="1"/>
  <c r="DK16" i="89" s="1"/>
  <c r="DS8" i="89"/>
  <c r="DS10" i="89" s="1"/>
  <c r="DS11" i="89" s="1"/>
  <c r="DS16" i="89" s="1"/>
  <c r="EA8" i="89"/>
  <c r="EA10" i="89" s="1"/>
  <c r="EA11" i="89" s="1"/>
  <c r="EA16" i="89" s="1"/>
  <c r="EA9" i="116" s="1"/>
  <c r="EA14" i="116" s="1"/>
  <c r="EI8" i="89"/>
  <c r="EI10" i="89" s="1"/>
  <c r="EI11" i="89" s="1"/>
  <c r="EI16" i="89" s="1"/>
  <c r="EI9" i="116" s="1"/>
  <c r="EI14" i="116" s="1"/>
  <c r="EQ8" i="89"/>
  <c r="EQ10" i="89" s="1"/>
  <c r="EQ11" i="89" s="1"/>
  <c r="EQ16" i="89" s="1"/>
  <c r="EQ9" i="116" s="1"/>
  <c r="EQ14" i="116" s="1"/>
  <c r="EY8" i="89"/>
  <c r="EY10" i="89" s="1"/>
  <c r="EY11" i="89" s="1"/>
  <c r="EY16" i="89" s="1"/>
  <c r="EY9" i="116" s="1"/>
  <c r="EY14" i="116" s="1"/>
  <c r="DB8" i="95"/>
  <c r="DB11" i="95" s="1"/>
  <c r="DB13" i="95" s="1"/>
  <c r="DB19" i="95" s="1"/>
  <c r="EQ98" i="22" s="1"/>
  <c r="DJ8" i="95"/>
  <c r="DJ11" i="95" s="1"/>
  <c r="DJ13" i="95" s="1"/>
  <c r="DJ19" i="95" s="1"/>
  <c r="EY98" i="22" s="1"/>
  <c r="DR8" i="95"/>
  <c r="DR11" i="95" s="1"/>
  <c r="DR13" i="95" s="1"/>
  <c r="DR19" i="95" s="1"/>
  <c r="FG98" i="22" s="1"/>
  <c r="CD98" i="22" s="1"/>
  <c r="DZ8" i="95"/>
  <c r="DZ11" i="95" s="1"/>
  <c r="DZ13" i="95" s="1"/>
  <c r="DZ19" i="95" s="1"/>
  <c r="EH8" i="95"/>
  <c r="EH11" i="95" s="1"/>
  <c r="EH13" i="95" s="1"/>
  <c r="EH19" i="95" s="1"/>
  <c r="EP8" i="95"/>
  <c r="EP11" i="95" s="1"/>
  <c r="EP13" i="95" s="1"/>
  <c r="EP19" i="95" s="1"/>
  <c r="CR8" i="95"/>
  <c r="CR11" i="95" s="1"/>
  <c r="CR13" i="95" s="1"/>
  <c r="CS8" i="94"/>
  <c r="CS11" i="94" s="1"/>
  <c r="DA8" i="94"/>
  <c r="DA11" i="94" s="1"/>
  <c r="Q8" i="94"/>
  <c r="Y8" i="94"/>
  <c r="AG8" i="94"/>
  <c r="AO8" i="94"/>
  <c r="AW8" i="94"/>
  <c r="BE8" i="94"/>
  <c r="BM8" i="94"/>
  <c r="BU8" i="94"/>
  <c r="CC8" i="94"/>
  <c r="CK8" i="94"/>
  <c r="CY8" i="92"/>
  <c r="CY11" i="92" s="1"/>
  <c r="CY13" i="92" s="1"/>
  <c r="CY19" i="92" s="1"/>
  <c r="EN92" i="22" s="1"/>
  <c r="DG8" i="92"/>
  <c r="DG11" i="92" s="1"/>
  <c r="DG13" i="92" s="1"/>
  <c r="DG19" i="92" s="1"/>
  <c r="EV92" i="22" s="1"/>
  <c r="DO8" i="92"/>
  <c r="DO11" i="92" s="1"/>
  <c r="DO13" i="92" s="1"/>
  <c r="DO19" i="92" s="1"/>
  <c r="FD92" i="22" s="1"/>
  <c r="DW8" i="92"/>
  <c r="DW11" i="92" s="1"/>
  <c r="DW13" i="92" s="1"/>
  <c r="DW19" i="92" s="1"/>
  <c r="EE8" i="92"/>
  <c r="EE11" i="92" s="1"/>
  <c r="EE13" i="92" s="1"/>
  <c r="EE19" i="92" s="1"/>
  <c r="EM8" i="92"/>
  <c r="EM11" i="92" s="1"/>
  <c r="EM13" i="92" s="1"/>
  <c r="EM19" i="92" s="1"/>
  <c r="EU8" i="92"/>
  <c r="EU11" i="92" s="1"/>
  <c r="EU13" i="92" s="1"/>
  <c r="EU19" i="92" s="1"/>
  <c r="FC8" i="92"/>
  <c r="FC11" i="92" s="1"/>
  <c r="FC13" i="92" s="1"/>
  <c r="FC19" i="92" s="1"/>
  <c r="CU8" i="91"/>
  <c r="CU11" i="91" s="1"/>
  <c r="CU13" i="91" s="1"/>
  <c r="CU19" i="91" s="1"/>
  <c r="DC8" i="91"/>
  <c r="DC11" i="91" s="1"/>
  <c r="DC13" i="91" s="1"/>
  <c r="DC19" i="91" s="1"/>
  <c r="DK8" i="91"/>
  <c r="DK11" i="91" s="1"/>
  <c r="DK13" i="91" s="1"/>
  <c r="DK19" i="91" s="1"/>
  <c r="DS8" i="91"/>
  <c r="DS11" i="91" s="1"/>
  <c r="DS13" i="91" s="1"/>
  <c r="DS19" i="91" s="1"/>
  <c r="EA8" i="91"/>
  <c r="EA11" i="91" s="1"/>
  <c r="EA13" i="91" s="1"/>
  <c r="EA19" i="91" s="1"/>
  <c r="EI8" i="91"/>
  <c r="EI11" i="91" s="1"/>
  <c r="EI13" i="91" s="1"/>
  <c r="EI19" i="91" s="1"/>
  <c r="EQ8" i="91"/>
  <c r="EQ11" i="91" s="1"/>
  <c r="EQ13" i="91" s="1"/>
  <c r="EQ19" i="91" s="1"/>
  <c r="CV9" i="91"/>
  <c r="CV12" i="91" s="1"/>
  <c r="CV14" i="91" s="1"/>
  <c r="CV20" i="91" s="1"/>
  <c r="EK95" i="22" s="1"/>
  <c r="DD9" i="91"/>
  <c r="DD12" i="91" s="1"/>
  <c r="DD14" i="91" s="1"/>
  <c r="DD20" i="91" s="1"/>
  <c r="ES95" i="22" s="1"/>
  <c r="DL9" i="91"/>
  <c r="DL12" i="91" s="1"/>
  <c r="DL14" i="91" s="1"/>
  <c r="DL20" i="91" s="1"/>
  <c r="FA95" i="22" s="1"/>
  <c r="DT9" i="91"/>
  <c r="DT12" i="91" s="1"/>
  <c r="DT14" i="91" s="1"/>
  <c r="DT20" i="91" s="1"/>
  <c r="EB9" i="91"/>
  <c r="EB12" i="91" s="1"/>
  <c r="EB14" i="91" s="1"/>
  <c r="EB20" i="91" s="1"/>
  <c r="EJ9" i="91"/>
  <c r="EJ12" i="91" s="1"/>
  <c r="EJ14" i="91" s="1"/>
  <c r="EJ20" i="91" s="1"/>
  <c r="ER9" i="91"/>
  <c r="ER12" i="91" s="1"/>
  <c r="ER14" i="91" s="1"/>
  <c r="ER20" i="91" s="1"/>
  <c r="CX8" i="90"/>
  <c r="CX10" i="90" s="1"/>
  <c r="CX11" i="90" s="1"/>
  <c r="CX16" i="90" s="1"/>
  <c r="EM91" i="22" s="1"/>
  <c r="DF8" i="90"/>
  <c r="DF10" i="90" s="1"/>
  <c r="DF11" i="90" s="1"/>
  <c r="DF16" i="90" s="1"/>
  <c r="EU91" i="22" s="1"/>
  <c r="DN8" i="90"/>
  <c r="DN10" i="90" s="1"/>
  <c r="DN11" i="90" s="1"/>
  <c r="DN16" i="90" s="1"/>
  <c r="FC91" i="22" s="1"/>
  <c r="DV8" i="90"/>
  <c r="DV10" i="90" s="1"/>
  <c r="DV11" i="90" s="1"/>
  <c r="DV16" i="90" s="1"/>
  <c r="ED8" i="90"/>
  <c r="ED10" i="90" s="1"/>
  <c r="ED11" i="90" s="1"/>
  <c r="ED16" i="90" s="1"/>
  <c r="CV8" i="89"/>
  <c r="CV10" i="89" s="1"/>
  <c r="CV11" i="89" s="1"/>
  <c r="CV16" i="89" s="1"/>
  <c r="CV9" i="116" s="1"/>
  <c r="CV14" i="116" s="1"/>
  <c r="DD8" i="89"/>
  <c r="DD10" i="89" s="1"/>
  <c r="DD11" i="89" s="1"/>
  <c r="DD16" i="89" s="1"/>
  <c r="DL8" i="89"/>
  <c r="DL10" i="89" s="1"/>
  <c r="DL11" i="89" s="1"/>
  <c r="DL16" i="89" s="1"/>
  <c r="DT8" i="89"/>
  <c r="DT10" i="89" s="1"/>
  <c r="DT11" i="89" s="1"/>
  <c r="DT16" i="89" s="1"/>
  <c r="DT9" i="116" s="1"/>
  <c r="DT14" i="116" s="1"/>
  <c r="EB8" i="89"/>
  <c r="EB10" i="89" s="1"/>
  <c r="EB11" i="89" s="1"/>
  <c r="EB16" i="89" s="1"/>
  <c r="EB9" i="116" s="1"/>
  <c r="EB14" i="116" s="1"/>
  <c r="EJ8" i="89"/>
  <c r="EJ10" i="89" s="1"/>
  <c r="EJ11" i="89" s="1"/>
  <c r="EJ16" i="89" s="1"/>
  <c r="EJ9" i="116" s="1"/>
  <c r="EJ14" i="116" s="1"/>
  <c r="ER8" i="89"/>
  <c r="ER10" i="89" s="1"/>
  <c r="ER11" i="89" s="1"/>
  <c r="ER16" i="89" s="1"/>
  <c r="ER9" i="116" s="1"/>
  <c r="ER14" i="116" s="1"/>
  <c r="EZ8" i="89"/>
  <c r="EZ10" i="89" s="1"/>
  <c r="EZ11" i="89" s="1"/>
  <c r="EZ16" i="89" s="1"/>
  <c r="EZ9" i="116" s="1"/>
  <c r="EZ14" i="116" s="1"/>
  <c r="FH8" i="89"/>
  <c r="FH10" i="89" s="1"/>
  <c r="FH11" i="89" s="1"/>
  <c r="FH16" i="89" s="1"/>
  <c r="FH9" i="116" s="1"/>
  <c r="FH14" i="116" s="1"/>
  <c r="DC8" i="95"/>
  <c r="DC11" i="95" s="1"/>
  <c r="DC13" i="95" s="1"/>
  <c r="DC19" i="95" s="1"/>
  <c r="ER98" i="22" s="1"/>
  <c r="DK8" i="95"/>
  <c r="DK11" i="95" s="1"/>
  <c r="DK13" i="95" s="1"/>
  <c r="DK19" i="95" s="1"/>
  <c r="EZ98" i="22" s="1"/>
  <c r="DS8" i="95"/>
  <c r="DS11" i="95" s="1"/>
  <c r="DS13" i="95" s="1"/>
  <c r="DS19" i="95" s="1"/>
  <c r="FH98" i="22" s="1"/>
  <c r="EA8" i="95"/>
  <c r="EA11" i="95" s="1"/>
  <c r="EA13" i="95" s="1"/>
  <c r="EA19" i="95" s="1"/>
  <c r="EI8" i="95"/>
  <c r="EI11" i="95" s="1"/>
  <c r="EI13" i="95" s="1"/>
  <c r="EI19" i="95" s="1"/>
  <c r="EQ8" i="95"/>
  <c r="EQ11" i="95" s="1"/>
  <c r="EQ13" i="95" s="1"/>
  <c r="EQ19" i="95" s="1"/>
  <c r="CL8" i="94"/>
  <c r="CT8" i="94"/>
  <c r="CT11" i="94" s="1"/>
  <c r="J8" i="94"/>
  <c r="R8" i="94"/>
  <c r="Z8" i="94"/>
  <c r="AH8" i="94"/>
  <c r="AP8" i="94"/>
  <c r="AX8" i="94"/>
  <c r="BF8" i="94"/>
  <c r="BN8" i="94"/>
  <c r="BV8" i="94"/>
  <c r="CD8" i="94"/>
  <c r="CZ8" i="92"/>
  <c r="CZ11" i="92" s="1"/>
  <c r="CZ13" i="92" s="1"/>
  <c r="CZ19" i="92" s="1"/>
  <c r="EO92" i="22" s="1"/>
  <c r="DH8" i="92"/>
  <c r="DH11" i="92" s="1"/>
  <c r="DH13" i="92" s="1"/>
  <c r="DH19" i="92" s="1"/>
  <c r="EW92" i="22" s="1"/>
  <c r="DP8" i="92"/>
  <c r="DP11" i="92" s="1"/>
  <c r="DP13" i="92" s="1"/>
  <c r="DP19" i="92" s="1"/>
  <c r="FE92" i="22" s="1"/>
  <c r="DX8" i="92"/>
  <c r="DX11" i="92" s="1"/>
  <c r="DX13" i="92" s="1"/>
  <c r="DX19" i="92" s="1"/>
  <c r="EF8" i="92"/>
  <c r="EF11" i="92" s="1"/>
  <c r="EF13" i="92" s="1"/>
  <c r="EF19" i="92" s="1"/>
  <c r="EN8" i="92"/>
  <c r="EN11" i="92" s="1"/>
  <c r="EN13" i="92" s="1"/>
  <c r="EN19" i="92" s="1"/>
  <c r="EV8" i="92"/>
  <c r="EV11" i="92" s="1"/>
  <c r="EV13" i="92" s="1"/>
  <c r="EV19" i="92" s="1"/>
  <c r="CR8" i="92"/>
  <c r="CR11" i="92" s="1"/>
  <c r="CR13" i="92" s="1"/>
  <c r="CR19" i="92" s="1"/>
  <c r="CV8" i="91"/>
  <c r="CV11" i="91" s="1"/>
  <c r="CV13" i="91" s="1"/>
  <c r="CV19" i="91" s="1"/>
  <c r="DD8" i="91"/>
  <c r="DD11" i="91" s="1"/>
  <c r="DD13" i="91" s="1"/>
  <c r="DD19" i="91" s="1"/>
  <c r="DL8" i="91"/>
  <c r="DL11" i="91" s="1"/>
  <c r="DL13" i="91" s="1"/>
  <c r="DL19" i="91" s="1"/>
  <c r="DT8" i="91"/>
  <c r="DT11" i="91" s="1"/>
  <c r="DT13" i="91" s="1"/>
  <c r="DT19" i="91" s="1"/>
  <c r="EB8" i="91"/>
  <c r="EB11" i="91" s="1"/>
  <c r="EB13" i="91" s="1"/>
  <c r="EB19" i="91" s="1"/>
  <c r="EJ8" i="91"/>
  <c r="EJ11" i="91" s="1"/>
  <c r="EJ13" i="91" s="1"/>
  <c r="EJ19" i="91" s="1"/>
  <c r="ER8" i="91"/>
  <c r="ER11" i="91" s="1"/>
  <c r="ER13" i="91" s="1"/>
  <c r="ER19" i="91" s="1"/>
  <c r="CW9" i="91"/>
  <c r="CW12" i="91" s="1"/>
  <c r="CW14" i="91" s="1"/>
  <c r="CW20" i="91" s="1"/>
  <c r="EL95" i="22" s="1"/>
  <c r="DE9" i="91"/>
  <c r="DE12" i="91" s="1"/>
  <c r="DE14" i="91" s="1"/>
  <c r="DE20" i="91" s="1"/>
  <c r="ET95" i="22" s="1"/>
  <c r="DM9" i="91"/>
  <c r="DM12" i="91" s="1"/>
  <c r="DM14" i="91" s="1"/>
  <c r="DM20" i="91" s="1"/>
  <c r="FB95" i="22" s="1"/>
  <c r="DU9" i="91"/>
  <c r="DU12" i="91" s="1"/>
  <c r="DU14" i="91" s="1"/>
  <c r="DU20" i="91" s="1"/>
  <c r="EC9" i="91"/>
  <c r="EC12" i="91" s="1"/>
  <c r="EC14" i="91" s="1"/>
  <c r="EC20" i="91" s="1"/>
  <c r="EK9" i="91"/>
  <c r="EK12" i="91" s="1"/>
  <c r="EK14" i="91" s="1"/>
  <c r="EK20" i="91" s="1"/>
  <c r="ES9" i="91"/>
  <c r="ES12" i="91" s="1"/>
  <c r="ES14" i="91" s="1"/>
  <c r="ES20" i="91" s="1"/>
  <c r="CY8" i="90"/>
  <c r="CY10" i="90" s="1"/>
  <c r="CY11" i="90" s="1"/>
  <c r="CY16" i="90" s="1"/>
  <c r="EN91" i="22" s="1"/>
  <c r="DG8" i="90"/>
  <c r="DG10" i="90" s="1"/>
  <c r="DG11" i="90" s="1"/>
  <c r="DG16" i="90" s="1"/>
  <c r="EV91" i="22" s="1"/>
  <c r="DO8" i="90"/>
  <c r="DO10" i="90" s="1"/>
  <c r="DO11" i="90" s="1"/>
  <c r="DO16" i="90" s="1"/>
  <c r="FD91" i="22" s="1"/>
  <c r="DW8" i="90"/>
  <c r="DW10" i="90" s="1"/>
  <c r="DW11" i="90" s="1"/>
  <c r="DW16" i="90" s="1"/>
  <c r="EE8" i="90"/>
  <c r="EE10" i="90" s="1"/>
  <c r="EE11" i="90" s="1"/>
  <c r="EE16" i="90" s="1"/>
  <c r="CW8" i="89"/>
  <c r="CW10" i="89" s="1"/>
  <c r="CW11" i="89" s="1"/>
  <c r="CW16" i="89" s="1"/>
  <c r="DE8" i="89"/>
  <c r="DE10" i="89" s="1"/>
  <c r="DE11" i="89" s="1"/>
  <c r="DE16" i="89" s="1"/>
  <c r="DM8" i="89"/>
  <c r="DM10" i="89" s="1"/>
  <c r="DM11" i="89" s="1"/>
  <c r="DM16" i="89" s="1"/>
  <c r="DU8" i="89"/>
  <c r="DU10" i="89" s="1"/>
  <c r="DU11" i="89" s="1"/>
  <c r="DU16" i="89" s="1"/>
  <c r="DU9" i="116" s="1"/>
  <c r="DU14" i="116" s="1"/>
  <c r="EC8" i="89"/>
  <c r="EC10" i="89" s="1"/>
  <c r="EC11" i="89" s="1"/>
  <c r="EC16" i="89" s="1"/>
  <c r="EC9" i="116" s="1"/>
  <c r="EC14" i="116" s="1"/>
  <c r="EK8" i="89"/>
  <c r="EK10" i="89" s="1"/>
  <c r="EK11" i="89" s="1"/>
  <c r="EK16" i="89" s="1"/>
  <c r="EK9" i="116" s="1"/>
  <c r="EK14" i="116" s="1"/>
  <c r="ES8" i="89"/>
  <c r="ES10" i="89" s="1"/>
  <c r="ES11" i="89" s="1"/>
  <c r="ES16" i="89" s="1"/>
  <c r="ES9" i="116" s="1"/>
  <c r="ES14" i="116" s="1"/>
  <c r="FA8" i="89"/>
  <c r="FA10" i="89" s="1"/>
  <c r="FA11" i="89" s="1"/>
  <c r="FA16" i="89" s="1"/>
  <c r="FA9" i="116" s="1"/>
  <c r="FA14" i="116" s="1"/>
  <c r="FI8" i="89"/>
  <c r="FI10" i="89" s="1"/>
  <c r="FI11" i="89" s="1"/>
  <c r="FI16" i="89" s="1"/>
  <c r="FI9" i="116" s="1"/>
  <c r="FI14" i="116" s="1"/>
  <c r="DD8" i="95"/>
  <c r="DD11" i="95" s="1"/>
  <c r="DD13" i="95" s="1"/>
  <c r="DD19" i="95" s="1"/>
  <c r="ES98" i="22" s="1"/>
  <c r="DL8" i="95"/>
  <c r="DL11" i="95" s="1"/>
  <c r="DL13" i="95" s="1"/>
  <c r="DL19" i="95" s="1"/>
  <c r="FA98" i="22" s="1"/>
  <c r="DT8" i="95"/>
  <c r="DT11" i="95" s="1"/>
  <c r="DT13" i="95" s="1"/>
  <c r="DT19" i="95" s="1"/>
  <c r="EB8" i="95"/>
  <c r="EB11" i="95" s="1"/>
  <c r="EB13" i="95" s="1"/>
  <c r="EB19" i="95" s="1"/>
  <c r="EJ8" i="95"/>
  <c r="EJ11" i="95" s="1"/>
  <c r="EJ13" i="95" s="1"/>
  <c r="EJ19" i="95" s="1"/>
  <c r="ER8" i="95"/>
  <c r="ER11" i="95" s="1"/>
  <c r="ER13" i="95" s="1"/>
  <c r="ER19" i="95" s="1"/>
  <c r="CS8" i="95"/>
  <c r="CS11" i="95" s="1"/>
  <c r="CS13" i="95" s="1"/>
  <c r="CS19" i="95" s="1"/>
  <c r="EH98" i="22" s="1"/>
  <c r="CM8" i="94"/>
  <c r="CU8" i="94"/>
  <c r="CU11" i="94" s="1"/>
  <c r="K8" i="94"/>
  <c r="S8" i="94"/>
  <c r="AA8" i="94"/>
  <c r="AI8" i="94"/>
  <c r="AQ8" i="94"/>
  <c r="AY8" i="94"/>
  <c r="BG8" i="94"/>
  <c r="BO8" i="94"/>
  <c r="BW8" i="94"/>
  <c r="CE8" i="94"/>
  <c r="CW8" i="95"/>
  <c r="CW11" i="95" s="1"/>
  <c r="CW13" i="95" s="1"/>
  <c r="CW19" i="95" s="1"/>
  <c r="EL98" i="22" s="1"/>
  <c r="DE8" i="95"/>
  <c r="DE11" i="95" s="1"/>
  <c r="DE13" i="95" s="1"/>
  <c r="DE19" i="95" s="1"/>
  <c r="ET98" i="22" s="1"/>
  <c r="DM8" i="95"/>
  <c r="DM11" i="95" s="1"/>
  <c r="DM13" i="95" s="1"/>
  <c r="DM19" i="95" s="1"/>
  <c r="FB98" i="22" s="1"/>
  <c r="DU8" i="95"/>
  <c r="DU11" i="95" s="1"/>
  <c r="DU13" i="95" s="1"/>
  <c r="DU19" i="95" s="1"/>
  <c r="EC8" i="95"/>
  <c r="EC11" i="95" s="1"/>
  <c r="EC13" i="95" s="1"/>
  <c r="EC19" i="95" s="1"/>
  <c r="EK8" i="95"/>
  <c r="EK11" i="95" s="1"/>
  <c r="EK13" i="95" s="1"/>
  <c r="EK19" i="95" s="1"/>
  <c r="ES8" i="95"/>
  <c r="ES11" i="95" s="1"/>
  <c r="ES13" i="95" s="1"/>
  <c r="ES19" i="95" s="1"/>
  <c r="CX8" i="95"/>
  <c r="CX11" i="95" s="1"/>
  <c r="CX13" i="95" s="1"/>
  <c r="CX19" i="95" s="1"/>
  <c r="EM98" i="22" s="1"/>
  <c r="DF8" i="95"/>
  <c r="DF11" i="95" s="1"/>
  <c r="DF13" i="95" s="1"/>
  <c r="DF19" i="95" s="1"/>
  <c r="EU98" i="22" s="1"/>
  <c r="DN8" i="95"/>
  <c r="DN11" i="95" s="1"/>
  <c r="DN13" i="95" s="1"/>
  <c r="DN19" i="95" s="1"/>
  <c r="FC98" i="22" s="1"/>
  <c r="DV8" i="95"/>
  <c r="DV11" i="95" s="1"/>
  <c r="DV13" i="95" s="1"/>
  <c r="DV19" i="95" s="1"/>
  <c r="ED8" i="95"/>
  <c r="ED11" i="95" s="1"/>
  <c r="ED13" i="95" s="1"/>
  <c r="ED19" i="95" s="1"/>
  <c r="EL8" i="95"/>
  <c r="EL11" i="95" s="1"/>
  <c r="EL13" i="95" s="1"/>
  <c r="EL19" i="95" s="1"/>
  <c r="CY8" i="95"/>
  <c r="CY11" i="95" s="1"/>
  <c r="CY13" i="95" s="1"/>
  <c r="CY19" i="95" s="1"/>
  <c r="EN98" i="22" s="1"/>
  <c r="DG8" i="95"/>
  <c r="DG11" i="95" s="1"/>
  <c r="DG13" i="95" s="1"/>
  <c r="DG19" i="95" s="1"/>
  <c r="EV98" i="22" s="1"/>
  <c r="DO8" i="95"/>
  <c r="DO11" i="95" s="1"/>
  <c r="DO13" i="95" s="1"/>
  <c r="DO19" i="95" s="1"/>
  <c r="FD98" i="22" s="1"/>
  <c r="DW8" i="95"/>
  <c r="DW11" i="95" s="1"/>
  <c r="DW13" i="95" s="1"/>
  <c r="DW19" i="95" s="1"/>
  <c r="EE8" i="95"/>
  <c r="EE11" i="95" s="1"/>
  <c r="EE13" i="95" s="1"/>
  <c r="EE19" i="95" s="1"/>
  <c r="EM8" i="95"/>
  <c r="EM11" i="95" s="1"/>
  <c r="EM13" i="95" s="1"/>
  <c r="EM19" i="95" s="1"/>
  <c r="CZ8" i="95"/>
  <c r="CZ11" i="95" s="1"/>
  <c r="CZ13" i="95" s="1"/>
  <c r="CZ19" i="95" s="1"/>
  <c r="EO98" i="22" s="1"/>
  <c r="DH8" i="95"/>
  <c r="DH11" i="95" s="1"/>
  <c r="DH13" i="95" s="1"/>
  <c r="DH19" i="95" s="1"/>
  <c r="EW98" i="22" s="1"/>
  <c r="DP8" i="95"/>
  <c r="DP11" i="95" s="1"/>
  <c r="DP13" i="95" s="1"/>
  <c r="DP19" i="95" s="1"/>
  <c r="FE98" i="22" s="1"/>
  <c r="DX8" i="95"/>
  <c r="DX11" i="95" s="1"/>
  <c r="DX13" i="95" s="1"/>
  <c r="DX19" i="95" s="1"/>
  <c r="EF8" i="95"/>
  <c r="EF11" i="95" s="1"/>
  <c r="EF13" i="95" s="1"/>
  <c r="EF19" i="95" s="1"/>
  <c r="EN8" i="95"/>
  <c r="EN11" i="95" s="1"/>
  <c r="EN13" i="95" s="1"/>
  <c r="EN19" i="95" s="1"/>
  <c r="CQ8" i="94"/>
  <c r="CY8" i="94"/>
  <c r="CY11" i="94" s="1"/>
  <c r="O8" i="94"/>
  <c r="W8" i="94"/>
  <c r="AE8" i="94"/>
  <c r="AM8" i="94"/>
  <c r="AU8" i="94"/>
  <c r="BC8" i="94"/>
  <c r="BK8" i="94"/>
  <c r="BS8" i="94"/>
  <c r="BS11" i="94" s="1"/>
  <c r="BS13" i="94" s="1"/>
  <c r="BS19" i="94" s="1"/>
  <c r="DH97" i="22" s="1"/>
  <c r="CA8" i="94"/>
  <c r="CI8" i="94"/>
  <c r="CW8" i="92"/>
  <c r="CW11" i="92" s="1"/>
  <c r="CW13" i="92" s="1"/>
  <c r="CW19" i="92" s="1"/>
  <c r="EL92" i="22" s="1"/>
  <c r="DE8" i="92"/>
  <c r="DE11" i="92" s="1"/>
  <c r="DE13" i="92" s="1"/>
  <c r="DE19" i="92" s="1"/>
  <c r="ET92" i="22" s="1"/>
  <c r="DM8" i="92"/>
  <c r="DM11" i="92" s="1"/>
  <c r="DM13" i="92" s="1"/>
  <c r="DM19" i="92" s="1"/>
  <c r="FB92" i="22" s="1"/>
  <c r="DU8" i="92"/>
  <c r="DU11" i="92" s="1"/>
  <c r="DU13" i="92" s="1"/>
  <c r="DU19" i="92" s="1"/>
  <c r="EC8" i="92"/>
  <c r="EC11" i="92" s="1"/>
  <c r="EC13" i="92" s="1"/>
  <c r="EC19" i="92" s="1"/>
  <c r="EK8" i="92"/>
  <c r="EK11" i="92" s="1"/>
  <c r="EK13" i="92" s="1"/>
  <c r="EK19" i="92" s="1"/>
  <c r="ES8" i="92"/>
  <c r="ES11" i="92" s="1"/>
  <c r="ES13" i="92" s="1"/>
  <c r="ES19" i="92" s="1"/>
  <c r="FA8" i="92"/>
  <c r="FA11" i="92" s="1"/>
  <c r="FA13" i="92" s="1"/>
  <c r="FA19" i="92" s="1"/>
  <c r="CS8" i="91"/>
  <c r="CS11" i="91" s="1"/>
  <c r="CS13" i="91" s="1"/>
  <c r="CS19" i="91" s="1"/>
  <c r="DA8" i="91"/>
  <c r="DA11" i="91" s="1"/>
  <c r="DA13" i="91" s="1"/>
  <c r="DA19" i="91" s="1"/>
  <c r="DI8" i="91"/>
  <c r="DI11" i="91" s="1"/>
  <c r="DI13" i="91" s="1"/>
  <c r="DI19" i="91" s="1"/>
  <c r="DQ8" i="91"/>
  <c r="DQ11" i="91" s="1"/>
  <c r="DQ13" i="91" s="1"/>
  <c r="DQ19" i="91" s="1"/>
  <c r="DY8" i="91"/>
  <c r="DY11" i="91" s="1"/>
  <c r="DY13" i="91" s="1"/>
  <c r="DY19" i="91" s="1"/>
  <c r="EG8" i="91"/>
  <c r="EG11" i="91" s="1"/>
  <c r="EG13" i="91" s="1"/>
  <c r="EG19" i="91" s="1"/>
  <c r="EO8" i="91"/>
  <c r="EO11" i="91" s="1"/>
  <c r="EO13" i="91" s="1"/>
  <c r="EO19" i="91" s="1"/>
  <c r="CT9" i="91"/>
  <c r="CT12" i="91" s="1"/>
  <c r="CT14" i="91" s="1"/>
  <c r="CT20" i="91" s="1"/>
  <c r="EI95" i="22" s="1"/>
  <c r="DB9" i="91"/>
  <c r="DB12" i="91" s="1"/>
  <c r="DB14" i="91" s="1"/>
  <c r="DB20" i="91" s="1"/>
  <c r="EQ95" i="22" s="1"/>
  <c r="DJ9" i="91"/>
  <c r="DJ12" i="91" s="1"/>
  <c r="DJ14" i="91" s="1"/>
  <c r="DJ20" i="91" s="1"/>
  <c r="EY95" i="22" s="1"/>
  <c r="DR9" i="91"/>
  <c r="DR12" i="91" s="1"/>
  <c r="DR14" i="91" s="1"/>
  <c r="DR20" i="91" s="1"/>
  <c r="FG95" i="22" s="1"/>
  <c r="CD95" i="22" s="1"/>
  <c r="DZ9" i="91"/>
  <c r="DZ12" i="91" s="1"/>
  <c r="DZ14" i="91" s="1"/>
  <c r="DZ20" i="91" s="1"/>
  <c r="EH9" i="91"/>
  <c r="EH12" i="91" s="1"/>
  <c r="EH14" i="91" s="1"/>
  <c r="EH20" i="91" s="1"/>
  <c r="EP9" i="91"/>
  <c r="EP12" i="91" s="1"/>
  <c r="EP14" i="91" s="1"/>
  <c r="EP20" i="91" s="1"/>
  <c r="CV8" i="90"/>
  <c r="CV10" i="90" s="1"/>
  <c r="CV11" i="90" s="1"/>
  <c r="CV16" i="90" s="1"/>
  <c r="DD8" i="90"/>
  <c r="DD10" i="90" s="1"/>
  <c r="DD11" i="90" s="1"/>
  <c r="DD16" i="90" s="1"/>
  <c r="ES91" i="22" s="1"/>
  <c r="DL8" i="90"/>
  <c r="DL10" i="90" s="1"/>
  <c r="DL11" i="90" s="1"/>
  <c r="DL16" i="90" s="1"/>
  <c r="FA91" i="22" s="1"/>
  <c r="DT8" i="90"/>
  <c r="DT10" i="90" s="1"/>
  <c r="DT11" i="90" s="1"/>
  <c r="DT16" i="90" s="1"/>
  <c r="EB8" i="90"/>
  <c r="EB10" i="90" s="1"/>
  <c r="EB11" i="90" s="1"/>
  <c r="EB16" i="90" s="1"/>
  <c r="EJ8" i="90"/>
  <c r="EJ10" i="90" s="1"/>
  <c r="EJ11" i="90" s="1"/>
  <c r="EJ16" i="90" s="1"/>
  <c r="CT8" i="89"/>
  <c r="CT10" i="89" s="1"/>
  <c r="CT11" i="89" s="1"/>
  <c r="CT16" i="89" s="1"/>
  <c r="CT9" i="116" s="1"/>
  <c r="CT14" i="116" s="1"/>
  <c r="DB8" i="89"/>
  <c r="DB10" i="89" s="1"/>
  <c r="DB11" i="89" s="1"/>
  <c r="DB16" i="89" s="1"/>
  <c r="DJ8" i="89"/>
  <c r="DJ10" i="89" s="1"/>
  <c r="DJ11" i="89" s="1"/>
  <c r="DJ16" i="89" s="1"/>
  <c r="DR8" i="89"/>
  <c r="DR10" i="89" s="1"/>
  <c r="DR11" i="89" s="1"/>
  <c r="DR16" i="89" s="1"/>
  <c r="DZ8" i="89"/>
  <c r="DZ10" i="89" s="1"/>
  <c r="DZ11" i="89" s="1"/>
  <c r="DZ16" i="89" s="1"/>
  <c r="DZ9" i="116" s="1"/>
  <c r="DZ14" i="116" s="1"/>
  <c r="EH8" i="89"/>
  <c r="EH10" i="89" s="1"/>
  <c r="EH11" i="89" s="1"/>
  <c r="EH16" i="89" s="1"/>
  <c r="EH9" i="116" s="1"/>
  <c r="EH14" i="116" s="1"/>
  <c r="EP8" i="89"/>
  <c r="EP10" i="89" s="1"/>
  <c r="EP11" i="89" s="1"/>
  <c r="EP16" i="89" s="1"/>
  <c r="EP9" i="116" s="1"/>
  <c r="EP14" i="116" s="1"/>
  <c r="EX8" i="89"/>
  <c r="EX10" i="89" s="1"/>
  <c r="EX11" i="89" s="1"/>
  <c r="EX16" i="89" s="1"/>
  <c r="EX9" i="116" s="1"/>
  <c r="EX14" i="116" s="1"/>
  <c r="FF8" i="89"/>
  <c r="FF10" i="89" s="1"/>
  <c r="FF11" i="89" s="1"/>
  <c r="FF16" i="89" s="1"/>
  <c r="FF9" i="116" s="1"/>
  <c r="FF14" i="116" s="1"/>
  <c r="CT8" i="95"/>
  <c r="CT11" i="95" s="1"/>
  <c r="CT13" i="95" s="1"/>
  <c r="CT19" i="95" s="1"/>
  <c r="EI98" i="22" s="1"/>
  <c r="CX8" i="94"/>
  <c r="CX11" i="94" s="1"/>
  <c r="AC8" i="94"/>
  <c r="AZ8" i="94"/>
  <c r="BR8" i="94"/>
  <c r="CT8" i="92"/>
  <c r="CT11" i="92" s="1"/>
  <c r="CT13" i="92" s="1"/>
  <c r="CT19" i="92" s="1"/>
  <c r="DJ8" i="92"/>
  <c r="DJ11" i="92" s="1"/>
  <c r="DJ13" i="92" s="1"/>
  <c r="DJ19" i="92" s="1"/>
  <c r="EY92" i="22" s="1"/>
  <c r="DZ8" i="92"/>
  <c r="DZ11" i="92" s="1"/>
  <c r="DZ13" i="92" s="1"/>
  <c r="DZ19" i="92" s="1"/>
  <c r="EP8" i="92"/>
  <c r="EP11" i="92" s="1"/>
  <c r="EP13" i="92" s="1"/>
  <c r="EP19" i="92" s="1"/>
  <c r="DF8" i="91"/>
  <c r="DF11" i="91" s="1"/>
  <c r="DF13" i="91" s="1"/>
  <c r="DF19" i="91" s="1"/>
  <c r="DV8" i="91"/>
  <c r="DV11" i="91" s="1"/>
  <c r="DV13" i="91" s="1"/>
  <c r="DV19" i="91" s="1"/>
  <c r="EL8" i="91"/>
  <c r="EL11" i="91" s="1"/>
  <c r="EL13" i="91" s="1"/>
  <c r="EL19" i="91" s="1"/>
  <c r="CY9" i="91"/>
  <c r="CY12" i="91" s="1"/>
  <c r="CY14" i="91" s="1"/>
  <c r="CY20" i="91" s="1"/>
  <c r="EN95" i="22" s="1"/>
  <c r="DO9" i="91"/>
  <c r="DO12" i="91" s="1"/>
  <c r="DO14" i="91" s="1"/>
  <c r="DO20" i="91" s="1"/>
  <c r="FD95" i="22" s="1"/>
  <c r="EE9" i="91"/>
  <c r="EE12" i="91" s="1"/>
  <c r="EE14" i="91" s="1"/>
  <c r="EE20" i="91" s="1"/>
  <c r="EU9" i="91"/>
  <c r="EU12" i="91" s="1"/>
  <c r="EU14" i="91" s="1"/>
  <c r="EU20" i="91" s="1"/>
  <c r="DI8" i="90"/>
  <c r="DI10" i="90" s="1"/>
  <c r="DI11" i="90" s="1"/>
  <c r="DI16" i="90" s="1"/>
  <c r="EX91" i="22" s="1"/>
  <c r="DY8" i="90"/>
  <c r="DY10" i="90" s="1"/>
  <c r="DY11" i="90" s="1"/>
  <c r="DY16" i="90" s="1"/>
  <c r="DA8" i="89"/>
  <c r="DA10" i="89" s="1"/>
  <c r="DA11" i="89" s="1"/>
  <c r="DA16" i="89" s="1"/>
  <c r="DQ8" i="89"/>
  <c r="DQ10" i="89" s="1"/>
  <c r="DQ11" i="89" s="1"/>
  <c r="DQ16" i="89" s="1"/>
  <c r="EG8" i="89"/>
  <c r="EG10" i="89" s="1"/>
  <c r="EG11" i="89" s="1"/>
  <c r="EG16" i="89" s="1"/>
  <c r="EG9" i="116" s="1"/>
  <c r="EG14" i="116" s="1"/>
  <c r="EW8" i="89"/>
  <c r="EW10" i="89" s="1"/>
  <c r="EW11" i="89" s="1"/>
  <c r="EW16" i="89" s="1"/>
  <c r="EW9" i="116" s="1"/>
  <c r="EW14" i="116" s="1"/>
  <c r="CV7" i="88"/>
  <c r="CV10" i="88" s="1"/>
  <c r="CV12" i="88" s="1"/>
  <c r="CV17" i="88" s="1"/>
  <c r="DD7" i="88"/>
  <c r="DD10" i="88" s="1"/>
  <c r="DD12" i="88" s="1"/>
  <c r="DD17" i="88" s="1"/>
  <c r="ES89" i="22" s="1"/>
  <c r="DL7" i="88"/>
  <c r="DL10" i="88" s="1"/>
  <c r="DL12" i="88" s="1"/>
  <c r="DL17" i="88" s="1"/>
  <c r="FA89" i="22" s="1"/>
  <c r="DT7" i="88"/>
  <c r="DT10" i="88" s="1"/>
  <c r="DT12" i="88" s="1"/>
  <c r="DT17" i="88" s="1"/>
  <c r="EB7" i="88"/>
  <c r="EB10" i="88" s="1"/>
  <c r="EB12" i="88" s="1"/>
  <c r="EB17" i="88" s="1"/>
  <c r="EJ7" i="88"/>
  <c r="EJ10" i="88" s="1"/>
  <c r="EJ12" i="88" s="1"/>
  <c r="EJ17" i="88" s="1"/>
  <c r="DD7" i="87"/>
  <c r="DD11" i="87" s="1"/>
  <c r="DD13" i="87" s="1"/>
  <c r="DD18" i="87" s="1"/>
  <c r="ES88" i="22" s="1"/>
  <c r="DL7" i="87"/>
  <c r="DL11" i="87" s="1"/>
  <c r="DL13" i="87" s="1"/>
  <c r="DT7" i="87"/>
  <c r="DT11" i="87" s="1"/>
  <c r="DT13" i="87" s="1"/>
  <c r="DT18" i="87" s="1"/>
  <c r="EB7" i="87"/>
  <c r="EB11" i="87" s="1"/>
  <c r="EB13" i="87" s="1"/>
  <c r="EB18" i="87" s="1"/>
  <c r="EJ7" i="87"/>
  <c r="EJ11" i="87" s="1"/>
  <c r="EJ13" i="87" s="1"/>
  <c r="EJ18" i="87" s="1"/>
  <c r="DR7" i="86"/>
  <c r="DR11" i="86" s="1"/>
  <c r="DZ7" i="86"/>
  <c r="DZ11" i="86" s="1"/>
  <c r="DP8" i="86"/>
  <c r="DP12" i="86" s="1"/>
  <c r="DX8" i="86"/>
  <c r="DX12" i="86" s="1"/>
  <c r="EF8" i="86"/>
  <c r="EF12" i="86" s="1"/>
  <c r="DD7" i="86"/>
  <c r="DD11" i="86" s="1"/>
  <c r="DL7" i="86"/>
  <c r="DL11" i="86" s="1"/>
  <c r="DC8" i="86"/>
  <c r="DC12" i="86" s="1"/>
  <c r="DK8" i="86"/>
  <c r="DK12" i="86" s="1"/>
  <c r="CV7" i="85"/>
  <c r="CV10" i="85" s="1"/>
  <c r="CV12" i="85" s="1"/>
  <c r="CV17" i="85" s="1"/>
  <c r="DD7" i="85"/>
  <c r="DD10" i="85" s="1"/>
  <c r="DD12" i="85" s="1"/>
  <c r="DL7" i="85"/>
  <c r="DL10" i="85" s="1"/>
  <c r="DL12" i="85" s="1"/>
  <c r="DT7" i="85"/>
  <c r="DT10" i="85" s="1"/>
  <c r="DT12" i="85" s="1"/>
  <c r="DT17" i="85" s="1"/>
  <c r="EB7" i="85"/>
  <c r="EB10" i="85" s="1"/>
  <c r="EB12" i="85" s="1"/>
  <c r="EB17" i="85" s="1"/>
  <c r="EJ7" i="85"/>
  <c r="EJ10" i="85" s="1"/>
  <c r="EJ12" i="85" s="1"/>
  <c r="EJ17" i="85" s="1"/>
  <c r="ER7" i="85"/>
  <c r="ER10" i="85" s="1"/>
  <c r="ER12" i="85" s="1"/>
  <c r="ER17" i="85" s="1"/>
  <c r="EZ7" i="85"/>
  <c r="EZ10" i="85" s="1"/>
  <c r="EZ12" i="85" s="1"/>
  <c r="EZ17" i="85" s="1"/>
  <c r="FH7" i="85"/>
  <c r="FH10" i="85" s="1"/>
  <c r="FH12" i="85" s="1"/>
  <c r="FH17" i="85" s="1"/>
  <c r="FP7" i="85"/>
  <c r="FP10" i="85" s="1"/>
  <c r="FP12" i="85" s="1"/>
  <c r="FP17" i="85" s="1"/>
  <c r="CV7" i="82"/>
  <c r="CV10" i="82" s="1"/>
  <c r="CV12" i="82" s="1"/>
  <c r="CV17" i="82" s="1"/>
  <c r="DD7" i="82"/>
  <c r="DD10" i="82" s="1"/>
  <c r="DD12" i="82" s="1"/>
  <c r="DD17" i="82" s="1"/>
  <c r="ES84" i="22" s="1"/>
  <c r="DL7" i="82"/>
  <c r="DL10" i="82" s="1"/>
  <c r="DL12" i="82" s="1"/>
  <c r="DL17" i="82" s="1"/>
  <c r="FA84" i="22" s="1"/>
  <c r="DT7" i="82"/>
  <c r="DT10" i="82" s="1"/>
  <c r="DT12" i="82" s="1"/>
  <c r="DT17" i="82" s="1"/>
  <c r="EB7" i="82"/>
  <c r="EB10" i="82" s="1"/>
  <c r="EB12" i="82" s="1"/>
  <c r="EB17" i="82" s="1"/>
  <c r="EJ7" i="82"/>
  <c r="EJ10" i="82" s="1"/>
  <c r="EJ12" i="82" s="1"/>
  <c r="EJ17" i="82" s="1"/>
  <c r="ER7" i="82"/>
  <c r="ER10" i="82" s="1"/>
  <c r="ER12" i="82" s="1"/>
  <c r="ER17" i="82" s="1"/>
  <c r="CR7" i="82"/>
  <c r="CR10" i="82" s="1"/>
  <c r="CR12" i="82" s="1"/>
  <c r="CR17" i="82" s="1"/>
  <c r="DP7" i="81"/>
  <c r="DP10" i="81" s="1"/>
  <c r="DX7" i="81"/>
  <c r="DX10" i="81" s="1"/>
  <c r="EF7" i="81"/>
  <c r="EF10" i="81" s="1"/>
  <c r="EN7" i="81"/>
  <c r="EN10" i="81" s="1"/>
  <c r="DO8" i="81"/>
  <c r="DO11" i="81" s="1"/>
  <c r="DW8" i="81"/>
  <c r="DW11" i="81" s="1"/>
  <c r="EE8" i="81"/>
  <c r="EE11" i="81" s="1"/>
  <c r="EM8" i="81"/>
  <c r="EM11" i="81" s="1"/>
  <c r="DC7" i="81"/>
  <c r="DC10" i="81" s="1"/>
  <c r="CU8" i="95"/>
  <c r="CU11" i="95" s="1"/>
  <c r="CU13" i="95" s="1"/>
  <c r="CU19" i="95" s="1"/>
  <c r="EJ98" i="22" s="1"/>
  <c r="L8" i="94"/>
  <c r="AD8" i="94"/>
  <c r="BA8" i="94"/>
  <c r="BX8" i="94"/>
  <c r="CU8" i="92"/>
  <c r="CU11" i="92" s="1"/>
  <c r="CU13" i="92" s="1"/>
  <c r="CU19" i="92" s="1"/>
  <c r="DK8" i="92"/>
  <c r="DK11" i="92" s="1"/>
  <c r="DK13" i="92" s="1"/>
  <c r="DK19" i="92" s="1"/>
  <c r="EZ92" i="22" s="1"/>
  <c r="EA8" i="92"/>
  <c r="EA11" i="92" s="1"/>
  <c r="EA13" i="92" s="1"/>
  <c r="EA19" i="92" s="1"/>
  <c r="EQ8" i="92"/>
  <c r="EQ11" i="92" s="1"/>
  <c r="EQ13" i="92" s="1"/>
  <c r="EQ19" i="92" s="1"/>
  <c r="DG8" i="91"/>
  <c r="DG11" i="91" s="1"/>
  <c r="DG13" i="91" s="1"/>
  <c r="DG19" i="91" s="1"/>
  <c r="DW8" i="91"/>
  <c r="DW11" i="91" s="1"/>
  <c r="DW13" i="91" s="1"/>
  <c r="DW19" i="91" s="1"/>
  <c r="EM8" i="91"/>
  <c r="EM11" i="91" s="1"/>
  <c r="EM13" i="91" s="1"/>
  <c r="EM19" i="91" s="1"/>
  <c r="CZ9" i="91"/>
  <c r="CZ12" i="91" s="1"/>
  <c r="CZ14" i="91" s="1"/>
  <c r="CZ20" i="91" s="1"/>
  <c r="EO95" i="22" s="1"/>
  <c r="DP9" i="91"/>
  <c r="DP12" i="91" s="1"/>
  <c r="DP14" i="91" s="1"/>
  <c r="DP20" i="91" s="1"/>
  <c r="FE95" i="22" s="1"/>
  <c r="EF9" i="91"/>
  <c r="EF12" i="91" s="1"/>
  <c r="EF14" i="91" s="1"/>
  <c r="EF20" i="91" s="1"/>
  <c r="CR9" i="91"/>
  <c r="CR12" i="91" s="1"/>
  <c r="CR14" i="91" s="1"/>
  <c r="CR20" i="91" s="1"/>
  <c r="EG95" i="22" s="1"/>
  <c r="DJ8" i="90"/>
  <c r="DJ10" i="90" s="1"/>
  <c r="DJ11" i="90" s="1"/>
  <c r="DJ16" i="90" s="1"/>
  <c r="EY91" i="22" s="1"/>
  <c r="DZ8" i="90"/>
  <c r="DZ10" i="90" s="1"/>
  <c r="DZ11" i="90" s="1"/>
  <c r="DZ16" i="90" s="1"/>
  <c r="DF8" i="89"/>
  <c r="DF10" i="89" s="1"/>
  <c r="DF11" i="89" s="1"/>
  <c r="DF16" i="89" s="1"/>
  <c r="DV8" i="89"/>
  <c r="DV10" i="89" s="1"/>
  <c r="DV11" i="89" s="1"/>
  <c r="DV16" i="89" s="1"/>
  <c r="DV9" i="116" s="1"/>
  <c r="DV14" i="116" s="1"/>
  <c r="EL8" i="89"/>
  <c r="EL10" i="89" s="1"/>
  <c r="EL11" i="89" s="1"/>
  <c r="EL16" i="89" s="1"/>
  <c r="EL9" i="116" s="1"/>
  <c r="EL14" i="116" s="1"/>
  <c r="FB8" i="89"/>
  <c r="FB10" i="89" s="1"/>
  <c r="FB11" i="89" s="1"/>
  <c r="FB16" i="89" s="1"/>
  <c r="FB9" i="116" s="1"/>
  <c r="FB14" i="116" s="1"/>
  <c r="CW7" i="88"/>
  <c r="CW10" i="88" s="1"/>
  <c r="CW12" i="88" s="1"/>
  <c r="CW17" i="88" s="1"/>
  <c r="EL89" i="22" s="1"/>
  <c r="DE7" i="88"/>
  <c r="DE10" i="88" s="1"/>
  <c r="DE12" i="88" s="1"/>
  <c r="DE17" i="88" s="1"/>
  <c r="ET89" i="22" s="1"/>
  <c r="DM7" i="88"/>
  <c r="DM10" i="88" s="1"/>
  <c r="DM12" i="88" s="1"/>
  <c r="DM17" i="88" s="1"/>
  <c r="FB89" i="22" s="1"/>
  <c r="DU7" i="88"/>
  <c r="DU10" i="88" s="1"/>
  <c r="DU12" i="88" s="1"/>
  <c r="DU17" i="88" s="1"/>
  <c r="EC7" i="88"/>
  <c r="EC10" i="88" s="1"/>
  <c r="EC12" i="88" s="1"/>
  <c r="EC17" i="88" s="1"/>
  <c r="EK7" i="88"/>
  <c r="EK10" i="88" s="1"/>
  <c r="EK12" i="88" s="1"/>
  <c r="EK17" i="88" s="1"/>
  <c r="DE7" i="87"/>
  <c r="DE11" i="87" s="1"/>
  <c r="DE13" i="87" s="1"/>
  <c r="DE18" i="87" s="1"/>
  <c r="ET88" i="22" s="1"/>
  <c r="DM7" i="87"/>
  <c r="DM11" i="87" s="1"/>
  <c r="DM13" i="87" s="1"/>
  <c r="DM18" i="87" s="1"/>
  <c r="FB88" i="22" s="1"/>
  <c r="DU7" i="87"/>
  <c r="DU11" i="87" s="1"/>
  <c r="DU13" i="87" s="1"/>
  <c r="DU18" i="87" s="1"/>
  <c r="EC7" i="87"/>
  <c r="EC11" i="87" s="1"/>
  <c r="EC13" i="87" s="1"/>
  <c r="EC18" i="87" s="1"/>
  <c r="CU7" i="87"/>
  <c r="CU11" i="87" s="1"/>
  <c r="CU13" i="87" s="1"/>
  <c r="CU16" i="87" s="1"/>
  <c r="CW7" i="87"/>
  <c r="CW11" i="87" s="1"/>
  <c r="CW13" i="87" s="1"/>
  <c r="CW18" i="87" s="1"/>
  <c r="EL88" i="22" s="1"/>
  <c r="DS7" i="86"/>
  <c r="DS11" i="86" s="1"/>
  <c r="EA7" i="86"/>
  <c r="EA11" i="86" s="1"/>
  <c r="DQ8" i="86"/>
  <c r="DQ12" i="86" s="1"/>
  <c r="DY8" i="86"/>
  <c r="DY12" i="86" s="1"/>
  <c r="DE7" i="86"/>
  <c r="DE11" i="86" s="1"/>
  <c r="DM7" i="86"/>
  <c r="DM11" i="86" s="1"/>
  <c r="DD8" i="86"/>
  <c r="DD12" i="86" s="1"/>
  <c r="DL8" i="86"/>
  <c r="DL12" i="86" s="1"/>
  <c r="CV8" i="95"/>
  <c r="CV11" i="95" s="1"/>
  <c r="CV13" i="95" s="1"/>
  <c r="CV19" i="95" s="1"/>
  <c r="EK98" i="22" s="1"/>
  <c r="M8" i="94"/>
  <c r="AJ8" i="94"/>
  <c r="BB8" i="94"/>
  <c r="BY8" i="94"/>
  <c r="CV8" i="92"/>
  <c r="CV11" i="92" s="1"/>
  <c r="CV13" i="92" s="1"/>
  <c r="CV19" i="92" s="1"/>
  <c r="DL8" i="92"/>
  <c r="DL11" i="92" s="1"/>
  <c r="DL13" i="92" s="1"/>
  <c r="DL19" i="92" s="1"/>
  <c r="FA92" i="22" s="1"/>
  <c r="BX92" i="22" s="1"/>
  <c r="EB8" i="92"/>
  <c r="EB11" i="92" s="1"/>
  <c r="EB13" i="92" s="1"/>
  <c r="EB19" i="92" s="1"/>
  <c r="ER8" i="92"/>
  <c r="ER11" i="92" s="1"/>
  <c r="ER13" i="92" s="1"/>
  <c r="ER19" i="92" s="1"/>
  <c r="DH8" i="91"/>
  <c r="DH11" i="91" s="1"/>
  <c r="DH13" i="91" s="1"/>
  <c r="DH19" i="91" s="1"/>
  <c r="DX8" i="91"/>
  <c r="DX11" i="91" s="1"/>
  <c r="DX13" i="91" s="1"/>
  <c r="DX19" i="91" s="1"/>
  <c r="EN8" i="91"/>
  <c r="EN11" i="91" s="1"/>
  <c r="EN13" i="91" s="1"/>
  <c r="EN19" i="91" s="1"/>
  <c r="DA9" i="91"/>
  <c r="DA12" i="91" s="1"/>
  <c r="DA14" i="91" s="1"/>
  <c r="DA20" i="91" s="1"/>
  <c r="EP95" i="22" s="1"/>
  <c r="BM95" i="22" s="1"/>
  <c r="DQ9" i="91"/>
  <c r="DQ12" i="91" s="1"/>
  <c r="DQ14" i="91" s="1"/>
  <c r="DQ20" i="91" s="1"/>
  <c r="FF95" i="22" s="1"/>
  <c r="EG9" i="91"/>
  <c r="EG12" i="91" s="1"/>
  <c r="EG14" i="91" s="1"/>
  <c r="EG20" i="91" s="1"/>
  <c r="CR8" i="91"/>
  <c r="CR11" i="91" s="1"/>
  <c r="CR13" i="91" s="1"/>
  <c r="CR19" i="91" s="1"/>
  <c r="CU8" i="90"/>
  <c r="CU10" i="90" s="1"/>
  <c r="CU11" i="90" s="1"/>
  <c r="CU16" i="90" s="1"/>
  <c r="DK8" i="90"/>
  <c r="DK10" i="90" s="1"/>
  <c r="DK11" i="90" s="1"/>
  <c r="DK16" i="90" s="1"/>
  <c r="EZ91" i="22" s="1"/>
  <c r="EA8" i="90"/>
  <c r="EA10" i="90" s="1"/>
  <c r="EA11" i="90" s="1"/>
  <c r="EA16" i="90" s="1"/>
  <c r="CQ8" i="89"/>
  <c r="CQ10" i="89" s="1"/>
  <c r="CQ11" i="89" s="1"/>
  <c r="CQ16" i="89" s="1"/>
  <c r="CQ9" i="116" s="1"/>
  <c r="CQ14" i="116" s="1"/>
  <c r="DG8" i="89"/>
  <c r="DG10" i="89" s="1"/>
  <c r="DG11" i="89" s="1"/>
  <c r="DG16" i="89" s="1"/>
  <c r="DW8" i="89"/>
  <c r="DW10" i="89" s="1"/>
  <c r="DW11" i="89" s="1"/>
  <c r="DW16" i="89" s="1"/>
  <c r="DW9" i="116" s="1"/>
  <c r="DW14" i="116" s="1"/>
  <c r="EM8" i="89"/>
  <c r="EM10" i="89" s="1"/>
  <c r="EM11" i="89" s="1"/>
  <c r="EM16" i="89" s="1"/>
  <c r="EM9" i="116" s="1"/>
  <c r="EM14" i="116" s="1"/>
  <c r="FC8" i="89"/>
  <c r="FC10" i="89" s="1"/>
  <c r="FC11" i="89" s="1"/>
  <c r="FC16" i="89" s="1"/>
  <c r="FC9" i="116" s="1"/>
  <c r="FC14" i="116" s="1"/>
  <c r="CX7" i="88"/>
  <c r="CX10" i="88" s="1"/>
  <c r="CX12" i="88" s="1"/>
  <c r="CX17" i="88" s="1"/>
  <c r="EM89" i="22" s="1"/>
  <c r="DF7" i="88"/>
  <c r="DF10" i="88" s="1"/>
  <c r="DF12" i="88" s="1"/>
  <c r="DF17" i="88" s="1"/>
  <c r="EU89" i="22" s="1"/>
  <c r="DN7" i="88"/>
  <c r="DN10" i="88" s="1"/>
  <c r="DN12" i="88" s="1"/>
  <c r="DN17" i="88" s="1"/>
  <c r="FC89" i="22" s="1"/>
  <c r="DV7" i="88"/>
  <c r="DV10" i="88" s="1"/>
  <c r="DV12" i="88" s="1"/>
  <c r="DV17" i="88" s="1"/>
  <c r="ED7" i="88"/>
  <c r="ED10" i="88" s="1"/>
  <c r="ED12" i="88" s="1"/>
  <c r="ED17" i="88" s="1"/>
  <c r="EL7" i="88"/>
  <c r="EL10" i="88" s="1"/>
  <c r="EL12" i="88" s="1"/>
  <c r="EL17" i="88" s="1"/>
  <c r="DF7" i="87"/>
  <c r="DF11" i="87" s="1"/>
  <c r="DF13" i="87" s="1"/>
  <c r="DF18" i="87" s="1"/>
  <c r="EU88" i="22" s="1"/>
  <c r="DN7" i="87"/>
  <c r="DN11" i="87" s="1"/>
  <c r="DN13" i="87" s="1"/>
  <c r="DN18" i="87" s="1"/>
  <c r="FC88" i="22" s="1"/>
  <c r="DV7" i="87"/>
  <c r="DV11" i="87" s="1"/>
  <c r="DV13" i="87" s="1"/>
  <c r="DV18" i="87" s="1"/>
  <c r="ED7" i="87"/>
  <c r="ED11" i="87" s="1"/>
  <c r="ED13" i="87" s="1"/>
  <c r="ED18" i="87" s="1"/>
  <c r="CS7" i="87"/>
  <c r="CS11" i="87" s="1"/>
  <c r="CS13" i="87" s="1"/>
  <c r="CS18" i="87" s="1"/>
  <c r="EH88" i="22" s="1"/>
  <c r="CX7" i="87"/>
  <c r="CX11" i="87" s="1"/>
  <c r="CX13" i="87" s="1"/>
  <c r="DT7" i="86"/>
  <c r="DT11" i="86" s="1"/>
  <c r="EB7" i="86"/>
  <c r="EB11" i="86" s="1"/>
  <c r="DR8" i="86"/>
  <c r="DR12" i="86" s="1"/>
  <c r="DZ8" i="86"/>
  <c r="DZ12" i="86" s="1"/>
  <c r="CX7" i="86"/>
  <c r="CX11" i="86" s="1"/>
  <c r="DF7" i="86"/>
  <c r="DF11" i="86" s="1"/>
  <c r="DN7" i="86"/>
  <c r="DN11" i="86" s="1"/>
  <c r="DE8" i="86"/>
  <c r="DE12" i="86" s="1"/>
  <c r="DM8" i="86"/>
  <c r="DM12" i="86" s="1"/>
  <c r="CX7" i="85"/>
  <c r="CX10" i="85" s="1"/>
  <c r="CX12" i="85" s="1"/>
  <c r="DF7" i="85"/>
  <c r="DF10" i="85" s="1"/>
  <c r="DF12" i="85" s="1"/>
  <c r="DN7" i="85"/>
  <c r="DN10" i="85" s="1"/>
  <c r="DN12" i="85" s="1"/>
  <c r="DV7" i="85"/>
  <c r="DV10" i="85" s="1"/>
  <c r="DV12" i="85" s="1"/>
  <c r="DV17" i="85" s="1"/>
  <c r="ED7" i="85"/>
  <c r="ED10" i="85" s="1"/>
  <c r="ED12" i="85" s="1"/>
  <c r="ED17" i="85" s="1"/>
  <c r="EL7" i="85"/>
  <c r="EL10" i="85" s="1"/>
  <c r="EL12" i="85" s="1"/>
  <c r="EL17" i="85" s="1"/>
  <c r="ET7" i="85"/>
  <c r="ET10" i="85" s="1"/>
  <c r="ET12" i="85" s="1"/>
  <c r="ET17" i="85" s="1"/>
  <c r="FB7" i="85"/>
  <c r="FB10" i="85" s="1"/>
  <c r="FB12" i="85" s="1"/>
  <c r="FB17" i="85" s="1"/>
  <c r="FJ7" i="85"/>
  <c r="FJ10" i="85" s="1"/>
  <c r="FJ12" i="85" s="1"/>
  <c r="FJ17" i="85" s="1"/>
  <c r="CX7" i="82"/>
  <c r="CX10" i="82" s="1"/>
  <c r="CX12" i="82" s="1"/>
  <c r="CX17" i="82" s="1"/>
  <c r="EM84" i="22" s="1"/>
  <c r="DF7" i="82"/>
  <c r="DF10" i="82" s="1"/>
  <c r="DF12" i="82" s="1"/>
  <c r="DF17" i="82" s="1"/>
  <c r="EU84" i="22" s="1"/>
  <c r="DN7" i="82"/>
  <c r="DN10" i="82" s="1"/>
  <c r="DN12" i="82" s="1"/>
  <c r="DN17" i="82" s="1"/>
  <c r="FC84" i="22" s="1"/>
  <c r="DV7" i="82"/>
  <c r="DV10" i="82" s="1"/>
  <c r="DV12" i="82" s="1"/>
  <c r="DV17" i="82" s="1"/>
  <c r="ED7" i="82"/>
  <c r="ED10" i="82" s="1"/>
  <c r="ED12" i="82" s="1"/>
  <c r="ED17" i="82" s="1"/>
  <c r="EL7" i="82"/>
  <c r="EL10" i="82" s="1"/>
  <c r="EL12" i="82" s="1"/>
  <c r="EL17" i="82" s="1"/>
  <c r="ET7" i="82"/>
  <c r="ET10" i="82" s="1"/>
  <c r="ET12" i="82" s="1"/>
  <c r="ET17" i="82" s="1"/>
  <c r="DJ7" i="81"/>
  <c r="DJ10" i="81" s="1"/>
  <c r="DR7" i="81"/>
  <c r="DR10" i="81" s="1"/>
  <c r="DZ7" i="81"/>
  <c r="DZ10" i="81" s="1"/>
  <c r="EH7" i="81"/>
  <c r="EH10" i="81" s="1"/>
  <c r="EP7" i="81"/>
  <c r="EP10" i="81" s="1"/>
  <c r="DQ8" i="81"/>
  <c r="DQ11" i="81" s="1"/>
  <c r="DY8" i="81"/>
  <c r="DY11" i="81" s="1"/>
  <c r="EG8" i="81"/>
  <c r="EG11" i="81" s="1"/>
  <c r="EO8" i="81"/>
  <c r="EO11" i="81" s="1"/>
  <c r="DE7" i="81"/>
  <c r="DE10" i="81" s="1"/>
  <c r="DD8" i="81"/>
  <c r="DD11" i="81" s="1"/>
  <c r="DB7" i="80"/>
  <c r="DB10" i="80" s="1"/>
  <c r="DB12" i="80" s="1"/>
  <c r="DB17" i="80" s="1"/>
  <c r="EQ94" i="22" s="1"/>
  <c r="DJ7" i="80"/>
  <c r="DJ10" i="80" s="1"/>
  <c r="DJ12" i="80" s="1"/>
  <c r="DJ17" i="80" s="1"/>
  <c r="EY94" i="22" s="1"/>
  <c r="DR7" i="80"/>
  <c r="DR10" i="80" s="1"/>
  <c r="DR12" i="80" s="1"/>
  <c r="DR17" i="80" s="1"/>
  <c r="FG94" i="22" s="1"/>
  <c r="DZ7" i="80"/>
  <c r="DZ10" i="80" s="1"/>
  <c r="DZ12" i="80" s="1"/>
  <c r="DZ17" i="80" s="1"/>
  <c r="EH7" i="80"/>
  <c r="EH10" i="80" s="1"/>
  <c r="EH12" i="80" s="1"/>
  <c r="EH17" i="80" s="1"/>
  <c r="EP7" i="80"/>
  <c r="EP10" i="80" s="1"/>
  <c r="EP12" i="80" s="1"/>
  <c r="EP17" i="80" s="1"/>
  <c r="CT7" i="80"/>
  <c r="CT10" i="80" s="1"/>
  <c r="CT12" i="80" s="1"/>
  <c r="CT17" i="80" s="1"/>
  <c r="EI94" i="22" s="1"/>
  <c r="CE7" i="80"/>
  <c r="CE10" i="80" s="1"/>
  <c r="CE12" i="80" s="1"/>
  <c r="CE17" i="80" s="1"/>
  <c r="DT94" i="22" s="1"/>
  <c r="J7" i="80"/>
  <c r="J10" i="80" s="1"/>
  <c r="J12" i="80" s="1"/>
  <c r="J17" i="80" s="1"/>
  <c r="R7" i="80"/>
  <c r="R10" i="80" s="1"/>
  <c r="R12" i="80" s="1"/>
  <c r="R17" i="80" s="1"/>
  <c r="Z7" i="80"/>
  <c r="Z10" i="80" s="1"/>
  <c r="Z12" i="80" s="1"/>
  <c r="Z17" i="80" s="1"/>
  <c r="AH7" i="80"/>
  <c r="AH10" i="80" s="1"/>
  <c r="AH12" i="80" s="1"/>
  <c r="AH17" i="80" s="1"/>
  <c r="CN8" i="94"/>
  <c r="N8" i="94"/>
  <c r="AK8" i="94"/>
  <c r="BH8" i="94"/>
  <c r="BZ8" i="94"/>
  <c r="DA8" i="92"/>
  <c r="DA11" i="92" s="1"/>
  <c r="DA13" i="92" s="1"/>
  <c r="DA19" i="92" s="1"/>
  <c r="EP92" i="22" s="1"/>
  <c r="DQ8" i="92"/>
  <c r="DQ11" i="92" s="1"/>
  <c r="DQ13" i="92" s="1"/>
  <c r="DQ19" i="92" s="1"/>
  <c r="FF92" i="22" s="1"/>
  <c r="EG8" i="92"/>
  <c r="EG11" i="92" s="1"/>
  <c r="EG13" i="92" s="1"/>
  <c r="EG19" i="92" s="1"/>
  <c r="EW8" i="92"/>
  <c r="EW11" i="92" s="1"/>
  <c r="EW13" i="92" s="1"/>
  <c r="EW19" i="92" s="1"/>
  <c r="CW8" i="91"/>
  <c r="CW11" i="91" s="1"/>
  <c r="CW13" i="91" s="1"/>
  <c r="CW19" i="91" s="1"/>
  <c r="DM8" i="91"/>
  <c r="DM11" i="91" s="1"/>
  <c r="DM13" i="91" s="1"/>
  <c r="DM19" i="91" s="1"/>
  <c r="EC8" i="91"/>
  <c r="EC11" i="91" s="1"/>
  <c r="EC13" i="91" s="1"/>
  <c r="EC19" i="91" s="1"/>
  <c r="ES8" i="91"/>
  <c r="ES11" i="91" s="1"/>
  <c r="ES13" i="91" s="1"/>
  <c r="ES19" i="91" s="1"/>
  <c r="DF9" i="91"/>
  <c r="DF12" i="91" s="1"/>
  <c r="DF14" i="91" s="1"/>
  <c r="DF20" i="91" s="1"/>
  <c r="EU95" i="22" s="1"/>
  <c r="DV9" i="91"/>
  <c r="DV12" i="91" s="1"/>
  <c r="DV14" i="91" s="1"/>
  <c r="DV20" i="91" s="1"/>
  <c r="EL9" i="91"/>
  <c r="EL12" i="91" s="1"/>
  <c r="EL14" i="91" s="1"/>
  <c r="EL20" i="91" s="1"/>
  <c r="CZ8" i="90"/>
  <c r="CZ10" i="90" s="1"/>
  <c r="CZ11" i="90" s="1"/>
  <c r="CZ16" i="90" s="1"/>
  <c r="EO91" i="22" s="1"/>
  <c r="DP8" i="90"/>
  <c r="DP10" i="90" s="1"/>
  <c r="DP11" i="90" s="1"/>
  <c r="DP16" i="90" s="1"/>
  <c r="FE91" i="22" s="1"/>
  <c r="EF8" i="90"/>
  <c r="EF10" i="90" s="1"/>
  <c r="EF11" i="90" s="1"/>
  <c r="EF16" i="90" s="1"/>
  <c r="CR8" i="89"/>
  <c r="CR10" i="89" s="1"/>
  <c r="CR11" i="89" s="1"/>
  <c r="CR16" i="89" s="1"/>
  <c r="CR9" i="116" s="1"/>
  <c r="CR14" i="116" s="1"/>
  <c r="DH8" i="89"/>
  <c r="DH10" i="89" s="1"/>
  <c r="DH11" i="89" s="1"/>
  <c r="DH16" i="89" s="1"/>
  <c r="DX8" i="89"/>
  <c r="DX10" i="89" s="1"/>
  <c r="DX11" i="89" s="1"/>
  <c r="DX16" i="89" s="1"/>
  <c r="DX9" i="116" s="1"/>
  <c r="DX14" i="116" s="1"/>
  <c r="EN8" i="89"/>
  <c r="EN10" i="89" s="1"/>
  <c r="EN11" i="89" s="1"/>
  <c r="EN16" i="89" s="1"/>
  <c r="EN9" i="116" s="1"/>
  <c r="EN14" i="116" s="1"/>
  <c r="FD8" i="89"/>
  <c r="FD10" i="89" s="1"/>
  <c r="FD11" i="89" s="1"/>
  <c r="FD16" i="89" s="1"/>
  <c r="FD9" i="116" s="1"/>
  <c r="FD14" i="116" s="1"/>
  <c r="CY7" i="88"/>
  <c r="CY10" i="88" s="1"/>
  <c r="CY12" i="88" s="1"/>
  <c r="CY17" i="88" s="1"/>
  <c r="EN89" i="22" s="1"/>
  <c r="DG7" i="88"/>
  <c r="DG10" i="88" s="1"/>
  <c r="DG12" i="88" s="1"/>
  <c r="DG17" i="88" s="1"/>
  <c r="EV89" i="22" s="1"/>
  <c r="DO7" i="88"/>
  <c r="DO10" i="88" s="1"/>
  <c r="DO12" i="88" s="1"/>
  <c r="DO17" i="88" s="1"/>
  <c r="FD89" i="22" s="1"/>
  <c r="DW7" i="88"/>
  <c r="DW10" i="88" s="1"/>
  <c r="DW12" i="88" s="1"/>
  <c r="DW17" i="88" s="1"/>
  <c r="EE7" i="88"/>
  <c r="EE10" i="88" s="1"/>
  <c r="EE12" i="88" s="1"/>
  <c r="EE17" i="88" s="1"/>
  <c r="EM7" i="88"/>
  <c r="EM10" i="88" s="1"/>
  <c r="EM12" i="88" s="1"/>
  <c r="EM17" i="88" s="1"/>
  <c r="CY7" i="87"/>
  <c r="CY11" i="87" s="1"/>
  <c r="CY13" i="87" s="1"/>
  <c r="CY18" i="87" s="1"/>
  <c r="EN88" i="22" s="1"/>
  <c r="DG7" i="87"/>
  <c r="DG11" i="87" s="1"/>
  <c r="DG13" i="87" s="1"/>
  <c r="DG18" i="87" s="1"/>
  <c r="EV88" i="22" s="1"/>
  <c r="DO7" i="87"/>
  <c r="DO11" i="87" s="1"/>
  <c r="DO13" i="87" s="1"/>
  <c r="DO18" i="87" s="1"/>
  <c r="FD88" i="22" s="1"/>
  <c r="DW7" i="87"/>
  <c r="DW11" i="87" s="1"/>
  <c r="DW13" i="87" s="1"/>
  <c r="DW18" i="87" s="1"/>
  <c r="EE7" i="87"/>
  <c r="EE11" i="87" s="1"/>
  <c r="EE13" i="87" s="1"/>
  <c r="EE18" i="87" s="1"/>
  <c r="CT7" i="87"/>
  <c r="CT11" i="87" s="1"/>
  <c r="CT13" i="87" s="1"/>
  <c r="CT18" i="87" s="1"/>
  <c r="EI88" i="22" s="1"/>
  <c r="DU7" i="86"/>
  <c r="DU11" i="86" s="1"/>
  <c r="EC7" i="86"/>
  <c r="EC11" i="86" s="1"/>
  <c r="DS8" i="86"/>
  <c r="DS12" i="86" s="1"/>
  <c r="EA8" i="86"/>
  <c r="EA12" i="86" s="1"/>
  <c r="CY7" i="86"/>
  <c r="CY11" i="86" s="1"/>
  <c r="DG7" i="86"/>
  <c r="DG11" i="86" s="1"/>
  <c r="CX8" i="86"/>
  <c r="CX12" i="86" s="1"/>
  <c r="DF8" i="86"/>
  <c r="DF12" i="86" s="1"/>
  <c r="DN8" i="86"/>
  <c r="DN12" i="86" s="1"/>
  <c r="CY7" i="85"/>
  <c r="CY10" i="85" s="1"/>
  <c r="CY12" i="85" s="1"/>
  <c r="DG7" i="85"/>
  <c r="DG10" i="85" s="1"/>
  <c r="DG12" i="85" s="1"/>
  <c r="DO7" i="85"/>
  <c r="DO10" i="85" s="1"/>
  <c r="DO12" i="85" s="1"/>
  <c r="DW7" i="85"/>
  <c r="DW10" i="85" s="1"/>
  <c r="DW12" i="85" s="1"/>
  <c r="DW17" i="85" s="1"/>
  <c r="EE7" i="85"/>
  <c r="EE10" i="85" s="1"/>
  <c r="EE12" i="85" s="1"/>
  <c r="EE17" i="85" s="1"/>
  <c r="EM7" i="85"/>
  <c r="EM10" i="85" s="1"/>
  <c r="EM12" i="85" s="1"/>
  <c r="EM17" i="85" s="1"/>
  <c r="EU7" i="85"/>
  <c r="EU10" i="85" s="1"/>
  <c r="EU12" i="85" s="1"/>
  <c r="EU17" i="85" s="1"/>
  <c r="FC7" i="85"/>
  <c r="FC10" i="85" s="1"/>
  <c r="FC12" i="85" s="1"/>
  <c r="FC17" i="85" s="1"/>
  <c r="FK7" i="85"/>
  <c r="FK10" i="85" s="1"/>
  <c r="FK12" i="85" s="1"/>
  <c r="FK17" i="85" s="1"/>
  <c r="CU7" i="85"/>
  <c r="CU10" i="85" s="1"/>
  <c r="CU12" i="85" s="1"/>
  <c r="CU17" i="85" s="1"/>
  <c r="CY7" i="82"/>
  <c r="CY10" i="82" s="1"/>
  <c r="CY12" i="82" s="1"/>
  <c r="CY17" i="82" s="1"/>
  <c r="EN84" i="22" s="1"/>
  <c r="DG7" i="82"/>
  <c r="DG10" i="82" s="1"/>
  <c r="DG12" i="82" s="1"/>
  <c r="DG17" i="82" s="1"/>
  <c r="EV84" i="22" s="1"/>
  <c r="DO7" i="82"/>
  <c r="DO10" i="82" s="1"/>
  <c r="DO12" i="82" s="1"/>
  <c r="DO17" i="82" s="1"/>
  <c r="FD84" i="22" s="1"/>
  <c r="DW7" i="82"/>
  <c r="DW10" i="82" s="1"/>
  <c r="DW12" i="82" s="1"/>
  <c r="DW17" i="82" s="1"/>
  <c r="EE7" i="82"/>
  <c r="EE10" i="82" s="1"/>
  <c r="EE12" i="82" s="1"/>
  <c r="EE17" i="82" s="1"/>
  <c r="EM7" i="82"/>
  <c r="EM10" i="82" s="1"/>
  <c r="EM12" i="82" s="1"/>
  <c r="EM17" i="82" s="1"/>
  <c r="EU7" i="82"/>
  <c r="EU10" i="82" s="1"/>
  <c r="EU12" i="82" s="1"/>
  <c r="EU17" i="82" s="1"/>
  <c r="DK7" i="81"/>
  <c r="DK10" i="81" s="1"/>
  <c r="DS7" i="81"/>
  <c r="DS10" i="81" s="1"/>
  <c r="EA7" i="81"/>
  <c r="EA10" i="81" s="1"/>
  <c r="EI7" i="81"/>
  <c r="EI10" i="81" s="1"/>
  <c r="DJ8" i="81"/>
  <c r="DJ11" i="81" s="1"/>
  <c r="DR8" i="81"/>
  <c r="DR11" i="81" s="1"/>
  <c r="DZ8" i="81"/>
  <c r="DZ11" i="81" s="1"/>
  <c r="EH8" i="81"/>
  <c r="EH11" i="81" s="1"/>
  <c r="EP8" i="81"/>
  <c r="EP11" i="81" s="1"/>
  <c r="DF7" i="81"/>
  <c r="DF10" i="81" s="1"/>
  <c r="DE8" i="81"/>
  <c r="DE11" i="81" s="1"/>
  <c r="DC7" i="80"/>
  <c r="DC10" i="80" s="1"/>
  <c r="DC12" i="80" s="1"/>
  <c r="DC17" i="80" s="1"/>
  <c r="ER94" i="22" s="1"/>
  <c r="DK7" i="80"/>
  <c r="DK10" i="80" s="1"/>
  <c r="DK12" i="80" s="1"/>
  <c r="DK17" i="80" s="1"/>
  <c r="EZ94" i="22" s="1"/>
  <c r="DS7" i="80"/>
  <c r="DS10" i="80" s="1"/>
  <c r="DS12" i="80" s="1"/>
  <c r="DS17" i="80" s="1"/>
  <c r="FH94" i="22" s="1"/>
  <c r="EA7" i="80"/>
  <c r="EA10" i="80" s="1"/>
  <c r="EA12" i="80" s="1"/>
  <c r="EA17" i="80" s="1"/>
  <c r="EI7" i="80"/>
  <c r="EI10" i="80" s="1"/>
  <c r="EI12" i="80" s="1"/>
  <c r="EI17" i="80" s="1"/>
  <c r="CM7" i="80"/>
  <c r="CM10" i="80" s="1"/>
  <c r="CM12" i="80" s="1"/>
  <c r="CM17" i="80" s="1"/>
  <c r="EB94" i="22" s="1"/>
  <c r="CU7" i="80"/>
  <c r="CU10" i="80" s="1"/>
  <c r="CU12" i="80" s="1"/>
  <c r="CU17" i="80" s="1"/>
  <c r="EJ94" i="22" s="1"/>
  <c r="CF7" i="80"/>
  <c r="CF10" i="80" s="1"/>
  <c r="CF12" i="80" s="1"/>
  <c r="CF17" i="80" s="1"/>
  <c r="DU94" i="22" s="1"/>
  <c r="K7" i="80"/>
  <c r="K10" i="80" s="1"/>
  <c r="K12" i="80" s="1"/>
  <c r="K17" i="80" s="1"/>
  <c r="S7" i="80"/>
  <c r="S10" i="80" s="1"/>
  <c r="S12" i="80" s="1"/>
  <c r="S17" i="80" s="1"/>
  <c r="CO8" i="94"/>
  <c r="T8" i="94"/>
  <c r="AL8" i="94"/>
  <c r="BI8" i="94"/>
  <c r="CF8" i="94"/>
  <c r="DB8" i="92"/>
  <c r="DB11" i="92" s="1"/>
  <c r="DB13" i="92" s="1"/>
  <c r="DB19" i="92" s="1"/>
  <c r="EQ92" i="22" s="1"/>
  <c r="DR8" i="92"/>
  <c r="DR11" i="92" s="1"/>
  <c r="DR13" i="92" s="1"/>
  <c r="DR19" i="92" s="1"/>
  <c r="FG92" i="22" s="1"/>
  <c r="EH8" i="92"/>
  <c r="EH11" i="92" s="1"/>
  <c r="EH13" i="92" s="1"/>
  <c r="EH19" i="92" s="1"/>
  <c r="EX8" i="92"/>
  <c r="EX11" i="92" s="1"/>
  <c r="EX13" i="92" s="1"/>
  <c r="EX19" i="92" s="1"/>
  <c r="CX8" i="91"/>
  <c r="CX11" i="91" s="1"/>
  <c r="CX13" i="91" s="1"/>
  <c r="CX19" i="91" s="1"/>
  <c r="DN8" i="91"/>
  <c r="DN11" i="91" s="1"/>
  <c r="DN13" i="91" s="1"/>
  <c r="DN19" i="91" s="1"/>
  <c r="ED8" i="91"/>
  <c r="ED11" i="91" s="1"/>
  <c r="ED13" i="91" s="1"/>
  <c r="ED19" i="91" s="1"/>
  <c r="ET8" i="91"/>
  <c r="ET11" i="91" s="1"/>
  <c r="ET13" i="91" s="1"/>
  <c r="ET19" i="91" s="1"/>
  <c r="DG9" i="91"/>
  <c r="DG12" i="91" s="1"/>
  <c r="DG14" i="91" s="1"/>
  <c r="DG20" i="91" s="1"/>
  <c r="EV95" i="22" s="1"/>
  <c r="DW9" i="91"/>
  <c r="DW12" i="91" s="1"/>
  <c r="DW14" i="91" s="1"/>
  <c r="DW20" i="91" s="1"/>
  <c r="EM9" i="91"/>
  <c r="EM12" i="91" s="1"/>
  <c r="EM14" i="91" s="1"/>
  <c r="EM20" i="91" s="1"/>
  <c r="DA8" i="90"/>
  <c r="DA10" i="90" s="1"/>
  <c r="DA11" i="90" s="1"/>
  <c r="DA16" i="90" s="1"/>
  <c r="EP91" i="22" s="1"/>
  <c r="DQ8" i="90"/>
  <c r="DQ10" i="90" s="1"/>
  <c r="DQ11" i="90" s="1"/>
  <c r="DQ16" i="90" s="1"/>
  <c r="FF91" i="22" s="1"/>
  <c r="EG8" i="90"/>
  <c r="EG10" i="90" s="1"/>
  <c r="EG11" i="90" s="1"/>
  <c r="EG16" i="90" s="1"/>
  <c r="CS8" i="89"/>
  <c r="CS10" i="89" s="1"/>
  <c r="CS11" i="89" s="1"/>
  <c r="CS16" i="89" s="1"/>
  <c r="CS9" i="116" s="1"/>
  <c r="CS14" i="116" s="1"/>
  <c r="DI8" i="89"/>
  <c r="DI10" i="89" s="1"/>
  <c r="DI11" i="89" s="1"/>
  <c r="DI16" i="89" s="1"/>
  <c r="DY8" i="89"/>
  <c r="DY10" i="89" s="1"/>
  <c r="DY11" i="89" s="1"/>
  <c r="DY16" i="89" s="1"/>
  <c r="DY9" i="116" s="1"/>
  <c r="DY14" i="116" s="1"/>
  <c r="EO8" i="89"/>
  <c r="EO10" i="89" s="1"/>
  <c r="EO11" i="89" s="1"/>
  <c r="EO16" i="89" s="1"/>
  <c r="EO9" i="116" s="1"/>
  <c r="EO14" i="116" s="1"/>
  <c r="FE8" i="89"/>
  <c r="FE10" i="89" s="1"/>
  <c r="FE11" i="89" s="1"/>
  <c r="FE16" i="89" s="1"/>
  <c r="FE9" i="116" s="1"/>
  <c r="FE14" i="116" s="1"/>
  <c r="CZ7" i="88"/>
  <c r="CZ10" i="88" s="1"/>
  <c r="CZ12" i="88" s="1"/>
  <c r="CZ17" i="88" s="1"/>
  <c r="EO89" i="22" s="1"/>
  <c r="DH7" i="88"/>
  <c r="DH10" i="88" s="1"/>
  <c r="DH12" i="88" s="1"/>
  <c r="DH17" i="88" s="1"/>
  <c r="EW89" i="22" s="1"/>
  <c r="DP7" i="88"/>
  <c r="DP10" i="88" s="1"/>
  <c r="DP12" i="88" s="1"/>
  <c r="DP17" i="88" s="1"/>
  <c r="FE89" i="22" s="1"/>
  <c r="DX7" i="88"/>
  <c r="DX10" i="88" s="1"/>
  <c r="DX12" i="88" s="1"/>
  <c r="DX17" i="88" s="1"/>
  <c r="EF7" i="88"/>
  <c r="EF10" i="88" s="1"/>
  <c r="EF12" i="88" s="1"/>
  <c r="EF17" i="88" s="1"/>
  <c r="CS7" i="88"/>
  <c r="CS10" i="88" s="1"/>
  <c r="CS12" i="88" s="1"/>
  <c r="CS17" i="88" s="1"/>
  <c r="CZ7" i="87"/>
  <c r="CZ11" i="87" s="1"/>
  <c r="CZ13" i="87" s="1"/>
  <c r="CZ18" i="87" s="1"/>
  <c r="EO88" i="22" s="1"/>
  <c r="DH7" i="87"/>
  <c r="DH11" i="87" s="1"/>
  <c r="DH13" i="87" s="1"/>
  <c r="DP7" i="87"/>
  <c r="DP11" i="87" s="1"/>
  <c r="DP13" i="87" s="1"/>
  <c r="DP18" i="87" s="1"/>
  <c r="FE88" i="22" s="1"/>
  <c r="DX7" i="87"/>
  <c r="DX11" i="87" s="1"/>
  <c r="DX13" i="87" s="1"/>
  <c r="DX18" i="87" s="1"/>
  <c r="EF7" i="87"/>
  <c r="EF11" i="87" s="1"/>
  <c r="EF13" i="87" s="1"/>
  <c r="EF18" i="87" s="1"/>
  <c r="CV7" i="87"/>
  <c r="CV11" i="87" s="1"/>
  <c r="CV13" i="87" s="1"/>
  <c r="CV18" i="87" s="1"/>
  <c r="EK88" i="22" s="1"/>
  <c r="DV7" i="86"/>
  <c r="DV11" i="86" s="1"/>
  <c r="ED7" i="86"/>
  <c r="ED11" i="86" s="1"/>
  <c r="DT8" i="86"/>
  <c r="DT12" i="86" s="1"/>
  <c r="EB8" i="86"/>
  <c r="EB12" i="86" s="1"/>
  <c r="CZ7" i="86"/>
  <c r="CZ11" i="86" s="1"/>
  <c r="DH7" i="86"/>
  <c r="DH11" i="86" s="1"/>
  <c r="CY8" i="86"/>
  <c r="CY12" i="86" s="1"/>
  <c r="DG8" i="86"/>
  <c r="DG12" i="86" s="1"/>
  <c r="CW8" i="86"/>
  <c r="CW12" i="86" s="1"/>
  <c r="CZ7" i="85"/>
  <c r="CZ10" i="85" s="1"/>
  <c r="CZ12" i="85" s="1"/>
  <c r="DH7" i="85"/>
  <c r="DH10" i="85" s="1"/>
  <c r="DH12" i="85" s="1"/>
  <c r="DP7" i="85"/>
  <c r="DP10" i="85" s="1"/>
  <c r="DP12" i="85" s="1"/>
  <c r="DX7" i="85"/>
  <c r="DX10" i="85" s="1"/>
  <c r="DX12" i="85" s="1"/>
  <c r="DX17" i="85" s="1"/>
  <c r="EF7" i="85"/>
  <c r="EF10" i="85" s="1"/>
  <c r="EF12" i="85" s="1"/>
  <c r="EF17" i="85" s="1"/>
  <c r="EN7" i="85"/>
  <c r="EN10" i="85" s="1"/>
  <c r="EN12" i="85" s="1"/>
  <c r="EN17" i="85" s="1"/>
  <c r="EV7" i="85"/>
  <c r="EV10" i="85" s="1"/>
  <c r="EV12" i="85" s="1"/>
  <c r="EV17" i="85" s="1"/>
  <c r="FD7" i="85"/>
  <c r="FD10" i="85" s="1"/>
  <c r="FD12" i="85" s="1"/>
  <c r="FD17" i="85" s="1"/>
  <c r="FL7" i="85"/>
  <c r="FL10" i="85" s="1"/>
  <c r="FL12" i="85" s="1"/>
  <c r="FL17" i="85" s="1"/>
  <c r="CT7" i="85"/>
  <c r="CT10" i="85" s="1"/>
  <c r="CT12" i="85" s="1"/>
  <c r="CT17" i="85" s="1"/>
  <c r="CZ7" i="82"/>
  <c r="CZ10" i="82" s="1"/>
  <c r="CZ12" i="82" s="1"/>
  <c r="CZ17" i="82" s="1"/>
  <c r="EO84" i="22" s="1"/>
  <c r="DH7" i="82"/>
  <c r="DH10" i="82" s="1"/>
  <c r="DH12" i="82" s="1"/>
  <c r="DP7" i="82"/>
  <c r="DP10" i="82" s="1"/>
  <c r="DP12" i="82" s="1"/>
  <c r="DP17" i="82" s="1"/>
  <c r="FE84" i="22" s="1"/>
  <c r="DX7" i="82"/>
  <c r="DX10" i="82" s="1"/>
  <c r="DX12" i="82" s="1"/>
  <c r="DX17" i="82" s="1"/>
  <c r="EF7" i="82"/>
  <c r="EF10" i="82" s="1"/>
  <c r="EF12" i="82" s="1"/>
  <c r="EF17" i="82" s="1"/>
  <c r="EN7" i="82"/>
  <c r="EN10" i="82" s="1"/>
  <c r="EN12" i="82" s="1"/>
  <c r="EN17" i="82" s="1"/>
  <c r="EV7" i="82"/>
  <c r="EV10" i="82" s="1"/>
  <c r="EV12" i="82" s="1"/>
  <c r="EV17" i="82" s="1"/>
  <c r="DL7" i="81"/>
  <c r="DL10" i="81" s="1"/>
  <c r="DT7" i="81"/>
  <c r="DT10" i="81" s="1"/>
  <c r="EB7" i="81"/>
  <c r="EB10" i="81" s="1"/>
  <c r="EJ7" i="81"/>
  <c r="EJ10" i="81" s="1"/>
  <c r="DK8" i="81"/>
  <c r="DK11" i="81" s="1"/>
  <c r="DS8" i="81"/>
  <c r="DS11" i="81" s="1"/>
  <c r="EA8" i="81"/>
  <c r="EA11" i="81" s="1"/>
  <c r="EI8" i="81"/>
  <c r="EI11" i="81" s="1"/>
  <c r="DG7" i="81"/>
  <c r="DG10" i="81" s="1"/>
  <c r="DF8" i="81"/>
  <c r="DF11" i="81" s="1"/>
  <c r="DD7" i="80"/>
  <c r="DD10" i="80" s="1"/>
  <c r="DD12" i="80" s="1"/>
  <c r="DD17" i="80" s="1"/>
  <c r="ES94" i="22" s="1"/>
  <c r="DL7" i="80"/>
  <c r="DL10" i="80" s="1"/>
  <c r="DL12" i="80" s="1"/>
  <c r="DL17" i="80" s="1"/>
  <c r="FA94" i="22" s="1"/>
  <c r="DT7" i="80"/>
  <c r="DT10" i="80" s="1"/>
  <c r="DT12" i="80" s="1"/>
  <c r="DT17" i="80" s="1"/>
  <c r="EB7" i="80"/>
  <c r="EB10" i="80" s="1"/>
  <c r="EB12" i="80" s="1"/>
  <c r="EB17" i="80" s="1"/>
  <c r="EJ7" i="80"/>
  <c r="EJ10" i="80" s="1"/>
  <c r="EJ12" i="80" s="1"/>
  <c r="EJ17" i="80" s="1"/>
  <c r="CN7" i="80"/>
  <c r="CN10" i="80" s="1"/>
  <c r="CN12" i="80" s="1"/>
  <c r="CN17" i="80" s="1"/>
  <c r="EC94" i="22" s="1"/>
  <c r="CV7" i="80"/>
  <c r="CV10" i="80" s="1"/>
  <c r="CV12" i="80" s="1"/>
  <c r="CV17" i="80" s="1"/>
  <c r="EK94" i="22" s="1"/>
  <c r="CV8" i="94"/>
  <c r="CV11" i="94" s="1"/>
  <c r="V8" i="94"/>
  <c r="AS8" i="94"/>
  <c r="BP8" i="94"/>
  <c r="CH8" i="94"/>
  <c r="DD8" i="92"/>
  <c r="DD11" i="92" s="1"/>
  <c r="DD13" i="92" s="1"/>
  <c r="DD19" i="92" s="1"/>
  <c r="ES92" i="22" s="1"/>
  <c r="DT8" i="92"/>
  <c r="DT11" i="92" s="1"/>
  <c r="DT13" i="92" s="1"/>
  <c r="DT19" i="92" s="1"/>
  <c r="EJ8" i="92"/>
  <c r="EJ11" i="92" s="1"/>
  <c r="EJ13" i="92" s="1"/>
  <c r="EJ19" i="92" s="1"/>
  <c r="EZ8" i="92"/>
  <c r="EZ11" i="92" s="1"/>
  <c r="EZ13" i="92" s="1"/>
  <c r="EZ19" i="92" s="1"/>
  <c r="CZ8" i="91"/>
  <c r="CZ11" i="91" s="1"/>
  <c r="CZ13" i="91" s="1"/>
  <c r="CZ19" i="91" s="1"/>
  <c r="DP8" i="91"/>
  <c r="DP11" i="91" s="1"/>
  <c r="DP13" i="91" s="1"/>
  <c r="DP19" i="91" s="1"/>
  <c r="EF8" i="91"/>
  <c r="EF11" i="91" s="1"/>
  <c r="EF13" i="91" s="1"/>
  <c r="EF19" i="91" s="1"/>
  <c r="CS9" i="91"/>
  <c r="CS12" i="91" s="1"/>
  <c r="CS14" i="91" s="1"/>
  <c r="CS20" i="91" s="1"/>
  <c r="EH95" i="22" s="1"/>
  <c r="DI9" i="91"/>
  <c r="DI12" i="91" s="1"/>
  <c r="DI14" i="91" s="1"/>
  <c r="DI20" i="91" s="1"/>
  <c r="EX95" i="22" s="1"/>
  <c r="DY9" i="91"/>
  <c r="DY12" i="91" s="1"/>
  <c r="DY14" i="91" s="1"/>
  <c r="DY20" i="91" s="1"/>
  <c r="EO9" i="91"/>
  <c r="EO12" i="91" s="1"/>
  <c r="EO14" i="91" s="1"/>
  <c r="EO20" i="91" s="1"/>
  <c r="DC8" i="90"/>
  <c r="DC10" i="90" s="1"/>
  <c r="DC11" i="90" s="1"/>
  <c r="DC16" i="90" s="1"/>
  <c r="ER91" i="22" s="1"/>
  <c r="DS8" i="90"/>
  <c r="DS10" i="90" s="1"/>
  <c r="DS11" i="90" s="1"/>
  <c r="DS16" i="90" s="1"/>
  <c r="FH91" i="22" s="1"/>
  <c r="EI8" i="90"/>
  <c r="EI10" i="90" s="1"/>
  <c r="EI11" i="90" s="1"/>
  <c r="EI16" i="90" s="1"/>
  <c r="CY8" i="89"/>
  <c r="CY10" i="89" s="1"/>
  <c r="CY11" i="89" s="1"/>
  <c r="CY16" i="89" s="1"/>
  <c r="DO8" i="89"/>
  <c r="DO10" i="89" s="1"/>
  <c r="DO11" i="89" s="1"/>
  <c r="DO16" i="89" s="1"/>
  <c r="EE8" i="89"/>
  <c r="EE10" i="89" s="1"/>
  <c r="EE11" i="89" s="1"/>
  <c r="EE16" i="89" s="1"/>
  <c r="EE9" i="116" s="1"/>
  <c r="EE14" i="116" s="1"/>
  <c r="EU8" i="89"/>
  <c r="EU10" i="89" s="1"/>
  <c r="EU11" i="89" s="1"/>
  <c r="EU16" i="89" s="1"/>
  <c r="EU9" i="116" s="1"/>
  <c r="EU14" i="116" s="1"/>
  <c r="FJ8" i="89"/>
  <c r="FJ10" i="89" s="1"/>
  <c r="FJ11" i="89" s="1"/>
  <c r="FJ16" i="89" s="1"/>
  <c r="FJ9" i="116" s="1"/>
  <c r="FJ14" i="116" s="1"/>
  <c r="CT7" i="88"/>
  <c r="CT10" i="88" s="1"/>
  <c r="CT12" i="88" s="1"/>
  <c r="CT17" i="88" s="1"/>
  <c r="DB7" i="88"/>
  <c r="DB10" i="88" s="1"/>
  <c r="DB12" i="88" s="1"/>
  <c r="DB17" i="88" s="1"/>
  <c r="EQ89" i="22" s="1"/>
  <c r="DJ7" i="88"/>
  <c r="DJ10" i="88" s="1"/>
  <c r="DJ12" i="88" s="1"/>
  <c r="DJ17" i="88" s="1"/>
  <c r="EY89" i="22" s="1"/>
  <c r="DR7" i="88"/>
  <c r="DR10" i="88" s="1"/>
  <c r="DR12" i="88" s="1"/>
  <c r="DR17" i="88" s="1"/>
  <c r="FG89" i="22" s="1"/>
  <c r="DZ7" i="88"/>
  <c r="DZ10" i="88" s="1"/>
  <c r="DZ12" i="88" s="1"/>
  <c r="DZ17" i="88" s="1"/>
  <c r="EH7" i="88"/>
  <c r="EH10" i="88" s="1"/>
  <c r="EH12" i="88" s="1"/>
  <c r="EH17" i="88" s="1"/>
  <c r="DB7" i="87"/>
  <c r="DB11" i="87" s="1"/>
  <c r="DB13" i="87" s="1"/>
  <c r="DB18" i="87" s="1"/>
  <c r="EQ88" i="22" s="1"/>
  <c r="DJ7" i="87"/>
  <c r="DJ11" i="87" s="1"/>
  <c r="DJ13" i="87" s="1"/>
  <c r="DJ18" i="87" s="1"/>
  <c r="EY88" i="22" s="1"/>
  <c r="DR7" i="87"/>
  <c r="DR11" i="87" s="1"/>
  <c r="DR13" i="87" s="1"/>
  <c r="DR18" i="87" s="1"/>
  <c r="FG88" i="22" s="1"/>
  <c r="CD88" i="22" s="1"/>
  <c r="DZ7" i="87"/>
  <c r="DZ11" i="87" s="1"/>
  <c r="DZ13" i="87" s="1"/>
  <c r="DZ18" i="87" s="1"/>
  <c r="EH7" i="87"/>
  <c r="EH11" i="87" s="1"/>
  <c r="EH13" i="87" s="1"/>
  <c r="EH18" i="87" s="1"/>
  <c r="DP7" i="86"/>
  <c r="DP11" i="86" s="1"/>
  <c r="DX7" i="86"/>
  <c r="DX11" i="86" s="1"/>
  <c r="EF7" i="86"/>
  <c r="EF11" i="86" s="1"/>
  <c r="DV8" i="86"/>
  <c r="DV12" i="86" s="1"/>
  <c r="ED8" i="86"/>
  <c r="ED12" i="86" s="1"/>
  <c r="DB7" i="86"/>
  <c r="DB11" i="86" s="1"/>
  <c r="DJ7" i="86"/>
  <c r="DJ11" i="86" s="1"/>
  <c r="DA8" i="86"/>
  <c r="DA12" i="86" s="1"/>
  <c r="DI8" i="86"/>
  <c r="DI12" i="86" s="1"/>
  <c r="DB7" i="85"/>
  <c r="DB10" i="85" s="1"/>
  <c r="DB12" i="85" s="1"/>
  <c r="DJ7" i="85"/>
  <c r="DJ10" i="85" s="1"/>
  <c r="DJ12" i="85" s="1"/>
  <c r="DR7" i="85"/>
  <c r="DR10" i="85" s="1"/>
  <c r="DR12" i="85" s="1"/>
  <c r="DR17" i="85" s="1"/>
  <c r="FG86" i="22" s="1"/>
  <c r="DZ7" i="85"/>
  <c r="DZ10" i="85" s="1"/>
  <c r="DZ12" i="85" s="1"/>
  <c r="DZ17" i="85" s="1"/>
  <c r="EH7" i="85"/>
  <c r="EH10" i="85" s="1"/>
  <c r="EH12" i="85" s="1"/>
  <c r="EH17" i="85" s="1"/>
  <c r="EP7" i="85"/>
  <c r="EP10" i="85" s="1"/>
  <c r="EP12" i="85" s="1"/>
  <c r="EP17" i="85" s="1"/>
  <c r="EX7" i="85"/>
  <c r="EX10" i="85" s="1"/>
  <c r="EX12" i="85" s="1"/>
  <c r="EX17" i="85" s="1"/>
  <c r="FF7" i="85"/>
  <c r="FF10" i="85" s="1"/>
  <c r="FF12" i="85" s="1"/>
  <c r="FF17" i="85" s="1"/>
  <c r="FN7" i="85"/>
  <c r="FN10" i="85" s="1"/>
  <c r="FN12" i="85" s="1"/>
  <c r="FN17" i="85" s="1"/>
  <c r="CT7" i="82"/>
  <c r="CT10" i="82" s="1"/>
  <c r="CT12" i="82" s="1"/>
  <c r="CT17" i="82" s="1"/>
  <c r="DB7" i="82"/>
  <c r="DB10" i="82" s="1"/>
  <c r="DB12" i="82" s="1"/>
  <c r="DB17" i="82" s="1"/>
  <c r="EQ84" i="22" s="1"/>
  <c r="DJ7" i="82"/>
  <c r="DJ10" i="82" s="1"/>
  <c r="DJ12" i="82" s="1"/>
  <c r="DJ17" i="82" s="1"/>
  <c r="EY84" i="22" s="1"/>
  <c r="DR7" i="82"/>
  <c r="DR10" i="82" s="1"/>
  <c r="DR12" i="82" s="1"/>
  <c r="DR17" i="82" s="1"/>
  <c r="FG84" i="22" s="1"/>
  <c r="CD84" i="22" s="1"/>
  <c r="DZ7" i="82"/>
  <c r="DZ10" i="82" s="1"/>
  <c r="DZ12" i="82" s="1"/>
  <c r="DZ17" i="82" s="1"/>
  <c r="EH7" i="82"/>
  <c r="EH10" i="82" s="1"/>
  <c r="EH12" i="82" s="1"/>
  <c r="EH17" i="82" s="1"/>
  <c r="EP7" i="82"/>
  <c r="EP10" i="82" s="1"/>
  <c r="EP12" i="82" s="1"/>
  <c r="EP17" i="82" s="1"/>
  <c r="DN7" i="81"/>
  <c r="DN10" i="81" s="1"/>
  <c r="DV7" i="81"/>
  <c r="DV10" i="81" s="1"/>
  <c r="ED7" i="81"/>
  <c r="ED10" i="81" s="1"/>
  <c r="EL7" i="81"/>
  <c r="EL10" i="81" s="1"/>
  <c r="DM8" i="81"/>
  <c r="DM11" i="81" s="1"/>
  <c r="DU8" i="81"/>
  <c r="DU11" i="81" s="1"/>
  <c r="EC8" i="81"/>
  <c r="EC11" i="81" s="1"/>
  <c r="EK8" i="81"/>
  <c r="EK11" i="81" s="1"/>
  <c r="DA7" i="81"/>
  <c r="DA10" i="81" s="1"/>
  <c r="CW8" i="94"/>
  <c r="CW11" i="94" s="1"/>
  <c r="AB8" i="94"/>
  <c r="AT8" i="94"/>
  <c r="BQ8" i="94"/>
  <c r="CS8" i="92"/>
  <c r="CS11" i="92" s="1"/>
  <c r="CS13" i="92" s="1"/>
  <c r="CS19" i="92" s="1"/>
  <c r="BJ8" i="94"/>
  <c r="EY8" i="92"/>
  <c r="EY11" i="92" s="1"/>
  <c r="EY13" i="92" s="1"/>
  <c r="EY19" i="92" s="1"/>
  <c r="DU8" i="91"/>
  <c r="DU11" i="91" s="1"/>
  <c r="DU13" i="91" s="1"/>
  <c r="DU19" i="91" s="1"/>
  <c r="ED9" i="91"/>
  <c r="ED12" i="91" s="1"/>
  <c r="ED14" i="91" s="1"/>
  <c r="ED20" i="91" s="1"/>
  <c r="ET8" i="89"/>
  <c r="ET10" i="89" s="1"/>
  <c r="ET11" i="89" s="1"/>
  <c r="ET16" i="89" s="1"/>
  <c r="ET9" i="116" s="1"/>
  <c r="ET14" i="116" s="1"/>
  <c r="DK7" i="88"/>
  <c r="DK10" i="88" s="1"/>
  <c r="DK12" i="88" s="1"/>
  <c r="DK17" i="88" s="1"/>
  <c r="EZ89" i="22" s="1"/>
  <c r="DK7" i="87"/>
  <c r="DK11" i="87" s="1"/>
  <c r="DK13" i="87" s="1"/>
  <c r="DK18" i="87" s="1"/>
  <c r="EZ88" i="22" s="1"/>
  <c r="DY7" i="86"/>
  <c r="DY11" i="86" s="1"/>
  <c r="DA7" i="86"/>
  <c r="DA11" i="86" s="1"/>
  <c r="CW7" i="86"/>
  <c r="CW11" i="86" s="1"/>
  <c r="DK7" i="85"/>
  <c r="DK10" i="85" s="1"/>
  <c r="DK12" i="85" s="1"/>
  <c r="EG7" i="85"/>
  <c r="EG10" i="85" s="1"/>
  <c r="EG12" i="85" s="1"/>
  <c r="EG17" i="85" s="1"/>
  <c r="FA7" i="85"/>
  <c r="FA10" i="85" s="1"/>
  <c r="FA12" i="85" s="1"/>
  <c r="FA17" i="85" s="1"/>
  <c r="CS7" i="82"/>
  <c r="CS10" i="82" s="1"/>
  <c r="CS12" i="82" s="1"/>
  <c r="CS17" i="82" s="1"/>
  <c r="DM7" i="82"/>
  <c r="DM10" i="82" s="1"/>
  <c r="DM12" i="82" s="1"/>
  <c r="EI7" i="82"/>
  <c r="EI10" i="82" s="1"/>
  <c r="EI12" i="82" s="1"/>
  <c r="EI17" i="82" s="1"/>
  <c r="DM7" i="81"/>
  <c r="DM10" i="81" s="1"/>
  <c r="EG7" i="81"/>
  <c r="EG10" i="81" s="1"/>
  <c r="DV8" i="81"/>
  <c r="DV11" i="81" s="1"/>
  <c r="DG8" i="81"/>
  <c r="DG11" i="81" s="1"/>
  <c r="DH7" i="80"/>
  <c r="DH10" i="80" s="1"/>
  <c r="DH12" i="80" s="1"/>
  <c r="DH17" i="80" s="1"/>
  <c r="EW94" i="22" s="1"/>
  <c r="DV7" i="80"/>
  <c r="DV10" i="80" s="1"/>
  <c r="DV12" i="80" s="1"/>
  <c r="DV17" i="80" s="1"/>
  <c r="EG7" i="80"/>
  <c r="EG10" i="80" s="1"/>
  <c r="EG12" i="80" s="1"/>
  <c r="EG17" i="80" s="1"/>
  <c r="CQ7" i="80"/>
  <c r="CQ10" i="80" s="1"/>
  <c r="CQ12" i="80" s="1"/>
  <c r="CQ17" i="80" s="1"/>
  <c r="EF94" i="22" s="1"/>
  <c r="CG7" i="80"/>
  <c r="CG10" i="80" s="1"/>
  <c r="CG12" i="80" s="1"/>
  <c r="CG17" i="80" s="1"/>
  <c r="DV94" i="22" s="1"/>
  <c r="N7" i="80"/>
  <c r="N10" i="80" s="1"/>
  <c r="N12" i="80" s="1"/>
  <c r="N17" i="80" s="1"/>
  <c r="X7" i="80"/>
  <c r="X10" i="80" s="1"/>
  <c r="X12" i="80" s="1"/>
  <c r="X17" i="80" s="1"/>
  <c r="AG7" i="80"/>
  <c r="AG10" i="80" s="1"/>
  <c r="AG12" i="80" s="1"/>
  <c r="AG17" i="80" s="1"/>
  <c r="AP7" i="80"/>
  <c r="AP10" i="80" s="1"/>
  <c r="AP12" i="80" s="1"/>
  <c r="AP17" i="80" s="1"/>
  <c r="AX7" i="80"/>
  <c r="AX10" i="80" s="1"/>
  <c r="AX12" i="80" s="1"/>
  <c r="AX17" i="80" s="1"/>
  <c r="CM94" i="22" s="1"/>
  <c r="BF7" i="80"/>
  <c r="BF10" i="80" s="1"/>
  <c r="BF12" i="80" s="1"/>
  <c r="BF17" i="80" s="1"/>
  <c r="CU94" i="22" s="1"/>
  <c r="BN7" i="80"/>
  <c r="BN10" i="80" s="1"/>
  <c r="BN12" i="80" s="1"/>
  <c r="BN17" i="80" s="1"/>
  <c r="DC94" i="22" s="1"/>
  <c r="BV7" i="80"/>
  <c r="BV10" i="80" s="1"/>
  <c r="BV12" i="80" s="1"/>
  <c r="BV17" i="80" s="1"/>
  <c r="DK94" i="22" s="1"/>
  <c r="CD7" i="80"/>
  <c r="CD10" i="80" s="1"/>
  <c r="CD12" i="80" s="1"/>
  <c r="CD17" i="80" s="1"/>
  <c r="DS94" i="22" s="1"/>
  <c r="DQ7" i="88"/>
  <c r="DQ10" i="88" s="1"/>
  <c r="DQ12" i="88" s="1"/>
  <c r="DQ17" i="88" s="1"/>
  <c r="FF89" i="22" s="1"/>
  <c r="EE7" i="86"/>
  <c r="EE11" i="86" s="1"/>
  <c r="DM7" i="85"/>
  <c r="DM10" i="85" s="1"/>
  <c r="DM12" i="85" s="1"/>
  <c r="CU7" i="82"/>
  <c r="CU10" i="82" s="1"/>
  <c r="CU12" i="82" s="1"/>
  <c r="CU17" i="82" s="1"/>
  <c r="DO7" i="81"/>
  <c r="DO10" i="81" s="1"/>
  <c r="DB7" i="81"/>
  <c r="DB10" i="81" s="1"/>
  <c r="DI7" i="80"/>
  <c r="DI10" i="80" s="1"/>
  <c r="DI12" i="80" s="1"/>
  <c r="DI17" i="80" s="1"/>
  <c r="EX94" i="22" s="1"/>
  <c r="CH7" i="80"/>
  <c r="CH10" i="80" s="1"/>
  <c r="CH12" i="80" s="1"/>
  <c r="CH17" i="80" s="1"/>
  <c r="DW94" i="22" s="1"/>
  <c r="AI7" i="80"/>
  <c r="AI10" i="80" s="1"/>
  <c r="AI12" i="80" s="1"/>
  <c r="AI17" i="80" s="1"/>
  <c r="BG7" i="80"/>
  <c r="BG10" i="80" s="1"/>
  <c r="BG12" i="80" s="1"/>
  <c r="BG17" i="80" s="1"/>
  <c r="CV94" i="22" s="1"/>
  <c r="I7" i="80"/>
  <c r="I10" i="80" s="1"/>
  <c r="I12" i="80" s="1"/>
  <c r="I17" i="80" s="1"/>
  <c r="FO7" i="85"/>
  <c r="FO10" i="85" s="1"/>
  <c r="FO12" i="85" s="1"/>
  <c r="FO17" i="85" s="1"/>
  <c r="EJ8" i="81"/>
  <c r="EJ11" i="81" s="1"/>
  <c r="EO7" i="80"/>
  <c r="EO10" i="80" s="1"/>
  <c r="EO12" i="80" s="1"/>
  <c r="EO17" i="80" s="1"/>
  <c r="BK7" i="80"/>
  <c r="BK10" i="80" s="1"/>
  <c r="BK12" i="80" s="1"/>
  <c r="BK17" i="80" s="1"/>
  <c r="CZ94" i="22" s="1"/>
  <c r="CG8" i="94"/>
  <c r="CG11" i="94" s="1"/>
  <c r="CG13" i="94" s="1"/>
  <c r="CG19" i="94" s="1"/>
  <c r="DV97" i="22" s="1"/>
  <c r="EE8" i="91"/>
  <c r="EE11" i="91" s="1"/>
  <c r="EE13" i="91" s="1"/>
  <c r="EE19" i="91" s="1"/>
  <c r="EN9" i="91"/>
  <c r="EN12" i="91" s="1"/>
  <c r="EN14" i="91" s="1"/>
  <c r="EN20" i="91" s="1"/>
  <c r="EV8" i="89"/>
  <c r="EV10" i="89" s="1"/>
  <c r="EV11" i="89" s="1"/>
  <c r="EV16" i="89" s="1"/>
  <c r="EV9" i="116" s="1"/>
  <c r="EV14" i="116" s="1"/>
  <c r="DC8" i="92"/>
  <c r="DC11" i="92" s="1"/>
  <c r="DC13" i="92" s="1"/>
  <c r="DC19" i="92" s="1"/>
  <c r="ER92" i="22" s="1"/>
  <c r="EK8" i="91"/>
  <c r="EK11" i="91" s="1"/>
  <c r="EK13" i="91" s="1"/>
  <c r="EK19" i="91" s="1"/>
  <c r="ET9" i="91"/>
  <c r="ET12" i="91" s="1"/>
  <c r="ET14" i="91" s="1"/>
  <c r="ET20" i="91" s="1"/>
  <c r="DB8" i="90"/>
  <c r="DB10" i="90" s="1"/>
  <c r="DB11" i="90" s="1"/>
  <c r="DB16" i="90" s="1"/>
  <c r="EQ91" i="22" s="1"/>
  <c r="CX8" i="89"/>
  <c r="CX10" i="89" s="1"/>
  <c r="CX11" i="89" s="1"/>
  <c r="CX16" i="89" s="1"/>
  <c r="FG8" i="89"/>
  <c r="FG10" i="89" s="1"/>
  <c r="FG11" i="89" s="1"/>
  <c r="FG16" i="89" s="1"/>
  <c r="FG9" i="116" s="1"/>
  <c r="FG14" i="116" s="1"/>
  <c r="DS7" i="88"/>
  <c r="DS10" i="88" s="1"/>
  <c r="DS12" i="88" s="1"/>
  <c r="DS17" i="88" s="1"/>
  <c r="FH89" i="22" s="1"/>
  <c r="DS7" i="87"/>
  <c r="DS11" i="87" s="1"/>
  <c r="DS13" i="87" s="1"/>
  <c r="DS18" i="87" s="1"/>
  <c r="FH88" i="22" s="1"/>
  <c r="DO8" i="86"/>
  <c r="DO12" i="86" s="1"/>
  <c r="DI7" i="86"/>
  <c r="DI11" i="86" s="1"/>
  <c r="DQ7" i="85"/>
  <c r="DQ10" i="85" s="1"/>
  <c r="DQ12" i="85" s="1"/>
  <c r="EK7" i="85"/>
  <c r="EK10" i="85" s="1"/>
  <c r="EK12" i="85" s="1"/>
  <c r="EK17" i="85" s="1"/>
  <c r="FG7" i="85"/>
  <c r="FG10" i="85" s="1"/>
  <c r="FG12" i="85" s="1"/>
  <c r="FG17" i="85" s="1"/>
  <c r="CW7" i="82"/>
  <c r="CW10" i="82" s="1"/>
  <c r="CW12" i="82" s="1"/>
  <c r="CW17" i="82" s="1"/>
  <c r="EL84" i="22" s="1"/>
  <c r="DS7" i="82"/>
  <c r="DS10" i="82" s="1"/>
  <c r="DS12" i="82" s="1"/>
  <c r="DS17" i="82" s="1"/>
  <c r="FH84" i="22" s="1"/>
  <c r="EO7" i="82"/>
  <c r="EO10" i="82" s="1"/>
  <c r="EO12" i="82" s="1"/>
  <c r="EO17" i="82" s="1"/>
  <c r="DQ7" i="81"/>
  <c r="DQ10" i="81" s="1"/>
  <c r="EM7" i="81"/>
  <c r="EM10" i="81" s="1"/>
  <c r="EB8" i="81"/>
  <c r="EB11" i="81" s="1"/>
  <c r="DD7" i="81"/>
  <c r="DD10" i="81" s="1"/>
  <c r="DI8" i="81"/>
  <c r="DI11" i="81" s="1"/>
  <c r="DM7" i="80"/>
  <c r="DM10" i="80" s="1"/>
  <c r="DM12" i="80" s="1"/>
  <c r="DM17" i="80" s="1"/>
  <c r="FB94" i="22" s="1"/>
  <c r="DX7" i="80"/>
  <c r="DX10" i="80" s="1"/>
  <c r="DX12" i="80" s="1"/>
  <c r="DX17" i="80" s="1"/>
  <c r="EL7" i="80"/>
  <c r="EL10" i="80" s="1"/>
  <c r="EL12" i="80" s="1"/>
  <c r="EL17" i="80" s="1"/>
  <c r="CS7" i="80"/>
  <c r="CS10" i="80" s="1"/>
  <c r="CS12" i="80" s="1"/>
  <c r="CS17" i="80" s="1"/>
  <c r="EH94" i="22" s="1"/>
  <c r="CI7" i="80"/>
  <c r="CI10" i="80" s="1"/>
  <c r="CI12" i="80" s="1"/>
  <c r="CI17" i="80" s="1"/>
  <c r="DX94" i="22" s="1"/>
  <c r="P7" i="80"/>
  <c r="P10" i="80" s="1"/>
  <c r="P12" i="80" s="1"/>
  <c r="P17" i="80" s="1"/>
  <c r="AA7" i="80"/>
  <c r="AA10" i="80" s="1"/>
  <c r="AA12" i="80" s="1"/>
  <c r="AA17" i="80" s="1"/>
  <c r="AJ7" i="80"/>
  <c r="AJ10" i="80" s="1"/>
  <c r="AJ12" i="80" s="1"/>
  <c r="AJ17" i="80" s="1"/>
  <c r="AR7" i="80"/>
  <c r="AR10" i="80" s="1"/>
  <c r="AR12" i="80" s="1"/>
  <c r="AR17" i="80" s="1"/>
  <c r="AZ7" i="80"/>
  <c r="AZ10" i="80" s="1"/>
  <c r="AZ12" i="80" s="1"/>
  <c r="AZ17" i="80" s="1"/>
  <c r="CO94" i="22" s="1"/>
  <c r="BH7" i="80"/>
  <c r="BH10" i="80" s="1"/>
  <c r="BH12" i="80" s="1"/>
  <c r="BH17" i="80" s="1"/>
  <c r="CW94" i="22" s="1"/>
  <c r="BP7" i="80"/>
  <c r="BP10" i="80" s="1"/>
  <c r="BP12" i="80" s="1"/>
  <c r="BP17" i="80" s="1"/>
  <c r="DE94" i="22" s="1"/>
  <c r="BX7" i="80"/>
  <c r="BX10" i="80" s="1"/>
  <c r="BX12" i="80" s="1"/>
  <c r="BX17" i="80" s="1"/>
  <c r="DM94" i="22" s="1"/>
  <c r="DX8" i="90"/>
  <c r="DX10" i="90" s="1"/>
  <c r="DX11" i="90" s="1"/>
  <c r="DX16" i="90" s="1"/>
  <c r="DA7" i="88"/>
  <c r="DA10" i="88" s="1"/>
  <c r="DA12" i="88" s="1"/>
  <c r="DA17" i="88" s="1"/>
  <c r="EP89" i="22" s="1"/>
  <c r="EG7" i="87"/>
  <c r="EG11" i="87" s="1"/>
  <c r="EG13" i="87" s="1"/>
  <c r="EG18" i="87" s="1"/>
  <c r="DB8" i="86"/>
  <c r="DB12" i="86" s="1"/>
  <c r="ES7" i="85"/>
  <c r="ES10" i="85" s="1"/>
  <c r="ES12" i="85" s="1"/>
  <c r="ES17" i="85" s="1"/>
  <c r="DY7" i="81"/>
  <c r="DY10" i="81" s="1"/>
  <c r="DP7" i="80"/>
  <c r="DP10" i="80" s="1"/>
  <c r="DP12" i="80" s="1"/>
  <c r="DP17" i="80" s="1"/>
  <c r="FE94" i="22" s="1"/>
  <c r="U7" i="80"/>
  <c r="U10" i="80" s="1"/>
  <c r="U12" i="80" s="1"/>
  <c r="U17" i="80" s="1"/>
  <c r="BC7" i="80"/>
  <c r="BC10" i="80" s="1"/>
  <c r="BC12" i="80" s="1"/>
  <c r="BC17" i="80" s="1"/>
  <c r="CR94" i="22" s="1"/>
  <c r="DI8" i="92"/>
  <c r="DI11" i="92" s="1"/>
  <c r="DI13" i="92" s="1"/>
  <c r="DI19" i="92" s="1"/>
  <c r="EX92" i="22" s="1"/>
  <c r="EU8" i="91"/>
  <c r="EU11" i="91" s="1"/>
  <c r="EU13" i="91" s="1"/>
  <c r="EU19" i="91" s="1"/>
  <c r="DH8" i="90"/>
  <c r="DH10" i="90" s="1"/>
  <c r="DH11" i="90" s="1"/>
  <c r="DH16" i="90" s="1"/>
  <c r="EW91" i="22" s="1"/>
  <c r="CZ8" i="89"/>
  <c r="CZ10" i="89" s="1"/>
  <c r="CZ11" i="89" s="1"/>
  <c r="CZ16" i="89" s="1"/>
  <c r="DY7" i="88"/>
  <c r="DY10" i="88" s="1"/>
  <c r="DY12" i="88" s="1"/>
  <c r="DY17" i="88" s="1"/>
  <c r="DY7" i="87"/>
  <c r="DY11" i="87" s="1"/>
  <c r="DY13" i="87" s="1"/>
  <c r="DY18" i="87" s="1"/>
  <c r="DU8" i="86"/>
  <c r="DU12" i="86" s="1"/>
  <c r="DK7" i="86"/>
  <c r="DK11" i="86" s="1"/>
  <c r="CW7" i="85"/>
  <c r="CW10" i="85" s="1"/>
  <c r="CW12" i="85" s="1"/>
  <c r="DS7" i="85"/>
  <c r="DS10" i="85" s="1"/>
  <c r="DS12" i="85" s="1"/>
  <c r="DS17" i="85" s="1"/>
  <c r="FH86" i="22" s="1"/>
  <c r="EO7" i="85"/>
  <c r="EO10" i="85" s="1"/>
  <c r="EO12" i="85" s="1"/>
  <c r="EO17" i="85" s="1"/>
  <c r="FI7" i="85"/>
  <c r="FI10" i="85" s="1"/>
  <c r="FI12" i="85" s="1"/>
  <c r="FI17" i="85" s="1"/>
  <c r="DA7" i="82"/>
  <c r="DA10" i="82" s="1"/>
  <c r="DA12" i="82" s="1"/>
  <c r="DA17" i="82" s="1"/>
  <c r="EP84" i="22" s="1"/>
  <c r="DU7" i="82"/>
  <c r="DU10" i="82" s="1"/>
  <c r="DU12" i="82" s="1"/>
  <c r="DU17" i="82" s="1"/>
  <c r="EQ7" i="82"/>
  <c r="EQ10" i="82" s="1"/>
  <c r="EQ12" i="82" s="1"/>
  <c r="EQ17" i="82" s="1"/>
  <c r="DU7" i="81"/>
  <c r="DU10" i="81" s="1"/>
  <c r="DU12" i="81" s="1"/>
  <c r="DU17" i="81" s="1"/>
  <c r="EO7" i="81"/>
  <c r="EO10" i="81" s="1"/>
  <c r="ED8" i="81"/>
  <c r="ED11" i="81" s="1"/>
  <c r="DH7" i="81"/>
  <c r="DH10" i="81" s="1"/>
  <c r="CZ8" i="81"/>
  <c r="CZ11" i="81" s="1"/>
  <c r="DN7" i="80"/>
  <c r="DN10" i="80" s="1"/>
  <c r="DN12" i="80" s="1"/>
  <c r="DN17" i="80" s="1"/>
  <c r="FC94" i="22" s="1"/>
  <c r="DY7" i="80"/>
  <c r="DY10" i="80" s="1"/>
  <c r="DY12" i="80" s="1"/>
  <c r="DY17" i="80" s="1"/>
  <c r="EM7" i="80"/>
  <c r="EM10" i="80" s="1"/>
  <c r="EM12" i="80" s="1"/>
  <c r="EM17" i="80" s="1"/>
  <c r="CW7" i="80"/>
  <c r="CW10" i="80" s="1"/>
  <c r="CW12" i="80" s="1"/>
  <c r="CW17" i="80" s="1"/>
  <c r="EL94" i="22" s="1"/>
  <c r="CJ7" i="80"/>
  <c r="CJ10" i="80" s="1"/>
  <c r="CJ12" i="80" s="1"/>
  <c r="CJ17" i="80" s="1"/>
  <c r="DY94" i="22" s="1"/>
  <c r="Q7" i="80"/>
  <c r="Q10" i="80" s="1"/>
  <c r="Q12" i="80" s="1"/>
  <c r="Q17" i="80" s="1"/>
  <c r="AB7" i="80"/>
  <c r="AB10" i="80" s="1"/>
  <c r="AB12" i="80" s="1"/>
  <c r="AB17" i="80" s="1"/>
  <c r="AK7" i="80"/>
  <c r="AK10" i="80" s="1"/>
  <c r="AK12" i="80" s="1"/>
  <c r="AK17" i="80" s="1"/>
  <c r="AS7" i="80"/>
  <c r="AS10" i="80" s="1"/>
  <c r="AS12" i="80" s="1"/>
  <c r="AS17" i="80" s="1"/>
  <c r="CH94" i="22" s="1"/>
  <c r="BA7" i="80"/>
  <c r="BA10" i="80" s="1"/>
  <c r="BA12" i="80" s="1"/>
  <c r="BA17" i="80" s="1"/>
  <c r="CP94" i="22" s="1"/>
  <c r="BI7" i="80"/>
  <c r="BI10" i="80" s="1"/>
  <c r="BI12" i="80" s="1"/>
  <c r="BI17" i="80" s="1"/>
  <c r="CX94" i="22" s="1"/>
  <c r="BQ7" i="80"/>
  <c r="BQ10" i="80" s="1"/>
  <c r="BQ12" i="80" s="1"/>
  <c r="BQ17" i="80" s="1"/>
  <c r="DF94" i="22" s="1"/>
  <c r="BY7" i="80"/>
  <c r="BY10" i="80" s="1"/>
  <c r="BY12" i="80" s="1"/>
  <c r="BY17" i="80" s="1"/>
  <c r="DN94" i="22" s="1"/>
  <c r="CZ7" i="81"/>
  <c r="CZ10" i="81" s="1"/>
  <c r="EC7" i="80"/>
  <c r="EC10" i="80" s="1"/>
  <c r="EC12" i="80" s="1"/>
  <c r="EC17" i="80" s="1"/>
  <c r="CK7" i="80"/>
  <c r="CK10" i="80" s="1"/>
  <c r="CK12" i="80" s="1"/>
  <c r="CK17" i="80" s="1"/>
  <c r="DZ94" i="22" s="1"/>
  <c r="AC7" i="80"/>
  <c r="AC10" i="80" s="1"/>
  <c r="AC12" i="80" s="1"/>
  <c r="AC17" i="80" s="1"/>
  <c r="AT7" i="80"/>
  <c r="AT10" i="80" s="1"/>
  <c r="AT12" i="80" s="1"/>
  <c r="AT17" i="80" s="1"/>
  <c r="CI94" i="22" s="1"/>
  <c r="BJ7" i="80"/>
  <c r="BJ10" i="80" s="1"/>
  <c r="BJ12" i="80" s="1"/>
  <c r="BJ17" i="80" s="1"/>
  <c r="CY94" i="22" s="1"/>
  <c r="BZ7" i="80"/>
  <c r="BZ10" i="80" s="1"/>
  <c r="BZ12" i="80" s="1"/>
  <c r="BZ17" i="80" s="1"/>
  <c r="DO94" i="22" s="1"/>
  <c r="DY8" i="92"/>
  <c r="DY11" i="92" s="1"/>
  <c r="DY13" i="92" s="1"/>
  <c r="DY19" i="92" s="1"/>
  <c r="DH9" i="91"/>
  <c r="DH12" i="91" s="1"/>
  <c r="DH14" i="91" s="1"/>
  <c r="DH20" i="91" s="1"/>
  <c r="EW95" i="22" s="1"/>
  <c r="CP8" i="89"/>
  <c r="CP10" i="89" s="1"/>
  <c r="CP11" i="89" s="1"/>
  <c r="EG7" i="88"/>
  <c r="EG10" i="88" s="1"/>
  <c r="EG12" i="88" s="1"/>
  <c r="EG17" i="88" s="1"/>
  <c r="DO7" i="86"/>
  <c r="DO11" i="86" s="1"/>
  <c r="DC7" i="85"/>
  <c r="DC10" i="85" s="1"/>
  <c r="DC12" i="85" s="1"/>
  <c r="DE7" i="82"/>
  <c r="DE10" i="82" s="1"/>
  <c r="DE12" i="82" s="1"/>
  <c r="DE17" i="82" s="1"/>
  <c r="ET84" i="22" s="1"/>
  <c r="DA8" i="81"/>
  <c r="DA11" i="81" s="1"/>
  <c r="CY7" i="80"/>
  <c r="CY10" i="80" s="1"/>
  <c r="CY12" i="80" s="1"/>
  <c r="CY17" i="80" s="1"/>
  <c r="EN94" i="22" s="1"/>
  <c r="AU7" i="80"/>
  <c r="AU10" i="80" s="1"/>
  <c r="AU12" i="80" s="1"/>
  <c r="AU17" i="80" s="1"/>
  <c r="CJ94" i="22" s="1"/>
  <c r="DS8" i="92"/>
  <c r="DS11" i="92" s="1"/>
  <c r="DS13" i="92" s="1"/>
  <c r="DS19" i="92" s="1"/>
  <c r="FH92" i="22" s="1"/>
  <c r="CX9" i="91"/>
  <c r="CX12" i="91" s="1"/>
  <c r="CX14" i="91" s="1"/>
  <c r="CX20" i="91" s="1"/>
  <c r="EM95" i="22" s="1"/>
  <c r="DR8" i="90"/>
  <c r="DR10" i="90" s="1"/>
  <c r="DR11" i="90" s="1"/>
  <c r="DR16" i="90" s="1"/>
  <c r="FG91" i="22" s="1"/>
  <c r="DN8" i="89"/>
  <c r="DN10" i="89" s="1"/>
  <c r="DN11" i="89" s="1"/>
  <c r="DN16" i="89" s="1"/>
  <c r="CU7" i="88"/>
  <c r="CU10" i="88" s="1"/>
  <c r="CU12" i="88" s="1"/>
  <c r="CU17" i="88" s="1"/>
  <c r="EA7" i="88"/>
  <c r="EA10" i="88" s="1"/>
  <c r="EA12" i="88" s="1"/>
  <c r="EA17" i="88" s="1"/>
  <c r="EA7" i="87"/>
  <c r="EA11" i="87" s="1"/>
  <c r="EA13" i="87" s="1"/>
  <c r="EA18" i="87" s="1"/>
  <c r="DW8" i="86"/>
  <c r="DW12" i="86" s="1"/>
  <c r="CZ8" i="86"/>
  <c r="CZ12" i="86" s="1"/>
  <c r="DA7" i="85"/>
  <c r="DA10" i="85" s="1"/>
  <c r="DA12" i="85" s="1"/>
  <c r="DU7" i="85"/>
  <c r="DU10" i="85" s="1"/>
  <c r="DU12" i="85" s="1"/>
  <c r="DU17" i="85" s="1"/>
  <c r="EQ7" i="85"/>
  <c r="EQ10" i="85" s="1"/>
  <c r="EQ12" i="85" s="1"/>
  <c r="EQ17" i="85" s="1"/>
  <c r="FM7" i="85"/>
  <c r="FM10" i="85" s="1"/>
  <c r="FM12" i="85" s="1"/>
  <c r="FM17" i="85" s="1"/>
  <c r="DC7" i="82"/>
  <c r="DC10" i="82" s="1"/>
  <c r="DC12" i="82" s="1"/>
  <c r="DC17" i="82" s="1"/>
  <c r="ER84" i="22" s="1"/>
  <c r="DY7" i="82"/>
  <c r="DY10" i="82" s="1"/>
  <c r="DY12" i="82" s="1"/>
  <c r="DY17" i="82" s="1"/>
  <c r="ES7" i="82"/>
  <c r="ES10" i="82" s="1"/>
  <c r="ES12" i="82" s="1"/>
  <c r="ES17" i="82" s="1"/>
  <c r="DW7" i="81"/>
  <c r="DW10" i="81" s="1"/>
  <c r="DW12" i="81" s="1"/>
  <c r="DW17" i="81" s="1"/>
  <c r="DL8" i="81"/>
  <c r="DL11" i="81" s="1"/>
  <c r="EF8" i="81"/>
  <c r="EF11" i="81" s="1"/>
  <c r="DI7" i="81"/>
  <c r="DI10" i="81" s="1"/>
  <c r="DO7" i="80"/>
  <c r="DO10" i="80" s="1"/>
  <c r="DO12" i="80" s="1"/>
  <c r="DO17" i="80" s="1"/>
  <c r="FD94" i="22" s="1"/>
  <c r="EN7" i="80"/>
  <c r="EN10" i="80" s="1"/>
  <c r="EN12" i="80" s="1"/>
  <c r="EN17" i="80" s="1"/>
  <c r="CX7" i="80"/>
  <c r="CX10" i="80" s="1"/>
  <c r="CX12" i="80" s="1"/>
  <c r="CX17" i="80" s="1"/>
  <c r="EM94" i="22" s="1"/>
  <c r="T7" i="80"/>
  <c r="T10" i="80" s="1"/>
  <c r="T12" i="80" s="1"/>
  <c r="T17" i="80" s="1"/>
  <c r="AL7" i="80"/>
  <c r="AL10" i="80" s="1"/>
  <c r="AL12" i="80" s="1"/>
  <c r="AL17" i="80" s="1"/>
  <c r="BB7" i="80"/>
  <c r="BB10" i="80" s="1"/>
  <c r="BB12" i="80" s="1"/>
  <c r="BB17" i="80" s="1"/>
  <c r="CQ94" i="22" s="1"/>
  <c r="BR7" i="80"/>
  <c r="BR10" i="80" s="1"/>
  <c r="BR12" i="80" s="1"/>
  <c r="BR17" i="80" s="1"/>
  <c r="DG94" i="22" s="1"/>
  <c r="CP8" i="94"/>
  <c r="CY8" i="91"/>
  <c r="CY11" i="91" s="1"/>
  <c r="CY13" i="91" s="1"/>
  <c r="CY19" i="91" s="1"/>
  <c r="DP8" i="89"/>
  <c r="DP10" i="89" s="1"/>
  <c r="DP11" i="89" s="1"/>
  <c r="DP16" i="89" s="1"/>
  <c r="DA7" i="87"/>
  <c r="DA11" i="87" s="1"/>
  <c r="DA13" i="87" s="1"/>
  <c r="DA18" i="87" s="1"/>
  <c r="EP88" i="22" s="1"/>
  <c r="U8" i="94"/>
  <c r="EI8" i="92"/>
  <c r="EI11" i="92" s="1"/>
  <c r="EI13" i="92" s="1"/>
  <c r="EI19" i="92" s="1"/>
  <c r="DE8" i="91"/>
  <c r="DE11" i="91" s="1"/>
  <c r="DE13" i="91" s="1"/>
  <c r="DE19" i="91" s="1"/>
  <c r="DN9" i="91"/>
  <c r="DN12" i="91" s="1"/>
  <c r="DN14" i="91" s="1"/>
  <c r="DN20" i="91" s="1"/>
  <c r="FC95" i="22" s="1"/>
  <c r="EH8" i="90"/>
  <c r="EH10" i="90" s="1"/>
  <c r="EH11" i="90" s="1"/>
  <c r="EH16" i="90" s="1"/>
  <c r="ED8" i="89"/>
  <c r="ED10" i="89" s="1"/>
  <c r="ED11" i="89" s="1"/>
  <c r="ED16" i="89" s="1"/>
  <c r="ED9" i="116" s="1"/>
  <c r="ED14" i="116" s="1"/>
  <c r="DC7" i="88"/>
  <c r="DC10" i="88" s="1"/>
  <c r="DC12" i="88" s="1"/>
  <c r="DC17" i="88" s="1"/>
  <c r="ER89" i="22" s="1"/>
  <c r="EI7" i="88"/>
  <c r="EI10" i="88" s="1"/>
  <c r="EI12" i="88" s="1"/>
  <c r="EI17" i="88" s="1"/>
  <c r="DC7" i="87"/>
  <c r="DC11" i="87" s="1"/>
  <c r="DC13" i="87" s="1"/>
  <c r="DC18" i="87" s="1"/>
  <c r="ER88" i="22" s="1"/>
  <c r="EI7" i="87"/>
  <c r="EI11" i="87" s="1"/>
  <c r="EI13" i="87" s="1"/>
  <c r="EI18" i="87" s="1"/>
  <c r="DQ7" i="86"/>
  <c r="DQ11" i="86" s="1"/>
  <c r="EE8" i="86"/>
  <c r="EE12" i="86" s="1"/>
  <c r="DH8" i="86"/>
  <c r="DH12" i="86" s="1"/>
  <c r="DE7" i="85"/>
  <c r="DE10" i="85" s="1"/>
  <c r="DE12" i="85" s="1"/>
  <c r="EA7" i="85"/>
  <c r="EA10" i="85" s="1"/>
  <c r="EA12" i="85" s="1"/>
  <c r="EA17" i="85" s="1"/>
  <c r="EW7" i="85"/>
  <c r="EW10" i="85" s="1"/>
  <c r="EW12" i="85" s="1"/>
  <c r="EW17" i="85" s="1"/>
  <c r="FQ7" i="85"/>
  <c r="FQ10" i="85" s="1"/>
  <c r="FQ12" i="85" s="1"/>
  <c r="FQ17" i="85" s="1"/>
  <c r="DI7" i="82"/>
  <c r="DI10" i="82" s="1"/>
  <c r="DI12" i="82" s="1"/>
  <c r="DI17" i="82" s="1"/>
  <c r="EX84" i="22" s="1"/>
  <c r="EC7" i="82"/>
  <c r="EC10" i="82" s="1"/>
  <c r="EC12" i="82" s="1"/>
  <c r="EC17" i="82" s="1"/>
  <c r="EC7" i="81"/>
  <c r="EC10" i="81" s="1"/>
  <c r="DP8" i="81"/>
  <c r="DP11" i="81" s="1"/>
  <c r="EL8" i="81"/>
  <c r="EL11" i="81" s="1"/>
  <c r="DB8" i="81"/>
  <c r="DB11" i="81" s="1"/>
  <c r="DF7" i="80"/>
  <c r="DF10" i="80" s="1"/>
  <c r="DF12" i="80" s="1"/>
  <c r="DF17" i="80" s="1"/>
  <c r="EU94" i="22" s="1"/>
  <c r="DQ7" i="80"/>
  <c r="DQ10" i="80" s="1"/>
  <c r="DQ12" i="80" s="1"/>
  <c r="DQ17" i="80" s="1"/>
  <c r="FF94" i="22" s="1"/>
  <c r="EE7" i="80"/>
  <c r="EE10" i="80" s="1"/>
  <c r="EE12" i="80" s="1"/>
  <c r="EE17" i="80" s="1"/>
  <c r="CO7" i="80"/>
  <c r="CO10" i="80" s="1"/>
  <c r="CO12" i="80" s="1"/>
  <c r="CO17" i="80" s="1"/>
  <c r="ED94" i="22" s="1"/>
  <c r="CZ7" i="80"/>
  <c r="CZ10" i="80" s="1"/>
  <c r="CZ12" i="80" s="1"/>
  <c r="CZ17" i="80" s="1"/>
  <c r="EO94" i="22" s="1"/>
  <c r="L7" i="80"/>
  <c r="L10" i="80" s="1"/>
  <c r="L12" i="80" s="1"/>
  <c r="L17" i="80" s="1"/>
  <c r="V7" i="80"/>
  <c r="V10" i="80" s="1"/>
  <c r="V12" i="80" s="1"/>
  <c r="V17" i="80" s="1"/>
  <c r="AE7" i="80"/>
  <c r="AE10" i="80" s="1"/>
  <c r="AE12" i="80" s="1"/>
  <c r="AE17" i="80" s="1"/>
  <c r="AN7" i="80"/>
  <c r="AN10" i="80" s="1"/>
  <c r="AN12" i="80" s="1"/>
  <c r="AN17" i="80" s="1"/>
  <c r="AV7" i="80"/>
  <c r="AV10" i="80" s="1"/>
  <c r="AV12" i="80" s="1"/>
  <c r="AV17" i="80" s="1"/>
  <c r="CK94" i="22" s="1"/>
  <c r="BD7" i="80"/>
  <c r="BD10" i="80" s="1"/>
  <c r="BD12" i="80" s="1"/>
  <c r="BD17" i="80" s="1"/>
  <c r="CS94" i="22" s="1"/>
  <c r="BL7" i="80"/>
  <c r="BL10" i="80" s="1"/>
  <c r="BL12" i="80" s="1"/>
  <c r="BL17" i="80" s="1"/>
  <c r="DA94" i="22" s="1"/>
  <c r="BT7" i="80"/>
  <c r="BT10" i="80" s="1"/>
  <c r="BT12" i="80" s="1"/>
  <c r="BT17" i="80" s="1"/>
  <c r="DI94" i="22" s="1"/>
  <c r="CB7" i="80"/>
  <c r="CB10" i="80" s="1"/>
  <c r="CB12" i="80" s="1"/>
  <c r="CB17" i="80" s="1"/>
  <c r="DQ94" i="22" s="1"/>
  <c r="FE7" i="85"/>
  <c r="FE10" i="85" s="1"/>
  <c r="FE12" i="85" s="1"/>
  <c r="FE17" i="85" s="1"/>
  <c r="EK7" i="82"/>
  <c r="EK10" i="82" s="1"/>
  <c r="EK12" i="82" s="1"/>
  <c r="EK17" i="82" s="1"/>
  <c r="DX8" i="81"/>
  <c r="DX11" i="81" s="1"/>
  <c r="DH8" i="81"/>
  <c r="DH11" i="81" s="1"/>
  <c r="DW7" i="80"/>
  <c r="DW10" i="80" s="1"/>
  <c r="DW12" i="80" s="1"/>
  <c r="DW17" i="80" s="1"/>
  <c r="CR7" i="80"/>
  <c r="CR10" i="80" s="1"/>
  <c r="CR12" i="80" s="1"/>
  <c r="CR17" i="80" s="1"/>
  <c r="EG94" i="22" s="1"/>
  <c r="O7" i="80"/>
  <c r="O10" i="80" s="1"/>
  <c r="O12" i="80" s="1"/>
  <c r="O17" i="80" s="1"/>
  <c r="AQ7" i="80"/>
  <c r="AQ10" i="80" s="1"/>
  <c r="AQ12" i="80" s="1"/>
  <c r="AQ17" i="80" s="1"/>
  <c r="BO7" i="80"/>
  <c r="BO10" i="80" s="1"/>
  <c r="BO12" i="80" s="1"/>
  <c r="BO17" i="80" s="1"/>
  <c r="DD94" i="22" s="1"/>
  <c r="EC8" i="86"/>
  <c r="EC12" i="86" s="1"/>
  <c r="DN8" i="81"/>
  <c r="DN11" i="81" s="1"/>
  <c r="ED7" i="80"/>
  <c r="ED10" i="80" s="1"/>
  <c r="ED12" i="80" s="1"/>
  <c r="ED17" i="80" s="1"/>
  <c r="AD7" i="80"/>
  <c r="AD10" i="80" s="1"/>
  <c r="AD12" i="80" s="1"/>
  <c r="AD17" i="80" s="1"/>
  <c r="BS7" i="80"/>
  <c r="BS10" i="80" s="1"/>
  <c r="BS12" i="80" s="1"/>
  <c r="BS17" i="80" s="1"/>
  <c r="DH94" i="22" s="1"/>
  <c r="AR8" i="94"/>
  <c r="EO8" i="92"/>
  <c r="EO11" i="92" s="1"/>
  <c r="EO13" i="92" s="1"/>
  <c r="EO19" i="92" s="1"/>
  <c r="DO8" i="91"/>
  <c r="DO11" i="91" s="1"/>
  <c r="DO13" i="91" s="1"/>
  <c r="DO19" i="91" s="1"/>
  <c r="DX9" i="91"/>
  <c r="DX12" i="91" s="1"/>
  <c r="DX14" i="91" s="1"/>
  <c r="DX20" i="91" s="1"/>
  <c r="EF8" i="89"/>
  <c r="EF10" i="89" s="1"/>
  <c r="EF11" i="89" s="1"/>
  <c r="EF16" i="89" s="1"/>
  <c r="EF9" i="116" s="1"/>
  <c r="EF14" i="116" s="1"/>
  <c r="DI7" i="88"/>
  <c r="DI10" i="88" s="1"/>
  <c r="DI12" i="88" s="1"/>
  <c r="DI17" i="88" s="1"/>
  <c r="EX89" i="22" s="1"/>
  <c r="DI7" i="87"/>
  <c r="DI11" i="87" s="1"/>
  <c r="DI13" i="87" s="1"/>
  <c r="DI18" i="87" s="1"/>
  <c r="EX88" i="22" s="1"/>
  <c r="CR7" i="87"/>
  <c r="CR11" i="87" s="1"/>
  <c r="CR13" i="87" s="1"/>
  <c r="CR18" i="87" s="1"/>
  <c r="EG88" i="22" s="1"/>
  <c r="DW7" i="86"/>
  <c r="DW11" i="86" s="1"/>
  <c r="DJ8" i="86"/>
  <c r="DJ12" i="86" s="1"/>
  <c r="DI7" i="85"/>
  <c r="DI10" i="85" s="1"/>
  <c r="DI12" i="85" s="1"/>
  <c r="EC7" i="85"/>
  <c r="EC10" i="85" s="1"/>
  <c r="EC12" i="85" s="1"/>
  <c r="EC17" i="85" s="1"/>
  <c r="EY7" i="85"/>
  <c r="EY10" i="85" s="1"/>
  <c r="EY12" i="85" s="1"/>
  <c r="EY17" i="85" s="1"/>
  <c r="DK7" i="82"/>
  <c r="DK10" i="82" s="1"/>
  <c r="DK12" i="82" s="1"/>
  <c r="DK17" i="82" s="1"/>
  <c r="EZ84" i="22" s="1"/>
  <c r="EG7" i="82"/>
  <c r="EG10" i="82" s="1"/>
  <c r="EG12" i="82" s="1"/>
  <c r="EG17" i="82" s="1"/>
  <c r="EE7" i="81"/>
  <c r="EE10" i="81" s="1"/>
  <c r="EE12" i="81" s="1"/>
  <c r="EE17" i="81" s="1"/>
  <c r="DT8" i="81"/>
  <c r="DT11" i="81" s="1"/>
  <c r="EN8" i="81"/>
  <c r="EN11" i="81" s="1"/>
  <c r="DC8" i="81"/>
  <c r="DC11" i="81" s="1"/>
  <c r="DG7" i="80"/>
  <c r="DG10" i="80" s="1"/>
  <c r="DG12" i="80" s="1"/>
  <c r="DG17" i="80" s="1"/>
  <c r="EV94" i="22" s="1"/>
  <c r="DU7" i="80"/>
  <c r="DU10" i="80" s="1"/>
  <c r="DU12" i="80" s="1"/>
  <c r="DU17" i="80" s="1"/>
  <c r="EF7" i="80"/>
  <c r="EF10" i="80" s="1"/>
  <c r="EF12" i="80" s="1"/>
  <c r="EF17" i="80" s="1"/>
  <c r="CP7" i="80"/>
  <c r="CP10" i="80" s="1"/>
  <c r="CP12" i="80" s="1"/>
  <c r="CP17" i="80" s="1"/>
  <c r="EE94" i="22" s="1"/>
  <c r="DA7" i="80"/>
  <c r="DA10" i="80" s="1"/>
  <c r="DA12" i="80" s="1"/>
  <c r="DA17" i="80" s="1"/>
  <c r="EP94" i="22" s="1"/>
  <c r="M7" i="80"/>
  <c r="M10" i="80" s="1"/>
  <c r="M12" i="80" s="1"/>
  <c r="M17" i="80" s="1"/>
  <c r="W7" i="80"/>
  <c r="W10" i="80" s="1"/>
  <c r="W12" i="80" s="1"/>
  <c r="W17" i="80" s="1"/>
  <c r="AF7" i="80"/>
  <c r="AF10" i="80" s="1"/>
  <c r="AF12" i="80" s="1"/>
  <c r="AF17" i="80" s="1"/>
  <c r="AO7" i="80"/>
  <c r="AO10" i="80" s="1"/>
  <c r="AO12" i="80" s="1"/>
  <c r="AO17" i="80" s="1"/>
  <c r="AW7" i="80"/>
  <c r="AW10" i="80" s="1"/>
  <c r="AW12" i="80" s="1"/>
  <c r="AW17" i="80" s="1"/>
  <c r="CL94" i="22" s="1"/>
  <c r="BE7" i="80"/>
  <c r="BE10" i="80" s="1"/>
  <c r="BE12" i="80" s="1"/>
  <c r="BE17" i="80" s="1"/>
  <c r="CT94" i="22" s="1"/>
  <c r="BM7" i="80"/>
  <c r="BM10" i="80" s="1"/>
  <c r="BM12" i="80" s="1"/>
  <c r="BM17" i="80" s="1"/>
  <c r="DB94" i="22" s="1"/>
  <c r="BU7" i="80"/>
  <c r="BU10" i="80" s="1"/>
  <c r="BU12" i="80" s="1"/>
  <c r="BU17" i="80" s="1"/>
  <c r="DJ94" i="22" s="1"/>
  <c r="CC7" i="80"/>
  <c r="CC10" i="80" s="1"/>
  <c r="CC12" i="80" s="1"/>
  <c r="CC17" i="80" s="1"/>
  <c r="DR94" i="22" s="1"/>
  <c r="DQ7" i="87"/>
  <c r="DQ11" i="87" s="1"/>
  <c r="DQ13" i="87" s="1"/>
  <c r="DQ18" i="87" s="1"/>
  <c r="FF88" i="22" s="1"/>
  <c r="DC7" i="86"/>
  <c r="DC11" i="86" s="1"/>
  <c r="EI7" i="85"/>
  <c r="EI10" i="85" s="1"/>
  <c r="EI12" i="85" s="1"/>
  <c r="EI17" i="85" s="1"/>
  <c r="DQ7" i="82"/>
  <c r="DQ10" i="82" s="1"/>
  <c r="DQ12" i="82" s="1"/>
  <c r="DQ17" i="82" s="1"/>
  <c r="FF84" i="22" s="1"/>
  <c r="EK7" i="81"/>
  <c r="EK10" i="81" s="1"/>
  <c r="EK7" i="80"/>
  <c r="EK10" i="80" s="1"/>
  <c r="EK12" i="80" s="1"/>
  <c r="EK17" i="80" s="1"/>
  <c r="Y7" i="80"/>
  <c r="Y10" i="80" s="1"/>
  <c r="Y12" i="80" s="1"/>
  <c r="Y17" i="80" s="1"/>
  <c r="AY7" i="80"/>
  <c r="AY10" i="80" s="1"/>
  <c r="AY12" i="80" s="1"/>
  <c r="AY17" i="80" s="1"/>
  <c r="CN94" i="22" s="1"/>
  <c r="BW7" i="80"/>
  <c r="BW10" i="80" s="1"/>
  <c r="BW12" i="80" s="1"/>
  <c r="BW17" i="80" s="1"/>
  <c r="DL94" i="22" s="1"/>
  <c r="DY7" i="85"/>
  <c r="DY10" i="85" s="1"/>
  <c r="DY12" i="85" s="1"/>
  <c r="DY17" i="85" s="1"/>
  <c r="EA7" i="82"/>
  <c r="EA10" i="82" s="1"/>
  <c r="EA12" i="82" s="1"/>
  <c r="EA17" i="82" s="1"/>
  <c r="DE7" i="80"/>
  <c r="DE10" i="80" s="1"/>
  <c r="DE12" i="80" s="1"/>
  <c r="DE17" i="80" s="1"/>
  <c r="ET94" i="22" s="1"/>
  <c r="CL7" i="80"/>
  <c r="CL10" i="80" s="1"/>
  <c r="CL12" i="80" s="1"/>
  <c r="CL17" i="80" s="1"/>
  <c r="EA94" i="22" s="1"/>
  <c r="AM7" i="80"/>
  <c r="AM10" i="80" s="1"/>
  <c r="AM12" i="80" s="1"/>
  <c r="AM17" i="80" s="1"/>
  <c r="CA7" i="80"/>
  <c r="CA10" i="80" s="1"/>
  <c r="CA12" i="80" s="1"/>
  <c r="CA17" i="80" s="1"/>
  <c r="DP94" i="22" s="1"/>
  <c r="DE7" i="79"/>
  <c r="DE10" i="79" s="1"/>
  <c r="DM7" i="79"/>
  <c r="DM10" i="79" s="1"/>
  <c r="DU7" i="79"/>
  <c r="DU10" i="79" s="1"/>
  <c r="EC7" i="79"/>
  <c r="EC10" i="79" s="1"/>
  <c r="EK7" i="79"/>
  <c r="EK10" i="79" s="1"/>
  <c r="ES7" i="79"/>
  <c r="ES10" i="79" s="1"/>
  <c r="FA7" i="79"/>
  <c r="FA10" i="79" s="1"/>
  <c r="DH8" i="79"/>
  <c r="DH11" i="79" s="1"/>
  <c r="DP8" i="79"/>
  <c r="DP11" i="79" s="1"/>
  <c r="DX8" i="79"/>
  <c r="DX11" i="79" s="1"/>
  <c r="EF8" i="79"/>
  <c r="EF11" i="79" s="1"/>
  <c r="EN8" i="79"/>
  <c r="EN11" i="79" s="1"/>
  <c r="EV8" i="79"/>
  <c r="EV11" i="79" s="1"/>
  <c r="FD8" i="79"/>
  <c r="FD11" i="79" s="1"/>
  <c r="DA7" i="77"/>
  <c r="DA10" i="77" s="1"/>
  <c r="DA11" i="77" s="1"/>
  <c r="DA16" i="77" s="1"/>
  <c r="EP83" i="22" s="1"/>
  <c r="DI7" i="77"/>
  <c r="DI10" i="77" s="1"/>
  <c r="DI11" i="77" s="1"/>
  <c r="DI16" i="77" s="1"/>
  <c r="EX83" i="22" s="1"/>
  <c r="DQ7" i="77"/>
  <c r="DQ10" i="77" s="1"/>
  <c r="DQ11" i="77" s="1"/>
  <c r="DQ16" i="77" s="1"/>
  <c r="FF83" i="22" s="1"/>
  <c r="DY7" i="77"/>
  <c r="DY10" i="77" s="1"/>
  <c r="DY11" i="77" s="1"/>
  <c r="DY16" i="77" s="1"/>
  <c r="EG7" i="77"/>
  <c r="EG10" i="77" s="1"/>
  <c r="EG11" i="77" s="1"/>
  <c r="EG16" i="77" s="1"/>
  <c r="EO7" i="77"/>
  <c r="EO10" i="77" s="1"/>
  <c r="EO11" i="77" s="1"/>
  <c r="EO16" i="77" s="1"/>
  <c r="DI7" i="76"/>
  <c r="DI10" i="76" s="1"/>
  <c r="DQ7" i="76"/>
  <c r="DQ10" i="76" s="1"/>
  <c r="DY7" i="76"/>
  <c r="DY10" i="76" s="1"/>
  <c r="DI8" i="76"/>
  <c r="DI11" i="76" s="1"/>
  <c r="DQ8" i="76"/>
  <c r="DQ11" i="76" s="1"/>
  <c r="DY8" i="76"/>
  <c r="DY11" i="76" s="1"/>
  <c r="DA7" i="76"/>
  <c r="DA10" i="76" s="1"/>
  <c r="DA8" i="76"/>
  <c r="DA11" i="76" s="1"/>
  <c r="DA7" i="75"/>
  <c r="DA9" i="75" s="1"/>
  <c r="DA11" i="75" s="1"/>
  <c r="DA16" i="75" s="1"/>
  <c r="EP80" i="22" s="1"/>
  <c r="CS7" i="74"/>
  <c r="CS9" i="74" s="1"/>
  <c r="CS11" i="74" s="1"/>
  <c r="CS16" i="74" s="1"/>
  <c r="DA7" i="74"/>
  <c r="DA9" i="74" s="1"/>
  <c r="DA11" i="74" s="1"/>
  <c r="DA16" i="74" s="1"/>
  <c r="EP79" i="22" s="1"/>
  <c r="DI7" i="74"/>
  <c r="DI9" i="74" s="1"/>
  <c r="DI11" i="74" s="1"/>
  <c r="DI16" i="74" s="1"/>
  <c r="EX79" i="22" s="1"/>
  <c r="DQ7" i="74"/>
  <c r="DQ9" i="74" s="1"/>
  <c r="DQ11" i="74" s="1"/>
  <c r="DQ16" i="74" s="1"/>
  <c r="FF79" i="22" s="1"/>
  <c r="DY7" i="74"/>
  <c r="DY9" i="74" s="1"/>
  <c r="DY11" i="74" s="1"/>
  <c r="DY16" i="74" s="1"/>
  <c r="DD7" i="73"/>
  <c r="DD10" i="73" s="1"/>
  <c r="DL7" i="73"/>
  <c r="DL10" i="73" s="1"/>
  <c r="DT7" i="73"/>
  <c r="DT10" i="73" s="1"/>
  <c r="EB7" i="73"/>
  <c r="EB10" i="73" s="1"/>
  <c r="EJ7" i="73"/>
  <c r="EJ10" i="73" s="1"/>
  <c r="DJ8" i="73"/>
  <c r="DJ11" i="73" s="1"/>
  <c r="DR8" i="73"/>
  <c r="DR11" i="73" s="1"/>
  <c r="DZ8" i="73"/>
  <c r="DZ11" i="73" s="1"/>
  <c r="EH8" i="73"/>
  <c r="EH11" i="73" s="1"/>
  <c r="CT7" i="73"/>
  <c r="CT10" i="73" s="1"/>
  <c r="DB7" i="73"/>
  <c r="DB10" i="73" s="1"/>
  <c r="CZ8" i="73"/>
  <c r="CZ11" i="73" s="1"/>
  <c r="CU7" i="70"/>
  <c r="CU17" i="70" s="1"/>
  <c r="DC7" i="70"/>
  <c r="DC17" i="70" s="1"/>
  <c r="DK7" i="70"/>
  <c r="DK17" i="70" s="1"/>
  <c r="DS7" i="70"/>
  <c r="DS17" i="70" s="1"/>
  <c r="EA7" i="70"/>
  <c r="EA17" i="70" s="1"/>
  <c r="EI7" i="70"/>
  <c r="EI17" i="70" s="1"/>
  <c r="EQ7" i="70"/>
  <c r="EQ17" i="70" s="1"/>
  <c r="EY7" i="70"/>
  <c r="EY17" i="70" s="1"/>
  <c r="CU8" i="70"/>
  <c r="DC8" i="70"/>
  <c r="EI8" i="70"/>
  <c r="EQ8" i="70"/>
  <c r="EY8" i="70"/>
  <c r="CU9" i="70"/>
  <c r="CU10" i="70" s="1"/>
  <c r="CU19" i="70" s="1"/>
  <c r="DC9" i="70"/>
  <c r="DC10" i="70" s="1"/>
  <c r="DC19" i="70" s="1"/>
  <c r="DK19" i="70"/>
  <c r="EA9" i="70"/>
  <c r="EA10" i="70" s="1"/>
  <c r="EA19" i="70" s="1"/>
  <c r="EI9" i="70"/>
  <c r="EI10" i="70" s="1"/>
  <c r="EI19" i="70" s="1"/>
  <c r="EQ9" i="70"/>
  <c r="EQ10" i="70" s="1"/>
  <c r="EQ19" i="70" s="1"/>
  <c r="EY9" i="70"/>
  <c r="EY10" i="70" s="1"/>
  <c r="EY19" i="70" s="1"/>
  <c r="DF7" i="79"/>
  <c r="DF10" i="79" s="1"/>
  <c r="DN7" i="79"/>
  <c r="DN10" i="79" s="1"/>
  <c r="DV7" i="79"/>
  <c r="DV10" i="79" s="1"/>
  <c r="ED7" i="79"/>
  <c r="ED10" i="79" s="1"/>
  <c r="EL7" i="79"/>
  <c r="EL10" i="79" s="1"/>
  <c r="ET7" i="79"/>
  <c r="ET10" i="79" s="1"/>
  <c r="FB7" i="79"/>
  <c r="FB10" i="79" s="1"/>
  <c r="DI8" i="79"/>
  <c r="DI11" i="79" s="1"/>
  <c r="DQ8" i="79"/>
  <c r="DQ11" i="79" s="1"/>
  <c r="DY8" i="79"/>
  <c r="DY11" i="79" s="1"/>
  <c r="EG8" i="79"/>
  <c r="EG11" i="79" s="1"/>
  <c r="EO8" i="79"/>
  <c r="EO11" i="79" s="1"/>
  <c r="EW8" i="79"/>
  <c r="EW11" i="79" s="1"/>
  <c r="DC8" i="79"/>
  <c r="DC11" i="79" s="1"/>
  <c r="DB7" i="77"/>
  <c r="DB10" i="77" s="1"/>
  <c r="DB11" i="77" s="1"/>
  <c r="DB16" i="77" s="1"/>
  <c r="EQ83" i="22" s="1"/>
  <c r="DJ7" i="77"/>
  <c r="DJ10" i="77" s="1"/>
  <c r="DJ11" i="77" s="1"/>
  <c r="DJ16" i="77" s="1"/>
  <c r="EY83" i="22" s="1"/>
  <c r="DR7" i="77"/>
  <c r="DR10" i="77" s="1"/>
  <c r="DR11" i="77" s="1"/>
  <c r="DR16" i="77" s="1"/>
  <c r="FG83" i="22" s="1"/>
  <c r="CD83" i="22" s="1"/>
  <c r="DZ7" i="77"/>
  <c r="DZ10" i="77" s="1"/>
  <c r="DZ11" i="77" s="1"/>
  <c r="DZ16" i="77" s="1"/>
  <c r="EH7" i="77"/>
  <c r="EH10" i="77" s="1"/>
  <c r="EH11" i="77" s="1"/>
  <c r="EH16" i="77" s="1"/>
  <c r="EP7" i="77"/>
  <c r="EP10" i="77" s="1"/>
  <c r="EP11" i="77" s="1"/>
  <c r="EP16" i="77" s="1"/>
  <c r="DJ7" i="76"/>
  <c r="DJ10" i="76" s="1"/>
  <c r="DR7" i="76"/>
  <c r="DR10" i="76" s="1"/>
  <c r="DZ7" i="76"/>
  <c r="DZ10" i="76" s="1"/>
  <c r="DJ8" i="76"/>
  <c r="DJ11" i="76" s="1"/>
  <c r="DR8" i="76"/>
  <c r="DR11" i="76" s="1"/>
  <c r="DZ8" i="76"/>
  <c r="DZ11" i="76" s="1"/>
  <c r="DB7" i="76"/>
  <c r="DB10" i="76" s="1"/>
  <c r="DB8" i="76"/>
  <c r="DB11" i="76" s="1"/>
  <c r="DB7" i="75"/>
  <c r="DB9" i="75" s="1"/>
  <c r="DB11" i="75" s="1"/>
  <c r="DB16" i="75" s="1"/>
  <c r="EQ80" i="22" s="1"/>
  <c r="DG7" i="79"/>
  <c r="DG10" i="79" s="1"/>
  <c r="DO7" i="79"/>
  <c r="DO10" i="79" s="1"/>
  <c r="DW7" i="79"/>
  <c r="DW10" i="79" s="1"/>
  <c r="EE7" i="79"/>
  <c r="EE10" i="79" s="1"/>
  <c r="EM7" i="79"/>
  <c r="EM10" i="79" s="1"/>
  <c r="EU7" i="79"/>
  <c r="EU10" i="79" s="1"/>
  <c r="FC7" i="79"/>
  <c r="FC10" i="79" s="1"/>
  <c r="DJ8" i="79"/>
  <c r="DJ11" i="79" s="1"/>
  <c r="DR8" i="79"/>
  <c r="DR11" i="79" s="1"/>
  <c r="DZ8" i="79"/>
  <c r="DZ11" i="79" s="1"/>
  <c r="EH8" i="79"/>
  <c r="EH11" i="79" s="1"/>
  <c r="EP8" i="79"/>
  <c r="EP11" i="79" s="1"/>
  <c r="EX8" i="79"/>
  <c r="EX11" i="79" s="1"/>
  <c r="DC7" i="79"/>
  <c r="DC10" i="79" s="1"/>
  <c r="DC7" i="77"/>
  <c r="DC10" i="77" s="1"/>
  <c r="DC11" i="77" s="1"/>
  <c r="DC16" i="77" s="1"/>
  <c r="ER83" i="22" s="1"/>
  <c r="DK7" i="77"/>
  <c r="DK10" i="77" s="1"/>
  <c r="DK11" i="77" s="1"/>
  <c r="DK16" i="77" s="1"/>
  <c r="EZ83" i="22" s="1"/>
  <c r="DS7" i="77"/>
  <c r="DS10" i="77" s="1"/>
  <c r="DS11" i="77" s="1"/>
  <c r="DS16" i="77" s="1"/>
  <c r="FH83" i="22" s="1"/>
  <c r="EA7" i="77"/>
  <c r="EA10" i="77" s="1"/>
  <c r="EA11" i="77" s="1"/>
  <c r="EA16" i="77" s="1"/>
  <c r="EI7" i="77"/>
  <c r="EI10" i="77" s="1"/>
  <c r="EI11" i="77" s="1"/>
  <c r="EI16" i="77" s="1"/>
  <c r="EQ7" i="77"/>
  <c r="EQ10" i="77" s="1"/>
  <c r="EQ11" i="77" s="1"/>
  <c r="EQ16" i="77" s="1"/>
  <c r="DK7" i="76"/>
  <c r="DK10" i="76" s="1"/>
  <c r="DS7" i="76"/>
  <c r="DS10" i="76" s="1"/>
  <c r="EA7" i="76"/>
  <c r="EA10" i="76" s="1"/>
  <c r="DK8" i="76"/>
  <c r="DK11" i="76" s="1"/>
  <c r="DS8" i="76"/>
  <c r="DS11" i="76" s="1"/>
  <c r="EA8" i="76"/>
  <c r="EA11" i="76" s="1"/>
  <c r="DC7" i="76"/>
  <c r="DC10" i="76" s="1"/>
  <c r="DC8" i="76"/>
  <c r="DC11" i="76" s="1"/>
  <c r="DC7" i="75"/>
  <c r="DC9" i="75" s="1"/>
  <c r="DC11" i="75" s="1"/>
  <c r="DC16" i="75" s="1"/>
  <c r="ER80" i="22" s="1"/>
  <c r="CU7" i="74"/>
  <c r="CU9" i="74" s="1"/>
  <c r="CU11" i="74" s="1"/>
  <c r="CU16" i="74" s="1"/>
  <c r="DC7" i="74"/>
  <c r="DC9" i="74" s="1"/>
  <c r="DC11" i="74" s="1"/>
  <c r="DC16" i="74" s="1"/>
  <c r="ER79" i="22" s="1"/>
  <c r="DK7" i="74"/>
  <c r="DK9" i="74" s="1"/>
  <c r="DK11" i="74" s="1"/>
  <c r="DK16" i="74" s="1"/>
  <c r="EZ79" i="22" s="1"/>
  <c r="DS7" i="74"/>
  <c r="DS9" i="74" s="1"/>
  <c r="DS11" i="74" s="1"/>
  <c r="DS16" i="74" s="1"/>
  <c r="FH79" i="22" s="1"/>
  <c r="EA7" i="74"/>
  <c r="EA9" i="74" s="1"/>
  <c r="EA11" i="74" s="1"/>
  <c r="EA16" i="74" s="1"/>
  <c r="DF7" i="73"/>
  <c r="DF10" i="73" s="1"/>
  <c r="DN7" i="73"/>
  <c r="DN10" i="73" s="1"/>
  <c r="DV7" i="73"/>
  <c r="DV10" i="73" s="1"/>
  <c r="ED7" i="73"/>
  <c r="ED10" i="73" s="1"/>
  <c r="DD8" i="73"/>
  <c r="DD11" i="73" s="1"/>
  <c r="DL8" i="73"/>
  <c r="DL11" i="73" s="1"/>
  <c r="DT8" i="73"/>
  <c r="DT11" i="73" s="1"/>
  <c r="EB8" i="73"/>
  <c r="EB11" i="73" s="1"/>
  <c r="EJ8" i="73"/>
  <c r="EJ11" i="73" s="1"/>
  <c r="CV7" i="73"/>
  <c r="CV10" i="73" s="1"/>
  <c r="CT8" i="73"/>
  <c r="CT11" i="73" s="1"/>
  <c r="DB8" i="73"/>
  <c r="DB11" i="73" s="1"/>
  <c r="CW7" i="70"/>
  <c r="CW17" i="70" s="1"/>
  <c r="DE7" i="70"/>
  <c r="DE17" i="70" s="1"/>
  <c r="DM7" i="70"/>
  <c r="DM17" i="70" s="1"/>
  <c r="DU7" i="70"/>
  <c r="DU17" i="70" s="1"/>
  <c r="EC7" i="70"/>
  <c r="EC17" i="70" s="1"/>
  <c r="EK7" i="70"/>
  <c r="EK17" i="70" s="1"/>
  <c r="ES7" i="70"/>
  <c r="ES17" i="70" s="1"/>
  <c r="FA7" i="70"/>
  <c r="FA17" i="70" s="1"/>
  <c r="CW8" i="70"/>
  <c r="DE8" i="70"/>
  <c r="EK8" i="70"/>
  <c r="ES8" i="70"/>
  <c r="FA8" i="70"/>
  <c r="CW9" i="70"/>
  <c r="CW10" i="70" s="1"/>
  <c r="CW19" i="70" s="1"/>
  <c r="DE9" i="70"/>
  <c r="DE10" i="70" s="1"/>
  <c r="DE19" i="70" s="1"/>
  <c r="EC9" i="70"/>
  <c r="EC10" i="70" s="1"/>
  <c r="EC19" i="70" s="1"/>
  <c r="EK9" i="70"/>
  <c r="EK10" i="70" s="1"/>
  <c r="EK19" i="70" s="1"/>
  <c r="ES9" i="70"/>
  <c r="ES10" i="70" s="1"/>
  <c r="ES19" i="70" s="1"/>
  <c r="FA9" i="70"/>
  <c r="FA10" i="70" s="1"/>
  <c r="FA19" i="70" s="1"/>
  <c r="DH7" i="79"/>
  <c r="DH10" i="79" s="1"/>
  <c r="DP7" i="79"/>
  <c r="DP10" i="79" s="1"/>
  <c r="DX7" i="79"/>
  <c r="DX10" i="79" s="1"/>
  <c r="EF7" i="79"/>
  <c r="EF10" i="79" s="1"/>
  <c r="EN7" i="79"/>
  <c r="EN10" i="79" s="1"/>
  <c r="EV7" i="79"/>
  <c r="EV10" i="79" s="1"/>
  <c r="FD7" i="79"/>
  <c r="FD10" i="79" s="1"/>
  <c r="DK8" i="79"/>
  <c r="DK11" i="79" s="1"/>
  <c r="DS8" i="79"/>
  <c r="DS11" i="79" s="1"/>
  <c r="EA8" i="79"/>
  <c r="EA11" i="79" s="1"/>
  <c r="EI8" i="79"/>
  <c r="EI11" i="79" s="1"/>
  <c r="EQ8" i="79"/>
  <c r="EQ11" i="79" s="1"/>
  <c r="EY8" i="79"/>
  <c r="EY11" i="79" s="1"/>
  <c r="DD7" i="77"/>
  <c r="DD10" i="77" s="1"/>
  <c r="DD11" i="77" s="1"/>
  <c r="DD16" i="77" s="1"/>
  <c r="ES83" i="22" s="1"/>
  <c r="DL7" i="77"/>
  <c r="DL10" i="77" s="1"/>
  <c r="DL11" i="77" s="1"/>
  <c r="DL16" i="77" s="1"/>
  <c r="FA83" i="22" s="1"/>
  <c r="DT7" i="77"/>
  <c r="DT10" i="77" s="1"/>
  <c r="DT11" i="77" s="1"/>
  <c r="DT16" i="77" s="1"/>
  <c r="EB7" i="77"/>
  <c r="EB10" i="77" s="1"/>
  <c r="EB11" i="77" s="1"/>
  <c r="EB16" i="77" s="1"/>
  <c r="EJ7" i="77"/>
  <c r="EJ10" i="77" s="1"/>
  <c r="EJ11" i="77" s="1"/>
  <c r="EJ16" i="77" s="1"/>
  <c r="ER7" i="77"/>
  <c r="ER10" i="77" s="1"/>
  <c r="ER11" i="77" s="1"/>
  <c r="ER16" i="77" s="1"/>
  <c r="DL7" i="76"/>
  <c r="DL10" i="76" s="1"/>
  <c r="DT7" i="76"/>
  <c r="DT10" i="76" s="1"/>
  <c r="EB7" i="76"/>
  <c r="EB10" i="76" s="1"/>
  <c r="DL8" i="76"/>
  <c r="DL11" i="76" s="1"/>
  <c r="DT8" i="76"/>
  <c r="DT11" i="76" s="1"/>
  <c r="EB8" i="76"/>
  <c r="EB11" i="76" s="1"/>
  <c r="DD7" i="76"/>
  <c r="DD10" i="76" s="1"/>
  <c r="DD8" i="76"/>
  <c r="DD11" i="76" s="1"/>
  <c r="DD7" i="75"/>
  <c r="DD9" i="75" s="1"/>
  <c r="DD11" i="75" s="1"/>
  <c r="DD16" i="75" s="1"/>
  <c r="ES80" i="22" s="1"/>
  <c r="CV7" i="74"/>
  <c r="CV9" i="74" s="1"/>
  <c r="CV11" i="74" s="1"/>
  <c r="CV16" i="74" s="1"/>
  <c r="DD7" i="74"/>
  <c r="DD9" i="74" s="1"/>
  <c r="DD11" i="74" s="1"/>
  <c r="DD16" i="74" s="1"/>
  <c r="ES79" i="22" s="1"/>
  <c r="DL7" i="74"/>
  <c r="DL9" i="74" s="1"/>
  <c r="DL11" i="74" s="1"/>
  <c r="DL16" i="74" s="1"/>
  <c r="FA79" i="22" s="1"/>
  <c r="DT7" i="74"/>
  <c r="DT9" i="74" s="1"/>
  <c r="DT11" i="74" s="1"/>
  <c r="DT16" i="74" s="1"/>
  <c r="EB7" i="74"/>
  <c r="EB9" i="74" s="1"/>
  <c r="EB11" i="74" s="1"/>
  <c r="EB16" i="74" s="1"/>
  <c r="DG7" i="73"/>
  <c r="DG10" i="73" s="1"/>
  <c r="DO7" i="73"/>
  <c r="DO10" i="73" s="1"/>
  <c r="DW7" i="73"/>
  <c r="DW10" i="73" s="1"/>
  <c r="EE7" i="73"/>
  <c r="EE10" i="73" s="1"/>
  <c r="DE8" i="73"/>
  <c r="DE11" i="73" s="1"/>
  <c r="DM8" i="73"/>
  <c r="DM11" i="73" s="1"/>
  <c r="DU8" i="73"/>
  <c r="DU11" i="73" s="1"/>
  <c r="EC8" i="73"/>
  <c r="EC11" i="73" s="1"/>
  <c r="CW7" i="73"/>
  <c r="CW10" i="73" s="1"/>
  <c r="CU8" i="73"/>
  <c r="CU11" i="73" s="1"/>
  <c r="CX7" i="70"/>
  <c r="CX17" i="70" s="1"/>
  <c r="DF7" i="70"/>
  <c r="DF17" i="70" s="1"/>
  <c r="DN7" i="70"/>
  <c r="DN17" i="70" s="1"/>
  <c r="DV7" i="70"/>
  <c r="DV17" i="70" s="1"/>
  <c r="ED7" i="70"/>
  <c r="ED17" i="70" s="1"/>
  <c r="EL7" i="70"/>
  <c r="EL17" i="70" s="1"/>
  <c r="ET7" i="70"/>
  <c r="ET17" i="70" s="1"/>
  <c r="FB7" i="70"/>
  <c r="FB17" i="70" s="1"/>
  <c r="CX8" i="70"/>
  <c r="DF8" i="70"/>
  <c r="EL8" i="70"/>
  <c r="ET8" i="70"/>
  <c r="FB8" i="70"/>
  <c r="CX9" i="70"/>
  <c r="CX10" i="70" s="1"/>
  <c r="CX19" i="70" s="1"/>
  <c r="DF9" i="70"/>
  <c r="DF10" i="70" s="1"/>
  <c r="DF19" i="70" s="1"/>
  <c r="DN19" i="70"/>
  <c r="DV10" i="70"/>
  <c r="DV19" i="70" s="1"/>
  <c r="ED9" i="70"/>
  <c r="ED10" i="70" s="1"/>
  <c r="ED19" i="70" s="1"/>
  <c r="EL9" i="70"/>
  <c r="EL10" i="70" s="1"/>
  <c r="EL19" i="70" s="1"/>
  <c r="ET9" i="70"/>
  <c r="ET10" i="70" s="1"/>
  <c r="ET19" i="70" s="1"/>
  <c r="FB9" i="70"/>
  <c r="FB10" i="70" s="1"/>
  <c r="FB19" i="70" s="1"/>
  <c r="DA11" i="70"/>
  <c r="DA20" i="70" s="1"/>
  <c r="DI11" i="70"/>
  <c r="DI20" i="70" s="1"/>
  <c r="DK7" i="79"/>
  <c r="DK10" i="79" s="1"/>
  <c r="DS7" i="79"/>
  <c r="DS10" i="79" s="1"/>
  <c r="EA7" i="79"/>
  <c r="EA10" i="79" s="1"/>
  <c r="EI7" i="79"/>
  <c r="EI10" i="79" s="1"/>
  <c r="EQ7" i="79"/>
  <c r="EQ10" i="79" s="1"/>
  <c r="EY7" i="79"/>
  <c r="EY10" i="79" s="1"/>
  <c r="DF8" i="79"/>
  <c r="DF11" i="79" s="1"/>
  <c r="DN8" i="79"/>
  <c r="DN11" i="79" s="1"/>
  <c r="DV8" i="79"/>
  <c r="DV11" i="79" s="1"/>
  <c r="ED8" i="79"/>
  <c r="ED11" i="79" s="1"/>
  <c r="EL8" i="79"/>
  <c r="EL11" i="79" s="1"/>
  <c r="ET8" i="79"/>
  <c r="ET11" i="79" s="1"/>
  <c r="FB8" i="79"/>
  <c r="FB11" i="79" s="1"/>
  <c r="CY7" i="77"/>
  <c r="CY10" i="77" s="1"/>
  <c r="CY11" i="77" s="1"/>
  <c r="CY16" i="77" s="1"/>
  <c r="EN83" i="22" s="1"/>
  <c r="DG7" i="77"/>
  <c r="DG10" i="77" s="1"/>
  <c r="DG11" i="77" s="1"/>
  <c r="DG16" i="77" s="1"/>
  <c r="EV83" i="22" s="1"/>
  <c r="DO7" i="77"/>
  <c r="DO10" i="77" s="1"/>
  <c r="DO11" i="77" s="1"/>
  <c r="DO16" i="77" s="1"/>
  <c r="FD83" i="22" s="1"/>
  <c r="DW7" i="77"/>
  <c r="DW10" i="77" s="1"/>
  <c r="DW11" i="77" s="1"/>
  <c r="DW16" i="77" s="1"/>
  <c r="EE7" i="77"/>
  <c r="EE10" i="77" s="1"/>
  <c r="EE11" i="77" s="1"/>
  <c r="EE16" i="77" s="1"/>
  <c r="EM7" i="77"/>
  <c r="EM10" i="77" s="1"/>
  <c r="EM11" i="77" s="1"/>
  <c r="EM16" i="77" s="1"/>
  <c r="DG7" i="76"/>
  <c r="DG10" i="76" s="1"/>
  <c r="DO7" i="76"/>
  <c r="DO10" i="76" s="1"/>
  <c r="DW7" i="76"/>
  <c r="DW10" i="76" s="1"/>
  <c r="DG8" i="76"/>
  <c r="DG11" i="76" s="1"/>
  <c r="DO8" i="76"/>
  <c r="DO11" i="76" s="1"/>
  <c r="DW8" i="76"/>
  <c r="DW11" i="76" s="1"/>
  <c r="CY7" i="76"/>
  <c r="CY10" i="76" s="1"/>
  <c r="CY8" i="76"/>
  <c r="CY11" i="76" s="1"/>
  <c r="CX8" i="76"/>
  <c r="CX11" i="76" s="1"/>
  <c r="CU7" i="75"/>
  <c r="CU9" i="75" s="1"/>
  <c r="CU11" i="75" s="1"/>
  <c r="CU16" i="75" s="1"/>
  <c r="CY7" i="74"/>
  <c r="CY9" i="74" s="1"/>
  <c r="CY11" i="74" s="1"/>
  <c r="CY16" i="74" s="1"/>
  <c r="EN79" i="22" s="1"/>
  <c r="DG7" i="74"/>
  <c r="DG9" i="74" s="1"/>
  <c r="DG11" i="74" s="1"/>
  <c r="DG16" i="74" s="1"/>
  <c r="EV79" i="22" s="1"/>
  <c r="DO7" i="74"/>
  <c r="DO9" i="74" s="1"/>
  <c r="DO11" i="74" s="1"/>
  <c r="DO16" i="74" s="1"/>
  <c r="FD79" i="22" s="1"/>
  <c r="DW7" i="74"/>
  <c r="DW9" i="74" s="1"/>
  <c r="DW11" i="74" s="1"/>
  <c r="DW16" i="74" s="1"/>
  <c r="DJ7" i="73"/>
  <c r="DJ10" i="73" s="1"/>
  <c r="DR7" i="73"/>
  <c r="DR10" i="73" s="1"/>
  <c r="DZ7" i="73"/>
  <c r="DZ10" i="73" s="1"/>
  <c r="EH7" i="73"/>
  <c r="EH10" i="73" s="1"/>
  <c r="DH8" i="73"/>
  <c r="DH11" i="73" s="1"/>
  <c r="DP8" i="73"/>
  <c r="DP11" i="73" s="1"/>
  <c r="DX8" i="73"/>
  <c r="DX11" i="73" s="1"/>
  <c r="EF8" i="73"/>
  <c r="EF11" i="73" s="1"/>
  <c r="CZ7" i="73"/>
  <c r="CZ10" i="73" s="1"/>
  <c r="CX8" i="73"/>
  <c r="CX11" i="73" s="1"/>
  <c r="CR7" i="73"/>
  <c r="CR10" i="73" s="1"/>
  <c r="DA7" i="70"/>
  <c r="DA17" i="70" s="1"/>
  <c r="DI7" i="70"/>
  <c r="DI17" i="70" s="1"/>
  <c r="DQ7" i="70"/>
  <c r="DQ17" i="70" s="1"/>
  <c r="DY7" i="70"/>
  <c r="DY17" i="70" s="1"/>
  <c r="EG7" i="70"/>
  <c r="EG17" i="70" s="1"/>
  <c r="EO7" i="70"/>
  <c r="EO17" i="70" s="1"/>
  <c r="EW7" i="70"/>
  <c r="EW17" i="70" s="1"/>
  <c r="FE7" i="70"/>
  <c r="FE17" i="70" s="1"/>
  <c r="DA8" i="70"/>
  <c r="EG8" i="70"/>
  <c r="EO8" i="70"/>
  <c r="EW8" i="70"/>
  <c r="FE8" i="70"/>
  <c r="DA9" i="70"/>
  <c r="DA10" i="70" s="1"/>
  <c r="DA19" i="70" s="1"/>
  <c r="DI19" i="70"/>
  <c r="DY9" i="70"/>
  <c r="DY10" i="70" s="1"/>
  <c r="DY19" i="70" s="1"/>
  <c r="EG9" i="70"/>
  <c r="EG10" i="70" s="1"/>
  <c r="EG19" i="70" s="1"/>
  <c r="EO9" i="70"/>
  <c r="EO10" i="70" s="1"/>
  <c r="EO19" i="70" s="1"/>
  <c r="EW9" i="70"/>
  <c r="EW10" i="70" s="1"/>
  <c r="EW19" i="70" s="1"/>
  <c r="FE9" i="70"/>
  <c r="FE10" i="70" s="1"/>
  <c r="FE19" i="70" s="1"/>
  <c r="CV11" i="70"/>
  <c r="CV20" i="70" s="1"/>
  <c r="DD11" i="70"/>
  <c r="DD20" i="70" s="1"/>
  <c r="DL11" i="70"/>
  <c r="DL20" i="70" s="1"/>
  <c r="DT11" i="70"/>
  <c r="DT20" i="70" s="1"/>
  <c r="DD7" i="79"/>
  <c r="DD10" i="79" s="1"/>
  <c r="DL7" i="79"/>
  <c r="DL10" i="79" s="1"/>
  <c r="DT7" i="79"/>
  <c r="DT10" i="79" s="1"/>
  <c r="EB7" i="79"/>
  <c r="EB10" i="79" s="1"/>
  <c r="EJ7" i="79"/>
  <c r="EJ10" i="79" s="1"/>
  <c r="ER7" i="79"/>
  <c r="ER10" i="79" s="1"/>
  <c r="EZ7" i="79"/>
  <c r="EZ10" i="79" s="1"/>
  <c r="DG8" i="79"/>
  <c r="DG11" i="79" s="1"/>
  <c r="DO8" i="79"/>
  <c r="DO11" i="79" s="1"/>
  <c r="DW8" i="79"/>
  <c r="DW11" i="79" s="1"/>
  <c r="EE8" i="79"/>
  <c r="EE11" i="79" s="1"/>
  <c r="EM8" i="79"/>
  <c r="EM11" i="79" s="1"/>
  <c r="EU8" i="79"/>
  <c r="EU11" i="79" s="1"/>
  <c r="FC8" i="79"/>
  <c r="FC11" i="79" s="1"/>
  <c r="CZ7" i="77"/>
  <c r="CZ10" i="77" s="1"/>
  <c r="CZ11" i="77" s="1"/>
  <c r="CZ16" i="77" s="1"/>
  <c r="EO83" i="22" s="1"/>
  <c r="DH7" i="77"/>
  <c r="DH10" i="77" s="1"/>
  <c r="DH11" i="77" s="1"/>
  <c r="DH16" i="77" s="1"/>
  <c r="EW83" i="22" s="1"/>
  <c r="DP7" i="77"/>
  <c r="DP10" i="77" s="1"/>
  <c r="DP11" i="77" s="1"/>
  <c r="DP16" i="77" s="1"/>
  <c r="FE83" i="22" s="1"/>
  <c r="DX7" i="77"/>
  <c r="DX10" i="77" s="1"/>
  <c r="DX11" i="77" s="1"/>
  <c r="DX16" i="77" s="1"/>
  <c r="EF7" i="77"/>
  <c r="EF10" i="77" s="1"/>
  <c r="EF11" i="77" s="1"/>
  <c r="EF16" i="77" s="1"/>
  <c r="EN7" i="77"/>
  <c r="EN10" i="77" s="1"/>
  <c r="EN11" i="77" s="1"/>
  <c r="EN16" i="77" s="1"/>
  <c r="DH7" i="76"/>
  <c r="DH10" i="76" s="1"/>
  <c r="DP7" i="76"/>
  <c r="DP10" i="76" s="1"/>
  <c r="DX7" i="76"/>
  <c r="DX10" i="76" s="1"/>
  <c r="DH8" i="76"/>
  <c r="DH11" i="76" s="1"/>
  <c r="DP8" i="76"/>
  <c r="DP11" i="76" s="1"/>
  <c r="DX8" i="76"/>
  <c r="DX11" i="76" s="1"/>
  <c r="CZ7" i="76"/>
  <c r="CZ10" i="76" s="1"/>
  <c r="CZ8" i="76"/>
  <c r="CZ11" i="76" s="1"/>
  <c r="CX7" i="76"/>
  <c r="CX10" i="76" s="1"/>
  <c r="CZ7" i="74"/>
  <c r="CZ9" i="74" s="1"/>
  <c r="CZ11" i="74" s="1"/>
  <c r="CZ16" i="74" s="1"/>
  <c r="EO79" i="22" s="1"/>
  <c r="DH7" i="74"/>
  <c r="DH9" i="74" s="1"/>
  <c r="DH11" i="74" s="1"/>
  <c r="DH16" i="74" s="1"/>
  <c r="EW79" i="22" s="1"/>
  <c r="DP7" i="74"/>
  <c r="DP9" i="74" s="1"/>
  <c r="DP11" i="74" s="1"/>
  <c r="DP16" i="74" s="1"/>
  <c r="FE79" i="22" s="1"/>
  <c r="DX7" i="74"/>
  <c r="DX9" i="74" s="1"/>
  <c r="DX11" i="74" s="1"/>
  <c r="DX16" i="74" s="1"/>
  <c r="DC7" i="73"/>
  <c r="DC10" i="73" s="1"/>
  <c r="DK7" i="73"/>
  <c r="DK10" i="73" s="1"/>
  <c r="DS7" i="73"/>
  <c r="DS10" i="73" s="1"/>
  <c r="EA7" i="73"/>
  <c r="EA10" i="73" s="1"/>
  <c r="EI7" i="73"/>
  <c r="EI10" i="73" s="1"/>
  <c r="DI8" i="73"/>
  <c r="DI11" i="73" s="1"/>
  <c r="DQ8" i="73"/>
  <c r="DQ11" i="73" s="1"/>
  <c r="DY8" i="73"/>
  <c r="DY11" i="73" s="1"/>
  <c r="EG8" i="73"/>
  <c r="EG11" i="73" s="1"/>
  <c r="CS7" i="73"/>
  <c r="CS10" i="73" s="1"/>
  <c r="DA7" i="73"/>
  <c r="DA10" i="73" s="1"/>
  <c r="CY8" i="73"/>
  <c r="CY11" i="73" s="1"/>
  <c r="CT7" i="70"/>
  <c r="CT17" i="70" s="1"/>
  <c r="DB7" i="70"/>
  <c r="DB17" i="70" s="1"/>
  <c r="DJ7" i="70"/>
  <c r="DJ17" i="70" s="1"/>
  <c r="DR7" i="70"/>
  <c r="DR17" i="70" s="1"/>
  <c r="DZ7" i="70"/>
  <c r="DZ17" i="70" s="1"/>
  <c r="EH7" i="70"/>
  <c r="EH17" i="70" s="1"/>
  <c r="EP7" i="70"/>
  <c r="EP17" i="70" s="1"/>
  <c r="EX7" i="70"/>
  <c r="EX17" i="70" s="1"/>
  <c r="CT8" i="70"/>
  <c r="DB8" i="70"/>
  <c r="EH8" i="70"/>
  <c r="EP8" i="70"/>
  <c r="EX8" i="70"/>
  <c r="CT9" i="70"/>
  <c r="CT10" i="70" s="1"/>
  <c r="CT19" i="70" s="1"/>
  <c r="DB9" i="70"/>
  <c r="DB10" i="70" s="1"/>
  <c r="DB19" i="70" s="1"/>
  <c r="DJ19" i="70"/>
  <c r="DZ9" i="70"/>
  <c r="DZ10" i="70" s="1"/>
  <c r="DZ19" i="70" s="1"/>
  <c r="EH9" i="70"/>
  <c r="EH10" i="70" s="1"/>
  <c r="EH19" i="70" s="1"/>
  <c r="EP9" i="70"/>
  <c r="EP10" i="70" s="1"/>
  <c r="EP19" i="70" s="1"/>
  <c r="EX9" i="70"/>
  <c r="EX10" i="70" s="1"/>
  <c r="EX19" i="70" s="1"/>
  <c r="CW11" i="70"/>
  <c r="CW20" i="70" s="1"/>
  <c r="DE11" i="70"/>
  <c r="DE20" i="70" s="1"/>
  <c r="DM11" i="70"/>
  <c r="DM20" i="70" s="1"/>
  <c r="DU11" i="70"/>
  <c r="DU20" i="70" s="1"/>
  <c r="EC11" i="70"/>
  <c r="EC20" i="70" s="1"/>
  <c r="EK11" i="70"/>
  <c r="EK20" i="70" s="1"/>
  <c r="ES11" i="70"/>
  <c r="ES20" i="70" s="1"/>
  <c r="DR7" i="79"/>
  <c r="DR10" i="79" s="1"/>
  <c r="EX7" i="79"/>
  <c r="EX10" i="79" s="1"/>
  <c r="EC8" i="79"/>
  <c r="EC11" i="79" s="1"/>
  <c r="CW7" i="77"/>
  <c r="CW10" i="77" s="1"/>
  <c r="CW11" i="77" s="1"/>
  <c r="CW16" i="77" s="1"/>
  <c r="EL83" i="22" s="1"/>
  <c r="EC7" i="77"/>
  <c r="EC10" i="77" s="1"/>
  <c r="EC11" i="77" s="1"/>
  <c r="EC16" i="77" s="1"/>
  <c r="DU7" i="76"/>
  <c r="DU10" i="76" s="1"/>
  <c r="EC8" i="76"/>
  <c r="EC11" i="76" s="1"/>
  <c r="DJ7" i="74"/>
  <c r="DJ9" i="74" s="1"/>
  <c r="DJ11" i="74" s="1"/>
  <c r="DJ16" i="74" s="1"/>
  <c r="EY79" i="22" s="1"/>
  <c r="ED7" i="74"/>
  <c r="ED9" i="74" s="1"/>
  <c r="ED11" i="74" s="1"/>
  <c r="ED16" i="74" s="1"/>
  <c r="DU7" i="73"/>
  <c r="DU10" i="73" s="1"/>
  <c r="DG8" i="73"/>
  <c r="DG11" i="73" s="1"/>
  <c r="ED8" i="73"/>
  <c r="ED11" i="73" s="1"/>
  <c r="CX7" i="73"/>
  <c r="CX10" i="73" s="1"/>
  <c r="CR8" i="73"/>
  <c r="CR11" i="73" s="1"/>
  <c r="DO7" i="70"/>
  <c r="DO17" i="70" s="1"/>
  <c r="EJ7" i="70"/>
  <c r="EJ17" i="70" s="1"/>
  <c r="FD7" i="70"/>
  <c r="FD17" i="70" s="1"/>
  <c r="EJ8" i="70"/>
  <c r="FD8" i="70"/>
  <c r="DO19" i="70"/>
  <c r="EJ9" i="70"/>
  <c r="EJ10" i="70" s="1"/>
  <c r="EJ19" i="70" s="1"/>
  <c r="FD9" i="70"/>
  <c r="FD10" i="70" s="1"/>
  <c r="FD19" i="70" s="1"/>
  <c r="DB11" i="70"/>
  <c r="DB20" i="70" s="1"/>
  <c r="DO11" i="70"/>
  <c r="DO20" i="70" s="1"/>
  <c r="DY11" i="70"/>
  <c r="DY20" i="70" s="1"/>
  <c r="EH11" i="70"/>
  <c r="EH20" i="70" s="1"/>
  <c r="EQ11" i="70"/>
  <c r="EQ20" i="70" s="1"/>
  <c r="EZ11" i="70"/>
  <c r="EZ20" i="70" s="1"/>
  <c r="CV12" i="70"/>
  <c r="CV14" i="70" s="1"/>
  <c r="CV16" i="70" s="1"/>
  <c r="DD12" i="70"/>
  <c r="DD14" i="70" s="1"/>
  <c r="DD16" i="70" s="1"/>
  <c r="DL12" i="70"/>
  <c r="DL14" i="70" s="1"/>
  <c r="DL16" i="70" s="1"/>
  <c r="DT12" i="70"/>
  <c r="DT14" i="70" s="1"/>
  <c r="DT16" i="70" s="1"/>
  <c r="EB12" i="70"/>
  <c r="EB14" i="70" s="1"/>
  <c r="EB16" i="70" s="1"/>
  <c r="EJ12" i="70"/>
  <c r="EJ14" i="70" s="1"/>
  <c r="EJ16" i="70" s="1"/>
  <c r="ER12" i="70"/>
  <c r="ER14" i="70" s="1"/>
  <c r="ER16" i="70" s="1"/>
  <c r="EZ12" i="70"/>
  <c r="EZ14" i="70" s="1"/>
  <c r="EZ16" i="70" s="1"/>
  <c r="CS9" i="70"/>
  <c r="CS10" i="70" s="1"/>
  <c r="CS19" i="70" s="1"/>
  <c r="DK7" i="67"/>
  <c r="DK10" i="67" s="1"/>
  <c r="DK13" i="67" s="1"/>
  <c r="DK18" i="67" s="1"/>
  <c r="EZ67" i="22" s="1"/>
  <c r="DY7" i="79"/>
  <c r="DY10" i="79" s="1"/>
  <c r="DD8" i="79"/>
  <c r="DD11" i="79" s="1"/>
  <c r="EJ8" i="79"/>
  <c r="EJ11" i="79" s="1"/>
  <c r="CX7" i="77"/>
  <c r="CX10" i="77" s="1"/>
  <c r="CX11" i="77" s="1"/>
  <c r="CX16" i="77" s="1"/>
  <c r="EM83" i="22" s="1"/>
  <c r="ED7" i="77"/>
  <c r="ED10" i="77" s="1"/>
  <c r="ED11" i="77" s="1"/>
  <c r="ED16" i="77" s="1"/>
  <c r="DV7" i="76"/>
  <c r="DV10" i="76" s="1"/>
  <c r="ED8" i="76"/>
  <c r="ED11" i="76" s="1"/>
  <c r="DM7" i="74"/>
  <c r="DM9" i="74" s="1"/>
  <c r="DM11" i="74" s="1"/>
  <c r="DM16" i="74" s="1"/>
  <c r="FB79" i="22" s="1"/>
  <c r="DX7" i="73"/>
  <c r="DX10" i="73" s="1"/>
  <c r="DK8" i="73"/>
  <c r="DK11" i="73" s="1"/>
  <c r="EE8" i="73"/>
  <c r="EE11" i="73" s="1"/>
  <c r="CY7" i="73"/>
  <c r="CY10" i="73" s="1"/>
  <c r="CV7" i="70"/>
  <c r="CV17" i="70" s="1"/>
  <c r="DP7" i="70"/>
  <c r="DP17" i="70" s="1"/>
  <c r="EM7" i="70"/>
  <c r="EM17" i="70" s="1"/>
  <c r="CV8" i="70"/>
  <c r="EM8" i="70"/>
  <c r="CV9" i="70"/>
  <c r="CV10" i="70" s="1"/>
  <c r="CV19" i="70" s="1"/>
  <c r="DP10" i="70"/>
  <c r="DP19" i="70" s="1"/>
  <c r="EM9" i="70"/>
  <c r="EM10" i="70" s="1"/>
  <c r="EM19" i="70" s="1"/>
  <c r="DC11" i="70"/>
  <c r="DC20" i="70" s="1"/>
  <c r="DP11" i="70"/>
  <c r="DP20" i="70" s="1"/>
  <c r="DZ11" i="70"/>
  <c r="DZ20" i="70" s="1"/>
  <c r="EI11" i="70"/>
  <c r="EI20" i="70" s="1"/>
  <c r="ER11" i="70"/>
  <c r="ER20" i="70" s="1"/>
  <c r="FA11" i="70"/>
  <c r="FA20" i="70" s="1"/>
  <c r="CW12" i="70"/>
  <c r="CW14" i="70" s="1"/>
  <c r="CW16" i="70" s="1"/>
  <c r="DE12" i="70"/>
  <c r="DE14" i="70" s="1"/>
  <c r="DE16" i="70" s="1"/>
  <c r="DM12" i="70"/>
  <c r="DU12" i="70"/>
  <c r="DU14" i="70" s="1"/>
  <c r="DU16" i="70" s="1"/>
  <c r="EC12" i="70"/>
  <c r="EC14" i="70" s="1"/>
  <c r="EC16" i="70" s="1"/>
  <c r="EK12" i="70"/>
  <c r="EK14" i="70" s="1"/>
  <c r="EK16" i="70" s="1"/>
  <c r="ES12" i="70"/>
  <c r="ES14" i="70" s="1"/>
  <c r="ES16" i="70" s="1"/>
  <c r="FA12" i="70"/>
  <c r="FA14" i="70" s="1"/>
  <c r="FA16" i="70" s="1"/>
  <c r="CS11" i="70"/>
  <c r="CS20" i="70" s="1"/>
  <c r="DL7" i="67"/>
  <c r="DL10" i="67" s="1"/>
  <c r="DL13" i="67" s="1"/>
  <c r="DL18" i="67" s="1"/>
  <c r="FA67" i="22" s="1"/>
  <c r="DT7" i="67"/>
  <c r="DT10" i="67" s="1"/>
  <c r="DT13" i="67" s="1"/>
  <c r="DT18" i="67" s="1"/>
  <c r="EB7" i="67"/>
  <c r="EB10" i="67" s="1"/>
  <c r="EB13" i="67" s="1"/>
  <c r="EB18" i="67" s="1"/>
  <c r="EJ7" i="67"/>
  <c r="EJ10" i="67" s="1"/>
  <c r="EJ13" i="67" s="1"/>
  <c r="EJ18" i="67" s="1"/>
  <c r="CU7" i="67"/>
  <c r="CU10" i="67" s="1"/>
  <c r="CU13" i="67" s="1"/>
  <c r="CU18" i="67" s="1"/>
  <c r="DC7" i="67"/>
  <c r="DC10" i="67" s="1"/>
  <c r="DC13" i="67" s="1"/>
  <c r="DC18" i="67" s="1"/>
  <c r="ER67" i="22" s="1"/>
  <c r="DG7" i="66"/>
  <c r="DG10" i="66" s="1"/>
  <c r="DO7" i="66"/>
  <c r="DO10" i="66" s="1"/>
  <c r="DW7" i="66"/>
  <c r="DW10" i="66" s="1"/>
  <c r="DC8" i="66"/>
  <c r="DC11" i="66" s="1"/>
  <c r="DK8" i="66"/>
  <c r="DK11" i="66" s="1"/>
  <c r="DS8" i="66"/>
  <c r="DS11" i="66" s="1"/>
  <c r="EA8" i="66"/>
  <c r="EA11" i="66" s="1"/>
  <c r="CV7" i="66"/>
  <c r="CV10" i="66" s="1"/>
  <c r="CW8" i="66"/>
  <c r="CW11" i="66" s="1"/>
  <c r="CX7" i="63"/>
  <c r="CX10" i="63" s="1"/>
  <c r="DF7" i="63"/>
  <c r="DF10" i="63" s="1"/>
  <c r="DN7" i="63"/>
  <c r="DN10" i="63" s="1"/>
  <c r="DV7" i="63"/>
  <c r="DV10" i="63" s="1"/>
  <c r="DN8" i="76"/>
  <c r="DN11" i="76" s="1"/>
  <c r="DV7" i="74"/>
  <c r="DV9" i="74" s="1"/>
  <c r="DV11" i="74" s="1"/>
  <c r="DV16" i="74" s="1"/>
  <c r="DM7" i="73"/>
  <c r="DM10" i="73" s="1"/>
  <c r="DG7" i="70"/>
  <c r="DG17" i="70" s="1"/>
  <c r="EV8" i="70"/>
  <c r="DJ11" i="70"/>
  <c r="DJ20" i="70" s="1"/>
  <c r="FE11" i="70"/>
  <c r="FE20" i="70" s="1"/>
  <c r="EG12" i="70"/>
  <c r="EG14" i="70" s="1"/>
  <c r="EG16" i="70" s="1"/>
  <c r="CR7" i="70"/>
  <c r="CR17" i="70" s="1"/>
  <c r="DG7" i="67"/>
  <c r="DG10" i="67" s="1"/>
  <c r="DG13" i="67" s="1"/>
  <c r="DG18" i="67" s="1"/>
  <c r="EV67" i="22" s="1"/>
  <c r="EA7" i="66"/>
  <c r="EA10" i="66" s="1"/>
  <c r="DR7" i="63"/>
  <c r="DR10" i="63" s="1"/>
  <c r="DZ7" i="79"/>
  <c r="DZ10" i="79" s="1"/>
  <c r="DE8" i="79"/>
  <c r="DE11" i="79" s="1"/>
  <c r="EK8" i="79"/>
  <c r="EK11" i="79" s="1"/>
  <c r="DE7" i="77"/>
  <c r="DE10" i="77" s="1"/>
  <c r="DE11" i="77" s="1"/>
  <c r="DE16" i="77" s="1"/>
  <c r="ET83" i="22" s="1"/>
  <c r="EK7" i="77"/>
  <c r="EK10" i="77" s="1"/>
  <c r="EK11" i="77" s="1"/>
  <c r="EK16" i="77" s="1"/>
  <c r="EC7" i="76"/>
  <c r="EC10" i="76" s="1"/>
  <c r="DE7" i="76"/>
  <c r="DE10" i="76" s="1"/>
  <c r="CT7" i="74"/>
  <c r="CT9" i="74" s="1"/>
  <c r="CT11" i="74" s="1"/>
  <c r="CT16" i="74" s="1"/>
  <c r="DN7" i="74"/>
  <c r="DN9" i="74" s="1"/>
  <c r="DN11" i="74" s="1"/>
  <c r="DN16" i="74" s="1"/>
  <c r="FC79" i="22" s="1"/>
  <c r="DE7" i="73"/>
  <c r="DE10" i="73" s="1"/>
  <c r="DY7" i="73"/>
  <c r="DY10" i="73" s="1"/>
  <c r="DN8" i="73"/>
  <c r="DN11" i="73" s="1"/>
  <c r="EI8" i="73"/>
  <c r="EI11" i="73" s="1"/>
  <c r="CS8" i="73"/>
  <c r="CS11" i="73" s="1"/>
  <c r="CY7" i="70"/>
  <c r="CY17" i="70" s="1"/>
  <c r="DT7" i="70"/>
  <c r="DT17" i="70" s="1"/>
  <c r="EN7" i="70"/>
  <c r="EN17" i="70" s="1"/>
  <c r="CY8" i="70"/>
  <c r="EN8" i="70"/>
  <c r="CY9" i="70"/>
  <c r="CY10" i="70" s="1"/>
  <c r="CY19" i="70" s="1"/>
  <c r="DT10" i="70"/>
  <c r="DT19" i="70" s="1"/>
  <c r="EN9" i="70"/>
  <c r="EN10" i="70" s="1"/>
  <c r="EN19" i="70" s="1"/>
  <c r="DF11" i="70"/>
  <c r="DF20" i="70" s="1"/>
  <c r="DQ11" i="70"/>
  <c r="DQ20" i="70" s="1"/>
  <c r="EA11" i="70"/>
  <c r="EA20" i="70" s="1"/>
  <c r="EJ11" i="70"/>
  <c r="EJ20" i="70" s="1"/>
  <c r="ET11" i="70"/>
  <c r="ET20" i="70" s="1"/>
  <c r="FB11" i="70"/>
  <c r="FB20" i="70" s="1"/>
  <c r="CX12" i="70"/>
  <c r="CX14" i="70" s="1"/>
  <c r="CX16" i="70" s="1"/>
  <c r="DF12" i="70"/>
  <c r="DF14" i="70" s="1"/>
  <c r="DF16" i="70" s="1"/>
  <c r="DN12" i="70"/>
  <c r="DN14" i="70" s="1"/>
  <c r="DN16" i="70" s="1"/>
  <c r="DV12" i="70"/>
  <c r="DV14" i="70" s="1"/>
  <c r="DV16" i="70" s="1"/>
  <c r="ED12" i="70"/>
  <c r="ED14" i="70" s="1"/>
  <c r="ED16" i="70" s="1"/>
  <c r="EL12" i="70"/>
  <c r="EL14" i="70" s="1"/>
  <c r="EL16" i="70" s="1"/>
  <c r="ET12" i="70"/>
  <c r="ET14" i="70" s="1"/>
  <c r="ET16" i="70" s="1"/>
  <c r="FB12" i="70"/>
  <c r="FB14" i="70" s="1"/>
  <c r="FB16" i="70" s="1"/>
  <c r="CS12" i="70"/>
  <c r="CS14" i="70" s="1"/>
  <c r="CS16" i="70" s="1"/>
  <c r="DM7" i="67"/>
  <c r="DM10" i="67" s="1"/>
  <c r="DM13" i="67" s="1"/>
  <c r="DM18" i="67" s="1"/>
  <c r="FB67" i="22" s="1"/>
  <c r="DU7" i="67"/>
  <c r="DU10" i="67" s="1"/>
  <c r="DU13" i="67" s="1"/>
  <c r="DU18" i="67" s="1"/>
  <c r="EC7" i="67"/>
  <c r="EC10" i="67" s="1"/>
  <c r="EC13" i="67" s="1"/>
  <c r="EC18" i="67" s="1"/>
  <c r="EK7" i="67"/>
  <c r="EK10" i="67" s="1"/>
  <c r="EK13" i="67" s="1"/>
  <c r="EK18" i="67" s="1"/>
  <c r="CV7" i="67"/>
  <c r="CV10" i="67" s="1"/>
  <c r="CV13" i="67" s="1"/>
  <c r="CV18" i="67" s="1"/>
  <c r="DD7" i="67"/>
  <c r="DD10" i="67" s="1"/>
  <c r="DD13" i="67" s="1"/>
  <c r="DD18" i="67" s="1"/>
  <c r="ES67" i="22" s="1"/>
  <c r="CZ7" i="66"/>
  <c r="CZ10" i="66" s="1"/>
  <c r="DH7" i="66"/>
  <c r="DH10" i="66" s="1"/>
  <c r="DP7" i="66"/>
  <c r="DP10" i="66" s="1"/>
  <c r="DX7" i="66"/>
  <c r="DX10" i="66" s="1"/>
  <c r="DD8" i="66"/>
  <c r="DD11" i="66" s="1"/>
  <c r="DL8" i="66"/>
  <c r="DL11" i="66" s="1"/>
  <c r="DT8" i="66"/>
  <c r="DT11" i="66" s="1"/>
  <c r="CW7" i="66"/>
  <c r="CW10" i="66" s="1"/>
  <c r="CX8" i="66"/>
  <c r="CX11" i="66" s="1"/>
  <c r="CY7" i="63"/>
  <c r="CY10" i="63" s="1"/>
  <c r="DG7" i="63"/>
  <c r="DG10" i="63" s="1"/>
  <c r="DO7" i="63"/>
  <c r="DO10" i="63" s="1"/>
  <c r="CR7" i="63"/>
  <c r="CR10" i="63" s="1"/>
  <c r="DI7" i="79"/>
  <c r="DI10" i="79" s="1"/>
  <c r="DN7" i="77"/>
  <c r="DN10" i="77" s="1"/>
  <c r="DN11" i="77" s="1"/>
  <c r="DN16" i="77" s="1"/>
  <c r="FC83" i="22" s="1"/>
  <c r="DF7" i="75"/>
  <c r="DF9" i="75" s="1"/>
  <c r="DF11" i="75" s="1"/>
  <c r="DF16" i="75" s="1"/>
  <c r="EU80" i="22" s="1"/>
  <c r="EG7" i="73"/>
  <c r="EG10" i="73" s="1"/>
  <c r="EB7" i="70"/>
  <c r="EB17" i="70" s="1"/>
  <c r="DG9" i="70"/>
  <c r="DG10" i="70" s="1"/>
  <c r="DG19" i="70" s="1"/>
  <c r="DV11" i="70"/>
  <c r="DV20" i="70" s="1"/>
  <c r="DA12" i="70"/>
  <c r="DA14" i="70" s="1"/>
  <c r="DA16" i="70" s="1"/>
  <c r="EO12" i="70"/>
  <c r="EO14" i="70" s="1"/>
  <c r="EO16" i="70" s="1"/>
  <c r="DP7" i="67"/>
  <c r="DP10" i="67" s="1"/>
  <c r="DP13" i="67" s="1"/>
  <c r="DP18" i="67" s="1"/>
  <c r="FE67" i="22" s="1"/>
  <c r="DK7" i="66"/>
  <c r="DK10" i="66" s="1"/>
  <c r="DW8" i="66"/>
  <c r="DW11" i="66" s="1"/>
  <c r="CT7" i="63"/>
  <c r="CT10" i="63" s="1"/>
  <c r="EG7" i="79"/>
  <c r="EG10" i="79" s="1"/>
  <c r="DL8" i="79"/>
  <c r="DL11" i="79" s="1"/>
  <c r="ER8" i="79"/>
  <c r="ER11" i="79" s="1"/>
  <c r="DF7" i="77"/>
  <c r="DF10" i="77" s="1"/>
  <c r="DF11" i="77" s="1"/>
  <c r="DF16" i="77" s="1"/>
  <c r="EU83" i="22" s="1"/>
  <c r="EL7" i="77"/>
  <c r="EL10" i="77" s="1"/>
  <c r="EL11" i="77" s="1"/>
  <c r="EL16" i="77" s="1"/>
  <c r="ED7" i="76"/>
  <c r="ED10" i="76" s="1"/>
  <c r="DF7" i="76"/>
  <c r="DF10" i="76" s="1"/>
  <c r="CW7" i="74"/>
  <c r="CW9" i="74" s="1"/>
  <c r="CW11" i="74" s="1"/>
  <c r="CW16" i="74" s="1"/>
  <c r="EL79" i="22" s="1"/>
  <c r="DR7" i="74"/>
  <c r="DR9" i="74" s="1"/>
  <c r="DR11" i="74" s="1"/>
  <c r="DR16" i="74" s="1"/>
  <c r="FG79" i="22" s="1"/>
  <c r="DH7" i="73"/>
  <c r="DH10" i="73" s="1"/>
  <c r="EC7" i="73"/>
  <c r="EC10" i="73" s="1"/>
  <c r="DO8" i="73"/>
  <c r="DO11" i="73" s="1"/>
  <c r="CV8" i="73"/>
  <c r="CV11" i="73" s="1"/>
  <c r="CZ7" i="70"/>
  <c r="CZ17" i="70" s="1"/>
  <c r="DW7" i="70"/>
  <c r="DW17" i="70" s="1"/>
  <c r="ER7" i="70"/>
  <c r="ER17" i="70" s="1"/>
  <c r="CZ8" i="70"/>
  <c r="ER8" i="70"/>
  <c r="CZ9" i="70"/>
  <c r="CZ10" i="70" s="1"/>
  <c r="CZ19" i="70" s="1"/>
  <c r="DW9" i="70"/>
  <c r="DW10" i="70" s="1"/>
  <c r="DW19" i="70" s="1"/>
  <c r="ER9" i="70"/>
  <c r="ER10" i="70" s="1"/>
  <c r="ER19" i="70" s="1"/>
  <c r="CT11" i="70"/>
  <c r="CT20" i="70" s="1"/>
  <c r="DG11" i="70"/>
  <c r="DG20" i="70" s="1"/>
  <c r="DR11" i="70"/>
  <c r="DR20" i="70" s="1"/>
  <c r="EB11" i="70"/>
  <c r="EB20" i="70" s="1"/>
  <c r="EL11" i="70"/>
  <c r="EL20" i="70" s="1"/>
  <c r="EU11" i="70"/>
  <c r="EU20" i="70" s="1"/>
  <c r="FC11" i="70"/>
  <c r="FC20" i="70" s="1"/>
  <c r="CY12" i="70"/>
  <c r="CY14" i="70" s="1"/>
  <c r="CY16" i="70" s="1"/>
  <c r="DG12" i="70"/>
  <c r="DG14" i="70" s="1"/>
  <c r="DG16" i="70" s="1"/>
  <c r="DO12" i="70"/>
  <c r="DO14" i="70" s="1"/>
  <c r="DO16" i="70" s="1"/>
  <c r="DW12" i="70"/>
  <c r="DW14" i="70" s="1"/>
  <c r="DW16" i="70" s="1"/>
  <c r="EE12" i="70"/>
  <c r="EE14" i="70" s="1"/>
  <c r="EE16" i="70" s="1"/>
  <c r="EM12" i="70"/>
  <c r="EM14" i="70" s="1"/>
  <c r="EM16" i="70" s="1"/>
  <c r="EU12" i="70"/>
  <c r="EU14" i="70" s="1"/>
  <c r="EU16" i="70" s="1"/>
  <c r="FC12" i="70"/>
  <c r="FC14" i="70" s="1"/>
  <c r="FC16" i="70" s="1"/>
  <c r="CR12" i="70"/>
  <c r="CR14" i="70" s="1"/>
  <c r="CR16" i="70" s="1"/>
  <c r="DN7" i="67"/>
  <c r="DN10" i="67" s="1"/>
  <c r="DN13" i="67" s="1"/>
  <c r="DN18" i="67" s="1"/>
  <c r="FC67" i="22" s="1"/>
  <c r="DV7" i="67"/>
  <c r="DV10" i="67" s="1"/>
  <c r="DV13" i="67" s="1"/>
  <c r="DV18" i="67" s="1"/>
  <c r="ED7" i="67"/>
  <c r="ED10" i="67" s="1"/>
  <c r="ED13" i="67" s="1"/>
  <c r="ED18" i="67" s="1"/>
  <c r="DH7" i="67"/>
  <c r="DH10" i="67" s="1"/>
  <c r="DH13" i="67" s="1"/>
  <c r="DH18" i="67" s="1"/>
  <c r="EW67" i="22" s="1"/>
  <c r="CW7" i="67"/>
  <c r="CW10" i="67" s="1"/>
  <c r="CW13" i="67" s="1"/>
  <c r="CW18" i="67" s="1"/>
  <c r="EL67" i="22" s="1"/>
  <c r="DE7" i="67"/>
  <c r="DE10" i="67" s="1"/>
  <c r="DE13" i="67" s="1"/>
  <c r="DE18" i="67" s="1"/>
  <c r="ET67" i="22" s="1"/>
  <c r="DA7" i="66"/>
  <c r="DA10" i="66" s="1"/>
  <c r="DI7" i="66"/>
  <c r="DI10" i="66" s="1"/>
  <c r="DQ7" i="66"/>
  <c r="DQ10" i="66" s="1"/>
  <c r="DY7" i="66"/>
  <c r="DY10" i="66" s="1"/>
  <c r="DE8" i="66"/>
  <c r="DE11" i="66" s="1"/>
  <c r="DM8" i="66"/>
  <c r="DM11" i="66" s="1"/>
  <c r="DU8" i="66"/>
  <c r="DU11" i="66" s="1"/>
  <c r="CX7" i="66"/>
  <c r="CX10" i="66" s="1"/>
  <c r="CY8" i="66"/>
  <c r="CY11" i="66" s="1"/>
  <c r="CZ7" i="63"/>
  <c r="CZ10" i="63" s="1"/>
  <c r="DH7" i="63"/>
  <c r="DH10" i="63" s="1"/>
  <c r="DP7" i="63"/>
  <c r="DP10" i="63" s="1"/>
  <c r="DT8" i="79"/>
  <c r="DT11" i="79" s="1"/>
  <c r="DF8" i="76"/>
  <c r="DF11" i="76" s="1"/>
  <c r="DB7" i="74"/>
  <c r="DB9" i="74" s="1"/>
  <c r="DB11" i="74" s="1"/>
  <c r="DB16" i="74" s="1"/>
  <c r="EQ79" i="22" s="1"/>
  <c r="DV8" i="73"/>
  <c r="DV11" i="73" s="1"/>
  <c r="DA8" i="73"/>
  <c r="DA11" i="73" s="1"/>
  <c r="CX11" i="70"/>
  <c r="CX20" i="70" s="1"/>
  <c r="DI12" i="70"/>
  <c r="DI14" i="70" s="1"/>
  <c r="DI16" i="70" s="1"/>
  <c r="EW12" i="70"/>
  <c r="EW14" i="70" s="1"/>
  <c r="EW16" i="70" s="1"/>
  <c r="DX7" i="67"/>
  <c r="DX10" i="67" s="1"/>
  <c r="DX13" i="67" s="1"/>
  <c r="DX18" i="67" s="1"/>
  <c r="DC7" i="66"/>
  <c r="DC10" i="66" s="1"/>
  <c r="DO8" i="66"/>
  <c r="DO11" i="66" s="1"/>
  <c r="CS8" i="66"/>
  <c r="CS11" i="66" s="1"/>
  <c r="EH7" i="79"/>
  <c r="EH10" i="79" s="1"/>
  <c r="DM8" i="79"/>
  <c r="DM11" i="79" s="1"/>
  <c r="ES8" i="79"/>
  <c r="ES11" i="79" s="1"/>
  <c r="DM7" i="77"/>
  <c r="DM10" i="77" s="1"/>
  <c r="DM11" i="77" s="1"/>
  <c r="DM16" i="77" s="1"/>
  <c r="FB83" i="22" s="1"/>
  <c r="ES7" i="77"/>
  <c r="ES10" i="77" s="1"/>
  <c r="ES11" i="77" s="1"/>
  <c r="ES16" i="77" s="1"/>
  <c r="DM8" i="76"/>
  <c r="DM11" i="76" s="1"/>
  <c r="DE8" i="76"/>
  <c r="DE11" i="76" s="1"/>
  <c r="DE7" i="75"/>
  <c r="DE9" i="75" s="1"/>
  <c r="DE11" i="75" s="1"/>
  <c r="DE16" i="75" s="1"/>
  <c r="ET80" i="22" s="1"/>
  <c r="CX7" i="74"/>
  <c r="CX9" i="74" s="1"/>
  <c r="CX11" i="74" s="1"/>
  <c r="CX16" i="74" s="1"/>
  <c r="EM79" i="22" s="1"/>
  <c r="DU7" i="74"/>
  <c r="DU9" i="74" s="1"/>
  <c r="DU11" i="74" s="1"/>
  <c r="DU16" i="74" s="1"/>
  <c r="DI7" i="73"/>
  <c r="DI10" i="73" s="1"/>
  <c r="EF7" i="73"/>
  <c r="EF10" i="73" s="1"/>
  <c r="DS8" i="73"/>
  <c r="DS11" i="73" s="1"/>
  <c r="CW8" i="73"/>
  <c r="CW11" i="73" s="1"/>
  <c r="DD7" i="70"/>
  <c r="DD17" i="70" s="1"/>
  <c r="DX7" i="70"/>
  <c r="DX17" i="70" s="1"/>
  <c r="EU7" i="70"/>
  <c r="EU17" i="70" s="1"/>
  <c r="DD8" i="70"/>
  <c r="EU8" i="70"/>
  <c r="DD9" i="70"/>
  <c r="DD10" i="70" s="1"/>
  <c r="DD19" i="70" s="1"/>
  <c r="DX9" i="70"/>
  <c r="DX10" i="70" s="1"/>
  <c r="DX19" i="70" s="1"/>
  <c r="EU9" i="70"/>
  <c r="EU10" i="70" s="1"/>
  <c r="EU19" i="70" s="1"/>
  <c r="CU11" i="70"/>
  <c r="CU20" i="70" s="1"/>
  <c r="DH11" i="70"/>
  <c r="DH20" i="70" s="1"/>
  <c r="DS11" i="70"/>
  <c r="DS20" i="70" s="1"/>
  <c r="ED11" i="70"/>
  <c r="ED20" i="70" s="1"/>
  <c r="EM11" i="70"/>
  <c r="EM20" i="70" s="1"/>
  <c r="EV11" i="70"/>
  <c r="EV20" i="70" s="1"/>
  <c r="FD11" i="70"/>
  <c r="FD20" i="70" s="1"/>
  <c r="CZ12" i="70"/>
  <c r="CZ14" i="70" s="1"/>
  <c r="CZ16" i="70" s="1"/>
  <c r="DH12" i="70"/>
  <c r="DH14" i="70" s="1"/>
  <c r="DP12" i="70"/>
  <c r="DP14" i="70" s="1"/>
  <c r="DP16" i="70" s="1"/>
  <c r="DX12" i="70"/>
  <c r="DX14" i="70" s="1"/>
  <c r="DX16" i="70" s="1"/>
  <c r="EF12" i="70"/>
  <c r="EF14" i="70" s="1"/>
  <c r="EF16" i="70" s="1"/>
  <c r="EN12" i="70"/>
  <c r="EN14" i="70" s="1"/>
  <c r="EN16" i="70" s="1"/>
  <c r="EV12" i="70"/>
  <c r="EV14" i="70" s="1"/>
  <c r="EV16" i="70" s="1"/>
  <c r="FD12" i="70"/>
  <c r="FD14" i="70" s="1"/>
  <c r="FD16" i="70" s="1"/>
  <c r="CR11" i="70"/>
  <c r="CR20" i="70" s="1"/>
  <c r="DO7" i="67"/>
  <c r="DO10" i="67" s="1"/>
  <c r="DO13" i="67" s="1"/>
  <c r="DO18" i="67" s="1"/>
  <c r="FD67" i="22" s="1"/>
  <c r="DW7" i="67"/>
  <c r="DW10" i="67" s="1"/>
  <c r="DW13" i="67" s="1"/>
  <c r="DW18" i="67" s="1"/>
  <c r="EE7" i="67"/>
  <c r="EE10" i="67" s="1"/>
  <c r="EE13" i="67" s="1"/>
  <c r="EE18" i="67" s="1"/>
  <c r="CX7" i="67"/>
  <c r="CX10" i="67" s="1"/>
  <c r="CX13" i="67" s="1"/>
  <c r="CX18" i="67" s="1"/>
  <c r="EM67" i="22" s="1"/>
  <c r="DF7" i="67"/>
  <c r="DF10" i="67" s="1"/>
  <c r="DF13" i="67" s="1"/>
  <c r="DF18" i="67" s="1"/>
  <c r="EU67" i="22" s="1"/>
  <c r="DB7" i="66"/>
  <c r="DB10" i="66" s="1"/>
  <c r="DJ7" i="66"/>
  <c r="DJ10" i="66" s="1"/>
  <c r="DR7" i="66"/>
  <c r="DR10" i="66" s="1"/>
  <c r="DZ7" i="66"/>
  <c r="DZ10" i="66" s="1"/>
  <c r="DF8" i="66"/>
  <c r="DF11" i="66" s="1"/>
  <c r="DN8" i="66"/>
  <c r="DN11" i="66" s="1"/>
  <c r="DV8" i="66"/>
  <c r="DV11" i="66" s="1"/>
  <c r="CY7" i="66"/>
  <c r="CY10" i="66" s="1"/>
  <c r="CR8" i="66"/>
  <c r="CR11" i="66" s="1"/>
  <c r="CS7" i="63"/>
  <c r="CS10" i="63" s="1"/>
  <c r="DA7" i="63"/>
  <c r="DA10" i="63" s="1"/>
  <c r="DI7" i="63"/>
  <c r="DI10" i="63" s="1"/>
  <c r="DQ7" i="63"/>
  <c r="DQ10" i="63" s="1"/>
  <c r="EO7" i="79"/>
  <c r="EO10" i="79" s="1"/>
  <c r="CV7" i="77"/>
  <c r="CV10" i="77" s="1"/>
  <c r="CV11" i="77" s="1"/>
  <c r="CV16" i="77" s="1"/>
  <c r="EZ8" i="79"/>
  <c r="EZ11" i="79" s="1"/>
  <c r="EN11" i="70"/>
  <c r="EN20" i="70" s="1"/>
  <c r="EF7" i="67"/>
  <c r="EF10" i="67" s="1"/>
  <c r="EF13" i="67" s="1"/>
  <c r="EF18" i="67" s="1"/>
  <c r="DG8" i="66"/>
  <c r="DG11" i="66" s="1"/>
  <c r="DB7" i="63"/>
  <c r="DB10" i="63" s="1"/>
  <c r="DJ7" i="79"/>
  <c r="DJ10" i="79" s="1"/>
  <c r="EP7" i="79"/>
  <c r="EP10" i="79" s="1"/>
  <c r="DU8" i="79"/>
  <c r="DU11" i="79" s="1"/>
  <c r="FA8" i="79"/>
  <c r="FA11" i="79" s="1"/>
  <c r="DU7" i="77"/>
  <c r="DU10" i="77" s="1"/>
  <c r="DU11" i="77" s="1"/>
  <c r="DU16" i="77" s="1"/>
  <c r="DM7" i="76"/>
  <c r="DM10" i="76" s="1"/>
  <c r="DU8" i="76"/>
  <c r="DU11" i="76" s="1"/>
  <c r="DE7" i="74"/>
  <c r="DE9" i="74" s="1"/>
  <c r="DE11" i="74" s="1"/>
  <c r="DE16" i="74" s="1"/>
  <c r="ET79" i="22" s="1"/>
  <c r="DZ7" i="74"/>
  <c r="DZ9" i="74" s="1"/>
  <c r="DZ11" i="74" s="1"/>
  <c r="DZ16" i="74" s="1"/>
  <c r="DP7" i="73"/>
  <c r="DP10" i="73" s="1"/>
  <c r="DC8" i="73"/>
  <c r="DC11" i="73" s="1"/>
  <c r="DW8" i="73"/>
  <c r="DW11" i="73" s="1"/>
  <c r="DH7" i="70"/>
  <c r="DH17" i="70" s="1"/>
  <c r="EE7" i="70"/>
  <c r="EE17" i="70" s="1"/>
  <c r="EZ7" i="70"/>
  <c r="EZ17" i="70" s="1"/>
  <c r="EZ8" i="70"/>
  <c r="DH19" i="70"/>
  <c r="EE9" i="70"/>
  <c r="EE10" i="70" s="1"/>
  <c r="EE19" i="70" s="1"/>
  <c r="EZ9" i="70"/>
  <c r="EZ10" i="70" s="1"/>
  <c r="EZ19" i="70" s="1"/>
  <c r="CY11" i="70"/>
  <c r="CY20" i="70" s="1"/>
  <c r="DK11" i="70"/>
  <c r="DK20" i="70" s="1"/>
  <c r="DW11" i="70"/>
  <c r="DW20" i="70" s="1"/>
  <c r="EF11" i="70"/>
  <c r="EF20" i="70" s="1"/>
  <c r="EO11" i="70"/>
  <c r="EO20" i="70" s="1"/>
  <c r="EX11" i="70"/>
  <c r="EX20" i="70" s="1"/>
  <c r="CT12" i="70"/>
  <c r="CT14" i="70" s="1"/>
  <c r="CT16" i="70" s="1"/>
  <c r="DB12" i="70"/>
  <c r="DB14" i="70" s="1"/>
  <c r="DB16" i="70" s="1"/>
  <c r="DJ12" i="70"/>
  <c r="DJ14" i="70" s="1"/>
  <c r="DJ16" i="70" s="1"/>
  <c r="DR12" i="70"/>
  <c r="DR14" i="70" s="1"/>
  <c r="DR16" i="70" s="1"/>
  <c r="DZ12" i="70"/>
  <c r="DZ14" i="70" s="1"/>
  <c r="DZ16" i="70" s="1"/>
  <c r="EH12" i="70"/>
  <c r="EH14" i="70" s="1"/>
  <c r="EH16" i="70" s="1"/>
  <c r="EP12" i="70"/>
  <c r="EP14" i="70" s="1"/>
  <c r="EP16" i="70" s="1"/>
  <c r="EX12" i="70"/>
  <c r="EX14" i="70" s="1"/>
  <c r="EX16" i="70" s="1"/>
  <c r="CS7" i="70"/>
  <c r="CS17" i="70" s="1"/>
  <c r="DI7" i="67"/>
  <c r="DI10" i="67" s="1"/>
  <c r="DI13" i="67" s="1"/>
  <c r="DI18" i="67" s="1"/>
  <c r="EX67" i="22" s="1"/>
  <c r="DQ7" i="67"/>
  <c r="DQ10" i="67" s="1"/>
  <c r="DQ13" i="67" s="1"/>
  <c r="DQ18" i="67" s="1"/>
  <c r="FF67" i="22" s="1"/>
  <c r="DY7" i="67"/>
  <c r="DY10" i="67" s="1"/>
  <c r="DY13" i="67" s="1"/>
  <c r="DY18" i="67" s="1"/>
  <c r="EG7" i="67"/>
  <c r="EG10" i="67" s="1"/>
  <c r="EG13" i="67" s="1"/>
  <c r="EG18" i="67" s="1"/>
  <c r="CZ7" i="67"/>
  <c r="CZ10" i="67" s="1"/>
  <c r="CZ13" i="67" s="1"/>
  <c r="CZ18" i="67" s="1"/>
  <c r="EO67" i="22" s="1"/>
  <c r="DD7" i="66"/>
  <c r="DD10" i="66" s="1"/>
  <c r="DL7" i="66"/>
  <c r="DL10" i="66" s="1"/>
  <c r="DT7" i="66"/>
  <c r="DT10" i="66" s="1"/>
  <c r="CZ8" i="66"/>
  <c r="CZ11" i="66" s="1"/>
  <c r="DH8" i="66"/>
  <c r="DH11" i="66" s="1"/>
  <c r="DP8" i="66"/>
  <c r="DP11" i="66" s="1"/>
  <c r="DX8" i="66"/>
  <c r="DX11" i="66" s="1"/>
  <c r="CS7" i="66"/>
  <c r="CS10" i="66" s="1"/>
  <c r="CT8" i="66"/>
  <c r="CT11" i="66" s="1"/>
  <c r="CU7" i="63"/>
  <c r="CU10" i="63" s="1"/>
  <c r="DC7" i="63"/>
  <c r="DC10" i="63" s="1"/>
  <c r="DK7" i="63"/>
  <c r="DK10" i="63" s="1"/>
  <c r="DS7" i="63"/>
  <c r="DS10" i="63" s="1"/>
  <c r="EA7" i="67"/>
  <c r="EA10" i="67" s="1"/>
  <c r="EA13" i="67" s="1"/>
  <c r="EA18" i="67" s="1"/>
  <c r="DB7" i="67"/>
  <c r="DB10" i="67" s="1"/>
  <c r="DB13" i="67" s="1"/>
  <c r="DB18" i="67" s="1"/>
  <c r="EQ67" i="22" s="1"/>
  <c r="DN7" i="66"/>
  <c r="DN10" i="66" s="1"/>
  <c r="DB8" i="66"/>
  <c r="DB11" i="66" s="1"/>
  <c r="DR8" i="66"/>
  <c r="DR11" i="66" s="1"/>
  <c r="CU7" i="66"/>
  <c r="CU10" i="66" s="1"/>
  <c r="CW7" i="63"/>
  <c r="CW10" i="63" s="1"/>
  <c r="DM7" i="63"/>
  <c r="DM10" i="63" s="1"/>
  <c r="DU7" i="63"/>
  <c r="DU10" i="63" s="1"/>
  <c r="DG8" i="70"/>
  <c r="EV9" i="70"/>
  <c r="EV10" i="70" s="1"/>
  <c r="EV19" i="70" s="1"/>
  <c r="EE11" i="70"/>
  <c r="EE20" i="70" s="1"/>
  <c r="DQ12" i="70"/>
  <c r="DQ14" i="70" s="1"/>
  <c r="DQ16" i="70" s="1"/>
  <c r="DS7" i="66"/>
  <c r="DS10" i="66" s="1"/>
  <c r="CR7" i="66"/>
  <c r="CR10" i="66" s="1"/>
  <c r="DQ7" i="79"/>
  <c r="DQ10" i="79" s="1"/>
  <c r="EW7" i="79"/>
  <c r="EW10" i="79" s="1"/>
  <c r="EB8" i="79"/>
  <c r="EB11" i="79" s="1"/>
  <c r="DV7" i="77"/>
  <c r="DV10" i="77" s="1"/>
  <c r="DV11" i="77" s="1"/>
  <c r="DV16" i="77" s="1"/>
  <c r="DN7" i="76"/>
  <c r="DN10" i="76" s="1"/>
  <c r="DV8" i="76"/>
  <c r="DV11" i="76" s="1"/>
  <c r="DF7" i="74"/>
  <c r="DF9" i="74" s="1"/>
  <c r="DF11" i="74" s="1"/>
  <c r="DF16" i="74" s="1"/>
  <c r="EU79" i="22" s="1"/>
  <c r="EC7" i="74"/>
  <c r="EC9" i="74" s="1"/>
  <c r="EC11" i="74" s="1"/>
  <c r="EC16" i="74" s="1"/>
  <c r="CR7" i="74"/>
  <c r="CR9" i="74" s="1"/>
  <c r="CR11" i="74" s="1"/>
  <c r="CR16" i="74" s="1"/>
  <c r="DQ7" i="73"/>
  <c r="DQ10" i="73" s="1"/>
  <c r="DF8" i="73"/>
  <c r="DF11" i="73" s="1"/>
  <c r="EA8" i="73"/>
  <c r="EA11" i="73" s="1"/>
  <c r="CU7" i="73"/>
  <c r="CU10" i="73" s="1"/>
  <c r="DL7" i="70"/>
  <c r="DL17" i="70" s="1"/>
  <c r="EF7" i="70"/>
  <c r="EF17" i="70" s="1"/>
  <c r="FC7" i="70"/>
  <c r="FC17" i="70" s="1"/>
  <c r="EF8" i="70"/>
  <c r="FC8" i="70"/>
  <c r="DL19" i="70"/>
  <c r="EF9" i="70"/>
  <c r="EF10" i="70" s="1"/>
  <c r="EF19" i="70" s="1"/>
  <c r="FC9" i="70"/>
  <c r="FC10" i="70" s="1"/>
  <c r="FC19" i="70" s="1"/>
  <c r="CZ11" i="70"/>
  <c r="CZ20" i="70" s="1"/>
  <c r="DN11" i="70"/>
  <c r="DN20" i="70" s="1"/>
  <c r="DX11" i="70"/>
  <c r="DX20" i="70" s="1"/>
  <c r="EG11" i="70"/>
  <c r="EG20" i="70" s="1"/>
  <c r="EP11" i="70"/>
  <c r="EP20" i="70" s="1"/>
  <c r="EY11" i="70"/>
  <c r="EY20" i="70" s="1"/>
  <c r="CU12" i="70"/>
  <c r="CU14" i="70" s="1"/>
  <c r="CU16" i="70" s="1"/>
  <c r="DC12" i="70"/>
  <c r="DC14" i="70" s="1"/>
  <c r="DC16" i="70" s="1"/>
  <c r="DK12" i="70"/>
  <c r="DK14" i="70" s="1"/>
  <c r="DK16" i="70" s="1"/>
  <c r="DS12" i="70"/>
  <c r="DS14" i="70" s="1"/>
  <c r="DS16" i="70" s="1"/>
  <c r="EA12" i="70"/>
  <c r="EA14" i="70" s="1"/>
  <c r="EA16" i="70" s="1"/>
  <c r="EI12" i="70"/>
  <c r="EI14" i="70" s="1"/>
  <c r="EI16" i="70" s="1"/>
  <c r="EQ12" i="70"/>
  <c r="EQ14" i="70" s="1"/>
  <c r="EQ16" i="70" s="1"/>
  <c r="EY12" i="70"/>
  <c r="EY14" i="70" s="1"/>
  <c r="EY16" i="70" s="1"/>
  <c r="CS8" i="70"/>
  <c r="DJ7" i="67"/>
  <c r="DJ10" i="67" s="1"/>
  <c r="DJ13" i="67" s="1"/>
  <c r="DJ18" i="67" s="1"/>
  <c r="EY67" i="22" s="1"/>
  <c r="DR7" i="67"/>
  <c r="DR10" i="67" s="1"/>
  <c r="DR13" i="67" s="1"/>
  <c r="DR18" i="67" s="1"/>
  <c r="FG67" i="22" s="1"/>
  <c r="CD67" i="22" s="1"/>
  <c r="DZ7" i="67"/>
  <c r="DZ10" i="67" s="1"/>
  <c r="DZ13" i="67" s="1"/>
  <c r="DZ18" i="67" s="1"/>
  <c r="EH7" i="67"/>
  <c r="EH10" i="67" s="1"/>
  <c r="EH13" i="67" s="1"/>
  <c r="EH18" i="67" s="1"/>
  <c r="DA7" i="67"/>
  <c r="DA10" i="67" s="1"/>
  <c r="DA13" i="67" s="1"/>
  <c r="DA18" i="67" s="1"/>
  <c r="EP67" i="22" s="1"/>
  <c r="DE7" i="66"/>
  <c r="DE10" i="66" s="1"/>
  <c r="DM7" i="66"/>
  <c r="DM10" i="66" s="1"/>
  <c r="DU7" i="66"/>
  <c r="DU10" i="66" s="1"/>
  <c r="DA8" i="66"/>
  <c r="DA11" i="66" s="1"/>
  <c r="DI8" i="66"/>
  <c r="DI11" i="66" s="1"/>
  <c r="DQ8" i="66"/>
  <c r="DQ11" i="66" s="1"/>
  <c r="DY8" i="66"/>
  <c r="DY11" i="66" s="1"/>
  <c r="CT7" i="66"/>
  <c r="CT10" i="66" s="1"/>
  <c r="CU8" i="66"/>
  <c r="CU11" i="66" s="1"/>
  <c r="CV7" i="63"/>
  <c r="CV10" i="63" s="1"/>
  <c r="DD7" i="63"/>
  <c r="DD10" i="63" s="1"/>
  <c r="DL7" i="63"/>
  <c r="DL10" i="63" s="1"/>
  <c r="DT7" i="63"/>
  <c r="DT10" i="63" s="1"/>
  <c r="DS7" i="67"/>
  <c r="DS10" i="67" s="1"/>
  <c r="DS13" i="67" s="1"/>
  <c r="DS18" i="67" s="1"/>
  <c r="FH67" i="22" s="1"/>
  <c r="EI7" i="67"/>
  <c r="EI10" i="67" s="1"/>
  <c r="EI13" i="67" s="1"/>
  <c r="EI18" i="67" s="1"/>
  <c r="CT7" i="67"/>
  <c r="CT10" i="67" s="1"/>
  <c r="CT13" i="67" s="1"/>
  <c r="CT18" i="67" s="1"/>
  <c r="DF7" i="66"/>
  <c r="DF10" i="66" s="1"/>
  <c r="DV7" i="66"/>
  <c r="DV10" i="66" s="1"/>
  <c r="DJ8" i="66"/>
  <c r="DJ11" i="66" s="1"/>
  <c r="DZ8" i="66"/>
  <c r="DZ11" i="66" s="1"/>
  <c r="CV8" i="66"/>
  <c r="CV11" i="66" s="1"/>
  <c r="DE7" i="63"/>
  <c r="DE10" i="63" s="1"/>
  <c r="EV7" i="70"/>
  <c r="EV17" i="70" s="1"/>
  <c r="EB9" i="70"/>
  <c r="EB10" i="70" s="1"/>
  <c r="EB19" i="70" s="1"/>
  <c r="EW11" i="70"/>
  <c r="EW20" i="70" s="1"/>
  <c r="DY12" i="70"/>
  <c r="DY14" i="70" s="1"/>
  <c r="DY16" i="70" s="1"/>
  <c r="FE12" i="70"/>
  <c r="FE14" i="70" s="1"/>
  <c r="FE16" i="70" s="1"/>
  <c r="CY7" i="67"/>
  <c r="CY10" i="67" s="1"/>
  <c r="CY13" i="67" s="1"/>
  <c r="CY18" i="67" s="1"/>
  <c r="EN67" i="22" s="1"/>
  <c r="DJ7" i="63"/>
  <c r="DJ10" i="63" s="1"/>
  <c r="DN7" i="62"/>
  <c r="DN10" i="62" s="1"/>
  <c r="EL7" i="62"/>
  <c r="EL10" i="62" s="1"/>
  <c r="ET7" i="62"/>
  <c r="ET10" i="62" s="1"/>
  <c r="EJ8" i="62"/>
  <c r="EJ11" i="62" s="1"/>
  <c r="DH7" i="62"/>
  <c r="DH10" i="62" s="1"/>
  <c r="DH8" i="62"/>
  <c r="DH11" i="62" s="1"/>
  <c r="DM7" i="61"/>
  <c r="DM10" i="61" s="1"/>
  <c r="DM12" i="61" s="1"/>
  <c r="DM13" i="61" s="1"/>
  <c r="DM14" i="61" s="1"/>
  <c r="DM15" i="61" s="1"/>
  <c r="DM18" i="61" s="1"/>
  <c r="DM20" i="61" s="1"/>
  <c r="FB44" i="22" s="1"/>
  <c r="DY8" i="60"/>
  <c r="DY10" i="60" s="1"/>
  <c r="DO7" i="62"/>
  <c r="DO10" i="62" s="1"/>
  <c r="DW7" i="62"/>
  <c r="DW10" i="62" s="1"/>
  <c r="EE7" i="62"/>
  <c r="EE10" i="62" s="1"/>
  <c r="EM7" i="62"/>
  <c r="EM10" i="62" s="1"/>
  <c r="DM8" i="62"/>
  <c r="DM11" i="62" s="1"/>
  <c r="DU8" i="62"/>
  <c r="DU11" i="62" s="1"/>
  <c r="EC8" i="62"/>
  <c r="EC11" i="62" s="1"/>
  <c r="EK8" i="62"/>
  <c r="EK11" i="62" s="1"/>
  <c r="ES8" i="62"/>
  <c r="ES11" i="62" s="1"/>
  <c r="DA7" i="62"/>
  <c r="DA10" i="62" s="1"/>
  <c r="DI7" i="62"/>
  <c r="DI10" i="62" s="1"/>
  <c r="DA8" i="62"/>
  <c r="DA11" i="62" s="1"/>
  <c r="DI8" i="62"/>
  <c r="DI11" i="62" s="1"/>
  <c r="CX7" i="61"/>
  <c r="CX10" i="61" s="1"/>
  <c r="CX12" i="61" s="1"/>
  <c r="CX13" i="61" s="1"/>
  <c r="CX14" i="61" s="1"/>
  <c r="CX15" i="61" s="1"/>
  <c r="CX18" i="61" s="1"/>
  <c r="CX20" i="61" s="1"/>
  <c r="EM44" i="22" s="1"/>
  <c r="DF7" i="61"/>
  <c r="DF10" i="61" s="1"/>
  <c r="DF12" i="61" s="1"/>
  <c r="DF13" i="61" s="1"/>
  <c r="DF14" i="61" s="1"/>
  <c r="DF15" i="61" s="1"/>
  <c r="DF18" i="61" s="1"/>
  <c r="DF20" i="61" s="1"/>
  <c r="EU44" i="22" s="1"/>
  <c r="DN7" i="61"/>
  <c r="DN10" i="61" s="1"/>
  <c r="DN12" i="61" s="1"/>
  <c r="DN13" i="61" s="1"/>
  <c r="DN14" i="61" s="1"/>
  <c r="DN15" i="61" s="1"/>
  <c r="DN18" i="61" s="1"/>
  <c r="DN20" i="61" s="1"/>
  <c r="FC44" i="22" s="1"/>
  <c r="DV7" i="61"/>
  <c r="DV10" i="61" s="1"/>
  <c r="DV12" i="61" s="1"/>
  <c r="DV13" i="61" s="1"/>
  <c r="DV14" i="61" s="1"/>
  <c r="DV15" i="61" s="1"/>
  <c r="DV18" i="61" s="1"/>
  <c r="DV20" i="61" s="1"/>
  <c r="ED7" i="61"/>
  <c r="ED10" i="61" s="1"/>
  <c r="ED12" i="61" s="1"/>
  <c r="ED13" i="61" s="1"/>
  <c r="ED14" i="61" s="1"/>
  <c r="ED15" i="61" s="1"/>
  <c r="ED18" i="61" s="1"/>
  <c r="ED20" i="61" s="1"/>
  <c r="EL7" i="61"/>
  <c r="EL10" i="61" s="1"/>
  <c r="EL12" i="61" s="1"/>
  <c r="EL13" i="61" s="1"/>
  <c r="EL14" i="61" s="1"/>
  <c r="EL15" i="61" s="1"/>
  <c r="EL18" i="61" s="1"/>
  <c r="EL20" i="61" s="1"/>
  <c r="DO8" i="60"/>
  <c r="DO10" i="60" s="1"/>
  <c r="DW8" i="60"/>
  <c r="DW10" i="60" s="1"/>
  <c r="EE8" i="60"/>
  <c r="EE10" i="60" s="1"/>
  <c r="CX8" i="60"/>
  <c r="CX10" i="60" s="1"/>
  <c r="DF8" i="60"/>
  <c r="DF10" i="60" s="1"/>
  <c r="EF7" i="62"/>
  <c r="EF10" i="62" s="1"/>
  <c r="EN7" i="62"/>
  <c r="EN10" i="62" s="1"/>
  <c r="DN8" i="62"/>
  <c r="DN11" i="62" s="1"/>
  <c r="DV8" i="62"/>
  <c r="DV11" i="62" s="1"/>
  <c r="ED8" i="62"/>
  <c r="ED11" i="62" s="1"/>
  <c r="EL8" i="62"/>
  <c r="EL11" i="62" s="1"/>
  <c r="ET8" i="62"/>
  <c r="ET11" i="62" s="1"/>
  <c r="DB7" i="62"/>
  <c r="DB10" i="62" s="1"/>
  <c r="DJ7" i="62"/>
  <c r="DJ10" i="62" s="1"/>
  <c r="DB8" i="62"/>
  <c r="DB11" i="62" s="1"/>
  <c r="DJ8" i="62"/>
  <c r="DJ11" i="62" s="1"/>
  <c r="CY7" i="61"/>
  <c r="CY10" i="61" s="1"/>
  <c r="CY12" i="61" s="1"/>
  <c r="CY13" i="61" s="1"/>
  <c r="CY14" i="61" s="1"/>
  <c r="CY15" i="61" s="1"/>
  <c r="CY18" i="61" s="1"/>
  <c r="CY20" i="61" s="1"/>
  <c r="EN44" i="22" s="1"/>
  <c r="DO7" i="61"/>
  <c r="DO10" i="61" s="1"/>
  <c r="DO12" i="61" s="1"/>
  <c r="DO13" i="61" s="1"/>
  <c r="DO14" i="61" s="1"/>
  <c r="DO15" i="61" s="1"/>
  <c r="DO18" i="61" s="1"/>
  <c r="DO20" i="61" s="1"/>
  <c r="FD44" i="22" s="1"/>
  <c r="DW7" i="61"/>
  <c r="DW10" i="61" s="1"/>
  <c r="DW12" i="61" s="1"/>
  <c r="DW13" i="61" s="1"/>
  <c r="DW14" i="61" s="1"/>
  <c r="DW15" i="61" s="1"/>
  <c r="DW18" i="61" s="1"/>
  <c r="DW20" i="61" s="1"/>
  <c r="EE7" i="61"/>
  <c r="EE10" i="61" s="1"/>
  <c r="EE12" i="61" s="1"/>
  <c r="EE13" i="61" s="1"/>
  <c r="EE14" i="61" s="1"/>
  <c r="EE15" i="61" s="1"/>
  <c r="EE18" i="61" s="1"/>
  <c r="EE20" i="61" s="1"/>
  <c r="EM7" i="61"/>
  <c r="EM10" i="61" s="1"/>
  <c r="EM12" i="61" s="1"/>
  <c r="EM13" i="61" s="1"/>
  <c r="EM14" i="61" s="1"/>
  <c r="EM15" i="61" s="1"/>
  <c r="EM18" i="61" s="1"/>
  <c r="EM20" i="61" s="1"/>
  <c r="DX8" i="60"/>
  <c r="DX10" i="60" s="1"/>
  <c r="DG8" i="60"/>
  <c r="DG10" i="60" s="1"/>
  <c r="DY7" i="62"/>
  <c r="DY10" i="62" s="1"/>
  <c r="EO7" i="62"/>
  <c r="EO10" i="62" s="1"/>
  <c r="DW8" i="62"/>
  <c r="DW11" i="62" s="1"/>
  <c r="EM8" i="62"/>
  <c r="EM11" i="62" s="1"/>
  <c r="DK7" i="62"/>
  <c r="DK10" i="62" s="1"/>
  <c r="DH7" i="61"/>
  <c r="DH10" i="61" s="1"/>
  <c r="DH12" i="61" s="1"/>
  <c r="DH13" i="61" s="1"/>
  <c r="DH14" i="61" s="1"/>
  <c r="DH15" i="61" s="1"/>
  <c r="DH18" i="61" s="1"/>
  <c r="DH20" i="61" s="1"/>
  <c r="EW44" i="22" s="1"/>
  <c r="DX7" i="61"/>
  <c r="DX10" i="61" s="1"/>
  <c r="DX12" i="61" s="1"/>
  <c r="DX13" i="61" s="1"/>
  <c r="DX14" i="61" s="1"/>
  <c r="DX15" i="61" s="1"/>
  <c r="DX18" i="61" s="1"/>
  <c r="DX20" i="61" s="1"/>
  <c r="CT7" i="61"/>
  <c r="CT10" i="61" s="1"/>
  <c r="CT12" i="61" s="1"/>
  <c r="CT13" i="61" s="1"/>
  <c r="CT14" i="61" s="1"/>
  <c r="CT15" i="61" s="1"/>
  <c r="CT18" i="61" s="1"/>
  <c r="CT20" i="61" s="1"/>
  <c r="DP7" i="62"/>
  <c r="DP10" i="62" s="1"/>
  <c r="DX7" i="62"/>
  <c r="DX10" i="62" s="1"/>
  <c r="DG7" i="61"/>
  <c r="DG10" i="61" s="1"/>
  <c r="DG12" i="61" s="1"/>
  <c r="DG13" i="61" s="1"/>
  <c r="DG14" i="61" s="1"/>
  <c r="DG15" i="61" s="1"/>
  <c r="DG18" i="61" s="1"/>
  <c r="DG20" i="61" s="1"/>
  <c r="EV44" i="22" s="1"/>
  <c r="CS7" i="61"/>
  <c r="CS10" i="61" s="1"/>
  <c r="CS12" i="61" s="1"/>
  <c r="CS13" i="61" s="1"/>
  <c r="CS14" i="61" s="1"/>
  <c r="CS15" i="61" s="1"/>
  <c r="CS18" i="61" s="1"/>
  <c r="CS20" i="61" s="1"/>
  <c r="DP8" i="60"/>
  <c r="DP10" i="60" s="1"/>
  <c r="EF8" i="60"/>
  <c r="EF10" i="60" s="1"/>
  <c r="CY8" i="60"/>
  <c r="CY10" i="60" s="1"/>
  <c r="DQ7" i="62"/>
  <c r="DQ10" i="62" s="1"/>
  <c r="EG7" i="62"/>
  <c r="EG10" i="62" s="1"/>
  <c r="DO8" i="62"/>
  <c r="DO11" i="62" s="1"/>
  <c r="EE8" i="62"/>
  <c r="EE11" i="62" s="1"/>
  <c r="DC7" i="62"/>
  <c r="DC10" i="62" s="1"/>
  <c r="DC8" i="62"/>
  <c r="DC11" i="62" s="1"/>
  <c r="DK8" i="62"/>
  <c r="DK11" i="62" s="1"/>
  <c r="CZ7" i="61"/>
  <c r="CZ10" i="61" s="1"/>
  <c r="CZ12" i="61" s="1"/>
  <c r="CZ13" i="61" s="1"/>
  <c r="CZ14" i="61" s="1"/>
  <c r="CZ15" i="61" s="1"/>
  <c r="CZ18" i="61" s="1"/>
  <c r="CZ20" i="61" s="1"/>
  <c r="EO44" i="22" s="1"/>
  <c r="DP7" i="61"/>
  <c r="DP10" i="61" s="1"/>
  <c r="DP12" i="61" s="1"/>
  <c r="DP13" i="61" s="1"/>
  <c r="DP14" i="61" s="1"/>
  <c r="DP15" i="61" s="1"/>
  <c r="DP18" i="61" s="1"/>
  <c r="DP20" i="61" s="1"/>
  <c r="FE44" i="22" s="1"/>
  <c r="EF7" i="61"/>
  <c r="EF10" i="61" s="1"/>
  <c r="EF12" i="61" s="1"/>
  <c r="EF13" i="61" s="1"/>
  <c r="EF14" i="61" s="1"/>
  <c r="EF15" i="61" s="1"/>
  <c r="EF18" i="61" s="1"/>
  <c r="EF20" i="61" s="1"/>
  <c r="DQ8" i="60"/>
  <c r="DQ10" i="60" s="1"/>
  <c r="CZ8" i="60"/>
  <c r="CZ10" i="60" s="1"/>
  <c r="DR7" i="62"/>
  <c r="DR10" i="62" s="1"/>
  <c r="DZ7" i="62"/>
  <c r="DZ10" i="62" s="1"/>
  <c r="EH7" i="62"/>
  <c r="EH10" i="62" s="1"/>
  <c r="EP7" i="62"/>
  <c r="EP10" i="62" s="1"/>
  <c r="DP8" i="62"/>
  <c r="DP11" i="62" s="1"/>
  <c r="DX8" i="62"/>
  <c r="DX11" i="62" s="1"/>
  <c r="EF8" i="62"/>
  <c r="EF11" i="62" s="1"/>
  <c r="EN8" i="62"/>
  <c r="EN11" i="62" s="1"/>
  <c r="DD7" i="62"/>
  <c r="DD10" i="62" s="1"/>
  <c r="DL7" i="62"/>
  <c r="DL10" i="62" s="1"/>
  <c r="DD8" i="62"/>
  <c r="DD11" i="62" s="1"/>
  <c r="DL8" i="62"/>
  <c r="DL11" i="62" s="1"/>
  <c r="DA7" i="61"/>
  <c r="DA10" i="61" s="1"/>
  <c r="DA12" i="61" s="1"/>
  <c r="DA13" i="61" s="1"/>
  <c r="DA14" i="61" s="1"/>
  <c r="DA15" i="61" s="1"/>
  <c r="DA18" i="61" s="1"/>
  <c r="DA20" i="61" s="1"/>
  <c r="EP44" i="22" s="1"/>
  <c r="DI7" i="61"/>
  <c r="DI10" i="61" s="1"/>
  <c r="DI12" i="61" s="1"/>
  <c r="DI13" i="61" s="1"/>
  <c r="DI14" i="61" s="1"/>
  <c r="DI15" i="61" s="1"/>
  <c r="DI18" i="61" s="1"/>
  <c r="DI20" i="61" s="1"/>
  <c r="EX44" i="22" s="1"/>
  <c r="DQ7" i="61"/>
  <c r="DQ10" i="61" s="1"/>
  <c r="DQ12" i="61" s="1"/>
  <c r="DQ13" i="61" s="1"/>
  <c r="DQ14" i="61" s="1"/>
  <c r="DQ15" i="61" s="1"/>
  <c r="DQ18" i="61" s="1"/>
  <c r="DQ20" i="61" s="1"/>
  <c r="FF44" i="22" s="1"/>
  <c r="DY7" i="61"/>
  <c r="DY10" i="61" s="1"/>
  <c r="DY12" i="61" s="1"/>
  <c r="DY13" i="61" s="1"/>
  <c r="DY14" i="61" s="1"/>
  <c r="DY15" i="61" s="1"/>
  <c r="DY18" i="61" s="1"/>
  <c r="DY20" i="61" s="1"/>
  <c r="EG7" i="61"/>
  <c r="EG10" i="61" s="1"/>
  <c r="EG12" i="61" s="1"/>
  <c r="EG13" i="61" s="1"/>
  <c r="EG14" i="61" s="1"/>
  <c r="EG15" i="61" s="1"/>
  <c r="EG18" i="61" s="1"/>
  <c r="EG20" i="61" s="1"/>
  <c r="CU7" i="61"/>
  <c r="CU10" i="61" s="1"/>
  <c r="CU12" i="61" s="1"/>
  <c r="CU13" i="61" s="1"/>
  <c r="CU14" i="61" s="1"/>
  <c r="CU15" i="61" s="1"/>
  <c r="CU18" i="61" s="1"/>
  <c r="CU20" i="61" s="1"/>
  <c r="DJ8" i="60"/>
  <c r="DJ10" i="60" s="1"/>
  <c r="DR8" i="60"/>
  <c r="DR10" i="60" s="1"/>
  <c r="DZ8" i="60"/>
  <c r="DZ10" i="60" s="1"/>
  <c r="DA8" i="60"/>
  <c r="DA10" i="60" s="1"/>
  <c r="DI8" i="60"/>
  <c r="DI10" i="60" s="1"/>
  <c r="ES7" i="62"/>
  <c r="ES10" i="62" s="1"/>
  <c r="CY8" i="62"/>
  <c r="CY11" i="62" s="1"/>
  <c r="DL7" i="61"/>
  <c r="DL10" i="61" s="1"/>
  <c r="DL12" i="61" s="1"/>
  <c r="DL13" i="61" s="1"/>
  <c r="DL14" i="61" s="1"/>
  <c r="DL15" i="61" s="1"/>
  <c r="DL18" i="61" s="1"/>
  <c r="DL20" i="61" s="1"/>
  <c r="FA44" i="22" s="1"/>
  <c r="EB7" i="61"/>
  <c r="EB10" i="61" s="1"/>
  <c r="EB12" i="61" s="1"/>
  <c r="EB13" i="61" s="1"/>
  <c r="EB14" i="61" s="1"/>
  <c r="EB15" i="61" s="1"/>
  <c r="EB18" i="61" s="1"/>
  <c r="EB20" i="61" s="1"/>
  <c r="EJ7" i="61"/>
  <c r="EJ10" i="61" s="1"/>
  <c r="EJ12" i="61" s="1"/>
  <c r="EJ13" i="61" s="1"/>
  <c r="EJ14" i="61" s="1"/>
  <c r="EJ15" i="61" s="1"/>
  <c r="EJ18" i="61" s="1"/>
  <c r="EJ20" i="61" s="1"/>
  <c r="DS7" i="62"/>
  <c r="DS10" i="62" s="1"/>
  <c r="EA7" i="62"/>
  <c r="EA10" i="62" s="1"/>
  <c r="EI7" i="62"/>
  <c r="EI10" i="62" s="1"/>
  <c r="EQ7" i="62"/>
  <c r="EQ10" i="62" s="1"/>
  <c r="DQ8" i="62"/>
  <c r="DQ11" i="62" s="1"/>
  <c r="DY8" i="62"/>
  <c r="DY11" i="62" s="1"/>
  <c r="EG8" i="62"/>
  <c r="EG11" i="62" s="1"/>
  <c r="EO8" i="62"/>
  <c r="EO11" i="62" s="1"/>
  <c r="CW7" i="62"/>
  <c r="CW10" i="62" s="1"/>
  <c r="DE7" i="62"/>
  <c r="DE10" i="62" s="1"/>
  <c r="CW8" i="62"/>
  <c r="CW11" i="62" s="1"/>
  <c r="DE8" i="62"/>
  <c r="DE11" i="62" s="1"/>
  <c r="CV8" i="62"/>
  <c r="CV11" i="62" s="1"/>
  <c r="DB7" i="61"/>
  <c r="DB10" i="61" s="1"/>
  <c r="DB12" i="61" s="1"/>
  <c r="DB13" i="61" s="1"/>
  <c r="DB14" i="61" s="1"/>
  <c r="DB15" i="61" s="1"/>
  <c r="DB18" i="61" s="1"/>
  <c r="DB20" i="61" s="1"/>
  <c r="EQ44" i="22" s="1"/>
  <c r="DJ7" i="61"/>
  <c r="DJ10" i="61" s="1"/>
  <c r="DJ12" i="61" s="1"/>
  <c r="DJ13" i="61" s="1"/>
  <c r="DJ14" i="61" s="1"/>
  <c r="DJ15" i="61" s="1"/>
  <c r="DJ18" i="61" s="1"/>
  <c r="DJ20" i="61" s="1"/>
  <c r="EY44" i="22" s="1"/>
  <c r="DR7" i="61"/>
  <c r="DR10" i="61" s="1"/>
  <c r="DR12" i="61" s="1"/>
  <c r="DR13" i="61" s="1"/>
  <c r="DR14" i="61" s="1"/>
  <c r="DR15" i="61" s="1"/>
  <c r="DR18" i="61" s="1"/>
  <c r="DR20" i="61" s="1"/>
  <c r="FG44" i="22" s="1"/>
  <c r="CD44" i="22" s="1"/>
  <c r="DZ7" i="61"/>
  <c r="DZ10" i="61" s="1"/>
  <c r="DZ12" i="61" s="1"/>
  <c r="DZ13" i="61" s="1"/>
  <c r="DZ14" i="61" s="1"/>
  <c r="DZ15" i="61" s="1"/>
  <c r="DZ18" i="61" s="1"/>
  <c r="DZ20" i="61" s="1"/>
  <c r="EH7" i="61"/>
  <c r="EH10" i="61" s="1"/>
  <c r="EH12" i="61" s="1"/>
  <c r="EH13" i="61" s="1"/>
  <c r="EH14" i="61" s="1"/>
  <c r="EH15" i="61" s="1"/>
  <c r="EH18" i="61" s="1"/>
  <c r="EH20" i="61" s="1"/>
  <c r="CV7" i="61"/>
  <c r="CV10" i="61" s="1"/>
  <c r="CV12" i="61" s="1"/>
  <c r="CV13" i="61" s="1"/>
  <c r="CV14" i="61" s="1"/>
  <c r="CV15" i="61" s="1"/>
  <c r="CV18" i="61" s="1"/>
  <c r="CV20" i="61" s="1"/>
  <c r="CR7" i="61"/>
  <c r="CR10" i="61" s="1"/>
  <c r="CR12" i="61" s="1"/>
  <c r="CR13" i="61" s="1"/>
  <c r="CR14" i="61" s="1"/>
  <c r="CR15" i="61" s="1"/>
  <c r="CR18" i="61" s="1"/>
  <c r="CR20" i="61" s="1"/>
  <c r="DK8" i="60"/>
  <c r="DK10" i="60" s="1"/>
  <c r="DS8" i="60"/>
  <c r="DS10" i="60" s="1"/>
  <c r="EA8" i="60"/>
  <c r="EA10" i="60" s="1"/>
  <c r="DB8" i="60"/>
  <c r="DB10" i="60" s="1"/>
  <c r="CU8" i="60"/>
  <c r="CU10" i="60" s="1"/>
  <c r="DU7" i="62"/>
  <c r="DU10" i="62" s="1"/>
  <c r="DS8" i="62"/>
  <c r="DS11" i="62" s="1"/>
  <c r="EI8" i="62"/>
  <c r="EI11" i="62" s="1"/>
  <c r="CY7" i="62"/>
  <c r="CY10" i="62" s="1"/>
  <c r="CY18" i="62" s="1"/>
  <c r="DG8" i="62"/>
  <c r="DG11" i="62" s="1"/>
  <c r="DT7" i="61"/>
  <c r="DT10" i="61" s="1"/>
  <c r="DT12" i="61" s="1"/>
  <c r="DT13" i="61" s="1"/>
  <c r="DT14" i="61" s="1"/>
  <c r="DT15" i="61" s="1"/>
  <c r="DT18" i="61" s="1"/>
  <c r="DT20" i="61" s="1"/>
  <c r="DM8" i="60"/>
  <c r="DM10" i="60" s="1"/>
  <c r="EC8" i="60"/>
  <c r="EC10" i="60" s="1"/>
  <c r="CV8" i="60"/>
  <c r="CV10" i="60" s="1"/>
  <c r="DV7" i="62"/>
  <c r="DV10" i="62" s="1"/>
  <c r="DV18" i="62" s="1"/>
  <c r="EB8" i="62"/>
  <c r="EB11" i="62" s="1"/>
  <c r="CZ7" i="62"/>
  <c r="CZ10" i="62" s="1"/>
  <c r="EC7" i="61"/>
  <c r="EC10" i="61" s="1"/>
  <c r="EC12" i="61" s="1"/>
  <c r="EC13" i="61" s="1"/>
  <c r="EC14" i="61" s="1"/>
  <c r="EC15" i="61" s="1"/>
  <c r="EC18" i="61" s="1"/>
  <c r="EC20" i="61" s="1"/>
  <c r="EK7" i="61"/>
  <c r="EK10" i="61" s="1"/>
  <c r="EK12" i="61" s="1"/>
  <c r="EK13" i="61" s="1"/>
  <c r="EK14" i="61" s="1"/>
  <c r="EK15" i="61" s="1"/>
  <c r="EK18" i="61" s="1"/>
  <c r="EK20" i="61" s="1"/>
  <c r="DN8" i="60"/>
  <c r="DN10" i="60" s="1"/>
  <c r="DV8" i="60"/>
  <c r="DV10" i="60" s="1"/>
  <c r="CW8" i="60"/>
  <c r="CW10" i="60" s="1"/>
  <c r="DT7" i="62"/>
  <c r="DT10" i="62" s="1"/>
  <c r="EB7" i="62"/>
  <c r="EB10" i="62" s="1"/>
  <c r="EB18" i="62" s="1"/>
  <c r="EJ7" i="62"/>
  <c r="EJ10" i="62" s="1"/>
  <c r="ER7" i="62"/>
  <c r="ER10" i="62" s="1"/>
  <c r="DR8" i="62"/>
  <c r="DR11" i="62" s="1"/>
  <c r="DZ8" i="62"/>
  <c r="DZ11" i="62" s="1"/>
  <c r="EH8" i="62"/>
  <c r="EH11" i="62" s="1"/>
  <c r="EP8" i="62"/>
  <c r="EP11" i="62" s="1"/>
  <c r="CX7" i="62"/>
  <c r="CX10" i="62" s="1"/>
  <c r="DF7" i="62"/>
  <c r="DF10" i="62" s="1"/>
  <c r="CX8" i="62"/>
  <c r="CX11" i="62" s="1"/>
  <c r="DF8" i="62"/>
  <c r="DF11" i="62" s="1"/>
  <c r="CV7" i="62"/>
  <c r="CV10" i="62" s="1"/>
  <c r="DC7" i="61"/>
  <c r="DC10" i="61" s="1"/>
  <c r="DC12" i="61" s="1"/>
  <c r="DC13" i="61" s="1"/>
  <c r="DC14" i="61" s="1"/>
  <c r="DC15" i="61" s="1"/>
  <c r="DC18" i="61" s="1"/>
  <c r="DC20" i="61" s="1"/>
  <c r="ER44" i="22" s="1"/>
  <c r="DK7" i="61"/>
  <c r="DK10" i="61" s="1"/>
  <c r="DK12" i="61" s="1"/>
  <c r="DK13" i="61" s="1"/>
  <c r="DK14" i="61" s="1"/>
  <c r="DK15" i="61" s="1"/>
  <c r="DK18" i="61" s="1"/>
  <c r="DK20" i="61" s="1"/>
  <c r="EZ44" i="22" s="1"/>
  <c r="DS7" i="61"/>
  <c r="DS10" i="61" s="1"/>
  <c r="DS12" i="61" s="1"/>
  <c r="DS13" i="61" s="1"/>
  <c r="DS14" i="61" s="1"/>
  <c r="DS15" i="61" s="1"/>
  <c r="DS18" i="61" s="1"/>
  <c r="DS20" i="61" s="1"/>
  <c r="FH44" i="22" s="1"/>
  <c r="EA7" i="61"/>
  <c r="EA10" i="61" s="1"/>
  <c r="EA12" i="61" s="1"/>
  <c r="EA13" i="61" s="1"/>
  <c r="EA14" i="61" s="1"/>
  <c r="EA15" i="61" s="1"/>
  <c r="EA18" i="61" s="1"/>
  <c r="EA20" i="61" s="1"/>
  <c r="EI7" i="61"/>
  <c r="EI10" i="61" s="1"/>
  <c r="EI12" i="61" s="1"/>
  <c r="EI13" i="61" s="1"/>
  <c r="EI14" i="61" s="1"/>
  <c r="EI15" i="61" s="1"/>
  <c r="EI18" i="61" s="1"/>
  <c r="EI20" i="61" s="1"/>
  <c r="CW7" i="61"/>
  <c r="CW10" i="61" s="1"/>
  <c r="CW12" i="61" s="1"/>
  <c r="CW13" i="61" s="1"/>
  <c r="CW14" i="61" s="1"/>
  <c r="CW15" i="61" s="1"/>
  <c r="CW18" i="61" s="1"/>
  <c r="CW20" i="61" s="1"/>
  <c r="EL44" i="22" s="1"/>
  <c r="DL8" i="60"/>
  <c r="DL10" i="60" s="1"/>
  <c r="DT8" i="60"/>
  <c r="DT10" i="60" s="1"/>
  <c r="EB8" i="60"/>
  <c r="EB10" i="60" s="1"/>
  <c r="DC8" i="60"/>
  <c r="DC10" i="60" s="1"/>
  <c r="DM7" i="62"/>
  <c r="DM10" i="62" s="1"/>
  <c r="EC7" i="62"/>
  <c r="EC10" i="62" s="1"/>
  <c r="EK7" i="62"/>
  <c r="EK10" i="62" s="1"/>
  <c r="EA8" i="62"/>
  <c r="EA11" i="62" s="1"/>
  <c r="EQ8" i="62"/>
  <c r="EQ11" i="62" s="1"/>
  <c r="DG7" i="62"/>
  <c r="DG10" i="62" s="1"/>
  <c r="DD7" i="61"/>
  <c r="DD10" i="61" s="1"/>
  <c r="DD12" i="61" s="1"/>
  <c r="DD13" i="61" s="1"/>
  <c r="DD14" i="61" s="1"/>
  <c r="DD15" i="61" s="1"/>
  <c r="DD18" i="61" s="1"/>
  <c r="DD20" i="61" s="1"/>
  <c r="ES44" i="22" s="1"/>
  <c r="DU8" i="60"/>
  <c r="DU10" i="60" s="1"/>
  <c r="DD8" i="60"/>
  <c r="DD10" i="60" s="1"/>
  <c r="ED7" i="62"/>
  <c r="ED10" i="62" s="1"/>
  <c r="DT8" i="62"/>
  <c r="DT11" i="62" s="1"/>
  <c r="ER8" i="62"/>
  <c r="ER11" i="62" s="1"/>
  <c r="CZ8" i="62"/>
  <c r="CZ11" i="62" s="1"/>
  <c r="DE7" i="61"/>
  <c r="DE10" i="61" s="1"/>
  <c r="DE12" i="61" s="1"/>
  <c r="DE13" i="61" s="1"/>
  <c r="DE14" i="61" s="1"/>
  <c r="DE15" i="61" s="1"/>
  <c r="DE18" i="61" s="1"/>
  <c r="DE20" i="61" s="1"/>
  <c r="ET44" i="22" s="1"/>
  <c r="DU7" i="61"/>
  <c r="DU10" i="61" s="1"/>
  <c r="DU12" i="61" s="1"/>
  <c r="DU13" i="61" s="1"/>
  <c r="DU14" i="61" s="1"/>
  <c r="DU15" i="61" s="1"/>
  <c r="DU18" i="61" s="1"/>
  <c r="DU20" i="61" s="1"/>
  <c r="ED8" i="60"/>
  <c r="ED10" i="60" s="1"/>
  <c r="DE8" i="60"/>
  <c r="DE10" i="60" s="1"/>
  <c r="DH8" i="60"/>
  <c r="DH10" i="60" s="1"/>
  <c r="DB7" i="58"/>
  <c r="DB12" i="58" s="1"/>
  <c r="DJ7" i="58"/>
  <c r="DJ12" i="58" s="1"/>
  <c r="DR7" i="58"/>
  <c r="DR12" i="58" s="1"/>
  <c r="DZ7" i="58"/>
  <c r="DZ12" i="58" s="1"/>
  <c r="CX8" i="58"/>
  <c r="CX13" i="58" s="1"/>
  <c r="DF8" i="58"/>
  <c r="DF13" i="58" s="1"/>
  <c r="DN8" i="58"/>
  <c r="DN13" i="58" s="1"/>
  <c r="ED8" i="58"/>
  <c r="ED13" i="58" s="1"/>
  <c r="DC7" i="58"/>
  <c r="DC12" i="58" s="1"/>
  <c r="DK7" i="58"/>
  <c r="DK12" i="58" s="1"/>
  <c r="DS7" i="58"/>
  <c r="DS12" i="58" s="1"/>
  <c r="EA7" i="58"/>
  <c r="EA12" i="58" s="1"/>
  <c r="CY8" i="58"/>
  <c r="CY13" i="58" s="1"/>
  <c r="DG8" i="58"/>
  <c r="DG13" i="58" s="1"/>
  <c r="DO8" i="58"/>
  <c r="DO13" i="58" s="1"/>
  <c r="DW8" i="58"/>
  <c r="DW13" i="58" s="1"/>
  <c r="CW8" i="58"/>
  <c r="CW13" i="58" s="1"/>
  <c r="DD7" i="58"/>
  <c r="DD12" i="58" s="1"/>
  <c r="DL7" i="58"/>
  <c r="DL12" i="58" s="1"/>
  <c r="DT7" i="58"/>
  <c r="DT12" i="58" s="1"/>
  <c r="EB7" i="58"/>
  <c r="EB12" i="58" s="1"/>
  <c r="CZ8" i="58"/>
  <c r="CZ13" i="58" s="1"/>
  <c r="DH8" i="58"/>
  <c r="DH13" i="58" s="1"/>
  <c r="DP8" i="58"/>
  <c r="DP13" i="58" s="1"/>
  <c r="DX8" i="58"/>
  <c r="DX13" i="58" s="1"/>
  <c r="EF8" i="58"/>
  <c r="EF13" i="58" s="1"/>
  <c r="DJ8" i="58"/>
  <c r="DJ13" i="58" s="1"/>
  <c r="DZ8" i="58"/>
  <c r="DZ13" i="58" s="1"/>
  <c r="DE7" i="58"/>
  <c r="DE12" i="58" s="1"/>
  <c r="DM7" i="58"/>
  <c r="DM12" i="58" s="1"/>
  <c r="DU7" i="58"/>
  <c r="DU12" i="58" s="1"/>
  <c r="EC7" i="58"/>
  <c r="EC12" i="58" s="1"/>
  <c r="DA8" i="58"/>
  <c r="DA13" i="58" s="1"/>
  <c r="DI8" i="58"/>
  <c r="DI13" i="58" s="1"/>
  <c r="DQ8" i="58"/>
  <c r="DQ13" i="58" s="1"/>
  <c r="DY8" i="58"/>
  <c r="DY13" i="58" s="1"/>
  <c r="EG8" i="58"/>
  <c r="EG13" i="58" s="1"/>
  <c r="ED7" i="58"/>
  <c r="ED12" i="58" s="1"/>
  <c r="DB8" i="58"/>
  <c r="DB13" i="58" s="1"/>
  <c r="DR8" i="58"/>
  <c r="DR13" i="58" s="1"/>
  <c r="CX7" i="58"/>
  <c r="CX12" i="58" s="1"/>
  <c r="DF7" i="58"/>
  <c r="DF12" i="58" s="1"/>
  <c r="DN7" i="58"/>
  <c r="DN12" i="58" s="1"/>
  <c r="DV7" i="58"/>
  <c r="DV12" i="58" s="1"/>
  <c r="CY7" i="58"/>
  <c r="CY12" i="58" s="1"/>
  <c r="DG7" i="58"/>
  <c r="DG12" i="58" s="1"/>
  <c r="DO7" i="58"/>
  <c r="DO12" i="58" s="1"/>
  <c r="DW7" i="58"/>
  <c r="DW12" i="58" s="1"/>
  <c r="EE7" i="58"/>
  <c r="EE12" i="58" s="1"/>
  <c r="DC8" i="58"/>
  <c r="DC13" i="58" s="1"/>
  <c r="DK8" i="58"/>
  <c r="DK13" i="58" s="1"/>
  <c r="DS8" i="58"/>
  <c r="DS13" i="58" s="1"/>
  <c r="EA8" i="58"/>
  <c r="EA13" i="58" s="1"/>
  <c r="DD8" i="58"/>
  <c r="DD13" i="58" s="1"/>
  <c r="CV7" i="58"/>
  <c r="CV12" i="58" s="1"/>
  <c r="CW7" i="58"/>
  <c r="CW12" i="58" s="1"/>
  <c r="EE8" i="58"/>
  <c r="EE13" i="58" s="1"/>
  <c r="CZ7" i="58"/>
  <c r="CZ12" i="58" s="1"/>
  <c r="DH7" i="58"/>
  <c r="DH12" i="58" s="1"/>
  <c r="DP7" i="58"/>
  <c r="DP12" i="58" s="1"/>
  <c r="DX7" i="58"/>
  <c r="DX12" i="58" s="1"/>
  <c r="EF7" i="58"/>
  <c r="EF12" i="58" s="1"/>
  <c r="DL8" i="58"/>
  <c r="DL13" i="58" s="1"/>
  <c r="DT8" i="58"/>
  <c r="DT13" i="58" s="1"/>
  <c r="EB8" i="58"/>
  <c r="EB13" i="58" s="1"/>
  <c r="CU8" i="58"/>
  <c r="CU13" i="58" s="1"/>
  <c r="CU7" i="58"/>
  <c r="CU12" i="58" s="1"/>
  <c r="CV8" i="58"/>
  <c r="CV13" i="58" s="1"/>
  <c r="DA7" i="58"/>
  <c r="DA12" i="58" s="1"/>
  <c r="DI7" i="58"/>
  <c r="DI12" i="58" s="1"/>
  <c r="DQ7" i="58"/>
  <c r="DQ12" i="58" s="1"/>
  <c r="DY7" i="58"/>
  <c r="DY12" i="58" s="1"/>
  <c r="EG7" i="58"/>
  <c r="EG12" i="58" s="1"/>
  <c r="DE8" i="58"/>
  <c r="DE13" i="58" s="1"/>
  <c r="DM8" i="58"/>
  <c r="DM13" i="58" s="1"/>
  <c r="DU8" i="58"/>
  <c r="DU13" i="58" s="1"/>
  <c r="EC8" i="58"/>
  <c r="EC13" i="58" s="1"/>
  <c r="DV8" i="58"/>
  <c r="DV13" i="58" s="1"/>
  <c r="CZ7" i="48"/>
  <c r="CZ9" i="48" s="1"/>
  <c r="DH7" i="48"/>
  <c r="DH9" i="48" s="1"/>
  <c r="DP7" i="48"/>
  <c r="DP9" i="48" s="1"/>
  <c r="DX7" i="48"/>
  <c r="DX9" i="48" s="1"/>
  <c r="EF7" i="48"/>
  <c r="EF9" i="48" s="1"/>
  <c r="EN7" i="48"/>
  <c r="EN9" i="48" s="1"/>
  <c r="EV7" i="48"/>
  <c r="EV9" i="48" s="1"/>
  <c r="DA7" i="48"/>
  <c r="DA9" i="48" s="1"/>
  <c r="DI7" i="48"/>
  <c r="DI9" i="48" s="1"/>
  <c r="DQ7" i="48"/>
  <c r="DQ9" i="48" s="1"/>
  <c r="DY7" i="48"/>
  <c r="DY9" i="48" s="1"/>
  <c r="EG7" i="48"/>
  <c r="EG9" i="48" s="1"/>
  <c r="EO7" i="48"/>
  <c r="EO9" i="48" s="1"/>
  <c r="EW7" i="48"/>
  <c r="EW9" i="48" s="1"/>
  <c r="CU7" i="48"/>
  <c r="CU9" i="48" s="1"/>
  <c r="CW7" i="52"/>
  <c r="CW11" i="52" s="1"/>
  <c r="DE7" i="52"/>
  <c r="DE11" i="52" s="1"/>
  <c r="DM7" i="52"/>
  <c r="DM11" i="52" s="1"/>
  <c r="DU7" i="52"/>
  <c r="DU11" i="52" s="1"/>
  <c r="EC7" i="52"/>
  <c r="EC11" i="52" s="1"/>
  <c r="EK7" i="52"/>
  <c r="EK11" i="52" s="1"/>
  <c r="CZ8" i="52"/>
  <c r="CZ12" i="52" s="1"/>
  <c r="DH8" i="52"/>
  <c r="DH12" i="52" s="1"/>
  <c r="DP8" i="52"/>
  <c r="DP12" i="52" s="1"/>
  <c r="DX8" i="52"/>
  <c r="DX12" i="52" s="1"/>
  <c r="EF8" i="52"/>
  <c r="EF12" i="52" s="1"/>
  <c r="BQ7" i="47"/>
  <c r="BQ10" i="47" s="1"/>
  <c r="BY7" i="47"/>
  <c r="BY10" i="47" s="1"/>
  <c r="CG7" i="47"/>
  <c r="CG10" i="47" s="1"/>
  <c r="CO7" i="47"/>
  <c r="CO10" i="47" s="1"/>
  <c r="CW7" i="47"/>
  <c r="CW10" i="47" s="1"/>
  <c r="DE7" i="47"/>
  <c r="DE10" i="47" s="1"/>
  <c r="BS8" i="47"/>
  <c r="BS11" i="47" s="1"/>
  <c r="CA8" i="47"/>
  <c r="CA11" i="47" s="1"/>
  <c r="CI8" i="47"/>
  <c r="CI11" i="47" s="1"/>
  <c r="CQ8" i="47"/>
  <c r="CQ11" i="47" s="1"/>
  <c r="CY8" i="47"/>
  <c r="CY11" i="47" s="1"/>
  <c r="DG8" i="47"/>
  <c r="DG11" i="47" s="1"/>
  <c r="BK7" i="47"/>
  <c r="BK10" i="47" s="1"/>
  <c r="BI8" i="47"/>
  <c r="BI11" i="47" s="1"/>
  <c r="BF8" i="47"/>
  <c r="BF11" i="47" s="1"/>
  <c r="AY7" i="47"/>
  <c r="AY10" i="47" s="1"/>
  <c r="CZ7" i="54"/>
  <c r="CZ11" i="54" s="1"/>
  <c r="DH7" i="54"/>
  <c r="DH11" i="54" s="1"/>
  <c r="DP7" i="54"/>
  <c r="DP11" i="54" s="1"/>
  <c r="DX7" i="54"/>
  <c r="DX11" i="54" s="1"/>
  <c r="EF7" i="54"/>
  <c r="EF11" i="54" s="1"/>
  <c r="DA8" i="54"/>
  <c r="DA12" i="54" s="1"/>
  <c r="DI8" i="54"/>
  <c r="DI12" i="54" s="1"/>
  <c r="DQ8" i="54"/>
  <c r="DQ12" i="54" s="1"/>
  <c r="DY8" i="54"/>
  <c r="DY12" i="54" s="1"/>
  <c r="EG8" i="54"/>
  <c r="EG12" i="54" s="1"/>
  <c r="DA7" i="55"/>
  <c r="DA11" i="55" s="1"/>
  <c r="DI7" i="55"/>
  <c r="DI11" i="55" s="1"/>
  <c r="DQ7" i="55"/>
  <c r="DQ11" i="55" s="1"/>
  <c r="DY7" i="55"/>
  <c r="DY11" i="55" s="1"/>
  <c r="EG7" i="55"/>
  <c r="EG11" i="55" s="1"/>
  <c r="CY8" i="55"/>
  <c r="CY12" i="55" s="1"/>
  <c r="DG8" i="55"/>
  <c r="DG12" i="55" s="1"/>
  <c r="DO8" i="55"/>
  <c r="DO12" i="55" s="1"/>
  <c r="DW8" i="55"/>
  <c r="DW12" i="55" s="1"/>
  <c r="EE8" i="55"/>
  <c r="EE12" i="55" s="1"/>
  <c r="EM8" i="55"/>
  <c r="EM12" i="55" s="1"/>
  <c r="CW8" i="55"/>
  <c r="CW12" i="55" s="1"/>
  <c r="DE7" i="46"/>
  <c r="DE9" i="46" s="1"/>
  <c r="DE10" i="46" s="1"/>
  <c r="DE15" i="46" s="1"/>
  <c r="ET28" i="22" s="1"/>
  <c r="DM7" i="46"/>
  <c r="DM9" i="46" s="1"/>
  <c r="DM10" i="46" s="1"/>
  <c r="DM15" i="46" s="1"/>
  <c r="FB28" i="22" s="1"/>
  <c r="DU7" i="46"/>
  <c r="DU9" i="46" s="1"/>
  <c r="DU10" i="46" s="1"/>
  <c r="DU15" i="46" s="1"/>
  <c r="DE7" i="49"/>
  <c r="DE11" i="49" s="1"/>
  <c r="DM7" i="49"/>
  <c r="DM11" i="49" s="1"/>
  <c r="DU7" i="49"/>
  <c r="DU11" i="49" s="1"/>
  <c r="EC7" i="49"/>
  <c r="EC11" i="49" s="1"/>
  <c r="EK7" i="49"/>
  <c r="EK11" i="49" s="1"/>
  <c r="DC8" i="49"/>
  <c r="DC10" i="49" s="1"/>
  <c r="DK8" i="49"/>
  <c r="DK10" i="49" s="1"/>
  <c r="DS8" i="49"/>
  <c r="DS10" i="49" s="1"/>
  <c r="EA8" i="49"/>
  <c r="EA10" i="49" s="1"/>
  <c r="EI8" i="49"/>
  <c r="EI10" i="49" s="1"/>
  <c r="CV7" i="49"/>
  <c r="CV11" i="49" s="1"/>
  <c r="CR7" i="49"/>
  <c r="CR11" i="49" s="1"/>
  <c r="CS7" i="50"/>
  <c r="CS11" i="50" s="1"/>
  <c r="DA7" i="50"/>
  <c r="DA11" i="50" s="1"/>
  <c r="DI7" i="50"/>
  <c r="DI11" i="50" s="1"/>
  <c r="DQ7" i="50"/>
  <c r="DQ11" i="50" s="1"/>
  <c r="DY7" i="50"/>
  <c r="DY11" i="50" s="1"/>
  <c r="EG7" i="50"/>
  <c r="EG11" i="50" s="1"/>
  <c r="EO7" i="50"/>
  <c r="EO11" i="50" s="1"/>
  <c r="EW7" i="50"/>
  <c r="EW11" i="50" s="1"/>
  <c r="DZ8" i="50"/>
  <c r="DZ12" i="50" s="1"/>
  <c r="EH8" i="50"/>
  <c r="EH12" i="50" s="1"/>
  <c r="EP8" i="50"/>
  <c r="EP12" i="50" s="1"/>
  <c r="EX8" i="50"/>
  <c r="EX12" i="50" s="1"/>
  <c r="DO8" i="51"/>
  <c r="DO12" i="51" s="1"/>
  <c r="DW8" i="51"/>
  <c r="DW12" i="51" s="1"/>
  <c r="CQ8" i="51"/>
  <c r="CQ12" i="51" s="1"/>
  <c r="CY8" i="51"/>
  <c r="CY12" i="51" s="1"/>
  <c r="DG8" i="51"/>
  <c r="DG12" i="51" s="1"/>
  <c r="DA7" i="39"/>
  <c r="DA9" i="39" s="1"/>
  <c r="DA10" i="39" s="1"/>
  <c r="DA15" i="39" s="1"/>
  <c r="EP27" i="22" s="1"/>
  <c r="DI7" i="39"/>
  <c r="DI9" i="39" s="1"/>
  <c r="DI10" i="39" s="1"/>
  <c r="DQ7" i="39"/>
  <c r="DQ9" i="39" s="1"/>
  <c r="DQ10" i="39" s="1"/>
  <c r="DQ15" i="39" s="1"/>
  <c r="FF27" i="22" s="1"/>
  <c r="DY7" i="39"/>
  <c r="DY9" i="39" s="1"/>
  <c r="DY10" i="39" s="1"/>
  <c r="DY15" i="39" s="1"/>
  <c r="EG7" i="39"/>
  <c r="EG9" i="39" s="1"/>
  <c r="EG10" i="39" s="1"/>
  <c r="EG15" i="39" s="1"/>
  <c r="CR7" i="39"/>
  <c r="CR9" i="39" s="1"/>
  <c r="CR10" i="39" s="1"/>
  <c r="DE6" i="43"/>
  <c r="DE9" i="43" s="1"/>
  <c r="DM6" i="43"/>
  <c r="DM9" i="43" s="1"/>
  <c r="DU6" i="43"/>
  <c r="DU9" i="43" s="1"/>
  <c r="EC6" i="43"/>
  <c r="EC9" i="43" s="1"/>
  <c r="DC7" i="43"/>
  <c r="DC10" i="43" s="1"/>
  <c r="DK7" i="43"/>
  <c r="DK10" i="43" s="1"/>
  <c r="DS7" i="43"/>
  <c r="DS10" i="43" s="1"/>
  <c r="EA7" i="43"/>
  <c r="EA10" i="43" s="1"/>
  <c r="DB7" i="48"/>
  <c r="DB9" i="48" s="1"/>
  <c r="DJ7" i="48"/>
  <c r="DJ9" i="48" s="1"/>
  <c r="DR7" i="48"/>
  <c r="DR9" i="48" s="1"/>
  <c r="DZ7" i="48"/>
  <c r="DZ9" i="48" s="1"/>
  <c r="EH7" i="48"/>
  <c r="EH9" i="48" s="1"/>
  <c r="EP7" i="48"/>
  <c r="EP9" i="48" s="1"/>
  <c r="EX7" i="48"/>
  <c r="EX9" i="48" s="1"/>
  <c r="CV7" i="48"/>
  <c r="CV9" i="48" s="1"/>
  <c r="CX7" i="52"/>
  <c r="CX11" i="52" s="1"/>
  <c r="DF7" i="52"/>
  <c r="DF11" i="52" s="1"/>
  <c r="DN7" i="52"/>
  <c r="DN11" i="52" s="1"/>
  <c r="DV7" i="52"/>
  <c r="DV11" i="52" s="1"/>
  <c r="ED7" i="52"/>
  <c r="ED11" i="52" s="1"/>
  <c r="CS8" i="52"/>
  <c r="CS12" i="52" s="1"/>
  <c r="DA8" i="52"/>
  <c r="DA12" i="52" s="1"/>
  <c r="DI8" i="52"/>
  <c r="DI12" i="52" s="1"/>
  <c r="DQ8" i="52"/>
  <c r="DQ12" i="52" s="1"/>
  <c r="DY8" i="52"/>
  <c r="DY12" i="52" s="1"/>
  <c r="EG8" i="52"/>
  <c r="EG12" i="52" s="1"/>
  <c r="BR7" i="47"/>
  <c r="BR10" i="47" s="1"/>
  <c r="BZ7" i="47"/>
  <c r="BZ10" i="47" s="1"/>
  <c r="CH7" i="47"/>
  <c r="CH10" i="47" s="1"/>
  <c r="CP7" i="47"/>
  <c r="CP10" i="47" s="1"/>
  <c r="CX7" i="47"/>
  <c r="CX10" i="47" s="1"/>
  <c r="DF7" i="47"/>
  <c r="DF10" i="47" s="1"/>
  <c r="BT8" i="47"/>
  <c r="BT11" i="47" s="1"/>
  <c r="CB8" i="47"/>
  <c r="CB11" i="47" s="1"/>
  <c r="CJ8" i="47"/>
  <c r="CJ11" i="47" s="1"/>
  <c r="CR8" i="47"/>
  <c r="CR11" i="47" s="1"/>
  <c r="CZ8" i="47"/>
  <c r="CZ11" i="47" s="1"/>
  <c r="DH8" i="47"/>
  <c r="DH11" i="47" s="1"/>
  <c r="BL7" i="47"/>
  <c r="BL10" i="47" s="1"/>
  <c r="BJ8" i="47"/>
  <c r="BJ11" i="47" s="1"/>
  <c r="BC7" i="47"/>
  <c r="BC10" i="47" s="1"/>
  <c r="AZ7" i="47"/>
  <c r="AZ10" i="47" s="1"/>
  <c r="DA7" i="54"/>
  <c r="DA11" i="54" s="1"/>
  <c r="DI7" i="54"/>
  <c r="DI11" i="54" s="1"/>
  <c r="DQ7" i="54"/>
  <c r="DQ11" i="54" s="1"/>
  <c r="DY7" i="54"/>
  <c r="DY11" i="54" s="1"/>
  <c r="EG7" i="54"/>
  <c r="EG11" i="54" s="1"/>
  <c r="DB8" i="54"/>
  <c r="DB12" i="54" s="1"/>
  <c r="DJ8" i="54"/>
  <c r="DJ12" i="54" s="1"/>
  <c r="DR8" i="54"/>
  <c r="DR12" i="54" s="1"/>
  <c r="DZ8" i="54"/>
  <c r="DZ12" i="54" s="1"/>
  <c r="EH8" i="54"/>
  <c r="EH12" i="54" s="1"/>
  <c r="DB7" i="55"/>
  <c r="DB11" i="55" s="1"/>
  <c r="DJ7" i="55"/>
  <c r="DJ11" i="55" s="1"/>
  <c r="DR7" i="55"/>
  <c r="DR11" i="55" s="1"/>
  <c r="DZ7" i="55"/>
  <c r="DZ11" i="55" s="1"/>
  <c r="EH7" i="55"/>
  <c r="EH11" i="55" s="1"/>
  <c r="DC7" i="48"/>
  <c r="DC9" i="48" s="1"/>
  <c r="DK7" i="48"/>
  <c r="DK9" i="48" s="1"/>
  <c r="DS7" i="48"/>
  <c r="DS9" i="48" s="1"/>
  <c r="EA7" i="48"/>
  <c r="EA9" i="48" s="1"/>
  <c r="EI7" i="48"/>
  <c r="EI9" i="48" s="1"/>
  <c r="EQ7" i="48"/>
  <c r="EQ9" i="48" s="1"/>
  <c r="EY7" i="48"/>
  <c r="EY9" i="48" s="1"/>
  <c r="CW7" i="48"/>
  <c r="CW9" i="48" s="1"/>
  <c r="CY7" i="52"/>
  <c r="CY11" i="52" s="1"/>
  <c r="DG7" i="52"/>
  <c r="DG11" i="52" s="1"/>
  <c r="DO7" i="52"/>
  <c r="DO11" i="52" s="1"/>
  <c r="DW7" i="52"/>
  <c r="DW11" i="52" s="1"/>
  <c r="EE7" i="52"/>
  <c r="EE11" i="52" s="1"/>
  <c r="CT8" i="52"/>
  <c r="CT12" i="52" s="1"/>
  <c r="DB8" i="52"/>
  <c r="DB12" i="52" s="1"/>
  <c r="DJ8" i="52"/>
  <c r="DJ12" i="52" s="1"/>
  <c r="DR8" i="52"/>
  <c r="DR12" i="52" s="1"/>
  <c r="DZ8" i="52"/>
  <c r="DZ12" i="52" s="1"/>
  <c r="EH8" i="52"/>
  <c r="EH12" i="52" s="1"/>
  <c r="BS7" i="47"/>
  <c r="BS10" i="47" s="1"/>
  <c r="CA7" i="47"/>
  <c r="CA10" i="47" s="1"/>
  <c r="CI7" i="47"/>
  <c r="CI10" i="47" s="1"/>
  <c r="CQ7" i="47"/>
  <c r="CQ10" i="47" s="1"/>
  <c r="CY7" i="47"/>
  <c r="CY10" i="47" s="1"/>
  <c r="DG7" i="47"/>
  <c r="DG10" i="47" s="1"/>
  <c r="BU8" i="47"/>
  <c r="BU11" i="47" s="1"/>
  <c r="CC8" i="47"/>
  <c r="CC11" i="47" s="1"/>
  <c r="CK8" i="47"/>
  <c r="CK11" i="47" s="1"/>
  <c r="CS8" i="47"/>
  <c r="CS11" i="47" s="1"/>
  <c r="DA8" i="47"/>
  <c r="DA11" i="47" s="1"/>
  <c r="DI8" i="47"/>
  <c r="DI11" i="47" s="1"/>
  <c r="BM7" i="47"/>
  <c r="BM10" i="47" s="1"/>
  <c r="BK8" i="47"/>
  <c r="BK11" i="47" s="1"/>
  <c r="BD7" i="47"/>
  <c r="BD10" i="47" s="1"/>
  <c r="BA7" i="47"/>
  <c r="BA10" i="47" s="1"/>
  <c r="DB7" i="54"/>
  <c r="DB11" i="54" s="1"/>
  <c r="DJ7" i="54"/>
  <c r="DJ11" i="54" s="1"/>
  <c r="DR7" i="54"/>
  <c r="DR11" i="54" s="1"/>
  <c r="DZ7" i="54"/>
  <c r="DZ11" i="54" s="1"/>
  <c r="EH7" i="54"/>
  <c r="EH11" i="54" s="1"/>
  <c r="DC8" i="54"/>
  <c r="DC12" i="54" s="1"/>
  <c r="DK8" i="54"/>
  <c r="DK12" i="54" s="1"/>
  <c r="DS8" i="54"/>
  <c r="DS12" i="54" s="1"/>
  <c r="EA8" i="54"/>
  <c r="EA12" i="54" s="1"/>
  <c r="CU8" i="54"/>
  <c r="CU12" i="54" s="1"/>
  <c r="DC7" i="55"/>
  <c r="DC11" i="55" s="1"/>
  <c r="DK7" i="55"/>
  <c r="DK11" i="55" s="1"/>
  <c r="DS7" i="55"/>
  <c r="DS11" i="55" s="1"/>
  <c r="EA7" i="55"/>
  <c r="EA11" i="55" s="1"/>
  <c r="EI7" i="55"/>
  <c r="EI11" i="55" s="1"/>
  <c r="DA8" i="55"/>
  <c r="DA12" i="55" s="1"/>
  <c r="DI8" i="55"/>
  <c r="DI12" i="55" s="1"/>
  <c r="DQ8" i="55"/>
  <c r="DQ12" i="55" s="1"/>
  <c r="DY8" i="55"/>
  <c r="DY12" i="55" s="1"/>
  <c r="EG8" i="55"/>
  <c r="EG12" i="55" s="1"/>
  <c r="CY7" i="46"/>
  <c r="CY9" i="46" s="1"/>
  <c r="CY10" i="46" s="1"/>
  <c r="CY15" i="46" s="1"/>
  <c r="EN28" i="22" s="1"/>
  <c r="DG7" i="46"/>
  <c r="DG9" i="46" s="1"/>
  <c r="DG10" i="46" s="1"/>
  <c r="DG15" i="46" s="1"/>
  <c r="EV28" i="22" s="1"/>
  <c r="DO7" i="46"/>
  <c r="DO9" i="46" s="1"/>
  <c r="DO10" i="46" s="1"/>
  <c r="DO15" i="46" s="1"/>
  <c r="FD28" i="22" s="1"/>
  <c r="DW7" i="46"/>
  <c r="DW9" i="46" s="1"/>
  <c r="DW10" i="46" s="1"/>
  <c r="DW15" i="46" s="1"/>
  <c r="CU7" i="46"/>
  <c r="CU9" i="46" s="1"/>
  <c r="CU10" i="46" s="1"/>
  <c r="CU15" i="46" s="1"/>
  <c r="CY7" i="49"/>
  <c r="CY11" i="49" s="1"/>
  <c r="DG7" i="49"/>
  <c r="DG11" i="49" s="1"/>
  <c r="DO7" i="49"/>
  <c r="DO11" i="49" s="1"/>
  <c r="DW7" i="49"/>
  <c r="DW11" i="49" s="1"/>
  <c r="EE7" i="49"/>
  <c r="EE11" i="49" s="1"/>
  <c r="EM7" i="49"/>
  <c r="EM11" i="49" s="1"/>
  <c r="DE8" i="49"/>
  <c r="DE10" i="49" s="1"/>
  <c r="DM8" i="49"/>
  <c r="DM10" i="49" s="1"/>
  <c r="DU8" i="49"/>
  <c r="DU10" i="49" s="1"/>
  <c r="EC8" i="49"/>
  <c r="EC10" i="49" s="1"/>
  <c r="EK8" i="49"/>
  <c r="EK10" i="49" s="1"/>
  <c r="CS8" i="49"/>
  <c r="CS10" i="49" s="1"/>
  <c r="CU7" i="50"/>
  <c r="CU11" i="50" s="1"/>
  <c r="DC7" i="50"/>
  <c r="DC11" i="50" s="1"/>
  <c r="DK7" i="50"/>
  <c r="DK11" i="50" s="1"/>
  <c r="DS7" i="50"/>
  <c r="DS11" i="50" s="1"/>
  <c r="EA7" i="50"/>
  <c r="EA11" i="50" s="1"/>
  <c r="EI7" i="50"/>
  <c r="EI11" i="50" s="1"/>
  <c r="EQ7" i="50"/>
  <c r="EQ11" i="50" s="1"/>
  <c r="EY7" i="50"/>
  <c r="EY11" i="50" s="1"/>
  <c r="EY13" i="50" s="1"/>
  <c r="EY18" i="50" s="1"/>
  <c r="DT8" i="50"/>
  <c r="DT12" i="50" s="1"/>
  <c r="EB8" i="50"/>
  <c r="EB12" i="50" s="1"/>
  <c r="EJ8" i="50"/>
  <c r="EJ12" i="50" s="1"/>
  <c r="ER8" i="50"/>
  <c r="ER12" i="50" s="1"/>
  <c r="EZ8" i="50"/>
  <c r="EZ12" i="50" s="1"/>
  <c r="DQ8" i="51"/>
  <c r="DQ12" i="51" s="1"/>
  <c r="DY8" i="51"/>
  <c r="DY12" i="51" s="1"/>
  <c r="CS8" i="51"/>
  <c r="CS12" i="51" s="1"/>
  <c r="DA8" i="51"/>
  <c r="DA12" i="51" s="1"/>
  <c r="DI8" i="51"/>
  <c r="DI12" i="51" s="1"/>
  <c r="CU7" i="39"/>
  <c r="CU9" i="39" s="1"/>
  <c r="CU10" i="39" s="1"/>
  <c r="CU15" i="39" s="1"/>
  <c r="DC7" i="39"/>
  <c r="DC9" i="39" s="1"/>
  <c r="DC10" i="39" s="1"/>
  <c r="DK7" i="39"/>
  <c r="DK9" i="39" s="1"/>
  <c r="DK10" i="39" s="1"/>
  <c r="DK15" i="39" s="1"/>
  <c r="EZ27" i="22" s="1"/>
  <c r="DS7" i="39"/>
  <c r="DS9" i="39" s="1"/>
  <c r="DS10" i="39" s="1"/>
  <c r="DS15" i="39" s="1"/>
  <c r="FH27" i="22" s="1"/>
  <c r="EA7" i="39"/>
  <c r="EA9" i="39" s="1"/>
  <c r="EA10" i="39" s="1"/>
  <c r="EA15" i="39" s="1"/>
  <c r="EI7" i="39"/>
  <c r="EI9" i="39" s="1"/>
  <c r="EI10" i="39" s="1"/>
  <c r="EI15" i="39" s="1"/>
  <c r="DG6" i="43"/>
  <c r="DG9" i="43" s="1"/>
  <c r="DO6" i="43"/>
  <c r="DO9" i="43" s="1"/>
  <c r="DW6" i="43"/>
  <c r="DW9" i="43" s="1"/>
  <c r="EE6" i="43"/>
  <c r="EE9" i="43" s="1"/>
  <c r="DE7" i="43"/>
  <c r="DE10" i="43" s="1"/>
  <c r="DM7" i="43"/>
  <c r="DM10" i="43" s="1"/>
  <c r="DU7" i="43"/>
  <c r="DU10" i="43" s="1"/>
  <c r="EC7" i="43"/>
  <c r="EC10" i="43" s="1"/>
  <c r="CB6" i="43"/>
  <c r="CB9" i="43" s="1"/>
  <c r="CJ6" i="43"/>
  <c r="CJ9" i="43" s="1"/>
  <c r="CR6" i="43"/>
  <c r="CR9" i="43" s="1"/>
  <c r="CZ6" i="43"/>
  <c r="CZ9" i="43" s="1"/>
  <c r="CG7" i="43"/>
  <c r="CG10" i="43" s="1"/>
  <c r="CO7" i="43"/>
  <c r="CO10" i="43" s="1"/>
  <c r="CW7" i="43"/>
  <c r="CW10" i="43" s="1"/>
  <c r="BW6" i="43"/>
  <c r="BW9" i="43" s="1"/>
  <c r="BX7" i="43"/>
  <c r="BX10" i="43" s="1"/>
  <c r="BM6" i="43"/>
  <c r="BM9" i="43" s="1"/>
  <c r="BI7" i="43"/>
  <c r="BI10" i="43" s="1"/>
  <c r="BQ7" i="43"/>
  <c r="BQ10" i="43" s="1"/>
  <c r="CU4" i="44"/>
  <c r="CU7" i="44" s="1"/>
  <c r="DC4" i="44"/>
  <c r="DC7" i="44" s="1"/>
  <c r="DK4" i="44"/>
  <c r="DK7" i="44" s="1"/>
  <c r="DS4" i="44"/>
  <c r="DS7" i="44" s="1"/>
  <c r="DA5" i="44"/>
  <c r="DA8" i="44" s="1"/>
  <c r="DI5" i="44"/>
  <c r="DI8" i="44" s="1"/>
  <c r="DQ5" i="44"/>
  <c r="DQ8" i="44" s="1"/>
  <c r="CU8" i="38"/>
  <c r="CU12" i="38" s="1"/>
  <c r="DC8" i="38"/>
  <c r="DC12" i="38" s="1"/>
  <c r="DK8" i="38"/>
  <c r="DK12" i="38" s="1"/>
  <c r="DS8" i="38"/>
  <c r="DS12" i="38" s="1"/>
  <c r="CV9" i="38"/>
  <c r="CV13" i="38" s="1"/>
  <c r="DD9" i="38"/>
  <c r="DD13" i="38" s="1"/>
  <c r="DL9" i="38"/>
  <c r="DL13" i="38" s="1"/>
  <c r="DT9" i="38"/>
  <c r="DT13" i="38" s="1"/>
  <c r="CR9" i="38"/>
  <c r="CR13" i="38" s="1"/>
  <c r="DB4" i="35"/>
  <c r="DB8" i="35" s="1"/>
  <c r="DJ4" i="35"/>
  <c r="DJ8" i="35" s="1"/>
  <c r="DR4" i="35"/>
  <c r="DR8" i="35" s="1"/>
  <c r="CU5" i="35"/>
  <c r="CU9" i="35" s="1"/>
  <c r="DC5" i="35"/>
  <c r="DC9" i="35" s="1"/>
  <c r="DK5" i="35"/>
  <c r="DK9" i="35" s="1"/>
  <c r="DS5" i="35"/>
  <c r="DS9" i="35" s="1"/>
  <c r="CT4" i="35"/>
  <c r="CT8" i="35" s="1"/>
  <c r="CU5" i="45"/>
  <c r="CU9" i="45" s="1"/>
  <c r="CU11" i="45" s="1"/>
  <c r="CU16" i="45" s="1"/>
  <c r="DD7" i="48"/>
  <c r="DD9" i="48" s="1"/>
  <c r="DL7" i="48"/>
  <c r="DL9" i="48" s="1"/>
  <c r="DT7" i="48"/>
  <c r="DT9" i="48" s="1"/>
  <c r="EB7" i="48"/>
  <c r="EB9" i="48" s="1"/>
  <c r="EJ7" i="48"/>
  <c r="EJ9" i="48" s="1"/>
  <c r="ER7" i="48"/>
  <c r="ER9" i="48" s="1"/>
  <c r="EZ7" i="48"/>
  <c r="EZ9" i="48" s="1"/>
  <c r="DE7" i="48"/>
  <c r="DE9" i="48" s="1"/>
  <c r="DM7" i="48"/>
  <c r="DM9" i="48" s="1"/>
  <c r="DU7" i="48"/>
  <c r="DU9" i="48" s="1"/>
  <c r="EC7" i="48"/>
  <c r="EC9" i="48" s="1"/>
  <c r="EK7" i="48"/>
  <c r="EK9" i="48" s="1"/>
  <c r="ES7" i="48"/>
  <c r="ES9" i="48" s="1"/>
  <c r="FA7" i="48"/>
  <c r="FA9" i="48" s="1"/>
  <c r="CX7" i="48"/>
  <c r="CX9" i="48" s="1"/>
  <c r="DF7" i="48"/>
  <c r="DF9" i="48" s="1"/>
  <c r="DN7" i="48"/>
  <c r="DN9" i="48" s="1"/>
  <c r="DV7" i="48"/>
  <c r="DV9" i="48" s="1"/>
  <c r="ED7" i="48"/>
  <c r="ED9" i="48" s="1"/>
  <c r="EL7" i="48"/>
  <c r="EL9" i="48" s="1"/>
  <c r="ET7" i="48"/>
  <c r="ET9" i="48" s="1"/>
  <c r="CT7" i="52"/>
  <c r="CT11" i="52" s="1"/>
  <c r="DB7" i="52"/>
  <c r="DB11" i="52" s="1"/>
  <c r="DJ7" i="52"/>
  <c r="DJ11" i="52" s="1"/>
  <c r="DR7" i="52"/>
  <c r="DR11" i="52" s="1"/>
  <c r="DZ7" i="52"/>
  <c r="DZ11" i="52" s="1"/>
  <c r="EH7" i="52"/>
  <c r="EH11" i="52" s="1"/>
  <c r="CW8" i="52"/>
  <c r="CW12" i="52" s="1"/>
  <c r="DE8" i="52"/>
  <c r="DE12" i="52" s="1"/>
  <c r="DM8" i="52"/>
  <c r="DM12" i="52" s="1"/>
  <c r="DU8" i="52"/>
  <c r="DU12" i="52" s="1"/>
  <c r="EC8" i="52"/>
  <c r="EC12" i="52" s="1"/>
  <c r="EK8" i="52"/>
  <c r="EK12" i="52" s="1"/>
  <c r="BV7" i="47"/>
  <c r="BV10" i="47" s="1"/>
  <c r="CD7" i="47"/>
  <c r="CD10" i="47" s="1"/>
  <c r="CL7" i="47"/>
  <c r="CL10" i="47" s="1"/>
  <c r="CT7" i="47"/>
  <c r="CT10" i="47" s="1"/>
  <c r="DB7" i="47"/>
  <c r="DB10" i="47" s="1"/>
  <c r="DJ7" i="47"/>
  <c r="DJ10" i="47" s="1"/>
  <c r="BX8" i="47"/>
  <c r="BX11" i="47" s="1"/>
  <c r="CF8" i="47"/>
  <c r="CF11" i="47" s="1"/>
  <c r="CN8" i="47"/>
  <c r="CN11" i="47" s="1"/>
  <c r="CV8" i="47"/>
  <c r="CV11" i="47" s="1"/>
  <c r="DD8" i="47"/>
  <c r="DD11" i="47" s="1"/>
  <c r="BH7" i="47"/>
  <c r="BH10" i="47" s="1"/>
  <c r="BP7" i="47"/>
  <c r="BP10" i="47" s="1"/>
  <c r="BN8" i="47"/>
  <c r="BN11" i="47" s="1"/>
  <c r="BC8" i="47"/>
  <c r="BC11" i="47" s="1"/>
  <c r="BA8" i="47"/>
  <c r="BA11" i="47" s="1"/>
  <c r="CW7" i="54"/>
  <c r="CW11" i="54" s="1"/>
  <c r="DE7" i="54"/>
  <c r="DE11" i="54" s="1"/>
  <c r="DM7" i="54"/>
  <c r="DM11" i="54" s="1"/>
  <c r="DU7" i="54"/>
  <c r="DU11" i="54" s="1"/>
  <c r="EC7" i="54"/>
  <c r="EC11" i="54" s="1"/>
  <c r="CX8" i="54"/>
  <c r="CX12" i="54" s="1"/>
  <c r="DF8" i="54"/>
  <c r="DF12" i="54" s="1"/>
  <c r="DN8" i="54"/>
  <c r="DN12" i="54" s="1"/>
  <c r="DV8" i="54"/>
  <c r="DV12" i="54" s="1"/>
  <c r="ED8" i="54"/>
  <c r="ED12" i="54" s="1"/>
  <c r="DF7" i="55"/>
  <c r="DF11" i="55" s="1"/>
  <c r="DN7" i="55"/>
  <c r="DN11" i="55" s="1"/>
  <c r="DV7" i="55"/>
  <c r="DV11" i="55" s="1"/>
  <c r="ED7" i="55"/>
  <c r="ED11" i="55" s="1"/>
  <c r="EL7" i="55"/>
  <c r="EL11" i="55" s="1"/>
  <c r="DD8" i="55"/>
  <c r="DD12" i="55" s="1"/>
  <c r="DL8" i="55"/>
  <c r="DL12" i="55" s="1"/>
  <c r="DT8" i="55"/>
  <c r="DT12" i="55" s="1"/>
  <c r="EB8" i="55"/>
  <c r="EB12" i="55" s="1"/>
  <c r="EJ8" i="55"/>
  <c r="EJ12" i="55" s="1"/>
  <c r="CV7" i="55"/>
  <c r="CV11" i="55" s="1"/>
  <c r="DB7" i="46"/>
  <c r="DB9" i="46" s="1"/>
  <c r="DB10" i="46" s="1"/>
  <c r="DB15" i="46" s="1"/>
  <c r="EQ28" i="22" s="1"/>
  <c r="DJ7" i="46"/>
  <c r="DJ9" i="46" s="1"/>
  <c r="DJ10" i="46" s="1"/>
  <c r="DJ15" i="46" s="1"/>
  <c r="EY28" i="22" s="1"/>
  <c r="DR7" i="46"/>
  <c r="DR9" i="46" s="1"/>
  <c r="DR10" i="46" s="1"/>
  <c r="DR15" i="46" s="1"/>
  <c r="FG28" i="22" s="1"/>
  <c r="CD28" i="22" s="1"/>
  <c r="DZ7" i="46"/>
  <c r="DZ9" i="46" s="1"/>
  <c r="DZ10" i="46" s="1"/>
  <c r="DZ15" i="46" s="1"/>
  <c r="CX7" i="46"/>
  <c r="CX9" i="46" s="1"/>
  <c r="CX10" i="46" s="1"/>
  <c r="CX15" i="46" s="1"/>
  <c r="EM28" i="22" s="1"/>
  <c r="DB7" i="49"/>
  <c r="DB11" i="49" s="1"/>
  <c r="DJ7" i="49"/>
  <c r="DJ11" i="49" s="1"/>
  <c r="DR7" i="49"/>
  <c r="DR11" i="49" s="1"/>
  <c r="DZ7" i="49"/>
  <c r="DZ11" i="49" s="1"/>
  <c r="EH7" i="49"/>
  <c r="EH11" i="49" s="1"/>
  <c r="CZ8" i="49"/>
  <c r="CZ10" i="49" s="1"/>
  <c r="DH8" i="49"/>
  <c r="DH10" i="49" s="1"/>
  <c r="DP8" i="49"/>
  <c r="DP10" i="49" s="1"/>
  <c r="DX8" i="49"/>
  <c r="DX10" i="49" s="1"/>
  <c r="EF8" i="49"/>
  <c r="EF10" i="49" s="1"/>
  <c r="CS7" i="49"/>
  <c r="CS11" i="49" s="1"/>
  <c r="CV8" i="49"/>
  <c r="CV10" i="49" s="1"/>
  <c r="CX7" i="50"/>
  <c r="CX11" i="50" s="1"/>
  <c r="DF7" i="50"/>
  <c r="DF11" i="50" s="1"/>
  <c r="DN7" i="50"/>
  <c r="DN11" i="50" s="1"/>
  <c r="DV7" i="50"/>
  <c r="DV11" i="50" s="1"/>
  <c r="ED7" i="50"/>
  <c r="ED11" i="50" s="1"/>
  <c r="EL7" i="50"/>
  <c r="EL11" i="50" s="1"/>
  <c r="ET7" i="50"/>
  <c r="ET11" i="50" s="1"/>
  <c r="FB7" i="50"/>
  <c r="FB11" i="50" s="1"/>
  <c r="FB13" i="50" s="1"/>
  <c r="FB18" i="50" s="1"/>
  <c r="DW8" i="50"/>
  <c r="DW12" i="50" s="1"/>
  <c r="EE8" i="50"/>
  <c r="EE12" i="50" s="1"/>
  <c r="EM8" i="50"/>
  <c r="EM12" i="50" s="1"/>
  <c r="EU8" i="50"/>
  <c r="EU12" i="50" s="1"/>
  <c r="FC8" i="50"/>
  <c r="FC12" i="50" s="1"/>
  <c r="DT8" i="51"/>
  <c r="DT12" i="51" s="1"/>
  <c r="EB8" i="51"/>
  <c r="EB12" i="51" s="1"/>
  <c r="CV8" i="51"/>
  <c r="CV12" i="51" s="1"/>
  <c r="DD8" i="51"/>
  <c r="DD12" i="51" s="1"/>
  <c r="DL8" i="51"/>
  <c r="DL12" i="51" s="1"/>
  <c r="CX7" i="39"/>
  <c r="CX9" i="39" s="1"/>
  <c r="CX10" i="39" s="1"/>
  <c r="CX15" i="39" s="1"/>
  <c r="EM27" i="22" s="1"/>
  <c r="DF7" i="39"/>
  <c r="DF9" i="39" s="1"/>
  <c r="DF10" i="39" s="1"/>
  <c r="DF15" i="39" s="1"/>
  <c r="EU27" i="22" s="1"/>
  <c r="DN7" i="39"/>
  <c r="DN9" i="39" s="1"/>
  <c r="DN10" i="39" s="1"/>
  <c r="DV7" i="39"/>
  <c r="DV9" i="39" s="1"/>
  <c r="DV10" i="39" s="1"/>
  <c r="DV15" i="39" s="1"/>
  <c r="ED7" i="39"/>
  <c r="ED9" i="39" s="1"/>
  <c r="ED10" i="39" s="1"/>
  <c r="ED15" i="39" s="1"/>
  <c r="DB6" i="43"/>
  <c r="DB9" i="43" s="1"/>
  <c r="DJ6" i="43"/>
  <c r="DJ9" i="43" s="1"/>
  <c r="DR6" i="43"/>
  <c r="DR9" i="43" s="1"/>
  <c r="DZ6" i="43"/>
  <c r="DZ9" i="43" s="1"/>
  <c r="EH6" i="43"/>
  <c r="EH9" i="43" s="1"/>
  <c r="DH7" i="43"/>
  <c r="DH10" i="43" s="1"/>
  <c r="DP7" i="43"/>
  <c r="DP10" i="43" s="1"/>
  <c r="DX7" i="43"/>
  <c r="DX10" i="43" s="1"/>
  <c r="EF7" i="43"/>
  <c r="EF10" i="43" s="1"/>
  <c r="CE6" i="43"/>
  <c r="CE9" i="43" s="1"/>
  <c r="CM6" i="43"/>
  <c r="CM9" i="43" s="1"/>
  <c r="CU6" i="43"/>
  <c r="CU9" i="43" s="1"/>
  <c r="CB7" i="43"/>
  <c r="CB10" i="43" s="1"/>
  <c r="CJ7" i="43"/>
  <c r="CJ10" i="43" s="1"/>
  <c r="CR7" i="43"/>
  <c r="CR10" i="43" s="1"/>
  <c r="CZ7" i="43"/>
  <c r="CZ10" i="43" s="1"/>
  <c r="BS7" i="43"/>
  <c r="BS10" i="43" s="1"/>
  <c r="BH6" i="43"/>
  <c r="BH9" i="43" s="1"/>
  <c r="BP6" i="43"/>
  <c r="BP9" i="43" s="1"/>
  <c r="BL7" i="43"/>
  <c r="BL10" i="43" s="1"/>
  <c r="BF6" i="43"/>
  <c r="BF9" i="43" s="1"/>
  <c r="CX4" i="44"/>
  <c r="CX7" i="44" s="1"/>
  <c r="DF4" i="44"/>
  <c r="DF7" i="44" s="1"/>
  <c r="DN4" i="44"/>
  <c r="DN7" i="44" s="1"/>
  <c r="CV5" i="44"/>
  <c r="CV8" i="44" s="1"/>
  <c r="DD5" i="44"/>
  <c r="DD8" i="44" s="1"/>
  <c r="DL5" i="44"/>
  <c r="DL8" i="44" s="1"/>
  <c r="CX8" i="38"/>
  <c r="CX12" i="38" s="1"/>
  <c r="DF8" i="38"/>
  <c r="DF12" i="38" s="1"/>
  <c r="DN8" i="38"/>
  <c r="DN12" i="38" s="1"/>
  <c r="DV8" i="38"/>
  <c r="DV12" i="38" s="1"/>
  <c r="CY9" i="38"/>
  <c r="CY13" i="38" s="1"/>
  <c r="DG9" i="38"/>
  <c r="DG13" i="38" s="1"/>
  <c r="DO9" i="38"/>
  <c r="DO13" i="38" s="1"/>
  <c r="DW9" i="38"/>
  <c r="DW13" i="38" s="1"/>
  <c r="CW4" i="35"/>
  <c r="CW8" i="35" s="1"/>
  <c r="DE4" i="35"/>
  <c r="DE8" i="35" s="1"/>
  <c r="DM4" i="35"/>
  <c r="DM8" i="35" s="1"/>
  <c r="DU4" i="35"/>
  <c r="DU8" i="35" s="1"/>
  <c r="CX5" i="35"/>
  <c r="CX9" i="35" s="1"/>
  <c r="DF5" i="35"/>
  <c r="DF9" i="35" s="1"/>
  <c r="DN5" i="35"/>
  <c r="DN9" i="35" s="1"/>
  <c r="DV5" i="35"/>
  <c r="DV9" i="35" s="1"/>
  <c r="CX5" i="45"/>
  <c r="CX9" i="45" s="1"/>
  <c r="CX11" i="45" s="1"/>
  <c r="CX16" i="45" s="1"/>
  <c r="DF5" i="45"/>
  <c r="DF9" i="45" s="1"/>
  <c r="DF11" i="45" s="1"/>
  <c r="DF16" i="45" s="1"/>
  <c r="DN5" i="45"/>
  <c r="DN9" i="45" s="1"/>
  <c r="DN11" i="45" s="1"/>
  <c r="DN16" i="45" s="1"/>
  <c r="DV5" i="45"/>
  <c r="DV9" i="45" s="1"/>
  <c r="DV11" i="45" s="1"/>
  <c r="DV16" i="45" s="1"/>
  <c r="DA4" i="32"/>
  <c r="DA9" i="32" s="1"/>
  <c r="DI4" i="32"/>
  <c r="DI9" i="32" s="1"/>
  <c r="DQ4" i="32"/>
  <c r="DQ9" i="32" s="1"/>
  <c r="DY4" i="32"/>
  <c r="DY9" i="32" s="1"/>
  <c r="EG4" i="32"/>
  <c r="EG9" i="32" s="1"/>
  <c r="EO4" i="32"/>
  <c r="EO9" i="32" s="1"/>
  <c r="CW5" i="32"/>
  <c r="CW10" i="32" s="1"/>
  <c r="DE5" i="32"/>
  <c r="DE10" i="32" s="1"/>
  <c r="DM5" i="32"/>
  <c r="DM10" i="32" s="1"/>
  <c r="DU5" i="32"/>
  <c r="DU10" i="32" s="1"/>
  <c r="EC5" i="32"/>
  <c r="EC10" i="32" s="1"/>
  <c r="EK5" i="32"/>
  <c r="EK10" i="32" s="1"/>
  <c r="ES5" i="32"/>
  <c r="ES10" i="32" s="1"/>
  <c r="DA6" i="32"/>
  <c r="DA11" i="32" s="1"/>
  <c r="DI6" i="32"/>
  <c r="DI11" i="32" s="1"/>
  <c r="DQ6" i="32"/>
  <c r="DQ11" i="32" s="1"/>
  <c r="DY6" i="32"/>
  <c r="DY11" i="32" s="1"/>
  <c r="CY7" i="48"/>
  <c r="CY9" i="48" s="1"/>
  <c r="DG7" i="48"/>
  <c r="DG9" i="48" s="1"/>
  <c r="DO7" i="48"/>
  <c r="DO9" i="48" s="1"/>
  <c r="DW7" i="48"/>
  <c r="DW9" i="48" s="1"/>
  <c r="EE7" i="48"/>
  <c r="EE9" i="48" s="1"/>
  <c r="EM7" i="48"/>
  <c r="EM9" i="48" s="1"/>
  <c r="EU7" i="48"/>
  <c r="EU9" i="48" s="1"/>
  <c r="DC7" i="52"/>
  <c r="DC11" i="52" s="1"/>
  <c r="DS7" i="52"/>
  <c r="DS11" i="52" s="1"/>
  <c r="EI7" i="52"/>
  <c r="EI11" i="52" s="1"/>
  <c r="DF8" i="52"/>
  <c r="DF12" i="52" s="1"/>
  <c r="DV8" i="52"/>
  <c r="DV12" i="52" s="1"/>
  <c r="CR8" i="52"/>
  <c r="CR12" i="52" s="1"/>
  <c r="CE7" i="47"/>
  <c r="CE10" i="47" s="1"/>
  <c r="CU7" i="47"/>
  <c r="CU10" i="47" s="1"/>
  <c r="BQ8" i="47"/>
  <c r="BQ11" i="47" s="1"/>
  <c r="CG8" i="47"/>
  <c r="CG11" i="47" s="1"/>
  <c r="CW8" i="47"/>
  <c r="CW11" i="47" s="1"/>
  <c r="BI7" i="47"/>
  <c r="BI10" i="47" s="1"/>
  <c r="BO8" i="47"/>
  <c r="BO11" i="47" s="1"/>
  <c r="BB8" i="47"/>
  <c r="BB11" i="47" s="1"/>
  <c r="DC7" i="54"/>
  <c r="DC11" i="54" s="1"/>
  <c r="DS7" i="54"/>
  <c r="DS11" i="54" s="1"/>
  <c r="CV8" i="54"/>
  <c r="CV12" i="54" s="1"/>
  <c r="DL8" i="54"/>
  <c r="DL12" i="54" s="1"/>
  <c r="EB8" i="54"/>
  <c r="EB12" i="54" s="1"/>
  <c r="DD7" i="55"/>
  <c r="DD11" i="55" s="1"/>
  <c r="DT7" i="55"/>
  <c r="DT11" i="55" s="1"/>
  <c r="EJ7" i="55"/>
  <c r="EJ11" i="55" s="1"/>
  <c r="DF8" i="55"/>
  <c r="DF12" i="55" s="1"/>
  <c r="DS8" i="55"/>
  <c r="DS12" i="55" s="1"/>
  <c r="EF8" i="55"/>
  <c r="EF12" i="55" s="1"/>
  <c r="DF7" i="46"/>
  <c r="DF9" i="46" s="1"/>
  <c r="DF10" i="46" s="1"/>
  <c r="DF15" i="46" s="1"/>
  <c r="EU28" i="22" s="1"/>
  <c r="DS7" i="46"/>
  <c r="DS9" i="46" s="1"/>
  <c r="DS10" i="46" s="1"/>
  <c r="DS15" i="46" s="1"/>
  <c r="FH28" i="22" s="1"/>
  <c r="DA7" i="49"/>
  <c r="DA11" i="49" s="1"/>
  <c r="DN7" i="49"/>
  <c r="DN11" i="49" s="1"/>
  <c r="EA7" i="49"/>
  <c r="EA11" i="49" s="1"/>
  <c r="CX8" i="49"/>
  <c r="CX10" i="49" s="1"/>
  <c r="DJ8" i="49"/>
  <c r="DJ10" i="49" s="1"/>
  <c r="DW8" i="49"/>
  <c r="DW10" i="49" s="1"/>
  <c r="EJ8" i="49"/>
  <c r="EJ10" i="49" s="1"/>
  <c r="CW8" i="49"/>
  <c r="CW10" i="49" s="1"/>
  <c r="DE7" i="50"/>
  <c r="DE11" i="50" s="1"/>
  <c r="DR7" i="50"/>
  <c r="DR11" i="50" s="1"/>
  <c r="EE7" i="50"/>
  <c r="EE11" i="50" s="1"/>
  <c r="ER7" i="50"/>
  <c r="ER11" i="50" s="1"/>
  <c r="EF8" i="50"/>
  <c r="EF12" i="50" s="1"/>
  <c r="ES8" i="50"/>
  <c r="ES12" i="50" s="1"/>
  <c r="CR7" i="50"/>
  <c r="CR11" i="50" s="1"/>
  <c r="EA8" i="51"/>
  <c r="EA12" i="51" s="1"/>
  <c r="CZ8" i="51"/>
  <c r="CZ12" i="51" s="1"/>
  <c r="DM8" i="51"/>
  <c r="DM12" i="51" s="1"/>
  <c r="DB7" i="39"/>
  <c r="DB9" i="39" s="1"/>
  <c r="DB10" i="39" s="1"/>
  <c r="DB15" i="39" s="1"/>
  <c r="EQ27" i="22" s="1"/>
  <c r="DO7" i="39"/>
  <c r="DO9" i="39" s="1"/>
  <c r="DO10" i="39" s="1"/>
  <c r="DO15" i="39" s="1"/>
  <c r="FD27" i="22" s="1"/>
  <c r="EB7" i="39"/>
  <c r="EB9" i="39" s="1"/>
  <c r="EB10" i="39" s="1"/>
  <c r="EB15" i="39" s="1"/>
  <c r="CS7" i="39"/>
  <c r="CS9" i="39" s="1"/>
  <c r="CS10" i="39" s="1"/>
  <c r="CS15" i="39" s="1"/>
  <c r="DH6" i="43"/>
  <c r="DH9" i="43" s="1"/>
  <c r="DT6" i="43"/>
  <c r="DT9" i="43" s="1"/>
  <c r="EG6" i="43"/>
  <c r="EG9" i="43" s="1"/>
  <c r="DL7" i="43"/>
  <c r="DL10" i="43" s="1"/>
  <c r="DY7" i="43"/>
  <c r="DY10" i="43" s="1"/>
  <c r="CA6" i="43"/>
  <c r="CA9" i="43" s="1"/>
  <c r="CL6" i="43"/>
  <c r="CL9" i="43" s="1"/>
  <c r="CW6" i="43"/>
  <c r="CW9" i="43" s="1"/>
  <c r="CF7" i="43"/>
  <c r="CF10" i="43" s="1"/>
  <c r="CQ7" i="43"/>
  <c r="CQ10" i="43" s="1"/>
  <c r="BT6" i="43"/>
  <c r="BT9" i="43" s="1"/>
  <c r="BW7" i="43"/>
  <c r="BW10" i="43" s="1"/>
  <c r="BO6" i="43"/>
  <c r="BO9" i="43" s="1"/>
  <c r="BN7" i="43"/>
  <c r="BN10" i="43" s="1"/>
  <c r="CT4" i="44"/>
  <c r="CT7" i="44" s="1"/>
  <c r="DE4" i="44"/>
  <c r="DE7" i="44" s="1"/>
  <c r="DP4" i="44"/>
  <c r="DP7" i="44" s="1"/>
  <c r="CZ5" i="44"/>
  <c r="CZ8" i="44" s="1"/>
  <c r="DK5" i="44"/>
  <c r="DK8" i="44" s="1"/>
  <c r="CS4" i="44"/>
  <c r="CS7" i="44" s="1"/>
  <c r="DA8" i="38"/>
  <c r="DA12" i="38" s="1"/>
  <c r="DL8" i="38"/>
  <c r="DL12" i="38" s="1"/>
  <c r="DW8" i="38"/>
  <c r="DW12" i="38" s="1"/>
  <c r="DB9" i="38"/>
  <c r="DB13" i="38" s="1"/>
  <c r="DM9" i="38"/>
  <c r="DM13" i="38" s="1"/>
  <c r="DX9" i="38"/>
  <c r="DX13" i="38" s="1"/>
  <c r="CZ4" i="35"/>
  <c r="CZ8" i="35" s="1"/>
  <c r="DK4" i="35"/>
  <c r="DK8" i="35" s="1"/>
  <c r="DV4" i="35"/>
  <c r="DV8" i="35" s="1"/>
  <c r="DA5" i="35"/>
  <c r="DA9" i="35" s="1"/>
  <c r="DL5" i="35"/>
  <c r="DL9" i="35" s="1"/>
  <c r="DW5" i="35"/>
  <c r="DW9" i="35" s="1"/>
  <c r="CR5" i="45"/>
  <c r="CR9" i="45" s="1"/>
  <c r="CR11" i="45" s="1"/>
  <c r="CR16" i="45" s="1"/>
  <c r="DB5" i="45"/>
  <c r="DB9" i="45" s="1"/>
  <c r="DB11" i="45" s="1"/>
  <c r="DB16" i="45" s="1"/>
  <c r="DK5" i="45"/>
  <c r="DK9" i="45" s="1"/>
  <c r="DK11" i="45" s="1"/>
  <c r="DK16" i="45" s="1"/>
  <c r="DT5" i="45"/>
  <c r="DT9" i="45" s="1"/>
  <c r="DT11" i="45" s="1"/>
  <c r="DT16" i="45" s="1"/>
  <c r="CZ4" i="32"/>
  <c r="CZ9" i="32" s="1"/>
  <c r="DJ4" i="32"/>
  <c r="DJ9" i="32" s="1"/>
  <c r="DS4" i="32"/>
  <c r="DS9" i="32" s="1"/>
  <c r="EB4" i="32"/>
  <c r="EB9" i="32" s="1"/>
  <c r="EK4" i="32"/>
  <c r="EK9" i="32" s="1"/>
  <c r="CT5" i="32"/>
  <c r="CT10" i="32" s="1"/>
  <c r="DC5" i="32"/>
  <c r="DC10" i="32" s="1"/>
  <c r="DL5" i="32"/>
  <c r="DL10" i="32" s="1"/>
  <c r="DV5" i="32"/>
  <c r="DV10" i="32" s="1"/>
  <c r="EE5" i="32"/>
  <c r="EE10" i="32" s="1"/>
  <c r="EN5" i="32"/>
  <c r="EN10" i="32" s="1"/>
  <c r="CW6" i="32"/>
  <c r="CW11" i="32" s="1"/>
  <c r="DF6" i="32"/>
  <c r="DF11" i="32" s="1"/>
  <c r="DO6" i="32"/>
  <c r="DO11" i="32" s="1"/>
  <c r="DX6" i="32"/>
  <c r="DX11" i="32" s="1"/>
  <c r="EG6" i="32"/>
  <c r="EG11" i="32" s="1"/>
  <c r="EO6" i="32"/>
  <c r="EO11" i="32" s="1"/>
  <c r="CV4" i="31"/>
  <c r="CV9" i="31" s="1"/>
  <c r="DD4" i="31"/>
  <c r="DD9" i="31" s="1"/>
  <c r="DL4" i="31"/>
  <c r="DL9" i="31" s="1"/>
  <c r="DT4" i="31"/>
  <c r="DT9" i="31" s="1"/>
  <c r="CQ4" i="31"/>
  <c r="CQ9" i="31" s="1"/>
  <c r="DQ8" i="29"/>
  <c r="DQ12" i="29" s="1"/>
  <c r="DY8" i="29"/>
  <c r="DY12" i="29" s="1"/>
  <c r="CU8" i="29"/>
  <c r="CU12" i="29" s="1"/>
  <c r="DC8" i="29"/>
  <c r="DC12" i="29" s="1"/>
  <c r="DK8" i="29"/>
  <c r="DK12" i="29" s="1"/>
  <c r="CX5" i="57"/>
  <c r="CX8" i="57" s="1"/>
  <c r="DD7" i="52"/>
  <c r="DD11" i="52" s="1"/>
  <c r="DT7" i="52"/>
  <c r="DT11" i="52" s="1"/>
  <c r="EJ7" i="52"/>
  <c r="EJ11" i="52" s="1"/>
  <c r="DG8" i="52"/>
  <c r="DG12" i="52" s="1"/>
  <c r="DW8" i="52"/>
  <c r="DW12" i="52" s="1"/>
  <c r="CR7" i="52"/>
  <c r="CR11" i="52" s="1"/>
  <c r="CF7" i="47"/>
  <c r="CF10" i="47" s="1"/>
  <c r="CV7" i="47"/>
  <c r="CV10" i="47" s="1"/>
  <c r="BR8" i="47"/>
  <c r="BR11" i="47" s="1"/>
  <c r="CH8" i="47"/>
  <c r="CH11" i="47" s="1"/>
  <c r="CX8" i="47"/>
  <c r="CX11" i="47" s="1"/>
  <c r="BJ7" i="47"/>
  <c r="BJ10" i="47" s="1"/>
  <c r="BP8" i="47"/>
  <c r="BP11" i="47" s="1"/>
  <c r="AY8" i="47"/>
  <c r="AY11" i="47" s="1"/>
  <c r="DD7" i="54"/>
  <c r="DD11" i="54" s="1"/>
  <c r="DT7" i="54"/>
  <c r="DT11" i="54" s="1"/>
  <c r="CW8" i="54"/>
  <c r="CW12" i="54" s="1"/>
  <c r="DM8" i="54"/>
  <c r="DM12" i="54" s="1"/>
  <c r="EC8" i="54"/>
  <c r="EC12" i="54" s="1"/>
  <c r="DE7" i="55"/>
  <c r="DE11" i="55" s="1"/>
  <c r="DU7" i="55"/>
  <c r="DU11" i="55" s="1"/>
  <c r="EK7" i="55"/>
  <c r="EK11" i="55" s="1"/>
  <c r="DH8" i="55"/>
  <c r="DH12" i="55" s="1"/>
  <c r="DU8" i="55"/>
  <c r="DU12" i="55" s="1"/>
  <c r="EH8" i="55"/>
  <c r="EH12" i="55" s="1"/>
  <c r="DH7" i="46"/>
  <c r="DH9" i="46" s="1"/>
  <c r="DH10" i="46" s="1"/>
  <c r="DH15" i="46" s="1"/>
  <c r="EW28" i="22" s="1"/>
  <c r="DT7" i="46"/>
  <c r="DT9" i="46" s="1"/>
  <c r="DT10" i="46" s="1"/>
  <c r="DT15" i="46" s="1"/>
  <c r="CV7" i="46"/>
  <c r="CV9" i="46" s="1"/>
  <c r="CV10" i="46" s="1"/>
  <c r="CV15" i="46" s="1"/>
  <c r="DC7" i="49"/>
  <c r="DC11" i="49" s="1"/>
  <c r="DP7" i="49"/>
  <c r="DP11" i="49" s="1"/>
  <c r="EB7" i="49"/>
  <c r="EB11" i="49" s="1"/>
  <c r="CY8" i="49"/>
  <c r="CY10" i="49" s="1"/>
  <c r="DL8" i="49"/>
  <c r="DL10" i="49" s="1"/>
  <c r="DY8" i="49"/>
  <c r="DY10" i="49" s="1"/>
  <c r="EL8" i="49"/>
  <c r="EL10" i="49" s="1"/>
  <c r="CR8" i="49"/>
  <c r="CR10" i="49" s="1"/>
  <c r="CT7" i="50"/>
  <c r="CT11" i="50" s="1"/>
  <c r="DG7" i="50"/>
  <c r="DG11" i="50" s="1"/>
  <c r="DT7" i="50"/>
  <c r="DT11" i="50" s="1"/>
  <c r="EF7" i="50"/>
  <c r="EF11" i="50" s="1"/>
  <c r="ES7" i="50"/>
  <c r="ES11" i="50" s="1"/>
  <c r="DU8" i="50"/>
  <c r="DU12" i="50" s="1"/>
  <c r="EG8" i="50"/>
  <c r="EG12" i="50" s="1"/>
  <c r="ET8" i="50"/>
  <c r="ET12" i="50" s="1"/>
  <c r="DP8" i="51"/>
  <c r="DP12" i="51" s="1"/>
  <c r="EC8" i="51"/>
  <c r="EC12" i="51" s="1"/>
  <c r="DB8" i="51"/>
  <c r="DB12" i="51" s="1"/>
  <c r="DN8" i="51"/>
  <c r="DN12" i="51" s="1"/>
  <c r="DD7" i="39"/>
  <c r="DD9" i="39" s="1"/>
  <c r="DD10" i="39" s="1"/>
  <c r="DD15" i="39" s="1"/>
  <c r="ES27" i="22" s="1"/>
  <c r="DP7" i="39"/>
  <c r="DP9" i="39" s="1"/>
  <c r="DP10" i="39" s="1"/>
  <c r="DP15" i="39" s="1"/>
  <c r="FE27" i="22" s="1"/>
  <c r="EC7" i="39"/>
  <c r="EC9" i="39" s="1"/>
  <c r="EC10" i="39" s="1"/>
  <c r="EC15" i="39" s="1"/>
  <c r="DI6" i="43"/>
  <c r="DI9" i="43" s="1"/>
  <c r="DV6" i="43"/>
  <c r="DV9" i="43" s="1"/>
  <c r="DA7" i="43"/>
  <c r="DA10" i="43" s="1"/>
  <c r="DN7" i="43"/>
  <c r="DN10" i="43" s="1"/>
  <c r="DZ7" i="43"/>
  <c r="DZ10" i="43" s="1"/>
  <c r="CC6" i="43"/>
  <c r="CC9" i="43" s="1"/>
  <c r="CN6" i="43"/>
  <c r="CN9" i="43" s="1"/>
  <c r="CX6" i="43"/>
  <c r="CX9" i="43" s="1"/>
  <c r="CH7" i="43"/>
  <c r="CH10" i="43" s="1"/>
  <c r="CS7" i="43"/>
  <c r="CS10" i="43" s="1"/>
  <c r="BU6" i="43"/>
  <c r="BU9" i="43" s="1"/>
  <c r="BY7" i="43"/>
  <c r="BY10" i="43" s="1"/>
  <c r="BQ6" i="43"/>
  <c r="BQ9" i="43" s="1"/>
  <c r="BO7" i="43"/>
  <c r="BO10" i="43" s="1"/>
  <c r="CV4" i="44"/>
  <c r="CV7" i="44" s="1"/>
  <c r="DG4" i="44"/>
  <c r="DG7" i="44" s="1"/>
  <c r="DQ4" i="44"/>
  <c r="DQ7" i="44" s="1"/>
  <c r="DB5" i="44"/>
  <c r="DB8" i="44" s="1"/>
  <c r="DM5" i="44"/>
  <c r="DM8" i="44" s="1"/>
  <c r="CS5" i="44"/>
  <c r="CS8" i="44" s="1"/>
  <c r="DB8" i="38"/>
  <c r="DB12" i="38" s="1"/>
  <c r="DM8" i="38"/>
  <c r="DM12" i="38" s="1"/>
  <c r="DX8" i="38"/>
  <c r="DX12" i="38" s="1"/>
  <c r="DC9" i="38"/>
  <c r="DC13" i="38" s="1"/>
  <c r="DN9" i="38"/>
  <c r="DN13" i="38" s="1"/>
  <c r="DA4" i="35"/>
  <c r="DA8" i="35" s="1"/>
  <c r="DL4" i="35"/>
  <c r="DL8" i="35" s="1"/>
  <c r="DW4" i="35"/>
  <c r="DW8" i="35" s="1"/>
  <c r="DB5" i="35"/>
  <c r="DB9" i="35" s="1"/>
  <c r="DM5" i="35"/>
  <c r="DM9" i="35" s="1"/>
  <c r="DX5" i="35"/>
  <c r="DX9" i="35" s="1"/>
  <c r="CS5" i="45"/>
  <c r="CS9" i="45" s="1"/>
  <c r="CS11" i="45" s="1"/>
  <c r="CS16" i="45" s="1"/>
  <c r="DC5" i="45"/>
  <c r="DC9" i="45" s="1"/>
  <c r="DC11" i="45" s="1"/>
  <c r="DC16" i="45" s="1"/>
  <c r="DL5" i="45"/>
  <c r="DL9" i="45" s="1"/>
  <c r="DL11" i="45" s="1"/>
  <c r="DL16" i="45" s="1"/>
  <c r="DU5" i="45"/>
  <c r="DU9" i="45" s="1"/>
  <c r="DU11" i="45" s="1"/>
  <c r="DU16" i="45" s="1"/>
  <c r="DB4" i="32"/>
  <c r="DB9" i="32" s="1"/>
  <c r="DK4" i="32"/>
  <c r="DK9" i="32" s="1"/>
  <c r="DT4" i="32"/>
  <c r="DT9" i="32" s="1"/>
  <c r="EC4" i="32"/>
  <c r="EC9" i="32" s="1"/>
  <c r="EL4" i="32"/>
  <c r="EL9" i="32" s="1"/>
  <c r="CU5" i="32"/>
  <c r="CU10" i="32" s="1"/>
  <c r="DD5" i="32"/>
  <c r="DD10" i="32" s="1"/>
  <c r="DN5" i="32"/>
  <c r="DN10" i="32" s="1"/>
  <c r="DW5" i="32"/>
  <c r="DW10" i="32" s="1"/>
  <c r="EF5" i="32"/>
  <c r="EF10" i="32" s="1"/>
  <c r="EO5" i="32"/>
  <c r="EO10" i="32" s="1"/>
  <c r="CX6" i="32"/>
  <c r="CX11" i="32" s="1"/>
  <c r="DG6" i="32"/>
  <c r="DG11" i="32" s="1"/>
  <c r="DP6" i="32"/>
  <c r="DP11" i="32" s="1"/>
  <c r="DZ6" i="32"/>
  <c r="DZ11" i="32" s="1"/>
  <c r="EH6" i="32"/>
  <c r="EH11" i="32" s="1"/>
  <c r="EP6" i="32"/>
  <c r="EP11" i="32" s="1"/>
  <c r="CS6" i="32"/>
  <c r="CS11" i="32" s="1"/>
  <c r="CW4" i="31"/>
  <c r="CW9" i="31" s="1"/>
  <c r="DE4" i="31"/>
  <c r="DE9" i="31" s="1"/>
  <c r="DM4" i="31"/>
  <c r="DM9" i="31" s="1"/>
  <c r="DU4" i="31"/>
  <c r="DU9" i="31" s="1"/>
  <c r="DR8" i="29"/>
  <c r="DR12" i="29" s="1"/>
  <c r="DZ8" i="29"/>
  <c r="DZ12" i="29" s="1"/>
  <c r="CV8" i="29"/>
  <c r="CV12" i="29" s="1"/>
  <c r="DD8" i="29"/>
  <c r="DD12" i="29" s="1"/>
  <c r="DL8" i="29"/>
  <c r="DL12" i="29" s="1"/>
  <c r="CY5" i="57"/>
  <c r="CY8" i="57" s="1"/>
  <c r="DG5" i="57"/>
  <c r="DG8" i="57" s="1"/>
  <c r="DO5" i="57"/>
  <c r="DO8" i="57" s="1"/>
  <c r="DW5" i="57"/>
  <c r="DW8" i="57" s="1"/>
  <c r="CY6" i="57"/>
  <c r="CY9" i="57" s="1"/>
  <c r="DG6" i="57"/>
  <c r="DG9" i="57" s="1"/>
  <c r="DO6" i="57"/>
  <c r="DO9" i="57" s="1"/>
  <c r="DW6" i="57"/>
  <c r="DW9" i="57" s="1"/>
  <c r="CU5" i="57"/>
  <c r="CU8" i="57" s="1"/>
  <c r="DB6" i="30"/>
  <c r="DB10" i="30" s="1"/>
  <c r="DJ6" i="30"/>
  <c r="DJ10" i="30" s="1"/>
  <c r="DR6" i="30"/>
  <c r="DR10" i="30" s="1"/>
  <c r="DZ6" i="30"/>
  <c r="DZ10" i="30" s="1"/>
  <c r="EH6" i="30"/>
  <c r="EH10" i="30" s="1"/>
  <c r="CZ7" i="30"/>
  <c r="CZ11" i="30" s="1"/>
  <c r="DH7" i="30"/>
  <c r="DH11" i="30" s="1"/>
  <c r="DP7" i="30"/>
  <c r="DP11" i="30" s="1"/>
  <c r="DX7" i="30"/>
  <c r="DX11" i="30" s="1"/>
  <c r="EF7" i="30"/>
  <c r="EF11" i="30" s="1"/>
  <c r="CV6" i="28"/>
  <c r="CV9" i="28" s="1"/>
  <c r="DD6" i="28"/>
  <c r="DD9" i="28" s="1"/>
  <c r="DL6" i="28"/>
  <c r="DL9" i="28" s="1"/>
  <c r="DT6" i="28"/>
  <c r="DT9" i="28" s="1"/>
  <c r="CW7" i="28"/>
  <c r="CW10" i="28" s="1"/>
  <c r="DE7" i="28"/>
  <c r="DE10" i="28" s="1"/>
  <c r="DM7" i="28"/>
  <c r="DM10" i="28" s="1"/>
  <c r="DU7" i="28"/>
  <c r="DU10" i="28" s="1"/>
  <c r="DB6" i="27"/>
  <c r="DB10" i="27" s="1"/>
  <c r="DJ6" i="27"/>
  <c r="DJ10" i="27" s="1"/>
  <c r="DR6" i="27"/>
  <c r="DR10" i="27" s="1"/>
  <c r="DZ6" i="27"/>
  <c r="DZ10" i="27" s="1"/>
  <c r="CX7" i="27"/>
  <c r="CX11" i="27" s="1"/>
  <c r="DF7" i="27"/>
  <c r="DF11" i="27" s="1"/>
  <c r="DN7" i="27"/>
  <c r="DN11" i="27" s="1"/>
  <c r="DV7" i="27"/>
  <c r="DV11" i="27" s="1"/>
  <c r="ED7" i="27"/>
  <c r="ED11" i="27" s="1"/>
  <c r="DB8" i="27"/>
  <c r="DB12" i="27" s="1"/>
  <c r="DJ8" i="27"/>
  <c r="DJ12" i="27" s="1"/>
  <c r="DR8" i="27"/>
  <c r="DR12" i="27" s="1"/>
  <c r="DZ8" i="27"/>
  <c r="DZ12" i="27" s="1"/>
  <c r="CV7" i="27"/>
  <c r="CV11" i="27" s="1"/>
  <c r="CR7" i="27"/>
  <c r="CR11" i="27" s="1"/>
  <c r="DH5" i="24"/>
  <c r="DH7" i="24" s="1"/>
  <c r="DH9" i="24" s="1"/>
  <c r="DH7" i="52"/>
  <c r="DH11" i="52" s="1"/>
  <c r="DX7" i="52"/>
  <c r="DX11" i="52" s="1"/>
  <c r="CU8" i="52"/>
  <c r="CU12" i="52" s="1"/>
  <c r="DK8" i="52"/>
  <c r="DK12" i="52" s="1"/>
  <c r="EA8" i="52"/>
  <c r="EA12" i="52" s="1"/>
  <c r="BT7" i="47"/>
  <c r="BT10" i="47" s="1"/>
  <c r="CJ7" i="47"/>
  <c r="CJ10" i="47" s="1"/>
  <c r="CZ7" i="47"/>
  <c r="CZ10" i="47" s="1"/>
  <c r="BV8" i="47"/>
  <c r="BV11" i="47" s="1"/>
  <c r="CL8" i="47"/>
  <c r="CL11" i="47" s="1"/>
  <c r="DB8" i="47"/>
  <c r="DB11" i="47" s="1"/>
  <c r="BN7" i="47"/>
  <c r="BN10" i="47" s="1"/>
  <c r="BE7" i="47"/>
  <c r="BE10" i="47" s="1"/>
  <c r="DF7" i="54"/>
  <c r="DF11" i="54" s="1"/>
  <c r="DV7" i="54"/>
  <c r="DV11" i="54" s="1"/>
  <c r="CY8" i="54"/>
  <c r="CY12" i="54" s="1"/>
  <c r="DO8" i="54"/>
  <c r="DO12" i="54" s="1"/>
  <c r="EE8" i="54"/>
  <c r="EE12" i="54" s="1"/>
  <c r="DG7" i="55"/>
  <c r="DG11" i="55" s="1"/>
  <c r="DW7" i="55"/>
  <c r="DW11" i="55" s="1"/>
  <c r="EM7" i="55"/>
  <c r="EM11" i="55" s="1"/>
  <c r="DJ8" i="55"/>
  <c r="DJ12" i="55" s="1"/>
  <c r="DV8" i="55"/>
  <c r="DV12" i="55" s="1"/>
  <c r="EI8" i="55"/>
  <c r="EI12" i="55" s="1"/>
  <c r="CW7" i="55"/>
  <c r="CW11" i="55" s="1"/>
  <c r="DI7" i="46"/>
  <c r="DI9" i="46" s="1"/>
  <c r="DI10" i="46" s="1"/>
  <c r="DI15" i="46" s="1"/>
  <c r="EX28" i="22" s="1"/>
  <c r="DV7" i="46"/>
  <c r="DV9" i="46" s="1"/>
  <c r="DV10" i="46" s="1"/>
  <c r="DV15" i="46" s="1"/>
  <c r="CW7" i="46"/>
  <c r="CW9" i="46" s="1"/>
  <c r="CW10" i="46" s="1"/>
  <c r="CW15" i="46" s="1"/>
  <c r="EL28" i="22" s="1"/>
  <c r="DD7" i="49"/>
  <c r="DD11" i="49" s="1"/>
  <c r="DQ7" i="49"/>
  <c r="DQ11" i="49" s="1"/>
  <c r="ED7" i="49"/>
  <c r="ED11" i="49" s="1"/>
  <c r="DA8" i="49"/>
  <c r="DA10" i="49" s="1"/>
  <c r="DN8" i="49"/>
  <c r="DN10" i="49" s="1"/>
  <c r="DZ8" i="49"/>
  <c r="DZ10" i="49" s="1"/>
  <c r="EM8" i="49"/>
  <c r="EM10" i="49" s="1"/>
  <c r="CV7" i="50"/>
  <c r="CV11" i="50" s="1"/>
  <c r="DH7" i="50"/>
  <c r="DH11" i="50" s="1"/>
  <c r="DU7" i="50"/>
  <c r="DU11" i="50" s="1"/>
  <c r="EH7" i="50"/>
  <c r="EH11" i="50" s="1"/>
  <c r="EU7" i="50"/>
  <c r="EU11" i="50" s="1"/>
  <c r="DV8" i="50"/>
  <c r="DV12" i="50" s="1"/>
  <c r="EI8" i="50"/>
  <c r="EI12" i="50" s="1"/>
  <c r="EV8" i="50"/>
  <c r="EV12" i="50" s="1"/>
  <c r="DR8" i="51"/>
  <c r="DR12" i="51" s="1"/>
  <c r="ED8" i="51"/>
  <c r="ED12" i="51" s="1"/>
  <c r="DC8" i="51"/>
  <c r="DC12" i="51" s="1"/>
  <c r="DE7" i="39"/>
  <c r="DE9" i="39" s="1"/>
  <c r="DE10" i="39" s="1"/>
  <c r="DE15" i="39" s="1"/>
  <c r="ET27" i="22" s="1"/>
  <c r="DR7" i="39"/>
  <c r="DR9" i="39" s="1"/>
  <c r="DR10" i="39" s="1"/>
  <c r="DR15" i="39" s="1"/>
  <c r="FG27" i="22" s="1"/>
  <c r="EE7" i="39"/>
  <c r="EE9" i="39" s="1"/>
  <c r="EE10" i="39" s="1"/>
  <c r="EE15" i="39" s="1"/>
  <c r="DK6" i="43"/>
  <c r="DK9" i="43" s="1"/>
  <c r="DX6" i="43"/>
  <c r="DX9" i="43" s="1"/>
  <c r="DB7" i="43"/>
  <c r="DB10" i="43" s="1"/>
  <c r="DO7" i="43"/>
  <c r="DO10" i="43" s="1"/>
  <c r="EB7" i="43"/>
  <c r="EB10" i="43" s="1"/>
  <c r="CD6" i="43"/>
  <c r="CD9" i="43" s="1"/>
  <c r="CO6" i="43"/>
  <c r="CO9" i="43" s="1"/>
  <c r="CY6" i="43"/>
  <c r="CY9" i="43" s="1"/>
  <c r="CI7" i="43"/>
  <c r="CI10" i="43" s="1"/>
  <c r="CT7" i="43"/>
  <c r="CT10" i="43" s="1"/>
  <c r="BV6" i="43"/>
  <c r="BV9" i="43" s="1"/>
  <c r="BG6" i="43"/>
  <c r="BG9" i="43" s="1"/>
  <c r="BR6" i="43"/>
  <c r="BR9" i="43" s="1"/>
  <c r="BP7" i="43"/>
  <c r="BP10" i="43" s="1"/>
  <c r="CW4" i="44"/>
  <c r="CW7" i="44" s="1"/>
  <c r="DH4" i="44"/>
  <c r="DH7" i="44" s="1"/>
  <c r="DR4" i="44"/>
  <c r="DR7" i="44" s="1"/>
  <c r="DC5" i="44"/>
  <c r="DC8" i="44" s="1"/>
  <c r="DN5" i="44"/>
  <c r="DN8" i="44" s="1"/>
  <c r="CR5" i="44"/>
  <c r="CR8" i="44" s="1"/>
  <c r="DD8" i="38"/>
  <c r="DD12" i="38" s="1"/>
  <c r="DO8" i="38"/>
  <c r="DO12" i="38" s="1"/>
  <c r="CT9" i="38"/>
  <c r="CT13" i="38" s="1"/>
  <c r="DE9" i="38"/>
  <c r="DE13" i="38" s="1"/>
  <c r="DP9" i="38"/>
  <c r="DP13" i="38" s="1"/>
  <c r="CS8" i="38"/>
  <c r="CS12" i="38" s="1"/>
  <c r="DC4" i="35"/>
  <c r="DC8" i="35" s="1"/>
  <c r="DN4" i="35"/>
  <c r="DN8" i="35" s="1"/>
  <c r="DX4" i="35"/>
  <c r="DX8" i="35" s="1"/>
  <c r="DD5" i="35"/>
  <c r="DD9" i="35" s="1"/>
  <c r="DO5" i="35"/>
  <c r="DO9" i="35" s="1"/>
  <c r="DY5" i="35"/>
  <c r="DY9" i="35" s="1"/>
  <c r="CT5" i="45"/>
  <c r="CT9" i="45" s="1"/>
  <c r="CT11" i="45" s="1"/>
  <c r="CT16" i="45" s="1"/>
  <c r="DD5" i="45"/>
  <c r="DD9" i="45" s="1"/>
  <c r="DD11" i="45" s="1"/>
  <c r="DD16" i="45" s="1"/>
  <c r="DM5" i="45"/>
  <c r="DM9" i="45" s="1"/>
  <c r="DM11" i="45" s="1"/>
  <c r="DM16" i="45" s="1"/>
  <c r="DW5" i="45"/>
  <c r="DW9" i="45" s="1"/>
  <c r="DW11" i="45" s="1"/>
  <c r="DW16" i="45" s="1"/>
  <c r="CT4" i="32"/>
  <c r="CT9" i="32" s="1"/>
  <c r="DC4" i="32"/>
  <c r="DC9" i="32" s="1"/>
  <c r="DL4" i="32"/>
  <c r="DL9" i="32" s="1"/>
  <c r="DU4" i="32"/>
  <c r="DU9" i="32" s="1"/>
  <c r="ED4" i="32"/>
  <c r="ED9" i="32" s="1"/>
  <c r="EM4" i="32"/>
  <c r="EM9" i="32" s="1"/>
  <c r="CV5" i="32"/>
  <c r="CV10" i="32" s="1"/>
  <c r="DF5" i="32"/>
  <c r="DF10" i="32" s="1"/>
  <c r="DO5" i="32"/>
  <c r="DO10" i="32" s="1"/>
  <c r="DX5" i="32"/>
  <c r="DX10" i="32" s="1"/>
  <c r="EG5" i="32"/>
  <c r="EG10" i="32" s="1"/>
  <c r="EP5" i="32"/>
  <c r="EP10" i="32" s="1"/>
  <c r="CY6" i="32"/>
  <c r="CY11" i="32" s="1"/>
  <c r="DH6" i="32"/>
  <c r="DH11" i="32" s="1"/>
  <c r="DR6" i="32"/>
  <c r="DR11" i="32" s="1"/>
  <c r="EA6" i="32"/>
  <c r="EA11" i="32" s="1"/>
  <c r="EI6" i="32"/>
  <c r="EI11" i="32" s="1"/>
  <c r="EQ6" i="32"/>
  <c r="EQ11" i="32" s="1"/>
  <c r="CS5" i="32"/>
  <c r="CS10" i="32" s="1"/>
  <c r="CX4" i="31"/>
  <c r="CX9" i="31" s="1"/>
  <c r="DF4" i="31"/>
  <c r="DF9" i="31" s="1"/>
  <c r="DN4" i="31"/>
  <c r="DN9" i="31" s="1"/>
  <c r="DV4" i="31"/>
  <c r="DV9" i="31" s="1"/>
  <c r="DS8" i="29"/>
  <c r="DS12" i="29" s="1"/>
  <c r="EA8" i="29"/>
  <c r="EA12" i="29" s="1"/>
  <c r="CW8" i="29"/>
  <c r="CW12" i="29" s="1"/>
  <c r="DE8" i="29"/>
  <c r="DE12" i="29" s="1"/>
  <c r="DM8" i="29"/>
  <c r="DM12" i="29" s="1"/>
  <c r="CZ5" i="57"/>
  <c r="CZ8" i="57" s="1"/>
  <c r="DH5" i="57"/>
  <c r="DH8" i="57" s="1"/>
  <c r="DP5" i="57"/>
  <c r="DP8" i="57" s="1"/>
  <c r="DX5" i="57"/>
  <c r="DX8" i="57" s="1"/>
  <c r="CZ6" i="57"/>
  <c r="CZ9" i="57" s="1"/>
  <c r="DH6" i="57"/>
  <c r="DH9" i="57" s="1"/>
  <c r="DP6" i="57"/>
  <c r="DP9" i="57" s="1"/>
  <c r="DX6" i="57"/>
  <c r="DX9" i="57" s="1"/>
  <c r="CS6" i="57"/>
  <c r="CS9" i="57" s="1"/>
  <c r="CU6" i="30"/>
  <c r="CU10" i="30" s="1"/>
  <c r="DC6" i="30"/>
  <c r="DC10" i="30" s="1"/>
  <c r="DK6" i="30"/>
  <c r="DK10" i="30" s="1"/>
  <c r="DS6" i="30"/>
  <c r="DS10" i="30" s="1"/>
  <c r="EA6" i="30"/>
  <c r="EA10" i="30" s="1"/>
  <c r="EI6" i="30"/>
  <c r="EI10" i="30" s="1"/>
  <c r="DA7" i="30"/>
  <c r="DA11" i="30" s="1"/>
  <c r="DI7" i="30"/>
  <c r="DI11" i="30" s="1"/>
  <c r="DQ7" i="30"/>
  <c r="DQ11" i="30" s="1"/>
  <c r="DY7" i="30"/>
  <c r="DY11" i="30" s="1"/>
  <c r="EG7" i="30"/>
  <c r="EG11" i="30" s="1"/>
  <c r="CW6" i="28"/>
  <c r="CW9" i="28" s="1"/>
  <c r="DE6" i="28"/>
  <c r="DE9" i="28" s="1"/>
  <c r="DM6" i="28"/>
  <c r="DM9" i="28" s="1"/>
  <c r="DU6" i="28"/>
  <c r="DU9" i="28" s="1"/>
  <c r="CX7" i="28"/>
  <c r="CX10" i="28" s="1"/>
  <c r="DF7" i="28"/>
  <c r="DF10" i="28" s="1"/>
  <c r="DN7" i="28"/>
  <c r="DN10" i="28" s="1"/>
  <c r="DV7" i="28"/>
  <c r="DV10" i="28" s="1"/>
  <c r="DC6" i="27"/>
  <c r="DC10" i="27" s="1"/>
  <c r="DK6" i="27"/>
  <c r="DK10" i="27" s="1"/>
  <c r="DS6" i="27"/>
  <c r="DS10" i="27" s="1"/>
  <c r="EA6" i="27"/>
  <c r="EA10" i="27" s="1"/>
  <c r="CY7" i="27"/>
  <c r="CY11" i="27" s="1"/>
  <c r="DG7" i="27"/>
  <c r="DG11" i="27" s="1"/>
  <c r="DO7" i="27"/>
  <c r="DO11" i="27" s="1"/>
  <c r="DW7" i="27"/>
  <c r="DW11" i="27" s="1"/>
  <c r="EE7" i="27"/>
  <c r="EE11" i="27" s="1"/>
  <c r="DC8" i="27"/>
  <c r="DC12" i="27" s="1"/>
  <c r="DK8" i="27"/>
  <c r="DK12" i="27" s="1"/>
  <c r="DS8" i="27"/>
  <c r="DS12" i="27" s="1"/>
  <c r="EA8" i="27"/>
  <c r="EA12" i="27" s="1"/>
  <c r="CT8" i="27"/>
  <c r="CT12" i="27" s="1"/>
  <c r="CS7" i="27"/>
  <c r="CS11" i="27" s="1"/>
  <c r="DI5" i="24"/>
  <c r="DI7" i="24" s="1"/>
  <c r="DI9" i="24" s="1"/>
  <c r="DQ5" i="24"/>
  <c r="DQ7" i="24" s="1"/>
  <c r="DQ9" i="24" s="1"/>
  <c r="DQ14" i="24" s="1"/>
  <c r="FG18" i="22" s="1"/>
  <c r="DY5" i="24"/>
  <c r="DY7" i="24" s="1"/>
  <c r="DY9" i="24" s="1"/>
  <c r="DY14" i="24" s="1"/>
  <c r="CY5" i="24"/>
  <c r="CY7" i="24" s="1"/>
  <c r="CY9" i="24" s="1"/>
  <c r="DZ6" i="23"/>
  <c r="DZ9" i="23" s="1"/>
  <c r="EH6" i="23"/>
  <c r="EH9" i="23" s="1"/>
  <c r="CS7" i="48"/>
  <c r="CS9" i="48" s="1"/>
  <c r="CS7" i="52"/>
  <c r="CS11" i="52" s="1"/>
  <c r="DI7" i="52"/>
  <c r="DI11" i="52" s="1"/>
  <c r="DY7" i="52"/>
  <c r="DY11" i="52" s="1"/>
  <c r="CV8" i="52"/>
  <c r="CV12" i="52" s="1"/>
  <c r="DL8" i="52"/>
  <c r="DL12" i="52" s="1"/>
  <c r="EB8" i="52"/>
  <c r="EB12" i="52" s="1"/>
  <c r="BU7" i="47"/>
  <c r="BU10" i="47" s="1"/>
  <c r="CK7" i="47"/>
  <c r="CK10" i="47" s="1"/>
  <c r="DA7" i="47"/>
  <c r="DA10" i="47" s="1"/>
  <c r="BW8" i="47"/>
  <c r="BW11" i="47" s="1"/>
  <c r="CM8" i="47"/>
  <c r="CM11" i="47" s="1"/>
  <c r="DC8" i="47"/>
  <c r="DC11" i="47" s="1"/>
  <c r="BO7" i="47"/>
  <c r="BO10" i="47" s="1"/>
  <c r="BF7" i="47"/>
  <c r="BF10" i="47" s="1"/>
  <c r="DG7" i="54"/>
  <c r="DG11" i="54" s="1"/>
  <c r="DW7" i="54"/>
  <c r="DW11" i="54" s="1"/>
  <c r="CZ8" i="54"/>
  <c r="CZ12" i="54" s="1"/>
  <c r="DP8" i="54"/>
  <c r="DP12" i="54" s="1"/>
  <c r="EF8" i="54"/>
  <c r="EF12" i="54" s="1"/>
  <c r="CU7" i="54"/>
  <c r="CU11" i="54" s="1"/>
  <c r="DH7" i="55"/>
  <c r="DH11" i="55" s="1"/>
  <c r="DX7" i="55"/>
  <c r="DX11" i="55" s="1"/>
  <c r="EN7" i="55"/>
  <c r="EN11" i="55" s="1"/>
  <c r="DK8" i="55"/>
  <c r="DK12" i="55" s="1"/>
  <c r="DX8" i="55"/>
  <c r="DX12" i="55" s="1"/>
  <c r="EK8" i="55"/>
  <c r="EK12" i="55" s="1"/>
  <c r="CX7" i="55"/>
  <c r="CX11" i="55" s="1"/>
  <c r="DK7" i="46"/>
  <c r="DK9" i="46" s="1"/>
  <c r="DK10" i="46" s="1"/>
  <c r="DK15" i="46" s="1"/>
  <c r="EZ28" i="22" s="1"/>
  <c r="DX7" i="46"/>
  <c r="DX9" i="46" s="1"/>
  <c r="DX10" i="46" s="1"/>
  <c r="DX15" i="46" s="1"/>
  <c r="CT7" i="46"/>
  <c r="CT9" i="46" s="1"/>
  <c r="CT10" i="46" s="1"/>
  <c r="CT15" i="46" s="1"/>
  <c r="DF7" i="49"/>
  <c r="DF11" i="49" s="1"/>
  <c r="DS7" i="49"/>
  <c r="DS11" i="49" s="1"/>
  <c r="EF7" i="49"/>
  <c r="EF11" i="49" s="1"/>
  <c r="DB8" i="49"/>
  <c r="DB10" i="49" s="1"/>
  <c r="DO8" i="49"/>
  <c r="DO10" i="49" s="1"/>
  <c r="EB8" i="49"/>
  <c r="EB10" i="49" s="1"/>
  <c r="CT7" i="49"/>
  <c r="CT11" i="49" s="1"/>
  <c r="CW7" i="50"/>
  <c r="CW11" i="50" s="1"/>
  <c r="DJ7" i="50"/>
  <c r="DJ11" i="50" s="1"/>
  <c r="DW7" i="50"/>
  <c r="DW11" i="50" s="1"/>
  <c r="EJ7" i="50"/>
  <c r="EJ11" i="50" s="1"/>
  <c r="EV7" i="50"/>
  <c r="EV11" i="50" s="1"/>
  <c r="DX8" i="50"/>
  <c r="DX12" i="50" s="1"/>
  <c r="EK8" i="50"/>
  <c r="EK12" i="50" s="1"/>
  <c r="EW8" i="50"/>
  <c r="EW12" i="50" s="1"/>
  <c r="DS8" i="51"/>
  <c r="DS12" i="51" s="1"/>
  <c r="CR8" i="51"/>
  <c r="CR12" i="51" s="1"/>
  <c r="DE8" i="51"/>
  <c r="DE12" i="51" s="1"/>
  <c r="CP8" i="51"/>
  <c r="CP12" i="51" s="1"/>
  <c r="CT7" i="39"/>
  <c r="CT9" i="39" s="1"/>
  <c r="CT10" i="39" s="1"/>
  <c r="CT15" i="39" s="1"/>
  <c r="DG7" i="39"/>
  <c r="DG9" i="39" s="1"/>
  <c r="DG10" i="39" s="1"/>
  <c r="DG15" i="39" s="1"/>
  <c r="EV27" i="22" s="1"/>
  <c r="DT7" i="39"/>
  <c r="DT9" i="39" s="1"/>
  <c r="DT10" i="39" s="1"/>
  <c r="DT15" i="39" s="1"/>
  <c r="EF7" i="39"/>
  <c r="EF9" i="39" s="1"/>
  <c r="EF10" i="39" s="1"/>
  <c r="EF15" i="39" s="1"/>
  <c r="DL6" i="43"/>
  <c r="DL9" i="43" s="1"/>
  <c r="DY6" i="43"/>
  <c r="DY9" i="43" s="1"/>
  <c r="DD7" i="43"/>
  <c r="DD10" i="43" s="1"/>
  <c r="DQ7" i="43"/>
  <c r="DQ10" i="43" s="1"/>
  <c r="ED7" i="43"/>
  <c r="ED10" i="43" s="1"/>
  <c r="CF6" i="43"/>
  <c r="CF9" i="43" s="1"/>
  <c r="CP6" i="43"/>
  <c r="CP9" i="43" s="1"/>
  <c r="BZ7" i="43"/>
  <c r="BZ10" i="43" s="1"/>
  <c r="CK7" i="43"/>
  <c r="CK10" i="43" s="1"/>
  <c r="CU7" i="43"/>
  <c r="CU10" i="43" s="1"/>
  <c r="BX6" i="43"/>
  <c r="BX9" i="43" s="1"/>
  <c r="BI6" i="43"/>
  <c r="BI9" i="43" s="1"/>
  <c r="BG7" i="43"/>
  <c r="BG10" i="43" s="1"/>
  <c r="BR7" i="43"/>
  <c r="BR10" i="43" s="1"/>
  <c r="CY4" i="44"/>
  <c r="CY7" i="44" s="1"/>
  <c r="DI4" i="44"/>
  <c r="DI7" i="44" s="1"/>
  <c r="CT5" i="44"/>
  <c r="CT8" i="44" s="1"/>
  <c r="DE5" i="44"/>
  <c r="DE8" i="44" s="1"/>
  <c r="DO5" i="44"/>
  <c r="DO8" i="44" s="1"/>
  <c r="CR4" i="44"/>
  <c r="CR7" i="44" s="1"/>
  <c r="CT8" i="38"/>
  <c r="CT12" i="38" s="1"/>
  <c r="DE8" i="38"/>
  <c r="DE12" i="38" s="1"/>
  <c r="DP8" i="38"/>
  <c r="DP12" i="38" s="1"/>
  <c r="CU9" i="38"/>
  <c r="CU13" i="38" s="1"/>
  <c r="DF9" i="38"/>
  <c r="DF13" i="38" s="1"/>
  <c r="DQ9" i="38"/>
  <c r="DQ13" i="38" s="1"/>
  <c r="CS9" i="38"/>
  <c r="CS13" i="38" s="1"/>
  <c r="DD4" i="35"/>
  <c r="DD8" i="35" s="1"/>
  <c r="DO4" i="35"/>
  <c r="DO8" i="35" s="1"/>
  <c r="DY4" i="35"/>
  <c r="DY8" i="35" s="1"/>
  <c r="DE5" i="35"/>
  <c r="DE9" i="35" s="1"/>
  <c r="DP5" i="35"/>
  <c r="DP9" i="35" s="1"/>
  <c r="CT5" i="35"/>
  <c r="CT9" i="35" s="1"/>
  <c r="CV5" i="45"/>
  <c r="CV9" i="45" s="1"/>
  <c r="CV11" i="45" s="1"/>
  <c r="CV16" i="45" s="1"/>
  <c r="DE5" i="45"/>
  <c r="DE9" i="45" s="1"/>
  <c r="DE11" i="45" s="1"/>
  <c r="DE16" i="45" s="1"/>
  <c r="DO5" i="45"/>
  <c r="DO9" i="45" s="1"/>
  <c r="DO11" i="45" s="1"/>
  <c r="DO16" i="45" s="1"/>
  <c r="DX5" i="45"/>
  <c r="DX9" i="45" s="1"/>
  <c r="DX11" i="45" s="1"/>
  <c r="DX16" i="45" s="1"/>
  <c r="CU4" i="32"/>
  <c r="CU9" i="32" s="1"/>
  <c r="DD4" i="32"/>
  <c r="DD9" i="32" s="1"/>
  <c r="DM4" i="32"/>
  <c r="DM9" i="32" s="1"/>
  <c r="DV4" i="32"/>
  <c r="DV9" i="32" s="1"/>
  <c r="EE4" i="32"/>
  <c r="EE9" i="32" s="1"/>
  <c r="EN4" i="32"/>
  <c r="EN9" i="32" s="1"/>
  <c r="CX5" i="32"/>
  <c r="CX10" i="32" s="1"/>
  <c r="DG5" i="32"/>
  <c r="DG10" i="32" s="1"/>
  <c r="DP5" i="32"/>
  <c r="DP10" i="32" s="1"/>
  <c r="DY5" i="32"/>
  <c r="DY10" i="32" s="1"/>
  <c r="EH5" i="32"/>
  <c r="EH10" i="32" s="1"/>
  <c r="EQ5" i="32"/>
  <c r="EQ10" i="32" s="1"/>
  <c r="CZ6" i="32"/>
  <c r="CZ11" i="32" s="1"/>
  <c r="DJ6" i="32"/>
  <c r="DJ11" i="32" s="1"/>
  <c r="DS6" i="32"/>
  <c r="DS11" i="32" s="1"/>
  <c r="EB6" i="32"/>
  <c r="EB11" i="32" s="1"/>
  <c r="EJ6" i="32"/>
  <c r="EJ11" i="32" s="1"/>
  <c r="ER6" i="32"/>
  <c r="ER11" i="32" s="1"/>
  <c r="CS4" i="32"/>
  <c r="CS9" i="32" s="1"/>
  <c r="CY4" i="31"/>
  <c r="CY9" i="31" s="1"/>
  <c r="DG4" i="31"/>
  <c r="DG9" i="31" s="1"/>
  <c r="DO4" i="31"/>
  <c r="DO9" i="31" s="1"/>
  <c r="DW4" i="31"/>
  <c r="DW9" i="31" s="1"/>
  <c r="DT8" i="29"/>
  <c r="DT12" i="29" s="1"/>
  <c r="EB8" i="29"/>
  <c r="EB12" i="29" s="1"/>
  <c r="CX8" i="29"/>
  <c r="CX12" i="29" s="1"/>
  <c r="DF8" i="29"/>
  <c r="DF12" i="29" s="1"/>
  <c r="DN8" i="29"/>
  <c r="DN12" i="29" s="1"/>
  <c r="DA5" i="57"/>
  <c r="DA8" i="57" s="1"/>
  <c r="DI5" i="57"/>
  <c r="DI8" i="57" s="1"/>
  <c r="DQ5" i="57"/>
  <c r="DQ8" i="57" s="1"/>
  <c r="DY5" i="57"/>
  <c r="DY8" i="57" s="1"/>
  <c r="DA6" i="57"/>
  <c r="DA9" i="57" s="1"/>
  <c r="DI6" i="57"/>
  <c r="DI9" i="57" s="1"/>
  <c r="DQ6" i="57"/>
  <c r="DQ9" i="57" s="1"/>
  <c r="DY6" i="57"/>
  <c r="DY9" i="57" s="1"/>
  <c r="CT6" i="57"/>
  <c r="CT9" i="57" s="1"/>
  <c r="CV6" i="30"/>
  <c r="CV10" i="30" s="1"/>
  <c r="DD6" i="30"/>
  <c r="DD10" i="30" s="1"/>
  <c r="DL6" i="30"/>
  <c r="DL10" i="30" s="1"/>
  <c r="DT6" i="30"/>
  <c r="DT10" i="30" s="1"/>
  <c r="EB6" i="30"/>
  <c r="EB10" i="30" s="1"/>
  <c r="EJ6" i="30"/>
  <c r="EJ10" i="30" s="1"/>
  <c r="DB7" i="30"/>
  <c r="DB11" i="30" s="1"/>
  <c r="DJ7" i="30"/>
  <c r="DJ11" i="30" s="1"/>
  <c r="DR7" i="30"/>
  <c r="DR11" i="30" s="1"/>
  <c r="DZ7" i="30"/>
  <c r="DZ11" i="30" s="1"/>
  <c r="EH7" i="30"/>
  <c r="EH11" i="30" s="1"/>
  <c r="CX9" i="28"/>
  <c r="DF6" i="28"/>
  <c r="DF9" i="28" s="1"/>
  <c r="DN6" i="28"/>
  <c r="DN9" i="28" s="1"/>
  <c r="DV6" i="28"/>
  <c r="DV9" i="28" s="1"/>
  <c r="CY7" i="28"/>
  <c r="CY10" i="28" s="1"/>
  <c r="DG7" i="28"/>
  <c r="DG10" i="28" s="1"/>
  <c r="DO7" i="28"/>
  <c r="DO10" i="28" s="1"/>
  <c r="DW7" i="28"/>
  <c r="DW10" i="28" s="1"/>
  <c r="DD6" i="27"/>
  <c r="DD10" i="27" s="1"/>
  <c r="DL6" i="27"/>
  <c r="DL10" i="27" s="1"/>
  <c r="DT6" i="27"/>
  <c r="DT10" i="27" s="1"/>
  <c r="EB6" i="27"/>
  <c r="EB10" i="27" s="1"/>
  <c r="CZ7" i="27"/>
  <c r="CZ11" i="27" s="1"/>
  <c r="DH7" i="27"/>
  <c r="DH11" i="27" s="1"/>
  <c r="DP7" i="27"/>
  <c r="DP11" i="27" s="1"/>
  <c r="DX7" i="27"/>
  <c r="DX11" i="27" s="1"/>
  <c r="EF7" i="27"/>
  <c r="EF11" i="27" s="1"/>
  <c r="DD8" i="27"/>
  <c r="DD12" i="27" s="1"/>
  <c r="DL8" i="27"/>
  <c r="DL12" i="27" s="1"/>
  <c r="DT8" i="27"/>
  <c r="DT12" i="27" s="1"/>
  <c r="EB8" i="27"/>
  <c r="EB12" i="27" s="1"/>
  <c r="CU8" i="27"/>
  <c r="CU12" i="27" s="1"/>
  <c r="CR8" i="27"/>
  <c r="CR12" i="27" s="1"/>
  <c r="DJ5" i="24"/>
  <c r="DJ7" i="24" s="1"/>
  <c r="DJ9" i="24" s="1"/>
  <c r="DR5" i="24"/>
  <c r="DR7" i="24" s="1"/>
  <c r="DR9" i="24" s="1"/>
  <c r="DR14" i="24" s="1"/>
  <c r="FH18" i="22" s="1"/>
  <c r="DZ5" i="24"/>
  <c r="DZ7" i="24" s="1"/>
  <c r="DZ9" i="24" s="1"/>
  <c r="DZ14" i="24" s="1"/>
  <c r="CZ5" i="24"/>
  <c r="CZ7" i="24" s="1"/>
  <c r="CZ9" i="24" s="1"/>
  <c r="EA6" i="23"/>
  <c r="EA9" i="23" s="1"/>
  <c r="CZ7" i="52"/>
  <c r="CZ11" i="52" s="1"/>
  <c r="DP7" i="52"/>
  <c r="DP11" i="52" s="1"/>
  <c r="EF7" i="52"/>
  <c r="EF11" i="52" s="1"/>
  <c r="DC8" i="52"/>
  <c r="DC12" i="52" s="1"/>
  <c r="DS8" i="52"/>
  <c r="DS12" i="52" s="1"/>
  <c r="EI8" i="52"/>
  <c r="EI12" i="52" s="1"/>
  <c r="CB7" i="47"/>
  <c r="CB10" i="47" s="1"/>
  <c r="CR7" i="47"/>
  <c r="CR10" i="47" s="1"/>
  <c r="DH7" i="47"/>
  <c r="DH10" i="47" s="1"/>
  <c r="CD8" i="47"/>
  <c r="CD11" i="47" s="1"/>
  <c r="CT8" i="47"/>
  <c r="CT11" i="47" s="1"/>
  <c r="DJ8" i="47"/>
  <c r="DJ11" i="47" s="1"/>
  <c r="BL8" i="47"/>
  <c r="BL11" i="47" s="1"/>
  <c r="BB7" i="47"/>
  <c r="BB10" i="47" s="1"/>
  <c r="CX7" i="54"/>
  <c r="CX11" i="54" s="1"/>
  <c r="DN7" i="54"/>
  <c r="DN11" i="54" s="1"/>
  <c r="ED7" i="54"/>
  <c r="ED11" i="54" s="1"/>
  <c r="DG8" i="54"/>
  <c r="DG12" i="54" s="1"/>
  <c r="DW8" i="54"/>
  <c r="DW12" i="54" s="1"/>
  <c r="CY7" i="55"/>
  <c r="CY11" i="55" s="1"/>
  <c r="DO7" i="55"/>
  <c r="DO11" i="55" s="1"/>
  <c r="EE7" i="55"/>
  <c r="EE11" i="55" s="1"/>
  <c r="DC8" i="55"/>
  <c r="DC12" i="55" s="1"/>
  <c r="DP8" i="55"/>
  <c r="DP12" i="55" s="1"/>
  <c r="EC8" i="55"/>
  <c r="EC12" i="55" s="1"/>
  <c r="DC7" i="46"/>
  <c r="DC9" i="46" s="1"/>
  <c r="DC10" i="46" s="1"/>
  <c r="DC15" i="46" s="1"/>
  <c r="ER28" i="22" s="1"/>
  <c r="DP7" i="46"/>
  <c r="DP9" i="46" s="1"/>
  <c r="DP10" i="46" s="1"/>
  <c r="DP15" i="46" s="1"/>
  <c r="FE28" i="22" s="1"/>
  <c r="CX7" i="49"/>
  <c r="CX11" i="49" s="1"/>
  <c r="DK7" i="49"/>
  <c r="DK11" i="49" s="1"/>
  <c r="DX7" i="49"/>
  <c r="DX11" i="49" s="1"/>
  <c r="EJ7" i="49"/>
  <c r="EJ11" i="49" s="1"/>
  <c r="DG8" i="49"/>
  <c r="DG10" i="49" s="1"/>
  <c r="DT8" i="49"/>
  <c r="DT10" i="49" s="1"/>
  <c r="EG8" i="49"/>
  <c r="EG10" i="49" s="1"/>
  <c r="CT8" i="49"/>
  <c r="CT10" i="49" s="1"/>
  <c r="DB7" i="50"/>
  <c r="DB11" i="50" s="1"/>
  <c r="DO7" i="50"/>
  <c r="DO11" i="50" s="1"/>
  <c r="EB7" i="50"/>
  <c r="EB11" i="50" s="1"/>
  <c r="EN7" i="50"/>
  <c r="EN11" i="50" s="1"/>
  <c r="FA7" i="50"/>
  <c r="FA11" i="50" s="1"/>
  <c r="FA13" i="50" s="1"/>
  <c r="FA18" i="50" s="1"/>
  <c r="EC8" i="50"/>
  <c r="EC12" i="50" s="1"/>
  <c r="EO8" i="50"/>
  <c r="EO12" i="50" s="1"/>
  <c r="FB8" i="50"/>
  <c r="FB12" i="50" s="1"/>
  <c r="DX8" i="51"/>
  <c r="DX12" i="51" s="1"/>
  <c r="CW8" i="51"/>
  <c r="CW12" i="51" s="1"/>
  <c r="DJ8" i="51"/>
  <c r="DJ12" i="51" s="1"/>
  <c r="CN8" i="51"/>
  <c r="CN12" i="51" s="1"/>
  <c r="CY7" i="39"/>
  <c r="CY9" i="39" s="1"/>
  <c r="CY10" i="39" s="1"/>
  <c r="CY15" i="39" s="1"/>
  <c r="EN27" i="22" s="1"/>
  <c r="DL7" i="39"/>
  <c r="DL9" i="39" s="1"/>
  <c r="DL10" i="39" s="1"/>
  <c r="DL15" i="39" s="1"/>
  <c r="FA27" i="22" s="1"/>
  <c r="DX7" i="39"/>
  <c r="DX9" i="39" s="1"/>
  <c r="DX10" i="39" s="1"/>
  <c r="DX15" i="39" s="1"/>
  <c r="EK7" i="39"/>
  <c r="EK9" i="39" s="1"/>
  <c r="EK10" i="39" s="1"/>
  <c r="EK15" i="39" s="1"/>
  <c r="DD6" i="43"/>
  <c r="DD9" i="43" s="1"/>
  <c r="DQ6" i="43"/>
  <c r="DQ9" i="43" s="1"/>
  <c r="ED6" i="43"/>
  <c r="ED9" i="43" s="1"/>
  <c r="DI7" i="43"/>
  <c r="DI10" i="43" s="1"/>
  <c r="DV7" i="43"/>
  <c r="DV10" i="43" s="1"/>
  <c r="EH7" i="43"/>
  <c r="EH10" i="43" s="1"/>
  <c r="CI6" i="43"/>
  <c r="CI9" i="43" s="1"/>
  <c r="CT6" i="43"/>
  <c r="CT9" i="43" s="1"/>
  <c r="CD7" i="43"/>
  <c r="CD10" i="43" s="1"/>
  <c r="CN7" i="43"/>
  <c r="CN10" i="43" s="1"/>
  <c r="CY7" i="43"/>
  <c r="CY10" i="43" s="1"/>
  <c r="BU7" i="43"/>
  <c r="BU10" i="43" s="1"/>
  <c r="BL6" i="43"/>
  <c r="BL9" i="43" s="1"/>
  <c r="BK7" i="43"/>
  <c r="BK10" i="43" s="1"/>
  <c r="DB4" i="44"/>
  <c r="DB7" i="44" s="1"/>
  <c r="DM4" i="44"/>
  <c r="DM7" i="44" s="1"/>
  <c r="CX5" i="44"/>
  <c r="CX8" i="44" s="1"/>
  <c r="DH5" i="44"/>
  <c r="DH8" i="44" s="1"/>
  <c r="DS5" i="44"/>
  <c r="DS8" i="44" s="1"/>
  <c r="CY8" i="38"/>
  <c r="CY12" i="38" s="1"/>
  <c r="DI8" i="38"/>
  <c r="DI12" i="38" s="1"/>
  <c r="DT8" i="38"/>
  <c r="DT12" i="38" s="1"/>
  <c r="CZ9" i="38"/>
  <c r="CZ13" i="38" s="1"/>
  <c r="DJ9" i="38"/>
  <c r="DJ13" i="38" s="1"/>
  <c r="DU9" i="38"/>
  <c r="DU13" i="38" s="1"/>
  <c r="CX4" i="35"/>
  <c r="CX8" i="35" s="1"/>
  <c r="DH4" i="35"/>
  <c r="DH8" i="35" s="1"/>
  <c r="DS4" i="35"/>
  <c r="DS8" i="35" s="1"/>
  <c r="CY5" i="35"/>
  <c r="CY9" i="35" s="1"/>
  <c r="DI5" i="35"/>
  <c r="DI9" i="35" s="1"/>
  <c r="DT5" i="35"/>
  <c r="DT9" i="35" s="1"/>
  <c r="CZ5" i="45"/>
  <c r="CZ9" i="45" s="1"/>
  <c r="CZ11" i="45" s="1"/>
  <c r="CZ16" i="45" s="1"/>
  <c r="DI5" i="45"/>
  <c r="DI9" i="45" s="1"/>
  <c r="DI11" i="45" s="1"/>
  <c r="DI16" i="45" s="1"/>
  <c r="DR5" i="45"/>
  <c r="DR9" i="45" s="1"/>
  <c r="DR11" i="45" s="1"/>
  <c r="DR16" i="45" s="1"/>
  <c r="CX4" i="32"/>
  <c r="CX9" i="32" s="1"/>
  <c r="DG4" i="32"/>
  <c r="DG9" i="32" s="1"/>
  <c r="DP4" i="32"/>
  <c r="DP9" i="32" s="1"/>
  <c r="DZ4" i="32"/>
  <c r="DZ9" i="32" s="1"/>
  <c r="EI4" i="32"/>
  <c r="EI9" i="32" s="1"/>
  <c r="ER4" i="32"/>
  <c r="ER9" i="32" s="1"/>
  <c r="DA5" i="32"/>
  <c r="DA10" i="32" s="1"/>
  <c r="DJ5" i="32"/>
  <c r="DJ10" i="32" s="1"/>
  <c r="DS5" i="32"/>
  <c r="DS10" i="32" s="1"/>
  <c r="EB5" i="32"/>
  <c r="EB10" i="32" s="1"/>
  <c r="EL5" i="32"/>
  <c r="EL10" i="32" s="1"/>
  <c r="CU6" i="32"/>
  <c r="CU11" i="32" s="1"/>
  <c r="DD6" i="32"/>
  <c r="DD11" i="32" s="1"/>
  <c r="DM6" i="32"/>
  <c r="DM11" i="32" s="1"/>
  <c r="DV6" i="32"/>
  <c r="DV11" i="32" s="1"/>
  <c r="EE6" i="32"/>
  <c r="EE11" i="32" s="1"/>
  <c r="EM6" i="32"/>
  <c r="EM11" i="32" s="1"/>
  <c r="CT4" i="31"/>
  <c r="CT9" i="31" s="1"/>
  <c r="DB4" i="31"/>
  <c r="DB9" i="31" s="1"/>
  <c r="DJ4" i="31"/>
  <c r="DJ9" i="31" s="1"/>
  <c r="DR4" i="31"/>
  <c r="DR9" i="31" s="1"/>
  <c r="DW8" i="29"/>
  <c r="DW12" i="29" s="1"/>
  <c r="CS8" i="29"/>
  <c r="CS12" i="29" s="1"/>
  <c r="DA8" i="29"/>
  <c r="DA12" i="29" s="1"/>
  <c r="DI8" i="29"/>
  <c r="DI12" i="29" s="1"/>
  <c r="CV5" i="57"/>
  <c r="CV8" i="57" s="1"/>
  <c r="DD5" i="57"/>
  <c r="DD8" i="57" s="1"/>
  <c r="DL5" i="57"/>
  <c r="DL8" i="57" s="1"/>
  <c r="DT5" i="57"/>
  <c r="DT8" i="57" s="1"/>
  <c r="CV6" i="57"/>
  <c r="CV9" i="57" s="1"/>
  <c r="DD6" i="57"/>
  <c r="DD9" i="57" s="1"/>
  <c r="DL6" i="57"/>
  <c r="DL9" i="57" s="1"/>
  <c r="DT6" i="57"/>
  <c r="DT9" i="57" s="1"/>
  <c r="CR5" i="57"/>
  <c r="CR8" i="57" s="1"/>
  <c r="CY6" i="30"/>
  <c r="CY10" i="30" s="1"/>
  <c r="DG6" i="30"/>
  <c r="DG10" i="30" s="1"/>
  <c r="DO6" i="30"/>
  <c r="DO10" i="30" s="1"/>
  <c r="DW6" i="30"/>
  <c r="DW10" i="30" s="1"/>
  <c r="EE6" i="30"/>
  <c r="EE10" i="30" s="1"/>
  <c r="CW7" i="30"/>
  <c r="CW11" i="30" s="1"/>
  <c r="DE7" i="30"/>
  <c r="DE11" i="30" s="1"/>
  <c r="DM7" i="30"/>
  <c r="DM11" i="30" s="1"/>
  <c r="DU7" i="30"/>
  <c r="DU11" i="30" s="1"/>
  <c r="EC7" i="30"/>
  <c r="EC11" i="30" s="1"/>
  <c r="CT6" i="30"/>
  <c r="CT10" i="30" s="1"/>
  <c r="CS6" i="28"/>
  <c r="CS9" i="28" s="1"/>
  <c r="DA6" i="28"/>
  <c r="DA9" i="28" s="1"/>
  <c r="DI6" i="28"/>
  <c r="DI9" i="28" s="1"/>
  <c r="DQ6" i="28"/>
  <c r="DQ9" i="28" s="1"/>
  <c r="CT7" i="28"/>
  <c r="CT10" i="28" s="1"/>
  <c r="DB7" i="28"/>
  <c r="DB10" i="28" s="1"/>
  <c r="DJ7" i="28"/>
  <c r="DJ10" i="28" s="1"/>
  <c r="DR7" i="28"/>
  <c r="DR10" i="28" s="1"/>
  <c r="CR7" i="28"/>
  <c r="CR10" i="28" s="1"/>
  <c r="CY6" i="27"/>
  <c r="CY10" i="27" s="1"/>
  <c r="DG6" i="27"/>
  <c r="DG10" i="27" s="1"/>
  <c r="DO6" i="27"/>
  <c r="DO10" i="27" s="1"/>
  <c r="DW6" i="27"/>
  <c r="DW10" i="27" s="1"/>
  <c r="EE6" i="27"/>
  <c r="EE10" i="27" s="1"/>
  <c r="DC7" i="27"/>
  <c r="DC11" i="27" s="1"/>
  <c r="DK7" i="27"/>
  <c r="DK11" i="27" s="1"/>
  <c r="DS7" i="27"/>
  <c r="DS11" i="27" s="1"/>
  <c r="EA7" i="27"/>
  <c r="EA11" i="27" s="1"/>
  <c r="CY8" i="27"/>
  <c r="CY12" i="27" s="1"/>
  <c r="DG8" i="27"/>
  <c r="DG12" i="27" s="1"/>
  <c r="DO8" i="27"/>
  <c r="DO12" i="27" s="1"/>
  <c r="DW8" i="27"/>
  <c r="DW12" i="27" s="1"/>
  <c r="EE8" i="27"/>
  <c r="EE12" i="27" s="1"/>
  <c r="CV6" i="27"/>
  <c r="CV10" i="27" s="1"/>
  <c r="CQ6" i="27"/>
  <c r="CQ10" i="27" s="1"/>
  <c r="DM5" i="24"/>
  <c r="DM7" i="24" s="1"/>
  <c r="DM9" i="24" s="1"/>
  <c r="DU5" i="24"/>
  <c r="DU7" i="24" s="1"/>
  <c r="DU9" i="24" s="1"/>
  <c r="DU14" i="24" s="1"/>
  <c r="EC5" i="24"/>
  <c r="EC7" i="24" s="1"/>
  <c r="EC9" i="24" s="1"/>
  <c r="EC14" i="24" s="1"/>
  <c r="CU5" i="24"/>
  <c r="CU7" i="24" s="1"/>
  <c r="CU9" i="24" s="1"/>
  <c r="DC5" i="24"/>
  <c r="DC7" i="24" s="1"/>
  <c r="DC9" i="24" s="1"/>
  <c r="CR5" i="24"/>
  <c r="CR7" i="24" s="1"/>
  <c r="CR9" i="24" s="1"/>
  <c r="CR14" i="24" s="1"/>
  <c r="ED6" i="23"/>
  <c r="ED9" i="23" s="1"/>
  <c r="CT7" i="48"/>
  <c r="CT9" i="48" s="1"/>
  <c r="DA7" i="52"/>
  <c r="DA11" i="52" s="1"/>
  <c r="DQ7" i="52"/>
  <c r="DQ11" i="52" s="1"/>
  <c r="EG7" i="52"/>
  <c r="EG11" i="52" s="1"/>
  <c r="DD8" i="52"/>
  <c r="DD12" i="52" s="1"/>
  <c r="DT8" i="52"/>
  <c r="DT12" i="52" s="1"/>
  <c r="EJ8" i="52"/>
  <c r="EJ12" i="52" s="1"/>
  <c r="CC7" i="47"/>
  <c r="CC10" i="47" s="1"/>
  <c r="CS7" i="47"/>
  <c r="CS10" i="47" s="1"/>
  <c r="DI7" i="47"/>
  <c r="DI10" i="47" s="1"/>
  <c r="CE8" i="47"/>
  <c r="CE11" i="47" s="1"/>
  <c r="CU8" i="47"/>
  <c r="CU11" i="47" s="1"/>
  <c r="BG7" i="47"/>
  <c r="BG10" i="47" s="1"/>
  <c r="BM8" i="47"/>
  <c r="BM11" i="47" s="1"/>
  <c r="AZ8" i="47"/>
  <c r="AZ11" i="47" s="1"/>
  <c r="CY7" i="54"/>
  <c r="CY11" i="54" s="1"/>
  <c r="DO7" i="54"/>
  <c r="DO11" i="54" s="1"/>
  <c r="EE7" i="54"/>
  <c r="EE11" i="54" s="1"/>
  <c r="DH8" i="54"/>
  <c r="DH12" i="54" s="1"/>
  <c r="DX8" i="54"/>
  <c r="DX12" i="54" s="1"/>
  <c r="CZ7" i="55"/>
  <c r="CZ11" i="55" s="1"/>
  <c r="DP7" i="55"/>
  <c r="DP11" i="55" s="1"/>
  <c r="EF7" i="55"/>
  <c r="EF11" i="55" s="1"/>
  <c r="DE8" i="55"/>
  <c r="DE12" i="55" s="1"/>
  <c r="DR8" i="55"/>
  <c r="DR12" i="55" s="1"/>
  <c r="ED8" i="55"/>
  <c r="ED12" i="55" s="1"/>
  <c r="CV8" i="55"/>
  <c r="CV12" i="55" s="1"/>
  <c r="DD7" i="46"/>
  <c r="DD9" i="46" s="1"/>
  <c r="DD10" i="46" s="1"/>
  <c r="DD15" i="46" s="1"/>
  <c r="ES28" i="22" s="1"/>
  <c r="DQ7" i="46"/>
  <c r="DQ9" i="46" s="1"/>
  <c r="DQ10" i="46" s="1"/>
  <c r="DQ15" i="46" s="1"/>
  <c r="FF28" i="22" s="1"/>
  <c r="CZ7" i="49"/>
  <c r="CZ11" i="49" s="1"/>
  <c r="DL7" i="49"/>
  <c r="DL11" i="49" s="1"/>
  <c r="DY7" i="49"/>
  <c r="DY11" i="49" s="1"/>
  <c r="EL7" i="49"/>
  <c r="EL11" i="49" s="1"/>
  <c r="DI8" i="49"/>
  <c r="DI10" i="49" s="1"/>
  <c r="DV8" i="49"/>
  <c r="DV10" i="49" s="1"/>
  <c r="EH8" i="49"/>
  <c r="EH10" i="49" s="1"/>
  <c r="CU8" i="49"/>
  <c r="CU10" i="49" s="1"/>
  <c r="DD7" i="50"/>
  <c r="DD11" i="50" s="1"/>
  <c r="DP7" i="50"/>
  <c r="DP11" i="50" s="1"/>
  <c r="EC7" i="50"/>
  <c r="EC11" i="50" s="1"/>
  <c r="EP7" i="50"/>
  <c r="EP11" i="50" s="1"/>
  <c r="FC7" i="50"/>
  <c r="FC11" i="50" s="1"/>
  <c r="FC13" i="50" s="1"/>
  <c r="FC18" i="50" s="1"/>
  <c r="ED8" i="50"/>
  <c r="ED12" i="50" s="1"/>
  <c r="EQ8" i="50"/>
  <c r="EQ12" i="50" s="1"/>
  <c r="DZ8" i="51"/>
  <c r="DZ12" i="51" s="1"/>
  <c r="CX8" i="51"/>
  <c r="CX12" i="51" s="1"/>
  <c r="DK8" i="51"/>
  <c r="DK12" i="51" s="1"/>
  <c r="CZ7" i="39"/>
  <c r="CZ9" i="39" s="1"/>
  <c r="CZ10" i="39" s="1"/>
  <c r="CZ15" i="39" s="1"/>
  <c r="EO27" i="22" s="1"/>
  <c r="DM7" i="39"/>
  <c r="DM9" i="39" s="1"/>
  <c r="DM10" i="39" s="1"/>
  <c r="DM15" i="39" s="1"/>
  <c r="FB27" i="22" s="1"/>
  <c r="DZ7" i="39"/>
  <c r="DZ9" i="39" s="1"/>
  <c r="DZ10" i="39" s="1"/>
  <c r="DZ15" i="39" s="1"/>
  <c r="DF6" i="43"/>
  <c r="DF9" i="43" s="1"/>
  <c r="DS6" i="43"/>
  <c r="DS9" i="43" s="1"/>
  <c r="EF6" i="43"/>
  <c r="EF9" i="43" s="1"/>
  <c r="DJ7" i="43"/>
  <c r="DJ10" i="43" s="1"/>
  <c r="DW7" i="43"/>
  <c r="DW10" i="43" s="1"/>
  <c r="BZ6" i="43"/>
  <c r="BZ9" i="43" s="1"/>
  <c r="CK6" i="43"/>
  <c r="CK9" i="43" s="1"/>
  <c r="CV6" i="43"/>
  <c r="CV9" i="43" s="1"/>
  <c r="CE7" i="43"/>
  <c r="CE10" i="43" s="1"/>
  <c r="CP7" i="43"/>
  <c r="CP10" i="43" s="1"/>
  <c r="BS6" i="43"/>
  <c r="BS9" i="43" s="1"/>
  <c r="BV7" i="43"/>
  <c r="BV10" i="43" s="1"/>
  <c r="BN6" i="43"/>
  <c r="BN9" i="43" s="1"/>
  <c r="BM7" i="43"/>
  <c r="BM10" i="43" s="1"/>
  <c r="DD4" i="44"/>
  <c r="DD7" i="44" s="1"/>
  <c r="DO4" i="44"/>
  <c r="DO7" i="44" s="1"/>
  <c r="CY5" i="44"/>
  <c r="CY8" i="44" s="1"/>
  <c r="DJ5" i="44"/>
  <c r="DJ8" i="44" s="1"/>
  <c r="CZ8" i="38"/>
  <c r="CZ12" i="38" s="1"/>
  <c r="DJ8" i="38"/>
  <c r="DJ12" i="38" s="1"/>
  <c r="DU8" i="38"/>
  <c r="DU12" i="38" s="1"/>
  <c r="DA9" i="38"/>
  <c r="DA13" i="38" s="1"/>
  <c r="DK9" i="38"/>
  <c r="DK13" i="38" s="1"/>
  <c r="DV9" i="38"/>
  <c r="DV13" i="38" s="1"/>
  <c r="CY4" i="35"/>
  <c r="CY8" i="35" s="1"/>
  <c r="DI4" i="35"/>
  <c r="DI8" i="35" s="1"/>
  <c r="DT4" i="35"/>
  <c r="DT8" i="35" s="1"/>
  <c r="CZ5" i="35"/>
  <c r="CZ9" i="35" s="1"/>
  <c r="DJ5" i="35"/>
  <c r="DJ9" i="35" s="1"/>
  <c r="DU5" i="35"/>
  <c r="DU9" i="35" s="1"/>
  <c r="DA5" i="45"/>
  <c r="DA9" i="45" s="1"/>
  <c r="DA11" i="45" s="1"/>
  <c r="DA16" i="45" s="1"/>
  <c r="DJ5" i="45"/>
  <c r="DJ9" i="45" s="1"/>
  <c r="DJ11" i="45" s="1"/>
  <c r="DJ16" i="45" s="1"/>
  <c r="DS5" i="45"/>
  <c r="DS9" i="45" s="1"/>
  <c r="DS11" i="45" s="1"/>
  <c r="DS16" i="45" s="1"/>
  <c r="CY4" i="32"/>
  <c r="CY9" i="32" s="1"/>
  <c r="DH4" i="32"/>
  <c r="DH9" i="32" s="1"/>
  <c r="DR4" i="32"/>
  <c r="DR9" i="32" s="1"/>
  <c r="EA4" i="32"/>
  <c r="EA9" i="32" s="1"/>
  <c r="EJ4" i="32"/>
  <c r="EJ9" i="32" s="1"/>
  <c r="ES4" i="32"/>
  <c r="ES9" i="32" s="1"/>
  <c r="DB5" i="32"/>
  <c r="DB10" i="32" s="1"/>
  <c r="DK5" i="32"/>
  <c r="DK10" i="32" s="1"/>
  <c r="DT5" i="32"/>
  <c r="DT10" i="32" s="1"/>
  <c r="ED5" i="32"/>
  <c r="ED10" i="32" s="1"/>
  <c r="EM5" i="32"/>
  <c r="EM10" i="32" s="1"/>
  <c r="CV6" i="32"/>
  <c r="CV11" i="32" s="1"/>
  <c r="DE6" i="32"/>
  <c r="DE11" i="32" s="1"/>
  <c r="DN6" i="32"/>
  <c r="DN11" i="32" s="1"/>
  <c r="DW6" i="32"/>
  <c r="DW11" i="32" s="1"/>
  <c r="EF6" i="32"/>
  <c r="EF11" i="32" s="1"/>
  <c r="EN6" i="32"/>
  <c r="EN11" i="32" s="1"/>
  <c r="CU4" i="31"/>
  <c r="CU9" i="31" s="1"/>
  <c r="DC4" i="31"/>
  <c r="DC9" i="31" s="1"/>
  <c r="DK4" i="31"/>
  <c r="DK9" i="31" s="1"/>
  <c r="DS4" i="31"/>
  <c r="DS9" i="31" s="1"/>
  <c r="CR4" i="31"/>
  <c r="CR9" i="31" s="1"/>
  <c r="DP8" i="29"/>
  <c r="DP12" i="29" s="1"/>
  <c r="DX8" i="29"/>
  <c r="DX12" i="29" s="1"/>
  <c r="CT8" i="29"/>
  <c r="CT12" i="29" s="1"/>
  <c r="DB8" i="29"/>
  <c r="DB12" i="29" s="1"/>
  <c r="DJ8" i="29"/>
  <c r="DJ12" i="29" s="1"/>
  <c r="CW5" i="57"/>
  <c r="CW8" i="57" s="1"/>
  <c r="DE5" i="57"/>
  <c r="DE8" i="57" s="1"/>
  <c r="DM5" i="57"/>
  <c r="DM8" i="57" s="1"/>
  <c r="DU5" i="57"/>
  <c r="DU8" i="57" s="1"/>
  <c r="CW6" i="57"/>
  <c r="CW9" i="57" s="1"/>
  <c r="DE6" i="57"/>
  <c r="DE9" i="57" s="1"/>
  <c r="DM6" i="57"/>
  <c r="DM9" i="57" s="1"/>
  <c r="DU6" i="57"/>
  <c r="DU9" i="57" s="1"/>
  <c r="CS5" i="57"/>
  <c r="CS8" i="57" s="1"/>
  <c r="CZ6" i="30"/>
  <c r="CZ10" i="30" s="1"/>
  <c r="DH6" i="30"/>
  <c r="DH10" i="30" s="1"/>
  <c r="DP6" i="30"/>
  <c r="DP10" i="30" s="1"/>
  <c r="DX6" i="30"/>
  <c r="DX10" i="30" s="1"/>
  <c r="EF6" i="30"/>
  <c r="EF10" i="30" s="1"/>
  <c r="CX7" i="30"/>
  <c r="CX11" i="30" s="1"/>
  <c r="DF7" i="30"/>
  <c r="DF11" i="30" s="1"/>
  <c r="DN7" i="30"/>
  <c r="DN11" i="30" s="1"/>
  <c r="DV7" i="30"/>
  <c r="DV11" i="30" s="1"/>
  <c r="ED7" i="30"/>
  <c r="ED11" i="30" s="1"/>
  <c r="CT6" i="28"/>
  <c r="CT9" i="28" s="1"/>
  <c r="DB6" i="28"/>
  <c r="DB9" i="28" s="1"/>
  <c r="DJ6" i="28"/>
  <c r="DJ9" i="28" s="1"/>
  <c r="DR6" i="28"/>
  <c r="DR9" i="28" s="1"/>
  <c r="CU7" i="28"/>
  <c r="CU10" i="28" s="1"/>
  <c r="DC7" i="28"/>
  <c r="DC10" i="28" s="1"/>
  <c r="DK7" i="28"/>
  <c r="DK10" i="28" s="1"/>
  <c r="DS7" i="28"/>
  <c r="DS10" i="28" s="1"/>
  <c r="CQ7" i="28"/>
  <c r="CQ10" i="28" s="1"/>
  <c r="CZ6" i="27"/>
  <c r="CZ10" i="27" s="1"/>
  <c r="DH6" i="27"/>
  <c r="DH10" i="27" s="1"/>
  <c r="DP6" i="27"/>
  <c r="DP10" i="27" s="1"/>
  <c r="DX6" i="27"/>
  <c r="DX10" i="27" s="1"/>
  <c r="EF6" i="27"/>
  <c r="EF10" i="27" s="1"/>
  <c r="DD7" i="27"/>
  <c r="DD11" i="27" s="1"/>
  <c r="DL7" i="27"/>
  <c r="DL11" i="27" s="1"/>
  <c r="DT7" i="27"/>
  <c r="DT11" i="27" s="1"/>
  <c r="EB7" i="27"/>
  <c r="EB11" i="27" s="1"/>
  <c r="CZ8" i="27"/>
  <c r="CZ12" i="27" s="1"/>
  <c r="DH8" i="27"/>
  <c r="DH12" i="27" s="1"/>
  <c r="DP8" i="27"/>
  <c r="DP12" i="27" s="1"/>
  <c r="DX8" i="27"/>
  <c r="DX12" i="27" s="1"/>
  <c r="EF8" i="27"/>
  <c r="EF12" i="27" s="1"/>
  <c r="CT7" i="27"/>
  <c r="CT11" i="27" s="1"/>
  <c r="CR6" i="27"/>
  <c r="CR10" i="27" s="1"/>
  <c r="DF5" i="24"/>
  <c r="DF7" i="24" s="1"/>
  <c r="DF9" i="24" s="1"/>
  <c r="DN5" i="24"/>
  <c r="DN7" i="24" s="1"/>
  <c r="DN9" i="24" s="1"/>
  <c r="DV5" i="24"/>
  <c r="DV7" i="24" s="1"/>
  <c r="DV9" i="24" s="1"/>
  <c r="DV14" i="24" s="1"/>
  <c r="CV5" i="24"/>
  <c r="CV7" i="24" s="1"/>
  <c r="CV9" i="24" s="1"/>
  <c r="DD5" i="24"/>
  <c r="DD7" i="24" s="1"/>
  <c r="DD9" i="24" s="1"/>
  <c r="DW6" i="23"/>
  <c r="DW9" i="23" s="1"/>
  <c r="EE6" i="23"/>
  <c r="EE9" i="23" s="1"/>
  <c r="CU7" i="52"/>
  <c r="CU11" i="52" s="1"/>
  <c r="DN8" i="52"/>
  <c r="DN12" i="52" s="1"/>
  <c r="DC7" i="47"/>
  <c r="DC10" i="47" s="1"/>
  <c r="BG8" i="47"/>
  <c r="BG11" i="47" s="1"/>
  <c r="DK7" i="54"/>
  <c r="DK11" i="54" s="1"/>
  <c r="DN8" i="55"/>
  <c r="DN12" i="55" s="1"/>
  <c r="CZ7" i="46"/>
  <c r="CZ9" i="46" s="1"/>
  <c r="CZ10" i="46" s="1"/>
  <c r="CZ15" i="46" s="1"/>
  <c r="EO28" i="22" s="1"/>
  <c r="EI7" i="49"/>
  <c r="EI11" i="49" s="1"/>
  <c r="CW7" i="49"/>
  <c r="CW11" i="49" s="1"/>
  <c r="CY7" i="50"/>
  <c r="CY11" i="50" s="1"/>
  <c r="EX7" i="50"/>
  <c r="EX11" i="50" s="1"/>
  <c r="EX13" i="50" s="1"/>
  <c r="EX18" i="50" s="1"/>
  <c r="EL8" i="50"/>
  <c r="EL12" i="50" s="1"/>
  <c r="DF8" i="51"/>
  <c r="DF12" i="51" s="1"/>
  <c r="EJ7" i="39"/>
  <c r="EJ9" i="39" s="1"/>
  <c r="EJ10" i="39" s="1"/>
  <c r="EJ15" i="39" s="1"/>
  <c r="DP6" i="43"/>
  <c r="DP9" i="43" s="1"/>
  <c r="EG7" i="43"/>
  <c r="EG10" i="43" s="1"/>
  <c r="CM7" i="43"/>
  <c r="CM10" i="43" s="1"/>
  <c r="BJ7" i="43"/>
  <c r="BJ10" i="43" s="1"/>
  <c r="DL4" i="44"/>
  <c r="DL7" i="44" s="1"/>
  <c r="CW8" i="38"/>
  <c r="CW12" i="38" s="1"/>
  <c r="DI9" i="38"/>
  <c r="DI13" i="38" s="1"/>
  <c r="DP4" i="35"/>
  <c r="DP8" i="35" s="1"/>
  <c r="DP5" i="45"/>
  <c r="DP9" i="45" s="1"/>
  <c r="DP11" i="45" s="1"/>
  <c r="DP16" i="45" s="1"/>
  <c r="CV4" i="32"/>
  <c r="CV9" i="32" s="1"/>
  <c r="EF4" i="32"/>
  <c r="EF9" i="32" s="1"/>
  <c r="DQ5" i="32"/>
  <c r="DQ10" i="32" s="1"/>
  <c r="DB6" i="32"/>
  <c r="DB11" i="32" s="1"/>
  <c r="EK6" i="32"/>
  <c r="EK11" i="32" s="1"/>
  <c r="CS4" i="31"/>
  <c r="CS9" i="31" s="1"/>
  <c r="DY4" i="31"/>
  <c r="DY9" i="31" s="1"/>
  <c r="DU8" i="29"/>
  <c r="DU12" i="29" s="1"/>
  <c r="DO8" i="29"/>
  <c r="DO12" i="29" s="1"/>
  <c r="DR5" i="57"/>
  <c r="DR8" i="57" s="1"/>
  <c r="DF6" i="57"/>
  <c r="DF9" i="57" s="1"/>
  <c r="EA6" i="57"/>
  <c r="EA9" i="57" s="1"/>
  <c r="DI6" i="30"/>
  <c r="DI10" i="30" s="1"/>
  <c r="ED6" i="30"/>
  <c r="ED10" i="30" s="1"/>
  <c r="DK7" i="30"/>
  <c r="DK11" i="30" s="1"/>
  <c r="EE7" i="30"/>
  <c r="EE11" i="30" s="1"/>
  <c r="DK6" i="28"/>
  <c r="DK9" i="28" s="1"/>
  <c r="DA7" i="28"/>
  <c r="DA10" i="28" s="1"/>
  <c r="DA6" i="27"/>
  <c r="DA10" i="27" s="1"/>
  <c r="DV6" i="27"/>
  <c r="DV10" i="27" s="1"/>
  <c r="DI7" i="27"/>
  <c r="DI11" i="27" s="1"/>
  <c r="EC7" i="27"/>
  <c r="EC11" i="27" s="1"/>
  <c r="DN8" i="27"/>
  <c r="DN12" i="27" s="1"/>
  <c r="DP5" i="24"/>
  <c r="DP7" i="24" s="1"/>
  <c r="DP9" i="24" s="1"/>
  <c r="DA5" i="24"/>
  <c r="DA7" i="24" s="1"/>
  <c r="DA9" i="24" s="1"/>
  <c r="DX6" i="23"/>
  <c r="DX9" i="23" s="1"/>
  <c r="EK6" i="23"/>
  <c r="EK9" i="23" s="1"/>
  <c r="EA7" i="23"/>
  <c r="EA10" i="23" s="1"/>
  <c r="EI7" i="23"/>
  <c r="EI10" i="23" s="1"/>
  <c r="DA6" i="23"/>
  <c r="DA9" i="23" s="1"/>
  <c r="DI6" i="23"/>
  <c r="DI9" i="23" s="1"/>
  <c r="DQ6" i="23"/>
  <c r="DQ9" i="23" s="1"/>
  <c r="DA7" i="23"/>
  <c r="DA10" i="23" s="1"/>
  <c r="DI7" i="23"/>
  <c r="DI10" i="23" s="1"/>
  <c r="DQ7" i="23"/>
  <c r="DQ10" i="23" s="1"/>
  <c r="CW6" i="23"/>
  <c r="CW9" i="23" s="1"/>
  <c r="CS6" i="23"/>
  <c r="CS9" i="23" s="1"/>
  <c r="DB6" i="20"/>
  <c r="DB9" i="20" s="1"/>
  <c r="DJ6" i="20"/>
  <c r="DJ9" i="20" s="1"/>
  <c r="DR6" i="20"/>
  <c r="DR9" i="20" s="1"/>
  <c r="CW7" i="20"/>
  <c r="CW10" i="20" s="1"/>
  <c r="DE7" i="20"/>
  <c r="DE10" i="20" s="1"/>
  <c r="DM7" i="20"/>
  <c r="DM10" i="20" s="1"/>
  <c r="DU7" i="20"/>
  <c r="DU10" i="20" s="1"/>
  <c r="CR6" i="20"/>
  <c r="CR9" i="20" s="1"/>
  <c r="CQ7" i="20"/>
  <c r="CQ10" i="20" s="1"/>
  <c r="DD6" i="19"/>
  <c r="DD9" i="19" s="1"/>
  <c r="DD11" i="19" s="1"/>
  <c r="DD16" i="19" s="1"/>
  <c r="ET37" i="22" s="1"/>
  <c r="DL6" i="19"/>
  <c r="DL9" i="19" s="1"/>
  <c r="DL11" i="19" s="1"/>
  <c r="DL16" i="19" s="1"/>
  <c r="FB37" i="22" s="1"/>
  <c r="DT6" i="19"/>
  <c r="DT9" i="19" s="1"/>
  <c r="DT11" i="19" s="1"/>
  <c r="DT16" i="19" s="1"/>
  <c r="DF7" i="19"/>
  <c r="DN7" i="19"/>
  <c r="DV7" i="19"/>
  <c r="CT6" i="19"/>
  <c r="CT9" i="19" s="1"/>
  <c r="CT11" i="19" s="1"/>
  <c r="CT16" i="19" s="1"/>
  <c r="DB6" i="19"/>
  <c r="DB9" i="19" s="1"/>
  <c r="DB11" i="19" s="1"/>
  <c r="DB16" i="19" s="1"/>
  <c r="ER37" i="22" s="1"/>
  <c r="CY7" i="19"/>
  <c r="CQ6" i="19"/>
  <c r="CQ9" i="19" s="1"/>
  <c r="CQ11" i="19" s="1"/>
  <c r="CQ16" i="19" s="1"/>
  <c r="DH8" i="18"/>
  <c r="DH11" i="18" s="1"/>
  <c r="DP8" i="18"/>
  <c r="DP11" i="18" s="1"/>
  <c r="DG9" i="18"/>
  <c r="DG12" i="18" s="1"/>
  <c r="DO9" i="18"/>
  <c r="DO12" i="18" s="1"/>
  <c r="CX8" i="18"/>
  <c r="CX11" i="18" s="1"/>
  <c r="CW9" i="18"/>
  <c r="CW12" i="18" s="1"/>
  <c r="DM7" i="41"/>
  <c r="DM10" i="41" s="1"/>
  <c r="DU7" i="41"/>
  <c r="DU10" i="41" s="1"/>
  <c r="CW7" i="41"/>
  <c r="CW10" i="41" s="1"/>
  <c r="DE7" i="41"/>
  <c r="DE10" i="41" s="1"/>
  <c r="DS6" i="10"/>
  <c r="DS9" i="10" s="1"/>
  <c r="DO7" i="10"/>
  <c r="DW7" i="10"/>
  <c r="CY6" i="10"/>
  <c r="CY9" i="10" s="1"/>
  <c r="DG6" i="10"/>
  <c r="DG9" i="10" s="1"/>
  <c r="CW7" i="10"/>
  <c r="DE7" i="10"/>
  <c r="DM7" i="10"/>
  <c r="CT7" i="10"/>
  <c r="DO4" i="40"/>
  <c r="DO7" i="40" s="1"/>
  <c r="DO9" i="40" s="1"/>
  <c r="DO14" i="40" s="1"/>
  <c r="FE41" i="22" s="1"/>
  <c r="CU4" i="40"/>
  <c r="CU7" i="40" s="1"/>
  <c r="CU9" i="40" s="1"/>
  <c r="CU14" i="40" s="1"/>
  <c r="DC4" i="40"/>
  <c r="DC7" i="40" s="1"/>
  <c r="DC9" i="40" s="1"/>
  <c r="DC14" i="40" s="1"/>
  <c r="ES41" i="22" s="1"/>
  <c r="DK4" i="40"/>
  <c r="DK7" i="40" s="1"/>
  <c r="DK9" i="40" s="1"/>
  <c r="DK14" i="40" s="1"/>
  <c r="FA41" i="22" s="1"/>
  <c r="DE6" i="2"/>
  <c r="DM6" i="2"/>
  <c r="DU6" i="2"/>
  <c r="DA5" i="7"/>
  <c r="DI5" i="7"/>
  <c r="DQ5" i="7"/>
  <c r="DY5" i="7"/>
  <c r="DL6" i="11"/>
  <c r="DL9" i="11" s="1"/>
  <c r="DL10" i="11" s="1"/>
  <c r="CX9" i="11"/>
  <c r="CX10" i="11" s="1"/>
  <c r="CX15" i="11" s="1"/>
  <c r="EN36" i="22" s="1"/>
  <c r="CV5" i="5"/>
  <c r="CV8" i="5" s="1"/>
  <c r="DD5" i="5"/>
  <c r="DD8" i="5" s="1"/>
  <c r="DL5" i="5"/>
  <c r="DL8" i="5" s="1"/>
  <c r="CW6" i="5"/>
  <c r="CW11" i="5" s="1"/>
  <c r="DE6" i="5"/>
  <c r="DE11" i="5" s="1"/>
  <c r="DM6" i="5"/>
  <c r="DM11" i="5" s="1"/>
  <c r="CT5" i="5"/>
  <c r="CT8" i="5" s="1"/>
  <c r="CY7" i="17"/>
  <c r="CY11" i="17" s="1"/>
  <c r="CV7" i="52"/>
  <c r="CV11" i="52" s="1"/>
  <c r="DO8" i="52"/>
  <c r="DO12" i="52" s="1"/>
  <c r="DD7" i="47"/>
  <c r="DD10" i="47" s="1"/>
  <c r="BH8" i="47"/>
  <c r="BH11" i="47" s="1"/>
  <c r="DL7" i="54"/>
  <c r="DL11" i="54" s="1"/>
  <c r="DL7" i="55"/>
  <c r="DL11" i="55" s="1"/>
  <c r="DZ8" i="55"/>
  <c r="DZ12" i="55" s="1"/>
  <c r="CX8" i="55"/>
  <c r="CX12" i="55" s="1"/>
  <c r="DA7" i="46"/>
  <c r="DA9" i="46" s="1"/>
  <c r="DA10" i="46" s="1"/>
  <c r="DA15" i="46" s="1"/>
  <c r="EP28" i="22" s="1"/>
  <c r="DD8" i="49"/>
  <c r="DD10" i="49" s="1"/>
  <c r="CZ7" i="50"/>
  <c r="CZ11" i="50" s="1"/>
  <c r="EZ7" i="50"/>
  <c r="EZ11" i="50" s="1"/>
  <c r="EZ13" i="50" s="1"/>
  <c r="EZ18" i="50" s="1"/>
  <c r="EN8" i="50"/>
  <c r="EN12" i="50" s="1"/>
  <c r="DH8" i="51"/>
  <c r="DH12" i="51" s="1"/>
  <c r="CV7" i="39"/>
  <c r="CV9" i="39" s="1"/>
  <c r="CV10" i="39" s="1"/>
  <c r="CV15" i="39" s="1"/>
  <c r="EA6" i="43"/>
  <c r="EA9" i="43" s="1"/>
  <c r="CG6" i="43"/>
  <c r="CG9" i="43" s="1"/>
  <c r="CV7" i="43"/>
  <c r="CV10" i="43" s="1"/>
  <c r="BF7" i="43"/>
  <c r="BF10" i="43" s="1"/>
  <c r="CU5" i="44"/>
  <c r="CU8" i="44" s="1"/>
  <c r="DG8" i="38"/>
  <c r="DG12" i="38" s="1"/>
  <c r="DR9" i="38"/>
  <c r="DR13" i="38" s="1"/>
  <c r="DQ4" i="35"/>
  <c r="DQ8" i="35" s="1"/>
  <c r="DQ5" i="45"/>
  <c r="DQ9" i="45" s="1"/>
  <c r="DQ11" i="45" s="1"/>
  <c r="DQ16" i="45" s="1"/>
  <c r="CW4" i="32"/>
  <c r="CW9" i="32" s="1"/>
  <c r="EH4" i="32"/>
  <c r="EH9" i="32" s="1"/>
  <c r="DR5" i="32"/>
  <c r="DR10" i="32" s="1"/>
  <c r="DC6" i="32"/>
  <c r="DC11" i="32" s="1"/>
  <c r="EL6" i="32"/>
  <c r="EL11" i="32" s="1"/>
  <c r="CZ4" i="31"/>
  <c r="CZ9" i="31" s="1"/>
  <c r="DV8" i="29"/>
  <c r="DV12" i="29" s="1"/>
  <c r="CQ8" i="29"/>
  <c r="CQ12" i="29" s="1"/>
  <c r="DS5" i="57"/>
  <c r="DS8" i="57" s="1"/>
  <c r="DJ6" i="57"/>
  <c r="DJ9" i="57" s="1"/>
  <c r="DM6" i="30"/>
  <c r="DM10" i="30" s="1"/>
  <c r="EG6" i="30"/>
  <c r="EG10" i="30" s="1"/>
  <c r="DL7" i="30"/>
  <c r="DL11" i="30" s="1"/>
  <c r="EI7" i="30"/>
  <c r="EI11" i="30" s="1"/>
  <c r="DO6" i="28"/>
  <c r="DO9" i="28" s="1"/>
  <c r="DD7" i="28"/>
  <c r="DD10" i="28" s="1"/>
  <c r="CR6" i="28"/>
  <c r="CR9" i="28" s="1"/>
  <c r="DE6" i="27"/>
  <c r="DE10" i="27" s="1"/>
  <c r="DY6" i="27"/>
  <c r="DY10" i="27" s="1"/>
  <c r="DJ7" i="27"/>
  <c r="DJ11" i="27" s="1"/>
  <c r="CW8" i="27"/>
  <c r="CW12" i="27" s="1"/>
  <c r="DQ8" i="27"/>
  <c r="DQ12" i="27" s="1"/>
  <c r="CS6" i="27"/>
  <c r="CS10" i="27" s="1"/>
  <c r="DS5" i="24"/>
  <c r="DS7" i="24" s="1"/>
  <c r="DS9" i="24" s="1"/>
  <c r="DS14" i="24" s="1"/>
  <c r="DB5" i="24"/>
  <c r="DB7" i="24" s="1"/>
  <c r="DB9" i="24" s="1"/>
  <c r="DY6" i="23"/>
  <c r="DY9" i="23" s="1"/>
  <c r="EL6" i="23"/>
  <c r="EL9" i="23" s="1"/>
  <c r="EB7" i="23"/>
  <c r="EB10" i="23" s="1"/>
  <c r="EJ7" i="23"/>
  <c r="EJ10" i="23" s="1"/>
  <c r="DB6" i="23"/>
  <c r="DB9" i="23" s="1"/>
  <c r="DJ6" i="23"/>
  <c r="DJ9" i="23" s="1"/>
  <c r="DR6" i="23"/>
  <c r="DR9" i="23" s="1"/>
  <c r="DB7" i="23"/>
  <c r="DB10" i="23" s="1"/>
  <c r="DJ7" i="23"/>
  <c r="DJ10" i="23" s="1"/>
  <c r="DR7" i="23"/>
  <c r="DR10" i="23" s="1"/>
  <c r="CX6" i="23"/>
  <c r="CX9" i="23" s="1"/>
  <c r="CT6" i="23"/>
  <c r="CT9" i="23" s="1"/>
  <c r="DC6" i="20"/>
  <c r="DC9" i="20" s="1"/>
  <c r="DK6" i="20"/>
  <c r="DK9" i="20" s="1"/>
  <c r="DS6" i="20"/>
  <c r="DS9" i="20" s="1"/>
  <c r="CX7" i="20"/>
  <c r="CX10" i="20" s="1"/>
  <c r="DF7" i="20"/>
  <c r="DF10" i="20" s="1"/>
  <c r="DN7" i="20"/>
  <c r="DN10" i="20" s="1"/>
  <c r="DV7" i="20"/>
  <c r="DV10" i="20" s="1"/>
  <c r="CS6" i="20"/>
  <c r="CS9" i="20" s="1"/>
  <c r="CQ6" i="20"/>
  <c r="CQ9" i="20" s="1"/>
  <c r="DE6" i="19"/>
  <c r="DE9" i="19" s="1"/>
  <c r="DE11" i="19" s="1"/>
  <c r="DE16" i="19" s="1"/>
  <c r="EU37" i="22" s="1"/>
  <c r="DM6" i="19"/>
  <c r="DM9" i="19" s="1"/>
  <c r="DM11" i="19" s="1"/>
  <c r="DM16" i="19" s="1"/>
  <c r="FC37" i="22" s="1"/>
  <c r="DU6" i="19"/>
  <c r="DU9" i="19" s="1"/>
  <c r="DU11" i="19" s="1"/>
  <c r="DU16" i="19" s="1"/>
  <c r="DG7" i="19"/>
  <c r="DO7" i="19"/>
  <c r="DW7" i="19"/>
  <c r="CU6" i="19"/>
  <c r="CU9" i="19" s="1"/>
  <c r="CU11" i="19" s="1"/>
  <c r="CU16" i="19" s="1"/>
  <c r="DC6" i="19"/>
  <c r="DC9" i="19" s="1"/>
  <c r="DC11" i="19" s="1"/>
  <c r="DC16" i="19" s="1"/>
  <c r="ES37" i="22" s="1"/>
  <c r="CZ7" i="19"/>
  <c r="DI8" i="18"/>
  <c r="DI11" i="18" s="1"/>
  <c r="DQ8" i="18"/>
  <c r="DQ11" i="18" s="1"/>
  <c r="DH9" i="18"/>
  <c r="DH12" i="18" s="1"/>
  <c r="DP9" i="18"/>
  <c r="DP12" i="18" s="1"/>
  <c r="CY8" i="18"/>
  <c r="CY11" i="18" s="1"/>
  <c r="CW8" i="18"/>
  <c r="CW11" i="18" s="1"/>
  <c r="DN7" i="41"/>
  <c r="DN10" i="41" s="1"/>
  <c r="DV7" i="41"/>
  <c r="DV10" i="41" s="1"/>
  <c r="CX7" i="41"/>
  <c r="CX10" i="41" s="1"/>
  <c r="DF7" i="41"/>
  <c r="DF10" i="41" s="1"/>
  <c r="DT6" i="10"/>
  <c r="DT9" i="10" s="1"/>
  <c r="DP7" i="10"/>
  <c r="DX7" i="10"/>
  <c r="CZ6" i="10"/>
  <c r="CZ9" i="10" s="1"/>
  <c r="CR7" i="48"/>
  <c r="CR9" i="48" s="1"/>
  <c r="DK7" i="52"/>
  <c r="DK11" i="52" s="1"/>
  <c r="ED8" i="52"/>
  <c r="ED12" i="52" s="1"/>
  <c r="BY8" i="47"/>
  <c r="BY11" i="47" s="1"/>
  <c r="BD8" i="47"/>
  <c r="BD11" i="47" s="1"/>
  <c r="EA7" i="54"/>
  <c r="EA11" i="54" s="1"/>
  <c r="DM7" i="55"/>
  <c r="DM11" i="55" s="1"/>
  <c r="EA8" i="55"/>
  <c r="EA12" i="55" s="1"/>
  <c r="DL7" i="46"/>
  <c r="DL9" i="46" s="1"/>
  <c r="DL10" i="46" s="1"/>
  <c r="DL15" i="46" s="1"/>
  <c r="FA28" i="22" s="1"/>
  <c r="DF8" i="49"/>
  <c r="DF10" i="49" s="1"/>
  <c r="DL7" i="50"/>
  <c r="DL11" i="50" s="1"/>
  <c r="EY8" i="50"/>
  <c r="EY12" i="50" s="1"/>
  <c r="CW7" i="39"/>
  <c r="CW9" i="39" s="1"/>
  <c r="CW10" i="39" s="1"/>
  <c r="EB6" i="43"/>
  <c r="EB9" i="43" s="1"/>
  <c r="CH6" i="43"/>
  <c r="CH9" i="43" s="1"/>
  <c r="CX7" i="43"/>
  <c r="CX10" i="43" s="1"/>
  <c r="J6" i="43"/>
  <c r="J9" i="43" s="1"/>
  <c r="CW5" i="44"/>
  <c r="CW8" i="44" s="1"/>
  <c r="DH8" i="38"/>
  <c r="DH12" i="38" s="1"/>
  <c r="DS9" i="38"/>
  <c r="DS13" i="38" s="1"/>
  <c r="CV5" i="35"/>
  <c r="CV9" i="35" s="1"/>
  <c r="DE4" i="32"/>
  <c r="DE9" i="32" s="1"/>
  <c r="EP4" i="32"/>
  <c r="EP9" i="32" s="1"/>
  <c r="DZ5" i="32"/>
  <c r="DZ10" i="32" s="1"/>
  <c r="DK6" i="32"/>
  <c r="DK11" i="32" s="1"/>
  <c r="ES6" i="32"/>
  <c r="ES11" i="32" s="1"/>
  <c r="DA4" i="31"/>
  <c r="DA9" i="31" s="1"/>
  <c r="EC8" i="29"/>
  <c r="EC12" i="29" s="1"/>
  <c r="DB5" i="57"/>
  <c r="DB8" i="57" s="1"/>
  <c r="DV5" i="57"/>
  <c r="DV8" i="57" s="1"/>
  <c r="DK6" i="57"/>
  <c r="DK9" i="57" s="1"/>
  <c r="DN6" i="30"/>
  <c r="DN10" i="30" s="1"/>
  <c r="CU7" i="30"/>
  <c r="CU11" i="30" s="1"/>
  <c r="DO7" i="30"/>
  <c r="DO11" i="30" s="1"/>
  <c r="EJ7" i="30"/>
  <c r="EJ11" i="30" s="1"/>
  <c r="CT7" i="30"/>
  <c r="CT11" i="30" s="1"/>
  <c r="CU6" i="28"/>
  <c r="CU9" i="28" s="1"/>
  <c r="DP6" i="28"/>
  <c r="DP9" i="28" s="1"/>
  <c r="DH7" i="28"/>
  <c r="DH10" i="28" s="1"/>
  <c r="CQ6" i="28"/>
  <c r="CQ9" i="28" s="1"/>
  <c r="DF6" i="27"/>
  <c r="DF10" i="27" s="1"/>
  <c r="EC6" i="27"/>
  <c r="EC10" i="27" s="1"/>
  <c r="DM7" i="27"/>
  <c r="DM11" i="27" s="1"/>
  <c r="CX8" i="27"/>
  <c r="CX12" i="27" s="1"/>
  <c r="DU8" i="27"/>
  <c r="DU12" i="27" s="1"/>
  <c r="CS8" i="27"/>
  <c r="CS12" i="27" s="1"/>
  <c r="DT5" i="24"/>
  <c r="DT7" i="24" s="1"/>
  <c r="DT9" i="24" s="1"/>
  <c r="DT14" i="24" s="1"/>
  <c r="DE5" i="24"/>
  <c r="DE7" i="24" s="1"/>
  <c r="DE9" i="24" s="1"/>
  <c r="EB6" i="23"/>
  <c r="EB9" i="23" s="1"/>
  <c r="EM6" i="23"/>
  <c r="EM9" i="23" s="1"/>
  <c r="EC7" i="23"/>
  <c r="EC10" i="23" s="1"/>
  <c r="EK7" i="23"/>
  <c r="EK10" i="23" s="1"/>
  <c r="DC6" i="23"/>
  <c r="DC9" i="23" s="1"/>
  <c r="DK6" i="23"/>
  <c r="DK9" i="23" s="1"/>
  <c r="DS6" i="23"/>
  <c r="DS9" i="23" s="1"/>
  <c r="DC7" i="23"/>
  <c r="DC10" i="23" s="1"/>
  <c r="DK7" i="23"/>
  <c r="DK10" i="23" s="1"/>
  <c r="DS7" i="23"/>
  <c r="DS10" i="23" s="1"/>
  <c r="CV7" i="23"/>
  <c r="CV10" i="23" s="1"/>
  <c r="CR7" i="23"/>
  <c r="CR10" i="23" s="1"/>
  <c r="CV6" i="20"/>
  <c r="CV9" i="20" s="1"/>
  <c r="DD6" i="20"/>
  <c r="DD9" i="20" s="1"/>
  <c r="DL6" i="20"/>
  <c r="DL9" i="20" s="1"/>
  <c r="DT6" i="20"/>
  <c r="DT9" i="20" s="1"/>
  <c r="CY7" i="20"/>
  <c r="CY10" i="20" s="1"/>
  <c r="DG7" i="20"/>
  <c r="DG10" i="20" s="1"/>
  <c r="DO7" i="20"/>
  <c r="DO10" i="20" s="1"/>
  <c r="DW7" i="20"/>
  <c r="DW10" i="20" s="1"/>
  <c r="CT6" i="20"/>
  <c r="CT9" i="20" s="1"/>
  <c r="DF6" i="19"/>
  <c r="DF9" i="19" s="1"/>
  <c r="DF11" i="19" s="1"/>
  <c r="DF16" i="19" s="1"/>
  <c r="EV37" i="22" s="1"/>
  <c r="DN6" i="19"/>
  <c r="DN9" i="19" s="1"/>
  <c r="DN11" i="19" s="1"/>
  <c r="DN16" i="19" s="1"/>
  <c r="FD37" i="22" s="1"/>
  <c r="DV6" i="19"/>
  <c r="DV9" i="19" s="1"/>
  <c r="DV11" i="19" s="1"/>
  <c r="DV16" i="19" s="1"/>
  <c r="DH7" i="19"/>
  <c r="DP7" i="19"/>
  <c r="DX7" i="19"/>
  <c r="CV6" i="19"/>
  <c r="CV9" i="19" s="1"/>
  <c r="CV11" i="19" s="1"/>
  <c r="CV16" i="19" s="1"/>
  <c r="EL37" i="22" s="1"/>
  <c r="CS7" i="19"/>
  <c r="DA7" i="19"/>
  <c r="DB8" i="18"/>
  <c r="DB11" i="18" s="1"/>
  <c r="DJ8" i="18"/>
  <c r="DJ11" i="18" s="1"/>
  <c r="DR8" i="18"/>
  <c r="DR11" i="18" s="1"/>
  <c r="DI9" i="18"/>
  <c r="DI12" i="18" s="1"/>
  <c r="DQ9" i="18"/>
  <c r="DQ12" i="18" s="1"/>
  <c r="CZ8" i="18"/>
  <c r="CZ11" i="18" s="1"/>
  <c r="DO7" i="41"/>
  <c r="DO10" i="41" s="1"/>
  <c r="CY7" i="41"/>
  <c r="CY10" i="41" s="1"/>
  <c r="DG7" i="41"/>
  <c r="DG10" i="41" s="1"/>
  <c r="DU6" i="10"/>
  <c r="DU9" i="10" s="1"/>
  <c r="DQ7" i="10"/>
  <c r="DY7" i="10"/>
  <c r="DA6" i="10"/>
  <c r="DA9" i="10" s="1"/>
  <c r="DI6" i="10"/>
  <c r="DI9" i="10" s="1"/>
  <c r="CY7" i="10"/>
  <c r="DG7" i="10"/>
  <c r="CQ6" i="10"/>
  <c r="CQ9" i="10" s="1"/>
  <c r="DQ4" i="40"/>
  <c r="DQ7" i="40" s="1"/>
  <c r="DQ9" i="40" s="1"/>
  <c r="DQ14" i="40" s="1"/>
  <c r="FG41" i="22" s="1"/>
  <c r="CW4" i="40"/>
  <c r="CW7" i="40" s="1"/>
  <c r="CW9" i="40" s="1"/>
  <c r="CW14" i="40" s="1"/>
  <c r="EM41" i="22" s="1"/>
  <c r="DE4" i="40"/>
  <c r="DE7" i="40" s="1"/>
  <c r="DE9" i="40" s="1"/>
  <c r="DE14" i="40" s="1"/>
  <c r="EU41" i="22" s="1"/>
  <c r="CY6" i="2"/>
  <c r="DG6" i="2"/>
  <c r="DO6" i="2"/>
  <c r="DW6" i="2"/>
  <c r="CS6" i="2"/>
  <c r="DC5" i="7"/>
  <c r="DK5" i="7"/>
  <c r="DS5" i="7"/>
  <c r="DR6" i="11"/>
  <c r="DR9" i="11" s="1"/>
  <c r="DR10" i="11" s="1"/>
  <c r="DR15" i="11" s="1"/>
  <c r="FH36" i="22" s="1"/>
  <c r="DN6" i="11"/>
  <c r="DN9" i="11" s="1"/>
  <c r="DN10" i="11" s="1"/>
  <c r="DN15" i="11" s="1"/>
  <c r="FD36" i="22" s="1"/>
  <c r="DF6" i="11"/>
  <c r="DF9" i="11" s="1"/>
  <c r="DF10" i="11" s="1"/>
  <c r="DF15" i="11" s="1"/>
  <c r="EV36" i="22" s="1"/>
  <c r="CR6" i="11"/>
  <c r="CR9" i="11" s="1"/>
  <c r="CR10" i="11" s="1"/>
  <c r="CZ6" i="11"/>
  <c r="CZ9" i="11" s="1"/>
  <c r="CZ10" i="11" s="1"/>
  <c r="CX5" i="5"/>
  <c r="CX8" i="5" s="1"/>
  <c r="DF5" i="5"/>
  <c r="DF8" i="5" s="1"/>
  <c r="DN5" i="5"/>
  <c r="DN8" i="5" s="1"/>
  <c r="CY6" i="5"/>
  <c r="CY11" i="5" s="1"/>
  <c r="DG6" i="5"/>
  <c r="DG11" i="5" s="1"/>
  <c r="DO6" i="5"/>
  <c r="DO11" i="5" s="1"/>
  <c r="CS6" i="5"/>
  <c r="CS11" i="5" s="1"/>
  <c r="CV8" i="17"/>
  <c r="CV12" i="17" s="1"/>
  <c r="DA7" i="17"/>
  <c r="DA11" i="17" s="1"/>
  <c r="DI7" i="17"/>
  <c r="DI11" i="17" s="1"/>
  <c r="DQ7" i="17"/>
  <c r="DQ11" i="17" s="1"/>
  <c r="DY7" i="17"/>
  <c r="DY11" i="17" s="1"/>
  <c r="DD8" i="17"/>
  <c r="DD12" i="17" s="1"/>
  <c r="DL8" i="17"/>
  <c r="DL12" i="17" s="1"/>
  <c r="DT8" i="17"/>
  <c r="DT12" i="17" s="1"/>
  <c r="CW7" i="17"/>
  <c r="CW11" i="17" s="1"/>
  <c r="CQ8" i="17"/>
  <c r="CQ12" i="17" s="1"/>
  <c r="DI6" i="15"/>
  <c r="DI9" i="15" s="1"/>
  <c r="DQ6" i="15"/>
  <c r="DQ9" i="15" s="1"/>
  <c r="DA6" i="15"/>
  <c r="DA9" i="15" s="1"/>
  <c r="DE8" i="16"/>
  <c r="DE11" i="16" s="1"/>
  <c r="DM8" i="16"/>
  <c r="DM11" i="16" s="1"/>
  <c r="DU8" i="16"/>
  <c r="DU11" i="16" s="1"/>
  <c r="CZ8" i="16"/>
  <c r="CZ11" i="16" s="1"/>
  <c r="CU7" i="16"/>
  <c r="CU10" i="16" s="1"/>
  <c r="DC7" i="16"/>
  <c r="DC10" i="16" s="1"/>
  <c r="DK7" i="16"/>
  <c r="DK10" i="16" s="1"/>
  <c r="DS7" i="16"/>
  <c r="DS10" i="16" s="1"/>
  <c r="EA7" i="16"/>
  <c r="EA10" i="16" s="1"/>
  <c r="DM5" i="26"/>
  <c r="DM8" i="26" s="1"/>
  <c r="DU5" i="26"/>
  <c r="DU8" i="26" s="1"/>
  <c r="DP6" i="26"/>
  <c r="DP9" i="26" s="1"/>
  <c r="CY5" i="26"/>
  <c r="CY8" i="26" s="1"/>
  <c r="DG5" i="26"/>
  <c r="DG8" i="26" s="1"/>
  <c r="DE6" i="26"/>
  <c r="DE9" i="26" s="1"/>
  <c r="CU5" i="26"/>
  <c r="CU8" i="26" s="1"/>
  <c r="CT6" i="26"/>
  <c r="CT9" i="26" s="1"/>
  <c r="DB7" i="25"/>
  <c r="DB10" i="25" s="1"/>
  <c r="DJ7" i="25"/>
  <c r="DJ10" i="25" s="1"/>
  <c r="DR7" i="25"/>
  <c r="DR10" i="25" s="1"/>
  <c r="DD8" i="25"/>
  <c r="DD11" i="25" s="1"/>
  <c r="DL8" i="25"/>
  <c r="DL11" i="25" s="1"/>
  <c r="CT7" i="25"/>
  <c r="CT10" i="25" s="1"/>
  <c r="CR7" i="25"/>
  <c r="CR10" i="25" s="1"/>
  <c r="CZ7" i="12"/>
  <c r="CZ10" i="12" s="1"/>
  <c r="DH7" i="12"/>
  <c r="DH10" i="12" s="1"/>
  <c r="DP7" i="12"/>
  <c r="DP10" i="12" s="1"/>
  <c r="DD8" i="12"/>
  <c r="DD11" i="12" s="1"/>
  <c r="DL8" i="12"/>
  <c r="DL11" i="12" s="1"/>
  <c r="CV7" i="12"/>
  <c r="CV10" i="12" s="1"/>
  <c r="J7" i="12"/>
  <c r="J10" i="12" s="1"/>
  <c r="R7" i="12"/>
  <c r="R10" i="12" s="1"/>
  <c r="Z7" i="12"/>
  <c r="Z10" i="12" s="1"/>
  <c r="AH7" i="12"/>
  <c r="AH10" i="12" s="1"/>
  <c r="AP7" i="12"/>
  <c r="AP10" i="12" s="1"/>
  <c r="AX7" i="12"/>
  <c r="AX10" i="12" s="1"/>
  <c r="DL7" i="52"/>
  <c r="DL11" i="52" s="1"/>
  <c r="EE8" i="52"/>
  <c r="EE12" i="52" s="1"/>
  <c r="BZ8" i="47"/>
  <c r="BZ11" i="47" s="1"/>
  <c r="BE8" i="47"/>
  <c r="BE11" i="47" s="1"/>
  <c r="EB7" i="54"/>
  <c r="EB11" i="54" s="1"/>
  <c r="EB7" i="55"/>
  <c r="EB11" i="55" s="1"/>
  <c r="EL8" i="55"/>
  <c r="EL12" i="55" s="1"/>
  <c r="DN7" i="46"/>
  <c r="DN9" i="46" s="1"/>
  <c r="DN10" i="46" s="1"/>
  <c r="DN15" i="46" s="1"/>
  <c r="FC28" i="22" s="1"/>
  <c r="DH7" i="49"/>
  <c r="DH11" i="49" s="1"/>
  <c r="DQ8" i="49"/>
  <c r="DQ10" i="49" s="1"/>
  <c r="DM7" i="50"/>
  <c r="DM11" i="50" s="1"/>
  <c r="FA8" i="50"/>
  <c r="FA12" i="50" s="1"/>
  <c r="DH7" i="39"/>
  <c r="DH9" i="39" s="1"/>
  <c r="DH10" i="39" s="1"/>
  <c r="DH15" i="39" s="1"/>
  <c r="EW27" i="22" s="1"/>
  <c r="DF7" i="43"/>
  <c r="DF10" i="43" s="1"/>
  <c r="CQ6" i="43"/>
  <c r="CQ9" i="43" s="1"/>
  <c r="BY6" i="43"/>
  <c r="BY9" i="43" s="1"/>
  <c r="DF5" i="44"/>
  <c r="DF8" i="44" s="1"/>
  <c r="DQ8" i="38"/>
  <c r="DQ12" i="38" s="1"/>
  <c r="CW5" i="35"/>
  <c r="CW9" i="35" s="1"/>
  <c r="CQ5" i="45"/>
  <c r="CQ9" i="45" s="1"/>
  <c r="CQ11" i="45" s="1"/>
  <c r="DF4" i="32"/>
  <c r="DF9" i="32" s="1"/>
  <c r="EQ4" i="32"/>
  <c r="EQ9" i="32" s="1"/>
  <c r="EA5" i="32"/>
  <c r="EA10" i="32" s="1"/>
  <c r="DL6" i="32"/>
  <c r="DL11" i="32" s="1"/>
  <c r="DH4" i="31"/>
  <c r="DH9" i="31" s="1"/>
  <c r="CR8" i="29"/>
  <c r="CR12" i="29" s="1"/>
  <c r="DC5" i="57"/>
  <c r="DC8" i="57" s="1"/>
  <c r="DZ5" i="57"/>
  <c r="DZ8" i="57" s="1"/>
  <c r="DN6" i="57"/>
  <c r="DN9" i="57" s="1"/>
  <c r="CW6" i="30"/>
  <c r="CW10" i="30" s="1"/>
  <c r="DQ6" i="30"/>
  <c r="DQ10" i="30" s="1"/>
  <c r="CV7" i="30"/>
  <c r="CV11" i="30" s="1"/>
  <c r="DS7" i="30"/>
  <c r="DS11" i="30" s="1"/>
  <c r="CY6" i="28"/>
  <c r="CY9" i="28" s="1"/>
  <c r="DS6" i="28"/>
  <c r="DS9" i="28" s="1"/>
  <c r="DI7" i="28"/>
  <c r="DI10" i="28" s="1"/>
  <c r="DI6" i="27"/>
  <c r="DI10" i="27" s="1"/>
  <c r="ED6" i="27"/>
  <c r="ED10" i="27" s="1"/>
  <c r="DQ7" i="27"/>
  <c r="DQ11" i="27" s="1"/>
  <c r="DA8" i="27"/>
  <c r="DA12" i="27" s="1"/>
  <c r="DV8" i="27"/>
  <c r="DV12" i="27" s="1"/>
  <c r="CT6" i="27"/>
  <c r="CT10" i="27" s="1"/>
  <c r="CQ8" i="27"/>
  <c r="CQ12" i="27" s="1"/>
  <c r="DW5" i="24"/>
  <c r="DW7" i="24" s="1"/>
  <c r="DW9" i="24" s="1"/>
  <c r="DW14" i="24" s="1"/>
  <c r="EC6" i="23"/>
  <c r="EC9" i="23" s="1"/>
  <c r="EN6" i="23"/>
  <c r="EN9" i="23" s="1"/>
  <c r="ED7" i="23"/>
  <c r="ED10" i="23" s="1"/>
  <c r="EL7" i="23"/>
  <c r="EL10" i="23" s="1"/>
  <c r="DD6" i="23"/>
  <c r="DD9" i="23" s="1"/>
  <c r="DL6" i="23"/>
  <c r="DL9" i="23" s="1"/>
  <c r="DT6" i="23"/>
  <c r="DT9" i="23" s="1"/>
  <c r="DD7" i="23"/>
  <c r="DD10" i="23" s="1"/>
  <c r="DL7" i="23"/>
  <c r="DL10" i="23" s="1"/>
  <c r="DT7" i="23"/>
  <c r="DT10" i="23" s="1"/>
  <c r="CW7" i="23"/>
  <c r="CW10" i="23" s="1"/>
  <c r="CS7" i="23"/>
  <c r="CS10" i="23" s="1"/>
  <c r="CW6" i="20"/>
  <c r="CW9" i="20" s="1"/>
  <c r="DE6" i="20"/>
  <c r="DE9" i="20" s="1"/>
  <c r="DM6" i="20"/>
  <c r="DM9" i="20" s="1"/>
  <c r="DU6" i="20"/>
  <c r="DU9" i="20" s="1"/>
  <c r="CZ7" i="20"/>
  <c r="CZ10" i="20" s="1"/>
  <c r="DH7" i="20"/>
  <c r="DH10" i="20" s="1"/>
  <c r="DP7" i="20"/>
  <c r="DP10" i="20" s="1"/>
  <c r="DX7" i="20"/>
  <c r="DX10" i="20" s="1"/>
  <c r="CU6" i="20"/>
  <c r="CU9" i="20" s="1"/>
  <c r="DG6" i="19"/>
  <c r="DG9" i="19" s="1"/>
  <c r="DG11" i="19" s="1"/>
  <c r="DG16" i="19" s="1"/>
  <c r="EW37" i="22" s="1"/>
  <c r="DO6" i="19"/>
  <c r="DO9" i="19" s="1"/>
  <c r="DO11" i="19" s="1"/>
  <c r="DO16" i="19" s="1"/>
  <c r="FE37" i="22" s="1"/>
  <c r="DW6" i="19"/>
  <c r="DW9" i="19" s="1"/>
  <c r="DW11" i="19" s="1"/>
  <c r="DW16" i="19" s="1"/>
  <c r="DI7" i="19"/>
  <c r="DQ7" i="19"/>
  <c r="DY7" i="19"/>
  <c r="CW6" i="19"/>
  <c r="CW9" i="19" s="1"/>
  <c r="CW11" i="19" s="1"/>
  <c r="CW16" i="19" s="1"/>
  <c r="EM37" i="22" s="1"/>
  <c r="CT7" i="19"/>
  <c r="DB7" i="19"/>
  <c r="DC8" i="18"/>
  <c r="DC11" i="18" s="1"/>
  <c r="DK8" i="18"/>
  <c r="DK11" i="18" s="1"/>
  <c r="DB9" i="18"/>
  <c r="DB12" i="18" s="1"/>
  <c r="DJ9" i="18"/>
  <c r="DJ12" i="18" s="1"/>
  <c r="DR9" i="18"/>
  <c r="DR12" i="18" s="1"/>
  <c r="DA8" i="18"/>
  <c r="DA11" i="18" s="1"/>
  <c r="DP7" i="41"/>
  <c r="DP10" i="41" s="1"/>
  <c r="CZ7" i="41"/>
  <c r="CZ10" i="41" s="1"/>
  <c r="DH7" i="41"/>
  <c r="DH10" i="41" s="1"/>
  <c r="DV6" i="10"/>
  <c r="DV9" i="10" s="1"/>
  <c r="DR7" i="10"/>
  <c r="DZ7" i="10"/>
  <c r="DB6" i="10"/>
  <c r="DB9" i="10" s="1"/>
  <c r="DJ6" i="10"/>
  <c r="DJ9" i="10" s="1"/>
  <c r="CZ7" i="10"/>
  <c r="DH7" i="10"/>
  <c r="CR6" i="10"/>
  <c r="CR9" i="10" s="1"/>
  <c r="DR4" i="40"/>
  <c r="DR7" i="40" s="1"/>
  <c r="DR9" i="40" s="1"/>
  <c r="DR14" i="40" s="1"/>
  <c r="FH41" i="22" s="1"/>
  <c r="CD41" i="22" s="1"/>
  <c r="CX4" i="40"/>
  <c r="CX7" i="40" s="1"/>
  <c r="CX9" i="40" s="1"/>
  <c r="CX14" i="40" s="1"/>
  <c r="EN41" i="22" s="1"/>
  <c r="DF4" i="40"/>
  <c r="DF7" i="40" s="1"/>
  <c r="DF9" i="40" s="1"/>
  <c r="DF14" i="40" s="1"/>
  <c r="EV41" i="22" s="1"/>
  <c r="CZ6" i="2"/>
  <c r="DH6" i="2"/>
  <c r="DP6" i="2"/>
  <c r="DX6" i="2"/>
  <c r="CV6" i="2"/>
  <c r="CT6" i="2"/>
  <c r="DD5" i="7"/>
  <c r="DL5" i="7"/>
  <c r="DT5" i="7"/>
  <c r="DS6" i="11"/>
  <c r="DS9" i="11" s="1"/>
  <c r="DS10" i="11" s="1"/>
  <c r="DS15" i="11" s="1"/>
  <c r="DO6" i="11"/>
  <c r="DO9" i="11" s="1"/>
  <c r="DO10" i="11" s="1"/>
  <c r="DO15" i="11" s="1"/>
  <c r="FE36" i="22" s="1"/>
  <c r="DG6" i="11"/>
  <c r="DG9" i="11" s="1"/>
  <c r="DG10" i="11" s="1"/>
  <c r="CS6" i="11"/>
  <c r="CS9" i="11" s="1"/>
  <c r="CS10" i="11" s="1"/>
  <c r="CS15" i="11" s="1"/>
  <c r="DA6" i="11"/>
  <c r="DA9" i="11" s="1"/>
  <c r="DA10" i="11" s="1"/>
  <c r="DA15" i="11" s="1"/>
  <c r="EQ36" i="22" s="1"/>
  <c r="CY5" i="5"/>
  <c r="CY8" i="5" s="1"/>
  <c r="DG5" i="5"/>
  <c r="DG8" i="5" s="1"/>
  <c r="DO5" i="5"/>
  <c r="DO8" i="5" s="1"/>
  <c r="CZ6" i="5"/>
  <c r="CZ11" i="5" s="1"/>
  <c r="DH6" i="5"/>
  <c r="DH11" i="5" s="1"/>
  <c r="DP6" i="5"/>
  <c r="DP11" i="5" s="1"/>
  <c r="CS5" i="5"/>
  <c r="CS8" i="5" s="1"/>
  <c r="DB7" i="17"/>
  <c r="DB11" i="17" s="1"/>
  <c r="DJ7" i="17"/>
  <c r="DJ11" i="17" s="1"/>
  <c r="DR7" i="17"/>
  <c r="DR11" i="17" s="1"/>
  <c r="DZ7" i="17"/>
  <c r="DZ11" i="17" s="1"/>
  <c r="DE8" i="17"/>
  <c r="DE12" i="17" s="1"/>
  <c r="DM8" i="17"/>
  <c r="DM12" i="17" s="1"/>
  <c r="DU8" i="17"/>
  <c r="DU12" i="17" s="1"/>
  <c r="CX7" i="17"/>
  <c r="CX11" i="17" s="1"/>
  <c r="CQ7" i="17"/>
  <c r="CQ11" i="17" s="1"/>
  <c r="DB6" i="15"/>
  <c r="DB9" i="15" s="1"/>
  <c r="CX8" i="52"/>
  <c r="CX12" i="52" s="1"/>
  <c r="CM7" i="47"/>
  <c r="CM10" i="47" s="1"/>
  <c r="DE8" i="47"/>
  <c r="DE11" i="47" s="1"/>
  <c r="DT8" i="54"/>
  <c r="DT12" i="54" s="1"/>
  <c r="DB8" i="55"/>
  <c r="DB12" i="55" s="1"/>
  <c r="DV7" i="49"/>
  <c r="DV11" i="49" s="1"/>
  <c r="EE8" i="49"/>
  <c r="EE10" i="49" s="1"/>
  <c r="EK7" i="50"/>
  <c r="EK11" i="50" s="1"/>
  <c r="DY8" i="50"/>
  <c r="DY12" i="50" s="1"/>
  <c r="CT8" i="51"/>
  <c r="CT12" i="51" s="1"/>
  <c r="DW7" i="39"/>
  <c r="DW9" i="39" s="1"/>
  <c r="DW10" i="39" s="1"/>
  <c r="DW15" i="39" s="1"/>
  <c r="DC6" i="43"/>
  <c r="DC9" i="43" s="1"/>
  <c r="DT7" i="43"/>
  <c r="DT10" i="43" s="1"/>
  <c r="CC7" i="43"/>
  <c r="CC10" i="43" s="1"/>
  <c r="BK6" i="43"/>
  <c r="BK9" i="43" s="1"/>
  <c r="DA4" i="44"/>
  <c r="DA7" i="44" s="1"/>
  <c r="DR5" i="44"/>
  <c r="DR8" i="44" s="1"/>
  <c r="CX9" i="38"/>
  <c r="CX13" i="38" s="1"/>
  <c r="DF4" i="35"/>
  <c r="DF8" i="35" s="1"/>
  <c r="DQ5" i="35"/>
  <c r="DQ9" i="35" s="1"/>
  <c r="DG5" i="45"/>
  <c r="DG9" i="45" s="1"/>
  <c r="DG11" i="45" s="1"/>
  <c r="DG16" i="45" s="1"/>
  <c r="DW4" i="32"/>
  <c r="DW9" i="32" s="1"/>
  <c r="DH5" i="32"/>
  <c r="DH10" i="32" s="1"/>
  <c r="ER5" i="32"/>
  <c r="ER10" i="32" s="1"/>
  <c r="EC6" i="32"/>
  <c r="EC11" i="32" s="1"/>
  <c r="DQ4" i="31"/>
  <c r="DQ9" i="31" s="1"/>
  <c r="DG8" i="29"/>
  <c r="DG12" i="29" s="1"/>
  <c r="DK5" i="57"/>
  <c r="DK8" i="57" s="1"/>
  <c r="DB6" i="57"/>
  <c r="DB9" i="57" s="1"/>
  <c r="DV6" i="57"/>
  <c r="DV9" i="57" s="1"/>
  <c r="CU6" i="57"/>
  <c r="CU9" i="57" s="1"/>
  <c r="DE6" i="30"/>
  <c r="DE10" i="30" s="1"/>
  <c r="DY6" i="30"/>
  <c r="DY10" i="30" s="1"/>
  <c r="DD7" i="30"/>
  <c r="DD11" i="30" s="1"/>
  <c r="EA7" i="30"/>
  <c r="EA11" i="30" s="1"/>
  <c r="DG6" i="28"/>
  <c r="DG9" i="28" s="1"/>
  <c r="CV7" i="28"/>
  <c r="CV10" i="28" s="1"/>
  <c r="DQ7" i="28"/>
  <c r="DQ10" i="28" s="1"/>
  <c r="CW6" i="27"/>
  <c r="CW10" i="27" s="1"/>
  <c r="DQ6" i="27"/>
  <c r="DQ10" i="27" s="1"/>
  <c r="DB7" i="27"/>
  <c r="DB11" i="27" s="1"/>
  <c r="DY7" i="27"/>
  <c r="DY11" i="27" s="1"/>
  <c r="DI8" i="27"/>
  <c r="DI12" i="27" s="1"/>
  <c r="ED8" i="27"/>
  <c r="ED12" i="27" s="1"/>
  <c r="CV8" i="27"/>
  <c r="CV12" i="27" s="1"/>
  <c r="DL5" i="24"/>
  <c r="DL7" i="24" s="1"/>
  <c r="DL9" i="24" s="1"/>
  <c r="EB5" i="24"/>
  <c r="EB7" i="24" s="1"/>
  <c r="EB9" i="24" s="1"/>
  <c r="EB14" i="24" s="1"/>
  <c r="CW5" i="24"/>
  <c r="CW7" i="24" s="1"/>
  <c r="CW9" i="24" s="1"/>
  <c r="EI6" i="23"/>
  <c r="EI9" i="23" s="1"/>
  <c r="DY7" i="23"/>
  <c r="DY10" i="23" s="1"/>
  <c r="EG7" i="23"/>
  <c r="EG10" i="23" s="1"/>
  <c r="CY6" i="23"/>
  <c r="CY9" i="23" s="1"/>
  <c r="DG6" i="23"/>
  <c r="DG9" i="23" s="1"/>
  <c r="DO6" i="23"/>
  <c r="DO9" i="23" s="1"/>
  <c r="CY7" i="23"/>
  <c r="CY10" i="23" s="1"/>
  <c r="DG7" i="23"/>
  <c r="DG10" i="23" s="1"/>
  <c r="DO7" i="23"/>
  <c r="DO10" i="23" s="1"/>
  <c r="CU6" i="23"/>
  <c r="CU9" i="23" s="1"/>
  <c r="CZ6" i="20"/>
  <c r="CZ9" i="20" s="1"/>
  <c r="DH6" i="20"/>
  <c r="DH9" i="20" s="1"/>
  <c r="DP6" i="20"/>
  <c r="DP9" i="20" s="1"/>
  <c r="DX6" i="20"/>
  <c r="DX9" i="20" s="1"/>
  <c r="DC7" i="20"/>
  <c r="DC10" i="20" s="1"/>
  <c r="DK7" i="20"/>
  <c r="DK10" i="20" s="1"/>
  <c r="DS7" i="20"/>
  <c r="DS10" i="20" s="1"/>
  <c r="CT7" i="20"/>
  <c r="CT10" i="20" s="1"/>
  <c r="DJ6" i="19"/>
  <c r="DJ9" i="19" s="1"/>
  <c r="DJ11" i="19" s="1"/>
  <c r="DJ16" i="19" s="1"/>
  <c r="EZ37" i="22" s="1"/>
  <c r="DR6" i="19"/>
  <c r="DR9" i="19" s="1"/>
  <c r="DR11" i="19" s="1"/>
  <c r="DR16" i="19" s="1"/>
  <c r="FH37" i="22" s="1"/>
  <c r="DD7" i="19"/>
  <c r="DL7" i="19"/>
  <c r="DT7" i="19"/>
  <c r="CZ6" i="19"/>
  <c r="CZ9" i="19" s="1"/>
  <c r="CZ11" i="19" s="1"/>
  <c r="CZ16" i="19" s="1"/>
  <c r="EP37" i="22" s="1"/>
  <c r="CW7" i="19"/>
  <c r="CR7" i="19"/>
  <c r="DF8" i="18"/>
  <c r="DF11" i="18" s="1"/>
  <c r="DN8" i="18"/>
  <c r="DN11" i="18" s="1"/>
  <c r="DE9" i="18"/>
  <c r="DE12" i="18" s="1"/>
  <c r="DM9" i="18"/>
  <c r="DM12" i="18" s="1"/>
  <c r="CZ9" i="18"/>
  <c r="CZ12" i="18" s="1"/>
  <c r="DK7" i="41"/>
  <c r="DK10" i="41" s="1"/>
  <c r="DS7" i="41"/>
  <c r="DS10" i="41" s="1"/>
  <c r="CU7" i="41"/>
  <c r="CU10" i="41" s="1"/>
  <c r="DC7" i="41"/>
  <c r="DC10" i="41" s="1"/>
  <c r="CR7" i="41"/>
  <c r="CR10" i="41" s="1"/>
  <c r="DQ6" i="10"/>
  <c r="DQ9" i="10" s="1"/>
  <c r="DY6" i="10"/>
  <c r="DY9" i="10" s="1"/>
  <c r="DU7" i="10"/>
  <c r="CW6" i="10"/>
  <c r="CW9" i="10" s="1"/>
  <c r="DE6" i="10"/>
  <c r="DE9" i="10" s="1"/>
  <c r="DM6" i="10"/>
  <c r="DM9" i="10" s="1"/>
  <c r="DC7" i="10"/>
  <c r="DK7" i="10"/>
  <c r="CU7" i="10"/>
  <c r="CR7" i="10"/>
  <c r="DM4" i="40"/>
  <c r="DM7" i="40" s="1"/>
  <c r="DM9" i="40" s="1"/>
  <c r="DM14" i="40" s="1"/>
  <c r="FC41" i="22" s="1"/>
  <c r="DU4" i="40"/>
  <c r="DU7" i="40" s="1"/>
  <c r="DU9" i="40" s="1"/>
  <c r="DU14" i="40" s="1"/>
  <c r="CS4" i="40"/>
  <c r="CS7" i="40" s="1"/>
  <c r="CS9" i="40" s="1"/>
  <c r="CS14" i="40" s="1"/>
  <c r="DA4" i="40"/>
  <c r="DA7" i="40" s="1"/>
  <c r="DA9" i="40" s="1"/>
  <c r="DA14" i="40" s="1"/>
  <c r="EQ41" i="22" s="1"/>
  <c r="DI4" i="40"/>
  <c r="DI7" i="40" s="1"/>
  <c r="DI9" i="40" s="1"/>
  <c r="DI14" i="40" s="1"/>
  <c r="EY41" i="22" s="1"/>
  <c r="DC6" i="2"/>
  <c r="DK6" i="2"/>
  <c r="DS6" i="2"/>
  <c r="CY5" i="7"/>
  <c r="DG5" i="7"/>
  <c r="DO5" i="7"/>
  <c r="DW5" i="7"/>
  <c r="CU5" i="7"/>
  <c r="DJ6" i="11"/>
  <c r="DJ9" i="11" s="1"/>
  <c r="DJ10" i="11" s="1"/>
  <c r="DJ15" i="11" s="1"/>
  <c r="EZ36" i="22" s="1"/>
  <c r="CV6" i="11"/>
  <c r="CV9" i="11" s="1"/>
  <c r="CV10" i="11" s="1"/>
  <c r="CV15" i="11" s="1"/>
  <c r="EL36" i="22" s="1"/>
  <c r="DD6" i="11"/>
  <c r="DD9" i="11" s="1"/>
  <c r="DD10" i="11" s="1"/>
  <c r="DD15" i="11" s="1"/>
  <c r="ET36" i="22" s="1"/>
  <c r="DB5" i="5"/>
  <c r="DB8" i="5" s="1"/>
  <c r="DJ5" i="5"/>
  <c r="DJ8" i="5" s="1"/>
  <c r="DR5" i="5"/>
  <c r="DR8" i="5" s="1"/>
  <c r="DC6" i="5"/>
  <c r="DC11" i="5" s="1"/>
  <c r="DK6" i="5"/>
  <c r="DK11" i="5" s="1"/>
  <c r="CU5" i="5"/>
  <c r="CU8" i="5" s="1"/>
  <c r="DE7" i="17"/>
  <c r="DE11" i="17" s="1"/>
  <c r="DM7" i="17"/>
  <c r="DM11" i="17" s="1"/>
  <c r="DU7" i="17"/>
  <c r="DU11" i="17" s="1"/>
  <c r="CZ8" i="17"/>
  <c r="CZ12" i="17" s="1"/>
  <c r="DH8" i="17"/>
  <c r="DH12" i="17" s="1"/>
  <c r="DP8" i="17"/>
  <c r="DP12" i="17" s="1"/>
  <c r="DX8" i="17"/>
  <c r="DX12" i="17" s="1"/>
  <c r="CR7" i="17"/>
  <c r="CR11" i="17" s="1"/>
  <c r="CT8" i="17"/>
  <c r="CT12" i="17" s="1"/>
  <c r="DE6" i="15"/>
  <c r="DE9" i="15" s="1"/>
  <c r="DM6" i="15"/>
  <c r="DM9" i="15" s="1"/>
  <c r="DU6" i="15"/>
  <c r="DU9" i="15" s="1"/>
  <c r="DU10" i="15" s="1"/>
  <c r="DU14" i="15" s="1"/>
  <c r="EE8" i="16"/>
  <c r="DI8" i="16"/>
  <c r="DI11" i="16" s="1"/>
  <c r="DQ8" i="16"/>
  <c r="DQ11" i="16" s="1"/>
  <c r="DY8" i="16"/>
  <c r="DY11" i="16" s="1"/>
  <c r="CX8" i="16"/>
  <c r="CX11" i="16" s="1"/>
  <c r="CY7" i="16"/>
  <c r="CY10" i="16" s="1"/>
  <c r="DG7" i="16"/>
  <c r="DG10" i="16" s="1"/>
  <c r="DO7" i="16"/>
  <c r="DO10" i="16" s="1"/>
  <c r="DW7" i="16"/>
  <c r="DW10" i="16" s="1"/>
  <c r="CR8" i="16"/>
  <c r="CR11" i="16" s="1"/>
  <c r="DI5" i="26"/>
  <c r="DI8" i="26" s="1"/>
  <c r="DQ5" i="26"/>
  <c r="DQ8" i="26" s="1"/>
  <c r="DL6" i="26"/>
  <c r="DL9" i="26" s="1"/>
  <c r="DT6" i="26"/>
  <c r="DT9" i="26" s="1"/>
  <c r="DC5" i="26"/>
  <c r="DC8" i="26" s="1"/>
  <c r="DA6" i="26"/>
  <c r="DA9" i="26" s="1"/>
  <c r="CU6" i="26"/>
  <c r="CU9" i="26" s="1"/>
  <c r="CS5" i="26"/>
  <c r="CS8" i="26" s="1"/>
  <c r="CX7" i="25"/>
  <c r="CX10" i="25" s="1"/>
  <c r="DF7" i="25"/>
  <c r="DF10" i="25" s="1"/>
  <c r="DN7" i="25"/>
  <c r="DN10" i="25" s="1"/>
  <c r="CZ8" i="25"/>
  <c r="CZ11" i="25" s="1"/>
  <c r="DH8" i="25"/>
  <c r="DH11" i="25" s="1"/>
  <c r="DP8" i="25"/>
  <c r="DP11" i="25" s="1"/>
  <c r="CT8" i="25"/>
  <c r="CT11" i="25" s="1"/>
  <c r="CQ7" i="25"/>
  <c r="CQ10" i="25" s="1"/>
  <c r="DD7" i="12"/>
  <c r="DD10" i="12" s="1"/>
  <c r="DL7" i="12"/>
  <c r="DL10" i="12" s="1"/>
  <c r="CZ8" i="12"/>
  <c r="CZ11" i="12" s="1"/>
  <c r="DH8" i="12"/>
  <c r="DH11" i="12" s="1"/>
  <c r="DP8" i="12"/>
  <c r="DP11" i="12" s="1"/>
  <c r="CV8" i="12"/>
  <c r="CV11" i="12" s="1"/>
  <c r="N7" i="12"/>
  <c r="N10" i="12" s="1"/>
  <c r="V7" i="12"/>
  <c r="V10" i="12" s="1"/>
  <c r="AD7" i="12"/>
  <c r="AD10" i="12" s="1"/>
  <c r="AL7" i="12"/>
  <c r="AL10" i="12" s="1"/>
  <c r="AT7" i="12"/>
  <c r="AT10" i="12" s="1"/>
  <c r="BB7" i="12"/>
  <c r="BB10" i="12" s="1"/>
  <c r="EB7" i="52"/>
  <c r="EB11" i="52" s="1"/>
  <c r="EC7" i="55"/>
  <c r="EC11" i="55" s="1"/>
  <c r="DR8" i="49"/>
  <c r="DR10" i="49" s="1"/>
  <c r="DU8" i="51"/>
  <c r="DU12" i="51" s="1"/>
  <c r="CL7" i="43"/>
  <c r="CL10" i="43" s="1"/>
  <c r="DG5" i="44"/>
  <c r="DG8" i="44" s="1"/>
  <c r="CV4" i="35"/>
  <c r="CV8" i="35" s="1"/>
  <c r="DN4" i="32"/>
  <c r="DN9" i="32" s="1"/>
  <c r="CT6" i="32"/>
  <c r="CT11" i="32" s="1"/>
  <c r="DN5" i="57"/>
  <c r="DN8" i="57" s="1"/>
  <c r="DN12" i="57" s="1"/>
  <c r="DN5" i="30" s="1"/>
  <c r="DN9" i="30" s="1"/>
  <c r="DA6" i="30"/>
  <c r="DA10" i="30" s="1"/>
  <c r="DT7" i="30"/>
  <c r="DT11" i="30" s="1"/>
  <c r="DP7" i="28"/>
  <c r="DP10" i="28" s="1"/>
  <c r="DN6" i="27"/>
  <c r="DN10" i="27" s="1"/>
  <c r="DE8" i="27"/>
  <c r="DE12" i="27" s="1"/>
  <c r="DX5" i="24"/>
  <c r="DX7" i="24" s="1"/>
  <c r="DX9" i="24" s="1"/>
  <c r="DX14" i="24" s="1"/>
  <c r="CT5" i="24"/>
  <c r="CT7" i="24" s="1"/>
  <c r="CT9" i="24" s="1"/>
  <c r="CT14" i="24" s="1"/>
  <c r="EG6" i="23"/>
  <c r="EG9" i="23" s="1"/>
  <c r="EM7" i="23"/>
  <c r="EM10" i="23" s="1"/>
  <c r="DP6" i="23"/>
  <c r="DP9" i="23" s="1"/>
  <c r="DN7" i="23"/>
  <c r="DN10" i="23" s="1"/>
  <c r="CT7" i="23"/>
  <c r="CT10" i="23" s="1"/>
  <c r="DA6" i="20"/>
  <c r="DA9" i="20" s="1"/>
  <c r="DW6" i="20"/>
  <c r="DW9" i="20" s="1"/>
  <c r="DQ7" i="20"/>
  <c r="DQ10" i="20" s="1"/>
  <c r="CS7" i="20"/>
  <c r="CS10" i="20" s="1"/>
  <c r="DH6" i="19"/>
  <c r="DH9" i="19" s="1"/>
  <c r="DH11" i="19" s="1"/>
  <c r="DH16" i="19" s="1"/>
  <c r="EX37" i="22" s="1"/>
  <c r="DE7" i="19"/>
  <c r="CX7" i="19"/>
  <c r="DL8" i="18"/>
  <c r="DL11" i="18" s="1"/>
  <c r="DN9" i="18"/>
  <c r="DN12" i="18" s="1"/>
  <c r="DI7" i="41"/>
  <c r="DI10" i="41" s="1"/>
  <c r="DP6" i="10"/>
  <c r="DP9" i="10" s="1"/>
  <c r="DL6" i="10"/>
  <c r="DL9" i="10" s="1"/>
  <c r="DJ7" i="10"/>
  <c r="CZ4" i="40"/>
  <c r="CZ7" i="40" s="1"/>
  <c r="CZ9" i="40" s="1"/>
  <c r="CZ14" i="40" s="1"/>
  <c r="EP41" i="22" s="1"/>
  <c r="DB6" i="2"/>
  <c r="DR6" i="2"/>
  <c r="CU6" i="2"/>
  <c r="CW5" i="7"/>
  <c r="DM5" i="7"/>
  <c r="DI6" i="11"/>
  <c r="DI9" i="11" s="1"/>
  <c r="DI10" i="11" s="1"/>
  <c r="DI15" i="11" s="1"/>
  <c r="EY36" i="22" s="1"/>
  <c r="DE6" i="11"/>
  <c r="DE9" i="11" s="1"/>
  <c r="DE10" i="11" s="1"/>
  <c r="DE15" i="11" s="1"/>
  <c r="EU36" i="22" s="1"/>
  <c r="CU6" i="11"/>
  <c r="CU9" i="11" s="1"/>
  <c r="CU10" i="11" s="1"/>
  <c r="CU15" i="11" s="1"/>
  <c r="DA5" i="5"/>
  <c r="DA8" i="5" s="1"/>
  <c r="DQ5" i="5"/>
  <c r="DQ8" i="5" s="1"/>
  <c r="DJ6" i="5"/>
  <c r="DJ11" i="5" s="1"/>
  <c r="DK7" i="17"/>
  <c r="DK11" i="17" s="1"/>
  <c r="DW7" i="17"/>
  <c r="DW11" i="17" s="1"/>
  <c r="DG8" i="17"/>
  <c r="DG12" i="17" s="1"/>
  <c r="DS8" i="17"/>
  <c r="DS12" i="17" s="1"/>
  <c r="CT7" i="17"/>
  <c r="CT11" i="17" s="1"/>
  <c r="DF6" i="15"/>
  <c r="DF9" i="15" s="1"/>
  <c r="DP6" i="15"/>
  <c r="DP9" i="15" s="1"/>
  <c r="EC8" i="16"/>
  <c r="EC11" i="16" s="1"/>
  <c r="DJ8" i="16"/>
  <c r="DJ11" i="16" s="1"/>
  <c r="DT8" i="16"/>
  <c r="DT11" i="16" s="1"/>
  <c r="CV8" i="16"/>
  <c r="CV11" i="16" s="1"/>
  <c r="CZ7" i="16"/>
  <c r="CZ10" i="16" s="1"/>
  <c r="DJ7" i="16"/>
  <c r="DJ10" i="16" s="1"/>
  <c r="DU7" i="16"/>
  <c r="DU10" i="16" s="1"/>
  <c r="CS8" i="16"/>
  <c r="CS11" i="16" s="1"/>
  <c r="DK5" i="26"/>
  <c r="DK8" i="26" s="1"/>
  <c r="DI6" i="26"/>
  <c r="DI9" i="26" s="1"/>
  <c r="DS6" i="26"/>
  <c r="DS9" i="26" s="1"/>
  <c r="DE5" i="26"/>
  <c r="DE8" i="26" s="1"/>
  <c r="DF6" i="26"/>
  <c r="DF9" i="26" s="1"/>
  <c r="CW5" i="26"/>
  <c r="CW8" i="26" s="1"/>
  <c r="CR5" i="26"/>
  <c r="CR8" i="26" s="1"/>
  <c r="CZ7" i="25"/>
  <c r="CZ10" i="25" s="1"/>
  <c r="DK7" i="25"/>
  <c r="DK10" i="25" s="1"/>
  <c r="CY8" i="25"/>
  <c r="CY11" i="25" s="1"/>
  <c r="DJ8" i="25"/>
  <c r="DJ11" i="25" s="1"/>
  <c r="CU7" i="25"/>
  <c r="CU10" i="25" s="1"/>
  <c r="CQ8" i="25"/>
  <c r="CQ11" i="25" s="1"/>
  <c r="DF7" i="12"/>
  <c r="DF10" i="12" s="1"/>
  <c r="DQ7" i="12"/>
  <c r="DQ10" i="12" s="1"/>
  <c r="DG8" i="12"/>
  <c r="DG11" i="12" s="1"/>
  <c r="DR8" i="12"/>
  <c r="DR11" i="12" s="1"/>
  <c r="K7" i="12"/>
  <c r="K10" i="12" s="1"/>
  <c r="U7" i="12"/>
  <c r="U10" i="12" s="1"/>
  <c r="AF7" i="12"/>
  <c r="AF10" i="12" s="1"/>
  <c r="AQ7" i="12"/>
  <c r="AQ10" i="12" s="1"/>
  <c r="BA7" i="12"/>
  <c r="BA10" i="12" s="1"/>
  <c r="BJ7" i="12"/>
  <c r="BJ10" i="12" s="1"/>
  <c r="BR7" i="12"/>
  <c r="BR10" i="12" s="1"/>
  <c r="BZ7" i="12"/>
  <c r="BZ10" i="12" s="1"/>
  <c r="CH7" i="12"/>
  <c r="CH10" i="12" s="1"/>
  <c r="CP7" i="12"/>
  <c r="CP10" i="12" s="1"/>
  <c r="L8" i="12"/>
  <c r="L11" i="12" s="1"/>
  <c r="T8" i="12"/>
  <c r="T11" i="12" s="1"/>
  <c r="AB8" i="12"/>
  <c r="AB11" i="12" s="1"/>
  <c r="AJ8" i="12"/>
  <c r="AJ11" i="12" s="1"/>
  <c r="AR8" i="12"/>
  <c r="AR11" i="12" s="1"/>
  <c r="BH8" i="12"/>
  <c r="BH11" i="12" s="1"/>
  <c r="BX8" i="12"/>
  <c r="BX11" i="12" s="1"/>
  <c r="CF8" i="12"/>
  <c r="CF11" i="12" s="1"/>
  <c r="DC7" i="36"/>
  <c r="DC10" i="36" s="1"/>
  <c r="CU8" i="36"/>
  <c r="CU11" i="36" s="1"/>
  <c r="DP6" i="14"/>
  <c r="DP9" i="14" s="1"/>
  <c r="DK7" i="14"/>
  <c r="DK10" i="14" s="1"/>
  <c r="DR7" i="19"/>
  <c r="DD6" i="10"/>
  <c r="DD9" i="10" s="1"/>
  <c r="CR4" i="40"/>
  <c r="CR7" i="40" s="1"/>
  <c r="CR9" i="40" s="1"/>
  <c r="CR14" i="40" s="1"/>
  <c r="DE5" i="7"/>
  <c r="DD7" i="17"/>
  <c r="DD11" i="17" s="1"/>
  <c r="CU8" i="17"/>
  <c r="CU12" i="17" s="1"/>
  <c r="DZ8" i="16"/>
  <c r="DZ11" i="16" s="1"/>
  <c r="DP7" i="16"/>
  <c r="DP10" i="16" s="1"/>
  <c r="DP5" i="26"/>
  <c r="DP8" i="26" s="1"/>
  <c r="DE7" i="25"/>
  <c r="DE10" i="25" s="1"/>
  <c r="DA7" i="12"/>
  <c r="DA10" i="12" s="1"/>
  <c r="CD7" i="12"/>
  <c r="CD10" i="12" s="1"/>
  <c r="AF8" i="12"/>
  <c r="AF11" i="12" s="1"/>
  <c r="CB8" i="12"/>
  <c r="CB11" i="12" s="1"/>
  <c r="DO7" i="36"/>
  <c r="DO10" i="36" s="1"/>
  <c r="CQ7" i="36"/>
  <c r="CQ10" i="36" s="1"/>
  <c r="DG7" i="14"/>
  <c r="DG10" i="14" s="1"/>
  <c r="DI5" i="32"/>
  <c r="DI10" i="32" s="1"/>
  <c r="DF7" i="16"/>
  <c r="DF10" i="16" s="1"/>
  <c r="Q7" i="12"/>
  <c r="Q10" i="12" s="1"/>
  <c r="Q8" i="12"/>
  <c r="Q11" i="12" s="1"/>
  <c r="BU8" i="12"/>
  <c r="BU11" i="12" s="1"/>
  <c r="DP7" i="36"/>
  <c r="DP10" i="36" s="1"/>
  <c r="DP7" i="14"/>
  <c r="DP10" i="14" s="1"/>
  <c r="CY8" i="52"/>
  <c r="CY12" i="52" s="1"/>
  <c r="CZ8" i="55"/>
  <c r="CZ12" i="55" s="1"/>
  <c r="ED8" i="49"/>
  <c r="ED10" i="49" s="1"/>
  <c r="DV8" i="51"/>
  <c r="DV12" i="51" s="1"/>
  <c r="DA6" i="43"/>
  <c r="DA9" i="43" s="1"/>
  <c r="BT7" i="43"/>
  <c r="BT10" i="43" s="1"/>
  <c r="DP5" i="44"/>
  <c r="DP8" i="44" s="1"/>
  <c r="DG4" i="35"/>
  <c r="DG8" i="35" s="1"/>
  <c r="CW5" i="45"/>
  <c r="CW9" i="45" s="1"/>
  <c r="CW11" i="45" s="1"/>
  <c r="CW16" i="45" s="1"/>
  <c r="DO4" i="32"/>
  <c r="DO9" i="32" s="1"/>
  <c r="DT6" i="32"/>
  <c r="DT11" i="32" s="1"/>
  <c r="DI4" i="31"/>
  <c r="DI9" i="31" s="1"/>
  <c r="EA5" i="57"/>
  <c r="EA8" i="57" s="1"/>
  <c r="DF6" i="30"/>
  <c r="DF10" i="30" s="1"/>
  <c r="DW7" i="30"/>
  <c r="DW11" i="30" s="1"/>
  <c r="CZ6" i="28"/>
  <c r="CZ9" i="28" s="1"/>
  <c r="DT7" i="28"/>
  <c r="DT10" i="28" s="1"/>
  <c r="DU6" i="27"/>
  <c r="DU10" i="27" s="1"/>
  <c r="DF8" i="27"/>
  <c r="DF12" i="27" s="1"/>
  <c r="CU6" i="27"/>
  <c r="CU10" i="27" s="1"/>
  <c r="EA5" i="24"/>
  <c r="EA7" i="24" s="1"/>
  <c r="EA9" i="24" s="1"/>
  <c r="EA14" i="24" s="1"/>
  <c r="CX5" i="24"/>
  <c r="CX7" i="24" s="1"/>
  <c r="CX9" i="24" s="1"/>
  <c r="EJ6" i="23"/>
  <c r="EJ9" i="23" s="1"/>
  <c r="EN7" i="23"/>
  <c r="EN10" i="23" s="1"/>
  <c r="DU6" i="23"/>
  <c r="DU9" i="23" s="1"/>
  <c r="DP7" i="23"/>
  <c r="DP10" i="23" s="1"/>
  <c r="DF6" i="20"/>
  <c r="DF9" i="20" s="1"/>
  <c r="CV7" i="20"/>
  <c r="CV10" i="20" s="1"/>
  <c r="DR7" i="20"/>
  <c r="DR10" i="20" s="1"/>
  <c r="CU7" i="20"/>
  <c r="CU10" i="20" s="1"/>
  <c r="DI6" i="19"/>
  <c r="DI9" i="19" s="1"/>
  <c r="DI11" i="19" s="1"/>
  <c r="DI16" i="19" s="1"/>
  <c r="EY37" i="22" s="1"/>
  <c r="DJ7" i="19"/>
  <c r="DC7" i="19"/>
  <c r="DM8" i="18"/>
  <c r="DM11" i="18" s="1"/>
  <c r="DJ7" i="41"/>
  <c r="DJ10" i="41" s="1"/>
  <c r="DR6" i="10"/>
  <c r="DR9" i="10" s="1"/>
  <c r="DN6" i="10"/>
  <c r="DN9" i="10" s="1"/>
  <c r="DL7" i="10"/>
  <c r="DL4" i="40"/>
  <c r="DL7" i="40" s="1"/>
  <c r="DL9" i="40" s="1"/>
  <c r="DL14" i="40" s="1"/>
  <c r="FB41" i="22" s="1"/>
  <c r="DB4" i="40"/>
  <c r="DB7" i="40" s="1"/>
  <c r="DB9" i="40" s="1"/>
  <c r="DB14" i="40" s="1"/>
  <c r="ER41" i="22" s="1"/>
  <c r="DD6" i="2"/>
  <c r="DT6" i="2"/>
  <c r="CQ6" i="2"/>
  <c r="CX5" i="7"/>
  <c r="DN5" i="7"/>
  <c r="CR5" i="7"/>
  <c r="DK6" i="11"/>
  <c r="DK9" i="11" s="1"/>
  <c r="DK10" i="11" s="1"/>
  <c r="DK15" i="11" s="1"/>
  <c r="FA36" i="22" s="1"/>
  <c r="DH6" i="11"/>
  <c r="DH9" i="11" s="1"/>
  <c r="DH10" i="11" s="1"/>
  <c r="DH15" i="11" s="1"/>
  <c r="EX36" i="22" s="1"/>
  <c r="CW6" i="11"/>
  <c r="CW9" i="11" s="1"/>
  <c r="CW10" i="11" s="1"/>
  <c r="CW15" i="11" s="1"/>
  <c r="EM36" i="22" s="1"/>
  <c r="DC5" i="5"/>
  <c r="DC8" i="5" s="1"/>
  <c r="CV6" i="5"/>
  <c r="CV11" i="5" s="1"/>
  <c r="DL6" i="5"/>
  <c r="DL11" i="5" s="1"/>
  <c r="DL7" i="17"/>
  <c r="DL11" i="17" s="1"/>
  <c r="DX7" i="17"/>
  <c r="DX11" i="17" s="1"/>
  <c r="DI8" i="17"/>
  <c r="DI12" i="17" s="1"/>
  <c r="DV8" i="17"/>
  <c r="DV12" i="17" s="1"/>
  <c r="CU7" i="17"/>
  <c r="CU11" i="17" s="1"/>
  <c r="DG6" i="15"/>
  <c r="DG9" i="15" s="1"/>
  <c r="DR6" i="15"/>
  <c r="DR9" i="15" s="1"/>
  <c r="ED8" i="16"/>
  <c r="ED11" i="16" s="1"/>
  <c r="DK8" i="16"/>
  <c r="DK11" i="16" s="1"/>
  <c r="DV8" i="16"/>
  <c r="DV11" i="16" s="1"/>
  <c r="CW8" i="16"/>
  <c r="CW11" i="16" s="1"/>
  <c r="DA7" i="16"/>
  <c r="DA10" i="16" s="1"/>
  <c r="DL7" i="16"/>
  <c r="DL10" i="16" s="1"/>
  <c r="DV7" i="16"/>
  <c r="DV10" i="16" s="1"/>
  <c r="CT8" i="16"/>
  <c r="CT11" i="16" s="1"/>
  <c r="DL5" i="26"/>
  <c r="DL8" i="26" s="1"/>
  <c r="DJ6" i="26"/>
  <c r="DJ9" i="26" s="1"/>
  <c r="DU6" i="26"/>
  <c r="DU9" i="26" s="1"/>
  <c r="DF5" i="26"/>
  <c r="DF8" i="26" s="1"/>
  <c r="DG6" i="26"/>
  <c r="DG9" i="26" s="1"/>
  <c r="CX5" i="26"/>
  <c r="CX8" i="26" s="1"/>
  <c r="CT5" i="26"/>
  <c r="CT8" i="26" s="1"/>
  <c r="DA7" i="25"/>
  <c r="DA10" i="25" s="1"/>
  <c r="DL7" i="25"/>
  <c r="DL10" i="25" s="1"/>
  <c r="DA8" i="25"/>
  <c r="DA11" i="25" s="1"/>
  <c r="DK8" i="25"/>
  <c r="DK11" i="25" s="1"/>
  <c r="CV7" i="25"/>
  <c r="CV10" i="25" s="1"/>
  <c r="DG7" i="12"/>
  <c r="DG10" i="12" s="1"/>
  <c r="DR7" i="12"/>
  <c r="DR10" i="12" s="1"/>
  <c r="DI8" i="12"/>
  <c r="DI11" i="12" s="1"/>
  <c r="CU7" i="12"/>
  <c r="CU10" i="12" s="1"/>
  <c r="L7" i="12"/>
  <c r="L10" i="12" s="1"/>
  <c r="W7" i="12"/>
  <c r="W10" i="12" s="1"/>
  <c r="AG7" i="12"/>
  <c r="AG10" i="12" s="1"/>
  <c r="AR7" i="12"/>
  <c r="AR10" i="12" s="1"/>
  <c r="BC7" i="12"/>
  <c r="BC10" i="12" s="1"/>
  <c r="BK7" i="12"/>
  <c r="BK10" i="12" s="1"/>
  <c r="BS7" i="12"/>
  <c r="BS10" i="12" s="1"/>
  <c r="CA7" i="12"/>
  <c r="CA10" i="12" s="1"/>
  <c r="CI7" i="12"/>
  <c r="CI10" i="12" s="1"/>
  <c r="CQ7" i="12"/>
  <c r="CQ10" i="12" s="1"/>
  <c r="M8" i="12"/>
  <c r="M11" i="12" s="1"/>
  <c r="U8" i="12"/>
  <c r="U11" i="12" s="1"/>
  <c r="AC8" i="12"/>
  <c r="AC11" i="12" s="1"/>
  <c r="AK8" i="12"/>
  <c r="AK11" i="12" s="1"/>
  <c r="AS8" i="12"/>
  <c r="AS11" i="12" s="1"/>
  <c r="BA8" i="12"/>
  <c r="BA11" i="12" s="1"/>
  <c r="BI8" i="12"/>
  <c r="BI11" i="12" s="1"/>
  <c r="BQ8" i="12"/>
  <c r="BQ11" i="12" s="1"/>
  <c r="BY8" i="12"/>
  <c r="BY11" i="12" s="1"/>
  <c r="CG8" i="12"/>
  <c r="CG11" i="12" s="1"/>
  <c r="CO8" i="12"/>
  <c r="CO11" i="12" s="1"/>
  <c r="DD7" i="36"/>
  <c r="DD10" i="36" s="1"/>
  <c r="DL7" i="36"/>
  <c r="DL10" i="36" s="1"/>
  <c r="CX8" i="36"/>
  <c r="CX11" i="36" s="1"/>
  <c r="DF8" i="36"/>
  <c r="DF11" i="36" s="1"/>
  <c r="DN8" i="36"/>
  <c r="DN11" i="36" s="1"/>
  <c r="CV8" i="36"/>
  <c r="CV11" i="36" s="1"/>
  <c r="DA6" i="14"/>
  <c r="DA9" i="14" s="1"/>
  <c r="DI6" i="14"/>
  <c r="DI9" i="14" s="1"/>
  <c r="DQ6" i="14"/>
  <c r="DQ9" i="14" s="1"/>
  <c r="DD7" i="14"/>
  <c r="DD10" i="14" s="1"/>
  <c r="DL7" i="14"/>
  <c r="DL10" i="14" s="1"/>
  <c r="CW6" i="14"/>
  <c r="CW9" i="14" s="1"/>
  <c r="CN7" i="47"/>
  <c r="CN10" i="47" s="1"/>
  <c r="DD8" i="54"/>
  <c r="DD12" i="54" s="1"/>
  <c r="CW9" i="38"/>
  <c r="CW13" i="38" s="1"/>
  <c r="DR6" i="57"/>
  <c r="DR9" i="57" s="1"/>
  <c r="DW6" i="28"/>
  <c r="DW9" i="28" s="1"/>
  <c r="DZ7" i="23"/>
  <c r="DZ10" i="23" s="1"/>
  <c r="DN6" i="20"/>
  <c r="DN9" i="20" s="1"/>
  <c r="DD9" i="18"/>
  <c r="DD12" i="18" s="1"/>
  <c r="DS4" i="40"/>
  <c r="DS7" i="40" s="1"/>
  <c r="DS9" i="40" s="1"/>
  <c r="DS14" i="40" s="1"/>
  <c r="DU5" i="7"/>
  <c r="DI5" i="5"/>
  <c r="DI8" i="5" s="1"/>
  <c r="DP7" i="17"/>
  <c r="DP11" i="17" s="1"/>
  <c r="DK6" i="15"/>
  <c r="DK9" i="15" s="1"/>
  <c r="DN6" i="26"/>
  <c r="DN9" i="26" s="1"/>
  <c r="DE8" i="25"/>
  <c r="DE11" i="25" s="1"/>
  <c r="DK7" i="12"/>
  <c r="DK10" i="12" s="1"/>
  <c r="P7" i="12"/>
  <c r="P10" i="12" s="1"/>
  <c r="AV7" i="12"/>
  <c r="AV10" i="12" s="1"/>
  <c r="CL7" i="12"/>
  <c r="CL10" i="12" s="1"/>
  <c r="AN8" i="12"/>
  <c r="AN11" i="12" s="1"/>
  <c r="BT8" i="12"/>
  <c r="BT11" i="12" s="1"/>
  <c r="DI8" i="36"/>
  <c r="DI11" i="36" s="1"/>
  <c r="DL6" i="14"/>
  <c r="DL9" i="14" s="1"/>
  <c r="CU6" i="14"/>
  <c r="CU9" i="14" s="1"/>
  <c r="DI7" i="49"/>
  <c r="DI11" i="49" s="1"/>
  <c r="DH8" i="29"/>
  <c r="DH12" i="29" s="1"/>
  <c r="EE7" i="23"/>
  <c r="EE10" i="23" s="1"/>
  <c r="CX7" i="23"/>
  <c r="CX10" i="23" s="1"/>
  <c r="DI7" i="20"/>
  <c r="DI10" i="20" s="1"/>
  <c r="CX9" i="18"/>
  <c r="CX12" i="18" s="1"/>
  <c r="DS7" i="10"/>
  <c r="DT4" i="40"/>
  <c r="DT7" i="40" s="1"/>
  <c r="DT9" i="40" s="1"/>
  <c r="DT14" i="40" s="1"/>
  <c r="DL6" i="2"/>
  <c r="DD6" i="5"/>
  <c r="DD11" i="5" s="1"/>
  <c r="DB8" i="17"/>
  <c r="DB12" i="17" s="1"/>
  <c r="DL6" i="15"/>
  <c r="DL9" i="15" s="1"/>
  <c r="EB7" i="16"/>
  <c r="EB10" i="16" s="1"/>
  <c r="DG7" i="25"/>
  <c r="DG10" i="25" s="1"/>
  <c r="DB7" i="12"/>
  <c r="DB10" i="12" s="1"/>
  <c r="CW8" i="12"/>
  <c r="CW11" i="12" s="1"/>
  <c r="BG7" i="12"/>
  <c r="BG10" i="12" s="1"/>
  <c r="CE7" i="12"/>
  <c r="CE10" i="12" s="1"/>
  <c r="AO8" i="12"/>
  <c r="AO11" i="12" s="1"/>
  <c r="CK8" i="12"/>
  <c r="CK11" i="12" s="1"/>
  <c r="DJ8" i="36"/>
  <c r="DJ11" i="36" s="1"/>
  <c r="CV7" i="14"/>
  <c r="CV10" i="14" s="1"/>
  <c r="BW7" i="47"/>
  <c r="BW10" i="47" s="1"/>
  <c r="DM8" i="55"/>
  <c r="DM12" i="55" s="1"/>
  <c r="CU7" i="49"/>
  <c r="CU11" i="49" s="1"/>
  <c r="DX7" i="50"/>
  <c r="DX11" i="50" s="1"/>
  <c r="CU8" i="51"/>
  <c r="CU12" i="51" s="1"/>
  <c r="DJ7" i="39"/>
  <c r="DJ9" i="39" s="1"/>
  <c r="DJ10" i="39" s="1"/>
  <c r="DJ15" i="39" s="1"/>
  <c r="EY27" i="22" s="1"/>
  <c r="DN6" i="43"/>
  <c r="DN9" i="43" s="1"/>
  <c r="BJ6" i="43"/>
  <c r="BJ9" i="43" s="1"/>
  <c r="CV8" i="38"/>
  <c r="CV12" i="38" s="1"/>
  <c r="DG5" i="35"/>
  <c r="DG9" i="35" s="1"/>
  <c r="CY5" i="45"/>
  <c r="CY9" i="45" s="1"/>
  <c r="CY11" i="45" s="1"/>
  <c r="CY16" i="45" s="1"/>
  <c r="DX4" i="32"/>
  <c r="DX9" i="32" s="1"/>
  <c r="DU6" i="32"/>
  <c r="DU11" i="32" s="1"/>
  <c r="DP4" i="31"/>
  <c r="DP9" i="31" s="1"/>
  <c r="CX6" i="57"/>
  <c r="CX9" i="57" s="1"/>
  <c r="CT5" i="57"/>
  <c r="CT8" i="57" s="1"/>
  <c r="DU6" i="30"/>
  <c r="DU10" i="30" s="1"/>
  <c r="EB7" i="30"/>
  <c r="EB11" i="30" s="1"/>
  <c r="DC6" i="28"/>
  <c r="DC9" i="28" s="1"/>
  <c r="CW7" i="27"/>
  <c r="CW11" i="27" s="1"/>
  <c r="DM8" i="27"/>
  <c r="DM12" i="27" s="1"/>
  <c r="CU7" i="27"/>
  <c r="CU11" i="27" s="1"/>
  <c r="DW7" i="23"/>
  <c r="DW10" i="23" s="1"/>
  <c r="CZ6" i="23"/>
  <c r="CZ9" i="23" s="1"/>
  <c r="DV6" i="23"/>
  <c r="DV9" i="23" s="1"/>
  <c r="DU7" i="23"/>
  <c r="DU10" i="23" s="1"/>
  <c r="DG6" i="20"/>
  <c r="DG9" i="20" s="1"/>
  <c r="DA7" i="20"/>
  <c r="DA10" i="20" s="1"/>
  <c r="DT7" i="20"/>
  <c r="DT10" i="20" s="1"/>
  <c r="DK6" i="19"/>
  <c r="DK9" i="19" s="1"/>
  <c r="DK11" i="19" s="1"/>
  <c r="DK16" i="19" s="1"/>
  <c r="FA37" i="22" s="1"/>
  <c r="DK7" i="19"/>
  <c r="CS6" i="19"/>
  <c r="CS9" i="19" s="1"/>
  <c r="CS11" i="19" s="1"/>
  <c r="CS16" i="19" s="1"/>
  <c r="CR6" i="19"/>
  <c r="CR9" i="19" s="1"/>
  <c r="CR11" i="19" s="1"/>
  <c r="CR16" i="19" s="1"/>
  <c r="DO8" i="18"/>
  <c r="DO11" i="18" s="1"/>
  <c r="CS7" i="41"/>
  <c r="CS10" i="41" s="1"/>
  <c r="DW6" i="10"/>
  <c r="DW9" i="10" s="1"/>
  <c r="CX6" i="10"/>
  <c r="CX9" i="10" s="1"/>
  <c r="CX7" i="10"/>
  <c r="DN7" i="10"/>
  <c r="DN4" i="40"/>
  <c r="DN7" i="40" s="1"/>
  <c r="DN9" i="40" s="1"/>
  <c r="DN14" i="40" s="1"/>
  <c r="FD41" i="22" s="1"/>
  <c r="DD4" i="40"/>
  <c r="DD7" i="40" s="1"/>
  <c r="DD9" i="40" s="1"/>
  <c r="DD14" i="40" s="1"/>
  <c r="ET41" i="22" s="1"/>
  <c r="CQ4" i="40"/>
  <c r="CQ7" i="40" s="1"/>
  <c r="CQ9" i="40" s="1"/>
  <c r="CQ14" i="40" s="1"/>
  <c r="DF6" i="2"/>
  <c r="DV6" i="2"/>
  <c r="CW6" i="2"/>
  <c r="CZ5" i="7"/>
  <c r="DP5" i="7"/>
  <c r="CS5" i="7"/>
  <c r="DM6" i="11"/>
  <c r="DM9" i="11" s="1"/>
  <c r="DM10" i="11" s="1"/>
  <c r="DM15" i="11" s="1"/>
  <c r="FC36" i="22" s="1"/>
  <c r="CY6" i="11"/>
  <c r="CY9" i="11" s="1"/>
  <c r="CY10" i="11" s="1"/>
  <c r="CY15" i="11" s="1"/>
  <c r="EO36" i="22" s="1"/>
  <c r="DE5" i="5"/>
  <c r="DE8" i="5" s="1"/>
  <c r="CX6" i="5"/>
  <c r="CX11" i="5" s="1"/>
  <c r="DN6" i="5"/>
  <c r="DN11" i="5" s="1"/>
  <c r="CZ7" i="17"/>
  <c r="CZ11" i="17" s="1"/>
  <c r="DN7" i="17"/>
  <c r="DN11" i="17" s="1"/>
  <c r="EA7" i="17"/>
  <c r="EA11" i="17" s="1"/>
  <c r="DJ8" i="17"/>
  <c r="DJ12" i="17" s="1"/>
  <c r="DW8" i="17"/>
  <c r="DW12" i="17" s="1"/>
  <c r="CR8" i="17"/>
  <c r="CR12" i="17" s="1"/>
  <c r="DH6" i="15"/>
  <c r="DH9" i="15" s="1"/>
  <c r="DS6" i="15"/>
  <c r="DS9" i="15" s="1"/>
  <c r="DS10" i="15" s="1"/>
  <c r="DS14" i="15" s="1"/>
  <c r="DB8" i="16"/>
  <c r="DB11" i="16" s="1"/>
  <c r="DL8" i="16"/>
  <c r="DL11" i="16" s="1"/>
  <c r="DW8" i="16"/>
  <c r="DW11" i="16" s="1"/>
  <c r="CU8" i="16"/>
  <c r="CU11" i="16" s="1"/>
  <c r="CR7" i="16"/>
  <c r="CR10" i="16" s="1"/>
  <c r="DB7" i="16"/>
  <c r="DB10" i="16" s="1"/>
  <c r="DM7" i="16"/>
  <c r="DM10" i="16" s="1"/>
  <c r="DX7" i="16"/>
  <c r="DX10" i="16" s="1"/>
  <c r="DN5" i="26"/>
  <c r="DN8" i="26" s="1"/>
  <c r="DK6" i="26"/>
  <c r="DK9" i="26" s="1"/>
  <c r="DH5" i="26"/>
  <c r="DH8" i="26" s="1"/>
  <c r="DH6" i="26"/>
  <c r="DH9" i="26" s="1"/>
  <c r="CV6" i="26"/>
  <c r="CV9" i="26" s="1"/>
  <c r="CR6" i="26"/>
  <c r="CR9" i="26" s="1"/>
  <c r="DC7" i="25"/>
  <c r="DC10" i="25" s="1"/>
  <c r="DM7" i="25"/>
  <c r="DM10" i="25" s="1"/>
  <c r="DB8" i="25"/>
  <c r="DB11" i="25" s="1"/>
  <c r="DM8" i="25"/>
  <c r="DM11" i="25" s="1"/>
  <c r="CS8" i="25"/>
  <c r="CS11" i="25" s="1"/>
  <c r="DI7" i="12"/>
  <c r="DI10" i="12" s="1"/>
  <c r="CY8" i="12"/>
  <c r="CY11" i="12" s="1"/>
  <c r="DJ8" i="12"/>
  <c r="DJ11" i="12" s="1"/>
  <c r="CW7" i="12"/>
  <c r="CW10" i="12" s="1"/>
  <c r="M7" i="12"/>
  <c r="M10" i="12" s="1"/>
  <c r="X7" i="12"/>
  <c r="X10" i="12" s="1"/>
  <c r="AI7" i="12"/>
  <c r="AI10" i="12" s="1"/>
  <c r="AS7" i="12"/>
  <c r="AS10" i="12" s="1"/>
  <c r="BD7" i="12"/>
  <c r="BD10" i="12" s="1"/>
  <c r="BL7" i="12"/>
  <c r="BL10" i="12" s="1"/>
  <c r="BT7" i="12"/>
  <c r="BT10" i="12" s="1"/>
  <c r="CB7" i="12"/>
  <c r="CB10" i="12" s="1"/>
  <c r="CJ7" i="12"/>
  <c r="CJ10" i="12" s="1"/>
  <c r="CR7" i="12"/>
  <c r="CR10" i="12" s="1"/>
  <c r="N8" i="12"/>
  <c r="N11" i="12" s="1"/>
  <c r="V8" i="12"/>
  <c r="V11" i="12" s="1"/>
  <c r="AD8" i="12"/>
  <c r="AD11" i="12" s="1"/>
  <c r="AL8" i="12"/>
  <c r="AL11" i="12" s="1"/>
  <c r="AT8" i="12"/>
  <c r="AT11" i="12" s="1"/>
  <c r="BB8" i="12"/>
  <c r="BB11" i="12" s="1"/>
  <c r="BJ8" i="12"/>
  <c r="BJ11" i="12" s="1"/>
  <c r="BR8" i="12"/>
  <c r="BR11" i="12" s="1"/>
  <c r="BZ8" i="12"/>
  <c r="BZ11" i="12" s="1"/>
  <c r="CH8" i="12"/>
  <c r="CH11" i="12" s="1"/>
  <c r="CP8" i="12"/>
  <c r="CP11" i="12" s="1"/>
  <c r="CW7" i="36"/>
  <c r="CW10" i="36" s="1"/>
  <c r="DE7" i="36"/>
  <c r="DE10" i="36" s="1"/>
  <c r="DM7" i="36"/>
  <c r="DM10" i="36" s="1"/>
  <c r="CY8" i="36"/>
  <c r="CY11" i="36" s="1"/>
  <c r="DG8" i="36"/>
  <c r="DG11" i="36" s="1"/>
  <c r="DO8" i="36"/>
  <c r="DO11" i="36" s="1"/>
  <c r="CR7" i="36"/>
  <c r="CR10" i="36" s="1"/>
  <c r="DB6" i="14"/>
  <c r="DB9" i="14" s="1"/>
  <c r="DJ6" i="14"/>
  <c r="DJ9" i="14" s="1"/>
  <c r="DR6" i="14"/>
  <c r="DR9" i="14" s="1"/>
  <c r="DE7" i="14"/>
  <c r="DE10" i="14" s="1"/>
  <c r="DM7" i="14"/>
  <c r="DM10" i="14" s="1"/>
  <c r="CW7" i="14"/>
  <c r="CW10" i="14" s="1"/>
  <c r="EH7" i="39"/>
  <c r="EH9" i="39" s="1"/>
  <c r="EH10" i="39" s="1"/>
  <c r="EH15" i="39" s="1"/>
  <c r="DR5" i="35"/>
  <c r="DR9" i="35" s="1"/>
  <c r="CZ8" i="29"/>
  <c r="CZ12" i="29" s="1"/>
  <c r="DE7" i="27"/>
  <c r="DE11" i="27" s="1"/>
  <c r="DE7" i="23"/>
  <c r="DE10" i="23" s="1"/>
  <c r="DD7" i="20"/>
  <c r="DD10" i="20" s="1"/>
  <c r="DL7" i="41"/>
  <c r="DL10" i="41" s="1"/>
  <c r="DJ6" i="2"/>
  <c r="DB6" i="5"/>
  <c r="DB11" i="5" s="1"/>
  <c r="DZ8" i="17"/>
  <c r="DZ12" i="17" s="1"/>
  <c r="CZ6" i="26"/>
  <c r="CZ9" i="26" s="1"/>
  <c r="CV8" i="25"/>
  <c r="CV11" i="25" s="1"/>
  <c r="DM8" i="12"/>
  <c r="DM11" i="12" s="1"/>
  <c r="AK7" i="12"/>
  <c r="AK10" i="12" s="1"/>
  <c r="BV7" i="12"/>
  <c r="BV10" i="12" s="1"/>
  <c r="CT7" i="12"/>
  <c r="CT10" i="12" s="1"/>
  <c r="AV8" i="12"/>
  <c r="AV11" i="12" s="1"/>
  <c r="CJ8" i="12"/>
  <c r="CJ11" i="12" s="1"/>
  <c r="DA8" i="36"/>
  <c r="DA11" i="36" s="1"/>
  <c r="DO7" i="14"/>
  <c r="DO10" i="14" s="1"/>
  <c r="CO8" i="47"/>
  <c r="CO11" i="47" s="1"/>
  <c r="CY7" i="30"/>
  <c r="CY11" i="30" s="1"/>
  <c r="DH6" i="23"/>
  <c r="DH9" i="23" s="1"/>
  <c r="DA6" i="19"/>
  <c r="DA9" i="19" s="1"/>
  <c r="DA11" i="19" s="1"/>
  <c r="DA16" i="19" s="1"/>
  <c r="EQ37" i="22" s="1"/>
  <c r="DF9" i="18"/>
  <c r="DF12" i="18" s="1"/>
  <c r="DF6" i="10"/>
  <c r="DF9" i="10" s="1"/>
  <c r="CT4" i="40"/>
  <c r="CT7" i="40" s="1"/>
  <c r="CT9" i="40" s="1"/>
  <c r="CT14" i="40" s="1"/>
  <c r="DV5" i="7"/>
  <c r="CU6" i="5"/>
  <c r="CU11" i="5" s="1"/>
  <c r="DO8" i="17"/>
  <c r="DO12" i="17" s="1"/>
  <c r="CV7" i="16"/>
  <c r="CV10" i="16" s="1"/>
  <c r="DR5" i="26"/>
  <c r="DR8" i="26" s="1"/>
  <c r="DQ7" i="25"/>
  <c r="DQ10" i="25" s="1"/>
  <c r="AM7" i="12"/>
  <c r="AM10" i="12" s="1"/>
  <c r="I8" i="12"/>
  <c r="I11" i="12" s="1"/>
  <c r="BE8" i="12"/>
  <c r="BE11" i="12" s="1"/>
  <c r="DH7" i="36"/>
  <c r="DH10" i="36" s="1"/>
  <c r="DM6" i="14"/>
  <c r="DM9" i="14" s="1"/>
  <c r="BX7" i="47"/>
  <c r="BX10" i="47" s="1"/>
  <c r="CV7" i="54"/>
  <c r="CV11" i="54" s="1"/>
  <c r="EN8" i="55"/>
  <c r="EN12" i="55" s="1"/>
  <c r="DZ7" i="50"/>
  <c r="DZ11" i="50" s="1"/>
  <c r="DU7" i="39"/>
  <c r="DU9" i="39" s="1"/>
  <c r="DU10" i="39" s="1"/>
  <c r="DU15" i="39" s="1"/>
  <c r="DG7" i="43"/>
  <c r="DG10" i="43" s="1"/>
  <c r="BH7" i="43"/>
  <c r="BH10" i="43" s="1"/>
  <c r="DR8" i="38"/>
  <c r="DR12" i="38" s="1"/>
  <c r="DH5" i="35"/>
  <c r="DH9" i="35" s="1"/>
  <c r="DH5" i="45"/>
  <c r="DH9" i="45" s="1"/>
  <c r="DH11" i="45" s="1"/>
  <c r="DH16" i="45" s="1"/>
  <c r="CY5" i="32"/>
  <c r="CY10" i="32" s="1"/>
  <c r="ED6" i="32"/>
  <c r="ED11" i="32" s="1"/>
  <c r="DX4" i="31"/>
  <c r="DX9" i="31" s="1"/>
  <c r="CY8" i="29"/>
  <c r="CY12" i="29" s="1"/>
  <c r="DC6" i="57"/>
  <c r="DC9" i="57" s="1"/>
  <c r="CR6" i="57"/>
  <c r="CR9" i="57" s="1"/>
  <c r="DV6" i="30"/>
  <c r="DV10" i="30" s="1"/>
  <c r="DH6" i="28"/>
  <c r="DH9" i="28" s="1"/>
  <c r="DA7" i="27"/>
  <c r="DA11" i="27" s="1"/>
  <c r="DY8" i="27"/>
  <c r="DY12" i="27" s="1"/>
  <c r="DX7" i="23"/>
  <c r="DX10" i="23" s="1"/>
  <c r="DE6" i="23"/>
  <c r="DE9" i="23" s="1"/>
  <c r="CZ7" i="23"/>
  <c r="CZ10" i="23" s="1"/>
  <c r="DV7" i="23"/>
  <c r="DV10" i="23" s="1"/>
  <c r="DI6" i="20"/>
  <c r="DI9" i="20" s="1"/>
  <c r="DB7" i="20"/>
  <c r="DB10" i="20" s="1"/>
  <c r="DP6" i="19"/>
  <c r="DP9" i="19" s="1"/>
  <c r="DP11" i="19" s="1"/>
  <c r="DP16" i="19" s="1"/>
  <c r="FF37" i="22" s="1"/>
  <c r="DM7" i="19"/>
  <c r="CX6" i="19"/>
  <c r="CX9" i="19" s="1"/>
  <c r="CX11" i="19" s="1"/>
  <c r="CX16" i="19" s="1"/>
  <c r="EN37" i="22" s="1"/>
  <c r="CQ7" i="19"/>
  <c r="DC9" i="18"/>
  <c r="DC12" i="18" s="1"/>
  <c r="CT7" i="41"/>
  <c r="CT10" i="41" s="1"/>
  <c r="DX6" i="10"/>
  <c r="DX9" i="10" s="1"/>
  <c r="DC6" i="10"/>
  <c r="DC9" i="10" s="1"/>
  <c r="DA7" i="10"/>
  <c r="CS6" i="10"/>
  <c r="CS9" i="10" s="1"/>
  <c r="DP4" i="40"/>
  <c r="DP7" i="40" s="1"/>
  <c r="DP9" i="40" s="1"/>
  <c r="DP14" i="40" s="1"/>
  <c r="FF41" i="22" s="1"/>
  <c r="DG4" i="40"/>
  <c r="DG7" i="40" s="1"/>
  <c r="DG9" i="40" s="1"/>
  <c r="DI6" i="2"/>
  <c r="DY6" i="2"/>
  <c r="CX6" i="2"/>
  <c r="DB5" i="7"/>
  <c r="DR5" i="7"/>
  <c r="CT5" i="7"/>
  <c r="DP6" i="11"/>
  <c r="DP9" i="11" s="1"/>
  <c r="DP10" i="11" s="1"/>
  <c r="DP15" i="11" s="1"/>
  <c r="FF36" i="22" s="1"/>
  <c r="DB6" i="11"/>
  <c r="DB9" i="11" s="1"/>
  <c r="DB10" i="11" s="1"/>
  <c r="DB15" i="11" s="1"/>
  <c r="ER36" i="22" s="1"/>
  <c r="DH5" i="5"/>
  <c r="DH8" i="5" s="1"/>
  <c r="DA6" i="5"/>
  <c r="DA11" i="5" s="1"/>
  <c r="DQ6" i="5"/>
  <c r="DQ11" i="5" s="1"/>
  <c r="DC7" i="17"/>
  <c r="DC11" i="17" s="1"/>
  <c r="DO7" i="17"/>
  <c r="DO11" i="17" s="1"/>
  <c r="CY8" i="17"/>
  <c r="CY12" i="17" s="1"/>
  <c r="DK8" i="17"/>
  <c r="DK12" i="17" s="1"/>
  <c r="DY8" i="17"/>
  <c r="DY12" i="17" s="1"/>
  <c r="CS8" i="17"/>
  <c r="CS12" i="17" s="1"/>
  <c r="DJ6" i="15"/>
  <c r="DJ9" i="15" s="1"/>
  <c r="DT6" i="15"/>
  <c r="DT9" i="15" s="1"/>
  <c r="DT10" i="15" s="1"/>
  <c r="DT14" i="15" s="1"/>
  <c r="DC8" i="16"/>
  <c r="DC11" i="16" s="1"/>
  <c r="DN8" i="16"/>
  <c r="DN11" i="16" s="1"/>
  <c r="DX8" i="16"/>
  <c r="DX11" i="16" s="1"/>
  <c r="CS7" i="16"/>
  <c r="CS10" i="16" s="1"/>
  <c r="DD7" i="16"/>
  <c r="DD10" i="16" s="1"/>
  <c r="DN7" i="16"/>
  <c r="DN10" i="16" s="1"/>
  <c r="DY7" i="16"/>
  <c r="DY10" i="16" s="1"/>
  <c r="DO5" i="26"/>
  <c r="DO8" i="26" s="1"/>
  <c r="DM6" i="26"/>
  <c r="DM9" i="26" s="1"/>
  <c r="CY6" i="26"/>
  <c r="CY9" i="26" s="1"/>
  <c r="CW6" i="26"/>
  <c r="CW9" i="26" s="1"/>
  <c r="CS6" i="26"/>
  <c r="CS9" i="26" s="1"/>
  <c r="DD7" i="25"/>
  <c r="DD10" i="25" s="1"/>
  <c r="DO7" i="25"/>
  <c r="DO10" i="25" s="1"/>
  <c r="DC8" i="25"/>
  <c r="DC11" i="25" s="1"/>
  <c r="DN8" i="25"/>
  <c r="DN11" i="25" s="1"/>
  <c r="CU8" i="25"/>
  <c r="CU11" i="25" s="1"/>
  <c r="CY7" i="12"/>
  <c r="CY10" i="12" s="1"/>
  <c r="DJ7" i="12"/>
  <c r="DJ10" i="12" s="1"/>
  <c r="DA8" i="12"/>
  <c r="DA11" i="12" s="1"/>
  <c r="DK8" i="12"/>
  <c r="DK11" i="12" s="1"/>
  <c r="CX7" i="12"/>
  <c r="CX10" i="12" s="1"/>
  <c r="O7" i="12"/>
  <c r="O10" i="12" s="1"/>
  <c r="Y7" i="12"/>
  <c r="Y10" i="12" s="1"/>
  <c r="AJ7" i="12"/>
  <c r="AJ10" i="12" s="1"/>
  <c r="AU7" i="12"/>
  <c r="AU10" i="12" s="1"/>
  <c r="BE7" i="12"/>
  <c r="BE10" i="12" s="1"/>
  <c r="BM7" i="12"/>
  <c r="BM10" i="12" s="1"/>
  <c r="BU7" i="12"/>
  <c r="BU10" i="12" s="1"/>
  <c r="CC7" i="12"/>
  <c r="CC10" i="12" s="1"/>
  <c r="CK7" i="12"/>
  <c r="CK10" i="12" s="1"/>
  <c r="CS7" i="12"/>
  <c r="CS10" i="12" s="1"/>
  <c r="O8" i="12"/>
  <c r="O11" i="12" s="1"/>
  <c r="W8" i="12"/>
  <c r="W11" i="12" s="1"/>
  <c r="AE8" i="12"/>
  <c r="AE11" i="12" s="1"/>
  <c r="AM8" i="12"/>
  <c r="AM11" i="12" s="1"/>
  <c r="AU8" i="12"/>
  <c r="AU11" i="12" s="1"/>
  <c r="BC8" i="12"/>
  <c r="BC11" i="12" s="1"/>
  <c r="BK8" i="12"/>
  <c r="BK11" i="12" s="1"/>
  <c r="BS8" i="12"/>
  <c r="BS11" i="12" s="1"/>
  <c r="CA8" i="12"/>
  <c r="CA11" i="12" s="1"/>
  <c r="CI8" i="12"/>
  <c r="CI11" i="12" s="1"/>
  <c r="CQ8" i="12"/>
  <c r="CQ11" i="12" s="1"/>
  <c r="CX7" i="36"/>
  <c r="CX10" i="36" s="1"/>
  <c r="CX12" i="36" s="1"/>
  <c r="DF7" i="36"/>
  <c r="DF10" i="36" s="1"/>
  <c r="DN7" i="36"/>
  <c r="DN10" i="36" s="1"/>
  <c r="DN12" i="36" s="1"/>
  <c r="DN17" i="36" s="1"/>
  <c r="FD5" i="22" s="1"/>
  <c r="CZ8" i="36"/>
  <c r="CZ11" i="36" s="1"/>
  <c r="DH8" i="36"/>
  <c r="DH11" i="36" s="1"/>
  <c r="DP8" i="36"/>
  <c r="DP11" i="36" s="1"/>
  <c r="CS7" i="36"/>
  <c r="CS10" i="36" s="1"/>
  <c r="CQ8" i="36"/>
  <c r="CQ11" i="36" s="1"/>
  <c r="DC6" i="14"/>
  <c r="DC9" i="14" s="1"/>
  <c r="DK6" i="14"/>
  <c r="DK9" i="14" s="1"/>
  <c r="CX7" i="14"/>
  <c r="CX10" i="14" s="1"/>
  <c r="DF7" i="14"/>
  <c r="DF10" i="14" s="1"/>
  <c r="DN7" i="14"/>
  <c r="DN10" i="14" s="1"/>
  <c r="CU7" i="14"/>
  <c r="CU10" i="14" s="1"/>
  <c r="EM7" i="50"/>
  <c r="EM11" i="50" s="1"/>
  <c r="DR7" i="43"/>
  <c r="DR10" i="43" s="1"/>
  <c r="CZ5" i="32"/>
  <c r="CZ10" i="32" s="1"/>
  <c r="EC6" i="30"/>
  <c r="EC10" i="30" s="1"/>
  <c r="EC8" i="27"/>
  <c r="EC12" i="27" s="1"/>
  <c r="CV6" i="23"/>
  <c r="CV9" i="23" s="1"/>
  <c r="DQ6" i="19"/>
  <c r="DQ9" i="19" s="1"/>
  <c r="DQ11" i="19" s="1"/>
  <c r="DQ16" i="19" s="1"/>
  <c r="FG37" i="22" s="1"/>
  <c r="CD37" i="22" s="1"/>
  <c r="CV7" i="41"/>
  <c r="CV10" i="41" s="1"/>
  <c r="DN8" i="17"/>
  <c r="DN12" i="17" s="1"/>
  <c r="CT7" i="16"/>
  <c r="CT10" i="16" s="1"/>
  <c r="CZ5" i="26"/>
  <c r="CZ8" i="26" s="1"/>
  <c r="DP7" i="25"/>
  <c r="DP10" i="25" s="1"/>
  <c r="DB8" i="12"/>
  <c r="DB11" i="12" s="1"/>
  <c r="BF7" i="12"/>
  <c r="BF10" i="12" s="1"/>
  <c r="P8" i="12"/>
  <c r="P11" i="12" s="1"/>
  <c r="BD8" i="12"/>
  <c r="BD11" i="12" s="1"/>
  <c r="CR8" i="12"/>
  <c r="CR11" i="12" s="1"/>
  <c r="DQ8" i="36"/>
  <c r="DQ11" i="36" s="1"/>
  <c r="DH9" i="38"/>
  <c r="DH13" i="38" s="1"/>
  <c r="DS6" i="57"/>
  <c r="DS9" i="57" s="1"/>
  <c r="DG5" i="24"/>
  <c r="DG7" i="24" s="1"/>
  <c r="DG9" i="24" s="1"/>
  <c r="DO6" i="20"/>
  <c r="DO9" i="20" s="1"/>
  <c r="DQ7" i="41"/>
  <c r="DQ10" i="41" s="1"/>
  <c r="DD7" i="10"/>
  <c r="DJ4" i="40"/>
  <c r="DJ7" i="40" s="1"/>
  <c r="DJ9" i="40" s="1"/>
  <c r="DJ14" i="40" s="1"/>
  <c r="EZ41" i="22" s="1"/>
  <c r="CQ6" i="11"/>
  <c r="CQ9" i="11" s="1"/>
  <c r="CQ10" i="11" s="1"/>
  <c r="CQ15" i="11" s="1"/>
  <c r="DS7" i="17"/>
  <c r="DS11" i="17" s="1"/>
  <c r="EA8" i="17"/>
  <c r="EA12" i="17" s="1"/>
  <c r="EA8" i="16"/>
  <c r="EA11" i="16" s="1"/>
  <c r="DB6" i="26"/>
  <c r="DB9" i="26" s="1"/>
  <c r="CR8" i="25"/>
  <c r="CR11" i="25" s="1"/>
  <c r="DN8" i="12"/>
  <c r="DN11" i="12" s="1"/>
  <c r="BW7" i="12"/>
  <c r="BW10" i="12" s="1"/>
  <c r="AG8" i="12"/>
  <c r="AG11" i="12" s="1"/>
  <c r="CC8" i="12"/>
  <c r="CC11" i="12" s="1"/>
  <c r="DB8" i="36"/>
  <c r="DB11" i="36" s="1"/>
  <c r="CZ7" i="14"/>
  <c r="CZ10" i="14" s="1"/>
  <c r="CP8" i="47"/>
  <c r="CP11" i="47" s="1"/>
  <c r="DU8" i="54"/>
  <c r="DU12" i="54" s="1"/>
  <c r="DY7" i="46"/>
  <c r="DY9" i="46" s="1"/>
  <c r="DY10" i="46" s="1"/>
  <c r="DY15" i="46" s="1"/>
  <c r="DT7" i="49"/>
  <c r="DT11" i="49" s="1"/>
  <c r="CS6" i="43"/>
  <c r="CS9" i="43" s="1"/>
  <c r="CZ4" i="44"/>
  <c r="CZ7" i="44" s="1"/>
  <c r="EI5" i="32"/>
  <c r="EI10" i="32" s="1"/>
  <c r="DF5" i="57"/>
  <c r="DF8" i="57" s="1"/>
  <c r="DZ6" i="57"/>
  <c r="DZ9" i="57" s="1"/>
  <c r="DC7" i="30"/>
  <c r="DC11" i="30" s="1"/>
  <c r="CZ7" i="28"/>
  <c r="CZ10" i="28" s="1"/>
  <c r="CX6" i="27"/>
  <c r="CX10" i="27" s="1"/>
  <c r="DU7" i="27"/>
  <c r="DU11" i="27" s="1"/>
  <c r="DK5" i="24"/>
  <c r="DK7" i="24" s="1"/>
  <c r="DK9" i="24" s="1"/>
  <c r="EF7" i="23"/>
  <c r="EF10" i="23" s="1"/>
  <c r="DM6" i="23"/>
  <c r="DM9" i="23" s="1"/>
  <c r="DH7" i="23"/>
  <c r="DH10" i="23" s="1"/>
  <c r="CU7" i="23"/>
  <c r="CU10" i="23" s="1"/>
  <c r="CX6" i="20"/>
  <c r="CX9" i="20" s="1"/>
  <c r="DQ6" i="20"/>
  <c r="DQ9" i="20" s="1"/>
  <c r="DJ7" i="20"/>
  <c r="DJ10" i="20" s="1"/>
  <c r="DX6" i="19"/>
  <c r="DX9" i="19" s="1"/>
  <c r="DX11" i="19" s="1"/>
  <c r="DX16" i="19" s="1"/>
  <c r="DU7" i="19"/>
  <c r="CU7" i="19"/>
  <c r="DE8" i="18"/>
  <c r="DE11" i="18" s="1"/>
  <c r="DK9" i="18"/>
  <c r="DK12" i="18" s="1"/>
  <c r="CY9" i="18"/>
  <c r="CY12" i="18" s="1"/>
  <c r="DR7" i="41"/>
  <c r="DR10" i="41" s="1"/>
  <c r="DB7" i="41"/>
  <c r="DB10" i="41" s="1"/>
  <c r="DT7" i="10"/>
  <c r="DH6" i="10"/>
  <c r="DH9" i="10" s="1"/>
  <c r="DF7" i="10"/>
  <c r="CV6" i="10"/>
  <c r="CV9" i="10" s="1"/>
  <c r="CQ7" i="10"/>
  <c r="CV4" i="40"/>
  <c r="CV7" i="40" s="1"/>
  <c r="CV9" i="40" s="1"/>
  <c r="CV14" i="40" s="1"/>
  <c r="EL41" i="22" s="1"/>
  <c r="DN6" i="2"/>
  <c r="DH5" i="7"/>
  <c r="DX5" i="7"/>
  <c r="DQ6" i="11"/>
  <c r="DQ9" i="11" s="1"/>
  <c r="DQ10" i="11" s="1"/>
  <c r="DQ15" i="11" s="1"/>
  <c r="FG36" i="22" s="1"/>
  <c r="CD36" i="22" s="1"/>
  <c r="CW5" i="5"/>
  <c r="CW8" i="5" s="1"/>
  <c r="DM5" i="5"/>
  <c r="DM8" i="5" s="1"/>
  <c r="DF6" i="5"/>
  <c r="DF11" i="5" s="1"/>
  <c r="CT6" i="5"/>
  <c r="CT11" i="5" s="1"/>
  <c r="DG7" i="17"/>
  <c r="DG11" i="17" s="1"/>
  <c r="DT7" i="17"/>
  <c r="DT11" i="17" s="1"/>
  <c r="DC8" i="17"/>
  <c r="DC12" i="17" s="1"/>
  <c r="DQ8" i="17"/>
  <c r="DQ12" i="17" s="1"/>
  <c r="CX8" i="17"/>
  <c r="CX12" i="17" s="1"/>
  <c r="DC6" i="15"/>
  <c r="DC9" i="15" s="1"/>
  <c r="DN6" i="15"/>
  <c r="DN9" i="15" s="1"/>
  <c r="DG8" i="16"/>
  <c r="DG11" i="16" s="1"/>
  <c r="DR8" i="16"/>
  <c r="DR11" i="16" s="1"/>
  <c r="CY8" i="16"/>
  <c r="CY11" i="16" s="1"/>
  <c r="CW7" i="16"/>
  <c r="CW10" i="16" s="1"/>
  <c r="DH7" i="16"/>
  <c r="DH10" i="16" s="1"/>
  <c r="DR7" i="16"/>
  <c r="DR10" i="16" s="1"/>
  <c r="EC7" i="16"/>
  <c r="EC10" i="16" s="1"/>
  <c r="DS5" i="26"/>
  <c r="DS8" i="26" s="1"/>
  <c r="DQ6" i="26"/>
  <c r="DQ9" i="26" s="1"/>
  <c r="DB5" i="26"/>
  <c r="DB8" i="26" s="1"/>
  <c r="DC6" i="26"/>
  <c r="DC9" i="26" s="1"/>
  <c r="CW7" i="25"/>
  <c r="CW10" i="25" s="1"/>
  <c r="DH7" i="25"/>
  <c r="DH10" i="25" s="1"/>
  <c r="CW8" i="25"/>
  <c r="CW11" i="25" s="1"/>
  <c r="DG8" i="25"/>
  <c r="DG11" i="25" s="1"/>
  <c r="DR8" i="25"/>
  <c r="DR11" i="25" s="1"/>
  <c r="DC7" i="12"/>
  <c r="DC10" i="12" s="1"/>
  <c r="DN7" i="12"/>
  <c r="DN10" i="12" s="1"/>
  <c r="DE8" i="12"/>
  <c r="DE11" i="12" s="1"/>
  <c r="DO8" i="12"/>
  <c r="DO11" i="12" s="1"/>
  <c r="CX8" i="12"/>
  <c r="CX11" i="12" s="1"/>
  <c r="S7" i="12"/>
  <c r="S10" i="12" s="1"/>
  <c r="AC7" i="12"/>
  <c r="AC10" i="12" s="1"/>
  <c r="AN7" i="12"/>
  <c r="AN10" i="12" s="1"/>
  <c r="AY7" i="12"/>
  <c r="AY10" i="12" s="1"/>
  <c r="BH7" i="12"/>
  <c r="BH10" i="12" s="1"/>
  <c r="BP7" i="12"/>
  <c r="BP10" i="12" s="1"/>
  <c r="BX7" i="12"/>
  <c r="BX10" i="12" s="1"/>
  <c r="CF7" i="12"/>
  <c r="CF10" i="12" s="1"/>
  <c r="CN7" i="12"/>
  <c r="CN10" i="12" s="1"/>
  <c r="J8" i="12"/>
  <c r="J11" i="12" s="1"/>
  <c r="R8" i="12"/>
  <c r="R11" i="12" s="1"/>
  <c r="Z8" i="12"/>
  <c r="Z11" i="12" s="1"/>
  <c r="AH8" i="12"/>
  <c r="AH11" i="12" s="1"/>
  <c r="AP8" i="12"/>
  <c r="AP11" i="12" s="1"/>
  <c r="AX8" i="12"/>
  <c r="AX11" i="12" s="1"/>
  <c r="BF8" i="12"/>
  <c r="BF11" i="12" s="1"/>
  <c r="BN8" i="12"/>
  <c r="BN11" i="12" s="1"/>
  <c r="BV8" i="12"/>
  <c r="BV11" i="12" s="1"/>
  <c r="CD8" i="12"/>
  <c r="CD11" i="12" s="1"/>
  <c r="CL8" i="12"/>
  <c r="CL11" i="12" s="1"/>
  <c r="CT8" i="12"/>
  <c r="CT11" i="12" s="1"/>
  <c r="DA7" i="36"/>
  <c r="DA10" i="36" s="1"/>
  <c r="DI7" i="36"/>
  <c r="DI10" i="36" s="1"/>
  <c r="DQ7" i="36"/>
  <c r="DQ10" i="36" s="1"/>
  <c r="DC8" i="36"/>
  <c r="DC11" i="36" s="1"/>
  <c r="DK8" i="36"/>
  <c r="DK11" i="36" s="1"/>
  <c r="CU7" i="36"/>
  <c r="CU10" i="36" s="1"/>
  <c r="CS8" i="36"/>
  <c r="CS11" i="36" s="1"/>
  <c r="CX6" i="14"/>
  <c r="CX9" i="14" s="1"/>
  <c r="DF6" i="14"/>
  <c r="DF9" i="14" s="1"/>
  <c r="DN6" i="14"/>
  <c r="DN9" i="14" s="1"/>
  <c r="DA7" i="14"/>
  <c r="DA10" i="14" s="1"/>
  <c r="DI7" i="14"/>
  <c r="DI10" i="14" s="1"/>
  <c r="DQ7" i="14"/>
  <c r="DQ10" i="14" s="1"/>
  <c r="DB7" i="36"/>
  <c r="DB10" i="36" s="1"/>
  <c r="DJ7" i="36"/>
  <c r="DJ10" i="36" s="1"/>
  <c r="DD8" i="36"/>
  <c r="DD11" i="36" s="1"/>
  <c r="DL8" i="36"/>
  <c r="DL11" i="36" s="1"/>
  <c r="CV7" i="36"/>
  <c r="CV10" i="36" s="1"/>
  <c r="CY6" i="14"/>
  <c r="CY9" i="14" s="1"/>
  <c r="DO6" i="14"/>
  <c r="DO9" i="14" s="1"/>
  <c r="DJ7" i="14"/>
  <c r="DJ10" i="14" s="1"/>
  <c r="AZ8" i="12"/>
  <c r="AZ11" i="12" s="1"/>
  <c r="CN8" i="12"/>
  <c r="CN11" i="12" s="1"/>
  <c r="CW8" i="36"/>
  <c r="CW11" i="36" s="1"/>
  <c r="DM8" i="36"/>
  <c r="DM11" i="36" s="1"/>
  <c r="DH6" i="14"/>
  <c r="DH9" i="14" s="1"/>
  <c r="DC7" i="14"/>
  <c r="DC10" i="14" s="1"/>
  <c r="CV6" i="14"/>
  <c r="CV9" i="14" s="1"/>
  <c r="DF6" i="23"/>
  <c r="DF9" i="23" s="1"/>
  <c r="DZ6" i="10"/>
  <c r="DZ9" i="10" s="1"/>
  <c r="CT6" i="10"/>
  <c r="CT9" i="10" s="1"/>
  <c r="DZ6" i="2"/>
  <c r="DC6" i="11"/>
  <c r="DC9" i="11" s="1"/>
  <c r="DC10" i="11" s="1"/>
  <c r="DC15" i="11" s="1"/>
  <c r="ES36" i="22" s="1"/>
  <c r="CV7" i="17"/>
  <c r="CV11" i="17" s="1"/>
  <c r="DD8" i="16"/>
  <c r="DD11" i="16" s="1"/>
  <c r="DE7" i="16"/>
  <c r="DE10" i="16" s="1"/>
  <c r="DZ7" i="16"/>
  <c r="DZ10" i="16" s="1"/>
  <c r="CX6" i="26"/>
  <c r="CX9" i="26" s="1"/>
  <c r="DG7" i="36"/>
  <c r="DG10" i="36" s="1"/>
  <c r="CY7" i="14"/>
  <c r="CY10" i="14" s="1"/>
  <c r="DE8" i="54"/>
  <c r="DE12" i="54" s="1"/>
  <c r="EE7" i="43"/>
  <c r="EE10" i="43" s="1"/>
  <c r="DR7" i="27"/>
  <c r="DR11" i="27" s="1"/>
  <c r="DF7" i="23"/>
  <c r="DF10" i="23" s="1"/>
  <c r="DS6" i="19"/>
  <c r="DS9" i="19" s="1"/>
  <c r="DS11" i="19" s="1"/>
  <c r="DS16" i="19" s="1"/>
  <c r="CU6" i="10"/>
  <c r="CU9" i="10" s="1"/>
  <c r="DF5" i="7"/>
  <c r="DF7" i="17"/>
  <c r="DF11" i="17" s="1"/>
  <c r="CW8" i="17"/>
  <c r="CW12" i="17" s="1"/>
  <c r="DF8" i="16"/>
  <c r="DF11" i="16" s="1"/>
  <c r="DA5" i="26"/>
  <c r="DA8" i="26" s="1"/>
  <c r="DF8" i="25"/>
  <c r="DF11" i="25" s="1"/>
  <c r="DM7" i="12"/>
  <c r="DM10" i="12" s="1"/>
  <c r="AB7" i="12"/>
  <c r="AB10" i="12" s="1"/>
  <c r="BO7" i="12"/>
  <c r="BO10" i="12" s="1"/>
  <c r="Y8" i="12"/>
  <c r="Y11" i="12" s="1"/>
  <c r="BM8" i="12"/>
  <c r="BM11" i="12" s="1"/>
  <c r="CZ7" i="36"/>
  <c r="CZ10" i="36" s="1"/>
  <c r="DE6" i="14"/>
  <c r="DE9" i="14" s="1"/>
  <c r="EA7" i="52"/>
  <c r="EA11" i="52" s="1"/>
  <c r="DF8" i="47"/>
  <c r="DF11" i="47" s="1"/>
  <c r="EG7" i="49"/>
  <c r="EG11" i="49" s="1"/>
  <c r="EA8" i="50"/>
  <c r="EA12" i="50" s="1"/>
  <c r="CA7" i="43"/>
  <c r="CA10" i="43" s="1"/>
  <c r="DJ4" i="44"/>
  <c r="DJ7" i="44" s="1"/>
  <c r="CR8" i="38"/>
  <c r="CR12" i="38" s="1"/>
  <c r="CU4" i="35"/>
  <c r="CU8" i="35" s="1"/>
  <c r="EJ5" i="32"/>
  <c r="EJ10" i="32" s="1"/>
  <c r="DJ5" i="57"/>
  <c r="DJ8" i="57" s="1"/>
  <c r="CX6" i="30"/>
  <c r="CX10" i="30" s="1"/>
  <c r="DG7" i="30"/>
  <c r="DG11" i="30" s="1"/>
  <c r="DL7" i="28"/>
  <c r="DL10" i="28" s="1"/>
  <c r="DM6" i="27"/>
  <c r="DM10" i="27" s="1"/>
  <c r="DZ7" i="27"/>
  <c r="DZ11" i="27" s="1"/>
  <c r="DO5" i="24"/>
  <c r="DO7" i="24" s="1"/>
  <c r="DO9" i="24" s="1"/>
  <c r="CS5" i="24"/>
  <c r="CS7" i="24" s="1"/>
  <c r="CS9" i="24" s="1"/>
  <c r="CS14" i="24" s="1"/>
  <c r="EF6" i="23"/>
  <c r="EF9" i="23" s="1"/>
  <c r="EH7" i="23"/>
  <c r="EH10" i="23" s="1"/>
  <c r="DN6" i="23"/>
  <c r="DN9" i="23" s="1"/>
  <c r="DM7" i="23"/>
  <c r="DM10" i="23" s="1"/>
  <c r="CR6" i="23"/>
  <c r="CR9" i="23" s="1"/>
  <c r="CY6" i="20"/>
  <c r="CY9" i="20" s="1"/>
  <c r="DV6" i="20"/>
  <c r="DV9" i="20" s="1"/>
  <c r="DL7" i="20"/>
  <c r="DL10" i="20" s="1"/>
  <c r="CR7" i="20"/>
  <c r="CR10" i="20" s="1"/>
  <c r="DY6" i="19"/>
  <c r="DY9" i="19" s="1"/>
  <c r="DY11" i="19" s="1"/>
  <c r="DY16" i="19" s="1"/>
  <c r="CV7" i="19"/>
  <c r="DG8" i="18"/>
  <c r="DG11" i="18" s="1"/>
  <c r="DL9" i="18"/>
  <c r="DL12" i="18" s="1"/>
  <c r="DA9" i="18"/>
  <c r="DA12" i="18" s="1"/>
  <c r="DT7" i="41"/>
  <c r="DT10" i="41" s="1"/>
  <c r="DD7" i="41"/>
  <c r="DD10" i="41" s="1"/>
  <c r="DO6" i="10"/>
  <c r="DO9" i="10" s="1"/>
  <c r="DV7" i="10"/>
  <c r="DK6" i="10"/>
  <c r="DK9" i="10" s="1"/>
  <c r="DI7" i="10"/>
  <c r="CV7" i="10"/>
  <c r="CY4" i="40"/>
  <c r="CY7" i="40" s="1"/>
  <c r="CY9" i="40" s="1"/>
  <c r="DA6" i="2"/>
  <c r="DQ6" i="2"/>
  <c r="CR6" i="2"/>
  <c r="DJ5" i="7"/>
  <c r="DZ5" i="7"/>
  <c r="DT6" i="11"/>
  <c r="DT9" i="11" s="1"/>
  <c r="DT10" i="11" s="1"/>
  <c r="DT15" i="11" s="1"/>
  <c r="CT6" i="11"/>
  <c r="CT9" i="11" s="1"/>
  <c r="CT10" i="11" s="1"/>
  <c r="CT15" i="11" s="1"/>
  <c r="CZ5" i="5"/>
  <c r="CZ8" i="5" s="1"/>
  <c r="DP5" i="5"/>
  <c r="DP8" i="5" s="1"/>
  <c r="DI6" i="5"/>
  <c r="DI11" i="5" s="1"/>
  <c r="DH7" i="17"/>
  <c r="DH11" i="17" s="1"/>
  <c r="DV7" i="17"/>
  <c r="DV11" i="17" s="1"/>
  <c r="DF8" i="17"/>
  <c r="DF12" i="17" s="1"/>
  <c r="DR8" i="17"/>
  <c r="DR12" i="17" s="1"/>
  <c r="CS7" i="17"/>
  <c r="CS11" i="17" s="1"/>
  <c r="DD6" i="15"/>
  <c r="DD9" i="15" s="1"/>
  <c r="DO6" i="15"/>
  <c r="DO9" i="15" s="1"/>
  <c r="EB8" i="16"/>
  <c r="EB11" i="16" s="1"/>
  <c r="DH8" i="16"/>
  <c r="DH11" i="16" s="1"/>
  <c r="DS8" i="16"/>
  <c r="DS11" i="16" s="1"/>
  <c r="DA8" i="16"/>
  <c r="DA11" i="16" s="1"/>
  <c r="CX7" i="16"/>
  <c r="CX10" i="16" s="1"/>
  <c r="DI7" i="16"/>
  <c r="DI10" i="16" s="1"/>
  <c r="DT7" i="16"/>
  <c r="DT10" i="16" s="1"/>
  <c r="ED7" i="16"/>
  <c r="ED10" i="16" s="1"/>
  <c r="DJ5" i="26"/>
  <c r="DJ8" i="26" s="1"/>
  <c r="DT5" i="26"/>
  <c r="DT8" i="26" s="1"/>
  <c r="DR6" i="26"/>
  <c r="DR9" i="26" s="1"/>
  <c r="DD5" i="26"/>
  <c r="DD8" i="26" s="1"/>
  <c r="DD6" i="26"/>
  <c r="DD9" i="26" s="1"/>
  <c r="CV5" i="26"/>
  <c r="CV8" i="26" s="1"/>
  <c r="CY7" i="25"/>
  <c r="CY10" i="25" s="1"/>
  <c r="DI7" i="25"/>
  <c r="DI10" i="25" s="1"/>
  <c r="CX8" i="25"/>
  <c r="CX11" i="25" s="1"/>
  <c r="DI8" i="25"/>
  <c r="DI11" i="25" s="1"/>
  <c r="CS7" i="25"/>
  <c r="CS10" i="25" s="1"/>
  <c r="DE7" i="12"/>
  <c r="DE10" i="12" s="1"/>
  <c r="DO7" i="12"/>
  <c r="DO10" i="12" s="1"/>
  <c r="DF8" i="12"/>
  <c r="DF11" i="12" s="1"/>
  <c r="DQ8" i="12"/>
  <c r="DQ11" i="12" s="1"/>
  <c r="I7" i="12"/>
  <c r="I10" i="12" s="1"/>
  <c r="T7" i="12"/>
  <c r="T10" i="12" s="1"/>
  <c r="AE7" i="12"/>
  <c r="AE10" i="12" s="1"/>
  <c r="AO7" i="12"/>
  <c r="AO10" i="12" s="1"/>
  <c r="AZ7" i="12"/>
  <c r="AZ10" i="12" s="1"/>
  <c r="BI7" i="12"/>
  <c r="BI10" i="12" s="1"/>
  <c r="BQ7" i="12"/>
  <c r="BQ10" i="12" s="1"/>
  <c r="BY7" i="12"/>
  <c r="BY10" i="12" s="1"/>
  <c r="CG7" i="12"/>
  <c r="CG10" i="12" s="1"/>
  <c r="CO7" i="12"/>
  <c r="CO10" i="12" s="1"/>
  <c r="K8" i="12"/>
  <c r="K11" i="12" s="1"/>
  <c r="S8" i="12"/>
  <c r="S11" i="12" s="1"/>
  <c r="AA8" i="12"/>
  <c r="AA11" i="12" s="1"/>
  <c r="AI8" i="12"/>
  <c r="AI11" i="12" s="1"/>
  <c r="AQ8" i="12"/>
  <c r="AQ11" i="12" s="1"/>
  <c r="AY8" i="12"/>
  <c r="AY11" i="12" s="1"/>
  <c r="BG8" i="12"/>
  <c r="BG11" i="12" s="1"/>
  <c r="BO8" i="12"/>
  <c r="BO11" i="12" s="1"/>
  <c r="BW8" i="12"/>
  <c r="BW11" i="12" s="1"/>
  <c r="CE8" i="12"/>
  <c r="CE11" i="12" s="1"/>
  <c r="CM8" i="12"/>
  <c r="CM11" i="12" s="1"/>
  <c r="DR7" i="36"/>
  <c r="DR10" i="36" s="1"/>
  <c r="CT8" i="36"/>
  <c r="CT11" i="36" s="1"/>
  <c r="DG6" i="14"/>
  <c r="DG9" i="14" s="1"/>
  <c r="DB7" i="14"/>
  <c r="DB10" i="14" s="1"/>
  <c r="DR7" i="14"/>
  <c r="DR10" i="14" s="1"/>
  <c r="BP8" i="12"/>
  <c r="BP11" i="12" s="1"/>
  <c r="DK7" i="36"/>
  <c r="DK10" i="36" s="1"/>
  <c r="DE8" i="36"/>
  <c r="DE11" i="36" s="1"/>
  <c r="CZ6" i="14"/>
  <c r="CZ9" i="14" s="1"/>
  <c r="CY6" i="19"/>
  <c r="CY9" i="19" s="1"/>
  <c r="CY11" i="19" s="1"/>
  <c r="CY16" i="19" s="1"/>
  <c r="EO37" i="22" s="1"/>
  <c r="DB7" i="10"/>
  <c r="DH4" i="40"/>
  <c r="DH7" i="40" s="1"/>
  <c r="CV5" i="7"/>
  <c r="DR6" i="5"/>
  <c r="DR11" i="5" s="1"/>
  <c r="DA8" i="17"/>
  <c r="DA12" i="17" s="1"/>
  <c r="DO8" i="16"/>
  <c r="DO11" i="16" s="1"/>
  <c r="CQ6" i="26"/>
  <c r="CQ9" i="26" s="1"/>
  <c r="DO8" i="25"/>
  <c r="DO11" i="25" s="1"/>
  <c r="CU8" i="12"/>
  <c r="CU11" i="12" s="1"/>
  <c r="AA7" i="12"/>
  <c r="AA10" i="12" s="1"/>
  <c r="BN7" i="12"/>
  <c r="BN10" i="12" s="1"/>
  <c r="X8" i="12"/>
  <c r="X11" i="12" s="1"/>
  <c r="BL8" i="12"/>
  <c r="BL11" i="12" s="1"/>
  <c r="CY7" i="36"/>
  <c r="CY10" i="36" s="1"/>
  <c r="CT7" i="36"/>
  <c r="CT10" i="36" s="1"/>
  <c r="DD6" i="14"/>
  <c r="DD9" i="14" s="1"/>
  <c r="CO8" i="51"/>
  <c r="CO12" i="51" s="1"/>
  <c r="CS7" i="28"/>
  <c r="CS10" i="28" s="1"/>
  <c r="DS7" i="19"/>
  <c r="DD8" i="18"/>
  <c r="DD11" i="18" s="1"/>
  <c r="DA7" i="41"/>
  <c r="DA10" i="41" s="1"/>
  <c r="CS7" i="10"/>
  <c r="DK5" i="5"/>
  <c r="DK8" i="5" s="1"/>
  <c r="DP8" i="16"/>
  <c r="DP11" i="16" s="1"/>
  <c r="DQ7" i="16"/>
  <c r="DQ10" i="16" s="1"/>
  <c r="DO6" i="26"/>
  <c r="DO9" i="26" s="1"/>
  <c r="CQ5" i="26"/>
  <c r="CQ8" i="26" s="1"/>
  <c r="DQ8" i="25"/>
  <c r="DQ11" i="25" s="1"/>
  <c r="DC8" i="12"/>
  <c r="DC11" i="12" s="1"/>
  <c r="AW7" i="12"/>
  <c r="AW10" i="12" s="1"/>
  <c r="CM7" i="12"/>
  <c r="CM10" i="12" s="1"/>
  <c r="AW8" i="12"/>
  <c r="AW11" i="12" s="1"/>
  <c r="CS8" i="12"/>
  <c r="CS11" i="12" s="1"/>
  <c r="DR8" i="36"/>
  <c r="DR11" i="36" s="1"/>
  <c r="CR8" i="36"/>
  <c r="CR11" i="36" s="1"/>
  <c r="DH7" i="14"/>
  <c r="DH10" i="14" s="1"/>
  <c r="DB14" i="13"/>
  <c r="DJ14" i="13"/>
  <c r="DR14" i="13"/>
  <c r="CY7" i="13"/>
  <c r="CY11" i="13" s="1"/>
  <c r="CV7" i="13"/>
  <c r="CV11" i="13" s="1"/>
  <c r="DC14" i="13"/>
  <c r="DK14" i="13"/>
  <c r="CV14" i="13"/>
  <c r="CZ7" i="13"/>
  <c r="CZ11" i="13" s="1"/>
  <c r="DD14" i="13"/>
  <c r="DL14" i="13"/>
  <c r="CW14" i="13"/>
  <c r="DA7" i="13"/>
  <c r="DA11" i="13" s="1"/>
  <c r="DE14" i="13"/>
  <c r="DM14" i="13"/>
  <c r="CX14" i="13"/>
  <c r="DB7" i="13"/>
  <c r="DB11" i="13" s="1"/>
  <c r="DF14" i="13"/>
  <c r="DN14" i="13"/>
  <c r="CU14" i="13"/>
  <c r="DC7" i="13"/>
  <c r="DC11" i="13" s="1"/>
  <c r="CY14" i="13"/>
  <c r="DG14" i="13"/>
  <c r="DO14" i="13"/>
  <c r="CU7" i="13"/>
  <c r="CU11" i="13" s="1"/>
  <c r="DD7" i="13"/>
  <c r="DD11" i="13" s="1"/>
  <c r="CZ14" i="13"/>
  <c r="DH14" i="13"/>
  <c r="DP14" i="13"/>
  <c r="CW7" i="13"/>
  <c r="CW11" i="13" s="1"/>
  <c r="DE7" i="13"/>
  <c r="DE11" i="13" s="1"/>
  <c r="DA14" i="13"/>
  <c r="DI14" i="13"/>
  <c r="DQ14" i="13"/>
  <c r="CX7" i="13"/>
  <c r="CX11" i="13" s="1"/>
  <c r="DF7" i="13"/>
  <c r="DF11" i="13" s="1"/>
  <c r="J9" i="117"/>
  <c r="J14" i="117" s="1"/>
  <c r="I9" i="117"/>
  <c r="I14" i="117" s="1"/>
  <c r="I9" i="123"/>
  <c r="CN8" i="123"/>
  <c r="CF8" i="123"/>
  <c r="BX8" i="123"/>
  <c r="BP8" i="123"/>
  <c r="BH8" i="123"/>
  <c r="AZ8" i="123"/>
  <c r="AR8" i="123"/>
  <c r="AJ8" i="123"/>
  <c r="AB8" i="123"/>
  <c r="T8" i="123"/>
  <c r="L8" i="123"/>
  <c r="CJ8" i="122"/>
  <c r="CJ13" i="122" s="1"/>
  <c r="CJ18" i="122" s="1"/>
  <c r="CJ24" i="122" s="1"/>
  <c r="DY123" i="22" s="1"/>
  <c r="CB8" i="122"/>
  <c r="CB13" i="122" s="1"/>
  <c r="CB18" i="122" s="1"/>
  <c r="CB24" i="122" s="1"/>
  <c r="DQ123" i="22" s="1"/>
  <c r="BT8" i="122"/>
  <c r="BT13" i="122" s="1"/>
  <c r="BT18" i="122" s="1"/>
  <c r="BT24" i="122" s="1"/>
  <c r="DI123" i="22" s="1"/>
  <c r="BL8" i="122"/>
  <c r="BL13" i="122" s="1"/>
  <c r="BL18" i="122" s="1"/>
  <c r="BL24" i="122" s="1"/>
  <c r="DA123" i="22" s="1"/>
  <c r="BD8" i="122"/>
  <c r="BD13" i="122" s="1"/>
  <c r="BD18" i="122" s="1"/>
  <c r="BD24" i="122" s="1"/>
  <c r="CS123" i="22" s="1"/>
  <c r="AV8" i="122"/>
  <c r="AV13" i="122" s="1"/>
  <c r="AV18" i="122" s="1"/>
  <c r="AV24" i="122" s="1"/>
  <c r="CK123" i="22" s="1"/>
  <c r="AN8" i="122"/>
  <c r="AN13" i="122" s="1"/>
  <c r="AN18" i="122" s="1"/>
  <c r="AF8" i="122"/>
  <c r="AF13" i="122" s="1"/>
  <c r="AF18" i="122" s="1"/>
  <c r="AF24" i="122" s="1"/>
  <c r="X8" i="122"/>
  <c r="X13" i="122" s="1"/>
  <c r="X18" i="122" s="1"/>
  <c r="X24" i="122" s="1"/>
  <c r="P8" i="122"/>
  <c r="P13" i="122" s="1"/>
  <c r="P18" i="122" s="1"/>
  <c r="P24" i="122" s="1"/>
  <c r="Q9" i="101"/>
  <c r="Q12" i="101" s="1"/>
  <c r="Y9" i="101"/>
  <c r="Y12" i="101" s="1"/>
  <c r="AG9" i="101"/>
  <c r="AG12" i="101" s="1"/>
  <c r="AO9" i="101"/>
  <c r="AO12" i="101" s="1"/>
  <c r="CP8" i="120"/>
  <c r="CP13" i="120" s="1"/>
  <c r="CP18" i="120" s="1"/>
  <c r="CP24" i="120" s="1"/>
  <c r="EE122" i="22" s="1"/>
  <c r="CH8" i="120"/>
  <c r="CH13" i="120" s="1"/>
  <c r="CH18" i="120" s="1"/>
  <c r="CH24" i="120" s="1"/>
  <c r="DW122" i="22" s="1"/>
  <c r="BZ8" i="120"/>
  <c r="BZ13" i="120" s="1"/>
  <c r="BZ18" i="120" s="1"/>
  <c r="BZ24" i="120" s="1"/>
  <c r="DO122" i="22" s="1"/>
  <c r="BR8" i="120"/>
  <c r="BR13" i="120" s="1"/>
  <c r="BR18" i="120" s="1"/>
  <c r="BR24" i="120" s="1"/>
  <c r="DG122" i="22" s="1"/>
  <c r="BJ8" i="120"/>
  <c r="BJ13" i="120" s="1"/>
  <c r="BJ18" i="120" s="1"/>
  <c r="BJ24" i="120" s="1"/>
  <c r="CY122" i="22" s="1"/>
  <c r="BB8" i="120"/>
  <c r="BB13" i="120" s="1"/>
  <c r="BB18" i="120" s="1"/>
  <c r="BB24" i="120" s="1"/>
  <c r="CQ122" i="22" s="1"/>
  <c r="AT8" i="120"/>
  <c r="AT13" i="120" s="1"/>
  <c r="AT18" i="120" s="1"/>
  <c r="AT24" i="120" s="1"/>
  <c r="CI122" i="22" s="1"/>
  <c r="AL8" i="120"/>
  <c r="AL13" i="120" s="1"/>
  <c r="AL18" i="120" s="1"/>
  <c r="AL24" i="120" s="1"/>
  <c r="AD8" i="120"/>
  <c r="AD13" i="120" s="1"/>
  <c r="AD18" i="120" s="1"/>
  <c r="AD24" i="120" s="1"/>
  <c r="V8" i="120"/>
  <c r="V13" i="120" s="1"/>
  <c r="V18" i="120" s="1"/>
  <c r="N8" i="120"/>
  <c r="N13" i="120" s="1"/>
  <c r="N18" i="120" s="1"/>
  <c r="N24" i="120" s="1"/>
  <c r="CN8" i="119"/>
  <c r="CN13" i="119" s="1"/>
  <c r="CN18" i="119" s="1"/>
  <c r="CN24" i="119" s="1"/>
  <c r="CF8" i="119"/>
  <c r="CF13" i="119" s="1"/>
  <c r="CF18" i="119" s="1"/>
  <c r="CF24" i="119" s="1"/>
  <c r="BX8" i="119"/>
  <c r="BX13" i="119" s="1"/>
  <c r="BX18" i="119" s="1"/>
  <c r="BX24" i="119" s="1"/>
  <c r="BP8" i="119"/>
  <c r="BP13" i="119" s="1"/>
  <c r="BP18" i="119" s="1"/>
  <c r="BP24" i="119" s="1"/>
  <c r="BH8" i="119"/>
  <c r="BH13" i="119" s="1"/>
  <c r="BH18" i="119" s="1"/>
  <c r="BH24" i="119" s="1"/>
  <c r="AZ8" i="119"/>
  <c r="AZ13" i="119" s="1"/>
  <c r="AZ18" i="119" s="1"/>
  <c r="AZ24" i="119" s="1"/>
  <c r="AR8" i="119"/>
  <c r="AR13" i="119" s="1"/>
  <c r="AR18" i="119" s="1"/>
  <c r="AR24" i="119" s="1"/>
  <c r="AJ8" i="119"/>
  <c r="AJ13" i="119" s="1"/>
  <c r="AJ18" i="119" s="1"/>
  <c r="AJ24" i="119" s="1"/>
  <c r="AB8" i="119"/>
  <c r="AB13" i="119" s="1"/>
  <c r="AB18" i="119" s="1"/>
  <c r="AB24" i="119" s="1"/>
  <c r="T8" i="119"/>
  <c r="T13" i="119" s="1"/>
  <c r="T18" i="119" s="1"/>
  <c r="T24" i="119" s="1"/>
  <c r="L8" i="119"/>
  <c r="L13" i="119" s="1"/>
  <c r="L18" i="119" s="1"/>
  <c r="L24" i="119" s="1"/>
  <c r="CJ8" i="118"/>
  <c r="CJ13" i="118" s="1"/>
  <c r="CJ18" i="118" s="1"/>
  <c r="CJ24" i="118" s="1"/>
  <c r="DY120" i="22" s="1"/>
  <c r="CB8" i="118"/>
  <c r="CB13" i="118" s="1"/>
  <c r="CB18" i="118" s="1"/>
  <c r="CB24" i="118" s="1"/>
  <c r="DQ120" i="22" s="1"/>
  <c r="BT8" i="118"/>
  <c r="BT13" i="118" s="1"/>
  <c r="BT18" i="118" s="1"/>
  <c r="BT24" i="118" s="1"/>
  <c r="DI120" i="22" s="1"/>
  <c r="BL8" i="118"/>
  <c r="BL13" i="118" s="1"/>
  <c r="BL18" i="118" s="1"/>
  <c r="BL24" i="118" s="1"/>
  <c r="DA120" i="22" s="1"/>
  <c r="BD8" i="118"/>
  <c r="BD13" i="118" s="1"/>
  <c r="BD18" i="118" s="1"/>
  <c r="BD24" i="118" s="1"/>
  <c r="CS120" i="22" s="1"/>
  <c r="AV8" i="118"/>
  <c r="AV13" i="118" s="1"/>
  <c r="AV18" i="118" s="1"/>
  <c r="AV24" i="118" s="1"/>
  <c r="CK120" i="22" s="1"/>
  <c r="AN8" i="118"/>
  <c r="AN13" i="118" s="1"/>
  <c r="AN18" i="118" s="1"/>
  <c r="AN24" i="118" s="1"/>
  <c r="AF8" i="118"/>
  <c r="AF13" i="118" s="1"/>
  <c r="AF18" i="118" s="1"/>
  <c r="AF24" i="118" s="1"/>
  <c r="X8" i="118"/>
  <c r="X13" i="118" s="1"/>
  <c r="X18" i="118" s="1"/>
  <c r="X24" i="118" s="1"/>
  <c r="P8" i="118"/>
  <c r="P13" i="118" s="1"/>
  <c r="P18" i="118" s="1"/>
  <c r="P24" i="118" s="1"/>
  <c r="CO8" i="117"/>
  <c r="CO13" i="117" s="1"/>
  <c r="CG8" i="117"/>
  <c r="CG13" i="117" s="1"/>
  <c r="BY8" i="117"/>
  <c r="BY13" i="117" s="1"/>
  <c r="BQ8" i="117"/>
  <c r="BQ13" i="117" s="1"/>
  <c r="BI8" i="117"/>
  <c r="BI13" i="117" s="1"/>
  <c r="BA8" i="117"/>
  <c r="BA13" i="117" s="1"/>
  <c r="AS8" i="117"/>
  <c r="AS13" i="117" s="1"/>
  <c r="AK8" i="117"/>
  <c r="AK13" i="117" s="1"/>
  <c r="AC8" i="117"/>
  <c r="AC13" i="117" s="1"/>
  <c r="U8" i="117"/>
  <c r="U13" i="117" s="1"/>
  <c r="M8" i="117"/>
  <c r="M13" i="117" s="1"/>
  <c r="CM8" i="123"/>
  <c r="CE8" i="123"/>
  <c r="BW8" i="123"/>
  <c r="BO8" i="123"/>
  <c r="BG8" i="123"/>
  <c r="AY8" i="123"/>
  <c r="AQ8" i="123"/>
  <c r="AI8" i="123"/>
  <c r="AA8" i="123"/>
  <c r="S8" i="123"/>
  <c r="K8" i="123"/>
  <c r="CQ8" i="122"/>
  <c r="CQ13" i="122" s="1"/>
  <c r="CQ18" i="122" s="1"/>
  <c r="CQ24" i="122" s="1"/>
  <c r="EF123" i="22" s="1"/>
  <c r="CI8" i="122"/>
  <c r="CI13" i="122" s="1"/>
  <c r="CI18" i="122" s="1"/>
  <c r="CA8" i="122"/>
  <c r="CA13" i="122" s="1"/>
  <c r="CA18" i="122" s="1"/>
  <c r="CA24" i="122" s="1"/>
  <c r="DP123" i="22" s="1"/>
  <c r="BS8" i="122"/>
  <c r="BS13" i="122" s="1"/>
  <c r="BS18" i="122" s="1"/>
  <c r="BS24" i="122" s="1"/>
  <c r="DH123" i="22" s="1"/>
  <c r="BK8" i="122"/>
  <c r="BK13" i="122" s="1"/>
  <c r="BK18" i="122" s="1"/>
  <c r="BK24" i="122" s="1"/>
  <c r="CZ123" i="22" s="1"/>
  <c r="BC8" i="122"/>
  <c r="BC13" i="122" s="1"/>
  <c r="BC18" i="122" s="1"/>
  <c r="BC24" i="122" s="1"/>
  <c r="CR123" i="22" s="1"/>
  <c r="AU8" i="122"/>
  <c r="AU13" i="122" s="1"/>
  <c r="AU18" i="122" s="1"/>
  <c r="AU24" i="122" s="1"/>
  <c r="CJ123" i="22" s="1"/>
  <c r="AM8" i="122"/>
  <c r="AM13" i="122" s="1"/>
  <c r="AM18" i="122" s="1"/>
  <c r="AM24" i="122" s="1"/>
  <c r="AE8" i="122"/>
  <c r="AE13" i="122" s="1"/>
  <c r="AE18" i="122" s="1"/>
  <c r="AE24" i="122" s="1"/>
  <c r="W8" i="122"/>
  <c r="W13" i="122" s="1"/>
  <c r="W18" i="122" s="1"/>
  <c r="W24" i="122" s="1"/>
  <c r="O8" i="122"/>
  <c r="O13" i="122" s="1"/>
  <c r="O18" i="122" s="1"/>
  <c r="O24" i="122" s="1"/>
  <c r="R9" i="101"/>
  <c r="R12" i="101" s="1"/>
  <c r="Z9" i="101"/>
  <c r="Z12" i="101" s="1"/>
  <c r="AH9" i="101"/>
  <c r="AH12" i="101" s="1"/>
  <c r="J9" i="101"/>
  <c r="J12" i="101" s="1"/>
  <c r="CO8" i="120"/>
  <c r="CO13" i="120" s="1"/>
  <c r="CO18" i="120" s="1"/>
  <c r="CO24" i="120" s="1"/>
  <c r="ED122" i="22" s="1"/>
  <c r="CG8" i="120"/>
  <c r="CG13" i="120" s="1"/>
  <c r="CG18" i="120" s="1"/>
  <c r="CG24" i="120" s="1"/>
  <c r="DV122" i="22" s="1"/>
  <c r="BY8" i="120"/>
  <c r="BY13" i="120" s="1"/>
  <c r="BY18" i="120" s="1"/>
  <c r="BY24" i="120" s="1"/>
  <c r="DN122" i="22" s="1"/>
  <c r="BQ8" i="120"/>
  <c r="BQ13" i="120" s="1"/>
  <c r="BQ18" i="120" s="1"/>
  <c r="BQ24" i="120" s="1"/>
  <c r="DF122" i="22" s="1"/>
  <c r="BI8" i="120"/>
  <c r="BI13" i="120" s="1"/>
  <c r="BI18" i="120" s="1"/>
  <c r="BI24" i="120" s="1"/>
  <c r="CX122" i="22" s="1"/>
  <c r="BA8" i="120"/>
  <c r="BA13" i="120" s="1"/>
  <c r="BA18" i="120" s="1"/>
  <c r="BA24" i="120" s="1"/>
  <c r="CP122" i="22" s="1"/>
  <c r="AS8" i="120"/>
  <c r="AS13" i="120" s="1"/>
  <c r="AS18" i="120" s="1"/>
  <c r="AS24" i="120" s="1"/>
  <c r="CH122" i="22" s="1"/>
  <c r="AK8" i="120"/>
  <c r="AK13" i="120" s="1"/>
  <c r="AK18" i="120" s="1"/>
  <c r="AK24" i="120" s="1"/>
  <c r="AC8" i="120"/>
  <c r="AC13" i="120" s="1"/>
  <c r="AC18" i="120" s="1"/>
  <c r="AC24" i="120" s="1"/>
  <c r="U8" i="120"/>
  <c r="U13" i="120" s="1"/>
  <c r="U18" i="120" s="1"/>
  <c r="U24" i="120" s="1"/>
  <c r="M8" i="120"/>
  <c r="M13" i="120" s="1"/>
  <c r="M18" i="120" s="1"/>
  <c r="M24" i="120" s="1"/>
  <c r="CM8" i="119"/>
  <c r="CM13" i="119" s="1"/>
  <c r="CM18" i="119" s="1"/>
  <c r="CM24" i="119" s="1"/>
  <c r="CE8" i="119"/>
  <c r="CE13" i="119" s="1"/>
  <c r="CE18" i="119" s="1"/>
  <c r="CE24" i="119" s="1"/>
  <c r="BW8" i="119"/>
  <c r="BW13" i="119" s="1"/>
  <c r="BW18" i="119" s="1"/>
  <c r="BW24" i="119" s="1"/>
  <c r="BO8" i="119"/>
  <c r="BO13" i="119" s="1"/>
  <c r="BO18" i="119" s="1"/>
  <c r="BO24" i="119" s="1"/>
  <c r="BG8" i="119"/>
  <c r="BG13" i="119" s="1"/>
  <c r="BG18" i="119" s="1"/>
  <c r="BG24" i="119" s="1"/>
  <c r="AY8" i="119"/>
  <c r="AY13" i="119" s="1"/>
  <c r="AY18" i="119" s="1"/>
  <c r="AY24" i="119" s="1"/>
  <c r="AQ8" i="119"/>
  <c r="AQ13" i="119" s="1"/>
  <c r="AQ18" i="119" s="1"/>
  <c r="AQ24" i="119" s="1"/>
  <c r="AI8" i="119"/>
  <c r="AI13" i="119" s="1"/>
  <c r="AI18" i="119" s="1"/>
  <c r="AI24" i="119" s="1"/>
  <c r="AA8" i="119"/>
  <c r="AA13" i="119" s="1"/>
  <c r="AA18" i="119" s="1"/>
  <c r="AA24" i="119" s="1"/>
  <c r="S8" i="119"/>
  <c r="S13" i="119" s="1"/>
  <c r="S18" i="119" s="1"/>
  <c r="S24" i="119" s="1"/>
  <c r="K8" i="119"/>
  <c r="K13" i="119" s="1"/>
  <c r="K18" i="119" s="1"/>
  <c r="K24" i="119" s="1"/>
  <c r="CQ8" i="118"/>
  <c r="CQ13" i="118" s="1"/>
  <c r="CQ18" i="118" s="1"/>
  <c r="CQ24" i="118" s="1"/>
  <c r="EF120" i="22" s="1"/>
  <c r="CI8" i="118"/>
  <c r="CI13" i="118" s="1"/>
  <c r="CI18" i="118" s="1"/>
  <c r="CA8" i="118"/>
  <c r="CA13" i="118" s="1"/>
  <c r="CA18" i="118" s="1"/>
  <c r="CA24" i="118" s="1"/>
  <c r="DP120" i="22" s="1"/>
  <c r="BS8" i="118"/>
  <c r="BS13" i="118" s="1"/>
  <c r="BS18" i="118" s="1"/>
  <c r="BS24" i="118" s="1"/>
  <c r="DH120" i="22" s="1"/>
  <c r="BK8" i="118"/>
  <c r="BK13" i="118" s="1"/>
  <c r="BK18" i="118" s="1"/>
  <c r="BK24" i="118" s="1"/>
  <c r="CZ120" i="22" s="1"/>
  <c r="BC8" i="118"/>
  <c r="BC13" i="118" s="1"/>
  <c r="BC18" i="118" s="1"/>
  <c r="BC24" i="118" s="1"/>
  <c r="CR120" i="22" s="1"/>
  <c r="AU8" i="118"/>
  <c r="AU13" i="118" s="1"/>
  <c r="AU18" i="118" s="1"/>
  <c r="AM8" i="118"/>
  <c r="AM13" i="118" s="1"/>
  <c r="AM18" i="118" s="1"/>
  <c r="AM24" i="118" s="1"/>
  <c r="AE8" i="118"/>
  <c r="AE13" i="118" s="1"/>
  <c r="AE18" i="118" s="1"/>
  <c r="AE24" i="118" s="1"/>
  <c r="W8" i="118"/>
  <c r="W13" i="118" s="1"/>
  <c r="W18" i="118" s="1"/>
  <c r="W24" i="118" s="1"/>
  <c r="O8" i="118"/>
  <c r="O13" i="118" s="1"/>
  <c r="O18" i="118" s="1"/>
  <c r="O24" i="118" s="1"/>
  <c r="CN8" i="117"/>
  <c r="CN13" i="117" s="1"/>
  <c r="CF8" i="117"/>
  <c r="CF13" i="117" s="1"/>
  <c r="BX8" i="117"/>
  <c r="BX13" i="117" s="1"/>
  <c r="BP8" i="117"/>
  <c r="BP13" i="117" s="1"/>
  <c r="BH8" i="117"/>
  <c r="BH13" i="117" s="1"/>
  <c r="AZ8" i="117"/>
  <c r="AZ13" i="117" s="1"/>
  <c r="AR8" i="117"/>
  <c r="AR13" i="117" s="1"/>
  <c r="AJ8" i="117"/>
  <c r="AJ13" i="117" s="1"/>
  <c r="AB8" i="117"/>
  <c r="AB13" i="117" s="1"/>
  <c r="T8" i="117"/>
  <c r="T13" i="117" s="1"/>
  <c r="L8" i="117"/>
  <c r="L13" i="117" s="1"/>
  <c r="CL8" i="123"/>
  <c r="CD8" i="123"/>
  <c r="BV8" i="123"/>
  <c r="BN8" i="123"/>
  <c r="BF8" i="123"/>
  <c r="AX8" i="123"/>
  <c r="AP8" i="123"/>
  <c r="AH8" i="123"/>
  <c r="Z8" i="123"/>
  <c r="R8" i="123"/>
  <c r="J8" i="123"/>
  <c r="CP8" i="122"/>
  <c r="CP13" i="122" s="1"/>
  <c r="CP18" i="122" s="1"/>
  <c r="CP24" i="122" s="1"/>
  <c r="EE123" i="22" s="1"/>
  <c r="CH8" i="122"/>
  <c r="CH13" i="122" s="1"/>
  <c r="CH18" i="122" s="1"/>
  <c r="CH24" i="122" s="1"/>
  <c r="DW123" i="22" s="1"/>
  <c r="BZ8" i="122"/>
  <c r="BZ13" i="122" s="1"/>
  <c r="BZ18" i="122" s="1"/>
  <c r="BZ24" i="122" s="1"/>
  <c r="DO123" i="22" s="1"/>
  <c r="BR8" i="122"/>
  <c r="BR13" i="122" s="1"/>
  <c r="BR18" i="122" s="1"/>
  <c r="BR24" i="122" s="1"/>
  <c r="DG123" i="22" s="1"/>
  <c r="BJ8" i="122"/>
  <c r="BJ13" i="122" s="1"/>
  <c r="BJ18" i="122" s="1"/>
  <c r="BJ24" i="122" s="1"/>
  <c r="CY123" i="22" s="1"/>
  <c r="BB8" i="122"/>
  <c r="BB13" i="122" s="1"/>
  <c r="BB18" i="122" s="1"/>
  <c r="BB24" i="122" s="1"/>
  <c r="CQ123" i="22" s="1"/>
  <c r="AT8" i="122"/>
  <c r="AT13" i="122" s="1"/>
  <c r="AT18" i="122" s="1"/>
  <c r="AL8" i="122"/>
  <c r="AL13" i="122" s="1"/>
  <c r="AL18" i="122" s="1"/>
  <c r="AL24" i="122" s="1"/>
  <c r="AD8" i="122"/>
  <c r="AD13" i="122" s="1"/>
  <c r="AD18" i="122" s="1"/>
  <c r="V8" i="122"/>
  <c r="V13" i="122" s="1"/>
  <c r="V18" i="122" s="1"/>
  <c r="V24" i="122" s="1"/>
  <c r="N8" i="122"/>
  <c r="N13" i="122" s="1"/>
  <c r="N18" i="122" s="1"/>
  <c r="N24" i="122" s="1"/>
  <c r="S9" i="101"/>
  <c r="S12" i="101" s="1"/>
  <c r="AA9" i="101"/>
  <c r="AA12" i="101" s="1"/>
  <c r="AI9" i="101"/>
  <c r="AI12" i="101" s="1"/>
  <c r="K9" i="101"/>
  <c r="K12" i="101" s="1"/>
  <c r="CN8" i="120"/>
  <c r="CN13" i="120" s="1"/>
  <c r="CN18" i="120" s="1"/>
  <c r="CN24" i="120" s="1"/>
  <c r="EC122" i="22" s="1"/>
  <c r="CF8" i="120"/>
  <c r="CF13" i="120" s="1"/>
  <c r="CF18" i="120" s="1"/>
  <c r="CF24" i="120" s="1"/>
  <c r="DU122" i="22" s="1"/>
  <c r="BX8" i="120"/>
  <c r="BX13" i="120" s="1"/>
  <c r="BX18" i="120" s="1"/>
  <c r="BX24" i="120" s="1"/>
  <c r="DM122" i="22" s="1"/>
  <c r="BP8" i="120"/>
  <c r="BP13" i="120" s="1"/>
  <c r="BP18" i="120" s="1"/>
  <c r="BP24" i="120" s="1"/>
  <c r="DE122" i="22" s="1"/>
  <c r="BH8" i="120"/>
  <c r="BH13" i="120" s="1"/>
  <c r="BH18" i="120" s="1"/>
  <c r="BH24" i="120" s="1"/>
  <c r="CW122" i="22" s="1"/>
  <c r="AZ8" i="120"/>
  <c r="AZ13" i="120" s="1"/>
  <c r="AZ18" i="120" s="1"/>
  <c r="AZ24" i="120" s="1"/>
  <c r="CO122" i="22" s="1"/>
  <c r="AR8" i="120"/>
  <c r="AR13" i="120" s="1"/>
  <c r="AR18" i="120" s="1"/>
  <c r="AR24" i="120" s="1"/>
  <c r="AJ8" i="120"/>
  <c r="AJ13" i="120" s="1"/>
  <c r="AJ18" i="120" s="1"/>
  <c r="AJ24" i="120" s="1"/>
  <c r="AB8" i="120"/>
  <c r="AB13" i="120" s="1"/>
  <c r="AB18" i="120" s="1"/>
  <c r="AB24" i="120" s="1"/>
  <c r="T8" i="120"/>
  <c r="T13" i="120" s="1"/>
  <c r="T18" i="120" s="1"/>
  <c r="T24" i="120" s="1"/>
  <c r="L8" i="120"/>
  <c r="L13" i="120" s="1"/>
  <c r="L18" i="120" s="1"/>
  <c r="L24" i="120" s="1"/>
  <c r="CL8" i="119"/>
  <c r="CL13" i="119" s="1"/>
  <c r="CL18" i="119" s="1"/>
  <c r="CL24" i="119" s="1"/>
  <c r="CD8" i="119"/>
  <c r="CD13" i="119" s="1"/>
  <c r="CD18" i="119" s="1"/>
  <c r="CD24" i="119" s="1"/>
  <c r="BV8" i="119"/>
  <c r="BV13" i="119" s="1"/>
  <c r="BV18" i="119" s="1"/>
  <c r="BV24" i="119" s="1"/>
  <c r="BN8" i="119"/>
  <c r="BN13" i="119" s="1"/>
  <c r="BN18" i="119" s="1"/>
  <c r="BN24" i="119" s="1"/>
  <c r="BF8" i="119"/>
  <c r="BF13" i="119" s="1"/>
  <c r="BF18" i="119" s="1"/>
  <c r="BF24" i="119" s="1"/>
  <c r="AX8" i="119"/>
  <c r="AX13" i="119" s="1"/>
  <c r="AX18" i="119" s="1"/>
  <c r="AX24" i="119" s="1"/>
  <c r="AP8" i="119"/>
  <c r="AP13" i="119" s="1"/>
  <c r="AP18" i="119" s="1"/>
  <c r="AP24" i="119" s="1"/>
  <c r="AH8" i="119"/>
  <c r="AH13" i="119" s="1"/>
  <c r="AH18" i="119" s="1"/>
  <c r="AH24" i="119" s="1"/>
  <c r="Z8" i="119"/>
  <c r="Z13" i="119" s="1"/>
  <c r="Z18" i="119" s="1"/>
  <c r="Z24" i="119" s="1"/>
  <c r="R8" i="119"/>
  <c r="R13" i="119" s="1"/>
  <c r="R18" i="119" s="1"/>
  <c r="R24" i="119" s="1"/>
  <c r="J8" i="119"/>
  <c r="J13" i="119" s="1"/>
  <c r="J18" i="119" s="1"/>
  <c r="J24" i="119" s="1"/>
  <c r="CP8" i="118"/>
  <c r="CP13" i="118" s="1"/>
  <c r="CP18" i="118" s="1"/>
  <c r="CP24" i="118" s="1"/>
  <c r="EE120" i="22" s="1"/>
  <c r="CH8" i="118"/>
  <c r="CH13" i="118" s="1"/>
  <c r="CH18" i="118" s="1"/>
  <c r="CH24" i="118" s="1"/>
  <c r="DW120" i="22" s="1"/>
  <c r="BZ8" i="118"/>
  <c r="BZ13" i="118" s="1"/>
  <c r="BZ18" i="118" s="1"/>
  <c r="BZ24" i="118" s="1"/>
  <c r="DO120" i="22" s="1"/>
  <c r="BR8" i="118"/>
  <c r="BR13" i="118" s="1"/>
  <c r="BR18" i="118" s="1"/>
  <c r="BR24" i="118" s="1"/>
  <c r="DG120" i="22" s="1"/>
  <c r="BJ8" i="118"/>
  <c r="BJ13" i="118" s="1"/>
  <c r="BJ18" i="118" s="1"/>
  <c r="BJ24" i="118" s="1"/>
  <c r="CY120" i="22" s="1"/>
  <c r="BB8" i="118"/>
  <c r="BB13" i="118" s="1"/>
  <c r="BB18" i="118" s="1"/>
  <c r="BB24" i="118" s="1"/>
  <c r="CQ120" i="22" s="1"/>
  <c r="AT8" i="118"/>
  <c r="AT13" i="118" s="1"/>
  <c r="AT18" i="118" s="1"/>
  <c r="AT24" i="118" s="1"/>
  <c r="CI120" i="22" s="1"/>
  <c r="AL8" i="118"/>
  <c r="AL13" i="118" s="1"/>
  <c r="AL18" i="118" s="1"/>
  <c r="AL24" i="118" s="1"/>
  <c r="AD8" i="118"/>
  <c r="AD13" i="118" s="1"/>
  <c r="AD18" i="118" s="1"/>
  <c r="AD24" i="118" s="1"/>
  <c r="V8" i="118"/>
  <c r="V13" i="118" s="1"/>
  <c r="V18" i="118" s="1"/>
  <c r="V24" i="118" s="1"/>
  <c r="N8" i="118"/>
  <c r="N13" i="118" s="1"/>
  <c r="N18" i="118" s="1"/>
  <c r="N24" i="118" s="1"/>
  <c r="CM8" i="117"/>
  <c r="CM13" i="117" s="1"/>
  <c r="CE8" i="117"/>
  <c r="CE13" i="117" s="1"/>
  <c r="BW8" i="117"/>
  <c r="BW13" i="117" s="1"/>
  <c r="BO8" i="117"/>
  <c r="BO13" i="117" s="1"/>
  <c r="BG8" i="117"/>
  <c r="BG13" i="117" s="1"/>
  <c r="AY8" i="117"/>
  <c r="AY13" i="117" s="1"/>
  <c r="AQ8" i="117"/>
  <c r="AQ13" i="117" s="1"/>
  <c r="AI8" i="117"/>
  <c r="AI13" i="117" s="1"/>
  <c r="AA8" i="117"/>
  <c r="AA13" i="117" s="1"/>
  <c r="S8" i="117"/>
  <c r="S13" i="117" s="1"/>
  <c r="K8" i="117"/>
  <c r="K13" i="117" s="1"/>
  <c r="CJ8" i="123"/>
  <c r="CB8" i="123"/>
  <c r="BT8" i="123"/>
  <c r="BL8" i="123"/>
  <c r="BD8" i="123"/>
  <c r="AV8" i="123"/>
  <c r="AN8" i="123"/>
  <c r="AF8" i="123"/>
  <c r="X8" i="123"/>
  <c r="P8" i="123"/>
  <c r="CN8" i="122"/>
  <c r="CN13" i="122" s="1"/>
  <c r="CN18" i="122" s="1"/>
  <c r="CN24" i="122" s="1"/>
  <c r="EC123" i="22" s="1"/>
  <c r="CF8" i="122"/>
  <c r="CF13" i="122" s="1"/>
  <c r="CF18" i="122" s="1"/>
  <c r="CF24" i="122" s="1"/>
  <c r="DU123" i="22" s="1"/>
  <c r="BX8" i="122"/>
  <c r="BX13" i="122" s="1"/>
  <c r="BX18" i="122" s="1"/>
  <c r="BX24" i="122" s="1"/>
  <c r="DM123" i="22" s="1"/>
  <c r="BP8" i="122"/>
  <c r="BP13" i="122" s="1"/>
  <c r="BP18" i="122" s="1"/>
  <c r="BP24" i="122" s="1"/>
  <c r="DE123" i="22" s="1"/>
  <c r="BH8" i="122"/>
  <c r="BH13" i="122" s="1"/>
  <c r="BH18" i="122" s="1"/>
  <c r="BH24" i="122" s="1"/>
  <c r="CW123" i="22" s="1"/>
  <c r="AZ8" i="122"/>
  <c r="AZ13" i="122" s="1"/>
  <c r="AZ18" i="122" s="1"/>
  <c r="AZ24" i="122" s="1"/>
  <c r="CO123" i="22" s="1"/>
  <c r="AR8" i="122"/>
  <c r="AR13" i="122" s="1"/>
  <c r="AR18" i="122" s="1"/>
  <c r="AR24" i="122" s="1"/>
  <c r="AJ8" i="122"/>
  <c r="AJ13" i="122" s="1"/>
  <c r="AJ18" i="122" s="1"/>
  <c r="AJ24" i="122" s="1"/>
  <c r="AB8" i="122"/>
  <c r="AB13" i="122" s="1"/>
  <c r="AB18" i="122" s="1"/>
  <c r="AB24" i="122" s="1"/>
  <c r="T8" i="122"/>
  <c r="T13" i="122" s="1"/>
  <c r="T18" i="122" s="1"/>
  <c r="L8" i="122"/>
  <c r="L13" i="122" s="1"/>
  <c r="L18" i="122" s="1"/>
  <c r="L24" i="122" s="1"/>
  <c r="M9" i="101"/>
  <c r="M12" i="101" s="1"/>
  <c r="U9" i="101"/>
  <c r="U12" i="101" s="1"/>
  <c r="AC9" i="101"/>
  <c r="AC12" i="101" s="1"/>
  <c r="AK9" i="101"/>
  <c r="AK12" i="101" s="1"/>
  <c r="I8" i="101"/>
  <c r="I11" i="101" s="1"/>
  <c r="CL8" i="120"/>
  <c r="CL13" i="120" s="1"/>
  <c r="CL18" i="120" s="1"/>
  <c r="CL24" i="120" s="1"/>
  <c r="EA122" i="22" s="1"/>
  <c r="CD8" i="120"/>
  <c r="CD13" i="120" s="1"/>
  <c r="CD18" i="120" s="1"/>
  <c r="CD24" i="120" s="1"/>
  <c r="DS122" i="22" s="1"/>
  <c r="BV8" i="120"/>
  <c r="BV13" i="120" s="1"/>
  <c r="BV18" i="120" s="1"/>
  <c r="BV24" i="120" s="1"/>
  <c r="DK122" i="22" s="1"/>
  <c r="BN8" i="120"/>
  <c r="BN13" i="120" s="1"/>
  <c r="BN18" i="120" s="1"/>
  <c r="BN24" i="120" s="1"/>
  <c r="DC122" i="22" s="1"/>
  <c r="BF8" i="120"/>
  <c r="BF13" i="120" s="1"/>
  <c r="BF18" i="120" s="1"/>
  <c r="BF24" i="120" s="1"/>
  <c r="CU122" i="22" s="1"/>
  <c r="AX8" i="120"/>
  <c r="AX13" i="120" s="1"/>
  <c r="AX18" i="120" s="1"/>
  <c r="AX24" i="120" s="1"/>
  <c r="CM122" i="22" s="1"/>
  <c r="AP8" i="120"/>
  <c r="AP13" i="120" s="1"/>
  <c r="AP18" i="120" s="1"/>
  <c r="AP24" i="120" s="1"/>
  <c r="AH8" i="120"/>
  <c r="AH13" i="120" s="1"/>
  <c r="AH18" i="120" s="1"/>
  <c r="AH24" i="120" s="1"/>
  <c r="Z8" i="120"/>
  <c r="Z13" i="120" s="1"/>
  <c r="Z18" i="120" s="1"/>
  <c r="Z24" i="120" s="1"/>
  <c r="R8" i="120"/>
  <c r="R13" i="120" s="1"/>
  <c r="R18" i="120" s="1"/>
  <c r="R24" i="120" s="1"/>
  <c r="J8" i="120"/>
  <c r="J13" i="120" s="1"/>
  <c r="J18" i="120" s="1"/>
  <c r="J24" i="120" s="1"/>
  <c r="CR8" i="119"/>
  <c r="CR13" i="119" s="1"/>
  <c r="CR18" i="119" s="1"/>
  <c r="CR24" i="119" s="1"/>
  <c r="CJ8" i="119"/>
  <c r="CJ13" i="119" s="1"/>
  <c r="CJ18" i="119" s="1"/>
  <c r="CJ24" i="119" s="1"/>
  <c r="CB8" i="119"/>
  <c r="CB13" i="119" s="1"/>
  <c r="CB18" i="119" s="1"/>
  <c r="CB24" i="119" s="1"/>
  <c r="BT8" i="119"/>
  <c r="BT13" i="119" s="1"/>
  <c r="BT18" i="119" s="1"/>
  <c r="BT24" i="119" s="1"/>
  <c r="BL8" i="119"/>
  <c r="BL13" i="119" s="1"/>
  <c r="BL18" i="119" s="1"/>
  <c r="BL24" i="119" s="1"/>
  <c r="BD8" i="119"/>
  <c r="BD13" i="119" s="1"/>
  <c r="BD18" i="119" s="1"/>
  <c r="BD24" i="119" s="1"/>
  <c r="AV8" i="119"/>
  <c r="AV13" i="119" s="1"/>
  <c r="AV18" i="119" s="1"/>
  <c r="AV24" i="119" s="1"/>
  <c r="AN8" i="119"/>
  <c r="AN13" i="119" s="1"/>
  <c r="AN18" i="119" s="1"/>
  <c r="AN24" i="119" s="1"/>
  <c r="AF8" i="119"/>
  <c r="AF13" i="119" s="1"/>
  <c r="AF18" i="119" s="1"/>
  <c r="AF24" i="119" s="1"/>
  <c r="X8" i="119"/>
  <c r="X13" i="119" s="1"/>
  <c r="X18" i="119" s="1"/>
  <c r="X24" i="119" s="1"/>
  <c r="P8" i="119"/>
  <c r="P13" i="119" s="1"/>
  <c r="P18" i="119" s="1"/>
  <c r="P24" i="119" s="1"/>
  <c r="CN8" i="118"/>
  <c r="CN13" i="118" s="1"/>
  <c r="CN18" i="118" s="1"/>
  <c r="CN24" i="118" s="1"/>
  <c r="EC120" i="22" s="1"/>
  <c r="CF8" i="118"/>
  <c r="CF13" i="118" s="1"/>
  <c r="CF18" i="118" s="1"/>
  <c r="CF24" i="118" s="1"/>
  <c r="DU120" i="22" s="1"/>
  <c r="BX8" i="118"/>
  <c r="BP8" i="118"/>
  <c r="BP13" i="118" s="1"/>
  <c r="BP18" i="118" s="1"/>
  <c r="BP24" i="118" s="1"/>
  <c r="DE120" i="22" s="1"/>
  <c r="BH8" i="118"/>
  <c r="BH13" i="118" s="1"/>
  <c r="BH18" i="118" s="1"/>
  <c r="BH24" i="118" s="1"/>
  <c r="CW120" i="22" s="1"/>
  <c r="AZ8" i="118"/>
  <c r="AZ13" i="118" s="1"/>
  <c r="AZ18" i="118" s="1"/>
  <c r="AZ24" i="118" s="1"/>
  <c r="CO120" i="22" s="1"/>
  <c r="AR8" i="118"/>
  <c r="AR13" i="118" s="1"/>
  <c r="AR18" i="118" s="1"/>
  <c r="AR24" i="118" s="1"/>
  <c r="AJ8" i="118"/>
  <c r="AJ13" i="118" s="1"/>
  <c r="AJ18" i="118" s="1"/>
  <c r="AJ24" i="118" s="1"/>
  <c r="T8" i="118"/>
  <c r="T13" i="118" s="1"/>
  <c r="T18" i="118" s="1"/>
  <c r="T24" i="118" s="1"/>
  <c r="L8" i="118"/>
  <c r="L13" i="118" s="1"/>
  <c r="L18" i="118" s="1"/>
  <c r="L24" i="118" s="1"/>
  <c r="CK8" i="117"/>
  <c r="CK13" i="117" s="1"/>
  <c r="CC8" i="117"/>
  <c r="CC13" i="117" s="1"/>
  <c r="BU8" i="117"/>
  <c r="BU13" i="117" s="1"/>
  <c r="BM8" i="117"/>
  <c r="BM13" i="117" s="1"/>
  <c r="BE8" i="117"/>
  <c r="BE13" i="117" s="1"/>
  <c r="AW8" i="117"/>
  <c r="AW13" i="117" s="1"/>
  <c r="AO8" i="117"/>
  <c r="AO13" i="117" s="1"/>
  <c r="AG8" i="117"/>
  <c r="AG13" i="117" s="1"/>
  <c r="CQ8" i="123"/>
  <c r="CI8" i="123"/>
  <c r="CA8" i="123"/>
  <c r="BS8" i="123"/>
  <c r="BK8" i="123"/>
  <c r="BC8" i="123"/>
  <c r="AU8" i="123"/>
  <c r="AM8" i="123"/>
  <c r="AE8" i="123"/>
  <c r="W8" i="123"/>
  <c r="O8" i="123"/>
  <c r="CM8" i="122"/>
  <c r="CM13" i="122" s="1"/>
  <c r="CM18" i="122" s="1"/>
  <c r="CM24" i="122" s="1"/>
  <c r="EB123" i="22" s="1"/>
  <c r="CE8" i="122"/>
  <c r="CE13" i="122" s="1"/>
  <c r="CE18" i="122" s="1"/>
  <c r="BW8" i="122"/>
  <c r="BW13" i="122" s="1"/>
  <c r="BW18" i="122" s="1"/>
  <c r="BW24" i="122" s="1"/>
  <c r="DL123" i="22" s="1"/>
  <c r="BO8" i="122"/>
  <c r="BO13" i="122" s="1"/>
  <c r="BO18" i="122" s="1"/>
  <c r="BO24" i="122" s="1"/>
  <c r="DD123" i="22" s="1"/>
  <c r="BG8" i="122"/>
  <c r="BG13" i="122" s="1"/>
  <c r="BG18" i="122" s="1"/>
  <c r="BG24" i="122" s="1"/>
  <c r="CV123" i="22" s="1"/>
  <c r="AY8" i="122"/>
  <c r="AY13" i="122" s="1"/>
  <c r="AY18" i="122" s="1"/>
  <c r="AY24" i="122" s="1"/>
  <c r="CN123" i="22" s="1"/>
  <c r="AQ8" i="122"/>
  <c r="AQ13" i="122" s="1"/>
  <c r="AQ18" i="122" s="1"/>
  <c r="AI8" i="122"/>
  <c r="AI13" i="122" s="1"/>
  <c r="AI18" i="122" s="1"/>
  <c r="AA8" i="122"/>
  <c r="AA13" i="122" s="1"/>
  <c r="AA18" i="122" s="1"/>
  <c r="S8" i="122"/>
  <c r="S13" i="122" s="1"/>
  <c r="S18" i="122" s="1"/>
  <c r="K8" i="122"/>
  <c r="K13" i="122" s="1"/>
  <c r="K18" i="122" s="1"/>
  <c r="K24" i="122" s="1"/>
  <c r="N9" i="101"/>
  <c r="N12" i="101" s="1"/>
  <c r="V9" i="101"/>
  <c r="V12" i="101" s="1"/>
  <c r="AD9" i="101"/>
  <c r="AD12" i="101" s="1"/>
  <c r="AL9" i="101"/>
  <c r="AL12" i="101" s="1"/>
  <c r="CK8" i="120"/>
  <c r="CK13" i="120" s="1"/>
  <c r="CK18" i="120" s="1"/>
  <c r="CK24" i="120" s="1"/>
  <c r="DZ122" i="22" s="1"/>
  <c r="CC8" i="120"/>
  <c r="CC13" i="120" s="1"/>
  <c r="CC18" i="120" s="1"/>
  <c r="CC24" i="120" s="1"/>
  <c r="DR122" i="22" s="1"/>
  <c r="BU8" i="120"/>
  <c r="BU13" i="120" s="1"/>
  <c r="BU18" i="120" s="1"/>
  <c r="BU24" i="120" s="1"/>
  <c r="DJ122" i="22" s="1"/>
  <c r="BM8" i="120"/>
  <c r="BM13" i="120" s="1"/>
  <c r="BM18" i="120" s="1"/>
  <c r="BM24" i="120" s="1"/>
  <c r="DB122" i="22" s="1"/>
  <c r="BE8" i="120"/>
  <c r="BE13" i="120" s="1"/>
  <c r="BE18" i="120" s="1"/>
  <c r="BE24" i="120" s="1"/>
  <c r="CT122" i="22" s="1"/>
  <c r="AW8" i="120"/>
  <c r="AW13" i="120" s="1"/>
  <c r="AW18" i="120" s="1"/>
  <c r="AW24" i="120" s="1"/>
  <c r="CL122" i="22" s="1"/>
  <c r="AO8" i="120"/>
  <c r="AO13" i="120" s="1"/>
  <c r="AO18" i="120" s="1"/>
  <c r="AO24" i="120" s="1"/>
  <c r="AG8" i="120"/>
  <c r="AG13" i="120" s="1"/>
  <c r="AG18" i="120" s="1"/>
  <c r="AG24" i="120" s="1"/>
  <c r="Y8" i="120"/>
  <c r="Y13" i="120" s="1"/>
  <c r="Y18" i="120" s="1"/>
  <c r="Y24" i="120" s="1"/>
  <c r="Q8" i="120"/>
  <c r="Q13" i="120" s="1"/>
  <c r="Q18" i="120" s="1"/>
  <c r="Q24" i="120" s="1"/>
  <c r="I8" i="120"/>
  <c r="I13" i="120" s="1"/>
  <c r="I18" i="120" s="1"/>
  <c r="I24" i="120" s="1"/>
  <c r="CQ8" i="119"/>
  <c r="CQ13" i="119" s="1"/>
  <c r="CQ18" i="119" s="1"/>
  <c r="CQ24" i="119" s="1"/>
  <c r="CI8" i="119"/>
  <c r="CI13" i="119" s="1"/>
  <c r="CI18" i="119" s="1"/>
  <c r="CI24" i="119" s="1"/>
  <c r="CA8" i="119"/>
  <c r="CA13" i="119" s="1"/>
  <c r="CA18" i="119" s="1"/>
  <c r="CA24" i="119" s="1"/>
  <c r="BS8" i="119"/>
  <c r="BS13" i="119" s="1"/>
  <c r="BS18" i="119" s="1"/>
  <c r="BS24" i="119" s="1"/>
  <c r="BK8" i="119"/>
  <c r="BK13" i="119" s="1"/>
  <c r="BK18" i="119" s="1"/>
  <c r="BK24" i="119" s="1"/>
  <c r="BC8" i="119"/>
  <c r="BC13" i="119" s="1"/>
  <c r="BC18" i="119" s="1"/>
  <c r="BC24" i="119" s="1"/>
  <c r="AU8" i="119"/>
  <c r="AU13" i="119" s="1"/>
  <c r="AU18" i="119" s="1"/>
  <c r="AU24" i="119" s="1"/>
  <c r="AM8" i="119"/>
  <c r="AM13" i="119" s="1"/>
  <c r="AM18" i="119" s="1"/>
  <c r="AM24" i="119" s="1"/>
  <c r="AE8" i="119"/>
  <c r="AE13" i="119" s="1"/>
  <c r="AE18" i="119" s="1"/>
  <c r="AE24" i="119" s="1"/>
  <c r="W8" i="119"/>
  <c r="W13" i="119" s="1"/>
  <c r="W18" i="119" s="1"/>
  <c r="W24" i="119" s="1"/>
  <c r="O8" i="119"/>
  <c r="O13" i="119" s="1"/>
  <c r="O18" i="119" s="1"/>
  <c r="O24" i="119" s="1"/>
  <c r="CM8" i="118"/>
  <c r="CM13" i="118" s="1"/>
  <c r="CM18" i="118" s="1"/>
  <c r="CM24" i="118" s="1"/>
  <c r="EB120" i="22" s="1"/>
  <c r="CE8" i="118"/>
  <c r="CE13" i="118" s="1"/>
  <c r="CE18" i="118" s="1"/>
  <c r="CE24" i="118" s="1"/>
  <c r="DT120" i="22" s="1"/>
  <c r="BW8" i="118"/>
  <c r="BW13" i="118" s="1"/>
  <c r="BW18" i="118" s="1"/>
  <c r="BO8" i="118"/>
  <c r="BO13" i="118" s="1"/>
  <c r="BO18" i="118" s="1"/>
  <c r="BG8" i="118"/>
  <c r="BG13" i="118" s="1"/>
  <c r="BG18" i="118" s="1"/>
  <c r="AY8" i="118"/>
  <c r="AY13" i="118" s="1"/>
  <c r="AY18" i="118" s="1"/>
  <c r="AQ8" i="118"/>
  <c r="AQ13" i="118" s="1"/>
  <c r="AQ18" i="118" s="1"/>
  <c r="AQ24" i="118" s="1"/>
  <c r="AI8" i="118"/>
  <c r="AI13" i="118" s="1"/>
  <c r="AI18" i="118" s="1"/>
  <c r="AI24" i="118" s="1"/>
  <c r="AA8" i="118"/>
  <c r="AA13" i="118" s="1"/>
  <c r="AA18" i="118" s="1"/>
  <c r="AA24" i="118" s="1"/>
  <c r="S8" i="118"/>
  <c r="S13" i="118" s="1"/>
  <c r="S18" i="118" s="1"/>
  <c r="S24" i="118" s="1"/>
  <c r="K8" i="118"/>
  <c r="K13" i="118" s="1"/>
  <c r="K18" i="118" s="1"/>
  <c r="K24" i="118" s="1"/>
  <c r="CJ8" i="117"/>
  <c r="CJ13" i="117" s="1"/>
  <c r="CB8" i="117"/>
  <c r="CB13" i="117" s="1"/>
  <c r="BT8" i="117"/>
  <c r="BT13" i="117" s="1"/>
  <c r="BL8" i="117"/>
  <c r="BL13" i="117" s="1"/>
  <c r="BD8" i="117"/>
  <c r="BD13" i="117" s="1"/>
  <c r="AV8" i="117"/>
  <c r="AV13" i="117" s="1"/>
  <c r="AN8" i="117"/>
  <c r="AN13" i="117" s="1"/>
  <c r="AF8" i="117"/>
  <c r="AF13" i="117" s="1"/>
  <c r="X8" i="117"/>
  <c r="X13" i="117" s="1"/>
  <c r="P8" i="117"/>
  <c r="P13" i="117" s="1"/>
  <c r="CG8" i="123"/>
  <c r="BJ8" i="123"/>
  <c r="AO8" i="123"/>
  <c r="U8" i="123"/>
  <c r="BV8" i="122"/>
  <c r="BV13" i="122" s="1"/>
  <c r="BV18" i="122" s="1"/>
  <c r="BV24" i="122" s="1"/>
  <c r="DK123" i="22" s="1"/>
  <c r="BA8" i="122"/>
  <c r="BA13" i="122" s="1"/>
  <c r="BA18" i="122" s="1"/>
  <c r="BA24" i="122" s="1"/>
  <c r="CP123" i="22" s="1"/>
  <c r="AG8" i="122"/>
  <c r="AG13" i="122" s="1"/>
  <c r="AG18" i="122" s="1"/>
  <c r="AG24" i="122" s="1"/>
  <c r="J8" i="122"/>
  <c r="J13" i="122" s="1"/>
  <c r="J18" i="122" s="1"/>
  <c r="T9" i="101"/>
  <c r="T12" i="101" s="1"/>
  <c r="AN9" i="101"/>
  <c r="AN12" i="101" s="1"/>
  <c r="CE8" i="120"/>
  <c r="CE13" i="120" s="1"/>
  <c r="CE18" i="120" s="1"/>
  <c r="CE24" i="120" s="1"/>
  <c r="DT122" i="22" s="1"/>
  <c r="BK8" i="120"/>
  <c r="BK13" i="120" s="1"/>
  <c r="BK18" i="120" s="1"/>
  <c r="BK24" i="120" s="1"/>
  <c r="CZ122" i="22" s="1"/>
  <c r="AN8" i="120"/>
  <c r="AN13" i="120" s="1"/>
  <c r="AN18" i="120" s="1"/>
  <c r="AN24" i="120" s="1"/>
  <c r="S8" i="120"/>
  <c r="S13" i="120" s="1"/>
  <c r="S18" i="120" s="1"/>
  <c r="S24" i="120" s="1"/>
  <c r="BZ8" i="119"/>
  <c r="BZ13" i="119" s="1"/>
  <c r="BZ18" i="119" s="1"/>
  <c r="BZ24" i="119" s="1"/>
  <c r="BE8" i="119"/>
  <c r="BE13" i="119" s="1"/>
  <c r="BE18" i="119" s="1"/>
  <c r="BE24" i="119" s="1"/>
  <c r="AK8" i="119"/>
  <c r="AK13" i="119" s="1"/>
  <c r="AK18" i="119" s="1"/>
  <c r="AK24" i="119" s="1"/>
  <c r="N8" i="119"/>
  <c r="N13" i="119" s="1"/>
  <c r="N18" i="119" s="1"/>
  <c r="N24" i="119" s="1"/>
  <c r="CL8" i="118"/>
  <c r="CL13" i="118" s="1"/>
  <c r="CL18" i="118" s="1"/>
  <c r="CL24" i="118" s="1"/>
  <c r="EA120" i="22" s="1"/>
  <c r="BQ8" i="118"/>
  <c r="BQ13" i="118" s="1"/>
  <c r="BQ18" i="118" s="1"/>
  <c r="BQ24" i="118" s="1"/>
  <c r="DF120" i="22" s="1"/>
  <c r="AW8" i="118"/>
  <c r="AW13" i="118" s="1"/>
  <c r="AW18" i="118" s="1"/>
  <c r="Z8" i="118"/>
  <c r="Z13" i="118" s="1"/>
  <c r="Z18" i="118" s="1"/>
  <c r="Z24" i="118" s="1"/>
  <c r="CI8" i="117"/>
  <c r="CI13" i="117" s="1"/>
  <c r="BN8" i="117"/>
  <c r="BN13" i="117" s="1"/>
  <c r="AT8" i="117"/>
  <c r="AT13" i="117" s="1"/>
  <c r="Y8" i="117"/>
  <c r="Y13" i="117" s="1"/>
  <c r="I8" i="117"/>
  <c r="I13" i="117" s="1"/>
  <c r="CN8" i="115"/>
  <c r="CF8" i="115"/>
  <c r="BX8" i="115"/>
  <c r="BP8" i="115"/>
  <c r="BH8" i="115"/>
  <c r="AZ8" i="115"/>
  <c r="AR8" i="115"/>
  <c r="AJ8" i="115"/>
  <c r="AB8" i="115"/>
  <c r="T8" i="115"/>
  <c r="L8" i="115"/>
  <c r="CQ8" i="114"/>
  <c r="CI8" i="114"/>
  <c r="CA8" i="114"/>
  <c r="BS8" i="114"/>
  <c r="BK8" i="114"/>
  <c r="BC8" i="114"/>
  <c r="AU8" i="114"/>
  <c r="AM8" i="114"/>
  <c r="AE8" i="114"/>
  <c r="W8" i="114"/>
  <c r="O8" i="114"/>
  <c r="O11" i="114" s="1"/>
  <c r="O14" i="114" s="1"/>
  <c r="O20" i="114" s="1"/>
  <c r="CQ8" i="113"/>
  <c r="CQ11" i="113" s="1"/>
  <c r="CQ14" i="113" s="1"/>
  <c r="CQ20" i="113" s="1"/>
  <c r="CI8" i="113"/>
  <c r="CI11" i="113" s="1"/>
  <c r="CI14" i="113" s="1"/>
  <c r="CI20" i="113" s="1"/>
  <c r="CA8" i="113"/>
  <c r="CA11" i="113" s="1"/>
  <c r="CA14" i="113" s="1"/>
  <c r="CA20" i="113" s="1"/>
  <c r="BS8" i="113"/>
  <c r="BS11" i="113" s="1"/>
  <c r="BS14" i="113" s="1"/>
  <c r="BS20" i="113" s="1"/>
  <c r="BK8" i="113"/>
  <c r="BK11" i="113" s="1"/>
  <c r="BK14" i="113" s="1"/>
  <c r="BK20" i="113" s="1"/>
  <c r="BC8" i="113"/>
  <c r="BC11" i="113" s="1"/>
  <c r="BC14" i="113" s="1"/>
  <c r="BC20" i="113" s="1"/>
  <c r="AU8" i="113"/>
  <c r="AU11" i="113" s="1"/>
  <c r="AU14" i="113" s="1"/>
  <c r="AU20" i="113" s="1"/>
  <c r="AM8" i="113"/>
  <c r="AM11" i="113" s="1"/>
  <c r="AM14" i="113" s="1"/>
  <c r="AM20" i="113" s="1"/>
  <c r="AE8" i="113"/>
  <c r="AE11" i="113" s="1"/>
  <c r="AE14" i="113" s="1"/>
  <c r="AE20" i="113" s="1"/>
  <c r="W8" i="113"/>
  <c r="W11" i="113" s="1"/>
  <c r="W14" i="113" s="1"/>
  <c r="W20" i="113" s="1"/>
  <c r="O8" i="113"/>
  <c r="O11" i="113" s="1"/>
  <c r="O14" i="113" s="1"/>
  <c r="O20" i="113" s="1"/>
  <c r="CM8" i="112"/>
  <c r="CM11" i="112" s="1"/>
  <c r="CM14" i="112" s="1"/>
  <c r="CM20" i="112" s="1"/>
  <c r="CE8" i="112"/>
  <c r="CE11" i="112" s="1"/>
  <c r="CE14" i="112" s="1"/>
  <c r="CE20" i="112" s="1"/>
  <c r="BW8" i="112"/>
  <c r="BW11" i="112" s="1"/>
  <c r="BW14" i="112" s="1"/>
  <c r="BW20" i="112" s="1"/>
  <c r="BO8" i="112"/>
  <c r="BO11" i="112" s="1"/>
  <c r="BO14" i="112" s="1"/>
  <c r="BO20" i="112" s="1"/>
  <c r="BG8" i="112"/>
  <c r="BG11" i="112" s="1"/>
  <c r="BG14" i="112" s="1"/>
  <c r="BG20" i="112" s="1"/>
  <c r="AY8" i="112"/>
  <c r="AY11" i="112" s="1"/>
  <c r="AY14" i="112" s="1"/>
  <c r="AY20" i="112" s="1"/>
  <c r="AQ8" i="112"/>
  <c r="AQ11" i="112" s="1"/>
  <c r="AQ14" i="112" s="1"/>
  <c r="AQ20" i="112" s="1"/>
  <c r="AI8" i="112"/>
  <c r="AI11" i="112" s="1"/>
  <c r="AI14" i="112" s="1"/>
  <c r="AI20" i="112" s="1"/>
  <c r="AA8" i="112"/>
  <c r="AA11" i="112" s="1"/>
  <c r="AA14" i="112" s="1"/>
  <c r="AA20" i="112" s="1"/>
  <c r="S8" i="112"/>
  <c r="S11" i="112" s="1"/>
  <c r="S14" i="112" s="1"/>
  <c r="S20" i="112" s="1"/>
  <c r="CC8" i="123"/>
  <c r="BI8" i="123"/>
  <c r="AL8" i="123"/>
  <c r="Q8" i="123"/>
  <c r="CO8" i="122"/>
  <c r="CO13" i="122" s="1"/>
  <c r="CO18" i="122" s="1"/>
  <c r="CO24" i="122" s="1"/>
  <c r="ED123" i="22" s="1"/>
  <c r="BU8" i="122"/>
  <c r="BU13" i="122" s="1"/>
  <c r="BU18" i="122" s="1"/>
  <c r="BU24" i="122" s="1"/>
  <c r="DJ123" i="22" s="1"/>
  <c r="AX8" i="122"/>
  <c r="AX13" i="122" s="1"/>
  <c r="AX18" i="122" s="1"/>
  <c r="AC8" i="122"/>
  <c r="AC13" i="122" s="1"/>
  <c r="AC18" i="122" s="1"/>
  <c r="AC24" i="122" s="1"/>
  <c r="I8" i="122"/>
  <c r="I13" i="122" s="1"/>
  <c r="I18" i="122" s="1"/>
  <c r="W9" i="101"/>
  <c r="W12" i="101" s="1"/>
  <c r="I9" i="101"/>
  <c r="I12" i="101" s="1"/>
  <c r="CB8" i="120"/>
  <c r="CB13" i="120" s="1"/>
  <c r="CB18" i="120" s="1"/>
  <c r="CB24" i="120" s="1"/>
  <c r="DQ122" i="22" s="1"/>
  <c r="BG8" i="120"/>
  <c r="BG13" i="120" s="1"/>
  <c r="BG18" i="120" s="1"/>
  <c r="BG24" i="120" s="1"/>
  <c r="CV122" i="22" s="1"/>
  <c r="AM8" i="120"/>
  <c r="AM13" i="120" s="1"/>
  <c r="AM18" i="120" s="1"/>
  <c r="AM24" i="120" s="1"/>
  <c r="P8" i="120"/>
  <c r="P13" i="120" s="1"/>
  <c r="P18" i="120" s="1"/>
  <c r="P24" i="120" s="1"/>
  <c r="BY8" i="119"/>
  <c r="BY13" i="119" s="1"/>
  <c r="BY18" i="119" s="1"/>
  <c r="BY24" i="119" s="1"/>
  <c r="BB8" i="119"/>
  <c r="BB13" i="119" s="1"/>
  <c r="BB18" i="119" s="1"/>
  <c r="BB24" i="119" s="1"/>
  <c r="AG8" i="119"/>
  <c r="AG13" i="119" s="1"/>
  <c r="AG18" i="119" s="1"/>
  <c r="AG24" i="119" s="1"/>
  <c r="M8" i="119"/>
  <c r="M13" i="119" s="1"/>
  <c r="M18" i="119" s="1"/>
  <c r="M24" i="119" s="1"/>
  <c r="CK8" i="118"/>
  <c r="CK13" i="118" s="1"/>
  <c r="CK18" i="118" s="1"/>
  <c r="CK24" i="118" s="1"/>
  <c r="DZ120" i="22" s="1"/>
  <c r="BN8" i="118"/>
  <c r="BN13" i="118" s="1"/>
  <c r="BN18" i="118" s="1"/>
  <c r="BN24" i="118" s="1"/>
  <c r="DC120" i="22" s="1"/>
  <c r="AS8" i="118"/>
  <c r="AS13" i="118" s="1"/>
  <c r="AS18" i="118" s="1"/>
  <c r="Y8" i="118"/>
  <c r="Y13" i="118" s="1"/>
  <c r="Y18" i="118" s="1"/>
  <c r="Y24" i="118" s="1"/>
  <c r="CH8" i="117"/>
  <c r="CH13" i="117" s="1"/>
  <c r="BK8" i="117"/>
  <c r="BK13" i="117" s="1"/>
  <c r="AP8" i="117"/>
  <c r="AP13" i="117" s="1"/>
  <c r="W8" i="117"/>
  <c r="W13" i="117" s="1"/>
  <c r="CM8" i="115"/>
  <c r="CE8" i="115"/>
  <c r="BW8" i="115"/>
  <c r="BO8" i="115"/>
  <c r="BG8" i="115"/>
  <c r="AY8" i="115"/>
  <c r="AQ8" i="115"/>
  <c r="AI8" i="115"/>
  <c r="AA8" i="115"/>
  <c r="S8" i="115"/>
  <c r="K8" i="115"/>
  <c r="CP8" i="114"/>
  <c r="CH8" i="114"/>
  <c r="BZ8" i="114"/>
  <c r="BR8" i="114"/>
  <c r="BJ8" i="114"/>
  <c r="BB8" i="114"/>
  <c r="AT8" i="114"/>
  <c r="AL8" i="114"/>
  <c r="AD8" i="114"/>
  <c r="V8" i="114"/>
  <c r="N8" i="114"/>
  <c r="N11" i="114" s="1"/>
  <c r="N14" i="114" s="1"/>
  <c r="N20" i="114" s="1"/>
  <c r="CP8" i="113"/>
  <c r="CP11" i="113" s="1"/>
  <c r="CP14" i="113" s="1"/>
  <c r="CP20" i="113" s="1"/>
  <c r="CH8" i="113"/>
  <c r="CH11" i="113" s="1"/>
  <c r="CH14" i="113" s="1"/>
  <c r="CH20" i="113" s="1"/>
  <c r="BZ8" i="113"/>
  <c r="BZ11" i="113" s="1"/>
  <c r="BZ14" i="113" s="1"/>
  <c r="BZ20" i="113" s="1"/>
  <c r="BR8" i="113"/>
  <c r="BR11" i="113" s="1"/>
  <c r="BR14" i="113" s="1"/>
  <c r="BR20" i="113" s="1"/>
  <c r="BJ8" i="113"/>
  <c r="BJ11" i="113" s="1"/>
  <c r="BJ14" i="113" s="1"/>
  <c r="BJ20" i="113" s="1"/>
  <c r="BB8" i="113"/>
  <c r="BB11" i="113" s="1"/>
  <c r="BB14" i="113" s="1"/>
  <c r="BB20" i="113" s="1"/>
  <c r="AT8" i="113"/>
  <c r="AT11" i="113" s="1"/>
  <c r="AT14" i="113" s="1"/>
  <c r="AT20" i="113" s="1"/>
  <c r="AL8" i="113"/>
  <c r="AL11" i="113" s="1"/>
  <c r="AL14" i="113" s="1"/>
  <c r="AL20" i="113" s="1"/>
  <c r="AD8" i="113"/>
  <c r="AD11" i="113" s="1"/>
  <c r="AD14" i="113" s="1"/>
  <c r="AD20" i="113" s="1"/>
  <c r="V8" i="113"/>
  <c r="V11" i="113" s="1"/>
  <c r="V14" i="113" s="1"/>
  <c r="V20" i="113" s="1"/>
  <c r="N8" i="113"/>
  <c r="N11" i="113" s="1"/>
  <c r="N14" i="113" s="1"/>
  <c r="N20" i="113" s="1"/>
  <c r="CL8" i="112"/>
  <c r="CL11" i="112" s="1"/>
  <c r="CL14" i="112" s="1"/>
  <c r="CL20" i="112" s="1"/>
  <c r="CD8" i="112"/>
  <c r="CD11" i="112" s="1"/>
  <c r="CD14" i="112" s="1"/>
  <c r="CD20" i="112" s="1"/>
  <c r="BV8" i="112"/>
  <c r="BV11" i="112" s="1"/>
  <c r="BV14" i="112" s="1"/>
  <c r="BV20" i="112" s="1"/>
  <c r="BN8" i="112"/>
  <c r="BN11" i="112" s="1"/>
  <c r="BN14" i="112" s="1"/>
  <c r="BN20" i="112" s="1"/>
  <c r="BF8" i="112"/>
  <c r="BF11" i="112" s="1"/>
  <c r="BF14" i="112" s="1"/>
  <c r="BF20" i="112" s="1"/>
  <c r="AX8" i="112"/>
  <c r="AX11" i="112" s="1"/>
  <c r="AX14" i="112" s="1"/>
  <c r="AX20" i="112" s="1"/>
  <c r="AP8" i="112"/>
  <c r="AP11" i="112" s="1"/>
  <c r="AP14" i="112" s="1"/>
  <c r="AP20" i="112" s="1"/>
  <c r="AH8" i="112"/>
  <c r="AH11" i="112" s="1"/>
  <c r="AH14" i="112" s="1"/>
  <c r="AH20" i="112" s="1"/>
  <c r="Z8" i="112"/>
  <c r="Z11" i="112" s="1"/>
  <c r="Z14" i="112" s="1"/>
  <c r="Z20" i="112" s="1"/>
  <c r="R8" i="112"/>
  <c r="R11" i="112" s="1"/>
  <c r="R14" i="112" s="1"/>
  <c r="R20" i="112" s="1"/>
  <c r="J8" i="112"/>
  <c r="J11" i="112" s="1"/>
  <c r="J14" i="112" s="1"/>
  <c r="J20" i="112" s="1"/>
  <c r="CQ8" i="111"/>
  <c r="CQ11" i="111" s="1"/>
  <c r="CQ14" i="111" s="1"/>
  <c r="CQ20" i="111" s="1"/>
  <c r="BZ8" i="123"/>
  <c r="BE8" i="123"/>
  <c r="AK8" i="123"/>
  <c r="N8" i="123"/>
  <c r="CL8" i="122"/>
  <c r="CL13" i="122" s="1"/>
  <c r="CL18" i="122" s="1"/>
  <c r="CL24" i="122" s="1"/>
  <c r="EA123" i="22" s="1"/>
  <c r="BQ8" i="122"/>
  <c r="BQ13" i="122" s="1"/>
  <c r="BQ18" i="122" s="1"/>
  <c r="BQ24" i="122" s="1"/>
  <c r="DF123" i="22" s="1"/>
  <c r="AW8" i="122"/>
  <c r="AW13" i="122" s="1"/>
  <c r="AW18" i="122" s="1"/>
  <c r="AW24" i="122" s="1"/>
  <c r="CL123" i="22" s="1"/>
  <c r="Z8" i="122"/>
  <c r="Z13" i="122" s="1"/>
  <c r="Z18" i="122" s="1"/>
  <c r="Z24" i="122" s="1"/>
  <c r="X9" i="101"/>
  <c r="X12" i="101" s="1"/>
  <c r="CA8" i="120"/>
  <c r="CA13" i="120" s="1"/>
  <c r="CA18" i="120" s="1"/>
  <c r="CA24" i="120" s="1"/>
  <c r="DP122" i="22" s="1"/>
  <c r="BD8" i="120"/>
  <c r="BD13" i="120" s="1"/>
  <c r="BD18" i="120" s="1"/>
  <c r="BD24" i="120" s="1"/>
  <c r="CS122" i="22" s="1"/>
  <c r="AI8" i="120"/>
  <c r="AI13" i="120" s="1"/>
  <c r="AI18" i="120" s="1"/>
  <c r="AI24" i="120" s="1"/>
  <c r="O8" i="120"/>
  <c r="O13" i="120" s="1"/>
  <c r="O18" i="120" s="1"/>
  <c r="O24" i="120" s="1"/>
  <c r="CP8" i="119"/>
  <c r="CP13" i="119" s="1"/>
  <c r="CP18" i="119" s="1"/>
  <c r="CP24" i="119" s="1"/>
  <c r="BU8" i="119"/>
  <c r="BU13" i="119" s="1"/>
  <c r="BU18" i="119" s="1"/>
  <c r="BU24" i="119" s="1"/>
  <c r="BA8" i="119"/>
  <c r="BA13" i="119" s="1"/>
  <c r="BA18" i="119" s="1"/>
  <c r="BA24" i="119" s="1"/>
  <c r="AD8" i="119"/>
  <c r="AD13" i="119" s="1"/>
  <c r="AD18" i="119" s="1"/>
  <c r="AD24" i="119" s="1"/>
  <c r="I8" i="119"/>
  <c r="I13" i="119" s="1"/>
  <c r="I18" i="119" s="1"/>
  <c r="I24" i="119" s="1"/>
  <c r="CG8" i="118"/>
  <c r="CG13" i="118" s="1"/>
  <c r="CG18" i="118" s="1"/>
  <c r="CG24" i="118" s="1"/>
  <c r="DV120" i="22" s="1"/>
  <c r="BM8" i="118"/>
  <c r="BM13" i="118" s="1"/>
  <c r="BM18" i="118" s="1"/>
  <c r="BM24" i="118" s="1"/>
  <c r="DB120" i="22" s="1"/>
  <c r="AP8" i="118"/>
  <c r="AP13" i="118" s="1"/>
  <c r="AP18" i="118" s="1"/>
  <c r="AP24" i="118" s="1"/>
  <c r="U8" i="118"/>
  <c r="U13" i="118" s="1"/>
  <c r="U18" i="118" s="1"/>
  <c r="U24" i="118" s="1"/>
  <c r="CD8" i="117"/>
  <c r="CD13" i="117" s="1"/>
  <c r="BJ8" i="117"/>
  <c r="BJ13" i="117" s="1"/>
  <c r="AM8" i="117"/>
  <c r="AM13" i="117" s="1"/>
  <c r="V8" i="117"/>
  <c r="V13" i="117" s="1"/>
  <c r="CL8" i="115"/>
  <c r="CD8" i="115"/>
  <c r="BV8" i="115"/>
  <c r="BN8" i="115"/>
  <c r="BF8" i="115"/>
  <c r="AX8" i="115"/>
  <c r="AP8" i="115"/>
  <c r="AH8" i="115"/>
  <c r="Z8" i="115"/>
  <c r="R8" i="115"/>
  <c r="J8" i="115"/>
  <c r="CO8" i="114"/>
  <c r="CG8" i="114"/>
  <c r="BY8" i="114"/>
  <c r="BQ8" i="114"/>
  <c r="BI8" i="114"/>
  <c r="BA8" i="114"/>
  <c r="AS8" i="114"/>
  <c r="AK8" i="114"/>
  <c r="AC8" i="114"/>
  <c r="U8" i="114"/>
  <c r="M8" i="114"/>
  <c r="M11" i="114" s="1"/>
  <c r="M14" i="114" s="1"/>
  <c r="M20" i="114" s="1"/>
  <c r="CO8" i="113"/>
  <c r="CO11" i="113" s="1"/>
  <c r="CO14" i="113" s="1"/>
  <c r="CO20" i="113" s="1"/>
  <c r="CG8" i="113"/>
  <c r="CG11" i="113" s="1"/>
  <c r="CG14" i="113" s="1"/>
  <c r="CG20" i="113" s="1"/>
  <c r="BY8" i="113"/>
  <c r="BY11" i="113" s="1"/>
  <c r="BY14" i="113" s="1"/>
  <c r="BY20" i="113" s="1"/>
  <c r="BQ8" i="113"/>
  <c r="BQ11" i="113" s="1"/>
  <c r="BQ14" i="113" s="1"/>
  <c r="BQ20" i="113" s="1"/>
  <c r="BI8" i="113"/>
  <c r="BI11" i="113" s="1"/>
  <c r="BI14" i="113" s="1"/>
  <c r="BI20" i="113" s="1"/>
  <c r="BA8" i="113"/>
  <c r="BA11" i="113" s="1"/>
  <c r="BA14" i="113" s="1"/>
  <c r="BA20" i="113" s="1"/>
  <c r="AS8" i="113"/>
  <c r="AS11" i="113" s="1"/>
  <c r="AS14" i="113" s="1"/>
  <c r="AS20" i="113" s="1"/>
  <c r="AK8" i="113"/>
  <c r="AK11" i="113" s="1"/>
  <c r="AK14" i="113" s="1"/>
  <c r="AK20" i="113" s="1"/>
  <c r="AC8" i="113"/>
  <c r="AC11" i="113" s="1"/>
  <c r="AC14" i="113" s="1"/>
  <c r="AC20" i="113" s="1"/>
  <c r="U8" i="113"/>
  <c r="U11" i="113" s="1"/>
  <c r="U14" i="113" s="1"/>
  <c r="U20" i="113" s="1"/>
  <c r="M8" i="113"/>
  <c r="M11" i="113" s="1"/>
  <c r="M14" i="113" s="1"/>
  <c r="M20" i="113" s="1"/>
  <c r="CK8" i="112"/>
  <c r="CK11" i="112" s="1"/>
  <c r="CK14" i="112" s="1"/>
  <c r="CK20" i="112" s="1"/>
  <c r="CC8" i="112"/>
  <c r="CC11" i="112" s="1"/>
  <c r="CC14" i="112" s="1"/>
  <c r="CC20" i="112" s="1"/>
  <c r="BU8" i="112"/>
  <c r="BU11" i="112" s="1"/>
  <c r="BU14" i="112" s="1"/>
  <c r="BU20" i="112" s="1"/>
  <c r="BM8" i="112"/>
  <c r="BM11" i="112" s="1"/>
  <c r="BM14" i="112" s="1"/>
  <c r="BM20" i="112" s="1"/>
  <c r="BE8" i="112"/>
  <c r="BE11" i="112" s="1"/>
  <c r="BE14" i="112" s="1"/>
  <c r="BE20" i="112" s="1"/>
  <c r="AW8" i="112"/>
  <c r="AW11" i="112" s="1"/>
  <c r="AW14" i="112" s="1"/>
  <c r="AW20" i="112" s="1"/>
  <c r="AO8" i="112"/>
  <c r="AO11" i="112" s="1"/>
  <c r="AO14" i="112" s="1"/>
  <c r="AO20" i="112" s="1"/>
  <c r="AG8" i="112"/>
  <c r="AG11" i="112" s="1"/>
  <c r="AG14" i="112" s="1"/>
  <c r="AG20" i="112" s="1"/>
  <c r="Y8" i="112"/>
  <c r="Y11" i="112" s="1"/>
  <c r="Y14" i="112" s="1"/>
  <c r="Y20" i="112" s="1"/>
  <c r="Q8" i="112"/>
  <c r="Q11" i="112" s="1"/>
  <c r="Q14" i="112" s="1"/>
  <c r="Q20" i="112" s="1"/>
  <c r="BY8" i="123"/>
  <c r="BB8" i="123"/>
  <c r="AG8" i="123"/>
  <c r="M8" i="123"/>
  <c r="CK8" i="122"/>
  <c r="CK13" i="122" s="1"/>
  <c r="CK18" i="122" s="1"/>
  <c r="CK24" i="122" s="1"/>
  <c r="DZ123" i="22" s="1"/>
  <c r="BN8" i="122"/>
  <c r="BN13" i="122" s="1"/>
  <c r="BN18" i="122" s="1"/>
  <c r="BN24" i="122" s="1"/>
  <c r="DC123" i="22" s="1"/>
  <c r="AS8" i="122"/>
  <c r="AS13" i="122" s="1"/>
  <c r="AS18" i="122" s="1"/>
  <c r="AS24" i="122" s="1"/>
  <c r="CH123" i="22" s="1"/>
  <c r="Y8" i="122"/>
  <c r="Y13" i="122" s="1"/>
  <c r="Y18" i="122" s="1"/>
  <c r="Y24" i="122" s="1"/>
  <c r="AB9" i="101"/>
  <c r="AB12" i="101" s="1"/>
  <c r="BW8" i="120"/>
  <c r="BW13" i="120" s="1"/>
  <c r="BW18" i="120" s="1"/>
  <c r="BW24" i="120" s="1"/>
  <c r="DL122" i="22" s="1"/>
  <c r="BC8" i="120"/>
  <c r="BC13" i="120" s="1"/>
  <c r="BC18" i="120" s="1"/>
  <c r="BC24" i="120" s="1"/>
  <c r="CR122" i="22" s="1"/>
  <c r="AF8" i="120"/>
  <c r="AF13" i="120" s="1"/>
  <c r="AF18" i="120" s="1"/>
  <c r="AF24" i="120" s="1"/>
  <c r="K8" i="120"/>
  <c r="K13" i="120" s="1"/>
  <c r="K18" i="120" s="1"/>
  <c r="K24" i="120" s="1"/>
  <c r="CO8" i="119"/>
  <c r="CO13" i="119" s="1"/>
  <c r="CO18" i="119" s="1"/>
  <c r="CO24" i="119" s="1"/>
  <c r="BR8" i="119"/>
  <c r="BR13" i="119" s="1"/>
  <c r="BR18" i="119" s="1"/>
  <c r="BR24" i="119" s="1"/>
  <c r="AW8" i="119"/>
  <c r="AW13" i="119" s="1"/>
  <c r="AW18" i="119" s="1"/>
  <c r="AW24" i="119" s="1"/>
  <c r="AC8" i="119"/>
  <c r="AC13" i="119" s="1"/>
  <c r="AC18" i="119" s="1"/>
  <c r="AC24" i="119" s="1"/>
  <c r="CD8" i="118"/>
  <c r="CD13" i="118" s="1"/>
  <c r="CD18" i="118" s="1"/>
  <c r="CD24" i="118" s="1"/>
  <c r="DS120" i="22" s="1"/>
  <c r="BI8" i="118"/>
  <c r="BI13" i="118" s="1"/>
  <c r="BI18" i="118" s="1"/>
  <c r="BI24" i="118" s="1"/>
  <c r="CX120" i="22" s="1"/>
  <c r="AO8" i="118"/>
  <c r="AO13" i="118" s="1"/>
  <c r="AO18" i="118" s="1"/>
  <c r="AO24" i="118" s="1"/>
  <c r="R8" i="118"/>
  <c r="R13" i="118" s="1"/>
  <c r="R18" i="118" s="1"/>
  <c r="R24" i="118" s="1"/>
  <c r="CA8" i="117"/>
  <c r="CA13" i="117" s="1"/>
  <c r="BF8" i="117"/>
  <c r="BF13" i="117" s="1"/>
  <c r="AL8" i="117"/>
  <c r="AL13" i="117" s="1"/>
  <c r="R8" i="117"/>
  <c r="R13" i="117" s="1"/>
  <c r="CK8" i="115"/>
  <c r="CC8" i="115"/>
  <c r="BU8" i="115"/>
  <c r="BM8" i="115"/>
  <c r="BE8" i="115"/>
  <c r="AW8" i="115"/>
  <c r="AO8" i="115"/>
  <c r="AG8" i="115"/>
  <c r="Y8" i="115"/>
  <c r="Q8" i="115"/>
  <c r="I8" i="115"/>
  <c r="CN8" i="114"/>
  <c r="CF8" i="114"/>
  <c r="BX8" i="114"/>
  <c r="BP8" i="114"/>
  <c r="BH8" i="114"/>
  <c r="AZ8" i="114"/>
  <c r="AR8" i="114"/>
  <c r="AJ8" i="114"/>
  <c r="AB8" i="114"/>
  <c r="T8" i="114"/>
  <c r="L8" i="114"/>
  <c r="L11" i="114" s="1"/>
  <c r="L14" i="114" s="1"/>
  <c r="L20" i="114" s="1"/>
  <c r="CN8" i="113"/>
  <c r="CN11" i="113" s="1"/>
  <c r="CN14" i="113" s="1"/>
  <c r="CN20" i="113" s="1"/>
  <c r="CF8" i="113"/>
  <c r="CF11" i="113" s="1"/>
  <c r="CF14" i="113" s="1"/>
  <c r="CF20" i="113" s="1"/>
  <c r="BX8" i="113"/>
  <c r="BX11" i="113" s="1"/>
  <c r="BX14" i="113" s="1"/>
  <c r="BX20" i="113" s="1"/>
  <c r="BP8" i="113"/>
  <c r="BP11" i="113" s="1"/>
  <c r="BP14" i="113" s="1"/>
  <c r="BP20" i="113" s="1"/>
  <c r="BH8" i="113"/>
  <c r="BH11" i="113" s="1"/>
  <c r="BH14" i="113" s="1"/>
  <c r="BH20" i="113" s="1"/>
  <c r="AZ8" i="113"/>
  <c r="AZ11" i="113" s="1"/>
  <c r="AZ14" i="113" s="1"/>
  <c r="AZ20" i="113" s="1"/>
  <c r="AR8" i="113"/>
  <c r="AR11" i="113" s="1"/>
  <c r="AR14" i="113" s="1"/>
  <c r="AR20" i="113" s="1"/>
  <c r="AJ8" i="113"/>
  <c r="AJ11" i="113" s="1"/>
  <c r="AJ14" i="113" s="1"/>
  <c r="AJ20" i="113" s="1"/>
  <c r="AB8" i="113"/>
  <c r="AB11" i="113" s="1"/>
  <c r="AB14" i="113" s="1"/>
  <c r="AB20" i="113" s="1"/>
  <c r="T8" i="113"/>
  <c r="T11" i="113" s="1"/>
  <c r="T14" i="113" s="1"/>
  <c r="T20" i="113" s="1"/>
  <c r="L8" i="113"/>
  <c r="L11" i="113" s="1"/>
  <c r="L14" i="113" s="1"/>
  <c r="L20" i="113" s="1"/>
  <c r="CR8" i="112"/>
  <c r="CR11" i="112" s="1"/>
  <c r="CR14" i="112" s="1"/>
  <c r="CR20" i="112" s="1"/>
  <c r="CJ8" i="112"/>
  <c r="CJ11" i="112" s="1"/>
  <c r="CJ14" i="112" s="1"/>
  <c r="CJ20" i="112" s="1"/>
  <c r="CB8" i="112"/>
  <c r="CB11" i="112" s="1"/>
  <c r="CB14" i="112" s="1"/>
  <c r="CB20" i="112" s="1"/>
  <c r="BT8" i="112"/>
  <c r="BT11" i="112" s="1"/>
  <c r="BT14" i="112" s="1"/>
  <c r="BT20" i="112" s="1"/>
  <c r="BL8" i="112"/>
  <c r="BL11" i="112" s="1"/>
  <c r="BL14" i="112" s="1"/>
  <c r="BL20" i="112" s="1"/>
  <c r="BD8" i="112"/>
  <c r="BD11" i="112" s="1"/>
  <c r="BD14" i="112" s="1"/>
  <c r="BD20" i="112" s="1"/>
  <c r="AV8" i="112"/>
  <c r="AV11" i="112" s="1"/>
  <c r="AV14" i="112" s="1"/>
  <c r="AV20" i="112" s="1"/>
  <c r="AN8" i="112"/>
  <c r="AN11" i="112" s="1"/>
  <c r="AN14" i="112" s="1"/>
  <c r="AN20" i="112" s="1"/>
  <c r="CP8" i="123"/>
  <c r="BU8" i="123"/>
  <c r="BA8" i="123"/>
  <c r="AD8" i="123"/>
  <c r="I8" i="123"/>
  <c r="CG8" i="122"/>
  <c r="CG13" i="122" s="1"/>
  <c r="CG18" i="122" s="1"/>
  <c r="CG24" i="122" s="1"/>
  <c r="DV123" i="22" s="1"/>
  <c r="BM8" i="122"/>
  <c r="BM13" i="122" s="1"/>
  <c r="BM18" i="122" s="1"/>
  <c r="BM24" i="122" s="1"/>
  <c r="DB123" i="22" s="1"/>
  <c r="AP8" i="122"/>
  <c r="AP13" i="122" s="1"/>
  <c r="AP18" i="122" s="1"/>
  <c r="U8" i="122"/>
  <c r="U13" i="122" s="1"/>
  <c r="U18" i="122" s="1"/>
  <c r="U24" i="122" s="1"/>
  <c r="AE9" i="101"/>
  <c r="AE12" i="101" s="1"/>
  <c r="CQ8" i="120"/>
  <c r="CQ13" i="120" s="1"/>
  <c r="CQ18" i="120" s="1"/>
  <c r="CQ24" i="120" s="1"/>
  <c r="EF122" i="22" s="1"/>
  <c r="BT8" i="120"/>
  <c r="BT13" i="120" s="1"/>
  <c r="BT18" i="120" s="1"/>
  <c r="BT24" i="120" s="1"/>
  <c r="DI122" i="22" s="1"/>
  <c r="AY8" i="120"/>
  <c r="AY13" i="120" s="1"/>
  <c r="AY18" i="120" s="1"/>
  <c r="AY24" i="120" s="1"/>
  <c r="CN122" i="22" s="1"/>
  <c r="AE8" i="120"/>
  <c r="AE13" i="120" s="1"/>
  <c r="AE18" i="120" s="1"/>
  <c r="AE24" i="120" s="1"/>
  <c r="CK8" i="119"/>
  <c r="CK13" i="119" s="1"/>
  <c r="CK18" i="119" s="1"/>
  <c r="CK24" i="119" s="1"/>
  <c r="BQ8" i="119"/>
  <c r="BQ13" i="119" s="1"/>
  <c r="BQ18" i="119" s="1"/>
  <c r="BQ24" i="119" s="1"/>
  <c r="AT8" i="119"/>
  <c r="AT13" i="119" s="1"/>
  <c r="AT18" i="119" s="1"/>
  <c r="AT24" i="119" s="1"/>
  <c r="Y8" i="119"/>
  <c r="Y13" i="119" s="1"/>
  <c r="Y18" i="119" s="1"/>
  <c r="Y24" i="119" s="1"/>
  <c r="CC8" i="118"/>
  <c r="CC13" i="118" s="1"/>
  <c r="CC18" i="118" s="1"/>
  <c r="CC24" i="118" s="1"/>
  <c r="DR120" i="22" s="1"/>
  <c r="BF8" i="118"/>
  <c r="BF13" i="118" s="1"/>
  <c r="BF18" i="118" s="1"/>
  <c r="BF24" i="118" s="1"/>
  <c r="CU120" i="22" s="1"/>
  <c r="AK8" i="118"/>
  <c r="AK13" i="118" s="1"/>
  <c r="AK18" i="118" s="1"/>
  <c r="AK24" i="118" s="1"/>
  <c r="Q8" i="118"/>
  <c r="Q13" i="118" s="1"/>
  <c r="Q18" i="118" s="1"/>
  <c r="Q24" i="118" s="1"/>
  <c r="BZ8" i="117"/>
  <c r="BZ13" i="117" s="1"/>
  <c r="BC8" i="117"/>
  <c r="BC13" i="117" s="1"/>
  <c r="AH8" i="117"/>
  <c r="AH13" i="117" s="1"/>
  <c r="Q8" i="117"/>
  <c r="Q13" i="117" s="1"/>
  <c r="CJ8" i="115"/>
  <c r="CB8" i="115"/>
  <c r="BT8" i="115"/>
  <c r="BL8" i="115"/>
  <c r="BD8" i="115"/>
  <c r="AV8" i="115"/>
  <c r="AN8" i="115"/>
  <c r="AF8" i="115"/>
  <c r="X8" i="115"/>
  <c r="P8" i="115"/>
  <c r="CM8" i="114"/>
  <c r="CE8" i="114"/>
  <c r="BW8" i="114"/>
  <c r="BO8" i="114"/>
  <c r="BG8" i="114"/>
  <c r="AY8" i="114"/>
  <c r="AQ8" i="114"/>
  <c r="AI8" i="114"/>
  <c r="AA8" i="114"/>
  <c r="S8" i="114"/>
  <c r="S11" i="114" s="1"/>
  <c r="S14" i="114" s="1"/>
  <c r="S20" i="114" s="1"/>
  <c r="K8" i="114"/>
  <c r="K11" i="114" s="1"/>
  <c r="K14" i="114" s="1"/>
  <c r="K20" i="114" s="1"/>
  <c r="CM8" i="113"/>
  <c r="CM11" i="113" s="1"/>
  <c r="CM14" i="113" s="1"/>
  <c r="CM20" i="113" s="1"/>
  <c r="CE8" i="113"/>
  <c r="CE11" i="113" s="1"/>
  <c r="CE14" i="113" s="1"/>
  <c r="CE20" i="113" s="1"/>
  <c r="BW8" i="113"/>
  <c r="BW11" i="113" s="1"/>
  <c r="BW14" i="113" s="1"/>
  <c r="BW20" i="113" s="1"/>
  <c r="BO8" i="113"/>
  <c r="BO11" i="113" s="1"/>
  <c r="BO14" i="113" s="1"/>
  <c r="BO20" i="113" s="1"/>
  <c r="BG8" i="113"/>
  <c r="BG11" i="113" s="1"/>
  <c r="BG14" i="113" s="1"/>
  <c r="BG20" i="113" s="1"/>
  <c r="AY8" i="113"/>
  <c r="AY11" i="113" s="1"/>
  <c r="AY14" i="113" s="1"/>
  <c r="AY20" i="113" s="1"/>
  <c r="AQ8" i="113"/>
  <c r="AQ11" i="113" s="1"/>
  <c r="AQ14" i="113" s="1"/>
  <c r="AQ20" i="113" s="1"/>
  <c r="AI8" i="113"/>
  <c r="AI11" i="113" s="1"/>
  <c r="AI14" i="113" s="1"/>
  <c r="AI20" i="113" s="1"/>
  <c r="AA8" i="113"/>
  <c r="AA11" i="113" s="1"/>
  <c r="AA14" i="113" s="1"/>
  <c r="AA20" i="113" s="1"/>
  <c r="S8" i="113"/>
  <c r="S11" i="113" s="1"/>
  <c r="S14" i="113" s="1"/>
  <c r="S20" i="113" s="1"/>
  <c r="K8" i="113"/>
  <c r="K11" i="113" s="1"/>
  <c r="K14" i="113" s="1"/>
  <c r="K20" i="113" s="1"/>
  <c r="CQ8" i="112"/>
  <c r="CQ11" i="112" s="1"/>
  <c r="CQ14" i="112" s="1"/>
  <c r="CQ20" i="112" s="1"/>
  <c r="CI8" i="112"/>
  <c r="CI11" i="112" s="1"/>
  <c r="CI14" i="112" s="1"/>
  <c r="CI20" i="112" s="1"/>
  <c r="CA8" i="112"/>
  <c r="CA11" i="112" s="1"/>
  <c r="CA14" i="112" s="1"/>
  <c r="CA20" i="112" s="1"/>
  <c r="BS8" i="112"/>
  <c r="BS11" i="112" s="1"/>
  <c r="BS14" i="112" s="1"/>
  <c r="BS20" i="112" s="1"/>
  <c r="BK8" i="112"/>
  <c r="BK11" i="112" s="1"/>
  <c r="BK14" i="112" s="1"/>
  <c r="BK20" i="112" s="1"/>
  <c r="BC8" i="112"/>
  <c r="BC11" i="112" s="1"/>
  <c r="BC14" i="112" s="1"/>
  <c r="BC20" i="112" s="1"/>
  <c r="AU8" i="112"/>
  <c r="AU11" i="112" s="1"/>
  <c r="AU14" i="112" s="1"/>
  <c r="AU20" i="112" s="1"/>
  <c r="CO8" i="123"/>
  <c r="BR8" i="123"/>
  <c r="AW8" i="123"/>
  <c r="AC8" i="123"/>
  <c r="CD8" i="122"/>
  <c r="CD13" i="122" s="1"/>
  <c r="CD18" i="122" s="1"/>
  <c r="CD24" i="122" s="1"/>
  <c r="DS123" i="22" s="1"/>
  <c r="BI8" i="122"/>
  <c r="BI13" i="122" s="1"/>
  <c r="BI18" i="122" s="1"/>
  <c r="BI24" i="122" s="1"/>
  <c r="CX123" i="22" s="1"/>
  <c r="AO8" i="122"/>
  <c r="AO13" i="122" s="1"/>
  <c r="AO18" i="122" s="1"/>
  <c r="R8" i="122"/>
  <c r="R13" i="122" s="1"/>
  <c r="R18" i="122" s="1"/>
  <c r="L9" i="101"/>
  <c r="L12" i="101" s="1"/>
  <c r="AF9" i="101"/>
  <c r="AF12" i="101" s="1"/>
  <c r="CM8" i="120"/>
  <c r="CM13" i="120" s="1"/>
  <c r="CM18" i="120" s="1"/>
  <c r="CM24" i="120" s="1"/>
  <c r="EB122" i="22" s="1"/>
  <c r="BS8" i="120"/>
  <c r="BS13" i="120" s="1"/>
  <c r="BS18" i="120" s="1"/>
  <c r="BS24" i="120" s="1"/>
  <c r="DH122" i="22" s="1"/>
  <c r="AV8" i="120"/>
  <c r="AV13" i="120" s="1"/>
  <c r="AV18" i="120" s="1"/>
  <c r="AV24" i="120" s="1"/>
  <c r="CK122" i="22" s="1"/>
  <c r="AA8" i="120"/>
  <c r="AA13" i="120" s="1"/>
  <c r="AA18" i="120" s="1"/>
  <c r="AA24" i="120" s="1"/>
  <c r="CH8" i="119"/>
  <c r="CH13" i="119" s="1"/>
  <c r="CH18" i="119" s="1"/>
  <c r="CH24" i="119" s="1"/>
  <c r="BM8" i="119"/>
  <c r="BM13" i="119" s="1"/>
  <c r="BM18" i="119" s="1"/>
  <c r="BM24" i="119" s="1"/>
  <c r="AS8" i="119"/>
  <c r="AS13" i="119" s="1"/>
  <c r="AS18" i="119" s="1"/>
  <c r="AS24" i="119" s="1"/>
  <c r="V8" i="119"/>
  <c r="V13" i="119" s="1"/>
  <c r="V18" i="119" s="1"/>
  <c r="V24" i="119" s="1"/>
  <c r="BY8" i="118"/>
  <c r="BY13" i="118" s="1"/>
  <c r="BY18" i="118" s="1"/>
  <c r="BY24" i="118" s="1"/>
  <c r="DN120" i="22" s="1"/>
  <c r="BE8" i="118"/>
  <c r="BE13" i="118" s="1"/>
  <c r="BE18" i="118" s="1"/>
  <c r="BE24" i="118" s="1"/>
  <c r="CT120" i="22" s="1"/>
  <c r="AH8" i="118"/>
  <c r="AH13" i="118" s="1"/>
  <c r="AH18" i="118" s="1"/>
  <c r="AH24" i="118" s="1"/>
  <c r="M8" i="118"/>
  <c r="M13" i="118" s="1"/>
  <c r="M18" i="118" s="1"/>
  <c r="M24" i="118" s="1"/>
  <c r="CQ8" i="117"/>
  <c r="CQ13" i="117" s="1"/>
  <c r="BV8" i="117"/>
  <c r="BV13" i="117" s="1"/>
  <c r="BB8" i="117"/>
  <c r="BB13" i="117" s="1"/>
  <c r="AE8" i="117"/>
  <c r="AE13" i="117" s="1"/>
  <c r="O8" i="117"/>
  <c r="O13" i="117" s="1"/>
  <c r="CQ8" i="115"/>
  <c r="CI8" i="115"/>
  <c r="CA8" i="115"/>
  <c r="BS8" i="115"/>
  <c r="BK8" i="115"/>
  <c r="BC8" i="115"/>
  <c r="AU8" i="115"/>
  <c r="AM8" i="115"/>
  <c r="AE8" i="115"/>
  <c r="W8" i="115"/>
  <c r="O8" i="115"/>
  <c r="CL8" i="114"/>
  <c r="CD8" i="114"/>
  <c r="BV8" i="114"/>
  <c r="BN8" i="114"/>
  <c r="BF8" i="114"/>
  <c r="AX8" i="114"/>
  <c r="AP8" i="114"/>
  <c r="AH8" i="114"/>
  <c r="Z8" i="114"/>
  <c r="R8" i="114"/>
  <c r="R11" i="114" s="1"/>
  <c r="R14" i="114" s="1"/>
  <c r="J8" i="114"/>
  <c r="J11" i="114" s="1"/>
  <c r="J14" i="114" s="1"/>
  <c r="CL8" i="113"/>
  <c r="CL11" i="113" s="1"/>
  <c r="CL14" i="113" s="1"/>
  <c r="CL20" i="113" s="1"/>
  <c r="CD8" i="113"/>
  <c r="CD11" i="113" s="1"/>
  <c r="CD14" i="113" s="1"/>
  <c r="CD20" i="113" s="1"/>
  <c r="BV8" i="113"/>
  <c r="BV11" i="113" s="1"/>
  <c r="BV14" i="113" s="1"/>
  <c r="BV20" i="113" s="1"/>
  <c r="BN8" i="113"/>
  <c r="BN11" i="113" s="1"/>
  <c r="BN14" i="113" s="1"/>
  <c r="BN20" i="113" s="1"/>
  <c r="BF8" i="113"/>
  <c r="BF11" i="113" s="1"/>
  <c r="BF14" i="113" s="1"/>
  <c r="BF20" i="113" s="1"/>
  <c r="AX8" i="113"/>
  <c r="AX11" i="113" s="1"/>
  <c r="AX14" i="113" s="1"/>
  <c r="AX20" i="113" s="1"/>
  <c r="AP8" i="113"/>
  <c r="AP11" i="113" s="1"/>
  <c r="AP14" i="113" s="1"/>
  <c r="AP20" i="113" s="1"/>
  <c r="AH8" i="113"/>
  <c r="AH11" i="113" s="1"/>
  <c r="AH14" i="113" s="1"/>
  <c r="AH20" i="113" s="1"/>
  <c r="Z8" i="113"/>
  <c r="Z11" i="113" s="1"/>
  <c r="Z14" i="113" s="1"/>
  <c r="Z20" i="113" s="1"/>
  <c r="R8" i="113"/>
  <c r="R11" i="113" s="1"/>
  <c r="R14" i="113" s="1"/>
  <c r="R20" i="113" s="1"/>
  <c r="J8" i="113"/>
  <c r="J11" i="113" s="1"/>
  <c r="J14" i="113" s="1"/>
  <c r="J20" i="113" s="1"/>
  <c r="CP8" i="112"/>
  <c r="CP11" i="112" s="1"/>
  <c r="CP14" i="112" s="1"/>
  <c r="CP20" i="112" s="1"/>
  <c r="CH8" i="112"/>
  <c r="CH11" i="112" s="1"/>
  <c r="CH14" i="112" s="1"/>
  <c r="CH20" i="112" s="1"/>
  <c r="AT8" i="123"/>
  <c r="CC8" i="122"/>
  <c r="CC13" i="122" s="1"/>
  <c r="CC18" i="122" s="1"/>
  <c r="CC24" i="122" s="1"/>
  <c r="DR123" i="22" s="1"/>
  <c r="BO8" i="120"/>
  <c r="BO13" i="120" s="1"/>
  <c r="BO18" i="120" s="1"/>
  <c r="BO24" i="120" s="1"/>
  <c r="DD122" i="22" s="1"/>
  <c r="AO8" i="119"/>
  <c r="AO13" i="119" s="1"/>
  <c r="AO18" i="119" s="1"/>
  <c r="AO24" i="119" s="1"/>
  <c r="CO8" i="118"/>
  <c r="CO13" i="118" s="1"/>
  <c r="CO18" i="118" s="1"/>
  <c r="I8" i="118"/>
  <c r="I13" i="118" s="1"/>
  <c r="I18" i="118" s="1"/>
  <c r="I24" i="118" s="1"/>
  <c r="BS8" i="117"/>
  <c r="BS13" i="117" s="1"/>
  <c r="BQ8" i="115"/>
  <c r="AK8" i="115"/>
  <c r="BT8" i="114"/>
  <c r="AN8" i="114"/>
  <c r="CR8" i="113"/>
  <c r="CR11" i="113" s="1"/>
  <c r="CR14" i="113" s="1"/>
  <c r="CR20" i="113" s="1"/>
  <c r="BL8" i="113"/>
  <c r="BL11" i="113" s="1"/>
  <c r="BL14" i="113" s="1"/>
  <c r="BL20" i="113" s="1"/>
  <c r="AF8" i="113"/>
  <c r="AF11" i="113" s="1"/>
  <c r="AF14" i="113" s="1"/>
  <c r="AF20" i="113" s="1"/>
  <c r="BX8" i="112"/>
  <c r="BX11" i="112" s="1"/>
  <c r="BX14" i="112" s="1"/>
  <c r="BX20" i="112" s="1"/>
  <c r="BA8" i="112"/>
  <c r="BA11" i="112" s="1"/>
  <c r="BA14" i="112" s="1"/>
  <c r="BA20" i="112" s="1"/>
  <c r="AJ8" i="112"/>
  <c r="AJ11" i="112" s="1"/>
  <c r="AJ14" i="112" s="1"/>
  <c r="AJ20" i="112" s="1"/>
  <c r="V8" i="112"/>
  <c r="V11" i="112" s="1"/>
  <c r="V14" i="112" s="1"/>
  <c r="V20" i="112" s="1"/>
  <c r="K8" i="112"/>
  <c r="K11" i="112" s="1"/>
  <c r="K14" i="112" s="1"/>
  <c r="K20" i="112" s="1"/>
  <c r="CP8" i="111"/>
  <c r="CP11" i="111" s="1"/>
  <c r="CP14" i="111" s="1"/>
  <c r="CP20" i="111" s="1"/>
  <c r="CH8" i="111"/>
  <c r="CH11" i="111" s="1"/>
  <c r="CH14" i="111" s="1"/>
  <c r="CH20" i="111" s="1"/>
  <c r="BZ8" i="111"/>
  <c r="BZ11" i="111" s="1"/>
  <c r="BZ14" i="111" s="1"/>
  <c r="BZ20" i="111" s="1"/>
  <c r="BR8" i="111"/>
  <c r="BR11" i="111" s="1"/>
  <c r="BR14" i="111" s="1"/>
  <c r="BR20" i="111" s="1"/>
  <c r="BJ8" i="111"/>
  <c r="BJ11" i="111" s="1"/>
  <c r="BJ14" i="111" s="1"/>
  <c r="BJ20" i="111" s="1"/>
  <c r="BB8" i="111"/>
  <c r="BB11" i="111" s="1"/>
  <c r="BB14" i="111" s="1"/>
  <c r="BB20" i="111" s="1"/>
  <c r="AT8" i="111"/>
  <c r="AT11" i="111" s="1"/>
  <c r="AT14" i="111" s="1"/>
  <c r="AT20" i="111" s="1"/>
  <c r="AL8" i="111"/>
  <c r="AL11" i="111" s="1"/>
  <c r="AL14" i="111" s="1"/>
  <c r="AL20" i="111" s="1"/>
  <c r="AD8" i="111"/>
  <c r="AD11" i="111" s="1"/>
  <c r="AD14" i="111" s="1"/>
  <c r="AD20" i="111" s="1"/>
  <c r="V8" i="111"/>
  <c r="V11" i="111" s="1"/>
  <c r="V14" i="111" s="1"/>
  <c r="V20" i="111" s="1"/>
  <c r="N8" i="111"/>
  <c r="N11" i="111" s="1"/>
  <c r="N14" i="111" s="1"/>
  <c r="N20" i="111" s="1"/>
  <c r="CL8" i="110"/>
  <c r="CD8" i="110"/>
  <c r="BV8" i="110"/>
  <c r="BN8" i="110"/>
  <c r="BF8" i="110"/>
  <c r="AX8" i="110"/>
  <c r="AP8" i="110"/>
  <c r="AH8" i="110"/>
  <c r="Z8" i="110"/>
  <c r="R8" i="110"/>
  <c r="R11" i="110" s="1"/>
  <c r="R14" i="110" s="1"/>
  <c r="R20" i="110" s="1"/>
  <c r="J8" i="110"/>
  <c r="J11" i="110" s="1"/>
  <c r="J14" i="110" s="1"/>
  <c r="J20" i="110" s="1"/>
  <c r="AG8" i="110"/>
  <c r="Q8" i="110"/>
  <c r="Q11" i="110" s="1"/>
  <c r="Q14" i="110" s="1"/>
  <c r="Q20" i="110" s="1"/>
  <c r="P8" i="110"/>
  <c r="P11" i="110" s="1"/>
  <c r="P14" i="110" s="1"/>
  <c r="P20" i="110" s="1"/>
  <c r="BE8" i="111"/>
  <c r="BE11" i="111" s="1"/>
  <c r="BE14" i="111" s="1"/>
  <c r="BE20" i="111" s="1"/>
  <c r="AM9" i="101"/>
  <c r="AM12" i="101" s="1"/>
  <c r="CP8" i="117"/>
  <c r="CP13" i="117" s="1"/>
  <c r="AS8" i="115"/>
  <c r="AN8" i="113"/>
  <c r="AN11" i="113" s="1"/>
  <c r="AN14" i="113" s="1"/>
  <c r="AN20" i="113" s="1"/>
  <c r="AL8" i="112"/>
  <c r="AL11" i="112" s="1"/>
  <c r="AL14" i="112" s="1"/>
  <c r="AL20" i="112" s="1"/>
  <c r="BT8" i="111"/>
  <c r="BT11" i="111" s="1"/>
  <c r="BT14" i="111" s="1"/>
  <c r="BT20" i="111" s="1"/>
  <c r="X8" i="111"/>
  <c r="X11" i="111" s="1"/>
  <c r="X14" i="111" s="1"/>
  <c r="X20" i="111" s="1"/>
  <c r="BX8" i="110"/>
  <c r="AJ8" i="110"/>
  <c r="J8" i="118"/>
  <c r="J13" i="118" s="1"/>
  <c r="J18" i="118" s="1"/>
  <c r="J24" i="118" s="1"/>
  <c r="AL8" i="115"/>
  <c r="AG8" i="113"/>
  <c r="AG11" i="113" s="1"/>
  <c r="AG14" i="113" s="1"/>
  <c r="AG20" i="113" s="1"/>
  <c r="W8" i="112"/>
  <c r="W11" i="112" s="1"/>
  <c r="W14" i="112" s="1"/>
  <c r="W20" i="112" s="1"/>
  <c r="BO8" i="110"/>
  <c r="S8" i="110"/>
  <c r="S11" i="110" s="1"/>
  <c r="S14" i="110" s="1"/>
  <c r="S20" i="110" s="1"/>
  <c r="AS8" i="123"/>
  <c r="BY8" i="122"/>
  <c r="BY13" i="122" s="1"/>
  <c r="BY18" i="122" s="1"/>
  <c r="BY24" i="122" s="1"/>
  <c r="DN123" i="22" s="1"/>
  <c r="BL8" i="120"/>
  <c r="BL13" i="120" s="1"/>
  <c r="BL18" i="120" s="1"/>
  <c r="BL24" i="120" s="1"/>
  <c r="DA122" i="22" s="1"/>
  <c r="AL8" i="119"/>
  <c r="AL13" i="119" s="1"/>
  <c r="AL18" i="119" s="1"/>
  <c r="AL24" i="119" s="1"/>
  <c r="BV8" i="118"/>
  <c r="BV13" i="118" s="1"/>
  <c r="BV18" i="118" s="1"/>
  <c r="BV24" i="118" s="1"/>
  <c r="DK120" i="22" s="1"/>
  <c r="BR8" i="117"/>
  <c r="BR13" i="117" s="1"/>
  <c r="CP8" i="115"/>
  <c r="BJ8" i="115"/>
  <c r="AD8" i="115"/>
  <c r="BM8" i="114"/>
  <c r="AG8" i="114"/>
  <c r="CK8" i="113"/>
  <c r="CK11" i="113" s="1"/>
  <c r="CK14" i="113" s="1"/>
  <c r="CK20" i="113" s="1"/>
  <c r="BE8" i="113"/>
  <c r="BE11" i="113" s="1"/>
  <c r="BE14" i="113" s="1"/>
  <c r="BE20" i="113" s="1"/>
  <c r="Y8" i="113"/>
  <c r="Y11" i="113" s="1"/>
  <c r="Y14" i="113" s="1"/>
  <c r="Y20" i="113" s="1"/>
  <c r="BR8" i="112"/>
  <c r="BR11" i="112" s="1"/>
  <c r="BR14" i="112" s="1"/>
  <c r="BR20" i="112" s="1"/>
  <c r="AZ8" i="112"/>
  <c r="AZ11" i="112" s="1"/>
  <c r="AZ14" i="112" s="1"/>
  <c r="AZ20" i="112" s="1"/>
  <c r="AF8" i="112"/>
  <c r="AF11" i="112" s="1"/>
  <c r="AF14" i="112" s="1"/>
  <c r="AF20" i="112" s="1"/>
  <c r="U8" i="112"/>
  <c r="U11" i="112" s="1"/>
  <c r="U14" i="112" s="1"/>
  <c r="U20" i="112" s="1"/>
  <c r="I8" i="112"/>
  <c r="I11" i="112" s="1"/>
  <c r="I14" i="112" s="1"/>
  <c r="I20" i="112" s="1"/>
  <c r="CO8" i="111"/>
  <c r="CO11" i="111" s="1"/>
  <c r="CO14" i="111" s="1"/>
  <c r="CO20" i="111" s="1"/>
  <c r="CG8" i="111"/>
  <c r="CG11" i="111" s="1"/>
  <c r="CG14" i="111" s="1"/>
  <c r="CG20" i="111" s="1"/>
  <c r="BY8" i="111"/>
  <c r="BY11" i="111" s="1"/>
  <c r="BY14" i="111" s="1"/>
  <c r="BY20" i="111" s="1"/>
  <c r="BQ8" i="111"/>
  <c r="BQ11" i="111" s="1"/>
  <c r="BQ14" i="111" s="1"/>
  <c r="BQ20" i="111" s="1"/>
  <c r="BI8" i="111"/>
  <c r="BI11" i="111" s="1"/>
  <c r="BI14" i="111" s="1"/>
  <c r="BI20" i="111" s="1"/>
  <c r="BA8" i="111"/>
  <c r="BA11" i="111" s="1"/>
  <c r="BA14" i="111" s="1"/>
  <c r="BA20" i="111" s="1"/>
  <c r="AS8" i="111"/>
  <c r="AS11" i="111" s="1"/>
  <c r="AS14" i="111" s="1"/>
  <c r="AS20" i="111" s="1"/>
  <c r="AK8" i="111"/>
  <c r="AK11" i="111" s="1"/>
  <c r="AK14" i="111" s="1"/>
  <c r="AK20" i="111" s="1"/>
  <c r="AC8" i="111"/>
  <c r="AC11" i="111" s="1"/>
  <c r="AC14" i="111" s="1"/>
  <c r="AC20" i="111" s="1"/>
  <c r="U8" i="111"/>
  <c r="U11" i="111" s="1"/>
  <c r="U14" i="111" s="1"/>
  <c r="U20" i="111" s="1"/>
  <c r="M8" i="111"/>
  <c r="M11" i="111" s="1"/>
  <c r="M14" i="111" s="1"/>
  <c r="M20" i="111" s="1"/>
  <c r="CK8" i="110"/>
  <c r="CC8" i="110"/>
  <c r="BU8" i="110"/>
  <c r="BM8" i="110"/>
  <c r="BE8" i="110"/>
  <c r="AW8" i="110"/>
  <c r="AO8" i="110"/>
  <c r="Y8" i="110"/>
  <c r="I8" i="110"/>
  <c r="I11" i="110" s="1"/>
  <c r="I14" i="110" s="1"/>
  <c r="I20" i="110" s="1"/>
  <c r="N8" i="110"/>
  <c r="N11" i="110" s="1"/>
  <c r="N14" i="110" s="1"/>
  <c r="N20" i="110" s="1"/>
  <c r="AG8" i="111"/>
  <c r="AG11" i="111" s="1"/>
  <c r="AG14" i="111" s="1"/>
  <c r="AG20" i="111" s="1"/>
  <c r="BA8" i="110"/>
  <c r="BJ8" i="119"/>
  <c r="BJ13" i="119" s="1"/>
  <c r="BJ18" i="119" s="1"/>
  <c r="BJ24" i="119" s="1"/>
  <c r="CB8" i="114"/>
  <c r="BZ8" i="112"/>
  <c r="BZ11" i="112" s="1"/>
  <c r="BZ14" i="112" s="1"/>
  <c r="BZ20" i="112" s="1"/>
  <c r="M8" i="112"/>
  <c r="M11" i="112" s="1"/>
  <c r="M14" i="112" s="1"/>
  <c r="M20" i="112" s="1"/>
  <c r="CB8" i="111"/>
  <c r="CB11" i="111" s="1"/>
  <c r="CB14" i="111" s="1"/>
  <c r="CB20" i="111" s="1"/>
  <c r="AV8" i="111"/>
  <c r="AV11" i="111" s="1"/>
  <c r="AV14" i="111" s="1"/>
  <c r="AV20" i="111" s="1"/>
  <c r="P8" i="111"/>
  <c r="P11" i="111" s="1"/>
  <c r="P14" i="111" s="1"/>
  <c r="P20" i="111" s="1"/>
  <c r="CF8" i="110"/>
  <c r="T8" i="110"/>
  <c r="T11" i="110" s="1"/>
  <c r="T14" i="110" s="1"/>
  <c r="T20" i="110" s="1"/>
  <c r="CI8" i="120"/>
  <c r="CI13" i="120" s="1"/>
  <c r="CI18" i="120" s="1"/>
  <c r="CI24" i="120" s="1"/>
  <c r="DX122" i="22" s="1"/>
  <c r="J8" i="117"/>
  <c r="J13" i="117" s="1"/>
  <c r="BR8" i="115"/>
  <c r="BB8" i="112"/>
  <c r="BB11" i="112" s="1"/>
  <c r="BB14" i="112" s="1"/>
  <c r="BB20" i="112" s="1"/>
  <c r="CA8" i="111"/>
  <c r="CA11" i="111" s="1"/>
  <c r="CA14" i="111" s="1"/>
  <c r="CA20" i="111" s="1"/>
  <c r="BC8" i="111"/>
  <c r="BC11" i="111" s="1"/>
  <c r="BC14" i="111" s="1"/>
  <c r="BC20" i="111" s="1"/>
  <c r="AU8" i="111"/>
  <c r="AU11" i="111" s="1"/>
  <c r="AU14" i="111" s="1"/>
  <c r="AU20" i="111" s="1"/>
  <c r="O8" i="111"/>
  <c r="O11" i="111" s="1"/>
  <c r="O14" i="111" s="1"/>
  <c r="O20" i="111" s="1"/>
  <c r="BG8" i="110"/>
  <c r="AI8" i="110"/>
  <c r="AA8" i="110"/>
  <c r="Y8" i="123"/>
  <c r="BF8" i="122"/>
  <c r="BF13" i="122" s="1"/>
  <c r="BF18" i="122" s="1"/>
  <c r="BF24" i="122" s="1"/>
  <c r="CU123" i="22" s="1"/>
  <c r="AU8" i="120"/>
  <c r="AU13" i="120" s="1"/>
  <c r="AU18" i="120" s="1"/>
  <c r="AU24" i="120" s="1"/>
  <c r="CJ122" i="22" s="1"/>
  <c r="U8" i="119"/>
  <c r="U13" i="119" s="1"/>
  <c r="U18" i="119" s="1"/>
  <c r="U24" i="119" s="1"/>
  <c r="BU8" i="118"/>
  <c r="BU13" i="118" s="1"/>
  <c r="BU18" i="118" s="1"/>
  <c r="BU24" i="118" s="1"/>
  <c r="DJ120" i="22" s="1"/>
  <c r="AX8" i="117"/>
  <c r="AX13" i="117" s="1"/>
  <c r="CO8" i="115"/>
  <c r="BI8" i="115"/>
  <c r="AC8" i="115"/>
  <c r="BL8" i="114"/>
  <c r="AF8" i="114"/>
  <c r="CJ8" i="113"/>
  <c r="CJ11" i="113" s="1"/>
  <c r="CJ14" i="113" s="1"/>
  <c r="CJ20" i="113" s="1"/>
  <c r="BD8" i="113"/>
  <c r="BD11" i="113" s="1"/>
  <c r="BD14" i="113" s="1"/>
  <c r="BD20" i="113" s="1"/>
  <c r="X8" i="113"/>
  <c r="X11" i="113" s="1"/>
  <c r="X14" i="113" s="1"/>
  <c r="X20" i="113" s="1"/>
  <c r="CO8" i="112"/>
  <c r="CO11" i="112" s="1"/>
  <c r="CO14" i="112" s="1"/>
  <c r="CO20" i="112" s="1"/>
  <c r="BQ8" i="112"/>
  <c r="BQ11" i="112" s="1"/>
  <c r="BQ14" i="112" s="1"/>
  <c r="BQ20" i="112" s="1"/>
  <c r="AT8" i="112"/>
  <c r="AT11" i="112" s="1"/>
  <c r="AT14" i="112" s="1"/>
  <c r="AT20" i="112" s="1"/>
  <c r="AE8" i="112"/>
  <c r="AE11" i="112" s="1"/>
  <c r="AE14" i="112" s="1"/>
  <c r="AE20" i="112" s="1"/>
  <c r="T8" i="112"/>
  <c r="T11" i="112" s="1"/>
  <c r="T14" i="112" s="1"/>
  <c r="T20" i="112" s="1"/>
  <c r="CN8" i="111"/>
  <c r="CN11" i="111" s="1"/>
  <c r="CN14" i="111" s="1"/>
  <c r="CN20" i="111" s="1"/>
  <c r="CF8" i="111"/>
  <c r="CF11" i="111" s="1"/>
  <c r="CF14" i="111" s="1"/>
  <c r="CF20" i="111" s="1"/>
  <c r="BX8" i="111"/>
  <c r="BX11" i="111" s="1"/>
  <c r="BX14" i="111" s="1"/>
  <c r="BX20" i="111" s="1"/>
  <c r="BP8" i="111"/>
  <c r="BP11" i="111" s="1"/>
  <c r="BP14" i="111" s="1"/>
  <c r="BP20" i="111" s="1"/>
  <c r="BH8" i="111"/>
  <c r="BH11" i="111" s="1"/>
  <c r="BH14" i="111" s="1"/>
  <c r="BH20" i="111" s="1"/>
  <c r="AZ8" i="111"/>
  <c r="AZ11" i="111" s="1"/>
  <c r="AZ14" i="111" s="1"/>
  <c r="AZ20" i="111" s="1"/>
  <c r="AR8" i="111"/>
  <c r="AR11" i="111" s="1"/>
  <c r="AR14" i="111" s="1"/>
  <c r="AR20" i="111" s="1"/>
  <c r="AJ8" i="111"/>
  <c r="AJ11" i="111" s="1"/>
  <c r="AJ14" i="111" s="1"/>
  <c r="AJ20" i="111" s="1"/>
  <c r="AB8" i="111"/>
  <c r="AB11" i="111" s="1"/>
  <c r="AB14" i="111" s="1"/>
  <c r="AB20" i="111" s="1"/>
  <c r="T8" i="111"/>
  <c r="T11" i="111" s="1"/>
  <c r="T14" i="111" s="1"/>
  <c r="T20" i="111" s="1"/>
  <c r="L8" i="111"/>
  <c r="L11" i="111" s="1"/>
  <c r="L14" i="111" s="1"/>
  <c r="L20" i="111" s="1"/>
  <c r="CJ8" i="110"/>
  <c r="CB8" i="110"/>
  <c r="BT8" i="110"/>
  <c r="BL8" i="110"/>
  <c r="BD8" i="110"/>
  <c r="AV8" i="110"/>
  <c r="AN8" i="110"/>
  <c r="AF8" i="110"/>
  <c r="X8" i="110"/>
  <c r="X11" i="110" s="1"/>
  <c r="BU8" i="111"/>
  <c r="BU11" i="111" s="1"/>
  <c r="BU14" i="111" s="1"/>
  <c r="BU20" i="111" s="1"/>
  <c r="Q8" i="111"/>
  <c r="Q11" i="111" s="1"/>
  <c r="Q14" i="111" s="1"/>
  <c r="Q20" i="111" s="1"/>
  <c r="BY8" i="110"/>
  <c r="U8" i="110"/>
  <c r="U11" i="110" s="1"/>
  <c r="U14" i="110" s="1"/>
  <c r="U20" i="110" s="1"/>
  <c r="CJ8" i="120"/>
  <c r="CJ13" i="120" s="1"/>
  <c r="CJ18" i="120" s="1"/>
  <c r="CJ24" i="120" s="1"/>
  <c r="DY122" i="22" s="1"/>
  <c r="P8" i="114"/>
  <c r="P11" i="114" s="1"/>
  <c r="P14" i="114" s="1"/>
  <c r="P20" i="114" s="1"/>
  <c r="CI8" i="111"/>
  <c r="CI11" i="111" s="1"/>
  <c r="CI14" i="111" s="1"/>
  <c r="CI20" i="111" s="1"/>
  <c r="AE8" i="111"/>
  <c r="AE11" i="111" s="1"/>
  <c r="AE14" i="111" s="1"/>
  <c r="AE20" i="111" s="1"/>
  <c r="BW8" i="110"/>
  <c r="V8" i="123"/>
  <c r="BE8" i="122"/>
  <c r="BE13" i="122" s="1"/>
  <c r="BE18" i="122" s="1"/>
  <c r="BE24" i="122" s="1"/>
  <c r="CT123" i="22" s="1"/>
  <c r="O9" i="101"/>
  <c r="O12" i="101" s="1"/>
  <c r="AQ8" i="120"/>
  <c r="AQ13" i="120" s="1"/>
  <c r="AQ18" i="120" s="1"/>
  <c r="AQ24" i="120" s="1"/>
  <c r="Q8" i="119"/>
  <c r="Q13" i="119" s="1"/>
  <c r="Q18" i="119" s="1"/>
  <c r="Q24" i="119" s="1"/>
  <c r="BA8" i="118"/>
  <c r="BA13" i="118" s="1"/>
  <c r="BA18" i="118" s="1"/>
  <c r="BA24" i="118" s="1"/>
  <c r="CP120" i="22" s="1"/>
  <c r="AU8" i="117"/>
  <c r="AU13" i="117" s="1"/>
  <c r="CH8" i="115"/>
  <c r="BB8" i="115"/>
  <c r="V8" i="115"/>
  <c r="CK8" i="114"/>
  <c r="BE8" i="114"/>
  <c r="Y8" i="114"/>
  <c r="CC8" i="113"/>
  <c r="CC11" i="113" s="1"/>
  <c r="CC14" i="113" s="1"/>
  <c r="CC20" i="113" s="1"/>
  <c r="AW8" i="113"/>
  <c r="AW11" i="113" s="1"/>
  <c r="AW14" i="113" s="1"/>
  <c r="AW20" i="113" s="1"/>
  <c r="Q8" i="113"/>
  <c r="Q11" i="113" s="1"/>
  <c r="Q14" i="113" s="1"/>
  <c r="Q20" i="113" s="1"/>
  <c r="CN8" i="112"/>
  <c r="CN11" i="112" s="1"/>
  <c r="CN14" i="112" s="1"/>
  <c r="CN20" i="112" s="1"/>
  <c r="BP8" i="112"/>
  <c r="BP11" i="112" s="1"/>
  <c r="BP14" i="112" s="1"/>
  <c r="BP20" i="112" s="1"/>
  <c r="AS8" i="112"/>
  <c r="AS11" i="112" s="1"/>
  <c r="AS14" i="112" s="1"/>
  <c r="AS20" i="112" s="1"/>
  <c r="AD8" i="112"/>
  <c r="AD11" i="112" s="1"/>
  <c r="AD14" i="112" s="1"/>
  <c r="AD20" i="112" s="1"/>
  <c r="P8" i="112"/>
  <c r="P11" i="112" s="1"/>
  <c r="P14" i="112" s="1"/>
  <c r="P20" i="112" s="1"/>
  <c r="CM8" i="111"/>
  <c r="CM11" i="111" s="1"/>
  <c r="CM14" i="111" s="1"/>
  <c r="CM20" i="111" s="1"/>
  <c r="CE8" i="111"/>
  <c r="CE11" i="111" s="1"/>
  <c r="CE14" i="111" s="1"/>
  <c r="CE20" i="111" s="1"/>
  <c r="BW8" i="111"/>
  <c r="BW11" i="111" s="1"/>
  <c r="BW14" i="111" s="1"/>
  <c r="BW20" i="111" s="1"/>
  <c r="BO8" i="111"/>
  <c r="BO11" i="111" s="1"/>
  <c r="BO14" i="111" s="1"/>
  <c r="BO20" i="111" s="1"/>
  <c r="BG8" i="111"/>
  <c r="BG11" i="111" s="1"/>
  <c r="BG14" i="111" s="1"/>
  <c r="BG20" i="111" s="1"/>
  <c r="AY8" i="111"/>
  <c r="AY11" i="111" s="1"/>
  <c r="AY14" i="111" s="1"/>
  <c r="AY20" i="111" s="1"/>
  <c r="AQ8" i="111"/>
  <c r="AQ11" i="111" s="1"/>
  <c r="AQ14" i="111" s="1"/>
  <c r="AQ20" i="111" s="1"/>
  <c r="AI8" i="111"/>
  <c r="AI11" i="111" s="1"/>
  <c r="AI14" i="111" s="1"/>
  <c r="AI20" i="111" s="1"/>
  <c r="AA8" i="111"/>
  <c r="AA11" i="111" s="1"/>
  <c r="AA14" i="111" s="1"/>
  <c r="AA20" i="111" s="1"/>
  <c r="S8" i="111"/>
  <c r="S11" i="111" s="1"/>
  <c r="S14" i="111" s="1"/>
  <c r="S20" i="111" s="1"/>
  <c r="K8" i="111"/>
  <c r="K11" i="111" s="1"/>
  <c r="K14" i="111" s="1"/>
  <c r="K20" i="111" s="1"/>
  <c r="CQ8" i="110"/>
  <c r="CI8" i="110"/>
  <c r="CA8" i="110"/>
  <c r="BS8" i="110"/>
  <c r="BK8" i="110"/>
  <c r="BC8" i="110"/>
  <c r="AU8" i="110"/>
  <c r="AM8" i="110"/>
  <c r="AE8" i="110"/>
  <c r="W8" i="110"/>
  <c r="W11" i="110" s="1"/>
  <c r="W14" i="110" s="1"/>
  <c r="W20" i="110" s="1"/>
  <c r="O8" i="110"/>
  <c r="O11" i="110" s="1"/>
  <c r="O14" i="110" s="1"/>
  <c r="O20" i="110" s="1"/>
  <c r="CH8" i="110"/>
  <c r="BJ8" i="110"/>
  <c r="AT8" i="110"/>
  <c r="AL8" i="110"/>
  <c r="V8" i="110"/>
  <c r="V11" i="110" s="1"/>
  <c r="V14" i="110" s="1"/>
  <c r="V20" i="110" s="1"/>
  <c r="AW8" i="111"/>
  <c r="AW11" i="111" s="1"/>
  <c r="AW14" i="111" s="1"/>
  <c r="AW20" i="111" s="1"/>
  <c r="CG8" i="110"/>
  <c r="AK8" i="110"/>
  <c r="M8" i="110"/>
  <c r="M11" i="110" s="1"/>
  <c r="M14" i="110" s="1"/>
  <c r="M20" i="110" s="1"/>
  <c r="AC8" i="118"/>
  <c r="AC13" i="118" s="1"/>
  <c r="AC18" i="118" s="1"/>
  <c r="AC24" i="118" s="1"/>
  <c r="AV8" i="114"/>
  <c r="BH8" i="112"/>
  <c r="BH11" i="112" s="1"/>
  <c r="BH14" i="112" s="1"/>
  <c r="BH20" i="112" s="1"/>
  <c r="CJ8" i="111"/>
  <c r="CJ11" i="111" s="1"/>
  <c r="CJ14" i="111" s="1"/>
  <c r="CJ20" i="111" s="1"/>
  <c r="BL8" i="111"/>
  <c r="BL11" i="111" s="1"/>
  <c r="BL14" i="111" s="1"/>
  <c r="BL20" i="111" s="1"/>
  <c r="AF8" i="111"/>
  <c r="AF11" i="111" s="1"/>
  <c r="AF14" i="111" s="1"/>
  <c r="AF20" i="111" s="1"/>
  <c r="CN8" i="110"/>
  <c r="AZ8" i="110"/>
  <c r="AR8" i="110"/>
  <c r="L8" i="110"/>
  <c r="L11" i="110" s="1"/>
  <c r="L14" i="110" s="1"/>
  <c r="L20" i="110" s="1"/>
  <c r="BI8" i="119"/>
  <c r="BI13" i="119" s="1"/>
  <c r="BI18" i="119" s="1"/>
  <c r="BI24" i="119" s="1"/>
  <c r="AO8" i="114"/>
  <c r="BY8" i="112"/>
  <c r="BY11" i="112" s="1"/>
  <c r="BY14" i="112" s="1"/>
  <c r="BY20" i="112" s="1"/>
  <c r="CR8" i="111"/>
  <c r="CR11" i="111" s="1"/>
  <c r="CR14" i="111" s="1"/>
  <c r="CR20" i="111" s="1"/>
  <c r="AY8" i="110"/>
  <c r="CK8" i="123"/>
  <c r="AK8" i="122"/>
  <c r="AK13" i="122" s="1"/>
  <c r="AK18" i="122" s="1"/>
  <c r="AK24" i="122" s="1"/>
  <c r="P9" i="101"/>
  <c r="P12" i="101" s="1"/>
  <c r="X8" i="120"/>
  <c r="X13" i="120" s="1"/>
  <c r="X18" i="120" s="1"/>
  <c r="X24" i="120" s="1"/>
  <c r="CG8" i="119"/>
  <c r="CG13" i="119" s="1"/>
  <c r="CG18" i="119" s="1"/>
  <c r="CG24" i="119" s="1"/>
  <c r="AX8" i="118"/>
  <c r="AX13" i="118" s="1"/>
  <c r="AX18" i="118" s="1"/>
  <c r="AX24" i="118" s="1"/>
  <c r="CM120" i="22" s="1"/>
  <c r="AD8" i="117"/>
  <c r="AD13" i="117" s="1"/>
  <c r="CG8" i="115"/>
  <c r="BA8" i="115"/>
  <c r="U8" i="115"/>
  <c r="CJ8" i="114"/>
  <c r="BD8" i="114"/>
  <c r="X8" i="114"/>
  <c r="CB8" i="113"/>
  <c r="CB11" i="113" s="1"/>
  <c r="CB14" i="113" s="1"/>
  <c r="CB20" i="113" s="1"/>
  <c r="AV8" i="113"/>
  <c r="AV11" i="113" s="1"/>
  <c r="AV14" i="113" s="1"/>
  <c r="AV20" i="113" s="1"/>
  <c r="P8" i="113"/>
  <c r="P11" i="113" s="1"/>
  <c r="P14" i="113" s="1"/>
  <c r="P20" i="113" s="1"/>
  <c r="CG8" i="112"/>
  <c r="CG11" i="112" s="1"/>
  <c r="CG14" i="112" s="1"/>
  <c r="CG20" i="112" s="1"/>
  <c r="BJ8" i="112"/>
  <c r="BJ11" i="112" s="1"/>
  <c r="BJ14" i="112" s="1"/>
  <c r="BJ20" i="112" s="1"/>
  <c r="AR8" i="112"/>
  <c r="AR11" i="112" s="1"/>
  <c r="AR14" i="112" s="1"/>
  <c r="AR20" i="112" s="1"/>
  <c r="AC8" i="112"/>
  <c r="AC11" i="112" s="1"/>
  <c r="AC14" i="112" s="1"/>
  <c r="AC20" i="112" s="1"/>
  <c r="O8" i="112"/>
  <c r="O11" i="112" s="1"/>
  <c r="O14" i="112" s="1"/>
  <c r="O20" i="112" s="1"/>
  <c r="CL8" i="111"/>
  <c r="CL11" i="111" s="1"/>
  <c r="CL14" i="111" s="1"/>
  <c r="CL20" i="111" s="1"/>
  <c r="CD8" i="111"/>
  <c r="CD11" i="111" s="1"/>
  <c r="CD14" i="111" s="1"/>
  <c r="CD20" i="111" s="1"/>
  <c r="BV8" i="111"/>
  <c r="BV11" i="111" s="1"/>
  <c r="BV14" i="111" s="1"/>
  <c r="BV20" i="111" s="1"/>
  <c r="BN8" i="111"/>
  <c r="BN11" i="111" s="1"/>
  <c r="BN14" i="111" s="1"/>
  <c r="BN20" i="111" s="1"/>
  <c r="BF8" i="111"/>
  <c r="BF11" i="111" s="1"/>
  <c r="BF14" i="111" s="1"/>
  <c r="BF20" i="111" s="1"/>
  <c r="AX8" i="111"/>
  <c r="AX11" i="111" s="1"/>
  <c r="AX14" i="111" s="1"/>
  <c r="AX20" i="111" s="1"/>
  <c r="AP8" i="111"/>
  <c r="AP11" i="111" s="1"/>
  <c r="AP14" i="111" s="1"/>
  <c r="AP20" i="111" s="1"/>
  <c r="AH8" i="111"/>
  <c r="AH11" i="111" s="1"/>
  <c r="AH14" i="111" s="1"/>
  <c r="AH20" i="111" s="1"/>
  <c r="Z8" i="111"/>
  <c r="Z11" i="111" s="1"/>
  <c r="Z14" i="111" s="1"/>
  <c r="Z20" i="111" s="1"/>
  <c r="R8" i="111"/>
  <c r="R11" i="111" s="1"/>
  <c r="R14" i="111" s="1"/>
  <c r="R20" i="111" s="1"/>
  <c r="J8" i="111"/>
  <c r="J11" i="111" s="1"/>
  <c r="J14" i="111" s="1"/>
  <c r="J20" i="111" s="1"/>
  <c r="CP8" i="110"/>
  <c r="BZ8" i="110"/>
  <c r="BR8" i="110"/>
  <c r="BB8" i="110"/>
  <c r="AD8" i="110"/>
  <c r="BM8" i="111"/>
  <c r="BM11" i="111" s="1"/>
  <c r="BM14" i="111" s="1"/>
  <c r="BM20" i="111" s="1"/>
  <c r="I8" i="111"/>
  <c r="I11" i="111" s="1"/>
  <c r="I14" i="111" s="1"/>
  <c r="I20" i="111" s="1"/>
  <c r="BQ8" i="110"/>
  <c r="BQ8" i="123"/>
  <c r="M8" i="115"/>
  <c r="X8" i="112"/>
  <c r="X11" i="112" s="1"/>
  <c r="X14" i="112" s="1"/>
  <c r="X20" i="112" s="1"/>
  <c r="BD8" i="111"/>
  <c r="BD11" i="111" s="1"/>
  <c r="BD14" i="111" s="1"/>
  <c r="BD20" i="111" s="1"/>
  <c r="BP8" i="110"/>
  <c r="AB8" i="110"/>
  <c r="M8" i="122"/>
  <c r="M13" i="122" s="1"/>
  <c r="M18" i="122" s="1"/>
  <c r="M24" i="122" s="1"/>
  <c r="I8" i="114"/>
  <c r="I11" i="114" s="1"/>
  <c r="I14" i="114" s="1"/>
  <c r="I20" i="114" s="1"/>
  <c r="AK8" i="112"/>
  <c r="AK11" i="112" s="1"/>
  <c r="AK14" i="112" s="1"/>
  <c r="AK20" i="112" s="1"/>
  <c r="BS8" i="111"/>
  <c r="BS11" i="111" s="1"/>
  <c r="BS14" i="111" s="1"/>
  <c r="BS20" i="111" s="1"/>
  <c r="AM8" i="111"/>
  <c r="AM11" i="111" s="1"/>
  <c r="AM14" i="111" s="1"/>
  <c r="AM20" i="111" s="1"/>
  <c r="CE8" i="110"/>
  <c r="CH8" i="123"/>
  <c r="AH8" i="122"/>
  <c r="AH13" i="122" s="1"/>
  <c r="AH18" i="122" s="1"/>
  <c r="AH24" i="122" s="1"/>
  <c r="AJ9" i="101"/>
  <c r="AJ12" i="101" s="1"/>
  <c r="W8" i="120"/>
  <c r="W13" i="120" s="1"/>
  <c r="W18" i="120" s="1"/>
  <c r="W24" i="120" s="1"/>
  <c r="CC8" i="119"/>
  <c r="CC13" i="119" s="1"/>
  <c r="CC18" i="119" s="1"/>
  <c r="CC24" i="119" s="1"/>
  <c r="AG8" i="118"/>
  <c r="AG13" i="118" s="1"/>
  <c r="AG18" i="118" s="1"/>
  <c r="AG24" i="118" s="1"/>
  <c r="Z8" i="117"/>
  <c r="Z13" i="117" s="1"/>
  <c r="BZ8" i="115"/>
  <c r="AT8" i="115"/>
  <c r="N8" i="115"/>
  <c r="CC8" i="114"/>
  <c r="AW8" i="114"/>
  <c r="Q8" i="114"/>
  <c r="Q11" i="114" s="1"/>
  <c r="Q14" i="114" s="1"/>
  <c r="Q20" i="114" s="1"/>
  <c r="BU8" i="113"/>
  <c r="BU11" i="113" s="1"/>
  <c r="BU14" i="113" s="1"/>
  <c r="BU20" i="113" s="1"/>
  <c r="AO8" i="113"/>
  <c r="AO11" i="113" s="1"/>
  <c r="AO14" i="113" s="1"/>
  <c r="AO20" i="113" s="1"/>
  <c r="I8" i="113"/>
  <c r="I11" i="113" s="1"/>
  <c r="I14" i="113" s="1"/>
  <c r="I20" i="113" s="1"/>
  <c r="CF8" i="112"/>
  <c r="CF11" i="112" s="1"/>
  <c r="CF14" i="112" s="1"/>
  <c r="CF20" i="112" s="1"/>
  <c r="BI8" i="112"/>
  <c r="BI11" i="112" s="1"/>
  <c r="BI14" i="112" s="1"/>
  <c r="BI20" i="112" s="1"/>
  <c r="AM8" i="112"/>
  <c r="AM11" i="112" s="1"/>
  <c r="AM14" i="112" s="1"/>
  <c r="AM20" i="112" s="1"/>
  <c r="AB8" i="112"/>
  <c r="AB11" i="112" s="1"/>
  <c r="AB14" i="112" s="1"/>
  <c r="AB20" i="112" s="1"/>
  <c r="N8" i="112"/>
  <c r="N11" i="112" s="1"/>
  <c r="N14" i="112" s="1"/>
  <c r="N20" i="112" s="1"/>
  <c r="CK8" i="111"/>
  <c r="CK11" i="111" s="1"/>
  <c r="CK14" i="111" s="1"/>
  <c r="CK20" i="111" s="1"/>
  <c r="CC8" i="111"/>
  <c r="CC11" i="111" s="1"/>
  <c r="CC14" i="111" s="1"/>
  <c r="CC20" i="111" s="1"/>
  <c r="AO8" i="111"/>
  <c r="AO11" i="111" s="1"/>
  <c r="AO14" i="111" s="1"/>
  <c r="AO20" i="111" s="1"/>
  <c r="Y8" i="111"/>
  <c r="Y11" i="111" s="1"/>
  <c r="Y14" i="111" s="1"/>
  <c r="Y20" i="111" s="1"/>
  <c r="CO8" i="110"/>
  <c r="BI8" i="110"/>
  <c r="AS8" i="110"/>
  <c r="AC8" i="110"/>
  <c r="Q8" i="122"/>
  <c r="Q13" i="122" s="1"/>
  <c r="Q18" i="122" s="1"/>
  <c r="Q24" i="122" s="1"/>
  <c r="N8" i="117"/>
  <c r="N13" i="117" s="1"/>
  <c r="BY8" i="115"/>
  <c r="BT8" i="113"/>
  <c r="BT11" i="113" s="1"/>
  <c r="BT14" i="113" s="1"/>
  <c r="BT20" i="113" s="1"/>
  <c r="AN8" i="111"/>
  <c r="AN11" i="111" s="1"/>
  <c r="AN14" i="111" s="1"/>
  <c r="AN20" i="111" s="1"/>
  <c r="BH8" i="110"/>
  <c r="BM8" i="123"/>
  <c r="CL8" i="117"/>
  <c r="CL13" i="117" s="1"/>
  <c r="BU8" i="114"/>
  <c r="BM8" i="113"/>
  <c r="BM11" i="113" s="1"/>
  <c r="BM14" i="113" s="1"/>
  <c r="BM20" i="113" s="1"/>
  <c r="L8" i="112"/>
  <c r="L11" i="112" s="1"/>
  <c r="L14" i="112" s="1"/>
  <c r="L20" i="112" s="1"/>
  <c r="BK8" i="111"/>
  <c r="BK11" i="111" s="1"/>
  <c r="BK14" i="111" s="1"/>
  <c r="BK20" i="111" s="1"/>
  <c r="W8" i="111"/>
  <c r="W11" i="111" s="1"/>
  <c r="W14" i="111" s="1"/>
  <c r="W20" i="111" s="1"/>
  <c r="CM8" i="110"/>
  <c r="AQ8" i="110"/>
  <c r="K8" i="110"/>
  <c r="K11" i="110" s="1"/>
  <c r="K14" i="110" s="1"/>
  <c r="K20" i="110" s="1"/>
  <c r="CK8" i="109"/>
  <c r="CC8" i="109"/>
  <c r="BU8" i="109"/>
  <c r="BM8" i="109"/>
  <c r="BE8" i="109"/>
  <c r="AW8" i="109"/>
  <c r="AO8" i="109"/>
  <c r="AG8" i="109"/>
  <c r="Y8" i="109"/>
  <c r="Q8" i="109"/>
  <c r="I8" i="109"/>
  <c r="DJ7" i="13"/>
  <c r="DJ11" i="13" s="1"/>
  <c r="DR7" i="13"/>
  <c r="DR11" i="13" s="1"/>
  <c r="DO8" i="13"/>
  <c r="DO12" i="13" s="1"/>
  <c r="CV8" i="13"/>
  <c r="CV12" i="13" s="1"/>
  <c r="DD8" i="13"/>
  <c r="DD12" i="13" s="1"/>
  <c r="CE8" i="109"/>
  <c r="AA8" i="109"/>
  <c r="DH7" i="13"/>
  <c r="DH11" i="13" s="1"/>
  <c r="DB8" i="13"/>
  <c r="DB12" i="13" s="1"/>
  <c r="BV8" i="109"/>
  <c r="AH8" i="109"/>
  <c r="R8" i="109"/>
  <c r="DQ7" i="13"/>
  <c r="DQ11" i="13" s="1"/>
  <c r="DC8" i="13"/>
  <c r="DC12" i="13" s="1"/>
  <c r="CR8" i="109"/>
  <c r="CJ8" i="109"/>
  <c r="CB8" i="109"/>
  <c r="BT8" i="109"/>
  <c r="BL8" i="109"/>
  <c r="BD8" i="109"/>
  <c r="AV8" i="109"/>
  <c r="AN8" i="109"/>
  <c r="AF8" i="109"/>
  <c r="X8" i="109"/>
  <c r="P8" i="109"/>
  <c r="DK7" i="13"/>
  <c r="DK11" i="13" s="1"/>
  <c r="DH8" i="13"/>
  <c r="DH12" i="13" s="1"/>
  <c r="DP8" i="13"/>
  <c r="DP12" i="13" s="1"/>
  <c r="DG8" i="13"/>
  <c r="DG12" i="13" s="1"/>
  <c r="CW8" i="13"/>
  <c r="CW12" i="13" s="1"/>
  <c r="DE8" i="13"/>
  <c r="DE12" i="13" s="1"/>
  <c r="CM8" i="109"/>
  <c r="AI8" i="109"/>
  <c r="DM8" i="13"/>
  <c r="DM12" i="13" s="1"/>
  <c r="AX8" i="109"/>
  <c r="CQ8" i="109"/>
  <c r="CI8" i="109"/>
  <c r="CA8" i="109"/>
  <c r="BS8" i="109"/>
  <c r="BK8" i="109"/>
  <c r="BC8" i="109"/>
  <c r="AU8" i="109"/>
  <c r="AM8" i="109"/>
  <c r="AE8" i="109"/>
  <c r="W8" i="109"/>
  <c r="O8" i="109"/>
  <c r="DL7" i="13"/>
  <c r="DL11" i="13" s="1"/>
  <c r="DI8" i="13"/>
  <c r="DI12" i="13" s="1"/>
  <c r="DQ8" i="13"/>
  <c r="DQ12" i="13" s="1"/>
  <c r="DG7" i="13"/>
  <c r="DG11" i="13" s="1"/>
  <c r="CX8" i="13"/>
  <c r="CX12" i="13" s="1"/>
  <c r="DF8" i="13"/>
  <c r="DF12" i="13" s="1"/>
  <c r="BW8" i="109"/>
  <c r="K8" i="109"/>
  <c r="DP7" i="13"/>
  <c r="DP11" i="13" s="1"/>
  <c r="CD8" i="109"/>
  <c r="AP8" i="109"/>
  <c r="Z8" i="109"/>
  <c r="DI7" i="13"/>
  <c r="DI11" i="13" s="1"/>
  <c r="DN8" i="13"/>
  <c r="DN12" i="13" s="1"/>
  <c r="CP8" i="109"/>
  <c r="CH8" i="109"/>
  <c r="BZ8" i="109"/>
  <c r="BR8" i="109"/>
  <c r="BJ8" i="109"/>
  <c r="BB8" i="109"/>
  <c r="AT8" i="109"/>
  <c r="AL8" i="109"/>
  <c r="AD8" i="109"/>
  <c r="V8" i="109"/>
  <c r="N8" i="109"/>
  <c r="DM7" i="13"/>
  <c r="DM11" i="13" s="1"/>
  <c r="DJ8" i="13"/>
  <c r="DJ12" i="13" s="1"/>
  <c r="DR8" i="13"/>
  <c r="DR12" i="13" s="1"/>
  <c r="CY8" i="13"/>
  <c r="CY12" i="13" s="1"/>
  <c r="CL8" i="109"/>
  <c r="J8" i="109"/>
  <c r="CO8" i="109"/>
  <c r="CG8" i="109"/>
  <c r="BY8" i="109"/>
  <c r="BQ8" i="109"/>
  <c r="BI8" i="109"/>
  <c r="BA8" i="109"/>
  <c r="AS8" i="109"/>
  <c r="AK8" i="109"/>
  <c r="AC8" i="109"/>
  <c r="U8" i="109"/>
  <c r="M8" i="109"/>
  <c r="DN7" i="13"/>
  <c r="DN11" i="13" s="1"/>
  <c r="DK8" i="13"/>
  <c r="DK12" i="13" s="1"/>
  <c r="CZ8" i="13"/>
  <c r="CZ12" i="13" s="1"/>
  <c r="BG8" i="109"/>
  <c r="AY8" i="109"/>
  <c r="S8" i="109"/>
  <c r="BN8" i="109"/>
  <c r="CN8" i="109"/>
  <c r="CF8" i="109"/>
  <c r="BX8" i="109"/>
  <c r="BP8" i="109"/>
  <c r="BH8" i="109"/>
  <c r="AZ8" i="109"/>
  <c r="AR8" i="109"/>
  <c r="AJ8" i="109"/>
  <c r="AB8" i="109"/>
  <c r="T8" i="109"/>
  <c r="L8" i="109"/>
  <c r="DO7" i="13"/>
  <c r="DO11" i="13" s="1"/>
  <c r="DL8" i="13"/>
  <c r="DL12" i="13" s="1"/>
  <c r="DA8" i="13"/>
  <c r="DA12" i="13" s="1"/>
  <c r="BO8" i="109"/>
  <c r="AQ8" i="109"/>
  <c r="BF8" i="109"/>
  <c r="BN9" i="106"/>
  <c r="BN12" i="106" s="1"/>
  <c r="BV9" i="106"/>
  <c r="BV12" i="106" s="1"/>
  <c r="CD9" i="106"/>
  <c r="CD12" i="106" s="1"/>
  <c r="CL9" i="106"/>
  <c r="CL12" i="106" s="1"/>
  <c r="BI9" i="106"/>
  <c r="BI12" i="106" s="1"/>
  <c r="O9" i="106"/>
  <c r="O12" i="106" s="1"/>
  <c r="W9" i="106"/>
  <c r="W12" i="106" s="1"/>
  <c r="AE9" i="106"/>
  <c r="AE12" i="106" s="1"/>
  <c r="AM9" i="106"/>
  <c r="AM12" i="106" s="1"/>
  <c r="AU9" i="106"/>
  <c r="AU12" i="106" s="1"/>
  <c r="BC9" i="106"/>
  <c r="BC12" i="106" s="1"/>
  <c r="I8" i="106"/>
  <c r="I11" i="106" s="1"/>
  <c r="CE9" i="106"/>
  <c r="CE12" i="106" s="1"/>
  <c r="BJ9" i="106"/>
  <c r="BJ12" i="106" s="1"/>
  <c r="P9" i="106"/>
  <c r="P12" i="106" s="1"/>
  <c r="AF9" i="106"/>
  <c r="AF12" i="106" s="1"/>
  <c r="AV9" i="106"/>
  <c r="AV12" i="106" s="1"/>
  <c r="BO9" i="106"/>
  <c r="BO12" i="106" s="1"/>
  <c r="BP9" i="106"/>
  <c r="BP12" i="106" s="1"/>
  <c r="BX9" i="106"/>
  <c r="BX12" i="106" s="1"/>
  <c r="CF9" i="106"/>
  <c r="CF12" i="106" s="1"/>
  <c r="BK9" i="106"/>
  <c r="BK12" i="106" s="1"/>
  <c r="AO9" i="106"/>
  <c r="AO12" i="106" s="1"/>
  <c r="CG9" i="106"/>
  <c r="CG12" i="106" s="1"/>
  <c r="Z9" i="106"/>
  <c r="Z12" i="106" s="1"/>
  <c r="BF9" i="106"/>
  <c r="BF12" i="106" s="1"/>
  <c r="BQ9" i="106"/>
  <c r="BQ12" i="106" s="1"/>
  <c r="BR9" i="106"/>
  <c r="BR12" i="106" s="1"/>
  <c r="BZ9" i="106"/>
  <c r="BZ12" i="106" s="1"/>
  <c r="CH9" i="106"/>
  <c r="CH12" i="106" s="1"/>
  <c r="CP9" i="106"/>
  <c r="CP12" i="106" s="1"/>
  <c r="BM9" i="106"/>
  <c r="BM12" i="106" s="1"/>
  <c r="S9" i="106"/>
  <c r="S12" i="106" s="1"/>
  <c r="AA9" i="106"/>
  <c r="AA12" i="106" s="1"/>
  <c r="AI9" i="106"/>
  <c r="AI12" i="106" s="1"/>
  <c r="AQ9" i="106"/>
  <c r="AQ12" i="106" s="1"/>
  <c r="AY9" i="106"/>
  <c r="AY12" i="106" s="1"/>
  <c r="J9" i="106"/>
  <c r="J12" i="106" s="1"/>
  <c r="T9" i="106"/>
  <c r="T12" i="106" s="1"/>
  <c r="AJ9" i="106"/>
  <c r="AJ12" i="106" s="1"/>
  <c r="AZ9" i="106"/>
  <c r="AZ12" i="106" s="1"/>
  <c r="L9" i="106"/>
  <c r="L12" i="106" s="1"/>
  <c r="BS9" i="106"/>
  <c r="BS12" i="106" s="1"/>
  <c r="CA9" i="106"/>
  <c r="CA12" i="106" s="1"/>
  <c r="CI9" i="106"/>
  <c r="CI12" i="106" s="1"/>
  <c r="CQ9" i="106"/>
  <c r="CQ12" i="106" s="1"/>
  <c r="BG9" i="106"/>
  <c r="BG12" i="106" s="1"/>
  <c r="AB9" i="106"/>
  <c r="AB12" i="106" s="1"/>
  <c r="AR9" i="106"/>
  <c r="AR12" i="106" s="1"/>
  <c r="K9" i="106"/>
  <c r="K12" i="106" s="1"/>
  <c r="BT9" i="106"/>
  <c r="BT12" i="106" s="1"/>
  <c r="CB9" i="106"/>
  <c r="CB12" i="106" s="1"/>
  <c r="CJ9" i="106"/>
  <c r="CJ12" i="106" s="1"/>
  <c r="M9" i="106"/>
  <c r="M12" i="106" s="1"/>
  <c r="U9" i="106"/>
  <c r="U12" i="106" s="1"/>
  <c r="AC9" i="106"/>
  <c r="AC12" i="106" s="1"/>
  <c r="AK9" i="106"/>
  <c r="AK12" i="106" s="1"/>
  <c r="AS9" i="106"/>
  <c r="AS12" i="106" s="1"/>
  <c r="BU9" i="106"/>
  <c r="BU12" i="106" s="1"/>
  <c r="CC9" i="106"/>
  <c r="CC12" i="106" s="1"/>
  <c r="CK9" i="106"/>
  <c r="CK12" i="106" s="1"/>
  <c r="BH9" i="106"/>
  <c r="BH12" i="106" s="1"/>
  <c r="N9" i="106"/>
  <c r="N12" i="106" s="1"/>
  <c r="V9" i="106"/>
  <c r="V12" i="106" s="1"/>
  <c r="AD9" i="106"/>
  <c r="AD12" i="106" s="1"/>
  <c r="AL9" i="106"/>
  <c r="AL12" i="106" s="1"/>
  <c r="AT9" i="106"/>
  <c r="AT12" i="106" s="1"/>
  <c r="BB9" i="106"/>
  <c r="BB12" i="106" s="1"/>
  <c r="I9" i="106"/>
  <c r="I12" i="106" s="1"/>
  <c r="BW9" i="106"/>
  <c r="BW12" i="106" s="1"/>
  <c r="CM9" i="106"/>
  <c r="CM12" i="106" s="1"/>
  <c r="X9" i="106"/>
  <c r="X12" i="106" s="1"/>
  <c r="AN9" i="106"/>
  <c r="AN12" i="106" s="1"/>
  <c r="BD9" i="106"/>
  <c r="BD12" i="106" s="1"/>
  <c r="CN9" i="106"/>
  <c r="CN12" i="106" s="1"/>
  <c r="Q9" i="106"/>
  <c r="Q12" i="106" s="1"/>
  <c r="Y9" i="106"/>
  <c r="Y12" i="106" s="1"/>
  <c r="AG9" i="106"/>
  <c r="AG12" i="106" s="1"/>
  <c r="AW9" i="106"/>
  <c r="AW12" i="106" s="1"/>
  <c r="BE9" i="106"/>
  <c r="BE12" i="106" s="1"/>
  <c r="BY9" i="106"/>
  <c r="BY12" i="106" s="1"/>
  <c r="CO9" i="106"/>
  <c r="CO12" i="106" s="1"/>
  <c r="BL9" i="106"/>
  <c r="BL12" i="106" s="1"/>
  <c r="R9" i="106"/>
  <c r="R12" i="106" s="1"/>
  <c r="AH9" i="106"/>
  <c r="AH12" i="106" s="1"/>
  <c r="AP9" i="106"/>
  <c r="AP12" i="106" s="1"/>
  <c r="AX9" i="106"/>
  <c r="AX12" i="106" s="1"/>
  <c r="BA9" i="106"/>
  <c r="BA12" i="106" s="1"/>
  <c r="CK8" i="108"/>
  <c r="CC8" i="108"/>
  <c r="BU8" i="108"/>
  <c r="BM8" i="108"/>
  <c r="BE8" i="108"/>
  <c r="AW8" i="108"/>
  <c r="AO8" i="108"/>
  <c r="AG8" i="108"/>
  <c r="Y8" i="108"/>
  <c r="Q8" i="108"/>
  <c r="I8" i="108"/>
  <c r="CO8" i="107"/>
  <c r="CG8" i="107"/>
  <c r="BY8" i="107"/>
  <c r="BQ8" i="107"/>
  <c r="BI8" i="107"/>
  <c r="BA8" i="107"/>
  <c r="AS8" i="107"/>
  <c r="AK8" i="107"/>
  <c r="AC8" i="107"/>
  <c r="U8" i="107"/>
  <c r="M8" i="107"/>
  <c r="BB8" i="107"/>
  <c r="AD8" i="107"/>
  <c r="CJ8" i="108"/>
  <c r="CB8" i="108"/>
  <c r="BT8" i="108"/>
  <c r="BL8" i="108"/>
  <c r="BD8" i="108"/>
  <c r="AV8" i="108"/>
  <c r="AN8" i="108"/>
  <c r="AF8" i="108"/>
  <c r="X8" i="108"/>
  <c r="P8" i="108"/>
  <c r="CN8" i="107"/>
  <c r="CF8" i="107"/>
  <c r="BX8" i="107"/>
  <c r="BP8" i="107"/>
  <c r="BH8" i="107"/>
  <c r="AZ8" i="107"/>
  <c r="AR8" i="107"/>
  <c r="AJ8" i="107"/>
  <c r="AB8" i="107"/>
  <c r="T8" i="107"/>
  <c r="L8" i="107"/>
  <c r="BP8" i="108"/>
  <c r="BH8" i="108"/>
  <c r="AJ8" i="108"/>
  <c r="BL8" i="107"/>
  <c r="AF8" i="107"/>
  <c r="CE8" i="108"/>
  <c r="BG8" i="108"/>
  <c r="AQ8" i="108"/>
  <c r="S8" i="108"/>
  <c r="CA8" i="107"/>
  <c r="AU8" i="107"/>
  <c r="O8" i="107"/>
  <c r="BN8" i="108"/>
  <c r="BF8" i="108"/>
  <c r="AH8" i="108"/>
  <c r="J8" i="108"/>
  <c r="BR8" i="107"/>
  <c r="AT8" i="107"/>
  <c r="CQ8" i="108"/>
  <c r="CI8" i="108"/>
  <c r="CA8" i="108"/>
  <c r="BS8" i="108"/>
  <c r="BK8" i="108"/>
  <c r="BC8" i="108"/>
  <c r="AU8" i="108"/>
  <c r="AM8" i="108"/>
  <c r="AE8" i="108"/>
  <c r="W8" i="108"/>
  <c r="O8" i="108"/>
  <c r="CM8" i="107"/>
  <c r="CE8" i="107"/>
  <c r="BW8" i="107"/>
  <c r="BO8" i="107"/>
  <c r="BG8" i="107"/>
  <c r="AY8" i="107"/>
  <c r="AQ8" i="107"/>
  <c r="AI8" i="107"/>
  <c r="AA8" i="107"/>
  <c r="S8" i="107"/>
  <c r="K8" i="107"/>
  <c r="BX8" i="108"/>
  <c r="AZ8" i="108"/>
  <c r="T8" i="108"/>
  <c r="CJ8" i="107"/>
  <c r="BD8" i="107"/>
  <c r="X8" i="107"/>
  <c r="BW8" i="108"/>
  <c r="AY8" i="108"/>
  <c r="AA8" i="108"/>
  <c r="CI8" i="107"/>
  <c r="BC8" i="107"/>
  <c r="AE8" i="107"/>
  <c r="CD8" i="108"/>
  <c r="AX8" i="108"/>
  <c r="R8" i="108"/>
  <c r="BZ8" i="107"/>
  <c r="V8" i="107"/>
  <c r="CP8" i="108"/>
  <c r="CH8" i="108"/>
  <c r="BZ8" i="108"/>
  <c r="BR8" i="108"/>
  <c r="BJ8" i="108"/>
  <c r="BB8" i="108"/>
  <c r="AT8" i="108"/>
  <c r="AL8" i="108"/>
  <c r="AD8" i="108"/>
  <c r="V8" i="108"/>
  <c r="N8" i="108"/>
  <c r="CL8" i="107"/>
  <c r="CD8" i="107"/>
  <c r="BV8" i="107"/>
  <c r="BN8" i="107"/>
  <c r="BF8" i="107"/>
  <c r="AX8" i="107"/>
  <c r="AP8" i="107"/>
  <c r="AH8" i="107"/>
  <c r="Z8" i="107"/>
  <c r="R8" i="107"/>
  <c r="J8" i="107"/>
  <c r="CF8" i="108"/>
  <c r="AR8" i="108"/>
  <c r="L8" i="108"/>
  <c r="BT8" i="107"/>
  <c r="AN8" i="107"/>
  <c r="CM8" i="108"/>
  <c r="K8" i="108"/>
  <c r="BS8" i="107"/>
  <c r="AM8" i="107"/>
  <c r="CL8" i="108"/>
  <c r="Z8" i="108"/>
  <c r="CH8" i="107"/>
  <c r="BJ8" i="107"/>
  <c r="AL8" i="107"/>
  <c r="CO8" i="108"/>
  <c r="CG8" i="108"/>
  <c r="BY8" i="108"/>
  <c r="BQ8" i="108"/>
  <c r="BI8" i="108"/>
  <c r="BA8" i="108"/>
  <c r="AS8" i="108"/>
  <c r="AK8" i="108"/>
  <c r="AC8" i="108"/>
  <c r="U8" i="108"/>
  <c r="M8" i="108"/>
  <c r="CK8" i="107"/>
  <c r="CC8" i="107"/>
  <c r="BU8" i="107"/>
  <c r="BM8" i="107"/>
  <c r="BE8" i="107"/>
  <c r="AW8" i="107"/>
  <c r="AO8" i="107"/>
  <c r="AG8" i="107"/>
  <c r="Y8" i="107"/>
  <c r="Q8" i="107"/>
  <c r="I8" i="107"/>
  <c r="CN8" i="108"/>
  <c r="AB8" i="108"/>
  <c r="CB8" i="107"/>
  <c r="AV8" i="107"/>
  <c r="P8" i="107"/>
  <c r="BO8" i="108"/>
  <c r="AI8" i="108"/>
  <c r="CQ8" i="107"/>
  <c r="BK8" i="107"/>
  <c r="W8" i="107"/>
  <c r="BV8" i="108"/>
  <c r="AP8" i="108"/>
  <c r="CP8" i="107"/>
  <c r="N8" i="107"/>
  <c r="CL8" i="106"/>
  <c r="CL11" i="106" s="1"/>
  <c r="CD8" i="106"/>
  <c r="CD11" i="106" s="1"/>
  <c r="BV8" i="106"/>
  <c r="BV11" i="106" s="1"/>
  <c r="BN8" i="106"/>
  <c r="BN11" i="106" s="1"/>
  <c r="BF8" i="106"/>
  <c r="BF11" i="106" s="1"/>
  <c r="AX8" i="106"/>
  <c r="AX11" i="106" s="1"/>
  <c r="AP8" i="106"/>
  <c r="AP11" i="106" s="1"/>
  <c r="AH8" i="106"/>
  <c r="AH11" i="106" s="1"/>
  <c r="Z8" i="106"/>
  <c r="Z11" i="106" s="1"/>
  <c r="R8" i="106"/>
  <c r="R11" i="106" s="1"/>
  <c r="J8" i="106"/>
  <c r="J11" i="106" s="1"/>
  <c r="CP8" i="105"/>
  <c r="CP11" i="105" s="1"/>
  <c r="CP14" i="105" s="1"/>
  <c r="CP20" i="105" s="1"/>
  <c r="EE108" i="22" s="1"/>
  <c r="CH8" i="105"/>
  <c r="CH11" i="105" s="1"/>
  <c r="CH14" i="105" s="1"/>
  <c r="CH20" i="105" s="1"/>
  <c r="DW108" i="22" s="1"/>
  <c r="BZ8" i="105"/>
  <c r="BZ11" i="105" s="1"/>
  <c r="BZ14" i="105" s="1"/>
  <c r="BZ20" i="105" s="1"/>
  <c r="DO108" i="22" s="1"/>
  <c r="BR8" i="105"/>
  <c r="BR11" i="105" s="1"/>
  <c r="BR14" i="105" s="1"/>
  <c r="BR20" i="105" s="1"/>
  <c r="DG108" i="22" s="1"/>
  <c r="BJ8" i="105"/>
  <c r="BJ11" i="105" s="1"/>
  <c r="BJ14" i="105" s="1"/>
  <c r="BJ20" i="105" s="1"/>
  <c r="CY108" i="22" s="1"/>
  <c r="BB8" i="105"/>
  <c r="BB11" i="105" s="1"/>
  <c r="BB14" i="105" s="1"/>
  <c r="BB20" i="105" s="1"/>
  <c r="CQ108" i="22" s="1"/>
  <c r="AT8" i="105"/>
  <c r="AT11" i="105" s="1"/>
  <c r="AT14" i="105" s="1"/>
  <c r="AT20" i="105" s="1"/>
  <c r="CI108" i="22" s="1"/>
  <c r="AL8" i="105"/>
  <c r="AL11" i="105" s="1"/>
  <c r="AL14" i="105" s="1"/>
  <c r="AL20" i="105" s="1"/>
  <c r="AD8" i="105"/>
  <c r="AD11" i="105" s="1"/>
  <c r="AD14" i="105" s="1"/>
  <c r="AD20" i="105" s="1"/>
  <c r="V8" i="105"/>
  <c r="V11" i="105" s="1"/>
  <c r="V14" i="105" s="1"/>
  <c r="V20" i="105" s="1"/>
  <c r="N8" i="105"/>
  <c r="N11" i="105" s="1"/>
  <c r="N14" i="105" s="1"/>
  <c r="N20" i="105" s="1"/>
  <c r="CL8" i="104"/>
  <c r="CL11" i="104" s="1"/>
  <c r="CL14" i="104" s="1"/>
  <c r="CD8" i="104"/>
  <c r="CD11" i="104" s="1"/>
  <c r="CD14" i="104" s="1"/>
  <c r="BV8" i="104"/>
  <c r="BV11" i="104" s="1"/>
  <c r="BV14" i="104" s="1"/>
  <c r="BN8" i="104"/>
  <c r="BN11" i="104" s="1"/>
  <c r="BN14" i="104" s="1"/>
  <c r="BF8" i="104"/>
  <c r="BF11" i="104" s="1"/>
  <c r="BF14" i="104" s="1"/>
  <c r="AX8" i="104"/>
  <c r="AX11" i="104" s="1"/>
  <c r="AX14" i="104" s="1"/>
  <c r="AP8" i="104"/>
  <c r="AP11" i="104" s="1"/>
  <c r="AP14" i="104" s="1"/>
  <c r="AP20" i="104" s="1"/>
  <c r="AH8" i="104"/>
  <c r="AH11" i="104" s="1"/>
  <c r="AH14" i="104" s="1"/>
  <c r="AH20" i="104" s="1"/>
  <c r="Z8" i="104"/>
  <c r="Z11" i="104" s="1"/>
  <c r="Z14" i="104" s="1"/>
  <c r="R8" i="104"/>
  <c r="R11" i="104" s="1"/>
  <c r="R14" i="104" s="1"/>
  <c r="R20" i="104" s="1"/>
  <c r="J8" i="104"/>
  <c r="J11" i="104" s="1"/>
  <c r="J14" i="104" s="1"/>
  <c r="J20" i="104" s="1"/>
  <c r="CH8" i="106"/>
  <c r="CH11" i="106" s="1"/>
  <c r="BJ8" i="106"/>
  <c r="BJ11" i="106" s="1"/>
  <c r="BB8" i="106"/>
  <c r="BB11" i="106" s="1"/>
  <c r="AL8" i="106"/>
  <c r="AL11" i="106" s="1"/>
  <c r="N8" i="106"/>
  <c r="N11" i="106" s="1"/>
  <c r="BN8" i="105"/>
  <c r="BN11" i="105" s="1"/>
  <c r="BN14" i="105" s="1"/>
  <c r="BN20" i="105" s="1"/>
  <c r="DC108" i="22" s="1"/>
  <c r="Z8" i="105"/>
  <c r="Z11" i="105" s="1"/>
  <c r="Z14" i="105" s="1"/>
  <c r="Z20" i="105" s="1"/>
  <c r="CH8" i="104"/>
  <c r="CH11" i="104" s="1"/>
  <c r="CH14" i="104" s="1"/>
  <c r="BJ8" i="104"/>
  <c r="BJ11" i="104" s="1"/>
  <c r="BJ14" i="104" s="1"/>
  <c r="CK8" i="106"/>
  <c r="CK11" i="106" s="1"/>
  <c r="CC8" i="106"/>
  <c r="CC11" i="106" s="1"/>
  <c r="BU8" i="106"/>
  <c r="BU11" i="106" s="1"/>
  <c r="BM8" i="106"/>
  <c r="BM11" i="106" s="1"/>
  <c r="BE8" i="106"/>
  <c r="BE11" i="106" s="1"/>
  <c r="AW8" i="106"/>
  <c r="AW11" i="106" s="1"/>
  <c r="AO8" i="106"/>
  <c r="AO11" i="106" s="1"/>
  <c r="AG8" i="106"/>
  <c r="AG11" i="106" s="1"/>
  <c r="Y8" i="106"/>
  <c r="Y11" i="106" s="1"/>
  <c r="Q8" i="106"/>
  <c r="Q11" i="106" s="1"/>
  <c r="CO8" i="105"/>
  <c r="CO11" i="105" s="1"/>
  <c r="CO14" i="105" s="1"/>
  <c r="CO20" i="105" s="1"/>
  <c r="ED108" i="22" s="1"/>
  <c r="CG8" i="105"/>
  <c r="CG11" i="105" s="1"/>
  <c r="CG14" i="105" s="1"/>
  <c r="CG20" i="105" s="1"/>
  <c r="DV108" i="22" s="1"/>
  <c r="BY8" i="105"/>
  <c r="BY11" i="105" s="1"/>
  <c r="BY14" i="105" s="1"/>
  <c r="BY20" i="105" s="1"/>
  <c r="DN108" i="22" s="1"/>
  <c r="BQ8" i="105"/>
  <c r="BQ11" i="105" s="1"/>
  <c r="BQ14" i="105" s="1"/>
  <c r="BQ20" i="105" s="1"/>
  <c r="DF108" i="22" s="1"/>
  <c r="BI8" i="105"/>
  <c r="BI11" i="105" s="1"/>
  <c r="BI14" i="105" s="1"/>
  <c r="BI20" i="105" s="1"/>
  <c r="CX108" i="22" s="1"/>
  <c r="BA8" i="105"/>
  <c r="BA11" i="105" s="1"/>
  <c r="BA14" i="105" s="1"/>
  <c r="BA20" i="105" s="1"/>
  <c r="CP108" i="22" s="1"/>
  <c r="AS8" i="105"/>
  <c r="AS11" i="105" s="1"/>
  <c r="AS14" i="105" s="1"/>
  <c r="AS20" i="105" s="1"/>
  <c r="CH108" i="22" s="1"/>
  <c r="AK8" i="105"/>
  <c r="AK11" i="105" s="1"/>
  <c r="AK14" i="105" s="1"/>
  <c r="AK20" i="105" s="1"/>
  <c r="AC8" i="105"/>
  <c r="AC11" i="105" s="1"/>
  <c r="AC14" i="105" s="1"/>
  <c r="AC20" i="105" s="1"/>
  <c r="U8" i="105"/>
  <c r="U11" i="105" s="1"/>
  <c r="U14" i="105" s="1"/>
  <c r="U20" i="105" s="1"/>
  <c r="M8" i="105"/>
  <c r="M11" i="105" s="1"/>
  <c r="M14" i="105" s="1"/>
  <c r="M20" i="105" s="1"/>
  <c r="CK8" i="104"/>
  <c r="CK11" i="104" s="1"/>
  <c r="CK14" i="104" s="1"/>
  <c r="CC8" i="104"/>
  <c r="CC11" i="104" s="1"/>
  <c r="CC14" i="104" s="1"/>
  <c r="BU8" i="104"/>
  <c r="BU11" i="104" s="1"/>
  <c r="BU14" i="104" s="1"/>
  <c r="BM8" i="104"/>
  <c r="BM11" i="104" s="1"/>
  <c r="BM14" i="104" s="1"/>
  <c r="BE8" i="104"/>
  <c r="BE11" i="104" s="1"/>
  <c r="BE14" i="104" s="1"/>
  <c r="AW8" i="104"/>
  <c r="AW11" i="104" s="1"/>
  <c r="AW14" i="104" s="1"/>
  <c r="AO8" i="104"/>
  <c r="AO11" i="104" s="1"/>
  <c r="AO14" i="104" s="1"/>
  <c r="AO20" i="104" s="1"/>
  <c r="AG8" i="104"/>
  <c r="AG11" i="104" s="1"/>
  <c r="AG14" i="104" s="1"/>
  <c r="AG20" i="104" s="1"/>
  <c r="Y8" i="104"/>
  <c r="Y11" i="104" s="1"/>
  <c r="Y14" i="104" s="1"/>
  <c r="Q8" i="104"/>
  <c r="Q11" i="104" s="1"/>
  <c r="Q14" i="104" s="1"/>
  <c r="Q20" i="104" s="1"/>
  <c r="I8" i="104"/>
  <c r="I11" i="104" s="1"/>
  <c r="I14" i="104" s="1"/>
  <c r="I20" i="104" s="1"/>
  <c r="BR8" i="106"/>
  <c r="BR11" i="106" s="1"/>
  <c r="CL8" i="105"/>
  <c r="CL11" i="105" s="1"/>
  <c r="CL14" i="105" s="1"/>
  <c r="CL20" i="105" s="1"/>
  <c r="EA108" i="22" s="1"/>
  <c r="BF8" i="105"/>
  <c r="BF11" i="105" s="1"/>
  <c r="BF14" i="105" s="1"/>
  <c r="BF20" i="105" s="1"/>
  <c r="CU108" i="22" s="1"/>
  <c r="AH8" i="105"/>
  <c r="AH11" i="105" s="1"/>
  <c r="AH14" i="105" s="1"/>
  <c r="AH20" i="105" s="1"/>
  <c r="CP8" i="104"/>
  <c r="CP11" i="104" s="1"/>
  <c r="CP14" i="104" s="1"/>
  <c r="BB8" i="104"/>
  <c r="BB11" i="104" s="1"/>
  <c r="BB14" i="104" s="1"/>
  <c r="CJ8" i="106"/>
  <c r="CJ11" i="106" s="1"/>
  <c r="CB8" i="106"/>
  <c r="CB11" i="106" s="1"/>
  <c r="BT8" i="106"/>
  <c r="BT11" i="106" s="1"/>
  <c r="BL8" i="106"/>
  <c r="BL11" i="106" s="1"/>
  <c r="BD8" i="106"/>
  <c r="BD11" i="106" s="1"/>
  <c r="AV8" i="106"/>
  <c r="AV11" i="106" s="1"/>
  <c r="AN8" i="106"/>
  <c r="AN11" i="106" s="1"/>
  <c r="AF8" i="106"/>
  <c r="AF11" i="106" s="1"/>
  <c r="X8" i="106"/>
  <c r="X11" i="106" s="1"/>
  <c r="P8" i="106"/>
  <c r="P11" i="106" s="1"/>
  <c r="CN8" i="105"/>
  <c r="CN11" i="105" s="1"/>
  <c r="CN14" i="105" s="1"/>
  <c r="CN20" i="105" s="1"/>
  <c r="EC108" i="22" s="1"/>
  <c r="CF8" i="105"/>
  <c r="CF11" i="105" s="1"/>
  <c r="CF14" i="105" s="1"/>
  <c r="CF20" i="105" s="1"/>
  <c r="DU108" i="22" s="1"/>
  <c r="BX8" i="105"/>
  <c r="BX11" i="105" s="1"/>
  <c r="BX14" i="105" s="1"/>
  <c r="BX20" i="105" s="1"/>
  <c r="DM108" i="22" s="1"/>
  <c r="BP8" i="105"/>
  <c r="BP11" i="105" s="1"/>
  <c r="BP14" i="105" s="1"/>
  <c r="BP20" i="105" s="1"/>
  <c r="DE108" i="22" s="1"/>
  <c r="BH8" i="105"/>
  <c r="BH11" i="105" s="1"/>
  <c r="BH14" i="105" s="1"/>
  <c r="BH20" i="105" s="1"/>
  <c r="CW108" i="22" s="1"/>
  <c r="AZ8" i="105"/>
  <c r="AZ11" i="105" s="1"/>
  <c r="AZ14" i="105" s="1"/>
  <c r="AZ20" i="105" s="1"/>
  <c r="CO108" i="22" s="1"/>
  <c r="AR8" i="105"/>
  <c r="AR11" i="105" s="1"/>
  <c r="AR14" i="105" s="1"/>
  <c r="AR20" i="105" s="1"/>
  <c r="AJ8" i="105"/>
  <c r="AJ11" i="105" s="1"/>
  <c r="AJ14" i="105" s="1"/>
  <c r="AJ20" i="105" s="1"/>
  <c r="AB8" i="105"/>
  <c r="AB11" i="105" s="1"/>
  <c r="AB14" i="105" s="1"/>
  <c r="AB20" i="105" s="1"/>
  <c r="T8" i="105"/>
  <c r="T11" i="105" s="1"/>
  <c r="T14" i="105" s="1"/>
  <c r="T20" i="105" s="1"/>
  <c r="L8" i="105"/>
  <c r="L11" i="105" s="1"/>
  <c r="L14" i="105" s="1"/>
  <c r="L20" i="105" s="1"/>
  <c r="CJ8" i="104"/>
  <c r="CJ11" i="104" s="1"/>
  <c r="CJ14" i="104" s="1"/>
  <c r="CB8" i="104"/>
  <c r="CB11" i="104" s="1"/>
  <c r="CB14" i="104" s="1"/>
  <c r="BT8" i="104"/>
  <c r="BT11" i="104" s="1"/>
  <c r="BT14" i="104" s="1"/>
  <c r="BL8" i="104"/>
  <c r="BL11" i="104" s="1"/>
  <c r="BL14" i="104" s="1"/>
  <c r="BD8" i="104"/>
  <c r="BD11" i="104" s="1"/>
  <c r="BD14" i="104" s="1"/>
  <c r="AV8" i="104"/>
  <c r="AV11" i="104" s="1"/>
  <c r="AV14" i="104" s="1"/>
  <c r="AN8" i="104"/>
  <c r="AN11" i="104" s="1"/>
  <c r="AN14" i="104" s="1"/>
  <c r="AN20" i="104" s="1"/>
  <c r="AF8" i="104"/>
  <c r="AF11" i="104" s="1"/>
  <c r="AF14" i="104" s="1"/>
  <c r="AF20" i="104" s="1"/>
  <c r="X8" i="104"/>
  <c r="X11" i="104" s="1"/>
  <c r="X14" i="104" s="1"/>
  <c r="X20" i="104" s="1"/>
  <c r="P8" i="104"/>
  <c r="P11" i="104" s="1"/>
  <c r="P14" i="104" s="1"/>
  <c r="BZ8" i="106"/>
  <c r="BZ11" i="106" s="1"/>
  <c r="AD8" i="106"/>
  <c r="AD11" i="106" s="1"/>
  <c r="CD8" i="105"/>
  <c r="CD11" i="105" s="1"/>
  <c r="CD14" i="105" s="1"/>
  <c r="CD20" i="105" s="1"/>
  <c r="DS108" i="22" s="1"/>
  <c r="AX8" i="105"/>
  <c r="AX11" i="105" s="1"/>
  <c r="AX14" i="105" s="1"/>
  <c r="AX20" i="105" s="1"/>
  <c r="CM108" i="22" s="1"/>
  <c r="R8" i="105"/>
  <c r="R11" i="105" s="1"/>
  <c r="R14" i="105" s="1"/>
  <c r="R20" i="105" s="1"/>
  <c r="BZ8" i="104"/>
  <c r="BZ11" i="104" s="1"/>
  <c r="BZ14" i="104" s="1"/>
  <c r="CQ8" i="106"/>
  <c r="CQ11" i="106" s="1"/>
  <c r="CI8" i="106"/>
  <c r="CI11" i="106" s="1"/>
  <c r="CA8" i="106"/>
  <c r="CA11" i="106" s="1"/>
  <c r="BS8" i="106"/>
  <c r="BS11" i="106" s="1"/>
  <c r="BK8" i="106"/>
  <c r="BK11" i="106" s="1"/>
  <c r="BC8" i="106"/>
  <c r="BC11" i="106" s="1"/>
  <c r="AU8" i="106"/>
  <c r="AU11" i="106" s="1"/>
  <c r="AM8" i="106"/>
  <c r="AM11" i="106" s="1"/>
  <c r="AE8" i="106"/>
  <c r="AE11" i="106" s="1"/>
  <c r="W8" i="106"/>
  <c r="W11" i="106" s="1"/>
  <c r="O8" i="106"/>
  <c r="O11" i="106" s="1"/>
  <c r="CM8" i="105"/>
  <c r="CM11" i="105" s="1"/>
  <c r="CM14" i="105" s="1"/>
  <c r="CM20" i="105" s="1"/>
  <c r="EB108" i="22" s="1"/>
  <c r="CE8" i="105"/>
  <c r="CE11" i="105" s="1"/>
  <c r="CE14" i="105" s="1"/>
  <c r="CE20" i="105" s="1"/>
  <c r="DT108" i="22" s="1"/>
  <c r="BW8" i="105"/>
  <c r="BW11" i="105" s="1"/>
  <c r="BW14" i="105" s="1"/>
  <c r="BW20" i="105" s="1"/>
  <c r="DL108" i="22" s="1"/>
  <c r="BO8" i="105"/>
  <c r="BO11" i="105" s="1"/>
  <c r="BO14" i="105" s="1"/>
  <c r="BO20" i="105" s="1"/>
  <c r="DD108" i="22" s="1"/>
  <c r="BG8" i="105"/>
  <c r="BG11" i="105" s="1"/>
  <c r="BG14" i="105" s="1"/>
  <c r="BG20" i="105" s="1"/>
  <c r="CV108" i="22" s="1"/>
  <c r="AY8" i="105"/>
  <c r="AY11" i="105" s="1"/>
  <c r="AY14" i="105" s="1"/>
  <c r="AY20" i="105" s="1"/>
  <c r="CN108" i="22" s="1"/>
  <c r="AQ8" i="105"/>
  <c r="AQ11" i="105" s="1"/>
  <c r="AQ14" i="105" s="1"/>
  <c r="AQ20" i="105" s="1"/>
  <c r="AI8" i="105"/>
  <c r="AI11" i="105" s="1"/>
  <c r="AI14" i="105" s="1"/>
  <c r="AI20" i="105" s="1"/>
  <c r="AA8" i="105"/>
  <c r="AA11" i="105" s="1"/>
  <c r="AA14" i="105" s="1"/>
  <c r="AA20" i="105" s="1"/>
  <c r="S8" i="105"/>
  <c r="S11" i="105" s="1"/>
  <c r="S14" i="105" s="1"/>
  <c r="S20" i="105" s="1"/>
  <c r="K8" i="105"/>
  <c r="K11" i="105" s="1"/>
  <c r="K14" i="105" s="1"/>
  <c r="K20" i="105" s="1"/>
  <c r="CQ8" i="104"/>
  <c r="CQ11" i="104" s="1"/>
  <c r="CQ14" i="104" s="1"/>
  <c r="CI8" i="104"/>
  <c r="CI11" i="104" s="1"/>
  <c r="CI14" i="104" s="1"/>
  <c r="CA8" i="104"/>
  <c r="CA11" i="104" s="1"/>
  <c r="CA14" i="104" s="1"/>
  <c r="BS8" i="104"/>
  <c r="BS11" i="104" s="1"/>
  <c r="BS14" i="104" s="1"/>
  <c r="BK8" i="104"/>
  <c r="BK11" i="104" s="1"/>
  <c r="BK14" i="104" s="1"/>
  <c r="BC8" i="104"/>
  <c r="BC11" i="104" s="1"/>
  <c r="BC14" i="104" s="1"/>
  <c r="AU8" i="104"/>
  <c r="AU11" i="104" s="1"/>
  <c r="AU14" i="104" s="1"/>
  <c r="AM8" i="104"/>
  <c r="AM11" i="104" s="1"/>
  <c r="AM14" i="104" s="1"/>
  <c r="AM20" i="104" s="1"/>
  <c r="AE8" i="104"/>
  <c r="AE11" i="104" s="1"/>
  <c r="AE14" i="104" s="1"/>
  <c r="W8" i="104"/>
  <c r="W11" i="104" s="1"/>
  <c r="W14" i="104" s="1"/>
  <c r="O8" i="104"/>
  <c r="O11" i="104" s="1"/>
  <c r="O14" i="104" s="1"/>
  <c r="CP8" i="106"/>
  <c r="CP11" i="106" s="1"/>
  <c r="AT8" i="106"/>
  <c r="AT11" i="106" s="1"/>
  <c r="V8" i="106"/>
  <c r="V11" i="106" s="1"/>
  <c r="BV8" i="105"/>
  <c r="BV11" i="105" s="1"/>
  <c r="BV14" i="105" s="1"/>
  <c r="BV20" i="105" s="1"/>
  <c r="DK108" i="22" s="1"/>
  <c r="AP8" i="105"/>
  <c r="AP11" i="105" s="1"/>
  <c r="AP14" i="105" s="1"/>
  <c r="AP20" i="105" s="1"/>
  <c r="J8" i="105"/>
  <c r="J11" i="105" s="1"/>
  <c r="J14" i="105" s="1"/>
  <c r="J20" i="105" s="1"/>
  <c r="BR8" i="104"/>
  <c r="BR11" i="104" s="1"/>
  <c r="BR14" i="104" s="1"/>
  <c r="CN8" i="106"/>
  <c r="CN11" i="106" s="1"/>
  <c r="CF8" i="106"/>
  <c r="CF11" i="106" s="1"/>
  <c r="BX8" i="106"/>
  <c r="BX11" i="106" s="1"/>
  <c r="BP8" i="106"/>
  <c r="BP11" i="106" s="1"/>
  <c r="BH8" i="106"/>
  <c r="BH11" i="106" s="1"/>
  <c r="AZ8" i="106"/>
  <c r="AZ11" i="106" s="1"/>
  <c r="AR8" i="106"/>
  <c r="AR11" i="106" s="1"/>
  <c r="AJ8" i="106"/>
  <c r="AJ11" i="106" s="1"/>
  <c r="AB8" i="106"/>
  <c r="AB11" i="106" s="1"/>
  <c r="T8" i="106"/>
  <c r="T11" i="106" s="1"/>
  <c r="L8" i="106"/>
  <c r="L11" i="106" s="1"/>
  <c r="CJ8" i="105"/>
  <c r="CJ11" i="105" s="1"/>
  <c r="CJ14" i="105" s="1"/>
  <c r="CJ20" i="105" s="1"/>
  <c r="DY108" i="22" s="1"/>
  <c r="CB8" i="105"/>
  <c r="CB11" i="105" s="1"/>
  <c r="CB14" i="105" s="1"/>
  <c r="CB20" i="105" s="1"/>
  <c r="DQ108" i="22" s="1"/>
  <c r="BT8" i="105"/>
  <c r="BT11" i="105" s="1"/>
  <c r="BT14" i="105" s="1"/>
  <c r="BT20" i="105" s="1"/>
  <c r="DI108" i="22" s="1"/>
  <c r="BL8" i="105"/>
  <c r="BL11" i="105" s="1"/>
  <c r="BL14" i="105" s="1"/>
  <c r="BL20" i="105" s="1"/>
  <c r="DA108" i="22" s="1"/>
  <c r="BD8" i="105"/>
  <c r="BD11" i="105" s="1"/>
  <c r="BD14" i="105" s="1"/>
  <c r="BD20" i="105" s="1"/>
  <c r="CS108" i="22" s="1"/>
  <c r="AV8" i="105"/>
  <c r="AV11" i="105" s="1"/>
  <c r="AV14" i="105" s="1"/>
  <c r="AV20" i="105" s="1"/>
  <c r="CK108" i="22" s="1"/>
  <c r="AN8" i="105"/>
  <c r="AN11" i="105" s="1"/>
  <c r="AN14" i="105" s="1"/>
  <c r="AN20" i="105" s="1"/>
  <c r="AF8" i="105"/>
  <c r="AF11" i="105" s="1"/>
  <c r="AF14" i="105" s="1"/>
  <c r="AF20" i="105" s="1"/>
  <c r="X8" i="105"/>
  <c r="X11" i="105" s="1"/>
  <c r="X14" i="105" s="1"/>
  <c r="X20" i="105" s="1"/>
  <c r="P8" i="105"/>
  <c r="P11" i="105" s="1"/>
  <c r="P14" i="105" s="1"/>
  <c r="P20" i="105" s="1"/>
  <c r="CN8" i="104"/>
  <c r="CN11" i="104" s="1"/>
  <c r="CN14" i="104" s="1"/>
  <c r="CF8" i="104"/>
  <c r="CF11" i="104" s="1"/>
  <c r="CF14" i="104" s="1"/>
  <c r="BX8" i="104"/>
  <c r="BX11" i="104" s="1"/>
  <c r="BX14" i="104" s="1"/>
  <c r="BP8" i="104"/>
  <c r="BP11" i="104" s="1"/>
  <c r="BP14" i="104" s="1"/>
  <c r="BH8" i="104"/>
  <c r="BH11" i="104" s="1"/>
  <c r="BH14" i="104" s="1"/>
  <c r="AZ8" i="104"/>
  <c r="AZ11" i="104" s="1"/>
  <c r="AZ14" i="104" s="1"/>
  <c r="AR8" i="104"/>
  <c r="AR11" i="104" s="1"/>
  <c r="AR14" i="104" s="1"/>
  <c r="AJ8" i="104"/>
  <c r="AJ11" i="104" s="1"/>
  <c r="AJ14" i="104" s="1"/>
  <c r="AJ20" i="104" s="1"/>
  <c r="AB8" i="104"/>
  <c r="AB11" i="104" s="1"/>
  <c r="AB14" i="104" s="1"/>
  <c r="AB20" i="104" s="1"/>
  <c r="T8" i="104"/>
  <c r="T11" i="104" s="1"/>
  <c r="T14" i="104" s="1"/>
  <c r="T20" i="104" s="1"/>
  <c r="L8" i="104"/>
  <c r="L11" i="104" s="1"/>
  <c r="L14" i="104" s="1"/>
  <c r="CM8" i="106"/>
  <c r="CM11" i="106" s="1"/>
  <c r="CE8" i="106"/>
  <c r="CE11" i="106" s="1"/>
  <c r="BW8" i="106"/>
  <c r="BW11" i="106" s="1"/>
  <c r="BO8" i="106"/>
  <c r="BO11" i="106" s="1"/>
  <c r="BG8" i="106"/>
  <c r="BG11" i="106" s="1"/>
  <c r="AY8" i="106"/>
  <c r="AY11" i="106" s="1"/>
  <c r="AQ8" i="106"/>
  <c r="AQ11" i="106" s="1"/>
  <c r="AI8" i="106"/>
  <c r="AI11" i="106" s="1"/>
  <c r="CO8" i="106"/>
  <c r="CO11" i="106" s="1"/>
  <c r="AC8" i="106"/>
  <c r="AC11" i="106" s="1"/>
  <c r="BS8" i="105"/>
  <c r="BS11" i="105" s="1"/>
  <c r="BS14" i="105" s="1"/>
  <c r="BS20" i="105" s="1"/>
  <c r="DH108" i="22" s="1"/>
  <c r="AM8" i="105"/>
  <c r="AM11" i="105" s="1"/>
  <c r="AM14" i="105" s="1"/>
  <c r="AM20" i="105" s="1"/>
  <c r="BY8" i="104"/>
  <c r="BY11" i="104" s="1"/>
  <c r="BY14" i="104" s="1"/>
  <c r="AT8" i="104"/>
  <c r="AT11" i="104" s="1"/>
  <c r="AT14" i="104" s="1"/>
  <c r="AA8" i="104"/>
  <c r="AA11" i="104" s="1"/>
  <c r="AA14" i="104" s="1"/>
  <c r="CG8" i="106"/>
  <c r="CG11" i="106" s="1"/>
  <c r="AA8" i="106"/>
  <c r="AA11" i="106" s="1"/>
  <c r="BM8" i="105"/>
  <c r="BM11" i="105" s="1"/>
  <c r="BM14" i="105" s="1"/>
  <c r="BM20" i="105" s="1"/>
  <c r="DB108" i="22" s="1"/>
  <c r="AG8" i="105"/>
  <c r="AG11" i="105" s="1"/>
  <c r="AG14" i="105" s="1"/>
  <c r="AG20" i="105" s="1"/>
  <c r="BW8" i="104"/>
  <c r="BW11" i="104" s="1"/>
  <c r="BW14" i="104" s="1"/>
  <c r="AS8" i="104"/>
  <c r="AS11" i="104" s="1"/>
  <c r="AS14" i="104" s="1"/>
  <c r="CC8" i="105"/>
  <c r="CC11" i="105" s="1"/>
  <c r="CC14" i="105" s="1"/>
  <c r="CC20" i="105" s="1"/>
  <c r="DR108" i="22" s="1"/>
  <c r="CM8" i="104"/>
  <c r="CM11" i="104" s="1"/>
  <c r="CM14" i="104" s="1"/>
  <c r="BY8" i="106"/>
  <c r="BY11" i="106" s="1"/>
  <c r="U8" i="106"/>
  <c r="U11" i="106" s="1"/>
  <c r="CQ8" i="105"/>
  <c r="CQ11" i="105" s="1"/>
  <c r="CQ14" i="105" s="1"/>
  <c r="CQ20" i="105" s="1"/>
  <c r="EF108" i="22" s="1"/>
  <c r="BK8" i="105"/>
  <c r="BK11" i="105" s="1"/>
  <c r="BK14" i="105" s="1"/>
  <c r="BK20" i="105" s="1"/>
  <c r="CZ108" i="22" s="1"/>
  <c r="AE8" i="105"/>
  <c r="AE11" i="105" s="1"/>
  <c r="AE14" i="105" s="1"/>
  <c r="AE20" i="105" s="1"/>
  <c r="BQ8" i="104"/>
  <c r="BQ11" i="104" s="1"/>
  <c r="BQ14" i="104" s="1"/>
  <c r="AQ8" i="104"/>
  <c r="AQ11" i="104" s="1"/>
  <c r="AQ14" i="104" s="1"/>
  <c r="AQ20" i="104" s="1"/>
  <c r="U8" i="104"/>
  <c r="U11" i="104" s="1"/>
  <c r="U14" i="104" s="1"/>
  <c r="U20" i="104" s="1"/>
  <c r="M8" i="106"/>
  <c r="M11" i="106" s="1"/>
  <c r="BC8" i="105"/>
  <c r="BC11" i="105" s="1"/>
  <c r="BC14" i="105" s="1"/>
  <c r="BC20" i="105" s="1"/>
  <c r="CR108" i="22" s="1"/>
  <c r="CO8" i="104"/>
  <c r="CO11" i="104" s="1"/>
  <c r="CO14" i="104" s="1"/>
  <c r="AK8" i="104"/>
  <c r="AK11" i="104" s="1"/>
  <c r="AK14" i="104" s="1"/>
  <c r="AK20" i="104" s="1"/>
  <c r="K8" i="106"/>
  <c r="K11" i="106" s="1"/>
  <c r="BG8" i="104"/>
  <c r="BG11" i="104" s="1"/>
  <c r="BG14" i="104" s="1"/>
  <c r="BQ8" i="106"/>
  <c r="BQ11" i="106" s="1"/>
  <c r="S8" i="106"/>
  <c r="S11" i="106" s="1"/>
  <c r="CK8" i="105"/>
  <c r="CK11" i="105" s="1"/>
  <c r="CK14" i="105" s="1"/>
  <c r="CK20" i="105" s="1"/>
  <c r="DZ108" i="22" s="1"/>
  <c r="BE8" i="105"/>
  <c r="BE11" i="105" s="1"/>
  <c r="BE14" i="105" s="1"/>
  <c r="BE20" i="105" s="1"/>
  <c r="CT108" i="22" s="1"/>
  <c r="Y8" i="105"/>
  <c r="Y11" i="105" s="1"/>
  <c r="Y14" i="105" s="1"/>
  <c r="Y20" i="105" s="1"/>
  <c r="BO8" i="104"/>
  <c r="BO11" i="104" s="1"/>
  <c r="BO14" i="104" s="1"/>
  <c r="AL8" i="104"/>
  <c r="AL11" i="104" s="1"/>
  <c r="AL14" i="104" s="1"/>
  <c r="AL20" i="104" s="1"/>
  <c r="S8" i="104"/>
  <c r="S11" i="104" s="1"/>
  <c r="S14" i="104" s="1"/>
  <c r="S20" i="104" s="1"/>
  <c r="BI8" i="106"/>
  <c r="BI11" i="106" s="1"/>
  <c r="CI8" i="105"/>
  <c r="CI11" i="105" s="1"/>
  <c r="CI14" i="105" s="1"/>
  <c r="CI20" i="105" s="1"/>
  <c r="DX108" i="22" s="1"/>
  <c r="W8" i="105"/>
  <c r="W11" i="105" s="1"/>
  <c r="W14" i="105" s="1"/>
  <c r="W20" i="105" s="1"/>
  <c r="BI8" i="104"/>
  <c r="BI11" i="104" s="1"/>
  <c r="BI14" i="104" s="1"/>
  <c r="N8" i="104"/>
  <c r="N11" i="104" s="1"/>
  <c r="N14" i="104" s="1"/>
  <c r="BA8" i="106"/>
  <c r="BA11" i="106" s="1"/>
  <c r="AW8" i="105"/>
  <c r="AW11" i="105" s="1"/>
  <c r="AW14" i="105" s="1"/>
  <c r="AW20" i="105" s="1"/>
  <c r="CL108" i="22" s="1"/>
  <c r="AI8" i="104"/>
  <c r="AI11" i="104" s="1"/>
  <c r="AI14" i="104" s="1"/>
  <c r="AI20" i="104" s="1"/>
  <c r="AS8" i="106"/>
  <c r="AS11" i="106" s="1"/>
  <c r="CA8" i="105"/>
  <c r="CA11" i="105" s="1"/>
  <c r="CA14" i="105" s="1"/>
  <c r="CA20" i="105" s="1"/>
  <c r="DP108" i="22" s="1"/>
  <c r="AU8" i="105"/>
  <c r="AU11" i="105" s="1"/>
  <c r="AU14" i="105" s="1"/>
  <c r="AU20" i="105" s="1"/>
  <c r="CJ108" i="22" s="1"/>
  <c r="O8" i="105"/>
  <c r="O11" i="105" s="1"/>
  <c r="O14" i="105" s="1"/>
  <c r="O20" i="105" s="1"/>
  <c r="CG8" i="104"/>
  <c r="CG11" i="104" s="1"/>
  <c r="CG14" i="104" s="1"/>
  <c r="BA8" i="104"/>
  <c r="BA11" i="104" s="1"/>
  <c r="BA14" i="104" s="1"/>
  <c r="AD8" i="104"/>
  <c r="AD11" i="104" s="1"/>
  <c r="AD14" i="104" s="1"/>
  <c r="K8" i="104"/>
  <c r="K11" i="104" s="1"/>
  <c r="K14" i="104" s="1"/>
  <c r="K20" i="104" s="1"/>
  <c r="AK8" i="106"/>
  <c r="AK11" i="106" s="1"/>
  <c r="BU8" i="105"/>
  <c r="BU11" i="105" s="1"/>
  <c r="BU14" i="105" s="1"/>
  <c r="BU20" i="105" s="1"/>
  <c r="DJ108" i="22" s="1"/>
  <c r="AO8" i="105"/>
  <c r="AO11" i="105" s="1"/>
  <c r="AO14" i="105" s="1"/>
  <c r="AO20" i="105" s="1"/>
  <c r="I8" i="105"/>
  <c r="I11" i="105" s="1"/>
  <c r="I14" i="105" s="1"/>
  <c r="I20" i="105" s="1"/>
  <c r="CE8" i="104"/>
  <c r="CE11" i="104" s="1"/>
  <c r="CE14" i="104" s="1"/>
  <c r="AY8" i="104"/>
  <c r="AY11" i="104" s="1"/>
  <c r="AY14" i="104" s="1"/>
  <c r="AC8" i="104"/>
  <c r="AC11" i="104" s="1"/>
  <c r="AC14" i="104" s="1"/>
  <c r="AC20" i="104" s="1"/>
  <c r="V8" i="104"/>
  <c r="V11" i="104" s="1"/>
  <c r="V14" i="104" s="1"/>
  <c r="V20" i="104" s="1"/>
  <c r="Q8" i="105"/>
  <c r="Q11" i="105" s="1"/>
  <c r="Q14" i="105" s="1"/>
  <c r="Q20" i="105" s="1"/>
  <c r="M8" i="104"/>
  <c r="M11" i="104" s="1"/>
  <c r="M14" i="104" s="1"/>
  <c r="M20" i="104" s="1"/>
  <c r="CL8" i="103"/>
  <c r="CL11" i="103" s="1"/>
  <c r="CL14" i="103" s="1"/>
  <c r="CL20" i="103" s="1"/>
  <c r="EA106" i="22" s="1"/>
  <c r="CD8" i="103"/>
  <c r="CD11" i="103" s="1"/>
  <c r="CD14" i="103" s="1"/>
  <c r="CD20" i="103" s="1"/>
  <c r="DS106" i="22" s="1"/>
  <c r="BV8" i="103"/>
  <c r="BV11" i="103" s="1"/>
  <c r="BV14" i="103" s="1"/>
  <c r="BV20" i="103" s="1"/>
  <c r="DK106" i="22" s="1"/>
  <c r="BN8" i="103"/>
  <c r="BN11" i="103" s="1"/>
  <c r="BN14" i="103" s="1"/>
  <c r="BN20" i="103" s="1"/>
  <c r="DC106" i="22" s="1"/>
  <c r="BF8" i="103"/>
  <c r="BF11" i="103" s="1"/>
  <c r="BF14" i="103" s="1"/>
  <c r="BF20" i="103" s="1"/>
  <c r="CU106" i="22" s="1"/>
  <c r="AX8" i="103"/>
  <c r="AX11" i="103" s="1"/>
  <c r="AX14" i="103" s="1"/>
  <c r="AX20" i="103" s="1"/>
  <c r="CM106" i="22" s="1"/>
  <c r="AP8" i="103"/>
  <c r="AP11" i="103" s="1"/>
  <c r="AP14" i="103" s="1"/>
  <c r="AP20" i="103" s="1"/>
  <c r="AH8" i="103"/>
  <c r="AH11" i="103" s="1"/>
  <c r="AH14" i="103" s="1"/>
  <c r="Z8" i="103"/>
  <c r="Z11" i="103" s="1"/>
  <c r="Z14" i="103" s="1"/>
  <c r="Z20" i="103" s="1"/>
  <c r="R8" i="103"/>
  <c r="R11" i="103" s="1"/>
  <c r="R14" i="103" s="1"/>
  <c r="R20" i="103" s="1"/>
  <c r="J8" i="103"/>
  <c r="J11" i="103" s="1"/>
  <c r="J14" i="103" s="1"/>
  <c r="CO8" i="102"/>
  <c r="CO11" i="102" s="1"/>
  <c r="CO14" i="102" s="1"/>
  <c r="CO20" i="102" s="1"/>
  <c r="CG8" i="102"/>
  <c r="CG11" i="102" s="1"/>
  <c r="CG14" i="102" s="1"/>
  <c r="CG20" i="102" s="1"/>
  <c r="BY8" i="102"/>
  <c r="BY11" i="102" s="1"/>
  <c r="BY14" i="102" s="1"/>
  <c r="BY20" i="102" s="1"/>
  <c r="BQ8" i="102"/>
  <c r="BQ11" i="102" s="1"/>
  <c r="BQ14" i="102" s="1"/>
  <c r="BQ20" i="102" s="1"/>
  <c r="BI8" i="102"/>
  <c r="BI11" i="102" s="1"/>
  <c r="BI14" i="102" s="1"/>
  <c r="BI20" i="102" s="1"/>
  <c r="BA8" i="102"/>
  <c r="BA11" i="102" s="1"/>
  <c r="BA14" i="102" s="1"/>
  <c r="BA20" i="102" s="1"/>
  <c r="AS8" i="102"/>
  <c r="AS11" i="102" s="1"/>
  <c r="AS14" i="102" s="1"/>
  <c r="AS20" i="102" s="1"/>
  <c r="CH105" i="22" s="1"/>
  <c r="AK8" i="102"/>
  <c r="AK11" i="102" s="1"/>
  <c r="AK14" i="102" s="1"/>
  <c r="AK20" i="102" s="1"/>
  <c r="AC8" i="102"/>
  <c r="AC11" i="102" s="1"/>
  <c r="AC14" i="102" s="1"/>
  <c r="AC20" i="102" s="1"/>
  <c r="U8" i="102"/>
  <c r="U11" i="102" s="1"/>
  <c r="U14" i="102" s="1"/>
  <c r="U20" i="102" s="1"/>
  <c r="M8" i="102"/>
  <c r="M11" i="102" s="1"/>
  <c r="M14" i="102" s="1"/>
  <c r="M20" i="102" s="1"/>
  <c r="AH8" i="101"/>
  <c r="AH11" i="101" s="1"/>
  <c r="Z8" i="101"/>
  <c r="Z11" i="101" s="1"/>
  <c r="R8" i="101"/>
  <c r="R11" i="101" s="1"/>
  <c r="J8" i="101"/>
  <c r="J11" i="101" s="1"/>
  <c r="BP8" i="102"/>
  <c r="BP11" i="102" s="1"/>
  <c r="BP14" i="102" s="1"/>
  <c r="BP20" i="102" s="1"/>
  <c r="AR8" i="102"/>
  <c r="AR11" i="102" s="1"/>
  <c r="AR14" i="102" s="1"/>
  <c r="AR20" i="102" s="1"/>
  <c r="AB8" i="102"/>
  <c r="AB11" i="102" s="1"/>
  <c r="AB14" i="102" s="1"/>
  <c r="AB20" i="102" s="1"/>
  <c r="L8" i="102"/>
  <c r="L11" i="102" s="1"/>
  <c r="L14" i="102" s="1"/>
  <c r="L20" i="102" s="1"/>
  <c r="AG8" i="101"/>
  <c r="AG11" i="101" s="1"/>
  <c r="Q8" i="101"/>
  <c r="Q11" i="101" s="1"/>
  <c r="T8" i="101"/>
  <c r="T11" i="101" s="1"/>
  <c r="BO8" i="103"/>
  <c r="BO11" i="103" s="1"/>
  <c r="BO14" i="103" s="1"/>
  <c r="BO20" i="103" s="1"/>
  <c r="DD106" i="22" s="1"/>
  <c r="AA8" i="103"/>
  <c r="AA11" i="103" s="1"/>
  <c r="AA14" i="103" s="1"/>
  <c r="AA20" i="103" s="1"/>
  <c r="CH8" i="102"/>
  <c r="CH11" i="102" s="1"/>
  <c r="CH14" i="102" s="1"/>
  <c r="CH20" i="102" s="1"/>
  <c r="S8" i="101"/>
  <c r="S11" i="101" s="1"/>
  <c r="CK8" i="103"/>
  <c r="CK11" i="103" s="1"/>
  <c r="CK14" i="103" s="1"/>
  <c r="CK20" i="103" s="1"/>
  <c r="DZ106" i="22" s="1"/>
  <c r="CC8" i="103"/>
  <c r="CC11" i="103" s="1"/>
  <c r="CC14" i="103" s="1"/>
  <c r="CC20" i="103" s="1"/>
  <c r="DR106" i="22" s="1"/>
  <c r="BU8" i="103"/>
  <c r="BU11" i="103" s="1"/>
  <c r="BU14" i="103" s="1"/>
  <c r="BU20" i="103" s="1"/>
  <c r="DJ106" i="22" s="1"/>
  <c r="BM8" i="103"/>
  <c r="BM11" i="103" s="1"/>
  <c r="BM14" i="103" s="1"/>
  <c r="BM20" i="103" s="1"/>
  <c r="DB106" i="22" s="1"/>
  <c r="BE8" i="103"/>
  <c r="BE11" i="103" s="1"/>
  <c r="BE14" i="103" s="1"/>
  <c r="BE20" i="103" s="1"/>
  <c r="CT106" i="22" s="1"/>
  <c r="AW8" i="103"/>
  <c r="AW11" i="103" s="1"/>
  <c r="AW14" i="103" s="1"/>
  <c r="AW20" i="103" s="1"/>
  <c r="CL106" i="22" s="1"/>
  <c r="AO8" i="103"/>
  <c r="AO11" i="103" s="1"/>
  <c r="AO14" i="103" s="1"/>
  <c r="AO20" i="103" s="1"/>
  <c r="AG8" i="103"/>
  <c r="AG11" i="103" s="1"/>
  <c r="AG14" i="103" s="1"/>
  <c r="AG20" i="103" s="1"/>
  <c r="Y8" i="103"/>
  <c r="Y11" i="103" s="1"/>
  <c r="Y14" i="103" s="1"/>
  <c r="Q8" i="103"/>
  <c r="Q11" i="103" s="1"/>
  <c r="Q14" i="103" s="1"/>
  <c r="Q20" i="103" s="1"/>
  <c r="I8" i="103"/>
  <c r="I11" i="103" s="1"/>
  <c r="I14" i="103" s="1"/>
  <c r="I20" i="103" s="1"/>
  <c r="CN8" i="102"/>
  <c r="CN11" i="102" s="1"/>
  <c r="CN14" i="102" s="1"/>
  <c r="CN20" i="102" s="1"/>
  <c r="CF8" i="102"/>
  <c r="CF11" i="102" s="1"/>
  <c r="CF14" i="102" s="1"/>
  <c r="CF20" i="102" s="1"/>
  <c r="BX8" i="102"/>
  <c r="BX11" i="102" s="1"/>
  <c r="BX14" i="102" s="1"/>
  <c r="BX20" i="102" s="1"/>
  <c r="BH8" i="102"/>
  <c r="BH11" i="102" s="1"/>
  <c r="BH14" i="102" s="1"/>
  <c r="BH20" i="102" s="1"/>
  <c r="AZ8" i="102"/>
  <c r="AZ11" i="102" s="1"/>
  <c r="AZ14" i="102" s="1"/>
  <c r="AZ20" i="102" s="1"/>
  <c r="AJ8" i="102"/>
  <c r="AJ11" i="102" s="1"/>
  <c r="AJ14" i="102" s="1"/>
  <c r="AJ20" i="102" s="1"/>
  <c r="T8" i="102"/>
  <c r="T11" i="102" s="1"/>
  <c r="T14" i="102" s="1"/>
  <c r="T20" i="102" s="1"/>
  <c r="AO8" i="101"/>
  <c r="AO11" i="101" s="1"/>
  <c r="Y8" i="101"/>
  <c r="Y11" i="101" s="1"/>
  <c r="AB8" i="101"/>
  <c r="AB11" i="101" s="1"/>
  <c r="CE8" i="103"/>
  <c r="CE11" i="103" s="1"/>
  <c r="CE14" i="103" s="1"/>
  <c r="CE20" i="103" s="1"/>
  <c r="DT106" i="22" s="1"/>
  <c r="CJ8" i="103"/>
  <c r="CJ11" i="103" s="1"/>
  <c r="CJ14" i="103" s="1"/>
  <c r="CJ20" i="103" s="1"/>
  <c r="DY106" i="22" s="1"/>
  <c r="CB8" i="103"/>
  <c r="CB11" i="103" s="1"/>
  <c r="CB14" i="103" s="1"/>
  <c r="CB20" i="103" s="1"/>
  <c r="DQ106" i="22" s="1"/>
  <c r="BT8" i="103"/>
  <c r="BT11" i="103" s="1"/>
  <c r="BT14" i="103" s="1"/>
  <c r="BT20" i="103" s="1"/>
  <c r="DI106" i="22" s="1"/>
  <c r="BL8" i="103"/>
  <c r="BL11" i="103" s="1"/>
  <c r="BL14" i="103" s="1"/>
  <c r="BL20" i="103" s="1"/>
  <c r="DA106" i="22" s="1"/>
  <c r="BD8" i="103"/>
  <c r="BD11" i="103" s="1"/>
  <c r="BD14" i="103" s="1"/>
  <c r="BD20" i="103" s="1"/>
  <c r="CS106" i="22" s="1"/>
  <c r="AV8" i="103"/>
  <c r="AV11" i="103" s="1"/>
  <c r="AV14" i="103" s="1"/>
  <c r="AV20" i="103" s="1"/>
  <c r="CK106" i="22" s="1"/>
  <c r="AN8" i="103"/>
  <c r="AN11" i="103" s="1"/>
  <c r="AN14" i="103" s="1"/>
  <c r="AN20" i="103" s="1"/>
  <c r="AF8" i="103"/>
  <c r="AF11" i="103" s="1"/>
  <c r="AF14" i="103" s="1"/>
  <c r="X8" i="103"/>
  <c r="X11" i="103" s="1"/>
  <c r="X14" i="103" s="1"/>
  <c r="X20" i="103" s="1"/>
  <c r="P8" i="103"/>
  <c r="P11" i="103" s="1"/>
  <c r="P14" i="103" s="1"/>
  <c r="P20" i="103" s="1"/>
  <c r="CM8" i="102"/>
  <c r="CM11" i="102" s="1"/>
  <c r="CM14" i="102" s="1"/>
  <c r="CM20" i="102" s="1"/>
  <c r="CE8" i="102"/>
  <c r="CE11" i="102" s="1"/>
  <c r="CE14" i="102" s="1"/>
  <c r="CE20" i="102" s="1"/>
  <c r="BW8" i="102"/>
  <c r="BW11" i="102" s="1"/>
  <c r="BW14" i="102" s="1"/>
  <c r="BW20" i="102" s="1"/>
  <c r="BO8" i="102"/>
  <c r="BO11" i="102" s="1"/>
  <c r="BO14" i="102" s="1"/>
  <c r="BO20" i="102" s="1"/>
  <c r="BG8" i="102"/>
  <c r="BG11" i="102" s="1"/>
  <c r="BG14" i="102" s="1"/>
  <c r="BG20" i="102" s="1"/>
  <c r="AY8" i="102"/>
  <c r="AY11" i="102" s="1"/>
  <c r="AY14" i="102" s="1"/>
  <c r="AY20" i="102" s="1"/>
  <c r="AQ8" i="102"/>
  <c r="AQ11" i="102" s="1"/>
  <c r="AQ14" i="102" s="1"/>
  <c r="AQ20" i="102" s="1"/>
  <c r="AI8" i="102"/>
  <c r="AI11" i="102" s="1"/>
  <c r="AI14" i="102" s="1"/>
  <c r="AI20" i="102" s="1"/>
  <c r="AA8" i="102"/>
  <c r="AA11" i="102" s="1"/>
  <c r="AA14" i="102" s="1"/>
  <c r="AA20" i="102" s="1"/>
  <c r="S8" i="102"/>
  <c r="S11" i="102" s="1"/>
  <c r="S14" i="102" s="1"/>
  <c r="S20" i="102" s="1"/>
  <c r="K8" i="102"/>
  <c r="K11" i="102" s="1"/>
  <c r="K14" i="102" s="1"/>
  <c r="K20" i="102" s="1"/>
  <c r="AN8" i="101"/>
  <c r="AN11" i="101" s="1"/>
  <c r="AF8" i="101"/>
  <c r="AF11" i="101" s="1"/>
  <c r="X8" i="101"/>
  <c r="X11" i="101" s="1"/>
  <c r="P8" i="101"/>
  <c r="P11" i="101" s="1"/>
  <c r="BX8" i="103"/>
  <c r="BX11" i="103" s="1"/>
  <c r="BX14" i="103" s="1"/>
  <c r="BX20" i="103" s="1"/>
  <c r="DM106" i="22" s="1"/>
  <c r="T8" i="103"/>
  <c r="T11" i="103" s="1"/>
  <c r="T14" i="103" s="1"/>
  <c r="T20" i="103" s="1"/>
  <c r="BS8" i="102"/>
  <c r="BS11" i="102" s="1"/>
  <c r="BS14" i="102" s="1"/>
  <c r="BS20" i="102" s="1"/>
  <c r="AU8" i="102"/>
  <c r="AU11" i="102" s="1"/>
  <c r="AU14" i="102" s="1"/>
  <c r="AU20" i="102" s="1"/>
  <c r="W8" i="102"/>
  <c r="W11" i="102" s="1"/>
  <c r="W14" i="102" s="1"/>
  <c r="W20" i="102" s="1"/>
  <c r="BW8" i="103"/>
  <c r="BW11" i="103" s="1"/>
  <c r="BW14" i="103" s="1"/>
  <c r="BW20" i="103" s="1"/>
  <c r="DL106" i="22" s="1"/>
  <c r="AI8" i="103"/>
  <c r="AI11" i="103" s="1"/>
  <c r="AI14" i="103" s="1"/>
  <c r="AI20" i="103" s="1"/>
  <c r="CP8" i="102"/>
  <c r="CP11" i="102" s="1"/>
  <c r="CP14" i="102" s="1"/>
  <c r="CP20" i="102" s="1"/>
  <c r="AT8" i="102"/>
  <c r="AT11" i="102" s="1"/>
  <c r="AT14" i="102" s="1"/>
  <c r="AT20" i="102" s="1"/>
  <c r="V8" i="102"/>
  <c r="V11" i="102" s="1"/>
  <c r="V14" i="102" s="1"/>
  <c r="V20" i="102" s="1"/>
  <c r="CQ8" i="103"/>
  <c r="CQ11" i="103" s="1"/>
  <c r="CQ14" i="103" s="1"/>
  <c r="CQ20" i="103" s="1"/>
  <c r="EF106" i="22" s="1"/>
  <c r="CI8" i="103"/>
  <c r="CI11" i="103" s="1"/>
  <c r="CI14" i="103" s="1"/>
  <c r="CI20" i="103" s="1"/>
  <c r="DX106" i="22" s="1"/>
  <c r="CA8" i="103"/>
  <c r="CA11" i="103" s="1"/>
  <c r="CA14" i="103" s="1"/>
  <c r="CA20" i="103" s="1"/>
  <c r="DP106" i="22" s="1"/>
  <c r="BS8" i="103"/>
  <c r="BS11" i="103" s="1"/>
  <c r="BS14" i="103" s="1"/>
  <c r="BS20" i="103" s="1"/>
  <c r="DH106" i="22" s="1"/>
  <c r="BK8" i="103"/>
  <c r="BK11" i="103" s="1"/>
  <c r="BK14" i="103" s="1"/>
  <c r="BK20" i="103" s="1"/>
  <c r="CZ106" i="22" s="1"/>
  <c r="BC8" i="103"/>
  <c r="BC11" i="103" s="1"/>
  <c r="BC14" i="103" s="1"/>
  <c r="BC20" i="103" s="1"/>
  <c r="CR106" i="22" s="1"/>
  <c r="AU8" i="103"/>
  <c r="AU11" i="103" s="1"/>
  <c r="AU14" i="103" s="1"/>
  <c r="AU20" i="103" s="1"/>
  <c r="CJ106" i="22" s="1"/>
  <c r="AM8" i="103"/>
  <c r="AM11" i="103" s="1"/>
  <c r="AM14" i="103" s="1"/>
  <c r="AM20" i="103" s="1"/>
  <c r="AE8" i="103"/>
  <c r="AE11" i="103" s="1"/>
  <c r="AE14" i="103" s="1"/>
  <c r="AE20" i="103" s="1"/>
  <c r="W8" i="103"/>
  <c r="W11" i="103" s="1"/>
  <c r="W14" i="103" s="1"/>
  <c r="W20" i="103" s="1"/>
  <c r="O8" i="103"/>
  <c r="O11" i="103" s="1"/>
  <c r="O14" i="103" s="1"/>
  <c r="O20" i="103" s="1"/>
  <c r="CL8" i="102"/>
  <c r="CL11" i="102" s="1"/>
  <c r="CL14" i="102" s="1"/>
  <c r="CL20" i="102" s="1"/>
  <c r="CD8" i="102"/>
  <c r="CD11" i="102" s="1"/>
  <c r="CD14" i="102" s="1"/>
  <c r="CD20" i="102" s="1"/>
  <c r="BV8" i="102"/>
  <c r="BV11" i="102" s="1"/>
  <c r="BV14" i="102" s="1"/>
  <c r="BV20" i="102" s="1"/>
  <c r="BN8" i="102"/>
  <c r="BN11" i="102" s="1"/>
  <c r="BN14" i="102" s="1"/>
  <c r="BN20" i="102" s="1"/>
  <c r="BF8" i="102"/>
  <c r="BF11" i="102" s="1"/>
  <c r="BF14" i="102" s="1"/>
  <c r="BF20" i="102" s="1"/>
  <c r="AX8" i="102"/>
  <c r="AX11" i="102" s="1"/>
  <c r="AX14" i="102" s="1"/>
  <c r="AX20" i="102" s="1"/>
  <c r="AP8" i="102"/>
  <c r="AP11" i="102" s="1"/>
  <c r="AP14" i="102" s="1"/>
  <c r="AP20" i="102" s="1"/>
  <c r="AH8" i="102"/>
  <c r="AH11" i="102" s="1"/>
  <c r="AH14" i="102" s="1"/>
  <c r="AH20" i="102" s="1"/>
  <c r="Z8" i="102"/>
  <c r="Z11" i="102" s="1"/>
  <c r="Z14" i="102" s="1"/>
  <c r="Z20" i="102" s="1"/>
  <c r="R8" i="102"/>
  <c r="R11" i="102" s="1"/>
  <c r="R14" i="102" s="1"/>
  <c r="R20" i="102" s="1"/>
  <c r="J8" i="102"/>
  <c r="J11" i="102" s="1"/>
  <c r="J14" i="102" s="1"/>
  <c r="J20" i="102" s="1"/>
  <c r="AM8" i="101"/>
  <c r="AM11" i="101" s="1"/>
  <c r="AE8" i="101"/>
  <c r="AE11" i="101" s="1"/>
  <c r="W8" i="101"/>
  <c r="W11" i="101" s="1"/>
  <c r="O8" i="101"/>
  <c r="O11" i="101" s="1"/>
  <c r="BP8" i="103"/>
  <c r="BP11" i="103" s="1"/>
  <c r="BP14" i="103" s="1"/>
  <c r="BP20" i="103" s="1"/>
  <c r="DE106" i="22" s="1"/>
  <c r="AB8" i="103"/>
  <c r="AB11" i="103" s="1"/>
  <c r="AB14" i="103" s="1"/>
  <c r="CI8" i="102"/>
  <c r="CI11" i="102" s="1"/>
  <c r="CI14" i="102" s="1"/>
  <c r="CI20" i="102" s="1"/>
  <c r="BG8" i="103"/>
  <c r="BG11" i="103" s="1"/>
  <c r="BG14" i="103" s="1"/>
  <c r="BG20" i="103" s="1"/>
  <c r="CV106" i="22" s="1"/>
  <c r="BJ8" i="102"/>
  <c r="BJ11" i="102" s="1"/>
  <c r="BJ14" i="102" s="1"/>
  <c r="BJ20" i="102" s="1"/>
  <c r="AD8" i="102"/>
  <c r="AD11" i="102" s="1"/>
  <c r="AD14" i="102" s="1"/>
  <c r="AD20" i="102" s="1"/>
  <c r="AI8" i="101"/>
  <c r="AI11" i="101" s="1"/>
  <c r="K8" i="101"/>
  <c r="K11" i="101" s="1"/>
  <c r="CP8" i="103"/>
  <c r="CP11" i="103" s="1"/>
  <c r="CP14" i="103" s="1"/>
  <c r="CP20" i="103" s="1"/>
  <c r="EE106" i="22" s="1"/>
  <c r="CH8" i="103"/>
  <c r="CH11" i="103" s="1"/>
  <c r="CH14" i="103" s="1"/>
  <c r="CH20" i="103" s="1"/>
  <c r="DW106" i="22" s="1"/>
  <c r="BZ8" i="103"/>
  <c r="BZ11" i="103" s="1"/>
  <c r="BZ14" i="103" s="1"/>
  <c r="BZ20" i="103" s="1"/>
  <c r="DO106" i="22" s="1"/>
  <c r="BR8" i="103"/>
  <c r="BR11" i="103" s="1"/>
  <c r="BR14" i="103" s="1"/>
  <c r="BR20" i="103" s="1"/>
  <c r="DG106" i="22" s="1"/>
  <c r="BJ8" i="103"/>
  <c r="BJ11" i="103" s="1"/>
  <c r="BJ14" i="103" s="1"/>
  <c r="BJ20" i="103" s="1"/>
  <c r="CY106" i="22" s="1"/>
  <c r="BB8" i="103"/>
  <c r="BB11" i="103" s="1"/>
  <c r="BB14" i="103" s="1"/>
  <c r="BB20" i="103" s="1"/>
  <c r="CQ106" i="22" s="1"/>
  <c r="AT8" i="103"/>
  <c r="AT11" i="103" s="1"/>
  <c r="AT14" i="103" s="1"/>
  <c r="AT20" i="103" s="1"/>
  <c r="CI106" i="22" s="1"/>
  <c r="AL8" i="103"/>
  <c r="AL11" i="103" s="1"/>
  <c r="AL14" i="103" s="1"/>
  <c r="AD8" i="103"/>
  <c r="AD11" i="103" s="1"/>
  <c r="AD14" i="103" s="1"/>
  <c r="AD20" i="103" s="1"/>
  <c r="V8" i="103"/>
  <c r="V11" i="103" s="1"/>
  <c r="V14" i="103" s="1"/>
  <c r="N8" i="103"/>
  <c r="N11" i="103" s="1"/>
  <c r="N14" i="103" s="1"/>
  <c r="CK8" i="102"/>
  <c r="CK11" i="102" s="1"/>
  <c r="CK14" i="102" s="1"/>
  <c r="CK20" i="102" s="1"/>
  <c r="CC8" i="102"/>
  <c r="CC11" i="102" s="1"/>
  <c r="CC14" i="102" s="1"/>
  <c r="CC20" i="102" s="1"/>
  <c r="BU8" i="102"/>
  <c r="BU11" i="102" s="1"/>
  <c r="BU14" i="102" s="1"/>
  <c r="BU20" i="102" s="1"/>
  <c r="BM8" i="102"/>
  <c r="BM11" i="102" s="1"/>
  <c r="BM14" i="102" s="1"/>
  <c r="BM20" i="102" s="1"/>
  <c r="BE8" i="102"/>
  <c r="BE11" i="102" s="1"/>
  <c r="BE14" i="102" s="1"/>
  <c r="BE20" i="102" s="1"/>
  <c r="AW8" i="102"/>
  <c r="AW11" i="102" s="1"/>
  <c r="AW14" i="102" s="1"/>
  <c r="AW20" i="102" s="1"/>
  <c r="AO8" i="102"/>
  <c r="AO11" i="102" s="1"/>
  <c r="AO14" i="102" s="1"/>
  <c r="AO20" i="102" s="1"/>
  <c r="AG8" i="102"/>
  <c r="AG11" i="102" s="1"/>
  <c r="AG14" i="102" s="1"/>
  <c r="AG20" i="102" s="1"/>
  <c r="Y8" i="102"/>
  <c r="Y11" i="102" s="1"/>
  <c r="Y14" i="102" s="1"/>
  <c r="Y20" i="102" s="1"/>
  <c r="Q8" i="102"/>
  <c r="Q11" i="102" s="1"/>
  <c r="Q14" i="102" s="1"/>
  <c r="Q20" i="102" s="1"/>
  <c r="I8" i="102"/>
  <c r="I11" i="102" s="1"/>
  <c r="I14" i="102" s="1"/>
  <c r="I20" i="102" s="1"/>
  <c r="AL8" i="101"/>
  <c r="AL11" i="101" s="1"/>
  <c r="AD8" i="101"/>
  <c r="AD11" i="101" s="1"/>
  <c r="V8" i="101"/>
  <c r="V11" i="101" s="1"/>
  <c r="N8" i="101"/>
  <c r="N11" i="101" s="1"/>
  <c r="CF8" i="103"/>
  <c r="CF11" i="103" s="1"/>
  <c r="CF14" i="103" s="1"/>
  <c r="AZ8" i="103"/>
  <c r="AZ11" i="103" s="1"/>
  <c r="AZ14" i="103" s="1"/>
  <c r="AZ20" i="103" s="1"/>
  <c r="CO106" i="22" s="1"/>
  <c r="AJ8" i="103"/>
  <c r="AJ11" i="103" s="1"/>
  <c r="AJ14" i="103" s="1"/>
  <c r="AJ20" i="103" s="1"/>
  <c r="CQ8" i="102"/>
  <c r="CQ11" i="102" s="1"/>
  <c r="CQ14" i="102" s="1"/>
  <c r="CQ20" i="102" s="1"/>
  <c r="BK8" i="102"/>
  <c r="BK11" i="102" s="1"/>
  <c r="BK14" i="102" s="1"/>
  <c r="BK20" i="102" s="1"/>
  <c r="AM8" i="102"/>
  <c r="AM11" i="102" s="1"/>
  <c r="AM14" i="102" s="1"/>
  <c r="AM20" i="102" s="1"/>
  <c r="O8" i="102"/>
  <c r="O11" i="102" s="1"/>
  <c r="O14" i="102" s="1"/>
  <c r="O20" i="102" s="1"/>
  <c r="L8" i="101"/>
  <c r="L11" i="101" s="1"/>
  <c r="AY8" i="103"/>
  <c r="AY11" i="103" s="1"/>
  <c r="AY14" i="103" s="1"/>
  <c r="AY20" i="103" s="1"/>
  <c r="CN106" i="22" s="1"/>
  <c r="K8" i="103"/>
  <c r="K11" i="103" s="1"/>
  <c r="K14" i="103" s="1"/>
  <c r="K20" i="103" s="1"/>
  <c r="BR8" i="102"/>
  <c r="BR11" i="102" s="1"/>
  <c r="BR14" i="102" s="1"/>
  <c r="BR20" i="102" s="1"/>
  <c r="BB8" i="102"/>
  <c r="BB11" i="102" s="1"/>
  <c r="BB14" i="102" s="1"/>
  <c r="BB20" i="102" s="1"/>
  <c r="AL8" i="102"/>
  <c r="AL11" i="102" s="1"/>
  <c r="AL14" i="102" s="1"/>
  <c r="AL20" i="102" s="1"/>
  <c r="N8" i="102"/>
  <c r="N11" i="102" s="1"/>
  <c r="N14" i="102" s="1"/>
  <c r="N20" i="102" s="1"/>
  <c r="CO8" i="103"/>
  <c r="CO11" i="103" s="1"/>
  <c r="CO14" i="103" s="1"/>
  <c r="CO20" i="103" s="1"/>
  <c r="ED106" i="22" s="1"/>
  <c r="CG8" i="103"/>
  <c r="CG11" i="103" s="1"/>
  <c r="CG14" i="103" s="1"/>
  <c r="CG20" i="103" s="1"/>
  <c r="DV106" i="22" s="1"/>
  <c r="BY8" i="103"/>
  <c r="BY11" i="103" s="1"/>
  <c r="BY14" i="103" s="1"/>
  <c r="BY20" i="103" s="1"/>
  <c r="DN106" i="22" s="1"/>
  <c r="BQ8" i="103"/>
  <c r="BQ11" i="103" s="1"/>
  <c r="BQ14" i="103" s="1"/>
  <c r="BQ20" i="103" s="1"/>
  <c r="DF106" i="22" s="1"/>
  <c r="BI8" i="103"/>
  <c r="BI11" i="103" s="1"/>
  <c r="BI14" i="103" s="1"/>
  <c r="BI20" i="103" s="1"/>
  <c r="CX106" i="22" s="1"/>
  <c r="BA8" i="103"/>
  <c r="BA11" i="103" s="1"/>
  <c r="BA14" i="103" s="1"/>
  <c r="BA20" i="103" s="1"/>
  <c r="CP106" i="22" s="1"/>
  <c r="AS8" i="103"/>
  <c r="AS11" i="103" s="1"/>
  <c r="AS14" i="103" s="1"/>
  <c r="AS20" i="103" s="1"/>
  <c r="CH106" i="22" s="1"/>
  <c r="AK8" i="103"/>
  <c r="AK11" i="103" s="1"/>
  <c r="AK14" i="103" s="1"/>
  <c r="AC8" i="103"/>
  <c r="AC11" i="103" s="1"/>
  <c r="AC14" i="103" s="1"/>
  <c r="AC20" i="103" s="1"/>
  <c r="U8" i="103"/>
  <c r="U11" i="103" s="1"/>
  <c r="U14" i="103" s="1"/>
  <c r="U20" i="103" s="1"/>
  <c r="M8" i="103"/>
  <c r="M11" i="103" s="1"/>
  <c r="M14" i="103" s="1"/>
  <c r="M20" i="103" s="1"/>
  <c r="CJ8" i="102"/>
  <c r="CJ11" i="102" s="1"/>
  <c r="CJ14" i="102" s="1"/>
  <c r="CJ20" i="102" s="1"/>
  <c r="CB8" i="102"/>
  <c r="CB11" i="102" s="1"/>
  <c r="CB14" i="102" s="1"/>
  <c r="CB20" i="102" s="1"/>
  <c r="BT8" i="102"/>
  <c r="BT11" i="102" s="1"/>
  <c r="BT14" i="102" s="1"/>
  <c r="BT20" i="102" s="1"/>
  <c r="BL8" i="102"/>
  <c r="BL11" i="102" s="1"/>
  <c r="BL14" i="102" s="1"/>
  <c r="BL20" i="102" s="1"/>
  <c r="BD8" i="102"/>
  <c r="BD11" i="102" s="1"/>
  <c r="BD14" i="102" s="1"/>
  <c r="BD20" i="102" s="1"/>
  <c r="AV8" i="102"/>
  <c r="AV11" i="102" s="1"/>
  <c r="AV14" i="102" s="1"/>
  <c r="AV20" i="102" s="1"/>
  <c r="AN8" i="102"/>
  <c r="AN11" i="102" s="1"/>
  <c r="AN14" i="102" s="1"/>
  <c r="AN20" i="102" s="1"/>
  <c r="AF8" i="102"/>
  <c r="AF11" i="102" s="1"/>
  <c r="AF14" i="102" s="1"/>
  <c r="AF20" i="102" s="1"/>
  <c r="X8" i="102"/>
  <c r="X11" i="102" s="1"/>
  <c r="X14" i="102" s="1"/>
  <c r="X20" i="102" s="1"/>
  <c r="P8" i="102"/>
  <c r="P11" i="102" s="1"/>
  <c r="P14" i="102" s="1"/>
  <c r="P20" i="102" s="1"/>
  <c r="AK8" i="101"/>
  <c r="AK11" i="101" s="1"/>
  <c r="AC8" i="101"/>
  <c r="AC11" i="101" s="1"/>
  <c r="U8" i="101"/>
  <c r="U11" i="101" s="1"/>
  <c r="M8" i="101"/>
  <c r="M11" i="101" s="1"/>
  <c r="CN8" i="103"/>
  <c r="CN11" i="103" s="1"/>
  <c r="CN14" i="103" s="1"/>
  <c r="CN20" i="103" s="1"/>
  <c r="EC106" i="22" s="1"/>
  <c r="BH8" i="103"/>
  <c r="BH11" i="103" s="1"/>
  <c r="BH14" i="103" s="1"/>
  <c r="BH20" i="103" s="1"/>
  <c r="CW106" i="22" s="1"/>
  <c r="AR8" i="103"/>
  <c r="AR11" i="103" s="1"/>
  <c r="AR14" i="103" s="1"/>
  <c r="AR20" i="103" s="1"/>
  <c r="L8" i="103"/>
  <c r="L11" i="103" s="1"/>
  <c r="L14" i="103" s="1"/>
  <c r="CA8" i="102"/>
  <c r="CA11" i="102" s="1"/>
  <c r="CA14" i="102" s="1"/>
  <c r="CA20" i="102" s="1"/>
  <c r="BC8" i="102"/>
  <c r="BC11" i="102" s="1"/>
  <c r="BC14" i="102" s="1"/>
  <c r="BC20" i="102" s="1"/>
  <c r="AE8" i="102"/>
  <c r="AE11" i="102" s="1"/>
  <c r="AE14" i="102" s="1"/>
  <c r="AE20" i="102" s="1"/>
  <c r="AJ8" i="101"/>
  <c r="AJ11" i="101" s="1"/>
  <c r="CM8" i="103"/>
  <c r="CM11" i="103" s="1"/>
  <c r="CM14" i="103" s="1"/>
  <c r="CM20" i="103" s="1"/>
  <c r="EB106" i="22" s="1"/>
  <c r="AQ8" i="103"/>
  <c r="AQ11" i="103" s="1"/>
  <c r="AQ14" i="103" s="1"/>
  <c r="S8" i="103"/>
  <c r="S11" i="103" s="1"/>
  <c r="S14" i="103" s="1"/>
  <c r="BZ8" i="102"/>
  <c r="BZ11" i="102" s="1"/>
  <c r="BZ14" i="102" s="1"/>
  <c r="BZ20" i="102" s="1"/>
  <c r="AA8" i="101"/>
  <c r="AA11" i="101" s="1"/>
  <c r="CO8" i="99"/>
  <c r="CG8" i="99"/>
  <c r="BY8" i="99"/>
  <c r="BQ8" i="99"/>
  <c r="BI8" i="99"/>
  <c r="BA8" i="99"/>
  <c r="AS8" i="99"/>
  <c r="AK8" i="99"/>
  <c r="AC8" i="99"/>
  <c r="U8" i="99"/>
  <c r="M8" i="99"/>
  <c r="BV8" i="99"/>
  <c r="AP8" i="99"/>
  <c r="J8" i="99"/>
  <c r="AU8" i="99"/>
  <c r="CH8" i="99"/>
  <c r="BR8" i="99"/>
  <c r="BB8" i="99"/>
  <c r="AL8" i="99"/>
  <c r="N8" i="99"/>
  <c r="CN8" i="99"/>
  <c r="CF8" i="99"/>
  <c r="BX8" i="99"/>
  <c r="BP8" i="99"/>
  <c r="BH8" i="99"/>
  <c r="AZ8" i="99"/>
  <c r="AR8" i="99"/>
  <c r="AJ8" i="99"/>
  <c r="AB8" i="99"/>
  <c r="T8" i="99"/>
  <c r="L8" i="99"/>
  <c r="CD8" i="99"/>
  <c r="AH8" i="99"/>
  <c r="CA8" i="99"/>
  <c r="AE8" i="99"/>
  <c r="AD8" i="99"/>
  <c r="CM8" i="99"/>
  <c r="CE8" i="99"/>
  <c r="BW8" i="99"/>
  <c r="BO8" i="99"/>
  <c r="BG8" i="99"/>
  <c r="AY8" i="99"/>
  <c r="AQ8" i="99"/>
  <c r="AI8" i="99"/>
  <c r="AA8" i="99"/>
  <c r="S8" i="99"/>
  <c r="K8" i="99"/>
  <c r="CL8" i="99"/>
  <c r="AX8" i="99"/>
  <c r="R8" i="99"/>
  <c r="BC8" i="99"/>
  <c r="BN8" i="99"/>
  <c r="BF8" i="99"/>
  <c r="Z8" i="99"/>
  <c r="BK8" i="99"/>
  <c r="O8" i="99"/>
  <c r="CP8" i="99"/>
  <c r="BZ8" i="99"/>
  <c r="BJ8" i="99"/>
  <c r="AT8" i="99"/>
  <c r="V8" i="99"/>
  <c r="CK8" i="99"/>
  <c r="CC8" i="99"/>
  <c r="BU8" i="99"/>
  <c r="BM8" i="99"/>
  <c r="BE8" i="99"/>
  <c r="AW8" i="99"/>
  <c r="AO8" i="99"/>
  <c r="AG8" i="99"/>
  <c r="Y8" i="99"/>
  <c r="Q8" i="99"/>
  <c r="I8" i="99"/>
  <c r="CQ8" i="99"/>
  <c r="BS8" i="99"/>
  <c r="W8" i="99"/>
  <c r="CJ8" i="99"/>
  <c r="CB8" i="99"/>
  <c r="BT8" i="99"/>
  <c r="BL8" i="99"/>
  <c r="BD8" i="99"/>
  <c r="AV8" i="99"/>
  <c r="AN8" i="99"/>
  <c r="AF8" i="99"/>
  <c r="X8" i="99"/>
  <c r="P8" i="99"/>
  <c r="CI8" i="99"/>
  <c r="AM8" i="99"/>
  <c r="CO8" i="98"/>
  <c r="CO11" i="98" s="1"/>
  <c r="CO13" i="98" s="1"/>
  <c r="CO19" i="98" s="1"/>
  <c r="ED101" i="22" s="1"/>
  <c r="CG8" i="98"/>
  <c r="CG11" i="98" s="1"/>
  <c r="CG13" i="98" s="1"/>
  <c r="CG19" i="98" s="1"/>
  <c r="DV101" i="22" s="1"/>
  <c r="BY8" i="98"/>
  <c r="BY11" i="98" s="1"/>
  <c r="BY13" i="98" s="1"/>
  <c r="BY19" i="98" s="1"/>
  <c r="DN101" i="22" s="1"/>
  <c r="BQ8" i="98"/>
  <c r="BQ11" i="98" s="1"/>
  <c r="BQ13" i="98" s="1"/>
  <c r="BQ19" i="98" s="1"/>
  <c r="DF101" i="22" s="1"/>
  <c r="BI8" i="98"/>
  <c r="BI11" i="98" s="1"/>
  <c r="BI13" i="98" s="1"/>
  <c r="BI19" i="98" s="1"/>
  <c r="CX101" i="22" s="1"/>
  <c r="BA8" i="98"/>
  <c r="BA11" i="98" s="1"/>
  <c r="BA13" i="98" s="1"/>
  <c r="BA19" i="98" s="1"/>
  <c r="CP101" i="22" s="1"/>
  <c r="AS8" i="98"/>
  <c r="AS11" i="98" s="1"/>
  <c r="AS13" i="98" s="1"/>
  <c r="AS19" i="98" s="1"/>
  <c r="CH101" i="22" s="1"/>
  <c r="AK8" i="98"/>
  <c r="AK11" i="98" s="1"/>
  <c r="AK13" i="98" s="1"/>
  <c r="AK19" i="98" s="1"/>
  <c r="AC8" i="98"/>
  <c r="AC11" i="98" s="1"/>
  <c r="AC13" i="98" s="1"/>
  <c r="AC19" i="98" s="1"/>
  <c r="U8" i="98"/>
  <c r="U11" i="98" s="1"/>
  <c r="U13" i="98" s="1"/>
  <c r="U19" i="98" s="1"/>
  <c r="M8" i="98"/>
  <c r="M11" i="98" s="1"/>
  <c r="M13" i="98" s="1"/>
  <c r="M19" i="98" s="1"/>
  <c r="BC8" i="98"/>
  <c r="BC11" i="98" s="1"/>
  <c r="BC13" i="98" s="1"/>
  <c r="BC19" i="98" s="1"/>
  <c r="CR101" i="22" s="1"/>
  <c r="W8" i="98"/>
  <c r="W11" i="98" s="1"/>
  <c r="W13" i="98" s="1"/>
  <c r="W19" i="98" s="1"/>
  <c r="BR8" i="98"/>
  <c r="BR11" i="98" s="1"/>
  <c r="BR13" i="98" s="1"/>
  <c r="BR19" i="98" s="1"/>
  <c r="DG101" i="22" s="1"/>
  <c r="V8" i="98"/>
  <c r="V11" i="98" s="1"/>
  <c r="V13" i="98" s="1"/>
  <c r="V19" i="98" s="1"/>
  <c r="CN8" i="98"/>
  <c r="CN11" i="98" s="1"/>
  <c r="CN13" i="98" s="1"/>
  <c r="CN19" i="98" s="1"/>
  <c r="EC101" i="22" s="1"/>
  <c r="CF8" i="98"/>
  <c r="CF11" i="98" s="1"/>
  <c r="CF13" i="98" s="1"/>
  <c r="CF19" i="98" s="1"/>
  <c r="DU101" i="22" s="1"/>
  <c r="BX8" i="98"/>
  <c r="BX11" i="98" s="1"/>
  <c r="BX13" i="98" s="1"/>
  <c r="BX19" i="98" s="1"/>
  <c r="DM101" i="22" s="1"/>
  <c r="BP8" i="98"/>
  <c r="BP11" i="98" s="1"/>
  <c r="BP13" i="98" s="1"/>
  <c r="BP19" i="98" s="1"/>
  <c r="DE101" i="22" s="1"/>
  <c r="BH8" i="98"/>
  <c r="BH11" i="98" s="1"/>
  <c r="BH13" i="98" s="1"/>
  <c r="BH19" i="98" s="1"/>
  <c r="CW101" i="22" s="1"/>
  <c r="AZ8" i="98"/>
  <c r="AZ11" i="98" s="1"/>
  <c r="AZ13" i="98" s="1"/>
  <c r="AZ19" i="98" s="1"/>
  <c r="CO101" i="22" s="1"/>
  <c r="AR8" i="98"/>
  <c r="AR11" i="98" s="1"/>
  <c r="AR13" i="98" s="1"/>
  <c r="AR19" i="98" s="1"/>
  <c r="AJ8" i="98"/>
  <c r="AJ11" i="98" s="1"/>
  <c r="AJ13" i="98" s="1"/>
  <c r="AJ19" i="98" s="1"/>
  <c r="AB8" i="98"/>
  <c r="AB11" i="98" s="1"/>
  <c r="AB13" i="98" s="1"/>
  <c r="AB19" i="98" s="1"/>
  <c r="T8" i="98"/>
  <c r="T11" i="98" s="1"/>
  <c r="T13" i="98" s="1"/>
  <c r="T19" i="98" s="1"/>
  <c r="L8" i="98"/>
  <c r="L11" i="98" s="1"/>
  <c r="L13" i="98" s="1"/>
  <c r="L19" i="98" s="1"/>
  <c r="BS8" i="98"/>
  <c r="BS11" i="98" s="1"/>
  <c r="BS13" i="98" s="1"/>
  <c r="BS19" i="98" s="1"/>
  <c r="DH101" i="22" s="1"/>
  <c r="AU8" i="98"/>
  <c r="AU11" i="98" s="1"/>
  <c r="AU13" i="98" s="1"/>
  <c r="AU19" i="98" s="1"/>
  <c r="CJ101" i="22" s="1"/>
  <c r="CH8" i="98"/>
  <c r="CH11" i="98" s="1"/>
  <c r="CH13" i="98" s="1"/>
  <c r="CH19" i="98" s="1"/>
  <c r="DW101" i="22" s="1"/>
  <c r="AL8" i="98"/>
  <c r="AL11" i="98" s="1"/>
  <c r="AL13" i="98" s="1"/>
  <c r="AL19" i="98" s="1"/>
  <c r="CM8" i="98"/>
  <c r="CM11" i="98" s="1"/>
  <c r="CM13" i="98" s="1"/>
  <c r="CM19" i="98" s="1"/>
  <c r="EB101" i="22" s="1"/>
  <c r="CE8" i="98"/>
  <c r="CE11" i="98" s="1"/>
  <c r="CE13" i="98" s="1"/>
  <c r="CE19" i="98" s="1"/>
  <c r="DT101" i="22" s="1"/>
  <c r="BW8" i="98"/>
  <c r="BW11" i="98" s="1"/>
  <c r="BW13" i="98" s="1"/>
  <c r="BW19" i="98" s="1"/>
  <c r="DL101" i="22" s="1"/>
  <c r="BO8" i="98"/>
  <c r="BO11" i="98" s="1"/>
  <c r="BO13" i="98" s="1"/>
  <c r="BO19" i="98" s="1"/>
  <c r="DD101" i="22" s="1"/>
  <c r="BG8" i="98"/>
  <c r="BG11" i="98" s="1"/>
  <c r="BG13" i="98" s="1"/>
  <c r="BG19" i="98" s="1"/>
  <c r="CV101" i="22" s="1"/>
  <c r="AY8" i="98"/>
  <c r="AY11" i="98" s="1"/>
  <c r="AY13" i="98" s="1"/>
  <c r="AY19" i="98" s="1"/>
  <c r="CN101" i="22" s="1"/>
  <c r="AQ8" i="98"/>
  <c r="AQ11" i="98" s="1"/>
  <c r="AQ13" i="98" s="1"/>
  <c r="AQ19" i="98" s="1"/>
  <c r="AI8" i="98"/>
  <c r="AI11" i="98" s="1"/>
  <c r="AI13" i="98" s="1"/>
  <c r="AI19" i="98" s="1"/>
  <c r="AA8" i="98"/>
  <c r="AA11" i="98" s="1"/>
  <c r="AA13" i="98" s="1"/>
  <c r="AA19" i="98" s="1"/>
  <c r="S8" i="98"/>
  <c r="S11" i="98" s="1"/>
  <c r="S13" i="98" s="1"/>
  <c r="S19" i="98" s="1"/>
  <c r="K8" i="98"/>
  <c r="K11" i="98" s="1"/>
  <c r="K13" i="98" s="1"/>
  <c r="K19" i="98" s="1"/>
  <c r="BK8" i="98"/>
  <c r="BK11" i="98" s="1"/>
  <c r="BK13" i="98" s="1"/>
  <c r="BK19" i="98" s="1"/>
  <c r="CZ101" i="22" s="1"/>
  <c r="AM8" i="98"/>
  <c r="AM11" i="98" s="1"/>
  <c r="AM13" i="98" s="1"/>
  <c r="AM19" i="98" s="1"/>
  <c r="BZ8" i="98"/>
  <c r="BZ11" i="98" s="1"/>
  <c r="BZ13" i="98" s="1"/>
  <c r="BZ19" i="98" s="1"/>
  <c r="DO101" i="22" s="1"/>
  <c r="AD8" i="98"/>
  <c r="AD11" i="98" s="1"/>
  <c r="AD13" i="98" s="1"/>
  <c r="AD19" i="98" s="1"/>
  <c r="CL8" i="98"/>
  <c r="CL11" i="98" s="1"/>
  <c r="CL13" i="98" s="1"/>
  <c r="CL19" i="98" s="1"/>
  <c r="EA101" i="22" s="1"/>
  <c r="CD8" i="98"/>
  <c r="CD11" i="98" s="1"/>
  <c r="CD13" i="98" s="1"/>
  <c r="CD19" i="98" s="1"/>
  <c r="DS101" i="22" s="1"/>
  <c r="BV8" i="98"/>
  <c r="BV11" i="98" s="1"/>
  <c r="BV13" i="98" s="1"/>
  <c r="BV19" i="98" s="1"/>
  <c r="DK101" i="22" s="1"/>
  <c r="BN8" i="98"/>
  <c r="BN11" i="98" s="1"/>
  <c r="BN13" i="98" s="1"/>
  <c r="BN19" i="98" s="1"/>
  <c r="DC101" i="22" s="1"/>
  <c r="BF8" i="98"/>
  <c r="BF11" i="98" s="1"/>
  <c r="BF13" i="98" s="1"/>
  <c r="BF19" i="98" s="1"/>
  <c r="CU101" i="22" s="1"/>
  <c r="AX8" i="98"/>
  <c r="AX11" i="98" s="1"/>
  <c r="AX13" i="98" s="1"/>
  <c r="AX19" i="98" s="1"/>
  <c r="CM101" i="22" s="1"/>
  <c r="AP8" i="98"/>
  <c r="AP11" i="98" s="1"/>
  <c r="AP13" i="98" s="1"/>
  <c r="AP19" i="98" s="1"/>
  <c r="AH8" i="98"/>
  <c r="AH11" i="98" s="1"/>
  <c r="AH13" i="98" s="1"/>
  <c r="AH19" i="98" s="1"/>
  <c r="Z8" i="98"/>
  <c r="Z11" i="98" s="1"/>
  <c r="Z13" i="98" s="1"/>
  <c r="Z19" i="98" s="1"/>
  <c r="R8" i="98"/>
  <c r="R11" i="98" s="1"/>
  <c r="R13" i="98" s="1"/>
  <c r="R19" i="98" s="1"/>
  <c r="J8" i="98"/>
  <c r="J11" i="98" s="1"/>
  <c r="J13" i="98" s="1"/>
  <c r="J19" i="98" s="1"/>
  <c r="CA8" i="98"/>
  <c r="CA11" i="98" s="1"/>
  <c r="CA13" i="98" s="1"/>
  <c r="CA19" i="98" s="1"/>
  <c r="DP101" i="22" s="1"/>
  <c r="AE8" i="98"/>
  <c r="AE11" i="98" s="1"/>
  <c r="AE13" i="98" s="1"/>
  <c r="AE19" i="98" s="1"/>
  <c r="BJ8" i="98"/>
  <c r="BJ11" i="98" s="1"/>
  <c r="BJ13" i="98" s="1"/>
  <c r="BJ19" i="98" s="1"/>
  <c r="CY101" i="22" s="1"/>
  <c r="N8" i="98"/>
  <c r="N11" i="98" s="1"/>
  <c r="N13" i="98" s="1"/>
  <c r="N19" i="98" s="1"/>
  <c r="CK8" i="98"/>
  <c r="CK11" i="98" s="1"/>
  <c r="CK13" i="98" s="1"/>
  <c r="CK19" i="98" s="1"/>
  <c r="DZ101" i="22" s="1"/>
  <c r="CC8" i="98"/>
  <c r="CC11" i="98" s="1"/>
  <c r="CC13" i="98" s="1"/>
  <c r="CC19" i="98" s="1"/>
  <c r="DR101" i="22" s="1"/>
  <c r="BU8" i="98"/>
  <c r="BU11" i="98" s="1"/>
  <c r="BU13" i="98" s="1"/>
  <c r="BU19" i="98" s="1"/>
  <c r="DJ101" i="22" s="1"/>
  <c r="BM8" i="98"/>
  <c r="BM11" i="98" s="1"/>
  <c r="BM13" i="98" s="1"/>
  <c r="BM19" i="98" s="1"/>
  <c r="DB101" i="22" s="1"/>
  <c r="BE8" i="98"/>
  <c r="BE11" i="98" s="1"/>
  <c r="BE13" i="98" s="1"/>
  <c r="BE19" i="98" s="1"/>
  <c r="CT101" i="22" s="1"/>
  <c r="AW8" i="98"/>
  <c r="AW11" i="98" s="1"/>
  <c r="AW13" i="98" s="1"/>
  <c r="AW19" i="98" s="1"/>
  <c r="CL101" i="22" s="1"/>
  <c r="AO8" i="98"/>
  <c r="AO11" i="98" s="1"/>
  <c r="AO13" i="98" s="1"/>
  <c r="AO19" i="98" s="1"/>
  <c r="AG8" i="98"/>
  <c r="AG11" i="98" s="1"/>
  <c r="AG13" i="98" s="1"/>
  <c r="AG19" i="98" s="1"/>
  <c r="Y8" i="98"/>
  <c r="Y11" i="98" s="1"/>
  <c r="Y13" i="98" s="1"/>
  <c r="Y19" i="98" s="1"/>
  <c r="Q8" i="98"/>
  <c r="Q11" i="98" s="1"/>
  <c r="Q13" i="98" s="1"/>
  <c r="Q19" i="98" s="1"/>
  <c r="I8" i="98"/>
  <c r="I11" i="98" s="1"/>
  <c r="I13" i="98" s="1"/>
  <c r="I19" i="98" s="1"/>
  <c r="CI8" i="98"/>
  <c r="CI11" i="98" s="1"/>
  <c r="CI13" i="98" s="1"/>
  <c r="CI19" i="98" s="1"/>
  <c r="DX101" i="22" s="1"/>
  <c r="CP8" i="98"/>
  <c r="CP11" i="98" s="1"/>
  <c r="CP13" i="98" s="1"/>
  <c r="CP19" i="98" s="1"/>
  <c r="EE101" i="22" s="1"/>
  <c r="AT8" i="98"/>
  <c r="AT11" i="98" s="1"/>
  <c r="AT13" i="98" s="1"/>
  <c r="AT19" i="98" s="1"/>
  <c r="CI101" i="22" s="1"/>
  <c r="CR8" i="98"/>
  <c r="CR11" i="98" s="1"/>
  <c r="CR13" i="98" s="1"/>
  <c r="CR19" i="98" s="1"/>
  <c r="EG101" i="22" s="1"/>
  <c r="BD101" i="22" s="1"/>
  <c r="CJ8" i="98"/>
  <c r="CJ11" i="98" s="1"/>
  <c r="CJ13" i="98" s="1"/>
  <c r="CJ19" i="98" s="1"/>
  <c r="DY101" i="22" s="1"/>
  <c r="CB8" i="98"/>
  <c r="CB11" i="98" s="1"/>
  <c r="CB13" i="98" s="1"/>
  <c r="CB19" i="98" s="1"/>
  <c r="DQ101" i="22" s="1"/>
  <c r="BT8" i="98"/>
  <c r="BT11" i="98" s="1"/>
  <c r="BT13" i="98" s="1"/>
  <c r="BT19" i="98" s="1"/>
  <c r="DI101" i="22" s="1"/>
  <c r="BL8" i="98"/>
  <c r="BL11" i="98" s="1"/>
  <c r="BL13" i="98" s="1"/>
  <c r="BL19" i="98" s="1"/>
  <c r="DA101" i="22" s="1"/>
  <c r="BD8" i="98"/>
  <c r="BD11" i="98" s="1"/>
  <c r="BD13" i="98" s="1"/>
  <c r="BD19" i="98" s="1"/>
  <c r="CS101" i="22" s="1"/>
  <c r="AV8" i="98"/>
  <c r="AV11" i="98" s="1"/>
  <c r="AV13" i="98" s="1"/>
  <c r="AV19" i="98" s="1"/>
  <c r="CK101" i="22" s="1"/>
  <c r="AN8" i="98"/>
  <c r="AN11" i="98" s="1"/>
  <c r="AN13" i="98" s="1"/>
  <c r="AN19" i="98" s="1"/>
  <c r="AF8" i="98"/>
  <c r="AF11" i="98" s="1"/>
  <c r="AF13" i="98" s="1"/>
  <c r="AF19" i="98" s="1"/>
  <c r="X8" i="98"/>
  <c r="X11" i="98" s="1"/>
  <c r="X13" i="98" s="1"/>
  <c r="X19" i="98" s="1"/>
  <c r="P8" i="98"/>
  <c r="P11" i="98" s="1"/>
  <c r="P13" i="98" s="1"/>
  <c r="P19" i="98" s="1"/>
  <c r="CQ8" i="98"/>
  <c r="CQ11" i="98" s="1"/>
  <c r="CQ13" i="98" s="1"/>
  <c r="CQ19" i="98" s="1"/>
  <c r="EF101" i="22" s="1"/>
  <c r="O8" i="98"/>
  <c r="O11" i="98" s="1"/>
  <c r="O13" i="98" s="1"/>
  <c r="O19" i="98" s="1"/>
  <c r="BB8" i="98"/>
  <c r="BB11" i="98" s="1"/>
  <c r="BB13" i="98" s="1"/>
  <c r="BB19" i="98" s="1"/>
  <c r="CQ101" i="22" s="1"/>
  <c r="CN8" i="97"/>
  <c r="CF8" i="97"/>
  <c r="BX8" i="97"/>
  <c r="BP8" i="97"/>
  <c r="BH8" i="97"/>
  <c r="AZ8" i="97"/>
  <c r="AR8" i="97"/>
  <c r="AJ8" i="97"/>
  <c r="AB8" i="97"/>
  <c r="T8" i="97"/>
  <c r="L8" i="97"/>
  <c r="L12" i="97" s="1"/>
  <c r="CR8" i="96"/>
  <c r="CR11" i="96" s="1"/>
  <c r="CR13" i="96" s="1"/>
  <c r="CR19" i="96" s="1"/>
  <c r="CJ8" i="96"/>
  <c r="CJ11" i="96" s="1"/>
  <c r="CJ13" i="96" s="1"/>
  <c r="CJ19" i="96" s="1"/>
  <c r="CB8" i="96"/>
  <c r="CB11" i="96" s="1"/>
  <c r="CB13" i="96" s="1"/>
  <c r="CB19" i="96" s="1"/>
  <c r="BT8" i="96"/>
  <c r="BT11" i="96" s="1"/>
  <c r="BT13" i="96" s="1"/>
  <c r="BT19" i="96" s="1"/>
  <c r="BL8" i="96"/>
  <c r="BL11" i="96" s="1"/>
  <c r="BL13" i="96" s="1"/>
  <c r="BL19" i="96" s="1"/>
  <c r="BD8" i="96"/>
  <c r="BD11" i="96" s="1"/>
  <c r="BD13" i="96" s="1"/>
  <c r="BD19" i="96" s="1"/>
  <c r="AV8" i="96"/>
  <c r="AV11" i="96" s="1"/>
  <c r="AV13" i="96" s="1"/>
  <c r="AV19" i="96" s="1"/>
  <c r="AN8" i="96"/>
  <c r="AN11" i="96" s="1"/>
  <c r="AN13" i="96" s="1"/>
  <c r="AN19" i="96" s="1"/>
  <c r="AF8" i="96"/>
  <c r="AF11" i="96" s="1"/>
  <c r="AF13" i="96" s="1"/>
  <c r="AF19" i="96" s="1"/>
  <c r="X8" i="96"/>
  <c r="X11" i="96" s="1"/>
  <c r="X13" i="96" s="1"/>
  <c r="X19" i="96" s="1"/>
  <c r="P8" i="96"/>
  <c r="P11" i="96" s="1"/>
  <c r="P13" i="96" s="1"/>
  <c r="P19" i="96" s="1"/>
  <c r="BV8" i="97"/>
  <c r="R8" i="97"/>
  <c r="BZ8" i="96"/>
  <c r="BZ11" i="96" s="1"/>
  <c r="BZ13" i="96" s="1"/>
  <c r="BZ19" i="96" s="1"/>
  <c r="AD8" i="96"/>
  <c r="AD11" i="96" s="1"/>
  <c r="AD13" i="96" s="1"/>
  <c r="AD19" i="96" s="1"/>
  <c r="CM8" i="97"/>
  <c r="CE8" i="97"/>
  <c r="BW8" i="97"/>
  <c r="BO8" i="97"/>
  <c r="BG8" i="97"/>
  <c r="AY8" i="97"/>
  <c r="AQ8" i="97"/>
  <c r="AI8" i="97"/>
  <c r="AA8" i="97"/>
  <c r="S8" i="97"/>
  <c r="K8" i="97"/>
  <c r="K12" i="97" s="1"/>
  <c r="CQ8" i="96"/>
  <c r="CQ11" i="96" s="1"/>
  <c r="CQ13" i="96" s="1"/>
  <c r="CQ19" i="96" s="1"/>
  <c r="CI8" i="96"/>
  <c r="CI11" i="96" s="1"/>
  <c r="CI13" i="96" s="1"/>
  <c r="CI19" i="96" s="1"/>
  <c r="CA8" i="96"/>
  <c r="CA11" i="96" s="1"/>
  <c r="CA13" i="96" s="1"/>
  <c r="CA19" i="96" s="1"/>
  <c r="BS8" i="96"/>
  <c r="BS11" i="96" s="1"/>
  <c r="BS13" i="96" s="1"/>
  <c r="BS19" i="96" s="1"/>
  <c r="BK8" i="96"/>
  <c r="BK11" i="96" s="1"/>
  <c r="BK13" i="96" s="1"/>
  <c r="BK19" i="96" s="1"/>
  <c r="BC8" i="96"/>
  <c r="BC11" i="96" s="1"/>
  <c r="BC13" i="96" s="1"/>
  <c r="BC19" i="96" s="1"/>
  <c r="AU8" i="96"/>
  <c r="AU11" i="96" s="1"/>
  <c r="AU13" i="96" s="1"/>
  <c r="AU19" i="96" s="1"/>
  <c r="AM8" i="96"/>
  <c r="AM11" i="96" s="1"/>
  <c r="AM13" i="96" s="1"/>
  <c r="AM19" i="96" s="1"/>
  <c r="AE8" i="96"/>
  <c r="AE11" i="96" s="1"/>
  <c r="AE13" i="96" s="1"/>
  <c r="AE19" i="96" s="1"/>
  <c r="W8" i="96"/>
  <c r="W11" i="96" s="1"/>
  <c r="W13" i="96" s="1"/>
  <c r="W19" i="96" s="1"/>
  <c r="O8" i="96"/>
  <c r="O11" i="96" s="1"/>
  <c r="O13" i="96" s="1"/>
  <c r="O19" i="96" s="1"/>
  <c r="CD8" i="97"/>
  <c r="AP8" i="97"/>
  <c r="Z8" i="97"/>
  <c r="CP8" i="96"/>
  <c r="CP11" i="96" s="1"/>
  <c r="CP13" i="96" s="1"/>
  <c r="CP19" i="96" s="1"/>
  <c r="BJ8" i="96"/>
  <c r="BJ11" i="96" s="1"/>
  <c r="BJ13" i="96" s="1"/>
  <c r="BJ19" i="96" s="1"/>
  <c r="BB8" i="96"/>
  <c r="BB11" i="96" s="1"/>
  <c r="BB13" i="96" s="1"/>
  <c r="BB19" i="96" s="1"/>
  <c r="V8" i="96"/>
  <c r="V11" i="96" s="1"/>
  <c r="V13" i="96" s="1"/>
  <c r="V19" i="96" s="1"/>
  <c r="K8" i="96"/>
  <c r="K11" i="96" s="1"/>
  <c r="K13" i="96" s="1"/>
  <c r="K19" i="96" s="1"/>
  <c r="CL8" i="97"/>
  <c r="CK8" i="97"/>
  <c r="CC8" i="97"/>
  <c r="BU8" i="97"/>
  <c r="BM8" i="97"/>
  <c r="BE8" i="97"/>
  <c r="AW8" i="97"/>
  <c r="AO8" i="97"/>
  <c r="AG8" i="97"/>
  <c r="Y8" i="97"/>
  <c r="Q8" i="97"/>
  <c r="CO8" i="96"/>
  <c r="CO11" i="96" s="1"/>
  <c r="CO13" i="96" s="1"/>
  <c r="CO19" i="96" s="1"/>
  <c r="CG8" i="96"/>
  <c r="CG11" i="96" s="1"/>
  <c r="CG13" i="96" s="1"/>
  <c r="CG19" i="96" s="1"/>
  <c r="BY8" i="96"/>
  <c r="BY11" i="96" s="1"/>
  <c r="BY13" i="96" s="1"/>
  <c r="BY19" i="96" s="1"/>
  <c r="BQ8" i="96"/>
  <c r="BQ11" i="96" s="1"/>
  <c r="BQ13" i="96" s="1"/>
  <c r="BQ19" i="96" s="1"/>
  <c r="BI8" i="96"/>
  <c r="BI11" i="96" s="1"/>
  <c r="BI13" i="96" s="1"/>
  <c r="BI19" i="96" s="1"/>
  <c r="BA8" i="96"/>
  <c r="BA11" i="96" s="1"/>
  <c r="BA13" i="96" s="1"/>
  <c r="BA19" i="96" s="1"/>
  <c r="AS8" i="96"/>
  <c r="AS11" i="96" s="1"/>
  <c r="AS13" i="96" s="1"/>
  <c r="AS19" i="96" s="1"/>
  <c r="AK8" i="96"/>
  <c r="AK11" i="96" s="1"/>
  <c r="AK13" i="96" s="1"/>
  <c r="AK19" i="96" s="1"/>
  <c r="AC8" i="96"/>
  <c r="AC11" i="96" s="1"/>
  <c r="AC13" i="96" s="1"/>
  <c r="AC19" i="96" s="1"/>
  <c r="U8" i="96"/>
  <c r="U11" i="96" s="1"/>
  <c r="U13" i="96" s="1"/>
  <c r="U19" i="96" s="1"/>
  <c r="M8" i="96"/>
  <c r="M11" i="96" s="1"/>
  <c r="M13" i="96" s="1"/>
  <c r="M19" i="96" s="1"/>
  <c r="CA8" i="97"/>
  <c r="BK8" i="97"/>
  <c r="AU8" i="97"/>
  <c r="AE8" i="97"/>
  <c r="O8" i="97"/>
  <c r="CE8" i="96"/>
  <c r="CE11" i="96" s="1"/>
  <c r="CE13" i="96" s="1"/>
  <c r="CE19" i="96" s="1"/>
  <c r="BO8" i="96"/>
  <c r="BO11" i="96" s="1"/>
  <c r="BO13" i="96" s="1"/>
  <c r="BO19" i="96" s="1"/>
  <c r="AY8" i="96"/>
  <c r="AY11" i="96" s="1"/>
  <c r="AY13" i="96" s="1"/>
  <c r="AY19" i="96" s="1"/>
  <c r="AI8" i="96"/>
  <c r="AI11" i="96" s="1"/>
  <c r="AI13" i="96" s="1"/>
  <c r="AI19" i="96" s="1"/>
  <c r="S8" i="96"/>
  <c r="S11" i="96" s="1"/>
  <c r="S13" i="96" s="1"/>
  <c r="S19" i="96" s="1"/>
  <c r="CM8" i="95"/>
  <c r="CM11" i="95" s="1"/>
  <c r="CM13" i="95" s="1"/>
  <c r="CM19" i="95" s="1"/>
  <c r="EB98" i="22" s="1"/>
  <c r="CJ8" i="97"/>
  <c r="CB8" i="97"/>
  <c r="BT8" i="97"/>
  <c r="BL8" i="97"/>
  <c r="BD8" i="97"/>
  <c r="AV8" i="97"/>
  <c r="AN8" i="97"/>
  <c r="AF8" i="97"/>
  <c r="X8" i="97"/>
  <c r="P8" i="97"/>
  <c r="CN8" i="96"/>
  <c r="CN11" i="96" s="1"/>
  <c r="CN13" i="96" s="1"/>
  <c r="CN19" i="96" s="1"/>
  <c r="CF8" i="96"/>
  <c r="CF11" i="96" s="1"/>
  <c r="CF13" i="96" s="1"/>
  <c r="CF19" i="96" s="1"/>
  <c r="BX8" i="96"/>
  <c r="BX11" i="96" s="1"/>
  <c r="BX13" i="96" s="1"/>
  <c r="BX19" i="96" s="1"/>
  <c r="BP8" i="96"/>
  <c r="BP11" i="96" s="1"/>
  <c r="BP13" i="96" s="1"/>
  <c r="BP19" i="96" s="1"/>
  <c r="BH8" i="96"/>
  <c r="BH11" i="96" s="1"/>
  <c r="BH13" i="96" s="1"/>
  <c r="BH19" i="96" s="1"/>
  <c r="AZ8" i="96"/>
  <c r="AZ11" i="96" s="1"/>
  <c r="AZ13" i="96" s="1"/>
  <c r="AZ19" i="96" s="1"/>
  <c r="AR8" i="96"/>
  <c r="AR11" i="96" s="1"/>
  <c r="AR13" i="96" s="1"/>
  <c r="AR19" i="96" s="1"/>
  <c r="AJ8" i="96"/>
  <c r="AJ11" i="96" s="1"/>
  <c r="AJ13" i="96" s="1"/>
  <c r="AJ19" i="96" s="1"/>
  <c r="AB8" i="96"/>
  <c r="AB11" i="96" s="1"/>
  <c r="AB13" i="96" s="1"/>
  <c r="AB19" i="96" s="1"/>
  <c r="T8" i="96"/>
  <c r="T11" i="96" s="1"/>
  <c r="T13" i="96" s="1"/>
  <c r="T19" i="96" s="1"/>
  <c r="L8" i="96"/>
  <c r="L11" i="96" s="1"/>
  <c r="L13" i="96" s="1"/>
  <c r="L19" i="96" s="1"/>
  <c r="CI8" i="97"/>
  <c r="BS8" i="97"/>
  <c r="BC8" i="97"/>
  <c r="AM8" i="97"/>
  <c r="W8" i="97"/>
  <c r="CM8" i="96"/>
  <c r="CM11" i="96" s="1"/>
  <c r="CM13" i="96" s="1"/>
  <c r="CM19" i="96" s="1"/>
  <c r="BW8" i="96"/>
  <c r="BW11" i="96" s="1"/>
  <c r="BW13" i="96" s="1"/>
  <c r="BW19" i="96" s="1"/>
  <c r="BG8" i="96"/>
  <c r="BG11" i="96" s="1"/>
  <c r="BG13" i="96" s="1"/>
  <c r="BG19" i="96" s="1"/>
  <c r="AQ8" i="96"/>
  <c r="AQ11" i="96" s="1"/>
  <c r="AQ13" i="96" s="1"/>
  <c r="AQ19" i="96" s="1"/>
  <c r="AA8" i="96"/>
  <c r="AA11" i="96" s="1"/>
  <c r="AA13" i="96" s="1"/>
  <c r="AA19" i="96" s="1"/>
  <c r="CQ8" i="97"/>
  <c r="CP8" i="97"/>
  <c r="CH8" i="97"/>
  <c r="BZ8" i="97"/>
  <c r="BR8" i="97"/>
  <c r="BJ8" i="97"/>
  <c r="BB8" i="97"/>
  <c r="AT8" i="97"/>
  <c r="AL8" i="97"/>
  <c r="AD8" i="97"/>
  <c r="V8" i="97"/>
  <c r="N8" i="97"/>
  <c r="N12" i="97" s="1"/>
  <c r="CL8" i="96"/>
  <c r="CL11" i="96" s="1"/>
  <c r="CL13" i="96" s="1"/>
  <c r="CL19" i="96" s="1"/>
  <c r="CD8" i="96"/>
  <c r="CD11" i="96" s="1"/>
  <c r="CD13" i="96" s="1"/>
  <c r="CD19" i="96" s="1"/>
  <c r="BV8" i="96"/>
  <c r="BV11" i="96" s="1"/>
  <c r="BV13" i="96" s="1"/>
  <c r="BV19" i="96" s="1"/>
  <c r="BN8" i="96"/>
  <c r="BN11" i="96" s="1"/>
  <c r="BN13" i="96" s="1"/>
  <c r="BN19" i="96" s="1"/>
  <c r="BF8" i="96"/>
  <c r="BF11" i="96" s="1"/>
  <c r="BF13" i="96" s="1"/>
  <c r="BF19" i="96" s="1"/>
  <c r="AX8" i="96"/>
  <c r="AX11" i="96" s="1"/>
  <c r="AX13" i="96" s="1"/>
  <c r="AX19" i="96" s="1"/>
  <c r="AP8" i="96"/>
  <c r="AP11" i="96" s="1"/>
  <c r="AP13" i="96" s="1"/>
  <c r="AP19" i="96" s="1"/>
  <c r="AH8" i="96"/>
  <c r="AH11" i="96" s="1"/>
  <c r="AH13" i="96" s="1"/>
  <c r="AH19" i="96" s="1"/>
  <c r="Z8" i="96"/>
  <c r="Z11" i="96" s="1"/>
  <c r="Z13" i="96" s="1"/>
  <c r="Z19" i="96" s="1"/>
  <c r="R8" i="96"/>
  <c r="R11" i="96" s="1"/>
  <c r="R13" i="96" s="1"/>
  <c r="R19" i="96" s="1"/>
  <c r="J8" i="96"/>
  <c r="J11" i="96" s="1"/>
  <c r="J13" i="96" s="1"/>
  <c r="J19" i="96" s="1"/>
  <c r="BF8" i="97"/>
  <c r="AX8" i="97"/>
  <c r="AH8" i="97"/>
  <c r="J8" i="97"/>
  <c r="J12" i="97" s="1"/>
  <c r="BR8" i="96"/>
  <c r="BR11" i="96" s="1"/>
  <c r="BR13" i="96" s="1"/>
  <c r="BR19" i="96" s="1"/>
  <c r="AL8" i="96"/>
  <c r="AL11" i="96" s="1"/>
  <c r="AL13" i="96" s="1"/>
  <c r="AL19" i="96" s="1"/>
  <c r="N8" i="96"/>
  <c r="N11" i="96" s="1"/>
  <c r="N13" i="96" s="1"/>
  <c r="N19" i="96" s="1"/>
  <c r="CO8" i="97"/>
  <c r="CG8" i="97"/>
  <c r="BY8" i="97"/>
  <c r="BQ8" i="97"/>
  <c r="BI8" i="97"/>
  <c r="BA8" i="97"/>
  <c r="AS8" i="97"/>
  <c r="AK8" i="97"/>
  <c r="AC8" i="97"/>
  <c r="U8" i="97"/>
  <c r="M8" i="97"/>
  <c r="M12" i="97" s="1"/>
  <c r="CK8" i="96"/>
  <c r="CK11" i="96" s="1"/>
  <c r="CK13" i="96" s="1"/>
  <c r="CK19" i="96" s="1"/>
  <c r="CC8" i="96"/>
  <c r="CC11" i="96" s="1"/>
  <c r="CC13" i="96" s="1"/>
  <c r="CC19" i="96" s="1"/>
  <c r="BU8" i="96"/>
  <c r="BU11" i="96" s="1"/>
  <c r="BU13" i="96" s="1"/>
  <c r="BU19" i="96" s="1"/>
  <c r="BM8" i="96"/>
  <c r="BM11" i="96" s="1"/>
  <c r="BM13" i="96" s="1"/>
  <c r="BM19" i="96" s="1"/>
  <c r="BE8" i="96"/>
  <c r="BE11" i="96" s="1"/>
  <c r="BE13" i="96" s="1"/>
  <c r="BE19" i="96" s="1"/>
  <c r="AW8" i="96"/>
  <c r="AW11" i="96" s="1"/>
  <c r="AW13" i="96" s="1"/>
  <c r="AW19" i="96" s="1"/>
  <c r="AO8" i="96"/>
  <c r="AO11" i="96" s="1"/>
  <c r="AO13" i="96" s="1"/>
  <c r="AO19" i="96" s="1"/>
  <c r="AG8" i="96"/>
  <c r="AG11" i="96" s="1"/>
  <c r="AG13" i="96" s="1"/>
  <c r="AG19" i="96" s="1"/>
  <c r="Y8" i="96"/>
  <c r="Y11" i="96" s="1"/>
  <c r="Y13" i="96" s="1"/>
  <c r="Y19" i="96" s="1"/>
  <c r="Q8" i="96"/>
  <c r="Q11" i="96" s="1"/>
  <c r="Q13" i="96" s="1"/>
  <c r="Q19" i="96" s="1"/>
  <c r="I8" i="96"/>
  <c r="I11" i="96" s="1"/>
  <c r="I13" i="96" s="1"/>
  <c r="I19" i="96" s="1"/>
  <c r="BN8" i="97"/>
  <c r="CH8" i="96"/>
  <c r="CH11" i="96" s="1"/>
  <c r="CH13" i="96" s="1"/>
  <c r="CH19" i="96" s="1"/>
  <c r="AT8" i="96"/>
  <c r="AT11" i="96" s="1"/>
  <c r="AT13" i="96" s="1"/>
  <c r="AT19" i="96" s="1"/>
  <c r="BP8" i="95"/>
  <c r="BP11" i="95" s="1"/>
  <c r="BP13" i="95" s="1"/>
  <c r="BA8" i="95"/>
  <c r="BA11" i="95" s="1"/>
  <c r="BA13" i="95" s="1"/>
  <c r="BA19" i="95" s="1"/>
  <c r="CP98" i="22" s="1"/>
  <c r="V8" i="95"/>
  <c r="V11" i="95" s="1"/>
  <c r="V13" i="95" s="1"/>
  <c r="CH8" i="95"/>
  <c r="CH11" i="95" s="1"/>
  <c r="CH13" i="95" s="1"/>
  <c r="CH19" i="95" s="1"/>
  <c r="DW98" i="22" s="1"/>
  <c r="AF8" i="95"/>
  <c r="AF11" i="95" s="1"/>
  <c r="AF13" i="95" s="1"/>
  <c r="AW8" i="95"/>
  <c r="AW11" i="95" s="1"/>
  <c r="AW13" i="95" s="1"/>
  <c r="BK8" i="95"/>
  <c r="BK11" i="95" s="1"/>
  <c r="BK13" i="95" s="1"/>
  <c r="BK19" i="95" s="1"/>
  <c r="CZ98" i="22" s="1"/>
  <c r="BF8" i="95"/>
  <c r="BF11" i="95" s="1"/>
  <c r="BF13" i="95" s="1"/>
  <c r="BF19" i="95" s="1"/>
  <c r="CU98" i="22" s="1"/>
  <c r="AA8" i="95"/>
  <c r="AA11" i="95" s="1"/>
  <c r="AA13" i="95" s="1"/>
  <c r="AR8" i="95"/>
  <c r="AR11" i="95" s="1"/>
  <c r="AR13" i="95" s="1"/>
  <c r="CQ8" i="95"/>
  <c r="CQ11" i="95" s="1"/>
  <c r="CQ13" i="95" s="1"/>
  <c r="CQ19" i="95" s="1"/>
  <c r="EF98" i="22" s="1"/>
  <c r="CK8" i="95"/>
  <c r="CK11" i="95" s="1"/>
  <c r="CK13" i="95" s="1"/>
  <c r="CK19" i="95" s="1"/>
  <c r="DZ98" i="22" s="1"/>
  <c r="N8" i="95"/>
  <c r="N11" i="95" s="1"/>
  <c r="N13" i="95" s="1"/>
  <c r="AU8" i="95"/>
  <c r="AU11" i="95" s="1"/>
  <c r="AU13" i="95" s="1"/>
  <c r="L8" i="95"/>
  <c r="L11" i="95" s="1"/>
  <c r="L13" i="95" s="1"/>
  <c r="BX8" i="95"/>
  <c r="BX11" i="95" s="1"/>
  <c r="BX13" i="95" s="1"/>
  <c r="BX19" i="95" s="1"/>
  <c r="DM98" i="22" s="1"/>
  <c r="BI8" i="95"/>
  <c r="BI11" i="95" s="1"/>
  <c r="BI13" i="95" s="1"/>
  <c r="AD8" i="95"/>
  <c r="AD11" i="95" s="1"/>
  <c r="AD13" i="95" s="1"/>
  <c r="CP8" i="95"/>
  <c r="CP11" i="95" s="1"/>
  <c r="CP13" i="95" s="1"/>
  <c r="CP19" i="95" s="1"/>
  <c r="EE98" i="22" s="1"/>
  <c r="AN8" i="95"/>
  <c r="AN11" i="95" s="1"/>
  <c r="AN13" i="95" s="1"/>
  <c r="AM8" i="95"/>
  <c r="AM11" i="95" s="1"/>
  <c r="AM13" i="95" s="1"/>
  <c r="BE8" i="95"/>
  <c r="BE11" i="95" s="1"/>
  <c r="BE13" i="95" s="1"/>
  <c r="BE19" i="95" s="1"/>
  <c r="CT98" i="22" s="1"/>
  <c r="CA8" i="95"/>
  <c r="CA11" i="95" s="1"/>
  <c r="CA13" i="95" s="1"/>
  <c r="CA19" i="95" s="1"/>
  <c r="DP98" i="22" s="1"/>
  <c r="BN8" i="95"/>
  <c r="BN11" i="95" s="1"/>
  <c r="BN13" i="95" s="1"/>
  <c r="BN19" i="95" s="1"/>
  <c r="DC98" i="22" s="1"/>
  <c r="AI8" i="95"/>
  <c r="AI11" i="95" s="1"/>
  <c r="AI13" i="95" s="1"/>
  <c r="CO8" i="95"/>
  <c r="CO11" i="95" s="1"/>
  <c r="CO13" i="95" s="1"/>
  <c r="CO19" i="95" s="1"/>
  <c r="ED98" i="22" s="1"/>
  <c r="Y8" i="95"/>
  <c r="Y11" i="95" s="1"/>
  <c r="Y13" i="95" s="1"/>
  <c r="BO8" i="95"/>
  <c r="BO11" i="95" s="1"/>
  <c r="BO13" i="95" s="1"/>
  <c r="BO19" i="95" s="1"/>
  <c r="DD98" i="22" s="1"/>
  <c r="AO8" i="95"/>
  <c r="AO11" i="95" s="1"/>
  <c r="AO13" i="95" s="1"/>
  <c r="T8" i="95"/>
  <c r="T11" i="95" s="1"/>
  <c r="T13" i="95" s="1"/>
  <c r="CN8" i="95"/>
  <c r="CN11" i="95" s="1"/>
  <c r="CN13" i="95" s="1"/>
  <c r="BQ8" i="95"/>
  <c r="BQ11" i="95" s="1"/>
  <c r="BQ13" i="95" s="1"/>
  <c r="BQ19" i="95" s="1"/>
  <c r="DF98" i="22" s="1"/>
  <c r="AL8" i="95"/>
  <c r="AL11" i="95" s="1"/>
  <c r="AL13" i="95" s="1"/>
  <c r="O8" i="95"/>
  <c r="O11" i="95" s="1"/>
  <c r="O13" i="95" s="1"/>
  <c r="AV8" i="95"/>
  <c r="AV11" i="95" s="1"/>
  <c r="AV13" i="95" s="1"/>
  <c r="CI8" i="95"/>
  <c r="CI11" i="95" s="1"/>
  <c r="CI13" i="95" s="1"/>
  <c r="BM8" i="95"/>
  <c r="BM11" i="95" s="1"/>
  <c r="BM13" i="95" s="1"/>
  <c r="BM19" i="95" s="1"/>
  <c r="DB98" i="22" s="1"/>
  <c r="J8" i="95"/>
  <c r="J11" i="95" s="1"/>
  <c r="J13" i="95" s="1"/>
  <c r="BV8" i="95"/>
  <c r="BV11" i="95" s="1"/>
  <c r="BV13" i="95" s="1"/>
  <c r="BV19" i="95" s="1"/>
  <c r="DK98" i="22" s="1"/>
  <c r="AQ8" i="95"/>
  <c r="AQ11" i="95" s="1"/>
  <c r="AQ13" i="95" s="1"/>
  <c r="BS8" i="95"/>
  <c r="BS11" i="95" s="1"/>
  <c r="BS13" i="95" s="1"/>
  <c r="BS19" i="95" s="1"/>
  <c r="DH98" i="22" s="1"/>
  <c r="S8" i="95"/>
  <c r="S11" i="95" s="1"/>
  <c r="S13" i="95" s="1"/>
  <c r="AB8" i="95"/>
  <c r="AB11" i="95" s="1"/>
  <c r="AB13" i="95" s="1"/>
  <c r="M8" i="95"/>
  <c r="M11" i="95" s="1"/>
  <c r="M13" i="95" s="1"/>
  <c r="BY8" i="95"/>
  <c r="BY11" i="95" s="1"/>
  <c r="BY13" i="95" s="1"/>
  <c r="BY19" i="95" s="1"/>
  <c r="DN98" i="22" s="1"/>
  <c r="AT8" i="95"/>
  <c r="AT11" i="95" s="1"/>
  <c r="AT13" i="95" s="1"/>
  <c r="AE8" i="95"/>
  <c r="AE11" i="95" s="1"/>
  <c r="AE13" i="95" s="1"/>
  <c r="BD8" i="95"/>
  <c r="BD11" i="95" s="1"/>
  <c r="BD13" i="95" s="1"/>
  <c r="I8" i="95"/>
  <c r="I11" i="95" s="1"/>
  <c r="I13" i="95" s="1"/>
  <c r="BU8" i="95"/>
  <c r="BU11" i="95" s="1"/>
  <c r="BU13" i="95" s="1"/>
  <c r="BU19" i="95" s="1"/>
  <c r="DJ98" i="22" s="1"/>
  <c r="R8" i="95"/>
  <c r="R11" i="95" s="1"/>
  <c r="R13" i="95" s="1"/>
  <c r="CD8" i="95"/>
  <c r="CD11" i="95" s="1"/>
  <c r="CD13" i="95" s="1"/>
  <c r="CD19" i="95" s="1"/>
  <c r="DS98" i="22" s="1"/>
  <c r="AY8" i="95"/>
  <c r="AY11" i="95" s="1"/>
  <c r="AY13" i="95" s="1"/>
  <c r="AC8" i="95"/>
  <c r="AC11" i="95" s="1"/>
  <c r="AC13" i="95" s="1"/>
  <c r="BT8" i="95"/>
  <c r="BT11" i="95" s="1"/>
  <c r="BT13" i="95" s="1"/>
  <c r="AH8" i="95"/>
  <c r="AH11" i="95" s="1"/>
  <c r="AH13" i="95" s="1"/>
  <c r="BZ8" i="95"/>
  <c r="BZ11" i="95" s="1"/>
  <c r="BZ13" i="95" s="1"/>
  <c r="BZ19" i="95" s="1"/>
  <c r="DO98" i="22" s="1"/>
  <c r="AX8" i="95"/>
  <c r="AX11" i="95" s="1"/>
  <c r="AX13" i="95" s="1"/>
  <c r="AJ8" i="95"/>
  <c r="AJ11" i="95" s="1"/>
  <c r="AJ13" i="95" s="1"/>
  <c r="U8" i="95"/>
  <c r="U11" i="95" s="1"/>
  <c r="U13" i="95" s="1"/>
  <c r="CG8" i="95"/>
  <c r="CG11" i="95" s="1"/>
  <c r="CG13" i="95" s="1"/>
  <c r="CG19" i="95" s="1"/>
  <c r="DV98" i="22" s="1"/>
  <c r="BB8" i="95"/>
  <c r="BB11" i="95" s="1"/>
  <c r="BB13" i="95" s="1"/>
  <c r="BB19" i="95" s="1"/>
  <c r="CQ98" i="22" s="1"/>
  <c r="BC8" i="95"/>
  <c r="BC11" i="95" s="1"/>
  <c r="BC13" i="95" s="1"/>
  <c r="BC19" i="95" s="1"/>
  <c r="CR98" i="22" s="1"/>
  <c r="BL8" i="95"/>
  <c r="BL11" i="95" s="1"/>
  <c r="BL13" i="95" s="1"/>
  <c r="Q8" i="95"/>
  <c r="Q11" i="95" s="1"/>
  <c r="Q13" i="95" s="1"/>
  <c r="CC8" i="95"/>
  <c r="CC11" i="95" s="1"/>
  <c r="CC13" i="95" s="1"/>
  <c r="CC19" i="95" s="1"/>
  <c r="DR98" i="22" s="1"/>
  <c r="Z8" i="95"/>
  <c r="Z11" i="95" s="1"/>
  <c r="Z13" i="95" s="1"/>
  <c r="CL8" i="95"/>
  <c r="CL11" i="95" s="1"/>
  <c r="CL13" i="95" s="1"/>
  <c r="CL19" i="95" s="1"/>
  <c r="EA98" i="22" s="1"/>
  <c r="BG8" i="95"/>
  <c r="BG11" i="95" s="1"/>
  <c r="BG13" i="95" s="1"/>
  <c r="BG19" i="95" s="1"/>
  <c r="CV98" i="22" s="1"/>
  <c r="BJ8" i="95"/>
  <c r="BJ11" i="95" s="1"/>
  <c r="BJ13" i="95" s="1"/>
  <c r="BJ19" i="95" s="1"/>
  <c r="CY98" i="22" s="1"/>
  <c r="CJ8" i="95"/>
  <c r="CJ11" i="95" s="1"/>
  <c r="CJ13" i="95" s="1"/>
  <c r="CJ19" i="95" s="1"/>
  <c r="DY98" i="22" s="1"/>
  <c r="AZ8" i="95"/>
  <c r="AZ11" i="95" s="1"/>
  <c r="AZ13" i="95" s="1"/>
  <c r="AZ19" i="95" s="1"/>
  <c r="CO98" i="22" s="1"/>
  <c r="AK8" i="95"/>
  <c r="AK11" i="95" s="1"/>
  <c r="AK13" i="95" s="1"/>
  <c r="CF8" i="95"/>
  <c r="CF11" i="95" s="1"/>
  <c r="CF13" i="95" s="1"/>
  <c r="CF19" i="95" s="1"/>
  <c r="DU98" i="22" s="1"/>
  <c r="BR8" i="95"/>
  <c r="BR11" i="95" s="1"/>
  <c r="BR13" i="95" s="1"/>
  <c r="BR19" i="95" s="1"/>
  <c r="DG98" i="22" s="1"/>
  <c r="P8" i="95"/>
  <c r="P11" i="95" s="1"/>
  <c r="P13" i="95" s="1"/>
  <c r="CB8" i="95"/>
  <c r="CB11" i="95" s="1"/>
  <c r="CB13" i="95" s="1"/>
  <c r="AG8" i="95"/>
  <c r="AG11" i="95" s="1"/>
  <c r="AG13" i="95" s="1"/>
  <c r="W8" i="95"/>
  <c r="W11" i="95" s="1"/>
  <c r="W13" i="95" s="1"/>
  <c r="AP8" i="95"/>
  <c r="AP11" i="95" s="1"/>
  <c r="AP13" i="95" s="1"/>
  <c r="K8" i="95"/>
  <c r="K11" i="95" s="1"/>
  <c r="K13" i="95" s="1"/>
  <c r="BW8" i="95"/>
  <c r="BW11" i="95" s="1"/>
  <c r="BW13" i="95" s="1"/>
  <c r="BH8" i="95"/>
  <c r="BH11" i="95" s="1"/>
  <c r="BH13" i="95" s="1"/>
  <c r="BH19" i="95" s="1"/>
  <c r="CW98" i="22" s="1"/>
  <c r="AS8" i="95"/>
  <c r="AS11" i="95" s="1"/>
  <c r="AS13" i="95" s="1"/>
  <c r="X8" i="95"/>
  <c r="X11" i="95" s="1"/>
  <c r="X13" i="95" s="1"/>
  <c r="CE8" i="95"/>
  <c r="CE11" i="95" s="1"/>
  <c r="CE13" i="95" s="1"/>
  <c r="CP8" i="93"/>
  <c r="CP11" i="93" s="1"/>
  <c r="CP13" i="93" s="1"/>
  <c r="CP19" i="93" s="1"/>
  <c r="CH8" i="93"/>
  <c r="CH11" i="93" s="1"/>
  <c r="CH13" i="93" s="1"/>
  <c r="CH19" i="93" s="1"/>
  <c r="BZ8" i="93"/>
  <c r="BZ11" i="93" s="1"/>
  <c r="BZ13" i="93" s="1"/>
  <c r="BZ19" i="93" s="1"/>
  <c r="BR8" i="93"/>
  <c r="BR11" i="93" s="1"/>
  <c r="BR13" i="93" s="1"/>
  <c r="BR19" i="93" s="1"/>
  <c r="BJ8" i="93"/>
  <c r="BJ11" i="93" s="1"/>
  <c r="BJ13" i="93" s="1"/>
  <c r="BJ19" i="93" s="1"/>
  <c r="BB8" i="93"/>
  <c r="BB11" i="93" s="1"/>
  <c r="BB13" i="93" s="1"/>
  <c r="BB19" i="93" s="1"/>
  <c r="AT8" i="93"/>
  <c r="AT11" i="93" s="1"/>
  <c r="AT13" i="93" s="1"/>
  <c r="AT19" i="93" s="1"/>
  <c r="AL8" i="93"/>
  <c r="AL11" i="93" s="1"/>
  <c r="AL13" i="93" s="1"/>
  <c r="AL19" i="93" s="1"/>
  <c r="AD8" i="93"/>
  <c r="AD11" i="93" s="1"/>
  <c r="AD13" i="93" s="1"/>
  <c r="AD19" i="93" s="1"/>
  <c r="V8" i="93"/>
  <c r="V11" i="93" s="1"/>
  <c r="V13" i="93" s="1"/>
  <c r="V19" i="93" s="1"/>
  <c r="N8" i="93"/>
  <c r="N11" i="93" s="1"/>
  <c r="N13" i="93" s="1"/>
  <c r="N19" i="93" s="1"/>
  <c r="BU8" i="93"/>
  <c r="BU11" i="93" s="1"/>
  <c r="BU13" i="93" s="1"/>
  <c r="BU19" i="93" s="1"/>
  <c r="AG8" i="93"/>
  <c r="AG11" i="93" s="1"/>
  <c r="AG13" i="93" s="1"/>
  <c r="AG19" i="93" s="1"/>
  <c r="BT8" i="93"/>
  <c r="BT11" i="93" s="1"/>
  <c r="BT13" i="93" s="1"/>
  <c r="BT19" i="93" s="1"/>
  <c r="BS8" i="93"/>
  <c r="BS11" i="93" s="1"/>
  <c r="BS13" i="93" s="1"/>
  <c r="BS19" i="93" s="1"/>
  <c r="AM8" i="93"/>
  <c r="AM11" i="93" s="1"/>
  <c r="AM13" i="93" s="1"/>
  <c r="AM19" i="93" s="1"/>
  <c r="CO8" i="93"/>
  <c r="CO11" i="93" s="1"/>
  <c r="CO13" i="93" s="1"/>
  <c r="CO19" i="93" s="1"/>
  <c r="CG8" i="93"/>
  <c r="CG11" i="93" s="1"/>
  <c r="CG13" i="93" s="1"/>
  <c r="CG19" i="93" s="1"/>
  <c r="BY8" i="93"/>
  <c r="BY11" i="93" s="1"/>
  <c r="BY13" i="93" s="1"/>
  <c r="BY19" i="93" s="1"/>
  <c r="BQ8" i="93"/>
  <c r="BQ11" i="93" s="1"/>
  <c r="BQ13" i="93" s="1"/>
  <c r="BQ19" i="93" s="1"/>
  <c r="BI8" i="93"/>
  <c r="BI11" i="93" s="1"/>
  <c r="BI13" i="93" s="1"/>
  <c r="BI19" i="93" s="1"/>
  <c r="BA8" i="93"/>
  <c r="BA11" i="93" s="1"/>
  <c r="BA13" i="93" s="1"/>
  <c r="BA19" i="93" s="1"/>
  <c r="AS8" i="93"/>
  <c r="AS11" i="93" s="1"/>
  <c r="AS13" i="93" s="1"/>
  <c r="AS19" i="93" s="1"/>
  <c r="AK8" i="93"/>
  <c r="AK11" i="93" s="1"/>
  <c r="AK13" i="93" s="1"/>
  <c r="AK19" i="93" s="1"/>
  <c r="AC8" i="93"/>
  <c r="AC11" i="93" s="1"/>
  <c r="AC13" i="93" s="1"/>
  <c r="AC19" i="93" s="1"/>
  <c r="U8" i="93"/>
  <c r="U11" i="93" s="1"/>
  <c r="U13" i="93" s="1"/>
  <c r="U19" i="93" s="1"/>
  <c r="M8" i="93"/>
  <c r="M11" i="93" s="1"/>
  <c r="M13" i="93" s="1"/>
  <c r="M19" i="93" s="1"/>
  <c r="K8" i="93"/>
  <c r="K11" i="93" s="1"/>
  <c r="K13" i="93" s="1"/>
  <c r="K19" i="93" s="1"/>
  <c r="BE8" i="93"/>
  <c r="BE11" i="93" s="1"/>
  <c r="BE13" i="93" s="1"/>
  <c r="BE19" i="93" s="1"/>
  <c r="I8" i="93"/>
  <c r="I11" i="93" s="1"/>
  <c r="I13" i="93" s="1"/>
  <c r="I19" i="93" s="1"/>
  <c r="CJ8" i="93"/>
  <c r="CJ11" i="93" s="1"/>
  <c r="CJ13" i="93" s="1"/>
  <c r="CJ19" i="93" s="1"/>
  <c r="CQ8" i="93"/>
  <c r="CQ11" i="93" s="1"/>
  <c r="CQ13" i="93" s="1"/>
  <c r="CQ19" i="93" s="1"/>
  <c r="AU8" i="93"/>
  <c r="AU11" i="93" s="1"/>
  <c r="AU13" i="93" s="1"/>
  <c r="AU19" i="93" s="1"/>
  <c r="CN8" i="93"/>
  <c r="CN11" i="93" s="1"/>
  <c r="CN13" i="93" s="1"/>
  <c r="CN19" i="93" s="1"/>
  <c r="CF8" i="93"/>
  <c r="CF11" i="93" s="1"/>
  <c r="CF13" i="93" s="1"/>
  <c r="CF19" i="93" s="1"/>
  <c r="BX8" i="93"/>
  <c r="BX11" i="93" s="1"/>
  <c r="BX13" i="93" s="1"/>
  <c r="BX19" i="93" s="1"/>
  <c r="BP8" i="93"/>
  <c r="BP11" i="93" s="1"/>
  <c r="BP13" i="93" s="1"/>
  <c r="BP19" i="93" s="1"/>
  <c r="BH8" i="93"/>
  <c r="BH11" i="93" s="1"/>
  <c r="BH13" i="93" s="1"/>
  <c r="BH19" i="93" s="1"/>
  <c r="AZ8" i="93"/>
  <c r="AZ11" i="93" s="1"/>
  <c r="AZ13" i="93" s="1"/>
  <c r="AZ19" i="93" s="1"/>
  <c r="AR8" i="93"/>
  <c r="AR11" i="93" s="1"/>
  <c r="AR13" i="93" s="1"/>
  <c r="AR19" i="93" s="1"/>
  <c r="AJ8" i="93"/>
  <c r="AJ11" i="93" s="1"/>
  <c r="AJ13" i="93" s="1"/>
  <c r="AJ19" i="93" s="1"/>
  <c r="AB8" i="93"/>
  <c r="AB11" i="93" s="1"/>
  <c r="AB13" i="93" s="1"/>
  <c r="AB19" i="93" s="1"/>
  <c r="T8" i="93"/>
  <c r="T11" i="93" s="1"/>
  <c r="T13" i="93" s="1"/>
  <c r="T19" i="93" s="1"/>
  <c r="L8" i="93"/>
  <c r="L11" i="93" s="1"/>
  <c r="L13" i="93" s="1"/>
  <c r="L19" i="93" s="1"/>
  <c r="CK8" i="93"/>
  <c r="CK11" i="93" s="1"/>
  <c r="CK13" i="93" s="1"/>
  <c r="CK19" i="93" s="1"/>
  <c r="AW8" i="93"/>
  <c r="AW11" i="93" s="1"/>
  <c r="AW13" i="93" s="1"/>
  <c r="AW19" i="93" s="1"/>
  <c r="Q8" i="93"/>
  <c r="Q11" i="93" s="1"/>
  <c r="Q13" i="93" s="1"/>
  <c r="Q19" i="93" s="1"/>
  <c r="BL8" i="93"/>
  <c r="BL11" i="93" s="1"/>
  <c r="BL13" i="93" s="1"/>
  <c r="BL19" i="93" s="1"/>
  <c r="AV8" i="93"/>
  <c r="AV11" i="93" s="1"/>
  <c r="AV13" i="93" s="1"/>
  <c r="AV19" i="93" s="1"/>
  <c r="X8" i="93"/>
  <c r="X11" i="93" s="1"/>
  <c r="X13" i="93" s="1"/>
  <c r="X19" i="93" s="1"/>
  <c r="CA8" i="93"/>
  <c r="CA11" i="93" s="1"/>
  <c r="CA13" i="93" s="1"/>
  <c r="CA19" i="93" s="1"/>
  <c r="AE8" i="93"/>
  <c r="AE11" i="93" s="1"/>
  <c r="AE13" i="93" s="1"/>
  <c r="AE19" i="93" s="1"/>
  <c r="CM8" i="93"/>
  <c r="CM11" i="93" s="1"/>
  <c r="CM13" i="93" s="1"/>
  <c r="CM19" i="93" s="1"/>
  <c r="CE8" i="93"/>
  <c r="CE11" i="93" s="1"/>
  <c r="CE13" i="93" s="1"/>
  <c r="CE19" i="93" s="1"/>
  <c r="BW8" i="93"/>
  <c r="BW11" i="93" s="1"/>
  <c r="BW13" i="93" s="1"/>
  <c r="BW19" i="93" s="1"/>
  <c r="BO8" i="93"/>
  <c r="BO11" i="93" s="1"/>
  <c r="BO13" i="93" s="1"/>
  <c r="BO19" i="93" s="1"/>
  <c r="BG8" i="93"/>
  <c r="BG11" i="93" s="1"/>
  <c r="BG13" i="93" s="1"/>
  <c r="BG19" i="93" s="1"/>
  <c r="AY8" i="93"/>
  <c r="AY11" i="93" s="1"/>
  <c r="AY13" i="93" s="1"/>
  <c r="AY19" i="93" s="1"/>
  <c r="AQ8" i="93"/>
  <c r="AQ11" i="93" s="1"/>
  <c r="AQ13" i="93" s="1"/>
  <c r="AQ19" i="93" s="1"/>
  <c r="AI8" i="93"/>
  <c r="AI11" i="93" s="1"/>
  <c r="AI13" i="93" s="1"/>
  <c r="AI19" i="93" s="1"/>
  <c r="AA8" i="93"/>
  <c r="AA11" i="93" s="1"/>
  <c r="AA13" i="93" s="1"/>
  <c r="AA19" i="93" s="1"/>
  <c r="S8" i="93"/>
  <c r="S11" i="93" s="1"/>
  <c r="S13" i="93" s="1"/>
  <c r="S19" i="93" s="1"/>
  <c r="BM8" i="93"/>
  <c r="BM11" i="93" s="1"/>
  <c r="BM13" i="93" s="1"/>
  <c r="BM19" i="93" s="1"/>
  <c r="Y8" i="93"/>
  <c r="Y11" i="93" s="1"/>
  <c r="Y13" i="93" s="1"/>
  <c r="Y19" i="93" s="1"/>
  <c r="CR8" i="93"/>
  <c r="CR11" i="93" s="1"/>
  <c r="CR13" i="93" s="1"/>
  <c r="CR19" i="93" s="1"/>
  <c r="BD8" i="93"/>
  <c r="BD11" i="93" s="1"/>
  <c r="BD13" i="93" s="1"/>
  <c r="BD19" i="93" s="1"/>
  <c r="AF8" i="93"/>
  <c r="AF11" i="93" s="1"/>
  <c r="AF13" i="93" s="1"/>
  <c r="AF19" i="93" s="1"/>
  <c r="BK8" i="93"/>
  <c r="BK11" i="93" s="1"/>
  <c r="BK13" i="93" s="1"/>
  <c r="BK19" i="93" s="1"/>
  <c r="W8" i="93"/>
  <c r="W11" i="93" s="1"/>
  <c r="W13" i="93" s="1"/>
  <c r="W19" i="93" s="1"/>
  <c r="CL8" i="93"/>
  <c r="CL11" i="93" s="1"/>
  <c r="CL13" i="93" s="1"/>
  <c r="CL19" i="93" s="1"/>
  <c r="CD8" i="93"/>
  <c r="CD11" i="93" s="1"/>
  <c r="CD13" i="93" s="1"/>
  <c r="CD19" i="93" s="1"/>
  <c r="BV8" i="93"/>
  <c r="BV11" i="93" s="1"/>
  <c r="BV13" i="93" s="1"/>
  <c r="BV19" i="93" s="1"/>
  <c r="BN8" i="93"/>
  <c r="BN11" i="93" s="1"/>
  <c r="BN13" i="93" s="1"/>
  <c r="BN19" i="93" s="1"/>
  <c r="BF8" i="93"/>
  <c r="BF11" i="93" s="1"/>
  <c r="BF13" i="93" s="1"/>
  <c r="BF19" i="93" s="1"/>
  <c r="AX8" i="93"/>
  <c r="AX11" i="93" s="1"/>
  <c r="AX13" i="93" s="1"/>
  <c r="AX19" i="93" s="1"/>
  <c r="AP8" i="93"/>
  <c r="AP11" i="93" s="1"/>
  <c r="AP13" i="93" s="1"/>
  <c r="AP19" i="93" s="1"/>
  <c r="AH8" i="93"/>
  <c r="AH11" i="93" s="1"/>
  <c r="AH13" i="93" s="1"/>
  <c r="AH19" i="93" s="1"/>
  <c r="Z8" i="93"/>
  <c r="Z11" i="93" s="1"/>
  <c r="Z13" i="93" s="1"/>
  <c r="Z19" i="93" s="1"/>
  <c r="R8" i="93"/>
  <c r="R11" i="93" s="1"/>
  <c r="R13" i="93" s="1"/>
  <c r="R19" i="93" s="1"/>
  <c r="J8" i="93"/>
  <c r="J11" i="93" s="1"/>
  <c r="J13" i="93" s="1"/>
  <c r="J19" i="93" s="1"/>
  <c r="CC8" i="93"/>
  <c r="CC11" i="93" s="1"/>
  <c r="CC13" i="93" s="1"/>
  <c r="CC19" i="93" s="1"/>
  <c r="AO8" i="93"/>
  <c r="AO11" i="93" s="1"/>
  <c r="AO13" i="93" s="1"/>
  <c r="AO19" i="93" s="1"/>
  <c r="CB8" i="93"/>
  <c r="CB11" i="93" s="1"/>
  <c r="CB13" i="93" s="1"/>
  <c r="CB19" i="93" s="1"/>
  <c r="AN8" i="93"/>
  <c r="AN11" i="93" s="1"/>
  <c r="AN13" i="93" s="1"/>
  <c r="AN19" i="93" s="1"/>
  <c r="P8" i="93"/>
  <c r="P11" i="93" s="1"/>
  <c r="P13" i="93" s="1"/>
  <c r="P19" i="93" s="1"/>
  <c r="CI8" i="93"/>
  <c r="CI11" i="93" s="1"/>
  <c r="CI13" i="93" s="1"/>
  <c r="CI19" i="93" s="1"/>
  <c r="BC8" i="93"/>
  <c r="BC11" i="93" s="1"/>
  <c r="BC13" i="93" s="1"/>
  <c r="BC19" i="93" s="1"/>
  <c r="O8" i="93"/>
  <c r="O11" i="93" s="1"/>
  <c r="O13" i="93" s="1"/>
  <c r="O19" i="93" s="1"/>
  <c r="CQ4" i="35"/>
  <c r="CQ8" i="35" s="1"/>
  <c r="CS5" i="35"/>
  <c r="CS9" i="35" s="1"/>
  <c r="CP6" i="32"/>
  <c r="CP11" i="32" s="1"/>
  <c r="CO6" i="20"/>
  <c r="CO9" i="20" s="1"/>
  <c r="CR14" i="13"/>
  <c r="CR4" i="35"/>
  <c r="CR8" i="35" s="1"/>
  <c r="CP4" i="32"/>
  <c r="CP9" i="32" s="1"/>
  <c r="CP6" i="20"/>
  <c r="CP9" i="20" s="1"/>
  <c r="CS14" i="13"/>
  <c r="CR8" i="70"/>
  <c r="CS4" i="35"/>
  <c r="CS8" i="35" s="1"/>
  <c r="CQ4" i="32"/>
  <c r="CQ9" i="32" s="1"/>
  <c r="CQ5" i="32"/>
  <c r="CQ10" i="32" s="1"/>
  <c r="CP6" i="19"/>
  <c r="CP9" i="19" s="1"/>
  <c r="CP11" i="19" s="1"/>
  <c r="CP16" i="19" s="1"/>
  <c r="CT14" i="13"/>
  <c r="CR9" i="70"/>
  <c r="CR10" i="70" s="1"/>
  <c r="CR19" i="70" s="1"/>
  <c r="CR4" i="32"/>
  <c r="CR9" i="32" s="1"/>
  <c r="CR5" i="32"/>
  <c r="CR10" i="32" s="1"/>
  <c r="CQ7" i="27"/>
  <c r="CQ11" i="27" s="1"/>
  <c r="CO7" i="20"/>
  <c r="CO10" i="20" s="1"/>
  <c r="CO6" i="19"/>
  <c r="CO9" i="19" s="1"/>
  <c r="CO11" i="19" s="1"/>
  <c r="CO16" i="19" s="1"/>
  <c r="CQ14" i="13"/>
  <c r="CQ7" i="50"/>
  <c r="CQ11" i="50" s="1"/>
  <c r="CO5" i="35"/>
  <c r="CO9" i="35" s="1"/>
  <c r="CN8" i="29"/>
  <c r="CN12" i="29" s="1"/>
  <c r="CP7" i="20"/>
  <c r="CP10" i="20" s="1"/>
  <c r="CP7" i="19"/>
  <c r="CQ7" i="16"/>
  <c r="CQ10" i="16" s="1"/>
  <c r="CP5" i="35"/>
  <c r="CP9" i="35" s="1"/>
  <c r="CO4" i="32"/>
  <c r="CO9" i="32" s="1"/>
  <c r="CQ6" i="32"/>
  <c r="CQ11" i="32" s="1"/>
  <c r="CO8" i="29"/>
  <c r="CO12" i="29" s="1"/>
  <c r="CQ8" i="16"/>
  <c r="CQ11" i="16" s="1"/>
  <c r="CM8" i="29"/>
  <c r="CM12" i="29" s="1"/>
  <c r="CP4" i="35"/>
  <c r="CP8" i="35" s="1"/>
  <c r="CP5" i="32"/>
  <c r="CP10" i="32" s="1"/>
  <c r="CR6" i="32"/>
  <c r="CR11" i="32" s="1"/>
  <c r="CO4" i="35"/>
  <c r="CO8" i="35" s="1"/>
  <c r="CO7" i="19"/>
  <c r="CQ5" i="35"/>
  <c r="CQ9" i="35" s="1"/>
  <c r="CR5" i="35"/>
  <c r="CR9" i="35" s="1"/>
  <c r="CP8" i="29"/>
  <c r="CP12" i="29" s="1"/>
  <c r="CM8" i="92"/>
  <c r="CM11" i="92" s="1"/>
  <c r="CM13" i="92" s="1"/>
  <c r="CM19" i="92" s="1"/>
  <c r="CE8" i="92"/>
  <c r="CE11" i="92" s="1"/>
  <c r="CE13" i="92" s="1"/>
  <c r="CE19" i="92" s="1"/>
  <c r="BW8" i="92"/>
  <c r="BW11" i="92" s="1"/>
  <c r="BW13" i="92" s="1"/>
  <c r="BO8" i="92"/>
  <c r="BO11" i="92" s="1"/>
  <c r="BO13" i="92" s="1"/>
  <c r="BO19" i="92" s="1"/>
  <c r="BG8" i="92"/>
  <c r="BG11" i="92" s="1"/>
  <c r="BG13" i="92" s="1"/>
  <c r="BG19" i="92" s="1"/>
  <c r="AY8" i="92"/>
  <c r="AY11" i="92" s="1"/>
  <c r="AY13" i="92" s="1"/>
  <c r="AQ8" i="92"/>
  <c r="AQ11" i="92" s="1"/>
  <c r="AQ13" i="92" s="1"/>
  <c r="AQ19" i="92" s="1"/>
  <c r="AI8" i="92"/>
  <c r="AI11" i="92" s="1"/>
  <c r="AI13" i="92" s="1"/>
  <c r="AA8" i="92"/>
  <c r="AA11" i="92" s="1"/>
  <c r="AA13" i="92" s="1"/>
  <c r="AA19" i="92" s="1"/>
  <c r="S8" i="92"/>
  <c r="S11" i="92" s="1"/>
  <c r="S13" i="92" s="1"/>
  <c r="S19" i="92" s="1"/>
  <c r="K8" i="92"/>
  <c r="K11" i="92" s="1"/>
  <c r="K13" i="92" s="1"/>
  <c r="K19" i="92" s="1"/>
  <c r="BI8" i="92"/>
  <c r="BI11" i="92" s="1"/>
  <c r="BI13" i="92" s="1"/>
  <c r="BI19" i="92" s="1"/>
  <c r="U8" i="92"/>
  <c r="U11" i="92" s="1"/>
  <c r="U13" i="92" s="1"/>
  <c r="U19" i="92" s="1"/>
  <c r="CL8" i="92"/>
  <c r="CL11" i="92" s="1"/>
  <c r="CL13" i="92" s="1"/>
  <c r="CL19" i="92" s="1"/>
  <c r="CD8" i="92"/>
  <c r="CD11" i="92" s="1"/>
  <c r="CD13" i="92" s="1"/>
  <c r="CD19" i="92" s="1"/>
  <c r="BV8" i="92"/>
  <c r="BV11" i="92" s="1"/>
  <c r="BV13" i="92" s="1"/>
  <c r="BV19" i="92" s="1"/>
  <c r="BN8" i="92"/>
  <c r="BN11" i="92" s="1"/>
  <c r="BN13" i="92" s="1"/>
  <c r="BN19" i="92" s="1"/>
  <c r="BF8" i="92"/>
  <c r="BF11" i="92" s="1"/>
  <c r="BF13" i="92" s="1"/>
  <c r="BF19" i="92" s="1"/>
  <c r="AX8" i="92"/>
  <c r="AX11" i="92" s="1"/>
  <c r="AX13" i="92" s="1"/>
  <c r="AX19" i="92" s="1"/>
  <c r="AP8" i="92"/>
  <c r="AP11" i="92" s="1"/>
  <c r="AP13" i="92" s="1"/>
  <c r="AP19" i="92" s="1"/>
  <c r="AH8" i="92"/>
  <c r="AH11" i="92" s="1"/>
  <c r="AH13" i="92" s="1"/>
  <c r="Z8" i="92"/>
  <c r="Z11" i="92" s="1"/>
  <c r="Z13" i="92" s="1"/>
  <c r="Z19" i="92" s="1"/>
  <c r="R8" i="92"/>
  <c r="R11" i="92" s="1"/>
  <c r="R13" i="92" s="1"/>
  <c r="R19" i="92" s="1"/>
  <c r="J8" i="92"/>
  <c r="J11" i="92" s="1"/>
  <c r="J13" i="92" s="1"/>
  <c r="J19" i="92" s="1"/>
  <c r="AK8" i="92"/>
  <c r="AK11" i="92" s="1"/>
  <c r="AK13" i="92" s="1"/>
  <c r="AK19" i="92" s="1"/>
  <c r="CK8" i="92"/>
  <c r="CK11" i="92" s="1"/>
  <c r="CK13" i="92" s="1"/>
  <c r="CK19" i="92" s="1"/>
  <c r="CC8" i="92"/>
  <c r="CC11" i="92" s="1"/>
  <c r="CC13" i="92" s="1"/>
  <c r="CC19" i="92" s="1"/>
  <c r="BU8" i="92"/>
  <c r="BU11" i="92" s="1"/>
  <c r="BU13" i="92" s="1"/>
  <c r="BU19" i="92" s="1"/>
  <c r="BM8" i="92"/>
  <c r="BM11" i="92" s="1"/>
  <c r="BM13" i="92" s="1"/>
  <c r="BM19" i="92" s="1"/>
  <c r="BE8" i="92"/>
  <c r="BE11" i="92" s="1"/>
  <c r="BE13" i="92" s="1"/>
  <c r="BE19" i="92" s="1"/>
  <c r="AW8" i="92"/>
  <c r="AW11" i="92" s="1"/>
  <c r="AW13" i="92" s="1"/>
  <c r="AW19" i="92" s="1"/>
  <c r="AO8" i="92"/>
  <c r="AO11" i="92" s="1"/>
  <c r="AO13" i="92" s="1"/>
  <c r="AG8" i="92"/>
  <c r="AG11" i="92" s="1"/>
  <c r="AG13" i="92" s="1"/>
  <c r="AG19" i="92" s="1"/>
  <c r="Y8" i="92"/>
  <c r="Y11" i="92" s="1"/>
  <c r="Y13" i="92" s="1"/>
  <c r="Y19" i="92" s="1"/>
  <c r="Q8" i="92"/>
  <c r="Q11" i="92" s="1"/>
  <c r="Q13" i="92" s="1"/>
  <c r="Q19" i="92" s="1"/>
  <c r="I8" i="92"/>
  <c r="I11" i="92" s="1"/>
  <c r="I13" i="92" s="1"/>
  <c r="I19" i="92" s="1"/>
  <c r="BA8" i="92"/>
  <c r="BA11" i="92" s="1"/>
  <c r="BA13" i="92" s="1"/>
  <c r="BA19" i="92" s="1"/>
  <c r="M8" i="92"/>
  <c r="M11" i="92" s="1"/>
  <c r="M13" i="92" s="1"/>
  <c r="M19" i="92" s="1"/>
  <c r="CJ8" i="92"/>
  <c r="CJ11" i="92" s="1"/>
  <c r="CJ13" i="92" s="1"/>
  <c r="CJ19" i="92" s="1"/>
  <c r="CB8" i="92"/>
  <c r="CB11" i="92" s="1"/>
  <c r="CB13" i="92" s="1"/>
  <c r="CB19" i="92" s="1"/>
  <c r="BT8" i="92"/>
  <c r="BT11" i="92" s="1"/>
  <c r="BT13" i="92" s="1"/>
  <c r="BT19" i="92" s="1"/>
  <c r="BL8" i="92"/>
  <c r="BL11" i="92" s="1"/>
  <c r="BL13" i="92" s="1"/>
  <c r="BL19" i="92" s="1"/>
  <c r="BD8" i="92"/>
  <c r="BD11" i="92" s="1"/>
  <c r="BD13" i="92" s="1"/>
  <c r="BD19" i="92" s="1"/>
  <c r="AV8" i="92"/>
  <c r="AV11" i="92" s="1"/>
  <c r="AV13" i="92" s="1"/>
  <c r="AV19" i="92" s="1"/>
  <c r="AN8" i="92"/>
  <c r="AN11" i="92" s="1"/>
  <c r="AN13" i="92" s="1"/>
  <c r="AN19" i="92" s="1"/>
  <c r="AF8" i="92"/>
  <c r="AF11" i="92" s="1"/>
  <c r="AF13" i="92" s="1"/>
  <c r="AF19" i="92" s="1"/>
  <c r="X8" i="92"/>
  <c r="X11" i="92" s="1"/>
  <c r="X13" i="92" s="1"/>
  <c r="X19" i="92" s="1"/>
  <c r="P8" i="92"/>
  <c r="P11" i="92" s="1"/>
  <c r="P13" i="92" s="1"/>
  <c r="P19" i="92" s="1"/>
  <c r="CQ8" i="92"/>
  <c r="CQ11" i="92" s="1"/>
  <c r="CQ13" i="92" s="1"/>
  <c r="CQ19" i="92" s="1"/>
  <c r="CI8" i="92"/>
  <c r="CI11" i="92" s="1"/>
  <c r="CI13" i="92" s="1"/>
  <c r="CI19" i="92" s="1"/>
  <c r="CA8" i="92"/>
  <c r="CA11" i="92" s="1"/>
  <c r="CA13" i="92" s="1"/>
  <c r="CA19" i="92" s="1"/>
  <c r="BS8" i="92"/>
  <c r="BS11" i="92" s="1"/>
  <c r="BS13" i="92" s="1"/>
  <c r="BS19" i="92" s="1"/>
  <c r="BK8" i="92"/>
  <c r="BK11" i="92" s="1"/>
  <c r="BK13" i="92" s="1"/>
  <c r="BC8" i="92"/>
  <c r="BC11" i="92" s="1"/>
  <c r="BC13" i="92" s="1"/>
  <c r="AU8" i="92"/>
  <c r="AU11" i="92" s="1"/>
  <c r="AU13" i="92" s="1"/>
  <c r="AM8" i="92"/>
  <c r="AM11" i="92" s="1"/>
  <c r="AM13" i="92" s="1"/>
  <c r="AM19" i="92" s="1"/>
  <c r="AE8" i="92"/>
  <c r="AE11" i="92" s="1"/>
  <c r="AE13" i="92" s="1"/>
  <c r="AE19" i="92" s="1"/>
  <c r="W8" i="92"/>
  <c r="W11" i="92" s="1"/>
  <c r="W13" i="92" s="1"/>
  <c r="W19" i="92" s="1"/>
  <c r="O8" i="92"/>
  <c r="O11" i="92" s="1"/>
  <c r="O13" i="92" s="1"/>
  <c r="O19" i="92" s="1"/>
  <c r="CP8" i="92"/>
  <c r="CP11" i="92" s="1"/>
  <c r="CP13" i="92" s="1"/>
  <c r="CP19" i="92" s="1"/>
  <c r="CH8" i="92"/>
  <c r="CH11" i="92" s="1"/>
  <c r="CH13" i="92" s="1"/>
  <c r="CH19" i="92" s="1"/>
  <c r="BZ8" i="92"/>
  <c r="BZ11" i="92" s="1"/>
  <c r="BZ13" i="92" s="1"/>
  <c r="BZ19" i="92" s="1"/>
  <c r="BR8" i="92"/>
  <c r="BR11" i="92" s="1"/>
  <c r="BR13" i="92" s="1"/>
  <c r="BR19" i="92" s="1"/>
  <c r="BJ8" i="92"/>
  <c r="BJ11" i="92" s="1"/>
  <c r="BJ13" i="92" s="1"/>
  <c r="BJ19" i="92" s="1"/>
  <c r="BB8" i="92"/>
  <c r="BB11" i="92" s="1"/>
  <c r="BB13" i="92" s="1"/>
  <c r="BB19" i="92" s="1"/>
  <c r="AT8" i="92"/>
  <c r="AT11" i="92" s="1"/>
  <c r="AT13" i="92" s="1"/>
  <c r="AT19" i="92" s="1"/>
  <c r="AL8" i="92"/>
  <c r="AL11" i="92" s="1"/>
  <c r="AL13" i="92" s="1"/>
  <c r="AD8" i="92"/>
  <c r="AD11" i="92" s="1"/>
  <c r="AD13" i="92" s="1"/>
  <c r="AD19" i="92" s="1"/>
  <c r="V8" i="92"/>
  <c r="V11" i="92" s="1"/>
  <c r="V13" i="92" s="1"/>
  <c r="V19" i="92" s="1"/>
  <c r="N8" i="92"/>
  <c r="N11" i="92" s="1"/>
  <c r="N13" i="92" s="1"/>
  <c r="N19" i="92" s="1"/>
  <c r="CO8" i="92"/>
  <c r="CO11" i="92" s="1"/>
  <c r="CO13" i="92" s="1"/>
  <c r="CO19" i="92" s="1"/>
  <c r="CG8" i="92"/>
  <c r="CG11" i="92" s="1"/>
  <c r="CG13" i="92" s="1"/>
  <c r="CG19" i="92" s="1"/>
  <c r="BY8" i="92"/>
  <c r="BY11" i="92" s="1"/>
  <c r="BY13" i="92" s="1"/>
  <c r="BY19" i="92" s="1"/>
  <c r="BQ8" i="92"/>
  <c r="BQ11" i="92" s="1"/>
  <c r="BQ13" i="92" s="1"/>
  <c r="BQ19" i="92" s="1"/>
  <c r="AS8" i="92"/>
  <c r="AS11" i="92" s="1"/>
  <c r="AS13" i="92" s="1"/>
  <c r="AS19" i="92" s="1"/>
  <c r="AC8" i="92"/>
  <c r="AC11" i="92" s="1"/>
  <c r="AC13" i="92" s="1"/>
  <c r="AC19" i="92" s="1"/>
  <c r="CN8" i="92"/>
  <c r="CN11" i="92" s="1"/>
  <c r="CN13" i="92" s="1"/>
  <c r="CN19" i="92" s="1"/>
  <c r="CF8" i="92"/>
  <c r="CF11" i="92" s="1"/>
  <c r="CF13" i="92" s="1"/>
  <c r="CF19" i="92" s="1"/>
  <c r="BX8" i="92"/>
  <c r="BX11" i="92" s="1"/>
  <c r="BX13" i="92" s="1"/>
  <c r="BX19" i="92" s="1"/>
  <c r="BP8" i="92"/>
  <c r="BP11" i="92" s="1"/>
  <c r="BP13" i="92" s="1"/>
  <c r="BP19" i="92" s="1"/>
  <c r="BH8" i="92"/>
  <c r="BH11" i="92" s="1"/>
  <c r="BH13" i="92" s="1"/>
  <c r="BH19" i="92" s="1"/>
  <c r="AZ8" i="92"/>
  <c r="AZ11" i="92" s="1"/>
  <c r="AZ13" i="92" s="1"/>
  <c r="AZ19" i="92" s="1"/>
  <c r="AR8" i="92"/>
  <c r="AR11" i="92" s="1"/>
  <c r="AR13" i="92" s="1"/>
  <c r="AR19" i="92" s="1"/>
  <c r="AJ8" i="92"/>
  <c r="AJ11" i="92" s="1"/>
  <c r="AJ13" i="92" s="1"/>
  <c r="AB8" i="92"/>
  <c r="AB11" i="92" s="1"/>
  <c r="AB13" i="92" s="1"/>
  <c r="AB19" i="92" s="1"/>
  <c r="T8" i="92"/>
  <c r="T11" i="92" s="1"/>
  <c r="T13" i="92" s="1"/>
  <c r="T19" i="92" s="1"/>
  <c r="L8" i="92"/>
  <c r="L11" i="92" s="1"/>
  <c r="L13" i="92" s="1"/>
  <c r="L19" i="92" s="1"/>
  <c r="CQ7" i="70"/>
  <c r="CQ17" i="70" s="1"/>
  <c r="CP7" i="27"/>
  <c r="CP11" i="27" s="1"/>
  <c r="CQ8" i="70"/>
  <c r="CQ7" i="49"/>
  <c r="CQ11" i="49" s="1"/>
  <c r="CP8" i="27"/>
  <c r="CP12" i="27" s="1"/>
  <c r="CQ9" i="70"/>
  <c r="CQ10" i="70" s="1"/>
  <c r="CQ19" i="70" s="1"/>
  <c r="CQ8" i="49"/>
  <c r="CQ10" i="49" s="1"/>
  <c r="CP7" i="17"/>
  <c r="CP11" i="17" s="1"/>
  <c r="CN14" i="13"/>
  <c r="CQ11" i="70"/>
  <c r="CQ20" i="70" s="1"/>
  <c r="CP8" i="17"/>
  <c r="CP12" i="17" s="1"/>
  <c r="CQ12" i="70"/>
  <c r="CQ14" i="70" s="1"/>
  <c r="CQ16" i="70" s="1"/>
  <c r="CP6" i="27"/>
  <c r="CP10" i="27" s="1"/>
  <c r="CM14" i="13"/>
  <c r="CQ7" i="82"/>
  <c r="CQ10" i="82" s="1"/>
  <c r="CQ12" i="82" s="1"/>
  <c r="CQ17" i="82" s="1"/>
  <c r="CO6" i="27"/>
  <c r="CO10" i="27" s="1"/>
  <c r="CP14" i="13"/>
  <c r="CO14" i="13"/>
  <c r="CN8" i="13"/>
  <c r="CN12" i="13" s="1"/>
  <c r="CM8" i="91"/>
  <c r="CM11" i="91" s="1"/>
  <c r="CM13" i="91" s="1"/>
  <c r="CM19" i="91" s="1"/>
  <c r="CO9" i="91"/>
  <c r="CO12" i="91" s="1"/>
  <c r="CO14" i="91" s="1"/>
  <c r="CO20" i="91" s="1"/>
  <c r="ED95" i="22" s="1"/>
  <c r="CQ8" i="90"/>
  <c r="CQ10" i="90" s="1"/>
  <c r="CQ11" i="90" s="1"/>
  <c r="CR7" i="88"/>
  <c r="CR10" i="88" s="1"/>
  <c r="CR12" i="88" s="1"/>
  <c r="CR17" i="88" s="1"/>
  <c r="CM7" i="87"/>
  <c r="CM11" i="87" s="1"/>
  <c r="CM13" i="87" s="1"/>
  <c r="CM18" i="87" s="1"/>
  <c r="EB88" i="22" s="1"/>
  <c r="CS7" i="86"/>
  <c r="CS11" i="86" s="1"/>
  <c r="CN8" i="91"/>
  <c r="CN11" i="91" s="1"/>
  <c r="CN13" i="91" s="1"/>
  <c r="CN19" i="91" s="1"/>
  <c r="CP9" i="91"/>
  <c r="CP12" i="91" s="1"/>
  <c r="CP14" i="91" s="1"/>
  <c r="CP20" i="91" s="1"/>
  <c r="EE95" i="22" s="1"/>
  <c r="CR8" i="90"/>
  <c r="CR10" i="90" s="1"/>
  <c r="CR11" i="90" s="1"/>
  <c r="CN7" i="87"/>
  <c r="CN11" i="87" s="1"/>
  <c r="CN13" i="87" s="1"/>
  <c r="CN18" i="87" s="1"/>
  <c r="EC88" i="22" s="1"/>
  <c r="CL7" i="86"/>
  <c r="CL11" i="86" s="1"/>
  <c r="CT7" i="86"/>
  <c r="CT11" i="86" s="1"/>
  <c r="CO8" i="86"/>
  <c r="CO12" i="86" s="1"/>
  <c r="CO8" i="91"/>
  <c r="CO11" i="91" s="1"/>
  <c r="CO13" i="91" s="1"/>
  <c r="CO19" i="91" s="1"/>
  <c r="CQ9" i="91"/>
  <c r="CQ12" i="91" s="1"/>
  <c r="CQ14" i="91" s="1"/>
  <c r="CQ20" i="91" s="1"/>
  <c r="EF95" i="22" s="1"/>
  <c r="CS8" i="90"/>
  <c r="CS10" i="90" s="1"/>
  <c r="CS11" i="90" s="1"/>
  <c r="CM8" i="89"/>
  <c r="CM10" i="89" s="1"/>
  <c r="CM11" i="89" s="1"/>
  <c r="CO7" i="87"/>
  <c r="CO11" i="87" s="1"/>
  <c r="CO13" i="87" s="1"/>
  <c r="CO18" i="87" s="1"/>
  <c r="ED88" i="22" s="1"/>
  <c r="CM7" i="86"/>
  <c r="CM11" i="86" s="1"/>
  <c r="CU7" i="86"/>
  <c r="CU11" i="86" s="1"/>
  <c r="CP8" i="86"/>
  <c r="CP12" i="86" s="1"/>
  <c r="CP8" i="91"/>
  <c r="CP11" i="91" s="1"/>
  <c r="CP13" i="91" s="1"/>
  <c r="CP19" i="91" s="1"/>
  <c r="CN8" i="89"/>
  <c r="CN10" i="89" s="1"/>
  <c r="CN11" i="89" s="1"/>
  <c r="CM7" i="88"/>
  <c r="CM10" i="88" s="1"/>
  <c r="CM12" i="88" s="1"/>
  <c r="CM17" i="88" s="1"/>
  <c r="CP7" i="87"/>
  <c r="CP11" i="87" s="1"/>
  <c r="CP13" i="87" s="1"/>
  <c r="CP18" i="87" s="1"/>
  <c r="EE88" i="22" s="1"/>
  <c r="CN7" i="86"/>
  <c r="CN11" i="86" s="1"/>
  <c r="CV7" i="86"/>
  <c r="CV11" i="86" s="1"/>
  <c r="CQ8" i="91"/>
  <c r="CQ11" i="91" s="1"/>
  <c r="CQ13" i="91" s="1"/>
  <c r="CQ19" i="91" s="1"/>
  <c r="CN8" i="90"/>
  <c r="CN10" i="90" s="1"/>
  <c r="CN11" i="90" s="1"/>
  <c r="CO7" i="88"/>
  <c r="CO10" i="88" s="1"/>
  <c r="CO12" i="88" s="1"/>
  <c r="CO17" i="88" s="1"/>
  <c r="CP7" i="86"/>
  <c r="CP11" i="86" s="1"/>
  <c r="CS8" i="86"/>
  <c r="CS12" i="86" s="1"/>
  <c r="CM9" i="91"/>
  <c r="CM12" i="91" s="1"/>
  <c r="CM14" i="91" s="1"/>
  <c r="CM20" i="91" s="1"/>
  <c r="EB95" i="22" s="1"/>
  <c r="CO8" i="90"/>
  <c r="CO10" i="90" s="1"/>
  <c r="CO11" i="90" s="1"/>
  <c r="CP7" i="88"/>
  <c r="CP10" i="88" s="1"/>
  <c r="CP12" i="88" s="1"/>
  <c r="CP17" i="88" s="1"/>
  <c r="CQ7" i="86"/>
  <c r="CQ11" i="86" s="1"/>
  <c r="CL8" i="86"/>
  <c r="CL12" i="86" s="1"/>
  <c r="CT8" i="86"/>
  <c r="CT12" i="86" s="1"/>
  <c r="CN9" i="91"/>
  <c r="CN12" i="91" s="1"/>
  <c r="CN14" i="91" s="1"/>
  <c r="CN20" i="91" s="1"/>
  <c r="EC95" i="22" s="1"/>
  <c r="CP8" i="90"/>
  <c r="CP10" i="90" s="1"/>
  <c r="CP11" i="90" s="1"/>
  <c r="CQ7" i="88"/>
  <c r="CQ10" i="88" s="1"/>
  <c r="CQ12" i="88" s="1"/>
  <c r="CQ17" i="88" s="1"/>
  <c r="CL7" i="87"/>
  <c r="CL11" i="87" s="1"/>
  <c r="CL13" i="87" s="1"/>
  <c r="CL18" i="87" s="1"/>
  <c r="EA88" i="22" s="1"/>
  <c r="CR7" i="86"/>
  <c r="CR11" i="86" s="1"/>
  <c r="CM8" i="86"/>
  <c r="CM12" i="86" s="1"/>
  <c r="CQ7" i="87"/>
  <c r="CQ11" i="87" s="1"/>
  <c r="CQ13" i="87" s="1"/>
  <c r="CQ18" i="87" s="1"/>
  <c r="EF88" i="22" s="1"/>
  <c r="CU8" i="86"/>
  <c r="CU12" i="86" s="1"/>
  <c r="CO7" i="85"/>
  <c r="CO10" i="85" s="1"/>
  <c r="CO12" i="85" s="1"/>
  <c r="CO17" i="85" s="1"/>
  <c r="CO7" i="82"/>
  <c r="CO10" i="82" s="1"/>
  <c r="CO12" i="82" s="1"/>
  <c r="CO17" i="82" s="1"/>
  <c r="CM7" i="81"/>
  <c r="CM10" i="81" s="1"/>
  <c r="CU7" i="81"/>
  <c r="CU10" i="81" s="1"/>
  <c r="CO8" i="81"/>
  <c r="CO11" i="81" s="1"/>
  <c r="CW8" i="81"/>
  <c r="CW11" i="81" s="1"/>
  <c r="CS7" i="79"/>
  <c r="CS10" i="79" s="1"/>
  <c r="DA7" i="79"/>
  <c r="DA10" i="79" s="1"/>
  <c r="CQ8" i="79"/>
  <c r="CQ11" i="79" s="1"/>
  <c r="CY8" i="79"/>
  <c r="CY11" i="79" s="1"/>
  <c r="CS7" i="77"/>
  <c r="CS10" i="77" s="1"/>
  <c r="CS11" i="77" s="1"/>
  <c r="CS16" i="77" s="1"/>
  <c r="CO7" i="76"/>
  <c r="CO10" i="76" s="1"/>
  <c r="CW7" i="76"/>
  <c r="CW10" i="76" s="1"/>
  <c r="CP8" i="76"/>
  <c r="CP11" i="76" s="1"/>
  <c r="CO7" i="75"/>
  <c r="CO9" i="75" s="1"/>
  <c r="CO11" i="75" s="1"/>
  <c r="CO16" i="75" s="1"/>
  <c r="CN8" i="73"/>
  <c r="CN11" i="73" s="1"/>
  <c r="CN7" i="70"/>
  <c r="CN17" i="70" s="1"/>
  <c r="CP9" i="70"/>
  <c r="CP10" i="70" s="1"/>
  <c r="CP19" i="70" s="1"/>
  <c r="CN7" i="67"/>
  <c r="CN10" i="67" s="1"/>
  <c r="CN13" i="67" s="1"/>
  <c r="CN18" i="67" s="1"/>
  <c r="CO8" i="66"/>
  <c r="CO11" i="66" s="1"/>
  <c r="CO7" i="63"/>
  <c r="CO10" i="63" s="1"/>
  <c r="CO7" i="62"/>
  <c r="CO10" i="62" s="1"/>
  <c r="CL8" i="62"/>
  <c r="CL11" i="62" s="1"/>
  <c r="CT8" i="62"/>
  <c r="CT11" i="62" s="1"/>
  <c r="CN7" i="61"/>
  <c r="CN10" i="61" s="1"/>
  <c r="CN12" i="61" s="1"/>
  <c r="CN13" i="61" s="1"/>
  <c r="CN14" i="61" s="1"/>
  <c r="CN15" i="61" s="1"/>
  <c r="CN18" i="61" s="1"/>
  <c r="CN20" i="61" s="1"/>
  <c r="CN8" i="60"/>
  <c r="CN10" i="60" s="1"/>
  <c r="CR7" i="58"/>
  <c r="CR12" i="58" s="1"/>
  <c r="CP8" i="58"/>
  <c r="CP13" i="58" s="1"/>
  <c r="CO7" i="48"/>
  <c r="CO9" i="48" s="1"/>
  <c r="CQ7" i="52"/>
  <c r="CQ11" i="52" s="1"/>
  <c r="CS7" i="54"/>
  <c r="CS11" i="54" s="1"/>
  <c r="CQ8" i="54"/>
  <c r="CQ12" i="54" s="1"/>
  <c r="CN7" i="55"/>
  <c r="CN11" i="55" s="1"/>
  <c r="CU8" i="55"/>
  <c r="CU12" i="55" s="1"/>
  <c r="CO8" i="49"/>
  <c r="CO10" i="49" s="1"/>
  <c r="CO8" i="89"/>
  <c r="CO10" i="89" s="1"/>
  <c r="CO11" i="89" s="1"/>
  <c r="CV8" i="86"/>
  <c r="CV12" i="86" s="1"/>
  <c r="CP7" i="85"/>
  <c r="CP10" i="85" s="1"/>
  <c r="CP12" i="85" s="1"/>
  <c r="CP17" i="85" s="1"/>
  <c r="CP7" i="82"/>
  <c r="CP10" i="82" s="1"/>
  <c r="CP12" i="82" s="1"/>
  <c r="CP17" i="82" s="1"/>
  <c r="CN7" i="81"/>
  <c r="CN10" i="81" s="1"/>
  <c r="CV7" i="81"/>
  <c r="CV10" i="81" s="1"/>
  <c r="CP8" i="81"/>
  <c r="CP11" i="81" s="1"/>
  <c r="CX8" i="81"/>
  <c r="CX11" i="81" s="1"/>
  <c r="CL7" i="79"/>
  <c r="CL10" i="79" s="1"/>
  <c r="CT7" i="79"/>
  <c r="CT10" i="79" s="1"/>
  <c r="DB7" i="79"/>
  <c r="DB10" i="79" s="1"/>
  <c r="CR8" i="79"/>
  <c r="CR11" i="79" s="1"/>
  <c r="CZ8" i="79"/>
  <c r="CZ11" i="79" s="1"/>
  <c r="CT7" i="77"/>
  <c r="CT10" i="77" s="1"/>
  <c r="CT11" i="77" s="1"/>
  <c r="CT16" i="77" s="1"/>
  <c r="CP7" i="76"/>
  <c r="CP10" i="76" s="1"/>
  <c r="CQ8" i="76"/>
  <c r="CQ11" i="76" s="1"/>
  <c r="CP7" i="75"/>
  <c r="CP9" i="75" s="1"/>
  <c r="CP11" i="75" s="1"/>
  <c r="CP16" i="75" s="1"/>
  <c r="CM7" i="74"/>
  <c r="CM9" i="74" s="1"/>
  <c r="CM11" i="74" s="1"/>
  <c r="CM16" i="74" s="1"/>
  <c r="CM7" i="73"/>
  <c r="CM10" i="73" s="1"/>
  <c r="CO8" i="73"/>
  <c r="CO11" i="73" s="1"/>
  <c r="CO7" i="70"/>
  <c r="CO17" i="70" s="1"/>
  <c r="CN11" i="70"/>
  <c r="CN20" i="70" s="1"/>
  <c r="CO7" i="67"/>
  <c r="CO10" i="67" s="1"/>
  <c r="CO13" i="67" s="1"/>
  <c r="CO18" i="67" s="1"/>
  <c r="CM7" i="66"/>
  <c r="CM10" i="66" s="1"/>
  <c r="CP8" i="66"/>
  <c r="CP11" i="66" s="1"/>
  <c r="CP7" i="63"/>
  <c r="CP10" i="63" s="1"/>
  <c r="CP7" i="62"/>
  <c r="CP10" i="62" s="1"/>
  <c r="CM8" i="62"/>
  <c r="CM11" i="62" s="1"/>
  <c r="CU8" i="62"/>
  <c r="CU11" i="62" s="1"/>
  <c r="CO7" i="61"/>
  <c r="CO10" i="61" s="1"/>
  <c r="CO12" i="61" s="1"/>
  <c r="CO13" i="61" s="1"/>
  <c r="CO14" i="61" s="1"/>
  <c r="CO15" i="61" s="1"/>
  <c r="CO18" i="61" s="1"/>
  <c r="CO20" i="61" s="1"/>
  <c r="CO8" i="60"/>
  <c r="CO10" i="60" s="1"/>
  <c r="CS7" i="58"/>
  <c r="CS12" i="58" s="1"/>
  <c r="CQ8" i="58"/>
  <c r="CQ13" i="58" s="1"/>
  <c r="CP7" i="48"/>
  <c r="CP9" i="48" s="1"/>
  <c r="CL8" i="52"/>
  <c r="CL12" i="52" s="1"/>
  <c r="CT7" i="54"/>
  <c r="CT11" i="54" s="1"/>
  <c r="CR8" i="54"/>
  <c r="CR12" i="54" s="1"/>
  <c r="CO7" i="55"/>
  <c r="CO11" i="55" s="1"/>
  <c r="CN8" i="55"/>
  <c r="CN12" i="55" s="1"/>
  <c r="CP8" i="49"/>
  <c r="CP10" i="49" s="1"/>
  <c r="CM7" i="50"/>
  <c r="CM11" i="50" s="1"/>
  <c r="CM7" i="39"/>
  <c r="CM9" i="39" s="1"/>
  <c r="CM10" i="39" s="1"/>
  <c r="CM12" i="39" s="1"/>
  <c r="CQ7" i="85"/>
  <c r="CQ10" i="85" s="1"/>
  <c r="CQ12" i="85" s="1"/>
  <c r="CQ17" i="85" s="1"/>
  <c r="CO7" i="81"/>
  <c r="CO10" i="81" s="1"/>
  <c r="CW7" i="81"/>
  <c r="CW10" i="81" s="1"/>
  <c r="CQ8" i="81"/>
  <c r="CQ11" i="81" s="1"/>
  <c r="CY8" i="81"/>
  <c r="CY11" i="81" s="1"/>
  <c r="CM7" i="79"/>
  <c r="CM10" i="79" s="1"/>
  <c r="CU7" i="79"/>
  <c r="CU10" i="79" s="1"/>
  <c r="CS8" i="79"/>
  <c r="CS11" i="79" s="1"/>
  <c r="DA8" i="79"/>
  <c r="DA11" i="79" s="1"/>
  <c r="CM7" i="77"/>
  <c r="CM10" i="77" s="1"/>
  <c r="CM11" i="77" s="1"/>
  <c r="CM16" i="77" s="1"/>
  <c r="CU7" i="77"/>
  <c r="CU10" i="77" s="1"/>
  <c r="CU11" i="77" s="1"/>
  <c r="CU16" i="77" s="1"/>
  <c r="CQ7" i="76"/>
  <c r="CQ10" i="76" s="1"/>
  <c r="CR8" i="76"/>
  <c r="CR11" i="76" s="1"/>
  <c r="CQ7" i="75"/>
  <c r="CQ9" i="75" s="1"/>
  <c r="CQ11" i="75" s="1"/>
  <c r="CQ16" i="75" s="1"/>
  <c r="CN7" i="74"/>
  <c r="CN9" i="74" s="1"/>
  <c r="CN11" i="74" s="1"/>
  <c r="CN16" i="74" s="1"/>
  <c r="CN7" i="73"/>
  <c r="CN10" i="73" s="1"/>
  <c r="CP8" i="73"/>
  <c r="CP11" i="73" s="1"/>
  <c r="CP7" i="70"/>
  <c r="CP17" i="70" s="1"/>
  <c r="CO11" i="70"/>
  <c r="CO20" i="70" s="1"/>
  <c r="CP7" i="67"/>
  <c r="CP10" i="67" s="1"/>
  <c r="CP13" i="67" s="1"/>
  <c r="CP18" i="67" s="1"/>
  <c r="CN7" i="66"/>
  <c r="CN10" i="66" s="1"/>
  <c r="CQ8" i="66"/>
  <c r="CQ11" i="66" s="1"/>
  <c r="CQ7" i="63"/>
  <c r="CQ10" i="63" s="1"/>
  <c r="CQ7" i="62"/>
  <c r="CQ10" i="62" s="1"/>
  <c r="CN8" i="62"/>
  <c r="CN11" i="62" s="1"/>
  <c r="CP7" i="61"/>
  <c r="CP10" i="61" s="1"/>
  <c r="CP12" i="61" s="1"/>
  <c r="CP13" i="61" s="1"/>
  <c r="CP14" i="61" s="1"/>
  <c r="CP15" i="61" s="1"/>
  <c r="CP18" i="61" s="1"/>
  <c r="CP20" i="61" s="1"/>
  <c r="CP8" i="60"/>
  <c r="CP10" i="60" s="1"/>
  <c r="CL7" i="58"/>
  <c r="CL12" i="58" s="1"/>
  <c r="CT7" i="58"/>
  <c r="CT12" i="58" s="1"/>
  <c r="CR8" i="58"/>
  <c r="CR13" i="58" s="1"/>
  <c r="CQ7" i="48"/>
  <c r="CQ9" i="48" s="1"/>
  <c r="CM8" i="52"/>
  <c r="CM12" i="52" s="1"/>
  <c r="CL7" i="54"/>
  <c r="CL11" i="54" s="1"/>
  <c r="CS8" i="54"/>
  <c r="CS12" i="54" s="1"/>
  <c r="CP7" i="55"/>
  <c r="CP11" i="55" s="1"/>
  <c r="CO8" i="55"/>
  <c r="CO12" i="55" s="1"/>
  <c r="CO7" i="46"/>
  <c r="CO9" i="46" s="1"/>
  <c r="CO10" i="46" s="1"/>
  <c r="CO15" i="46" s="1"/>
  <c r="CR7" i="85"/>
  <c r="CR10" i="85" s="1"/>
  <c r="CR12" i="85" s="1"/>
  <c r="CR17" i="85" s="1"/>
  <c r="CP7" i="81"/>
  <c r="CP10" i="81" s="1"/>
  <c r="CX7" i="81"/>
  <c r="CX10" i="81" s="1"/>
  <c r="CR8" i="81"/>
  <c r="CR11" i="81" s="1"/>
  <c r="CN7" i="79"/>
  <c r="CN10" i="79" s="1"/>
  <c r="CV7" i="79"/>
  <c r="CV10" i="79" s="1"/>
  <c r="CL8" i="79"/>
  <c r="CL11" i="79" s="1"/>
  <c r="CT8" i="79"/>
  <c r="CT11" i="79" s="1"/>
  <c r="DB8" i="79"/>
  <c r="DB11" i="79" s="1"/>
  <c r="CN7" i="77"/>
  <c r="CN10" i="77" s="1"/>
  <c r="CN11" i="77" s="1"/>
  <c r="CN16" i="77" s="1"/>
  <c r="CR7" i="76"/>
  <c r="CR10" i="76" s="1"/>
  <c r="CS8" i="76"/>
  <c r="CS11" i="76" s="1"/>
  <c r="CR7" i="75"/>
  <c r="CR9" i="75" s="1"/>
  <c r="CR11" i="75" s="1"/>
  <c r="CR16" i="75" s="1"/>
  <c r="CO7" i="74"/>
  <c r="CO9" i="74" s="1"/>
  <c r="CO11" i="74" s="1"/>
  <c r="CO16" i="74" s="1"/>
  <c r="CO7" i="73"/>
  <c r="CO10" i="73" s="1"/>
  <c r="CQ8" i="73"/>
  <c r="CQ11" i="73" s="1"/>
  <c r="CN8" i="70"/>
  <c r="CP11" i="70"/>
  <c r="CP20" i="70" s="1"/>
  <c r="CQ7" i="67"/>
  <c r="CQ10" i="67" s="1"/>
  <c r="CQ13" i="67" s="1"/>
  <c r="CQ18" i="67" s="1"/>
  <c r="CO7" i="66"/>
  <c r="CO10" i="66" s="1"/>
  <c r="CR7" i="62"/>
  <c r="CR10" i="62" s="1"/>
  <c r="CO8" i="62"/>
  <c r="CO11" i="62" s="1"/>
  <c r="CQ7" i="61"/>
  <c r="CQ10" i="61" s="1"/>
  <c r="CQ12" i="61" s="1"/>
  <c r="CQ13" i="61" s="1"/>
  <c r="CQ14" i="61" s="1"/>
  <c r="CQ15" i="61" s="1"/>
  <c r="CQ18" i="61" s="1"/>
  <c r="CQ20" i="61" s="1"/>
  <c r="CQ8" i="60"/>
  <c r="CQ10" i="60" s="1"/>
  <c r="CM7" i="58"/>
  <c r="CM12" i="58" s="1"/>
  <c r="CS8" i="58"/>
  <c r="CS13" i="58" s="1"/>
  <c r="CL7" i="52"/>
  <c r="CL11" i="52" s="1"/>
  <c r="CN8" i="52"/>
  <c r="CN12" i="52" s="1"/>
  <c r="CM7" i="54"/>
  <c r="CM11" i="54" s="1"/>
  <c r="CL8" i="54"/>
  <c r="CL12" i="54" s="1"/>
  <c r="CT8" i="54"/>
  <c r="CT12" i="54" s="1"/>
  <c r="CQ7" i="55"/>
  <c r="CQ11" i="55" s="1"/>
  <c r="CP8" i="55"/>
  <c r="CP12" i="55" s="1"/>
  <c r="CP7" i="46"/>
  <c r="CP9" i="46" s="1"/>
  <c r="CP10" i="46" s="1"/>
  <c r="CP15" i="46" s="1"/>
  <c r="CN7" i="49"/>
  <c r="CN11" i="49" s="1"/>
  <c r="CO7" i="39"/>
  <c r="CO9" i="39" s="1"/>
  <c r="CO10" i="39" s="1"/>
  <c r="CQ8" i="86"/>
  <c r="CQ12" i="86" s="1"/>
  <c r="CM7" i="85"/>
  <c r="CM10" i="85" s="1"/>
  <c r="CM12" i="85" s="1"/>
  <c r="CM17" i="85" s="1"/>
  <c r="CM7" i="82"/>
  <c r="CM10" i="82" s="1"/>
  <c r="CM12" i="82" s="1"/>
  <c r="CM17" i="82" s="1"/>
  <c r="CS7" i="81"/>
  <c r="CS10" i="81" s="1"/>
  <c r="CM8" i="81"/>
  <c r="CM11" i="81" s="1"/>
  <c r="CU8" i="81"/>
  <c r="CU11" i="81" s="1"/>
  <c r="CQ7" i="79"/>
  <c r="CQ10" i="79" s="1"/>
  <c r="CY7" i="79"/>
  <c r="CY10" i="79" s="1"/>
  <c r="CO8" i="79"/>
  <c r="CO11" i="79" s="1"/>
  <c r="CW8" i="79"/>
  <c r="CW11" i="79" s="1"/>
  <c r="CQ7" i="77"/>
  <c r="CQ10" i="77" s="1"/>
  <c r="CQ11" i="77" s="1"/>
  <c r="CQ16" i="77" s="1"/>
  <c r="CM7" i="76"/>
  <c r="CM10" i="76" s="1"/>
  <c r="CU7" i="76"/>
  <c r="CU10" i="76" s="1"/>
  <c r="CN8" i="76"/>
  <c r="CN11" i="76" s="1"/>
  <c r="CV8" i="76"/>
  <c r="CV11" i="76" s="1"/>
  <c r="CM7" i="75"/>
  <c r="CM9" i="75" s="1"/>
  <c r="CM11" i="75" s="1"/>
  <c r="CM16" i="75" s="1"/>
  <c r="CN9" i="70"/>
  <c r="CN10" i="70" s="1"/>
  <c r="CN19" i="70" s="1"/>
  <c r="CP12" i="70"/>
  <c r="CP14" i="70" s="1"/>
  <c r="CP16" i="70" s="1"/>
  <c r="CM8" i="66"/>
  <c r="CM11" i="66" s="1"/>
  <c r="CM7" i="63"/>
  <c r="CM10" i="63" s="1"/>
  <c r="CM7" i="62"/>
  <c r="CM10" i="62" s="1"/>
  <c r="CU7" i="62"/>
  <c r="CU10" i="62" s="1"/>
  <c r="CR8" i="62"/>
  <c r="CR11" i="62" s="1"/>
  <c r="CL7" i="61"/>
  <c r="CL10" i="61" s="1"/>
  <c r="CL12" i="61" s="1"/>
  <c r="CL13" i="61" s="1"/>
  <c r="CL14" i="61" s="1"/>
  <c r="CL15" i="61" s="1"/>
  <c r="CL18" i="61" s="1"/>
  <c r="CL20" i="61" s="1"/>
  <c r="CT8" i="60"/>
  <c r="CT10" i="60" s="1"/>
  <c r="CP7" i="58"/>
  <c r="CP12" i="58" s="1"/>
  <c r="CN8" i="58"/>
  <c r="CN13" i="58" s="1"/>
  <c r="CL7" i="48"/>
  <c r="CL9" i="48" s="1"/>
  <c r="CO7" i="52"/>
  <c r="CO11" i="52" s="1"/>
  <c r="CQ8" i="52"/>
  <c r="CQ12" i="52" s="1"/>
  <c r="CQ7" i="54"/>
  <c r="CQ11" i="54" s="1"/>
  <c r="CO8" i="54"/>
  <c r="CO12" i="54" s="1"/>
  <c r="CT7" i="55"/>
  <c r="CT11" i="55" s="1"/>
  <c r="CS8" i="55"/>
  <c r="CS12" i="55" s="1"/>
  <c r="CS7" i="46"/>
  <c r="CS9" i="46" s="1"/>
  <c r="CS10" i="46" s="1"/>
  <c r="CS15" i="46" s="1"/>
  <c r="CN7" i="46"/>
  <c r="CN9" i="46" s="1"/>
  <c r="CN10" i="46" s="1"/>
  <c r="CN15" i="46" s="1"/>
  <c r="CM8" i="49"/>
  <c r="CM10" i="49" s="1"/>
  <c r="CP7" i="50"/>
  <c r="CP11" i="50" s="1"/>
  <c r="CO7" i="86"/>
  <c r="CO11" i="86" s="1"/>
  <c r="CR8" i="86"/>
  <c r="CR12" i="86" s="1"/>
  <c r="CN7" i="85"/>
  <c r="CN10" i="85" s="1"/>
  <c r="CN12" i="85" s="1"/>
  <c r="CN17" i="85" s="1"/>
  <c r="CN7" i="82"/>
  <c r="CN10" i="82" s="1"/>
  <c r="CN12" i="82" s="1"/>
  <c r="CN17" i="82" s="1"/>
  <c r="CT7" i="81"/>
  <c r="CT10" i="81" s="1"/>
  <c r="CN8" i="81"/>
  <c r="CN11" i="81" s="1"/>
  <c r="CV8" i="81"/>
  <c r="CV11" i="81" s="1"/>
  <c r="CR7" i="79"/>
  <c r="CR10" i="79" s="1"/>
  <c r="CZ7" i="79"/>
  <c r="CZ10" i="79" s="1"/>
  <c r="CP8" i="79"/>
  <c r="CP11" i="79" s="1"/>
  <c r="CX8" i="79"/>
  <c r="CX11" i="79" s="1"/>
  <c r="CR7" i="77"/>
  <c r="CR10" i="77" s="1"/>
  <c r="CR11" i="77" s="1"/>
  <c r="CR16" i="77" s="1"/>
  <c r="CN7" i="76"/>
  <c r="CN10" i="76" s="1"/>
  <c r="CV7" i="76"/>
  <c r="CV10" i="76" s="1"/>
  <c r="CO8" i="76"/>
  <c r="CO11" i="76" s="1"/>
  <c r="CW8" i="76"/>
  <c r="CW11" i="76" s="1"/>
  <c r="CN7" i="75"/>
  <c r="CN9" i="75" s="1"/>
  <c r="CN11" i="75" s="1"/>
  <c r="CN16" i="75" s="1"/>
  <c r="CM8" i="73"/>
  <c r="CM11" i="73" s="1"/>
  <c r="CO9" i="70"/>
  <c r="CO10" i="70" s="1"/>
  <c r="CO19" i="70" s="1"/>
  <c r="CM7" i="67"/>
  <c r="CM10" i="67" s="1"/>
  <c r="CM13" i="67" s="1"/>
  <c r="CM18" i="67" s="1"/>
  <c r="CN8" i="66"/>
  <c r="CN11" i="66" s="1"/>
  <c r="CN7" i="63"/>
  <c r="CN10" i="63" s="1"/>
  <c r="CN7" i="62"/>
  <c r="CN10" i="62" s="1"/>
  <c r="CS8" i="62"/>
  <c r="CS11" i="62" s="1"/>
  <c r="CM7" i="61"/>
  <c r="CM10" i="61" s="1"/>
  <c r="CM12" i="61" s="1"/>
  <c r="CM13" i="61" s="1"/>
  <c r="CM14" i="61" s="1"/>
  <c r="CM15" i="61" s="1"/>
  <c r="CM18" i="61" s="1"/>
  <c r="CM20" i="61" s="1"/>
  <c r="CM8" i="60"/>
  <c r="CM10" i="60" s="1"/>
  <c r="CQ7" i="58"/>
  <c r="CQ12" i="58" s="1"/>
  <c r="CO8" i="58"/>
  <c r="CO13" i="58" s="1"/>
  <c r="CN7" i="48"/>
  <c r="CN9" i="48" s="1"/>
  <c r="CP7" i="52"/>
  <c r="CP11" i="52" s="1"/>
  <c r="CN7" i="54"/>
  <c r="CN11" i="54" s="1"/>
  <c r="CR7" i="54"/>
  <c r="CR11" i="54" s="1"/>
  <c r="CP8" i="54"/>
  <c r="CP12" i="54" s="1"/>
  <c r="CU7" i="55"/>
  <c r="CU11" i="55" s="1"/>
  <c r="CT8" i="55"/>
  <c r="CT12" i="55" s="1"/>
  <c r="CN8" i="49"/>
  <c r="CN10" i="49" s="1"/>
  <c r="CN7" i="88"/>
  <c r="CN10" i="88" s="1"/>
  <c r="CN12" i="88" s="1"/>
  <c r="CN17" i="88" s="1"/>
  <c r="CL7" i="85"/>
  <c r="CL10" i="85" s="1"/>
  <c r="CL12" i="85" s="1"/>
  <c r="CL17" i="85" s="1"/>
  <c r="CY7" i="81"/>
  <c r="CY10" i="81" s="1"/>
  <c r="CP7" i="79"/>
  <c r="CP10" i="79" s="1"/>
  <c r="CU8" i="76"/>
  <c r="CU11" i="76" s="1"/>
  <c r="CQ7" i="73"/>
  <c r="CQ10" i="73" s="1"/>
  <c r="CN12" i="70"/>
  <c r="CN14" i="70" s="1"/>
  <c r="CN16" i="70" s="1"/>
  <c r="CS8" i="60"/>
  <c r="CS10" i="60" s="1"/>
  <c r="CM7" i="48"/>
  <c r="CM9" i="48" s="1"/>
  <c r="CN7" i="52"/>
  <c r="CN11" i="52" s="1"/>
  <c r="CP7" i="54"/>
  <c r="CP11" i="54" s="1"/>
  <c r="CR7" i="46"/>
  <c r="CR9" i="46" s="1"/>
  <c r="CR10" i="46" s="1"/>
  <c r="CR15" i="46" s="1"/>
  <c r="CM7" i="49"/>
  <c r="CM11" i="49" s="1"/>
  <c r="CM8" i="51"/>
  <c r="CM12" i="51" s="1"/>
  <c r="CL5" i="44"/>
  <c r="CL8" i="44" s="1"/>
  <c r="CQ8" i="38"/>
  <c r="CQ12" i="38" s="1"/>
  <c r="CL4" i="35"/>
  <c r="CL8" i="35" s="1"/>
  <c r="CM5" i="32"/>
  <c r="CM10" i="32" s="1"/>
  <c r="CM5" i="57"/>
  <c r="CM8" i="57" s="1"/>
  <c r="CO6" i="57"/>
  <c r="CO9" i="57" s="1"/>
  <c r="CP6" i="30"/>
  <c r="CP10" i="30" s="1"/>
  <c r="CN7" i="30"/>
  <c r="CN11" i="30" s="1"/>
  <c r="CM7" i="27"/>
  <c r="CM11" i="27" s="1"/>
  <c r="CO5" i="24"/>
  <c r="CO7" i="24" s="1"/>
  <c r="CO9" i="24" s="1"/>
  <c r="CO14" i="24" s="1"/>
  <c r="CL7" i="23"/>
  <c r="CL10" i="23" s="1"/>
  <c r="CM6" i="20"/>
  <c r="CM9" i="20" s="1"/>
  <c r="CS8" i="18"/>
  <c r="CS11" i="18" s="1"/>
  <c r="CQ9" i="18"/>
  <c r="CQ12" i="18" s="1"/>
  <c r="CN7" i="41"/>
  <c r="CN10" i="41" s="1"/>
  <c r="CM6" i="10"/>
  <c r="CM9" i="10" s="1"/>
  <c r="CN7" i="10"/>
  <c r="CP5" i="7"/>
  <c r="CP6" i="11"/>
  <c r="CP9" i="11" s="1"/>
  <c r="CP10" i="11" s="1"/>
  <c r="CP15" i="11" s="1"/>
  <c r="CM7" i="16"/>
  <c r="CM10" i="16" s="1"/>
  <c r="CO8" i="16"/>
  <c r="CO11" i="16" s="1"/>
  <c r="CS7" i="85"/>
  <c r="CS10" i="85" s="1"/>
  <c r="CS12" i="85" s="1"/>
  <c r="CS17" i="85" s="1"/>
  <c r="CW7" i="79"/>
  <c r="CW10" i="79" s="1"/>
  <c r="CP7" i="74"/>
  <c r="CP9" i="74" s="1"/>
  <c r="CP11" i="74" s="1"/>
  <c r="CP16" i="74" s="1"/>
  <c r="CO12" i="70"/>
  <c r="CO14" i="70" s="1"/>
  <c r="CO16" i="70" s="1"/>
  <c r="CO8" i="52"/>
  <c r="CO12" i="52" s="1"/>
  <c r="CM8" i="54"/>
  <c r="CM12" i="54" s="1"/>
  <c r="CR7" i="55"/>
  <c r="CR11" i="55" s="1"/>
  <c r="CO7" i="49"/>
  <c r="CO11" i="49" s="1"/>
  <c r="CM5" i="44"/>
  <c r="CM8" i="44" s="1"/>
  <c r="CL9" i="38"/>
  <c r="CL13" i="38" s="1"/>
  <c r="CM4" i="35"/>
  <c r="CM8" i="35" s="1"/>
  <c r="CO5" i="45"/>
  <c r="CO9" i="45" s="1"/>
  <c r="CO11" i="45" s="1"/>
  <c r="CO16" i="45" s="1"/>
  <c r="CN5" i="32"/>
  <c r="CN10" i="32" s="1"/>
  <c r="CN5" i="57"/>
  <c r="CN8" i="57" s="1"/>
  <c r="CP6" i="57"/>
  <c r="CP9" i="57" s="1"/>
  <c r="CQ6" i="30"/>
  <c r="CQ10" i="30" s="1"/>
  <c r="CO7" i="30"/>
  <c r="CO11" i="30" s="1"/>
  <c r="CL7" i="28"/>
  <c r="CL10" i="28" s="1"/>
  <c r="CN7" i="27"/>
  <c r="CN11" i="27" s="1"/>
  <c r="CP5" i="24"/>
  <c r="CP7" i="24" s="1"/>
  <c r="CP9" i="24" s="1"/>
  <c r="CP14" i="24" s="1"/>
  <c r="CM7" i="23"/>
  <c r="CM10" i="23" s="1"/>
  <c r="CN6" i="20"/>
  <c r="CN9" i="20" s="1"/>
  <c r="CT8" i="18"/>
  <c r="CT11" i="18" s="1"/>
  <c r="CR9" i="18"/>
  <c r="CR12" i="18" s="1"/>
  <c r="CO7" i="41"/>
  <c r="CO10" i="41" s="1"/>
  <c r="CN6" i="10"/>
  <c r="CN9" i="10" s="1"/>
  <c r="CO7" i="10"/>
  <c r="CQ5" i="7"/>
  <c r="CN7" i="16"/>
  <c r="CN10" i="16" s="1"/>
  <c r="CP8" i="16"/>
  <c r="CP11" i="16" s="1"/>
  <c r="CO5" i="26"/>
  <c r="CO8" i="26" s="1"/>
  <c r="CN8" i="86"/>
  <c r="CN12" i="86" s="1"/>
  <c r="CL7" i="82"/>
  <c r="CL10" i="82" s="1"/>
  <c r="CL12" i="82" s="1"/>
  <c r="CL17" i="82" s="1"/>
  <c r="CS8" i="81"/>
  <c r="CS11" i="81" s="1"/>
  <c r="CX7" i="79"/>
  <c r="CX10" i="79" s="1"/>
  <c r="CL7" i="76"/>
  <c r="CL10" i="76" s="1"/>
  <c r="CL7" i="75"/>
  <c r="CL9" i="75" s="1"/>
  <c r="CL11" i="75" s="1"/>
  <c r="CL16" i="75" s="1"/>
  <c r="CQ7" i="74"/>
  <c r="CQ9" i="74" s="1"/>
  <c r="CQ11" i="74" s="1"/>
  <c r="CQ16" i="74" s="1"/>
  <c r="CP8" i="52"/>
  <c r="CP12" i="52" s="1"/>
  <c r="CN8" i="54"/>
  <c r="CN12" i="54" s="1"/>
  <c r="CS7" i="55"/>
  <c r="CS11" i="55" s="1"/>
  <c r="CP7" i="49"/>
  <c r="CP11" i="49" s="1"/>
  <c r="CL4" i="44"/>
  <c r="CL7" i="44" s="1"/>
  <c r="CN5" i="44"/>
  <c r="CN8" i="44" s="1"/>
  <c r="CM9" i="38"/>
  <c r="CM13" i="38" s="1"/>
  <c r="CN4" i="35"/>
  <c r="CN8" i="35" s="1"/>
  <c r="CP5" i="45"/>
  <c r="CP9" i="45" s="1"/>
  <c r="CP11" i="45" s="1"/>
  <c r="CP16" i="45" s="1"/>
  <c r="CO5" i="32"/>
  <c r="CO10" i="32" s="1"/>
  <c r="CK4" i="31"/>
  <c r="CK9" i="31" s="1"/>
  <c r="CO5" i="57"/>
  <c r="CO8" i="57" s="1"/>
  <c r="CQ6" i="57"/>
  <c r="CQ9" i="57" s="1"/>
  <c r="CR6" i="30"/>
  <c r="CR10" i="30" s="1"/>
  <c r="CP7" i="30"/>
  <c r="CP11" i="30" s="1"/>
  <c r="CM7" i="28"/>
  <c r="CM10" i="28" s="1"/>
  <c r="CO7" i="27"/>
  <c r="CO11" i="27" s="1"/>
  <c r="CQ5" i="24"/>
  <c r="CQ7" i="24" s="1"/>
  <c r="CQ9" i="24" s="1"/>
  <c r="CQ14" i="24" s="1"/>
  <c r="CL6" i="23"/>
  <c r="CL9" i="23" s="1"/>
  <c r="CN7" i="23"/>
  <c r="CN10" i="23" s="1"/>
  <c r="CK7" i="20"/>
  <c r="CK10" i="20" s="1"/>
  <c r="CK7" i="19"/>
  <c r="CU8" i="18"/>
  <c r="CU11" i="18" s="1"/>
  <c r="CS9" i="18"/>
  <c r="CS12" i="18" s="1"/>
  <c r="CL7" i="41"/>
  <c r="CL10" i="41" s="1"/>
  <c r="CP7" i="41"/>
  <c r="CP10" i="41" s="1"/>
  <c r="CO6" i="10"/>
  <c r="CO9" i="10" s="1"/>
  <c r="CP7" i="10"/>
  <c r="CP10" i="10" s="1"/>
  <c r="CK4" i="40"/>
  <c r="CK7" i="40" s="1"/>
  <c r="CK9" i="40" s="1"/>
  <c r="CK14" i="40" s="1"/>
  <c r="CL6" i="2"/>
  <c r="CT8" i="81"/>
  <c r="CT11" i="81" s="1"/>
  <c r="CM8" i="79"/>
  <c r="CM11" i="79" s="1"/>
  <c r="CO7" i="77"/>
  <c r="CO10" i="77" s="1"/>
  <c r="CO11" i="77" s="1"/>
  <c r="CO16" i="77" s="1"/>
  <c r="CS7" i="76"/>
  <c r="CS10" i="76" s="1"/>
  <c r="CS7" i="75"/>
  <c r="CS9" i="75" s="1"/>
  <c r="CS11" i="75" s="1"/>
  <c r="CS16" i="75" s="1"/>
  <c r="CP8" i="62"/>
  <c r="CP11" i="62" s="1"/>
  <c r="CN7" i="58"/>
  <c r="CN12" i="58" s="1"/>
  <c r="CQ8" i="55"/>
  <c r="CQ12" i="55" s="1"/>
  <c r="CN7" i="39"/>
  <c r="CN9" i="39" s="1"/>
  <c r="CN10" i="39" s="1"/>
  <c r="CM4" i="44"/>
  <c r="CM7" i="44" s="1"/>
  <c r="CO5" i="44"/>
  <c r="CO8" i="44" s="1"/>
  <c r="CL8" i="38"/>
  <c r="CL12" i="38" s="1"/>
  <c r="CN9" i="38"/>
  <c r="CN13" i="38" s="1"/>
  <c r="CK5" i="35"/>
  <c r="CK9" i="35" s="1"/>
  <c r="CM6" i="32"/>
  <c r="CM11" i="32" s="1"/>
  <c r="CL4" i="31"/>
  <c r="CL9" i="31" s="1"/>
  <c r="CP5" i="57"/>
  <c r="CP8" i="57" s="1"/>
  <c r="CK6" i="30"/>
  <c r="CK10" i="30" s="1"/>
  <c r="CS6" i="30"/>
  <c r="CS10" i="30" s="1"/>
  <c r="CQ7" i="30"/>
  <c r="CQ11" i="30" s="1"/>
  <c r="CL6" i="28"/>
  <c r="CL9" i="28" s="1"/>
  <c r="CN7" i="28"/>
  <c r="CN10" i="28" s="1"/>
  <c r="CM8" i="27"/>
  <c r="CM12" i="27" s="1"/>
  <c r="CM6" i="23"/>
  <c r="CM9" i="23" s="1"/>
  <c r="CO7" i="23"/>
  <c r="CO10" i="23" s="1"/>
  <c r="CL7" i="20"/>
  <c r="CL10" i="20" s="1"/>
  <c r="CL7" i="19"/>
  <c r="CN8" i="18"/>
  <c r="CN11" i="18" s="1"/>
  <c r="CV8" i="18"/>
  <c r="CV11" i="18" s="1"/>
  <c r="CT9" i="18"/>
  <c r="CT12" i="18" s="1"/>
  <c r="CQ7" i="41"/>
  <c r="CQ10" i="41" s="1"/>
  <c r="CP6" i="10"/>
  <c r="CP9" i="10" s="1"/>
  <c r="CL4" i="40"/>
  <c r="CL7" i="40" s="1"/>
  <c r="CL9" i="40" s="1"/>
  <c r="CL14" i="40" s="1"/>
  <c r="CM6" i="2"/>
  <c r="CP7" i="16"/>
  <c r="CP10" i="16" s="1"/>
  <c r="CN8" i="79"/>
  <c r="CN11" i="79" s="1"/>
  <c r="CP7" i="77"/>
  <c r="CP10" i="77" s="1"/>
  <c r="CP11" i="77" s="1"/>
  <c r="CP16" i="77" s="1"/>
  <c r="CT7" i="76"/>
  <c r="CT10" i="76" s="1"/>
  <c r="CT7" i="75"/>
  <c r="CT9" i="75" s="1"/>
  <c r="CT11" i="75" s="1"/>
  <c r="CT16" i="75" s="1"/>
  <c r="CP7" i="66"/>
  <c r="CP10" i="66" s="1"/>
  <c r="CL7" i="62"/>
  <c r="CL10" i="62" s="1"/>
  <c r="CQ8" i="62"/>
  <c r="CQ11" i="62" s="1"/>
  <c r="CO7" i="58"/>
  <c r="CO12" i="58" s="1"/>
  <c r="CR8" i="55"/>
  <c r="CR12" i="55" s="1"/>
  <c r="CM7" i="46"/>
  <c r="CM9" i="46" s="1"/>
  <c r="CM10" i="46" s="1"/>
  <c r="CM15" i="46" s="1"/>
  <c r="CP7" i="39"/>
  <c r="CP9" i="39" s="1"/>
  <c r="CP10" i="39" s="1"/>
  <c r="CN4" i="44"/>
  <c r="CN7" i="44" s="1"/>
  <c r="CP5" i="44"/>
  <c r="CP8" i="44" s="1"/>
  <c r="CM8" i="38"/>
  <c r="CM12" i="38" s="1"/>
  <c r="CO9" i="38"/>
  <c r="CO13" i="38" s="1"/>
  <c r="CL5" i="35"/>
  <c r="CL9" i="35" s="1"/>
  <c r="CN6" i="32"/>
  <c r="CN11" i="32" s="1"/>
  <c r="CM4" i="31"/>
  <c r="CM9" i="31" s="1"/>
  <c r="CQ5" i="57"/>
  <c r="CQ8" i="57" s="1"/>
  <c r="CL6" i="30"/>
  <c r="CL10" i="30" s="1"/>
  <c r="CR7" i="30"/>
  <c r="CR11" i="30" s="1"/>
  <c r="CM6" i="28"/>
  <c r="CM9" i="28" s="1"/>
  <c r="CO7" i="28"/>
  <c r="CO10" i="28" s="1"/>
  <c r="CN8" i="27"/>
  <c r="CN12" i="27" s="1"/>
  <c r="CN6" i="23"/>
  <c r="CN9" i="23" s="1"/>
  <c r="CP7" i="23"/>
  <c r="CP10" i="23" s="1"/>
  <c r="CM7" i="20"/>
  <c r="CM10" i="20" s="1"/>
  <c r="CK6" i="19"/>
  <c r="CK9" i="19" s="1"/>
  <c r="CK11" i="19" s="1"/>
  <c r="CK16" i="19" s="1"/>
  <c r="CM7" i="19"/>
  <c r="CO8" i="18"/>
  <c r="CO11" i="18" s="1"/>
  <c r="CU9" i="18"/>
  <c r="CU12" i="18" s="1"/>
  <c r="CM4" i="40"/>
  <c r="CM7" i="40" s="1"/>
  <c r="CM9" i="40" s="1"/>
  <c r="CM14" i="40" s="1"/>
  <c r="CN6" i="2"/>
  <c r="CL5" i="7"/>
  <c r="CL6" i="11"/>
  <c r="CL9" i="11" s="1"/>
  <c r="CL10" i="11" s="1"/>
  <c r="CK7" i="16"/>
  <c r="CK10" i="16" s="1"/>
  <c r="CQ7" i="81"/>
  <c r="CQ10" i="81" s="1"/>
  <c r="CV8" i="79"/>
  <c r="CV11" i="79" s="1"/>
  <c r="CM8" i="76"/>
  <c r="CM11" i="76" s="1"/>
  <c r="CO8" i="70"/>
  <c r="CS7" i="67"/>
  <c r="CS10" i="67" s="1"/>
  <c r="CS13" i="67" s="1"/>
  <c r="CS18" i="67" s="1"/>
  <c r="CT7" i="62"/>
  <c r="CT10" i="62" s="1"/>
  <c r="CM8" i="58"/>
  <c r="CM13" i="58" s="1"/>
  <c r="CN7" i="50"/>
  <c r="CN11" i="50" s="1"/>
  <c r="CP4" i="44"/>
  <c r="CP7" i="44" s="1"/>
  <c r="CO8" i="38"/>
  <c r="CO12" i="38" s="1"/>
  <c r="CQ9" i="38"/>
  <c r="CQ13" i="38" s="1"/>
  <c r="CN5" i="35"/>
  <c r="CN9" i="35" s="1"/>
  <c r="CN4" i="32"/>
  <c r="CN9" i="32" s="1"/>
  <c r="CO4" i="31"/>
  <c r="CO9" i="31" s="1"/>
  <c r="CM6" i="57"/>
  <c r="CM9" i="57" s="1"/>
  <c r="CN6" i="30"/>
  <c r="CN10" i="30" s="1"/>
  <c r="CL7" i="30"/>
  <c r="CL11" i="30" s="1"/>
  <c r="CO6" i="28"/>
  <c r="CO9" i="28" s="1"/>
  <c r="CN6" i="27"/>
  <c r="CN10" i="27" s="1"/>
  <c r="CM5" i="24"/>
  <c r="CM7" i="24" s="1"/>
  <c r="CM9" i="24" s="1"/>
  <c r="CM14" i="24" s="1"/>
  <c r="CP6" i="23"/>
  <c r="CP9" i="23" s="1"/>
  <c r="CK6" i="20"/>
  <c r="CK9" i="20" s="1"/>
  <c r="CM6" i="19"/>
  <c r="CM9" i="19" s="1"/>
  <c r="CM11" i="19" s="1"/>
  <c r="CM16" i="19" s="1"/>
  <c r="CQ8" i="18"/>
  <c r="CQ11" i="18" s="1"/>
  <c r="CO9" i="18"/>
  <c r="CO12" i="18" s="1"/>
  <c r="CK6" i="10"/>
  <c r="CK9" i="10" s="1"/>
  <c r="CL7" i="10"/>
  <c r="CO4" i="40"/>
  <c r="CO7" i="40" s="1"/>
  <c r="CO9" i="40" s="1"/>
  <c r="CO14" i="40" s="1"/>
  <c r="CP6" i="2"/>
  <c r="CN5" i="7"/>
  <c r="CN6" i="11"/>
  <c r="CN9" i="11" s="1"/>
  <c r="CN10" i="11" s="1"/>
  <c r="CN15" i="11" s="1"/>
  <c r="CM8" i="16"/>
  <c r="CM11" i="16" s="1"/>
  <c r="CO6" i="26"/>
  <c r="CO9" i="26" s="1"/>
  <c r="CR7" i="81"/>
  <c r="CR10" i="81" s="1"/>
  <c r="CQ7" i="39"/>
  <c r="CQ9" i="39" s="1"/>
  <c r="CQ10" i="39" s="1"/>
  <c r="CP8" i="38"/>
  <c r="CP12" i="38" s="1"/>
  <c r="CN6" i="28"/>
  <c r="CN9" i="28" s="1"/>
  <c r="CN6" i="19"/>
  <c r="CN9" i="19" s="1"/>
  <c r="CN11" i="19" s="1"/>
  <c r="CN16" i="19" s="1"/>
  <c r="CN9" i="18"/>
  <c r="CN12" i="18" s="1"/>
  <c r="CL8" i="16"/>
  <c r="CL11" i="16" s="1"/>
  <c r="CN6" i="26"/>
  <c r="CN9" i="26" s="1"/>
  <c r="CL8" i="25"/>
  <c r="CL11" i="25" s="1"/>
  <c r="CN7" i="36"/>
  <c r="CN10" i="36" s="1"/>
  <c r="CM6" i="14"/>
  <c r="CM9" i="14" s="1"/>
  <c r="CQ7" i="14"/>
  <c r="CQ10" i="14" s="1"/>
  <c r="CR7" i="13"/>
  <c r="CR11" i="13" s="1"/>
  <c r="CM12" i="70"/>
  <c r="CM14" i="70" s="1"/>
  <c r="CM16" i="70" s="1"/>
  <c r="P9" i="70"/>
  <c r="X9" i="70"/>
  <c r="AF9" i="70"/>
  <c r="AN9" i="70"/>
  <c r="AV9" i="70"/>
  <c r="BD9" i="70"/>
  <c r="BL9" i="70"/>
  <c r="BT9" i="70"/>
  <c r="CB9" i="70"/>
  <c r="CJ9" i="70"/>
  <c r="CM8" i="70"/>
  <c r="CP5" i="26"/>
  <c r="CP8" i="26" s="1"/>
  <c r="CP8" i="36"/>
  <c r="CP11" i="36" s="1"/>
  <c r="CA9" i="70"/>
  <c r="CQ7" i="66"/>
  <c r="CQ10" i="66" s="1"/>
  <c r="CM7" i="52"/>
  <c r="CM11" i="52" s="1"/>
  <c r="CP9" i="38"/>
  <c r="CP13" i="38" s="1"/>
  <c r="CO6" i="32"/>
  <c r="CO11" i="32" s="1"/>
  <c r="CP6" i="28"/>
  <c r="CP9" i="28" s="1"/>
  <c r="CL6" i="20"/>
  <c r="CL9" i="20" s="1"/>
  <c r="CN7" i="19"/>
  <c r="CP9" i="18"/>
  <c r="CP12" i="18" s="1"/>
  <c r="CN8" i="16"/>
  <c r="CN11" i="16" s="1"/>
  <c r="CP6" i="26"/>
  <c r="CP9" i="26" s="1"/>
  <c r="CM8" i="25"/>
  <c r="CM11" i="25" s="1"/>
  <c r="CO7" i="36"/>
  <c r="CO10" i="36" s="1"/>
  <c r="CN6" i="14"/>
  <c r="CN9" i="14" s="1"/>
  <c r="CR7" i="14"/>
  <c r="CR10" i="14" s="1"/>
  <c r="CK14" i="13"/>
  <c r="CS7" i="13"/>
  <c r="CS11" i="13" s="1"/>
  <c r="I9" i="70"/>
  <c r="Q9" i="70"/>
  <c r="Y9" i="70"/>
  <c r="AG9" i="70"/>
  <c r="AO9" i="70"/>
  <c r="AW9" i="70"/>
  <c r="BE9" i="70"/>
  <c r="BM9" i="70"/>
  <c r="BU9" i="70"/>
  <c r="CC9" i="70"/>
  <c r="CK9" i="70"/>
  <c r="CL11" i="70"/>
  <c r="CL20" i="70" s="1"/>
  <c r="CQ4" i="44"/>
  <c r="CQ7" i="44" s="1"/>
  <c r="CQ6" i="23"/>
  <c r="CQ9" i="23" s="1"/>
  <c r="CL7" i="16"/>
  <c r="CL10" i="16" s="1"/>
  <c r="CS6" i="14"/>
  <c r="CS9" i="14" s="1"/>
  <c r="CP7" i="13"/>
  <c r="CP11" i="13" s="1"/>
  <c r="AL9" i="70"/>
  <c r="BZ9" i="70"/>
  <c r="CN8" i="38"/>
  <c r="CN12" i="38" s="1"/>
  <c r="CQ7" i="23"/>
  <c r="CQ10" i="23" s="1"/>
  <c r="CM6" i="26"/>
  <c r="CM9" i="26" s="1"/>
  <c r="O9" i="70"/>
  <c r="AM9" i="70"/>
  <c r="BS9" i="70"/>
  <c r="CO7" i="79"/>
  <c r="CO10" i="79" s="1"/>
  <c r="CN4" i="31"/>
  <c r="CN9" i="31" s="1"/>
  <c r="CP7" i="28"/>
  <c r="CP10" i="28" s="1"/>
  <c r="CN7" i="20"/>
  <c r="CN10" i="20" s="1"/>
  <c r="CV9" i="18"/>
  <c r="CV12" i="18" s="1"/>
  <c r="CM7" i="41"/>
  <c r="CM10" i="41" s="1"/>
  <c r="CN4" i="40"/>
  <c r="CN7" i="40" s="1"/>
  <c r="CN9" i="40" s="1"/>
  <c r="CN14" i="40" s="1"/>
  <c r="CN8" i="25"/>
  <c r="CN11" i="25" s="1"/>
  <c r="CP7" i="36"/>
  <c r="CP10" i="36" s="1"/>
  <c r="CO6" i="14"/>
  <c r="CO9" i="14" s="1"/>
  <c r="CS7" i="14"/>
  <c r="CS10" i="14" s="1"/>
  <c r="CL14" i="13"/>
  <c r="CT7" i="13"/>
  <c r="CT11" i="13" s="1"/>
  <c r="J9" i="70"/>
  <c r="R9" i="70"/>
  <c r="Z9" i="70"/>
  <c r="AH9" i="70"/>
  <c r="AP9" i="70"/>
  <c r="AX9" i="70"/>
  <c r="AX10" i="70" s="1"/>
  <c r="AX19" i="70" s="1"/>
  <c r="BF9" i="70"/>
  <c r="BN9" i="70"/>
  <c r="BV9" i="70"/>
  <c r="CD9" i="70"/>
  <c r="CL9" i="70"/>
  <c r="CL10" i="70" s="1"/>
  <c r="CL19" i="70" s="1"/>
  <c r="CM11" i="70"/>
  <c r="CM20" i="70" s="1"/>
  <c r="CG9" i="70"/>
  <c r="CQ7" i="46"/>
  <c r="CQ9" i="46" s="1"/>
  <c r="CQ10" i="46" s="1"/>
  <c r="CQ15" i="46" s="1"/>
  <c r="CM4" i="32"/>
  <c r="CM9" i="32" s="1"/>
  <c r="CM7" i="10"/>
  <c r="CT6" i="14"/>
  <c r="CT9" i="14" s="1"/>
  <c r="W9" i="70"/>
  <c r="AU9" i="70"/>
  <c r="CI9" i="70"/>
  <c r="CU8" i="79"/>
  <c r="CU11" i="79" s="1"/>
  <c r="CP7" i="73"/>
  <c r="CP10" i="73" s="1"/>
  <c r="CR7" i="67"/>
  <c r="CR10" i="67" s="1"/>
  <c r="CR13" i="67" s="1"/>
  <c r="CR18" i="67" s="1"/>
  <c r="CP4" i="31"/>
  <c r="CP9" i="31" s="1"/>
  <c r="CM6" i="30"/>
  <c r="CM10" i="30" s="1"/>
  <c r="CP4" i="40"/>
  <c r="CP7" i="40" s="1"/>
  <c r="CP9" i="40" s="1"/>
  <c r="CP14" i="40" s="1"/>
  <c r="CL7" i="25"/>
  <c r="CL10" i="25" s="1"/>
  <c r="CO8" i="25"/>
  <c r="CO11" i="25" s="1"/>
  <c r="CP6" i="14"/>
  <c r="CP9" i="14" s="1"/>
  <c r="CL7" i="14"/>
  <c r="CL10" i="14" s="1"/>
  <c r="CT7" i="14"/>
  <c r="CT10" i="14" s="1"/>
  <c r="CM7" i="13"/>
  <c r="CM11" i="13" s="1"/>
  <c r="K9" i="70"/>
  <c r="S9" i="70"/>
  <c r="AA9" i="70"/>
  <c r="AI9" i="70"/>
  <c r="AQ9" i="70"/>
  <c r="AY9" i="70"/>
  <c r="BG9" i="70"/>
  <c r="BO9" i="70"/>
  <c r="BW9" i="70"/>
  <c r="CE9" i="70"/>
  <c r="CM9" i="70"/>
  <c r="CM10" i="70" s="1"/>
  <c r="CM19" i="70" s="1"/>
  <c r="CL12" i="70"/>
  <c r="CF9" i="70"/>
  <c r="CT8" i="58"/>
  <c r="CT13" i="58" s="1"/>
  <c r="CO7" i="14"/>
  <c r="CO10" i="14" s="1"/>
  <c r="V9" i="70"/>
  <c r="AT9" i="70"/>
  <c r="BR9" i="70"/>
  <c r="CP8" i="70"/>
  <c r="CQ5" i="44"/>
  <c r="CQ8" i="44" s="1"/>
  <c r="CS7" i="30"/>
  <c r="CS11" i="30" s="1"/>
  <c r="CR8" i="18"/>
  <c r="CR11" i="18" s="1"/>
  <c r="CP7" i="14"/>
  <c r="CP10" i="14" s="1"/>
  <c r="BC9" i="70"/>
  <c r="CM8" i="90"/>
  <c r="CM10" i="90" s="1"/>
  <c r="CM11" i="90" s="1"/>
  <c r="CO7" i="54"/>
  <c r="CO11" i="54" s="1"/>
  <c r="CO7" i="50"/>
  <c r="CO11" i="50" s="1"/>
  <c r="CK4" i="35"/>
  <c r="CK8" i="35" s="1"/>
  <c r="CO6" i="30"/>
  <c r="CO10" i="30" s="1"/>
  <c r="CL5" i="24"/>
  <c r="CL7" i="24" s="1"/>
  <c r="CL9" i="24" s="1"/>
  <c r="CO6" i="2"/>
  <c r="CM5" i="7"/>
  <c r="CM6" i="11"/>
  <c r="CM9" i="11" s="1"/>
  <c r="CM10" i="11" s="1"/>
  <c r="CM15" i="11" s="1"/>
  <c r="CM5" i="26"/>
  <c r="CM8" i="26" s="1"/>
  <c r="CM7" i="25"/>
  <c r="CM10" i="25" s="1"/>
  <c r="CP8" i="25"/>
  <c r="CP11" i="25" s="1"/>
  <c r="CN8" i="36"/>
  <c r="CN11" i="36" s="1"/>
  <c r="CQ6" i="14"/>
  <c r="CQ9" i="14" s="1"/>
  <c r="CM7" i="14"/>
  <c r="CM10" i="14" s="1"/>
  <c r="CN7" i="13"/>
  <c r="CN11" i="13" s="1"/>
  <c r="L9" i="70"/>
  <c r="T9" i="70"/>
  <c r="AB9" i="70"/>
  <c r="AJ9" i="70"/>
  <c r="AR9" i="70"/>
  <c r="AZ9" i="70"/>
  <c r="BH9" i="70"/>
  <c r="BP9" i="70"/>
  <c r="BX9" i="70"/>
  <c r="CS7" i="62"/>
  <c r="CS10" i="62" s="1"/>
  <c r="CM7" i="30"/>
  <c r="CM11" i="30" s="1"/>
  <c r="CP8" i="18"/>
  <c r="CP11" i="18" s="1"/>
  <c r="CO7" i="25"/>
  <c r="CO10" i="25" s="1"/>
  <c r="N9" i="70"/>
  <c r="BB9" i="70"/>
  <c r="CM7" i="70"/>
  <c r="CM17" i="70" s="1"/>
  <c r="CN6" i="57"/>
  <c r="CN9" i="57" s="1"/>
  <c r="CO8" i="27"/>
  <c r="CO12" i="27" s="1"/>
  <c r="CL8" i="76"/>
  <c r="CL11" i="76" s="1"/>
  <c r="CL8" i="58"/>
  <c r="CL13" i="58" s="1"/>
  <c r="CO4" i="44"/>
  <c r="CO7" i="44" s="1"/>
  <c r="CM5" i="35"/>
  <c r="CM9" i="35" s="1"/>
  <c r="CK7" i="30"/>
  <c r="CK11" i="30" s="1"/>
  <c r="CM6" i="27"/>
  <c r="CM10" i="27" s="1"/>
  <c r="CN5" i="24"/>
  <c r="CN7" i="24" s="1"/>
  <c r="CN9" i="24" s="1"/>
  <c r="CN14" i="24" s="1"/>
  <c r="CO6" i="23"/>
  <c r="CO9" i="23" s="1"/>
  <c r="CL6" i="10"/>
  <c r="CL9" i="10" s="1"/>
  <c r="CO5" i="7"/>
  <c r="CO6" i="11"/>
  <c r="CO9" i="11" s="1"/>
  <c r="CO10" i="11" s="1"/>
  <c r="CO15" i="11" s="1"/>
  <c r="CJ7" i="16"/>
  <c r="CJ10" i="16" s="1"/>
  <c r="CN5" i="26"/>
  <c r="CN8" i="26" s="1"/>
  <c r="CN7" i="25"/>
  <c r="CN10" i="25" s="1"/>
  <c r="CO8" i="36"/>
  <c r="CO11" i="36" s="1"/>
  <c r="CR6" i="14"/>
  <c r="CR9" i="14" s="1"/>
  <c r="CN7" i="14"/>
  <c r="CN10" i="14" s="1"/>
  <c r="CO7" i="13"/>
  <c r="CO11" i="13" s="1"/>
  <c r="M9" i="70"/>
  <c r="U9" i="70"/>
  <c r="AC9" i="70"/>
  <c r="AK9" i="70"/>
  <c r="AS9" i="70"/>
  <c r="BA9" i="70"/>
  <c r="BI9" i="70"/>
  <c r="BQ9" i="70"/>
  <c r="BY9" i="70"/>
  <c r="CL7" i="70"/>
  <c r="CL17" i="70" s="1"/>
  <c r="CT8" i="76"/>
  <c r="CT11" i="76" s="1"/>
  <c r="CK7" i="10"/>
  <c r="AD9" i="70"/>
  <c r="AD10" i="70" s="1"/>
  <c r="AD19" i="70" s="1"/>
  <c r="BJ9" i="70"/>
  <c r="CH9" i="70"/>
  <c r="CR8" i="60"/>
  <c r="CR10" i="60" s="1"/>
  <c r="CL6" i="19"/>
  <c r="CL9" i="19" s="1"/>
  <c r="CL11" i="19" s="1"/>
  <c r="CL16" i="19" s="1"/>
  <c r="CO7" i="16"/>
  <c r="CO10" i="16" s="1"/>
  <c r="CP7" i="25"/>
  <c r="CP10" i="25" s="1"/>
  <c r="CL6" i="14"/>
  <c r="CL9" i="14" s="1"/>
  <c r="CQ7" i="13"/>
  <c r="CQ11" i="13" s="1"/>
  <c r="AE9" i="70"/>
  <c r="BK9" i="70"/>
  <c r="CL8" i="70"/>
  <c r="CE9" i="91"/>
  <c r="CE12" i="91" s="1"/>
  <c r="CE14" i="91" s="1"/>
  <c r="BA9" i="91"/>
  <c r="BA12" i="91" s="1"/>
  <c r="BA14" i="91" s="1"/>
  <c r="BA20" i="91" s="1"/>
  <c r="CP95" i="22" s="1"/>
  <c r="BI9" i="91"/>
  <c r="BI12" i="91" s="1"/>
  <c r="BI14" i="91" s="1"/>
  <c r="BI20" i="91" s="1"/>
  <c r="CX95" i="22" s="1"/>
  <c r="BQ9" i="91"/>
  <c r="BQ12" i="91" s="1"/>
  <c r="BQ14" i="91" s="1"/>
  <c r="BQ20" i="91" s="1"/>
  <c r="DF95" i="22" s="1"/>
  <c r="BY9" i="91"/>
  <c r="BY12" i="91" s="1"/>
  <c r="BY14" i="91" s="1"/>
  <c r="BY20" i="91" s="1"/>
  <c r="DN95" i="22" s="1"/>
  <c r="Q9" i="91"/>
  <c r="Q12" i="91" s="1"/>
  <c r="Q14" i="91" s="1"/>
  <c r="Q20" i="91" s="1"/>
  <c r="Y9" i="91"/>
  <c r="Y12" i="91" s="1"/>
  <c r="Y14" i="91" s="1"/>
  <c r="Y20" i="91" s="1"/>
  <c r="AG9" i="91"/>
  <c r="AG12" i="91" s="1"/>
  <c r="AG14" i="91" s="1"/>
  <c r="AO9" i="91"/>
  <c r="AO12" i="91" s="1"/>
  <c r="AO14" i="91" s="1"/>
  <c r="AO20" i="91" s="1"/>
  <c r="AW9" i="91"/>
  <c r="AW12" i="91" s="1"/>
  <c r="AW14" i="91" s="1"/>
  <c r="AW20" i="91" s="1"/>
  <c r="CL95" i="22" s="1"/>
  <c r="CL8" i="91"/>
  <c r="CL11" i="91" s="1"/>
  <c r="CL13" i="91" s="1"/>
  <c r="CL19" i="91" s="1"/>
  <c r="CD8" i="91"/>
  <c r="CD11" i="91" s="1"/>
  <c r="CD13" i="91" s="1"/>
  <c r="CD19" i="91" s="1"/>
  <c r="BV8" i="91"/>
  <c r="BV11" i="91" s="1"/>
  <c r="BV13" i="91" s="1"/>
  <c r="BV19" i="91" s="1"/>
  <c r="BN8" i="91"/>
  <c r="BN11" i="91" s="1"/>
  <c r="BN13" i="91" s="1"/>
  <c r="BN19" i="91" s="1"/>
  <c r="BF8" i="91"/>
  <c r="BF11" i="91" s="1"/>
  <c r="BF13" i="91" s="1"/>
  <c r="BF19" i="91" s="1"/>
  <c r="AX8" i="91"/>
  <c r="AX11" i="91" s="1"/>
  <c r="AX13" i="91" s="1"/>
  <c r="AX19" i="91" s="1"/>
  <c r="AP8" i="91"/>
  <c r="AP11" i="91" s="1"/>
  <c r="AP13" i="91" s="1"/>
  <c r="AP19" i="91" s="1"/>
  <c r="AH8" i="91"/>
  <c r="AH11" i="91" s="1"/>
  <c r="AH13" i="91" s="1"/>
  <c r="AH19" i="91" s="1"/>
  <c r="Z8" i="91"/>
  <c r="Z11" i="91" s="1"/>
  <c r="Z13" i="91" s="1"/>
  <c r="Z19" i="91" s="1"/>
  <c r="R8" i="91"/>
  <c r="R11" i="91" s="1"/>
  <c r="R13" i="91" s="1"/>
  <c r="R19" i="91" s="1"/>
  <c r="J8" i="91"/>
  <c r="J11" i="91" s="1"/>
  <c r="J13" i="91" s="1"/>
  <c r="J19" i="91" s="1"/>
  <c r="CG8" i="90"/>
  <c r="CG10" i="90" s="1"/>
  <c r="CG11" i="90" s="1"/>
  <c r="BY8" i="90"/>
  <c r="BY10" i="90" s="1"/>
  <c r="BY11" i="90" s="1"/>
  <c r="BQ8" i="90"/>
  <c r="BQ10" i="90" s="1"/>
  <c r="BQ11" i="90" s="1"/>
  <c r="BI8" i="90"/>
  <c r="BI10" i="90" s="1"/>
  <c r="BI11" i="90" s="1"/>
  <c r="BA8" i="90"/>
  <c r="BA10" i="90" s="1"/>
  <c r="BA11" i="90" s="1"/>
  <c r="AS8" i="90"/>
  <c r="AS10" i="90" s="1"/>
  <c r="AS11" i="90" s="1"/>
  <c r="AK8" i="90"/>
  <c r="AK10" i="90" s="1"/>
  <c r="AK11" i="90" s="1"/>
  <c r="AK16" i="90" s="1"/>
  <c r="AC8" i="90"/>
  <c r="AC10" i="90" s="1"/>
  <c r="AC11" i="90" s="1"/>
  <c r="AC16" i="90" s="1"/>
  <c r="U8" i="90"/>
  <c r="U10" i="90" s="1"/>
  <c r="U11" i="90" s="1"/>
  <c r="U16" i="90" s="1"/>
  <c r="M8" i="90"/>
  <c r="M10" i="90" s="1"/>
  <c r="M11" i="90" s="1"/>
  <c r="M16" i="90" s="1"/>
  <c r="CE8" i="89"/>
  <c r="CE10" i="89" s="1"/>
  <c r="CE11" i="89" s="1"/>
  <c r="BW8" i="89"/>
  <c r="BW10" i="89" s="1"/>
  <c r="BW11" i="89" s="1"/>
  <c r="BO8" i="89"/>
  <c r="BO10" i="89" s="1"/>
  <c r="BO11" i="89" s="1"/>
  <c r="BG8" i="89"/>
  <c r="BG10" i="89" s="1"/>
  <c r="BG11" i="89" s="1"/>
  <c r="AY8" i="89"/>
  <c r="AY10" i="89" s="1"/>
  <c r="AY11" i="89" s="1"/>
  <c r="AQ8" i="89"/>
  <c r="AQ10" i="89" s="1"/>
  <c r="AQ11" i="89" s="1"/>
  <c r="AI8" i="89"/>
  <c r="AI10" i="89" s="1"/>
  <c r="AI11" i="89" s="1"/>
  <c r="AI16" i="89" s="1"/>
  <c r="AI9" i="116" s="1"/>
  <c r="AI14" i="116" s="1"/>
  <c r="AA8" i="89"/>
  <c r="AA10" i="89" s="1"/>
  <c r="AA11" i="89" s="1"/>
  <c r="S8" i="89"/>
  <c r="S10" i="89" s="1"/>
  <c r="S11" i="89" s="1"/>
  <c r="K8" i="89"/>
  <c r="K10" i="89" s="1"/>
  <c r="K11" i="89" s="1"/>
  <c r="K16" i="89" s="1"/>
  <c r="K9" i="116" s="1"/>
  <c r="K14" i="116" s="1"/>
  <c r="CB8" i="89"/>
  <c r="CB10" i="89" s="1"/>
  <c r="CB11" i="89" s="1"/>
  <c r="BL8" i="89"/>
  <c r="BL10" i="89" s="1"/>
  <c r="BL11" i="89" s="1"/>
  <c r="AV8" i="89"/>
  <c r="AV10" i="89" s="1"/>
  <c r="AV11" i="89" s="1"/>
  <c r="AF8" i="89"/>
  <c r="AF10" i="89" s="1"/>
  <c r="AF11" i="89" s="1"/>
  <c r="AF16" i="89" s="1"/>
  <c r="AF9" i="116" s="1"/>
  <c r="AF14" i="116" s="1"/>
  <c r="BG9" i="91"/>
  <c r="BG12" i="91" s="1"/>
  <c r="BG14" i="91" s="1"/>
  <c r="BG20" i="91" s="1"/>
  <c r="CV95" i="22" s="1"/>
  <c r="AU9" i="91"/>
  <c r="AU12" i="91" s="1"/>
  <c r="AU14" i="91" s="1"/>
  <c r="BH8" i="91"/>
  <c r="BH11" i="91" s="1"/>
  <c r="BH13" i="91" s="1"/>
  <c r="BH19" i="91" s="1"/>
  <c r="T8" i="91"/>
  <c r="T11" i="91" s="1"/>
  <c r="T13" i="91" s="1"/>
  <c r="T19" i="91" s="1"/>
  <c r="BK8" i="90"/>
  <c r="BK10" i="90" s="1"/>
  <c r="BK11" i="90" s="1"/>
  <c r="AU8" i="90"/>
  <c r="AU10" i="90" s="1"/>
  <c r="AU11" i="90" s="1"/>
  <c r="W8" i="90"/>
  <c r="W10" i="90" s="1"/>
  <c r="W11" i="90" s="1"/>
  <c r="W16" i="90" s="1"/>
  <c r="BQ8" i="89"/>
  <c r="BQ10" i="89" s="1"/>
  <c r="BQ11" i="89" s="1"/>
  <c r="AC8" i="89"/>
  <c r="AC10" i="89" s="1"/>
  <c r="AC11" i="89" s="1"/>
  <c r="AC16" i="89" s="1"/>
  <c r="AC9" i="116" s="1"/>
  <c r="AC14" i="116" s="1"/>
  <c r="CD9" i="91"/>
  <c r="CD12" i="91" s="1"/>
  <c r="CD14" i="91" s="1"/>
  <c r="CD20" i="91" s="1"/>
  <c r="DS95" i="22" s="1"/>
  <c r="P9" i="91"/>
  <c r="P12" i="91" s="1"/>
  <c r="P14" i="91" s="1"/>
  <c r="P20" i="91" s="1"/>
  <c r="AV9" i="91"/>
  <c r="AV12" i="91" s="1"/>
  <c r="AV14" i="91" s="1"/>
  <c r="BG8" i="91"/>
  <c r="BG11" i="91" s="1"/>
  <c r="BG13" i="91" s="1"/>
  <c r="BG19" i="91" s="1"/>
  <c r="AA8" i="91"/>
  <c r="AA11" i="91" s="1"/>
  <c r="AA13" i="91" s="1"/>
  <c r="AA19" i="91" s="1"/>
  <c r="BR8" i="90"/>
  <c r="BR10" i="90" s="1"/>
  <c r="BR11" i="90" s="1"/>
  <c r="AL8" i="90"/>
  <c r="AL10" i="90" s="1"/>
  <c r="AL11" i="90" s="1"/>
  <c r="BX8" i="89"/>
  <c r="BX10" i="89" s="1"/>
  <c r="BX11" i="89" s="1"/>
  <c r="AZ8" i="89"/>
  <c r="AZ10" i="89" s="1"/>
  <c r="AZ11" i="89" s="1"/>
  <c r="AB8" i="89"/>
  <c r="AB10" i="89" s="1"/>
  <c r="AB11" i="89" s="1"/>
  <c r="AB16" i="89" s="1"/>
  <c r="AB9" i="116" s="1"/>
  <c r="AB14" i="116" s="1"/>
  <c r="CF9" i="91"/>
  <c r="CF12" i="91" s="1"/>
  <c r="CF14" i="91" s="1"/>
  <c r="CF20" i="91" s="1"/>
  <c r="DU95" i="22" s="1"/>
  <c r="BB9" i="91"/>
  <c r="BB12" i="91" s="1"/>
  <c r="BB14" i="91" s="1"/>
  <c r="BB20" i="91" s="1"/>
  <c r="CQ95" i="22" s="1"/>
  <c r="BJ9" i="91"/>
  <c r="BJ12" i="91" s="1"/>
  <c r="BJ14" i="91" s="1"/>
  <c r="BJ20" i="91" s="1"/>
  <c r="CY95" i="22" s="1"/>
  <c r="BR9" i="91"/>
  <c r="BR12" i="91" s="1"/>
  <c r="BR14" i="91" s="1"/>
  <c r="BR20" i="91" s="1"/>
  <c r="DG95" i="22" s="1"/>
  <c r="J9" i="91"/>
  <c r="J12" i="91" s="1"/>
  <c r="J14" i="91" s="1"/>
  <c r="J20" i="91" s="1"/>
  <c r="R9" i="91"/>
  <c r="R12" i="91" s="1"/>
  <c r="R14" i="91" s="1"/>
  <c r="R20" i="91" s="1"/>
  <c r="Z9" i="91"/>
  <c r="Z12" i="91" s="1"/>
  <c r="Z14" i="91" s="1"/>
  <c r="Z20" i="91" s="1"/>
  <c r="AH9" i="91"/>
  <c r="AH12" i="91" s="1"/>
  <c r="AH14" i="91" s="1"/>
  <c r="AH20" i="91" s="1"/>
  <c r="AP9" i="91"/>
  <c r="AP12" i="91" s="1"/>
  <c r="AP14" i="91" s="1"/>
  <c r="AP20" i="91" s="1"/>
  <c r="AX9" i="91"/>
  <c r="AX12" i="91" s="1"/>
  <c r="AX14" i="91" s="1"/>
  <c r="AX20" i="91" s="1"/>
  <c r="CM95" i="22" s="1"/>
  <c r="CK8" i="91"/>
  <c r="CK11" i="91" s="1"/>
  <c r="CK13" i="91" s="1"/>
  <c r="CK19" i="91" s="1"/>
  <c r="CC8" i="91"/>
  <c r="CC11" i="91" s="1"/>
  <c r="CC13" i="91" s="1"/>
  <c r="CC19" i="91" s="1"/>
  <c r="BU8" i="91"/>
  <c r="BU11" i="91" s="1"/>
  <c r="BU13" i="91" s="1"/>
  <c r="BU19" i="91" s="1"/>
  <c r="BM8" i="91"/>
  <c r="BM11" i="91" s="1"/>
  <c r="BM13" i="91" s="1"/>
  <c r="BM19" i="91" s="1"/>
  <c r="BE8" i="91"/>
  <c r="BE11" i="91" s="1"/>
  <c r="BE13" i="91" s="1"/>
  <c r="BE19" i="91" s="1"/>
  <c r="AW8" i="91"/>
  <c r="AW11" i="91" s="1"/>
  <c r="AW13" i="91" s="1"/>
  <c r="AW19" i="91" s="1"/>
  <c r="AO8" i="91"/>
  <c r="AO11" i="91" s="1"/>
  <c r="AO13" i="91" s="1"/>
  <c r="AO19" i="91" s="1"/>
  <c r="AG8" i="91"/>
  <c r="AG11" i="91" s="1"/>
  <c r="AG13" i="91" s="1"/>
  <c r="Y8" i="91"/>
  <c r="Y11" i="91" s="1"/>
  <c r="Y13" i="91" s="1"/>
  <c r="Y19" i="91" s="1"/>
  <c r="Q8" i="91"/>
  <c r="Q11" i="91" s="1"/>
  <c r="Q13" i="91" s="1"/>
  <c r="Q19" i="91" s="1"/>
  <c r="CF8" i="90"/>
  <c r="CF10" i="90" s="1"/>
  <c r="CF11" i="90" s="1"/>
  <c r="BX8" i="90"/>
  <c r="BX10" i="90" s="1"/>
  <c r="BX11" i="90" s="1"/>
  <c r="BP8" i="90"/>
  <c r="BP10" i="90" s="1"/>
  <c r="BP11" i="90" s="1"/>
  <c r="BH8" i="90"/>
  <c r="BH10" i="90" s="1"/>
  <c r="BH11" i="90" s="1"/>
  <c r="AZ8" i="90"/>
  <c r="AZ10" i="90" s="1"/>
  <c r="AZ11" i="90" s="1"/>
  <c r="AR8" i="90"/>
  <c r="AR10" i="90" s="1"/>
  <c r="AR11" i="90" s="1"/>
  <c r="AJ8" i="90"/>
  <c r="AJ10" i="90" s="1"/>
  <c r="AJ11" i="90" s="1"/>
  <c r="AJ16" i="90" s="1"/>
  <c r="AB8" i="90"/>
  <c r="AB10" i="90" s="1"/>
  <c r="AB11" i="90" s="1"/>
  <c r="AB16" i="90" s="1"/>
  <c r="T8" i="90"/>
  <c r="T10" i="90" s="1"/>
  <c r="T11" i="90" s="1"/>
  <c r="T16" i="90" s="1"/>
  <c r="L8" i="90"/>
  <c r="L10" i="90" s="1"/>
  <c r="L11" i="90" s="1"/>
  <c r="L16" i="90" s="1"/>
  <c r="CL8" i="89"/>
  <c r="CL10" i="89" s="1"/>
  <c r="CL11" i="89" s="1"/>
  <c r="CD8" i="89"/>
  <c r="CD10" i="89" s="1"/>
  <c r="CD11" i="89" s="1"/>
  <c r="BV8" i="89"/>
  <c r="BV10" i="89" s="1"/>
  <c r="BV11" i="89" s="1"/>
  <c r="BN8" i="89"/>
  <c r="BN10" i="89" s="1"/>
  <c r="BN11" i="89" s="1"/>
  <c r="BF8" i="89"/>
  <c r="BF10" i="89" s="1"/>
  <c r="BF11" i="89" s="1"/>
  <c r="AX8" i="89"/>
  <c r="AX10" i="89" s="1"/>
  <c r="AX11" i="89" s="1"/>
  <c r="AP8" i="89"/>
  <c r="AP10" i="89" s="1"/>
  <c r="AP11" i="89" s="1"/>
  <c r="AP16" i="89" s="1"/>
  <c r="AP9" i="116" s="1"/>
  <c r="AP14" i="116" s="1"/>
  <c r="AH8" i="89"/>
  <c r="AH10" i="89" s="1"/>
  <c r="AH11" i="89" s="1"/>
  <c r="AH16" i="89" s="1"/>
  <c r="AH9" i="116" s="1"/>
  <c r="AH14" i="116" s="1"/>
  <c r="Z8" i="89"/>
  <c r="Z10" i="89" s="1"/>
  <c r="Z11" i="89" s="1"/>
  <c r="Z16" i="89" s="1"/>
  <c r="Z9" i="116" s="1"/>
  <c r="Z14" i="116" s="1"/>
  <c r="R8" i="89"/>
  <c r="R10" i="89" s="1"/>
  <c r="R11" i="89" s="1"/>
  <c r="R16" i="89" s="1"/>
  <c r="R9" i="116" s="1"/>
  <c r="R14" i="116" s="1"/>
  <c r="J8" i="89"/>
  <c r="J10" i="89" s="1"/>
  <c r="J11" i="89" s="1"/>
  <c r="J16" i="89" s="1"/>
  <c r="J9" i="116" s="1"/>
  <c r="J14" i="116" s="1"/>
  <c r="R8" i="90"/>
  <c r="R10" i="90" s="1"/>
  <c r="R11" i="90" s="1"/>
  <c r="R16" i="90" s="1"/>
  <c r="BD8" i="89"/>
  <c r="BD10" i="89" s="1"/>
  <c r="BD11" i="89" s="1"/>
  <c r="X8" i="89"/>
  <c r="X10" i="89" s="1"/>
  <c r="X11" i="89" s="1"/>
  <c r="X16" i="89" s="1"/>
  <c r="X9" i="116" s="1"/>
  <c r="X14" i="116" s="1"/>
  <c r="CK9" i="91"/>
  <c r="CK12" i="91" s="1"/>
  <c r="CK14" i="91" s="1"/>
  <c r="CK20" i="91" s="1"/>
  <c r="DZ95" i="22" s="1"/>
  <c r="O9" i="91"/>
  <c r="O12" i="91" s="1"/>
  <c r="O14" i="91" s="1"/>
  <c r="O20" i="91" s="1"/>
  <c r="CF8" i="91"/>
  <c r="CF11" i="91" s="1"/>
  <c r="CF13" i="91" s="1"/>
  <c r="CF19" i="91" s="1"/>
  <c r="AZ8" i="91"/>
  <c r="AZ11" i="91" s="1"/>
  <c r="AZ13" i="91" s="1"/>
  <c r="AZ19" i="91" s="1"/>
  <c r="L8" i="91"/>
  <c r="L11" i="91" s="1"/>
  <c r="L13" i="91" s="1"/>
  <c r="L19" i="91" s="1"/>
  <c r="CA8" i="90"/>
  <c r="CA10" i="90" s="1"/>
  <c r="CA11" i="90" s="1"/>
  <c r="AE8" i="90"/>
  <c r="AE10" i="90" s="1"/>
  <c r="AE11" i="90" s="1"/>
  <c r="AE16" i="90" s="1"/>
  <c r="BY8" i="89"/>
  <c r="BY10" i="89" s="1"/>
  <c r="BY11" i="89" s="1"/>
  <c r="AS8" i="89"/>
  <c r="AS10" i="89" s="1"/>
  <c r="AS11" i="89" s="1"/>
  <c r="U8" i="89"/>
  <c r="U10" i="89" s="1"/>
  <c r="U11" i="89" s="1"/>
  <c r="U16" i="89" s="1"/>
  <c r="U9" i="116" s="1"/>
  <c r="U14" i="116" s="1"/>
  <c r="CL9" i="91"/>
  <c r="CL12" i="91" s="1"/>
  <c r="CL14" i="91" s="1"/>
  <c r="CL20" i="91" s="1"/>
  <c r="EA95" i="22" s="1"/>
  <c r="X9" i="91"/>
  <c r="X12" i="91" s="1"/>
  <c r="X14" i="91" s="1"/>
  <c r="X20" i="91" s="1"/>
  <c r="CE8" i="91"/>
  <c r="CE11" i="91" s="1"/>
  <c r="CE13" i="91" s="1"/>
  <c r="AQ8" i="91"/>
  <c r="AQ11" i="91" s="1"/>
  <c r="AQ13" i="91" s="1"/>
  <c r="AQ19" i="91" s="1"/>
  <c r="K8" i="91"/>
  <c r="K11" i="91" s="1"/>
  <c r="K13" i="91" s="1"/>
  <c r="K19" i="91" s="1"/>
  <c r="BB8" i="90"/>
  <c r="BB10" i="90" s="1"/>
  <c r="BB11" i="90" s="1"/>
  <c r="N8" i="90"/>
  <c r="N10" i="90" s="1"/>
  <c r="N11" i="90" s="1"/>
  <c r="N16" i="90" s="1"/>
  <c r="BH8" i="89"/>
  <c r="BH10" i="89" s="1"/>
  <c r="BH11" i="89" s="1"/>
  <c r="CG9" i="91"/>
  <c r="CG12" i="91" s="1"/>
  <c r="CG14" i="91" s="1"/>
  <c r="CG20" i="91" s="1"/>
  <c r="DV95" i="22" s="1"/>
  <c r="BC9" i="91"/>
  <c r="BC12" i="91" s="1"/>
  <c r="BC14" i="91" s="1"/>
  <c r="BC20" i="91" s="1"/>
  <c r="CR95" i="22" s="1"/>
  <c r="BK9" i="91"/>
  <c r="BK12" i="91" s="1"/>
  <c r="BK14" i="91" s="1"/>
  <c r="BK20" i="91" s="1"/>
  <c r="CZ95" i="22" s="1"/>
  <c r="BS9" i="91"/>
  <c r="BS12" i="91" s="1"/>
  <c r="BS14" i="91" s="1"/>
  <c r="BS20" i="91" s="1"/>
  <c r="DH95" i="22" s="1"/>
  <c r="K9" i="91"/>
  <c r="K12" i="91" s="1"/>
  <c r="K14" i="91" s="1"/>
  <c r="K20" i="91" s="1"/>
  <c r="S9" i="91"/>
  <c r="S12" i="91" s="1"/>
  <c r="S14" i="91" s="1"/>
  <c r="S20" i="91" s="1"/>
  <c r="AA9" i="91"/>
  <c r="AA12" i="91" s="1"/>
  <c r="AA14" i="91" s="1"/>
  <c r="AA20" i="91" s="1"/>
  <c r="AI9" i="91"/>
  <c r="AI12" i="91" s="1"/>
  <c r="AI14" i="91" s="1"/>
  <c r="AQ9" i="91"/>
  <c r="AQ12" i="91" s="1"/>
  <c r="AQ14" i="91" s="1"/>
  <c r="AQ20" i="91" s="1"/>
  <c r="AY9" i="91"/>
  <c r="AY12" i="91" s="1"/>
  <c r="AY14" i="91" s="1"/>
  <c r="CJ8" i="91"/>
  <c r="CJ11" i="91" s="1"/>
  <c r="CJ13" i="91" s="1"/>
  <c r="CJ19" i="91" s="1"/>
  <c r="CB8" i="91"/>
  <c r="CB11" i="91" s="1"/>
  <c r="CB13" i="91" s="1"/>
  <c r="CB19" i="91" s="1"/>
  <c r="BT8" i="91"/>
  <c r="BT11" i="91" s="1"/>
  <c r="BT13" i="91" s="1"/>
  <c r="BT19" i="91" s="1"/>
  <c r="BL8" i="91"/>
  <c r="BL11" i="91" s="1"/>
  <c r="BL13" i="91" s="1"/>
  <c r="BL19" i="91" s="1"/>
  <c r="BD8" i="91"/>
  <c r="BD11" i="91" s="1"/>
  <c r="BD13" i="91" s="1"/>
  <c r="BD19" i="91" s="1"/>
  <c r="AV8" i="91"/>
  <c r="AV11" i="91" s="1"/>
  <c r="AV13" i="91" s="1"/>
  <c r="AN8" i="91"/>
  <c r="AN11" i="91" s="1"/>
  <c r="AN13" i="91" s="1"/>
  <c r="AN19" i="91" s="1"/>
  <c r="AF8" i="91"/>
  <c r="AF11" i="91" s="1"/>
  <c r="AF13" i="91" s="1"/>
  <c r="X8" i="91"/>
  <c r="X11" i="91" s="1"/>
  <c r="X13" i="91" s="1"/>
  <c r="X19" i="91" s="1"/>
  <c r="P8" i="91"/>
  <c r="P11" i="91" s="1"/>
  <c r="P13" i="91" s="1"/>
  <c r="P19" i="91" s="1"/>
  <c r="CE8" i="90"/>
  <c r="CE10" i="90" s="1"/>
  <c r="CE11" i="90" s="1"/>
  <c r="BW8" i="90"/>
  <c r="BW10" i="90" s="1"/>
  <c r="BW11" i="90" s="1"/>
  <c r="BO8" i="90"/>
  <c r="BO10" i="90" s="1"/>
  <c r="BO11" i="90" s="1"/>
  <c r="BG8" i="90"/>
  <c r="BG10" i="90" s="1"/>
  <c r="BG11" i="90" s="1"/>
  <c r="AY8" i="90"/>
  <c r="AY10" i="90" s="1"/>
  <c r="AY11" i="90" s="1"/>
  <c r="AQ8" i="90"/>
  <c r="AQ10" i="90" s="1"/>
  <c r="AQ11" i="90" s="1"/>
  <c r="AQ16" i="90" s="1"/>
  <c r="AI8" i="90"/>
  <c r="AI10" i="90" s="1"/>
  <c r="AI11" i="90" s="1"/>
  <c r="AI16" i="90" s="1"/>
  <c r="AA8" i="90"/>
  <c r="AA10" i="90" s="1"/>
  <c r="AA11" i="90" s="1"/>
  <c r="AA16" i="90" s="1"/>
  <c r="S8" i="90"/>
  <c r="S10" i="90" s="1"/>
  <c r="S11" i="90" s="1"/>
  <c r="S16" i="90" s="1"/>
  <c r="K8" i="90"/>
  <c r="K10" i="90" s="1"/>
  <c r="K11" i="90" s="1"/>
  <c r="K16" i="90" s="1"/>
  <c r="CK8" i="89"/>
  <c r="CK10" i="89" s="1"/>
  <c r="CK11" i="89" s="1"/>
  <c r="CC8" i="89"/>
  <c r="CC10" i="89" s="1"/>
  <c r="CC11" i="89" s="1"/>
  <c r="BU8" i="89"/>
  <c r="BU10" i="89" s="1"/>
  <c r="BU11" i="89" s="1"/>
  <c r="BM8" i="89"/>
  <c r="BM10" i="89" s="1"/>
  <c r="BM11" i="89" s="1"/>
  <c r="BE8" i="89"/>
  <c r="BE10" i="89" s="1"/>
  <c r="BE11" i="89" s="1"/>
  <c r="AW8" i="89"/>
  <c r="AW10" i="89" s="1"/>
  <c r="AW11" i="89" s="1"/>
  <c r="AO8" i="89"/>
  <c r="AO10" i="89" s="1"/>
  <c r="AO11" i="89" s="1"/>
  <c r="AO16" i="89" s="1"/>
  <c r="AO9" i="116" s="1"/>
  <c r="AO14" i="116" s="1"/>
  <c r="AG8" i="89"/>
  <c r="AG10" i="89" s="1"/>
  <c r="AG11" i="89" s="1"/>
  <c r="AG16" i="89" s="1"/>
  <c r="AG9" i="116" s="1"/>
  <c r="AG14" i="116" s="1"/>
  <c r="Y8" i="89"/>
  <c r="Y10" i="89" s="1"/>
  <c r="Y11" i="89" s="1"/>
  <c r="Y16" i="89" s="1"/>
  <c r="Y9" i="116" s="1"/>
  <c r="Y14" i="116" s="1"/>
  <c r="Q8" i="89"/>
  <c r="Q10" i="89" s="1"/>
  <c r="Q11" i="89" s="1"/>
  <c r="Q16" i="89" s="1"/>
  <c r="Q9" i="116" s="1"/>
  <c r="Q14" i="116" s="1"/>
  <c r="I8" i="89"/>
  <c r="I10" i="89" s="1"/>
  <c r="I11" i="89" s="1"/>
  <c r="J8" i="90"/>
  <c r="J10" i="90" s="1"/>
  <c r="J11" i="90" s="1"/>
  <c r="J16" i="90" s="1"/>
  <c r="BT8" i="89"/>
  <c r="BT10" i="89" s="1"/>
  <c r="BT11" i="89" s="1"/>
  <c r="AN8" i="89"/>
  <c r="AN10" i="89" s="1"/>
  <c r="AN11" i="89" s="1"/>
  <c r="AN16" i="89" s="1"/>
  <c r="AN9" i="116" s="1"/>
  <c r="AN14" i="116" s="1"/>
  <c r="P8" i="89"/>
  <c r="P10" i="89" s="1"/>
  <c r="P11" i="89" s="1"/>
  <c r="P16" i="89" s="1"/>
  <c r="P9" i="116" s="1"/>
  <c r="P14" i="116" s="1"/>
  <c r="CC9" i="91"/>
  <c r="CC12" i="91" s="1"/>
  <c r="CC14" i="91" s="1"/>
  <c r="CC20" i="91" s="1"/>
  <c r="DR95" i="22" s="1"/>
  <c r="BW9" i="91"/>
  <c r="BW12" i="91" s="1"/>
  <c r="BW14" i="91" s="1"/>
  <c r="BW20" i="91" s="1"/>
  <c r="DL95" i="22" s="1"/>
  <c r="AM9" i="91"/>
  <c r="AM12" i="91" s="1"/>
  <c r="AM14" i="91" s="1"/>
  <c r="BP8" i="91"/>
  <c r="BP11" i="91" s="1"/>
  <c r="BP13" i="91" s="1"/>
  <c r="BP19" i="91" s="1"/>
  <c r="AB8" i="91"/>
  <c r="AB11" i="91" s="1"/>
  <c r="AB13" i="91" s="1"/>
  <c r="AB19" i="91" s="1"/>
  <c r="BS8" i="90"/>
  <c r="BS10" i="90" s="1"/>
  <c r="BS11" i="90" s="1"/>
  <c r="BC8" i="90"/>
  <c r="BC10" i="90" s="1"/>
  <c r="BC11" i="90" s="1"/>
  <c r="O8" i="90"/>
  <c r="O10" i="90" s="1"/>
  <c r="O11" i="90" s="1"/>
  <c r="O16" i="90" s="1"/>
  <c r="BI8" i="89"/>
  <c r="BI10" i="89" s="1"/>
  <c r="BI11" i="89" s="1"/>
  <c r="M8" i="89"/>
  <c r="M10" i="89" s="1"/>
  <c r="M11" i="89" s="1"/>
  <c r="BH9" i="91"/>
  <c r="BH12" i="91" s="1"/>
  <c r="BH14" i="91" s="1"/>
  <c r="BH20" i="91" s="1"/>
  <c r="CW95" i="22" s="1"/>
  <c r="BX9" i="91"/>
  <c r="BX12" i="91" s="1"/>
  <c r="BX14" i="91" s="1"/>
  <c r="BX20" i="91" s="1"/>
  <c r="DM95" i="22" s="1"/>
  <c r="AN9" i="91"/>
  <c r="AN12" i="91" s="1"/>
  <c r="AN14" i="91" s="1"/>
  <c r="AN20" i="91" s="1"/>
  <c r="BO8" i="91"/>
  <c r="BO11" i="91" s="1"/>
  <c r="BO13" i="91" s="1"/>
  <c r="BO19" i="91" s="1"/>
  <c r="S8" i="91"/>
  <c r="S11" i="91" s="1"/>
  <c r="S13" i="91" s="1"/>
  <c r="S19" i="91" s="1"/>
  <c r="BJ8" i="90"/>
  <c r="BJ10" i="90" s="1"/>
  <c r="BJ11" i="90" s="1"/>
  <c r="V8" i="90"/>
  <c r="V10" i="90" s="1"/>
  <c r="V11" i="90" s="1"/>
  <c r="V16" i="90" s="1"/>
  <c r="BP8" i="89"/>
  <c r="BP10" i="89" s="1"/>
  <c r="BP11" i="89" s="1"/>
  <c r="AR8" i="89"/>
  <c r="AR10" i="89" s="1"/>
  <c r="AR11" i="89" s="1"/>
  <c r="AR16" i="89" s="1"/>
  <c r="AR9" i="116" s="1"/>
  <c r="AR14" i="116" s="1"/>
  <c r="T8" i="89"/>
  <c r="T10" i="89" s="1"/>
  <c r="T11" i="89" s="1"/>
  <c r="BZ9" i="91"/>
  <c r="BZ12" i="91" s="1"/>
  <c r="BZ14" i="91" s="1"/>
  <c r="BZ20" i="91" s="1"/>
  <c r="DO95" i="22" s="1"/>
  <c r="CH9" i="91"/>
  <c r="CH12" i="91" s="1"/>
  <c r="CH14" i="91" s="1"/>
  <c r="CH20" i="91" s="1"/>
  <c r="DW95" i="22" s="1"/>
  <c r="BD9" i="91"/>
  <c r="BD12" i="91" s="1"/>
  <c r="BD14" i="91" s="1"/>
  <c r="BD20" i="91" s="1"/>
  <c r="CS95" i="22" s="1"/>
  <c r="BL9" i="91"/>
  <c r="BL12" i="91" s="1"/>
  <c r="BL14" i="91" s="1"/>
  <c r="BL20" i="91" s="1"/>
  <c r="DA95" i="22" s="1"/>
  <c r="BT9" i="91"/>
  <c r="BT12" i="91" s="1"/>
  <c r="BT14" i="91" s="1"/>
  <c r="BT20" i="91" s="1"/>
  <c r="DI95" i="22" s="1"/>
  <c r="L9" i="91"/>
  <c r="L12" i="91" s="1"/>
  <c r="L14" i="91" s="1"/>
  <c r="L20" i="91" s="1"/>
  <c r="T9" i="91"/>
  <c r="T12" i="91" s="1"/>
  <c r="T14" i="91" s="1"/>
  <c r="T20" i="91" s="1"/>
  <c r="AB9" i="91"/>
  <c r="AB12" i="91" s="1"/>
  <c r="AB14" i="91" s="1"/>
  <c r="AB20" i="91" s="1"/>
  <c r="AJ9" i="91"/>
  <c r="AJ12" i="91" s="1"/>
  <c r="AJ14" i="91" s="1"/>
  <c r="AJ20" i="91" s="1"/>
  <c r="AR9" i="91"/>
  <c r="AR12" i="91" s="1"/>
  <c r="AR14" i="91" s="1"/>
  <c r="AZ9" i="91"/>
  <c r="AZ12" i="91" s="1"/>
  <c r="AZ14" i="91" s="1"/>
  <c r="CI8" i="91"/>
  <c r="CI11" i="91" s="1"/>
  <c r="CI13" i="91" s="1"/>
  <c r="CI19" i="91" s="1"/>
  <c r="CA8" i="91"/>
  <c r="CA11" i="91" s="1"/>
  <c r="CA13" i="91" s="1"/>
  <c r="BS8" i="91"/>
  <c r="BS11" i="91" s="1"/>
  <c r="BS13" i="91" s="1"/>
  <c r="BS19" i="91" s="1"/>
  <c r="BK8" i="91"/>
  <c r="BK11" i="91" s="1"/>
  <c r="BK13" i="91" s="1"/>
  <c r="BK19" i="91" s="1"/>
  <c r="BC8" i="91"/>
  <c r="BC11" i="91" s="1"/>
  <c r="BC13" i="91" s="1"/>
  <c r="BC19" i="91" s="1"/>
  <c r="AU8" i="91"/>
  <c r="AU11" i="91" s="1"/>
  <c r="AU13" i="91" s="1"/>
  <c r="AM8" i="91"/>
  <c r="AM11" i="91" s="1"/>
  <c r="AM13" i="91" s="1"/>
  <c r="AE8" i="91"/>
  <c r="AE11" i="91" s="1"/>
  <c r="AE13" i="91" s="1"/>
  <c r="AE19" i="91" s="1"/>
  <c r="W8" i="91"/>
  <c r="W11" i="91" s="1"/>
  <c r="W13" i="91" s="1"/>
  <c r="W19" i="91" s="1"/>
  <c r="O8" i="91"/>
  <c r="O11" i="91" s="1"/>
  <c r="O13" i="91" s="1"/>
  <c r="O19" i="91" s="1"/>
  <c r="CL8" i="90"/>
  <c r="CL10" i="90" s="1"/>
  <c r="CL11" i="90" s="1"/>
  <c r="CD8" i="90"/>
  <c r="CD10" i="90" s="1"/>
  <c r="CD11" i="90" s="1"/>
  <c r="BV8" i="90"/>
  <c r="BV10" i="90" s="1"/>
  <c r="BV11" i="90" s="1"/>
  <c r="BN8" i="90"/>
  <c r="BN10" i="90" s="1"/>
  <c r="BN11" i="90" s="1"/>
  <c r="BF8" i="90"/>
  <c r="BF10" i="90" s="1"/>
  <c r="BF11" i="90" s="1"/>
  <c r="AX8" i="90"/>
  <c r="AX10" i="90" s="1"/>
  <c r="AX11" i="90" s="1"/>
  <c r="AP8" i="90"/>
  <c r="AP10" i="90" s="1"/>
  <c r="AP11" i="90" s="1"/>
  <c r="AP16" i="90" s="1"/>
  <c r="AH8" i="90"/>
  <c r="AH10" i="90" s="1"/>
  <c r="AH11" i="90" s="1"/>
  <c r="AH16" i="90" s="1"/>
  <c r="Z8" i="90"/>
  <c r="Z10" i="90" s="1"/>
  <c r="Z11" i="90" s="1"/>
  <c r="Z16" i="90" s="1"/>
  <c r="CJ8" i="89"/>
  <c r="CJ10" i="89" s="1"/>
  <c r="CJ11" i="89" s="1"/>
  <c r="W9" i="91"/>
  <c r="W12" i="91" s="1"/>
  <c r="W14" i="91" s="1"/>
  <c r="W20" i="91" s="1"/>
  <c r="CH8" i="90"/>
  <c r="CH10" i="90" s="1"/>
  <c r="CH11" i="90" s="1"/>
  <c r="CA9" i="91"/>
  <c r="CA12" i="91" s="1"/>
  <c r="CA14" i="91" s="1"/>
  <c r="CI9" i="91"/>
  <c r="CI12" i="91" s="1"/>
  <c r="CI14" i="91" s="1"/>
  <c r="CI20" i="91" s="1"/>
  <c r="DX95" i="22" s="1"/>
  <c r="BE9" i="91"/>
  <c r="BE12" i="91" s="1"/>
  <c r="BE14" i="91" s="1"/>
  <c r="BE20" i="91" s="1"/>
  <c r="CT95" i="22" s="1"/>
  <c r="BM9" i="91"/>
  <c r="BM12" i="91" s="1"/>
  <c r="BM14" i="91" s="1"/>
  <c r="BM20" i="91" s="1"/>
  <c r="DB95" i="22" s="1"/>
  <c r="BU9" i="91"/>
  <c r="BU12" i="91" s="1"/>
  <c r="BU14" i="91" s="1"/>
  <c r="BU20" i="91" s="1"/>
  <c r="DJ95" i="22" s="1"/>
  <c r="M9" i="91"/>
  <c r="M12" i="91" s="1"/>
  <c r="M14" i="91" s="1"/>
  <c r="M20" i="91" s="1"/>
  <c r="U9" i="91"/>
  <c r="U12" i="91" s="1"/>
  <c r="U14" i="91" s="1"/>
  <c r="U20" i="91" s="1"/>
  <c r="AC9" i="91"/>
  <c r="AC12" i="91" s="1"/>
  <c r="AC14" i="91" s="1"/>
  <c r="AC20" i="91" s="1"/>
  <c r="AK9" i="91"/>
  <c r="AK12" i="91" s="1"/>
  <c r="AK14" i="91" s="1"/>
  <c r="AK20" i="91" s="1"/>
  <c r="AS9" i="91"/>
  <c r="AS12" i="91" s="1"/>
  <c r="AS14" i="91" s="1"/>
  <c r="AS20" i="91" s="1"/>
  <c r="CH95" i="22" s="1"/>
  <c r="I9" i="91"/>
  <c r="I12" i="91" s="1"/>
  <c r="I14" i="91" s="1"/>
  <c r="I20" i="91" s="1"/>
  <c r="CH8" i="91"/>
  <c r="CH11" i="91" s="1"/>
  <c r="CH13" i="91" s="1"/>
  <c r="CH19" i="91" s="1"/>
  <c r="BZ8" i="91"/>
  <c r="BZ11" i="91" s="1"/>
  <c r="BZ13" i="91" s="1"/>
  <c r="BZ19" i="91" s="1"/>
  <c r="BR8" i="91"/>
  <c r="BR11" i="91" s="1"/>
  <c r="BR13" i="91" s="1"/>
  <c r="BR19" i="91" s="1"/>
  <c r="BJ8" i="91"/>
  <c r="BJ11" i="91" s="1"/>
  <c r="BJ13" i="91" s="1"/>
  <c r="BJ19" i="91" s="1"/>
  <c r="BB8" i="91"/>
  <c r="BB11" i="91" s="1"/>
  <c r="BB13" i="91" s="1"/>
  <c r="BB19" i="91" s="1"/>
  <c r="AT8" i="91"/>
  <c r="AT11" i="91" s="1"/>
  <c r="AT13" i="91" s="1"/>
  <c r="AT19" i="91" s="1"/>
  <c r="AL8" i="91"/>
  <c r="AL11" i="91" s="1"/>
  <c r="AL13" i="91" s="1"/>
  <c r="AL19" i="91" s="1"/>
  <c r="AD8" i="91"/>
  <c r="AD11" i="91" s="1"/>
  <c r="AD13" i="91" s="1"/>
  <c r="V8" i="91"/>
  <c r="V11" i="91" s="1"/>
  <c r="V13" i="91" s="1"/>
  <c r="V19" i="91" s="1"/>
  <c r="N8" i="91"/>
  <c r="N11" i="91" s="1"/>
  <c r="N13" i="91" s="1"/>
  <c r="N19" i="91" s="1"/>
  <c r="CK8" i="90"/>
  <c r="CK10" i="90" s="1"/>
  <c r="CK11" i="90" s="1"/>
  <c r="CC8" i="90"/>
  <c r="CC10" i="90" s="1"/>
  <c r="CC11" i="90" s="1"/>
  <c r="BU8" i="90"/>
  <c r="BU10" i="90" s="1"/>
  <c r="BU11" i="90" s="1"/>
  <c r="BM8" i="90"/>
  <c r="BM10" i="90" s="1"/>
  <c r="BM11" i="90" s="1"/>
  <c r="BE8" i="90"/>
  <c r="BE10" i="90" s="1"/>
  <c r="BE11" i="90" s="1"/>
  <c r="AW8" i="90"/>
  <c r="AW10" i="90" s="1"/>
  <c r="AW11" i="90" s="1"/>
  <c r="AO8" i="90"/>
  <c r="AO10" i="90" s="1"/>
  <c r="AO11" i="90" s="1"/>
  <c r="AO16" i="90" s="1"/>
  <c r="AG8" i="90"/>
  <c r="AG10" i="90" s="1"/>
  <c r="AG11" i="90" s="1"/>
  <c r="AG16" i="90" s="1"/>
  <c r="Y8" i="90"/>
  <c r="Y10" i="90" s="1"/>
  <c r="Y11" i="90" s="1"/>
  <c r="Y16" i="90" s="1"/>
  <c r="Q8" i="90"/>
  <c r="Q10" i="90" s="1"/>
  <c r="Q11" i="90" s="1"/>
  <c r="Q16" i="90" s="1"/>
  <c r="I8" i="90"/>
  <c r="I10" i="90" s="1"/>
  <c r="I11" i="90" s="1"/>
  <c r="I16" i="90" s="1"/>
  <c r="CI8" i="89"/>
  <c r="CI10" i="89" s="1"/>
  <c r="CI11" i="89" s="1"/>
  <c r="CA8" i="89"/>
  <c r="CA10" i="89" s="1"/>
  <c r="CA11" i="89" s="1"/>
  <c r="BS8" i="89"/>
  <c r="BS10" i="89" s="1"/>
  <c r="BS11" i="89" s="1"/>
  <c r="BK8" i="89"/>
  <c r="BK10" i="89" s="1"/>
  <c r="BK11" i="89" s="1"/>
  <c r="BC8" i="89"/>
  <c r="BC10" i="89" s="1"/>
  <c r="BC11" i="89" s="1"/>
  <c r="AU8" i="89"/>
  <c r="AU10" i="89" s="1"/>
  <c r="AU11" i="89" s="1"/>
  <c r="AM8" i="89"/>
  <c r="AM10" i="89" s="1"/>
  <c r="AM11" i="89" s="1"/>
  <c r="AM16" i="89" s="1"/>
  <c r="AM9" i="116" s="1"/>
  <c r="AM14" i="116" s="1"/>
  <c r="AE8" i="89"/>
  <c r="AE10" i="89" s="1"/>
  <c r="AE11" i="89" s="1"/>
  <c r="AE16" i="89" s="1"/>
  <c r="AE9" i="116" s="1"/>
  <c r="AE14" i="116" s="1"/>
  <c r="W8" i="89"/>
  <c r="W10" i="89" s="1"/>
  <c r="W11" i="89" s="1"/>
  <c r="O8" i="89"/>
  <c r="O10" i="89" s="1"/>
  <c r="O11" i="89" s="1"/>
  <c r="O16" i="89" s="1"/>
  <c r="O9" i="116" s="1"/>
  <c r="O14" i="116" s="1"/>
  <c r="P8" i="90"/>
  <c r="P10" i="90" s="1"/>
  <c r="P11" i="90" s="1"/>
  <c r="P16" i="90" s="1"/>
  <c r="BZ8" i="89"/>
  <c r="BZ10" i="89" s="1"/>
  <c r="BZ11" i="89" s="1"/>
  <c r="BJ8" i="89"/>
  <c r="BJ10" i="89" s="1"/>
  <c r="BJ11" i="89" s="1"/>
  <c r="BB8" i="89"/>
  <c r="BB10" i="89" s="1"/>
  <c r="BB11" i="89" s="1"/>
  <c r="AL8" i="89"/>
  <c r="AL10" i="89" s="1"/>
  <c r="AL11" i="89" s="1"/>
  <c r="AD8" i="89"/>
  <c r="AD10" i="89" s="1"/>
  <c r="AD11" i="89" s="1"/>
  <c r="AD16" i="89" s="1"/>
  <c r="AD9" i="116" s="1"/>
  <c r="AD14" i="116" s="1"/>
  <c r="V8" i="89"/>
  <c r="V10" i="89" s="1"/>
  <c r="V11" i="89" s="1"/>
  <c r="V16" i="89" s="1"/>
  <c r="V9" i="116" s="1"/>
  <c r="V14" i="116" s="1"/>
  <c r="BO9" i="91"/>
  <c r="BO12" i="91" s="1"/>
  <c r="BO14" i="91" s="1"/>
  <c r="BO20" i="91" s="1"/>
  <c r="DD95" i="22" s="1"/>
  <c r="AE9" i="91"/>
  <c r="AE12" i="91" s="1"/>
  <c r="AE14" i="91" s="1"/>
  <c r="AE20" i="91" s="1"/>
  <c r="BX8" i="91"/>
  <c r="BX11" i="91" s="1"/>
  <c r="BX13" i="91" s="1"/>
  <c r="BX19" i="91" s="1"/>
  <c r="AJ8" i="91"/>
  <c r="AJ11" i="91" s="1"/>
  <c r="AJ13" i="91" s="1"/>
  <c r="AJ19" i="91" s="1"/>
  <c r="CI8" i="90"/>
  <c r="CI10" i="90" s="1"/>
  <c r="CI11" i="90" s="1"/>
  <c r="AM8" i="90"/>
  <c r="AM10" i="90" s="1"/>
  <c r="AM11" i="90" s="1"/>
  <c r="AM16" i="90" s="1"/>
  <c r="CG8" i="89"/>
  <c r="CG10" i="89" s="1"/>
  <c r="CG11" i="89" s="1"/>
  <c r="BA8" i="89"/>
  <c r="BA10" i="89" s="1"/>
  <c r="BA11" i="89" s="1"/>
  <c r="AK8" i="89"/>
  <c r="AK10" i="89" s="1"/>
  <c r="AK11" i="89" s="1"/>
  <c r="BP9" i="91"/>
  <c r="BP12" i="91" s="1"/>
  <c r="BP14" i="91" s="1"/>
  <c r="BP20" i="91" s="1"/>
  <c r="DE95" i="22" s="1"/>
  <c r="AF9" i="91"/>
  <c r="AF12" i="91" s="1"/>
  <c r="AF14" i="91" s="1"/>
  <c r="BW8" i="91"/>
  <c r="BW11" i="91" s="1"/>
  <c r="BW13" i="91" s="1"/>
  <c r="BW19" i="91" s="1"/>
  <c r="AI8" i="91"/>
  <c r="AI11" i="91" s="1"/>
  <c r="AI13" i="91" s="1"/>
  <c r="BZ8" i="90"/>
  <c r="BZ10" i="90" s="1"/>
  <c r="BZ11" i="90" s="1"/>
  <c r="AT8" i="90"/>
  <c r="AT10" i="90" s="1"/>
  <c r="AT11" i="90" s="1"/>
  <c r="AD8" i="90"/>
  <c r="AD10" i="90" s="1"/>
  <c r="AD11" i="90" s="1"/>
  <c r="AD16" i="90" s="1"/>
  <c r="CF8" i="89"/>
  <c r="CF10" i="89" s="1"/>
  <c r="CF11" i="89" s="1"/>
  <c r="AJ8" i="89"/>
  <c r="AJ10" i="89" s="1"/>
  <c r="AJ11" i="89" s="1"/>
  <c r="L8" i="89"/>
  <c r="L10" i="89" s="1"/>
  <c r="L11" i="89" s="1"/>
  <c r="L16" i="89" s="1"/>
  <c r="L9" i="116" s="1"/>
  <c r="L14" i="116" s="1"/>
  <c r="CB9" i="91"/>
  <c r="CB12" i="91" s="1"/>
  <c r="CB14" i="91" s="1"/>
  <c r="CB20" i="91" s="1"/>
  <c r="DQ95" i="22" s="1"/>
  <c r="CJ9" i="91"/>
  <c r="CJ12" i="91" s="1"/>
  <c r="CJ14" i="91" s="1"/>
  <c r="CJ20" i="91" s="1"/>
  <c r="DY95" i="22" s="1"/>
  <c r="BF9" i="91"/>
  <c r="BF12" i="91" s="1"/>
  <c r="BF14" i="91" s="1"/>
  <c r="BF20" i="91" s="1"/>
  <c r="CU95" i="22" s="1"/>
  <c r="BN9" i="91"/>
  <c r="BN12" i="91" s="1"/>
  <c r="BN14" i="91" s="1"/>
  <c r="BN20" i="91" s="1"/>
  <c r="DC95" i="22" s="1"/>
  <c r="BV9" i="91"/>
  <c r="BV12" i="91" s="1"/>
  <c r="BV14" i="91" s="1"/>
  <c r="BV20" i="91" s="1"/>
  <c r="DK95" i="22" s="1"/>
  <c r="N9" i="91"/>
  <c r="N12" i="91" s="1"/>
  <c r="N14" i="91" s="1"/>
  <c r="N20" i="91" s="1"/>
  <c r="V9" i="91"/>
  <c r="V12" i="91" s="1"/>
  <c r="V14" i="91" s="1"/>
  <c r="V20" i="91" s="1"/>
  <c r="AD9" i="91"/>
  <c r="AD12" i="91" s="1"/>
  <c r="AD14" i="91" s="1"/>
  <c r="AL9" i="91"/>
  <c r="AL12" i="91" s="1"/>
  <c r="AL14" i="91" s="1"/>
  <c r="AL20" i="91" s="1"/>
  <c r="AT9" i="91"/>
  <c r="AT12" i="91" s="1"/>
  <c r="AT14" i="91" s="1"/>
  <c r="AT20" i="91" s="1"/>
  <c r="CI95" i="22" s="1"/>
  <c r="I8" i="91"/>
  <c r="CG8" i="91"/>
  <c r="CG11" i="91" s="1"/>
  <c r="CG13" i="91" s="1"/>
  <c r="CG19" i="91" s="1"/>
  <c r="BY8" i="91"/>
  <c r="BY11" i="91" s="1"/>
  <c r="BY13" i="91" s="1"/>
  <c r="BY19" i="91" s="1"/>
  <c r="BQ8" i="91"/>
  <c r="BQ11" i="91" s="1"/>
  <c r="BQ13" i="91" s="1"/>
  <c r="BQ19" i="91" s="1"/>
  <c r="BI8" i="91"/>
  <c r="BI11" i="91" s="1"/>
  <c r="BI13" i="91" s="1"/>
  <c r="BI19" i="91" s="1"/>
  <c r="BA8" i="91"/>
  <c r="BA11" i="91" s="1"/>
  <c r="BA13" i="91" s="1"/>
  <c r="BA19" i="91" s="1"/>
  <c r="AS8" i="91"/>
  <c r="AS11" i="91" s="1"/>
  <c r="AS13" i="91" s="1"/>
  <c r="AS19" i="91" s="1"/>
  <c r="AK8" i="91"/>
  <c r="AK11" i="91" s="1"/>
  <c r="AK13" i="91" s="1"/>
  <c r="AK19" i="91" s="1"/>
  <c r="AC8" i="91"/>
  <c r="AC11" i="91" s="1"/>
  <c r="AC13" i="91" s="1"/>
  <c r="AC19" i="91" s="1"/>
  <c r="U8" i="91"/>
  <c r="U11" i="91" s="1"/>
  <c r="U13" i="91" s="1"/>
  <c r="U19" i="91" s="1"/>
  <c r="M8" i="91"/>
  <c r="M11" i="91" s="1"/>
  <c r="M13" i="91" s="1"/>
  <c r="M19" i="91" s="1"/>
  <c r="CJ8" i="90"/>
  <c r="CJ10" i="90" s="1"/>
  <c r="CJ11" i="90" s="1"/>
  <c r="CB8" i="90"/>
  <c r="CB10" i="90" s="1"/>
  <c r="CB11" i="90" s="1"/>
  <c r="BT8" i="90"/>
  <c r="BT10" i="90" s="1"/>
  <c r="BT11" i="90" s="1"/>
  <c r="BL8" i="90"/>
  <c r="BL10" i="90" s="1"/>
  <c r="BL11" i="90" s="1"/>
  <c r="BD8" i="90"/>
  <c r="BD10" i="90" s="1"/>
  <c r="BD11" i="90" s="1"/>
  <c r="AV8" i="90"/>
  <c r="AV10" i="90" s="1"/>
  <c r="AV11" i="90" s="1"/>
  <c r="AN8" i="90"/>
  <c r="AN10" i="90" s="1"/>
  <c r="AN11" i="90" s="1"/>
  <c r="AN16" i="90" s="1"/>
  <c r="AF8" i="90"/>
  <c r="AF10" i="90" s="1"/>
  <c r="AF11" i="90" s="1"/>
  <c r="AF16" i="90" s="1"/>
  <c r="X8" i="90"/>
  <c r="X10" i="90" s="1"/>
  <c r="X11" i="90" s="1"/>
  <c r="X16" i="90" s="1"/>
  <c r="CH8" i="89"/>
  <c r="CH10" i="89" s="1"/>
  <c r="CH11" i="89" s="1"/>
  <c r="BR8" i="89"/>
  <c r="BR10" i="89" s="1"/>
  <c r="BR11" i="89" s="1"/>
  <c r="AT8" i="89"/>
  <c r="AT10" i="89" s="1"/>
  <c r="AT11" i="89" s="1"/>
  <c r="N8" i="89"/>
  <c r="N10" i="89" s="1"/>
  <c r="N11" i="89" s="1"/>
  <c r="N16" i="89" s="1"/>
  <c r="N9" i="116" s="1"/>
  <c r="N14" i="116" s="1"/>
  <c r="AR8" i="91"/>
  <c r="AR11" i="91" s="1"/>
  <c r="AR13" i="91" s="1"/>
  <c r="AY8" i="91"/>
  <c r="AY11" i="91" s="1"/>
  <c r="AY13" i="91" s="1"/>
  <c r="CE6" i="27"/>
  <c r="CE10" i="27" s="1"/>
  <c r="CF6" i="27"/>
  <c r="CF10" i="27" s="1"/>
  <c r="CE7" i="27"/>
  <c r="CE11" i="27" s="1"/>
  <c r="CD8" i="27"/>
  <c r="CD12" i="27" s="1"/>
  <c r="CL8" i="27"/>
  <c r="CL12" i="27" s="1"/>
  <c r="BM5" i="24"/>
  <c r="BM7" i="24" s="1"/>
  <c r="BM9" i="24" s="1"/>
  <c r="BM14" i="24" s="1"/>
  <c r="BU5" i="24"/>
  <c r="BU7" i="24" s="1"/>
  <c r="BU9" i="24" s="1"/>
  <c r="BU14" i="24" s="1"/>
  <c r="CC5" i="24"/>
  <c r="CC7" i="24" s="1"/>
  <c r="CC9" i="24" s="1"/>
  <c r="CC14" i="24" s="1"/>
  <c r="CK5" i="24"/>
  <c r="CK7" i="24" s="1"/>
  <c r="CK9" i="24" s="1"/>
  <c r="CK14" i="24" s="1"/>
  <c r="CJ7" i="23"/>
  <c r="CJ10" i="23" s="1"/>
  <c r="CH8" i="16"/>
  <c r="CH11" i="16" s="1"/>
  <c r="CJ6" i="26"/>
  <c r="CJ9" i="26" s="1"/>
  <c r="CJ8" i="25"/>
  <c r="CJ11" i="25" s="1"/>
  <c r="P5" i="24"/>
  <c r="P7" i="24" s="1"/>
  <c r="P9" i="24" s="1"/>
  <c r="X5" i="24"/>
  <c r="X7" i="24" s="1"/>
  <c r="X9" i="24" s="1"/>
  <c r="X14" i="24" s="1"/>
  <c r="AF5" i="24"/>
  <c r="AF7" i="24" s="1"/>
  <c r="AF9" i="24" s="1"/>
  <c r="AF14" i="24" s="1"/>
  <c r="AN5" i="24"/>
  <c r="AN7" i="24" s="1"/>
  <c r="AN9" i="24" s="1"/>
  <c r="AN14" i="24" s="1"/>
  <c r="AV5" i="24"/>
  <c r="AV7" i="24" s="1"/>
  <c r="AV9" i="24" s="1"/>
  <c r="AV14" i="24" s="1"/>
  <c r="BD5" i="24"/>
  <c r="BD7" i="24" s="1"/>
  <c r="BD9" i="24" s="1"/>
  <c r="BD14" i="24" s="1"/>
  <c r="CG6" i="27"/>
  <c r="CG10" i="27" s="1"/>
  <c r="CF7" i="27"/>
  <c r="CF11" i="27" s="1"/>
  <c r="CE8" i="27"/>
  <c r="CE12" i="27" s="1"/>
  <c r="CC8" i="27"/>
  <c r="CC12" i="27" s="1"/>
  <c r="BN5" i="24"/>
  <c r="BN7" i="24" s="1"/>
  <c r="BN9" i="24" s="1"/>
  <c r="BN14" i="24" s="1"/>
  <c r="BV5" i="24"/>
  <c r="BV7" i="24" s="1"/>
  <c r="BV9" i="24" s="1"/>
  <c r="BV14" i="24" s="1"/>
  <c r="CD5" i="24"/>
  <c r="CD7" i="24" s="1"/>
  <c r="CD9" i="24" s="1"/>
  <c r="CD14" i="24" s="1"/>
  <c r="BG5" i="24"/>
  <c r="BG7" i="24" s="1"/>
  <c r="BG9" i="24" s="1"/>
  <c r="BG14" i="24" s="1"/>
  <c r="CK7" i="23"/>
  <c r="CK10" i="23" s="1"/>
  <c r="CH6" i="20"/>
  <c r="CH9" i="20" s="1"/>
  <c r="CH6" i="2"/>
  <c r="CI8" i="16"/>
  <c r="CI11" i="16" s="1"/>
  <c r="CH5" i="26"/>
  <c r="CH8" i="26" s="1"/>
  <c r="CK6" i="26"/>
  <c r="CK9" i="26" s="1"/>
  <c r="CK8" i="25"/>
  <c r="CK11" i="25" s="1"/>
  <c r="Q5" i="24"/>
  <c r="Q7" i="24" s="1"/>
  <c r="Q9" i="24" s="1"/>
  <c r="Q14" i="24" s="1"/>
  <c r="Y5" i="24"/>
  <c r="Y7" i="24" s="1"/>
  <c r="Y9" i="24" s="1"/>
  <c r="Y14" i="24" s="1"/>
  <c r="AG5" i="24"/>
  <c r="AG7" i="24" s="1"/>
  <c r="AG9" i="24" s="1"/>
  <c r="AG14" i="24" s="1"/>
  <c r="AO5" i="24"/>
  <c r="AO7" i="24" s="1"/>
  <c r="AO9" i="24" s="1"/>
  <c r="AO14" i="24" s="1"/>
  <c r="AW5" i="24"/>
  <c r="AW7" i="24" s="1"/>
  <c r="AW9" i="24" s="1"/>
  <c r="BE5" i="24"/>
  <c r="BE7" i="24" s="1"/>
  <c r="BE9" i="24" s="1"/>
  <c r="BE14" i="24" s="1"/>
  <c r="CH6" i="27"/>
  <c r="CH10" i="27" s="1"/>
  <c r="CI6" i="27"/>
  <c r="CI10" i="27" s="1"/>
  <c r="CH7" i="27"/>
  <c r="CH11" i="27" s="1"/>
  <c r="CG8" i="27"/>
  <c r="CG12" i="27" s="1"/>
  <c r="BH5" i="24"/>
  <c r="BH7" i="24" s="1"/>
  <c r="BH9" i="24" s="1"/>
  <c r="BH14" i="24" s="1"/>
  <c r="BP5" i="24"/>
  <c r="BP7" i="24" s="1"/>
  <c r="BP9" i="24" s="1"/>
  <c r="BP14" i="24" s="1"/>
  <c r="BX5" i="24"/>
  <c r="BX7" i="24" s="1"/>
  <c r="BX9" i="24" s="1"/>
  <c r="BX14" i="24" s="1"/>
  <c r="CF5" i="24"/>
  <c r="CF7" i="24" s="1"/>
  <c r="CF9" i="24" s="1"/>
  <c r="CF14" i="24" s="1"/>
  <c r="CI6" i="23"/>
  <c r="CI9" i="23" s="1"/>
  <c r="CJ6" i="20"/>
  <c r="CJ9" i="20" s="1"/>
  <c r="CI6" i="19"/>
  <c r="CI9" i="19" s="1"/>
  <c r="CI11" i="19" s="1"/>
  <c r="CI16" i="19" s="1"/>
  <c r="CH7" i="41"/>
  <c r="CH10" i="41" s="1"/>
  <c r="CJ6" i="2"/>
  <c r="CJ10" i="2" s="1"/>
  <c r="CH5" i="7"/>
  <c r="CK8" i="16"/>
  <c r="CK11" i="16" s="1"/>
  <c r="CJ5" i="26"/>
  <c r="CJ8" i="26" s="1"/>
  <c r="CI7" i="25"/>
  <c r="CI10" i="25" s="1"/>
  <c r="S5" i="24"/>
  <c r="S7" i="24" s="1"/>
  <c r="S9" i="24" s="1"/>
  <c r="S14" i="24" s="1"/>
  <c r="AA5" i="24"/>
  <c r="AA7" i="24" s="1"/>
  <c r="AA9" i="24" s="1"/>
  <c r="AA14" i="24" s="1"/>
  <c r="AI5" i="24"/>
  <c r="AI7" i="24" s="1"/>
  <c r="AI9" i="24" s="1"/>
  <c r="AI14" i="24" s="1"/>
  <c r="AQ5" i="24"/>
  <c r="AQ7" i="24" s="1"/>
  <c r="AQ9" i="24" s="1"/>
  <c r="AY5" i="24"/>
  <c r="AY7" i="24" s="1"/>
  <c r="AY9" i="24" s="1"/>
  <c r="AY14" i="24" s="1"/>
  <c r="CJ6" i="27"/>
  <c r="CJ10" i="27" s="1"/>
  <c r="CI7" i="27"/>
  <c r="CI11" i="27" s="1"/>
  <c r="CH8" i="27"/>
  <c r="CH12" i="27" s="1"/>
  <c r="BI5" i="24"/>
  <c r="BI7" i="24" s="1"/>
  <c r="BI9" i="24" s="1"/>
  <c r="BI14" i="24" s="1"/>
  <c r="BQ5" i="24"/>
  <c r="BQ7" i="24" s="1"/>
  <c r="BQ9" i="24" s="1"/>
  <c r="BQ14" i="24" s="1"/>
  <c r="BY5" i="24"/>
  <c r="BY7" i="24" s="1"/>
  <c r="BY9" i="24" s="1"/>
  <c r="BY14" i="24" s="1"/>
  <c r="CG5" i="24"/>
  <c r="CG7" i="24" s="1"/>
  <c r="CG9" i="24" s="1"/>
  <c r="CG14" i="24" s="1"/>
  <c r="CJ6" i="23"/>
  <c r="CJ9" i="23" s="1"/>
  <c r="CH7" i="20"/>
  <c r="CH10" i="20" s="1"/>
  <c r="CJ6" i="19"/>
  <c r="CJ9" i="19" s="1"/>
  <c r="CJ11" i="19" s="1"/>
  <c r="CJ16" i="19" s="1"/>
  <c r="CI7" i="41"/>
  <c r="CI10" i="41" s="1"/>
  <c r="CH4" i="40"/>
  <c r="CH7" i="40" s="1"/>
  <c r="CH9" i="40" s="1"/>
  <c r="CH14" i="40" s="1"/>
  <c r="CK6" i="2"/>
  <c r="CI5" i="7"/>
  <c r="CH6" i="11"/>
  <c r="CH9" i="11" s="1"/>
  <c r="CH10" i="11" s="1"/>
  <c r="CH7" i="16"/>
  <c r="CH10" i="16" s="1"/>
  <c r="CK5" i="26"/>
  <c r="CK8" i="26" s="1"/>
  <c r="CJ7" i="25"/>
  <c r="CJ10" i="25" s="1"/>
  <c r="T5" i="24"/>
  <c r="T7" i="24" s="1"/>
  <c r="T9" i="24" s="1"/>
  <c r="T14" i="24" s="1"/>
  <c r="AB5" i="24"/>
  <c r="AB7" i="24" s="1"/>
  <c r="AB9" i="24" s="1"/>
  <c r="AB14" i="24" s="1"/>
  <c r="AJ5" i="24"/>
  <c r="AJ7" i="24" s="1"/>
  <c r="AJ9" i="24" s="1"/>
  <c r="CK6" i="27"/>
  <c r="CK10" i="27" s="1"/>
  <c r="CD6" i="27"/>
  <c r="CD10" i="27" s="1"/>
  <c r="CL6" i="27"/>
  <c r="CL10" i="27" s="1"/>
  <c r="CK7" i="27"/>
  <c r="CK11" i="27" s="1"/>
  <c r="CJ8" i="27"/>
  <c r="CJ12" i="27" s="1"/>
  <c r="BK5" i="24"/>
  <c r="BK7" i="24" s="1"/>
  <c r="BK9" i="24" s="1"/>
  <c r="BK14" i="24" s="1"/>
  <c r="BS5" i="24"/>
  <c r="BS7" i="24" s="1"/>
  <c r="BS9" i="24" s="1"/>
  <c r="BS14" i="24" s="1"/>
  <c r="CA5" i="24"/>
  <c r="CA7" i="24" s="1"/>
  <c r="CA9" i="24" s="1"/>
  <c r="CA14" i="24" s="1"/>
  <c r="CI5" i="24"/>
  <c r="CI7" i="24" s="1"/>
  <c r="CI9" i="24" s="1"/>
  <c r="CI14" i="24" s="1"/>
  <c r="CH7" i="23"/>
  <c r="CH10" i="23" s="1"/>
  <c r="CJ7" i="20"/>
  <c r="CJ10" i="20" s="1"/>
  <c r="CI7" i="19"/>
  <c r="CK7" i="41"/>
  <c r="CK10" i="41" s="1"/>
  <c r="CJ4" i="40"/>
  <c r="CJ7" i="40" s="1"/>
  <c r="CJ9" i="40" s="1"/>
  <c r="CJ14" i="40" s="1"/>
  <c r="CK5" i="7"/>
  <c r="CJ6" i="11"/>
  <c r="CJ9" i="11" s="1"/>
  <c r="CJ10" i="11" s="1"/>
  <c r="CJ15" i="11" s="1"/>
  <c r="CH6" i="26"/>
  <c r="CH9" i="26" s="1"/>
  <c r="CH8" i="25"/>
  <c r="CH11" i="25" s="1"/>
  <c r="N5" i="24"/>
  <c r="N7" i="24" s="1"/>
  <c r="N9" i="24" s="1"/>
  <c r="N14" i="24" s="1"/>
  <c r="V5" i="24"/>
  <c r="V7" i="24" s="1"/>
  <c r="V9" i="24" s="1"/>
  <c r="AD5" i="24"/>
  <c r="AD7" i="24" s="1"/>
  <c r="AD9" i="24" s="1"/>
  <c r="AD14" i="24" s="1"/>
  <c r="AL5" i="24"/>
  <c r="AL7" i="24" s="1"/>
  <c r="AL9" i="24" s="1"/>
  <c r="AL14" i="24" s="1"/>
  <c r="AT5" i="24"/>
  <c r="AT7" i="24" s="1"/>
  <c r="AT9" i="24" s="1"/>
  <c r="AT14" i="24" s="1"/>
  <c r="BB5" i="24"/>
  <c r="BB7" i="24" s="1"/>
  <c r="BB9" i="24" s="1"/>
  <c r="BB14" i="24" s="1"/>
  <c r="CC6" i="27"/>
  <c r="CC10" i="27" s="1"/>
  <c r="CB5" i="24"/>
  <c r="CB7" i="24" s="1"/>
  <c r="CB9" i="24" s="1"/>
  <c r="CB14" i="24" s="1"/>
  <c r="CI6" i="20"/>
  <c r="CI9" i="20" s="1"/>
  <c r="CI6" i="2"/>
  <c r="CI7" i="16"/>
  <c r="CI10" i="16" s="1"/>
  <c r="CI5" i="26"/>
  <c r="CI8" i="26" s="1"/>
  <c r="CI8" i="25"/>
  <c r="CI11" i="25" s="1"/>
  <c r="U5" i="24"/>
  <c r="U7" i="24" s="1"/>
  <c r="U9" i="24" s="1"/>
  <c r="AP5" i="24"/>
  <c r="AP7" i="24" s="1"/>
  <c r="AP9" i="24" s="1"/>
  <c r="AP14" i="24" s="1"/>
  <c r="BF5" i="24"/>
  <c r="BF7" i="24" s="1"/>
  <c r="BF9" i="24" s="1"/>
  <c r="BF14" i="24" s="1"/>
  <c r="BG8" i="27"/>
  <c r="BG12" i="27" s="1"/>
  <c r="BO8" i="27"/>
  <c r="BO12" i="27" s="1"/>
  <c r="BW8" i="27"/>
  <c r="BW12" i="27" s="1"/>
  <c r="BI6" i="27"/>
  <c r="BI10" i="27" s="1"/>
  <c r="BQ6" i="27"/>
  <c r="BQ10" i="27" s="1"/>
  <c r="BY6" i="27"/>
  <c r="BY10" i="27" s="1"/>
  <c r="K6" i="27"/>
  <c r="K10" i="27" s="1"/>
  <c r="S6" i="27"/>
  <c r="S10" i="27" s="1"/>
  <c r="AA6" i="27"/>
  <c r="AA10" i="27" s="1"/>
  <c r="AI6" i="27"/>
  <c r="AI10" i="27" s="1"/>
  <c r="AQ6" i="27"/>
  <c r="AQ10" i="27" s="1"/>
  <c r="AY6" i="27"/>
  <c r="AY10" i="27" s="1"/>
  <c r="L7" i="27"/>
  <c r="L11" i="27" s="1"/>
  <c r="T7" i="27"/>
  <c r="T11" i="27" s="1"/>
  <c r="AB7" i="27"/>
  <c r="AB11" i="27" s="1"/>
  <c r="AJ7" i="27"/>
  <c r="AJ11" i="27" s="1"/>
  <c r="AR7" i="27"/>
  <c r="AR11" i="27" s="1"/>
  <c r="AZ7" i="27"/>
  <c r="AZ11" i="27" s="1"/>
  <c r="BH7" i="27"/>
  <c r="BH11" i="27" s="1"/>
  <c r="BP7" i="27"/>
  <c r="BP11" i="27" s="1"/>
  <c r="BX7" i="27"/>
  <c r="BX11" i="27" s="1"/>
  <c r="L8" i="27"/>
  <c r="L12" i="27" s="1"/>
  <c r="T8" i="27"/>
  <c r="T12" i="27" s="1"/>
  <c r="AB8" i="27"/>
  <c r="AB12" i="27" s="1"/>
  <c r="AJ8" i="27"/>
  <c r="AJ12" i="27" s="1"/>
  <c r="AR8" i="27"/>
  <c r="AR12" i="27" s="1"/>
  <c r="AZ8" i="27"/>
  <c r="AZ12" i="27" s="1"/>
  <c r="CD7" i="27"/>
  <c r="CD11" i="27" s="1"/>
  <c r="BJ5" i="24"/>
  <c r="BJ7" i="24" s="1"/>
  <c r="BJ9" i="24" s="1"/>
  <c r="BJ14" i="24" s="1"/>
  <c r="CE5" i="24"/>
  <c r="CE7" i="24" s="1"/>
  <c r="CE9" i="24" s="1"/>
  <c r="CE14" i="24" s="1"/>
  <c r="CI7" i="20"/>
  <c r="CI10" i="20" s="1"/>
  <c r="CL5" i="26"/>
  <c r="CL8" i="26" s="1"/>
  <c r="W5" i="24"/>
  <c r="W7" i="24" s="1"/>
  <c r="W9" i="24" s="1"/>
  <c r="W14" i="24" s="1"/>
  <c r="AR5" i="24"/>
  <c r="AR7" i="24" s="1"/>
  <c r="AR9" i="24" s="1"/>
  <c r="AR14" i="24" s="1"/>
  <c r="BH8" i="27"/>
  <c r="BH12" i="27" s="1"/>
  <c r="BP8" i="27"/>
  <c r="BP12" i="27" s="1"/>
  <c r="BX8" i="27"/>
  <c r="BX12" i="27" s="1"/>
  <c r="BJ6" i="27"/>
  <c r="BJ10" i="27" s="1"/>
  <c r="BR6" i="27"/>
  <c r="BR10" i="27" s="1"/>
  <c r="BZ6" i="27"/>
  <c r="BZ10" i="27" s="1"/>
  <c r="L6" i="27"/>
  <c r="L10" i="27" s="1"/>
  <c r="T6" i="27"/>
  <c r="T10" i="27" s="1"/>
  <c r="AB6" i="27"/>
  <c r="AB10" i="27" s="1"/>
  <c r="AJ6" i="27"/>
  <c r="AJ10" i="27" s="1"/>
  <c r="AR6" i="27"/>
  <c r="AR10" i="27" s="1"/>
  <c r="AZ6" i="27"/>
  <c r="AZ10" i="27" s="1"/>
  <c r="M7" i="27"/>
  <c r="M11" i="27" s="1"/>
  <c r="U7" i="27"/>
  <c r="U11" i="27" s="1"/>
  <c r="AC7" i="27"/>
  <c r="AC11" i="27" s="1"/>
  <c r="AK7" i="27"/>
  <c r="AK11" i="27" s="1"/>
  <c r="AS7" i="27"/>
  <c r="AS11" i="27" s="1"/>
  <c r="BA7" i="27"/>
  <c r="BA11" i="27" s="1"/>
  <c r="BI7" i="27"/>
  <c r="BI11" i="27" s="1"/>
  <c r="BQ7" i="27"/>
  <c r="BQ11" i="27" s="1"/>
  <c r="BY7" i="27"/>
  <c r="BY11" i="27" s="1"/>
  <c r="M8" i="27"/>
  <c r="M12" i="27" s="1"/>
  <c r="U8" i="27"/>
  <c r="U12" i="27" s="1"/>
  <c r="AC8" i="27"/>
  <c r="AC12" i="27" s="1"/>
  <c r="AK8" i="27"/>
  <c r="AK12" i="27" s="1"/>
  <c r="AS8" i="27"/>
  <c r="AS12" i="27" s="1"/>
  <c r="BA8" i="27"/>
  <c r="BA12" i="27" s="1"/>
  <c r="CG7" i="27"/>
  <c r="CG11" i="27" s="1"/>
  <c r="BL5" i="24"/>
  <c r="BL7" i="24" s="1"/>
  <c r="BL9" i="24" s="1"/>
  <c r="BL14" i="24" s="1"/>
  <c r="CH5" i="24"/>
  <c r="CH7" i="24" s="1"/>
  <c r="CH9" i="24" s="1"/>
  <c r="CJ8" i="16"/>
  <c r="CJ11" i="16" s="1"/>
  <c r="CI6" i="26"/>
  <c r="CI9" i="26" s="1"/>
  <c r="Z5" i="24"/>
  <c r="Z7" i="24" s="1"/>
  <c r="Z9" i="24" s="1"/>
  <c r="Z14" i="24" s="1"/>
  <c r="AS5" i="24"/>
  <c r="AS7" i="24" s="1"/>
  <c r="AS9" i="24" s="1"/>
  <c r="AS14" i="24" s="1"/>
  <c r="BI8" i="27"/>
  <c r="BI12" i="27" s="1"/>
  <c r="BQ8" i="27"/>
  <c r="BQ12" i="27" s="1"/>
  <c r="BY8" i="27"/>
  <c r="BY12" i="27" s="1"/>
  <c r="BK6" i="27"/>
  <c r="BK10" i="27" s="1"/>
  <c r="BS6" i="27"/>
  <c r="BS10" i="27" s="1"/>
  <c r="CA6" i="27"/>
  <c r="CA10" i="27" s="1"/>
  <c r="M6" i="27"/>
  <c r="M10" i="27" s="1"/>
  <c r="U6" i="27"/>
  <c r="U10" i="27" s="1"/>
  <c r="AC6" i="27"/>
  <c r="AC10" i="27" s="1"/>
  <c r="AK6" i="27"/>
  <c r="AK10" i="27" s="1"/>
  <c r="AS6" i="27"/>
  <c r="AS10" i="27" s="1"/>
  <c r="BA6" i="27"/>
  <c r="BA10" i="27" s="1"/>
  <c r="N7" i="27"/>
  <c r="N11" i="27" s="1"/>
  <c r="V7" i="27"/>
  <c r="V11" i="27" s="1"/>
  <c r="AD7" i="27"/>
  <c r="AD11" i="27" s="1"/>
  <c r="AL7" i="27"/>
  <c r="AL11" i="27" s="1"/>
  <c r="AT7" i="27"/>
  <c r="AT11" i="27" s="1"/>
  <c r="BB7" i="27"/>
  <c r="BB11" i="27" s="1"/>
  <c r="BJ7" i="27"/>
  <c r="BJ11" i="27" s="1"/>
  <c r="BR7" i="27"/>
  <c r="BR11" i="27" s="1"/>
  <c r="BZ7" i="27"/>
  <c r="BZ11" i="27" s="1"/>
  <c r="N8" i="27"/>
  <c r="N12" i="27" s="1"/>
  <c r="V8" i="27"/>
  <c r="V12" i="27" s="1"/>
  <c r="AD8" i="27"/>
  <c r="AD12" i="27" s="1"/>
  <c r="AL8" i="27"/>
  <c r="AL12" i="27" s="1"/>
  <c r="AT8" i="27"/>
  <c r="AT12" i="27" s="1"/>
  <c r="BB8" i="27"/>
  <c r="BB12" i="27" s="1"/>
  <c r="CI8" i="27"/>
  <c r="CI12" i="27" s="1"/>
  <c r="BW5" i="24"/>
  <c r="BW7" i="24" s="1"/>
  <c r="BW9" i="24" s="1"/>
  <c r="BW14" i="24" s="1"/>
  <c r="CI7" i="23"/>
  <c r="CI10" i="23" s="1"/>
  <c r="CH7" i="25"/>
  <c r="CH10" i="25" s="1"/>
  <c r="O5" i="24"/>
  <c r="O7" i="24" s="1"/>
  <c r="O9" i="24" s="1"/>
  <c r="O14" i="24" s="1"/>
  <c r="AK5" i="24"/>
  <c r="AK7" i="24" s="1"/>
  <c r="AK9" i="24" s="1"/>
  <c r="BA5" i="24"/>
  <c r="BA7" i="24" s="1"/>
  <c r="BA9" i="24" s="1"/>
  <c r="BA14" i="24" s="1"/>
  <c r="BM8" i="27"/>
  <c r="BM12" i="27" s="1"/>
  <c r="BU8" i="27"/>
  <c r="BU12" i="27" s="1"/>
  <c r="BO6" i="27"/>
  <c r="BO10" i="27" s="1"/>
  <c r="BW6" i="27"/>
  <c r="BW10" i="27" s="1"/>
  <c r="BH6" i="27"/>
  <c r="BH10" i="27" s="1"/>
  <c r="Q6" i="27"/>
  <c r="Q10" i="27" s="1"/>
  <c r="Y6" i="27"/>
  <c r="Y10" i="27" s="1"/>
  <c r="AG6" i="27"/>
  <c r="AG10" i="27" s="1"/>
  <c r="AO6" i="27"/>
  <c r="AO10" i="27" s="1"/>
  <c r="AW6" i="27"/>
  <c r="AW10" i="27" s="1"/>
  <c r="BE6" i="27"/>
  <c r="BE10" i="27" s="1"/>
  <c r="R7" i="27"/>
  <c r="R11" i="27" s="1"/>
  <c r="Z7" i="27"/>
  <c r="Z11" i="27" s="1"/>
  <c r="AH7" i="27"/>
  <c r="AH11" i="27" s="1"/>
  <c r="AP7" i="27"/>
  <c r="AP11" i="27" s="1"/>
  <c r="AX7" i="27"/>
  <c r="AX11" i="27" s="1"/>
  <c r="BF7" i="27"/>
  <c r="BF11" i="27" s="1"/>
  <c r="BN7" i="27"/>
  <c r="BN11" i="27" s="1"/>
  <c r="BV7" i="27"/>
  <c r="BV11" i="27" s="1"/>
  <c r="R8" i="27"/>
  <c r="R12" i="27" s="1"/>
  <c r="Z8" i="27"/>
  <c r="Z12" i="27" s="1"/>
  <c r="AH8" i="27"/>
  <c r="AH12" i="27" s="1"/>
  <c r="AP8" i="27"/>
  <c r="AP12" i="27" s="1"/>
  <c r="AX8" i="27"/>
  <c r="AX12" i="27" s="1"/>
  <c r="BZ5" i="24"/>
  <c r="BZ7" i="24" s="1"/>
  <c r="BZ9" i="24" s="1"/>
  <c r="BZ14" i="24" s="1"/>
  <c r="AC5" i="24"/>
  <c r="AC7" i="24" s="1"/>
  <c r="AC9" i="24" s="1"/>
  <c r="AC14" i="24" s="1"/>
  <c r="BL8" i="27"/>
  <c r="BL12" i="27" s="1"/>
  <c r="CB8" i="27"/>
  <c r="CB12" i="27" s="1"/>
  <c r="BV6" i="27"/>
  <c r="BV10" i="27" s="1"/>
  <c r="P6" i="27"/>
  <c r="P10" i="27" s="1"/>
  <c r="AF6" i="27"/>
  <c r="AF10" i="27" s="1"/>
  <c r="AV6" i="27"/>
  <c r="AV10" i="27" s="1"/>
  <c r="Q7" i="27"/>
  <c r="Q11" i="27" s="1"/>
  <c r="AG7" i="27"/>
  <c r="AG11" i="27" s="1"/>
  <c r="AW7" i="27"/>
  <c r="AW11" i="27" s="1"/>
  <c r="BM7" i="27"/>
  <c r="BM11" i="27" s="1"/>
  <c r="CC7" i="27"/>
  <c r="CC11" i="27" s="1"/>
  <c r="Y8" i="27"/>
  <c r="Y12" i="27" s="1"/>
  <c r="AO8" i="27"/>
  <c r="AO12" i="27" s="1"/>
  <c r="BE8" i="27"/>
  <c r="BE12" i="27" s="1"/>
  <c r="CJ6" i="28"/>
  <c r="CJ9" i="28" s="1"/>
  <c r="CI7" i="30"/>
  <c r="CI11" i="30" s="1"/>
  <c r="CK8" i="29"/>
  <c r="CK12" i="29" s="1"/>
  <c r="CJ5" i="32"/>
  <c r="CJ10" i="32" s="1"/>
  <c r="CH5" i="35"/>
  <c r="CH9" i="35" s="1"/>
  <c r="CK8" i="38"/>
  <c r="CK12" i="38" s="1"/>
  <c r="CI5" i="44"/>
  <c r="CI8" i="44" s="1"/>
  <c r="CI7" i="39"/>
  <c r="CI9" i="39" s="1"/>
  <c r="CI10" i="39" s="1"/>
  <c r="CI8" i="51"/>
  <c r="CI12" i="51" s="1"/>
  <c r="CL7" i="50"/>
  <c r="CL11" i="50" s="1"/>
  <c r="CI8" i="49"/>
  <c r="CI10" i="49" s="1"/>
  <c r="CL7" i="55"/>
  <c r="CL11" i="55" s="1"/>
  <c r="CK7" i="52"/>
  <c r="CK11" i="52" s="1"/>
  <c r="CK7" i="48"/>
  <c r="CK9" i="48" s="1"/>
  <c r="CK7" i="58"/>
  <c r="CK12" i="58" s="1"/>
  <c r="CI8" i="60"/>
  <c r="CI10" i="60" s="1"/>
  <c r="CJ7" i="27"/>
  <c r="CJ11" i="27" s="1"/>
  <c r="CJ5" i="24"/>
  <c r="CJ7" i="24" s="1"/>
  <c r="CJ9" i="24" s="1"/>
  <c r="CJ14" i="24" s="1"/>
  <c r="AE5" i="24"/>
  <c r="AE7" i="24" s="1"/>
  <c r="AE9" i="24" s="1"/>
  <c r="AE14" i="24" s="1"/>
  <c r="BN8" i="27"/>
  <c r="BN12" i="27" s="1"/>
  <c r="BF8" i="27"/>
  <c r="BF12" i="27" s="1"/>
  <c r="BX6" i="27"/>
  <c r="BX10" i="27" s="1"/>
  <c r="R6" i="27"/>
  <c r="R10" i="27" s="1"/>
  <c r="AH6" i="27"/>
  <c r="AH10" i="27" s="1"/>
  <c r="AX6" i="27"/>
  <c r="AX10" i="27" s="1"/>
  <c r="S7" i="27"/>
  <c r="S11" i="27" s="1"/>
  <c r="AI7" i="27"/>
  <c r="AI11" i="27" s="1"/>
  <c r="AY7" i="27"/>
  <c r="AY11" i="27" s="1"/>
  <c r="BO7" i="27"/>
  <c r="BO11" i="27" s="1"/>
  <c r="K8" i="27"/>
  <c r="K12" i="27" s="1"/>
  <c r="AA8" i="27"/>
  <c r="AA12" i="27" s="1"/>
  <c r="AQ8" i="27"/>
  <c r="AQ12" i="27" s="1"/>
  <c r="CK6" i="28"/>
  <c r="CK9" i="28" s="1"/>
  <c r="CJ7" i="30"/>
  <c r="CJ11" i="30" s="1"/>
  <c r="CL8" i="29"/>
  <c r="CL12" i="29" s="1"/>
  <c r="CH4" i="32"/>
  <c r="CH9" i="32" s="1"/>
  <c r="CK5" i="32"/>
  <c r="CK10" i="32" s="1"/>
  <c r="CH5" i="45"/>
  <c r="CH9" i="45" s="1"/>
  <c r="CH11" i="45" s="1"/>
  <c r="CH16" i="45" s="1"/>
  <c r="CI5" i="35"/>
  <c r="CI9" i="35" s="1"/>
  <c r="CI9" i="38"/>
  <c r="CI13" i="38" s="1"/>
  <c r="CJ5" i="44"/>
  <c r="CJ8" i="44" s="1"/>
  <c r="CJ7" i="39"/>
  <c r="CJ9" i="39" s="1"/>
  <c r="CJ10" i="39" s="1"/>
  <c r="CJ8" i="51"/>
  <c r="CJ12" i="51" s="1"/>
  <c r="CJ8" i="49"/>
  <c r="CJ10" i="49" s="1"/>
  <c r="CM7" i="55"/>
  <c r="CM11" i="55" s="1"/>
  <c r="CI7" i="54"/>
  <c r="CI11" i="54" s="1"/>
  <c r="CI8" i="52"/>
  <c r="CI12" i="52" s="1"/>
  <c r="CI8" i="58"/>
  <c r="CI13" i="58" s="1"/>
  <c r="CJ8" i="60"/>
  <c r="CJ10" i="60" s="1"/>
  <c r="CI7" i="62"/>
  <c r="CI10" i="62" s="1"/>
  <c r="CJ7" i="63"/>
  <c r="CJ10" i="63" s="1"/>
  <c r="CL7" i="27"/>
  <c r="CL11" i="27" s="1"/>
  <c r="CH6" i="23"/>
  <c r="CH9" i="23" s="1"/>
  <c r="CH6" i="19"/>
  <c r="CH9" i="19" s="1"/>
  <c r="CH11" i="19" s="1"/>
  <c r="CH16" i="19" s="1"/>
  <c r="AH5" i="24"/>
  <c r="AH7" i="24" s="1"/>
  <c r="AH9" i="24" s="1"/>
  <c r="AH14" i="24" s="1"/>
  <c r="BR8" i="27"/>
  <c r="BR12" i="27" s="1"/>
  <c r="BL6" i="27"/>
  <c r="BL10" i="27" s="1"/>
  <c r="CB6" i="27"/>
  <c r="CB10" i="27" s="1"/>
  <c r="V6" i="27"/>
  <c r="V10" i="27" s="1"/>
  <c r="AL6" i="27"/>
  <c r="AL10" i="27" s="1"/>
  <c r="BB6" i="27"/>
  <c r="BB10" i="27" s="1"/>
  <c r="W7" i="27"/>
  <c r="W11" i="27" s="1"/>
  <c r="AM7" i="27"/>
  <c r="AM11" i="27" s="1"/>
  <c r="BC7" i="27"/>
  <c r="BC11" i="27" s="1"/>
  <c r="BS7" i="27"/>
  <c r="BS11" i="27" s="1"/>
  <c r="O8" i="27"/>
  <c r="O12" i="27" s="1"/>
  <c r="AE8" i="27"/>
  <c r="AE12" i="27" s="1"/>
  <c r="AU8" i="27"/>
  <c r="AU12" i="27" s="1"/>
  <c r="CH7" i="28"/>
  <c r="CH10" i="28" s="1"/>
  <c r="CH4" i="31"/>
  <c r="CH9" i="31" s="1"/>
  <c r="CI4" i="32"/>
  <c r="CI9" i="32" s="1"/>
  <c r="CL5" i="32"/>
  <c r="CL10" i="32" s="1"/>
  <c r="CI5" i="45"/>
  <c r="CI9" i="45" s="1"/>
  <c r="CI11" i="45" s="1"/>
  <c r="CI16" i="45" s="1"/>
  <c r="CJ5" i="35"/>
  <c r="CJ9" i="35" s="1"/>
  <c r="CJ9" i="38"/>
  <c r="CJ13" i="38" s="1"/>
  <c r="CK5" i="44"/>
  <c r="CK8" i="44" s="1"/>
  <c r="CK7" i="39"/>
  <c r="CK9" i="39" s="1"/>
  <c r="CK10" i="39" s="1"/>
  <c r="CK8" i="51"/>
  <c r="CK12" i="51" s="1"/>
  <c r="CK8" i="49"/>
  <c r="CK10" i="49" s="1"/>
  <c r="CI7" i="46"/>
  <c r="CI9" i="46" s="1"/>
  <c r="CI10" i="46" s="1"/>
  <c r="CI15" i="46" s="1"/>
  <c r="CI8" i="55"/>
  <c r="CI12" i="55" s="1"/>
  <c r="CJ7" i="54"/>
  <c r="CJ11" i="54" s="1"/>
  <c r="CJ8" i="52"/>
  <c r="CJ12" i="52" s="1"/>
  <c r="CJ8" i="58"/>
  <c r="CJ13" i="58" s="1"/>
  <c r="CK8" i="60"/>
  <c r="CK10" i="60" s="1"/>
  <c r="CJ7" i="62"/>
  <c r="CJ10" i="62" s="1"/>
  <c r="CK7" i="63"/>
  <c r="CK10" i="63" s="1"/>
  <c r="BR5" i="24"/>
  <c r="BR7" i="24" s="1"/>
  <c r="BR9" i="24" s="1"/>
  <c r="BR14" i="24" s="1"/>
  <c r="CJ5" i="7"/>
  <c r="CK7" i="25"/>
  <c r="CK10" i="25" s="1"/>
  <c r="M5" i="24"/>
  <c r="M7" i="24" s="1"/>
  <c r="M9" i="24" s="1"/>
  <c r="AZ5" i="24"/>
  <c r="AZ7" i="24" s="1"/>
  <c r="AZ9" i="24" s="1"/>
  <c r="AZ14" i="24" s="1"/>
  <c r="BJ8" i="27"/>
  <c r="BJ12" i="27" s="1"/>
  <c r="BZ8" i="27"/>
  <c r="BZ12" i="27" s="1"/>
  <c r="BT6" i="27"/>
  <c r="BT10" i="27" s="1"/>
  <c r="N6" i="27"/>
  <c r="N10" i="27" s="1"/>
  <c r="AD6" i="27"/>
  <c r="AD10" i="27" s="1"/>
  <c r="AT6" i="27"/>
  <c r="AT10" i="27" s="1"/>
  <c r="O7" i="27"/>
  <c r="O11" i="27" s="1"/>
  <c r="AE7" i="27"/>
  <c r="AE11" i="27" s="1"/>
  <c r="AU7" i="27"/>
  <c r="AU11" i="27" s="1"/>
  <c r="BK7" i="27"/>
  <c r="BK11" i="27" s="1"/>
  <c r="CA7" i="27"/>
  <c r="CA11" i="27" s="1"/>
  <c r="W8" i="27"/>
  <c r="W12" i="27" s="1"/>
  <c r="AM8" i="27"/>
  <c r="AM12" i="27" s="1"/>
  <c r="BC8" i="27"/>
  <c r="BC12" i="27" s="1"/>
  <c r="CH6" i="28"/>
  <c r="CH9" i="28" s="1"/>
  <c r="CI6" i="30"/>
  <c r="CI10" i="30" s="1"/>
  <c r="CH5" i="32"/>
  <c r="CH10" i="32" s="1"/>
  <c r="CK6" i="32"/>
  <c r="CK11" i="32" s="1"/>
  <c r="CM5" i="45"/>
  <c r="CM9" i="45" s="1"/>
  <c r="CM11" i="45" s="1"/>
  <c r="CM16" i="45" s="1"/>
  <c r="CJ4" i="35"/>
  <c r="CJ8" i="35" s="1"/>
  <c r="CI8" i="38"/>
  <c r="CI12" i="38" s="1"/>
  <c r="CJ4" i="44"/>
  <c r="CJ7" i="44" s="1"/>
  <c r="CJ7" i="50"/>
  <c r="CJ11" i="50" s="1"/>
  <c r="CK7" i="49"/>
  <c r="CK11" i="49" s="1"/>
  <c r="CJ7" i="55"/>
  <c r="CJ11" i="55" s="1"/>
  <c r="CM8" i="55"/>
  <c r="CM12" i="55" s="1"/>
  <c r="CK8" i="54"/>
  <c r="CK12" i="54" s="1"/>
  <c r="CI7" i="52"/>
  <c r="CI11" i="52" s="1"/>
  <c r="CI7" i="48"/>
  <c r="CI9" i="48" s="1"/>
  <c r="CI7" i="58"/>
  <c r="CI12" i="58" s="1"/>
  <c r="CK7" i="61"/>
  <c r="CK10" i="61" s="1"/>
  <c r="CK12" i="61" s="1"/>
  <c r="CK13" i="61" s="1"/>
  <c r="CK14" i="61" s="1"/>
  <c r="CK15" i="61" s="1"/>
  <c r="CK18" i="61" s="1"/>
  <c r="CK20" i="61" s="1"/>
  <c r="CK8" i="62"/>
  <c r="CK11" i="62" s="1"/>
  <c r="CL6" i="26"/>
  <c r="CL9" i="26" s="1"/>
  <c r="AX5" i="24"/>
  <c r="AX7" i="24" s="1"/>
  <c r="AX9" i="24" s="1"/>
  <c r="AX14" i="24" s="1"/>
  <c r="BK8" i="27"/>
  <c r="BK12" i="27" s="1"/>
  <c r="BU6" i="27"/>
  <c r="BU10" i="27" s="1"/>
  <c r="AE6" i="27"/>
  <c r="AE10" i="27" s="1"/>
  <c r="P7" i="27"/>
  <c r="P11" i="27" s="1"/>
  <c r="AV7" i="27"/>
  <c r="AV11" i="27" s="1"/>
  <c r="CB7" i="27"/>
  <c r="CB11" i="27" s="1"/>
  <c r="AN8" i="27"/>
  <c r="AN12" i="27" s="1"/>
  <c r="CJ6" i="30"/>
  <c r="CJ10" i="30" s="1"/>
  <c r="CI5" i="32"/>
  <c r="CI10" i="32" s="1"/>
  <c r="CK5" i="45"/>
  <c r="CK9" i="45" s="1"/>
  <c r="CK11" i="45" s="1"/>
  <c r="CK16" i="45" s="1"/>
  <c r="CH4" i="35"/>
  <c r="CH8" i="35" s="1"/>
  <c r="CL8" i="51"/>
  <c r="CL12" i="51" s="1"/>
  <c r="CL8" i="55"/>
  <c r="CL12" i="55" s="1"/>
  <c r="CK7" i="54"/>
  <c r="CK11" i="54" s="1"/>
  <c r="CL7" i="63"/>
  <c r="CL10" i="63" s="1"/>
  <c r="CL8" i="66"/>
  <c r="CL11" i="66" s="1"/>
  <c r="CJ8" i="70"/>
  <c r="CK11" i="70"/>
  <c r="CK20" i="70" s="1"/>
  <c r="CL7" i="73"/>
  <c r="CL10" i="73" s="1"/>
  <c r="CK7" i="74"/>
  <c r="CK9" i="74" s="1"/>
  <c r="CK11" i="74" s="1"/>
  <c r="CK16" i="74" s="1"/>
  <c r="CK8" i="79"/>
  <c r="CK11" i="79" s="1"/>
  <c r="CK7" i="81"/>
  <c r="CK10" i="81" s="1"/>
  <c r="CI7" i="82"/>
  <c r="CI10" i="82" s="1"/>
  <c r="CI12" i="82" s="1"/>
  <c r="CI17" i="82" s="1"/>
  <c r="CK7" i="88"/>
  <c r="CK10" i="88" s="1"/>
  <c r="CK12" i="88" s="1"/>
  <c r="CK17" i="88" s="1"/>
  <c r="CK7" i="36"/>
  <c r="CK10" i="36" s="1"/>
  <c r="CM8" i="36"/>
  <c r="CM11" i="36" s="1"/>
  <c r="CK7" i="14"/>
  <c r="CK10" i="14" s="1"/>
  <c r="CD14" i="13"/>
  <c r="CH7" i="19"/>
  <c r="AU6" i="27"/>
  <c r="AU10" i="27" s="1"/>
  <c r="BD8" i="27"/>
  <c r="BD12" i="27" s="1"/>
  <c r="CL7" i="46"/>
  <c r="CL9" i="46" s="1"/>
  <c r="CL10" i="46" s="1"/>
  <c r="CL15" i="46" s="1"/>
  <c r="CL8" i="73"/>
  <c r="CL11" i="73" s="1"/>
  <c r="CK7" i="77"/>
  <c r="CK10" i="77" s="1"/>
  <c r="CK11" i="77" s="1"/>
  <c r="CK16" i="77" s="1"/>
  <c r="CI8" i="36"/>
  <c r="CI11" i="36" s="1"/>
  <c r="CJ7" i="19"/>
  <c r="BM6" i="27"/>
  <c r="BM10" i="27" s="1"/>
  <c r="AN7" i="27"/>
  <c r="AN11" i="27" s="1"/>
  <c r="AF8" i="27"/>
  <c r="AF12" i="27" s="1"/>
  <c r="CK8" i="58"/>
  <c r="CK13" i="58" s="1"/>
  <c r="CI8" i="66"/>
  <c r="CI11" i="66" s="1"/>
  <c r="CK7" i="79"/>
  <c r="CK10" i="79" s="1"/>
  <c r="CH7" i="36"/>
  <c r="CH10" i="36" s="1"/>
  <c r="AM5" i="24"/>
  <c r="AM7" i="24" s="1"/>
  <c r="AM9" i="24" s="1"/>
  <c r="BD6" i="27"/>
  <c r="BD10" i="27" s="1"/>
  <c r="AG8" i="27"/>
  <c r="AG12" i="27" s="1"/>
  <c r="CF8" i="27"/>
  <c r="CF12" i="27" s="1"/>
  <c r="BC5" i="24"/>
  <c r="BC7" i="24" s="1"/>
  <c r="BC9" i="24" s="1"/>
  <c r="BC14" i="24" s="1"/>
  <c r="BS8" i="27"/>
  <c r="BS12" i="27" s="1"/>
  <c r="AM6" i="27"/>
  <c r="AM10" i="27" s="1"/>
  <c r="X7" i="27"/>
  <c r="X11" i="27" s="1"/>
  <c r="BD7" i="27"/>
  <c r="BD11" i="27" s="1"/>
  <c r="P8" i="27"/>
  <c r="P12" i="27" s="1"/>
  <c r="AV8" i="27"/>
  <c r="AV12" i="27" s="1"/>
  <c r="CI6" i="28"/>
  <c r="CI9" i="28" s="1"/>
  <c r="CH6" i="32"/>
  <c r="CH11" i="32" s="1"/>
  <c r="CL5" i="45"/>
  <c r="CL9" i="45" s="1"/>
  <c r="CL11" i="45" s="1"/>
  <c r="CL16" i="45" s="1"/>
  <c r="CI4" i="35"/>
  <c r="CI8" i="35" s="1"/>
  <c r="CI8" i="54"/>
  <c r="CI12" i="54" s="1"/>
  <c r="CL8" i="60"/>
  <c r="CL10" i="60" s="1"/>
  <c r="CI7" i="61"/>
  <c r="CI10" i="61" s="1"/>
  <c r="CI12" i="61" s="1"/>
  <c r="CI13" i="61" s="1"/>
  <c r="CI14" i="61" s="1"/>
  <c r="CI15" i="61" s="1"/>
  <c r="CI18" i="61" s="1"/>
  <c r="CI20" i="61" s="1"/>
  <c r="CI7" i="66"/>
  <c r="CI10" i="66" s="1"/>
  <c r="CK8" i="70"/>
  <c r="CI12" i="70"/>
  <c r="CI8" i="73"/>
  <c r="CI11" i="73" s="1"/>
  <c r="CL7" i="74"/>
  <c r="CL9" i="74" s="1"/>
  <c r="CL11" i="74" s="1"/>
  <c r="CL16" i="74" s="1"/>
  <c r="CK7" i="75"/>
  <c r="CK9" i="75" s="1"/>
  <c r="CK11" i="75" s="1"/>
  <c r="CK16" i="75" s="1"/>
  <c r="CI7" i="76"/>
  <c r="CI10" i="76" s="1"/>
  <c r="CG7" i="77"/>
  <c r="CG10" i="77" s="1"/>
  <c r="CG11" i="77" s="1"/>
  <c r="CG16" i="77" s="1"/>
  <c r="CL7" i="81"/>
  <c r="CL10" i="81" s="1"/>
  <c r="CJ7" i="82"/>
  <c r="CJ10" i="82" s="1"/>
  <c r="CJ12" i="82" s="1"/>
  <c r="CJ17" i="82" s="1"/>
  <c r="CK7" i="85"/>
  <c r="CK10" i="85" s="1"/>
  <c r="CK12" i="85" s="1"/>
  <c r="CK17" i="85" s="1"/>
  <c r="CL7" i="88"/>
  <c r="CL10" i="88" s="1"/>
  <c r="CL12" i="88" s="1"/>
  <c r="CL17" i="88" s="1"/>
  <c r="CL7" i="36"/>
  <c r="CL10" i="36" s="1"/>
  <c r="CH6" i="14"/>
  <c r="CH9" i="14" s="1"/>
  <c r="CE14" i="13"/>
  <c r="CI4" i="40"/>
  <c r="CI7" i="40" s="1"/>
  <c r="CI9" i="40" s="1"/>
  <c r="CI14" i="40" s="1"/>
  <c r="AF7" i="27"/>
  <c r="AF11" i="27" s="1"/>
  <c r="CL6" i="32"/>
  <c r="CL11" i="32" s="1"/>
  <c r="CI7" i="55"/>
  <c r="CI11" i="55" s="1"/>
  <c r="CJ7" i="67"/>
  <c r="CJ10" i="67" s="1"/>
  <c r="CJ13" i="67" s="1"/>
  <c r="CJ18" i="67" s="1"/>
  <c r="CI8" i="76"/>
  <c r="CI11" i="76" s="1"/>
  <c r="CK8" i="81"/>
  <c r="CK11" i="81" s="1"/>
  <c r="CH14" i="13"/>
  <c r="W6" i="27"/>
  <c r="W10" i="27" s="1"/>
  <c r="BC6" i="27"/>
  <c r="BC10" i="27" s="1"/>
  <c r="BT7" i="27"/>
  <c r="BT11" i="27" s="1"/>
  <c r="CJ4" i="32"/>
  <c r="CJ9" i="32" s="1"/>
  <c r="CJ7" i="49"/>
  <c r="CJ11" i="49" s="1"/>
  <c r="CK7" i="55"/>
  <c r="CK11" i="55" s="1"/>
  <c r="CJ7" i="70"/>
  <c r="CJ17" i="70" s="1"/>
  <c r="CI7" i="73"/>
  <c r="CI10" i="73" s="1"/>
  <c r="CJ8" i="76"/>
  <c r="CJ11" i="76" s="1"/>
  <c r="CH7" i="81"/>
  <c r="CH10" i="81" s="1"/>
  <c r="CJ8" i="36"/>
  <c r="CJ11" i="36" s="1"/>
  <c r="CH7" i="14"/>
  <c r="CH10" i="14" s="1"/>
  <c r="CI14" i="13"/>
  <c r="X6" i="27"/>
  <c r="X10" i="27" s="1"/>
  <c r="BU7" i="27"/>
  <c r="BU11" i="27" s="1"/>
  <c r="CK8" i="27"/>
  <c r="CK12" i="27" s="1"/>
  <c r="CI6" i="11"/>
  <c r="CI9" i="11" s="1"/>
  <c r="CI10" i="11" s="1"/>
  <c r="CI15" i="11" s="1"/>
  <c r="BT8" i="27"/>
  <c r="BT12" i="27" s="1"/>
  <c r="BG6" i="27"/>
  <c r="BG10" i="27" s="1"/>
  <c r="AN6" i="27"/>
  <c r="AN10" i="27" s="1"/>
  <c r="Y7" i="27"/>
  <c r="Y11" i="27" s="1"/>
  <c r="BE7" i="27"/>
  <c r="BE11" i="27" s="1"/>
  <c r="Q8" i="27"/>
  <c r="Q12" i="27" s="1"/>
  <c r="AW8" i="27"/>
  <c r="AW12" i="27" s="1"/>
  <c r="CI7" i="28"/>
  <c r="CI10" i="28" s="1"/>
  <c r="CI6" i="32"/>
  <c r="CI11" i="32" s="1"/>
  <c r="CN5" i="45"/>
  <c r="CN9" i="45" s="1"/>
  <c r="CN11" i="45" s="1"/>
  <c r="CN16" i="45" s="1"/>
  <c r="CJ8" i="38"/>
  <c r="CJ12" i="38" s="1"/>
  <c r="CJ7" i="46"/>
  <c r="CJ9" i="46" s="1"/>
  <c r="CJ10" i="46" s="1"/>
  <c r="CJ15" i="46" s="1"/>
  <c r="CJ8" i="54"/>
  <c r="CJ12" i="54" s="1"/>
  <c r="CJ7" i="52"/>
  <c r="CJ11" i="52" s="1"/>
  <c r="CJ7" i="61"/>
  <c r="CJ10" i="61" s="1"/>
  <c r="CJ12" i="61" s="1"/>
  <c r="CJ13" i="61" s="1"/>
  <c r="CJ14" i="61" s="1"/>
  <c r="CJ15" i="61" s="1"/>
  <c r="CJ18" i="61" s="1"/>
  <c r="CJ20" i="61" s="1"/>
  <c r="CJ7" i="66"/>
  <c r="CJ10" i="66" s="1"/>
  <c r="CJ12" i="70"/>
  <c r="CJ8" i="73"/>
  <c r="CJ11" i="73" s="1"/>
  <c r="CJ7" i="76"/>
  <c r="CJ10" i="76" s="1"/>
  <c r="CI7" i="77"/>
  <c r="CI10" i="77" s="1"/>
  <c r="CI11" i="77" s="1"/>
  <c r="CI16" i="77" s="1"/>
  <c r="CH7" i="79"/>
  <c r="CH10" i="79" s="1"/>
  <c r="CI8" i="81"/>
  <c r="CI11" i="81" s="1"/>
  <c r="CK7" i="82"/>
  <c r="CK10" i="82" s="1"/>
  <c r="CK12" i="82" s="1"/>
  <c r="CK17" i="82" s="1"/>
  <c r="CJ7" i="85"/>
  <c r="CJ10" i="85" s="1"/>
  <c r="CJ12" i="85" s="1"/>
  <c r="CJ17" i="85" s="1"/>
  <c r="CM7" i="36"/>
  <c r="CM10" i="36" s="1"/>
  <c r="CI6" i="14"/>
  <c r="CI9" i="14" s="1"/>
  <c r="CF14" i="13"/>
  <c r="CA8" i="27"/>
  <c r="CA12" i="27" s="1"/>
  <c r="BL7" i="27"/>
  <c r="BL11" i="27" s="1"/>
  <c r="CJ4" i="31"/>
  <c r="CJ9" i="31" s="1"/>
  <c r="CL7" i="39"/>
  <c r="CL9" i="39" s="1"/>
  <c r="CL10" i="39" s="1"/>
  <c r="CK6" i="23"/>
  <c r="CK9" i="23" s="1"/>
  <c r="CI4" i="44"/>
  <c r="CI7" i="44" s="1"/>
  <c r="CK7" i="62"/>
  <c r="CK10" i="62" s="1"/>
  <c r="CK7" i="67"/>
  <c r="CK10" i="67" s="1"/>
  <c r="CK13" i="67" s="1"/>
  <c r="CK18" i="67" s="1"/>
  <c r="CI7" i="75"/>
  <c r="CI9" i="75" s="1"/>
  <c r="CI11" i="75" s="1"/>
  <c r="CI16" i="75" s="1"/>
  <c r="CL7" i="77"/>
  <c r="CL10" i="77" s="1"/>
  <c r="CL11" i="77" s="1"/>
  <c r="CL16" i="77" s="1"/>
  <c r="BN6" i="27"/>
  <c r="BN10" i="27" s="1"/>
  <c r="AO7" i="27"/>
  <c r="AO11" i="27" s="1"/>
  <c r="CK4" i="32"/>
  <c r="CK9" i="32" s="1"/>
  <c r="BO5" i="24"/>
  <c r="BO7" i="24" s="1"/>
  <c r="BO9" i="24" s="1"/>
  <c r="BO14" i="24" s="1"/>
  <c r="CK6" i="11"/>
  <c r="CK9" i="11" s="1"/>
  <c r="CK10" i="11" s="1"/>
  <c r="CK15" i="11" s="1"/>
  <c r="BV8" i="27"/>
  <c r="BV12" i="27" s="1"/>
  <c r="BF6" i="27"/>
  <c r="BF10" i="27" s="1"/>
  <c r="AP6" i="27"/>
  <c r="AP10" i="27" s="1"/>
  <c r="AA7" i="27"/>
  <c r="AA11" i="27" s="1"/>
  <c r="BG7" i="27"/>
  <c r="BG11" i="27" s="1"/>
  <c r="S8" i="27"/>
  <c r="S12" i="27" s="1"/>
  <c r="AY8" i="27"/>
  <c r="AY12" i="27" s="1"/>
  <c r="CJ7" i="28"/>
  <c r="CJ10" i="28" s="1"/>
  <c r="CI4" i="31"/>
  <c r="CI9" i="31" s="1"/>
  <c r="CJ6" i="32"/>
  <c r="CJ11" i="32" s="1"/>
  <c r="CK9" i="38"/>
  <c r="CK13" i="38" s="1"/>
  <c r="CK7" i="46"/>
  <c r="CK9" i="46" s="1"/>
  <c r="CK10" i="46" s="1"/>
  <c r="CK15" i="46" s="1"/>
  <c r="CK8" i="52"/>
  <c r="CK12" i="52" s="1"/>
  <c r="CK7" i="66"/>
  <c r="CK10" i="66" s="1"/>
  <c r="CI7" i="67"/>
  <c r="CI10" i="67" s="1"/>
  <c r="CI13" i="67" s="1"/>
  <c r="CI18" i="67" s="1"/>
  <c r="CK12" i="70"/>
  <c r="CK8" i="73"/>
  <c r="CK11" i="73" s="1"/>
  <c r="CK7" i="76"/>
  <c r="CK10" i="76" s="1"/>
  <c r="CJ7" i="77"/>
  <c r="CJ10" i="77" s="1"/>
  <c r="CJ11" i="77" s="1"/>
  <c r="CJ16" i="77" s="1"/>
  <c r="CI7" i="79"/>
  <c r="CI10" i="79" s="1"/>
  <c r="CJ8" i="81"/>
  <c r="CJ11" i="81" s="1"/>
  <c r="CH8" i="36"/>
  <c r="CH11" i="36" s="1"/>
  <c r="CJ6" i="14"/>
  <c r="CJ9" i="14" s="1"/>
  <c r="CG14" i="13"/>
  <c r="BT5" i="24"/>
  <c r="BT7" i="24" s="1"/>
  <c r="BT9" i="24" s="1"/>
  <c r="BT14" i="24" s="1"/>
  <c r="CJ7" i="41"/>
  <c r="CJ10" i="41" s="1"/>
  <c r="O6" i="27"/>
  <c r="O10" i="27" s="1"/>
  <c r="X8" i="27"/>
  <c r="X12" i="27" s="1"/>
  <c r="CK7" i="28"/>
  <c r="CK10" i="28" s="1"/>
  <c r="CI7" i="49"/>
  <c r="CI11" i="49" s="1"/>
  <c r="CJ7" i="58"/>
  <c r="CJ12" i="58" s="1"/>
  <c r="CL7" i="66"/>
  <c r="CL10" i="66" s="1"/>
  <c r="CI7" i="70"/>
  <c r="CI17" i="70" s="1"/>
  <c r="CJ7" i="79"/>
  <c r="CJ10" i="79" s="1"/>
  <c r="CK6" i="14"/>
  <c r="CK9" i="14" s="1"/>
  <c r="R5" i="24"/>
  <c r="R7" i="24" s="1"/>
  <c r="R9" i="24" s="1"/>
  <c r="R14" i="24" s="1"/>
  <c r="CL8" i="81"/>
  <c r="CL11" i="81" s="1"/>
  <c r="BP6" i="27"/>
  <c r="BP10" i="27" s="1"/>
  <c r="CK7" i="50"/>
  <c r="CK11" i="50" s="1"/>
  <c r="CL8" i="49"/>
  <c r="CL10" i="49" s="1"/>
  <c r="CJ8" i="62"/>
  <c r="CJ11" i="62" s="1"/>
  <c r="CK8" i="66"/>
  <c r="CK11" i="66" s="1"/>
  <c r="CI11" i="70"/>
  <c r="CI20" i="70" s="1"/>
  <c r="CI8" i="79"/>
  <c r="CI11" i="79" s="1"/>
  <c r="CJ8" i="55"/>
  <c r="CJ12" i="55" s="1"/>
  <c r="CL8" i="36"/>
  <c r="CL11" i="36" s="1"/>
  <c r="Z6" i="27"/>
  <c r="Z10" i="27" s="1"/>
  <c r="CJ7" i="48"/>
  <c r="CJ9" i="48" s="1"/>
  <c r="CL7" i="67"/>
  <c r="CL10" i="67" s="1"/>
  <c r="CL13" i="67" s="1"/>
  <c r="CL18" i="67" s="1"/>
  <c r="CJ11" i="70"/>
  <c r="CJ20" i="70" s="1"/>
  <c r="CK8" i="76"/>
  <c r="CK11" i="76" s="1"/>
  <c r="CJ8" i="79"/>
  <c r="CJ11" i="79" s="1"/>
  <c r="CI7" i="36"/>
  <c r="CI10" i="36" s="1"/>
  <c r="CJ5" i="45"/>
  <c r="CJ9" i="45" s="1"/>
  <c r="CJ11" i="45" s="1"/>
  <c r="CJ16" i="45" s="1"/>
  <c r="AI8" i="27"/>
  <c r="AI12" i="27" s="1"/>
  <c r="CI7" i="81"/>
  <c r="CI10" i="81" s="1"/>
  <c r="K7" i="27"/>
  <c r="K11" i="27" s="1"/>
  <c r="CI7" i="74"/>
  <c r="CI9" i="74" s="1"/>
  <c r="CI11" i="74" s="1"/>
  <c r="CI16" i="74" s="1"/>
  <c r="CJ7" i="36"/>
  <c r="CJ10" i="36" s="1"/>
  <c r="AQ7" i="27"/>
  <c r="AQ11" i="27" s="1"/>
  <c r="CJ7" i="74"/>
  <c r="CJ9" i="74" s="1"/>
  <c r="CJ11" i="74" s="1"/>
  <c r="CJ16" i="74" s="1"/>
  <c r="CK8" i="36"/>
  <c r="CK11" i="36" s="1"/>
  <c r="BW7" i="27"/>
  <c r="BW11" i="27" s="1"/>
  <c r="CL4" i="32"/>
  <c r="CL9" i="32" s="1"/>
  <c r="CI7" i="88"/>
  <c r="CI10" i="88" s="1"/>
  <c r="CI12" i="88" s="1"/>
  <c r="CI17" i="88" s="1"/>
  <c r="AU5" i="24"/>
  <c r="AU7" i="24" s="1"/>
  <c r="AU9" i="24" s="1"/>
  <c r="AU14" i="24" s="1"/>
  <c r="CJ7" i="88"/>
  <c r="CJ10" i="88" s="1"/>
  <c r="CJ12" i="88" s="1"/>
  <c r="CJ17" i="88" s="1"/>
  <c r="CK7" i="70"/>
  <c r="CK17" i="70" s="1"/>
  <c r="CJ7" i="73"/>
  <c r="CJ10" i="73" s="1"/>
  <c r="CJ7" i="75"/>
  <c r="CJ9" i="75" s="1"/>
  <c r="CJ11" i="75" s="1"/>
  <c r="CJ16" i="75" s="1"/>
  <c r="CJ7" i="81"/>
  <c r="CJ10" i="81" s="1"/>
  <c r="CJ7" i="14"/>
  <c r="CJ10" i="14" s="1"/>
  <c r="CJ14" i="13"/>
  <c r="CK4" i="44"/>
  <c r="CK7" i="44" s="1"/>
  <c r="CI7" i="50"/>
  <c r="CI11" i="50" s="1"/>
  <c r="CL7" i="49"/>
  <c r="CL11" i="49" s="1"/>
  <c r="CI8" i="62"/>
  <c r="CI11" i="62" s="1"/>
  <c r="CI7" i="63"/>
  <c r="CI10" i="63" s="1"/>
  <c r="CJ8" i="66"/>
  <c r="CJ11" i="66" s="1"/>
  <c r="CI8" i="70"/>
  <c r="CK7" i="73"/>
  <c r="CK10" i="73" s="1"/>
  <c r="CK8" i="55"/>
  <c r="CK12" i="55" s="1"/>
  <c r="CI7" i="14"/>
  <c r="CI10" i="14" s="1"/>
  <c r="CH6" i="30"/>
  <c r="CH10" i="30" s="1"/>
  <c r="CG5" i="57"/>
  <c r="CG8" i="57" s="1"/>
  <c r="CI6" i="57"/>
  <c r="CI9" i="57" s="1"/>
  <c r="CH8" i="29"/>
  <c r="CH12" i="29" s="1"/>
  <c r="CH6" i="57"/>
  <c r="CH9" i="57" s="1"/>
  <c r="CJ6" i="57"/>
  <c r="CJ9" i="57" s="1"/>
  <c r="CI8" i="29"/>
  <c r="CI12" i="29" s="1"/>
  <c r="CK6" i="57"/>
  <c r="CK9" i="57" s="1"/>
  <c r="CJ8" i="29"/>
  <c r="CJ12" i="29" s="1"/>
  <c r="CL5" i="57"/>
  <c r="CL8" i="57" s="1"/>
  <c r="CH7" i="30"/>
  <c r="CH11" i="30" s="1"/>
  <c r="CH5" i="57"/>
  <c r="CH8" i="57" s="1"/>
  <c r="CI5" i="57"/>
  <c r="CI8" i="57" s="1"/>
  <c r="CL6" i="57"/>
  <c r="CL9" i="57" s="1"/>
  <c r="CJ5" i="57"/>
  <c r="CJ8" i="57" s="1"/>
  <c r="CK5" i="57"/>
  <c r="CK8" i="57" s="1"/>
  <c r="CF7" i="41"/>
  <c r="CF10" i="41" s="1"/>
  <c r="CG7" i="41"/>
  <c r="CG10" i="41" s="1"/>
  <c r="CA10" i="34"/>
  <c r="CB10" i="34"/>
  <c r="CG10" i="34"/>
  <c r="CC10" i="34"/>
  <c r="BZ10" i="34"/>
  <c r="CD10" i="34"/>
  <c r="CE10" i="34"/>
  <c r="CF10" i="34"/>
  <c r="BY10" i="34"/>
  <c r="BV10" i="34"/>
  <c r="BX10" i="34"/>
  <c r="BW10" i="34"/>
  <c r="BQ10" i="34"/>
  <c r="BR10" i="34"/>
  <c r="BS10" i="34"/>
  <c r="BT10" i="34"/>
  <c r="BU10" i="34"/>
  <c r="BO10" i="34"/>
  <c r="BP10" i="34"/>
  <c r="BM10" i="34"/>
  <c r="BL10" i="34"/>
  <c r="BN10" i="34"/>
  <c r="BK10" i="34"/>
  <c r="BJ10" i="34"/>
  <c r="BI10" i="34"/>
  <c r="BG10" i="34"/>
  <c r="BH10" i="34"/>
  <c r="CB12" i="32"/>
  <c r="CC12" i="32"/>
  <c r="CG12" i="32"/>
  <c r="CD12" i="32"/>
  <c r="CE12" i="32"/>
  <c r="CF12" i="32"/>
  <c r="CA12" i="32"/>
  <c r="BW12" i="32"/>
  <c r="BX12" i="32"/>
  <c r="BY12" i="32"/>
  <c r="BZ12" i="32"/>
  <c r="BV12" i="32"/>
  <c r="BQ12" i="32"/>
  <c r="BR12" i="32"/>
  <c r="BS12" i="32"/>
  <c r="BU12" i="32"/>
  <c r="BT12" i="32"/>
  <c r="BN12" i="32"/>
  <c r="BO12" i="32"/>
  <c r="BP12" i="32"/>
  <c r="BK12" i="32"/>
  <c r="BL12" i="32"/>
  <c r="BM12" i="32"/>
  <c r="BJ12" i="32"/>
  <c r="BF12" i="32"/>
  <c r="BD12" i="32"/>
  <c r="BE12" i="32"/>
  <c r="BI12" i="32"/>
  <c r="BG12" i="32"/>
  <c r="BH12" i="32"/>
  <c r="F10" i="7"/>
  <c r="BW7" i="88"/>
  <c r="BW10" i="88" s="1"/>
  <c r="BW12" i="88" s="1"/>
  <c r="BW17" i="88" s="1"/>
  <c r="BX7" i="88"/>
  <c r="BX10" i="88" s="1"/>
  <c r="BX12" i="88" s="1"/>
  <c r="BX17" i="88" s="1"/>
  <c r="BY7" i="88"/>
  <c r="BY10" i="88" s="1"/>
  <c r="BY12" i="88" s="1"/>
  <c r="BY17" i="88" s="1"/>
  <c r="CG7" i="88"/>
  <c r="CG10" i="88" s="1"/>
  <c r="CG12" i="88" s="1"/>
  <c r="O7" i="88"/>
  <c r="O10" i="88" s="1"/>
  <c r="O12" i="88" s="1"/>
  <c r="O17" i="88" s="1"/>
  <c r="W7" i="88"/>
  <c r="W10" i="88" s="1"/>
  <c r="W12" i="88" s="1"/>
  <c r="W17" i="88" s="1"/>
  <c r="AE7" i="88"/>
  <c r="AE10" i="88" s="1"/>
  <c r="AE12" i="88" s="1"/>
  <c r="AE17" i="88" s="1"/>
  <c r="AM7" i="88"/>
  <c r="AM10" i="88" s="1"/>
  <c r="AM12" i="88" s="1"/>
  <c r="AU7" i="88"/>
  <c r="AU10" i="88" s="1"/>
  <c r="AU12" i="88" s="1"/>
  <c r="AU17" i="88" s="1"/>
  <c r="BC7" i="88"/>
  <c r="BC10" i="88" s="1"/>
  <c r="BC12" i="88" s="1"/>
  <c r="BC17" i="88" s="1"/>
  <c r="BK7" i="88"/>
  <c r="BK10" i="88" s="1"/>
  <c r="BK12" i="88" s="1"/>
  <c r="BK17" i="88" s="1"/>
  <c r="BS7" i="88"/>
  <c r="BS10" i="88" s="1"/>
  <c r="BS12" i="88" s="1"/>
  <c r="BS17" i="88" s="1"/>
  <c r="I7" i="88"/>
  <c r="I10" i="88" s="1"/>
  <c r="I12" i="88" s="1"/>
  <c r="I17" i="88" s="1"/>
  <c r="J7" i="88"/>
  <c r="J10" i="88" s="1"/>
  <c r="J12" i="88" s="1"/>
  <c r="J17" i="88" s="1"/>
  <c r="R7" i="88"/>
  <c r="R10" i="88" s="1"/>
  <c r="R12" i="88" s="1"/>
  <c r="R17" i="88" s="1"/>
  <c r="AH7" i="88"/>
  <c r="AH10" i="88" s="1"/>
  <c r="AH12" i="88" s="1"/>
  <c r="AH17" i="88" s="1"/>
  <c r="BF7" i="88"/>
  <c r="BF10" i="88" s="1"/>
  <c r="BF12" i="88" s="1"/>
  <c r="BF17" i="88" s="1"/>
  <c r="K7" i="88"/>
  <c r="K10" i="88" s="1"/>
  <c r="K12" i="88" s="1"/>
  <c r="K17" i="88" s="1"/>
  <c r="AI7" i="88"/>
  <c r="AI10" i="88" s="1"/>
  <c r="AI12" i="88" s="1"/>
  <c r="AI17" i="88" s="1"/>
  <c r="BZ7" i="88"/>
  <c r="BZ10" i="88" s="1"/>
  <c r="BZ12" i="88" s="1"/>
  <c r="BZ17" i="88" s="1"/>
  <c r="CH7" i="88"/>
  <c r="CH10" i="88" s="1"/>
  <c r="CH12" i="88" s="1"/>
  <c r="CH17" i="88" s="1"/>
  <c r="P7" i="88"/>
  <c r="P10" i="88" s="1"/>
  <c r="P12" i="88" s="1"/>
  <c r="P17" i="88" s="1"/>
  <c r="X7" i="88"/>
  <c r="X10" i="88" s="1"/>
  <c r="X12" i="88" s="1"/>
  <c r="X17" i="88" s="1"/>
  <c r="AF7" i="88"/>
  <c r="AF10" i="88" s="1"/>
  <c r="AF12" i="88" s="1"/>
  <c r="AF17" i="88" s="1"/>
  <c r="AN7" i="88"/>
  <c r="AN10" i="88" s="1"/>
  <c r="AN12" i="88" s="1"/>
  <c r="AN17" i="88" s="1"/>
  <c r="AV7" i="88"/>
  <c r="AV10" i="88" s="1"/>
  <c r="AV12" i="88" s="1"/>
  <c r="AV17" i="88" s="1"/>
  <c r="BD7" i="88"/>
  <c r="BD10" i="88" s="1"/>
  <c r="BD12" i="88" s="1"/>
  <c r="BD17" i="88" s="1"/>
  <c r="BL7" i="88"/>
  <c r="BL10" i="88" s="1"/>
  <c r="BL12" i="88" s="1"/>
  <c r="BL17" i="88" s="1"/>
  <c r="CB7" i="88"/>
  <c r="CB10" i="88" s="1"/>
  <c r="CB12" i="88" s="1"/>
  <c r="CB17" i="88" s="1"/>
  <c r="Z7" i="88"/>
  <c r="Z10" i="88" s="1"/>
  <c r="Z12" i="88" s="1"/>
  <c r="AX7" i="88"/>
  <c r="AX10" i="88" s="1"/>
  <c r="AX12" i="88" s="1"/>
  <c r="AA7" i="88"/>
  <c r="AA10" i="88" s="1"/>
  <c r="AA12" i="88" s="1"/>
  <c r="AY7" i="88"/>
  <c r="AY10" i="88" s="1"/>
  <c r="AY12" i="88" s="1"/>
  <c r="AY17" i="88" s="1"/>
  <c r="BO7" i="88"/>
  <c r="BO10" i="88" s="1"/>
  <c r="BO12" i="88" s="1"/>
  <c r="BO17" i="88" s="1"/>
  <c r="AL7" i="88"/>
  <c r="AL10" i="88" s="1"/>
  <c r="AL12" i="88" s="1"/>
  <c r="CA7" i="88"/>
  <c r="CA10" i="88" s="1"/>
  <c r="CA12" i="88" s="1"/>
  <c r="CA17" i="88" s="1"/>
  <c r="Q7" i="88"/>
  <c r="Q10" i="88" s="1"/>
  <c r="Q12" i="88" s="1"/>
  <c r="Q17" i="88" s="1"/>
  <c r="Y7" i="88"/>
  <c r="Y10" i="88" s="1"/>
  <c r="Y12" i="88" s="1"/>
  <c r="AG7" i="88"/>
  <c r="AG10" i="88" s="1"/>
  <c r="AG12" i="88" s="1"/>
  <c r="AG17" i="88" s="1"/>
  <c r="AO7" i="88"/>
  <c r="AO10" i="88" s="1"/>
  <c r="AO12" i="88" s="1"/>
  <c r="AW7" i="88"/>
  <c r="AW10" i="88" s="1"/>
  <c r="AW12" i="88" s="1"/>
  <c r="AW17" i="88" s="1"/>
  <c r="BE7" i="88"/>
  <c r="BE10" i="88" s="1"/>
  <c r="BE12" i="88" s="1"/>
  <c r="BE17" i="88" s="1"/>
  <c r="BM7" i="88"/>
  <c r="BM10" i="88" s="1"/>
  <c r="BM12" i="88" s="1"/>
  <c r="BM17" i="88" s="1"/>
  <c r="I7" i="81"/>
  <c r="I10" i="81" s="1"/>
  <c r="BN7" i="88"/>
  <c r="BN10" i="88" s="1"/>
  <c r="BN12" i="88" s="1"/>
  <c r="BN17" i="88" s="1"/>
  <c r="S7" i="88"/>
  <c r="S10" i="88" s="1"/>
  <c r="S12" i="88" s="1"/>
  <c r="S17" i="88" s="1"/>
  <c r="AQ7" i="88"/>
  <c r="AQ10" i="88" s="1"/>
  <c r="AQ12" i="88" s="1"/>
  <c r="AQ17" i="88" s="1"/>
  <c r="BG7" i="88"/>
  <c r="BG10" i="88" s="1"/>
  <c r="BG12" i="88" s="1"/>
  <c r="BG17" i="88" s="1"/>
  <c r="V7" i="88"/>
  <c r="V10" i="88" s="1"/>
  <c r="V12" i="88" s="1"/>
  <c r="V17" i="88" s="1"/>
  <c r="AT7" i="88"/>
  <c r="AT10" i="88" s="1"/>
  <c r="AT12" i="88" s="1"/>
  <c r="AT17" i="88" s="1"/>
  <c r="BT7" i="88"/>
  <c r="BT10" i="88" s="1"/>
  <c r="BT12" i="88" s="1"/>
  <c r="BT17" i="88" s="1"/>
  <c r="AP7" i="88"/>
  <c r="AP10" i="88" s="1"/>
  <c r="AP12" i="88" s="1"/>
  <c r="AP17" i="88" s="1"/>
  <c r="N7" i="88"/>
  <c r="N10" i="88" s="1"/>
  <c r="N12" i="88" s="1"/>
  <c r="N17" i="88" s="1"/>
  <c r="BB7" i="88"/>
  <c r="BB10" i="88" s="1"/>
  <c r="BB12" i="88" s="1"/>
  <c r="BB17" i="88" s="1"/>
  <c r="BU7" i="88"/>
  <c r="BU10" i="88" s="1"/>
  <c r="BU12" i="88" s="1"/>
  <c r="BU17" i="88" s="1"/>
  <c r="CC7" i="88"/>
  <c r="CC10" i="88" s="1"/>
  <c r="CC12" i="88" s="1"/>
  <c r="CC17" i="88" s="1"/>
  <c r="CF7" i="88"/>
  <c r="CF10" i="88" s="1"/>
  <c r="CF12" i="88" s="1"/>
  <c r="CF17" i="88" s="1"/>
  <c r="BJ7" i="88"/>
  <c r="BJ10" i="88" s="1"/>
  <c r="BJ12" i="88" s="1"/>
  <c r="BJ17" i="88" s="1"/>
  <c r="BV7" i="88"/>
  <c r="BV10" i="88" s="1"/>
  <c r="BV12" i="88" s="1"/>
  <c r="BV17" i="88" s="1"/>
  <c r="CD7" i="88"/>
  <c r="CD10" i="88" s="1"/>
  <c r="CD12" i="88" s="1"/>
  <c r="CD17" i="88" s="1"/>
  <c r="L7" i="88"/>
  <c r="L10" i="88" s="1"/>
  <c r="L12" i="88" s="1"/>
  <c r="L17" i="88" s="1"/>
  <c r="T7" i="88"/>
  <c r="T10" i="88" s="1"/>
  <c r="T12" i="88" s="1"/>
  <c r="T17" i="88" s="1"/>
  <c r="AB7" i="88"/>
  <c r="AB10" i="88" s="1"/>
  <c r="AB12" i="88" s="1"/>
  <c r="AB17" i="88" s="1"/>
  <c r="AJ7" i="88"/>
  <c r="AJ10" i="88" s="1"/>
  <c r="AJ12" i="88" s="1"/>
  <c r="AR7" i="88"/>
  <c r="AR10" i="88" s="1"/>
  <c r="AR12" i="88" s="1"/>
  <c r="AZ7" i="88"/>
  <c r="AZ10" i="88" s="1"/>
  <c r="AZ12" i="88" s="1"/>
  <c r="AZ17" i="88" s="1"/>
  <c r="BH7" i="88"/>
  <c r="BH10" i="88" s="1"/>
  <c r="BH12" i="88" s="1"/>
  <c r="BH17" i="88" s="1"/>
  <c r="BP7" i="88"/>
  <c r="BP10" i="88" s="1"/>
  <c r="BP12" i="88" s="1"/>
  <c r="BP17" i="88" s="1"/>
  <c r="CE7" i="88"/>
  <c r="CE10" i="88" s="1"/>
  <c r="CE12" i="88" s="1"/>
  <c r="CE17" i="88" s="1"/>
  <c r="M7" i="88"/>
  <c r="M10" i="88" s="1"/>
  <c r="M12" i="88" s="1"/>
  <c r="M17" i="88" s="1"/>
  <c r="U7" i="88"/>
  <c r="U10" i="88" s="1"/>
  <c r="U12" i="88" s="1"/>
  <c r="U17" i="88" s="1"/>
  <c r="AC7" i="88"/>
  <c r="AC10" i="88" s="1"/>
  <c r="AC12" i="88" s="1"/>
  <c r="AC17" i="88" s="1"/>
  <c r="AK7" i="88"/>
  <c r="AK10" i="88" s="1"/>
  <c r="AK12" i="88" s="1"/>
  <c r="AK17" i="88" s="1"/>
  <c r="AS7" i="88"/>
  <c r="AS10" i="88" s="1"/>
  <c r="AS12" i="88" s="1"/>
  <c r="AS17" i="88" s="1"/>
  <c r="BA7" i="88"/>
  <c r="BA10" i="88" s="1"/>
  <c r="BA12" i="88" s="1"/>
  <c r="BI7" i="88"/>
  <c r="BI10" i="88" s="1"/>
  <c r="BI12" i="88" s="1"/>
  <c r="BI17" i="88" s="1"/>
  <c r="BQ7" i="88"/>
  <c r="BQ10" i="88" s="1"/>
  <c r="BQ12" i="88" s="1"/>
  <c r="BQ17" i="88" s="1"/>
  <c r="AD7" i="88"/>
  <c r="AD10" i="88" s="1"/>
  <c r="AD12" i="88" s="1"/>
  <c r="AD17" i="88" s="1"/>
  <c r="BR7" i="88"/>
  <c r="BR10" i="88" s="1"/>
  <c r="BR12" i="88" s="1"/>
  <c r="BR17" i="88" s="1"/>
  <c r="CG7" i="28"/>
  <c r="CG10" i="28" s="1"/>
  <c r="CI8" i="18"/>
  <c r="CI11" i="18" s="1"/>
  <c r="CI9" i="18"/>
  <c r="CI12" i="18" s="1"/>
  <c r="CF6" i="20"/>
  <c r="CF9" i="20" s="1"/>
  <c r="CJ8" i="18"/>
  <c r="CJ11" i="18" s="1"/>
  <c r="CJ9" i="18"/>
  <c r="CJ12" i="18" s="1"/>
  <c r="CG6" i="20"/>
  <c r="CG9" i="20" s="1"/>
  <c r="CK8" i="18"/>
  <c r="CK11" i="18" s="1"/>
  <c r="CK9" i="18"/>
  <c r="CK12" i="18" s="1"/>
  <c r="CF7" i="20"/>
  <c r="CF10" i="20" s="1"/>
  <c r="CL8" i="18"/>
  <c r="CL11" i="18" s="1"/>
  <c r="CL9" i="18"/>
  <c r="CL12" i="18" s="1"/>
  <c r="CG7" i="20"/>
  <c r="CG10" i="20" s="1"/>
  <c r="CM8" i="18"/>
  <c r="CM11" i="18" s="1"/>
  <c r="CM9" i="18"/>
  <c r="CM12" i="18" s="1"/>
  <c r="CL7" i="13"/>
  <c r="CL11" i="13" s="1"/>
  <c r="CF8" i="18"/>
  <c r="CF11" i="18" s="1"/>
  <c r="CF6" i="28"/>
  <c r="CF9" i="28" s="1"/>
  <c r="CF9" i="18"/>
  <c r="CF12" i="18" s="1"/>
  <c r="CO8" i="13"/>
  <c r="CO12" i="13" s="1"/>
  <c r="CR8" i="13"/>
  <c r="CR12" i="13" s="1"/>
  <c r="CS8" i="13"/>
  <c r="CS12" i="13" s="1"/>
  <c r="CL8" i="13"/>
  <c r="CL12" i="13" s="1"/>
  <c r="CK7" i="13"/>
  <c r="CK11" i="13" s="1"/>
  <c r="CU8" i="13"/>
  <c r="CU12" i="13" s="1"/>
  <c r="CG6" i="28"/>
  <c r="CG9" i="28" s="1"/>
  <c r="CG8" i="18"/>
  <c r="CG11" i="18" s="1"/>
  <c r="CG9" i="18"/>
  <c r="CG12" i="18" s="1"/>
  <c r="CH8" i="13"/>
  <c r="CH12" i="13" s="1"/>
  <c r="CP8" i="13"/>
  <c r="CP12" i="13" s="1"/>
  <c r="CH9" i="18"/>
  <c r="CH12" i="18" s="1"/>
  <c r="BJ7" i="13"/>
  <c r="BJ11" i="13" s="1"/>
  <c r="CI8" i="13"/>
  <c r="CI12" i="13" s="1"/>
  <c r="CQ8" i="13"/>
  <c r="CQ12" i="13" s="1"/>
  <c r="CH7" i="13"/>
  <c r="CH11" i="13" s="1"/>
  <c r="CJ8" i="13"/>
  <c r="CJ12" i="13" s="1"/>
  <c r="CI7" i="13"/>
  <c r="CI11" i="13" s="1"/>
  <c r="CK8" i="13"/>
  <c r="CK12" i="13" s="1"/>
  <c r="CJ7" i="13"/>
  <c r="CJ11" i="13" s="1"/>
  <c r="CT8" i="13"/>
  <c r="CT12" i="13" s="1"/>
  <c r="CM8" i="13"/>
  <c r="CM12" i="13" s="1"/>
  <c r="CF7" i="28"/>
  <c r="CF10" i="28" s="1"/>
  <c r="CH8" i="18"/>
  <c r="CH11" i="18" s="1"/>
  <c r="CG7" i="87"/>
  <c r="CG11" i="87" s="1"/>
  <c r="CG13" i="87" s="1"/>
  <c r="CG18" i="87" s="1"/>
  <c r="DV88" i="22" s="1"/>
  <c r="BY7" i="87"/>
  <c r="BY11" i="87" s="1"/>
  <c r="BQ7" i="87"/>
  <c r="BQ11" i="87" s="1"/>
  <c r="BI7" i="87"/>
  <c r="BI11" i="87" s="1"/>
  <c r="BA7" i="87"/>
  <c r="BA11" i="87" s="1"/>
  <c r="BA13" i="87" s="1"/>
  <c r="BA18" i="87" s="1"/>
  <c r="CP88" i="22" s="1"/>
  <c r="AS7" i="87"/>
  <c r="AS11" i="87" s="1"/>
  <c r="AK7" i="87"/>
  <c r="AK11" i="87" s="1"/>
  <c r="AK13" i="87" s="1"/>
  <c r="AK18" i="87" s="1"/>
  <c r="AC7" i="87"/>
  <c r="AC11" i="87" s="1"/>
  <c r="U7" i="87"/>
  <c r="U11" i="87" s="1"/>
  <c r="U13" i="87" s="1"/>
  <c r="U18" i="87" s="1"/>
  <c r="M7" i="87"/>
  <c r="M11" i="87" s="1"/>
  <c r="CE7" i="87"/>
  <c r="CE11" i="87" s="1"/>
  <c r="CE13" i="87" s="1"/>
  <c r="CE18" i="87" s="1"/>
  <c r="DT88" i="22" s="1"/>
  <c r="BG7" i="87"/>
  <c r="BG11" i="87" s="1"/>
  <c r="BG13" i="87" s="1"/>
  <c r="BG18" i="87" s="1"/>
  <c r="CV88" i="22" s="1"/>
  <c r="S7" i="87"/>
  <c r="S11" i="87" s="1"/>
  <c r="P7" i="87"/>
  <c r="P11" i="87" s="1"/>
  <c r="AU7" i="87"/>
  <c r="AU11" i="87" s="1"/>
  <c r="AU13" i="87" s="1"/>
  <c r="AU18" i="87" s="1"/>
  <c r="CJ88" i="22" s="1"/>
  <c r="CF7" i="87"/>
  <c r="CF11" i="87" s="1"/>
  <c r="CF13" i="87" s="1"/>
  <c r="CF18" i="87" s="1"/>
  <c r="DU88" i="22" s="1"/>
  <c r="BX7" i="87"/>
  <c r="BX11" i="87" s="1"/>
  <c r="BX13" i="87" s="1"/>
  <c r="BX18" i="87" s="1"/>
  <c r="DM88" i="22" s="1"/>
  <c r="BP7" i="87"/>
  <c r="BP11" i="87" s="1"/>
  <c r="BP13" i="87" s="1"/>
  <c r="BP18" i="87" s="1"/>
  <c r="DE88" i="22" s="1"/>
  <c r="BH7" i="87"/>
  <c r="BH11" i="87" s="1"/>
  <c r="AZ7" i="87"/>
  <c r="AZ11" i="87" s="1"/>
  <c r="AR7" i="87"/>
  <c r="AR11" i="87" s="1"/>
  <c r="AJ7" i="87"/>
  <c r="AJ11" i="87" s="1"/>
  <c r="AB7" i="87"/>
  <c r="AB11" i="87" s="1"/>
  <c r="T7" i="87"/>
  <c r="T11" i="87" s="1"/>
  <c r="T13" i="87" s="1"/>
  <c r="T18" i="87" s="1"/>
  <c r="L7" i="87"/>
  <c r="L11" i="87" s="1"/>
  <c r="L13" i="87" s="1"/>
  <c r="L18" i="87" s="1"/>
  <c r="BO7" i="87"/>
  <c r="BO11" i="87" s="1"/>
  <c r="AQ7" i="87"/>
  <c r="AQ11" i="87" s="1"/>
  <c r="AQ13" i="87" s="1"/>
  <c r="AQ18" i="87" s="1"/>
  <c r="K7" i="87"/>
  <c r="K11" i="87" s="1"/>
  <c r="AF7" i="87"/>
  <c r="AF11" i="87" s="1"/>
  <c r="AF13" i="87" s="1"/>
  <c r="AF18" i="87" s="1"/>
  <c r="CA7" i="87"/>
  <c r="CA11" i="87" s="1"/>
  <c r="BC7" i="87"/>
  <c r="BC11" i="87" s="1"/>
  <c r="BC13" i="87" s="1"/>
  <c r="BC18" i="87" s="1"/>
  <c r="CR88" i="22" s="1"/>
  <c r="O7" i="87"/>
  <c r="O11" i="87" s="1"/>
  <c r="AI7" i="87"/>
  <c r="AI11" i="87" s="1"/>
  <c r="CD7" i="87"/>
  <c r="CD11" i="87" s="1"/>
  <c r="BV7" i="87"/>
  <c r="BV11" i="87" s="1"/>
  <c r="BN7" i="87"/>
  <c r="BN11" i="87" s="1"/>
  <c r="BF7" i="87"/>
  <c r="BF11" i="87" s="1"/>
  <c r="AX7" i="87"/>
  <c r="AX11" i="87" s="1"/>
  <c r="AX13" i="87" s="1"/>
  <c r="AX18" i="87" s="1"/>
  <c r="CM88" i="22" s="1"/>
  <c r="AP7" i="87"/>
  <c r="AP11" i="87" s="1"/>
  <c r="AH7" i="87"/>
  <c r="AH11" i="87" s="1"/>
  <c r="Z7" i="87"/>
  <c r="Z11" i="87" s="1"/>
  <c r="R7" i="87"/>
  <c r="R11" i="87" s="1"/>
  <c r="R13" i="87" s="1"/>
  <c r="J7" i="87"/>
  <c r="J11" i="87" s="1"/>
  <c r="Y7" i="87"/>
  <c r="Y11" i="87" s="1"/>
  <c r="I7" i="87"/>
  <c r="I11" i="87" s="1"/>
  <c r="I13" i="87" s="1"/>
  <c r="CJ7" i="87"/>
  <c r="CJ11" i="87" s="1"/>
  <c r="BT7" i="87"/>
  <c r="BT11" i="87" s="1"/>
  <c r="BD7" i="87"/>
  <c r="BD11" i="87" s="1"/>
  <c r="BD13" i="87" s="1"/>
  <c r="BD18" i="87" s="1"/>
  <c r="CS88" i="22" s="1"/>
  <c r="X7" i="87"/>
  <c r="X11" i="87" s="1"/>
  <c r="X13" i="87" s="1"/>
  <c r="X18" i="87" s="1"/>
  <c r="BK7" i="87"/>
  <c r="BK11" i="87" s="1"/>
  <c r="BK13" i="87" s="1"/>
  <c r="BK18" i="87" s="1"/>
  <c r="CZ88" i="22" s="1"/>
  <c r="AM7" i="87"/>
  <c r="AM11" i="87" s="1"/>
  <c r="CK7" i="87"/>
  <c r="CK11" i="87" s="1"/>
  <c r="CC7" i="87"/>
  <c r="CC11" i="87" s="1"/>
  <c r="BU7" i="87"/>
  <c r="BU11" i="87" s="1"/>
  <c r="BU13" i="87" s="1"/>
  <c r="BU18" i="87" s="1"/>
  <c r="DJ88" i="22" s="1"/>
  <c r="BM7" i="87"/>
  <c r="BM11" i="87" s="1"/>
  <c r="BE7" i="87"/>
  <c r="BE11" i="87" s="1"/>
  <c r="AW7" i="87"/>
  <c r="AW11" i="87" s="1"/>
  <c r="AO7" i="87"/>
  <c r="AO11" i="87" s="1"/>
  <c r="AG7" i="87"/>
  <c r="AG11" i="87" s="1"/>
  <c r="Q7" i="87"/>
  <c r="Q11" i="87" s="1"/>
  <c r="CB7" i="87"/>
  <c r="CB11" i="87" s="1"/>
  <c r="BL7" i="87"/>
  <c r="BL11" i="87" s="1"/>
  <c r="AV7" i="87"/>
  <c r="AV11" i="87" s="1"/>
  <c r="W7" i="87"/>
  <c r="W11" i="87" s="1"/>
  <c r="BS7" i="87"/>
  <c r="BS11" i="87" s="1"/>
  <c r="CH7" i="87"/>
  <c r="CH11" i="87" s="1"/>
  <c r="BZ7" i="87"/>
  <c r="BZ11" i="87" s="1"/>
  <c r="BR7" i="87"/>
  <c r="BR11" i="87" s="1"/>
  <c r="BJ7" i="87"/>
  <c r="BJ11" i="87" s="1"/>
  <c r="BB7" i="87"/>
  <c r="BB11" i="87" s="1"/>
  <c r="BB13" i="87" s="1"/>
  <c r="BB18" i="87" s="1"/>
  <c r="CQ88" i="22" s="1"/>
  <c r="AT7" i="87"/>
  <c r="AT11" i="87" s="1"/>
  <c r="AL7" i="87"/>
  <c r="AL11" i="87" s="1"/>
  <c r="AD7" i="87"/>
  <c r="AD11" i="87" s="1"/>
  <c r="V7" i="87"/>
  <c r="V11" i="87" s="1"/>
  <c r="N7" i="87"/>
  <c r="N11" i="87" s="1"/>
  <c r="BW7" i="87"/>
  <c r="BW11" i="87" s="1"/>
  <c r="AY7" i="87"/>
  <c r="AY11" i="87" s="1"/>
  <c r="AA7" i="87"/>
  <c r="AA11" i="87" s="1"/>
  <c r="AA13" i="87" s="1"/>
  <c r="AN7" i="87"/>
  <c r="AN11" i="87" s="1"/>
  <c r="CI7" i="87"/>
  <c r="CI11" i="87" s="1"/>
  <c r="AE7" i="87"/>
  <c r="AE11" i="87" s="1"/>
  <c r="CG7" i="85"/>
  <c r="CG10" i="85" s="1"/>
  <c r="CG12" i="85" s="1"/>
  <c r="CG17" i="85" s="1"/>
  <c r="CG8" i="66"/>
  <c r="CG11" i="66" s="1"/>
  <c r="CH8" i="66"/>
  <c r="CH11" i="66" s="1"/>
  <c r="CG6" i="10"/>
  <c r="CG9" i="10" s="1"/>
  <c r="CH7" i="10"/>
  <c r="CE4" i="40"/>
  <c r="CE7" i="40" s="1"/>
  <c r="CE9" i="40" s="1"/>
  <c r="CE14" i="40" s="1"/>
  <c r="CE6" i="19"/>
  <c r="CE9" i="19" s="1"/>
  <c r="CE11" i="19" s="1"/>
  <c r="CE16" i="19" s="1"/>
  <c r="CE7" i="41"/>
  <c r="CE10" i="41" s="1"/>
  <c r="CE8" i="18"/>
  <c r="CE11" i="18" s="1"/>
  <c r="CF7" i="66"/>
  <c r="CF10" i="66" s="1"/>
  <c r="CD7" i="20"/>
  <c r="CD10" i="20" s="1"/>
  <c r="CG6" i="30"/>
  <c r="CG10" i="30" s="1"/>
  <c r="CG7" i="66"/>
  <c r="CG10" i="66" s="1"/>
  <c r="CD7" i="10"/>
  <c r="CE7" i="30"/>
  <c r="CE11" i="30" s="1"/>
  <c r="CG7" i="30"/>
  <c r="CG11" i="30" s="1"/>
  <c r="CF6" i="10"/>
  <c r="CF9" i="10" s="1"/>
  <c r="CE7" i="85"/>
  <c r="CE10" i="85" s="1"/>
  <c r="CE12" i="85" s="1"/>
  <c r="CE17" i="85" s="1"/>
  <c r="CD6" i="20"/>
  <c r="CD9" i="20" s="1"/>
  <c r="CH6" i="10"/>
  <c r="CH9" i="10" s="1"/>
  <c r="CI7" i="10"/>
  <c r="CF4" i="40"/>
  <c r="CF7" i="40" s="1"/>
  <c r="CF9" i="40" s="1"/>
  <c r="CF14" i="40" s="1"/>
  <c r="CF6" i="19"/>
  <c r="CF9" i="19" s="1"/>
  <c r="CF11" i="19" s="1"/>
  <c r="CF16" i="19" s="1"/>
  <c r="CE6" i="30"/>
  <c r="CE10" i="30" s="1"/>
  <c r="CD9" i="18"/>
  <c r="CD12" i="18" s="1"/>
  <c r="CF7" i="85"/>
  <c r="CF10" i="85" s="1"/>
  <c r="CF12" i="85" s="1"/>
  <c r="CF17" i="85" s="1"/>
  <c r="CE6" i="20"/>
  <c r="CE9" i="20" s="1"/>
  <c r="CI6" i="10"/>
  <c r="CI9" i="10" s="1"/>
  <c r="CJ7" i="10"/>
  <c r="CG4" i="40"/>
  <c r="CG7" i="40" s="1"/>
  <c r="CG9" i="40" s="1"/>
  <c r="CG14" i="40" s="1"/>
  <c r="CG6" i="19"/>
  <c r="CG9" i="19" s="1"/>
  <c r="CG11" i="19" s="1"/>
  <c r="CG16" i="19" s="1"/>
  <c r="CF6" i="30"/>
  <c r="CF10" i="30" s="1"/>
  <c r="CE9" i="18"/>
  <c r="CE12" i="18" s="1"/>
  <c r="CH7" i="85"/>
  <c r="CH10" i="85" s="1"/>
  <c r="CH12" i="85" s="1"/>
  <c r="CH17" i="85" s="1"/>
  <c r="CJ6" i="10"/>
  <c r="CJ9" i="10" s="1"/>
  <c r="CD7" i="19"/>
  <c r="CD6" i="2"/>
  <c r="CI7" i="85"/>
  <c r="CI10" i="85" s="1"/>
  <c r="CI12" i="85" s="1"/>
  <c r="CI17" i="85" s="1"/>
  <c r="CE7" i="20"/>
  <c r="CE10" i="20" s="1"/>
  <c r="CE7" i="19"/>
  <c r="CE6" i="2"/>
  <c r="CH7" i="66"/>
  <c r="CH10" i="66" s="1"/>
  <c r="CD6" i="10"/>
  <c r="CD9" i="10" s="1"/>
  <c r="CE7" i="10"/>
  <c r="CF7" i="19"/>
  <c r="CF7" i="30"/>
  <c r="CF11" i="30" s="1"/>
  <c r="CF6" i="2"/>
  <c r="CF8" i="66"/>
  <c r="CF11" i="66" s="1"/>
  <c r="CE6" i="10"/>
  <c r="CE9" i="10" s="1"/>
  <c r="CF7" i="10"/>
  <c r="CG7" i="19"/>
  <c r="CG6" i="2"/>
  <c r="CG7" i="10"/>
  <c r="CD4" i="40"/>
  <c r="CD7" i="40" s="1"/>
  <c r="CD9" i="40" s="1"/>
  <c r="CD14" i="40" s="1"/>
  <c r="CD6" i="19"/>
  <c r="CD9" i="19" s="1"/>
  <c r="CD11" i="19" s="1"/>
  <c r="CD16" i="19" s="1"/>
  <c r="CD7" i="41"/>
  <c r="CD10" i="41" s="1"/>
  <c r="CD8" i="18"/>
  <c r="CD11" i="18" s="1"/>
  <c r="CG7" i="86"/>
  <c r="CG11" i="86" s="1"/>
  <c r="CH8" i="86"/>
  <c r="CH12" i="86" s="1"/>
  <c r="CF6" i="11"/>
  <c r="CF9" i="11" s="1"/>
  <c r="CF10" i="11" s="1"/>
  <c r="CF15" i="11" s="1"/>
  <c r="CJ5" i="5"/>
  <c r="CJ8" i="5" s="1"/>
  <c r="CR5" i="5"/>
  <c r="CR8" i="5" s="1"/>
  <c r="CN6" i="5"/>
  <c r="CN11" i="5" s="1"/>
  <c r="CD6" i="5"/>
  <c r="CD11" i="5" s="1"/>
  <c r="CI7" i="17"/>
  <c r="CI11" i="17" s="1"/>
  <c r="CE8" i="17"/>
  <c r="CE12" i="17" s="1"/>
  <c r="CM8" i="17"/>
  <c r="CM12" i="17" s="1"/>
  <c r="CJ6" i="15"/>
  <c r="CJ9" i="15" s="1"/>
  <c r="CR6" i="15"/>
  <c r="CR9" i="15" s="1"/>
  <c r="CZ6" i="15"/>
  <c r="CZ9" i="15" s="1"/>
  <c r="CG7" i="16"/>
  <c r="CG10" i="16" s="1"/>
  <c r="CF6" i="26"/>
  <c r="CF9" i="26" s="1"/>
  <c r="CG7" i="25"/>
  <c r="CG10" i="25" s="1"/>
  <c r="CD8" i="36"/>
  <c r="CD11" i="36" s="1"/>
  <c r="CE7" i="14"/>
  <c r="CE10" i="14" s="1"/>
  <c r="CD7" i="13"/>
  <c r="CD11" i="13" s="1"/>
  <c r="CO6" i="15"/>
  <c r="CO9" i="15" s="1"/>
  <c r="CD8" i="25"/>
  <c r="CD11" i="25" s="1"/>
  <c r="CH5" i="5"/>
  <c r="CH8" i="5" s="1"/>
  <c r="CK8" i="17"/>
  <c r="CK12" i="17" s="1"/>
  <c r="CX6" i="15"/>
  <c r="CX9" i="15" s="1"/>
  <c r="CG6" i="14"/>
  <c r="CG9" i="14" s="1"/>
  <c r="CF7" i="86"/>
  <c r="CF11" i="86" s="1"/>
  <c r="CQ5" i="5"/>
  <c r="CQ8" i="5" s="1"/>
  <c r="CH7" i="17"/>
  <c r="CH11" i="17" s="1"/>
  <c r="CH7" i="86"/>
  <c r="CH11" i="86" s="1"/>
  <c r="CI8" i="86"/>
  <c r="CI12" i="86" s="1"/>
  <c r="CG6" i="11"/>
  <c r="CG9" i="11" s="1"/>
  <c r="CG10" i="11" s="1"/>
  <c r="CG15" i="11" s="1"/>
  <c r="CK5" i="5"/>
  <c r="CK8" i="5" s="1"/>
  <c r="CO6" i="5"/>
  <c r="CO11" i="5" s="1"/>
  <c r="CE6" i="5"/>
  <c r="CE11" i="5" s="1"/>
  <c r="CJ7" i="17"/>
  <c r="CJ11" i="17" s="1"/>
  <c r="CF8" i="17"/>
  <c r="CF12" i="17" s="1"/>
  <c r="CN8" i="17"/>
  <c r="CN12" i="17" s="1"/>
  <c r="CK6" i="15"/>
  <c r="CK9" i="15" s="1"/>
  <c r="CS6" i="15"/>
  <c r="CS9" i="15" s="1"/>
  <c r="CD8" i="16"/>
  <c r="CD11" i="16" s="1"/>
  <c r="CG6" i="26"/>
  <c r="CG9" i="26" s="1"/>
  <c r="CG8" i="25"/>
  <c r="CG11" i="25" s="1"/>
  <c r="CE8" i="36"/>
  <c r="CE11" i="36" s="1"/>
  <c r="CF7" i="14"/>
  <c r="CF10" i="14" s="1"/>
  <c r="CE7" i="13"/>
  <c r="CE11" i="13" s="1"/>
  <c r="CE8" i="86"/>
  <c r="CE12" i="86" s="1"/>
  <c r="CF7" i="17"/>
  <c r="CF11" i="17" s="1"/>
  <c r="CE7" i="36"/>
  <c r="CE10" i="36" s="1"/>
  <c r="CF6" i="14"/>
  <c r="CF9" i="14" s="1"/>
  <c r="CD6" i="11"/>
  <c r="CD9" i="11" s="1"/>
  <c r="CD10" i="11" s="1"/>
  <c r="CD15" i="11" s="1"/>
  <c r="CF5" i="5"/>
  <c r="CF8" i="5" s="1"/>
  <c r="CF7" i="36"/>
  <c r="CF10" i="36" s="1"/>
  <c r="CG8" i="86"/>
  <c r="CG12" i="86" s="1"/>
  <c r="CI5" i="5"/>
  <c r="CI8" i="5" s="1"/>
  <c r="CQ6" i="15"/>
  <c r="CQ9" i="15" s="1"/>
  <c r="CF7" i="16"/>
  <c r="CF10" i="16" s="1"/>
  <c r="CF8" i="25"/>
  <c r="CF11" i="25" s="1"/>
  <c r="CD7" i="14"/>
  <c r="CD10" i="14" s="1"/>
  <c r="CI7" i="86"/>
  <c r="CI11" i="86" s="1"/>
  <c r="CJ8" i="86"/>
  <c r="CJ12" i="86" s="1"/>
  <c r="CD5" i="7"/>
  <c r="CL5" i="5"/>
  <c r="CL8" i="5" s="1"/>
  <c r="CH6" i="5"/>
  <c r="CH11" i="5" s="1"/>
  <c r="CP6" i="5"/>
  <c r="CP11" i="5" s="1"/>
  <c r="CF6" i="5"/>
  <c r="CF11" i="5" s="1"/>
  <c r="CK7" i="17"/>
  <c r="CK11" i="17" s="1"/>
  <c r="CG8" i="17"/>
  <c r="CG12" i="17" s="1"/>
  <c r="CO8" i="17"/>
  <c r="CO12" i="17" s="1"/>
  <c r="CD6" i="15"/>
  <c r="CD9" i="15" s="1"/>
  <c r="CL6" i="15"/>
  <c r="CL9" i="15" s="1"/>
  <c r="CT6" i="15"/>
  <c r="CT9" i="15" s="1"/>
  <c r="CE8" i="16"/>
  <c r="CE11" i="16" s="1"/>
  <c r="CD5" i="26"/>
  <c r="CD8" i="26" s="1"/>
  <c r="CD7" i="25"/>
  <c r="CD10" i="25" s="1"/>
  <c r="CF8" i="36"/>
  <c r="CF11" i="36" s="1"/>
  <c r="CG7" i="14"/>
  <c r="CG10" i="14" s="1"/>
  <c r="CF7" i="13"/>
  <c r="CF11" i="13" s="1"/>
  <c r="CO5" i="5"/>
  <c r="CO8" i="5" s="1"/>
  <c r="CN7" i="17"/>
  <c r="CN11" i="17" s="1"/>
  <c r="CG6" i="15"/>
  <c r="CG9" i="15" s="1"/>
  <c r="CE8" i="13"/>
  <c r="CE12" i="13" s="1"/>
  <c r="CP5" i="5"/>
  <c r="CP8" i="5" s="1"/>
  <c r="CG7" i="17"/>
  <c r="CG11" i="17" s="1"/>
  <c r="CD6" i="26"/>
  <c r="CD9" i="26" s="1"/>
  <c r="CM6" i="5"/>
  <c r="CM11" i="5" s="1"/>
  <c r="CD8" i="17"/>
  <c r="CD12" i="17" s="1"/>
  <c r="CG7" i="36"/>
  <c r="CG10" i="36" s="1"/>
  <c r="CJ7" i="86"/>
  <c r="CJ11" i="86" s="1"/>
  <c r="CK8" i="86"/>
  <c r="CK12" i="86" s="1"/>
  <c r="CE5" i="7"/>
  <c r="CM5" i="5"/>
  <c r="CM8" i="5" s="1"/>
  <c r="CI6" i="5"/>
  <c r="CI11" i="5" s="1"/>
  <c r="CQ6" i="5"/>
  <c r="CQ11" i="5" s="1"/>
  <c r="CG6" i="5"/>
  <c r="CG11" i="5" s="1"/>
  <c r="CD7" i="17"/>
  <c r="CD11" i="17" s="1"/>
  <c r="CL7" i="17"/>
  <c r="CL11" i="17" s="1"/>
  <c r="CH8" i="17"/>
  <c r="CH12" i="17" s="1"/>
  <c r="CE6" i="15"/>
  <c r="CE9" i="15" s="1"/>
  <c r="CM6" i="15"/>
  <c r="CM9" i="15" s="1"/>
  <c r="CU6" i="15"/>
  <c r="CU9" i="15" s="1"/>
  <c r="CF8" i="16"/>
  <c r="CF11" i="16" s="1"/>
  <c r="CE5" i="26"/>
  <c r="CE8" i="26" s="1"/>
  <c r="CE7" i="25"/>
  <c r="CE10" i="25" s="1"/>
  <c r="CG8" i="36"/>
  <c r="CG11" i="36" s="1"/>
  <c r="CD6" i="14"/>
  <c r="CD9" i="14" s="1"/>
  <c r="CG7" i="13"/>
  <c r="CG11" i="13" s="1"/>
  <c r="CE5" i="5"/>
  <c r="CE8" i="5" s="1"/>
  <c r="CW6" i="15"/>
  <c r="CW9" i="15" s="1"/>
  <c r="CG5" i="26"/>
  <c r="CG8" i="26" s="1"/>
  <c r="CO7" i="17"/>
  <c r="CO11" i="17" s="1"/>
  <c r="CH6" i="15"/>
  <c r="CH9" i="15" s="1"/>
  <c r="CF8" i="13"/>
  <c r="CF12" i="13" s="1"/>
  <c r="CI6" i="15"/>
  <c r="CI9" i="15" s="1"/>
  <c r="CK7" i="86"/>
  <c r="CK11" i="86" s="1"/>
  <c r="CF5" i="7"/>
  <c r="CN5" i="5"/>
  <c r="CN8" i="5" s="1"/>
  <c r="CJ6" i="5"/>
  <c r="CJ11" i="5" s="1"/>
  <c r="CR6" i="5"/>
  <c r="CR11" i="5" s="1"/>
  <c r="CD5" i="5"/>
  <c r="CD8" i="5" s="1"/>
  <c r="CE7" i="17"/>
  <c r="CE11" i="17" s="1"/>
  <c r="CM7" i="17"/>
  <c r="CM11" i="17" s="1"/>
  <c r="CI8" i="17"/>
  <c r="CI12" i="17" s="1"/>
  <c r="CF6" i="15"/>
  <c r="CF9" i="15" s="1"/>
  <c r="CN6" i="15"/>
  <c r="CN9" i="15" s="1"/>
  <c r="CV6" i="15"/>
  <c r="CV9" i="15" s="1"/>
  <c r="CG8" i="16"/>
  <c r="CG11" i="16" s="1"/>
  <c r="CF5" i="26"/>
  <c r="CF8" i="26" s="1"/>
  <c r="CF7" i="25"/>
  <c r="CF10" i="25" s="1"/>
  <c r="CD7" i="36"/>
  <c r="CD10" i="36" s="1"/>
  <c r="CE6" i="14"/>
  <c r="CE9" i="14" s="1"/>
  <c r="CD8" i="13"/>
  <c r="CD12" i="13" s="1"/>
  <c r="CG5" i="7"/>
  <c r="CK6" i="5"/>
  <c r="CK11" i="5" s="1"/>
  <c r="CJ8" i="17"/>
  <c r="CJ12" i="17" s="1"/>
  <c r="CD7" i="16"/>
  <c r="CD10" i="16" s="1"/>
  <c r="CF8" i="86"/>
  <c r="CF12" i="86" s="1"/>
  <c r="CL6" i="5"/>
  <c r="CL11" i="5" s="1"/>
  <c r="CP6" i="15"/>
  <c r="CP9" i="15" s="1"/>
  <c r="CE7" i="16"/>
  <c r="CE10" i="16" s="1"/>
  <c r="CE8" i="25"/>
  <c r="CE11" i="25" s="1"/>
  <c r="CE6" i="11"/>
  <c r="CE9" i="11" s="1"/>
  <c r="CE10" i="11" s="1"/>
  <c r="CE15" i="11" s="1"/>
  <c r="CG5" i="5"/>
  <c r="CG8" i="5" s="1"/>
  <c r="CL8" i="17"/>
  <c r="CL12" i="17" s="1"/>
  <c r="CY6" i="15"/>
  <c r="CY9" i="15" s="1"/>
  <c r="CE6" i="26"/>
  <c r="CE9" i="26" s="1"/>
  <c r="CE7" i="86"/>
  <c r="CE11" i="86" s="1"/>
  <c r="CG8" i="13"/>
  <c r="CG12" i="13" s="1"/>
  <c r="BG8" i="86"/>
  <c r="BG12" i="86" s="1"/>
  <c r="BO8" i="86"/>
  <c r="BO12" i="86" s="1"/>
  <c r="BW8" i="86"/>
  <c r="BW12" i="86" s="1"/>
  <c r="BE8" i="86"/>
  <c r="BE12" i="86" s="1"/>
  <c r="U8" i="86"/>
  <c r="U12" i="86" s="1"/>
  <c r="AD8" i="86"/>
  <c r="AD12" i="86" s="1"/>
  <c r="AL8" i="86"/>
  <c r="AL12" i="86" s="1"/>
  <c r="AT8" i="86"/>
  <c r="AT12" i="86" s="1"/>
  <c r="BB8" i="86"/>
  <c r="BB12" i="86" s="1"/>
  <c r="I8" i="86"/>
  <c r="I12" i="86" s="1"/>
  <c r="BN8" i="86"/>
  <c r="BN12" i="86" s="1"/>
  <c r="BH8" i="86"/>
  <c r="BH12" i="86" s="1"/>
  <c r="BP8" i="86"/>
  <c r="BP12" i="86" s="1"/>
  <c r="BX8" i="86"/>
  <c r="BX12" i="86" s="1"/>
  <c r="AA8" i="86"/>
  <c r="AA12" i="86" s="1"/>
  <c r="V8" i="86"/>
  <c r="V12" i="86" s="1"/>
  <c r="AE8" i="86"/>
  <c r="AE12" i="86" s="1"/>
  <c r="AM8" i="86"/>
  <c r="AM12" i="86" s="1"/>
  <c r="AU8" i="86"/>
  <c r="AU12" i="86" s="1"/>
  <c r="BC8" i="86"/>
  <c r="BC12" i="86" s="1"/>
  <c r="I7" i="86"/>
  <c r="I11" i="86" s="1"/>
  <c r="BV8" i="86"/>
  <c r="BV12" i="86" s="1"/>
  <c r="BA8" i="86"/>
  <c r="BA12" i="86" s="1"/>
  <c r="BI8" i="86"/>
  <c r="BI12" i="86" s="1"/>
  <c r="BQ8" i="86"/>
  <c r="BQ12" i="86" s="1"/>
  <c r="BY8" i="86"/>
  <c r="BY12" i="86" s="1"/>
  <c r="O8" i="86"/>
  <c r="O12" i="86" s="1"/>
  <c r="W8" i="86"/>
  <c r="W12" i="86" s="1"/>
  <c r="AF8" i="86"/>
  <c r="AF12" i="86" s="1"/>
  <c r="AN8" i="86"/>
  <c r="AN12" i="86" s="1"/>
  <c r="AV8" i="86"/>
  <c r="AV12" i="86" s="1"/>
  <c r="BD8" i="86"/>
  <c r="BD12" i="86" s="1"/>
  <c r="T8" i="86"/>
  <c r="T12" i="86" s="1"/>
  <c r="N8" i="86"/>
  <c r="N12" i="86" s="1"/>
  <c r="BJ8" i="86"/>
  <c r="BJ12" i="86" s="1"/>
  <c r="BR8" i="86"/>
  <c r="BR12" i="86" s="1"/>
  <c r="BZ8" i="86"/>
  <c r="BZ12" i="86" s="1"/>
  <c r="P8" i="86"/>
  <c r="P12" i="86" s="1"/>
  <c r="X8" i="86"/>
  <c r="X12" i="86" s="1"/>
  <c r="AG8" i="86"/>
  <c r="AG12" i="86" s="1"/>
  <c r="AO8" i="86"/>
  <c r="AO12" i="86" s="1"/>
  <c r="AW8" i="86"/>
  <c r="AW12" i="86" s="1"/>
  <c r="J8" i="86"/>
  <c r="J12" i="86" s="1"/>
  <c r="AS8" i="86"/>
  <c r="AS12" i="86" s="1"/>
  <c r="BK8" i="86"/>
  <c r="BK12" i="86" s="1"/>
  <c r="BS8" i="86"/>
  <c r="BS12" i="86" s="1"/>
  <c r="CA8" i="86"/>
  <c r="CA12" i="86" s="1"/>
  <c r="Q8" i="86"/>
  <c r="Q12" i="86" s="1"/>
  <c r="Y8" i="86"/>
  <c r="Y12" i="86" s="1"/>
  <c r="AH8" i="86"/>
  <c r="AH12" i="86" s="1"/>
  <c r="AP8" i="86"/>
  <c r="AP12" i="86" s="1"/>
  <c r="AX8" i="86"/>
  <c r="AX12" i="86" s="1"/>
  <c r="K8" i="86"/>
  <c r="K12" i="86" s="1"/>
  <c r="AC8" i="86"/>
  <c r="AC12" i="86" s="1"/>
  <c r="BL8" i="86"/>
  <c r="BL12" i="86" s="1"/>
  <c r="BT8" i="86"/>
  <c r="BT12" i="86" s="1"/>
  <c r="CB8" i="86"/>
  <c r="CB12" i="86" s="1"/>
  <c r="R8" i="86"/>
  <c r="R12" i="86" s="1"/>
  <c r="Z8" i="86"/>
  <c r="Z12" i="86" s="1"/>
  <c r="AI8" i="86"/>
  <c r="AI12" i="86" s="1"/>
  <c r="AQ8" i="86"/>
  <c r="AQ12" i="86" s="1"/>
  <c r="AY8" i="86"/>
  <c r="AY12" i="86" s="1"/>
  <c r="L8" i="86"/>
  <c r="L12" i="86" s="1"/>
  <c r="BF8" i="86"/>
  <c r="BF12" i="86" s="1"/>
  <c r="BM8" i="86"/>
  <c r="BM12" i="86" s="1"/>
  <c r="BU8" i="86"/>
  <c r="BU12" i="86" s="1"/>
  <c r="CC8" i="86"/>
  <c r="CC12" i="86" s="1"/>
  <c r="S8" i="86"/>
  <c r="S12" i="86" s="1"/>
  <c r="AB8" i="86"/>
  <c r="AB12" i="86" s="1"/>
  <c r="AJ8" i="86"/>
  <c r="AJ12" i="86" s="1"/>
  <c r="AR8" i="86"/>
  <c r="AR12" i="86" s="1"/>
  <c r="AZ8" i="86"/>
  <c r="AZ12" i="86" s="1"/>
  <c r="M8" i="86"/>
  <c r="M12" i="86" s="1"/>
  <c r="CD8" i="86"/>
  <c r="CD12" i="86" s="1"/>
  <c r="AK8" i="86"/>
  <c r="AK12" i="86" s="1"/>
  <c r="BY7" i="86"/>
  <c r="BY11" i="86" s="1"/>
  <c r="BQ7" i="86"/>
  <c r="BQ11" i="86" s="1"/>
  <c r="BI7" i="86"/>
  <c r="BI11" i="86" s="1"/>
  <c r="BA7" i="86"/>
  <c r="BA11" i="86" s="1"/>
  <c r="AS7" i="86"/>
  <c r="AS11" i="86" s="1"/>
  <c r="AK7" i="86"/>
  <c r="AK11" i="86" s="1"/>
  <c r="AC7" i="86"/>
  <c r="AC11" i="86" s="1"/>
  <c r="U7" i="86"/>
  <c r="U11" i="86" s="1"/>
  <c r="M7" i="86"/>
  <c r="M11" i="86" s="1"/>
  <c r="AV7" i="86"/>
  <c r="AV11" i="86" s="1"/>
  <c r="BX7" i="86"/>
  <c r="BX11" i="86" s="1"/>
  <c r="BP7" i="86"/>
  <c r="BP11" i="86" s="1"/>
  <c r="BH7" i="86"/>
  <c r="BH11" i="86" s="1"/>
  <c r="AZ7" i="86"/>
  <c r="AZ11" i="86" s="1"/>
  <c r="AR7" i="86"/>
  <c r="AR11" i="86" s="1"/>
  <c r="AJ7" i="86"/>
  <c r="AJ11" i="86" s="1"/>
  <c r="AB7" i="86"/>
  <c r="AB11" i="86" s="1"/>
  <c r="T7" i="86"/>
  <c r="T11" i="86" s="1"/>
  <c r="L7" i="86"/>
  <c r="L11" i="86" s="1"/>
  <c r="X7" i="86"/>
  <c r="X11" i="86" s="1"/>
  <c r="BW7" i="86"/>
  <c r="BW11" i="86" s="1"/>
  <c r="BO7" i="86"/>
  <c r="BO11" i="86" s="1"/>
  <c r="BG7" i="86"/>
  <c r="BG11" i="86" s="1"/>
  <c r="AY7" i="86"/>
  <c r="AY11" i="86" s="1"/>
  <c r="AQ7" i="86"/>
  <c r="AQ11" i="86" s="1"/>
  <c r="AI7" i="86"/>
  <c r="AI11" i="86" s="1"/>
  <c r="AA7" i="86"/>
  <c r="AA11" i="86" s="1"/>
  <c r="S7" i="86"/>
  <c r="S11" i="86" s="1"/>
  <c r="K7" i="86"/>
  <c r="K11" i="86" s="1"/>
  <c r="AN7" i="86"/>
  <c r="AN11" i="86" s="1"/>
  <c r="CD7" i="86"/>
  <c r="CD11" i="86" s="1"/>
  <c r="BV7" i="86"/>
  <c r="BV11" i="86" s="1"/>
  <c r="BN7" i="86"/>
  <c r="BN11" i="86" s="1"/>
  <c r="BF7" i="86"/>
  <c r="BF11" i="86" s="1"/>
  <c r="AX7" i="86"/>
  <c r="AX11" i="86" s="1"/>
  <c r="AP7" i="86"/>
  <c r="AP11" i="86" s="1"/>
  <c r="AH7" i="86"/>
  <c r="AH11" i="86" s="1"/>
  <c r="Z7" i="86"/>
  <c r="Z11" i="86" s="1"/>
  <c r="R7" i="86"/>
  <c r="R11" i="86" s="1"/>
  <c r="J7" i="86"/>
  <c r="J11" i="86" s="1"/>
  <c r="BT7" i="86"/>
  <c r="BT11" i="86" s="1"/>
  <c r="P7" i="86"/>
  <c r="P11" i="86" s="1"/>
  <c r="V7" i="86"/>
  <c r="V11" i="86" s="1"/>
  <c r="CC7" i="86"/>
  <c r="CC11" i="86" s="1"/>
  <c r="BU7" i="86"/>
  <c r="BU11" i="86" s="1"/>
  <c r="BM7" i="86"/>
  <c r="BM11" i="86" s="1"/>
  <c r="BE7" i="86"/>
  <c r="BE11" i="86" s="1"/>
  <c r="AW7" i="86"/>
  <c r="AW11" i="86" s="1"/>
  <c r="AO7" i="86"/>
  <c r="AO11" i="86" s="1"/>
  <c r="AG7" i="86"/>
  <c r="AG11" i="86" s="1"/>
  <c r="Y7" i="86"/>
  <c r="Y11" i="86" s="1"/>
  <c r="Q7" i="86"/>
  <c r="Q11" i="86" s="1"/>
  <c r="CB7" i="86"/>
  <c r="CB11" i="86" s="1"/>
  <c r="BL7" i="86"/>
  <c r="BL11" i="86" s="1"/>
  <c r="BD7" i="86"/>
  <c r="BD11" i="86" s="1"/>
  <c r="AF7" i="86"/>
  <c r="AF11" i="86" s="1"/>
  <c r="AL7" i="86"/>
  <c r="AL11" i="86" s="1"/>
  <c r="CA7" i="86"/>
  <c r="CA11" i="86" s="1"/>
  <c r="BS7" i="86"/>
  <c r="BS11" i="86" s="1"/>
  <c r="BK7" i="86"/>
  <c r="BK11" i="86" s="1"/>
  <c r="BC7" i="86"/>
  <c r="BC11" i="86" s="1"/>
  <c r="AU7" i="86"/>
  <c r="AU11" i="86" s="1"/>
  <c r="AM7" i="86"/>
  <c r="AM11" i="86" s="1"/>
  <c r="AM13" i="86" s="1"/>
  <c r="AM18" i="86" s="1"/>
  <c r="AE7" i="86"/>
  <c r="AE11" i="86" s="1"/>
  <c r="W7" i="86"/>
  <c r="W11" i="86" s="1"/>
  <c r="O7" i="86"/>
  <c r="O11" i="86" s="1"/>
  <c r="BZ7" i="86"/>
  <c r="BZ11" i="86" s="1"/>
  <c r="BR7" i="86"/>
  <c r="BR11" i="86" s="1"/>
  <c r="BJ7" i="86"/>
  <c r="BJ11" i="86" s="1"/>
  <c r="BB7" i="86"/>
  <c r="BB11" i="86" s="1"/>
  <c r="AT7" i="86"/>
  <c r="AT11" i="86" s="1"/>
  <c r="AD7" i="86"/>
  <c r="AD11" i="86" s="1"/>
  <c r="N7" i="86"/>
  <c r="N11" i="86" s="1"/>
  <c r="CD7" i="85"/>
  <c r="CD10" i="85" s="1"/>
  <c r="CD12" i="85" s="1"/>
  <c r="CD17" i="85" s="1"/>
  <c r="CF7" i="82"/>
  <c r="CF10" i="82" s="1"/>
  <c r="CF12" i="82" s="1"/>
  <c r="CF17" i="82" s="1"/>
  <c r="CD7" i="81"/>
  <c r="CD10" i="81" s="1"/>
  <c r="CD8" i="81"/>
  <c r="CD11" i="81" s="1"/>
  <c r="CB8" i="79"/>
  <c r="CB11" i="79" s="1"/>
  <c r="CC7" i="77"/>
  <c r="CC10" i="77" s="1"/>
  <c r="CC11" i="77" s="1"/>
  <c r="CC16" i="77" s="1"/>
  <c r="CF7" i="76"/>
  <c r="CF10" i="76" s="1"/>
  <c r="CG8" i="76"/>
  <c r="CG11" i="76" s="1"/>
  <c r="CG7" i="75"/>
  <c r="CG9" i="75" s="1"/>
  <c r="CG11" i="75" s="1"/>
  <c r="CG16" i="75" s="1"/>
  <c r="CD7" i="74"/>
  <c r="CD9" i="74" s="1"/>
  <c r="CD11" i="74" s="1"/>
  <c r="CD16" i="74" s="1"/>
  <c r="CE7" i="73"/>
  <c r="CE10" i="73" s="1"/>
  <c r="CE8" i="73"/>
  <c r="CE11" i="73" s="1"/>
  <c r="CE8" i="70"/>
  <c r="CH12" i="70"/>
  <c r="CF7" i="67"/>
  <c r="CF10" i="67" s="1"/>
  <c r="CF13" i="67" s="1"/>
  <c r="CF18" i="67" s="1"/>
  <c r="CA7" i="66"/>
  <c r="CA10" i="66" s="1"/>
  <c r="CD8" i="66"/>
  <c r="CD11" i="66" s="1"/>
  <c r="CG7" i="63"/>
  <c r="CG10" i="63" s="1"/>
  <c r="CD7" i="62"/>
  <c r="CD10" i="62" s="1"/>
  <c r="CD8" i="62"/>
  <c r="CD11" i="62" s="1"/>
  <c r="CE8" i="60"/>
  <c r="CE10" i="60" s="1"/>
  <c r="CE7" i="58"/>
  <c r="CE12" i="58" s="1"/>
  <c r="CE8" i="58"/>
  <c r="CE13" i="58" s="1"/>
  <c r="CA7" i="48"/>
  <c r="CA9" i="48" s="1"/>
  <c r="CG7" i="52"/>
  <c r="CG11" i="52" s="1"/>
  <c r="CG8" i="52"/>
  <c r="CG12" i="52" s="1"/>
  <c r="CH7" i="54"/>
  <c r="CH11" i="54" s="1"/>
  <c r="CF7" i="55"/>
  <c r="CF11" i="55" s="1"/>
  <c r="CG8" i="55"/>
  <c r="CG12" i="55" s="1"/>
  <c r="CD7" i="46"/>
  <c r="CD9" i="46" s="1"/>
  <c r="CD10" i="46" s="1"/>
  <c r="CD15" i="46" s="1"/>
  <c r="CE7" i="49"/>
  <c r="CE11" i="49" s="1"/>
  <c r="CE8" i="49"/>
  <c r="CE10" i="49" s="1"/>
  <c r="CG7" i="50"/>
  <c r="CG11" i="50" s="1"/>
  <c r="CG8" i="51"/>
  <c r="CG12" i="51" s="1"/>
  <c r="CE7" i="39"/>
  <c r="CE9" i="39" s="1"/>
  <c r="CE10" i="39" s="1"/>
  <c r="CG7" i="82"/>
  <c r="CG10" i="82" s="1"/>
  <c r="CG12" i="82" s="1"/>
  <c r="CG17" i="82" s="1"/>
  <c r="CE7" i="81"/>
  <c r="CE10" i="81" s="1"/>
  <c r="CE8" i="81"/>
  <c r="CE11" i="81" s="1"/>
  <c r="CB7" i="79"/>
  <c r="CB10" i="79" s="1"/>
  <c r="CC8" i="79"/>
  <c r="CC11" i="79" s="1"/>
  <c r="CD7" i="77"/>
  <c r="CD10" i="77" s="1"/>
  <c r="CD11" i="77" s="1"/>
  <c r="CD16" i="77" s="1"/>
  <c r="CG7" i="76"/>
  <c r="CG10" i="76" s="1"/>
  <c r="CH8" i="76"/>
  <c r="CH11" i="76" s="1"/>
  <c r="CH7" i="75"/>
  <c r="CH9" i="75" s="1"/>
  <c r="CH11" i="75" s="1"/>
  <c r="CH16" i="75" s="1"/>
  <c r="CE7" i="74"/>
  <c r="CE9" i="74" s="1"/>
  <c r="CE11" i="74" s="1"/>
  <c r="CE16" i="74" s="1"/>
  <c r="CF7" i="73"/>
  <c r="CF10" i="73" s="1"/>
  <c r="CF8" i="73"/>
  <c r="CF11" i="73" s="1"/>
  <c r="CF8" i="70"/>
  <c r="CE11" i="70"/>
  <c r="CE20" i="70" s="1"/>
  <c r="CG7" i="67"/>
  <c r="CG10" i="67" s="1"/>
  <c r="CG13" i="67" s="1"/>
  <c r="CG18" i="67" s="1"/>
  <c r="CB7" i="66"/>
  <c r="CB10" i="66" s="1"/>
  <c r="CE8" i="66"/>
  <c r="CE11" i="66" s="1"/>
  <c r="CH7" i="63"/>
  <c r="CH10" i="63" s="1"/>
  <c r="CE7" i="62"/>
  <c r="CE10" i="62" s="1"/>
  <c r="CE8" i="62"/>
  <c r="CE11" i="62" s="1"/>
  <c r="CA7" i="61"/>
  <c r="CA10" i="61" s="1"/>
  <c r="CA12" i="61" s="1"/>
  <c r="CA13" i="61" s="1"/>
  <c r="CA14" i="61" s="1"/>
  <c r="CA15" i="61" s="1"/>
  <c r="CA18" i="61" s="1"/>
  <c r="CA20" i="61" s="1"/>
  <c r="CF8" i="60"/>
  <c r="CF10" i="60" s="1"/>
  <c r="CF7" i="58"/>
  <c r="CF12" i="58" s="1"/>
  <c r="CF8" i="58"/>
  <c r="CF13" i="58" s="1"/>
  <c r="CB7" i="48"/>
  <c r="CB9" i="48" s="1"/>
  <c r="CH7" i="52"/>
  <c r="CH11" i="52" s="1"/>
  <c r="CH8" i="52"/>
  <c r="CH12" i="52" s="1"/>
  <c r="CD8" i="54"/>
  <c r="CD12" i="54" s="1"/>
  <c r="CG7" i="55"/>
  <c r="CG11" i="55" s="1"/>
  <c r="CH8" i="55"/>
  <c r="CH12" i="55" s="1"/>
  <c r="CE7" i="46"/>
  <c r="CE9" i="46" s="1"/>
  <c r="CE10" i="46" s="1"/>
  <c r="CE15" i="46" s="1"/>
  <c r="CF7" i="49"/>
  <c r="CF11" i="49" s="1"/>
  <c r="CF8" i="49"/>
  <c r="CF10" i="49" s="1"/>
  <c r="CH7" i="50"/>
  <c r="CH11" i="50" s="1"/>
  <c r="CH8" i="51"/>
  <c r="CH12" i="51" s="1"/>
  <c r="CF7" i="39"/>
  <c r="CF9" i="39" s="1"/>
  <c r="CF10" i="39" s="1"/>
  <c r="CH7" i="82"/>
  <c r="CH10" i="82" s="1"/>
  <c r="CH12" i="82" s="1"/>
  <c r="CH17" i="82" s="1"/>
  <c r="CF7" i="81"/>
  <c r="CF10" i="81" s="1"/>
  <c r="CF8" i="81"/>
  <c r="CF11" i="81" s="1"/>
  <c r="CC7" i="79"/>
  <c r="CC10" i="79" s="1"/>
  <c r="CD8" i="79"/>
  <c r="CD11" i="79" s="1"/>
  <c r="CE7" i="77"/>
  <c r="CE10" i="77" s="1"/>
  <c r="CE11" i="77" s="1"/>
  <c r="CE16" i="77" s="1"/>
  <c r="CH7" i="76"/>
  <c r="CH10" i="76" s="1"/>
  <c r="CF7" i="74"/>
  <c r="CF9" i="74" s="1"/>
  <c r="CF11" i="74" s="1"/>
  <c r="CF16" i="74" s="1"/>
  <c r="CG7" i="73"/>
  <c r="CG10" i="73" s="1"/>
  <c r="CG8" i="73"/>
  <c r="CG11" i="73" s="1"/>
  <c r="CA7" i="82"/>
  <c r="CA10" i="82" s="1"/>
  <c r="CA12" i="82" s="1"/>
  <c r="CA17" i="82" s="1"/>
  <c r="CG7" i="81"/>
  <c r="CG10" i="81" s="1"/>
  <c r="CG8" i="81"/>
  <c r="CG11" i="81" s="1"/>
  <c r="CD7" i="79"/>
  <c r="CD10" i="79" s="1"/>
  <c r="CE8" i="79"/>
  <c r="CE11" i="79" s="1"/>
  <c r="CF7" i="77"/>
  <c r="CF10" i="77" s="1"/>
  <c r="CF11" i="77" s="1"/>
  <c r="CF16" i="77" s="1"/>
  <c r="CB8" i="76"/>
  <c r="CB11" i="76" s="1"/>
  <c r="CB7" i="75"/>
  <c r="CB9" i="75" s="1"/>
  <c r="CB11" i="75" s="1"/>
  <c r="CB16" i="75" s="1"/>
  <c r="CG7" i="74"/>
  <c r="CG9" i="74" s="1"/>
  <c r="CG11" i="74" s="1"/>
  <c r="CG16" i="74" s="1"/>
  <c r="CH7" i="73"/>
  <c r="CH10" i="73" s="1"/>
  <c r="CH8" i="73"/>
  <c r="CH11" i="73" s="1"/>
  <c r="CH8" i="70"/>
  <c r="CG11" i="70"/>
  <c r="CG20" i="70" s="1"/>
  <c r="CA7" i="67"/>
  <c r="CA10" i="67" s="1"/>
  <c r="CA13" i="67" s="1"/>
  <c r="CA18" i="67" s="1"/>
  <c r="CD7" i="66"/>
  <c r="CD10" i="66" s="1"/>
  <c r="CB7" i="63"/>
  <c r="CB10" i="63" s="1"/>
  <c r="CG7" i="62"/>
  <c r="CG10" i="62" s="1"/>
  <c r="CG8" i="62"/>
  <c r="CG11" i="62" s="1"/>
  <c r="CD7" i="61"/>
  <c r="CD10" i="61" s="1"/>
  <c r="CD12" i="61" s="1"/>
  <c r="CD13" i="61" s="1"/>
  <c r="CD14" i="61" s="1"/>
  <c r="CD15" i="61" s="1"/>
  <c r="CD18" i="61" s="1"/>
  <c r="CD20" i="61" s="1"/>
  <c r="CB7" i="61"/>
  <c r="CB10" i="61" s="1"/>
  <c r="CB12" i="61" s="1"/>
  <c r="CB13" i="61" s="1"/>
  <c r="CB14" i="61" s="1"/>
  <c r="CB15" i="61" s="1"/>
  <c r="CB18" i="61" s="1"/>
  <c r="CB20" i="61" s="1"/>
  <c r="CH8" i="60"/>
  <c r="CH10" i="60" s="1"/>
  <c r="CH7" i="58"/>
  <c r="CH12" i="58" s="1"/>
  <c r="CH8" i="58"/>
  <c r="CH13" i="58" s="1"/>
  <c r="CD7" i="48"/>
  <c r="CD9" i="48" s="1"/>
  <c r="CB7" i="52"/>
  <c r="CB11" i="52" s="1"/>
  <c r="CB8" i="52"/>
  <c r="CB12" i="52" s="1"/>
  <c r="CF8" i="54"/>
  <c r="CF12" i="54" s="1"/>
  <c r="CB8" i="55"/>
  <c r="CB12" i="55" s="1"/>
  <c r="CG7" i="46"/>
  <c r="CG9" i="46" s="1"/>
  <c r="CG10" i="46" s="1"/>
  <c r="CG15" i="46" s="1"/>
  <c r="CH7" i="49"/>
  <c r="CH11" i="49" s="1"/>
  <c r="CH8" i="49"/>
  <c r="CH10" i="49" s="1"/>
  <c r="CB7" i="50"/>
  <c r="CB11" i="50" s="1"/>
  <c r="CB8" i="51"/>
  <c r="CB12" i="51" s="1"/>
  <c r="CH7" i="39"/>
  <c r="CH9" i="39" s="1"/>
  <c r="CH10" i="39" s="1"/>
  <c r="CA7" i="85"/>
  <c r="CA10" i="85" s="1"/>
  <c r="CA12" i="85" s="1"/>
  <c r="CA17" i="85" s="1"/>
  <c r="CC7" i="82"/>
  <c r="CC10" i="82" s="1"/>
  <c r="CC12" i="82" s="1"/>
  <c r="CC17" i="82" s="1"/>
  <c r="CA7" i="81"/>
  <c r="CA10" i="81" s="1"/>
  <c r="CA8" i="81"/>
  <c r="CA11" i="81" s="1"/>
  <c r="CF7" i="79"/>
  <c r="CF10" i="79" s="1"/>
  <c r="CG8" i="79"/>
  <c r="CG11" i="79" s="1"/>
  <c r="CH7" i="77"/>
  <c r="CH10" i="77" s="1"/>
  <c r="CH11" i="77" s="1"/>
  <c r="CH16" i="77" s="1"/>
  <c r="CC7" i="76"/>
  <c r="CC10" i="76" s="1"/>
  <c r="CD8" i="76"/>
  <c r="CD11" i="76" s="1"/>
  <c r="CD7" i="75"/>
  <c r="CD9" i="75" s="1"/>
  <c r="CD11" i="75" s="1"/>
  <c r="CD16" i="75" s="1"/>
  <c r="CB7" i="73"/>
  <c r="CB10" i="73" s="1"/>
  <c r="CB8" i="73"/>
  <c r="CB11" i="73" s="1"/>
  <c r="CF7" i="70"/>
  <c r="CF17" i="70" s="1"/>
  <c r="CE12" i="70"/>
  <c r="CC7" i="67"/>
  <c r="CC10" i="67" s="1"/>
  <c r="CC13" i="67" s="1"/>
  <c r="CC18" i="67" s="1"/>
  <c r="CA8" i="66"/>
  <c r="CA11" i="66" s="1"/>
  <c r="CD7" i="63"/>
  <c r="CD10" i="63" s="1"/>
  <c r="CA7" i="62"/>
  <c r="CA10" i="62" s="1"/>
  <c r="CA8" i="62"/>
  <c r="CA11" i="62" s="1"/>
  <c r="CF7" i="61"/>
  <c r="CF10" i="61" s="1"/>
  <c r="CF12" i="61" s="1"/>
  <c r="CF13" i="61" s="1"/>
  <c r="CF14" i="61" s="1"/>
  <c r="CF15" i="61" s="1"/>
  <c r="CF18" i="61" s="1"/>
  <c r="CF20" i="61" s="1"/>
  <c r="CB8" i="60"/>
  <c r="CB10" i="60" s="1"/>
  <c r="CB7" i="58"/>
  <c r="CB12" i="58" s="1"/>
  <c r="CB8" i="58"/>
  <c r="CB13" i="58" s="1"/>
  <c r="CF7" i="48"/>
  <c r="CF9" i="48" s="1"/>
  <c r="CD7" i="52"/>
  <c r="CD11" i="52" s="1"/>
  <c r="CD8" i="52"/>
  <c r="CD12" i="52" s="1"/>
  <c r="CE7" i="54"/>
  <c r="CE11" i="54" s="1"/>
  <c r="CH8" i="54"/>
  <c r="CH12" i="54" s="1"/>
  <c r="CC7" i="55"/>
  <c r="CC11" i="55" s="1"/>
  <c r="CD8" i="55"/>
  <c r="CD12" i="55" s="1"/>
  <c r="CA7" i="46"/>
  <c r="CA9" i="46" s="1"/>
  <c r="CA10" i="46" s="1"/>
  <c r="CA15" i="46" s="1"/>
  <c r="CB7" i="49"/>
  <c r="CB11" i="49" s="1"/>
  <c r="CB8" i="49"/>
  <c r="CB10" i="49" s="1"/>
  <c r="CD7" i="50"/>
  <c r="CD11" i="50" s="1"/>
  <c r="CD8" i="51"/>
  <c r="CD12" i="51" s="1"/>
  <c r="CB7" i="39"/>
  <c r="CB9" i="39" s="1"/>
  <c r="CB10" i="39" s="1"/>
  <c r="CB7" i="85"/>
  <c r="CB10" i="85" s="1"/>
  <c r="CB12" i="85" s="1"/>
  <c r="CD7" i="82"/>
  <c r="CD10" i="82" s="1"/>
  <c r="CD12" i="82" s="1"/>
  <c r="CD17" i="82" s="1"/>
  <c r="CB7" i="81"/>
  <c r="CB10" i="81" s="1"/>
  <c r="CB8" i="81"/>
  <c r="CB11" i="81" s="1"/>
  <c r="CG7" i="79"/>
  <c r="CG10" i="79" s="1"/>
  <c r="CH8" i="79"/>
  <c r="CH11" i="79" s="1"/>
  <c r="CA7" i="77"/>
  <c r="CA10" i="77" s="1"/>
  <c r="CA11" i="77" s="1"/>
  <c r="CA16" i="77" s="1"/>
  <c r="CD7" i="76"/>
  <c r="CD10" i="76" s="1"/>
  <c r="CE8" i="76"/>
  <c r="CE11" i="76" s="1"/>
  <c r="CE7" i="75"/>
  <c r="CE9" i="75" s="1"/>
  <c r="CE11" i="75" s="1"/>
  <c r="CE16" i="75" s="1"/>
  <c r="CC7" i="73"/>
  <c r="CC10" i="73" s="1"/>
  <c r="CC8" i="73"/>
  <c r="CC11" i="73" s="1"/>
  <c r="CG7" i="70"/>
  <c r="CG17" i="70" s="1"/>
  <c r="CF12" i="70"/>
  <c r="CF14" i="70" s="1"/>
  <c r="CD7" i="67"/>
  <c r="CD10" i="67" s="1"/>
  <c r="CD13" i="67" s="1"/>
  <c r="CD18" i="67" s="1"/>
  <c r="CB8" i="66"/>
  <c r="CB11" i="66" s="1"/>
  <c r="CE7" i="63"/>
  <c r="CE10" i="63" s="1"/>
  <c r="CB7" i="62"/>
  <c r="CB10" i="62" s="1"/>
  <c r="CB8" i="62"/>
  <c r="CB11" i="62" s="1"/>
  <c r="CG7" i="61"/>
  <c r="CG10" i="61" s="1"/>
  <c r="CG12" i="61" s="1"/>
  <c r="CG13" i="61" s="1"/>
  <c r="CG14" i="61" s="1"/>
  <c r="CG15" i="61" s="1"/>
  <c r="CG18" i="61" s="1"/>
  <c r="CG20" i="61" s="1"/>
  <c r="CC8" i="60"/>
  <c r="CC10" i="60" s="1"/>
  <c r="CC7" i="58"/>
  <c r="CC12" i="58" s="1"/>
  <c r="CC8" i="58"/>
  <c r="CC13" i="58" s="1"/>
  <c r="CG7" i="48"/>
  <c r="CG9" i="48" s="1"/>
  <c r="CE7" i="52"/>
  <c r="CE11" i="52" s="1"/>
  <c r="CE8" i="52"/>
  <c r="CE12" i="52" s="1"/>
  <c r="CF7" i="54"/>
  <c r="CF11" i="54" s="1"/>
  <c r="CD7" i="55"/>
  <c r="CD11" i="55" s="1"/>
  <c r="CE8" i="55"/>
  <c r="CE12" i="55" s="1"/>
  <c r="CB7" i="46"/>
  <c r="CB9" i="46" s="1"/>
  <c r="CB10" i="46" s="1"/>
  <c r="CB15" i="46" s="1"/>
  <c r="CC7" i="81"/>
  <c r="CC10" i="81" s="1"/>
  <c r="CF7" i="75"/>
  <c r="CF9" i="75" s="1"/>
  <c r="CF11" i="75" s="1"/>
  <c r="CF16" i="75" s="1"/>
  <c r="CG12" i="70"/>
  <c r="CB7" i="67"/>
  <c r="CB10" i="67" s="1"/>
  <c r="CB13" i="67" s="1"/>
  <c r="CB18" i="67" s="1"/>
  <c r="BZ7" i="62"/>
  <c r="BZ10" i="62" s="1"/>
  <c r="CD7" i="58"/>
  <c r="CD12" i="58" s="1"/>
  <c r="CE7" i="55"/>
  <c r="CE11" i="55" s="1"/>
  <c r="CC8" i="49"/>
  <c r="CC10" i="49" s="1"/>
  <c r="CB4" i="44"/>
  <c r="CB7" i="44" s="1"/>
  <c r="CC5" i="44"/>
  <c r="CC8" i="44" s="1"/>
  <c r="CE8" i="38"/>
  <c r="CE12" i="38" s="1"/>
  <c r="CE9" i="38"/>
  <c r="CE13" i="38" s="1"/>
  <c r="CA4" i="35"/>
  <c r="CA8" i="35" s="1"/>
  <c r="CB5" i="35"/>
  <c r="CB9" i="35" s="1"/>
  <c r="CE5" i="45"/>
  <c r="CE9" i="45" s="1"/>
  <c r="CE11" i="45" s="1"/>
  <c r="CE16" i="45" s="1"/>
  <c r="CE4" i="32"/>
  <c r="CE9" i="32" s="1"/>
  <c r="CF5" i="32"/>
  <c r="CF10" i="32" s="1"/>
  <c r="CG6" i="32"/>
  <c r="CG11" i="32" s="1"/>
  <c r="BZ7" i="85"/>
  <c r="BZ10" i="85" s="1"/>
  <c r="BZ12" i="85" s="1"/>
  <c r="BZ17" i="85" s="1"/>
  <c r="CF8" i="79"/>
  <c r="CF11" i="79" s="1"/>
  <c r="CB7" i="76"/>
  <c r="CB10" i="76" s="1"/>
  <c r="CC7" i="74"/>
  <c r="CC9" i="74" s="1"/>
  <c r="CC11" i="74" s="1"/>
  <c r="CC16" i="74" s="1"/>
  <c r="CA7" i="73"/>
  <c r="CA10" i="73" s="1"/>
  <c r="CE7" i="70"/>
  <c r="CE17" i="70" s="1"/>
  <c r="CE7" i="67"/>
  <c r="CE10" i="67" s="1"/>
  <c r="CE13" i="67" s="1"/>
  <c r="CE18" i="67" s="1"/>
  <c r="CA7" i="63"/>
  <c r="CA10" i="63" s="1"/>
  <c r="CC7" i="62"/>
  <c r="CC10" i="62" s="1"/>
  <c r="CG7" i="58"/>
  <c r="CG12" i="58" s="1"/>
  <c r="CA7" i="52"/>
  <c r="CA11" i="52" s="1"/>
  <c r="CH7" i="55"/>
  <c r="CH11" i="55" s="1"/>
  <c r="CD8" i="49"/>
  <c r="CD10" i="49" s="1"/>
  <c r="CC4" i="44"/>
  <c r="CC7" i="44" s="1"/>
  <c r="CD5" i="44"/>
  <c r="CD8" i="44" s="1"/>
  <c r="CF8" i="38"/>
  <c r="CF12" i="38" s="1"/>
  <c r="CF9" i="38"/>
  <c r="CF13" i="38" s="1"/>
  <c r="CB4" i="35"/>
  <c r="CB8" i="35" s="1"/>
  <c r="CC5" i="35"/>
  <c r="CC9" i="35" s="1"/>
  <c r="CF5" i="45"/>
  <c r="CF9" i="45" s="1"/>
  <c r="CF11" i="45" s="1"/>
  <c r="CF16" i="45" s="1"/>
  <c r="CF4" i="32"/>
  <c r="CF9" i="32" s="1"/>
  <c r="CG5" i="32"/>
  <c r="CG10" i="32" s="1"/>
  <c r="CE4" i="31"/>
  <c r="CE9" i="31" s="1"/>
  <c r="CD8" i="29"/>
  <c r="CD12" i="29" s="1"/>
  <c r="CE5" i="57"/>
  <c r="CE8" i="57" s="1"/>
  <c r="CF6" i="57"/>
  <c r="CF9" i="57" s="1"/>
  <c r="CD6" i="30"/>
  <c r="CD10" i="30" s="1"/>
  <c r="CA7" i="28"/>
  <c r="CA10" i="28" s="1"/>
  <c r="CF6" i="23"/>
  <c r="CF9" i="23" s="1"/>
  <c r="CC7" i="85"/>
  <c r="CC10" i="85" s="1"/>
  <c r="CC12" i="85" s="1"/>
  <c r="CC17" i="85" s="1"/>
  <c r="CC8" i="81"/>
  <c r="CC11" i="81" s="1"/>
  <c r="CE7" i="76"/>
  <c r="CE10" i="76" s="1"/>
  <c r="CH7" i="74"/>
  <c r="CH9" i="74" s="1"/>
  <c r="CH11" i="74" s="1"/>
  <c r="CH16" i="74" s="1"/>
  <c r="CD7" i="73"/>
  <c r="CD10" i="73" s="1"/>
  <c r="CH7" i="70"/>
  <c r="CH17" i="70" s="1"/>
  <c r="CH7" i="67"/>
  <c r="CH10" i="67" s="1"/>
  <c r="CH13" i="67" s="1"/>
  <c r="CH18" i="67" s="1"/>
  <c r="CC7" i="63"/>
  <c r="CC10" i="63" s="1"/>
  <c r="CF7" i="62"/>
  <c r="CF10" i="62" s="1"/>
  <c r="CA8" i="58"/>
  <c r="CA13" i="58" s="1"/>
  <c r="CC7" i="48"/>
  <c r="CC9" i="48" s="1"/>
  <c r="CC7" i="52"/>
  <c r="CC11" i="52" s="1"/>
  <c r="CC8" i="55"/>
  <c r="CC12" i="55" s="1"/>
  <c r="CG8" i="49"/>
  <c r="CG10" i="49" s="1"/>
  <c r="CA7" i="50"/>
  <c r="CA11" i="50" s="1"/>
  <c r="CA8" i="51"/>
  <c r="CA12" i="51" s="1"/>
  <c r="CD4" i="44"/>
  <c r="CD7" i="44" s="1"/>
  <c r="CE5" i="44"/>
  <c r="CE8" i="44" s="1"/>
  <c r="CG8" i="38"/>
  <c r="CG12" i="38" s="1"/>
  <c r="CG9" i="38"/>
  <c r="CG13" i="38" s="1"/>
  <c r="CC4" i="35"/>
  <c r="CC8" i="35" s="1"/>
  <c r="CD5" i="35"/>
  <c r="CD9" i="35" s="1"/>
  <c r="CG5" i="45"/>
  <c r="CG9" i="45" s="1"/>
  <c r="CG11" i="45" s="1"/>
  <c r="CG16" i="45" s="1"/>
  <c r="CG4" i="32"/>
  <c r="CG9" i="32" s="1"/>
  <c r="CA6" i="32"/>
  <c r="CA11" i="32" s="1"/>
  <c r="CF4" i="31"/>
  <c r="CF9" i="31" s="1"/>
  <c r="CE8" i="29"/>
  <c r="CE12" i="29" s="1"/>
  <c r="CF5" i="57"/>
  <c r="CF8" i="57" s="1"/>
  <c r="CG6" i="57"/>
  <c r="CG9" i="57" s="1"/>
  <c r="BZ7" i="30"/>
  <c r="BZ11" i="30" s="1"/>
  <c r="CB7" i="28"/>
  <c r="CB10" i="28" s="1"/>
  <c r="CG6" i="23"/>
  <c r="CG9" i="23" s="1"/>
  <c r="CG7" i="23"/>
  <c r="CG10" i="23" s="1"/>
  <c r="BZ6" i="20"/>
  <c r="BZ9" i="20" s="1"/>
  <c r="CB6" i="19"/>
  <c r="CB9" i="19" s="1"/>
  <c r="CB11" i="19" s="1"/>
  <c r="CB16" i="19" s="1"/>
  <c r="CA8" i="18"/>
  <c r="CA11" i="18" s="1"/>
  <c r="BZ7" i="41"/>
  <c r="BZ10" i="41" s="1"/>
  <c r="CA6" i="10"/>
  <c r="CA9" i="10" s="1"/>
  <c r="CC4" i="40"/>
  <c r="CC7" i="40" s="1"/>
  <c r="CC9" i="40" s="1"/>
  <c r="CC14" i="40" s="1"/>
  <c r="BZ6" i="2"/>
  <c r="CA6" i="11"/>
  <c r="CA9" i="11" s="1"/>
  <c r="CA10" i="11" s="1"/>
  <c r="CA15" i="11" s="1"/>
  <c r="CA6" i="5"/>
  <c r="CA11" i="5" s="1"/>
  <c r="CB7" i="82"/>
  <c r="CB10" i="82" s="1"/>
  <c r="CB12" i="82" s="1"/>
  <c r="CB17" i="82" s="1"/>
  <c r="CH8" i="81"/>
  <c r="CH11" i="81" s="1"/>
  <c r="CC8" i="76"/>
  <c r="CC11" i="76" s="1"/>
  <c r="CA8" i="73"/>
  <c r="CA11" i="73" s="1"/>
  <c r="CG8" i="70"/>
  <c r="CC7" i="66"/>
  <c r="CC10" i="66" s="1"/>
  <c r="CF7" i="63"/>
  <c r="CF10" i="63" s="1"/>
  <c r="CH7" i="62"/>
  <c r="CH10" i="62" s="1"/>
  <c r="CA8" i="60"/>
  <c r="CA10" i="60" s="1"/>
  <c r="CD8" i="58"/>
  <c r="CD13" i="58" s="1"/>
  <c r="CE7" i="48"/>
  <c r="CE9" i="48" s="1"/>
  <c r="CF7" i="52"/>
  <c r="CF11" i="52" s="1"/>
  <c r="CD7" i="54"/>
  <c r="CD11" i="54" s="1"/>
  <c r="CF8" i="55"/>
  <c r="CF12" i="55" s="1"/>
  <c r="CA7" i="49"/>
  <c r="CA11" i="49" s="1"/>
  <c r="CC7" i="50"/>
  <c r="CC11" i="50" s="1"/>
  <c r="CC8" i="51"/>
  <c r="CC12" i="51" s="1"/>
  <c r="CA7" i="39"/>
  <c r="CA9" i="39" s="1"/>
  <c r="CA10" i="39" s="1"/>
  <c r="CE4" i="44"/>
  <c r="CE7" i="44" s="1"/>
  <c r="CF5" i="44"/>
  <c r="CF8" i="44" s="1"/>
  <c r="CH8" i="38"/>
  <c r="CH12" i="38" s="1"/>
  <c r="CH9" i="38"/>
  <c r="CH13" i="38" s="1"/>
  <c r="CD4" i="35"/>
  <c r="CD8" i="35" s="1"/>
  <c r="CE5" i="35"/>
  <c r="CE9" i="35" s="1"/>
  <c r="BZ5" i="45"/>
  <c r="BZ9" i="45" s="1"/>
  <c r="BZ11" i="45" s="1"/>
  <c r="BZ16" i="45" s="1"/>
  <c r="CA5" i="32"/>
  <c r="CA10" i="32" s="1"/>
  <c r="CB6" i="32"/>
  <c r="CB11" i="32" s="1"/>
  <c r="CG4" i="31"/>
  <c r="CG9" i="31" s="1"/>
  <c r="CF8" i="29"/>
  <c r="CF12" i="29" s="1"/>
  <c r="CA7" i="30"/>
  <c r="CA11" i="30" s="1"/>
  <c r="CC7" i="28"/>
  <c r="CC10" i="28" s="1"/>
  <c r="BZ6" i="23"/>
  <c r="BZ9" i="23" s="1"/>
  <c r="BZ7" i="23"/>
  <c r="BZ10" i="23" s="1"/>
  <c r="CA6" i="20"/>
  <c r="CA9" i="20" s="1"/>
  <c r="CC6" i="19"/>
  <c r="CC9" i="19" s="1"/>
  <c r="CC11" i="19" s="1"/>
  <c r="CC16" i="19" s="1"/>
  <c r="CB8" i="18"/>
  <c r="CB11" i="18" s="1"/>
  <c r="CA7" i="41"/>
  <c r="CA10" i="41" s="1"/>
  <c r="CB6" i="10"/>
  <c r="CB9" i="10" s="1"/>
  <c r="CA6" i="2"/>
  <c r="CB6" i="11"/>
  <c r="CB9" i="11" s="1"/>
  <c r="CB10" i="11" s="1"/>
  <c r="CB15" i="11" s="1"/>
  <c r="CB6" i="5"/>
  <c r="CB11" i="5" s="1"/>
  <c r="CE7" i="82"/>
  <c r="CE10" i="82" s="1"/>
  <c r="CE12" i="82" s="1"/>
  <c r="CE17" i="82" s="1"/>
  <c r="CF8" i="76"/>
  <c r="CF11" i="76" s="1"/>
  <c r="CD8" i="73"/>
  <c r="CD11" i="73" s="1"/>
  <c r="CE7" i="66"/>
  <c r="CE10" i="66" s="1"/>
  <c r="CC8" i="62"/>
  <c r="CC11" i="62" s="1"/>
  <c r="CC7" i="61"/>
  <c r="CC10" i="61" s="1"/>
  <c r="CC12" i="61" s="1"/>
  <c r="CC13" i="61" s="1"/>
  <c r="CC14" i="61" s="1"/>
  <c r="CC15" i="61" s="1"/>
  <c r="CC18" i="61" s="1"/>
  <c r="CC20" i="61" s="1"/>
  <c r="CD8" i="60"/>
  <c r="CD10" i="60" s="1"/>
  <c r="CG8" i="58"/>
  <c r="CG13" i="58" s="1"/>
  <c r="CH7" i="48"/>
  <c r="CH9" i="48" s="1"/>
  <c r="CA8" i="52"/>
  <c r="CA12" i="52" s="1"/>
  <c r="CG7" i="54"/>
  <c r="CG11" i="54" s="1"/>
  <c r="CC7" i="49"/>
  <c r="CC11" i="49" s="1"/>
  <c r="CE7" i="50"/>
  <c r="CE11" i="50" s="1"/>
  <c r="CE8" i="51"/>
  <c r="CE12" i="51" s="1"/>
  <c r="CC7" i="39"/>
  <c r="CC9" i="39" s="1"/>
  <c r="CC10" i="39" s="1"/>
  <c r="CF4" i="44"/>
  <c r="CF7" i="44" s="1"/>
  <c r="CG5" i="44"/>
  <c r="CG8" i="44" s="1"/>
  <c r="CA8" i="38"/>
  <c r="CA12" i="38" s="1"/>
  <c r="CA9" i="38"/>
  <c r="CA13" i="38" s="1"/>
  <c r="CE4" i="35"/>
  <c r="CE8" i="35" s="1"/>
  <c r="CF5" i="35"/>
  <c r="CF9" i="35" s="1"/>
  <c r="CA5" i="45"/>
  <c r="CA9" i="45" s="1"/>
  <c r="CA11" i="45" s="1"/>
  <c r="CA16" i="45" s="1"/>
  <c r="CA4" i="32"/>
  <c r="CA9" i="32" s="1"/>
  <c r="CB5" i="32"/>
  <c r="CB10" i="32" s="1"/>
  <c r="CC6" i="32"/>
  <c r="CC11" i="32" s="1"/>
  <c r="CG8" i="29"/>
  <c r="CG12" i="29" s="1"/>
  <c r="CA6" i="57"/>
  <c r="CA9" i="57" s="1"/>
  <c r="CB7" i="30"/>
  <c r="CB11" i="30" s="1"/>
  <c r="CA6" i="28"/>
  <c r="CA9" i="28" s="1"/>
  <c r="CD7" i="28"/>
  <c r="CD10" i="28" s="1"/>
  <c r="CA6" i="23"/>
  <c r="CA9" i="23" s="1"/>
  <c r="CA7" i="23"/>
  <c r="CA10" i="23" s="1"/>
  <c r="CB7" i="77"/>
  <c r="CB10" i="77" s="1"/>
  <c r="CB11" i="77" s="1"/>
  <c r="CB16" i="77" s="1"/>
  <c r="CF11" i="70"/>
  <c r="CF20" i="70" s="1"/>
  <c r="CE8" i="54"/>
  <c r="CE12" i="54" s="1"/>
  <c r="CC5" i="32"/>
  <c r="CC10" i="32" s="1"/>
  <c r="CC8" i="29"/>
  <c r="CC12" i="29" s="1"/>
  <c r="CB6" i="57"/>
  <c r="CB9" i="57" s="1"/>
  <c r="BZ6" i="30"/>
  <c r="BZ10" i="30" s="1"/>
  <c r="CB6" i="28"/>
  <c r="CB9" i="28" s="1"/>
  <c r="CB7" i="23"/>
  <c r="CB10" i="23" s="1"/>
  <c r="CC7" i="19"/>
  <c r="CC7" i="41"/>
  <c r="CC10" i="41" s="1"/>
  <c r="CB7" i="10"/>
  <c r="CB4" i="40"/>
  <c r="CB7" i="40" s="1"/>
  <c r="CB9" i="40" s="1"/>
  <c r="CB14" i="40" s="1"/>
  <c r="CB6" i="2"/>
  <c r="CA5" i="5"/>
  <c r="CA8" i="5" s="1"/>
  <c r="CB7" i="17"/>
  <c r="CB11" i="17" s="1"/>
  <c r="BZ6" i="15"/>
  <c r="BZ9" i="15" s="1"/>
  <c r="CB8" i="16"/>
  <c r="CB11" i="16" s="1"/>
  <c r="CB5" i="26"/>
  <c r="CB8" i="26" s="1"/>
  <c r="CB7" i="25"/>
  <c r="CB10" i="25" s="1"/>
  <c r="CC8" i="36"/>
  <c r="CC11" i="36" s="1"/>
  <c r="CA7" i="14"/>
  <c r="CA10" i="14" s="1"/>
  <c r="P14" i="13"/>
  <c r="X14" i="13"/>
  <c r="AF14" i="13"/>
  <c r="AN14" i="13"/>
  <c r="AV14" i="13"/>
  <c r="BD14" i="13"/>
  <c r="BL14" i="13"/>
  <c r="BT14" i="13"/>
  <c r="CB14" i="13"/>
  <c r="CA8" i="13"/>
  <c r="CA12" i="13" s="1"/>
  <c r="CC7" i="75"/>
  <c r="CC9" i="75" s="1"/>
  <c r="CC11" i="75" s="1"/>
  <c r="CC16" i="75" s="1"/>
  <c r="CC8" i="66"/>
  <c r="CC11" i="66" s="1"/>
  <c r="CG8" i="54"/>
  <c r="CG12" i="54" s="1"/>
  <c r="CB7" i="55"/>
  <c r="CB11" i="55" s="1"/>
  <c r="CF8" i="51"/>
  <c r="CF12" i="51" s="1"/>
  <c r="CB8" i="38"/>
  <c r="CB12" i="38" s="1"/>
  <c r="CD5" i="32"/>
  <c r="CD10" i="32" s="1"/>
  <c r="CC6" i="57"/>
  <c r="CC9" i="57" s="1"/>
  <c r="CA6" i="30"/>
  <c r="CA10" i="30" s="1"/>
  <c r="CC6" i="28"/>
  <c r="CC9" i="28" s="1"/>
  <c r="CC7" i="23"/>
  <c r="CC10" i="23" s="1"/>
  <c r="CB6" i="20"/>
  <c r="CB9" i="20" s="1"/>
  <c r="CC7" i="10"/>
  <c r="CC6" i="2"/>
  <c r="CB5" i="7"/>
  <c r="CB5" i="5"/>
  <c r="CB8" i="5" s="1"/>
  <c r="CC7" i="17"/>
  <c r="CC11" i="17" s="1"/>
  <c r="CA6" i="15"/>
  <c r="CA9" i="15" s="1"/>
  <c r="CC8" i="16"/>
  <c r="CC11" i="16" s="1"/>
  <c r="CC5" i="26"/>
  <c r="CC8" i="26" s="1"/>
  <c r="CC7" i="25"/>
  <c r="CC10" i="25" s="1"/>
  <c r="BZ7" i="36"/>
  <c r="BZ10" i="36" s="1"/>
  <c r="CB7" i="14"/>
  <c r="CB10" i="14" s="1"/>
  <c r="Q14" i="13"/>
  <c r="Y14" i="13"/>
  <c r="AG14" i="13"/>
  <c r="AO14" i="13"/>
  <c r="AW14" i="13"/>
  <c r="BE14" i="13"/>
  <c r="BM14" i="13"/>
  <c r="BU14" i="13"/>
  <c r="CC14" i="13"/>
  <c r="CB8" i="13"/>
  <c r="CB12" i="13" s="1"/>
  <c r="CA6" i="26"/>
  <c r="CA9" i="26" s="1"/>
  <c r="CA8" i="25"/>
  <c r="CA11" i="25" s="1"/>
  <c r="K14" i="13"/>
  <c r="AA14" i="13"/>
  <c r="AQ14" i="13"/>
  <c r="BG14" i="13"/>
  <c r="BW14" i="13"/>
  <c r="CH4" i="44"/>
  <c r="CH7" i="44" s="1"/>
  <c r="CB5" i="45"/>
  <c r="CB9" i="45" s="1"/>
  <c r="CB11" i="45" s="1"/>
  <c r="CB16" i="45" s="1"/>
  <c r="CA5" i="57"/>
  <c r="CA8" i="57" s="1"/>
  <c r="CE7" i="28"/>
  <c r="CE10" i="28" s="1"/>
  <c r="CB6" i="23"/>
  <c r="CB9" i="23" s="1"/>
  <c r="CA7" i="20"/>
  <c r="CA10" i="20" s="1"/>
  <c r="BZ9" i="18"/>
  <c r="BZ12" i="18" s="1"/>
  <c r="BZ6" i="10"/>
  <c r="BZ9" i="10" s="1"/>
  <c r="CB8" i="17"/>
  <c r="CB12" i="17" s="1"/>
  <c r="CB7" i="16"/>
  <c r="CB10" i="16" s="1"/>
  <c r="CB6" i="26"/>
  <c r="CB9" i="26" s="1"/>
  <c r="CB8" i="25"/>
  <c r="CB11" i="25" s="1"/>
  <c r="CA6" i="14"/>
  <c r="CA9" i="14" s="1"/>
  <c r="T14" i="13"/>
  <c r="AR14" i="13"/>
  <c r="BH14" i="13"/>
  <c r="BX14" i="13"/>
  <c r="CD7" i="49"/>
  <c r="CD11" i="49" s="1"/>
  <c r="CC7" i="46"/>
  <c r="CC9" i="46" s="1"/>
  <c r="CC10" i="46" s="1"/>
  <c r="CC15" i="46" s="1"/>
  <c r="CC8" i="38"/>
  <c r="CC12" i="38" s="1"/>
  <c r="CE5" i="32"/>
  <c r="CE10" i="32" s="1"/>
  <c r="CA4" i="31"/>
  <c r="CA9" i="31" s="1"/>
  <c r="CD6" i="57"/>
  <c r="CD9" i="57" s="1"/>
  <c r="CB6" i="30"/>
  <c r="CB10" i="30" s="1"/>
  <c r="CD6" i="28"/>
  <c r="CD9" i="28" s="1"/>
  <c r="CD7" i="23"/>
  <c r="CD10" i="23" s="1"/>
  <c r="CC6" i="20"/>
  <c r="CC9" i="20" s="1"/>
  <c r="BZ8" i="18"/>
  <c r="BZ11" i="18" s="1"/>
  <c r="CC5" i="7"/>
  <c r="CC5" i="5"/>
  <c r="CC8" i="5" s="1"/>
  <c r="BZ8" i="17"/>
  <c r="BZ12" i="17" s="1"/>
  <c r="CB6" i="15"/>
  <c r="CB9" i="15" s="1"/>
  <c r="BZ7" i="16"/>
  <c r="BZ10" i="16" s="1"/>
  <c r="BZ6" i="26"/>
  <c r="BZ9" i="26" s="1"/>
  <c r="BZ8" i="25"/>
  <c r="BZ11" i="25" s="1"/>
  <c r="CA7" i="36"/>
  <c r="CA10" i="36" s="1"/>
  <c r="CC7" i="14"/>
  <c r="CC10" i="14" s="1"/>
  <c r="R14" i="13"/>
  <c r="Z14" i="13"/>
  <c r="AH14" i="13"/>
  <c r="AP14" i="13"/>
  <c r="AX14" i="13"/>
  <c r="BF14" i="13"/>
  <c r="BN14" i="13"/>
  <c r="BV14" i="13"/>
  <c r="J14" i="13"/>
  <c r="CC8" i="13"/>
  <c r="CC12" i="13" s="1"/>
  <c r="CB7" i="36"/>
  <c r="CB10" i="36" s="1"/>
  <c r="BZ6" i="14"/>
  <c r="BZ9" i="14" s="1"/>
  <c r="S14" i="13"/>
  <c r="AI14" i="13"/>
  <c r="AY14" i="13"/>
  <c r="BO14" i="13"/>
  <c r="BZ7" i="13"/>
  <c r="BZ11" i="13" s="1"/>
  <c r="CH11" i="70"/>
  <c r="CH20" i="70" s="1"/>
  <c r="CH7" i="61"/>
  <c r="CH10" i="61" s="1"/>
  <c r="CH12" i="61" s="1"/>
  <c r="CH13" i="61" s="1"/>
  <c r="CH14" i="61" s="1"/>
  <c r="CH15" i="61" s="1"/>
  <c r="CH18" i="61" s="1"/>
  <c r="CH20" i="61" s="1"/>
  <c r="CH7" i="46"/>
  <c r="CH9" i="46" s="1"/>
  <c r="CH10" i="46" s="1"/>
  <c r="CH15" i="46" s="1"/>
  <c r="CD7" i="39"/>
  <c r="CD9" i="39" s="1"/>
  <c r="CD10" i="39" s="1"/>
  <c r="CB9" i="38"/>
  <c r="CB13" i="38" s="1"/>
  <c r="CG4" i="35"/>
  <c r="CG8" i="35" s="1"/>
  <c r="CE6" i="32"/>
  <c r="CE11" i="32" s="1"/>
  <c r="CC4" i="31"/>
  <c r="CC9" i="31" s="1"/>
  <c r="CC7" i="30"/>
  <c r="CC11" i="30" s="1"/>
  <c r="CF7" i="23"/>
  <c r="CF10" i="23" s="1"/>
  <c r="CA6" i="19"/>
  <c r="CA9" i="19" s="1"/>
  <c r="CA11" i="19" s="1"/>
  <c r="CA16" i="19" s="1"/>
  <c r="CC6" i="5"/>
  <c r="CC11" i="5" s="1"/>
  <c r="CC7" i="36"/>
  <c r="CC10" i="36" s="1"/>
  <c r="L14" i="13"/>
  <c r="AB14" i="13"/>
  <c r="AJ14" i="13"/>
  <c r="AZ14" i="13"/>
  <c r="BP14" i="13"/>
  <c r="CA7" i="13"/>
  <c r="CA11" i="13" s="1"/>
  <c r="CC8" i="52"/>
  <c r="CC12" i="52" s="1"/>
  <c r="CG7" i="39"/>
  <c r="CG9" i="39" s="1"/>
  <c r="CG10" i="39" s="1"/>
  <c r="CB5" i="44"/>
  <c r="CB8" i="44" s="1"/>
  <c r="CC9" i="38"/>
  <c r="CC13" i="38" s="1"/>
  <c r="CA5" i="35"/>
  <c r="CA9" i="35" s="1"/>
  <c r="CC5" i="45"/>
  <c r="CC9" i="45" s="1"/>
  <c r="CC11" i="45" s="1"/>
  <c r="CC16" i="45" s="1"/>
  <c r="CB4" i="32"/>
  <c r="CB9" i="32" s="1"/>
  <c r="CF6" i="32"/>
  <c r="CF11" i="32" s="1"/>
  <c r="CD4" i="31"/>
  <c r="CD9" i="31" s="1"/>
  <c r="BZ8" i="29"/>
  <c r="BZ12" i="29" s="1"/>
  <c r="CB5" i="57"/>
  <c r="CB8" i="57" s="1"/>
  <c r="CD7" i="30"/>
  <c r="CD11" i="30" s="1"/>
  <c r="CC6" i="23"/>
  <c r="CC9" i="23" s="1"/>
  <c r="CB7" i="20"/>
  <c r="CB10" i="20" s="1"/>
  <c r="BZ7" i="19"/>
  <c r="CA9" i="18"/>
  <c r="CA12" i="18" s="1"/>
  <c r="BZ6" i="11"/>
  <c r="BZ9" i="11" s="1"/>
  <c r="BZ10" i="11" s="1"/>
  <c r="BZ15" i="11" s="1"/>
  <c r="CC7" i="16"/>
  <c r="CC10" i="16" s="1"/>
  <c r="CB6" i="14"/>
  <c r="CB9" i="14" s="1"/>
  <c r="AC14" i="13"/>
  <c r="BA14" i="13"/>
  <c r="BY14" i="13"/>
  <c r="CE7" i="61"/>
  <c r="CE10" i="61" s="1"/>
  <c r="CE12" i="61" s="1"/>
  <c r="CE13" i="61" s="1"/>
  <c r="CE14" i="61" s="1"/>
  <c r="CE15" i="61" s="1"/>
  <c r="CE18" i="61" s="1"/>
  <c r="CE20" i="61" s="1"/>
  <c r="CA7" i="58"/>
  <c r="CA12" i="58" s="1"/>
  <c r="CF7" i="46"/>
  <c r="CF9" i="46" s="1"/>
  <c r="CF10" i="46" s="1"/>
  <c r="CF15" i="46" s="1"/>
  <c r="CF7" i="50"/>
  <c r="CF11" i="50" s="1"/>
  <c r="CG4" i="44"/>
  <c r="CG7" i="44" s="1"/>
  <c r="CD8" i="38"/>
  <c r="CD12" i="38" s="1"/>
  <c r="CF4" i="35"/>
  <c r="CF8" i="35" s="1"/>
  <c r="CD6" i="32"/>
  <c r="CD11" i="32" s="1"/>
  <c r="CB4" i="31"/>
  <c r="CB9" i="31" s="1"/>
  <c r="CE6" i="57"/>
  <c r="CE9" i="57" s="1"/>
  <c r="CC6" i="30"/>
  <c r="CC10" i="30" s="1"/>
  <c r="CE6" i="28"/>
  <c r="CE9" i="28" s="1"/>
  <c r="CE7" i="23"/>
  <c r="CE10" i="23" s="1"/>
  <c r="BZ7" i="20"/>
  <c r="BZ10" i="20" s="1"/>
  <c r="BZ6" i="19"/>
  <c r="BZ9" i="19" s="1"/>
  <c r="BZ11" i="19" s="1"/>
  <c r="BZ16" i="19" s="1"/>
  <c r="CC8" i="18"/>
  <c r="CC11" i="18" s="1"/>
  <c r="BZ6" i="5"/>
  <c r="BZ11" i="5" s="1"/>
  <c r="CA8" i="17"/>
  <c r="CA12" i="17" s="1"/>
  <c r="CC6" i="15"/>
  <c r="CC9" i="15" s="1"/>
  <c r="CA7" i="16"/>
  <c r="CA10" i="16" s="1"/>
  <c r="CE7" i="79"/>
  <c r="CE10" i="79" s="1"/>
  <c r="CF8" i="62"/>
  <c r="CF11" i="62" s="1"/>
  <c r="CH8" i="62"/>
  <c r="CH11" i="62" s="1"/>
  <c r="CG8" i="60"/>
  <c r="CG10" i="60" s="1"/>
  <c r="CF8" i="52"/>
  <c r="CF12" i="52" s="1"/>
  <c r="CG7" i="49"/>
  <c r="CG11" i="49" s="1"/>
  <c r="CH5" i="44"/>
  <c r="CH8" i="44" s="1"/>
  <c r="CD9" i="38"/>
  <c r="CD13" i="38" s="1"/>
  <c r="CG5" i="35"/>
  <c r="CG9" i="35" s="1"/>
  <c r="CD5" i="45"/>
  <c r="CD9" i="45" s="1"/>
  <c r="CD11" i="45" s="1"/>
  <c r="CC4" i="32"/>
  <c r="CC9" i="32" s="1"/>
  <c r="CA8" i="29"/>
  <c r="CA12" i="29" s="1"/>
  <c r="CC5" i="57"/>
  <c r="CC8" i="57" s="1"/>
  <c r="CD6" i="23"/>
  <c r="CD9" i="23" s="1"/>
  <c r="CC7" i="20"/>
  <c r="CC10" i="20" s="1"/>
  <c r="CA7" i="19"/>
  <c r="CB9" i="18"/>
  <c r="CB12" i="18" s="1"/>
  <c r="BZ7" i="10"/>
  <c r="CC6" i="11"/>
  <c r="CC9" i="11" s="1"/>
  <c r="CC10" i="11" s="1"/>
  <c r="CC15" i="11" s="1"/>
  <c r="BZ7" i="17"/>
  <c r="BZ11" i="17" s="1"/>
  <c r="BZ8" i="16"/>
  <c r="BZ11" i="16" s="1"/>
  <c r="BZ5" i="26"/>
  <c r="BZ8" i="26" s="1"/>
  <c r="BZ7" i="25"/>
  <c r="BZ10" i="25" s="1"/>
  <c r="CA8" i="36"/>
  <c r="CA11" i="36" s="1"/>
  <c r="CC6" i="14"/>
  <c r="CC9" i="14" s="1"/>
  <c r="N14" i="13"/>
  <c r="V14" i="13"/>
  <c r="AD14" i="13"/>
  <c r="AL14" i="13"/>
  <c r="AT14" i="13"/>
  <c r="BB14" i="13"/>
  <c r="BJ14" i="13"/>
  <c r="BR14" i="13"/>
  <c r="BZ14" i="13"/>
  <c r="CC7" i="13"/>
  <c r="CC11" i="13" s="1"/>
  <c r="CD5" i="57"/>
  <c r="CD8" i="57" s="1"/>
  <c r="CE6" i="23"/>
  <c r="CE9" i="23" s="1"/>
  <c r="CC9" i="18"/>
  <c r="CC12" i="18" s="1"/>
  <c r="CA7" i="10"/>
  <c r="BZ5" i="5"/>
  <c r="BZ8" i="5" s="1"/>
  <c r="CA7" i="17"/>
  <c r="CA11" i="17" s="1"/>
  <c r="CA8" i="16"/>
  <c r="CA11" i="16" s="1"/>
  <c r="CB8" i="36"/>
  <c r="CB11" i="36" s="1"/>
  <c r="O14" i="13"/>
  <c r="AE14" i="13"/>
  <c r="AU14" i="13"/>
  <c r="BK14" i="13"/>
  <c r="CA14" i="13"/>
  <c r="CC6" i="10"/>
  <c r="CC9" i="10" s="1"/>
  <c r="CC8" i="25"/>
  <c r="CC11" i="25" s="1"/>
  <c r="M14" i="13"/>
  <c r="AK14" i="13"/>
  <c r="BI14" i="13"/>
  <c r="CB7" i="13"/>
  <c r="CB11" i="13" s="1"/>
  <c r="CA8" i="49"/>
  <c r="CA10" i="49" s="1"/>
  <c r="CD4" i="32"/>
  <c r="CD9" i="32" s="1"/>
  <c r="CB8" i="29"/>
  <c r="CB12" i="29" s="1"/>
  <c r="CB7" i="19"/>
  <c r="CB7" i="41"/>
  <c r="CB10" i="41" s="1"/>
  <c r="CA4" i="40"/>
  <c r="CA7" i="40" s="1"/>
  <c r="CA9" i="40" s="1"/>
  <c r="CA14" i="40" s="1"/>
  <c r="CA5" i="26"/>
  <c r="CA8" i="26" s="1"/>
  <c r="CA7" i="25"/>
  <c r="CA10" i="25" s="1"/>
  <c r="BZ7" i="14"/>
  <c r="BZ10" i="14" s="1"/>
  <c r="W14" i="13"/>
  <c r="AM14" i="13"/>
  <c r="BC14" i="13"/>
  <c r="BS14" i="13"/>
  <c r="BZ8" i="13"/>
  <c r="BZ12" i="13" s="1"/>
  <c r="CC8" i="17"/>
  <c r="CC12" i="17" s="1"/>
  <c r="CC6" i="26"/>
  <c r="CC9" i="26" s="1"/>
  <c r="BZ8" i="36"/>
  <c r="BZ11" i="36" s="1"/>
  <c r="U14" i="13"/>
  <c r="AS14" i="13"/>
  <c r="BQ14" i="13"/>
  <c r="CA8" i="79"/>
  <c r="CA11" i="79" s="1"/>
  <c r="BZ7" i="79"/>
  <c r="BZ10" i="79" s="1"/>
  <c r="CA7" i="74"/>
  <c r="CA9" i="74" s="1"/>
  <c r="CA11" i="74" s="1"/>
  <c r="CA16" i="74" s="1"/>
  <c r="BZ7" i="67"/>
  <c r="BZ10" i="67" s="1"/>
  <c r="BZ13" i="67" s="1"/>
  <c r="BZ18" i="67" s="1"/>
  <c r="BZ8" i="60"/>
  <c r="BZ10" i="60" s="1"/>
  <c r="BZ8" i="52"/>
  <c r="BZ12" i="52" s="1"/>
  <c r="BZ8" i="51"/>
  <c r="BZ12" i="51" s="1"/>
  <c r="BY7" i="23"/>
  <c r="BY10" i="23" s="1"/>
  <c r="BY5" i="5"/>
  <c r="BY8" i="5" s="1"/>
  <c r="BY6" i="10"/>
  <c r="BY9" i="10" s="1"/>
  <c r="BY6" i="26"/>
  <c r="BY9" i="26" s="1"/>
  <c r="CB7" i="74"/>
  <c r="CB9" i="74" s="1"/>
  <c r="CB11" i="74" s="1"/>
  <c r="CB16" i="74" s="1"/>
  <c r="BZ7" i="58"/>
  <c r="BZ12" i="58" s="1"/>
  <c r="BY5" i="45"/>
  <c r="BY9" i="45" s="1"/>
  <c r="BY11" i="45" s="1"/>
  <c r="BY16" i="45" s="1"/>
  <c r="BY6" i="5"/>
  <c r="BY11" i="5" s="1"/>
  <c r="BZ8" i="58"/>
  <c r="BZ13" i="58" s="1"/>
  <c r="BZ8" i="79"/>
  <c r="BZ11" i="79" s="1"/>
  <c r="BZ7" i="66"/>
  <c r="BZ10" i="66" s="1"/>
  <c r="CA7" i="54"/>
  <c r="CA11" i="54" s="1"/>
  <c r="BZ5" i="7"/>
  <c r="BZ7" i="82"/>
  <c r="BZ10" i="82" s="1"/>
  <c r="BZ12" i="82" s="1"/>
  <c r="BZ17" i="82" s="1"/>
  <c r="BZ7" i="75"/>
  <c r="BZ9" i="75" s="1"/>
  <c r="BZ11" i="75" s="1"/>
  <c r="BZ16" i="75" s="1"/>
  <c r="CC7" i="54"/>
  <c r="CC11" i="54" s="1"/>
  <c r="BY8" i="29"/>
  <c r="BY12" i="29" s="1"/>
  <c r="BY6" i="19"/>
  <c r="BY9" i="19" s="1"/>
  <c r="BY11" i="19" s="1"/>
  <c r="BY16" i="19" s="1"/>
  <c r="BY8" i="17"/>
  <c r="BY12" i="17" s="1"/>
  <c r="BZ4" i="40"/>
  <c r="BZ7" i="40" s="1"/>
  <c r="BZ9" i="40" s="1"/>
  <c r="BZ14" i="40" s="1"/>
  <c r="CA5" i="7"/>
  <c r="BZ7" i="28"/>
  <c r="BZ10" i="28" s="1"/>
  <c r="BY6" i="2"/>
  <c r="BY5" i="7"/>
  <c r="BZ8" i="66"/>
  <c r="BZ11" i="66" s="1"/>
  <c r="BY4" i="40"/>
  <c r="BY7" i="40" s="1"/>
  <c r="BY9" i="40" s="1"/>
  <c r="BY14" i="40" s="1"/>
  <c r="CA7" i="75"/>
  <c r="CA9" i="75" s="1"/>
  <c r="CA11" i="75" s="1"/>
  <c r="CA16" i="75" s="1"/>
  <c r="BZ8" i="62"/>
  <c r="BZ11" i="62" s="1"/>
  <c r="CA8" i="54"/>
  <c r="CA12" i="54" s="1"/>
  <c r="BZ7" i="49"/>
  <c r="BZ11" i="49" s="1"/>
  <c r="BY6" i="28"/>
  <c r="BY9" i="28" s="1"/>
  <c r="BY7" i="19"/>
  <c r="BY7" i="16"/>
  <c r="BY10" i="16" s="1"/>
  <c r="BY8" i="25"/>
  <c r="BY11" i="25" s="1"/>
  <c r="BY5" i="26"/>
  <c r="BY8" i="26" s="1"/>
  <c r="BZ7" i="77"/>
  <c r="BZ10" i="77" s="1"/>
  <c r="BZ11" i="77" s="1"/>
  <c r="BZ16" i="77" s="1"/>
  <c r="BY7" i="17"/>
  <c r="BY11" i="17" s="1"/>
  <c r="BZ7" i="73"/>
  <c r="BZ10" i="73" s="1"/>
  <c r="BZ7" i="48"/>
  <c r="BZ9" i="48" s="1"/>
  <c r="CB8" i="54"/>
  <c r="CB12" i="54" s="1"/>
  <c r="BZ8" i="49"/>
  <c r="BZ10" i="49" s="1"/>
  <c r="BZ6" i="28"/>
  <c r="BZ9" i="28" s="1"/>
  <c r="BY8" i="16"/>
  <c r="BY11" i="16" s="1"/>
  <c r="BZ7" i="52"/>
  <c r="BZ11" i="52" s="1"/>
  <c r="BY6" i="23"/>
  <c r="BY9" i="23" s="1"/>
  <c r="BY7" i="10"/>
  <c r="CA7" i="79"/>
  <c r="CA10" i="79" s="1"/>
  <c r="BZ8" i="73"/>
  <c r="BZ11" i="73" s="1"/>
  <c r="BZ7" i="61"/>
  <c r="BZ10" i="61" s="1"/>
  <c r="BZ12" i="61" s="1"/>
  <c r="BZ13" i="61" s="1"/>
  <c r="BZ14" i="61" s="1"/>
  <c r="BZ15" i="61" s="1"/>
  <c r="BZ18" i="61" s="1"/>
  <c r="BZ20" i="61" s="1"/>
  <c r="CC8" i="54"/>
  <c r="CC12" i="54" s="1"/>
  <c r="BZ7" i="50"/>
  <c r="BZ11" i="50" s="1"/>
  <c r="BY7" i="28"/>
  <c r="BY10" i="28" s="1"/>
  <c r="BY7" i="41"/>
  <c r="BY10" i="41" s="1"/>
  <c r="BY7" i="25"/>
  <c r="BY10" i="25" s="1"/>
  <c r="BZ7" i="74"/>
  <c r="BZ9" i="74" s="1"/>
  <c r="BZ11" i="74" s="1"/>
  <c r="BZ16" i="74" s="1"/>
  <c r="BY6" i="20"/>
  <c r="BY9" i="20" s="1"/>
  <c r="CB7" i="54"/>
  <c r="CB11" i="54" s="1"/>
  <c r="BY7" i="20"/>
  <c r="BY10" i="20" s="1"/>
  <c r="BW7" i="85"/>
  <c r="BW10" i="85" s="1"/>
  <c r="BW12" i="85" s="1"/>
  <c r="BW17" i="85" s="1"/>
  <c r="BO7" i="85"/>
  <c r="BO10" i="85" s="1"/>
  <c r="BO12" i="85" s="1"/>
  <c r="BO17" i="85" s="1"/>
  <c r="BG7" i="85"/>
  <c r="BG10" i="85" s="1"/>
  <c r="BG12" i="85" s="1"/>
  <c r="BG17" i="85" s="1"/>
  <c r="AY7" i="85"/>
  <c r="AY10" i="85" s="1"/>
  <c r="AY12" i="85" s="1"/>
  <c r="AY17" i="85" s="1"/>
  <c r="AQ7" i="85"/>
  <c r="AQ10" i="85" s="1"/>
  <c r="AQ12" i="85" s="1"/>
  <c r="AQ17" i="85" s="1"/>
  <c r="AI7" i="85"/>
  <c r="AI10" i="85" s="1"/>
  <c r="AI12" i="85" s="1"/>
  <c r="AI17" i="85" s="1"/>
  <c r="AA7" i="85"/>
  <c r="AA10" i="85" s="1"/>
  <c r="AA12" i="85" s="1"/>
  <c r="AA17" i="85" s="1"/>
  <c r="S7" i="85"/>
  <c r="S10" i="85" s="1"/>
  <c r="S12" i="85" s="1"/>
  <c r="S17" i="85" s="1"/>
  <c r="K7" i="85"/>
  <c r="K10" i="85" s="1"/>
  <c r="K12" i="85" s="1"/>
  <c r="K17" i="85" s="1"/>
  <c r="BM7" i="85"/>
  <c r="BM10" i="85" s="1"/>
  <c r="BM12" i="85" s="1"/>
  <c r="BM17" i="85" s="1"/>
  <c r="AW7" i="85"/>
  <c r="AW10" i="85" s="1"/>
  <c r="AW12" i="85" s="1"/>
  <c r="AW17" i="85" s="1"/>
  <c r="AG7" i="85"/>
  <c r="AG10" i="85" s="1"/>
  <c r="AG12" i="85" s="1"/>
  <c r="AG17" i="85" s="1"/>
  <c r="Q7" i="85"/>
  <c r="Q10" i="85" s="1"/>
  <c r="Q12" i="85" s="1"/>
  <c r="Q17" i="85" s="1"/>
  <c r="BT7" i="85"/>
  <c r="BT10" i="85" s="1"/>
  <c r="BT12" i="85" s="1"/>
  <c r="BT17" i="85" s="1"/>
  <c r="BD7" i="85"/>
  <c r="BD10" i="85" s="1"/>
  <c r="BD12" i="85" s="1"/>
  <c r="BD17" i="85" s="1"/>
  <c r="AN7" i="85"/>
  <c r="AN10" i="85" s="1"/>
  <c r="AN12" i="85" s="1"/>
  <c r="AN17" i="85" s="1"/>
  <c r="X7" i="85"/>
  <c r="X10" i="85" s="1"/>
  <c r="X12" i="85" s="1"/>
  <c r="X17" i="85" s="1"/>
  <c r="BK7" i="85"/>
  <c r="BK10" i="85" s="1"/>
  <c r="BK12" i="85" s="1"/>
  <c r="BK17" i="85" s="1"/>
  <c r="AU7" i="85"/>
  <c r="AU10" i="85" s="1"/>
  <c r="AU12" i="85" s="1"/>
  <c r="AU17" i="85" s="1"/>
  <c r="AE7" i="85"/>
  <c r="AE10" i="85" s="1"/>
  <c r="AE12" i="85" s="1"/>
  <c r="AE17" i="85" s="1"/>
  <c r="O7" i="85"/>
  <c r="O10" i="85" s="1"/>
  <c r="O12" i="85" s="1"/>
  <c r="O17" i="85" s="1"/>
  <c r="BJ7" i="85"/>
  <c r="BJ10" i="85" s="1"/>
  <c r="BJ12" i="85" s="1"/>
  <c r="BJ17" i="85" s="1"/>
  <c r="AT7" i="85"/>
  <c r="AT10" i="85" s="1"/>
  <c r="AT12" i="85" s="1"/>
  <c r="AT17" i="85" s="1"/>
  <c r="AL7" i="85"/>
  <c r="AL10" i="85" s="1"/>
  <c r="AL12" i="85" s="1"/>
  <c r="AL17" i="85" s="1"/>
  <c r="V7" i="85"/>
  <c r="V10" i="85" s="1"/>
  <c r="V12" i="85" s="1"/>
  <c r="V17" i="85" s="1"/>
  <c r="BY7" i="85"/>
  <c r="BY10" i="85" s="1"/>
  <c r="BY12" i="85" s="1"/>
  <c r="BY17" i="85" s="1"/>
  <c r="BI7" i="85"/>
  <c r="BI10" i="85" s="1"/>
  <c r="BI12" i="85" s="1"/>
  <c r="BI17" i="85" s="1"/>
  <c r="AK7" i="85"/>
  <c r="AK10" i="85" s="1"/>
  <c r="AK12" i="85" s="1"/>
  <c r="AK17" i="85" s="1"/>
  <c r="U7" i="85"/>
  <c r="U10" i="85" s="1"/>
  <c r="U12" i="85" s="1"/>
  <c r="U17" i="85" s="1"/>
  <c r="BP7" i="85"/>
  <c r="BP10" i="85" s="1"/>
  <c r="BP12" i="85" s="1"/>
  <c r="BP17" i="85" s="1"/>
  <c r="AZ7" i="85"/>
  <c r="AZ10" i="85" s="1"/>
  <c r="AZ12" i="85" s="1"/>
  <c r="AZ17" i="85" s="1"/>
  <c r="AJ7" i="85"/>
  <c r="AJ10" i="85" s="1"/>
  <c r="AJ12" i="85" s="1"/>
  <c r="AJ17" i="85" s="1"/>
  <c r="T7" i="85"/>
  <c r="T10" i="85" s="1"/>
  <c r="T12" i="85" s="1"/>
  <c r="T17" i="85" s="1"/>
  <c r="BV7" i="85"/>
  <c r="BV10" i="85" s="1"/>
  <c r="BV12" i="85" s="1"/>
  <c r="BV17" i="85" s="1"/>
  <c r="BN7" i="85"/>
  <c r="BN10" i="85" s="1"/>
  <c r="BN12" i="85" s="1"/>
  <c r="BN17" i="85" s="1"/>
  <c r="BF7" i="85"/>
  <c r="BF10" i="85" s="1"/>
  <c r="BF12" i="85" s="1"/>
  <c r="BF17" i="85" s="1"/>
  <c r="AX7" i="85"/>
  <c r="AX10" i="85" s="1"/>
  <c r="AX12" i="85" s="1"/>
  <c r="AX17" i="85" s="1"/>
  <c r="AP7" i="85"/>
  <c r="AP10" i="85" s="1"/>
  <c r="AP12" i="85" s="1"/>
  <c r="AP17" i="85" s="1"/>
  <c r="AH7" i="85"/>
  <c r="AH10" i="85" s="1"/>
  <c r="AH12" i="85" s="1"/>
  <c r="AH17" i="85" s="1"/>
  <c r="Z7" i="85"/>
  <c r="Z10" i="85" s="1"/>
  <c r="Z12" i="85" s="1"/>
  <c r="Z17" i="85" s="1"/>
  <c r="R7" i="85"/>
  <c r="R10" i="85" s="1"/>
  <c r="R12" i="85" s="1"/>
  <c r="R17" i="85" s="1"/>
  <c r="J7" i="85"/>
  <c r="J10" i="85" s="1"/>
  <c r="J12" i="85" s="1"/>
  <c r="J17" i="85" s="1"/>
  <c r="BU7" i="85"/>
  <c r="BU10" i="85" s="1"/>
  <c r="BU12" i="85" s="1"/>
  <c r="BU17" i="85" s="1"/>
  <c r="BE7" i="85"/>
  <c r="BE10" i="85" s="1"/>
  <c r="BE12" i="85" s="1"/>
  <c r="BE17" i="85" s="1"/>
  <c r="AO7" i="85"/>
  <c r="AO10" i="85" s="1"/>
  <c r="AO12" i="85" s="1"/>
  <c r="AO17" i="85" s="1"/>
  <c r="Y7" i="85"/>
  <c r="Y10" i="85" s="1"/>
  <c r="Y12" i="85" s="1"/>
  <c r="Y17" i="85" s="1"/>
  <c r="I7" i="85"/>
  <c r="I10" i="85" s="1"/>
  <c r="I12" i="85" s="1"/>
  <c r="I17" i="85" s="1"/>
  <c r="BL7" i="85"/>
  <c r="BL10" i="85" s="1"/>
  <c r="BL12" i="85" s="1"/>
  <c r="BL17" i="85" s="1"/>
  <c r="AV7" i="85"/>
  <c r="AV10" i="85" s="1"/>
  <c r="AV12" i="85" s="1"/>
  <c r="AV17" i="85" s="1"/>
  <c r="AF7" i="85"/>
  <c r="AF10" i="85" s="1"/>
  <c r="AF12" i="85" s="1"/>
  <c r="AF17" i="85" s="1"/>
  <c r="P7" i="85"/>
  <c r="P10" i="85" s="1"/>
  <c r="P12" i="85" s="1"/>
  <c r="P17" i="85" s="1"/>
  <c r="BS7" i="85"/>
  <c r="BS10" i="85" s="1"/>
  <c r="BS12" i="85" s="1"/>
  <c r="BS17" i="85" s="1"/>
  <c r="BC7" i="85"/>
  <c r="BC10" i="85" s="1"/>
  <c r="BC12" i="85" s="1"/>
  <c r="BC17" i="85" s="1"/>
  <c r="AM7" i="85"/>
  <c r="AM10" i="85" s="1"/>
  <c r="AM12" i="85" s="1"/>
  <c r="AM17" i="85" s="1"/>
  <c r="W7" i="85"/>
  <c r="W10" i="85" s="1"/>
  <c r="W12" i="85" s="1"/>
  <c r="W17" i="85" s="1"/>
  <c r="BR7" i="85"/>
  <c r="BR10" i="85" s="1"/>
  <c r="BR12" i="85" s="1"/>
  <c r="BR17" i="85" s="1"/>
  <c r="BB7" i="85"/>
  <c r="BB10" i="85" s="1"/>
  <c r="BB12" i="85" s="1"/>
  <c r="BB17" i="85" s="1"/>
  <c r="AD7" i="85"/>
  <c r="AD10" i="85" s="1"/>
  <c r="AD12" i="85" s="1"/>
  <c r="AD17" i="85" s="1"/>
  <c r="N7" i="85"/>
  <c r="N10" i="85" s="1"/>
  <c r="N12" i="85" s="1"/>
  <c r="N17" i="85" s="1"/>
  <c r="BQ7" i="85"/>
  <c r="BQ10" i="85" s="1"/>
  <c r="BQ12" i="85" s="1"/>
  <c r="BQ17" i="85" s="1"/>
  <c r="BA7" i="85"/>
  <c r="BA10" i="85" s="1"/>
  <c r="BA12" i="85" s="1"/>
  <c r="BA17" i="85" s="1"/>
  <c r="AS7" i="85"/>
  <c r="AS10" i="85" s="1"/>
  <c r="AS12" i="85" s="1"/>
  <c r="AS17" i="85" s="1"/>
  <c r="AC7" i="85"/>
  <c r="AC10" i="85" s="1"/>
  <c r="AC12" i="85" s="1"/>
  <c r="AC17" i="85" s="1"/>
  <c r="M7" i="85"/>
  <c r="M10" i="85" s="1"/>
  <c r="M12" i="85" s="1"/>
  <c r="M17" i="85" s="1"/>
  <c r="BX7" i="85"/>
  <c r="BX10" i="85" s="1"/>
  <c r="BX12" i="85" s="1"/>
  <c r="BX17" i="85" s="1"/>
  <c r="BH7" i="85"/>
  <c r="BH10" i="85" s="1"/>
  <c r="BH12" i="85" s="1"/>
  <c r="BH17" i="85" s="1"/>
  <c r="AR7" i="85"/>
  <c r="AR10" i="85" s="1"/>
  <c r="AR12" i="85" s="1"/>
  <c r="AR17" i="85" s="1"/>
  <c r="AB7" i="85"/>
  <c r="AB10" i="85" s="1"/>
  <c r="AB12" i="85" s="1"/>
  <c r="AB17" i="85" s="1"/>
  <c r="L7" i="85"/>
  <c r="L10" i="85" s="1"/>
  <c r="L12" i="85" s="1"/>
  <c r="L17" i="85" s="1"/>
  <c r="H5" i="24"/>
  <c r="H7" i="24" s="1"/>
  <c r="BZ8" i="81"/>
  <c r="BZ11" i="81" s="1"/>
  <c r="BZ7" i="81"/>
  <c r="BZ10" i="81" s="1"/>
  <c r="BY8" i="81"/>
  <c r="BY11" i="81" s="1"/>
  <c r="CA8" i="76"/>
  <c r="CA11" i="76" s="1"/>
  <c r="BW7" i="74"/>
  <c r="BW9" i="74" s="1"/>
  <c r="BW11" i="74" s="1"/>
  <c r="BW16" i="74" s="1"/>
  <c r="BY7" i="73"/>
  <c r="BY10" i="73" s="1"/>
  <c r="CA7" i="70"/>
  <c r="CA17" i="70" s="1"/>
  <c r="CA8" i="70"/>
  <c r="BW11" i="70"/>
  <c r="BW20" i="70" s="1"/>
  <c r="BW12" i="70"/>
  <c r="BY7" i="67"/>
  <c r="BY10" i="67" s="1"/>
  <c r="BY13" i="67" s="1"/>
  <c r="BY18" i="67" s="1"/>
  <c r="BX7" i="62"/>
  <c r="BX10" i="62" s="1"/>
  <c r="BW7" i="48"/>
  <c r="BW9" i="48" s="1"/>
  <c r="BY7" i="52"/>
  <c r="BY11" i="52" s="1"/>
  <c r="BY7" i="54"/>
  <c r="BY11" i="54" s="1"/>
  <c r="CA7" i="55"/>
  <c r="CA11" i="55" s="1"/>
  <c r="BW7" i="49"/>
  <c r="BW11" i="49" s="1"/>
  <c r="BW7" i="50"/>
  <c r="BW11" i="50" s="1"/>
  <c r="BW8" i="51"/>
  <c r="BW12" i="51" s="1"/>
  <c r="BY5" i="44"/>
  <c r="BY8" i="44" s="1"/>
  <c r="BX9" i="38"/>
  <c r="BX13" i="38" s="1"/>
  <c r="BZ4" i="35"/>
  <c r="BZ8" i="35" s="1"/>
  <c r="BY5" i="32"/>
  <c r="BY10" i="32" s="1"/>
  <c r="BW4" i="31"/>
  <c r="BW9" i="31" s="1"/>
  <c r="BW8" i="29"/>
  <c r="BW12" i="29" s="1"/>
  <c r="BZ5" i="57"/>
  <c r="BZ8" i="57" s="1"/>
  <c r="BX7" i="30"/>
  <c r="BX11" i="30" s="1"/>
  <c r="BX6" i="28"/>
  <c r="BX9" i="28" s="1"/>
  <c r="BW8" i="18"/>
  <c r="BW11" i="18" s="1"/>
  <c r="BW4" i="40"/>
  <c r="BW7" i="40" s="1"/>
  <c r="BW9" i="40" s="1"/>
  <c r="BW14" i="40" s="1"/>
  <c r="BY6" i="11"/>
  <c r="BY9" i="11" s="1"/>
  <c r="BY10" i="11" s="1"/>
  <c r="BY15" i="11" s="1"/>
  <c r="BX6" i="5"/>
  <c r="BX11" i="5" s="1"/>
  <c r="BW8" i="17"/>
  <c r="BW12" i="17" s="1"/>
  <c r="BW6" i="15"/>
  <c r="BW9" i="15" s="1"/>
  <c r="BX5" i="26"/>
  <c r="BX8" i="26" s="1"/>
  <c r="BV8" i="25"/>
  <c r="BV11" i="25" s="1"/>
  <c r="BW7" i="79"/>
  <c r="BW10" i="79" s="1"/>
  <c r="BX7" i="74"/>
  <c r="BX9" i="74" s="1"/>
  <c r="BX11" i="74" s="1"/>
  <c r="BX16" i="74" s="1"/>
  <c r="BY8" i="73"/>
  <c r="BY11" i="73" s="1"/>
  <c r="CB7" i="70"/>
  <c r="CB17" i="70" s="1"/>
  <c r="CB8" i="70"/>
  <c r="BX11" i="70"/>
  <c r="BX20" i="70" s="1"/>
  <c r="BX12" i="70"/>
  <c r="BW7" i="66"/>
  <c r="BW10" i="66" s="1"/>
  <c r="BW7" i="63"/>
  <c r="BW10" i="63" s="1"/>
  <c r="BY7" i="62"/>
  <c r="BY10" i="62" s="1"/>
  <c r="BW8" i="60"/>
  <c r="BW10" i="60" s="1"/>
  <c r="BW7" i="58"/>
  <c r="BW12" i="58" s="1"/>
  <c r="BX7" i="48"/>
  <c r="BX9" i="48" s="1"/>
  <c r="BW8" i="52"/>
  <c r="BW12" i="52" s="1"/>
  <c r="BZ7" i="54"/>
  <c r="BZ11" i="54" s="1"/>
  <c r="BW8" i="55"/>
  <c r="BW12" i="55" s="1"/>
  <c r="BW7" i="46"/>
  <c r="BW9" i="46" s="1"/>
  <c r="BW10" i="46" s="1"/>
  <c r="BW15" i="46" s="1"/>
  <c r="BX7" i="49"/>
  <c r="BX11" i="49" s="1"/>
  <c r="BX7" i="50"/>
  <c r="BX11" i="50" s="1"/>
  <c r="BX8" i="51"/>
  <c r="BX12" i="51" s="1"/>
  <c r="BW4" i="44"/>
  <c r="BW7" i="44" s="1"/>
  <c r="BZ5" i="44"/>
  <c r="BZ8" i="44" s="1"/>
  <c r="BY9" i="38"/>
  <c r="BY13" i="38" s="1"/>
  <c r="BV5" i="35"/>
  <c r="BV9" i="35" s="1"/>
  <c r="BZ5" i="32"/>
  <c r="BZ10" i="32" s="1"/>
  <c r="BX4" i="31"/>
  <c r="BX9" i="31" s="1"/>
  <c r="BX8" i="29"/>
  <c r="BX12" i="29" s="1"/>
  <c r="BV6" i="57"/>
  <c r="BV9" i="57" s="1"/>
  <c r="BY7" i="30"/>
  <c r="BY11" i="30" s="1"/>
  <c r="BV7" i="28"/>
  <c r="BV10" i="28" s="1"/>
  <c r="BV8" i="18"/>
  <c r="BV11" i="18" s="1"/>
  <c r="BV6" i="10"/>
  <c r="BV9" i="10" s="1"/>
  <c r="BX4" i="40"/>
  <c r="BX7" i="40" s="1"/>
  <c r="BX9" i="40" s="1"/>
  <c r="BX14" i="40" s="1"/>
  <c r="BX8" i="17"/>
  <c r="BX12" i="17" s="1"/>
  <c r="BX6" i="15"/>
  <c r="BX9" i="15" s="1"/>
  <c r="BV7" i="16"/>
  <c r="BV10" i="16" s="1"/>
  <c r="BX6" i="26"/>
  <c r="BX9" i="26" s="1"/>
  <c r="BW8" i="25"/>
  <c r="BW11" i="25" s="1"/>
  <c r="BX7" i="79"/>
  <c r="BX10" i="79" s="1"/>
  <c r="BW7" i="77"/>
  <c r="BW10" i="77" s="1"/>
  <c r="BW11" i="77" s="1"/>
  <c r="BW16" i="77" s="1"/>
  <c r="BW7" i="75"/>
  <c r="BW9" i="75" s="1"/>
  <c r="BW11" i="75" s="1"/>
  <c r="BW16" i="75" s="1"/>
  <c r="BY7" i="74"/>
  <c r="BY9" i="74" s="1"/>
  <c r="BY11" i="74" s="1"/>
  <c r="BY16" i="74" s="1"/>
  <c r="CC7" i="70"/>
  <c r="CC17" i="70" s="1"/>
  <c r="CC8" i="70"/>
  <c r="BY11" i="70"/>
  <c r="BY20" i="70" s="1"/>
  <c r="BY12" i="70"/>
  <c r="BX7" i="66"/>
  <c r="BX10" i="66" s="1"/>
  <c r="BX7" i="63"/>
  <c r="BX10" i="63" s="1"/>
  <c r="BW8" i="62"/>
  <c r="BW11" i="62" s="1"/>
  <c r="BW7" i="61"/>
  <c r="BW10" i="61" s="1"/>
  <c r="BW12" i="61" s="1"/>
  <c r="BW13" i="61" s="1"/>
  <c r="BW14" i="61" s="1"/>
  <c r="BW15" i="61" s="1"/>
  <c r="BW18" i="61" s="1"/>
  <c r="BW20" i="61" s="1"/>
  <c r="BX8" i="60"/>
  <c r="BX10" i="60" s="1"/>
  <c r="BX7" i="58"/>
  <c r="BX12" i="58" s="1"/>
  <c r="BY7" i="48"/>
  <c r="BY9" i="48" s="1"/>
  <c r="BX8" i="52"/>
  <c r="BX12" i="52" s="1"/>
  <c r="BW8" i="54"/>
  <c r="BW12" i="54" s="1"/>
  <c r="BX8" i="55"/>
  <c r="BX12" i="55" s="1"/>
  <c r="BX7" i="46"/>
  <c r="BX9" i="46" s="1"/>
  <c r="BX10" i="46" s="1"/>
  <c r="BX15" i="46" s="1"/>
  <c r="BY7" i="49"/>
  <c r="BY11" i="49" s="1"/>
  <c r="BY7" i="50"/>
  <c r="BY11" i="50" s="1"/>
  <c r="BY8" i="51"/>
  <c r="BY12" i="51" s="1"/>
  <c r="BX4" i="44"/>
  <c r="BX7" i="44" s="1"/>
  <c r="CA5" i="44"/>
  <c r="CA8" i="44" s="1"/>
  <c r="BZ9" i="38"/>
  <c r="BZ13" i="38" s="1"/>
  <c r="BW5" i="35"/>
  <c r="BW9" i="35" s="1"/>
  <c r="BW4" i="32"/>
  <c r="BW9" i="32" s="1"/>
  <c r="BW6" i="32"/>
  <c r="BW11" i="32" s="1"/>
  <c r="BY4" i="31"/>
  <c r="BY9" i="31" s="1"/>
  <c r="BW6" i="57"/>
  <c r="BW9" i="57" s="1"/>
  <c r="BV6" i="30"/>
  <c r="BV10" i="30" s="1"/>
  <c r="BW7" i="28"/>
  <c r="BW10" i="28" s="1"/>
  <c r="BV6" i="23"/>
  <c r="BV9" i="23" s="1"/>
  <c r="BV6" i="20"/>
  <c r="BV9" i="20" s="1"/>
  <c r="BV6" i="19"/>
  <c r="BV9" i="19" s="1"/>
  <c r="BV11" i="19" s="1"/>
  <c r="BV16" i="19" s="1"/>
  <c r="BX8" i="18"/>
  <c r="BX11" i="18" s="1"/>
  <c r="BW6" i="10"/>
  <c r="BW9" i="10" s="1"/>
  <c r="BV6" i="2"/>
  <c r="BW7" i="81"/>
  <c r="BW10" i="81" s="1"/>
  <c r="BY7" i="79"/>
  <c r="BY10" i="79" s="1"/>
  <c r="BX7" i="77"/>
  <c r="BX10" i="77" s="1"/>
  <c r="BX11" i="77" s="1"/>
  <c r="BX16" i="77" s="1"/>
  <c r="BX7" i="75"/>
  <c r="BX9" i="75" s="1"/>
  <c r="BX11" i="75" s="1"/>
  <c r="BX16" i="75" s="1"/>
  <c r="CD7" i="70"/>
  <c r="CD17" i="70" s="1"/>
  <c r="CD8" i="70"/>
  <c r="BZ11" i="70"/>
  <c r="BZ20" i="70" s="1"/>
  <c r="BZ12" i="70"/>
  <c r="BY7" i="66"/>
  <c r="BY10" i="66" s="1"/>
  <c r="BY7" i="63"/>
  <c r="BY10" i="63" s="1"/>
  <c r="BX8" i="62"/>
  <c r="BX11" i="62" s="1"/>
  <c r="BX7" i="61"/>
  <c r="BX10" i="61" s="1"/>
  <c r="BX12" i="61" s="1"/>
  <c r="BX13" i="61" s="1"/>
  <c r="BX14" i="61" s="1"/>
  <c r="BX15" i="61" s="1"/>
  <c r="BX18" i="61" s="1"/>
  <c r="BX20" i="61" s="1"/>
  <c r="BY8" i="60"/>
  <c r="BY10" i="60" s="1"/>
  <c r="BY7" i="58"/>
  <c r="BY12" i="58" s="1"/>
  <c r="BY8" i="52"/>
  <c r="BY12" i="52" s="1"/>
  <c r="BX8" i="54"/>
  <c r="BX12" i="54" s="1"/>
  <c r="BY8" i="55"/>
  <c r="BY12" i="55" s="1"/>
  <c r="BY7" i="46"/>
  <c r="BY9" i="46" s="1"/>
  <c r="BY10" i="46" s="1"/>
  <c r="BY15" i="46" s="1"/>
  <c r="BW8" i="49"/>
  <c r="BW10" i="49" s="1"/>
  <c r="BW7" i="39"/>
  <c r="BW9" i="39" s="1"/>
  <c r="BW10" i="39" s="1"/>
  <c r="BY4" i="44"/>
  <c r="BY7" i="44" s="1"/>
  <c r="BW8" i="38"/>
  <c r="BW12" i="38" s="1"/>
  <c r="BX5" i="35"/>
  <c r="BX9" i="35" s="1"/>
  <c r="BX4" i="32"/>
  <c r="BX9" i="32" s="1"/>
  <c r="BX6" i="32"/>
  <c r="BX11" i="32" s="1"/>
  <c r="BV4" i="32"/>
  <c r="BV9" i="32" s="1"/>
  <c r="BZ4" i="31"/>
  <c r="BZ9" i="31" s="1"/>
  <c r="BX6" i="57"/>
  <c r="BX9" i="57" s="1"/>
  <c r="BW6" i="30"/>
  <c r="BW10" i="30" s="1"/>
  <c r="BX7" i="28"/>
  <c r="BX10" i="28" s="1"/>
  <c r="BW6" i="23"/>
  <c r="BW9" i="23" s="1"/>
  <c r="BW6" i="20"/>
  <c r="BW9" i="20" s="1"/>
  <c r="BW6" i="19"/>
  <c r="BW9" i="19" s="1"/>
  <c r="BW11" i="19" s="1"/>
  <c r="BW16" i="19" s="1"/>
  <c r="BV9" i="18"/>
  <c r="BV12" i="18" s="1"/>
  <c r="BX6" i="10"/>
  <c r="BX9" i="10" s="1"/>
  <c r="BW6" i="2"/>
  <c r="BV5" i="7"/>
  <c r="BV5" i="5"/>
  <c r="BV8" i="5" s="1"/>
  <c r="BX7" i="16"/>
  <c r="BX10" i="16" s="1"/>
  <c r="BV5" i="26"/>
  <c r="BV8" i="26" s="1"/>
  <c r="BX7" i="81"/>
  <c r="BX10" i="81" s="1"/>
  <c r="BW8" i="79"/>
  <c r="BW11" i="79" s="1"/>
  <c r="BY7" i="77"/>
  <c r="BY10" i="77" s="1"/>
  <c r="BY11" i="77" s="1"/>
  <c r="BY16" i="77" s="1"/>
  <c r="BY7" i="75"/>
  <c r="BY9" i="75" s="1"/>
  <c r="BY11" i="75" s="1"/>
  <c r="BY16" i="75" s="1"/>
  <c r="BW7" i="70"/>
  <c r="BW17" i="70" s="1"/>
  <c r="BW8" i="70"/>
  <c r="CA11" i="70"/>
  <c r="CA20" i="70" s="1"/>
  <c r="CA12" i="70"/>
  <c r="BW8" i="66"/>
  <c r="BW11" i="66" s="1"/>
  <c r="BZ7" i="63"/>
  <c r="BZ10" i="63" s="1"/>
  <c r="BY8" i="62"/>
  <c r="BY11" i="62" s="1"/>
  <c r="BY7" i="61"/>
  <c r="BY10" i="61" s="1"/>
  <c r="BY12" i="61" s="1"/>
  <c r="BY13" i="61" s="1"/>
  <c r="BY14" i="61" s="1"/>
  <c r="BY15" i="61" s="1"/>
  <c r="BY18" i="61" s="1"/>
  <c r="BY20" i="61" s="1"/>
  <c r="BW8" i="58"/>
  <c r="BW13" i="58" s="1"/>
  <c r="BY8" i="54"/>
  <c r="BY12" i="54" s="1"/>
  <c r="BW7" i="55"/>
  <c r="BW11" i="55" s="1"/>
  <c r="BZ8" i="55"/>
  <c r="BZ12" i="55" s="1"/>
  <c r="BZ7" i="46"/>
  <c r="BZ9" i="46" s="1"/>
  <c r="BZ10" i="46" s="1"/>
  <c r="BZ15" i="46" s="1"/>
  <c r="BX8" i="49"/>
  <c r="BX10" i="49" s="1"/>
  <c r="BX7" i="39"/>
  <c r="BX9" i="39" s="1"/>
  <c r="BX10" i="39" s="1"/>
  <c r="BZ4" i="44"/>
  <c r="BZ7" i="44" s="1"/>
  <c r="BX8" i="38"/>
  <c r="BX12" i="38" s="1"/>
  <c r="BV4" i="35"/>
  <c r="BV8" i="35" s="1"/>
  <c r="BY5" i="35"/>
  <c r="BY9" i="35" s="1"/>
  <c r="BY4" i="32"/>
  <c r="BY9" i="32" s="1"/>
  <c r="BY6" i="32"/>
  <c r="BY11" i="32" s="1"/>
  <c r="BV5" i="32"/>
  <c r="BV10" i="32" s="1"/>
  <c r="BV5" i="57"/>
  <c r="BV8" i="57" s="1"/>
  <c r="BY6" i="57"/>
  <c r="BY9" i="57" s="1"/>
  <c r="BX6" i="30"/>
  <c r="BX10" i="30" s="1"/>
  <c r="BX6" i="23"/>
  <c r="BX9" i="23" s="1"/>
  <c r="BX6" i="20"/>
  <c r="BX9" i="20" s="1"/>
  <c r="BX6" i="19"/>
  <c r="BX9" i="19" s="1"/>
  <c r="BX11" i="19" s="1"/>
  <c r="BX16" i="19" s="1"/>
  <c r="BW9" i="18"/>
  <c r="BW12" i="18" s="1"/>
  <c r="BV7" i="41"/>
  <c r="BV10" i="41" s="1"/>
  <c r="BV7" i="10"/>
  <c r="BX6" i="2"/>
  <c r="BW5" i="7"/>
  <c r="BW5" i="5"/>
  <c r="BW8" i="5" s="1"/>
  <c r="BV7" i="17"/>
  <c r="BV11" i="17" s="1"/>
  <c r="BV8" i="16"/>
  <c r="BV11" i="16" s="1"/>
  <c r="BW5" i="26"/>
  <c r="BW8" i="26" s="1"/>
  <c r="BV6" i="26"/>
  <c r="BV9" i="26" s="1"/>
  <c r="BY7" i="81"/>
  <c r="BY10" i="81" s="1"/>
  <c r="BX8" i="79"/>
  <c r="BX11" i="79" s="1"/>
  <c r="BZ7" i="76"/>
  <c r="BZ10" i="76" s="1"/>
  <c r="BX7" i="70"/>
  <c r="BX17" i="70" s="1"/>
  <c r="BX8" i="70"/>
  <c r="CB11" i="70"/>
  <c r="CB20" i="70" s="1"/>
  <c r="CB12" i="70"/>
  <c r="BX8" i="66"/>
  <c r="BX11" i="66" s="1"/>
  <c r="BX8" i="58"/>
  <c r="BX13" i="58" s="1"/>
  <c r="BZ8" i="54"/>
  <c r="BZ12" i="54" s="1"/>
  <c r="BX7" i="55"/>
  <c r="BX11" i="55" s="1"/>
  <c r="CA8" i="55"/>
  <c r="CA12" i="55" s="1"/>
  <c r="BY8" i="49"/>
  <c r="BY10" i="49" s="1"/>
  <c r="BY7" i="39"/>
  <c r="BY9" i="39" s="1"/>
  <c r="BY10" i="39" s="1"/>
  <c r="CA4" i="44"/>
  <c r="CA7" i="44" s="1"/>
  <c r="BY8" i="38"/>
  <c r="BY12" i="38" s="1"/>
  <c r="BW4" i="35"/>
  <c r="BW8" i="35" s="1"/>
  <c r="BZ5" i="35"/>
  <c r="BZ9" i="35" s="1"/>
  <c r="BV5" i="45"/>
  <c r="BV9" i="45" s="1"/>
  <c r="BV11" i="45" s="1"/>
  <c r="BV16" i="45" s="1"/>
  <c r="BZ4" i="32"/>
  <c r="BZ9" i="32" s="1"/>
  <c r="BZ6" i="32"/>
  <c r="BZ11" i="32" s="1"/>
  <c r="BV6" i="32"/>
  <c r="BV11" i="32" s="1"/>
  <c r="BW5" i="57"/>
  <c r="BW8" i="57" s="1"/>
  <c r="BZ6" i="57"/>
  <c r="BZ9" i="57" s="1"/>
  <c r="BY6" i="30"/>
  <c r="BY10" i="30" s="1"/>
  <c r="BV7" i="23"/>
  <c r="BV10" i="23" s="1"/>
  <c r="BV7" i="20"/>
  <c r="BV10" i="20" s="1"/>
  <c r="BV7" i="19"/>
  <c r="BY8" i="18"/>
  <c r="BY11" i="18" s="1"/>
  <c r="BX9" i="18"/>
  <c r="BX12" i="18" s="1"/>
  <c r="BW7" i="41"/>
  <c r="BW10" i="41" s="1"/>
  <c r="BW7" i="10"/>
  <c r="BX5" i="7"/>
  <c r="BV6" i="11"/>
  <c r="BV9" i="11" s="1"/>
  <c r="BV10" i="11" s="1"/>
  <c r="BV15" i="11" s="1"/>
  <c r="BX5" i="5"/>
  <c r="BX8" i="5" s="1"/>
  <c r="BW7" i="17"/>
  <c r="BW11" i="17" s="1"/>
  <c r="BW8" i="16"/>
  <c r="BW11" i="16" s="1"/>
  <c r="BV7" i="25"/>
  <c r="BV10" i="25" s="1"/>
  <c r="BW8" i="81"/>
  <c r="BW11" i="81" s="1"/>
  <c r="BY8" i="79"/>
  <c r="BY11" i="79" s="1"/>
  <c r="CA7" i="76"/>
  <c r="CA10" i="76" s="1"/>
  <c r="BY7" i="70"/>
  <c r="BY17" i="70" s="1"/>
  <c r="BY8" i="70"/>
  <c r="CC11" i="70"/>
  <c r="CC20" i="70" s="1"/>
  <c r="CC12" i="70"/>
  <c r="BW7" i="67"/>
  <c r="BW10" i="67" s="1"/>
  <c r="BW13" i="67" s="1"/>
  <c r="BW18" i="67" s="1"/>
  <c r="BY8" i="66"/>
  <c r="BY11" i="66" s="1"/>
  <c r="BY8" i="58"/>
  <c r="BY13" i="58" s="1"/>
  <c r="BW7" i="52"/>
  <c r="BW11" i="52" s="1"/>
  <c r="BW7" i="54"/>
  <c r="BW11" i="54" s="1"/>
  <c r="BY7" i="55"/>
  <c r="BY11" i="55" s="1"/>
  <c r="BZ7" i="39"/>
  <c r="BZ9" i="39" s="1"/>
  <c r="BZ10" i="39" s="1"/>
  <c r="BW5" i="44"/>
  <c r="BW8" i="44" s="1"/>
  <c r="BZ8" i="38"/>
  <c r="BZ12" i="38" s="1"/>
  <c r="BX4" i="35"/>
  <c r="BX8" i="35" s="1"/>
  <c r="BW5" i="45"/>
  <c r="BW9" i="45" s="1"/>
  <c r="BW11" i="45" s="1"/>
  <c r="BW16" i="45" s="1"/>
  <c r="BW5" i="32"/>
  <c r="BW10" i="32" s="1"/>
  <c r="BX5" i="57"/>
  <c r="BX8" i="57" s="1"/>
  <c r="BV7" i="30"/>
  <c r="BV11" i="30" s="1"/>
  <c r="BV6" i="28"/>
  <c r="BV9" i="28" s="1"/>
  <c r="BW7" i="23"/>
  <c r="BW10" i="23" s="1"/>
  <c r="BW7" i="20"/>
  <c r="BW10" i="20" s="1"/>
  <c r="BW7" i="19"/>
  <c r="BY9" i="18"/>
  <c r="BY12" i="18" s="1"/>
  <c r="BX7" i="41"/>
  <c r="BX10" i="41" s="1"/>
  <c r="BX7" i="10"/>
  <c r="BW6" i="11"/>
  <c r="BW9" i="11" s="1"/>
  <c r="BW10" i="11" s="1"/>
  <c r="BW15" i="11" s="1"/>
  <c r="BV6" i="5"/>
  <c r="BV11" i="5" s="1"/>
  <c r="BX7" i="17"/>
  <c r="BX11" i="17" s="1"/>
  <c r="BX8" i="16"/>
  <c r="BX11" i="16" s="1"/>
  <c r="BW6" i="26"/>
  <c r="BW9" i="26" s="1"/>
  <c r="BW7" i="25"/>
  <c r="BW10" i="25" s="1"/>
  <c r="BX7" i="67"/>
  <c r="BX10" i="67" s="1"/>
  <c r="BX13" i="67" s="1"/>
  <c r="BX18" i="67" s="1"/>
  <c r="BW6" i="5"/>
  <c r="BW11" i="5" s="1"/>
  <c r="BY6" i="15"/>
  <c r="BY9" i="15" s="1"/>
  <c r="BX8" i="25"/>
  <c r="BX11" i="25" s="1"/>
  <c r="BV8" i="17"/>
  <c r="BV12" i="17" s="1"/>
  <c r="BX7" i="25"/>
  <c r="BX10" i="25" s="1"/>
  <c r="BZ7" i="55"/>
  <c r="BZ11" i="55" s="1"/>
  <c r="BU6" i="14"/>
  <c r="BU9" i="14" s="1"/>
  <c r="BY5" i="57"/>
  <c r="BY8" i="57" s="1"/>
  <c r="BW9" i="38"/>
  <c r="BW13" i="38" s="1"/>
  <c r="CD11" i="70"/>
  <c r="CD20" i="70" s="1"/>
  <c r="BW7" i="62"/>
  <c r="BW10" i="62" s="1"/>
  <c r="BX7" i="52"/>
  <c r="BX11" i="52" s="1"/>
  <c r="BX5" i="44"/>
  <c r="BX8" i="44" s="1"/>
  <c r="BX5" i="45"/>
  <c r="BX9" i="45" s="1"/>
  <c r="BX11" i="45" s="1"/>
  <c r="BX16" i="45" s="1"/>
  <c r="BV8" i="29"/>
  <c r="BV12" i="29" s="1"/>
  <c r="BW7" i="16"/>
  <c r="BW10" i="16" s="1"/>
  <c r="BX7" i="54"/>
  <c r="BX11" i="54" s="1"/>
  <c r="BX5" i="32"/>
  <c r="BX10" i="32" s="1"/>
  <c r="BX6" i="11"/>
  <c r="BX9" i="11" s="1"/>
  <c r="BX10" i="11" s="1"/>
  <c r="BX15" i="11" s="1"/>
  <c r="CD12" i="70"/>
  <c r="BV4" i="40"/>
  <c r="BV7" i="40" s="1"/>
  <c r="BV9" i="40" s="1"/>
  <c r="BV14" i="40" s="1"/>
  <c r="BV6" i="15"/>
  <c r="BV9" i="15" s="1"/>
  <c r="BY4" i="35"/>
  <c r="BY8" i="35" s="1"/>
  <c r="BW7" i="30"/>
  <c r="BW11" i="30" s="1"/>
  <c r="BX7" i="23"/>
  <c r="BX10" i="23" s="1"/>
  <c r="BX8" i="81"/>
  <c r="BX11" i="81" s="1"/>
  <c r="BZ8" i="76"/>
  <c r="BZ11" i="76" s="1"/>
  <c r="BZ7" i="70"/>
  <c r="BZ17" i="70" s="1"/>
  <c r="BW6" i="28"/>
  <c r="BW9" i="28" s="1"/>
  <c r="BX7" i="20"/>
  <c r="BX10" i="20" s="1"/>
  <c r="BZ8" i="70"/>
  <c r="BX7" i="19"/>
  <c r="BX7" i="82"/>
  <c r="BX10" i="82" s="1"/>
  <c r="BX12" i="82" s="1"/>
  <c r="BX17" i="82" s="1"/>
  <c r="BW7" i="82"/>
  <c r="BW10" i="82" s="1"/>
  <c r="BW12" i="82" s="1"/>
  <c r="BU7" i="82"/>
  <c r="BU10" i="82" s="1"/>
  <c r="BU12" i="82" s="1"/>
  <c r="BU17" i="82" s="1"/>
  <c r="BM7" i="82"/>
  <c r="BM10" i="82" s="1"/>
  <c r="BM12" i="82" s="1"/>
  <c r="BM17" i="82" s="1"/>
  <c r="BE7" i="82"/>
  <c r="BE10" i="82" s="1"/>
  <c r="BE12" i="82" s="1"/>
  <c r="BE17" i="82" s="1"/>
  <c r="AW7" i="82"/>
  <c r="AW10" i="82" s="1"/>
  <c r="AW12" i="82" s="1"/>
  <c r="AW17" i="82" s="1"/>
  <c r="AO7" i="82"/>
  <c r="AO10" i="82" s="1"/>
  <c r="AO12" i="82" s="1"/>
  <c r="AO17" i="82" s="1"/>
  <c r="AG7" i="82"/>
  <c r="AG10" i="82" s="1"/>
  <c r="AG12" i="82" s="1"/>
  <c r="AG17" i="82" s="1"/>
  <c r="Y7" i="82"/>
  <c r="Y10" i="82" s="1"/>
  <c r="Y12" i="82" s="1"/>
  <c r="Q7" i="82"/>
  <c r="Q10" i="82" s="1"/>
  <c r="Q12" i="82" s="1"/>
  <c r="I7" i="82"/>
  <c r="I10" i="82" s="1"/>
  <c r="I12" i="82" s="1"/>
  <c r="I17" i="82" s="1"/>
  <c r="BO7" i="82"/>
  <c r="BO10" i="82" s="1"/>
  <c r="BO12" i="82" s="1"/>
  <c r="BO17" i="82" s="1"/>
  <c r="K7" i="82"/>
  <c r="K10" i="82" s="1"/>
  <c r="K12" i="82" s="1"/>
  <c r="K17" i="82" s="1"/>
  <c r="BT7" i="82"/>
  <c r="BT10" i="82" s="1"/>
  <c r="BT12" i="82" s="1"/>
  <c r="BT17" i="82" s="1"/>
  <c r="BL7" i="82"/>
  <c r="BL10" i="82" s="1"/>
  <c r="BL12" i="82" s="1"/>
  <c r="BL17" i="82" s="1"/>
  <c r="BD7" i="82"/>
  <c r="BD10" i="82" s="1"/>
  <c r="BD12" i="82" s="1"/>
  <c r="BD17" i="82" s="1"/>
  <c r="AV7" i="82"/>
  <c r="AV10" i="82" s="1"/>
  <c r="AV12" i="82" s="1"/>
  <c r="AN7" i="82"/>
  <c r="AN10" i="82" s="1"/>
  <c r="AN12" i="82" s="1"/>
  <c r="AN17" i="82" s="1"/>
  <c r="AF7" i="82"/>
  <c r="AF10" i="82" s="1"/>
  <c r="AF12" i="82" s="1"/>
  <c r="AF17" i="82" s="1"/>
  <c r="X7" i="82"/>
  <c r="X10" i="82" s="1"/>
  <c r="X12" i="82" s="1"/>
  <c r="X17" i="82" s="1"/>
  <c r="P7" i="82"/>
  <c r="P10" i="82" s="1"/>
  <c r="P12" i="82" s="1"/>
  <c r="P17" i="82" s="1"/>
  <c r="BG7" i="82"/>
  <c r="BG10" i="82" s="1"/>
  <c r="BG12" i="82" s="1"/>
  <c r="BG17" i="82" s="1"/>
  <c r="BY7" i="82"/>
  <c r="BY10" i="82" s="1"/>
  <c r="BY12" i="82" s="1"/>
  <c r="BY17" i="82" s="1"/>
  <c r="BS7" i="82"/>
  <c r="BS10" i="82" s="1"/>
  <c r="BS12" i="82" s="1"/>
  <c r="BS17" i="82" s="1"/>
  <c r="BK7" i="82"/>
  <c r="BK10" i="82" s="1"/>
  <c r="BK12" i="82" s="1"/>
  <c r="BK17" i="82" s="1"/>
  <c r="BC7" i="82"/>
  <c r="BC10" i="82" s="1"/>
  <c r="BC12" i="82" s="1"/>
  <c r="BC17" i="82" s="1"/>
  <c r="AU7" i="82"/>
  <c r="AU10" i="82" s="1"/>
  <c r="AU12" i="82" s="1"/>
  <c r="AU17" i="82" s="1"/>
  <c r="AM7" i="82"/>
  <c r="AM10" i="82" s="1"/>
  <c r="AM12" i="82" s="1"/>
  <c r="AM17" i="82" s="1"/>
  <c r="AE7" i="82"/>
  <c r="AE10" i="82" s="1"/>
  <c r="AE12" i="82" s="1"/>
  <c r="AE17" i="82" s="1"/>
  <c r="W7" i="82"/>
  <c r="W10" i="82" s="1"/>
  <c r="W12" i="82" s="1"/>
  <c r="O7" i="82"/>
  <c r="O10" i="82" s="1"/>
  <c r="O12" i="82" s="1"/>
  <c r="O17" i="82" s="1"/>
  <c r="AY7" i="82"/>
  <c r="AY10" i="82" s="1"/>
  <c r="AY12" i="82" s="1"/>
  <c r="AY17" i="82" s="1"/>
  <c r="BR7" i="82"/>
  <c r="BR10" i="82" s="1"/>
  <c r="BR12" i="82" s="1"/>
  <c r="BR17" i="82" s="1"/>
  <c r="BJ7" i="82"/>
  <c r="BJ10" i="82" s="1"/>
  <c r="BJ12" i="82" s="1"/>
  <c r="BJ17" i="82" s="1"/>
  <c r="BB7" i="82"/>
  <c r="BB10" i="82" s="1"/>
  <c r="BB12" i="82" s="1"/>
  <c r="BB17" i="82" s="1"/>
  <c r="AT7" i="82"/>
  <c r="AT10" i="82" s="1"/>
  <c r="AT12" i="82" s="1"/>
  <c r="AT17" i="82" s="1"/>
  <c r="AL7" i="82"/>
  <c r="AL10" i="82" s="1"/>
  <c r="AL12" i="82" s="1"/>
  <c r="AD7" i="82"/>
  <c r="AD10" i="82" s="1"/>
  <c r="AD12" i="82" s="1"/>
  <c r="AD17" i="82" s="1"/>
  <c r="V7" i="82"/>
  <c r="V10" i="82" s="1"/>
  <c r="V12" i="82" s="1"/>
  <c r="V17" i="82" s="1"/>
  <c r="N7" i="82"/>
  <c r="N10" i="82" s="1"/>
  <c r="N12" i="82" s="1"/>
  <c r="N17" i="82" s="1"/>
  <c r="AQ7" i="82"/>
  <c r="AQ10" i="82" s="1"/>
  <c r="AQ12" i="82" s="1"/>
  <c r="AQ17" i="82" s="1"/>
  <c r="BQ7" i="82"/>
  <c r="BQ10" i="82" s="1"/>
  <c r="BQ12" i="82" s="1"/>
  <c r="BQ17" i="82" s="1"/>
  <c r="BI7" i="82"/>
  <c r="BI10" i="82" s="1"/>
  <c r="BI12" i="82" s="1"/>
  <c r="BA7" i="82"/>
  <c r="BA10" i="82" s="1"/>
  <c r="BA12" i="82" s="1"/>
  <c r="AS7" i="82"/>
  <c r="AS10" i="82" s="1"/>
  <c r="AS12" i="82" s="1"/>
  <c r="AS17" i="82" s="1"/>
  <c r="AK7" i="82"/>
  <c r="AK10" i="82" s="1"/>
  <c r="AK12" i="82" s="1"/>
  <c r="AC7" i="82"/>
  <c r="AC10" i="82" s="1"/>
  <c r="AC12" i="82" s="1"/>
  <c r="AC17" i="82" s="1"/>
  <c r="U7" i="82"/>
  <c r="U10" i="82" s="1"/>
  <c r="U12" i="82" s="1"/>
  <c r="U17" i="82" s="1"/>
  <c r="M7" i="82"/>
  <c r="M10" i="82" s="1"/>
  <c r="M12" i="82" s="1"/>
  <c r="M17" i="82" s="1"/>
  <c r="AA7" i="82"/>
  <c r="AA10" i="82" s="1"/>
  <c r="AA12" i="82" s="1"/>
  <c r="AA17" i="82" s="1"/>
  <c r="BP7" i="82"/>
  <c r="BP10" i="82" s="1"/>
  <c r="BP12" i="82" s="1"/>
  <c r="BP17" i="82" s="1"/>
  <c r="BH7" i="82"/>
  <c r="BH10" i="82" s="1"/>
  <c r="BH12" i="82" s="1"/>
  <c r="BH17" i="82" s="1"/>
  <c r="AZ7" i="82"/>
  <c r="AZ10" i="82" s="1"/>
  <c r="AZ12" i="82" s="1"/>
  <c r="AZ17" i="82" s="1"/>
  <c r="AR7" i="82"/>
  <c r="AR10" i="82" s="1"/>
  <c r="AR12" i="82" s="1"/>
  <c r="AJ7" i="82"/>
  <c r="AJ10" i="82" s="1"/>
  <c r="AJ12" i="82" s="1"/>
  <c r="AJ17" i="82" s="1"/>
  <c r="AB7" i="82"/>
  <c r="AB10" i="82" s="1"/>
  <c r="AB12" i="82" s="1"/>
  <c r="AB17" i="82" s="1"/>
  <c r="T7" i="82"/>
  <c r="T10" i="82" s="1"/>
  <c r="T12" i="82" s="1"/>
  <c r="L7" i="82"/>
  <c r="L10" i="82" s="1"/>
  <c r="L12" i="82" s="1"/>
  <c r="L17" i="82" s="1"/>
  <c r="S7" i="82"/>
  <c r="S10" i="82" s="1"/>
  <c r="S12" i="82" s="1"/>
  <c r="BV7" i="82"/>
  <c r="BV10" i="82" s="1"/>
  <c r="BV12" i="82" s="1"/>
  <c r="BV17" i="82" s="1"/>
  <c r="BN7" i="82"/>
  <c r="BN10" i="82" s="1"/>
  <c r="BN12" i="82" s="1"/>
  <c r="BF7" i="82"/>
  <c r="BF10" i="82" s="1"/>
  <c r="BF12" i="82" s="1"/>
  <c r="BF17" i="82" s="1"/>
  <c r="AX7" i="82"/>
  <c r="AX10" i="82" s="1"/>
  <c r="AX12" i="82" s="1"/>
  <c r="AX17" i="82" s="1"/>
  <c r="AP7" i="82"/>
  <c r="AP10" i="82" s="1"/>
  <c r="AP12" i="82" s="1"/>
  <c r="AP17" i="82" s="1"/>
  <c r="AH7" i="82"/>
  <c r="AH10" i="82" s="1"/>
  <c r="AH12" i="82" s="1"/>
  <c r="AH17" i="82" s="1"/>
  <c r="Z7" i="82"/>
  <c r="Z10" i="82" s="1"/>
  <c r="Z12" i="82" s="1"/>
  <c r="Z17" i="82" s="1"/>
  <c r="R7" i="82"/>
  <c r="R10" i="82" s="1"/>
  <c r="R12" i="82" s="1"/>
  <c r="R17" i="82" s="1"/>
  <c r="J7" i="82"/>
  <c r="J10" i="82" s="1"/>
  <c r="J12" i="82" s="1"/>
  <c r="J17" i="82" s="1"/>
  <c r="AI7" i="82"/>
  <c r="AI10" i="82" s="1"/>
  <c r="AI12" i="82" s="1"/>
  <c r="BY7" i="76"/>
  <c r="BY10" i="76" s="1"/>
  <c r="BY8" i="76"/>
  <c r="BY11" i="76" s="1"/>
  <c r="BW8" i="76"/>
  <c r="BW11" i="76" s="1"/>
  <c r="BX8" i="76"/>
  <c r="BX11" i="76" s="1"/>
  <c r="BW7" i="76"/>
  <c r="BW10" i="76" s="1"/>
  <c r="BX7" i="76"/>
  <c r="BX10" i="76" s="1"/>
  <c r="BW7" i="73"/>
  <c r="BW10" i="73" s="1"/>
  <c r="BX7" i="73"/>
  <c r="BX10" i="73" s="1"/>
  <c r="BW8" i="73"/>
  <c r="BW11" i="73" s="1"/>
  <c r="BX8" i="73"/>
  <c r="BX11" i="73" s="1"/>
  <c r="BW7" i="36"/>
  <c r="BW10" i="36" s="1"/>
  <c r="BY7" i="14"/>
  <c r="BY10" i="14" s="1"/>
  <c r="BX8" i="13"/>
  <c r="BX12" i="13" s="1"/>
  <c r="BY8" i="36"/>
  <c r="BY11" i="36" s="1"/>
  <c r="BV8" i="13"/>
  <c r="BV12" i="13" s="1"/>
  <c r="BV7" i="36"/>
  <c r="BV10" i="36" s="1"/>
  <c r="BX7" i="14"/>
  <c r="BX10" i="14" s="1"/>
  <c r="BX7" i="36"/>
  <c r="BX10" i="36" s="1"/>
  <c r="BV6" i="14"/>
  <c r="BV9" i="14" s="1"/>
  <c r="BY8" i="13"/>
  <c r="BY12" i="13" s="1"/>
  <c r="BY7" i="36"/>
  <c r="BY10" i="36" s="1"/>
  <c r="BW6" i="14"/>
  <c r="BW9" i="14" s="1"/>
  <c r="BV7" i="13"/>
  <c r="BV11" i="13" s="1"/>
  <c r="BV8" i="36"/>
  <c r="BV11" i="36" s="1"/>
  <c r="BX6" i="14"/>
  <c r="BX9" i="14" s="1"/>
  <c r="BW7" i="13"/>
  <c r="BW11" i="13" s="1"/>
  <c r="BW8" i="36"/>
  <c r="BW11" i="36" s="1"/>
  <c r="BY6" i="14"/>
  <c r="BY9" i="14" s="1"/>
  <c r="BX7" i="13"/>
  <c r="BX11" i="13" s="1"/>
  <c r="BX8" i="36"/>
  <c r="BX11" i="36" s="1"/>
  <c r="BV7" i="14"/>
  <c r="BV10" i="14" s="1"/>
  <c r="BY7" i="13"/>
  <c r="BY11" i="13" s="1"/>
  <c r="BW7" i="14"/>
  <c r="BW10" i="14" s="1"/>
  <c r="BW8" i="13"/>
  <c r="BW12" i="13" s="1"/>
  <c r="BU7" i="75"/>
  <c r="BU9" i="75" s="1"/>
  <c r="BU11" i="75" s="1"/>
  <c r="BU16" i="75" s="1"/>
  <c r="BH8" i="62"/>
  <c r="BP8" i="62"/>
  <c r="BE8" i="62"/>
  <c r="AW8" i="62"/>
  <c r="BT8" i="62"/>
  <c r="BI8" i="62"/>
  <c r="BQ8" i="62"/>
  <c r="BF8" i="62"/>
  <c r="AX8" i="62"/>
  <c r="BJ8" i="62"/>
  <c r="BR8" i="62"/>
  <c r="AZ8" i="62"/>
  <c r="AY8" i="62"/>
  <c r="BB8" i="62"/>
  <c r="BK8" i="62"/>
  <c r="BS8" i="62"/>
  <c r="BA8" i="62"/>
  <c r="BL8" i="62"/>
  <c r="BM8" i="62"/>
  <c r="BU8" i="62"/>
  <c r="BC8" i="62"/>
  <c r="BV8" i="62"/>
  <c r="BD8" i="62"/>
  <c r="BN8" i="62"/>
  <c r="BO8" i="62"/>
  <c r="BG8" i="62"/>
  <c r="AV8" i="62"/>
  <c r="BF7" i="81"/>
  <c r="BF10" i="81" s="1"/>
  <c r="BA7" i="81"/>
  <c r="BA10" i="81" s="1"/>
  <c r="BG7" i="81"/>
  <c r="BG10" i="81" s="1"/>
  <c r="BH7" i="81"/>
  <c r="BH10" i="81" s="1"/>
  <c r="BI7" i="81"/>
  <c r="BI10" i="81" s="1"/>
  <c r="BJ7" i="81"/>
  <c r="BJ10" i="81" s="1"/>
  <c r="BL7" i="81"/>
  <c r="BL10" i="81" s="1"/>
  <c r="BR7" i="81"/>
  <c r="BR10" i="81" s="1"/>
  <c r="BK7" i="81"/>
  <c r="BK10" i="81" s="1"/>
  <c r="BC7" i="81"/>
  <c r="BC10" i="81" s="1"/>
  <c r="BD7" i="81"/>
  <c r="BD10" i="81" s="1"/>
  <c r="BE7" i="81"/>
  <c r="BE10" i="81" s="1"/>
  <c r="AZ7" i="81"/>
  <c r="AZ10" i="81" s="1"/>
  <c r="BB7" i="81"/>
  <c r="BB10" i="81" s="1"/>
  <c r="BP8" i="81"/>
  <c r="BP11" i="81" s="1"/>
  <c r="BH8" i="81"/>
  <c r="BH11" i="81" s="1"/>
  <c r="AZ8" i="81"/>
  <c r="AZ11" i="81" s="1"/>
  <c r="AR8" i="81"/>
  <c r="AR11" i="81" s="1"/>
  <c r="AJ8" i="81"/>
  <c r="AJ11" i="81" s="1"/>
  <c r="AB8" i="81"/>
  <c r="AB11" i="81" s="1"/>
  <c r="T8" i="81"/>
  <c r="T11" i="81" s="1"/>
  <c r="L8" i="81"/>
  <c r="L11" i="81" s="1"/>
  <c r="BQ7" i="81"/>
  <c r="BQ10" i="81" s="1"/>
  <c r="AR7" i="81"/>
  <c r="AR10" i="81" s="1"/>
  <c r="AJ7" i="81"/>
  <c r="AJ10" i="81" s="1"/>
  <c r="AB7" i="81"/>
  <c r="AB10" i="81" s="1"/>
  <c r="T7" i="81"/>
  <c r="T10" i="81" s="1"/>
  <c r="L7" i="81"/>
  <c r="L10" i="81" s="1"/>
  <c r="BF8" i="81"/>
  <c r="BF11" i="81" s="1"/>
  <c r="AH8" i="81"/>
  <c r="AH11" i="81" s="1"/>
  <c r="R8" i="81"/>
  <c r="R11" i="81" s="1"/>
  <c r="BO7" i="81"/>
  <c r="BO10" i="81" s="1"/>
  <c r="AP7" i="81"/>
  <c r="AP10" i="81" s="1"/>
  <c r="Z7" i="81"/>
  <c r="Z10" i="81" s="1"/>
  <c r="J7" i="81"/>
  <c r="J10" i="81" s="1"/>
  <c r="BM8" i="81"/>
  <c r="BM11" i="81" s="1"/>
  <c r="AW8" i="81"/>
  <c r="AW11" i="81" s="1"/>
  <c r="Y8" i="81"/>
  <c r="Y11" i="81" s="1"/>
  <c r="I8" i="81"/>
  <c r="I11" i="81" s="1"/>
  <c r="AW7" i="81"/>
  <c r="AW10" i="81" s="1"/>
  <c r="AG7" i="81"/>
  <c r="AG10" i="81" s="1"/>
  <c r="BL8" i="81"/>
  <c r="BL11" i="81" s="1"/>
  <c r="AV8" i="81"/>
  <c r="AV11" i="81" s="1"/>
  <c r="X8" i="81"/>
  <c r="X11" i="81" s="1"/>
  <c r="BV7" i="81"/>
  <c r="BV10" i="81" s="1"/>
  <c r="AN7" i="81"/>
  <c r="AN10" i="81" s="1"/>
  <c r="P7" i="81"/>
  <c r="P10" i="81" s="1"/>
  <c r="BS8" i="81"/>
  <c r="BS11" i="81" s="1"/>
  <c r="BC8" i="81"/>
  <c r="BC11" i="81" s="1"/>
  <c r="AE8" i="81"/>
  <c r="AE11" i="81" s="1"/>
  <c r="O8" i="81"/>
  <c r="O11" i="81" s="1"/>
  <c r="AU7" i="81"/>
  <c r="AU10" i="81" s="1"/>
  <c r="AE7" i="81"/>
  <c r="AE10" i="81" s="1"/>
  <c r="O7" i="81"/>
  <c r="O10" i="81" s="1"/>
  <c r="BJ8" i="81"/>
  <c r="BJ11" i="81" s="1"/>
  <c r="AT8" i="81"/>
  <c r="AT11" i="81" s="1"/>
  <c r="AL8" i="81"/>
  <c r="AL11" i="81" s="1"/>
  <c r="AD8" i="81"/>
  <c r="AD11" i="81" s="1"/>
  <c r="V8" i="81"/>
  <c r="V11" i="81" s="1"/>
  <c r="N8" i="81"/>
  <c r="N11" i="81" s="1"/>
  <c r="BT7" i="81"/>
  <c r="BT10" i="81" s="1"/>
  <c r="AT7" i="81"/>
  <c r="AT10" i="81" s="1"/>
  <c r="AL7" i="81"/>
  <c r="AL10" i="81" s="1"/>
  <c r="AD7" i="81"/>
  <c r="AD10" i="81" s="1"/>
  <c r="V7" i="81"/>
  <c r="V10" i="81" s="1"/>
  <c r="N7" i="81"/>
  <c r="N10" i="81" s="1"/>
  <c r="BQ8" i="81"/>
  <c r="BQ11" i="81" s="1"/>
  <c r="BI8" i="81"/>
  <c r="BI11" i="81" s="1"/>
  <c r="BA8" i="81"/>
  <c r="BA11" i="81" s="1"/>
  <c r="AS8" i="81"/>
  <c r="AS11" i="81" s="1"/>
  <c r="AK8" i="81"/>
  <c r="AK11" i="81" s="1"/>
  <c r="AC8" i="81"/>
  <c r="AC11" i="81" s="1"/>
  <c r="U8" i="81"/>
  <c r="U11" i="81" s="1"/>
  <c r="M8" i="81"/>
  <c r="M11" i="81" s="1"/>
  <c r="BS7" i="81"/>
  <c r="BS10" i="81" s="1"/>
  <c r="AS7" i="81"/>
  <c r="AS10" i="81" s="1"/>
  <c r="AK7" i="81"/>
  <c r="AK10" i="81" s="1"/>
  <c r="AC7" i="81"/>
  <c r="AC10" i="81" s="1"/>
  <c r="U7" i="81"/>
  <c r="U10" i="81" s="1"/>
  <c r="M7" i="81"/>
  <c r="M10" i="81" s="1"/>
  <c r="BO8" i="81"/>
  <c r="BO11" i="81" s="1"/>
  <c r="BG8" i="81"/>
  <c r="BG11" i="81" s="1"/>
  <c r="AY8" i="81"/>
  <c r="AY11" i="81" s="1"/>
  <c r="AQ8" i="81"/>
  <c r="AQ11" i="81" s="1"/>
  <c r="AI8" i="81"/>
  <c r="AI11" i="81" s="1"/>
  <c r="AA8" i="81"/>
  <c r="AA11" i="81" s="1"/>
  <c r="S8" i="81"/>
  <c r="S11" i="81" s="1"/>
  <c r="K8" i="81"/>
  <c r="K11" i="81" s="1"/>
  <c r="BP7" i="81"/>
  <c r="BP10" i="81" s="1"/>
  <c r="AY7" i="81"/>
  <c r="AY10" i="81" s="1"/>
  <c r="AQ7" i="81"/>
  <c r="AQ10" i="81" s="1"/>
  <c r="AI7" i="81"/>
  <c r="AI10" i="81" s="1"/>
  <c r="AA7" i="81"/>
  <c r="AA10" i="81" s="1"/>
  <c r="S7" i="81"/>
  <c r="S10" i="81" s="1"/>
  <c r="K7" i="81"/>
  <c r="K10" i="81" s="1"/>
  <c r="BV8" i="81"/>
  <c r="BV11" i="81" s="1"/>
  <c r="BN8" i="81"/>
  <c r="BN11" i="81" s="1"/>
  <c r="AX8" i="81"/>
  <c r="AX11" i="81" s="1"/>
  <c r="AP8" i="81"/>
  <c r="AP11" i="81" s="1"/>
  <c r="Z8" i="81"/>
  <c r="Z11" i="81" s="1"/>
  <c r="J8" i="81"/>
  <c r="J11" i="81" s="1"/>
  <c r="AX7" i="81"/>
  <c r="AX10" i="81" s="1"/>
  <c r="AH7" i="81"/>
  <c r="AH10" i="81" s="1"/>
  <c r="R7" i="81"/>
  <c r="R10" i="81" s="1"/>
  <c r="BU8" i="81"/>
  <c r="BU11" i="81" s="1"/>
  <c r="BE8" i="81"/>
  <c r="BE11" i="81" s="1"/>
  <c r="AO8" i="81"/>
  <c r="AO11" i="81" s="1"/>
  <c r="AG8" i="81"/>
  <c r="AG11" i="81" s="1"/>
  <c r="Q8" i="81"/>
  <c r="Q11" i="81" s="1"/>
  <c r="BN7" i="81"/>
  <c r="BN10" i="81" s="1"/>
  <c r="AO7" i="81"/>
  <c r="AO10" i="81" s="1"/>
  <c r="Y7" i="81"/>
  <c r="Y10" i="81" s="1"/>
  <c r="Q7" i="81"/>
  <c r="Q10" i="81" s="1"/>
  <c r="BT8" i="81"/>
  <c r="BT11" i="81" s="1"/>
  <c r="BD8" i="81"/>
  <c r="BD11" i="81" s="1"/>
  <c r="AN8" i="81"/>
  <c r="AN11" i="81" s="1"/>
  <c r="AF8" i="81"/>
  <c r="AF11" i="81" s="1"/>
  <c r="P8" i="81"/>
  <c r="P11" i="81" s="1"/>
  <c r="BM7" i="81"/>
  <c r="BM10" i="81" s="1"/>
  <c r="AV7" i="81"/>
  <c r="AV10" i="81" s="1"/>
  <c r="AF7" i="81"/>
  <c r="AF10" i="81" s="1"/>
  <c r="X7" i="81"/>
  <c r="X10" i="81" s="1"/>
  <c r="BK8" i="81"/>
  <c r="BK11" i="81" s="1"/>
  <c r="AU8" i="81"/>
  <c r="AU11" i="81" s="1"/>
  <c r="AM8" i="81"/>
  <c r="AM11" i="81" s="1"/>
  <c r="W8" i="81"/>
  <c r="W11" i="81" s="1"/>
  <c r="BU7" i="81"/>
  <c r="BU10" i="81" s="1"/>
  <c r="AM7" i="81"/>
  <c r="AM10" i="81" s="1"/>
  <c r="W7" i="81"/>
  <c r="W10" i="81" s="1"/>
  <c r="BR8" i="81"/>
  <c r="BR11" i="81" s="1"/>
  <c r="BB8" i="81"/>
  <c r="BB11" i="81" s="1"/>
  <c r="BO8" i="79"/>
  <c r="BO11" i="79" s="1"/>
  <c r="BH8" i="79"/>
  <c r="BH11" i="79" s="1"/>
  <c r="K8" i="79"/>
  <c r="K11" i="79" s="1"/>
  <c r="S8" i="79"/>
  <c r="S11" i="79" s="1"/>
  <c r="AA8" i="79"/>
  <c r="AA11" i="79" s="1"/>
  <c r="AI8" i="79"/>
  <c r="AI11" i="79" s="1"/>
  <c r="AQ8" i="79"/>
  <c r="AQ11" i="79" s="1"/>
  <c r="AY8" i="79"/>
  <c r="AY11" i="79" s="1"/>
  <c r="I8" i="79"/>
  <c r="I11" i="79" s="1"/>
  <c r="BT7" i="79"/>
  <c r="BT10" i="79" s="1"/>
  <c r="BK7" i="79"/>
  <c r="BK10" i="79" s="1"/>
  <c r="BB7" i="79"/>
  <c r="BB10" i="79" s="1"/>
  <c r="AT7" i="79"/>
  <c r="AT10" i="79" s="1"/>
  <c r="AL7" i="79"/>
  <c r="AL10" i="79" s="1"/>
  <c r="AD7" i="79"/>
  <c r="AD10" i="79" s="1"/>
  <c r="V7" i="79"/>
  <c r="V10" i="79" s="1"/>
  <c r="N7" i="79"/>
  <c r="N10" i="79" s="1"/>
  <c r="O8" i="79"/>
  <c r="O11" i="79" s="1"/>
  <c r="W8" i="79"/>
  <c r="W11" i="79" s="1"/>
  <c r="BC8" i="79"/>
  <c r="BC11" i="79" s="1"/>
  <c r="AP7" i="79"/>
  <c r="AP10" i="79" s="1"/>
  <c r="J7" i="79"/>
  <c r="J10" i="79" s="1"/>
  <c r="P8" i="79"/>
  <c r="P11" i="79" s="1"/>
  <c r="AV8" i="79"/>
  <c r="AV11" i="79" s="1"/>
  <c r="BN7" i="79"/>
  <c r="BN10" i="79" s="1"/>
  <c r="Y7" i="79"/>
  <c r="Y10" i="79" s="1"/>
  <c r="BU8" i="79"/>
  <c r="BU11" i="79" s="1"/>
  <c r="AG8" i="79"/>
  <c r="AG11" i="79" s="1"/>
  <c r="BM7" i="79"/>
  <c r="BM10" i="79" s="1"/>
  <c r="AF7" i="79"/>
  <c r="AF10" i="79" s="1"/>
  <c r="BN8" i="79"/>
  <c r="BN11" i="79" s="1"/>
  <c r="R8" i="79"/>
  <c r="R11" i="79" s="1"/>
  <c r="AX8" i="79"/>
  <c r="AX11" i="79" s="1"/>
  <c r="BC7" i="79"/>
  <c r="BC10" i="79" s="1"/>
  <c r="W7" i="79"/>
  <c r="W10" i="79" s="1"/>
  <c r="BP8" i="79"/>
  <c r="BP11" i="79" s="1"/>
  <c r="BI8" i="79"/>
  <c r="BI11" i="79" s="1"/>
  <c r="L8" i="79"/>
  <c r="L11" i="79" s="1"/>
  <c r="T8" i="79"/>
  <c r="T11" i="79" s="1"/>
  <c r="AB8" i="79"/>
  <c r="AB11" i="79" s="1"/>
  <c r="AJ8" i="79"/>
  <c r="AJ11" i="79" s="1"/>
  <c r="AR8" i="79"/>
  <c r="AR11" i="79" s="1"/>
  <c r="AZ8" i="79"/>
  <c r="AZ11" i="79" s="1"/>
  <c r="I7" i="79"/>
  <c r="I10" i="79" s="1"/>
  <c r="BS7" i="79"/>
  <c r="BS10" i="79" s="1"/>
  <c r="BJ7" i="79"/>
  <c r="BJ10" i="79" s="1"/>
  <c r="BA7" i="79"/>
  <c r="BA10" i="79" s="1"/>
  <c r="AS7" i="79"/>
  <c r="AS10" i="79" s="1"/>
  <c r="AK7" i="79"/>
  <c r="AK10" i="79" s="1"/>
  <c r="AC7" i="79"/>
  <c r="AC10" i="79" s="1"/>
  <c r="U7" i="79"/>
  <c r="U10" i="79" s="1"/>
  <c r="M7" i="79"/>
  <c r="M10" i="79" s="1"/>
  <c r="BL8" i="79"/>
  <c r="BL11" i="79" s="1"/>
  <c r="AE8" i="79"/>
  <c r="AE11" i="79" s="1"/>
  <c r="BO7" i="79"/>
  <c r="BO10" i="79" s="1"/>
  <c r="AH7" i="79"/>
  <c r="AH10" i="79" s="1"/>
  <c r="X8" i="79"/>
  <c r="X11" i="79" s="1"/>
  <c r="BD8" i="79"/>
  <c r="BD11" i="79" s="1"/>
  <c r="BD12" i="79" s="1"/>
  <c r="BD15" i="79" s="1"/>
  <c r="AO7" i="79"/>
  <c r="AO10" i="79" s="1"/>
  <c r="Q8" i="79"/>
  <c r="Q11" i="79" s="1"/>
  <c r="AO8" i="79"/>
  <c r="AO11" i="79" s="1"/>
  <c r="BE7" i="79"/>
  <c r="BE10" i="79" s="1"/>
  <c r="X7" i="79"/>
  <c r="X10" i="79" s="1"/>
  <c r="J8" i="79"/>
  <c r="J11" i="79" s="1"/>
  <c r="Z8" i="79"/>
  <c r="Z11" i="79" s="1"/>
  <c r="BF8" i="79"/>
  <c r="BF11" i="79" s="1"/>
  <c r="AU7" i="79"/>
  <c r="AU10" i="79" s="1"/>
  <c r="O7" i="79"/>
  <c r="O10" i="79" s="1"/>
  <c r="BQ8" i="79"/>
  <c r="BQ11" i="79" s="1"/>
  <c r="BJ8" i="79"/>
  <c r="BJ11" i="79" s="1"/>
  <c r="M8" i="79"/>
  <c r="M11" i="79" s="1"/>
  <c r="U8" i="79"/>
  <c r="U11" i="79" s="1"/>
  <c r="AC8" i="79"/>
  <c r="AC11" i="79" s="1"/>
  <c r="AK8" i="79"/>
  <c r="AK11" i="79" s="1"/>
  <c r="AS8" i="79"/>
  <c r="AS11" i="79" s="1"/>
  <c r="BA8" i="79"/>
  <c r="BA11" i="79" s="1"/>
  <c r="BQ7" i="79"/>
  <c r="BQ10" i="79" s="1"/>
  <c r="BI7" i="79"/>
  <c r="BI10" i="79" s="1"/>
  <c r="AZ7" i="79"/>
  <c r="AZ10" i="79" s="1"/>
  <c r="AR7" i="79"/>
  <c r="AR10" i="79" s="1"/>
  <c r="AJ7" i="79"/>
  <c r="AJ10" i="79" s="1"/>
  <c r="AB7" i="79"/>
  <c r="AB10" i="79" s="1"/>
  <c r="T7" i="79"/>
  <c r="T10" i="79" s="1"/>
  <c r="L7" i="79"/>
  <c r="L10" i="79" s="1"/>
  <c r="BS8" i="79"/>
  <c r="BS11" i="79" s="1"/>
  <c r="AU8" i="79"/>
  <c r="AU11" i="79" s="1"/>
  <c r="AX7" i="79"/>
  <c r="AX10" i="79" s="1"/>
  <c r="R7" i="79"/>
  <c r="R10" i="79" s="1"/>
  <c r="BM8" i="79"/>
  <c r="BM11" i="79" s="1"/>
  <c r="AN8" i="79"/>
  <c r="AN11" i="79" s="1"/>
  <c r="AW7" i="79"/>
  <c r="AW10" i="79" s="1"/>
  <c r="Q7" i="79"/>
  <c r="Q10" i="79" s="1"/>
  <c r="BG8" i="79"/>
  <c r="BG11" i="79" s="1"/>
  <c r="AW8" i="79"/>
  <c r="AW11" i="79" s="1"/>
  <c r="AV7" i="79"/>
  <c r="AV10" i="79" s="1"/>
  <c r="P7" i="79"/>
  <c r="P10" i="79" s="1"/>
  <c r="BV8" i="79"/>
  <c r="BV11" i="79" s="1"/>
  <c r="AP8" i="79"/>
  <c r="AP11" i="79" s="1"/>
  <c r="BU7" i="79"/>
  <c r="BU10" i="79" s="1"/>
  <c r="AM7" i="79"/>
  <c r="AM10" i="79" s="1"/>
  <c r="BR8" i="79"/>
  <c r="BR11" i="79" s="1"/>
  <c r="BR12" i="79" s="1"/>
  <c r="BK8" i="79"/>
  <c r="BK11" i="79" s="1"/>
  <c r="N8" i="79"/>
  <c r="N11" i="79" s="1"/>
  <c r="V8" i="79"/>
  <c r="V11" i="79" s="1"/>
  <c r="AD8" i="79"/>
  <c r="AD11" i="79" s="1"/>
  <c r="AL8" i="79"/>
  <c r="AL11" i="79" s="1"/>
  <c r="AT8" i="79"/>
  <c r="AT11" i="79" s="1"/>
  <c r="BB8" i="79"/>
  <c r="BB11" i="79" s="1"/>
  <c r="BP7" i="79"/>
  <c r="BP10" i="79" s="1"/>
  <c r="BH7" i="79"/>
  <c r="BH10" i="79" s="1"/>
  <c r="AY7" i="79"/>
  <c r="AY10" i="79" s="1"/>
  <c r="AQ7" i="79"/>
  <c r="AQ10" i="79" s="1"/>
  <c r="AI7" i="79"/>
  <c r="AI10" i="79" s="1"/>
  <c r="AA7" i="79"/>
  <c r="AA10" i="79" s="1"/>
  <c r="S7" i="79"/>
  <c r="S10" i="79" s="1"/>
  <c r="K7" i="79"/>
  <c r="K10" i="79" s="1"/>
  <c r="AM8" i="79"/>
  <c r="AM11" i="79" s="1"/>
  <c r="BG7" i="79"/>
  <c r="BG10" i="79" s="1"/>
  <c r="Z7" i="79"/>
  <c r="Z10" i="79" s="1"/>
  <c r="BT8" i="79"/>
  <c r="BT11" i="79" s="1"/>
  <c r="AF8" i="79"/>
  <c r="AF11" i="79" s="1"/>
  <c r="BF7" i="79"/>
  <c r="BF10" i="79" s="1"/>
  <c r="AG7" i="79"/>
  <c r="AG10" i="79" s="1"/>
  <c r="Y8" i="79"/>
  <c r="Y11" i="79" s="1"/>
  <c r="BV7" i="79"/>
  <c r="BV10" i="79" s="1"/>
  <c r="AN7" i="79"/>
  <c r="AN10" i="79" s="1"/>
  <c r="BQ6" i="23"/>
  <c r="BQ9" i="23" s="1"/>
  <c r="AH8" i="79"/>
  <c r="AH11" i="79" s="1"/>
  <c r="BL7" i="79"/>
  <c r="BL10" i="79" s="1"/>
  <c r="AE7" i="79"/>
  <c r="AE10" i="79" s="1"/>
  <c r="BE8" i="79"/>
  <c r="BE11" i="79" s="1"/>
  <c r="BQ7" i="23"/>
  <c r="BQ10" i="23" s="1"/>
  <c r="BQ7" i="58"/>
  <c r="BQ12" i="58" s="1"/>
  <c r="BQ8" i="78"/>
  <c r="BQ11" i="78" s="1"/>
  <c r="BI8" i="78"/>
  <c r="BI11" i="78" s="1"/>
  <c r="BA8" i="78"/>
  <c r="BA11" i="78" s="1"/>
  <c r="AS8" i="78"/>
  <c r="AS11" i="78" s="1"/>
  <c r="AK8" i="78"/>
  <c r="AK11" i="78" s="1"/>
  <c r="AC8" i="78"/>
  <c r="AC11" i="78" s="1"/>
  <c r="U8" i="78"/>
  <c r="U11" i="78" s="1"/>
  <c r="M8" i="78"/>
  <c r="M11" i="78" s="1"/>
  <c r="BS7" i="78"/>
  <c r="BS10" i="78" s="1"/>
  <c r="BK7" i="78"/>
  <c r="BK10" i="78" s="1"/>
  <c r="BC7" i="78"/>
  <c r="BC10" i="78" s="1"/>
  <c r="AU7" i="78"/>
  <c r="AU10" i="78" s="1"/>
  <c r="AM7" i="78"/>
  <c r="AM10" i="78" s="1"/>
  <c r="AE7" i="78"/>
  <c r="AE10" i="78" s="1"/>
  <c r="W7" i="78"/>
  <c r="W10" i="78" s="1"/>
  <c r="O7" i="78"/>
  <c r="O10" i="78" s="1"/>
  <c r="BQ7" i="77"/>
  <c r="BQ10" i="77" s="1"/>
  <c r="BQ11" i="77" s="1"/>
  <c r="BQ16" i="77" s="1"/>
  <c r="BI7" i="77"/>
  <c r="BI10" i="77" s="1"/>
  <c r="BI11" i="77" s="1"/>
  <c r="BI16" i="77" s="1"/>
  <c r="BA7" i="77"/>
  <c r="BA10" i="77" s="1"/>
  <c r="BA11" i="77" s="1"/>
  <c r="BA16" i="77" s="1"/>
  <c r="AS7" i="77"/>
  <c r="AS10" i="77" s="1"/>
  <c r="AS11" i="77" s="1"/>
  <c r="AS16" i="77" s="1"/>
  <c r="AK7" i="77"/>
  <c r="AK10" i="77" s="1"/>
  <c r="AK11" i="77" s="1"/>
  <c r="AK16" i="77" s="1"/>
  <c r="AC7" i="77"/>
  <c r="AC10" i="77" s="1"/>
  <c r="AC11" i="77" s="1"/>
  <c r="U7" i="77"/>
  <c r="U10" i="77" s="1"/>
  <c r="U11" i="77" s="1"/>
  <c r="U16" i="77" s="1"/>
  <c r="M7" i="77"/>
  <c r="M10" i="77" s="1"/>
  <c r="M11" i="77" s="1"/>
  <c r="M16" i="77" s="1"/>
  <c r="BH7" i="77"/>
  <c r="BH10" i="77" s="1"/>
  <c r="BH11" i="77" s="1"/>
  <c r="BH16" i="77" s="1"/>
  <c r="AZ7" i="77"/>
  <c r="AZ10" i="77" s="1"/>
  <c r="AZ11" i="77" s="1"/>
  <c r="AZ16" i="77" s="1"/>
  <c r="AJ7" i="77"/>
  <c r="AJ10" i="77" s="1"/>
  <c r="AJ11" i="77" s="1"/>
  <c r="AJ16" i="77" s="1"/>
  <c r="AB7" i="77"/>
  <c r="AB10" i="77" s="1"/>
  <c r="AB11" i="77" s="1"/>
  <c r="AB16" i="77" s="1"/>
  <c r="L7" i="77"/>
  <c r="L10" i="77" s="1"/>
  <c r="L11" i="77" s="1"/>
  <c r="L16" i="77" s="1"/>
  <c r="BO7" i="77"/>
  <c r="BO10" i="77" s="1"/>
  <c r="BO11" i="77" s="1"/>
  <c r="BO16" i="77" s="1"/>
  <c r="AQ7" i="77"/>
  <c r="AQ10" i="77" s="1"/>
  <c r="AQ11" i="77" s="1"/>
  <c r="AI7" i="77"/>
  <c r="AI10" i="77" s="1"/>
  <c r="AI11" i="77" s="1"/>
  <c r="AI16" i="77" s="1"/>
  <c r="K7" i="77"/>
  <c r="K10" i="77" s="1"/>
  <c r="K11" i="77" s="1"/>
  <c r="K16" i="77" s="1"/>
  <c r="BK7" i="77"/>
  <c r="BK10" i="77" s="1"/>
  <c r="BK11" i="77" s="1"/>
  <c r="BK16" i="77" s="1"/>
  <c r="O7" i="77"/>
  <c r="O10" i="77" s="1"/>
  <c r="O11" i="77" s="1"/>
  <c r="O16" i="77" s="1"/>
  <c r="AL8" i="78"/>
  <c r="AL11" i="78" s="1"/>
  <c r="BL7" i="78"/>
  <c r="BL10" i="78" s="1"/>
  <c r="AN7" i="78"/>
  <c r="AN10" i="78" s="1"/>
  <c r="BR7" i="77"/>
  <c r="BR10" i="77" s="1"/>
  <c r="BR11" i="77" s="1"/>
  <c r="BR16" i="77" s="1"/>
  <c r="BB7" i="77"/>
  <c r="BB10" i="77" s="1"/>
  <c r="BB11" i="77" s="1"/>
  <c r="BB16" i="77" s="1"/>
  <c r="AD7" i="77"/>
  <c r="AD10" i="77" s="1"/>
  <c r="AD11" i="77" s="1"/>
  <c r="AD16" i="77" s="1"/>
  <c r="BP8" i="78"/>
  <c r="BP11" i="78" s="1"/>
  <c r="BH8" i="78"/>
  <c r="BH11" i="78" s="1"/>
  <c r="AZ8" i="78"/>
  <c r="AZ11" i="78" s="1"/>
  <c r="AR8" i="78"/>
  <c r="AR11" i="78" s="1"/>
  <c r="AJ8" i="78"/>
  <c r="AJ11" i="78" s="1"/>
  <c r="AB8" i="78"/>
  <c r="AB11" i="78" s="1"/>
  <c r="T8" i="78"/>
  <c r="T11" i="78" s="1"/>
  <c r="L8" i="78"/>
  <c r="L11" i="78" s="1"/>
  <c r="BR7" i="78"/>
  <c r="BR10" i="78" s="1"/>
  <c r="BJ7" i="78"/>
  <c r="BJ10" i="78" s="1"/>
  <c r="BB7" i="78"/>
  <c r="BB10" i="78" s="1"/>
  <c r="AT7" i="78"/>
  <c r="AT10" i="78" s="1"/>
  <c r="AL7" i="78"/>
  <c r="AL10" i="78" s="1"/>
  <c r="AD7" i="78"/>
  <c r="AD10" i="78" s="1"/>
  <c r="V7" i="78"/>
  <c r="V10" i="78" s="1"/>
  <c r="N7" i="78"/>
  <c r="N10" i="78" s="1"/>
  <c r="BP7" i="77"/>
  <c r="BP10" i="77" s="1"/>
  <c r="BP11" i="77" s="1"/>
  <c r="BP16" i="77" s="1"/>
  <c r="AR7" i="77"/>
  <c r="AR10" i="77" s="1"/>
  <c r="AR11" i="77" s="1"/>
  <c r="AR16" i="77" s="1"/>
  <c r="T7" i="77"/>
  <c r="T10" i="77" s="1"/>
  <c r="T11" i="77" s="1"/>
  <c r="T16" i="77" s="1"/>
  <c r="BG7" i="77"/>
  <c r="BG10" i="77" s="1"/>
  <c r="BG11" i="77" s="1"/>
  <c r="BG16" i="77" s="1"/>
  <c r="AA7" i="77"/>
  <c r="AA10" i="77" s="1"/>
  <c r="AA11" i="77" s="1"/>
  <c r="AA16" i="77" s="1"/>
  <c r="AU7" i="77"/>
  <c r="AU10" i="77" s="1"/>
  <c r="AU11" i="77" s="1"/>
  <c r="AU16" i="77" s="1"/>
  <c r="BB8" i="78"/>
  <c r="BB11" i="78" s="1"/>
  <c r="AL7" i="77"/>
  <c r="AL10" i="77" s="1"/>
  <c r="AL11" i="77" s="1"/>
  <c r="AL16" i="77" s="1"/>
  <c r="BO8" i="78"/>
  <c r="BO11" i="78" s="1"/>
  <c r="BG8" i="78"/>
  <c r="BG11" i="78" s="1"/>
  <c r="AY8" i="78"/>
  <c r="AY11" i="78" s="1"/>
  <c r="AQ8" i="78"/>
  <c r="AQ11" i="78" s="1"/>
  <c r="AI8" i="78"/>
  <c r="AI11" i="78" s="1"/>
  <c r="AA8" i="78"/>
  <c r="AA11" i="78" s="1"/>
  <c r="S8" i="78"/>
  <c r="S11" i="78" s="1"/>
  <c r="K8" i="78"/>
  <c r="K11" i="78" s="1"/>
  <c r="BQ7" i="78"/>
  <c r="BQ10" i="78" s="1"/>
  <c r="BI7" i="78"/>
  <c r="BI10" i="78" s="1"/>
  <c r="BA7" i="78"/>
  <c r="BA10" i="78" s="1"/>
  <c r="AS7" i="78"/>
  <c r="AS10" i="78" s="1"/>
  <c r="AK7" i="78"/>
  <c r="AK10" i="78" s="1"/>
  <c r="AC7" i="78"/>
  <c r="AC10" i="78" s="1"/>
  <c r="U7" i="78"/>
  <c r="U10" i="78" s="1"/>
  <c r="M7" i="78"/>
  <c r="M10" i="78" s="1"/>
  <c r="AY7" i="77"/>
  <c r="AY10" i="77" s="1"/>
  <c r="AY11" i="77" s="1"/>
  <c r="AY16" i="77" s="1"/>
  <c r="S7" i="77"/>
  <c r="S10" i="77" s="1"/>
  <c r="S11" i="77" s="1"/>
  <c r="S16" i="77" s="1"/>
  <c r="BC7" i="77"/>
  <c r="BC10" i="77" s="1"/>
  <c r="BC11" i="77" s="1"/>
  <c r="BC16" i="77" s="1"/>
  <c r="AT8" i="78"/>
  <c r="AT11" i="78" s="1"/>
  <c r="BJ7" i="77"/>
  <c r="BJ10" i="77" s="1"/>
  <c r="BJ11" i="77" s="1"/>
  <c r="BJ16" i="77" s="1"/>
  <c r="N7" i="77"/>
  <c r="N10" i="77" s="1"/>
  <c r="N11" i="77" s="1"/>
  <c r="N16" i="77" s="1"/>
  <c r="BV8" i="78"/>
  <c r="BV11" i="78" s="1"/>
  <c r="BN8" i="78"/>
  <c r="BN11" i="78" s="1"/>
  <c r="BF8" i="78"/>
  <c r="BF11" i="78" s="1"/>
  <c r="AX8" i="78"/>
  <c r="AX11" i="78" s="1"/>
  <c r="AP8" i="78"/>
  <c r="AP11" i="78" s="1"/>
  <c r="AH8" i="78"/>
  <c r="AH11" i="78" s="1"/>
  <c r="Z8" i="78"/>
  <c r="Z11" i="78" s="1"/>
  <c r="R8" i="78"/>
  <c r="R11" i="78" s="1"/>
  <c r="J8" i="78"/>
  <c r="J11" i="78" s="1"/>
  <c r="BP7" i="78"/>
  <c r="BP10" i="78" s="1"/>
  <c r="BH7" i="78"/>
  <c r="BH10" i="78" s="1"/>
  <c r="AZ7" i="78"/>
  <c r="AZ10" i="78" s="1"/>
  <c r="AR7" i="78"/>
  <c r="AR10" i="78" s="1"/>
  <c r="AJ7" i="78"/>
  <c r="AJ10" i="78" s="1"/>
  <c r="AB7" i="78"/>
  <c r="AB10" i="78" s="1"/>
  <c r="T7" i="78"/>
  <c r="T10" i="78" s="1"/>
  <c r="L7" i="78"/>
  <c r="L10" i="78" s="1"/>
  <c r="BV7" i="77"/>
  <c r="BV10" i="77" s="1"/>
  <c r="BV11" i="77" s="1"/>
  <c r="BV16" i="77" s="1"/>
  <c r="BN7" i="77"/>
  <c r="BN10" i="77" s="1"/>
  <c r="BN11" i="77" s="1"/>
  <c r="BN16" i="77" s="1"/>
  <c r="BF7" i="77"/>
  <c r="BF10" i="77" s="1"/>
  <c r="BF11" i="77" s="1"/>
  <c r="BF16" i="77" s="1"/>
  <c r="AX7" i="77"/>
  <c r="AX10" i="77" s="1"/>
  <c r="AX11" i="77" s="1"/>
  <c r="AX16" i="77" s="1"/>
  <c r="AP7" i="77"/>
  <c r="AP10" i="77" s="1"/>
  <c r="AP11" i="77" s="1"/>
  <c r="AP16" i="77" s="1"/>
  <c r="AH7" i="77"/>
  <c r="AH10" i="77" s="1"/>
  <c r="AH11" i="77" s="1"/>
  <c r="AH16" i="77" s="1"/>
  <c r="Z7" i="77"/>
  <c r="Z10" i="77" s="1"/>
  <c r="Z11" i="77" s="1"/>
  <c r="Z16" i="77" s="1"/>
  <c r="R7" i="77"/>
  <c r="R10" i="77" s="1"/>
  <c r="R11" i="77" s="1"/>
  <c r="R16" i="77" s="1"/>
  <c r="J7" i="77"/>
  <c r="J10" i="77" s="1"/>
  <c r="J11" i="77" s="1"/>
  <c r="J16" i="77" s="1"/>
  <c r="BU7" i="77"/>
  <c r="BU10" i="77" s="1"/>
  <c r="BU11" i="77" s="1"/>
  <c r="BU16" i="77" s="1"/>
  <c r="BM7" i="77"/>
  <c r="BM10" i="77" s="1"/>
  <c r="BM11" i="77" s="1"/>
  <c r="AW7" i="77"/>
  <c r="AW10" i="77" s="1"/>
  <c r="AW11" i="77" s="1"/>
  <c r="AW16" i="77" s="1"/>
  <c r="AG7" i="77"/>
  <c r="AG10" i="77" s="1"/>
  <c r="AG11" i="77" s="1"/>
  <c r="AG16" i="77" s="1"/>
  <c r="Y7" i="77"/>
  <c r="Y10" i="77" s="1"/>
  <c r="Y11" i="77" s="1"/>
  <c r="Y16" i="77" s="1"/>
  <c r="I7" i="77"/>
  <c r="I10" i="77" s="1"/>
  <c r="I11" i="77" s="1"/>
  <c r="I16" i="77" s="1"/>
  <c r="O8" i="78"/>
  <c r="O11" i="78" s="1"/>
  <c r="AO7" i="78"/>
  <c r="AO10" i="78" s="1"/>
  <c r="Y7" i="78"/>
  <c r="Y10" i="78" s="1"/>
  <c r="BS7" i="77"/>
  <c r="BS10" i="77" s="1"/>
  <c r="BS11" i="77" s="1"/>
  <c r="BS16" i="77" s="1"/>
  <c r="W7" i="77"/>
  <c r="W10" i="77" s="1"/>
  <c r="W11" i="77" s="1"/>
  <c r="W16" i="77" s="1"/>
  <c r="BR8" i="78"/>
  <c r="BR11" i="78" s="1"/>
  <c r="V8" i="78"/>
  <c r="V11" i="78" s="1"/>
  <c r="BT7" i="78"/>
  <c r="BT10" i="78" s="1"/>
  <c r="BD7" i="78"/>
  <c r="BD10" i="78" s="1"/>
  <c r="X7" i="78"/>
  <c r="X10" i="78" s="1"/>
  <c r="AT7" i="77"/>
  <c r="AT10" i="77" s="1"/>
  <c r="AT11" i="77" s="1"/>
  <c r="V7" i="77"/>
  <c r="V10" i="77" s="1"/>
  <c r="V11" i="77" s="1"/>
  <c r="V16" i="77" s="1"/>
  <c r="BU8" i="78"/>
  <c r="BU11" i="78" s="1"/>
  <c r="BM8" i="78"/>
  <c r="BM11" i="78" s="1"/>
  <c r="BE8" i="78"/>
  <c r="BE11" i="78" s="1"/>
  <c r="AW8" i="78"/>
  <c r="AW11" i="78" s="1"/>
  <c r="AO8" i="78"/>
  <c r="AO11" i="78" s="1"/>
  <c r="AG8" i="78"/>
  <c r="AG11" i="78" s="1"/>
  <c r="Y8" i="78"/>
  <c r="Y11" i="78" s="1"/>
  <c r="Q8" i="78"/>
  <c r="Q11" i="78" s="1"/>
  <c r="I8" i="78"/>
  <c r="I11" i="78" s="1"/>
  <c r="BO7" i="78"/>
  <c r="BO10" i="78" s="1"/>
  <c r="BG7" i="78"/>
  <c r="BG10" i="78" s="1"/>
  <c r="AY7" i="78"/>
  <c r="AY10" i="78" s="1"/>
  <c r="AQ7" i="78"/>
  <c r="AQ10" i="78" s="1"/>
  <c r="AI7" i="78"/>
  <c r="AI10" i="78" s="1"/>
  <c r="AA7" i="78"/>
  <c r="AA10" i="78" s="1"/>
  <c r="S7" i="78"/>
  <c r="S10" i="78" s="1"/>
  <c r="K7" i="78"/>
  <c r="K10" i="78" s="1"/>
  <c r="BE7" i="77"/>
  <c r="BE10" i="77" s="1"/>
  <c r="BE11" i="77" s="1"/>
  <c r="BE16" i="77" s="1"/>
  <c r="AO7" i="77"/>
  <c r="AO10" i="77" s="1"/>
  <c r="AO11" i="77" s="1"/>
  <c r="Q7" i="77"/>
  <c r="Q10" i="77" s="1"/>
  <c r="Q11" i="77" s="1"/>
  <c r="Q16" i="77" s="1"/>
  <c r="BM7" i="78"/>
  <c r="BM10" i="78" s="1"/>
  <c r="Q7" i="78"/>
  <c r="Q10" i="78" s="1"/>
  <c r="AE7" i="77"/>
  <c r="AE10" i="77" s="1"/>
  <c r="AE11" i="77" s="1"/>
  <c r="AD8" i="78"/>
  <c r="AD11" i="78" s="1"/>
  <c r="AF7" i="78"/>
  <c r="AF10" i="78" s="1"/>
  <c r="BT8" i="78"/>
  <c r="BT11" i="78" s="1"/>
  <c r="BL8" i="78"/>
  <c r="BL11" i="78" s="1"/>
  <c r="BD8" i="78"/>
  <c r="BD11" i="78" s="1"/>
  <c r="AV8" i="78"/>
  <c r="AV11" i="78" s="1"/>
  <c r="AN8" i="78"/>
  <c r="AN11" i="78" s="1"/>
  <c r="AF8" i="78"/>
  <c r="AF11" i="78" s="1"/>
  <c r="X8" i="78"/>
  <c r="X11" i="78" s="1"/>
  <c r="P8" i="78"/>
  <c r="P11" i="78" s="1"/>
  <c r="BV7" i="78"/>
  <c r="BV10" i="78" s="1"/>
  <c r="BN7" i="78"/>
  <c r="BN10" i="78" s="1"/>
  <c r="BF7" i="78"/>
  <c r="BF10" i="78" s="1"/>
  <c r="AX7" i="78"/>
  <c r="AX10" i="78" s="1"/>
  <c r="AP7" i="78"/>
  <c r="AP10" i="78" s="1"/>
  <c r="AH7" i="78"/>
  <c r="AH10" i="78" s="1"/>
  <c r="Z7" i="78"/>
  <c r="Z10" i="78" s="1"/>
  <c r="R7" i="78"/>
  <c r="R10" i="78" s="1"/>
  <c r="J7" i="78"/>
  <c r="J10" i="78" s="1"/>
  <c r="BT7" i="77"/>
  <c r="BT10" i="77" s="1"/>
  <c r="BT11" i="77" s="1"/>
  <c r="BT16" i="77" s="1"/>
  <c r="BL7" i="77"/>
  <c r="BL10" i="77" s="1"/>
  <c r="BL11" i="77" s="1"/>
  <c r="BL16" i="77" s="1"/>
  <c r="BD7" i="77"/>
  <c r="BD10" i="77" s="1"/>
  <c r="BD11" i="77" s="1"/>
  <c r="BD16" i="77" s="1"/>
  <c r="AV7" i="77"/>
  <c r="AV10" i="77" s="1"/>
  <c r="AV11" i="77" s="1"/>
  <c r="AV16" i="77" s="1"/>
  <c r="AN7" i="77"/>
  <c r="AN10" i="77" s="1"/>
  <c r="AN11" i="77" s="1"/>
  <c r="AN16" i="77" s="1"/>
  <c r="AF7" i="77"/>
  <c r="AF10" i="77" s="1"/>
  <c r="AF11" i="77" s="1"/>
  <c r="AF16" i="77" s="1"/>
  <c r="X7" i="77"/>
  <c r="X10" i="77" s="1"/>
  <c r="X11" i="77" s="1"/>
  <c r="X16" i="77" s="1"/>
  <c r="P7" i="77"/>
  <c r="P10" i="77" s="1"/>
  <c r="P11" i="77" s="1"/>
  <c r="BS8" i="78"/>
  <c r="BS11" i="78" s="1"/>
  <c r="BK8" i="78"/>
  <c r="BK11" i="78" s="1"/>
  <c r="BC8" i="78"/>
  <c r="BC11" i="78" s="1"/>
  <c r="AU8" i="78"/>
  <c r="AU11" i="78" s="1"/>
  <c r="AM8" i="78"/>
  <c r="AM11" i="78" s="1"/>
  <c r="AE8" i="78"/>
  <c r="AE11" i="78" s="1"/>
  <c r="W8" i="78"/>
  <c r="W11" i="78" s="1"/>
  <c r="BU7" i="78"/>
  <c r="BU10" i="78" s="1"/>
  <c r="BE7" i="78"/>
  <c r="BE10" i="78" s="1"/>
  <c r="AW7" i="78"/>
  <c r="AW10" i="78" s="1"/>
  <c r="AG7" i="78"/>
  <c r="AG10" i="78" s="1"/>
  <c r="I7" i="78"/>
  <c r="I10" i="78" s="1"/>
  <c r="AM7" i="77"/>
  <c r="AM10" i="77" s="1"/>
  <c r="AM11" i="77" s="1"/>
  <c r="AM16" i="77" s="1"/>
  <c r="BJ8" i="78"/>
  <c r="BJ11" i="78" s="1"/>
  <c r="N8" i="78"/>
  <c r="N11" i="78" s="1"/>
  <c r="AV7" i="78"/>
  <c r="AV10" i="78" s="1"/>
  <c r="P7" i="78"/>
  <c r="P10" i="78" s="1"/>
  <c r="BO8" i="76"/>
  <c r="BO11" i="76" s="1"/>
  <c r="BH8" i="76"/>
  <c r="BH11" i="76" s="1"/>
  <c r="J8" i="76"/>
  <c r="J11" i="76" s="1"/>
  <c r="R8" i="76"/>
  <c r="R11" i="76" s="1"/>
  <c r="Z8" i="76"/>
  <c r="Z11" i="76" s="1"/>
  <c r="AH8" i="76"/>
  <c r="AH11" i="76" s="1"/>
  <c r="AP8" i="76"/>
  <c r="AP11" i="76" s="1"/>
  <c r="AX8" i="76"/>
  <c r="AX11" i="76" s="1"/>
  <c r="I8" i="76"/>
  <c r="I11" i="76" s="1"/>
  <c r="AU8" i="76"/>
  <c r="AU11" i="76" s="1"/>
  <c r="AV8" i="76"/>
  <c r="AV11" i="76" s="1"/>
  <c r="AG8" i="76"/>
  <c r="AG11" i="76" s="1"/>
  <c r="BP8" i="76"/>
  <c r="BP11" i="76" s="1"/>
  <c r="BI8" i="76"/>
  <c r="BI11" i="76" s="1"/>
  <c r="K8" i="76"/>
  <c r="K11" i="76" s="1"/>
  <c r="S8" i="76"/>
  <c r="S11" i="76" s="1"/>
  <c r="AA8" i="76"/>
  <c r="AA11" i="76" s="1"/>
  <c r="AI8" i="76"/>
  <c r="AI11" i="76" s="1"/>
  <c r="AQ8" i="76"/>
  <c r="AQ11" i="76" s="1"/>
  <c r="AY8" i="76"/>
  <c r="AY11" i="76" s="1"/>
  <c r="I7" i="76"/>
  <c r="I10" i="76" s="1"/>
  <c r="AE8" i="76"/>
  <c r="AE11" i="76" s="1"/>
  <c r="AF8" i="76"/>
  <c r="AF11" i="76" s="1"/>
  <c r="Y8" i="76"/>
  <c r="Y11" i="76" s="1"/>
  <c r="BQ8" i="76"/>
  <c r="BQ11" i="76" s="1"/>
  <c r="BJ8" i="76"/>
  <c r="BJ11" i="76" s="1"/>
  <c r="L8" i="76"/>
  <c r="L11" i="76" s="1"/>
  <c r="T8" i="76"/>
  <c r="T11" i="76" s="1"/>
  <c r="AB8" i="76"/>
  <c r="AB11" i="76" s="1"/>
  <c r="AJ8" i="76"/>
  <c r="AJ11" i="76" s="1"/>
  <c r="AR8" i="76"/>
  <c r="AR11" i="76" s="1"/>
  <c r="AZ8" i="76"/>
  <c r="AZ11" i="76" s="1"/>
  <c r="AM8" i="76"/>
  <c r="AM11" i="76" s="1"/>
  <c r="BV8" i="76"/>
  <c r="BV11" i="76" s="1"/>
  <c r="BR8" i="76"/>
  <c r="BR11" i="76" s="1"/>
  <c r="BK8" i="76"/>
  <c r="BK11" i="76" s="1"/>
  <c r="M8" i="76"/>
  <c r="M11" i="76" s="1"/>
  <c r="U8" i="76"/>
  <c r="U11" i="76" s="1"/>
  <c r="AC8" i="76"/>
  <c r="AC11" i="76" s="1"/>
  <c r="AK8" i="76"/>
  <c r="AK11" i="76" s="1"/>
  <c r="AS8" i="76"/>
  <c r="AS11" i="76" s="1"/>
  <c r="BA8" i="76"/>
  <c r="BA11" i="76" s="1"/>
  <c r="BM8" i="76"/>
  <c r="BM11" i="76" s="1"/>
  <c r="W8" i="76"/>
  <c r="W11" i="76" s="1"/>
  <c r="BC8" i="76"/>
  <c r="BC11" i="76" s="1"/>
  <c r="X8" i="76"/>
  <c r="X11" i="76" s="1"/>
  <c r="BD8" i="76"/>
  <c r="BD11" i="76" s="1"/>
  <c r="AO8" i="76"/>
  <c r="AO11" i="76" s="1"/>
  <c r="BE8" i="76"/>
  <c r="BE11" i="76" s="1"/>
  <c r="BS8" i="76"/>
  <c r="BS11" i="76" s="1"/>
  <c r="BL8" i="76"/>
  <c r="BL11" i="76" s="1"/>
  <c r="N8" i="76"/>
  <c r="N11" i="76" s="1"/>
  <c r="V8" i="76"/>
  <c r="V11" i="76" s="1"/>
  <c r="AD8" i="76"/>
  <c r="AD11" i="76" s="1"/>
  <c r="AL8" i="76"/>
  <c r="AL11" i="76" s="1"/>
  <c r="AT8" i="76"/>
  <c r="AT11" i="76" s="1"/>
  <c r="BB8" i="76"/>
  <c r="BB11" i="76" s="1"/>
  <c r="O8" i="76"/>
  <c r="O11" i="76" s="1"/>
  <c r="BF8" i="76"/>
  <c r="BF11" i="76" s="1"/>
  <c r="AW8" i="76"/>
  <c r="AW11" i="76" s="1"/>
  <c r="BT8" i="76"/>
  <c r="BT11" i="76" s="1"/>
  <c r="AN8" i="76"/>
  <c r="AN11" i="76" s="1"/>
  <c r="Q8" i="76"/>
  <c r="Q11" i="76" s="1"/>
  <c r="BU8" i="76"/>
  <c r="BU11" i="76" s="1"/>
  <c r="BG8" i="76"/>
  <c r="BG11" i="76" s="1"/>
  <c r="P8" i="76"/>
  <c r="P11" i="76" s="1"/>
  <c r="BN8" i="76"/>
  <c r="BN11" i="76" s="1"/>
  <c r="BQ7" i="76"/>
  <c r="BI7" i="76"/>
  <c r="BA7" i="76"/>
  <c r="AS7" i="76"/>
  <c r="AK7" i="76"/>
  <c r="AC7" i="76"/>
  <c r="U7" i="76"/>
  <c r="M7" i="76"/>
  <c r="BP7" i="76"/>
  <c r="BH7" i="76"/>
  <c r="AZ7" i="76"/>
  <c r="AR7" i="76"/>
  <c r="AJ7" i="76"/>
  <c r="AB7" i="76"/>
  <c r="T7" i="76"/>
  <c r="L7" i="76"/>
  <c r="BO7" i="76"/>
  <c r="BG7" i="76"/>
  <c r="AY7" i="76"/>
  <c r="AQ7" i="76"/>
  <c r="AI7" i="76"/>
  <c r="AA7" i="76"/>
  <c r="S7" i="76"/>
  <c r="K7" i="76"/>
  <c r="BV7" i="76"/>
  <c r="BN7" i="76"/>
  <c r="BF7" i="76"/>
  <c r="AX7" i="76"/>
  <c r="AP7" i="76"/>
  <c r="AH7" i="76"/>
  <c r="Z7" i="76"/>
  <c r="R7" i="76"/>
  <c r="J7" i="76"/>
  <c r="BU7" i="76"/>
  <c r="BM7" i="76"/>
  <c r="BE7" i="76"/>
  <c r="AW7" i="76"/>
  <c r="AO7" i="76"/>
  <c r="AG7" i="76"/>
  <c r="Y7" i="76"/>
  <c r="Q7" i="76"/>
  <c r="BT7" i="76"/>
  <c r="BL7" i="76"/>
  <c r="BD7" i="76"/>
  <c r="AV7" i="76"/>
  <c r="AN7" i="76"/>
  <c r="AF7" i="76"/>
  <c r="X7" i="76"/>
  <c r="P7" i="76"/>
  <c r="BS7" i="76"/>
  <c r="BK7" i="76"/>
  <c r="BC7" i="76"/>
  <c r="AU7" i="76"/>
  <c r="AM7" i="76"/>
  <c r="AE7" i="76"/>
  <c r="W7" i="76"/>
  <c r="O7" i="76"/>
  <c r="BR7" i="76"/>
  <c r="BJ7" i="76"/>
  <c r="BB7" i="76"/>
  <c r="AT7" i="76"/>
  <c r="AL7" i="76"/>
  <c r="AD7" i="76"/>
  <c r="V7" i="76"/>
  <c r="N7" i="76"/>
  <c r="BT7" i="75"/>
  <c r="BT9" i="75" s="1"/>
  <c r="BT11" i="75" s="1"/>
  <c r="BT16" i="75" s="1"/>
  <c r="BL7" i="75"/>
  <c r="BL9" i="75" s="1"/>
  <c r="BL11" i="75" s="1"/>
  <c r="BL16" i="75" s="1"/>
  <c r="BD7" i="75"/>
  <c r="BD9" i="75" s="1"/>
  <c r="BD11" i="75" s="1"/>
  <c r="BD16" i="75" s="1"/>
  <c r="AV7" i="75"/>
  <c r="AV9" i="75" s="1"/>
  <c r="AV11" i="75" s="1"/>
  <c r="AV16" i="75" s="1"/>
  <c r="AN7" i="75"/>
  <c r="AN9" i="75" s="1"/>
  <c r="AN11" i="75" s="1"/>
  <c r="AN16" i="75" s="1"/>
  <c r="AF7" i="75"/>
  <c r="AF9" i="75" s="1"/>
  <c r="AF11" i="75" s="1"/>
  <c r="AF16" i="75" s="1"/>
  <c r="X7" i="75"/>
  <c r="X9" i="75" s="1"/>
  <c r="X11" i="75" s="1"/>
  <c r="X16" i="75" s="1"/>
  <c r="P7" i="75"/>
  <c r="BO7" i="74"/>
  <c r="BO9" i="74" s="1"/>
  <c r="BO11" i="74" s="1"/>
  <c r="BO16" i="74" s="1"/>
  <c r="BG7" i="74"/>
  <c r="BG9" i="74" s="1"/>
  <c r="BG11" i="74" s="1"/>
  <c r="BG16" i="74" s="1"/>
  <c r="AY7" i="74"/>
  <c r="AY9" i="74" s="1"/>
  <c r="AY11" i="74" s="1"/>
  <c r="AY16" i="74" s="1"/>
  <c r="AQ7" i="74"/>
  <c r="AQ9" i="74" s="1"/>
  <c r="AQ11" i="74" s="1"/>
  <c r="AQ16" i="74" s="1"/>
  <c r="AI7" i="74"/>
  <c r="AI9" i="74" s="1"/>
  <c r="AI11" i="74" s="1"/>
  <c r="AI16" i="74" s="1"/>
  <c r="AA7" i="74"/>
  <c r="AA9" i="74" s="1"/>
  <c r="AA11" i="74" s="1"/>
  <c r="AA16" i="74" s="1"/>
  <c r="S7" i="74"/>
  <c r="S9" i="74" s="1"/>
  <c r="S11" i="74" s="1"/>
  <c r="S16" i="74" s="1"/>
  <c r="K7" i="74"/>
  <c r="K9" i="74" s="1"/>
  <c r="K11" i="74" s="1"/>
  <c r="K16" i="74" s="1"/>
  <c r="AR7" i="75"/>
  <c r="AR9" i="75" s="1"/>
  <c r="AR11" i="75" s="1"/>
  <c r="AR16" i="75" s="1"/>
  <c r="L7" i="75"/>
  <c r="L9" i="75" s="1"/>
  <c r="L11" i="75" s="1"/>
  <c r="L16" i="75" s="1"/>
  <c r="AU7" i="74"/>
  <c r="AU9" i="74" s="1"/>
  <c r="AU11" i="74" s="1"/>
  <c r="AU16" i="74" s="1"/>
  <c r="W7" i="74"/>
  <c r="W9" i="74" s="1"/>
  <c r="W11" i="74" s="1"/>
  <c r="W16" i="74" s="1"/>
  <c r="BS7" i="75"/>
  <c r="BK7" i="75"/>
  <c r="BK9" i="75" s="1"/>
  <c r="BK11" i="75" s="1"/>
  <c r="BK16" i="75" s="1"/>
  <c r="BC7" i="75"/>
  <c r="AU7" i="75"/>
  <c r="AM7" i="75"/>
  <c r="AE7" i="75"/>
  <c r="AE9" i="75" s="1"/>
  <c r="AE11" i="75" s="1"/>
  <c r="AE16" i="75" s="1"/>
  <c r="W7" i="75"/>
  <c r="O7" i="75"/>
  <c r="BV7" i="74"/>
  <c r="BV9" i="74" s="1"/>
  <c r="BV11" i="74" s="1"/>
  <c r="BV16" i="74" s="1"/>
  <c r="BN7" i="74"/>
  <c r="BN9" i="74" s="1"/>
  <c r="BN11" i="74" s="1"/>
  <c r="BN16" i="74" s="1"/>
  <c r="BF7" i="74"/>
  <c r="BF9" i="74" s="1"/>
  <c r="BF11" i="74" s="1"/>
  <c r="BF16" i="74" s="1"/>
  <c r="AX7" i="74"/>
  <c r="AX9" i="74" s="1"/>
  <c r="AX11" i="74" s="1"/>
  <c r="AX16" i="74" s="1"/>
  <c r="AP7" i="74"/>
  <c r="AP9" i="74" s="1"/>
  <c r="AP11" i="74" s="1"/>
  <c r="AP16" i="74" s="1"/>
  <c r="AH7" i="74"/>
  <c r="AH9" i="74" s="1"/>
  <c r="AH11" i="74" s="1"/>
  <c r="AH16" i="74" s="1"/>
  <c r="Z7" i="74"/>
  <c r="Z9" i="74" s="1"/>
  <c r="Z11" i="74" s="1"/>
  <c r="Z16" i="74" s="1"/>
  <c r="R7" i="74"/>
  <c r="R9" i="74" s="1"/>
  <c r="R11" i="74" s="1"/>
  <c r="R16" i="74" s="1"/>
  <c r="J7" i="74"/>
  <c r="J9" i="74" s="1"/>
  <c r="J11" i="74" s="1"/>
  <c r="J16" i="74" s="1"/>
  <c r="BH7" i="75"/>
  <c r="BH9" i="75" s="1"/>
  <c r="BH11" i="75" s="1"/>
  <c r="BH16" i="75" s="1"/>
  <c r="AB7" i="75"/>
  <c r="AB9" i="75" s="1"/>
  <c r="AB11" i="75" s="1"/>
  <c r="AB16" i="75" s="1"/>
  <c r="BK7" i="74"/>
  <c r="BK9" i="74" s="1"/>
  <c r="BK11" i="74" s="1"/>
  <c r="BK16" i="74" s="1"/>
  <c r="AM7" i="74"/>
  <c r="AM9" i="74" s="1"/>
  <c r="AM11" i="74" s="1"/>
  <c r="AM16" i="74" s="1"/>
  <c r="O7" i="74"/>
  <c r="O9" i="74" s="1"/>
  <c r="O11" i="74" s="1"/>
  <c r="O16" i="74" s="1"/>
  <c r="BR7" i="75"/>
  <c r="BJ7" i="75"/>
  <c r="BJ9" i="75" s="1"/>
  <c r="BJ11" i="75" s="1"/>
  <c r="BJ16" i="75" s="1"/>
  <c r="BB7" i="75"/>
  <c r="BB9" i="75" s="1"/>
  <c r="BB11" i="75" s="1"/>
  <c r="BB16" i="75" s="1"/>
  <c r="AT7" i="75"/>
  <c r="AT9" i="75" s="1"/>
  <c r="AT11" i="75" s="1"/>
  <c r="AT16" i="75" s="1"/>
  <c r="AL7" i="75"/>
  <c r="AL9" i="75" s="1"/>
  <c r="AL11" i="75" s="1"/>
  <c r="AL16" i="75" s="1"/>
  <c r="AD7" i="75"/>
  <c r="AD9" i="75" s="1"/>
  <c r="AD11" i="75" s="1"/>
  <c r="AD16" i="75" s="1"/>
  <c r="V7" i="75"/>
  <c r="V9" i="75" s="1"/>
  <c r="V11" i="75" s="1"/>
  <c r="V16" i="75" s="1"/>
  <c r="N7" i="75"/>
  <c r="N9" i="75" s="1"/>
  <c r="N11" i="75" s="1"/>
  <c r="N16" i="75" s="1"/>
  <c r="BU7" i="74"/>
  <c r="BU9" i="74" s="1"/>
  <c r="BU11" i="74" s="1"/>
  <c r="BU16" i="74" s="1"/>
  <c r="BM7" i="74"/>
  <c r="BM9" i="74" s="1"/>
  <c r="BM11" i="74" s="1"/>
  <c r="BM16" i="74" s="1"/>
  <c r="BE7" i="74"/>
  <c r="BE9" i="74" s="1"/>
  <c r="BE11" i="74" s="1"/>
  <c r="BE16" i="74" s="1"/>
  <c r="AW7" i="74"/>
  <c r="AW9" i="74" s="1"/>
  <c r="AW11" i="74" s="1"/>
  <c r="AW16" i="74" s="1"/>
  <c r="AO7" i="74"/>
  <c r="AO9" i="74" s="1"/>
  <c r="AO11" i="74" s="1"/>
  <c r="AO16" i="74" s="1"/>
  <c r="AG7" i="74"/>
  <c r="AG9" i="74" s="1"/>
  <c r="AG11" i="74" s="1"/>
  <c r="AG16" i="74" s="1"/>
  <c r="Y7" i="74"/>
  <c r="Y9" i="74" s="1"/>
  <c r="Y11" i="74" s="1"/>
  <c r="Y16" i="74" s="1"/>
  <c r="Q7" i="74"/>
  <c r="Q9" i="74" s="1"/>
  <c r="Q11" i="74" s="1"/>
  <c r="Q16" i="74" s="1"/>
  <c r="I7" i="74"/>
  <c r="I9" i="74" s="1"/>
  <c r="AZ7" i="75"/>
  <c r="AZ9" i="75" s="1"/>
  <c r="AZ11" i="75" s="1"/>
  <c r="AZ16" i="75" s="1"/>
  <c r="T7" i="75"/>
  <c r="T9" i="75" s="1"/>
  <c r="T11" i="75" s="1"/>
  <c r="T16" i="75" s="1"/>
  <c r="BC7" i="74"/>
  <c r="BC9" i="74" s="1"/>
  <c r="BC11" i="74" s="1"/>
  <c r="BC16" i="74" s="1"/>
  <c r="AE7" i="74"/>
  <c r="AE9" i="74" s="1"/>
  <c r="AE11" i="74" s="1"/>
  <c r="AE16" i="74" s="1"/>
  <c r="BQ7" i="75"/>
  <c r="BQ9" i="75" s="1"/>
  <c r="BQ11" i="75" s="1"/>
  <c r="BQ16" i="75" s="1"/>
  <c r="BI7" i="75"/>
  <c r="BI9" i="75" s="1"/>
  <c r="BI11" i="75" s="1"/>
  <c r="BI16" i="75" s="1"/>
  <c r="BA7" i="75"/>
  <c r="BA9" i="75" s="1"/>
  <c r="BA11" i="75" s="1"/>
  <c r="BA16" i="75" s="1"/>
  <c r="AS7" i="75"/>
  <c r="AS9" i="75" s="1"/>
  <c r="AS11" i="75" s="1"/>
  <c r="AS16" i="75" s="1"/>
  <c r="AK7" i="75"/>
  <c r="AK9" i="75" s="1"/>
  <c r="AK11" i="75" s="1"/>
  <c r="AK16" i="75" s="1"/>
  <c r="AC7" i="75"/>
  <c r="AC9" i="75" s="1"/>
  <c r="AC11" i="75" s="1"/>
  <c r="AC16" i="75" s="1"/>
  <c r="U7" i="75"/>
  <c r="U9" i="75" s="1"/>
  <c r="U11" i="75" s="1"/>
  <c r="U16" i="75" s="1"/>
  <c r="M7" i="75"/>
  <c r="M9" i="75" s="1"/>
  <c r="M11" i="75" s="1"/>
  <c r="M16" i="75" s="1"/>
  <c r="BT7" i="74"/>
  <c r="BT9" i="74" s="1"/>
  <c r="BT11" i="74" s="1"/>
  <c r="BT16" i="74" s="1"/>
  <c r="BL7" i="74"/>
  <c r="BL9" i="74" s="1"/>
  <c r="BL11" i="74" s="1"/>
  <c r="BL16" i="74" s="1"/>
  <c r="BD7" i="74"/>
  <c r="BD9" i="74" s="1"/>
  <c r="BD11" i="74" s="1"/>
  <c r="BD16" i="74" s="1"/>
  <c r="AV7" i="74"/>
  <c r="AV9" i="74" s="1"/>
  <c r="AV11" i="74" s="1"/>
  <c r="AV16" i="74" s="1"/>
  <c r="AN7" i="74"/>
  <c r="AN9" i="74" s="1"/>
  <c r="AN11" i="74" s="1"/>
  <c r="AN16" i="74" s="1"/>
  <c r="AF7" i="74"/>
  <c r="AF9" i="74" s="1"/>
  <c r="AF11" i="74" s="1"/>
  <c r="AF16" i="74" s="1"/>
  <c r="X7" i="74"/>
  <c r="X9" i="74" s="1"/>
  <c r="X11" i="74" s="1"/>
  <c r="X16" i="74" s="1"/>
  <c r="P7" i="74"/>
  <c r="P9" i="74" s="1"/>
  <c r="P11" i="74" s="1"/>
  <c r="P16" i="74" s="1"/>
  <c r="BP7" i="75"/>
  <c r="BP9" i="75" s="1"/>
  <c r="BP11" i="75" s="1"/>
  <c r="BP16" i="75" s="1"/>
  <c r="AJ7" i="75"/>
  <c r="AJ9" i="75" s="1"/>
  <c r="AJ11" i="75" s="1"/>
  <c r="AJ16" i="75" s="1"/>
  <c r="BS7" i="74"/>
  <c r="BS9" i="74" s="1"/>
  <c r="BS11" i="74" s="1"/>
  <c r="BS16" i="74" s="1"/>
  <c r="BO7" i="75"/>
  <c r="BG7" i="75"/>
  <c r="AY7" i="75"/>
  <c r="AQ7" i="75"/>
  <c r="AQ9" i="75" s="1"/>
  <c r="AQ11" i="75" s="1"/>
  <c r="AQ16" i="75" s="1"/>
  <c r="AI7" i="75"/>
  <c r="AA7" i="75"/>
  <c r="S7" i="75"/>
  <c r="K7" i="75"/>
  <c r="BR7" i="74"/>
  <c r="BR9" i="74" s="1"/>
  <c r="BR11" i="74" s="1"/>
  <c r="BR16" i="74" s="1"/>
  <c r="BJ7" i="74"/>
  <c r="BJ9" i="74" s="1"/>
  <c r="BJ11" i="74" s="1"/>
  <c r="BJ16" i="74" s="1"/>
  <c r="BB7" i="74"/>
  <c r="BB9" i="74" s="1"/>
  <c r="BB11" i="74" s="1"/>
  <c r="BB16" i="74" s="1"/>
  <c r="AT7" i="74"/>
  <c r="AT9" i="74" s="1"/>
  <c r="AT11" i="74" s="1"/>
  <c r="AT16" i="74" s="1"/>
  <c r="AL7" i="74"/>
  <c r="AL9" i="74" s="1"/>
  <c r="AL11" i="74" s="1"/>
  <c r="AL16" i="74" s="1"/>
  <c r="AD7" i="74"/>
  <c r="AD9" i="74" s="1"/>
  <c r="AD11" i="74" s="1"/>
  <c r="AD16" i="74" s="1"/>
  <c r="V7" i="74"/>
  <c r="V9" i="74" s="1"/>
  <c r="V11" i="74" s="1"/>
  <c r="V16" i="74" s="1"/>
  <c r="N7" i="74"/>
  <c r="N9" i="74" s="1"/>
  <c r="N11" i="74" s="1"/>
  <c r="N16" i="74" s="1"/>
  <c r="BM7" i="75"/>
  <c r="BM9" i="75" s="1"/>
  <c r="BM11" i="75" s="1"/>
  <c r="BM16" i="75" s="1"/>
  <c r="BE7" i="75"/>
  <c r="BE9" i="75" s="1"/>
  <c r="BE11" i="75" s="1"/>
  <c r="BE16" i="75" s="1"/>
  <c r="AO7" i="75"/>
  <c r="AO9" i="75" s="1"/>
  <c r="AO11" i="75" s="1"/>
  <c r="AO16" i="75" s="1"/>
  <c r="Y7" i="75"/>
  <c r="Y9" i="75" s="1"/>
  <c r="Y11" i="75" s="1"/>
  <c r="Y16" i="75" s="1"/>
  <c r="I7" i="75"/>
  <c r="BH7" i="74"/>
  <c r="BH9" i="74" s="1"/>
  <c r="BH11" i="74" s="1"/>
  <c r="BH16" i="74" s="1"/>
  <c r="AJ7" i="74"/>
  <c r="AJ9" i="74" s="1"/>
  <c r="AJ11" i="74" s="1"/>
  <c r="AJ16" i="74" s="1"/>
  <c r="T7" i="74"/>
  <c r="T9" i="74" s="1"/>
  <c r="T11" i="74" s="1"/>
  <c r="T16" i="74" s="1"/>
  <c r="BV7" i="75"/>
  <c r="BV9" i="75" s="1"/>
  <c r="BV11" i="75" s="1"/>
  <c r="BV16" i="75" s="1"/>
  <c r="BN7" i="75"/>
  <c r="BN9" i="75" s="1"/>
  <c r="BN11" i="75" s="1"/>
  <c r="BN16" i="75" s="1"/>
  <c r="BF7" i="75"/>
  <c r="BF9" i="75" s="1"/>
  <c r="BF11" i="75" s="1"/>
  <c r="BF16" i="75" s="1"/>
  <c r="AX7" i="75"/>
  <c r="AX9" i="75" s="1"/>
  <c r="AX11" i="75" s="1"/>
  <c r="AX16" i="75" s="1"/>
  <c r="AP7" i="75"/>
  <c r="AP9" i="75" s="1"/>
  <c r="AP11" i="75" s="1"/>
  <c r="AP16" i="75" s="1"/>
  <c r="AH7" i="75"/>
  <c r="AH9" i="75" s="1"/>
  <c r="AH11" i="75" s="1"/>
  <c r="AH16" i="75" s="1"/>
  <c r="Z7" i="75"/>
  <c r="Z9" i="75" s="1"/>
  <c r="Z11" i="75" s="1"/>
  <c r="Z16" i="75" s="1"/>
  <c r="R7" i="75"/>
  <c r="R9" i="75" s="1"/>
  <c r="R11" i="75" s="1"/>
  <c r="R16" i="75" s="1"/>
  <c r="J7" i="75"/>
  <c r="J9" i="75" s="1"/>
  <c r="J11" i="75" s="1"/>
  <c r="J16" i="75" s="1"/>
  <c r="BQ7" i="74"/>
  <c r="BQ9" i="74" s="1"/>
  <c r="BQ11" i="74" s="1"/>
  <c r="BQ16" i="74" s="1"/>
  <c r="BI7" i="74"/>
  <c r="BI9" i="74" s="1"/>
  <c r="BI11" i="74" s="1"/>
  <c r="BI16" i="74" s="1"/>
  <c r="BA7" i="74"/>
  <c r="BA9" i="74" s="1"/>
  <c r="BA11" i="74" s="1"/>
  <c r="BA16" i="74" s="1"/>
  <c r="AS7" i="74"/>
  <c r="AS9" i="74" s="1"/>
  <c r="AS11" i="74" s="1"/>
  <c r="AS16" i="74" s="1"/>
  <c r="AK7" i="74"/>
  <c r="AK9" i="74" s="1"/>
  <c r="AK11" i="74" s="1"/>
  <c r="AK16" i="74" s="1"/>
  <c r="AC7" i="74"/>
  <c r="AC9" i="74" s="1"/>
  <c r="AC11" i="74" s="1"/>
  <c r="AC16" i="74" s="1"/>
  <c r="U7" i="74"/>
  <c r="U9" i="74" s="1"/>
  <c r="U11" i="74" s="1"/>
  <c r="U16" i="74" s="1"/>
  <c r="M7" i="74"/>
  <c r="M9" i="74" s="1"/>
  <c r="M11" i="74" s="1"/>
  <c r="M16" i="74" s="1"/>
  <c r="AW7" i="75"/>
  <c r="AW9" i="75" s="1"/>
  <c r="AW11" i="75" s="1"/>
  <c r="AW16" i="75" s="1"/>
  <c r="AG7" i="75"/>
  <c r="AG9" i="75" s="1"/>
  <c r="AG11" i="75" s="1"/>
  <c r="AG16" i="75" s="1"/>
  <c r="Q7" i="75"/>
  <c r="Q9" i="75" s="1"/>
  <c r="Q11" i="75" s="1"/>
  <c r="Q16" i="75" s="1"/>
  <c r="BP7" i="74"/>
  <c r="BP9" i="74" s="1"/>
  <c r="BP11" i="74" s="1"/>
  <c r="BP16" i="74" s="1"/>
  <c r="AZ7" i="74"/>
  <c r="AZ9" i="74" s="1"/>
  <c r="AZ11" i="74" s="1"/>
  <c r="AZ16" i="74" s="1"/>
  <c r="AR7" i="74"/>
  <c r="AR9" i="74" s="1"/>
  <c r="AR11" i="74" s="1"/>
  <c r="AR16" i="74" s="1"/>
  <c r="AB7" i="74"/>
  <c r="AB9" i="74" s="1"/>
  <c r="AB11" i="74" s="1"/>
  <c r="AB16" i="74" s="1"/>
  <c r="L7" i="74"/>
  <c r="L9" i="74" s="1"/>
  <c r="L11" i="74" s="1"/>
  <c r="L16" i="74" s="1"/>
  <c r="BU7" i="73"/>
  <c r="BU10" i="73" s="1"/>
  <c r="BS8" i="73"/>
  <c r="BS11" i="73" s="1"/>
  <c r="BT8" i="73"/>
  <c r="BT11" i="73" s="1"/>
  <c r="BU8" i="73"/>
  <c r="BU11" i="73" s="1"/>
  <c r="BV8" i="73"/>
  <c r="BV11" i="73" s="1"/>
  <c r="BV7" i="73"/>
  <c r="BV10" i="73" s="1"/>
  <c r="BQ8" i="73"/>
  <c r="BQ11" i="73" s="1"/>
  <c r="BR8" i="73"/>
  <c r="BR11" i="73" s="1"/>
  <c r="BQ7" i="73"/>
  <c r="BQ10" i="73" s="1"/>
  <c r="BR7" i="73"/>
  <c r="BR10" i="73" s="1"/>
  <c r="BS7" i="73"/>
  <c r="BS10" i="73" s="1"/>
  <c r="BT7" i="73"/>
  <c r="BT10" i="73" s="1"/>
  <c r="BU7" i="70"/>
  <c r="BU17" i="70" s="1"/>
  <c r="BV8" i="70"/>
  <c r="BT11" i="70"/>
  <c r="BT20" i="70" s="1"/>
  <c r="BU12" i="70"/>
  <c r="BP8" i="66"/>
  <c r="BP11" i="66" s="1"/>
  <c r="BT7" i="63"/>
  <c r="BT10" i="63" s="1"/>
  <c r="BS7" i="62"/>
  <c r="BS10" i="62" s="1"/>
  <c r="BL7" i="62"/>
  <c r="BL10" i="62" s="1"/>
  <c r="BV7" i="61"/>
  <c r="BV10" i="61" s="1"/>
  <c r="BV12" i="61" s="1"/>
  <c r="BV13" i="61" s="1"/>
  <c r="BV14" i="61" s="1"/>
  <c r="BV15" i="61" s="1"/>
  <c r="BV18" i="61" s="1"/>
  <c r="BV20" i="61" s="1"/>
  <c r="BR8" i="60"/>
  <c r="BR10" i="60" s="1"/>
  <c r="BR8" i="58"/>
  <c r="BR13" i="58" s="1"/>
  <c r="BU7" i="48"/>
  <c r="BU9" i="48" s="1"/>
  <c r="BT7" i="52"/>
  <c r="BT11" i="52" s="1"/>
  <c r="BU8" i="52"/>
  <c r="BU12" i="52" s="1"/>
  <c r="BO7" i="54"/>
  <c r="BO11" i="54" s="1"/>
  <c r="BO8" i="54"/>
  <c r="BO12" i="54" s="1"/>
  <c r="BT7" i="55"/>
  <c r="BT11" i="55" s="1"/>
  <c r="BV8" i="55"/>
  <c r="BV12" i="55" s="1"/>
  <c r="BQ7" i="46"/>
  <c r="BQ9" i="46" s="1"/>
  <c r="BQ10" i="46" s="1"/>
  <c r="BQ15" i="46" s="1"/>
  <c r="BV8" i="49"/>
  <c r="BV10" i="49" s="1"/>
  <c r="BS7" i="50"/>
  <c r="BS11" i="50" s="1"/>
  <c r="BS8" i="51"/>
  <c r="BS12" i="51" s="1"/>
  <c r="BU7" i="39"/>
  <c r="BU9" i="39" s="1"/>
  <c r="BU10" i="39" s="1"/>
  <c r="BV4" i="44"/>
  <c r="BV7" i="44" s="1"/>
  <c r="BV8" i="38"/>
  <c r="BV12" i="38" s="1"/>
  <c r="BV9" i="38"/>
  <c r="BV13" i="38" s="1"/>
  <c r="BT4" i="35"/>
  <c r="BT8" i="35" s="1"/>
  <c r="BT5" i="35"/>
  <c r="BT9" i="35" s="1"/>
  <c r="BO5" i="45"/>
  <c r="BO9" i="45" s="1"/>
  <c r="BO11" i="45" s="1"/>
  <c r="BO16" i="45" s="1"/>
  <c r="BN4" i="32"/>
  <c r="BN9" i="32" s="1"/>
  <c r="BN5" i="32"/>
  <c r="BN10" i="32" s="1"/>
  <c r="BN6" i="32"/>
  <c r="BN11" i="32" s="1"/>
  <c r="BV4" i="31"/>
  <c r="BV9" i="31" s="1"/>
  <c r="BV7" i="70"/>
  <c r="BV17" i="70" s="1"/>
  <c r="BU11" i="70"/>
  <c r="BU20" i="70" s="1"/>
  <c r="BV12" i="70"/>
  <c r="BP7" i="66"/>
  <c r="BP10" i="66" s="1"/>
  <c r="BQ8" i="66"/>
  <c r="BQ11" i="66" s="1"/>
  <c r="BU7" i="63"/>
  <c r="BU10" i="63" s="1"/>
  <c r="BT7" i="62"/>
  <c r="BT10" i="62" s="1"/>
  <c r="BO7" i="61"/>
  <c r="BO10" i="61" s="1"/>
  <c r="BO12" i="61" s="1"/>
  <c r="BO13" i="61" s="1"/>
  <c r="BO14" i="61" s="1"/>
  <c r="BO15" i="61" s="1"/>
  <c r="BO18" i="61" s="1"/>
  <c r="BO20" i="61" s="1"/>
  <c r="BS8" i="60"/>
  <c r="BS10" i="60" s="1"/>
  <c r="BR7" i="58"/>
  <c r="BR12" i="58" s="1"/>
  <c r="BS8" i="58"/>
  <c r="BS13" i="58" s="1"/>
  <c r="BV7" i="48"/>
  <c r="BV9" i="48" s="1"/>
  <c r="BU7" i="52"/>
  <c r="BU11" i="52" s="1"/>
  <c r="BV8" i="52"/>
  <c r="BV12" i="52" s="1"/>
  <c r="BP7" i="54"/>
  <c r="BP11" i="54" s="1"/>
  <c r="BP8" i="54"/>
  <c r="BP12" i="54" s="1"/>
  <c r="BU7" i="55"/>
  <c r="BU11" i="55" s="1"/>
  <c r="BR7" i="46"/>
  <c r="BR9" i="46" s="1"/>
  <c r="BR10" i="46" s="1"/>
  <c r="BR15" i="46" s="1"/>
  <c r="BT7" i="50"/>
  <c r="BT11" i="50" s="1"/>
  <c r="BT8" i="51"/>
  <c r="BT12" i="51" s="1"/>
  <c r="BV7" i="39"/>
  <c r="BV9" i="39" s="1"/>
  <c r="BV10" i="39" s="1"/>
  <c r="BP5" i="44"/>
  <c r="BP8" i="44" s="1"/>
  <c r="BO8" i="38"/>
  <c r="BO12" i="38" s="1"/>
  <c r="BO9" i="38"/>
  <c r="BO13" i="38" s="1"/>
  <c r="BU4" i="35"/>
  <c r="BU8" i="35" s="1"/>
  <c r="BU5" i="35"/>
  <c r="BU9" i="35" s="1"/>
  <c r="BP5" i="45"/>
  <c r="BP9" i="45" s="1"/>
  <c r="BP11" i="45" s="1"/>
  <c r="BP16" i="45" s="1"/>
  <c r="BO4" i="32"/>
  <c r="BO9" i="32" s="1"/>
  <c r="BO5" i="32"/>
  <c r="BO10" i="32" s="1"/>
  <c r="BO6" i="32"/>
  <c r="BO11" i="32" s="1"/>
  <c r="BO4" i="31"/>
  <c r="BO9" i="31" s="1"/>
  <c r="BQ7" i="70"/>
  <c r="BQ17" i="70" s="1"/>
  <c r="BT8" i="70"/>
  <c r="BQ12" i="70"/>
  <c r="BU7" i="67"/>
  <c r="BU10" i="67" s="1"/>
  <c r="BU13" i="67" s="1"/>
  <c r="BU18" i="67" s="1"/>
  <c r="BS8" i="66"/>
  <c r="BS11" i="66" s="1"/>
  <c r="BQ7" i="63"/>
  <c r="BQ10" i="63" s="1"/>
  <c r="BV7" i="62"/>
  <c r="BV10" i="62" s="1"/>
  <c r="BP8" i="60"/>
  <c r="BP10" i="60" s="1"/>
  <c r="BU7" i="58"/>
  <c r="BU12" i="58" s="1"/>
  <c r="BS7" i="48"/>
  <c r="BS9" i="48" s="1"/>
  <c r="BQ8" i="52"/>
  <c r="BQ12" i="52" s="1"/>
  <c r="BS7" i="54"/>
  <c r="BS11" i="54" s="1"/>
  <c r="BU8" i="54"/>
  <c r="BU12" i="54" s="1"/>
  <c r="BT8" i="55"/>
  <c r="BT12" i="55" s="1"/>
  <c r="BT7" i="46"/>
  <c r="BT9" i="46" s="1"/>
  <c r="BT10" i="46" s="1"/>
  <c r="BT15" i="46" s="1"/>
  <c r="BU8" i="49"/>
  <c r="BU10" i="49" s="1"/>
  <c r="BV7" i="50"/>
  <c r="BV11" i="50" s="1"/>
  <c r="BT7" i="39"/>
  <c r="BT9" i="39" s="1"/>
  <c r="BT10" i="39" s="1"/>
  <c r="BQ4" i="44"/>
  <c r="BQ7" i="44" s="1"/>
  <c r="BT5" i="44"/>
  <c r="BT8" i="44" s="1"/>
  <c r="BQ9" i="38"/>
  <c r="BQ13" i="38" s="1"/>
  <c r="BS4" i="35"/>
  <c r="BS8" i="35" s="1"/>
  <c r="BQ5" i="45"/>
  <c r="BQ9" i="45" s="1"/>
  <c r="BQ11" i="45" s="1"/>
  <c r="BQ16" i="45" s="1"/>
  <c r="BT4" i="32"/>
  <c r="BT9" i="32" s="1"/>
  <c r="BP6" i="32"/>
  <c r="BP11" i="32" s="1"/>
  <c r="BU8" i="29"/>
  <c r="BU12" i="29" s="1"/>
  <c r="BS5" i="57"/>
  <c r="BS8" i="57" s="1"/>
  <c r="BR7" i="70"/>
  <c r="BR17" i="70" s="1"/>
  <c r="BU8" i="70"/>
  <c r="BR12" i="70"/>
  <c r="BV7" i="67"/>
  <c r="BV10" i="67" s="1"/>
  <c r="BV13" i="67" s="1"/>
  <c r="BV18" i="67" s="1"/>
  <c r="BQ7" i="66"/>
  <c r="BQ10" i="66" s="1"/>
  <c r="BT8" i="66"/>
  <c r="BT11" i="66" s="1"/>
  <c r="BR7" i="63"/>
  <c r="BR10" i="63" s="1"/>
  <c r="BQ8" i="60"/>
  <c r="BQ10" i="60" s="1"/>
  <c r="BV7" i="58"/>
  <c r="BV12" i="58" s="1"/>
  <c r="BT7" i="48"/>
  <c r="BT9" i="48" s="1"/>
  <c r="BR8" i="52"/>
  <c r="BR12" i="52" s="1"/>
  <c r="BT7" i="54"/>
  <c r="BT11" i="54" s="1"/>
  <c r="BV8" i="54"/>
  <c r="BV12" i="54" s="1"/>
  <c r="BQ7" i="55"/>
  <c r="BQ11" i="55" s="1"/>
  <c r="BU8" i="55"/>
  <c r="BU12" i="55" s="1"/>
  <c r="BU7" i="46"/>
  <c r="BU9" i="46" s="1"/>
  <c r="BU10" i="46" s="1"/>
  <c r="BU15" i="46" s="1"/>
  <c r="BR4" i="44"/>
  <c r="BR7" i="44" s="1"/>
  <c r="BU5" i="44"/>
  <c r="BU8" i="44" s="1"/>
  <c r="BP8" i="38"/>
  <c r="BP12" i="38" s="1"/>
  <c r="BR9" i="38"/>
  <c r="BR13" i="38" s="1"/>
  <c r="BN5" i="35"/>
  <c r="BN9" i="35" s="1"/>
  <c r="BR5" i="45"/>
  <c r="BR9" i="45" s="1"/>
  <c r="BR11" i="45" s="1"/>
  <c r="BR16" i="45" s="1"/>
  <c r="BU4" i="32"/>
  <c r="BU9" i="32" s="1"/>
  <c r="BQ6" i="32"/>
  <c r="BQ11" i="32" s="1"/>
  <c r="BN8" i="29"/>
  <c r="BN12" i="29" s="1"/>
  <c r="BT5" i="57"/>
  <c r="BT8" i="57" s="1"/>
  <c r="BU6" i="57"/>
  <c r="BU9" i="57" s="1"/>
  <c r="BD6" i="30"/>
  <c r="BL6" i="30"/>
  <c r="BL10" i="30" s="1"/>
  <c r="BT6" i="30"/>
  <c r="BT10" i="30" s="1"/>
  <c r="BH7" i="30"/>
  <c r="BH11" i="30" s="1"/>
  <c r="BP7" i="30"/>
  <c r="BP11" i="30" s="1"/>
  <c r="BU6" i="28"/>
  <c r="BU9" i="28" s="1"/>
  <c r="BU7" i="28"/>
  <c r="BU10" i="28" s="1"/>
  <c r="BP8" i="70"/>
  <c r="BS12" i="70"/>
  <c r="BS7" i="66"/>
  <c r="BS10" i="66" s="1"/>
  <c r="BP7" i="63"/>
  <c r="BP10" i="63" s="1"/>
  <c r="BU7" i="61"/>
  <c r="BU10" i="61" s="1"/>
  <c r="BU12" i="61" s="1"/>
  <c r="BU13" i="61" s="1"/>
  <c r="BU14" i="61" s="1"/>
  <c r="BU15" i="61" s="1"/>
  <c r="BU18" i="61" s="1"/>
  <c r="BU20" i="61" s="1"/>
  <c r="BT7" i="58"/>
  <c r="BT12" i="58" s="1"/>
  <c r="BR7" i="48"/>
  <c r="BR9" i="48" s="1"/>
  <c r="BQ7" i="52"/>
  <c r="BQ11" i="52" s="1"/>
  <c r="BV7" i="54"/>
  <c r="BV11" i="54" s="1"/>
  <c r="BT8" i="49"/>
  <c r="BT10" i="49" s="1"/>
  <c r="BO7" i="39"/>
  <c r="BO9" i="39" s="1"/>
  <c r="BO10" i="39" s="1"/>
  <c r="BQ5" i="44"/>
  <c r="BQ8" i="44" s="1"/>
  <c r="BT9" i="38"/>
  <c r="BT13" i="38" s="1"/>
  <c r="BP4" i="35"/>
  <c r="BP8" i="35" s="1"/>
  <c r="BP5" i="32"/>
  <c r="BP10" i="32" s="1"/>
  <c r="BT6" i="32"/>
  <c r="BT11" i="32" s="1"/>
  <c r="BT8" i="29"/>
  <c r="BT12" i="29" s="1"/>
  <c r="BP5" i="57"/>
  <c r="BP8" i="57" s="1"/>
  <c r="BS6" i="57"/>
  <c r="BS9" i="57" s="1"/>
  <c r="BC6" i="30"/>
  <c r="BM6" i="30"/>
  <c r="BM10" i="30" s="1"/>
  <c r="BB7" i="30"/>
  <c r="BB11" i="30" s="1"/>
  <c r="BK7" i="30"/>
  <c r="BK11" i="30" s="1"/>
  <c r="BT7" i="30"/>
  <c r="BT11" i="30" s="1"/>
  <c r="BS6" i="28"/>
  <c r="BS9" i="28" s="1"/>
  <c r="BT7" i="28"/>
  <c r="BT10" i="28" s="1"/>
  <c r="BP7" i="23"/>
  <c r="BP10" i="23" s="1"/>
  <c r="BQ6" i="20"/>
  <c r="BQ9" i="20" s="1"/>
  <c r="BQ7" i="20"/>
  <c r="BQ10" i="20" s="1"/>
  <c r="BM6" i="20"/>
  <c r="BM9" i="20" s="1"/>
  <c r="BS6" i="19"/>
  <c r="BS9" i="19" s="1"/>
  <c r="BS11" i="19" s="1"/>
  <c r="BS16" i="19" s="1"/>
  <c r="BS7" i="19"/>
  <c r="BQ8" i="18"/>
  <c r="BQ11" i="18" s="1"/>
  <c r="BQ9" i="18"/>
  <c r="BQ12" i="18" s="1"/>
  <c r="BP7" i="41"/>
  <c r="BP10" i="41" s="1"/>
  <c r="BO6" i="10"/>
  <c r="BO9" i="10" s="1"/>
  <c r="BO7" i="10"/>
  <c r="BN4" i="40"/>
  <c r="BN7" i="40" s="1"/>
  <c r="BN9" i="40" s="1"/>
  <c r="BN14" i="40" s="1"/>
  <c r="BS6" i="2"/>
  <c r="BL5" i="7"/>
  <c r="BT5" i="7"/>
  <c r="L5" i="7"/>
  <c r="T5" i="7"/>
  <c r="AB5" i="7"/>
  <c r="AJ5" i="7"/>
  <c r="AR5" i="7"/>
  <c r="AZ5" i="7"/>
  <c r="BO6" i="11"/>
  <c r="BO9" i="11" s="1"/>
  <c r="BO10" i="11" s="1"/>
  <c r="BO15" i="11" s="1"/>
  <c r="P6" i="5"/>
  <c r="P11" i="5" s="1"/>
  <c r="X6" i="5"/>
  <c r="X11" i="5" s="1"/>
  <c r="AF6" i="5"/>
  <c r="AF11" i="5" s="1"/>
  <c r="AN6" i="5"/>
  <c r="AN11" i="5" s="1"/>
  <c r="AV6" i="5"/>
  <c r="AV11" i="5" s="1"/>
  <c r="BD6" i="5"/>
  <c r="BD11" i="5" s="1"/>
  <c r="BL6" i="5"/>
  <c r="BL11" i="5" s="1"/>
  <c r="BT6" i="5"/>
  <c r="BT11" i="5" s="1"/>
  <c r="BT5" i="5"/>
  <c r="BT8" i="5" s="1"/>
  <c r="BS7" i="17"/>
  <c r="BS11" i="17" s="1"/>
  <c r="BU8" i="17"/>
  <c r="BU12" i="17" s="1"/>
  <c r="BP6" i="15"/>
  <c r="BP9" i="15" s="1"/>
  <c r="BP8" i="16"/>
  <c r="BP11" i="16" s="1"/>
  <c r="BQ7" i="16"/>
  <c r="BQ10" i="16" s="1"/>
  <c r="BQ8" i="70"/>
  <c r="BT12" i="70"/>
  <c r="BT7" i="66"/>
  <c r="BT10" i="66" s="1"/>
  <c r="BS7" i="63"/>
  <c r="BS10" i="63" s="1"/>
  <c r="BP7" i="62"/>
  <c r="BP10" i="62" s="1"/>
  <c r="BP8" i="58"/>
  <c r="BP13" i="58" s="1"/>
  <c r="BR7" i="52"/>
  <c r="BR11" i="52" s="1"/>
  <c r="BQ8" i="54"/>
  <c r="BQ12" i="54" s="1"/>
  <c r="BR7" i="55"/>
  <c r="BR11" i="55" s="1"/>
  <c r="BP8" i="51"/>
  <c r="BP12" i="51" s="1"/>
  <c r="BP7" i="39"/>
  <c r="BP9" i="39" s="1"/>
  <c r="BP10" i="39" s="1"/>
  <c r="BR5" i="44"/>
  <c r="BR8" i="44" s="1"/>
  <c r="BQ8" i="38"/>
  <c r="BQ12" i="38" s="1"/>
  <c r="BU9" i="38"/>
  <c r="BU13" i="38" s="1"/>
  <c r="BQ4" i="35"/>
  <c r="BQ8" i="35" s="1"/>
  <c r="BQ5" i="32"/>
  <c r="BQ10" i="32" s="1"/>
  <c r="BU6" i="32"/>
  <c r="BU11" i="32" s="1"/>
  <c r="BQ5" i="57"/>
  <c r="BQ8" i="57" s="1"/>
  <c r="BT6" i="57"/>
  <c r="BT9" i="57" s="1"/>
  <c r="BE6" i="30"/>
  <c r="BN6" i="30"/>
  <c r="BN10" i="30" s="1"/>
  <c r="BC7" i="30"/>
  <c r="BC11" i="30" s="1"/>
  <c r="BL7" i="30"/>
  <c r="BL11" i="30" s="1"/>
  <c r="BU7" i="30"/>
  <c r="BU11" i="30" s="1"/>
  <c r="BT6" i="28"/>
  <c r="BT9" i="28" s="1"/>
  <c r="BR6" i="20"/>
  <c r="BR9" i="20" s="1"/>
  <c r="BR7" i="20"/>
  <c r="BR10" i="20" s="1"/>
  <c r="BM7" i="20"/>
  <c r="BM10" i="20" s="1"/>
  <c r="BT6" i="19"/>
  <c r="BT9" i="19" s="1"/>
  <c r="BT11" i="19" s="1"/>
  <c r="BT16" i="19" s="1"/>
  <c r="BT7" i="19"/>
  <c r="BR8" i="18"/>
  <c r="BR11" i="18" s="1"/>
  <c r="BR9" i="18"/>
  <c r="BR12" i="18" s="1"/>
  <c r="BQ7" i="41"/>
  <c r="BQ10" i="41" s="1"/>
  <c r="BP6" i="10"/>
  <c r="BP9" i="10" s="1"/>
  <c r="BP7" i="10"/>
  <c r="BO4" i="40"/>
  <c r="BO7" i="40" s="1"/>
  <c r="BO9" i="40" s="1"/>
  <c r="BO14" i="40" s="1"/>
  <c r="BT6" i="2"/>
  <c r="BM5" i="7"/>
  <c r="BU5" i="7"/>
  <c r="M5" i="7"/>
  <c r="U5" i="7"/>
  <c r="AC5" i="7"/>
  <c r="AK5" i="7"/>
  <c r="AS5" i="7"/>
  <c r="BA5" i="7"/>
  <c r="BP6" i="11"/>
  <c r="BP9" i="11" s="1"/>
  <c r="BP10" i="11" s="1"/>
  <c r="BP15" i="11" s="1"/>
  <c r="Q6" i="5"/>
  <c r="Q11" i="5" s="1"/>
  <c r="Y6" i="5"/>
  <c r="Y11" i="5" s="1"/>
  <c r="AG6" i="5"/>
  <c r="AG11" i="5" s="1"/>
  <c r="AO6" i="5"/>
  <c r="AO11" i="5" s="1"/>
  <c r="AW6" i="5"/>
  <c r="AW11" i="5" s="1"/>
  <c r="BE6" i="5"/>
  <c r="BE11" i="5" s="1"/>
  <c r="BM6" i="5"/>
  <c r="BM11" i="5" s="1"/>
  <c r="BU6" i="5"/>
  <c r="BU11" i="5" s="1"/>
  <c r="BU5" i="5"/>
  <c r="BU8" i="5" s="1"/>
  <c r="BT7" i="17"/>
  <c r="BT11" i="17" s="1"/>
  <c r="BQ6" i="15"/>
  <c r="BQ9" i="15" s="1"/>
  <c r="BV11" i="70"/>
  <c r="BV20" i="70" s="1"/>
  <c r="BQ7" i="67"/>
  <c r="BQ10" i="67" s="1"/>
  <c r="BQ13" i="67" s="1"/>
  <c r="BQ18" i="67" s="1"/>
  <c r="BO8" i="60"/>
  <c r="BO10" i="60" s="1"/>
  <c r="BP7" i="58"/>
  <c r="BP12" i="58" s="1"/>
  <c r="BP7" i="48"/>
  <c r="BP9" i="48" s="1"/>
  <c r="BS7" i="52"/>
  <c r="BS11" i="52" s="1"/>
  <c r="BR7" i="54"/>
  <c r="BR11" i="54" s="1"/>
  <c r="BQ8" i="55"/>
  <c r="BQ12" i="55" s="1"/>
  <c r="BO7" i="50"/>
  <c r="BO11" i="50" s="1"/>
  <c r="BQ7" i="39"/>
  <c r="BQ9" i="39" s="1"/>
  <c r="BQ10" i="39" s="1"/>
  <c r="BS5" i="44"/>
  <c r="BS8" i="44" s="1"/>
  <c r="BT8" i="38"/>
  <c r="BT12" i="38" s="1"/>
  <c r="BN4" i="35"/>
  <c r="BN8" i="35" s="1"/>
  <c r="BS5" i="45"/>
  <c r="BS9" i="45" s="1"/>
  <c r="BS11" i="45" s="1"/>
  <c r="BS16" i="45" s="1"/>
  <c r="BR4" i="32"/>
  <c r="BR9" i="32" s="1"/>
  <c r="BR4" i="31"/>
  <c r="BR9" i="31" s="1"/>
  <c r="BR6" i="57"/>
  <c r="BR9" i="57" s="1"/>
  <c r="BG6" i="30"/>
  <c r="BG10" i="30" s="1"/>
  <c r="BR6" i="30"/>
  <c r="BR10" i="30" s="1"/>
  <c r="BJ7" i="30"/>
  <c r="BJ11" i="30" s="1"/>
  <c r="BA6" i="30"/>
  <c r="BP6" i="28"/>
  <c r="BP9" i="28" s="1"/>
  <c r="BS7" i="28"/>
  <c r="BS10" i="28" s="1"/>
  <c r="BU6" i="23"/>
  <c r="BU9" i="23" s="1"/>
  <c r="BN7" i="20"/>
  <c r="BN10" i="20" s="1"/>
  <c r="BP6" i="19"/>
  <c r="BP9" i="19" s="1"/>
  <c r="BP11" i="19" s="1"/>
  <c r="BP16" i="19" s="1"/>
  <c r="BR7" i="19"/>
  <c r="BN8" i="18"/>
  <c r="BN11" i="18" s="1"/>
  <c r="BP12" i="18"/>
  <c r="BO7" i="41"/>
  <c r="BO10" i="41" s="1"/>
  <c r="BN7" i="10"/>
  <c r="BS4" i="40"/>
  <c r="BS7" i="40" s="1"/>
  <c r="BS9" i="40" s="1"/>
  <c r="BS14" i="40" s="1"/>
  <c r="BU6" i="2"/>
  <c r="BR5" i="7"/>
  <c r="R5" i="7"/>
  <c r="AD5" i="7"/>
  <c r="AN5" i="7"/>
  <c r="AX5" i="7"/>
  <c r="BS6" i="11"/>
  <c r="BS9" i="11" s="1"/>
  <c r="BS10" i="11" s="1"/>
  <c r="BS15" i="11" s="1"/>
  <c r="V6" i="5"/>
  <c r="V11" i="5" s="1"/>
  <c r="AH6" i="5"/>
  <c r="AH11" i="5" s="1"/>
  <c r="AR6" i="5"/>
  <c r="AR11" i="5" s="1"/>
  <c r="BB6" i="5"/>
  <c r="BB11" i="5" s="1"/>
  <c r="BN6" i="5"/>
  <c r="BN11" i="5" s="1"/>
  <c r="N6" i="5"/>
  <c r="N11" i="5" s="1"/>
  <c r="BM5" i="5"/>
  <c r="BM8" i="5" s="1"/>
  <c r="BQ8" i="17"/>
  <c r="BQ12" i="17" s="1"/>
  <c r="BT6" i="15"/>
  <c r="BT9" i="15" s="1"/>
  <c r="BO7" i="16"/>
  <c r="BO10" i="16" s="1"/>
  <c r="BU5" i="26"/>
  <c r="BU8" i="26" s="1"/>
  <c r="BU6" i="26"/>
  <c r="BU9" i="26" s="1"/>
  <c r="BT7" i="25"/>
  <c r="BT10" i="25" s="1"/>
  <c r="BT8" i="25"/>
  <c r="BT11" i="25" s="1"/>
  <c r="BR7" i="36"/>
  <c r="BR10" i="36" s="1"/>
  <c r="BR8" i="36"/>
  <c r="BR11" i="36" s="1"/>
  <c r="BR6" i="14"/>
  <c r="BR9" i="14" s="1"/>
  <c r="BS7" i="14"/>
  <c r="BS10" i="14" s="1"/>
  <c r="BT7" i="13"/>
  <c r="BT11" i="13" s="1"/>
  <c r="BT8" i="13"/>
  <c r="BT12" i="13" s="1"/>
  <c r="BP12" i="70"/>
  <c r="BR7" i="67"/>
  <c r="BR10" i="67" s="1"/>
  <c r="BR13" i="67" s="1"/>
  <c r="BR18" i="67" s="1"/>
  <c r="BR7" i="66"/>
  <c r="BR10" i="66" s="1"/>
  <c r="BT8" i="60"/>
  <c r="BT10" i="60" s="1"/>
  <c r="BS7" i="58"/>
  <c r="BS12" i="58" s="1"/>
  <c r="BQ7" i="48"/>
  <c r="BQ9" i="48" s="1"/>
  <c r="BV7" i="52"/>
  <c r="BV11" i="52" s="1"/>
  <c r="BU7" i="54"/>
  <c r="BU11" i="54" s="1"/>
  <c r="BR8" i="55"/>
  <c r="BR12" i="55" s="1"/>
  <c r="BP7" i="50"/>
  <c r="BP11" i="50" s="1"/>
  <c r="BR7" i="39"/>
  <c r="BR9" i="39" s="1"/>
  <c r="BR10" i="39" s="1"/>
  <c r="BV5" i="44"/>
  <c r="BV8" i="44" s="1"/>
  <c r="BU8" i="38"/>
  <c r="BU12" i="38" s="1"/>
  <c r="BO4" i="35"/>
  <c r="BO8" i="35" s="1"/>
  <c r="BT5" i="45"/>
  <c r="BT9" i="45" s="1"/>
  <c r="BT11" i="45" s="1"/>
  <c r="BT16" i="45" s="1"/>
  <c r="BS4" i="32"/>
  <c r="BS9" i="32" s="1"/>
  <c r="BS4" i="31"/>
  <c r="BS9" i="31" s="1"/>
  <c r="BH6" i="30"/>
  <c r="BH10" i="30" s="1"/>
  <c r="BS6" i="30"/>
  <c r="BS10" i="30" s="1"/>
  <c r="BM7" i="30"/>
  <c r="BM11" i="30" s="1"/>
  <c r="BQ6" i="28"/>
  <c r="BQ9" i="28" s="1"/>
  <c r="BR7" i="23"/>
  <c r="BR10" i="23" s="1"/>
  <c r="BO7" i="20"/>
  <c r="BO10" i="20" s="1"/>
  <c r="BQ6" i="19"/>
  <c r="BQ9" i="19" s="1"/>
  <c r="BQ11" i="19" s="1"/>
  <c r="BQ16" i="19" s="1"/>
  <c r="BU7" i="19"/>
  <c r="BO8" i="18"/>
  <c r="BO11" i="18" s="1"/>
  <c r="BS9" i="18"/>
  <c r="BS12" i="18" s="1"/>
  <c r="BR7" i="41"/>
  <c r="BR10" i="41" s="1"/>
  <c r="BQ7" i="10"/>
  <c r="BT4" i="40"/>
  <c r="BT7" i="40" s="1"/>
  <c r="BT9" i="40" s="1"/>
  <c r="BT14" i="40" s="1"/>
  <c r="BS5" i="7"/>
  <c r="S5" i="7"/>
  <c r="AE5" i="7"/>
  <c r="AO5" i="7"/>
  <c r="AY5" i="7"/>
  <c r="BT6" i="11"/>
  <c r="BT9" i="11" s="1"/>
  <c r="BT10" i="11" s="1"/>
  <c r="BT15" i="11" s="1"/>
  <c r="W6" i="5"/>
  <c r="W11" i="5" s="1"/>
  <c r="AI6" i="5"/>
  <c r="AI11" i="5" s="1"/>
  <c r="AS6" i="5"/>
  <c r="AS11" i="5" s="1"/>
  <c r="BC6" i="5"/>
  <c r="BC11" i="5" s="1"/>
  <c r="BO6" i="5"/>
  <c r="BO11" i="5" s="1"/>
  <c r="K6" i="5"/>
  <c r="K11" i="5" s="1"/>
  <c r="BR8" i="17"/>
  <c r="BR12" i="17" s="1"/>
  <c r="BU6" i="15"/>
  <c r="BU9" i="15" s="1"/>
  <c r="BP7" i="16"/>
  <c r="BP10" i="16" s="1"/>
  <c r="BN5" i="26"/>
  <c r="BN8" i="26" s="1"/>
  <c r="BN6" i="26"/>
  <c r="BN9" i="26" s="1"/>
  <c r="BU7" i="25"/>
  <c r="BU10" i="25" s="1"/>
  <c r="BU8" i="25"/>
  <c r="BU11" i="25" s="1"/>
  <c r="BS7" i="36"/>
  <c r="BS10" i="36" s="1"/>
  <c r="BS8" i="36"/>
  <c r="BS11" i="36" s="1"/>
  <c r="BS6" i="14"/>
  <c r="BS9" i="14" s="1"/>
  <c r="BT7" i="14"/>
  <c r="BT10" i="14" s="1"/>
  <c r="BO7" i="13"/>
  <c r="BO11" i="13" s="1"/>
  <c r="BU7" i="13"/>
  <c r="BU11" i="13" s="1"/>
  <c r="BU8" i="13"/>
  <c r="BU12" i="13" s="1"/>
  <c r="BP11" i="70"/>
  <c r="BP20" i="70" s="1"/>
  <c r="BS7" i="67"/>
  <c r="BS10" i="67" s="1"/>
  <c r="BS13" i="67" s="1"/>
  <c r="BS18" i="67" s="1"/>
  <c r="BV7" i="66"/>
  <c r="BV10" i="66" s="1"/>
  <c r="BU7" i="62"/>
  <c r="BU10" i="62" s="1"/>
  <c r="BQ7" i="54"/>
  <c r="BQ11" i="54" s="1"/>
  <c r="BP7" i="46"/>
  <c r="BP9" i="46" s="1"/>
  <c r="BP10" i="46" s="1"/>
  <c r="BP15" i="46" s="1"/>
  <c r="BV7" i="49"/>
  <c r="BV11" i="49" s="1"/>
  <c r="BV8" i="51"/>
  <c r="BV12" i="51" s="1"/>
  <c r="BP4" i="32"/>
  <c r="BP9" i="32" s="1"/>
  <c r="BR5" i="57"/>
  <c r="BR8" i="57" s="1"/>
  <c r="BQ6" i="30"/>
  <c r="BQ10" i="30" s="1"/>
  <c r="BO7" i="30"/>
  <c r="BO11" i="30" s="1"/>
  <c r="BR7" i="28"/>
  <c r="BR10" i="28" s="1"/>
  <c r="BT7" i="23"/>
  <c r="BT10" i="23" s="1"/>
  <c r="BS6" i="20"/>
  <c r="BS9" i="20" s="1"/>
  <c r="BO7" i="19"/>
  <c r="BS8" i="18"/>
  <c r="BS11" i="18" s="1"/>
  <c r="BQ6" i="10"/>
  <c r="BQ9" i="10" s="1"/>
  <c r="BU7" i="10"/>
  <c r="BU4" i="40"/>
  <c r="BU7" i="40" s="1"/>
  <c r="BU9" i="40" s="1"/>
  <c r="BU14" i="40" s="1"/>
  <c r="BO5" i="7"/>
  <c r="BE5" i="7"/>
  <c r="W5" i="7"/>
  <c r="AI5" i="7"/>
  <c r="AW5" i="7"/>
  <c r="BR6" i="11"/>
  <c r="BR9" i="11" s="1"/>
  <c r="BR10" i="11" s="1"/>
  <c r="AA6" i="5"/>
  <c r="AA11" i="5" s="1"/>
  <c r="AM6" i="5"/>
  <c r="AM11" i="5" s="1"/>
  <c r="BA6" i="5"/>
  <c r="BA11" i="5" s="1"/>
  <c r="BQ6" i="5"/>
  <c r="BQ11" i="5" s="1"/>
  <c r="BP5" i="5"/>
  <c r="BP8" i="5" s="1"/>
  <c r="BT8" i="17"/>
  <c r="BT12" i="17" s="1"/>
  <c r="BS6" i="15"/>
  <c r="BS9" i="15" s="1"/>
  <c r="BQ8" i="16"/>
  <c r="BQ11" i="16" s="1"/>
  <c r="BU7" i="16"/>
  <c r="BU10" i="16" s="1"/>
  <c r="BT5" i="26"/>
  <c r="BT8" i="26" s="1"/>
  <c r="BQ7" i="25"/>
  <c r="BQ10" i="25" s="1"/>
  <c r="BS8" i="25"/>
  <c r="BS11" i="25" s="1"/>
  <c r="BO8" i="36"/>
  <c r="BO11" i="36" s="1"/>
  <c r="BS7" i="13"/>
  <c r="BS11" i="13" s="1"/>
  <c r="BF6" i="30"/>
  <c r="BR7" i="30"/>
  <c r="BR11" i="30" s="1"/>
  <c r="BP6" i="23"/>
  <c r="BP9" i="23" s="1"/>
  <c r="BU6" i="20"/>
  <c r="BU9" i="20" s="1"/>
  <c r="BN7" i="41"/>
  <c r="BN10" i="41" s="1"/>
  <c r="BP7" i="70"/>
  <c r="BP17" i="70" s="1"/>
  <c r="BQ11" i="70"/>
  <c r="BQ20" i="70" s="1"/>
  <c r="BT7" i="67"/>
  <c r="BT10" i="67" s="1"/>
  <c r="BT13" i="67" s="1"/>
  <c r="BT18" i="67" s="1"/>
  <c r="BR8" i="66"/>
  <c r="BR11" i="66" s="1"/>
  <c r="BO7" i="63"/>
  <c r="BO10" i="63" s="1"/>
  <c r="BN8" i="60"/>
  <c r="BN10" i="60" s="1"/>
  <c r="BR8" i="54"/>
  <c r="BR12" i="54" s="1"/>
  <c r="BS7" i="46"/>
  <c r="BS9" i="46" s="1"/>
  <c r="BS10" i="46" s="1"/>
  <c r="BS15" i="46" s="1"/>
  <c r="BQ7" i="50"/>
  <c r="BQ11" i="50" s="1"/>
  <c r="BP4" i="44"/>
  <c r="BP7" i="44" s="1"/>
  <c r="BR8" i="38"/>
  <c r="BR12" i="38" s="1"/>
  <c r="BR4" i="35"/>
  <c r="BR8" i="35" s="1"/>
  <c r="BQ4" i="32"/>
  <c r="BQ9" i="32" s="1"/>
  <c r="BU5" i="57"/>
  <c r="BU8" i="57" s="1"/>
  <c r="BB6" i="30"/>
  <c r="BB10" i="30" s="1"/>
  <c r="BU6" i="30"/>
  <c r="BU10" i="30" s="1"/>
  <c r="BQ7" i="30"/>
  <c r="BQ11" i="30" s="1"/>
  <c r="BN6" i="28"/>
  <c r="BN9" i="28" s="1"/>
  <c r="BU7" i="23"/>
  <c r="BU10" i="23" s="1"/>
  <c r="BT6" i="20"/>
  <c r="BT9" i="20" s="1"/>
  <c r="BL6" i="20"/>
  <c r="BL9" i="20" s="1"/>
  <c r="BP7" i="19"/>
  <c r="BT8" i="18"/>
  <c r="BT11" i="18" s="1"/>
  <c r="BR6" i="10"/>
  <c r="BR9" i="10" s="1"/>
  <c r="BP5" i="7"/>
  <c r="X5" i="7"/>
  <c r="AL5" i="7"/>
  <c r="BB5" i="7"/>
  <c r="BU6" i="11"/>
  <c r="BU9" i="11" s="1"/>
  <c r="BU10" i="11" s="1"/>
  <c r="BU15" i="11" s="1"/>
  <c r="AB6" i="5"/>
  <c r="AB11" i="5" s="1"/>
  <c r="AP6" i="5"/>
  <c r="AP11" i="5" s="1"/>
  <c r="BF6" i="5"/>
  <c r="BF11" i="5" s="1"/>
  <c r="BR6" i="5"/>
  <c r="BR11" i="5" s="1"/>
  <c r="BQ5" i="5"/>
  <c r="BQ8" i="5" s="1"/>
  <c r="BR8" i="16"/>
  <c r="BR11" i="16" s="1"/>
  <c r="BO6" i="26"/>
  <c r="BO9" i="26" s="1"/>
  <c r="BR7" i="25"/>
  <c r="BR10" i="25" s="1"/>
  <c r="BP8" i="36"/>
  <c r="BP11" i="36" s="1"/>
  <c r="BO7" i="14"/>
  <c r="BO10" i="14" s="1"/>
  <c r="BN8" i="13"/>
  <c r="BN12" i="13" s="1"/>
  <c r="BS7" i="70"/>
  <c r="BS17" i="70" s="1"/>
  <c r="BR11" i="70"/>
  <c r="BR20" i="70" s="1"/>
  <c r="BO7" i="67"/>
  <c r="BO10" i="67" s="1"/>
  <c r="BO13" i="67" s="1"/>
  <c r="BU8" i="66"/>
  <c r="BU11" i="66" s="1"/>
  <c r="BV7" i="63"/>
  <c r="BV10" i="63" s="1"/>
  <c r="BP7" i="61"/>
  <c r="BP10" i="61" s="1"/>
  <c r="BP12" i="61" s="1"/>
  <c r="BP13" i="61" s="1"/>
  <c r="BP14" i="61" s="1"/>
  <c r="BP15" i="61" s="1"/>
  <c r="BP18" i="61" s="1"/>
  <c r="BP20" i="61" s="1"/>
  <c r="BS8" i="54"/>
  <c r="BS12" i="54" s="1"/>
  <c r="BV7" i="46"/>
  <c r="BV9" i="46" s="1"/>
  <c r="BV10" i="46" s="1"/>
  <c r="BR7" i="50"/>
  <c r="BR11" i="50" s="1"/>
  <c r="BS4" i="44"/>
  <c r="BS7" i="44" s="1"/>
  <c r="BS8" i="38"/>
  <c r="BS12" i="38" s="1"/>
  <c r="BO5" i="35"/>
  <c r="BO9" i="35" s="1"/>
  <c r="BR5" i="32"/>
  <c r="BR10" i="32" s="1"/>
  <c r="BO6" i="57"/>
  <c r="BO9" i="57" s="1"/>
  <c r="BD7" i="30"/>
  <c r="BD11" i="30" s="1"/>
  <c r="BO6" i="28"/>
  <c r="BO9" i="28" s="1"/>
  <c r="BQ7" i="19"/>
  <c r="BU8" i="18"/>
  <c r="BU11" i="18" s="1"/>
  <c r="BT7" i="70"/>
  <c r="BT17" i="70" s="1"/>
  <c r="BS7" i="61"/>
  <c r="BS10" i="61" s="1"/>
  <c r="BS12" i="61" s="1"/>
  <c r="BS13" i="61" s="1"/>
  <c r="BS14" i="61" s="1"/>
  <c r="BS15" i="61" s="1"/>
  <c r="BS18" i="61" s="1"/>
  <c r="BS20" i="61" s="1"/>
  <c r="BQ8" i="58"/>
  <c r="BQ13" i="58" s="1"/>
  <c r="BS7" i="55"/>
  <c r="BS11" i="55" s="1"/>
  <c r="BU7" i="50"/>
  <c r="BU11" i="50" s="1"/>
  <c r="BR8" i="51"/>
  <c r="BR12" i="51" s="1"/>
  <c r="BR5" i="35"/>
  <c r="BR9" i="35" s="1"/>
  <c r="BS5" i="32"/>
  <c r="BS10" i="32" s="1"/>
  <c r="BT4" i="31"/>
  <c r="BT9" i="31" s="1"/>
  <c r="BO8" i="29"/>
  <c r="BO12" i="29" s="1"/>
  <c r="BJ6" i="30"/>
  <c r="BJ10" i="30" s="1"/>
  <c r="BN7" i="30"/>
  <c r="BN11" i="30" s="1"/>
  <c r="BO7" i="28"/>
  <c r="BO10" i="28" s="1"/>
  <c r="BO6" i="20"/>
  <c r="BO9" i="20" s="1"/>
  <c r="BN7" i="19"/>
  <c r="BU7" i="41"/>
  <c r="BU10" i="41" s="1"/>
  <c r="BS6" i="10"/>
  <c r="BS9" i="10" s="1"/>
  <c r="BI5" i="7"/>
  <c r="N5" i="7"/>
  <c r="AF5" i="7"/>
  <c r="AV5" i="7"/>
  <c r="T6" i="5"/>
  <c r="T11" i="5" s="1"/>
  <c r="AL6" i="5"/>
  <c r="AL11" i="5" s="1"/>
  <c r="BH6" i="5"/>
  <c r="BH11" i="5" s="1"/>
  <c r="BR5" i="5"/>
  <c r="BR8" i="5" s="1"/>
  <c r="BO8" i="16"/>
  <c r="BO11" i="16" s="1"/>
  <c r="BS5" i="26"/>
  <c r="BS8" i="26" s="1"/>
  <c r="BP7" i="25"/>
  <c r="BP10" i="25" s="1"/>
  <c r="BN7" i="36"/>
  <c r="BN10" i="36" s="1"/>
  <c r="BT8" i="36"/>
  <c r="BT11" i="36" s="1"/>
  <c r="BP6" i="14"/>
  <c r="BP9" i="14" s="1"/>
  <c r="BP8" i="13"/>
  <c r="BP12" i="13" s="1"/>
  <c r="BR8" i="70"/>
  <c r="BT7" i="61"/>
  <c r="BT10" i="61" s="1"/>
  <c r="BT12" i="61" s="1"/>
  <c r="BT13" i="61" s="1"/>
  <c r="BT14" i="61" s="1"/>
  <c r="BT15" i="61" s="1"/>
  <c r="BT18" i="61" s="1"/>
  <c r="BT20" i="61" s="1"/>
  <c r="BT8" i="58"/>
  <c r="BT13" i="58" s="1"/>
  <c r="BV7" i="55"/>
  <c r="BV11" i="55" s="1"/>
  <c r="BU8" i="51"/>
  <c r="BU12" i="51" s="1"/>
  <c r="BP9" i="38"/>
  <c r="BP13" i="38" s="1"/>
  <c r="BS5" i="35"/>
  <c r="BS9" i="35" s="1"/>
  <c r="BT5" i="32"/>
  <c r="BT10" i="32" s="1"/>
  <c r="BU4" i="31"/>
  <c r="BU9" i="31" s="1"/>
  <c r="BP8" i="29"/>
  <c r="BP12" i="29" s="1"/>
  <c r="BO5" i="57"/>
  <c r="BO8" i="57" s="1"/>
  <c r="BK6" i="30"/>
  <c r="BK10" i="30" s="1"/>
  <c r="BS7" i="30"/>
  <c r="BS11" i="30" s="1"/>
  <c r="BP7" i="28"/>
  <c r="BP10" i="28" s="1"/>
  <c r="BR6" i="23"/>
  <c r="BR9" i="23" s="1"/>
  <c r="BP6" i="20"/>
  <c r="BP9" i="20" s="1"/>
  <c r="BT6" i="10"/>
  <c r="BT9" i="10" s="1"/>
  <c r="BS8" i="70"/>
  <c r="BU8" i="58"/>
  <c r="BU13" i="58" s="1"/>
  <c r="BP7" i="52"/>
  <c r="BP11" i="52" s="1"/>
  <c r="BS8" i="55"/>
  <c r="BS12" i="55" s="1"/>
  <c r="BS7" i="39"/>
  <c r="BS9" i="39" s="1"/>
  <c r="BS10" i="39" s="1"/>
  <c r="BS12" i="39" s="1"/>
  <c r="BS9" i="38"/>
  <c r="BS13" i="38" s="1"/>
  <c r="BU5" i="32"/>
  <c r="BU10" i="32" s="1"/>
  <c r="BQ8" i="29"/>
  <c r="BQ12" i="29" s="1"/>
  <c r="BP6" i="57"/>
  <c r="BP9" i="57" s="1"/>
  <c r="BO6" i="30"/>
  <c r="BO10" i="30" s="1"/>
  <c r="BA7" i="30"/>
  <c r="BA11" i="30" s="1"/>
  <c r="BQ7" i="28"/>
  <c r="BQ10" i="28" s="1"/>
  <c r="BS6" i="23"/>
  <c r="BS9" i="23" s="1"/>
  <c r="BP7" i="20"/>
  <c r="BP10" i="20" s="1"/>
  <c r="BP11" i="18"/>
  <c r="BU6" i="10"/>
  <c r="BU9" i="10" s="1"/>
  <c r="BF5" i="7"/>
  <c r="P5" i="7"/>
  <c r="AH5" i="7"/>
  <c r="BD5" i="7"/>
  <c r="Z6" i="5"/>
  <c r="Z11" i="5" s="1"/>
  <c r="AT6" i="5"/>
  <c r="AT11" i="5" s="1"/>
  <c r="BJ6" i="5"/>
  <c r="BJ11" i="5" s="1"/>
  <c r="BO5" i="5"/>
  <c r="BO8" i="5" s="1"/>
  <c r="BQ7" i="17"/>
  <c r="BQ11" i="17" s="1"/>
  <c r="BR6" i="15"/>
  <c r="BR9" i="15" s="1"/>
  <c r="BT8" i="16"/>
  <c r="BT11" i="16" s="1"/>
  <c r="BQ6" i="26"/>
  <c r="BQ9" i="26" s="1"/>
  <c r="BN8" i="25"/>
  <c r="BN11" i="25" s="1"/>
  <c r="BP7" i="36"/>
  <c r="BP10" i="36" s="1"/>
  <c r="BT6" i="14"/>
  <c r="BT9" i="14" s="1"/>
  <c r="BR8" i="13"/>
  <c r="BR12" i="13" s="1"/>
  <c r="BF7" i="30"/>
  <c r="BF11" i="30" s="1"/>
  <c r="BS7" i="20"/>
  <c r="BS10" i="20" s="1"/>
  <c r="BR6" i="19"/>
  <c r="BR9" i="19" s="1"/>
  <c r="BR11" i="19" s="1"/>
  <c r="BR16" i="19" s="1"/>
  <c r="BO9" i="18"/>
  <c r="BO12" i="18" s="1"/>
  <c r="BO6" i="2"/>
  <c r="BO10" i="2" s="1"/>
  <c r="BN5" i="7"/>
  <c r="Z5" i="7"/>
  <c r="BC5" i="7"/>
  <c r="AD6" i="5"/>
  <c r="AD11" i="5" s="1"/>
  <c r="AZ6" i="5"/>
  <c r="AZ11" i="5" s="1"/>
  <c r="BS5" i="5"/>
  <c r="BS8" i="5" s="1"/>
  <c r="BU7" i="17"/>
  <c r="BU11" i="17" s="1"/>
  <c r="BS8" i="16"/>
  <c r="BS11" i="16" s="1"/>
  <c r="BO5" i="26"/>
  <c r="BO8" i="26" s="1"/>
  <c r="BS7" i="25"/>
  <c r="BS10" i="25" s="1"/>
  <c r="BN8" i="36"/>
  <c r="BN11" i="36" s="1"/>
  <c r="BQ6" i="14"/>
  <c r="BQ9" i="14" s="1"/>
  <c r="BP7" i="13"/>
  <c r="BP11" i="13" s="1"/>
  <c r="BU4" i="44"/>
  <c r="BU7" i="44" s="1"/>
  <c r="BS7" i="23"/>
  <c r="BS10" i="23" s="1"/>
  <c r="BQ4" i="40"/>
  <c r="BQ7" i="40" s="1"/>
  <c r="BQ9" i="40" s="1"/>
  <c r="BQ14" i="40" s="1"/>
  <c r="AQ6" i="5"/>
  <c r="AQ11" i="5" s="1"/>
  <c r="BP6" i="26"/>
  <c r="BP9" i="26" s="1"/>
  <c r="BO7" i="58"/>
  <c r="BO12" i="58" s="1"/>
  <c r="BU5" i="45"/>
  <c r="BU9" i="45" s="1"/>
  <c r="BU11" i="45" s="1"/>
  <c r="BU16" i="45" s="1"/>
  <c r="BI6" i="30"/>
  <c r="BI10" i="30" s="1"/>
  <c r="Q5" i="7"/>
  <c r="AU6" i="5"/>
  <c r="AU11" i="5" s="1"/>
  <c r="BR6" i="26"/>
  <c r="BR9" i="26" s="1"/>
  <c r="BQ7" i="36"/>
  <c r="BQ10" i="36" s="1"/>
  <c r="BQ7" i="61"/>
  <c r="BQ10" i="61" s="1"/>
  <c r="BQ12" i="61" s="1"/>
  <c r="BQ13" i="61" s="1"/>
  <c r="BQ14" i="61" s="1"/>
  <c r="BQ15" i="61" s="1"/>
  <c r="BQ18" i="61" s="1"/>
  <c r="BQ20" i="61" s="1"/>
  <c r="BS11" i="70"/>
  <c r="BS20" i="70" s="1"/>
  <c r="BP8" i="52"/>
  <c r="BP12" i="52" s="1"/>
  <c r="BR6" i="32"/>
  <c r="BR11" i="32" s="1"/>
  <c r="BQ6" i="57"/>
  <c r="BQ9" i="57" s="1"/>
  <c r="BG7" i="30"/>
  <c r="BG11" i="30" s="1"/>
  <c r="BT7" i="20"/>
  <c r="BT10" i="20" s="1"/>
  <c r="BU6" i="19"/>
  <c r="BU9" i="19" s="1"/>
  <c r="BU11" i="19" s="1"/>
  <c r="BU16" i="19" s="1"/>
  <c r="BT9" i="18"/>
  <c r="BT12" i="18" s="1"/>
  <c r="BP6" i="2"/>
  <c r="BQ5" i="7"/>
  <c r="AA5" i="7"/>
  <c r="BN6" i="11"/>
  <c r="BN9" i="11" s="1"/>
  <c r="BN10" i="11" s="1"/>
  <c r="BN15" i="11" s="1"/>
  <c r="AE6" i="5"/>
  <c r="AE11" i="5" s="1"/>
  <c r="BG6" i="5"/>
  <c r="BG11" i="5" s="1"/>
  <c r="BN5" i="5"/>
  <c r="BN8" i="5" s="1"/>
  <c r="BP8" i="17"/>
  <c r="BP12" i="17" s="1"/>
  <c r="BU8" i="16"/>
  <c r="BU11" i="16" s="1"/>
  <c r="BP5" i="26"/>
  <c r="BP8" i="26" s="1"/>
  <c r="BO8" i="25"/>
  <c r="BO11" i="25" s="1"/>
  <c r="BQ8" i="36"/>
  <c r="BQ11" i="36" s="1"/>
  <c r="BP7" i="14"/>
  <c r="BP10" i="14" s="1"/>
  <c r="BQ7" i="13"/>
  <c r="BQ11" i="13" s="1"/>
  <c r="BU7" i="66"/>
  <c r="BU10" i="66" s="1"/>
  <c r="BR8" i="29"/>
  <c r="BR12" i="29" s="1"/>
  <c r="BN6" i="10"/>
  <c r="BN9" i="10" s="1"/>
  <c r="AP5" i="7"/>
  <c r="BP6" i="5"/>
  <c r="BP11" i="5" s="1"/>
  <c r="BT7" i="16"/>
  <c r="BT10" i="16" s="1"/>
  <c r="BO7" i="36"/>
  <c r="BO10" i="36" s="1"/>
  <c r="BU7" i="14"/>
  <c r="BU10" i="14" s="1"/>
  <c r="BQ7" i="62"/>
  <c r="BQ10" i="62" s="1"/>
  <c r="BR7" i="10"/>
  <c r="S6" i="5"/>
  <c r="S11" i="5" s="1"/>
  <c r="BU8" i="60"/>
  <c r="BU10" i="60" s="1"/>
  <c r="BS8" i="52"/>
  <c r="BS12" i="52" s="1"/>
  <c r="BP5" i="35"/>
  <c r="BP9" i="35" s="1"/>
  <c r="BS6" i="32"/>
  <c r="BS11" i="32" s="1"/>
  <c r="BI7" i="30"/>
  <c r="BI11" i="30" s="1"/>
  <c r="BU7" i="20"/>
  <c r="BU10" i="20" s="1"/>
  <c r="BU9" i="18"/>
  <c r="BU12" i="18" s="1"/>
  <c r="BQ6" i="2"/>
  <c r="BJ5" i="7"/>
  <c r="AG5" i="7"/>
  <c r="BQ6" i="11"/>
  <c r="BQ9" i="11" s="1"/>
  <c r="BQ10" i="11" s="1"/>
  <c r="BQ15" i="11" s="1"/>
  <c r="AJ6" i="5"/>
  <c r="AJ11" i="5" s="1"/>
  <c r="BI6" i="5"/>
  <c r="BI11" i="5" s="1"/>
  <c r="BS8" i="17"/>
  <c r="BS12" i="17" s="1"/>
  <c r="BO6" i="15"/>
  <c r="BO9" i="15" s="1"/>
  <c r="BR7" i="16"/>
  <c r="BR10" i="16" s="1"/>
  <c r="BQ5" i="26"/>
  <c r="BQ8" i="26" s="1"/>
  <c r="BP8" i="25"/>
  <c r="BP11" i="25" s="1"/>
  <c r="BU8" i="36"/>
  <c r="BU11" i="36" s="1"/>
  <c r="BQ7" i="14"/>
  <c r="BQ10" i="14" s="1"/>
  <c r="BR7" i="13"/>
  <c r="BR11" i="13" s="1"/>
  <c r="BO8" i="13"/>
  <c r="BO12" i="13" s="1"/>
  <c r="BQ8" i="51"/>
  <c r="BQ12" i="51" s="1"/>
  <c r="BH5" i="7"/>
  <c r="BR8" i="25"/>
  <c r="BR11" i="25" s="1"/>
  <c r="BQ8" i="13"/>
  <c r="BQ12" i="13" s="1"/>
  <c r="BV8" i="58"/>
  <c r="BV13" i="58" s="1"/>
  <c r="BS8" i="29"/>
  <c r="BS12" i="29" s="1"/>
  <c r="BR4" i="40"/>
  <c r="BR7" i="40" s="1"/>
  <c r="BR9" i="40" s="1"/>
  <c r="BR14" i="40" s="1"/>
  <c r="BO6" i="14"/>
  <c r="BO9" i="14" s="1"/>
  <c r="BR7" i="62"/>
  <c r="BR10" i="62" s="1"/>
  <c r="BV8" i="60"/>
  <c r="BV10" i="60" s="1"/>
  <c r="BT8" i="52"/>
  <c r="BT12" i="52" s="1"/>
  <c r="BT4" i="44"/>
  <c r="BT7" i="44" s="1"/>
  <c r="BQ5" i="35"/>
  <c r="BQ9" i="35" s="1"/>
  <c r="BT6" i="23"/>
  <c r="BT9" i="23" s="1"/>
  <c r="BP4" i="40"/>
  <c r="BP7" i="40" s="1"/>
  <c r="BP9" i="40" s="1"/>
  <c r="BP14" i="40" s="1"/>
  <c r="BR6" i="2"/>
  <c r="BG5" i="7"/>
  <c r="K5" i="7"/>
  <c r="AM5" i="7"/>
  <c r="O6" i="5"/>
  <c r="O11" i="5" s="1"/>
  <c r="AK6" i="5"/>
  <c r="AK11" i="5" s="1"/>
  <c r="BK6" i="5"/>
  <c r="BK11" i="5" s="1"/>
  <c r="BS7" i="16"/>
  <c r="BS10" i="16" s="1"/>
  <c r="BR5" i="26"/>
  <c r="BR8" i="26" s="1"/>
  <c r="BQ8" i="25"/>
  <c r="BQ11" i="25" s="1"/>
  <c r="BR7" i="14"/>
  <c r="BR10" i="14" s="1"/>
  <c r="BP4" i="31"/>
  <c r="BP9" i="31" s="1"/>
  <c r="O5" i="7"/>
  <c r="R6" i="5"/>
  <c r="R11" i="5" s="1"/>
  <c r="BV8" i="66"/>
  <c r="BV11" i="66" s="1"/>
  <c r="BQ4" i="31"/>
  <c r="BQ9" i="31" s="1"/>
  <c r="AQ5" i="7"/>
  <c r="BS6" i="5"/>
  <c r="BS11" i="5" s="1"/>
  <c r="BS8" i="13"/>
  <c r="BS12" i="13" s="1"/>
  <c r="BR7" i="61"/>
  <c r="BR10" i="61" s="1"/>
  <c r="BR12" i="61" s="1"/>
  <c r="BR13" i="61" s="1"/>
  <c r="BR14" i="61" s="1"/>
  <c r="BR15" i="61" s="1"/>
  <c r="BR18" i="61" s="1"/>
  <c r="BR20" i="61" s="1"/>
  <c r="BT8" i="54"/>
  <c r="BT12" i="54" s="1"/>
  <c r="BT7" i="49"/>
  <c r="BT11" i="49" s="1"/>
  <c r="BN9" i="18"/>
  <c r="BN12" i="18" s="1"/>
  <c r="BT7" i="10"/>
  <c r="M6" i="5"/>
  <c r="M11" i="5" s="1"/>
  <c r="BN8" i="16"/>
  <c r="BN11" i="16" s="1"/>
  <c r="BT6" i="26"/>
  <c r="BT9" i="26" s="1"/>
  <c r="BO7" i="25"/>
  <c r="BO10" i="25" s="1"/>
  <c r="AU5" i="7"/>
  <c r="BN6" i="19"/>
  <c r="BN9" i="19" s="1"/>
  <c r="BN11" i="19" s="1"/>
  <c r="BN16" i="19" s="1"/>
  <c r="AY6" i="5"/>
  <c r="AY11" i="5" s="1"/>
  <c r="BN7" i="13"/>
  <c r="BN11" i="13" s="1"/>
  <c r="BS7" i="10"/>
  <c r="BN7" i="25"/>
  <c r="BN10" i="25" s="1"/>
  <c r="BU7" i="49"/>
  <c r="BU11" i="49" s="1"/>
  <c r="V5" i="7"/>
  <c r="BP7" i="17"/>
  <c r="BP11" i="17" s="1"/>
  <c r="BT7" i="36"/>
  <c r="BT10" i="36" s="1"/>
  <c r="BN6" i="20"/>
  <c r="BN9" i="20" s="1"/>
  <c r="AC6" i="5"/>
  <c r="AC11" i="5" s="1"/>
  <c r="BO6" i="19"/>
  <c r="BO9" i="19" s="1"/>
  <c r="BO11" i="19" s="1"/>
  <c r="BO16" i="19" s="1"/>
  <c r="BN7" i="28"/>
  <c r="BN10" i="28" s="1"/>
  <c r="L6" i="5"/>
  <c r="L11" i="5" s="1"/>
  <c r="BN6" i="2"/>
  <c r="Y5" i="7"/>
  <c r="BR7" i="17"/>
  <c r="BR11" i="17" s="1"/>
  <c r="BU7" i="36"/>
  <c r="BU10" i="36" s="1"/>
  <c r="BP6" i="30"/>
  <c r="BP10" i="30" s="1"/>
  <c r="BS7" i="41"/>
  <c r="BS10" i="41" s="1"/>
  <c r="AX6" i="5"/>
  <c r="AX11" i="5" s="1"/>
  <c r="BT7" i="41"/>
  <c r="BT10" i="41" s="1"/>
  <c r="AT5" i="7"/>
  <c r="U6" i="5"/>
  <c r="U11" i="5" s="1"/>
  <c r="BK5" i="7"/>
  <c r="BE7" i="30"/>
  <c r="BE11" i="30" s="1"/>
  <c r="BR6" i="28"/>
  <c r="BR9" i="28" s="1"/>
  <c r="BS6" i="26"/>
  <c r="BS9" i="26" s="1"/>
  <c r="BN7" i="52"/>
  <c r="BN11" i="52" s="1"/>
  <c r="BM8" i="73"/>
  <c r="BM11" i="73" s="1"/>
  <c r="BE8" i="73"/>
  <c r="BE11" i="73" s="1"/>
  <c r="AW8" i="73"/>
  <c r="AW11" i="73" s="1"/>
  <c r="AO8" i="73"/>
  <c r="AO11" i="73" s="1"/>
  <c r="AG8" i="73"/>
  <c r="AG11" i="73" s="1"/>
  <c r="Y8" i="73"/>
  <c r="Y11" i="73" s="1"/>
  <c r="Q8" i="73"/>
  <c r="Q11" i="73" s="1"/>
  <c r="I8" i="73"/>
  <c r="I11" i="73" s="1"/>
  <c r="BI7" i="73"/>
  <c r="BI10" i="73" s="1"/>
  <c r="BA7" i="73"/>
  <c r="BA10" i="73" s="1"/>
  <c r="AK7" i="73"/>
  <c r="AK10" i="73" s="1"/>
  <c r="U7" i="73"/>
  <c r="U10" i="73" s="1"/>
  <c r="AT8" i="73"/>
  <c r="AT11" i="73" s="1"/>
  <c r="N8" i="73"/>
  <c r="N11" i="73" s="1"/>
  <c r="BF7" i="73"/>
  <c r="BF10" i="73" s="1"/>
  <c r="Z7" i="73"/>
  <c r="Z10" i="73" s="1"/>
  <c r="S8" i="73"/>
  <c r="S11" i="73" s="1"/>
  <c r="AU7" i="73"/>
  <c r="AU10" i="73" s="1"/>
  <c r="BL8" i="73"/>
  <c r="BL11" i="73" s="1"/>
  <c r="BD8" i="73"/>
  <c r="BD11" i="73" s="1"/>
  <c r="AV8" i="73"/>
  <c r="AV11" i="73" s="1"/>
  <c r="AN8" i="73"/>
  <c r="AN11" i="73" s="1"/>
  <c r="AF8" i="73"/>
  <c r="AF11" i="73" s="1"/>
  <c r="X8" i="73"/>
  <c r="X11" i="73" s="1"/>
  <c r="P8" i="73"/>
  <c r="P11" i="73" s="1"/>
  <c r="BP7" i="73"/>
  <c r="BP10" i="73" s="1"/>
  <c r="BH7" i="73"/>
  <c r="BH10" i="73" s="1"/>
  <c r="AZ7" i="73"/>
  <c r="AZ10" i="73" s="1"/>
  <c r="AR7" i="73"/>
  <c r="AR10" i="73" s="1"/>
  <c r="AJ7" i="73"/>
  <c r="AJ10" i="73" s="1"/>
  <c r="AB7" i="73"/>
  <c r="AB10" i="73" s="1"/>
  <c r="T7" i="73"/>
  <c r="T10" i="73" s="1"/>
  <c r="L7" i="73"/>
  <c r="L10" i="73" s="1"/>
  <c r="BJ8" i="73"/>
  <c r="BJ11" i="73" s="1"/>
  <c r="AD8" i="73"/>
  <c r="AD11" i="73" s="1"/>
  <c r="AP7" i="73"/>
  <c r="AP10" i="73" s="1"/>
  <c r="J7" i="73"/>
  <c r="J10" i="73" s="1"/>
  <c r="AI8" i="73"/>
  <c r="AI11" i="73" s="1"/>
  <c r="AM7" i="73"/>
  <c r="AM10" i="73" s="1"/>
  <c r="BK8" i="73"/>
  <c r="BK11" i="73" s="1"/>
  <c r="BC8" i="73"/>
  <c r="BC11" i="73" s="1"/>
  <c r="AU8" i="73"/>
  <c r="AU11" i="73" s="1"/>
  <c r="AM8" i="73"/>
  <c r="AM11" i="73" s="1"/>
  <c r="AE8" i="73"/>
  <c r="AE11" i="73" s="1"/>
  <c r="W8" i="73"/>
  <c r="W11" i="73" s="1"/>
  <c r="O8" i="73"/>
  <c r="O11" i="73" s="1"/>
  <c r="BO7" i="73"/>
  <c r="BO10" i="73" s="1"/>
  <c r="BG7" i="73"/>
  <c r="BG10" i="73" s="1"/>
  <c r="AY7" i="73"/>
  <c r="AY10" i="73" s="1"/>
  <c r="AQ7" i="73"/>
  <c r="AQ10" i="73" s="1"/>
  <c r="AI7" i="73"/>
  <c r="AI10" i="73" s="1"/>
  <c r="AA7" i="73"/>
  <c r="AA10" i="73" s="1"/>
  <c r="S7" i="73"/>
  <c r="S10" i="73" s="1"/>
  <c r="K7" i="73"/>
  <c r="K10" i="73" s="1"/>
  <c r="AL8" i="73"/>
  <c r="AL11" i="73" s="1"/>
  <c r="BN7" i="73"/>
  <c r="BN10" i="73" s="1"/>
  <c r="AH7" i="73"/>
  <c r="AH10" i="73" s="1"/>
  <c r="AQ8" i="73"/>
  <c r="AQ11" i="73" s="1"/>
  <c r="BC7" i="73"/>
  <c r="BC10" i="73" s="1"/>
  <c r="BI8" i="73"/>
  <c r="BI11" i="73" s="1"/>
  <c r="BA8" i="73"/>
  <c r="BA11" i="73" s="1"/>
  <c r="AS8" i="73"/>
  <c r="AS11" i="73" s="1"/>
  <c r="AK8" i="73"/>
  <c r="AK11" i="73" s="1"/>
  <c r="AC8" i="73"/>
  <c r="AC11" i="73" s="1"/>
  <c r="U8" i="73"/>
  <c r="U11" i="73" s="1"/>
  <c r="M8" i="73"/>
  <c r="M11" i="73" s="1"/>
  <c r="BM7" i="73"/>
  <c r="BM10" i="73" s="1"/>
  <c r="BE7" i="73"/>
  <c r="BE10" i="73" s="1"/>
  <c r="AW7" i="73"/>
  <c r="AW10" i="73" s="1"/>
  <c r="AO7" i="73"/>
  <c r="AO10" i="73" s="1"/>
  <c r="AG7" i="73"/>
  <c r="AG10" i="73" s="1"/>
  <c r="Y7" i="73"/>
  <c r="Y10" i="73" s="1"/>
  <c r="Q7" i="73"/>
  <c r="Q10" i="73" s="1"/>
  <c r="I7" i="73"/>
  <c r="I10" i="73" s="1"/>
  <c r="BD7" i="73"/>
  <c r="BD10" i="73" s="1"/>
  <c r="AN7" i="73"/>
  <c r="AN10" i="73" s="1"/>
  <c r="X7" i="73"/>
  <c r="X10" i="73" s="1"/>
  <c r="BO8" i="73"/>
  <c r="BO11" i="73" s="1"/>
  <c r="AY8" i="73"/>
  <c r="AY11" i="73" s="1"/>
  <c r="BK7" i="73"/>
  <c r="BK10" i="73" s="1"/>
  <c r="O7" i="73"/>
  <c r="O10" i="73" s="1"/>
  <c r="BP8" i="73"/>
  <c r="BP11" i="73" s="1"/>
  <c r="BH8" i="73"/>
  <c r="BH11" i="73" s="1"/>
  <c r="AZ8" i="73"/>
  <c r="AZ11" i="73" s="1"/>
  <c r="AR8" i="73"/>
  <c r="AR11" i="73" s="1"/>
  <c r="AJ8" i="73"/>
  <c r="AJ11" i="73" s="1"/>
  <c r="AB8" i="73"/>
  <c r="AB11" i="73" s="1"/>
  <c r="T8" i="73"/>
  <c r="T11" i="73" s="1"/>
  <c r="L8" i="73"/>
  <c r="L11" i="73" s="1"/>
  <c r="BL7" i="73"/>
  <c r="BL10" i="73" s="1"/>
  <c r="AV7" i="73"/>
  <c r="AV10" i="73" s="1"/>
  <c r="AF7" i="73"/>
  <c r="AF10" i="73" s="1"/>
  <c r="P7" i="73"/>
  <c r="P10" i="73" s="1"/>
  <c r="BG8" i="73"/>
  <c r="BG11" i="73" s="1"/>
  <c r="K8" i="73"/>
  <c r="K11" i="73" s="1"/>
  <c r="W7" i="73"/>
  <c r="W10" i="73" s="1"/>
  <c r="BN8" i="73"/>
  <c r="BN11" i="73" s="1"/>
  <c r="BF8" i="73"/>
  <c r="BF11" i="73" s="1"/>
  <c r="AX8" i="73"/>
  <c r="AX11" i="73" s="1"/>
  <c r="AP8" i="73"/>
  <c r="AP11" i="73" s="1"/>
  <c r="AH8" i="73"/>
  <c r="AH11" i="73" s="1"/>
  <c r="Z8" i="73"/>
  <c r="Z11" i="73" s="1"/>
  <c r="R8" i="73"/>
  <c r="R11" i="73" s="1"/>
  <c r="J8" i="73"/>
  <c r="J11" i="73" s="1"/>
  <c r="BJ7" i="73"/>
  <c r="BJ10" i="73" s="1"/>
  <c r="BB7" i="73"/>
  <c r="BB10" i="73" s="1"/>
  <c r="AT7" i="73"/>
  <c r="AT10" i="73" s="1"/>
  <c r="AL7" i="73"/>
  <c r="AL10" i="73" s="1"/>
  <c r="AD7" i="73"/>
  <c r="AD10" i="73" s="1"/>
  <c r="V7" i="73"/>
  <c r="V10" i="73" s="1"/>
  <c r="N7" i="73"/>
  <c r="N10" i="73" s="1"/>
  <c r="AS7" i="73"/>
  <c r="AS10" i="73" s="1"/>
  <c r="AC7" i="73"/>
  <c r="AC10" i="73" s="1"/>
  <c r="M7" i="73"/>
  <c r="M10" i="73" s="1"/>
  <c r="BB8" i="73"/>
  <c r="BB11" i="73" s="1"/>
  <c r="V8" i="73"/>
  <c r="V11" i="73" s="1"/>
  <c r="AX7" i="73"/>
  <c r="AX10" i="73" s="1"/>
  <c r="R7" i="73"/>
  <c r="R10" i="73" s="1"/>
  <c r="AA8" i="73"/>
  <c r="AA11" i="73" s="1"/>
  <c r="AE7" i="73"/>
  <c r="AE10" i="73" s="1"/>
  <c r="M6" i="19"/>
  <c r="U6" i="19"/>
  <c r="U9" i="19" s="1"/>
  <c r="AC6" i="19"/>
  <c r="AC9" i="19" s="1"/>
  <c r="AK6" i="19"/>
  <c r="AK9" i="19" s="1"/>
  <c r="AS6" i="19"/>
  <c r="AS9" i="19" s="1"/>
  <c r="BA6" i="19"/>
  <c r="BA9" i="19" s="1"/>
  <c r="BI6" i="19"/>
  <c r="BI9" i="19" s="1"/>
  <c r="BI11" i="19" s="1"/>
  <c r="BI16" i="19" s="1"/>
  <c r="K7" i="19"/>
  <c r="S7" i="19"/>
  <c r="AA7" i="19"/>
  <c r="AI7" i="19"/>
  <c r="AQ7" i="19"/>
  <c r="AY7" i="19"/>
  <c r="BG7" i="19"/>
  <c r="J7" i="19"/>
  <c r="N6" i="19"/>
  <c r="N9" i="19" s="1"/>
  <c r="V6" i="19"/>
  <c r="V9" i="19" s="1"/>
  <c r="AD6" i="19"/>
  <c r="AD9" i="19" s="1"/>
  <c r="AL6" i="19"/>
  <c r="AL9" i="19" s="1"/>
  <c r="AT6" i="19"/>
  <c r="AT9" i="19" s="1"/>
  <c r="BB6" i="19"/>
  <c r="BB9" i="19" s="1"/>
  <c r="BJ6" i="19"/>
  <c r="BJ9" i="19" s="1"/>
  <c r="BJ11" i="19" s="1"/>
  <c r="BJ16" i="19" s="1"/>
  <c r="L7" i="19"/>
  <c r="T7" i="19"/>
  <c r="AB7" i="19"/>
  <c r="AJ7" i="19"/>
  <c r="AR7" i="19"/>
  <c r="AZ7" i="19"/>
  <c r="BH7" i="19"/>
  <c r="O6" i="19"/>
  <c r="O9" i="19" s="1"/>
  <c r="W6" i="19"/>
  <c r="W9" i="19" s="1"/>
  <c r="AE6" i="19"/>
  <c r="AE9" i="19" s="1"/>
  <c r="AM6" i="19"/>
  <c r="AM9" i="19" s="1"/>
  <c r="AU6" i="19"/>
  <c r="AU9" i="19" s="1"/>
  <c r="BC6" i="19"/>
  <c r="BC9" i="19" s="1"/>
  <c r="BK6" i="19"/>
  <c r="BK9" i="19" s="1"/>
  <c r="BK11" i="19" s="1"/>
  <c r="BK16" i="19" s="1"/>
  <c r="M7" i="19"/>
  <c r="U7" i="19"/>
  <c r="AC7" i="19"/>
  <c r="AK7" i="19"/>
  <c r="AS7" i="19"/>
  <c r="BA7" i="19"/>
  <c r="BI7" i="19"/>
  <c r="P6" i="19"/>
  <c r="P9" i="19" s="1"/>
  <c r="X6" i="19"/>
  <c r="X9" i="19" s="1"/>
  <c r="AF6" i="19"/>
  <c r="AF9" i="19" s="1"/>
  <c r="AN6" i="19"/>
  <c r="AN9" i="19" s="1"/>
  <c r="AV6" i="19"/>
  <c r="AV9" i="19" s="1"/>
  <c r="BD6" i="19"/>
  <c r="BD9" i="19" s="1"/>
  <c r="BL6" i="19"/>
  <c r="BL9" i="19" s="1"/>
  <c r="BL11" i="19" s="1"/>
  <c r="BL16" i="19" s="1"/>
  <c r="N7" i="19"/>
  <c r="V7" i="19"/>
  <c r="AD7" i="19"/>
  <c r="AL7" i="19"/>
  <c r="AT7" i="19"/>
  <c r="BB7" i="19"/>
  <c r="BJ7" i="19"/>
  <c r="Q6" i="19"/>
  <c r="Q9" i="19" s="1"/>
  <c r="Y6" i="19"/>
  <c r="Y9" i="19" s="1"/>
  <c r="AG6" i="19"/>
  <c r="AG9" i="19" s="1"/>
  <c r="AO6" i="19"/>
  <c r="AO9" i="19" s="1"/>
  <c r="AW6" i="19"/>
  <c r="AW9" i="19" s="1"/>
  <c r="BE6" i="19"/>
  <c r="BE9" i="19" s="1"/>
  <c r="BM6" i="19"/>
  <c r="BM9" i="19" s="1"/>
  <c r="BM11" i="19" s="1"/>
  <c r="BM16" i="19" s="1"/>
  <c r="O7" i="19"/>
  <c r="W7" i="19"/>
  <c r="AE7" i="19"/>
  <c r="AM7" i="19"/>
  <c r="AU7" i="19"/>
  <c r="BC7" i="19"/>
  <c r="BK7" i="19"/>
  <c r="J6" i="19"/>
  <c r="R6" i="19"/>
  <c r="R9" i="19" s="1"/>
  <c r="Z6" i="19"/>
  <c r="Z9" i="19" s="1"/>
  <c r="AH6" i="19"/>
  <c r="AH9" i="19" s="1"/>
  <c r="AP6" i="19"/>
  <c r="AP9" i="19" s="1"/>
  <c r="AX6" i="19"/>
  <c r="AX9" i="19" s="1"/>
  <c r="BF6" i="19"/>
  <c r="BF9" i="19" s="1"/>
  <c r="I6" i="19"/>
  <c r="P7" i="19"/>
  <c r="X7" i="19"/>
  <c r="AF7" i="19"/>
  <c r="AN7" i="19"/>
  <c r="AV7" i="19"/>
  <c r="BD7" i="19"/>
  <c r="BL7" i="19"/>
  <c r="K6" i="19"/>
  <c r="S6" i="19"/>
  <c r="S9" i="19" s="1"/>
  <c r="AA6" i="19"/>
  <c r="AA9" i="19" s="1"/>
  <c r="AI6" i="19"/>
  <c r="AI9" i="19" s="1"/>
  <c r="AQ6" i="19"/>
  <c r="AQ9" i="19" s="1"/>
  <c r="AY6" i="19"/>
  <c r="AY9" i="19" s="1"/>
  <c r="BG6" i="19"/>
  <c r="BG9" i="19" s="1"/>
  <c r="BG11" i="19" s="1"/>
  <c r="BG16" i="19" s="1"/>
  <c r="Q7" i="19"/>
  <c r="Y7" i="19"/>
  <c r="AG7" i="19"/>
  <c r="AO7" i="19"/>
  <c r="AW7" i="19"/>
  <c r="BE7" i="19"/>
  <c r="BM7" i="19"/>
  <c r="L6" i="19"/>
  <c r="T6" i="19"/>
  <c r="T9" i="19" s="1"/>
  <c r="AB6" i="19"/>
  <c r="AB9" i="19" s="1"/>
  <c r="AJ6" i="19"/>
  <c r="AJ9" i="19" s="1"/>
  <c r="AR6" i="19"/>
  <c r="AR9" i="19" s="1"/>
  <c r="AZ6" i="19"/>
  <c r="AZ9" i="19" s="1"/>
  <c r="BH6" i="19"/>
  <c r="BH9" i="19" s="1"/>
  <c r="BH11" i="19" s="1"/>
  <c r="BH16" i="19" s="1"/>
  <c r="R7" i="19"/>
  <c r="Z7" i="19"/>
  <c r="AH7" i="19"/>
  <c r="AP7" i="19"/>
  <c r="AX7" i="19"/>
  <c r="BF7" i="19"/>
  <c r="I7" i="19"/>
  <c r="H7" i="19"/>
  <c r="H6" i="19"/>
  <c r="BM7" i="70"/>
  <c r="BM17" i="70" s="1"/>
  <c r="BL7" i="36"/>
  <c r="BL10" i="36" s="1"/>
  <c r="BN7" i="54"/>
  <c r="BN11" i="54" s="1"/>
  <c r="BM8" i="51"/>
  <c r="BM12" i="51" s="1"/>
  <c r="K8" i="51"/>
  <c r="K12" i="51" s="1"/>
  <c r="S8" i="51"/>
  <c r="S12" i="51" s="1"/>
  <c r="AA8" i="51"/>
  <c r="AA12" i="51" s="1"/>
  <c r="AI8" i="51"/>
  <c r="AI12" i="51" s="1"/>
  <c r="AQ8" i="51"/>
  <c r="AQ12" i="51" s="1"/>
  <c r="AY8" i="51"/>
  <c r="AY12" i="51" s="1"/>
  <c r="L5" i="44"/>
  <c r="L8" i="44" s="1"/>
  <c r="T5" i="44"/>
  <c r="T8" i="44" s="1"/>
  <c r="AB5" i="44"/>
  <c r="AB8" i="44" s="1"/>
  <c r="AJ5" i="44"/>
  <c r="AJ8" i="44" s="1"/>
  <c r="AR5" i="44"/>
  <c r="AR8" i="44" s="1"/>
  <c r="AZ5" i="44"/>
  <c r="AZ8" i="44" s="1"/>
  <c r="BL4" i="44"/>
  <c r="BL7" i="44" s="1"/>
  <c r="BJ4" i="44"/>
  <c r="BJ7" i="44" s="1"/>
  <c r="N4" i="44"/>
  <c r="N7" i="44" s="1"/>
  <c r="V4" i="44"/>
  <c r="V7" i="44" s="1"/>
  <c r="AD4" i="44"/>
  <c r="AD7" i="44" s="1"/>
  <c r="AL4" i="44"/>
  <c r="AL7" i="44" s="1"/>
  <c r="AT4" i="44"/>
  <c r="AT7" i="44" s="1"/>
  <c r="BB4" i="44"/>
  <c r="BB7" i="44" s="1"/>
  <c r="BL9" i="38"/>
  <c r="BL13" i="38" s="1"/>
  <c r="BL4" i="35"/>
  <c r="BL8" i="35" s="1"/>
  <c r="BM5" i="45"/>
  <c r="BM9" i="45" s="1"/>
  <c r="BM11" i="45" s="1"/>
  <c r="BM16" i="45" s="1"/>
  <c r="BK6" i="32"/>
  <c r="BK11" i="32" s="1"/>
  <c r="BL5" i="57"/>
  <c r="BL8" i="57" s="1"/>
  <c r="BM6" i="28"/>
  <c r="BM9" i="28" s="1"/>
  <c r="BN6" i="23"/>
  <c r="BN9" i="23" s="1"/>
  <c r="BK6" i="20"/>
  <c r="BK9" i="20" s="1"/>
  <c r="BK8" i="18"/>
  <c r="BK11" i="18" s="1"/>
  <c r="BM7" i="41"/>
  <c r="BM10" i="41" s="1"/>
  <c r="BL7" i="10"/>
  <c r="BN8" i="54"/>
  <c r="BN12" i="54" s="1"/>
  <c r="BN8" i="51"/>
  <c r="BN12" i="51" s="1"/>
  <c r="L8" i="51"/>
  <c r="L12" i="51" s="1"/>
  <c r="T8" i="51"/>
  <c r="T12" i="51" s="1"/>
  <c r="AB8" i="51"/>
  <c r="AB12" i="51" s="1"/>
  <c r="AJ8" i="51"/>
  <c r="AJ12" i="51" s="1"/>
  <c r="AR8" i="51"/>
  <c r="AR12" i="51" s="1"/>
  <c r="AZ8" i="51"/>
  <c r="AZ12" i="51" s="1"/>
  <c r="BH5" i="44"/>
  <c r="BH8" i="44" s="1"/>
  <c r="M5" i="44"/>
  <c r="M8" i="44" s="1"/>
  <c r="U5" i="44"/>
  <c r="U8" i="44" s="1"/>
  <c r="AC5" i="44"/>
  <c r="AC8" i="44" s="1"/>
  <c r="AK5" i="44"/>
  <c r="AK8" i="44" s="1"/>
  <c r="AS5" i="44"/>
  <c r="AS8" i="44" s="1"/>
  <c r="BA5" i="44"/>
  <c r="BA8" i="44" s="1"/>
  <c r="BM4" i="44"/>
  <c r="BM7" i="44" s="1"/>
  <c r="BK4" i="44"/>
  <c r="BK7" i="44" s="1"/>
  <c r="O4" i="44"/>
  <c r="O7" i="44" s="1"/>
  <c r="W4" i="44"/>
  <c r="W7" i="44" s="1"/>
  <c r="AE4" i="44"/>
  <c r="AE7" i="44" s="1"/>
  <c r="AM4" i="44"/>
  <c r="AM7" i="44" s="1"/>
  <c r="AU4" i="44"/>
  <c r="AU7" i="44" s="1"/>
  <c r="BC4" i="44"/>
  <c r="BC7" i="44" s="1"/>
  <c r="BM9" i="38"/>
  <c r="BM13" i="38" s="1"/>
  <c r="BM4" i="35"/>
  <c r="BM8" i="35" s="1"/>
  <c r="BN5" i="45"/>
  <c r="BN9" i="45" s="1"/>
  <c r="BN11" i="45" s="1"/>
  <c r="BN16" i="45" s="1"/>
  <c r="BL6" i="32"/>
  <c r="BL11" i="32" s="1"/>
  <c r="BM5" i="57"/>
  <c r="BM8" i="57" s="1"/>
  <c r="BK7" i="28"/>
  <c r="BK10" i="28" s="1"/>
  <c r="BO8" i="51"/>
  <c r="BO12" i="51" s="1"/>
  <c r="M8" i="51"/>
  <c r="M12" i="51" s="1"/>
  <c r="U8" i="51"/>
  <c r="U12" i="51" s="1"/>
  <c r="AC8" i="51"/>
  <c r="AC12" i="51" s="1"/>
  <c r="AK8" i="51"/>
  <c r="AK12" i="51" s="1"/>
  <c r="AS8" i="51"/>
  <c r="AS12" i="51" s="1"/>
  <c r="BA8" i="51"/>
  <c r="BA12" i="51" s="1"/>
  <c r="BI5" i="44"/>
  <c r="BI8" i="44" s="1"/>
  <c r="N5" i="44"/>
  <c r="N8" i="44" s="1"/>
  <c r="V5" i="44"/>
  <c r="V8" i="44" s="1"/>
  <c r="AD5" i="44"/>
  <c r="AD8" i="44" s="1"/>
  <c r="AL5" i="44"/>
  <c r="AL8" i="44" s="1"/>
  <c r="AT5" i="44"/>
  <c r="AT8" i="44" s="1"/>
  <c r="BB5" i="44"/>
  <c r="BB8" i="44" s="1"/>
  <c r="BN4" i="44"/>
  <c r="BN7" i="44" s="1"/>
  <c r="BG4" i="44"/>
  <c r="BG7" i="44" s="1"/>
  <c r="P4" i="44"/>
  <c r="P7" i="44" s="1"/>
  <c r="X4" i="44"/>
  <c r="X7" i="44" s="1"/>
  <c r="AF4" i="44"/>
  <c r="AF7" i="44" s="1"/>
  <c r="AN4" i="44"/>
  <c r="AN7" i="44" s="1"/>
  <c r="AV4" i="44"/>
  <c r="AV7" i="44" s="1"/>
  <c r="BD4" i="44"/>
  <c r="BD7" i="44" s="1"/>
  <c r="BN9" i="38"/>
  <c r="BN13" i="38" s="1"/>
  <c r="BK5" i="35"/>
  <c r="BK9" i="35" s="1"/>
  <c r="BK4" i="32"/>
  <c r="BK9" i="32" s="1"/>
  <c r="BM6" i="32"/>
  <c r="BM11" i="32" s="1"/>
  <c r="BN5" i="57"/>
  <c r="BN8" i="57" s="1"/>
  <c r="BL7" i="28"/>
  <c r="BL10" i="28" s="1"/>
  <c r="BK7" i="23"/>
  <c r="BK10" i="23" s="1"/>
  <c r="BK7" i="20"/>
  <c r="BK10" i="20" s="1"/>
  <c r="BM8" i="18"/>
  <c r="BM11" i="18" s="1"/>
  <c r="BL7" i="50"/>
  <c r="BL11" i="50" s="1"/>
  <c r="BH8" i="51"/>
  <c r="BH12" i="51" s="1"/>
  <c r="N8" i="51"/>
  <c r="N12" i="51" s="1"/>
  <c r="V8" i="51"/>
  <c r="V12" i="51" s="1"/>
  <c r="AD8" i="51"/>
  <c r="AD12" i="51" s="1"/>
  <c r="AL8" i="51"/>
  <c r="AL12" i="51" s="1"/>
  <c r="AT8" i="51"/>
  <c r="AT12" i="51" s="1"/>
  <c r="BB8" i="51"/>
  <c r="BB12" i="51" s="1"/>
  <c r="BJ5" i="44"/>
  <c r="BJ8" i="44" s="1"/>
  <c r="O5" i="44"/>
  <c r="O8" i="44" s="1"/>
  <c r="W5" i="44"/>
  <c r="W8" i="44" s="1"/>
  <c r="AE5" i="44"/>
  <c r="AE8" i="44" s="1"/>
  <c r="AM5" i="44"/>
  <c r="AM8" i="44" s="1"/>
  <c r="AU5" i="44"/>
  <c r="AU8" i="44" s="1"/>
  <c r="BC5" i="44"/>
  <c r="BC8" i="44" s="1"/>
  <c r="BO4" i="44"/>
  <c r="BO7" i="44" s="1"/>
  <c r="Q4" i="44"/>
  <c r="Q7" i="44" s="1"/>
  <c r="Y4" i="44"/>
  <c r="Y7" i="44" s="1"/>
  <c r="AG4" i="44"/>
  <c r="AG7" i="44" s="1"/>
  <c r="AO4" i="44"/>
  <c r="AO7" i="44" s="1"/>
  <c r="AW4" i="44"/>
  <c r="AW7" i="44" s="1"/>
  <c r="BE4" i="44"/>
  <c r="BE7" i="44" s="1"/>
  <c r="BL5" i="35"/>
  <c r="BL9" i="35" s="1"/>
  <c r="BL4" i="32"/>
  <c r="BL9" i="32" s="1"/>
  <c r="BK6" i="57"/>
  <c r="BK9" i="57" s="1"/>
  <c r="BM7" i="28"/>
  <c r="BM10" i="28" s="1"/>
  <c r="BL7" i="23"/>
  <c r="BL10" i="23" s="1"/>
  <c r="BL7" i="20"/>
  <c r="BL10" i="20" s="1"/>
  <c r="BK9" i="18"/>
  <c r="BK12" i="18" s="1"/>
  <c r="BM6" i="2"/>
  <c r="BM7" i="50"/>
  <c r="BM11" i="50" s="1"/>
  <c r="BI8" i="51"/>
  <c r="BI12" i="51" s="1"/>
  <c r="O8" i="51"/>
  <c r="O12" i="51" s="1"/>
  <c r="W8" i="51"/>
  <c r="W12" i="51" s="1"/>
  <c r="AE8" i="51"/>
  <c r="AE12" i="51" s="1"/>
  <c r="AM8" i="51"/>
  <c r="AM12" i="51" s="1"/>
  <c r="AU8" i="51"/>
  <c r="AU12" i="51" s="1"/>
  <c r="BC8" i="51"/>
  <c r="BC12" i="51" s="1"/>
  <c r="BL7" i="39"/>
  <c r="BL9" i="39" s="1"/>
  <c r="BL10" i="39" s="1"/>
  <c r="BL5" i="44"/>
  <c r="BL8" i="44" s="1"/>
  <c r="BK5" i="44"/>
  <c r="BK8" i="44" s="1"/>
  <c r="P5" i="44"/>
  <c r="P8" i="44" s="1"/>
  <c r="X5" i="44"/>
  <c r="X8" i="44" s="1"/>
  <c r="AF5" i="44"/>
  <c r="AF8" i="44" s="1"/>
  <c r="AN5" i="44"/>
  <c r="AN8" i="44" s="1"/>
  <c r="AV5" i="44"/>
  <c r="AV8" i="44" s="1"/>
  <c r="BD5" i="44"/>
  <c r="BD8" i="44" s="1"/>
  <c r="J4" i="44"/>
  <c r="J7" i="44" s="1"/>
  <c r="R4" i="44"/>
  <c r="R7" i="44" s="1"/>
  <c r="Z4" i="44"/>
  <c r="Z7" i="44" s="1"/>
  <c r="AH4" i="44"/>
  <c r="AH7" i="44" s="1"/>
  <c r="AP4" i="44"/>
  <c r="AP7" i="44" s="1"/>
  <c r="AX4" i="44"/>
  <c r="AX7" i="44" s="1"/>
  <c r="BF4" i="44"/>
  <c r="BF7" i="44" s="1"/>
  <c r="BM5" i="35"/>
  <c r="BM9" i="35" s="1"/>
  <c r="BM4" i="32"/>
  <c r="BM9" i="32" s="1"/>
  <c r="BK4" i="31"/>
  <c r="BK9" i="31" s="1"/>
  <c r="BK8" i="29"/>
  <c r="BK12" i="29" s="1"/>
  <c r="BL6" i="57"/>
  <c r="BL9" i="57" s="1"/>
  <c r="BM7" i="23"/>
  <c r="BM10" i="23" s="1"/>
  <c r="BL9" i="18"/>
  <c r="BL12" i="18" s="1"/>
  <c r="BK6" i="10"/>
  <c r="BK9" i="10" s="1"/>
  <c r="BK8" i="51"/>
  <c r="BK12" i="51" s="1"/>
  <c r="BG8" i="51"/>
  <c r="BG12" i="51" s="1"/>
  <c r="Q8" i="51"/>
  <c r="Q12" i="51" s="1"/>
  <c r="Y8" i="51"/>
  <c r="Y12" i="51" s="1"/>
  <c r="AG8" i="51"/>
  <c r="AG12" i="51" s="1"/>
  <c r="AO8" i="51"/>
  <c r="AO12" i="51" s="1"/>
  <c r="AW8" i="51"/>
  <c r="AW12" i="51" s="1"/>
  <c r="BE8" i="51"/>
  <c r="BE12" i="51" s="1"/>
  <c r="BN7" i="39"/>
  <c r="BN9" i="39" s="1"/>
  <c r="BN10" i="39" s="1"/>
  <c r="BN5" i="44"/>
  <c r="BN8" i="44" s="1"/>
  <c r="J5" i="44"/>
  <c r="J8" i="44" s="1"/>
  <c r="R5" i="44"/>
  <c r="R8" i="44" s="1"/>
  <c r="Z5" i="44"/>
  <c r="Z8" i="44" s="1"/>
  <c r="AH5" i="44"/>
  <c r="AH8" i="44" s="1"/>
  <c r="AP5" i="44"/>
  <c r="AP8" i="44" s="1"/>
  <c r="AX5" i="44"/>
  <c r="AX8" i="44" s="1"/>
  <c r="BF5" i="44"/>
  <c r="BF8" i="44" s="1"/>
  <c r="BH4" i="44"/>
  <c r="BH7" i="44" s="1"/>
  <c r="L4" i="44"/>
  <c r="L7" i="44" s="1"/>
  <c r="T4" i="44"/>
  <c r="T7" i="44" s="1"/>
  <c r="AB4" i="44"/>
  <c r="AB7" i="44" s="1"/>
  <c r="AJ4" i="44"/>
  <c r="AJ7" i="44" s="1"/>
  <c r="AR4" i="44"/>
  <c r="AR7" i="44" s="1"/>
  <c r="AZ4" i="44"/>
  <c r="AZ7" i="44" s="1"/>
  <c r="BM8" i="38"/>
  <c r="BM12" i="38" s="1"/>
  <c r="BK5" i="45"/>
  <c r="BK9" i="45" s="1"/>
  <c r="BK11" i="45" s="1"/>
  <c r="BK16" i="45" s="1"/>
  <c r="BL5" i="32"/>
  <c r="BL10" i="32" s="1"/>
  <c r="BM4" i="31"/>
  <c r="BM9" i="31" s="1"/>
  <c r="BM8" i="29"/>
  <c r="BM12" i="29" s="1"/>
  <c r="BN6" i="57"/>
  <c r="BN9" i="57" s="1"/>
  <c r="BK6" i="28"/>
  <c r="BK9" i="28" s="1"/>
  <c r="BL8" i="51"/>
  <c r="BL12" i="51" s="1"/>
  <c r="R8" i="51"/>
  <c r="R12" i="51" s="1"/>
  <c r="Z8" i="51"/>
  <c r="Z12" i="51" s="1"/>
  <c r="AH8" i="51"/>
  <c r="AH12" i="51" s="1"/>
  <c r="AP8" i="51"/>
  <c r="AP12" i="51" s="1"/>
  <c r="AX8" i="51"/>
  <c r="AX12" i="51" s="1"/>
  <c r="BF8" i="51"/>
  <c r="BF12" i="51" s="1"/>
  <c r="BO5" i="44"/>
  <c r="BO8" i="44" s="1"/>
  <c r="K5" i="44"/>
  <c r="K8" i="44" s="1"/>
  <c r="S5" i="44"/>
  <c r="S8" i="44" s="1"/>
  <c r="AA5" i="44"/>
  <c r="AA8" i="44" s="1"/>
  <c r="AI5" i="44"/>
  <c r="AI8" i="44" s="1"/>
  <c r="AQ5" i="44"/>
  <c r="AQ8" i="44" s="1"/>
  <c r="AY5" i="44"/>
  <c r="AY8" i="44" s="1"/>
  <c r="BI4" i="44"/>
  <c r="BI7" i="44" s="1"/>
  <c r="M4" i="44"/>
  <c r="M7" i="44" s="1"/>
  <c r="U4" i="44"/>
  <c r="U7" i="44" s="1"/>
  <c r="AC4" i="44"/>
  <c r="AC7" i="44" s="1"/>
  <c r="AK4" i="44"/>
  <c r="AK7" i="44" s="1"/>
  <c r="AS4" i="44"/>
  <c r="AS7" i="44" s="1"/>
  <c r="BA4" i="44"/>
  <c r="BA7" i="44" s="1"/>
  <c r="BN8" i="38"/>
  <c r="BN12" i="38" s="1"/>
  <c r="BK4" i="35"/>
  <c r="BK8" i="35" s="1"/>
  <c r="BL5" i="45"/>
  <c r="BL9" i="45" s="1"/>
  <c r="BL11" i="45" s="1"/>
  <c r="BL16" i="45" s="1"/>
  <c r="BM5" i="32"/>
  <c r="BM10" i="32" s="1"/>
  <c r="BN4" i="31"/>
  <c r="BN9" i="31" s="1"/>
  <c r="BK5" i="57"/>
  <c r="BK8" i="57" s="1"/>
  <c r="BL6" i="28"/>
  <c r="BL9" i="28" s="1"/>
  <c r="BM6" i="23"/>
  <c r="BM9" i="23" s="1"/>
  <c r="BL7" i="41"/>
  <c r="BL10" i="41" s="1"/>
  <c r="AF8" i="51"/>
  <c r="AF12" i="51" s="1"/>
  <c r="Q5" i="44"/>
  <c r="Q8" i="44" s="1"/>
  <c r="S4" i="44"/>
  <c r="S7" i="44" s="1"/>
  <c r="BK5" i="32"/>
  <c r="BK10" i="32" s="1"/>
  <c r="BK6" i="23"/>
  <c r="BK9" i="23" s="1"/>
  <c r="BK7" i="41"/>
  <c r="BK10" i="41" s="1"/>
  <c r="BM4" i="40"/>
  <c r="BM7" i="40" s="1"/>
  <c r="BM9" i="40" s="1"/>
  <c r="BK6" i="2"/>
  <c r="BL6" i="11"/>
  <c r="BL9" i="11" s="1"/>
  <c r="BL10" i="11" s="1"/>
  <c r="BL15" i="11" s="1"/>
  <c r="BK8" i="17"/>
  <c r="BK12" i="17" s="1"/>
  <c r="BK8" i="16"/>
  <c r="BK11" i="16" s="1"/>
  <c r="BM5" i="26"/>
  <c r="BM8" i="26" s="1"/>
  <c r="BK8" i="25"/>
  <c r="BK11" i="25" s="1"/>
  <c r="BK8" i="36"/>
  <c r="BK11" i="36" s="1"/>
  <c r="BL7" i="14"/>
  <c r="BL10" i="14" s="1"/>
  <c r="BM7" i="13"/>
  <c r="BM11" i="13" s="1"/>
  <c r="BN7" i="50"/>
  <c r="BN11" i="50" s="1"/>
  <c r="AN8" i="51"/>
  <c r="AN12" i="51" s="1"/>
  <c r="Y5" i="44"/>
  <c r="Y8" i="44" s="1"/>
  <c r="AA4" i="44"/>
  <c r="AA7" i="44" s="1"/>
  <c r="BM6" i="57"/>
  <c r="BM9" i="57" s="1"/>
  <c r="BL6" i="23"/>
  <c r="BL9" i="23" s="1"/>
  <c r="BL6" i="2"/>
  <c r="BM6" i="11"/>
  <c r="BM9" i="11" s="1"/>
  <c r="BM10" i="11" s="1"/>
  <c r="BM15" i="11" s="1"/>
  <c r="BL8" i="17"/>
  <c r="BL12" i="17" s="1"/>
  <c r="BL8" i="16"/>
  <c r="BL11" i="16" s="1"/>
  <c r="BK6" i="26"/>
  <c r="BK9" i="26" s="1"/>
  <c r="BL8" i="25"/>
  <c r="BL11" i="25" s="1"/>
  <c r="BL8" i="36"/>
  <c r="BL11" i="36" s="1"/>
  <c r="BM7" i="14"/>
  <c r="BM10" i="14" s="1"/>
  <c r="BK8" i="13"/>
  <c r="BK12" i="13" s="1"/>
  <c r="BE5" i="44"/>
  <c r="BE8" i="44" s="1"/>
  <c r="BN7" i="16"/>
  <c r="BN10" i="16" s="1"/>
  <c r="BJ8" i="51"/>
  <c r="BJ12" i="51" s="1"/>
  <c r="AV8" i="51"/>
  <c r="AV12" i="51" s="1"/>
  <c r="BM7" i="39"/>
  <c r="BM9" i="39" s="1"/>
  <c r="BM10" i="39" s="1"/>
  <c r="AG5" i="44"/>
  <c r="AG8" i="44" s="1"/>
  <c r="AI4" i="44"/>
  <c r="AI7" i="44" s="1"/>
  <c r="BO6" i="23"/>
  <c r="BO9" i="23" s="1"/>
  <c r="BL6" i="10"/>
  <c r="BL9" i="10" s="1"/>
  <c r="BM8" i="17"/>
  <c r="BM12" i="17" s="1"/>
  <c r="BK6" i="15"/>
  <c r="BK9" i="15" s="1"/>
  <c r="BK7" i="16"/>
  <c r="BK10" i="16" s="1"/>
  <c r="BM8" i="16"/>
  <c r="BM11" i="16" s="1"/>
  <c r="BL6" i="26"/>
  <c r="BL9" i="26" s="1"/>
  <c r="BM8" i="25"/>
  <c r="BM11" i="25" s="1"/>
  <c r="BM8" i="36"/>
  <c r="BM11" i="36" s="1"/>
  <c r="BN7" i="14"/>
  <c r="BN10" i="14" s="1"/>
  <c r="BL8" i="13"/>
  <c r="BL12" i="13" s="1"/>
  <c r="BL6" i="14"/>
  <c r="BL9" i="14" s="1"/>
  <c r="BM7" i="17"/>
  <c r="BM11" i="17" s="1"/>
  <c r="BD8" i="51"/>
  <c r="BD12" i="51" s="1"/>
  <c r="AO5" i="44"/>
  <c r="AO8" i="44" s="1"/>
  <c r="AQ4" i="44"/>
  <c r="AQ7" i="44" s="1"/>
  <c r="BN7" i="23"/>
  <c r="BN10" i="23" s="1"/>
  <c r="BL8" i="18"/>
  <c r="BL11" i="18" s="1"/>
  <c r="BM6" i="10"/>
  <c r="BM9" i="10" s="1"/>
  <c r="BK7" i="17"/>
  <c r="BK11" i="17" s="1"/>
  <c r="BN8" i="17"/>
  <c r="BN12" i="17" s="1"/>
  <c r="BL6" i="15"/>
  <c r="BL9" i="15" s="1"/>
  <c r="BL7" i="16"/>
  <c r="BL10" i="16" s="1"/>
  <c r="BM6" i="26"/>
  <c r="BM9" i="26" s="1"/>
  <c r="BK6" i="14"/>
  <c r="BK9" i="14" s="1"/>
  <c r="BM8" i="13"/>
  <c r="BM12" i="13" s="1"/>
  <c r="BL7" i="17"/>
  <c r="BL11" i="17" s="1"/>
  <c r="BM7" i="16"/>
  <c r="BM10" i="16" s="1"/>
  <c r="BM7" i="10"/>
  <c r="BM6" i="14"/>
  <c r="BM9" i="14" s="1"/>
  <c r="AW5" i="44"/>
  <c r="AW8" i="44" s="1"/>
  <c r="AY4" i="44"/>
  <c r="AY7" i="44" s="1"/>
  <c r="BO7" i="23"/>
  <c r="BO10" i="23" s="1"/>
  <c r="BM9" i="18"/>
  <c r="BM12" i="18" s="1"/>
  <c r="BK7" i="10"/>
  <c r="BO8" i="17"/>
  <c r="BO12" i="17" s="1"/>
  <c r="BM6" i="15"/>
  <c r="BM9" i="15" s="1"/>
  <c r="BL4" i="31"/>
  <c r="BL9" i="31" s="1"/>
  <c r="P8" i="51"/>
  <c r="P12" i="51" s="1"/>
  <c r="BM5" i="44"/>
  <c r="BM8" i="44" s="1"/>
  <c r="BK4" i="40"/>
  <c r="BK7" i="40" s="1"/>
  <c r="BK9" i="40" s="1"/>
  <c r="BL5" i="5"/>
  <c r="BL8" i="5" s="1"/>
  <c r="BN7" i="17"/>
  <c r="BN11" i="17" s="1"/>
  <c r="BK5" i="26"/>
  <c r="BK8" i="26" s="1"/>
  <c r="BL7" i="25"/>
  <c r="BL10" i="25" s="1"/>
  <c r="BN6" i="14"/>
  <c r="BN9" i="14" s="1"/>
  <c r="BK7" i="13"/>
  <c r="BK11" i="13" s="1"/>
  <c r="BK5" i="5"/>
  <c r="BK8" i="5" s="1"/>
  <c r="BN6" i="15"/>
  <c r="BN9" i="15" s="1"/>
  <c r="BK7" i="25"/>
  <c r="BK10" i="25" s="1"/>
  <c r="X8" i="51"/>
  <c r="X12" i="51" s="1"/>
  <c r="BG5" i="44"/>
  <c r="BG8" i="44" s="1"/>
  <c r="K4" i="44"/>
  <c r="K7" i="44" s="1"/>
  <c r="BL8" i="38"/>
  <c r="BL12" i="38" s="1"/>
  <c r="BL8" i="29"/>
  <c r="BL12" i="29" s="1"/>
  <c r="BL4" i="40"/>
  <c r="BL7" i="40" s="1"/>
  <c r="BL9" i="40" s="1"/>
  <c r="BK6" i="11"/>
  <c r="BK9" i="11" s="1"/>
  <c r="BK10" i="11" s="1"/>
  <c r="BK15" i="11" s="1"/>
  <c r="BO7" i="17"/>
  <c r="BO11" i="17" s="1"/>
  <c r="BL5" i="26"/>
  <c r="BL8" i="26" s="1"/>
  <c r="BM7" i="25"/>
  <c r="BM10" i="25" s="1"/>
  <c r="BM7" i="36"/>
  <c r="BM10" i="36" s="1"/>
  <c r="BK7" i="14"/>
  <c r="BK10" i="14" s="1"/>
  <c r="BL7" i="13"/>
  <c r="BL11" i="13" s="1"/>
  <c r="BK7" i="36"/>
  <c r="BK10" i="36" s="1"/>
  <c r="BN12" i="70"/>
  <c r="BO12" i="70"/>
  <c r="BL11" i="70"/>
  <c r="BL20" i="70" s="1"/>
  <c r="BM11" i="70"/>
  <c r="BM20" i="70" s="1"/>
  <c r="BN11" i="70"/>
  <c r="BN20" i="70" s="1"/>
  <c r="BO8" i="70"/>
  <c r="BO7" i="70"/>
  <c r="BO17" i="70" s="1"/>
  <c r="BL12" i="70"/>
  <c r="BO11" i="70"/>
  <c r="BO20" i="70" s="1"/>
  <c r="BM12" i="70"/>
  <c r="BL7" i="70"/>
  <c r="BL17" i="70" s="1"/>
  <c r="BN7" i="70"/>
  <c r="BN17" i="70" s="1"/>
  <c r="BL8" i="70"/>
  <c r="BM8" i="70"/>
  <c r="BN8" i="70"/>
  <c r="AR12" i="70"/>
  <c r="AZ12" i="70"/>
  <c r="AZ14" i="70" s="1"/>
  <c r="BH12" i="70"/>
  <c r="BH14" i="70" s="1"/>
  <c r="AE12" i="70"/>
  <c r="AL12" i="70"/>
  <c r="BJ12" i="70"/>
  <c r="BJ14" i="70" s="1"/>
  <c r="AV12" i="70"/>
  <c r="AW12" i="70"/>
  <c r="AX12" i="70"/>
  <c r="AK12" i="70"/>
  <c r="AQ12" i="70"/>
  <c r="AS12" i="70"/>
  <c r="BA12" i="70"/>
  <c r="BA14" i="70" s="1"/>
  <c r="BI12" i="70"/>
  <c r="BI14" i="70" s="1"/>
  <c r="AF12" i="70"/>
  <c r="AT12" i="70"/>
  <c r="BB12" i="70"/>
  <c r="BB14" i="70" s="1"/>
  <c r="AG12" i="70"/>
  <c r="AO12" i="70"/>
  <c r="BF12" i="70"/>
  <c r="BF14" i="70" s="1"/>
  <c r="AY12" i="70"/>
  <c r="AY14" i="70" s="1"/>
  <c r="AD12" i="70"/>
  <c r="AD14" i="70" s="1"/>
  <c r="AM12" i="70"/>
  <c r="AU12" i="70"/>
  <c r="BC12" i="70"/>
  <c r="BC14" i="70" s="1"/>
  <c r="BK12" i="70"/>
  <c r="BK14" i="70" s="1"/>
  <c r="AH12" i="70"/>
  <c r="AN12" i="70"/>
  <c r="BD12" i="70"/>
  <c r="BD14" i="70" s="1"/>
  <c r="AI12" i="70"/>
  <c r="BE12" i="70"/>
  <c r="BE14" i="70" s="1"/>
  <c r="AJ12" i="70"/>
  <c r="AP12" i="70"/>
  <c r="BG12" i="70"/>
  <c r="BG14" i="70" s="1"/>
  <c r="BJ7" i="70"/>
  <c r="BJ17" i="70" s="1"/>
  <c r="BH7" i="70"/>
  <c r="BH17" i="70" s="1"/>
  <c r="Q11" i="70"/>
  <c r="Y11" i="70"/>
  <c r="AG11" i="70"/>
  <c r="AG20" i="70" s="1"/>
  <c r="AO11" i="70"/>
  <c r="AO20" i="70" s="1"/>
  <c r="AW11" i="70"/>
  <c r="AW20" i="70" s="1"/>
  <c r="BE11" i="70"/>
  <c r="BE20" i="70" s="1"/>
  <c r="K7" i="70"/>
  <c r="K13" i="70" s="1"/>
  <c r="S7" i="70"/>
  <c r="S13" i="70" s="1"/>
  <c r="AA7" i="70"/>
  <c r="AA13" i="70" s="1"/>
  <c r="AI7" i="70"/>
  <c r="AI17" i="70" s="1"/>
  <c r="AQ7" i="70"/>
  <c r="AQ17" i="70" s="1"/>
  <c r="AY7" i="70"/>
  <c r="AY17" i="70" s="1"/>
  <c r="BG7" i="70"/>
  <c r="BG17" i="70" s="1"/>
  <c r="BK7" i="70"/>
  <c r="BK17" i="70" s="1"/>
  <c r="J11" i="70"/>
  <c r="R11" i="70"/>
  <c r="Z11" i="70"/>
  <c r="AH11" i="70"/>
  <c r="AH20" i="70" s="1"/>
  <c r="AP11" i="70"/>
  <c r="AP20" i="70" s="1"/>
  <c r="AX11" i="70"/>
  <c r="AX20" i="70" s="1"/>
  <c r="BF11" i="70"/>
  <c r="BF20" i="70" s="1"/>
  <c r="L7" i="70"/>
  <c r="L13" i="70" s="1"/>
  <c r="T7" i="70"/>
  <c r="T13" i="70" s="1"/>
  <c r="AB7" i="70"/>
  <c r="AB13" i="70" s="1"/>
  <c r="AJ7" i="70"/>
  <c r="AJ17" i="70" s="1"/>
  <c r="AR7" i="70"/>
  <c r="AR17" i="70" s="1"/>
  <c r="AZ7" i="70"/>
  <c r="AZ17" i="70" s="1"/>
  <c r="I7" i="70"/>
  <c r="I13" i="70" s="1"/>
  <c r="BK11" i="70"/>
  <c r="BK20" i="70" s="1"/>
  <c r="R7" i="70"/>
  <c r="R13" i="70" s="1"/>
  <c r="K11" i="70"/>
  <c r="S11" i="70"/>
  <c r="AA11" i="70"/>
  <c r="AI11" i="70"/>
  <c r="AI20" i="70" s="1"/>
  <c r="AQ11" i="70"/>
  <c r="AQ20" i="70" s="1"/>
  <c r="AY11" i="70"/>
  <c r="AY20" i="70" s="1"/>
  <c r="BG11" i="70"/>
  <c r="BG20" i="70" s="1"/>
  <c r="M7" i="70"/>
  <c r="M13" i="70" s="1"/>
  <c r="U7" i="70"/>
  <c r="U13" i="70" s="1"/>
  <c r="AC7" i="70"/>
  <c r="AC13" i="70" s="1"/>
  <c r="AK7" i="70"/>
  <c r="AK17" i="70" s="1"/>
  <c r="AS7" i="70"/>
  <c r="AS17" i="70" s="1"/>
  <c r="BA7" i="70"/>
  <c r="BA17" i="70" s="1"/>
  <c r="BI7" i="70"/>
  <c r="BI17" i="70" s="1"/>
  <c r="Z7" i="70"/>
  <c r="Z13" i="70" s="1"/>
  <c r="BF7" i="70"/>
  <c r="BF17" i="70" s="1"/>
  <c r="L11" i="70"/>
  <c r="T11" i="70"/>
  <c r="AB11" i="70"/>
  <c r="AJ11" i="70"/>
  <c r="AJ20" i="70" s="1"/>
  <c r="AR11" i="70"/>
  <c r="AR20" i="70" s="1"/>
  <c r="AZ11" i="70"/>
  <c r="AZ20" i="70" s="1"/>
  <c r="I11" i="70"/>
  <c r="N7" i="70"/>
  <c r="N13" i="70" s="1"/>
  <c r="V7" i="70"/>
  <c r="V13" i="70" s="1"/>
  <c r="AD7" i="70"/>
  <c r="AD17" i="70" s="1"/>
  <c r="AL7" i="70"/>
  <c r="AL17" i="70" s="1"/>
  <c r="AT7" i="70"/>
  <c r="AT17" i="70" s="1"/>
  <c r="BB7" i="70"/>
  <c r="BB17" i="70" s="1"/>
  <c r="I8" i="70"/>
  <c r="AN11" i="70"/>
  <c r="AN20" i="70" s="1"/>
  <c r="AH7" i="70"/>
  <c r="AH17" i="70" s="1"/>
  <c r="M11" i="70"/>
  <c r="U11" i="70"/>
  <c r="AC11" i="70"/>
  <c r="AK11" i="70"/>
  <c r="AK20" i="70" s="1"/>
  <c r="AS11" i="70"/>
  <c r="AS20" i="70" s="1"/>
  <c r="BA11" i="70"/>
  <c r="BA20" i="70" s="1"/>
  <c r="O7" i="70"/>
  <c r="O13" i="70" s="1"/>
  <c r="W7" i="70"/>
  <c r="W13" i="70" s="1"/>
  <c r="AE7" i="70"/>
  <c r="AE17" i="70" s="1"/>
  <c r="AM7" i="70"/>
  <c r="AM17" i="70" s="1"/>
  <c r="AU7" i="70"/>
  <c r="AU17" i="70" s="1"/>
  <c r="BC7" i="70"/>
  <c r="BC17" i="70" s="1"/>
  <c r="AF11" i="70"/>
  <c r="AF20" i="70" s="1"/>
  <c r="J7" i="70"/>
  <c r="J13" i="70" s="1"/>
  <c r="BI11" i="70"/>
  <c r="BI20" i="70" s="1"/>
  <c r="BH11" i="70"/>
  <c r="BH20" i="70" s="1"/>
  <c r="N11" i="70"/>
  <c r="V11" i="70"/>
  <c r="AD11" i="70"/>
  <c r="AD20" i="70" s="1"/>
  <c r="AL11" i="70"/>
  <c r="AL20" i="70" s="1"/>
  <c r="AT11" i="70"/>
  <c r="AT20" i="70" s="1"/>
  <c r="BB11" i="70"/>
  <c r="BB20" i="70" s="1"/>
  <c r="P7" i="70"/>
  <c r="P13" i="70" s="1"/>
  <c r="X7" i="70"/>
  <c r="X13" i="70" s="1"/>
  <c r="AF7" i="70"/>
  <c r="AF17" i="70" s="1"/>
  <c r="AN7" i="70"/>
  <c r="AN17" i="70" s="1"/>
  <c r="AV7" i="70"/>
  <c r="AV17" i="70" s="1"/>
  <c r="BD7" i="70"/>
  <c r="BD17" i="70" s="1"/>
  <c r="X11" i="70"/>
  <c r="AV11" i="70"/>
  <c r="AV20" i="70" s="1"/>
  <c r="AP7" i="70"/>
  <c r="AP17" i="70" s="1"/>
  <c r="BJ11" i="70"/>
  <c r="BJ20" i="70" s="1"/>
  <c r="O11" i="70"/>
  <c r="W11" i="70"/>
  <c r="AE11" i="70"/>
  <c r="AE20" i="70" s="1"/>
  <c r="AM11" i="70"/>
  <c r="AM20" i="70" s="1"/>
  <c r="AU11" i="70"/>
  <c r="AU20" i="70" s="1"/>
  <c r="BC11" i="70"/>
  <c r="BC20" i="70" s="1"/>
  <c r="Q7" i="70"/>
  <c r="Q13" i="70" s="1"/>
  <c r="Y7" i="70"/>
  <c r="Y13" i="70" s="1"/>
  <c r="AG7" i="70"/>
  <c r="AG17" i="70" s="1"/>
  <c r="AO7" i="70"/>
  <c r="AO17" i="70" s="1"/>
  <c r="AW7" i="70"/>
  <c r="AW17" i="70" s="1"/>
  <c r="BE7" i="70"/>
  <c r="BE17" i="70" s="1"/>
  <c r="P11" i="70"/>
  <c r="BD11" i="70"/>
  <c r="BD20" i="70" s="1"/>
  <c r="AX7" i="70"/>
  <c r="AX17" i="70" s="1"/>
  <c r="AK8" i="70"/>
  <c r="AS8" i="70"/>
  <c r="BA8" i="70"/>
  <c r="M8" i="70"/>
  <c r="U8" i="70"/>
  <c r="AC8" i="70"/>
  <c r="Q8" i="70"/>
  <c r="AX8" i="70"/>
  <c r="BH8" i="70"/>
  <c r="AL8" i="70"/>
  <c r="AT8" i="70"/>
  <c r="BB8" i="70"/>
  <c r="N8" i="70"/>
  <c r="V8" i="70"/>
  <c r="AD8" i="70"/>
  <c r="BF8" i="70"/>
  <c r="AG8" i="70"/>
  <c r="R8" i="70"/>
  <c r="L8" i="70"/>
  <c r="BI8" i="70"/>
  <c r="BG8" i="70"/>
  <c r="AM8" i="70"/>
  <c r="AU8" i="70"/>
  <c r="BD8" i="70"/>
  <c r="O8" i="70"/>
  <c r="W8" i="70"/>
  <c r="AE8" i="70"/>
  <c r="AW8" i="70"/>
  <c r="AP8" i="70"/>
  <c r="T8" i="70"/>
  <c r="BJ8" i="70"/>
  <c r="BC8" i="70"/>
  <c r="AN8" i="70"/>
  <c r="AV8" i="70"/>
  <c r="BE8" i="70"/>
  <c r="P8" i="70"/>
  <c r="X8" i="70"/>
  <c r="AF8" i="70"/>
  <c r="AO8" i="70"/>
  <c r="Y8" i="70"/>
  <c r="Z8" i="70"/>
  <c r="AZ8" i="70"/>
  <c r="BK8" i="70"/>
  <c r="AH8" i="70"/>
  <c r="AB8" i="70"/>
  <c r="J8" i="70"/>
  <c r="AJ8" i="70"/>
  <c r="AI8" i="70"/>
  <c r="AQ8" i="70"/>
  <c r="AY8" i="70"/>
  <c r="K8" i="70"/>
  <c r="S8" i="70"/>
  <c r="AA8" i="70"/>
  <c r="I8" i="62"/>
  <c r="I11" i="62" s="1"/>
  <c r="AR8" i="70"/>
  <c r="BP7" i="67"/>
  <c r="BP10" i="67" s="1"/>
  <c r="BP13" i="67" s="1"/>
  <c r="BP18" i="67" s="1"/>
  <c r="BL8" i="66"/>
  <c r="BL11" i="66" s="1"/>
  <c r="BN7" i="63"/>
  <c r="BN10" i="63" s="1"/>
  <c r="BN7" i="58"/>
  <c r="BN12" i="58" s="1"/>
  <c r="BO8" i="52"/>
  <c r="BO12" i="52" s="1"/>
  <c r="BO7" i="49"/>
  <c r="BO11" i="49" s="1"/>
  <c r="BO8" i="49"/>
  <c r="BO10" i="49" s="1"/>
  <c r="BO7" i="46"/>
  <c r="BO9" i="46" s="1"/>
  <c r="BO10" i="46" s="1"/>
  <c r="BM8" i="54"/>
  <c r="BM12" i="54" s="1"/>
  <c r="BN7" i="55"/>
  <c r="BN11" i="55" s="1"/>
  <c r="BK7" i="46"/>
  <c r="BK9" i="46" s="1"/>
  <c r="BK10" i="46" s="1"/>
  <c r="BJ5" i="32"/>
  <c r="BJ10" i="32" s="1"/>
  <c r="BJ6" i="23"/>
  <c r="BJ9" i="23" s="1"/>
  <c r="BJ7" i="10"/>
  <c r="BJ5" i="5"/>
  <c r="BJ8" i="5" s="1"/>
  <c r="BJ6" i="26"/>
  <c r="BJ9" i="26" s="1"/>
  <c r="BJ7" i="14"/>
  <c r="BJ10" i="14" s="1"/>
  <c r="BM7" i="63"/>
  <c r="BM10" i="63" s="1"/>
  <c r="BK7" i="66"/>
  <c r="BK10" i="66" s="1"/>
  <c r="BM8" i="66"/>
  <c r="BM11" i="66" s="1"/>
  <c r="BK7" i="62"/>
  <c r="BK10" i="62" s="1"/>
  <c r="BL7" i="52"/>
  <c r="BL11" i="52" s="1"/>
  <c r="BP7" i="49"/>
  <c r="BP11" i="49" s="1"/>
  <c r="BP8" i="49"/>
  <c r="BP10" i="49" s="1"/>
  <c r="BO7" i="55"/>
  <c r="BO11" i="55" s="1"/>
  <c r="BK7" i="49"/>
  <c r="BK11" i="49" s="1"/>
  <c r="BK8" i="38"/>
  <c r="BK12" i="38" s="1"/>
  <c r="BJ6" i="32"/>
  <c r="BJ11" i="32" s="1"/>
  <c r="BJ6" i="28"/>
  <c r="BJ9" i="28" s="1"/>
  <c r="BJ7" i="23"/>
  <c r="BJ10" i="23" s="1"/>
  <c r="BJ4" i="40"/>
  <c r="BJ7" i="40" s="1"/>
  <c r="BJ9" i="40" s="1"/>
  <c r="BJ7" i="25"/>
  <c r="BJ10" i="25" s="1"/>
  <c r="BJ8" i="13"/>
  <c r="BJ12" i="13" s="1"/>
  <c r="BK8" i="66"/>
  <c r="BK11" i="66" s="1"/>
  <c r="BN8" i="49"/>
  <c r="BN10" i="49" s="1"/>
  <c r="BP8" i="55"/>
  <c r="BP12" i="55" s="1"/>
  <c r="BJ6" i="10"/>
  <c r="BJ9" i="10" s="1"/>
  <c r="BL7" i="66"/>
  <c r="BL10" i="66" s="1"/>
  <c r="BN8" i="66"/>
  <c r="BN11" i="66" s="1"/>
  <c r="BK8" i="60"/>
  <c r="BK10" i="60" s="1"/>
  <c r="BM7" i="52"/>
  <c r="BM11" i="52" s="1"/>
  <c r="BQ7" i="49"/>
  <c r="BQ11" i="49" s="1"/>
  <c r="BQ8" i="49"/>
  <c r="BQ10" i="49" s="1"/>
  <c r="BP7" i="55"/>
  <c r="BP11" i="55" s="1"/>
  <c r="BK8" i="49"/>
  <c r="BK10" i="49" s="1"/>
  <c r="BK9" i="38"/>
  <c r="BK13" i="38" s="1"/>
  <c r="BJ7" i="28"/>
  <c r="BJ10" i="28" s="1"/>
  <c r="BJ6" i="20"/>
  <c r="BJ9" i="20" s="1"/>
  <c r="BJ7" i="17"/>
  <c r="BJ11" i="17" s="1"/>
  <c r="BJ8" i="25"/>
  <c r="BJ11" i="25" s="1"/>
  <c r="BO8" i="58"/>
  <c r="BO13" i="58" s="1"/>
  <c r="BN7" i="46"/>
  <c r="BN9" i="46" s="1"/>
  <c r="BN10" i="46" s="1"/>
  <c r="BK7" i="67"/>
  <c r="BK10" i="67" s="1"/>
  <c r="BK13" i="67" s="1"/>
  <c r="BK18" i="67" s="1"/>
  <c r="BM7" i="66"/>
  <c r="BM10" i="66" s="1"/>
  <c r="BO8" i="66"/>
  <c r="BO11" i="66" s="1"/>
  <c r="BM7" i="62"/>
  <c r="BM10" i="62" s="1"/>
  <c r="BK7" i="61"/>
  <c r="BK10" i="61" s="1"/>
  <c r="BK12" i="61" s="1"/>
  <c r="BK13" i="61" s="1"/>
  <c r="BK14" i="61" s="1"/>
  <c r="BK15" i="61" s="1"/>
  <c r="BK18" i="61" s="1"/>
  <c r="BK20" i="61" s="1"/>
  <c r="BL8" i="60"/>
  <c r="BL10" i="60" s="1"/>
  <c r="BK8" i="58"/>
  <c r="BK13" i="58" s="1"/>
  <c r="BL8" i="52"/>
  <c r="BL12" i="52" s="1"/>
  <c r="BR7" i="49"/>
  <c r="BR11" i="49" s="1"/>
  <c r="BR8" i="49"/>
  <c r="BR10" i="49" s="1"/>
  <c r="BK7" i="54"/>
  <c r="BK11" i="54" s="1"/>
  <c r="BL8" i="55"/>
  <c r="BL12" i="55" s="1"/>
  <c r="BK7" i="50"/>
  <c r="BK11" i="50" s="1"/>
  <c r="BJ4" i="35"/>
  <c r="BJ8" i="35" s="1"/>
  <c r="BJ4" i="31"/>
  <c r="BJ9" i="31" s="1"/>
  <c r="BJ7" i="20"/>
  <c r="BJ10" i="20" s="1"/>
  <c r="BJ6" i="2"/>
  <c r="BJ8" i="17"/>
  <c r="BJ12" i="17" s="1"/>
  <c r="BM7" i="58"/>
  <c r="BM12" i="58" s="1"/>
  <c r="BM7" i="55"/>
  <c r="BM11" i="55" s="1"/>
  <c r="BJ6" i="14"/>
  <c r="BJ9" i="14" s="1"/>
  <c r="BL7" i="67"/>
  <c r="BL10" i="67" s="1"/>
  <c r="BL13" i="67" s="1"/>
  <c r="BL18" i="67" s="1"/>
  <c r="BN7" i="66"/>
  <c r="BN10" i="66" s="1"/>
  <c r="BN7" i="62"/>
  <c r="BN10" i="62" s="1"/>
  <c r="BL7" i="61"/>
  <c r="BL10" i="61" s="1"/>
  <c r="BL12" i="61" s="1"/>
  <c r="BL13" i="61" s="1"/>
  <c r="BL14" i="61" s="1"/>
  <c r="BL15" i="61" s="1"/>
  <c r="BL18" i="61" s="1"/>
  <c r="BL20" i="61" s="1"/>
  <c r="BM8" i="60"/>
  <c r="BM10" i="60" s="1"/>
  <c r="BL8" i="58"/>
  <c r="BL13" i="58" s="1"/>
  <c r="BM8" i="52"/>
  <c r="BM12" i="52" s="1"/>
  <c r="BS7" i="49"/>
  <c r="BS11" i="49" s="1"/>
  <c r="BS8" i="49"/>
  <c r="BS10" i="49" s="1"/>
  <c r="BL7" i="54"/>
  <c r="BL11" i="54" s="1"/>
  <c r="BL7" i="48"/>
  <c r="BL9" i="48" s="1"/>
  <c r="BK7" i="48"/>
  <c r="BK9" i="48" s="1"/>
  <c r="BM8" i="55"/>
  <c r="BM12" i="55" s="1"/>
  <c r="BJ5" i="35"/>
  <c r="BJ9" i="35" s="1"/>
  <c r="BJ8" i="29"/>
  <c r="BJ12" i="29" s="1"/>
  <c r="BJ8" i="18"/>
  <c r="BJ11" i="18" s="1"/>
  <c r="BJ6" i="15"/>
  <c r="BJ9" i="15" s="1"/>
  <c r="BM7" i="67"/>
  <c r="BM10" i="67" s="1"/>
  <c r="BM13" i="67" s="1"/>
  <c r="BM18" i="67" s="1"/>
  <c r="BO7" i="66"/>
  <c r="BO10" i="66" s="1"/>
  <c r="BK7" i="63"/>
  <c r="BK10" i="63" s="1"/>
  <c r="BO7" i="62"/>
  <c r="BO10" i="62" s="1"/>
  <c r="BM7" i="61"/>
  <c r="BM10" i="61" s="1"/>
  <c r="BM12" i="61" s="1"/>
  <c r="BM13" i="61" s="1"/>
  <c r="BM14" i="61" s="1"/>
  <c r="BM15" i="61" s="1"/>
  <c r="BM18" i="61" s="1"/>
  <c r="BM20" i="61" s="1"/>
  <c r="BK7" i="58"/>
  <c r="BK12" i="58" s="1"/>
  <c r="BM8" i="58"/>
  <c r="BM13" i="58" s="1"/>
  <c r="BL7" i="49"/>
  <c r="BL11" i="49" s="1"/>
  <c r="BL8" i="49"/>
  <c r="BL10" i="49" s="1"/>
  <c r="BL7" i="46"/>
  <c r="BL9" i="46" s="1"/>
  <c r="BL10" i="46" s="1"/>
  <c r="BM7" i="54"/>
  <c r="BM11" i="54" s="1"/>
  <c r="BM7" i="48"/>
  <c r="BM9" i="48" s="1"/>
  <c r="BN8" i="55"/>
  <c r="BN12" i="55" s="1"/>
  <c r="BK7" i="55"/>
  <c r="BK11" i="55" s="1"/>
  <c r="BJ5" i="57"/>
  <c r="BJ8" i="57" s="1"/>
  <c r="BJ9" i="18"/>
  <c r="BJ12" i="18" s="1"/>
  <c r="BJ7" i="16"/>
  <c r="BJ10" i="16" s="1"/>
  <c r="BJ7" i="36"/>
  <c r="BJ10" i="36" s="1"/>
  <c r="BN7" i="49"/>
  <c r="BN11" i="49" s="1"/>
  <c r="BO7" i="48"/>
  <c r="BO9" i="48" s="1"/>
  <c r="BJ4" i="32"/>
  <c r="BJ9" i="32" s="1"/>
  <c r="BJ6" i="11"/>
  <c r="BJ9" i="11" s="1"/>
  <c r="BJ10" i="11" s="1"/>
  <c r="BJ15" i="11" s="1"/>
  <c r="BN7" i="67"/>
  <c r="BN10" i="67" s="1"/>
  <c r="BN13" i="67" s="1"/>
  <c r="BN18" i="67" s="1"/>
  <c r="BL7" i="63"/>
  <c r="BL10" i="63" s="1"/>
  <c r="BN7" i="61"/>
  <c r="BN10" i="61" s="1"/>
  <c r="BN12" i="61" s="1"/>
  <c r="BN13" i="61" s="1"/>
  <c r="BN14" i="61" s="1"/>
  <c r="BN15" i="61" s="1"/>
  <c r="BN18" i="61" s="1"/>
  <c r="BN20" i="61" s="1"/>
  <c r="BL7" i="58"/>
  <c r="BL12" i="58" s="1"/>
  <c r="BN8" i="58"/>
  <c r="BN13" i="58" s="1"/>
  <c r="BO7" i="52"/>
  <c r="BO11" i="52" s="1"/>
  <c r="BM7" i="49"/>
  <c r="BM11" i="49" s="1"/>
  <c r="BM8" i="49"/>
  <c r="BM10" i="49" s="1"/>
  <c r="BM7" i="46"/>
  <c r="BM9" i="46" s="1"/>
  <c r="BM10" i="46" s="1"/>
  <c r="BK8" i="54"/>
  <c r="BK12" i="54" s="1"/>
  <c r="BN7" i="48"/>
  <c r="BN9" i="48" s="1"/>
  <c r="BL7" i="55"/>
  <c r="BL11" i="55" s="1"/>
  <c r="BO8" i="55"/>
  <c r="BO12" i="55" s="1"/>
  <c r="BK8" i="55"/>
  <c r="BK12" i="55" s="1"/>
  <c r="BK7" i="39"/>
  <c r="BK9" i="39" s="1"/>
  <c r="BK10" i="39" s="1"/>
  <c r="BJ5" i="45"/>
  <c r="BJ9" i="45" s="1"/>
  <c r="BJ11" i="45" s="1"/>
  <c r="BJ16" i="45" s="1"/>
  <c r="BJ6" i="57"/>
  <c r="BJ9" i="57" s="1"/>
  <c r="BJ7" i="41"/>
  <c r="BJ10" i="41" s="1"/>
  <c r="BJ8" i="16"/>
  <c r="BJ11" i="16" s="1"/>
  <c r="BJ8" i="36"/>
  <c r="BJ11" i="36" s="1"/>
  <c r="BN8" i="52"/>
  <c r="BN12" i="52" s="1"/>
  <c r="BL8" i="54"/>
  <c r="BL12" i="54" s="1"/>
  <c r="BJ5" i="26"/>
  <c r="BJ8" i="26" s="1"/>
  <c r="BI7" i="67"/>
  <c r="BI10" i="67" s="1"/>
  <c r="BI13" i="67" s="1"/>
  <c r="BI18" i="67" s="1"/>
  <c r="BJ8" i="66"/>
  <c r="BJ11" i="66" s="1"/>
  <c r="BI7" i="63"/>
  <c r="BI10" i="63" s="1"/>
  <c r="BG7" i="62"/>
  <c r="BG10" i="62" s="1"/>
  <c r="BH8" i="60"/>
  <c r="BH10" i="60" s="1"/>
  <c r="BH8" i="58"/>
  <c r="BH13" i="58" s="1"/>
  <c r="BJ7" i="48"/>
  <c r="BJ9" i="48" s="1"/>
  <c r="BJ8" i="52"/>
  <c r="BJ12" i="52" s="1"/>
  <c r="BH8" i="54"/>
  <c r="BH12" i="54" s="1"/>
  <c r="L7" i="55"/>
  <c r="L11" i="55" s="1"/>
  <c r="T7" i="55"/>
  <c r="T11" i="55" s="1"/>
  <c r="AB7" i="55"/>
  <c r="AB11" i="55" s="1"/>
  <c r="AJ7" i="55"/>
  <c r="AJ11" i="55" s="1"/>
  <c r="AR7" i="55"/>
  <c r="AR11" i="55" s="1"/>
  <c r="AZ7" i="55"/>
  <c r="AZ11" i="55" s="1"/>
  <c r="BH7" i="55"/>
  <c r="BH11" i="55" s="1"/>
  <c r="Q8" i="55"/>
  <c r="Q12" i="55" s="1"/>
  <c r="Y8" i="55"/>
  <c r="Y12" i="55" s="1"/>
  <c r="AG8" i="55"/>
  <c r="AG12" i="55" s="1"/>
  <c r="AO8" i="55"/>
  <c r="AO12" i="55" s="1"/>
  <c r="AW8" i="55"/>
  <c r="AW12" i="55" s="1"/>
  <c r="BE8" i="55"/>
  <c r="BE12" i="55" s="1"/>
  <c r="BJ7" i="46"/>
  <c r="BJ9" i="46" s="1"/>
  <c r="BJ10" i="46" s="1"/>
  <c r="BG8" i="49"/>
  <c r="BG10" i="49" s="1"/>
  <c r="M7" i="39"/>
  <c r="M9" i="39" s="1"/>
  <c r="M10" i="39" s="1"/>
  <c r="M12" i="39" s="1"/>
  <c r="U7" i="39"/>
  <c r="U9" i="39" s="1"/>
  <c r="U10" i="39" s="1"/>
  <c r="AC7" i="39"/>
  <c r="AC9" i="39" s="1"/>
  <c r="AC10" i="39" s="1"/>
  <c r="AK7" i="39"/>
  <c r="AK9" i="39" s="1"/>
  <c r="AK10" i="39" s="1"/>
  <c r="AS7" i="39"/>
  <c r="AS9" i="39" s="1"/>
  <c r="AS10" i="39" s="1"/>
  <c r="BA7" i="39"/>
  <c r="BA9" i="39" s="1"/>
  <c r="BA10" i="39" s="1"/>
  <c r="BI7" i="39"/>
  <c r="BI9" i="39" s="1"/>
  <c r="BI10" i="39" s="1"/>
  <c r="BJ9" i="38"/>
  <c r="BJ13" i="38" s="1"/>
  <c r="BI5" i="35"/>
  <c r="BI9" i="35" s="1"/>
  <c r="BI5" i="45"/>
  <c r="BI9" i="45" s="1"/>
  <c r="BI11" i="45" s="1"/>
  <c r="BI16" i="45" s="1"/>
  <c r="BI4" i="32"/>
  <c r="BI9" i="32" s="1"/>
  <c r="BH5" i="32"/>
  <c r="BH10" i="32" s="1"/>
  <c r="BF8" i="29"/>
  <c r="BF12" i="29" s="1"/>
  <c r="BF5" i="57"/>
  <c r="BF8" i="57" s="1"/>
  <c r="BF6" i="28"/>
  <c r="BF9" i="28" s="1"/>
  <c r="BI7" i="23"/>
  <c r="BI10" i="23" s="1"/>
  <c r="BI7" i="20"/>
  <c r="BI10" i="20" s="1"/>
  <c r="BI9" i="18"/>
  <c r="BI12" i="18" s="1"/>
  <c r="BJ7" i="67"/>
  <c r="BJ10" i="67" s="1"/>
  <c r="BJ13" i="67" s="1"/>
  <c r="BJ18" i="67" s="1"/>
  <c r="BJ7" i="63"/>
  <c r="BJ10" i="63" s="1"/>
  <c r="BH7" i="61"/>
  <c r="BH10" i="61" s="1"/>
  <c r="BH12" i="61" s="1"/>
  <c r="BH13" i="61" s="1"/>
  <c r="BH14" i="61" s="1"/>
  <c r="BH15" i="61" s="1"/>
  <c r="BH18" i="61" s="1"/>
  <c r="BH20" i="61" s="1"/>
  <c r="BI8" i="60"/>
  <c r="BI10" i="60" s="1"/>
  <c r="BI8" i="58"/>
  <c r="BI13" i="58" s="1"/>
  <c r="BG8" i="58"/>
  <c r="BG13" i="58" s="1"/>
  <c r="BG7" i="48"/>
  <c r="BG9" i="48" s="1"/>
  <c r="BK8" i="52"/>
  <c r="BK12" i="52" s="1"/>
  <c r="BI8" i="54"/>
  <c r="BI12" i="54" s="1"/>
  <c r="M7" i="55"/>
  <c r="M11" i="55" s="1"/>
  <c r="U7" i="55"/>
  <c r="U11" i="55" s="1"/>
  <c r="AC7" i="55"/>
  <c r="AC11" i="55" s="1"/>
  <c r="AK7" i="55"/>
  <c r="AK11" i="55" s="1"/>
  <c r="AS7" i="55"/>
  <c r="AS11" i="55" s="1"/>
  <c r="BA7" i="55"/>
  <c r="BA11" i="55" s="1"/>
  <c r="BI7" i="55"/>
  <c r="BI11" i="55" s="1"/>
  <c r="R8" i="55"/>
  <c r="R12" i="55" s="1"/>
  <c r="Z8" i="55"/>
  <c r="Z12" i="55" s="1"/>
  <c r="AH8" i="55"/>
  <c r="AH12" i="55" s="1"/>
  <c r="AP8" i="55"/>
  <c r="AP12" i="55" s="1"/>
  <c r="AX8" i="55"/>
  <c r="AX12" i="55" s="1"/>
  <c r="BF8" i="55"/>
  <c r="BF12" i="55" s="1"/>
  <c r="BF7" i="46"/>
  <c r="BF9" i="46" s="1"/>
  <c r="BF10" i="46" s="1"/>
  <c r="BG7" i="49"/>
  <c r="BG11" i="49" s="1"/>
  <c r="N7" i="39"/>
  <c r="N9" i="39" s="1"/>
  <c r="N10" i="39" s="1"/>
  <c r="N12" i="39" s="1"/>
  <c r="V7" i="39"/>
  <c r="V9" i="39" s="1"/>
  <c r="V10" i="39" s="1"/>
  <c r="AD7" i="39"/>
  <c r="AD9" i="39" s="1"/>
  <c r="AD10" i="39" s="1"/>
  <c r="AD12" i="39" s="1"/>
  <c r="AL7" i="39"/>
  <c r="AL9" i="39" s="1"/>
  <c r="AL10" i="39" s="1"/>
  <c r="AT7" i="39"/>
  <c r="AT9" i="39" s="1"/>
  <c r="AT10" i="39" s="1"/>
  <c r="AT12" i="39" s="1"/>
  <c r="BB7" i="39"/>
  <c r="BB9" i="39" s="1"/>
  <c r="BB10" i="39" s="1"/>
  <c r="BJ7" i="39"/>
  <c r="BJ9" i="39" s="1"/>
  <c r="BJ10" i="39" s="1"/>
  <c r="BG9" i="38"/>
  <c r="BG13" i="38" s="1"/>
  <c r="BF5" i="35"/>
  <c r="BF5" i="45"/>
  <c r="BF9" i="45" s="1"/>
  <c r="BF11" i="45" s="1"/>
  <c r="BF16" i="45" s="1"/>
  <c r="BF4" i="32"/>
  <c r="BF9" i="32" s="1"/>
  <c r="BI5" i="32"/>
  <c r="BI10" i="32" s="1"/>
  <c r="BG4" i="31"/>
  <c r="BG9" i="31" s="1"/>
  <c r="BH5" i="57"/>
  <c r="BH8" i="57" s="1"/>
  <c r="BG6" i="28"/>
  <c r="BG9" i="28" s="1"/>
  <c r="BF7" i="23"/>
  <c r="BF10" i="23" s="1"/>
  <c r="BF7" i="20"/>
  <c r="BF10" i="20" s="1"/>
  <c r="BG7" i="67"/>
  <c r="BG10" i="67" s="1"/>
  <c r="BG13" i="67" s="1"/>
  <c r="BG18" i="67" s="1"/>
  <c r="BF7" i="63"/>
  <c r="BF10" i="63" s="1"/>
  <c r="BI7" i="61"/>
  <c r="BI10" i="61" s="1"/>
  <c r="BI12" i="61" s="1"/>
  <c r="BI13" i="61" s="1"/>
  <c r="BI14" i="61" s="1"/>
  <c r="BI15" i="61" s="1"/>
  <c r="BI18" i="61" s="1"/>
  <c r="BI20" i="61" s="1"/>
  <c r="BJ8" i="60"/>
  <c r="BJ10" i="60" s="1"/>
  <c r="BJ8" i="58"/>
  <c r="BJ13" i="58" s="1"/>
  <c r="BG7" i="58"/>
  <c r="BG12" i="58" s="1"/>
  <c r="BH7" i="52"/>
  <c r="BH11" i="52" s="1"/>
  <c r="BJ8" i="54"/>
  <c r="BJ12" i="54" s="1"/>
  <c r="N7" i="55"/>
  <c r="N11" i="55" s="1"/>
  <c r="V7" i="55"/>
  <c r="V11" i="55" s="1"/>
  <c r="AD7" i="55"/>
  <c r="AD11" i="55" s="1"/>
  <c r="AL7" i="55"/>
  <c r="AL11" i="55" s="1"/>
  <c r="AT7" i="55"/>
  <c r="AT11" i="55" s="1"/>
  <c r="BB7" i="55"/>
  <c r="BB11" i="55" s="1"/>
  <c r="BJ7" i="55"/>
  <c r="BJ11" i="55" s="1"/>
  <c r="S8" i="55"/>
  <c r="S12" i="55" s="1"/>
  <c r="AA8" i="55"/>
  <c r="AA12" i="55" s="1"/>
  <c r="AI8" i="55"/>
  <c r="AI12" i="55" s="1"/>
  <c r="AQ8" i="55"/>
  <c r="AQ12" i="55" s="1"/>
  <c r="AY8" i="55"/>
  <c r="AY12" i="55" s="1"/>
  <c r="BG8" i="55"/>
  <c r="BG12" i="55" s="1"/>
  <c r="BH7" i="49"/>
  <c r="BH11" i="49" s="1"/>
  <c r="J8" i="49"/>
  <c r="J10" i="49" s="1"/>
  <c r="O7" i="39"/>
  <c r="O9" i="39" s="1"/>
  <c r="O10" i="39" s="1"/>
  <c r="W7" i="39"/>
  <c r="W9" i="39" s="1"/>
  <c r="W10" i="39" s="1"/>
  <c r="AE7" i="39"/>
  <c r="AE9" i="39" s="1"/>
  <c r="AE10" i="39" s="1"/>
  <c r="AM7" i="39"/>
  <c r="AM9" i="39" s="1"/>
  <c r="AM10" i="39" s="1"/>
  <c r="AU7" i="39"/>
  <c r="AU9" i="39" s="1"/>
  <c r="AU10" i="39" s="1"/>
  <c r="BC7" i="39"/>
  <c r="BC9" i="39" s="1"/>
  <c r="BC10" i="39" s="1"/>
  <c r="BC12" i="39" s="1"/>
  <c r="K7" i="39"/>
  <c r="K9" i="39" s="1"/>
  <c r="K10" i="39" s="1"/>
  <c r="BG8" i="38"/>
  <c r="BG12" i="38" s="1"/>
  <c r="BF4" i="35"/>
  <c r="BF8" i="35" s="1"/>
  <c r="BG6" i="32"/>
  <c r="BG11" i="32" s="1"/>
  <c r="BD4" i="32"/>
  <c r="BD9" i="32" s="1"/>
  <c r="BD6" i="32"/>
  <c r="BD11" i="32" s="1"/>
  <c r="BH4" i="31"/>
  <c r="BH9" i="31" s="1"/>
  <c r="BI5" i="57"/>
  <c r="BI8" i="57" s="1"/>
  <c r="BH6" i="28"/>
  <c r="BH9" i="28" s="1"/>
  <c r="BF6" i="23"/>
  <c r="BF9" i="23" s="1"/>
  <c r="BF6" i="20"/>
  <c r="BF9" i="20" s="1"/>
  <c r="BH7" i="66"/>
  <c r="BH10" i="66" s="1"/>
  <c r="BJ7" i="61"/>
  <c r="BJ10" i="61" s="1"/>
  <c r="BJ12" i="61" s="1"/>
  <c r="BJ13" i="61" s="1"/>
  <c r="BJ14" i="61" s="1"/>
  <c r="BJ15" i="61" s="1"/>
  <c r="BJ18" i="61" s="1"/>
  <c r="BJ20" i="61" s="1"/>
  <c r="BG8" i="60"/>
  <c r="BG10" i="60" s="1"/>
  <c r="BI7" i="52"/>
  <c r="BI11" i="52" s="1"/>
  <c r="BG8" i="52"/>
  <c r="BG12" i="52" s="1"/>
  <c r="O7" i="55"/>
  <c r="O11" i="55" s="1"/>
  <c r="W7" i="55"/>
  <c r="W11" i="55" s="1"/>
  <c r="AE7" i="55"/>
  <c r="AE11" i="55" s="1"/>
  <c r="AM7" i="55"/>
  <c r="AM11" i="55" s="1"/>
  <c r="AU7" i="55"/>
  <c r="AU11" i="55" s="1"/>
  <c r="BC7" i="55"/>
  <c r="BC11" i="55" s="1"/>
  <c r="L8" i="55"/>
  <c r="L12" i="55" s="1"/>
  <c r="T8" i="55"/>
  <c r="T12" i="55" s="1"/>
  <c r="AB8" i="55"/>
  <c r="AB12" i="55" s="1"/>
  <c r="AJ8" i="55"/>
  <c r="AJ12" i="55" s="1"/>
  <c r="AR8" i="55"/>
  <c r="AR12" i="55" s="1"/>
  <c r="AZ8" i="55"/>
  <c r="AZ12" i="55" s="1"/>
  <c r="BH8" i="55"/>
  <c r="BH12" i="55" s="1"/>
  <c r="K8" i="55"/>
  <c r="K12" i="55" s="1"/>
  <c r="BI7" i="49"/>
  <c r="BI11" i="49" s="1"/>
  <c r="J7" i="49"/>
  <c r="J11" i="49" s="1"/>
  <c r="BG7" i="50"/>
  <c r="BG11" i="50" s="1"/>
  <c r="P7" i="39"/>
  <c r="P9" i="39" s="1"/>
  <c r="P10" i="39" s="1"/>
  <c r="X7" i="39"/>
  <c r="X9" i="39" s="1"/>
  <c r="X10" i="39" s="1"/>
  <c r="X12" i="39" s="1"/>
  <c r="AF7" i="39"/>
  <c r="AF9" i="39" s="1"/>
  <c r="AF10" i="39" s="1"/>
  <c r="AF12" i="39" s="1"/>
  <c r="AN7" i="39"/>
  <c r="AN9" i="39" s="1"/>
  <c r="AN10" i="39" s="1"/>
  <c r="AN12" i="39" s="1"/>
  <c r="AV7" i="39"/>
  <c r="AV9" i="39" s="1"/>
  <c r="AV10" i="39" s="1"/>
  <c r="AV12" i="39" s="1"/>
  <c r="BD7" i="39"/>
  <c r="BD9" i="39" s="1"/>
  <c r="BD10" i="39" s="1"/>
  <c r="BH8" i="38"/>
  <c r="BH12" i="38" s="1"/>
  <c r="BG4" i="35"/>
  <c r="BG8" i="35" s="1"/>
  <c r="BH6" i="32"/>
  <c r="BH11" i="32" s="1"/>
  <c r="BE4" i="32"/>
  <c r="BE9" i="32" s="1"/>
  <c r="BE6" i="32"/>
  <c r="BE11" i="32" s="1"/>
  <c r="BC5" i="32"/>
  <c r="BC10" i="32" s="1"/>
  <c r="BI4" i="31"/>
  <c r="BI9" i="31" s="1"/>
  <c r="BH6" i="57"/>
  <c r="BH9" i="57" s="1"/>
  <c r="BI6" i="28"/>
  <c r="BI9" i="28" s="1"/>
  <c r="BG6" i="23"/>
  <c r="BG9" i="23" s="1"/>
  <c r="BG6" i="20"/>
  <c r="BG9" i="20" s="1"/>
  <c r="BG8" i="18"/>
  <c r="BG11" i="18" s="1"/>
  <c r="BH8" i="66"/>
  <c r="BH11" i="66" s="1"/>
  <c r="BG7" i="63"/>
  <c r="BG10" i="63" s="1"/>
  <c r="BI7" i="62"/>
  <c r="BI10" i="62" s="1"/>
  <c r="BI7" i="58"/>
  <c r="BI12" i="58" s="1"/>
  <c r="BH7" i="48"/>
  <c r="BH9" i="48" s="1"/>
  <c r="BH8" i="52"/>
  <c r="BH12" i="52" s="1"/>
  <c r="BI7" i="54"/>
  <c r="BI11" i="54" s="1"/>
  <c r="BG8" i="54"/>
  <c r="BG12" i="54" s="1"/>
  <c r="R7" i="55"/>
  <c r="R11" i="55" s="1"/>
  <c r="Z7" i="55"/>
  <c r="Z11" i="55" s="1"/>
  <c r="AH7" i="55"/>
  <c r="AH11" i="55" s="1"/>
  <c r="AP7" i="55"/>
  <c r="AP11" i="55" s="1"/>
  <c r="AX7" i="55"/>
  <c r="AX11" i="55" s="1"/>
  <c r="BF7" i="55"/>
  <c r="BF11" i="55" s="1"/>
  <c r="O8" i="55"/>
  <c r="O12" i="55" s="1"/>
  <c r="W8" i="55"/>
  <c r="W12" i="55" s="1"/>
  <c r="AE8" i="55"/>
  <c r="AE12" i="55" s="1"/>
  <c r="AM8" i="55"/>
  <c r="AM12" i="55" s="1"/>
  <c r="AU8" i="55"/>
  <c r="AU12" i="55" s="1"/>
  <c r="BC8" i="55"/>
  <c r="BC12" i="55" s="1"/>
  <c r="BH7" i="46"/>
  <c r="BH9" i="46" s="1"/>
  <c r="BH10" i="46" s="1"/>
  <c r="BI8" i="49"/>
  <c r="BI10" i="49" s="1"/>
  <c r="BJ7" i="50"/>
  <c r="BJ11" i="50" s="1"/>
  <c r="S7" i="39"/>
  <c r="S9" i="39" s="1"/>
  <c r="S10" i="39" s="1"/>
  <c r="S12" i="39" s="1"/>
  <c r="AA7" i="39"/>
  <c r="AA9" i="39" s="1"/>
  <c r="AA10" i="39" s="1"/>
  <c r="AA12" i="39" s="1"/>
  <c r="AI7" i="39"/>
  <c r="AI9" i="39" s="1"/>
  <c r="AI10" i="39" s="1"/>
  <c r="AI12" i="39" s="1"/>
  <c r="AQ7" i="39"/>
  <c r="AQ9" i="39" s="1"/>
  <c r="AQ10" i="39" s="1"/>
  <c r="AY7" i="39"/>
  <c r="AY9" i="39" s="1"/>
  <c r="AY10" i="39" s="1"/>
  <c r="AY12" i="39" s="1"/>
  <c r="BG7" i="39"/>
  <c r="BG9" i="39" s="1"/>
  <c r="BG10" i="39" s="1"/>
  <c r="BH9" i="38"/>
  <c r="BH13" i="38" s="1"/>
  <c r="BG5" i="35"/>
  <c r="BG9" i="35" s="1"/>
  <c r="BG5" i="45"/>
  <c r="BG9" i="45" s="1"/>
  <c r="BG11" i="45" s="1"/>
  <c r="BG16" i="45" s="1"/>
  <c r="BG4" i="32"/>
  <c r="BG9" i="32" s="1"/>
  <c r="BF5" i="32"/>
  <c r="BF10" i="32" s="1"/>
  <c r="BH8" i="29"/>
  <c r="BH12" i="29" s="1"/>
  <c r="BG6" i="57"/>
  <c r="BG9" i="57" s="1"/>
  <c r="BI7" i="28"/>
  <c r="BI10" i="28" s="1"/>
  <c r="BG7" i="23"/>
  <c r="BG10" i="23" s="1"/>
  <c r="BH7" i="67"/>
  <c r="BH10" i="67" s="1"/>
  <c r="BH13" i="67" s="1"/>
  <c r="BH18" i="67" s="1"/>
  <c r="BI8" i="66"/>
  <c r="BI11" i="66" s="1"/>
  <c r="BH7" i="63"/>
  <c r="BH10" i="63" s="1"/>
  <c r="BJ7" i="62"/>
  <c r="BJ10" i="62" s="1"/>
  <c r="BJ7" i="58"/>
  <c r="BJ12" i="58" s="1"/>
  <c r="BI7" i="48"/>
  <c r="BI9" i="48" s="1"/>
  <c r="BI8" i="52"/>
  <c r="BI12" i="52" s="1"/>
  <c r="BJ7" i="54"/>
  <c r="BJ11" i="54" s="1"/>
  <c r="BG7" i="54"/>
  <c r="BG11" i="54" s="1"/>
  <c r="S7" i="55"/>
  <c r="S11" i="55" s="1"/>
  <c r="AA7" i="55"/>
  <c r="AA11" i="55" s="1"/>
  <c r="AI7" i="55"/>
  <c r="AI11" i="55" s="1"/>
  <c r="AQ7" i="55"/>
  <c r="AQ11" i="55" s="1"/>
  <c r="AY7" i="55"/>
  <c r="AY11" i="55" s="1"/>
  <c r="BG7" i="55"/>
  <c r="BG11" i="55" s="1"/>
  <c r="P8" i="55"/>
  <c r="P12" i="55" s="1"/>
  <c r="X8" i="55"/>
  <c r="X12" i="55" s="1"/>
  <c r="AF8" i="55"/>
  <c r="AF12" i="55" s="1"/>
  <c r="AN8" i="55"/>
  <c r="AN12" i="55" s="1"/>
  <c r="AV8" i="55"/>
  <c r="AV12" i="55" s="1"/>
  <c r="BD8" i="55"/>
  <c r="BD12" i="55" s="1"/>
  <c r="BI7" i="46"/>
  <c r="BI9" i="46" s="1"/>
  <c r="BI10" i="46" s="1"/>
  <c r="BJ8" i="49"/>
  <c r="BJ10" i="49" s="1"/>
  <c r="L7" i="39"/>
  <c r="L9" i="39" s="1"/>
  <c r="L10" i="39" s="1"/>
  <c r="T7" i="39"/>
  <c r="T9" i="39" s="1"/>
  <c r="T10" i="39" s="1"/>
  <c r="AB7" i="39"/>
  <c r="AB9" i="39" s="1"/>
  <c r="AB10" i="39" s="1"/>
  <c r="AJ7" i="39"/>
  <c r="AJ9" i="39" s="1"/>
  <c r="AJ10" i="39" s="1"/>
  <c r="AJ12" i="39" s="1"/>
  <c r="AR7" i="39"/>
  <c r="AR9" i="39" s="1"/>
  <c r="AR10" i="39" s="1"/>
  <c r="AR12" i="39" s="1"/>
  <c r="AZ7" i="39"/>
  <c r="AZ9" i="39" s="1"/>
  <c r="AZ10" i="39" s="1"/>
  <c r="BH7" i="39"/>
  <c r="BH9" i="39" s="1"/>
  <c r="BH10" i="39" s="1"/>
  <c r="BI9" i="38"/>
  <c r="BI13" i="38" s="1"/>
  <c r="BH5" i="35"/>
  <c r="BH9" i="35" s="1"/>
  <c r="BH5" i="45"/>
  <c r="BH9" i="45" s="1"/>
  <c r="BH11" i="45" s="1"/>
  <c r="BH16" i="45" s="1"/>
  <c r="BH4" i="32"/>
  <c r="BH9" i="32" s="1"/>
  <c r="BG5" i="32"/>
  <c r="BG10" i="32" s="1"/>
  <c r="BI8" i="29"/>
  <c r="BI12" i="29" s="1"/>
  <c r="BF6" i="57"/>
  <c r="BF9" i="57" s="1"/>
  <c r="BF7" i="28"/>
  <c r="BF10" i="28" s="1"/>
  <c r="BH7" i="23"/>
  <c r="BH10" i="23" s="1"/>
  <c r="BH7" i="20"/>
  <c r="BH10" i="20" s="1"/>
  <c r="BH9" i="18"/>
  <c r="BH12" i="18" s="1"/>
  <c r="BK7" i="52"/>
  <c r="BK11" i="52" s="1"/>
  <c r="X7" i="55"/>
  <c r="X11" i="55" s="1"/>
  <c r="BD7" i="55"/>
  <c r="BD11" i="55" s="1"/>
  <c r="AK8" i="55"/>
  <c r="AK12" i="55" s="1"/>
  <c r="BI7" i="50"/>
  <c r="BI11" i="50" s="1"/>
  <c r="AG7" i="39"/>
  <c r="AG9" i="39" s="1"/>
  <c r="AG10" i="39" s="1"/>
  <c r="AG12" i="39" s="1"/>
  <c r="BF4" i="31"/>
  <c r="BF9" i="31" s="1"/>
  <c r="BI6" i="20"/>
  <c r="BI9" i="20" s="1"/>
  <c r="BG7" i="41"/>
  <c r="BG10" i="41" s="1"/>
  <c r="BG6" i="10"/>
  <c r="BG9" i="10" s="1"/>
  <c r="BF4" i="40"/>
  <c r="BF7" i="40" s="1"/>
  <c r="BF9" i="40" s="1"/>
  <c r="BH8" i="17"/>
  <c r="BH12" i="17" s="1"/>
  <c r="BH6" i="15"/>
  <c r="BH9" i="15" s="1"/>
  <c r="BH7" i="16"/>
  <c r="BH10" i="16" s="1"/>
  <c r="BI5" i="26"/>
  <c r="BI8" i="26" s="1"/>
  <c r="BI8" i="25"/>
  <c r="BI11" i="25" s="1"/>
  <c r="BI7" i="36"/>
  <c r="BI10" i="36" s="1"/>
  <c r="BI8" i="13"/>
  <c r="BI12" i="13" s="1"/>
  <c r="BF7" i="14"/>
  <c r="BF10" i="14" s="1"/>
  <c r="BG7" i="52"/>
  <c r="BG11" i="52" s="1"/>
  <c r="Y7" i="55"/>
  <c r="Y11" i="55" s="1"/>
  <c r="BE7" i="55"/>
  <c r="BE11" i="55" s="1"/>
  <c r="AL8" i="55"/>
  <c r="AL12" i="55" s="1"/>
  <c r="AH7" i="39"/>
  <c r="AH9" i="39" s="1"/>
  <c r="AH10" i="39" s="1"/>
  <c r="AH12" i="39" s="1"/>
  <c r="BI6" i="32"/>
  <c r="BI11" i="32" s="1"/>
  <c r="BG8" i="29"/>
  <c r="BG12" i="29" s="1"/>
  <c r="BG7" i="20"/>
  <c r="BG10" i="20" s="1"/>
  <c r="BH7" i="41"/>
  <c r="BH10" i="41" s="1"/>
  <c r="BH6" i="10"/>
  <c r="BH9" i="10" s="1"/>
  <c r="BG6" i="2"/>
  <c r="BG6" i="11"/>
  <c r="BG9" i="11" s="1"/>
  <c r="BG10" i="11" s="1"/>
  <c r="BG15" i="11" s="1"/>
  <c r="BI8" i="17"/>
  <c r="BI12" i="17" s="1"/>
  <c r="BI6" i="15"/>
  <c r="BI9" i="15" s="1"/>
  <c r="BI7" i="16"/>
  <c r="BI10" i="16" s="1"/>
  <c r="BF5" i="26"/>
  <c r="BF8" i="26" s="1"/>
  <c r="BF8" i="25"/>
  <c r="BF11" i="25" s="1"/>
  <c r="BF7" i="36"/>
  <c r="BF10" i="36" s="1"/>
  <c r="BF8" i="13"/>
  <c r="BF12" i="13" s="1"/>
  <c r="BH6" i="14"/>
  <c r="BH9" i="14" s="1"/>
  <c r="BG8" i="66"/>
  <c r="BG11" i="66" s="1"/>
  <c r="BG7" i="61"/>
  <c r="BG10" i="61" s="1"/>
  <c r="BG12" i="61" s="1"/>
  <c r="BG13" i="61" s="1"/>
  <c r="BG14" i="61" s="1"/>
  <c r="BG15" i="61" s="1"/>
  <c r="BG18" i="61" s="1"/>
  <c r="BG20" i="61" s="1"/>
  <c r="BH7" i="54"/>
  <c r="BH11" i="54" s="1"/>
  <c r="AF7" i="55"/>
  <c r="AF11" i="55" s="1"/>
  <c r="M8" i="55"/>
  <c r="M12" i="55" s="1"/>
  <c r="AS8" i="55"/>
  <c r="AS12" i="55" s="1"/>
  <c r="AO7" i="39"/>
  <c r="AO9" i="39" s="1"/>
  <c r="AO10" i="39" s="1"/>
  <c r="AO12" i="39" s="1"/>
  <c r="BI8" i="38"/>
  <c r="BI12" i="38" s="1"/>
  <c r="BF6" i="32"/>
  <c r="BF11" i="32" s="1"/>
  <c r="BI6" i="57"/>
  <c r="BI9" i="57" s="1"/>
  <c r="BH8" i="18"/>
  <c r="BH11" i="18" s="1"/>
  <c r="BI7" i="41"/>
  <c r="BI10" i="41" s="1"/>
  <c r="BI6" i="10"/>
  <c r="BI9" i="10" s="1"/>
  <c r="BH6" i="2"/>
  <c r="BH6" i="11"/>
  <c r="BH9" i="11" s="1"/>
  <c r="BH10" i="11" s="1"/>
  <c r="BH15" i="11" s="1"/>
  <c r="BG7" i="17"/>
  <c r="BG11" i="17" s="1"/>
  <c r="BF6" i="15"/>
  <c r="BF9" i="15" s="1"/>
  <c r="BG6" i="26"/>
  <c r="BG9" i="26" s="1"/>
  <c r="BG7" i="25"/>
  <c r="BG10" i="25" s="1"/>
  <c r="BG8" i="36"/>
  <c r="BG11" i="36" s="1"/>
  <c r="BH7" i="13"/>
  <c r="BH11" i="13" s="1"/>
  <c r="BI6" i="14"/>
  <c r="BI9" i="14" s="1"/>
  <c r="BH7" i="58"/>
  <c r="BH12" i="58" s="1"/>
  <c r="BJ7" i="49"/>
  <c r="BJ11" i="49" s="1"/>
  <c r="BF7" i="25"/>
  <c r="BF10" i="25" s="1"/>
  <c r="BJ7" i="52"/>
  <c r="BJ11" i="52" s="1"/>
  <c r="BH7" i="50"/>
  <c r="BH11" i="50" s="1"/>
  <c r="BF7" i="39"/>
  <c r="BF9" i="39" s="1"/>
  <c r="BF10" i="39" s="1"/>
  <c r="BH7" i="28"/>
  <c r="BH10" i="28" s="1"/>
  <c r="BF7" i="41"/>
  <c r="BF10" i="41" s="1"/>
  <c r="BG7" i="16"/>
  <c r="BG10" i="16" s="1"/>
  <c r="BH8" i="25"/>
  <c r="BH11" i="25" s="1"/>
  <c r="BI7" i="14"/>
  <c r="BI10" i="14" s="1"/>
  <c r="BG7" i="66"/>
  <c r="BG10" i="66" s="1"/>
  <c r="AG7" i="55"/>
  <c r="AG11" i="55" s="1"/>
  <c r="N8" i="55"/>
  <c r="N12" i="55" s="1"/>
  <c r="AT8" i="55"/>
  <c r="AT12" i="55" s="1"/>
  <c r="K7" i="55"/>
  <c r="K11" i="55" s="1"/>
  <c r="AP7" i="39"/>
  <c r="AP9" i="39" s="1"/>
  <c r="AP10" i="39" s="1"/>
  <c r="BJ8" i="38"/>
  <c r="BJ12" i="38" s="1"/>
  <c r="BD5" i="32"/>
  <c r="BD10" i="32" s="1"/>
  <c r="BG5" i="57"/>
  <c r="BG8" i="57" s="1"/>
  <c r="BI8" i="18"/>
  <c r="BI11" i="18" s="1"/>
  <c r="BE7" i="41"/>
  <c r="BE10" i="41" s="1"/>
  <c r="BF6" i="10"/>
  <c r="BF9" i="10" s="1"/>
  <c r="BI6" i="2"/>
  <c r="BI10" i="2" s="1"/>
  <c r="BI6" i="11"/>
  <c r="BI9" i="11" s="1"/>
  <c r="BI10" i="11" s="1"/>
  <c r="BI15" i="11" s="1"/>
  <c r="BH7" i="17"/>
  <c r="BH11" i="17" s="1"/>
  <c r="BG8" i="16"/>
  <c r="BG11" i="16" s="1"/>
  <c r="BH6" i="26"/>
  <c r="BH9" i="26" s="1"/>
  <c r="BH7" i="25"/>
  <c r="BH10" i="25" s="1"/>
  <c r="BH8" i="36"/>
  <c r="BH11" i="36" s="1"/>
  <c r="BI7" i="13"/>
  <c r="BI11" i="13" s="1"/>
  <c r="BG6" i="14"/>
  <c r="BG9" i="14" s="1"/>
  <c r="BH7" i="62"/>
  <c r="BH10" i="62" s="1"/>
  <c r="V8" i="55"/>
  <c r="V12" i="55" s="1"/>
  <c r="AX7" i="39"/>
  <c r="AX9" i="39" s="1"/>
  <c r="AX10" i="39" s="1"/>
  <c r="BF9" i="18"/>
  <c r="BF12" i="18" s="1"/>
  <c r="BG4" i="40"/>
  <c r="BG7" i="40" s="1"/>
  <c r="BG9" i="40" s="1"/>
  <c r="BF6" i="26"/>
  <c r="BF9" i="26" s="1"/>
  <c r="BF8" i="36"/>
  <c r="BF11" i="36" s="1"/>
  <c r="BG7" i="14"/>
  <c r="BG10" i="14" s="1"/>
  <c r="Q7" i="55"/>
  <c r="Q11" i="55" s="1"/>
  <c r="BJ8" i="55"/>
  <c r="BJ12" i="55" s="1"/>
  <c r="Z7" i="39"/>
  <c r="Z9" i="39" s="1"/>
  <c r="Z10" i="39" s="1"/>
  <c r="BH6" i="20"/>
  <c r="BH9" i="20" s="1"/>
  <c r="BF7" i="10"/>
  <c r="BG8" i="17"/>
  <c r="BG12" i="17" s="1"/>
  <c r="BH5" i="26"/>
  <c r="BH8" i="26" s="1"/>
  <c r="AN7" i="55"/>
  <c r="AN11" i="55" s="1"/>
  <c r="U8" i="55"/>
  <c r="U12" i="55" s="1"/>
  <c r="BA8" i="55"/>
  <c r="BA12" i="55" s="1"/>
  <c r="BG7" i="46"/>
  <c r="BG9" i="46" s="1"/>
  <c r="BG10" i="46" s="1"/>
  <c r="Q7" i="39"/>
  <c r="Q9" i="39" s="1"/>
  <c r="Q10" i="39" s="1"/>
  <c r="AW7" i="39"/>
  <c r="AW9" i="39" s="1"/>
  <c r="AW10" i="39" s="1"/>
  <c r="AW12" i="39" s="1"/>
  <c r="BH4" i="35"/>
  <c r="BH8" i="35" s="1"/>
  <c r="BE5" i="32"/>
  <c r="BE10" i="32" s="1"/>
  <c r="H5" i="32"/>
  <c r="H10" i="32" s="1"/>
  <c r="BG9" i="18"/>
  <c r="BG12" i="18" s="1"/>
  <c r="BG7" i="10"/>
  <c r="BF6" i="2"/>
  <c r="BF6" i="11"/>
  <c r="BF9" i="11" s="1"/>
  <c r="BF10" i="11" s="1"/>
  <c r="BF15" i="11" s="1"/>
  <c r="BI7" i="17"/>
  <c r="BI11" i="17" s="1"/>
  <c r="BH8" i="16"/>
  <c r="BH11" i="16" s="1"/>
  <c r="BI6" i="26"/>
  <c r="BI9" i="26" s="1"/>
  <c r="BI7" i="25"/>
  <c r="BI10" i="25" s="1"/>
  <c r="BI8" i="36"/>
  <c r="BI11" i="36" s="1"/>
  <c r="BG7" i="13"/>
  <c r="BG11" i="13" s="1"/>
  <c r="BF6" i="14"/>
  <c r="BF9" i="14" s="1"/>
  <c r="BI7" i="66"/>
  <c r="BI10" i="66" s="1"/>
  <c r="AO7" i="55"/>
  <c r="AO11" i="55" s="1"/>
  <c r="BB8" i="55"/>
  <c r="BB12" i="55" s="1"/>
  <c r="R7" i="39"/>
  <c r="R9" i="39" s="1"/>
  <c r="R10" i="39" s="1"/>
  <c r="BI4" i="35"/>
  <c r="BI8" i="35" s="1"/>
  <c r="BH6" i="23"/>
  <c r="BH9" i="23" s="1"/>
  <c r="BH7" i="10"/>
  <c r="BF8" i="17"/>
  <c r="BF12" i="17" s="1"/>
  <c r="BI8" i="16"/>
  <c r="BI11" i="16" s="1"/>
  <c r="AD8" i="55"/>
  <c r="AD12" i="55" s="1"/>
  <c r="BH7" i="36"/>
  <c r="BH10" i="36" s="1"/>
  <c r="BJ7" i="66"/>
  <c r="BJ10" i="66" s="1"/>
  <c r="P7" i="55"/>
  <c r="P11" i="55" s="1"/>
  <c r="AV7" i="55"/>
  <c r="AV11" i="55" s="1"/>
  <c r="AC8" i="55"/>
  <c r="AC12" i="55" s="1"/>
  <c r="BI8" i="55"/>
  <c r="BI12" i="55" s="1"/>
  <c r="BH8" i="49"/>
  <c r="BH10" i="49" s="1"/>
  <c r="Y7" i="39"/>
  <c r="Y9" i="39" s="1"/>
  <c r="Y10" i="39" s="1"/>
  <c r="Y12" i="39" s="1"/>
  <c r="BE7" i="39"/>
  <c r="BE9" i="39" s="1"/>
  <c r="BE10" i="39" s="1"/>
  <c r="BG7" i="28"/>
  <c r="BG10" i="28" s="1"/>
  <c r="BI6" i="23"/>
  <c r="BI9" i="23" s="1"/>
  <c r="BF8" i="18"/>
  <c r="BF11" i="18" s="1"/>
  <c r="BI7" i="10"/>
  <c r="BH4" i="40"/>
  <c r="BH7" i="40" s="1"/>
  <c r="BH9" i="40" s="1"/>
  <c r="BF5" i="5"/>
  <c r="BF8" i="5" s="1"/>
  <c r="BF7" i="17"/>
  <c r="BF11" i="17" s="1"/>
  <c r="BF8" i="16"/>
  <c r="BF11" i="16" s="1"/>
  <c r="BG5" i="26"/>
  <c r="BG8" i="26" s="1"/>
  <c r="BG8" i="25"/>
  <c r="BG11" i="25" s="1"/>
  <c r="BG7" i="36"/>
  <c r="BG10" i="36" s="1"/>
  <c r="BG8" i="13"/>
  <c r="BG12" i="13" s="1"/>
  <c r="BH7" i="14"/>
  <c r="BH10" i="14" s="1"/>
  <c r="AW7" i="55"/>
  <c r="AW11" i="55" s="1"/>
  <c r="BI4" i="40"/>
  <c r="BI7" i="40" s="1"/>
  <c r="BI9" i="40" s="1"/>
  <c r="BG6" i="15"/>
  <c r="BG9" i="15" s="1"/>
  <c r="BH8" i="13"/>
  <c r="BH12" i="13" s="1"/>
  <c r="BE6" i="43"/>
  <c r="BE9" i="43" s="1"/>
  <c r="BG5" i="5"/>
  <c r="BG8" i="5" s="1"/>
  <c r="BH5" i="5"/>
  <c r="BH8" i="5" s="1"/>
  <c r="BI5" i="5"/>
  <c r="BI8" i="5" s="1"/>
  <c r="BF7" i="16"/>
  <c r="BF10" i="16" s="1"/>
  <c r="BF7" i="13"/>
  <c r="BF11" i="13" s="1"/>
  <c r="BE7" i="67"/>
  <c r="BE10" i="67" s="1"/>
  <c r="BE13" i="67" s="1"/>
  <c r="BE18" i="67" s="1"/>
  <c r="BF8" i="60"/>
  <c r="BF10" i="60" s="1"/>
  <c r="BF7" i="67"/>
  <c r="BF10" i="67" s="1"/>
  <c r="BF13" i="67" s="1"/>
  <c r="BF18" i="67" s="1"/>
  <c r="BF7" i="48"/>
  <c r="BF9" i="48" s="1"/>
  <c r="BE8" i="52"/>
  <c r="BE12" i="52" s="1"/>
  <c r="BE7" i="49"/>
  <c r="BE11" i="49" s="1"/>
  <c r="BE7" i="50"/>
  <c r="BE11" i="50" s="1"/>
  <c r="BD7" i="23"/>
  <c r="BD10" i="23" s="1"/>
  <c r="BE6" i="10"/>
  <c r="BE9" i="10" s="1"/>
  <c r="BD7" i="16"/>
  <c r="BD10" i="16" s="1"/>
  <c r="BD5" i="26"/>
  <c r="BD8" i="26" s="1"/>
  <c r="BE7" i="25"/>
  <c r="BE10" i="25" s="1"/>
  <c r="BE7" i="36"/>
  <c r="BE10" i="36" s="1"/>
  <c r="BE6" i="14"/>
  <c r="BE9" i="14" s="1"/>
  <c r="BE8" i="13"/>
  <c r="BE12" i="13" s="1"/>
  <c r="BD7" i="36"/>
  <c r="BD10" i="36" s="1"/>
  <c r="BF8" i="52"/>
  <c r="BF12" i="52" s="1"/>
  <c r="BF7" i="49"/>
  <c r="BF11" i="49" s="1"/>
  <c r="BF7" i="50"/>
  <c r="BF11" i="50" s="1"/>
  <c r="BE7" i="23"/>
  <c r="BE10" i="23" s="1"/>
  <c r="BD7" i="41"/>
  <c r="BD10" i="41" s="1"/>
  <c r="BD7" i="10"/>
  <c r="BE7" i="16"/>
  <c r="BE10" i="16" s="1"/>
  <c r="BE5" i="26"/>
  <c r="BE8" i="26" s="1"/>
  <c r="BD8" i="25"/>
  <c r="BD11" i="25" s="1"/>
  <c r="BD8" i="36"/>
  <c r="BD11" i="36" s="1"/>
  <c r="BD7" i="14"/>
  <c r="BD10" i="14" s="1"/>
  <c r="BE8" i="36"/>
  <c r="BE11" i="36" s="1"/>
  <c r="BE8" i="16"/>
  <c r="BE11" i="16" s="1"/>
  <c r="BE4" i="40"/>
  <c r="BE7" i="40" s="1"/>
  <c r="BE9" i="40" s="1"/>
  <c r="BE7" i="66"/>
  <c r="BE10" i="66" s="1"/>
  <c r="BE7" i="62"/>
  <c r="BE10" i="62" s="1"/>
  <c r="BE7" i="61"/>
  <c r="BE10" i="61" s="1"/>
  <c r="BE12" i="61" s="1"/>
  <c r="BE13" i="61" s="1"/>
  <c r="BE14" i="61" s="1"/>
  <c r="BE15" i="61" s="1"/>
  <c r="BE18" i="61" s="1"/>
  <c r="BE20" i="61" s="1"/>
  <c r="BE7" i="54"/>
  <c r="BE11" i="54" s="1"/>
  <c r="BE8" i="49"/>
  <c r="BE10" i="49" s="1"/>
  <c r="BE8" i="38"/>
  <c r="BE12" i="38" s="1"/>
  <c r="BD5" i="57"/>
  <c r="BD8" i="57" s="1"/>
  <c r="BE7" i="10"/>
  <c r="BD6" i="15"/>
  <c r="BD9" i="15" s="1"/>
  <c r="BD8" i="16"/>
  <c r="BD11" i="16" s="1"/>
  <c r="BD6" i="26"/>
  <c r="BD9" i="26" s="1"/>
  <c r="BE8" i="25"/>
  <c r="BE11" i="25" s="1"/>
  <c r="BE7" i="14"/>
  <c r="BE10" i="14" s="1"/>
  <c r="BE7" i="28"/>
  <c r="BE10" i="28" s="1"/>
  <c r="BF7" i="66"/>
  <c r="BF10" i="66" s="1"/>
  <c r="BF7" i="62"/>
  <c r="BF10" i="62" s="1"/>
  <c r="BF7" i="61"/>
  <c r="BF10" i="61" s="1"/>
  <c r="BF12" i="61" s="1"/>
  <c r="BF13" i="61" s="1"/>
  <c r="BF14" i="61" s="1"/>
  <c r="BF15" i="61" s="1"/>
  <c r="BF18" i="61" s="1"/>
  <c r="BF20" i="61" s="1"/>
  <c r="BD7" i="52"/>
  <c r="BD11" i="52" s="1"/>
  <c r="BF7" i="54"/>
  <c r="BF11" i="54" s="1"/>
  <c r="BE7" i="46"/>
  <c r="BE9" i="46" s="1"/>
  <c r="BE10" i="46" s="1"/>
  <c r="BF8" i="49"/>
  <c r="BF10" i="49" s="1"/>
  <c r="BF8" i="38"/>
  <c r="BF12" i="38" s="1"/>
  <c r="BE5" i="57"/>
  <c r="BE8" i="57" s="1"/>
  <c r="BD6" i="20"/>
  <c r="BD9" i="20" s="1"/>
  <c r="BD8" i="18"/>
  <c r="BD11" i="18" s="1"/>
  <c r="BE6" i="15"/>
  <c r="BE9" i="15" s="1"/>
  <c r="BE6" i="26"/>
  <c r="BE9" i="26" s="1"/>
  <c r="BE6" i="23"/>
  <c r="BE9" i="23" s="1"/>
  <c r="BD6" i="14"/>
  <c r="BD9" i="14" s="1"/>
  <c r="BE8" i="66"/>
  <c r="BE11" i="66" s="1"/>
  <c r="BE7" i="63"/>
  <c r="BE10" i="63" s="1"/>
  <c r="BE7" i="58"/>
  <c r="BE12" i="58" s="1"/>
  <c r="BE7" i="52"/>
  <c r="BE11" i="52" s="1"/>
  <c r="BE8" i="54"/>
  <c r="BE12" i="54" s="1"/>
  <c r="BE9" i="38"/>
  <c r="BE13" i="38" s="1"/>
  <c r="BD6" i="28"/>
  <c r="BD9" i="28" s="1"/>
  <c r="BE6" i="20"/>
  <c r="BE9" i="20" s="1"/>
  <c r="BE8" i="18"/>
  <c r="BE11" i="18" s="1"/>
  <c r="BE7" i="48"/>
  <c r="BE9" i="48" s="1"/>
  <c r="BD6" i="10"/>
  <c r="BD9" i="10" s="1"/>
  <c r="BF8" i="66"/>
  <c r="BF11" i="66" s="1"/>
  <c r="BF7" i="58"/>
  <c r="BF12" i="58" s="1"/>
  <c r="BF7" i="52"/>
  <c r="BF11" i="52" s="1"/>
  <c r="BF8" i="54"/>
  <c r="BF12" i="54" s="1"/>
  <c r="BF9" i="38"/>
  <c r="BF13" i="38" s="1"/>
  <c r="BE6" i="28"/>
  <c r="BE9" i="28" s="1"/>
  <c r="BD7" i="20"/>
  <c r="BD10" i="20" s="1"/>
  <c r="BD9" i="18"/>
  <c r="BD12" i="18" s="1"/>
  <c r="BD7" i="13"/>
  <c r="BD11" i="13" s="1"/>
  <c r="BD8" i="52"/>
  <c r="BD12" i="52" s="1"/>
  <c r="BD8" i="13"/>
  <c r="BD12" i="13" s="1"/>
  <c r="BE8" i="60"/>
  <c r="BE10" i="60" s="1"/>
  <c r="BE8" i="58"/>
  <c r="BE13" i="58" s="1"/>
  <c r="BE7" i="43"/>
  <c r="BE10" i="43" s="1"/>
  <c r="BD7" i="28"/>
  <c r="BD10" i="28" s="1"/>
  <c r="BD6" i="23"/>
  <c r="BD9" i="23" s="1"/>
  <c r="BE7" i="20"/>
  <c r="BE10" i="20" s="1"/>
  <c r="BE9" i="18"/>
  <c r="BE12" i="18" s="1"/>
  <c r="BD4" i="40"/>
  <c r="BD7" i="40" s="1"/>
  <c r="BD9" i="40" s="1"/>
  <c r="BD14" i="40" s="1"/>
  <c r="BD6" i="2"/>
  <c r="BE7" i="13"/>
  <c r="BE11" i="13" s="1"/>
  <c r="BF8" i="58"/>
  <c r="BF13" i="58" s="1"/>
  <c r="BE6" i="2"/>
  <c r="BD7" i="25"/>
  <c r="BD10" i="25" s="1"/>
  <c r="BC7" i="67"/>
  <c r="BC10" i="67" s="1"/>
  <c r="BC13" i="67" s="1"/>
  <c r="BC18" i="67" s="1"/>
  <c r="BC7" i="63"/>
  <c r="BC10" i="63" s="1"/>
  <c r="N7" i="52"/>
  <c r="N11" i="52" s="1"/>
  <c r="V7" i="52"/>
  <c r="V11" i="52" s="1"/>
  <c r="AD7" i="52"/>
  <c r="AD11" i="52" s="1"/>
  <c r="AL7" i="52"/>
  <c r="AL11" i="52" s="1"/>
  <c r="AT7" i="52"/>
  <c r="AT11" i="52" s="1"/>
  <c r="BB7" i="52"/>
  <c r="BB11" i="52" s="1"/>
  <c r="P8" i="52"/>
  <c r="P12" i="52" s="1"/>
  <c r="X8" i="52"/>
  <c r="X12" i="52" s="1"/>
  <c r="AF8" i="52"/>
  <c r="AF12" i="52" s="1"/>
  <c r="AN8" i="52"/>
  <c r="AN12" i="52" s="1"/>
  <c r="AV8" i="52"/>
  <c r="AV12" i="52" s="1"/>
  <c r="BC7" i="46"/>
  <c r="BC9" i="46" s="1"/>
  <c r="BC10" i="46" s="1"/>
  <c r="BC7" i="43"/>
  <c r="BC10" i="43" s="1"/>
  <c r="BD8" i="38"/>
  <c r="BD12" i="38" s="1"/>
  <c r="BC7" i="16"/>
  <c r="BC10" i="16" s="1"/>
  <c r="BC7" i="36"/>
  <c r="BC10" i="36" s="1"/>
  <c r="AM7" i="52"/>
  <c r="AM11" i="52" s="1"/>
  <c r="AO8" i="52"/>
  <c r="AO12" i="52" s="1"/>
  <c r="BD7" i="67"/>
  <c r="BD10" i="67" s="1"/>
  <c r="BD13" i="67" s="1"/>
  <c r="BD18" i="67" s="1"/>
  <c r="BC7" i="66"/>
  <c r="BC10" i="66" s="1"/>
  <c r="BC7" i="61"/>
  <c r="BC10" i="61" s="1"/>
  <c r="BC12" i="61" s="1"/>
  <c r="BC13" i="61" s="1"/>
  <c r="BC14" i="61" s="1"/>
  <c r="BC15" i="61" s="1"/>
  <c r="BC18" i="61" s="1"/>
  <c r="BC20" i="61" s="1"/>
  <c r="BD7" i="58"/>
  <c r="BD12" i="58" s="1"/>
  <c r="BD7" i="48"/>
  <c r="BD9" i="48" s="1"/>
  <c r="P7" i="52"/>
  <c r="P11" i="52" s="1"/>
  <c r="X7" i="52"/>
  <c r="X11" i="52" s="1"/>
  <c r="AF7" i="52"/>
  <c r="AF11" i="52" s="1"/>
  <c r="AN7" i="52"/>
  <c r="AN11" i="52" s="1"/>
  <c r="AV7" i="52"/>
  <c r="AV11" i="52" s="1"/>
  <c r="R8" i="52"/>
  <c r="R12" i="52" s="1"/>
  <c r="Z8" i="52"/>
  <c r="Z12" i="52" s="1"/>
  <c r="AH8" i="52"/>
  <c r="AH12" i="52" s="1"/>
  <c r="AP8" i="52"/>
  <c r="AP12" i="52" s="1"/>
  <c r="AX8" i="52"/>
  <c r="AX12" i="52" s="1"/>
  <c r="BC7" i="49"/>
  <c r="BC11" i="49" s="1"/>
  <c r="BD9" i="38"/>
  <c r="BD13" i="38" s="1"/>
  <c r="BA7" i="16"/>
  <c r="BA10" i="16" s="1"/>
  <c r="BC6" i="14"/>
  <c r="BC9" i="14" s="1"/>
  <c r="BC7" i="13"/>
  <c r="BC11" i="13" s="1"/>
  <c r="BC7" i="25"/>
  <c r="BC10" i="25" s="1"/>
  <c r="O7" i="52"/>
  <c r="O11" i="52" s="1"/>
  <c r="AU7" i="52"/>
  <c r="AU11" i="52" s="1"/>
  <c r="AG8" i="52"/>
  <c r="AG12" i="52" s="1"/>
  <c r="BD7" i="66"/>
  <c r="BD10" i="66" s="1"/>
  <c r="BD7" i="61"/>
  <c r="BD10" i="61" s="1"/>
  <c r="BD12" i="61" s="1"/>
  <c r="BD13" i="61" s="1"/>
  <c r="BD14" i="61" s="1"/>
  <c r="BD15" i="61" s="1"/>
  <c r="BD18" i="61" s="1"/>
  <c r="BD20" i="61" s="1"/>
  <c r="BC8" i="58"/>
  <c r="BC13" i="58" s="1"/>
  <c r="Q7" i="52"/>
  <c r="Q11" i="52" s="1"/>
  <c r="Y7" i="52"/>
  <c r="Y11" i="52" s="1"/>
  <c r="AG7" i="52"/>
  <c r="AG11" i="52" s="1"/>
  <c r="AO7" i="52"/>
  <c r="AO11" i="52" s="1"/>
  <c r="AW7" i="52"/>
  <c r="AW11" i="52" s="1"/>
  <c r="K8" i="52"/>
  <c r="K12" i="52" s="1"/>
  <c r="S8" i="52"/>
  <c r="S12" i="52" s="1"/>
  <c r="AA8" i="52"/>
  <c r="AA12" i="52" s="1"/>
  <c r="AI8" i="52"/>
  <c r="AI12" i="52" s="1"/>
  <c r="AQ8" i="52"/>
  <c r="AQ12" i="52" s="1"/>
  <c r="AY8" i="52"/>
  <c r="AY12" i="52" s="1"/>
  <c r="BC8" i="49"/>
  <c r="BC10" i="49" s="1"/>
  <c r="BC7" i="41"/>
  <c r="BC10" i="41" s="1"/>
  <c r="BC5" i="26"/>
  <c r="BC8" i="26" s="1"/>
  <c r="BC7" i="14"/>
  <c r="BC10" i="14" s="1"/>
  <c r="BC7" i="10"/>
  <c r="W7" i="52"/>
  <c r="W11" i="52" s="1"/>
  <c r="BC7" i="52"/>
  <c r="BC11" i="52" s="1"/>
  <c r="AW8" i="52"/>
  <c r="AW12" i="52" s="1"/>
  <c r="BC8" i="66"/>
  <c r="BC11" i="66" s="1"/>
  <c r="BC7" i="62"/>
  <c r="BC10" i="62" s="1"/>
  <c r="BD8" i="58"/>
  <c r="BD13" i="58" s="1"/>
  <c r="R7" i="52"/>
  <c r="R11" i="52" s="1"/>
  <c r="Z7" i="52"/>
  <c r="Z11" i="52" s="1"/>
  <c r="AH7" i="52"/>
  <c r="AH11" i="52" s="1"/>
  <c r="AP7" i="52"/>
  <c r="AP11" i="52" s="1"/>
  <c r="AX7" i="52"/>
  <c r="AX11" i="52" s="1"/>
  <c r="L8" i="52"/>
  <c r="L12" i="52" s="1"/>
  <c r="T8" i="52"/>
  <c r="T12" i="52" s="1"/>
  <c r="AB8" i="52"/>
  <c r="AB12" i="52" s="1"/>
  <c r="AJ8" i="52"/>
  <c r="AJ12" i="52" s="1"/>
  <c r="AR8" i="52"/>
  <c r="AR12" i="52" s="1"/>
  <c r="AZ8" i="52"/>
  <c r="AZ12" i="52" s="1"/>
  <c r="BC7" i="54"/>
  <c r="BC11" i="54" s="1"/>
  <c r="BD8" i="49"/>
  <c r="BD10" i="49" s="1"/>
  <c r="BC6" i="10"/>
  <c r="BC9" i="10" s="1"/>
  <c r="BC6" i="26"/>
  <c r="BC9" i="26" s="1"/>
  <c r="BC7" i="48"/>
  <c r="BC9" i="48" s="1"/>
  <c r="Y8" i="52"/>
  <c r="Y12" i="52" s="1"/>
  <c r="BD8" i="66"/>
  <c r="BD11" i="66" s="1"/>
  <c r="BD7" i="62"/>
  <c r="BD10" i="62" s="1"/>
  <c r="K7" i="52"/>
  <c r="K11" i="52" s="1"/>
  <c r="S7" i="52"/>
  <c r="S11" i="52" s="1"/>
  <c r="AA7" i="52"/>
  <c r="AA11" i="52" s="1"/>
  <c r="AI7" i="52"/>
  <c r="AI11" i="52" s="1"/>
  <c r="AQ7" i="52"/>
  <c r="AQ11" i="52" s="1"/>
  <c r="AY7" i="52"/>
  <c r="AY11" i="52" s="1"/>
  <c r="M8" i="52"/>
  <c r="M12" i="52" s="1"/>
  <c r="U8" i="52"/>
  <c r="U12" i="52" s="1"/>
  <c r="AC8" i="52"/>
  <c r="AC12" i="52" s="1"/>
  <c r="AK8" i="52"/>
  <c r="AK12" i="52" s="1"/>
  <c r="AS8" i="52"/>
  <c r="AS12" i="52" s="1"/>
  <c r="BA8" i="52"/>
  <c r="BA12" i="52" s="1"/>
  <c r="BD7" i="54"/>
  <c r="BD11" i="54" s="1"/>
  <c r="BC7" i="50"/>
  <c r="BC11" i="50" s="1"/>
  <c r="BB5" i="32"/>
  <c r="BB10" i="32" s="1"/>
  <c r="BC5" i="57"/>
  <c r="BC8" i="57" s="1"/>
  <c r="BC8" i="13"/>
  <c r="BC12" i="13" s="1"/>
  <c r="AE7" i="52"/>
  <c r="AE11" i="52" s="1"/>
  <c r="BC8" i="60"/>
  <c r="BC10" i="60" s="1"/>
  <c r="L7" i="52"/>
  <c r="L11" i="52" s="1"/>
  <c r="T7" i="52"/>
  <c r="T11" i="52" s="1"/>
  <c r="AB7" i="52"/>
  <c r="AB11" i="52" s="1"/>
  <c r="AJ7" i="52"/>
  <c r="AJ11" i="52" s="1"/>
  <c r="AR7" i="52"/>
  <c r="AR11" i="52" s="1"/>
  <c r="AZ7" i="52"/>
  <c r="AZ11" i="52" s="1"/>
  <c r="N8" i="52"/>
  <c r="N12" i="52" s="1"/>
  <c r="V8" i="52"/>
  <c r="V12" i="52" s="1"/>
  <c r="AD8" i="52"/>
  <c r="AD12" i="52" s="1"/>
  <c r="AL8" i="52"/>
  <c r="AL12" i="52" s="1"/>
  <c r="AT8" i="52"/>
  <c r="AT12" i="52" s="1"/>
  <c r="BB8" i="52"/>
  <c r="BB12" i="52" s="1"/>
  <c r="BC8" i="54"/>
  <c r="BC12" i="54" s="1"/>
  <c r="BD7" i="50"/>
  <c r="BD11" i="50" s="1"/>
  <c r="BC6" i="43"/>
  <c r="BC9" i="43" s="1"/>
  <c r="BC6" i="20"/>
  <c r="BC9" i="20" s="1"/>
  <c r="BC8" i="25"/>
  <c r="BC11" i="25" s="1"/>
  <c r="BB7" i="13"/>
  <c r="BB11" i="13" s="1"/>
  <c r="BC7" i="58"/>
  <c r="BC12" i="58" s="1"/>
  <c r="Q8" i="52"/>
  <c r="Q12" i="52" s="1"/>
  <c r="BD8" i="60"/>
  <c r="BD10" i="60" s="1"/>
  <c r="M7" i="52"/>
  <c r="M11" i="52" s="1"/>
  <c r="U7" i="52"/>
  <c r="U11" i="52" s="1"/>
  <c r="AC7" i="52"/>
  <c r="AC11" i="52" s="1"/>
  <c r="AK7" i="52"/>
  <c r="AK11" i="52" s="1"/>
  <c r="AS7" i="52"/>
  <c r="AS11" i="52" s="1"/>
  <c r="BA7" i="52"/>
  <c r="BA11" i="52" s="1"/>
  <c r="O8" i="52"/>
  <c r="O12" i="52" s="1"/>
  <c r="W8" i="52"/>
  <c r="W12" i="52" s="1"/>
  <c r="AE8" i="52"/>
  <c r="AE12" i="52" s="1"/>
  <c r="AM8" i="52"/>
  <c r="AM12" i="52" s="1"/>
  <c r="AU8" i="52"/>
  <c r="AU12" i="52" s="1"/>
  <c r="BC8" i="52"/>
  <c r="BC12" i="52" s="1"/>
  <c r="BD8" i="54"/>
  <c r="BD12" i="54" s="1"/>
  <c r="BD7" i="46"/>
  <c r="BD9" i="46" s="1"/>
  <c r="BD10" i="46" s="1"/>
  <c r="BD6" i="43"/>
  <c r="BD9" i="43" s="1"/>
  <c r="BC8" i="38"/>
  <c r="BC12" i="38" s="1"/>
  <c r="BB8" i="13"/>
  <c r="BB12" i="13" s="1"/>
  <c r="BD7" i="63"/>
  <c r="BD10" i="63" s="1"/>
  <c r="BB7" i="16"/>
  <c r="BB10" i="16" s="1"/>
  <c r="BD7" i="49"/>
  <c r="BD11" i="49" s="1"/>
  <c r="BC8" i="36"/>
  <c r="BC11" i="36" s="1"/>
  <c r="BD7" i="43"/>
  <c r="BD10" i="43" s="1"/>
  <c r="BC9" i="38"/>
  <c r="BC13" i="38" s="1"/>
  <c r="BC8" i="18"/>
  <c r="BC11" i="18" s="1"/>
  <c r="BB5" i="57"/>
  <c r="BB8" i="57" s="1"/>
  <c r="BB9" i="18"/>
  <c r="BB12" i="18" s="1"/>
  <c r="BB7" i="10"/>
  <c r="BB6" i="57"/>
  <c r="BB9" i="57" s="1"/>
  <c r="BB6" i="23"/>
  <c r="BB9" i="23" s="1"/>
  <c r="BB4" i="40"/>
  <c r="BB7" i="40" s="1"/>
  <c r="BB9" i="40" s="1"/>
  <c r="BB7" i="23"/>
  <c r="BB10" i="23" s="1"/>
  <c r="BB7" i="41"/>
  <c r="BB10" i="41" s="1"/>
  <c r="BB8" i="18"/>
  <c r="BB11" i="18" s="1"/>
  <c r="BB6" i="20"/>
  <c r="BB9" i="20" s="1"/>
  <c r="BB6" i="2"/>
  <c r="BB7" i="20"/>
  <c r="BB10" i="20" s="1"/>
  <c r="BB6" i="10"/>
  <c r="BB9" i="10" s="1"/>
  <c r="BB6" i="15"/>
  <c r="BB9" i="15" s="1"/>
  <c r="BB8" i="25"/>
  <c r="BB11" i="25" s="1"/>
  <c r="BB7" i="14"/>
  <c r="BB10" i="14" s="1"/>
  <c r="BB6" i="26"/>
  <c r="BB9" i="26" s="1"/>
  <c r="BB7" i="25"/>
  <c r="BB10" i="25" s="1"/>
  <c r="BB7" i="36"/>
  <c r="BB10" i="36" s="1"/>
  <c r="BB8" i="16"/>
  <c r="BB11" i="16" s="1"/>
  <c r="BB6" i="14"/>
  <c r="BB9" i="14" s="1"/>
  <c r="BB5" i="26"/>
  <c r="BB8" i="26" s="1"/>
  <c r="BB8" i="36"/>
  <c r="BB11" i="36" s="1"/>
  <c r="BA8" i="36"/>
  <c r="BA11" i="36" s="1"/>
  <c r="BA7" i="36"/>
  <c r="BA10" i="36" s="1"/>
  <c r="BB7" i="67"/>
  <c r="BB7" i="62"/>
  <c r="BB10" i="62" s="1"/>
  <c r="BB7" i="43"/>
  <c r="BB10" i="43" s="1"/>
  <c r="BB9" i="38"/>
  <c r="BB13" i="38" s="1"/>
  <c r="BA5" i="57"/>
  <c r="BA8" i="57" s="1"/>
  <c r="BA5" i="26"/>
  <c r="BA8" i="26" s="1"/>
  <c r="BA7" i="14"/>
  <c r="BA10" i="14" s="1"/>
  <c r="BB8" i="49"/>
  <c r="BB10" i="49" s="1"/>
  <c r="BB7" i="66"/>
  <c r="BB10" i="66" s="1"/>
  <c r="BB8" i="38"/>
  <c r="BB12" i="38" s="1"/>
  <c r="BA6" i="20"/>
  <c r="BA9" i="20" s="1"/>
  <c r="BA7" i="41"/>
  <c r="BA10" i="41" s="1"/>
  <c r="BA6" i="14"/>
  <c r="BA9" i="14" s="1"/>
  <c r="BB7" i="58"/>
  <c r="BB12" i="58" s="1"/>
  <c r="BB6" i="43"/>
  <c r="BB9" i="43" s="1"/>
  <c r="BB8" i="66"/>
  <c r="BB11" i="66" s="1"/>
  <c r="BA6" i="10"/>
  <c r="BA9" i="10" s="1"/>
  <c r="BA7" i="25"/>
  <c r="BA10" i="25" s="1"/>
  <c r="BB7" i="63"/>
  <c r="BB10" i="63" s="1"/>
  <c r="BB8" i="54"/>
  <c r="BB12" i="54" s="1"/>
  <c r="BB7" i="46"/>
  <c r="BA7" i="10"/>
  <c r="BA8" i="25"/>
  <c r="BA11" i="25" s="1"/>
  <c r="BB7" i="50"/>
  <c r="BB11" i="50" s="1"/>
  <c r="BB7" i="48"/>
  <c r="BB9" i="48" s="1"/>
  <c r="BB7" i="54"/>
  <c r="BB11" i="54" s="1"/>
  <c r="BA5" i="32"/>
  <c r="BA10" i="32" s="1"/>
  <c r="BB7" i="61"/>
  <c r="BB10" i="61" s="1"/>
  <c r="BB12" i="61" s="1"/>
  <c r="BB13" i="61" s="1"/>
  <c r="BB14" i="61" s="1"/>
  <c r="BB15" i="61" s="1"/>
  <c r="BB18" i="61" s="1"/>
  <c r="BB20" i="61" s="1"/>
  <c r="BB8" i="58"/>
  <c r="BB13" i="58" s="1"/>
  <c r="BB7" i="49"/>
  <c r="BB11" i="49" s="1"/>
  <c r="BA8" i="18"/>
  <c r="BA11" i="18" s="1"/>
  <c r="BB8" i="60"/>
  <c r="BB10" i="60" s="1"/>
  <c r="BA7" i="67"/>
  <c r="BA8" i="49"/>
  <c r="BA10" i="49" s="1"/>
  <c r="BA8" i="38"/>
  <c r="BA12" i="38" s="1"/>
  <c r="AZ6" i="20"/>
  <c r="AZ9" i="20" s="1"/>
  <c r="AZ6" i="10"/>
  <c r="AZ9" i="10" s="1"/>
  <c r="AZ8" i="36"/>
  <c r="AZ11" i="36" s="1"/>
  <c r="BA7" i="66"/>
  <c r="BA10" i="66" s="1"/>
  <c r="BA7" i="61"/>
  <c r="BA10" i="61" s="1"/>
  <c r="BA12" i="61" s="1"/>
  <c r="BA13" i="61" s="1"/>
  <c r="BA14" i="61" s="1"/>
  <c r="BA15" i="61" s="1"/>
  <c r="BA18" i="61" s="1"/>
  <c r="BA20" i="61" s="1"/>
  <c r="AX7" i="48"/>
  <c r="AX9" i="48" s="1"/>
  <c r="BA7" i="50"/>
  <c r="BA11" i="50" s="1"/>
  <c r="AZ7" i="25"/>
  <c r="AZ10" i="25" s="1"/>
  <c r="AZ7" i="36"/>
  <c r="AZ10" i="36" s="1"/>
  <c r="BA7" i="54"/>
  <c r="BA11" i="54" s="1"/>
  <c r="AZ7" i="41"/>
  <c r="AZ10" i="41" s="1"/>
  <c r="BA7" i="43"/>
  <c r="BA10" i="43" s="1"/>
  <c r="BA8" i="66"/>
  <c r="BA11" i="66" s="1"/>
  <c r="BA7" i="48"/>
  <c r="BA9" i="48" s="1"/>
  <c r="AZ8" i="25"/>
  <c r="AZ11" i="25" s="1"/>
  <c r="BA6" i="43"/>
  <c r="BA9" i="43" s="1"/>
  <c r="BA8" i="54"/>
  <c r="BA12" i="54" s="1"/>
  <c r="BA8" i="60"/>
  <c r="BA10" i="60" s="1"/>
  <c r="AZ5" i="32"/>
  <c r="AZ10" i="32" s="1"/>
  <c r="AZ7" i="16"/>
  <c r="AZ10" i="16" s="1"/>
  <c r="AW8" i="38"/>
  <c r="AW12" i="38" s="1"/>
  <c r="AZ8" i="38"/>
  <c r="AZ12" i="38" s="1"/>
  <c r="BA7" i="63"/>
  <c r="BA10" i="63" s="1"/>
  <c r="BA7" i="58"/>
  <c r="BA12" i="58" s="1"/>
  <c r="AZ8" i="18"/>
  <c r="AZ11" i="18" s="1"/>
  <c r="BA7" i="62"/>
  <c r="BA10" i="62" s="1"/>
  <c r="BA7" i="49"/>
  <c r="BA11" i="49" s="1"/>
  <c r="BA6" i="23"/>
  <c r="BA9" i="23" s="1"/>
  <c r="AZ7" i="10"/>
  <c r="BA8" i="58"/>
  <c r="BA13" i="58" s="1"/>
  <c r="BA7" i="46"/>
  <c r="BA9" i="38"/>
  <c r="BA13" i="38" s="1"/>
  <c r="AZ5" i="57"/>
  <c r="AZ8" i="57" s="1"/>
  <c r="AZ7" i="14"/>
  <c r="AZ10" i="14" s="1"/>
  <c r="AZ6" i="14"/>
  <c r="AZ9" i="14" s="1"/>
  <c r="AZ7" i="67"/>
  <c r="AZ10" i="67" s="1"/>
  <c r="AY7" i="67"/>
  <c r="AY10" i="67" s="1"/>
  <c r="AQ7" i="67"/>
  <c r="AQ10" i="67" s="1"/>
  <c r="AI7" i="67"/>
  <c r="AI10" i="67" s="1"/>
  <c r="AA7" i="67"/>
  <c r="AA10" i="67" s="1"/>
  <c r="S7" i="67"/>
  <c r="S10" i="67" s="1"/>
  <c r="K7" i="67"/>
  <c r="K10" i="67" s="1"/>
  <c r="AL7" i="67"/>
  <c r="L7" i="67"/>
  <c r="L10" i="67" s="1"/>
  <c r="AX7" i="67"/>
  <c r="AX10" i="67" s="1"/>
  <c r="AP7" i="67"/>
  <c r="AP10" i="67" s="1"/>
  <c r="AH7" i="67"/>
  <c r="AH10" i="67" s="1"/>
  <c r="Z7" i="67"/>
  <c r="Z10" i="67" s="1"/>
  <c r="R7" i="67"/>
  <c r="R10" i="67" s="1"/>
  <c r="J7" i="67"/>
  <c r="J10" i="67" s="1"/>
  <c r="X7" i="67"/>
  <c r="V7" i="67"/>
  <c r="AW7" i="67"/>
  <c r="AO7" i="67"/>
  <c r="AG7" i="67"/>
  <c r="Y7" i="67"/>
  <c r="Q7" i="67"/>
  <c r="I7" i="67"/>
  <c r="AF7" i="67"/>
  <c r="P7" i="67"/>
  <c r="AD7" i="67"/>
  <c r="N7" i="67"/>
  <c r="AV7" i="67"/>
  <c r="AN7" i="67"/>
  <c r="T7" i="67"/>
  <c r="T10" i="67" s="1"/>
  <c r="AU7" i="67"/>
  <c r="AM7" i="67"/>
  <c r="AE7" i="67"/>
  <c r="W7" i="67"/>
  <c r="O7" i="67"/>
  <c r="AT7" i="67"/>
  <c r="AS7" i="67"/>
  <c r="AS10" i="67" s="1"/>
  <c r="AK7" i="67"/>
  <c r="AK10" i="67" s="1"/>
  <c r="AC7" i="67"/>
  <c r="AC10" i="67" s="1"/>
  <c r="U7" i="67"/>
  <c r="U10" i="67" s="1"/>
  <c r="M7" i="67"/>
  <c r="M10" i="67" s="1"/>
  <c r="AR7" i="67"/>
  <c r="AR10" i="67" s="1"/>
  <c r="AJ7" i="67"/>
  <c r="AJ10" i="67" s="1"/>
  <c r="AB7" i="67"/>
  <c r="AB10" i="67" s="1"/>
  <c r="AY8" i="66"/>
  <c r="AY11" i="66" s="1"/>
  <c r="AP8" i="66"/>
  <c r="AP11" i="66" s="1"/>
  <c r="S8" i="66"/>
  <c r="S11" i="66" s="1"/>
  <c r="AW7" i="66"/>
  <c r="AW10" i="66" s="1"/>
  <c r="AO7" i="66"/>
  <c r="AO10" i="66" s="1"/>
  <c r="AG7" i="66"/>
  <c r="AG10" i="66" s="1"/>
  <c r="Y7" i="66"/>
  <c r="Y10" i="66" s="1"/>
  <c r="Q7" i="66"/>
  <c r="Q10" i="66" s="1"/>
  <c r="I7" i="66"/>
  <c r="I10" i="66" s="1"/>
  <c r="AR8" i="66"/>
  <c r="AR11" i="66" s="1"/>
  <c r="AQ7" i="66"/>
  <c r="AQ10" i="66" s="1"/>
  <c r="AQ8" i="66"/>
  <c r="AQ11" i="66" s="1"/>
  <c r="Z7" i="66"/>
  <c r="Z10" i="66" s="1"/>
  <c r="AZ8" i="66"/>
  <c r="AZ11" i="66" s="1"/>
  <c r="AI8" i="66"/>
  <c r="AI11" i="66" s="1"/>
  <c r="R8" i="66"/>
  <c r="R11" i="66" s="1"/>
  <c r="AV7" i="66"/>
  <c r="AV10" i="66" s="1"/>
  <c r="AN7" i="66"/>
  <c r="AN10" i="66" s="1"/>
  <c r="AF7" i="66"/>
  <c r="AF10" i="66" s="1"/>
  <c r="X7" i="66"/>
  <c r="X10" i="66" s="1"/>
  <c r="P7" i="66"/>
  <c r="P10" i="66" s="1"/>
  <c r="K7" i="66"/>
  <c r="K10" i="66" s="1"/>
  <c r="AH7" i="66"/>
  <c r="AH10" i="66" s="1"/>
  <c r="AH8" i="66"/>
  <c r="AH11" i="66" s="1"/>
  <c r="O8" i="66"/>
  <c r="O11" i="66" s="1"/>
  <c r="AU7" i="66"/>
  <c r="AU10" i="66" s="1"/>
  <c r="AM7" i="66"/>
  <c r="AM10" i="66" s="1"/>
  <c r="AE7" i="66"/>
  <c r="AE10" i="66" s="1"/>
  <c r="W7" i="66"/>
  <c r="W10" i="66" s="1"/>
  <c r="O7" i="66"/>
  <c r="O10" i="66" s="1"/>
  <c r="AW8" i="66"/>
  <c r="AW11" i="66" s="1"/>
  <c r="S7" i="66"/>
  <c r="S10" i="66" s="1"/>
  <c r="AX8" i="66"/>
  <c r="AX11" i="66" s="1"/>
  <c r="J7" i="66"/>
  <c r="J10" i="66" s="1"/>
  <c r="AZ7" i="66"/>
  <c r="AZ10" i="66" s="1"/>
  <c r="AE8" i="66"/>
  <c r="AE11" i="66" s="1"/>
  <c r="L8" i="66"/>
  <c r="L11" i="66" s="1"/>
  <c r="AT7" i="66"/>
  <c r="AT10" i="66" s="1"/>
  <c r="AL7" i="66"/>
  <c r="AL10" i="66" s="1"/>
  <c r="AD7" i="66"/>
  <c r="AD10" i="66" s="1"/>
  <c r="V7" i="66"/>
  <c r="V10" i="66" s="1"/>
  <c r="N7" i="66"/>
  <c r="N10" i="66" s="1"/>
  <c r="AP7" i="66"/>
  <c r="AP10" i="66" s="1"/>
  <c r="AA8" i="66"/>
  <c r="AA11" i="66" s="1"/>
  <c r="K8" i="66"/>
  <c r="K11" i="66" s="1"/>
  <c r="AS7" i="66"/>
  <c r="AS10" i="66" s="1"/>
  <c r="AK7" i="66"/>
  <c r="AK10" i="66" s="1"/>
  <c r="AC7" i="66"/>
  <c r="AC10" i="66" s="1"/>
  <c r="U7" i="66"/>
  <c r="U10" i="66" s="1"/>
  <c r="M7" i="66"/>
  <c r="M10" i="66" s="1"/>
  <c r="W8" i="66"/>
  <c r="W11" i="66" s="1"/>
  <c r="AI7" i="66"/>
  <c r="AI10" i="66" s="1"/>
  <c r="AX7" i="66"/>
  <c r="AX10" i="66" s="1"/>
  <c r="R7" i="66"/>
  <c r="R10" i="66" s="1"/>
  <c r="AV8" i="66"/>
  <c r="AV11" i="66" s="1"/>
  <c r="Z8" i="66"/>
  <c r="Z11" i="66" s="1"/>
  <c r="J8" i="66"/>
  <c r="J11" i="66" s="1"/>
  <c r="AR7" i="66"/>
  <c r="AR10" i="66" s="1"/>
  <c r="AJ7" i="66"/>
  <c r="AJ10" i="66" s="1"/>
  <c r="AB7" i="66"/>
  <c r="AB10" i="66" s="1"/>
  <c r="T7" i="66"/>
  <c r="T10" i="66" s="1"/>
  <c r="L7" i="66"/>
  <c r="L10" i="66" s="1"/>
  <c r="AY7" i="66"/>
  <c r="AY10" i="66" s="1"/>
  <c r="AA7" i="66"/>
  <c r="AA10" i="66" s="1"/>
  <c r="T8" i="66"/>
  <c r="T11" i="66" s="1"/>
  <c r="AU8" i="66"/>
  <c r="AU11" i="66" s="1"/>
  <c r="U8" i="66"/>
  <c r="U11" i="66" s="1"/>
  <c r="AL8" i="66"/>
  <c r="AL11" i="66" s="1"/>
  <c r="M8" i="66"/>
  <c r="M11" i="66" s="1"/>
  <c r="I8" i="66"/>
  <c r="I11" i="66" s="1"/>
  <c r="AC8" i="66"/>
  <c r="AC11" i="66" s="1"/>
  <c r="AJ8" i="66"/>
  <c r="AJ11" i="66" s="1"/>
  <c r="Q8" i="66"/>
  <c r="Q11" i="66" s="1"/>
  <c r="AK8" i="66"/>
  <c r="AK11" i="66" s="1"/>
  <c r="AN8" i="66"/>
  <c r="AN11" i="66" s="1"/>
  <c r="AM8" i="66"/>
  <c r="AM11" i="66" s="1"/>
  <c r="Y8" i="66"/>
  <c r="Y11" i="66" s="1"/>
  <c r="AS8" i="66"/>
  <c r="AS11" i="66" s="1"/>
  <c r="V8" i="66"/>
  <c r="V11" i="66" s="1"/>
  <c r="AT8" i="66"/>
  <c r="AT11" i="66" s="1"/>
  <c r="P8" i="66"/>
  <c r="P11" i="66" s="1"/>
  <c r="AG8" i="66"/>
  <c r="AG11" i="66" s="1"/>
  <c r="AB8" i="66"/>
  <c r="AB11" i="66" s="1"/>
  <c r="AD8" i="66"/>
  <c r="AD11" i="66" s="1"/>
  <c r="X8" i="66"/>
  <c r="X11" i="66" s="1"/>
  <c r="AO8" i="66"/>
  <c r="AO11" i="66" s="1"/>
  <c r="N8" i="66"/>
  <c r="N11" i="66" s="1"/>
  <c r="AF8" i="66"/>
  <c r="AF11" i="66" s="1"/>
  <c r="AZ7" i="62"/>
  <c r="AZ10" i="62" s="1"/>
  <c r="AZ8" i="58"/>
  <c r="AZ13" i="58" s="1"/>
  <c r="AZ7" i="50"/>
  <c r="AZ11" i="50" s="1"/>
  <c r="AZ6" i="43"/>
  <c r="AZ9" i="43" s="1"/>
  <c r="AY7" i="41"/>
  <c r="AY10" i="41" s="1"/>
  <c r="AZ7" i="49"/>
  <c r="AZ11" i="49" s="1"/>
  <c r="AZ7" i="43"/>
  <c r="AZ10" i="43" s="1"/>
  <c r="AY5" i="57"/>
  <c r="AY8" i="57" s="1"/>
  <c r="AY6" i="20"/>
  <c r="AY9" i="20" s="1"/>
  <c r="AZ7" i="48"/>
  <c r="AZ9" i="48" s="1"/>
  <c r="AZ9" i="38"/>
  <c r="AZ13" i="38" s="1"/>
  <c r="AZ7" i="61"/>
  <c r="AZ10" i="61" s="1"/>
  <c r="AZ12" i="61" s="1"/>
  <c r="AZ13" i="61" s="1"/>
  <c r="AZ14" i="61" s="1"/>
  <c r="AZ15" i="61" s="1"/>
  <c r="AZ18" i="61" s="1"/>
  <c r="AZ20" i="61" s="1"/>
  <c r="AZ8" i="54"/>
  <c r="AZ12" i="54" s="1"/>
  <c r="AY7" i="10"/>
  <c r="AY5" i="32"/>
  <c r="AY10" i="32" s="1"/>
  <c r="AZ7" i="54"/>
  <c r="AZ11" i="54" s="1"/>
  <c r="AZ7" i="46"/>
  <c r="AY6" i="10"/>
  <c r="AY9" i="10" s="1"/>
  <c r="AZ8" i="60"/>
  <c r="AZ10" i="60" s="1"/>
  <c r="AZ7" i="63"/>
  <c r="AZ10" i="63" s="1"/>
  <c r="AZ7" i="58"/>
  <c r="AZ12" i="58" s="1"/>
  <c r="AZ8" i="49"/>
  <c r="AZ10" i="49" s="1"/>
  <c r="AY8" i="18"/>
  <c r="AY11" i="18" s="1"/>
  <c r="AY7" i="36"/>
  <c r="AY10" i="36" s="1"/>
  <c r="AY6" i="14"/>
  <c r="AY9" i="14" s="1"/>
  <c r="AY8" i="25"/>
  <c r="AY11" i="25" s="1"/>
  <c r="AX7" i="36"/>
  <c r="AX10" i="36" s="1"/>
  <c r="AY7" i="25"/>
  <c r="AY10" i="25" s="1"/>
  <c r="AY8" i="36"/>
  <c r="AY11" i="36" s="1"/>
  <c r="AY7" i="16"/>
  <c r="AY10" i="16" s="1"/>
  <c r="AY7" i="14"/>
  <c r="AY10" i="14" s="1"/>
  <c r="AX6" i="10"/>
  <c r="AX9" i="10" s="1"/>
  <c r="AX7" i="10"/>
  <c r="AX7" i="41"/>
  <c r="AX10" i="41" s="1"/>
  <c r="AY6" i="43"/>
  <c r="AY9" i="43" s="1"/>
  <c r="AX7" i="16"/>
  <c r="AX10" i="16" s="1"/>
  <c r="AX6" i="20"/>
  <c r="AX9" i="20" s="1"/>
  <c r="AX8" i="25"/>
  <c r="AX11" i="25" s="1"/>
  <c r="AY7" i="63"/>
  <c r="AY10" i="63" s="1"/>
  <c r="AY7" i="61"/>
  <c r="AY10" i="61" s="1"/>
  <c r="AY12" i="61" s="1"/>
  <c r="AY13" i="61" s="1"/>
  <c r="AY14" i="61" s="1"/>
  <c r="AY15" i="61" s="1"/>
  <c r="AY18" i="61" s="1"/>
  <c r="AY20" i="61" s="1"/>
  <c r="AY7" i="48"/>
  <c r="AY9" i="48" s="1"/>
  <c r="AY7" i="43"/>
  <c r="AY10" i="43" s="1"/>
  <c r="AX5" i="57"/>
  <c r="AX8" i="57" s="1"/>
  <c r="AX8" i="18"/>
  <c r="AX11" i="18" s="1"/>
  <c r="AY8" i="54"/>
  <c r="AY12" i="54" s="1"/>
  <c r="AY7" i="46"/>
  <c r="AY9" i="38"/>
  <c r="AY13" i="38" s="1"/>
  <c r="AY7" i="58"/>
  <c r="AY12" i="58" s="1"/>
  <c r="AX5" i="32"/>
  <c r="AX10" i="32" s="1"/>
  <c r="AY7" i="62"/>
  <c r="AY10" i="62" s="1"/>
  <c r="AY8" i="60"/>
  <c r="AY10" i="60" s="1"/>
  <c r="AY7" i="54"/>
  <c r="AY11" i="54" s="1"/>
  <c r="AY8" i="38"/>
  <c r="AY7" i="50"/>
  <c r="AY11" i="50" s="1"/>
  <c r="AY8" i="58"/>
  <c r="AY13" i="58" s="1"/>
  <c r="AX7" i="25"/>
  <c r="AX10" i="25" s="1"/>
  <c r="AX8" i="36"/>
  <c r="AX11" i="36" s="1"/>
  <c r="AX6" i="14"/>
  <c r="AX9" i="14" s="1"/>
  <c r="J7" i="65"/>
  <c r="AX7" i="14"/>
  <c r="AX10" i="14" s="1"/>
  <c r="P9" i="38"/>
  <c r="P13" i="38" s="1"/>
  <c r="X9" i="38"/>
  <c r="X13" i="38" s="1"/>
  <c r="AF9" i="38"/>
  <c r="AF13" i="38" s="1"/>
  <c r="AN9" i="38"/>
  <c r="AN13" i="38" s="1"/>
  <c r="AV9" i="38"/>
  <c r="AV13" i="38" s="1"/>
  <c r="I9" i="38"/>
  <c r="I13" i="38" s="1"/>
  <c r="S8" i="38"/>
  <c r="S12" i="38" s="1"/>
  <c r="AA8" i="38"/>
  <c r="AA12" i="38" s="1"/>
  <c r="AI8" i="38"/>
  <c r="AI12" i="38" s="1"/>
  <c r="AQ8" i="38"/>
  <c r="AQ12" i="38" s="1"/>
  <c r="J8" i="38"/>
  <c r="J12" i="38" s="1"/>
  <c r="S9" i="38"/>
  <c r="S13" i="38" s="1"/>
  <c r="AQ9" i="38"/>
  <c r="AQ13" i="38" s="1"/>
  <c r="N8" i="38"/>
  <c r="N12" i="38" s="1"/>
  <c r="AL8" i="38"/>
  <c r="AL12" i="38" s="1"/>
  <c r="T9" i="38"/>
  <c r="T13" i="38" s="1"/>
  <c r="AJ9" i="38"/>
  <c r="AJ13" i="38" s="1"/>
  <c r="K9" i="38"/>
  <c r="K13" i="38" s="1"/>
  <c r="AE8" i="38"/>
  <c r="AE12" i="38" s="1"/>
  <c r="U9" i="38"/>
  <c r="U13" i="38" s="1"/>
  <c r="AK9" i="38"/>
  <c r="AK13" i="38" s="1"/>
  <c r="P8" i="38"/>
  <c r="P12" i="38" s="1"/>
  <c r="AN8" i="38"/>
  <c r="AN12" i="38" s="1"/>
  <c r="AD9" i="38"/>
  <c r="AD13" i="38" s="1"/>
  <c r="AT9" i="38"/>
  <c r="AT13" i="38" s="1"/>
  <c r="Q8" i="38"/>
  <c r="Q12" i="38" s="1"/>
  <c r="AO8" i="38"/>
  <c r="AO12" i="38" s="1"/>
  <c r="O9" i="38"/>
  <c r="O13" i="38" s="1"/>
  <c r="AE9" i="38"/>
  <c r="AE13" i="38" s="1"/>
  <c r="AU9" i="38"/>
  <c r="AU13" i="38" s="1"/>
  <c r="Z8" i="38"/>
  <c r="Z12" i="38" s="1"/>
  <c r="AX8" i="38"/>
  <c r="AX12" i="38" s="1"/>
  <c r="Q9" i="38"/>
  <c r="Q13" i="38" s="1"/>
  <c r="Y9" i="38"/>
  <c r="Y13" i="38" s="1"/>
  <c r="AG9" i="38"/>
  <c r="AG13" i="38" s="1"/>
  <c r="AO9" i="38"/>
  <c r="AO13" i="38" s="1"/>
  <c r="AW9" i="38"/>
  <c r="AW13" i="38" s="1"/>
  <c r="L8" i="38"/>
  <c r="L12" i="38" s="1"/>
  <c r="T8" i="38"/>
  <c r="T12" i="38" s="1"/>
  <c r="AB8" i="38"/>
  <c r="AB12" i="38" s="1"/>
  <c r="AJ8" i="38"/>
  <c r="AJ12" i="38" s="1"/>
  <c r="AR8" i="38"/>
  <c r="AR12" i="38" s="1"/>
  <c r="K8" i="38"/>
  <c r="K12" i="38" s="1"/>
  <c r="AI9" i="38"/>
  <c r="AI13" i="38" s="1"/>
  <c r="V8" i="38"/>
  <c r="V12" i="38" s="1"/>
  <c r="AT8" i="38"/>
  <c r="AT12" i="38" s="1"/>
  <c r="AB9" i="38"/>
  <c r="AB13" i="38" s="1"/>
  <c r="AR9" i="38"/>
  <c r="AR13" i="38" s="1"/>
  <c r="O8" i="38"/>
  <c r="O12" i="38" s="1"/>
  <c r="AM8" i="38"/>
  <c r="AM12" i="38" s="1"/>
  <c r="AC9" i="38"/>
  <c r="AC13" i="38" s="1"/>
  <c r="AS9" i="38"/>
  <c r="AS13" i="38" s="1"/>
  <c r="X8" i="38"/>
  <c r="X12" i="38" s="1"/>
  <c r="AV8" i="38"/>
  <c r="AV12" i="38" s="1"/>
  <c r="V9" i="38"/>
  <c r="V13" i="38" s="1"/>
  <c r="M9" i="38"/>
  <c r="M13" i="38" s="1"/>
  <c r="AG8" i="38"/>
  <c r="AG12" i="38" s="1"/>
  <c r="W9" i="38"/>
  <c r="W13" i="38" s="1"/>
  <c r="AM9" i="38"/>
  <c r="AM13" i="38" s="1"/>
  <c r="N9" i="38"/>
  <c r="N13" i="38" s="1"/>
  <c r="AH8" i="38"/>
  <c r="AH12" i="38" s="1"/>
  <c r="R9" i="38"/>
  <c r="R13" i="38" s="1"/>
  <c r="Z9" i="38"/>
  <c r="Z13" i="38" s="1"/>
  <c r="AH9" i="38"/>
  <c r="AH13" i="38" s="1"/>
  <c r="AP9" i="38"/>
  <c r="AP13" i="38" s="1"/>
  <c r="AX9" i="38"/>
  <c r="AX13" i="38" s="1"/>
  <c r="M8" i="38"/>
  <c r="M12" i="38" s="1"/>
  <c r="U8" i="38"/>
  <c r="U12" i="38" s="1"/>
  <c r="AC8" i="38"/>
  <c r="AC12" i="38" s="1"/>
  <c r="AK8" i="38"/>
  <c r="AK12" i="38" s="1"/>
  <c r="AS8" i="38"/>
  <c r="AS12" i="38" s="1"/>
  <c r="I8" i="38"/>
  <c r="I12" i="38" s="1"/>
  <c r="AA9" i="38"/>
  <c r="AA13" i="38" s="1"/>
  <c r="J9" i="38"/>
  <c r="J13" i="38" s="1"/>
  <c r="AD8" i="38"/>
  <c r="AD12" i="38" s="1"/>
  <c r="H4" i="35"/>
  <c r="H8" i="35" s="1"/>
  <c r="W8" i="38"/>
  <c r="W12" i="38" s="1"/>
  <c r="AU8" i="38"/>
  <c r="AU12" i="38" s="1"/>
  <c r="L9" i="38"/>
  <c r="L13" i="38" s="1"/>
  <c r="AF8" i="38"/>
  <c r="AF12" i="38" s="1"/>
  <c r="AL9" i="38"/>
  <c r="AL13" i="38" s="1"/>
  <c r="Y8" i="38"/>
  <c r="Y12" i="38" s="1"/>
  <c r="R8" i="38"/>
  <c r="R12" i="38" s="1"/>
  <c r="AP8" i="38"/>
  <c r="AP12" i="38" s="1"/>
  <c r="AQ8" i="63"/>
  <c r="AQ11" i="63" s="1"/>
  <c r="AI8" i="63"/>
  <c r="AI11" i="63" s="1"/>
  <c r="AA8" i="63"/>
  <c r="AA11" i="63" s="1"/>
  <c r="S8" i="63"/>
  <c r="S11" i="63" s="1"/>
  <c r="K8" i="63"/>
  <c r="K11" i="63" s="1"/>
  <c r="AS7" i="63"/>
  <c r="AS10" i="63" s="1"/>
  <c r="AK7" i="63"/>
  <c r="AK10" i="63" s="1"/>
  <c r="AC7" i="63"/>
  <c r="AC10" i="63" s="1"/>
  <c r="U7" i="63"/>
  <c r="M7" i="63"/>
  <c r="AV8" i="63"/>
  <c r="P8" i="63"/>
  <c r="P11" i="63" s="1"/>
  <c r="AP7" i="63"/>
  <c r="AP10" i="63" s="1"/>
  <c r="Z7" i="63"/>
  <c r="Z10" i="63" s="1"/>
  <c r="AU8" i="63"/>
  <c r="AU11" i="63" s="1"/>
  <c r="W8" i="63"/>
  <c r="W11" i="63" s="1"/>
  <c r="O8" i="63"/>
  <c r="O11" i="63" s="1"/>
  <c r="AO7" i="63"/>
  <c r="AO10" i="63" s="1"/>
  <c r="Y7" i="63"/>
  <c r="Y10" i="63" s="1"/>
  <c r="AX7" i="62"/>
  <c r="AX10" i="62" s="1"/>
  <c r="AL8" i="63"/>
  <c r="AL11" i="63" s="1"/>
  <c r="AD8" i="63"/>
  <c r="AD11" i="63" s="1"/>
  <c r="N8" i="63"/>
  <c r="N11" i="63" s="1"/>
  <c r="X7" i="63"/>
  <c r="AK8" i="63"/>
  <c r="AK11" i="63" s="1"/>
  <c r="AC8" i="63"/>
  <c r="AC11" i="63" s="1"/>
  <c r="M8" i="63"/>
  <c r="M11" i="63" s="1"/>
  <c r="AE7" i="63"/>
  <c r="AE10" i="63" s="1"/>
  <c r="O7" i="63"/>
  <c r="AR8" i="63"/>
  <c r="AR11" i="63" s="1"/>
  <c r="AB8" i="63"/>
  <c r="AB11" i="63" s="1"/>
  <c r="L8" i="63"/>
  <c r="L11" i="63" s="1"/>
  <c r="AL7" i="63"/>
  <c r="AL10" i="63" s="1"/>
  <c r="N7" i="63"/>
  <c r="AP8" i="63"/>
  <c r="AP11" i="63" s="1"/>
  <c r="AH8" i="63"/>
  <c r="AH11" i="63" s="1"/>
  <c r="Z8" i="63"/>
  <c r="Z11" i="63" s="1"/>
  <c r="R8" i="63"/>
  <c r="R11" i="63" s="1"/>
  <c r="J8" i="63"/>
  <c r="J11" i="63" s="1"/>
  <c r="AR7" i="63"/>
  <c r="AR10" i="63" s="1"/>
  <c r="AJ7" i="63"/>
  <c r="AJ10" i="63" s="1"/>
  <c r="AB7" i="63"/>
  <c r="AB10" i="63" s="1"/>
  <c r="T7" i="63"/>
  <c r="L7" i="63"/>
  <c r="AF8" i="63"/>
  <c r="AF11" i="63" s="1"/>
  <c r="AH7" i="63"/>
  <c r="AH10" i="63" s="1"/>
  <c r="J7" i="63"/>
  <c r="I7" i="63"/>
  <c r="AN7" i="63"/>
  <c r="AN10" i="63" s="1"/>
  <c r="P7" i="63"/>
  <c r="W7" i="63"/>
  <c r="V7" i="63"/>
  <c r="AX8" i="60"/>
  <c r="AX10" i="60" s="1"/>
  <c r="AO8" i="63"/>
  <c r="AO11" i="63" s="1"/>
  <c r="AG8" i="63"/>
  <c r="AG11" i="63" s="1"/>
  <c r="Y8" i="63"/>
  <c r="Y11" i="63" s="1"/>
  <c r="Q8" i="63"/>
  <c r="Q11" i="63" s="1"/>
  <c r="I8" i="63"/>
  <c r="I11" i="63" s="1"/>
  <c r="AQ7" i="63"/>
  <c r="AQ10" i="63" s="1"/>
  <c r="AI7" i="63"/>
  <c r="AI10" i="63" s="1"/>
  <c r="AA7" i="63"/>
  <c r="AA10" i="63" s="1"/>
  <c r="S7" i="63"/>
  <c r="K7" i="63"/>
  <c r="AN8" i="63"/>
  <c r="AN11" i="63" s="1"/>
  <c r="X8" i="63"/>
  <c r="X11" i="63" s="1"/>
  <c r="AX7" i="63"/>
  <c r="AX10" i="63" s="1"/>
  <c r="R7" i="63"/>
  <c r="AM8" i="63"/>
  <c r="AM11" i="63" s="1"/>
  <c r="AE8" i="63"/>
  <c r="AE11" i="63" s="1"/>
  <c r="AW7" i="63"/>
  <c r="AW10" i="63" s="1"/>
  <c r="AG7" i="63"/>
  <c r="AG10" i="63" s="1"/>
  <c r="Q7" i="63"/>
  <c r="AT8" i="63"/>
  <c r="AT11" i="63" s="1"/>
  <c r="V8" i="63"/>
  <c r="V11" i="63" s="1"/>
  <c r="AV7" i="63"/>
  <c r="AV10" i="63" s="1"/>
  <c r="AF7" i="63"/>
  <c r="AF10" i="63" s="1"/>
  <c r="AV8" i="60"/>
  <c r="AV10" i="60" s="1"/>
  <c r="AS8" i="63"/>
  <c r="AS11" i="63" s="1"/>
  <c r="U8" i="63"/>
  <c r="U11" i="63" s="1"/>
  <c r="AU7" i="63"/>
  <c r="AU10" i="63" s="1"/>
  <c r="AM7" i="63"/>
  <c r="AM10" i="63" s="1"/>
  <c r="AW8" i="60"/>
  <c r="AW10" i="60" s="1"/>
  <c r="AJ8" i="63"/>
  <c r="AJ11" i="63" s="1"/>
  <c r="T8" i="63"/>
  <c r="T11" i="63" s="1"/>
  <c r="AT7" i="63"/>
  <c r="AT10" i="63" s="1"/>
  <c r="AD7" i="63"/>
  <c r="AD10" i="63" s="1"/>
  <c r="AX7" i="61"/>
  <c r="AX10" i="61" s="1"/>
  <c r="AX12" i="61" s="1"/>
  <c r="AX13" i="61" s="1"/>
  <c r="AX14" i="61" s="1"/>
  <c r="AX15" i="61" s="1"/>
  <c r="AX18" i="61" s="1"/>
  <c r="AX20" i="61" s="1"/>
  <c r="AX7" i="46"/>
  <c r="AW6" i="10"/>
  <c r="AW9" i="10" s="1"/>
  <c r="AX7" i="49"/>
  <c r="AX11" i="49" s="1"/>
  <c r="AW8" i="18"/>
  <c r="AW11" i="18" s="1"/>
  <c r="AX8" i="47"/>
  <c r="AX11" i="47" s="1"/>
  <c r="AX7" i="58"/>
  <c r="AX12" i="58" s="1"/>
  <c r="AX8" i="54"/>
  <c r="AX12" i="54" s="1"/>
  <c r="AW5" i="57"/>
  <c r="AW8" i="57" s="1"/>
  <c r="AW6" i="20"/>
  <c r="AW9" i="20" s="1"/>
  <c r="AW7" i="41"/>
  <c r="AW10" i="41" s="1"/>
  <c r="AX7" i="54"/>
  <c r="AX11" i="54" s="1"/>
  <c r="AX8" i="58"/>
  <c r="AX13" i="58" s="1"/>
  <c r="AX7" i="47"/>
  <c r="AX10" i="47" s="1"/>
  <c r="AX7" i="50"/>
  <c r="AX11" i="50" s="1"/>
  <c r="AW7" i="10"/>
  <c r="AW7" i="16"/>
  <c r="AW10" i="16" s="1"/>
  <c r="AW6" i="14"/>
  <c r="AW9" i="14" s="1"/>
  <c r="AW8" i="25"/>
  <c r="AW11" i="25" s="1"/>
  <c r="AW7" i="25"/>
  <c r="AW10" i="25" s="1"/>
  <c r="AV4" i="32"/>
  <c r="AV9" i="32" s="1"/>
  <c r="AV6" i="14"/>
  <c r="AV9" i="14" s="1"/>
  <c r="AW7" i="14"/>
  <c r="AW10" i="14" s="1"/>
  <c r="F9" i="2"/>
  <c r="U12" i="32"/>
  <c r="AC12" i="32"/>
  <c r="AK12" i="32"/>
  <c r="AS12" i="32"/>
  <c r="BA12" i="32"/>
  <c r="K12" i="32"/>
  <c r="W12" i="32"/>
  <c r="AU12" i="32"/>
  <c r="AV12" i="32"/>
  <c r="AH12" i="32"/>
  <c r="I12" i="32"/>
  <c r="AR12" i="32"/>
  <c r="N12" i="32"/>
  <c r="V12" i="32"/>
  <c r="AD12" i="32"/>
  <c r="AL12" i="32"/>
  <c r="AT12" i="32"/>
  <c r="BB12" i="32"/>
  <c r="L12" i="32"/>
  <c r="AE12" i="32"/>
  <c r="BC12" i="32"/>
  <c r="M12" i="32"/>
  <c r="P12" i="32"/>
  <c r="AN12" i="32"/>
  <c r="H12" i="32"/>
  <c r="AA12" i="32"/>
  <c r="AQ12" i="32"/>
  <c r="AB12" i="32"/>
  <c r="O12" i="32"/>
  <c r="AM12" i="32"/>
  <c r="AF12" i="32"/>
  <c r="AP12" i="32"/>
  <c r="S12" i="32"/>
  <c r="AY12" i="32"/>
  <c r="AJ12" i="32"/>
  <c r="X12" i="32"/>
  <c r="AZ12" i="32"/>
  <c r="Q12" i="32"/>
  <c r="Y12" i="32"/>
  <c r="AG12" i="32"/>
  <c r="AO12" i="32"/>
  <c r="AW12" i="32"/>
  <c r="R12" i="32"/>
  <c r="Z12" i="32"/>
  <c r="AX12" i="32"/>
  <c r="AI12" i="32"/>
  <c r="T12" i="32"/>
  <c r="J12" i="32"/>
  <c r="F10" i="2"/>
  <c r="P10" i="34"/>
  <c r="X10" i="34"/>
  <c r="AF10" i="34"/>
  <c r="AN10" i="34"/>
  <c r="AV10" i="34"/>
  <c r="BD10" i="34"/>
  <c r="I10" i="34"/>
  <c r="Q10" i="34"/>
  <c r="Y10" i="34"/>
  <c r="AG10" i="34"/>
  <c r="AO10" i="34"/>
  <c r="AW10" i="34"/>
  <c r="BE10" i="34"/>
  <c r="AX10" i="34"/>
  <c r="S10" i="34"/>
  <c r="AQ10" i="34"/>
  <c r="V10" i="34"/>
  <c r="AD10" i="34"/>
  <c r="AU10" i="34"/>
  <c r="J10" i="34"/>
  <c r="R10" i="34"/>
  <c r="Z10" i="34"/>
  <c r="AH10" i="34"/>
  <c r="AP10" i="34"/>
  <c r="BF10" i="34"/>
  <c r="AA10" i="34"/>
  <c r="AI10" i="34"/>
  <c r="AY10" i="34"/>
  <c r="K10" i="34"/>
  <c r="AL10" i="34"/>
  <c r="W10" i="34"/>
  <c r="L10" i="34"/>
  <c r="T10" i="34"/>
  <c r="AB10" i="34"/>
  <c r="AJ10" i="34"/>
  <c r="AR10" i="34"/>
  <c r="AZ10" i="34"/>
  <c r="H10" i="34"/>
  <c r="U10" i="34"/>
  <c r="AC10" i="34"/>
  <c r="AK10" i="34"/>
  <c r="AS10" i="34"/>
  <c r="N10" i="34"/>
  <c r="BB10" i="34"/>
  <c r="AE10" i="34"/>
  <c r="BC10" i="34"/>
  <c r="M10" i="34"/>
  <c r="BA10" i="34"/>
  <c r="AT10" i="34"/>
  <c r="O10" i="34"/>
  <c r="AM10" i="34"/>
  <c r="F8" i="2"/>
  <c r="I10" i="7"/>
  <c r="J10" i="7"/>
  <c r="H10" i="7"/>
  <c r="AX7" i="43"/>
  <c r="AX10" i="43" s="1"/>
  <c r="AX6" i="43"/>
  <c r="AX9" i="43" s="1"/>
  <c r="AW6" i="43"/>
  <c r="AW9" i="43" s="1"/>
  <c r="AW4" i="40"/>
  <c r="AW7" i="40" s="1"/>
  <c r="AW9" i="40" s="1"/>
  <c r="AW14" i="40" s="1"/>
  <c r="AH8" i="62"/>
  <c r="AH11" i="62" s="1"/>
  <c r="AI8" i="62"/>
  <c r="AI11" i="62" s="1"/>
  <c r="AQ8" i="62"/>
  <c r="AQ11" i="62" s="1"/>
  <c r="L8" i="62"/>
  <c r="L11" i="62" s="1"/>
  <c r="T8" i="62"/>
  <c r="T11" i="62" s="1"/>
  <c r="AB8" i="62"/>
  <c r="AB11" i="62" s="1"/>
  <c r="V7" i="62"/>
  <c r="V10" i="62" s="1"/>
  <c r="AD7" i="62"/>
  <c r="AD10" i="62" s="1"/>
  <c r="AL7" i="62"/>
  <c r="AL10" i="62" s="1"/>
  <c r="AT7" i="62"/>
  <c r="AT10" i="62" s="1"/>
  <c r="N7" i="62"/>
  <c r="N10" i="62" s="1"/>
  <c r="AC7" i="62"/>
  <c r="AC10" i="62" s="1"/>
  <c r="AJ8" i="62"/>
  <c r="AJ11" i="62" s="1"/>
  <c r="AR8" i="62"/>
  <c r="AR11" i="62" s="1"/>
  <c r="M8" i="62"/>
  <c r="M11" i="62" s="1"/>
  <c r="U8" i="62"/>
  <c r="U11" i="62" s="1"/>
  <c r="AC8" i="62"/>
  <c r="AC11" i="62" s="1"/>
  <c r="W7" i="62"/>
  <c r="W10" i="62" s="1"/>
  <c r="AE7" i="62"/>
  <c r="AE10" i="62" s="1"/>
  <c r="AM7" i="62"/>
  <c r="AM10" i="62" s="1"/>
  <c r="AU7" i="62"/>
  <c r="AU10" i="62" s="1"/>
  <c r="O7" i="62"/>
  <c r="O10" i="62" s="1"/>
  <c r="U7" i="62"/>
  <c r="U10" i="62" s="1"/>
  <c r="M7" i="62"/>
  <c r="M10" i="62" s="1"/>
  <c r="AK8" i="62"/>
  <c r="AK11" i="62" s="1"/>
  <c r="AS8" i="62"/>
  <c r="AS11" i="62" s="1"/>
  <c r="N8" i="62"/>
  <c r="N11" i="62" s="1"/>
  <c r="V8" i="62"/>
  <c r="V11" i="62" s="1"/>
  <c r="AD8" i="62"/>
  <c r="AD11" i="62" s="1"/>
  <c r="X7" i="62"/>
  <c r="X10" i="62" s="1"/>
  <c r="AF7" i="62"/>
  <c r="AF10" i="62" s="1"/>
  <c r="AN7" i="62"/>
  <c r="AN10" i="62" s="1"/>
  <c r="AV7" i="62"/>
  <c r="AV10" i="62" s="1"/>
  <c r="P7" i="62"/>
  <c r="P10" i="62" s="1"/>
  <c r="K8" i="62"/>
  <c r="K11" i="62" s="1"/>
  <c r="AL8" i="62"/>
  <c r="AL11" i="62" s="1"/>
  <c r="AT8" i="62"/>
  <c r="AT11" i="62" s="1"/>
  <c r="O8" i="62"/>
  <c r="O11" i="62" s="1"/>
  <c r="W8" i="62"/>
  <c r="W11" i="62" s="1"/>
  <c r="AE8" i="62"/>
  <c r="AE11" i="62" s="1"/>
  <c r="Y7" i="62"/>
  <c r="Y10" i="62" s="1"/>
  <c r="AG7" i="62"/>
  <c r="AG10" i="62" s="1"/>
  <c r="AO7" i="62"/>
  <c r="AO10" i="62" s="1"/>
  <c r="AW7" i="62"/>
  <c r="AW10" i="62" s="1"/>
  <c r="Q7" i="62"/>
  <c r="Q10" i="62" s="1"/>
  <c r="AA8" i="62"/>
  <c r="AA11" i="62" s="1"/>
  <c r="AS7" i="62"/>
  <c r="AS10" i="62" s="1"/>
  <c r="AM8" i="62"/>
  <c r="AM11" i="62" s="1"/>
  <c r="AU8" i="62"/>
  <c r="AU11" i="62" s="1"/>
  <c r="P8" i="62"/>
  <c r="P11" i="62" s="1"/>
  <c r="X8" i="62"/>
  <c r="X11" i="62" s="1"/>
  <c r="AF8" i="62"/>
  <c r="AF11" i="62" s="1"/>
  <c r="Z7" i="62"/>
  <c r="Z10" i="62" s="1"/>
  <c r="AH7" i="62"/>
  <c r="AH10" i="62" s="1"/>
  <c r="AP7" i="62"/>
  <c r="AP10" i="62" s="1"/>
  <c r="J7" i="62"/>
  <c r="J10" i="62" s="1"/>
  <c r="R7" i="62"/>
  <c r="R10" i="62" s="1"/>
  <c r="S8" i="62"/>
  <c r="S11" i="62" s="1"/>
  <c r="AN8" i="62"/>
  <c r="AN11" i="62" s="1"/>
  <c r="Q8" i="62"/>
  <c r="Q11" i="62" s="1"/>
  <c r="Y8" i="62"/>
  <c r="Y11" i="62" s="1"/>
  <c r="AA7" i="62"/>
  <c r="AA10" i="62" s="1"/>
  <c r="AI7" i="62"/>
  <c r="AI10" i="62" s="1"/>
  <c r="AQ7" i="62"/>
  <c r="AQ10" i="62" s="1"/>
  <c r="K7" i="62"/>
  <c r="K10" i="62" s="1"/>
  <c r="S7" i="62"/>
  <c r="S10" i="62" s="1"/>
  <c r="AP8" i="62"/>
  <c r="AP11" i="62" s="1"/>
  <c r="AK7" i="62"/>
  <c r="AK10" i="62" s="1"/>
  <c r="AG8" i="62"/>
  <c r="AG11" i="62" s="1"/>
  <c r="AO8" i="62"/>
  <c r="AO11" i="62" s="1"/>
  <c r="J8" i="62"/>
  <c r="J11" i="62" s="1"/>
  <c r="R8" i="62"/>
  <c r="R11" i="62" s="1"/>
  <c r="Z8" i="62"/>
  <c r="Z11" i="62" s="1"/>
  <c r="T7" i="62"/>
  <c r="T10" i="62" s="1"/>
  <c r="AB7" i="62"/>
  <c r="AB10" i="62" s="1"/>
  <c r="AJ7" i="62"/>
  <c r="AJ10" i="62" s="1"/>
  <c r="AR7" i="62"/>
  <c r="AR10" i="62" s="1"/>
  <c r="L7" i="62"/>
  <c r="L10" i="62" s="1"/>
  <c r="I7" i="62"/>
  <c r="I10" i="62" s="1"/>
  <c r="AW8" i="58"/>
  <c r="AW13" i="58" s="1"/>
  <c r="AV7" i="61"/>
  <c r="AV10" i="61" s="1"/>
  <c r="AV12" i="61" s="1"/>
  <c r="AV13" i="61" s="1"/>
  <c r="AV14" i="61" s="1"/>
  <c r="AV15" i="61" s="1"/>
  <c r="AV18" i="61" s="1"/>
  <c r="AV20" i="61" s="1"/>
  <c r="AW7" i="61"/>
  <c r="AW10" i="61" s="1"/>
  <c r="AW12" i="61" s="1"/>
  <c r="AW13" i="61" s="1"/>
  <c r="AW14" i="61" s="1"/>
  <c r="AW15" i="61" s="1"/>
  <c r="AW18" i="61" s="1"/>
  <c r="AW20" i="61" s="1"/>
  <c r="AN7" i="61"/>
  <c r="AN10" i="61" s="1"/>
  <c r="AN12" i="61" s="1"/>
  <c r="AN13" i="61" s="1"/>
  <c r="AN14" i="61" s="1"/>
  <c r="AN15" i="61" s="1"/>
  <c r="AN18" i="61" s="1"/>
  <c r="AN20" i="61" s="1"/>
  <c r="I7" i="61"/>
  <c r="I10" i="61" s="1"/>
  <c r="I12" i="61" s="1"/>
  <c r="I13" i="61" s="1"/>
  <c r="I14" i="61" s="1"/>
  <c r="L7" i="61"/>
  <c r="L10" i="61" s="1"/>
  <c r="L12" i="61" s="1"/>
  <c r="L13" i="61" s="1"/>
  <c r="L14" i="61" s="1"/>
  <c r="L15" i="61" s="1"/>
  <c r="L18" i="61" s="1"/>
  <c r="L20" i="61" s="1"/>
  <c r="AC7" i="61"/>
  <c r="AC10" i="61" s="1"/>
  <c r="AC12" i="61" s="1"/>
  <c r="AC13" i="61" s="1"/>
  <c r="AC14" i="61" s="1"/>
  <c r="AC15" i="61" s="1"/>
  <c r="AC18" i="61" s="1"/>
  <c r="AC20" i="61" s="1"/>
  <c r="AT7" i="61"/>
  <c r="AT10" i="61" s="1"/>
  <c r="AT12" i="61" s="1"/>
  <c r="AT13" i="61" s="1"/>
  <c r="AT14" i="61" s="1"/>
  <c r="AT15" i="61" s="1"/>
  <c r="AT18" i="61" s="1"/>
  <c r="AT20" i="61" s="1"/>
  <c r="AB7" i="61"/>
  <c r="AB10" i="61" s="1"/>
  <c r="AB12" i="61" s="1"/>
  <c r="AB13" i="61" s="1"/>
  <c r="AB14" i="61" s="1"/>
  <c r="AB15" i="61" s="1"/>
  <c r="AB18" i="61" s="1"/>
  <c r="AB20" i="61" s="1"/>
  <c r="AE7" i="61"/>
  <c r="AE10" i="61" s="1"/>
  <c r="AE12" i="61" s="1"/>
  <c r="AE13" i="61" s="1"/>
  <c r="AE14" i="61" s="1"/>
  <c r="AE15" i="61" s="1"/>
  <c r="AE18" i="61" s="1"/>
  <c r="AE20" i="61" s="1"/>
  <c r="S7" i="61"/>
  <c r="S10" i="61" s="1"/>
  <c r="S12" i="61" s="1"/>
  <c r="S13" i="61" s="1"/>
  <c r="S14" i="61" s="1"/>
  <c r="S15" i="61" s="1"/>
  <c r="S18" i="61" s="1"/>
  <c r="S20" i="61" s="1"/>
  <c r="AH7" i="61"/>
  <c r="AH10" i="61" s="1"/>
  <c r="AH12" i="61" s="1"/>
  <c r="AH13" i="61" s="1"/>
  <c r="AH14" i="61" s="1"/>
  <c r="AH15" i="61" s="1"/>
  <c r="AH18" i="61" s="1"/>
  <c r="AH20" i="61" s="1"/>
  <c r="Y7" i="61"/>
  <c r="Y10" i="61" s="1"/>
  <c r="Y12" i="61" s="1"/>
  <c r="Y13" i="61" s="1"/>
  <c r="Y14" i="61" s="1"/>
  <c r="Y15" i="61" s="1"/>
  <c r="Y18" i="61" s="1"/>
  <c r="Y20" i="61" s="1"/>
  <c r="AR7" i="61"/>
  <c r="AR10" i="61" s="1"/>
  <c r="AR12" i="61" s="1"/>
  <c r="AR13" i="61" s="1"/>
  <c r="AR14" i="61" s="1"/>
  <c r="AR15" i="61" s="1"/>
  <c r="AR18" i="61" s="1"/>
  <c r="AR20" i="61" s="1"/>
  <c r="P7" i="61"/>
  <c r="P10" i="61" s="1"/>
  <c r="P12" i="61" s="1"/>
  <c r="P13" i="61" s="1"/>
  <c r="P14" i="61" s="1"/>
  <c r="P15" i="61" s="1"/>
  <c r="P18" i="61" s="1"/>
  <c r="P20" i="61" s="1"/>
  <c r="AI7" i="61"/>
  <c r="AI10" i="61" s="1"/>
  <c r="AI12" i="61" s="1"/>
  <c r="AI13" i="61" s="1"/>
  <c r="AI14" i="61" s="1"/>
  <c r="AI15" i="61" s="1"/>
  <c r="AI18" i="61" s="1"/>
  <c r="AI20" i="61" s="1"/>
  <c r="V7" i="61"/>
  <c r="V10" i="61" s="1"/>
  <c r="V12" i="61" s="1"/>
  <c r="V13" i="61" s="1"/>
  <c r="V14" i="61" s="1"/>
  <c r="V15" i="61" s="1"/>
  <c r="V18" i="61" s="1"/>
  <c r="V20" i="61" s="1"/>
  <c r="AG7" i="61"/>
  <c r="AG10" i="61" s="1"/>
  <c r="AG12" i="61" s="1"/>
  <c r="AG13" i="61" s="1"/>
  <c r="AG14" i="61" s="1"/>
  <c r="AG15" i="61" s="1"/>
  <c r="AG18" i="61" s="1"/>
  <c r="AG20" i="61" s="1"/>
  <c r="AD7" i="61"/>
  <c r="AD10" i="61" s="1"/>
  <c r="AD12" i="61" s="1"/>
  <c r="AD13" i="61" s="1"/>
  <c r="AD14" i="61" s="1"/>
  <c r="AD15" i="61" s="1"/>
  <c r="AD18" i="61" s="1"/>
  <c r="AD20" i="61" s="1"/>
  <c r="AO7" i="61"/>
  <c r="AO10" i="61" s="1"/>
  <c r="AO12" i="61" s="1"/>
  <c r="AO13" i="61" s="1"/>
  <c r="AO14" i="61" s="1"/>
  <c r="AO15" i="61" s="1"/>
  <c r="AO18" i="61" s="1"/>
  <c r="AO20" i="61" s="1"/>
  <c r="AL7" i="61"/>
  <c r="AL10" i="61" s="1"/>
  <c r="AL12" i="61" s="1"/>
  <c r="AL13" i="61" s="1"/>
  <c r="AL14" i="61" s="1"/>
  <c r="AL15" i="61" s="1"/>
  <c r="AL18" i="61" s="1"/>
  <c r="AL20" i="61" s="1"/>
  <c r="O7" i="61"/>
  <c r="O10" i="61" s="1"/>
  <c r="O12" i="61" s="1"/>
  <c r="O13" i="61" s="1"/>
  <c r="O14" i="61" s="1"/>
  <c r="O15" i="61" s="1"/>
  <c r="O18" i="61" s="1"/>
  <c r="O20" i="61" s="1"/>
  <c r="Z7" i="61"/>
  <c r="Z10" i="61" s="1"/>
  <c r="Z12" i="61" s="1"/>
  <c r="Z13" i="61" s="1"/>
  <c r="Z14" i="61" s="1"/>
  <c r="Z15" i="61" s="1"/>
  <c r="Z18" i="61" s="1"/>
  <c r="Z20" i="61" s="1"/>
  <c r="T7" i="61"/>
  <c r="T10" i="61" s="1"/>
  <c r="T12" i="61" s="1"/>
  <c r="T13" i="61" s="1"/>
  <c r="T14" i="61" s="1"/>
  <c r="T15" i="61" s="1"/>
  <c r="T18" i="61" s="1"/>
  <c r="T20" i="61" s="1"/>
  <c r="AK7" i="61"/>
  <c r="AK10" i="61" s="1"/>
  <c r="AK12" i="61" s="1"/>
  <c r="AK13" i="61" s="1"/>
  <c r="AK14" i="61" s="1"/>
  <c r="AK15" i="61" s="1"/>
  <c r="AK18" i="61" s="1"/>
  <c r="AK20" i="61" s="1"/>
  <c r="AU7" i="61"/>
  <c r="AU10" i="61" s="1"/>
  <c r="AU12" i="61" s="1"/>
  <c r="AU13" i="61" s="1"/>
  <c r="AU14" i="61" s="1"/>
  <c r="AU15" i="61" s="1"/>
  <c r="AU18" i="61" s="1"/>
  <c r="AU20" i="61" s="1"/>
  <c r="Q7" i="61"/>
  <c r="Q10" i="61" s="1"/>
  <c r="Q12" i="61" s="1"/>
  <c r="Q13" i="61" s="1"/>
  <c r="Q14" i="61" s="1"/>
  <c r="Q15" i="61" s="1"/>
  <c r="Q18" i="61" s="1"/>
  <c r="Q20" i="61" s="1"/>
  <c r="K7" i="61"/>
  <c r="K10" i="61" s="1"/>
  <c r="K12" i="61" s="1"/>
  <c r="K13" i="61" s="1"/>
  <c r="K14" i="61" s="1"/>
  <c r="K15" i="61" s="1"/>
  <c r="K18" i="61" s="1"/>
  <c r="K20" i="61" s="1"/>
  <c r="AS7" i="61"/>
  <c r="AS10" i="61" s="1"/>
  <c r="AS12" i="61" s="1"/>
  <c r="AS13" i="61" s="1"/>
  <c r="AS14" i="61" s="1"/>
  <c r="AS15" i="61" s="1"/>
  <c r="AS18" i="61" s="1"/>
  <c r="AS20" i="61" s="1"/>
  <c r="W7" i="61"/>
  <c r="W10" i="61" s="1"/>
  <c r="W12" i="61" s="1"/>
  <c r="W13" i="61" s="1"/>
  <c r="W14" i="61" s="1"/>
  <c r="W15" i="61" s="1"/>
  <c r="W18" i="61" s="1"/>
  <c r="W20" i="61" s="1"/>
  <c r="AJ7" i="61"/>
  <c r="AJ10" i="61" s="1"/>
  <c r="AJ12" i="61" s="1"/>
  <c r="AJ13" i="61" s="1"/>
  <c r="AJ14" i="61" s="1"/>
  <c r="AJ15" i="61" s="1"/>
  <c r="AJ18" i="61" s="1"/>
  <c r="AJ20" i="61" s="1"/>
  <c r="AM7" i="61"/>
  <c r="AM10" i="61" s="1"/>
  <c r="AM12" i="61" s="1"/>
  <c r="AM13" i="61" s="1"/>
  <c r="AM14" i="61" s="1"/>
  <c r="AM15" i="61" s="1"/>
  <c r="AM18" i="61" s="1"/>
  <c r="AM20" i="61" s="1"/>
  <c r="AA7" i="61"/>
  <c r="AA10" i="61" s="1"/>
  <c r="AA12" i="61" s="1"/>
  <c r="AA13" i="61" s="1"/>
  <c r="AA14" i="61" s="1"/>
  <c r="AA15" i="61" s="1"/>
  <c r="AA18" i="61" s="1"/>
  <c r="AA20" i="61" s="1"/>
  <c r="N7" i="61"/>
  <c r="N10" i="61" s="1"/>
  <c r="N12" i="61" s="1"/>
  <c r="N13" i="61" s="1"/>
  <c r="N14" i="61" s="1"/>
  <c r="N15" i="61" s="1"/>
  <c r="N18" i="61" s="1"/>
  <c r="N20" i="61" s="1"/>
  <c r="J7" i="61"/>
  <c r="J10" i="61" s="1"/>
  <c r="J12" i="61" s="1"/>
  <c r="J13" i="61" s="1"/>
  <c r="J14" i="61" s="1"/>
  <c r="J15" i="61" s="1"/>
  <c r="J18" i="61" s="1"/>
  <c r="J20" i="61" s="1"/>
  <c r="AP7" i="61"/>
  <c r="AP10" i="61" s="1"/>
  <c r="AP12" i="61" s="1"/>
  <c r="AP13" i="61" s="1"/>
  <c r="AP14" i="61" s="1"/>
  <c r="AP15" i="61" s="1"/>
  <c r="AP18" i="61" s="1"/>
  <c r="AP20" i="61" s="1"/>
  <c r="X7" i="61"/>
  <c r="X10" i="61" s="1"/>
  <c r="X12" i="61" s="1"/>
  <c r="X13" i="61" s="1"/>
  <c r="X14" i="61" s="1"/>
  <c r="X15" i="61" s="1"/>
  <c r="X18" i="61" s="1"/>
  <c r="X20" i="61" s="1"/>
  <c r="AQ7" i="61"/>
  <c r="AQ10" i="61" s="1"/>
  <c r="AQ12" i="61" s="1"/>
  <c r="AQ13" i="61" s="1"/>
  <c r="AQ14" i="61" s="1"/>
  <c r="AQ15" i="61" s="1"/>
  <c r="AQ18" i="61" s="1"/>
  <c r="AQ20" i="61" s="1"/>
  <c r="M7" i="61"/>
  <c r="M10" i="61" s="1"/>
  <c r="M12" i="61" s="1"/>
  <c r="M13" i="61" s="1"/>
  <c r="M14" i="61" s="1"/>
  <c r="M15" i="61" s="1"/>
  <c r="M18" i="61" s="1"/>
  <c r="M20" i="61" s="1"/>
  <c r="AF7" i="61"/>
  <c r="AF10" i="61" s="1"/>
  <c r="AF12" i="61" s="1"/>
  <c r="AF13" i="61" s="1"/>
  <c r="AF14" i="61" s="1"/>
  <c r="AF15" i="61" s="1"/>
  <c r="AF18" i="61" s="1"/>
  <c r="AF20" i="61" s="1"/>
  <c r="R7" i="61"/>
  <c r="R10" i="61" s="1"/>
  <c r="R12" i="61" s="1"/>
  <c r="R13" i="61" s="1"/>
  <c r="R14" i="61" s="1"/>
  <c r="R15" i="61" s="1"/>
  <c r="R18" i="61" s="1"/>
  <c r="R20" i="61" s="1"/>
  <c r="U7" i="61"/>
  <c r="U10" i="61" s="1"/>
  <c r="U12" i="61" s="1"/>
  <c r="U13" i="61" s="1"/>
  <c r="U14" i="61" s="1"/>
  <c r="U15" i="61" s="1"/>
  <c r="U18" i="61" s="1"/>
  <c r="U20" i="61" s="1"/>
  <c r="AU7" i="30"/>
  <c r="AU11" i="30" s="1"/>
  <c r="AV7" i="30"/>
  <c r="AV11" i="30" s="1"/>
  <c r="AV5" i="35"/>
  <c r="AU6" i="30"/>
  <c r="AV5" i="32"/>
  <c r="AV10" i="32" s="1"/>
  <c r="AW5" i="32"/>
  <c r="AW10" i="32" s="1"/>
  <c r="AV6" i="30"/>
  <c r="AU5" i="32"/>
  <c r="AU10" i="32" s="1"/>
  <c r="AW7" i="49"/>
  <c r="AW11" i="49" s="1"/>
  <c r="AV9" i="18"/>
  <c r="AV12" i="18" s="1"/>
  <c r="AV8" i="18"/>
  <c r="AV11" i="18" s="1"/>
  <c r="AU8" i="25"/>
  <c r="AU11" i="25" s="1"/>
  <c r="AV8" i="25"/>
  <c r="AV11" i="25" s="1"/>
  <c r="AV6" i="15"/>
  <c r="AV9" i="15" s="1"/>
  <c r="I8" i="60"/>
  <c r="I10" i="60" s="1"/>
  <c r="I12" i="60" s="1"/>
  <c r="AW7" i="58"/>
  <c r="AW12" i="58" s="1"/>
  <c r="AW7" i="48"/>
  <c r="AW9" i="48" s="1"/>
  <c r="Q7" i="49"/>
  <c r="Q11" i="49" s="1"/>
  <c r="Y7" i="49"/>
  <c r="Y11" i="49" s="1"/>
  <c r="AG7" i="49"/>
  <c r="AG11" i="49" s="1"/>
  <c r="AO7" i="49"/>
  <c r="AO11" i="49" s="1"/>
  <c r="P8" i="49"/>
  <c r="P10" i="49" s="1"/>
  <c r="X8" i="49"/>
  <c r="X10" i="49" s="1"/>
  <c r="AF8" i="49"/>
  <c r="AF10" i="49" s="1"/>
  <c r="AN8" i="49"/>
  <c r="AN10" i="49" s="1"/>
  <c r="AV8" i="49"/>
  <c r="AV10" i="49" s="1"/>
  <c r="AV8" i="54"/>
  <c r="AV12" i="54" s="1"/>
  <c r="R7" i="49"/>
  <c r="R11" i="49" s="1"/>
  <c r="Z7" i="49"/>
  <c r="Z11" i="49" s="1"/>
  <c r="AH7" i="49"/>
  <c r="AH11" i="49" s="1"/>
  <c r="AP7" i="49"/>
  <c r="AP11" i="49" s="1"/>
  <c r="Q8" i="49"/>
  <c r="Q10" i="49" s="1"/>
  <c r="Y8" i="49"/>
  <c r="Y10" i="49" s="1"/>
  <c r="AG8" i="49"/>
  <c r="AG10" i="49" s="1"/>
  <c r="AO8" i="49"/>
  <c r="AO10" i="49" s="1"/>
  <c r="AW8" i="49"/>
  <c r="AW10" i="49" s="1"/>
  <c r="AV8" i="47"/>
  <c r="AV11" i="47" s="1"/>
  <c r="AV7" i="54"/>
  <c r="AV11" i="54" s="1"/>
  <c r="AW7" i="46"/>
  <c r="L7" i="49"/>
  <c r="L11" i="49" s="1"/>
  <c r="T7" i="49"/>
  <c r="T11" i="49" s="1"/>
  <c r="AB7" i="49"/>
  <c r="AB11" i="49" s="1"/>
  <c r="AJ7" i="49"/>
  <c r="AJ11" i="49" s="1"/>
  <c r="AR7" i="49"/>
  <c r="AR11" i="49" s="1"/>
  <c r="K8" i="49"/>
  <c r="K10" i="49" s="1"/>
  <c r="S8" i="49"/>
  <c r="S10" i="49" s="1"/>
  <c r="AA8" i="49"/>
  <c r="AA10" i="49" s="1"/>
  <c r="AI8" i="49"/>
  <c r="AI10" i="49" s="1"/>
  <c r="AQ8" i="49"/>
  <c r="AQ10" i="49" s="1"/>
  <c r="AY8" i="49"/>
  <c r="AY10" i="49" s="1"/>
  <c r="AW8" i="47"/>
  <c r="AW11" i="47" s="1"/>
  <c r="AW7" i="54"/>
  <c r="AW11" i="54" s="1"/>
  <c r="M7" i="49"/>
  <c r="M11" i="49" s="1"/>
  <c r="U7" i="49"/>
  <c r="U11" i="49" s="1"/>
  <c r="AC7" i="49"/>
  <c r="AC11" i="49" s="1"/>
  <c r="AK7" i="49"/>
  <c r="AK11" i="49" s="1"/>
  <c r="AS7" i="49"/>
  <c r="AS11" i="49" s="1"/>
  <c r="L8" i="49"/>
  <c r="L10" i="49" s="1"/>
  <c r="T8" i="49"/>
  <c r="T10" i="49" s="1"/>
  <c r="AB8" i="49"/>
  <c r="AB10" i="49" s="1"/>
  <c r="AJ8" i="49"/>
  <c r="AJ10" i="49" s="1"/>
  <c r="AR8" i="49"/>
  <c r="AR10" i="49" s="1"/>
  <c r="AW7" i="50"/>
  <c r="AW11" i="50" s="1"/>
  <c r="AW7" i="47"/>
  <c r="AW10" i="47" s="1"/>
  <c r="AV7" i="46"/>
  <c r="S7" i="49"/>
  <c r="S11" i="49" s="1"/>
  <c r="AI7" i="49"/>
  <c r="AI11" i="49" s="1"/>
  <c r="AY7" i="49"/>
  <c r="AY11" i="49" s="1"/>
  <c r="Z8" i="49"/>
  <c r="Z10" i="49" s="1"/>
  <c r="AP8" i="49"/>
  <c r="AP10" i="49" s="1"/>
  <c r="AV7" i="10"/>
  <c r="X7" i="49"/>
  <c r="X11" i="49" s="1"/>
  <c r="AN7" i="49"/>
  <c r="AN11" i="49" s="1"/>
  <c r="O8" i="49"/>
  <c r="O10" i="49" s="1"/>
  <c r="AE8" i="49"/>
  <c r="AE10" i="49" s="1"/>
  <c r="AU8" i="49"/>
  <c r="AU10" i="49" s="1"/>
  <c r="AV4" i="31"/>
  <c r="AV9" i="31" s="1"/>
  <c r="AV6" i="20"/>
  <c r="AV9" i="20" s="1"/>
  <c r="AV6" i="10"/>
  <c r="AV9" i="10" s="1"/>
  <c r="AV7" i="48"/>
  <c r="AV9" i="48" s="1"/>
  <c r="N7" i="49"/>
  <c r="N11" i="49" s="1"/>
  <c r="AD7" i="49"/>
  <c r="AD11" i="49" s="1"/>
  <c r="AT7" i="49"/>
  <c r="AT11" i="49" s="1"/>
  <c r="U8" i="49"/>
  <c r="U10" i="49" s="1"/>
  <c r="AK8" i="49"/>
  <c r="AK10" i="49" s="1"/>
  <c r="AU7" i="41"/>
  <c r="AU10" i="41" s="1"/>
  <c r="AW8" i="54"/>
  <c r="AW12" i="54" s="1"/>
  <c r="O7" i="49"/>
  <c r="O11" i="49" s="1"/>
  <c r="AE7" i="49"/>
  <c r="AE11" i="49" s="1"/>
  <c r="AU7" i="49"/>
  <c r="AU11" i="49" s="1"/>
  <c r="V8" i="49"/>
  <c r="V10" i="49" s="1"/>
  <c r="AL8" i="49"/>
  <c r="AL10" i="49" s="1"/>
  <c r="AV7" i="41"/>
  <c r="AV10" i="41" s="1"/>
  <c r="AV7" i="47"/>
  <c r="AV10" i="47" s="1"/>
  <c r="AA7" i="49"/>
  <c r="AA11" i="49" s="1"/>
  <c r="R8" i="49"/>
  <c r="R10" i="49" s="1"/>
  <c r="AX8" i="49"/>
  <c r="AX10" i="49" s="1"/>
  <c r="AT4" i="31"/>
  <c r="AT9" i="31" s="1"/>
  <c r="AU5" i="57"/>
  <c r="AU8" i="57" s="1"/>
  <c r="AT8" i="49"/>
  <c r="AT10" i="49" s="1"/>
  <c r="AF7" i="49"/>
  <c r="AF11" i="49" s="1"/>
  <c r="W8" i="49"/>
  <c r="W10" i="49" s="1"/>
  <c r="AU4" i="31"/>
  <c r="AU9" i="31" s="1"/>
  <c r="P7" i="49"/>
  <c r="P11" i="49" s="1"/>
  <c r="AW7" i="43"/>
  <c r="AW10" i="43" s="1"/>
  <c r="AL7" i="49"/>
  <c r="AL11" i="49" s="1"/>
  <c r="AC8" i="49"/>
  <c r="AC10" i="49" s="1"/>
  <c r="AU6" i="20"/>
  <c r="AU9" i="20" s="1"/>
  <c r="AV7" i="49"/>
  <c r="AV11" i="49" s="1"/>
  <c r="AV5" i="57"/>
  <c r="AV8" i="57" s="1"/>
  <c r="AM7" i="49"/>
  <c r="AM11" i="49" s="1"/>
  <c r="AD8" i="49"/>
  <c r="AD10" i="49" s="1"/>
  <c r="AV7" i="50"/>
  <c r="AV11" i="50" s="1"/>
  <c r="AU7" i="10"/>
  <c r="AM8" i="49"/>
  <c r="AM10" i="49" s="1"/>
  <c r="K7" i="49"/>
  <c r="K11" i="49" s="1"/>
  <c r="AQ7" i="49"/>
  <c r="AQ11" i="49" s="1"/>
  <c r="AH8" i="49"/>
  <c r="AH10" i="49" s="1"/>
  <c r="V7" i="49"/>
  <c r="V11" i="49" s="1"/>
  <c r="M8" i="49"/>
  <c r="M10" i="49" s="1"/>
  <c r="AS8" i="49"/>
  <c r="AS10" i="49" s="1"/>
  <c r="AU6" i="10"/>
  <c r="AU9" i="10" s="1"/>
  <c r="W7" i="49"/>
  <c r="W11" i="49" s="1"/>
  <c r="N8" i="49"/>
  <c r="N10" i="49" s="1"/>
  <c r="AP8" i="60"/>
  <c r="AP10" i="60" s="1"/>
  <c r="AH8" i="60"/>
  <c r="AH10" i="60" s="1"/>
  <c r="Z8" i="60"/>
  <c r="Z10" i="60" s="1"/>
  <c r="R8" i="60"/>
  <c r="R10" i="60" s="1"/>
  <c r="J8" i="60"/>
  <c r="J10" i="60" s="1"/>
  <c r="AT8" i="60"/>
  <c r="AT10" i="60" s="1"/>
  <c r="AO8" i="60"/>
  <c r="AO10" i="60" s="1"/>
  <c r="AG8" i="60"/>
  <c r="AG10" i="60" s="1"/>
  <c r="Y8" i="60"/>
  <c r="Y10" i="60" s="1"/>
  <c r="Q8" i="60"/>
  <c r="Q10" i="60" s="1"/>
  <c r="O8" i="60"/>
  <c r="O10" i="60" s="1"/>
  <c r="N8" i="60"/>
  <c r="N10" i="60" s="1"/>
  <c r="AN8" i="60"/>
  <c r="AN10" i="60" s="1"/>
  <c r="AF8" i="60"/>
  <c r="AF10" i="60" s="1"/>
  <c r="X8" i="60"/>
  <c r="X10" i="60" s="1"/>
  <c r="P8" i="60"/>
  <c r="P10" i="60" s="1"/>
  <c r="AE8" i="60"/>
  <c r="AE10" i="60" s="1"/>
  <c r="AD8" i="60"/>
  <c r="AD10" i="60" s="1"/>
  <c r="AU8" i="60"/>
  <c r="AU10" i="60" s="1"/>
  <c r="AM8" i="60"/>
  <c r="AM10" i="60" s="1"/>
  <c r="V8" i="60"/>
  <c r="V10" i="60" s="1"/>
  <c r="AS8" i="60"/>
  <c r="AS10" i="60" s="1"/>
  <c r="AK8" i="60"/>
  <c r="AK10" i="60" s="1"/>
  <c r="AC8" i="60"/>
  <c r="AC10" i="60" s="1"/>
  <c r="U8" i="60"/>
  <c r="U10" i="60" s="1"/>
  <c r="M8" i="60"/>
  <c r="M10" i="60" s="1"/>
  <c r="AB8" i="60"/>
  <c r="AB10" i="60" s="1"/>
  <c r="L8" i="60"/>
  <c r="L10" i="60" s="1"/>
  <c r="AR8" i="60"/>
  <c r="AR10" i="60" s="1"/>
  <c r="AJ8" i="60"/>
  <c r="AJ10" i="60" s="1"/>
  <c r="T8" i="60"/>
  <c r="T10" i="60" s="1"/>
  <c r="AQ8" i="60"/>
  <c r="AQ10" i="60" s="1"/>
  <c r="AI8" i="60"/>
  <c r="AI10" i="60" s="1"/>
  <c r="AA8" i="60"/>
  <c r="AA10" i="60" s="1"/>
  <c r="S8" i="60"/>
  <c r="S10" i="60" s="1"/>
  <c r="K8" i="60"/>
  <c r="K10" i="60" s="1"/>
  <c r="W8" i="60"/>
  <c r="W10" i="60" s="1"/>
  <c r="AL8" i="60"/>
  <c r="AL10" i="60" s="1"/>
  <c r="AV7" i="16"/>
  <c r="AV10" i="16" s="1"/>
  <c r="P8" i="25"/>
  <c r="P11" i="25" s="1"/>
  <c r="X8" i="25"/>
  <c r="X11" i="25" s="1"/>
  <c r="AF8" i="25"/>
  <c r="AF11" i="25" s="1"/>
  <c r="AN8" i="25"/>
  <c r="AN11" i="25" s="1"/>
  <c r="S8" i="25"/>
  <c r="S11" i="25" s="1"/>
  <c r="AI8" i="25"/>
  <c r="AI11" i="25" s="1"/>
  <c r="AU7" i="25"/>
  <c r="AU10" i="25" s="1"/>
  <c r="AB8" i="25"/>
  <c r="AB11" i="25" s="1"/>
  <c r="AR8" i="25"/>
  <c r="AR11" i="25" s="1"/>
  <c r="U8" i="25"/>
  <c r="U11" i="25" s="1"/>
  <c r="AK8" i="25"/>
  <c r="AK11" i="25" s="1"/>
  <c r="N8" i="25"/>
  <c r="N11" i="25" s="1"/>
  <c r="AD8" i="25"/>
  <c r="AD11" i="25" s="1"/>
  <c r="AU7" i="16"/>
  <c r="AU10" i="16" s="1"/>
  <c r="Q8" i="25"/>
  <c r="Q11" i="25" s="1"/>
  <c r="Y8" i="25"/>
  <c r="Y11" i="25" s="1"/>
  <c r="AG8" i="25"/>
  <c r="AG11" i="25" s="1"/>
  <c r="AO8" i="25"/>
  <c r="AO11" i="25" s="1"/>
  <c r="AV7" i="25"/>
  <c r="AV10" i="25" s="1"/>
  <c r="AQ8" i="25"/>
  <c r="AQ11" i="25" s="1"/>
  <c r="T8" i="25"/>
  <c r="T11" i="25" s="1"/>
  <c r="AS8" i="25"/>
  <c r="AS11" i="25" s="1"/>
  <c r="V8" i="25"/>
  <c r="V11" i="25" s="1"/>
  <c r="AL8" i="25"/>
  <c r="AL11" i="25" s="1"/>
  <c r="O8" i="25"/>
  <c r="O11" i="25" s="1"/>
  <c r="AM8" i="25"/>
  <c r="AM11" i="25" s="1"/>
  <c r="J8" i="25"/>
  <c r="J11" i="25" s="1"/>
  <c r="R8" i="25"/>
  <c r="R11" i="25" s="1"/>
  <c r="Z8" i="25"/>
  <c r="Z11" i="25" s="1"/>
  <c r="AH8" i="25"/>
  <c r="AH11" i="25" s="1"/>
  <c r="AP8" i="25"/>
  <c r="AP11" i="25" s="1"/>
  <c r="AT7" i="25"/>
  <c r="AT10" i="25" s="1"/>
  <c r="K8" i="25"/>
  <c r="K11" i="25" s="1"/>
  <c r="AA8" i="25"/>
  <c r="AA11" i="25" s="1"/>
  <c r="L8" i="25"/>
  <c r="L11" i="25" s="1"/>
  <c r="AJ8" i="25"/>
  <c r="AJ11" i="25" s="1"/>
  <c r="M8" i="25"/>
  <c r="M11" i="25" s="1"/>
  <c r="AC8" i="25"/>
  <c r="AC11" i="25" s="1"/>
  <c r="AT8" i="25"/>
  <c r="AT11" i="25" s="1"/>
  <c r="W8" i="25"/>
  <c r="W11" i="25" s="1"/>
  <c r="AE8" i="25"/>
  <c r="AE11" i="25" s="1"/>
  <c r="AV7" i="13"/>
  <c r="AV11" i="13" s="1"/>
  <c r="AU7" i="13"/>
  <c r="AU11" i="13" s="1"/>
  <c r="AV6" i="43"/>
  <c r="AV9" i="43" s="1"/>
  <c r="AU6" i="43"/>
  <c r="AU9" i="43" s="1"/>
  <c r="AV7" i="43"/>
  <c r="AV10" i="43" s="1"/>
  <c r="AU7" i="43"/>
  <c r="AU10" i="43" s="1"/>
  <c r="AS4" i="40"/>
  <c r="AS7" i="40" s="1"/>
  <c r="AS9" i="40" s="1"/>
  <c r="AV4" i="40"/>
  <c r="AV7" i="40" s="1"/>
  <c r="AV9" i="40" s="1"/>
  <c r="Z4" i="40"/>
  <c r="Z7" i="40" s="1"/>
  <c r="Z9" i="40" s="1"/>
  <c r="Z14" i="40" s="1"/>
  <c r="AY4" i="40"/>
  <c r="AY7" i="40" s="1"/>
  <c r="AY9" i="40" s="1"/>
  <c r="P4" i="40"/>
  <c r="P7" i="40" s="1"/>
  <c r="P9" i="40" s="1"/>
  <c r="P14" i="40" s="1"/>
  <c r="AD4" i="40"/>
  <c r="AD7" i="40" s="1"/>
  <c r="AD9" i="40" s="1"/>
  <c r="AD14" i="40" s="1"/>
  <c r="AL4" i="40"/>
  <c r="AL7" i="40" s="1"/>
  <c r="AL9" i="40" s="1"/>
  <c r="AL14" i="40" s="1"/>
  <c r="AZ4" i="40"/>
  <c r="AZ7" i="40" s="1"/>
  <c r="AZ9" i="40" s="1"/>
  <c r="H4" i="40"/>
  <c r="H7" i="40" s="1"/>
  <c r="H9" i="40" s="1"/>
  <c r="H14" i="40" s="1"/>
  <c r="AX4" i="40"/>
  <c r="AX7" i="40" s="1"/>
  <c r="AX9" i="40" s="1"/>
  <c r="AF4" i="40"/>
  <c r="AF7" i="40" s="1"/>
  <c r="AF9" i="40" s="1"/>
  <c r="AF14" i="40" s="1"/>
  <c r="AM4" i="40"/>
  <c r="AM7" i="40" s="1"/>
  <c r="AM9" i="40" s="1"/>
  <c r="AM14" i="40" s="1"/>
  <c r="X4" i="40"/>
  <c r="X7" i="40" s="1"/>
  <c r="X9" i="40" s="1"/>
  <c r="X14" i="40" s="1"/>
  <c r="BC4" i="40"/>
  <c r="BC7" i="40" s="1"/>
  <c r="BC9" i="40" s="1"/>
  <c r="BA4" i="40"/>
  <c r="BA7" i="40" s="1"/>
  <c r="BA9" i="40" s="1"/>
  <c r="AU4" i="40"/>
  <c r="AU7" i="40" s="1"/>
  <c r="AU9" i="40" s="1"/>
  <c r="AK4" i="40"/>
  <c r="AK7" i="40" s="1"/>
  <c r="AK9" i="40" s="1"/>
  <c r="AK14" i="40" s="1"/>
  <c r="AJ4" i="40"/>
  <c r="AJ7" i="40" s="1"/>
  <c r="AJ9" i="40" s="1"/>
  <c r="AJ14" i="40" s="1"/>
  <c r="M4" i="40"/>
  <c r="M7" i="40" s="1"/>
  <c r="M9" i="40" s="1"/>
  <c r="M14" i="40" s="1"/>
  <c r="Q4" i="40"/>
  <c r="Q7" i="40" s="1"/>
  <c r="Q9" i="40" s="1"/>
  <c r="Q14" i="40" s="1"/>
  <c r="Y4" i="40"/>
  <c r="Y7" i="40" s="1"/>
  <c r="Y9" i="40" s="1"/>
  <c r="Y14" i="40" s="1"/>
  <c r="AN4" i="40"/>
  <c r="AN7" i="40" s="1"/>
  <c r="AN9" i="40" s="1"/>
  <c r="AN14" i="40" s="1"/>
  <c r="O4" i="40"/>
  <c r="O7" i="40" s="1"/>
  <c r="O9" i="40" s="1"/>
  <c r="O14" i="40" s="1"/>
  <c r="N4" i="40"/>
  <c r="N7" i="40" s="1"/>
  <c r="N9" i="40" s="1"/>
  <c r="N14" i="40" s="1"/>
  <c r="AC4" i="40"/>
  <c r="AC7" i="40" s="1"/>
  <c r="AC9" i="40" s="1"/>
  <c r="AC14" i="40" s="1"/>
  <c r="AB4" i="40"/>
  <c r="AB7" i="40" s="1"/>
  <c r="AB9" i="40" s="1"/>
  <c r="AB14" i="40" s="1"/>
  <c r="T4" i="40"/>
  <c r="T7" i="40" s="1"/>
  <c r="T9" i="40" s="1"/>
  <c r="T14" i="40" s="1"/>
  <c r="AH4" i="40"/>
  <c r="AH7" i="40" s="1"/>
  <c r="AH9" i="40" s="1"/>
  <c r="AH14" i="40" s="1"/>
  <c r="AT4" i="40"/>
  <c r="AT7" i="40" s="1"/>
  <c r="AT9" i="40" s="1"/>
  <c r="U4" i="40"/>
  <c r="U7" i="40" s="1"/>
  <c r="U9" i="40" s="1"/>
  <c r="U14" i="40" s="1"/>
  <c r="R4" i="40"/>
  <c r="R7" i="40" s="1"/>
  <c r="R9" i="40" s="1"/>
  <c r="R14" i="40" s="1"/>
  <c r="V4" i="40"/>
  <c r="V7" i="40" s="1"/>
  <c r="V9" i="40" s="1"/>
  <c r="V14" i="40" s="1"/>
  <c r="AQ4" i="40"/>
  <c r="AQ7" i="40" s="1"/>
  <c r="AQ9" i="40" s="1"/>
  <c r="AQ14" i="40" s="1"/>
  <c r="AP4" i="40"/>
  <c r="AP7" i="40" s="1"/>
  <c r="AP9" i="40" s="1"/>
  <c r="AP14" i="40" s="1"/>
  <c r="AG4" i="40"/>
  <c r="AG7" i="40" s="1"/>
  <c r="AG9" i="40" s="1"/>
  <c r="AG14" i="40" s="1"/>
  <c r="W4" i="40"/>
  <c r="W7" i="40" s="1"/>
  <c r="W9" i="40" s="1"/>
  <c r="W14" i="40" s="1"/>
  <c r="J4" i="40"/>
  <c r="J7" i="40" s="1"/>
  <c r="J9" i="40" s="1"/>
  <c r="J14" i="40" s="1"/>
  <c r="L4" i="40"/>
  <c r="L7" i="40" s="1"/>
  <c r="L9" i="40" s="1"/>
  <c r="L14" i="40" s="1"/>
  <c r="AE4" i="40"/>
  <c r="AE7" i="40" s="1"/>
  <c r="AE9" i="40" s="1"/>
  <c r="AE14" i="40" s="1"/>
  <c r="AR4" i="40"/>
  <c r="AR7" i="40" s="1"/>
  <c r="AR9" i="40" s="1"/>
  <c r="AI4" i="40"/>
  <c r="AI7" i="40" s="1"/>
  <c r="AI9" i="40" s="1"/>
  <c r="AI14" i="40" s="1"/>
  <c r="K4" i="40"/>
  <c r="K7" i="40" s="1"/>
  <c r="K9" i="40" s="1"/>
  <c r="K14" i="40" s="1"/>
  <c r="AO4" i="40"/>
  <c r="AO7" i="40" s="1"/>
  <c r="AO9" i="40" s="1"/>
  <c r="AO14" i="40" s="1"/>
  <c r="I4" i="40"/>
  <c r="I7" i="40" s="1"/>
  <c r="I9" i="40" s="1"/>
  <c r="I14" i="40" s="1"/>
  <c r="S4" i="40"/>
  <c r="S7" i="40" s="1"/>
  <c r="S9" i="40" s="1"/>
  <c r="S14" i="40" s="1"/>
  <c r="AA4" i="40"/>
  <c r="AA7" i="40" s="1"/>
  <c r="AA9" i="40" s="1"/>
  <c r="AA14" i="40" s="1"/>
  <c r="AV8" i="58"/>
  <c r="AV13" i="58" s="1"/>
  <c r="AV7" i="58"/>
  <c r="AV12" i="58" s="1"/>
  <c r="AO8" i="58"/>
  <c r="AG8" i="58"/>
  <c r="Y8" i="58"/>
  <c r="Q8" i="58"/>
  <c r="I8" i="58"/>
  <c r="I13" i="58" s="1"/>
  <c r="AN7" i="58"/>
  <c r="AF7" i="58"/>
  <c r="X7" i="58"/>
  <c r="P7" i="58"/>
  <c r="AN8" i="58"/>
  <c r="AF8" i="58"/>
  <c r="X8" i="58"/>
  <c r="P8" i="58"/>
  <c r="AU7" i="58"/>
  <c r="AM7" i="58"/>
  <c r="AE7" i="58"/>
  <c r="W7" i="58"/>
  <c r="O7" i="58"/>
  <c r="AM8" i="58"/>
  <c r="AE8" i="58"/>
  <c r="W8" i="58"/>
  <c r="O8" i="58"/>
  <c r="AT7" i="58"/>
  <c r="AL7" i="58"/>
  <c r="AD7" i="58"/>
  <c r="V7" i="58"/>
  <c r="N7" i="58"/>
  <c r="AU8" i="58"/>
  <c r="AT8" i="58"/>
  <c r="AL8" i="58"/>
  <c r="AD8" i="58"/>
  <c r="V8" i="58"/>
  <c r="N8" i="58"/>
  <c r="AS7" i="58"/>
  <c r="AS12" i="58" s="1"/>
  <c r="AK7" i="58"/>
  <c r="AC7" i="58"/>
  <c r="U7" i="58"/>
  <c r="M7" i="58"/>
  <c r="AB8" i="58"/>
  <c r="L8" i="58"/>
  <c r="AI7" i="58"/>
  <c r="AA7" i="58"/>
  <c r="K7" i="58"/>
  <c r="AS8" i="58"/>
  <c r="AK8" i="58"/>
  <c r="AC8" i="58"/>
  <c r="U8" i="58"/>
  <c r="M8" i="58"/>
  <c r="AR7" i="58"/>
  <c r="AJ7" i="58"/>
  <c r="AB7" i="58"/>
  <c r="T7" i="58"/>
  <c r="L7" i="58"/>
  <c r="AJ8" i="58"/>
  <c r="T8" i="58"/>
  <c r="AQ7" i="58"/>
  <c r="S7" i="58"/>
  <c r="AR8" i="58"/>
  <c r="AQ8" i="58"/>
  <c r="AI8" i="58"/>
  <c r="AA8" i="58"/>
  <c r="S8" i="58"/>
  <c r="K8" i="58"/>
  <c r="AP7" i="58"/>
  <c r="AH7" i="58"/>
  <c r="Z7" i="58"/>
  <c r="R7" i="58"/>
  <c r="J7" i="58"/>
  <c r="AP8" i="58"/>
  <c r="AH8" i="58"/>
  <c r="Z8" i="58"/>
  <c r="R8" i="58"/>
  <c r="J8" i="58"/>
  <c r="AO7" i="58"/>
  <c r="AG7" i="58"/>
  <c r="Y7" i="58"/>
  <c r="Q7" i="58"/>
  <c r="I7" i="58"/>
  <c r="I12" i="58" s="1"/>
  <c r="AF5" i="32"/>
  <c r="AF10" i="32" s="1"/>
  <c r="AN5" i="32"/>
  <c r="AN10" i="32" s="1"/>
  <c r="J5" i="32"/>
  <c r="J10" i="32" s="1"/>
  <c r="R5" i="32"/>
  <c r="R10" i="32" s="1"/>
  <c r="H6" i="32"/>
  <c r="H11" i="32" s="1"/>
  <c r="AI5" i="32"/>
  <c r="AI10" i="32" s="1"/>
  <c r="U5" i="32"/>
  <c r="U10" i="32" s="1"/>
  <c r="Y5" i="32"/>
  <c r="Y10" i="32" s="1"/>
  <c r="AG5" i="32"/>
  <c r="AG10" i="32" s="1"/>
  <c r="AO5" i="32"/>
  <c r="AO10" i="32" s="1"/>
  <c r="K5" i="32"/>
  <c r="K10" i="32" s="1"/>
  <c r="S5" i="32"/>
  <c r="S10" i="32" s="1"/>
  <c r="AQ5" i="32"/>
  <c r="AQ10" i="32" s="1"/>
  <c r="X5" i="32"/>
  <c r="X10" i="32" s="1"/>
  <c r="Z5" i="32"/>
  <c r="Z10" i="32" s="1"/>
  <c r="AH5" i="32"/>
  <c r="AH10" i="32" s="1"/>
  <c r="AP5" i="32"/>
  <c r="AP10" i="32" s="1"/>
  <c r="L5" i="32"/>
  <c r="L10" i="32" s="1"/>
  <c r="T5" i="32"/>
  <c r="T10" i="32" s="1"/>
  <c r="AA5" i="32"/>
  <c r="AA10" i="32" s="1"/>
  <c r="AT5" i="32"/>
  <c r="AT10" i="32" s="1"/>
  <c r="AB5" i="32"/>
  <c r="AB10" i="32" s="1"/>
  <c r="AJ5" i="32"/>
  <c r="AJ10" i="32" s="1"/>
  <c r="AR5" i="32"/>
  <c r="AR10" i="32" s="1"/>
  <c r="N5" i="32"/>
  <c r="N10" i="32" s="1"/>
  <c r="V5" i="32"/>
  <c r="V10" i="32" s="1"/>
  <c r="W5" i="32"/>
  <c r="W10" i="32" s="1"/>
  <c r="AD5" i="32"/>
  <c r="AD10" i="32" s="1"/>
  <c r="P5" i="32"/>
  <c r="P10" i="32" s="1"/>
  <c r="AC5" i="32"/>
  <c r="AC10" i="32" s="1"/>
  <c r="AK5" i="32"/>
  <c r="AK10" i="32" s="1"/>
  <c r="AS5" i="32"/>
  <c r="AS10" i="32" s="1"/>
  <c r="O5" i="32"/>
  <c r="O10" i="32" s="1"/>
  <c r="AL5" i="32"/>
  <c r="AL10" i="32" s="1"/>
  <c r="AE5" i="32"/>
  <c r="AE10" i="32" s="1"/>
  <c r="AM5" i="32"/>
  <c r="AM10" i="32" s="1"/>
  <c r="I5" i="32"/>
  <c r="I10" i="32" s="1"/>
  <c r="Q5" i="32"/>
  <c r="Q10" i="32" s="1"/>
  <c r="H4" i="32"/>
  <c r="M5" i="32"/>
  <c r="M10" i="32" s="1"/>
  <c r="N5" i="57"/>
  <c r="N8" i="57" s="1"/>
  <c r="V5" i="57"/>
  <c r="V8" i="57" s="1"/>
  <c r="AD5" i="57"/>
  <c r="AD8" i="57" s="1"/>
  <c r="AL5" i="57"/>
  <c r="AL8" i="57" s="1"/>
  <c r="AT5" i="57"/>
  <c r="AT8" i="57" s="1"/>
  <c r="AZ6" i="57"/>
  <c r="AZ9" i="57" s="1"/>
  <c r="AR6" i="57"/>
  <c r="AR9" i="57" s="1"/>
  <c r="AJ6" i="57"/>
  <c r="AJ9" i="57" s="1"/>
  <c r="AB6" i="57"/>
  <c r="AB9" i="57" s="1"/>
  <c r="T6" i="57"/>
  <c r="T9" i="57" s="1"/>
  <c r="L6" i="57"/>
  <c r="L9" i="57" s="1"/>
  <c r="O5" i="57"/>
  <c r="O8" i="57" s="1"/>
  <c r="AE5" i="57"/>
  <c r="AE8" i="57" s="1"/>
  <c r="I5" i="57"/>
  <c r="I8" i="57" s="1"/>
  <c r="AQ6" i="57"/>
  <c r="AQ9" i="57" s="1"/>
  <c r="AA6" i="57"/>
  <c r="AA9" i="57" s="1"/>
  <c r="K6" i="57"/>
  <c r="K9" i="57" s="1"/>
  <c r="X5" i="57"/>
  <c r="X8" i="57" s="1"/>
  <c r="AN5" i="57"/>
  <c r="AN8" i="57" s="1"/>
  <c r="AP6" i="57"/>
  <c r="AP9" i="57" s="1"/>
  <c r="R6" i="57"/>
  <c r="R9" i="57" s="1"/>
  <c r="Q5" i="57"/>
  <c r="Q8" i="57" s="1"/>
  <c r="AO5" i="57"/>
  <c r="AO8" i="57" s="1"/>
  <c r="BE6" i="57"/>
  <c r="BE9" i="57" s="1"/>
  <c r="AW6" i="57"/>
  <c r="AW9" i="57" s="1"/>
  <c r="AO6" i="57"/>
  <c r="AO9" i="57" s="1"/>
  <c r="Y6" i="57"/>
  <c r="Y9" i="57" s="1"/>
  <c r="I6" i="57"/>
  <c r="I9" i="57" s="1"/>
  <c r="Z5" i="57"/>
  <c r="Z8" i="57" s="1"/>
  <c r="AP5" i="57"/>
  <c r="AP8" i="57" s="1"/>
  <c r="BD6" i="57"/>
  <c r="BD9" i="57" s="1"/>
  <c r="AN6" i="57"/>
  <c r="AN9" i="57" s="1"/>
  <c r="P6" i="57"/>
  <c r="P9" i="57" s="1"/>
  <c r="AA5" i="57"/>
  <c r="AA8" i="57" s="1"/>
  <c r="AQ5" i="57"/>
  <c r="AQ8" i="57" s="1"/>
  <c r="BC6" i="57"/>
  <c r="BC9" i="57" s="1"/>
  <c r="AM6" i="57"/>
  <c r="AM9" i="57" s="1"/>
  <c r="O6" i="57"/>
  <c r="O9" i="57" s="1"/>
  <c r="AB5" i="57"/>
  <c r="AB8" i="57" s="1"/>
  <c r="AR5" i="57"/>
  <c r="AR8" i="57" s="1"/>
  <c r="AD6" i="57"/>
  <c r="AD9" i="57" s="1"/>
  <c r="N6" i="57"/>
  <c r="N9" i="57" s="1"/>
  <c r="U5" i="57"/>
  <c r="U8" i="57" s="1"/>
  <c r="AC5" i="57"/>
  <c r="AC8" i="57" s="1"/>
  <c r="AK5" i="57"/>
  <c r="AK8" i="57" s="1"/>
  <c r="AS5" i="57"/>
  <c r="AS8" i="57" s="1"/>
  <c r="BA6" i="57"/>
  <c r="BA9" i="57" s="1"/>
  <c r="AS6" i="57"/>
  <c r="AS9" i="57" s="1"/>
  <c r="AK6" i="57"/>
  <c r="AK9" i="57" s="1"/>
  <c r="AC6" i="57"/>
  <c r="AC9" i="57" s="1"/>
  <c r="U6" i="57"/>
  <c r="U9" i="57" s="1"/>
  <c r="M6" i="57"/>
  <c r="M9" i="57" s="1"/>
  <c r="W5" i="57"/>
  <c r="W8" i="57" s="1"/>
  <c r="AM5" i="57"/>
  <c r="AM8" i="57" s="1"/>
  <c r="AY6" i="57"/>
  <c r="AY9" i="57" s="1"/>
  <c r="AI6" i="57"/>
  <c r="AI9" i="57" s="1"/>
  <c r="S6" i="57"/>
  <c r="S9" i="57" s="1"/>
  <c r="P5" i="57"/>
  <c r="P8" i="57" s="1"/>
  <c r="AF5" i="57"/>
  <c r="AF8" i="57" s="1"/>
  <c r="J5" i="57"/>
  <c r="J8" i="57" s="1"/>
  <c r="AX6" i="57"/>
  <c r="AX9" i="57" s="1"/>
  <c r="AH6" i="57"/>
  <c r="AH9" i="57" s="1"/>
  <c r="Z6" i="57"/>
  <c r="Z9" i="57" s="1"/>
  <c r="J6" i="57"/>
  <c r="J9" i="57" s="1"/>
  <c r="Y5" i="57"/>
  <c r="Y8" i="57" s="1"/>
  <c r="AG5" i="57"/>
  <c r="AG8" i="57" s="1"/>
  <c r="K5" i="57"/>
  <c r="K8" i="57" s="1"/>
  <c r="AG6" i="57"/>
  <c r="AG9" i="57" s="1"/>
  <c r="Q6" i="57"/>
  <c r="Q9" i="57" s="1"/>
  <c r="R5" i="57"/>
  <c r="R8" i="57" s="1"/>
  <c r="AH5" i="57"/>
  <c r="AH8" i="57" s="1"/>
  <c r="L5" i="57"/>
  <c r="L8" i="57" s="1"/>
  <c r="AV6" i="57"/>
  <c r="AV9" i="57" s="1"/>
  <c r="AF6" i="57"/>
  <c r="AF9" i="57" s="1"/>
  <c r="X6" i="57"/>
  <c r="X9" i="57" s="1"/>
  <c r="H6" i="57"/>
  <c r="H9" i="57" s="1"/>
  <c r="S5" i="57"/>
  <c r="S8" i="57" s="1"/>
  <c r="AI5" i="57"/>
  <c r="AI8" i="57" s="1"/>
  <c r="M5" i="57"/>
  <c r="M8" i="57" s="1"/>
  <c r="AU6" i="57"/>
  <c r="AU9" i="57" s="1"/>
  <c r="AE6" i="57"/>
  <c r="AE9" i="57" s="1"/>
  <c r="W6" i="57"/>
  <c r="W9" i="57" s="1"/>
  <c r="H5" i="57"/>
  <c r="H8" i="57" s="1"/>
  <c r="T5" i="57"/>
  <c r="T8" i="57" s="1"/>
  <c r="AJ5" i="57"/>
  <c r="AJ8" i="57" s="1"/>
  <c r="AT6" i="57"/>
  <c r="AT9" i="57" s="1"/>
  <c r="AL6" i="57"/>
  <c r="AL9" i="57" s="1"/>
  <c r="V6" i="57"/>
  <c r="V9" i="57" s="1"/>
  <c r="AO8" i="56"/>
  <c r="AO11" i="56" s="1"/>
  <c r="AG8" i="56"/>
  <c r="AG11" i="56" s="1"/>
  <c r="Y8" i="56"/>
  <c r="Y11" i="56" s="1"/>
  <c r="Q8" i="56"/>
  <c r="Q11" i="56" s="1"/>
  <c r="I8" i="56"/>
  <c r="I11" i="56" s="1"/>
  <c r="AN7" i="56"/>
  <c r="AN10" i="56" s="1"/>
  <c r="AF7" i="56"/>
  <c r="AF10" i="56" s="1"/>
  <c r="X7" i="56"/>
  <c r="X10" i="56" s="1"/>
  <c r="P7" i="56"/>
  <c r="P10" i="56" s="1"/>
  <c r="AJ8" i="56"/>
  <c r="AJ11" i="56" s="1"/>
  <c r="AI7" i="56"/>
  <c r="AI10" i="56" s="1"/>
  <c r="AP7" i="56"/>
  <c r="AP10" i="56" s="1"/>
  <c r="AN8" i="56"/>
  <c r="AN11" i="56" s="1"/>
  <c r="AF8" i="56"/>
  <c r="AF11" i="56" s="1"/>
  <c r="X8" i="56"/>
  <c r="X11" i="56" s="1"/>
  <c r="P8" i="56"/>
  <c r="P11" i="56" s="1"/>
  <c r="AU7" i="56"/>
  <c r="AU10" i="56" s="1"/>
  <c r="AM7" i="56"/>
  <c r="AM10" i="56" s="1"/>
  <c r="AE7" i="56"/>
  <c r="AE10" i="56" s="1"/>
  <c r="W7" i="56"/>
  <c r="W10" i="56" s="1"/>
  <c r="O7" i="56"/>
  <c r="O10" i="56" s="1"/>
  <c r="AR8" i="56"/>
  <c r="AR11" i="56" s="1"/>
  <c r="AA7" i="56"/>
  <c r="AA10" i="56" s="1"/>
  <c r="K8" i="56"/>
  <c r="K11" i="56" s="1"/>
  <c r="AU8" i="56"/>
  <c r="AU11" i="56" s="1"/>
  <c r="AM8" i="56"/>
  <c r="AM11" i="56" s="1"/>
  <c r="AE8" i="56"/>
  <c r="AE11" i="56" s="1"/>
  <c r="W8" i="56"/>
  <c r="W11" i="56" s="1"/>
  <c r="O8" i="56"/>
  <c r="O11" i="56" s="1"/>
  <c r="AT7" i="56"/>
  <c r="AT10" i="56" s="1"/>
  <c r="AL7" i="56"/>
  <c r="AL10" i="56" s="1"/>
  <c r="AD7" i="56"/>
  <c r="AD10" i="56" s="1"/>
  <c r="V7" i="56"/>
  <c r="V10" i="56" s="1"/>
  <c r="N7" i="56"/>
  <c r="N10" i="56" s="1"/>
  <c r="L7" i="56"/>
  <c r="L10" i="56" s="1"/>
  <c r="L8" i="56"/>
  <c r="L11" i="56" s="1"/>
  <c r="K7" i="56"/>
  <c r="K10" i="56" s="1"/>
  <c r="S8" i="56"/>
  <c r="S11" i="56" s="1"/>
  <c r="R7" i="56"/>
  <c r="R10" i="56" s="1"/>
  <c r="AT8" i="56"/>
  <c r="AT11" i="56" s="1"/>
  <c r="AL8" i="56"/>
  <c r="AL11" i="56" s="1"/>
  <c r="AD8" i="56"/>
  <c r="AD11" i="56" s="1"/>
  <c r="V8" i="56"/>
  <c r="V11" i="56" s="1"/>
  <c r="N8" i="56"/>
  <c r="N11" i="56" s="1"/>
  <c r="AS7" i="56"/>
  <c r="AS10" i="56" s="1"/>
  <c r="AK7" i="56"/>
  <c r="AK10" i="56" s="1"/>
  <c r="AC7" i="56"/>
  <c r="AC10" i="56" s="1"/>
  <c r="U7" i="56"/>
  <c r="U10" i="56" s="1"/>
  <c r="M7" i="56"/>
  <c r="M10" i="56" s="1"/>
  <c r="T8" i="56"/>
  <c r="T11" i="56" s="1"/>
  <c r="S7" i="56"/>
  <c r="S10" i="56" s="1"/>
  <c r="AA8" i="56"/>
  <c r="AA11" i="56" s="1"/>
  <c r="J7" i="56"/>
  <c r="J10" i="56" s="1"/>
  <c r="AS8" i="56"/>
  <c r="AS11" i="56" s="1"/>
  <c r="AK8" i="56"/>
  <c r="AK11" i="56" s="1"/>
  <c r="AC8" i="56"/>
  <c r="AC11" i="56" s="1"/>
  <c r="U8" i="56"/>
  <c r="U11" i="56" s="1"/>
  <c r="M8" i="56"/>
  <c r="M11" i="56" s="1"/>
  <c r="AR7" i="56"/>
  <c r="AR10" i="56" s="1"/>
  <c r="AJ7" i="56"/>
  <c r="AJ10" i="56" s="1"/>
  <c r="AB7" i="56"/>
  <c r="AB10" i="56" s="1"/>
  <c r="T7" i="56"/>
  <c r="T10" i="56" s="1"/>
  <c r="AB8" i="56"/>
  <c r="AB11" i="56" s="1"/>
  <c r="AQ8" i="56"/>
  <c r="AQ11" i="56" s="1"/>
  <c r="AH7" i="56"/>
  <c r="AH10" i="56" s="1"/>
  <c r="AP8" i="56"/>
  <c r="AP11" i="56" s="1"/>
  <c r="AH8" i="56"/>
  <c r="AH11" i="56" s="1"/>
  <c r="Z8" i="56"/>
  <c r="Z11" i="56" s="1"/>
  <c r="R8" i="56"/>
  <c r="R11" i="56" s="1"/>
  <c r="J8" i="56"/>
  <c r="J11" i="56" s="1"/>
  <c r="AO7" i="56"/>
  <c r="AO10" i="56" s="1"/>
  <c r="AG7" i="56"/>
  <c r="AG10" i="56" s="1"/>
  <c r="Y7" i="56"/>
  <c r="Y10" i="56" s="1"/>
  <c r="Q7" i="56"/>
  <c r="Q10" i="56" s="1"/>
  <c r="I7" i="56"/>
  <c r="I10" i="56" s="1"/>
  <c r="AQ7" i="56"/>
  <c r="AQ10" i="56" s="1"/>
  <c r="AI8" i="56"/>
  <c r="AI11" i="56" s="1"/>
  <c r="Z7" i="56"/>
  <c r="Z10" i="56" s="1"/>
  <c r="P6" i="32"/>
  <c r="P11" i="32" s="1"/>
  <c r="X6" i="32"/>
  <c r="X11" i="32" s="1"/>
  <c r="AF6" i="32"/>
  <c r="AF11" i="32" s="1"/>
  <c r="AN6" i="32"/>
  <c r="AN11" i="32" s="1"/>
  <c r="AV6" i="32"/>
  <c r="AV11" i="32" s="1"/>
  <c r="M4" i="32"/>
  <c r="M9" i="32" s="1"/>
  <c r="U4" i="32"/>
  <c r="U9" i="32" s="1"/>
  <c r="AC4" i="32"/>
  <c r="AC9" i="32" s="1"/>
  <c r="AK4" i="32"/>
  <c r="AK9" i="32" s="1"/>
  <c r="AS4" i="32"/>
  <c r="AS9" i="32" s="1"/>
  <c r="BA4" i="32"/>
  <c r="BA9" i="32" s="1"/>
  <c r="S6" i="32"/>
  <c r="S11" i="32" s="1"/>
  <c r="AQ6" i="32"/>
  <c r="AQ11" i="32" s="1"/>
  <c r="X4" i="32"/>
  <c r="X9" i="32" s="1"/>
  <c r="AF4" i="32"/>
  <c r="AF9" i="32" s="1"/>
  <c r="L6" i="32"/>
  <c r="L11" i="32" s="1"/>
  <c r="AB6" i="32"/>
  <c r="AB11" i="32" s="1"/>
  <c r="AJ6" i="32"/>
  <c r="AJ11" i="32" s="1"/>
  <c r="AZ6" i="32"/>
  <c r="AZ11" i="32" s="1"/>
  <c r="Q4" i="32"/>
  <c r="Q9" i="32" s="1"/>
  <c r="Y4" i="32"/>
  <c r="Y9" i="32" s="1"/>
  <c r="AO4" i="32"/>
  <c r="AO9" i="32" s="1"/>
  <c r="M6" i="32"/>
  <c r="M11" i="32" s="1"/>
  <c r="AC6" i="32"/>
  <c r="AC11" i="32" s="1"/>
  <c r="AK6" i="32"/>
  <c r="AK11" i="32" s="1"/>
  <c r="BA6" i="32"/>
  <c r="BA11" i="32" s="1"/>
  <c r="J4" i="32"/>
  <c r="J9" i="32" s="1"/>
  <c r="Z4" i="32"/>
  <c r="Z9" i="32" s="1"/>
  <c r="AH4" i="32"/>
  <c r="AH9" i="32" s="1"/>
  <c r="AX4" i="32"/>
  <c r="AX9" i="32" s="1"/>
  <c r="N6" i="32"/>
  <c r="N11" i="32" s="1"/>
  <c r="AD6" i="32"/>
  <c r="AD11" i="32" s="1"/>
  <c r="AL6" i="32"/>
  <c r="AL11" i="32" s="1"/>
  <c r="BB6" i="32"/>
  <c r="BB11" i="32" s="1"/>
  <c r="K4" i="32"/>
  <c r="K9" i="32" s="1"/>
  <c r="AA4" i="32"/>
  <c r="AA9" i="32" s="1"/>
  <c r="AQ4" i="32"/>
  <c r="AQ9" i="32" s="1"/>
  <c r="AY4" i="32"/>
  <c r="AY9" i="32" s="1"/>
  <c r="W6" i="32"/>
  <c r="W11" i="32" s="1"/>
  <c r="AM6" i="32"/>
  <c r="AM11" i="32" s="1"/>
  <c r="BC6" i="32"/>
  <c r="BC11" i="32" s="1"/>
  <c r="L4" i="32"/>
  <c r="L9" i="32" s="1"/>
  <c r="AB4" i="32"/>
  <c r="AB9" i="32" s="1"/>
  <c r="AJ4" i="32"/>
  <c r="AJ9" i="32" s="1"/>
  <c r="AZ4" i="32"/>
  <c r="AZ9" i="32" s="1"/>
  <c r="I6" i="32"/>
  <c r="I11" i="32" s="1"/>
  <c r="Q6" i="32"/>
  <c r="Q11" i="32" s="1"/>
  <c r="Y6" i="32"/>
  <c r="Y11" i="32" s="1"/>
  <c r="AG6" i="32"/>
  <c r="AG11" i="32" s="1"/>
  <c r="AO6" i="32"/>
  <c r="AO11" i="32" s="1"/>
  <c r="AW6" i="32"/>
  <c r="AW11" i="32" s="1"/>
  <c r="N4" i="32"/>
  <c r="N9" i="32" s="1"/>
  <c r="V4" i="32"/>
  <c r="V9" i="32" s="1"/>
  <c r="AD4" i="32"/>
  <c r="AD9" i="32" s="1"/>
  <c r="AL4" i="32"/>
  <c r="AL9" i="32" s="1"/>
  <c r="AT4" i="32"/>
  <c r="AT9" i="32" s="1"/>
  <c r="BB4" i="32"/>
  <c r="BB9" i="32" s="1"/>
  <c r="J6" i="32"/>
  <c r="J11" i="32" s="1"/>
  <c r="R6" i="32"/>
  <c r="R11" i="32" s="1"/>
  <c r="Z6" i="32"/>
  <c r="Z11" i="32" s="1"/>
  <c r="AH6" i="32"/>
  <c r="AH11" i="32" s="1"/>
  <c r="AP6" i="32"/>
  <c r="AP11" i="32" s="1"/>
  <c r="AX6" i="32"/>
  <c r="AX11" i="32" s="1"/>
  <c r="O4" i="32"/>
  <c r="O9" i="32" s="1"/>
  <c r="W4" i="32"/>
  <c r="W9" i="32" s="1"/>
  <c r="AE4" i="32"/>
  <c r="AE9" i="32" s="1"/>
  <c r="AM4" i="32"/>
  <c r="AM9" i="32" s="1"/>
  <c r="AU4" i="32"/>
  <c r="AU9" i="32" s="1"/>
  <c r="BC4" i="32"/>
  <c r="BC9" i="32" s="1"/>
  <c r="K6" i="32"/>
  <c r="K11" i="32" s="1"/>
  <c r="AA6" i="32"/>
  <c r="AA11" i="32" s="1"/>
  <c r="AI6" i="32"/>
  <c r="AI11" i="32" s="1"/>
  <c r="AY6" i="32"/>
  <c r="AY11" i="32" s="1"/>
  <c r="P4" i="32"/>
  <c r="P9" i="32" s="1"/>
  <c r="AN4" i="32"/>
  <c r="AN9" i="32" s="1"/>
  <c r="T6" i="32"/>
  <c r="T11" i="32" s="1"/>
  <c r="AR6" i="32"/>
  <c r="AR11" i="32" s="1"/>
  <c r="I4" i="32"/>
  <c r="I9" i="32" s="1"/>
  <c r="AG4" i="32"/>
  <c r="AG9" i="32" s="1"/>
  <c r="AW4" i="32"/>
  <c r="AW9" i="32" s="1"/>
  <c r="U6" i="32"/>
  <c r="U11" i="32" s="1"/>
  <c r="AS6" i="32"/>
  <c r="AS11" i="32" s="1"/>
  <c r="R4" i="32"/>
  <c r="R9" i="32" s="1"/>
  <c r="AP4" i="32"/>
  <c r="AP9" i="32" s="1"/>
  <c r="V6" i="32"/>
  <c r="V11" i="32" s="1"/>
  <c r="AT6" i="32"/>
  <c r="AT11" i="32" s="1"/>
  <c r="S4" i="32"/>
  <c r="S9" i="32" s="1"/>
  <c r="AI4" i="32"/>
  <c r="AI9" i="32" s="1"/>
  <c r="O6" i="32"/>
  <c r="O11" i="32" s="1"/>
  <c r="AE6" i="32"/>
  <c r="AE11" i="32" s="1"/>
  <c r="AU6" i="32"/>
  <c r="AU11" i="32" s="1"/>
  <c r="T4" i="32"/>
  <c r="T9" i="32" s="1"/>
  <c r="AR4" i="32"/>
  <c r="AR9" i="32" s="1"/>
  <c r="P4" i="31"/>
  <c r="P9" i="31" s="1"/>
  <c r="X4" i="31"/>
  <c r="X9" i="31" s="1"/>
  <c r="AF4" i="31"/>
  <c r="AF9" i="31" s="1"/>
  <c r="AN4" i="31"/>
  <c r="AN9" i="31" s="1"/>
  <c r="BD4" i="31"/>
  <c r="BD9" i="31" s="1"/>
  <c r="Q4" i="31"/>
  <c r="Q9" i="31" s="1"/>
  <c r="Y4" i="31"/>
  <c r="Y9" i="31" s="1"/>
  <c r="AG4" i="31"/>
  <c r="AG9" i="31" s="1"/>
  <c r="AO4" i="31"/>
  <c r="AO9" i="31" s="1"/>
  <c r="AW4" i="31"/>
  <c r="AW9" i="31" s="1"/>
  <c r="BE4" i="31"/>
  <c r="BE9" i="31" s="1"/>
  <c r="AE4" i="31"/>
  <c r="AE9" i="31" s="1"/>
  <c r="R4" i="31"/>
  <c r="R9" i="31" s="1"/>
  <c r="Z4" i="31"/>
  <c r="Z9" i="31" s="1"/>
  <c r="AH4" i="31"/>
  <c r="AH9" i="31" s="1"/>
  <c r="AP4" i="31"/>
  <c r="AP9" i="31" s="1"/>
  <c r="AX4" i="31"/>
  <c r="AX9" i="31" s="1"/>
  <c r="J4" i="31"/>
  <c r="J9" i="31" s="1"/>
  <c r="K4" i="31"/>
  <c r="K9" i="31" s="1"/>
  <c r="S4" i="31"/>
  <c r="S9" i="31" s="1"/>
  <c r="AA4" i="31"/>
  <c r="AA9" i="31" s="1"/>
  <c r="AI4" i="31"/>
  <c r="AI9" i="31" s="1"/>
  <c r="AQ4" i="31"/>
  <c r="AQ9" i="31" s="1"/>
  <c r="AY4" i="31"/>
  <c r="AY9" i="31" s="1"/>
  <c r="I4" i="31"/>
  <c r="I9" i="31" s="1"/>
  <c r="BC4" i="31"/>
  <c r="BC9" i="31" s="1"/>
  <c r="L4" i="31"/>
  <c r="L9" i="31" s="1"/>
  <c r="T4" i="31"/>
  <c r="T9" i="31" s="1"/>
  <c r="AB4" i="31"/>
  <c r="AB9" i="31" s="1"/>
  <c r="AJ4" i="31"/>
  <c r="AJ9" i="31" s="1"/>
  <c r="AR4" i="31"/>
  <c r="AR9" i="31" s="1"/>
  <c r="AZ4" i="31"/>
  <c r="AZ9" i="31" s="1"/>
  <c r="W4" i="31"/>
  <c r="W9" i="31" s="1"/>
  <c r="M4" i="31"/>
  <c r="M9" i="31" s="1"/>
  <c r="U4" i="31"/>
  <c r="U9" i="31" s="1"/>
  <c r="AC4" i="31"/>
  <c r="AC9" i="31" s="1"/>
  <c r="AK4" i="31"/>
  <c r="AK9" i="31" s="1"/>
  <c r="AS4" i="31"/>
  <c r="AS9" i="31" s="1"/>
  <c r="BA4" i="31"/>
  <c r="BA9" i="31" s="1"/>
  <c r="H4" i="31"/>
  <c r="H9" i="31" s="1"/>
  <c r="AM4" i="31"/>
  <c r="AM9" i="31" s="1"/>
  <c r="N4" i="31"/>
  <c r="N9" i="31" s="1"/>
  <c r="V4" i="31"/>
  <c r="V9" i="31" s="1"/>
  <c r="AD4" i="31"/>
  <c r="AD9" i="31" s="1"/>
  <c r="AL4" i="31"/>
  <c r="AL9" i="31" s="1"/>
  <c r="BB4" i="31"/>
  <c r="BB9" i="31" s="1"/>
  <c r="O4" i="31"/>
  <c r="O9" i="31" s="1"/>
  <c r="J8" i="55"/>
  <c r="J12" i="55" s="1"/>
  <c r="J7" i="55"/>
  <c r="J11" i="55" s="1"/>
  <c r="I8" i="55"/>
  <c r="I12" i="55" s="1"/>
  <c r="K8" i="54"/>
  <c r="K12" i="54" s="1"/>
  <c r="S8" i="54"/>
  <c r="S12" i="54" s="1"/>
  <c r="AA8" i="54"/>
  <c r="AA12" i="54" s="1"/>
  <c r="AI8" i="54"/>
  <c r="AI12" i="54" s="1"/>
  <c r="AQ8" i="54"/>
  <c r="AQ12" i="54" s="1"/>
  <c r="I8" i="54"/>
  <c r="I12" i="54" s="1"/>
  <c r="AO7" i="54"/>
  <c r="AO11" i="54" s="1"/>
  <c r="AG7" i="54"/>
  <c r="AG11" i="54" s="1"/>
  <c r="Y7" i="54"/>
  <c r="Y11" i="54" s="1"/>
  <c r="Q7" i="54"/>
  <c r="Q11" i="54" s="1"/>
  <c r="I7" i="54"/>
  <c r="I11" i="54" s="1"/>
  <c r="Y8" i="54"/>
  <c r="Y12" i="54" s="1"/>
  <c r="K7" i="54"/>
  <c r="K11" i="54" s="1"/>
  <c r="J8" i="54"/>
  <c r="J12" i="54" s="1"/>
  <c r="Z7" i="54"/>
  <c r="Z11" i="54" s="1"/>
  <c r="L8" i="54"/>
  <c r="L12" i="54" s="1"/>
  <c r="T8" i="54"/>
  <c r="T12" i="54" s="1"/>
  <c r="AB8" i="54"/>
  <c r="AB12" i="54" s="1"/>
  <c r="AJ8" i="54"/>
  <c r="AJ12" i="54" s="1"/>
  <c r="AR8" i="54"/>
  <c r="AR12" i="54" s="1"/>
  <c r="AN7" i="54"/>
  <c r="AN11" i="54" s="1"/>
  <c r="AF7" i="54"/>
  <c r="AF11" i="54" s="1"/>
  <c r="X7" i="54"/>
  <c r="X11" i="54" s="1"/>
  <c r="P7" i="54"/>
  <c r="P11" i="54" s="1"/>
  <c r="AG8" i="54"/>
  <c r="AG12" i="54" s="1"/>
  <c r="AA7" i="54"/>
  <c r="AA11" i="54" s="1"/>
  <c r="Z8" i="54"/>
  <c r="Z12" i="54" s="1"/>
  <c r="I7" i="55"/>
  <c r="I11" i="55" s="1"/>
  <c r="M8" i="54"/>
  <c r="M12" i="54" s="1"/>
  <c r="U8" i="54"/>
  <c r="U12" i="54" s="1"/>
  <c r="AC8" i="54"/>
  <c r="AC12" i="54" s="1"/>
  <c r="AK8" i="54"/>
  <c r="AK12" i="54" s="1"/>
  <c r="AS8" i="54"/>
  <c r="AS12" i="54" s="1"/>
  <c r="AU7" i="54"/>
  <c r="AU11" i="54" s="1"/>
  <c r="AM7" i="54"/>
  <c r="AM11" i="54" s="1"/>
  <c r="AE7" i="54"/>
  <c r="AE11" i="54" s="1"/>
  <c r="W7" i="54"/>
  <c r="W11" i="54" s="1"/>
  <c r="O7" i="54"/>
  <c r="O11" i="54" s="1"/>
  <c r="AU8" i="54"/>
  <c r="AU12" i="54" s="1"/>
  <c r="AI7" i="54"/>
  <c r="AI11" i="54" s="1"/>
  <c r="R8" i="54"/>
  <c r="R12" i="54" s="1"/>
  <c r="AH7" i="54"/>
  <c r="AH11" i="54" s="1"/>
  <c r="N8" i="54"/>
  <c r="N12" i="54" s="1"/>
  <c r="V8" i="54"/>
  <c r="V12" i="54" s="1"/>
  <c r="AD8" i="54"/>
  <c r="AD12" i="54" s="1"/>
  <c r="AL8" i="54"/>
  <c r="AL12" i="54" s="1"/>
  <c r="AT8" i="54"/>
  <c r="AT12" i="54" s="1"/>
  <c r="AT7" i="54"/>
  <c r="AT11" i="54" s="1"/>
  <c r="AL7" i="54"/>
  <c r="AL11" i="54" s="1"/>
  <c r="AD7" i="54"/>
  <c r="AD11" i="54" s="1"/>
  <c r="V7" i="54"/>
  <c r="V11" i="54" s="1"/>
  <c r="N7" i="54"/>
  <c r="N11" i="54" s="1"/>
  <c r="Q8" i="54"/>
  <c r="Q12" i="54" s="1"/>
  <c r="S7" i="54"/>
  <c r="S11" i="54" s="1"/>
  <c r="AH8" i="54"/>
  <c r="AH12" i="54" s="1"/>
  <c r="J7" i="54"/>
  <c r="J11" i="54" s="1"/>
  <c r="O8" i="54"/>
  <c r="O12" i="54" s="1"/>
  <c r="W8" i="54"/>
  <c r="W12" i="54" s="1"/>
  <c r="AE8" i="54"/>
  <c r="AE12" i="54" s="1"/>
  <c r="AM8" i="54"/>
  <c r="AM12" i="54" s="1"/>
  <c r="AS7" i="54"/>
  <c r="AS11" i="54" s="1"/>
  <c r="AK7" i="54"/>
  <c r="AK11" i="54" s="1"/>
  <c r="AC7" i="54"/>
  <c r="AC11" i="54" s="1"/>
  <c r="U7" i="54"/>
  <c r="U11" i="54" s="1"/>
  <c r="M7" i="54"/>
  <c r="M11" i="54" s="1"/>
  <c r="L7" i="54"/>
  <c r="L11" i="54" s="1"/>
  <c r="AQ7" i="54"/>
  <c r="AQ11" i="54" s="1"/>
  <c r="AP8" i="54"/>
  <c r="AP12" i="54" s="1"/>
  <c r="R7" i="54"/>
  <c r="R11" i="54" s="1"/>
  <c r="P8" i="54"/>
  <c r="P12" i="54" s="1"/>
  <c r="X8" i="54"/>
  <c r="X12" i="54" s="1"/>
  <c r="AF8" i="54"/>
  <c r="AF12" i="54" s="1"/>
  <c r="AN8" i="54"/>
  <c r="AN12" i="54" s="1"/>
  <c r="AR7" i="54"/>
  <c r="AR11" i="54" s="1"/>
  <c r="AJ7" i="54"/>
  <c r="AJ11" i="54" s="1"/>
  <c r="AB7" i="54"/>
  <c r="AB11" i="54" s="1"/>
  <c r="T7" i="54"/>
  <c r="T11" i="54" s="1"/>
  <c r="AO8" i="54"/>
  <c r="AO12" i="54" s="1"/>
  <c r="AP7" i="54"/>
  <c r="AP11" i="54" s="1"/>
  <c r="J8" i="52"/>
  <c r="J12" i="52" s="1"/>
  <c r="I7" i="52"/>
  <c r="I11" i="52" s="1"/>
  <c r="I8" i="52"/>
  <c r="I12" i="52" s="1"/>
  <c r="J7" i="52"/>
  <c r="J11" i="52" s="1"/>
  <c r="U7" i="50"/>
  <c r="U11" i="50" s="1"/>
  <c r="I8" i="49"/>
  <c r="I10" i="49" s="1"/>
  <c r="AR7" i="50"/>
  <c r="AR11" i="50" s="1"/>
  <c r="T7" i="50"/>
  <c r="T11" i="50" s="1"/>
  <c r="J8" i="51"/>
  <c r="J12" i="51" s="1"/>
  <c r="AQ7" i="50"/>
  <c r="AQ11" i="50" s="1"/>
  <c r="AI7" i="50"/>
  <c r="AI11" i="50" s="1"/>
  <c r="AA7" i="50"/>
  <c r="AA11" i="50" s="1"/>
  <c r="S7" i="50"/>
  <c r="S11" i="50" s="1"/>
  <c r="K7" i="50"/>
  <c r="K11" i="50" s="1"/>
  <c r="AG7" i="50"/>
  <c r="AG11" i="50" s="1"/>
  <c r="I7" i="50"/>
  <c r="I11" i="50" s="1"/>
  <c r="AF7" i="50"/>
  <c r="AF11" i="50" s="1"/>
  <c r="AU7" i="50"/>
  <c r="AU11" i="50" s="1"/>
  <c r="AE7" i="50"/>
  <c r="AE11" i="50" s="1"/>
  <c r="O7" i="50"/>
  <c r="O11" i="50" s="1"/>
  <c r="AD7" i="50"/>
  <c r="AD11" i="50" s="1"/>
  <c r="N7" i="50"/>
  <c r="N11" i="50" s="1"/>
  <c r="AK7" i="50"/>
  <c r="AK11" i="50" s="1"/>
  <c r="L7" i="50"/>
  <c r="L11" i="50" s="1"/>
  <c r="I8" i="51"/>
  <c r="I12" i="51" s="1"/>
  <c r="AP7" i="50"/>
  <c r="AP11" i="50" s="1"/>
  <c r="AH7" i="50"/>
  <c r="AH11" i="50" s="1"/>
  <c r="Z7" i="50"/>
  <c r="Z11" i="50" s="1"/>
  <c r="R7" i="50"/>
  <c r="R11" i="50" s="1"/>
  <c r="J7" i="50"/>
  <c r="J11" i="50" s="1"/>
  <c r="Y7" i="50"/>
  <c r="Y11" i="50" s="1"/>
  <c r="AN7" i="50"/>
  <c r="AN11" i="50" s="1"/>
  <c r="P7" i="50"/>
  <c r="P11" i="50" s="1"/>
  <c r="AM7" i="50"/>
  <c r="AM11" i="50" s="1"/>
  <c r="AT7" i="50"/>
  <c r="AT11" i="50" s="1"/>
  <c r="V7" i="50"/>
  <c r="V11" i="50" s="1"/>
  <c r="AS7" i="50"/>
  <c r="AS11" i="50" s="1"/>
  <c r="AC7" i="50"/>
  <c r="AC11" i="50" s="1"/>
  <c r="AB7" i="50"/>
  <c r="AB11" i="50" s="1"/>
  <c r="AO7" i="50"/>
  <c r="AO11" i="50" s="1"/>
  <c r="Q7" i="50"/>
  <c r="Q11" i="50" s="1"/>
  <c r="X7" i="50"/>
  <c r="X11" i="50" s="1"/>
  <c r="W7" i="50"/>
  <c r="W11" i="50" s="1"/>
  <c r="AL7" i="50"/>
  <c r="AL11" i="50" s="1"/>
  <c r="M7" i="50"/>
  <c r="M11" i="50" s="1"/>
  <c r="AJ7" i="50"/>
  <c r="AJ11" i="50" s="1"/>
  <c r="I7" i="49"/>
  <c r="I11" i="49" s="1"/>
  <c r="I7" i="43"/>
  <c r="AQ7" i="48"/>
  <c r="AI7" i="48"/>
  <c r="AA7" i="48"/>
  <c r="S7" i="48"/>
  <c r="K7" i="48"/>
  <c r="N8" i="47"/>
  <c r="N11" i="47" s="1"/>
  <c r="V8" i="47"/>
  <c r="V11" i="47" s="1"/>
  <c r="AD8" i="47"/>
  <c r="AD11" i="47" s="1"/>
  <c r="AL8" i="47"/>
  <c r="AL11" i="47" s="1"/>
  <c r="AT8" i="47"/>
  <c r="AT11" i="47" s="1"/>
  <c r="AF7" i="48"/>
  <c r="Y8" i="47"/>
  <c r="Y11" i="47" s="1"/>
  <c r="AE7" i="48"/>
  <c r="J8" i="47"/>
  <c r="J11" i="47" s="1"/>
  <c r="R8" i="47"/>
  <c r="R11" i="47" s="1"/>
  <c r="AP8" i="47"/>
  <c r="AP11" i="47" s="1"/>
  <c r="AT7" i="48"/>
  <c r="V7" i="48"/>
  <c r="S8" i="47"/>
  <c r="S11" i="47" s="1"/>
  <c r="AQ8" i="47"/>
  <c r="AQ11" i="47" s="1"/>
  <c r="AS7" i="48"/>
  <c r="AC7" i="48"/>
  <c r="AR7" i="48"/>
  <c r="T7" i="48"/>
  <c r="U8" i="47"/>
  <c r="U11" i="47" s="1"/>
  <c r="AS8" i="47"/>
  <c r="AS11" i="47" s="1"/>
  <c r="AP7" i="48"/>
  <c r="AH7" i="48"/>
  <c r="Z7" i="48"/>
  <c r="R7" i="48"/>
  <c r="J7" i="48"/>
  <c r="O8" i="47"/>
  <c r="O11" i="47" s="1"/>
  <c r="W8" i="47"/>
  <c r="W11" i="47" s="1"/>
  <c r="AE8" i="47"/>
  <c r="AE11" i="47" s="1"/>
  <c r="AM8" i="47"/>
  <c r="AM11" i="47" s="1"/>
  <c r="AU8" i="47"/>
  <c r="AU11" i="47" s="1"/>
  <c r="AN7" i="48"/>
  <c r="P7" i="48"/>
  <c r="AG8" i="47"/>
  <c r="AG11" i="47" s="1"/>
  <c r="AU7" i="48"/>
  <c r="W7" i="48"/>
  <c r="AH8" i="47"/>
  <c r="AH11" i="47" s="1"/>
  <c r="AD7" i="48"/>
  <c r="K8" i="47"/>
  <c r="K11" i="47" s="1"/>
  <c r="AI8" i="47"/>
  <c r="AI11" i="47" s="1"/>
  <c r="AK7" i="48"/>
  <c r="U7" i="48"/>
  <c r="M7" i="48"/>
  <c r="L8" i="47"/>
  <c r="L11" i="47" s="1"/>
  <c r="T8" i="47"/>
  <c r="T11" i="47" s="1"/>
  <c r="AB8" i="47"/>
  <c r="AB11" i="47" s="1"/>
  <c r="AJ8" i="47"/>
  <c r="AJ11" i="47" s="1"/>
  <c r="AR8" i="47"/>
  <c r="AR11" i="47" s="1"/>
  <c r="AB7" i="48"/>
  <c r="M8" i="47"/>
  <c r="M11" i="47" s="1"/>
  <c r="AK8" i="47"/>
  <c r="AK11" i="47" s="1"/>
  <c r="AO7" i="48"/>
  <c r="AG7" i="48"/>
  <c r="Y7" i="48"/>
  <c r="Q7" i="48"/>
  <c r="I7" i="48"/>
  <c r="I9" i="48" s="1"/>
  <c r="P8" i="47"/>
  <c r="P11" i="47" s="1"/>
  <c r="X8" i="47"/>
  <c r="X11" i="47" s="1"/>
  <c r="AF8" i="47"/>
  <c r="AF11" i="47" s="1"/>
  <c r="AN8" i="47"/>
  <c r="AN11" i="47" s="1"/>
  <c r="I8" i="47"/>
  <c r="I11" i="47" s="1"/>
  <c r="X7" i="48"/>
  <c r="Q8" i="47"/>
  <c r="Q11" i="47" s="1"/>
  <c r="AO8" i="47"/>
  <c r="AO11" i="47" s="1"/>
  <c r="AM7" i="48"/>
  <c r="O7" i="48"/>
  <c r="Z8" i="47"/>
  <c r="Z11" i="47" s="1"/>
  <c r="AL7" i="48"/>
  <c r="N7" i="48"/>
  <c r="AA8" i="47"/>
  <c r="AA11" i="47" s="1"/>
  <c r="AJ7" i="48"/>
  <c r="L7" i="48"/>
  <c r="AC8" i="47"/>
  <c r="AC11" i="47" s="1"/>
  <c r="AS7" i="47"/>
  <c r="AS10" i="47" s="1"/>
  <c r="AK7" i="47"/>
  <c r="AK10" i="47" s="1"/>
  <c r="AC7" i="47"/>
  <c r="AC10" i="47" s="1"/>
  <c r="U7" i="47"/>
  <c r="U10" i="47" s="1"/>
  <c r="M7" i="47"/>
  <c r="M10" i="47" s="1"/>
  <c r="AP7" i="47"/>
  <c r="AP10" i="47" s="1"/>
  <c r="R7" i="47"/>
  <c r="R10" i="47" s="1"/>
  <c r="AG7" i="47"/>
  <c r="AG10" i="47" s="1"/>
  <c r="I7" i="47"/>
  <c r="AF7" i="47"/>
  <c r="AF10" i="47" s="1"/>
  <c r="AU7" i="47"/>
  <c r="AU10" i="47" s="1"/>
  <c r="W7" i="47"/>
  <c r="W10" i="47" s="1"/>
  <c r="AL7" i="47"/>
  <c r="AL10" i="47" s="1"/>
  <c r="N7" i="47"/>
  <c r="N10" i="47" s="1"/>
  <c r="AR7" i="47"/>
  <c r="AR10" i="47" s="1"/>
  <c r="AJ7" i="47"/>
  <c r="AJ10" i="47" s="1"/>
  <c r="AB7" i="47"/>
  <c r="AB10" i="47" s="1"/>
  <c r="T7" i="47"/>
  <c r="T10" i="47" s="1"/>
  <c r="L7" i="47"/>
  <c r="L10" i="47" s="1"/>
  <c r="AI7" i="47"/>
  <c r="AI10" i="47" s="1"/>
  <c r="AA7" i="47"/>
  <c r="AA10" i="47" s="1"/>
  <c r="K7" i="47"/>
  <c r="K10" i="47" s="1"/>
  <c r="AH7" i="47"/>
  <c r="AH10" i="47" s="1"/>
  <c r="J7" i="47"/>
  <c r="J10" i="47" s="1"/>
  <c r="Y7" i="47"/>
  <c r="Y10" i="47" s="1"/>
  <c r="X7" i="47"/>
  <c r="X10" i="47" s="1"/>
  <c r="AM7" i="47"/>
  <c r="AM10" i="47" s="1"/>
  <c r="AT7" i="47"/>
  <c r="AT10" i="47" s="1"/>
  <c r="V7" i="47"/>
  <c r="V10" i="47" s="1"/>
  <c r="AQ7" i="47"/>
  <c r="AQ10" i="47" s="1"/>
  <c r="S7" i="47"/>
  <c r="S10" i="47" s="1"/>
  <c r="Z7" i="47"/>
  <c r="Z10" i="47" s="1"/>
  <c r="AO7" i="47"/>
  <c r="AO10" i="47" s="1"/>
  <c r="Q7" i="47"/>
  <c r="Q10" i="47" s="1"/>
  <c r="AN7" i="47"/>
  <c r="AN10" i="47" s="1"/>
  <c r="P7" i="47"/>
  <c r="P10" i="47" s="1"/>
  <c r="AE7" i="47"/>
  <c r="AE10" i="47" s="1"/>
  <c r="O7" i="47"/>
  <c r="O10" i="47" s="1"/>
  <c r="AD7" i="47"/>
  <c r="AD10" i="47" s="1"/>
  <c r="I5" i="44"/>
  <c r="I8" i="44" s="1"/>
  <c r="I4" i="44"/>
  <c r="I7" i="44" s="1"/>
  <c r="AL6" i="43"/>
  <c r="AL9" i="43" s="1"/>
  <c r="AT6" i="43"/>
  <c r="AT9" i="43" s="1"/>
  <c r="U6" i="43"/>
  <c r="U9" i="43" s="1"/>
  <c r="AC6" i="43"/>
  <c r="AC9" i="43" s="1"/>
  <c r="AK6" i="43"/>
  <c r="AK9" i="43" s="1"/>
  <c r="L6" i="43"/>
  <c r="L9" i="43" s="1"/>
  <c r="AM6" i="43"/>
  <c r="AM9" i="43" s="1"/>
  <c r="V6" i="43"/>
  <c r="V9" i="43" s="1"/>
  <c r="AD6" i="43"/>
  <c r="AD9" i="43" s="1"/>
  <c r="M6" i="43"/>
  <c r="M9" i="43" s="1"/>
  <c r="S6" i="43"/>
  <c r="S9" i="43" s="1"/>
  <c r="AN6" i="43"/>
  <c r="AN9" i="43" s="1"/>
  <c r="W6" i="43"/>
  <c r="W9" i="43" s="1"/>
  <c r="AE6" i="43"/>
  <c r="AE9" i="43" s="1"/>
  <c r="N6" i="43"/>
  <c r="N9" i="43" s="1"/>
  <c r="AR6" i="43"/>
  <c r="AR9" i="43" s="1"/>
  <c r="AO6" i="43"/>
  <c r="AO9" i="43" s="1"/>
  <c r="X6" i="43"/>
  <c r="X9" i="43" s="1"/>
  <c r="AF6" i="43"/>
  <c r="AF9" i="43" s="1"/>
  <c r="O6" i="43"/>
  <c r="O9" i="43" s="1"/>
  <c r="AP6" i="43"/>
  <c r="AP9" i="43" s="1"/>
  <c r="Q6" i="43"/>
  <c r="Q9" i="43" s="1"/>
  <c r="Y6" i="43"/>
  <c r="Y9" i="43" s="1"/>
  <c r="AG6" i="43"/>
  <c r="AG9" i="43" s="1"/>
  <c r="P6" i="43"/>
  <c r="P9" i="43" s="1"/>
  <c r="AQ6" i="43"/>
  <c r="AQ9" i="43" s="1"/>
  <c r="R6" i="43"/>
  <c r="R9" i="43" s="1"/>
  <c r="Z6" i="43"/>
  <c r="Z9" i="43" s="1"/>
  <c r="AH6" i="43"/>
  <c r="AH9" i="43" s="1"/>
  <c r="I6" i="43"/>
  <c r="I9" i="43" s="1"/>
  <c r="AI6" i="43"/>
  <c r="AI9" i="43" s="1"/>
  <c r="AS6" i="43"/>
  <c r="AS9" i="43" s="1"/>
  <c r="T6" i="43"/>
  <c r="T9" i="43" s="1"/>
  <c r="AB6" i="43"/>
  <c r="AB9" i="43" s="1"/>
  <c r="AJ6" i="43"/>
  <c r="AJ9" i="43" s="1"/>
  <c r="K6" i="43"/>
  <c r="K9" i="43" s="1"/>
  <c r="AA6" i="43"/>
  <c r="AA9" i="43" s="1"/>
  <c r="I7" i="46"/>
  <c r="I9" i="46" s="1"/>
  <c r="AP7" i="46"/>
  <c r="AP9" i="46" s="1"/>
  <c r="AP10" i="46" s="1"/>
  <c r="AH7" i="46"/>
  <c r="AH9" i="46" s="1"/>
  <c r="AH10" i="46" s="1"/>
  <c r="Z7" i="46"/>
  <c r="Z9" i="46" s="1"/>
  <c r="Z10" i="46" s="1"/>
  <c r="R7" i="46"/>
  <c r="R9" i="46" s="1"/>
  <c r="R10" i="46" s="1"/>
  <c r="J7" i="46"/>
  <c r="AO7" i="46"/>
  <c r="AO9" i="46" s="1"/>
  <c r="AO10" i="46" s="1"/>
  <c r="AG7" i="46"/>
  <c r="AG9" i="46" s="1"/>
  <c r="AG10" i="46" s="1"/>
  <c r="Y7" i="46"/>
  <c r="Y9" i="46" s="1"/>
  <c r="Y10" i="46" s="1"/>
  <c r="Q7" i="46"/>
  <c r="Q9" i="46" s="1"/>
  <c r="Q10" i="46" s="1"/>
  <c r="AN7" i="46"/>
  <c r="AN9" i="46" s="1"/>
  <c r="AN10" i="46" s="1"/>
  <c r="AF7" i="46"/>
  <c r="AF9" i="46" s="1"/>
  <c r="AF10" i="46" s="1"/>
  <c r="X7" i="46"/>
  <c r="X9" i="46" s="1"/>
  <c r="X10" i="46" s="1"/>
  <c r="P7" i="46"/>
  <c r="P9" i="46" s="1"/>
  <c r="P10" i="46" s="1"/>
  <c r="M7" i="46"/>
  <c r="M9" i="46" s="1"/>
  <c r="M10" i="46" s="1"/>
  <c r="T7" i="46"/>
  <c r="T9" i="46" s="1"/>
  <c r="T10" i="46" s="1"/>
  <c r="AU7" i="46"/>
  <c r="AU9" i="46" s="1"/>
  <c r="AU10" i="46" s="1"/>
  <c r="AM7" i="46"/>
  <c r="AM9" i="46" s="1"/>
  <c r="AM10" i="46" s="1"/>
  <c r="AE7" i="46"/>
  <c r="AE9" i="46" s="1"/>
  <c r="AE10" i="46" s="1"/>
  <c r="W7" i="46"/>
  <c r="W9" i="46" s="1"/>
  <c r="W10" i="46" s="1"/>
  <c r="O7" i="46"/>
  <c r="O9" i="46" s="1"/>
  <c r="O10" i="46" s="1"/>
  <c r="AR7" i="46"/>
  <c r="AR9" i="46" s="1"/>
  <c r="AR10" i="46" s="1"/>
  <c r="AT7" i="46"/>
  <c r="AT9" i="46" s="1"/>
  <c r="AT10" i="46" s="1"/>
  <c r="AL7" i="46"/>
  <c r="AL9" i="46" s="1"/>
  <c r="AL10" i="46" s="1"/>
  <c r="AD7" i="46"/>
  <c r="AD9" i="46" s="1"/>
  <c r="AD10" i="46" s="1"/>
  <c r="V7" i="46"/>
  <c r="V9" i="46" s="1"/>
  <c r="V10" i="46" s="1"/>
  <c r="N7" i="46"/>
  <c r="N9" i="46" s="1"/>
  <c r="N10" i="46" s="1"/>
  <c r="AJ7" i="46"/>
  <c r="AJ9" i="46" s="1"/>
  <c r="AJ10" i="46" s="1"/>
  <c r="AS7" i="46"/>
  <c r="AS9" i="46" s="1"/>
  <c r="AS10" i="46" s="1"/>
  <c r="AK7" i="46"/>
  <c r="AK9" i="46" s="1"/>
  <c r="AK10" i="46" s="1"/>
  <c r="AC7" i="46"/>
  <c r="AC9" i="46" s="1"/>
  <c r="AC10" i="46" s="1"/>
  <c r="U7" i="46"/>
  <c r="U9" i="46" s="1"/>
  <c r="U10" i="46" s="1"/>
  <c r="AB7" i="46"/>
  <c r="AB9" i="46" s="1"/>
  <c r="AB10" i="46" s="1"/>
  <c r="AQ7" i="46"/>
  <c r="AQ9" i="46" s="1"/>
  <c r="AQ10" i="46" s="1"/>
  <c r="AI7" i="46"/>
  <c r="AI9" i="46" s="1"/>
  <c r="AI10" i="46" s="1"/>
  <c r="AA7" i="46"/>
  <c r="AA9" i="46" s="1"/>
  <c r="AA10" i="46" s="1"/>
  <c r="S7" i="46"/>
  <c r="S9" i="46" s="1"/>
  <c r="S10" i="46" s="1"/>
  <c r="K7" i="46"/>
  <c r="K9" i="46" s="1"/>
  <c r="K10" i="46" s="1"/>
  <c r="L7" i="46"/>
  <c r="L9" i="46" s="1"/>
  <c r="L10" i="46" s="1"/>
  <c r="S5" i="45"/>
  <c r="S9" i="45" s="1"/>
  <c r="S11" i="45" s="1"/>
  <c r="S16" i="45" s="1"/>
  <c r="AA5" i="45"/>
  <c r="AA9" i="45" s="1"/>
  <c r="AA11" i="45" s="1"/>
  <c r="AA16" i="45" s="1"/>
  <c r="AI5" i="45"/>
  <c r="AI9" i="45" s="1"/>
  <c r="AI11" i="45" s="1"/>
  <c r="AI16" i="45" s="1"/>
  <c r="AQ5" i="45"/>
  <c r="AQ9" i="45" s="1"/>
  <c r="AQ11" i="45" s="1"/>
  <c r="AQ16" i="45" s="1"/>
  <c r="AY5" i="45"/>
  <c r="AY9" i="45" s="1"/>
  <c r="AY11" i="45" s="1"/>
  <c r="AY16" i="45" s="1"/>
  <c r="T5" i="45"/>
  <c r="T9" i="45" s="1"/>
  <c r="T11" i="45" s="1"/>
  <c r="AB5" i="45"/>
  <c r="AB9" i="45" s="1"/>
  <c r="AB11" i="45" s="1"/>
  <c r="AB16" i="45" s="1"/>
  <c r="AJ5" i="45"/>
  <c r="AJ9" i="45" s="1"/>
  <c r="AJ11" i="45" s="1"/>
  <c r="AJ16" i="45" s="1"/>
  <c r="AR5" i="45"/>
  <c r="AR9" i="45" s="1"/>
  <c r="AR11" i="45" s="1"/>
  <c r="AR16" i="45" s="1"/>
  <c r="AZ5" i="45"/>
  <c r="AZ9" i="45" s="1"/>
  <c r="AZ11" i="45" s="1"/>
  <c r="AZ16" i="45" s="1"/>
  <c r="I5" i="45"/>
  <c r="I9" i="45" s="1"/>
  <c r="I11" i="45" s="1"/>
  <c r="AU5" i="45"/>
  <c r="AU9" i="45" s="1"/>
  <c r="AU11" i="45" s="1"/>
  <c r="AU16" i="45" s="1"/>
  <c r="U5" i="45"/>
  <c r="U9" i="45" s="1"/>
  <c r="U11" i="45" s="1"/>
  <c r="U16" i="45" s="1"/>
  <c r="AC5" i="45"/>
  <c r="AC9" i="45" s="1"/>
  <c r="AC11" i="45" s="1"/>
  <c r="AK5" i="45"/>
  <c r="AK9" i="45" s="1"/>
  <c r="AK11" i="45" s="1"/>
  <c r="AS5" i="45"/>
  <c r="AS9" i="45" s="1"/>
  <c r="AS11" i="45" s="1"/>
  <c r="AS16" i="45" s="1"/>
  <c r="BA5" i="45"/>
  <c r="BA9" i="45" s="1"/>
  <c r="BA11" i="45" s="1"/>
  <c r="BA16" i="45" s="1"/>
  <c r="J5" i="45"/>
  <c r="J9" i="45" s="1"/>
  <c r="J11" i="45" s="1"/>
  <c r="W5" i="45"/>
  <c r="W9" i="45" s="1"/>
  <c r="W11" i="45" s="1"/>
  <c r="W16" i="45" s="1"/>
  <c r="AM5" i="45"/>
  <c r="AM9" i="45" s="1"/>
  <c r="AM11" i="45" s="1"/>
  <c r="L5" i="45"/>
  <c r="L9" i="45" s="1"/>
  <c r="L11" i="45" s="1"/>
  <c r="L16" i="45" s="1"/>
  <c r="N5" i="45"/>
  <c r="N9" i="45" s="1"/>
  <c r="N11" i="45" s="1"/>
  <c r="V5" i="45"/>
  <c r="V9" i="45" s="1"/>
  <c r="V11" i="45" s="1"/>
  <c r="V16" i="45" s="1"/>
  <c r="AD5" i="45"/>
  <c r="AD9" i="45" s="1"/>
  <c r="AD11" i="45" s="1"/>
  <c r="AL5" i="45"/>
  <c r="AL9" i="45" s="1"/>
  <c r="AL11" i="45" s="1"/>
  <c r="AL16" i="45" s="1"/>
  <c r="AT5" i="45"/>
  <c r="AT9" i="45" s="1"/>
  <c r="AT11" i="45" s="1"/>
  <c r="AT16" i="45" s="1"/>
  <c r="BB5" i="45"/>
  <c r="BB9" i="45" s="1"/>
  <c r="BB11" i="45" s="1"/>
  <c r="K5" i="45"/>
  <c r="K9" i="45" s="1"/>
  <c r="K11" i="45" s="1"/>
  <c r="O5" i="45"/>
  <c r="O9" i="45" s="1"/>
  <c r="O11" i="45" s="1"/>
  <c r="O16" i="45" s="1"/>
  <c r="AE5" i="45"/>
  <c r="AE9" i="45" s="1"/>
  <c r="AE11" i="45" s="1"/>
  <c r="AE16" i="45" s="1"/>
  <c r="BC5" i="45"/>
  <c r="BC9" i="45" s="1"/>
  <c r="BC11" i="45" s="1"/>
  <c r="BC16" i="45" s="1"/>
  <c r="P5" i="45"/>
  <c r="P9" i="45" s="1"/>
  <c r="P11" i="45" s="1"/>
  <c r="P16" i="45" s="1"/>
  <c r="X5" i="45"/>
  <c r="X9" i="45" s="1"/>
  <c r="X11" i="45" s="1"/>
  <c r="AF5" i="45"/>
  <c r="AF9" i="45" s="1"/>
  <c r="AF11" i="45" s="1"/>
  <c r="AF16" i="45" s="1"/>
  <c r="AN5" i="45"/>
  <c r="AN9" i="45" s="1"/>
  <c r="AN11" i="45" s="1"/>
  <c r="AN16" i="45" s="1"/>
  <c r="AV5" i="45"/>
  <c r="AV9" i="45" s="1"/>
  <c r="AV11" i="45" s="1"/>
  <c r="BD5" i="45"/>
  <c r="BD9" i="45" s="1"/>
  <c r="BD11" i="45" s="1"/>
  <c r="BD16" i="45" s="1"/>
  <c r="M5" i="45"/>
  <c r="M9" i="45" s="1"/>
  <c r="M11" i="45" s="1"/>
  <c r="R5" i="45"/>
  <c r="R9" i="45" s="1"/>
  <c r="R11" i="45" s="1"/>
  <c r="AH5" i="45"/>
  <c r="AH9" i="45" s="1"/>
  <c r="AH11" i="45" s="1"/>
  <c r="AX5" i="45"/>
  <c r="AX9" i="45" s="1"/>
  <c r="AX11" i="45" s="1"/>
  <c r="AX16" i="45" s="1"/>
  <c r="H8" i="29"/>
  <c r="H12" i="29" s="1"/>
  <c r="Q5" i="45"/>
  <c r="Q9" i="45" s="1"/>
  <c r="Q11" i="45" s="1"/>
  <c r="Q16" i="45" s="1"/>
  <c r="Y5" i="45"/>
  <c r="Y9" i="45" s="1"/>
  <c r="Y11" i="45" s="1"/>
  <c r="AG5" i="45"/>
  <c r="AG9" i="45" s="1"/>
  <c r="AG11" i="45" s="1"/>
  <c r="AG16" i="45" s="1"/>
  <c r="AO5" i="45"/>
  <c r="AO9" i="45" s="1"/>
  <c r="AO11" i="45" s="1"/>
  <c r="AO16" i="45" s="1"/>
  <c r="AW5" i="45"/>
  <c r="AW9" i="45" s="1"/>
  <c r="AW11" i="45" s="1"/>
  <c r="AW16" i="45" s="1"/>
  <c r="BE5" i="45"/>
  <c r="BE9" i="45" s="1"/>
  <c r="BE11" i="45" s="1"/>
  <c r="BE16" i="45" s="1"/>
  <c r="H5" i="45"/>
  <c r="H9" i="45" s="1"/>
  <c r="Z5" i="45"/>
  <c r="Z9" i="45" s="1"/>
  <c r="Z11" i="45" s="1"/>
  <c r="Z16" i="45" s="1"/>
  <c r="AP5" i="45"/>
  <c r="AP9" i="45" s="1"/>
  <c r="AP11" i="45" s="1"/>
  <c r="P5" i="35"/>
  <c r="X5" i="35"/>
  <c r="AF5" i="35"/>
  <c r="AN5" i="35"/>
  <c r="BD5" i="35"/>
  <c r="L4" i="35"/>
  <c r="L8" i="35" s="1"/>
  <c r="T4" i="35"/>
  <c r="T8" i="35" s="1"/>
  <c r="AB4" i="35"/>
  <c r="AB8" i="35" s="1"/>
  <c r="AJ4" i="35"/>
  <c r="AJ8" i="35" s="1"/>
  <c r="AR4" i="35"/>
  <c r="AR8" i="35" s="1"/>
  <c r="AZ4" i="35"/>
  <c r="AZ8" i="35" s="1"/>
  <c r="BA4" i="35"/>
  <c r="BA8" i="35" s="1"/>
  <c r="N5" i="35"/>
  <c r="Z4" i="35"/>
  <c r="Z8" i="35" s="1"/>
  <c r="BC5" i="35"/>
  <c r="AY4" i="35"/>
  <c r="AY8" i="35" s="1"/>
  <c r="Q5" i="35"/>
  <c r="Y5" i="35"/>
  <c r="AG5" i="35"/>
  <c r="AO5" i="35"/>
  <c r="AW5" i="35"/>
  <c r="BE5" i="35"/>
  <c r="M4" i="35"/>
  <c r="M8" i="35" s="1"/>
  <c r="U4" i="35"/>
  <c r="U8" i="35" s="1"/>
  <c r="AC4" i="35"/>
  <c r="AC8" i="35" s="1"/>
  <c r="AK4" i="35"/>
  <c r="AK8" i="35" s="1"/>
  <c r="AS4" i="35"/>
  <c r="AS8" i="35" s="1"/>
  <c r="BB5" i="35"/>
  <c r="W5" i="35"/>
  <c r="AQ4" i="35"/>
  <c r="AQ8" i="35" s="1"/>
  <c r="R5" i="35"/>
  <c r="Z5" i="35"/>
  <c r="AH5" i="35"/>
  <c r="AP5" i="35"/>
  <c r="AX5" i="35"/>
  <c r="N4" i="35"/>
  <c r="N8" i="35" s="1"/>
  <c r="V4" i="35"/>
  <c r="V8" i="35" s="1"/>
  <c r="AD4" i="35"/>
  <c r="AD8" i="35" s="1"/>
  <c r="AL4" i="35"/>
  <c r="AL8" i="35" s="1"/>
  <c r="AT4" i="35"/>
  <c r="AT8" i="35" s="1"/>
  <c r="BB4" i="35"/>
  <c r="BB8" i="35" s="1"/>
  <c r="AV4" i="35"/>
  <c r="AV8" i="35" s="1"/>
  <c r="AD5" i="35"/>
  <c r="J4" i="35"/>
  <c r="J8" i="35" s="1"/>
  <c r="AX4" i="35"/>
  <c r="AX8" i="35" s="1"/>
  <c r="AE5" i="35"/>
  <c r="S4" i="35"/>
  <c r="S8" i="35" s="1"/>
  <c r="S5" i="35"/>
  <c r="AA5" i="35"/>
  <c r="AI5" i="35"/>
  <c r="AQ5" i="35"/>
  <c r="AY5" i="35"/>
  <c r="I5" i="35"/>
  <c r="O4" i="35"/>
  <c r="O8" i="35" s="1"/>
  <c r="W4" i="35"/>
  <c r="W8" i="35" s="1"/>
  <c r="AE4" i="35"/>
  <c r="AE8" i="35" s="1"/>
  <c r="AM4" i="35"/>
  <c r="AM8" i="35" s="1"/>
  <c r="AU4" i="35"/>
  <c r="AU8" i="35" s="1"/>
  <c r="BC4" i="35"/>
  <c r="BC8" i="35" s="1"/>
  <c r="X4" i="35"/>
  <c r="X8" i="35" s="1"/>
  <c r="AN4" i="35"/>
  <c r="AN8" i="35" s="1"/>
  <c r="AL5" i="35"/>
  <c r="R4" i="35"/>
  <c r="R8" i="35" s="1"/>
  <c r="AM5" i="35"/>
  <c r="K4" i="35"/>
  <c r="K8" i="35" s="1"/>
  <c r="L5" i="35"/>
  <c r="T5" i="35"/>
  <c r="AB5" i="35"/>
  <c r="AJ5" i="35"/>
  <c r="AR5" i="35"/>
  <c r="AZ5" i="35"/>
  <c r="J5" i="35"/>
  <c r="P4" i="35"/>
  <c r="P8" i="35" s="1"/>
  <c r="AF4" i="35"/>
  <c r="AF8" i="35" s="1"/>
  <c r="BD4" i="35"/>
  <c r="BD8" i="35" s="1"/>
  <c r="AT5" i="35"/>
  <c r="AH4" i="35"/>
  <c r="AH8" i="35" s="1"/>
  <c r="O5" i="35"/>
  <c r="AI4" i="35"/>
  <c r="AI8" i="35" s="1"/>
  <c r="M5" i="35"/>
  <c r="U5" i="35"/>
  <c r="AC5" i="35"/>
  <c r="AK5" i="35"/>
  <c r="AS5" i="35"/>
  <c r="BA5" i="35"/>
  <c r="K5" i="35"/>
  <c r="I4" i="35"/>
  <c r="I8" i="35" s="1"/>
  <c r="Q4" i="35"/>
  <c r="Q8" i="35" s="1"/>
  <c r="Y4" i="35"/>
  <c r="Y8" i="35" s="1"/>
  <c r="AG4" i="35"/>
  <c r="AG8" i="35" s="1"/>
  <c r="AO4" i="35"/>
  <c r="AO8" i="35" s="1"/>
  <c r="AW4" i="35"/>
  <c r="AW8" i="35" s="1"/>
  <c r="BE4" i="35"/>
  <c r="BE8" i="35" s="1"/>
  <c r="V5" i="35"/>
  <c r="H5" i="35"/>
  <c r="H9" i="35" s="1"/>
  <c r="AP4" i="35"/>
  <c r="AP8" i="35" s="1"/>
  <c r="AU5" i="35"/>
  <c r="AA4" i="35"/>
  <c r="AA8" i="35" s="1"/>
  <c r="N8" i="29"/>
  <c r="N12" i="29" s="1"/>
  <c r="V8" i="29"/>
  <c r="V12" i="29" s="1"/>
  <c r="AD8" i="29"/>
  <c r="AD12" i="29" s="1"/>
  <c r="AL8" i="29"/>
  <c r="AL12" i="29" s="1"/>
  <c r="AT8" i="29"/>
  <c r="AT12" i="29" s="1"/>
  <c r="BB8" i="29"/>
  <c r="BB12" i="29" s="1"/>
  <c r="L8" i="29"/>
  <c r="L12" i="29" s="1"/>
  <c r="AM8" i="29"/>
  <c r="AM12" i="29" s="1"/>
  <c r="BC8" i="29"/>
  <c r="BC12" i="29" s="1"/>
  <c r="M8" i="29"/>
  <c r="M12" i="29" s="1"/>
  <c r="AS8" i="29"/>
  <c r="AS12" i="29" s="1"/>
  <c r="O8" i="29"/>
  <c r="O12" i="29" s="1"/>
  <c r="W8" i="29"/>
  <c r="W12" i="29" s="1"/>
  <c r="AE8" i="29"/>
  <c r="AE12" i="29" s="1"/>
  <c r="AU8" i="29"/>
  <c r="AU12" i="29" s="1"/>
  <c r="U8" i="29"/>
  <c r="U12" i="29" s="1"/>
  <c r="P8" i="29"/>
  <c r="P12" i="29" s="1"/>
  <c r="X8" i="29"/>
  <c r="X12" i="29" s="1"/>
  <c r="AF8" i="29"/>
  <c r="AF12" i="29" s="1"/>
  <c r="AN8" i="29"/>
  <c r="AN12" i="29" s="1"/>
  <c r="AV8" i="29"/>
  <c r="AV12" i="29" s="1"/>
  <c r="BD8" i="29"/>
  <c r="BD12" i="29" s="1"/>
  <c r="AB8" i="29"/>
  <c r="AB12" i="29" s="1"/>
  <c r="J8" i="29"/>
  <c r="J12" i="29" s="1"/>
  <c r="K8" i="29"/>
  <c r="K12" i="29" s="1"/>
  <c r="Q8" i="29"/>
  <c r="Q12" i="29" s="1"/>
  <c r="Y8" i="29"/>
  <c r="Y12" i="29" s="1"/>
  <c r="AG8" i="29"/>
  <c r="AG12" i="29" s="1"/>
  <c r="AO8" i="29"/>
  <c r="AO12" i="29" s="1"/>
  <c r="AW8" i="29"/>
  <c r="AW12" i="29" s="1"/>
  <c r="BE8" i="29"/>
  <c r="BE12" i="29" s="1"/>
  <c r="AR8" i="29"/>
  <c r="AR12" i="29" s="1"/>
  <c r="AC8" i="29"/>
  <c r="AC12" i="29" s="1"/>
  <c r="R8" i="29"/>
  <c r="R12" i="29" s="1"/>
  <c r="Z8" i="29"/>
  <c r="Z12" i="29" s="1"/>
  <c r="AH8" i="29"/>
  <c r="AH12" i="29" s="1"/>
  <c r="AP8" i="29"/>
  <c r="AP12" i="29" s="1"/>
  <c r="AX8" i="29"/>
  <c r="AX12" i="29" s="1"/>
  <c r="T8" i="29"/>
  <c r="T12" i="29" s="1"/>
  <c r="AZ8" i="29"/>
  <c r="AZ12" i="29" s="1"/>
  <c r="BA8" i="29"/>
  <c r="BA12" i="29" s="1"/>
  <c r="S8" i="29"/>
  <c r="S12" i="29" s="1"/>
  <c r="AA8" i="29"/>
  <c r="AA12" i="29" s="1"/>
  <c r="AI8" i="29"/>
  <c r="AI12" i="29" s="1"/>
  <c r="AQ8" i="29"/>
  <c r="AQ12" i="29" s="1"/>
  <c r="AY8" i="29"/>
  <c r="AY12" i="29" s="1"/>
  <c r="I8" i="29"/>
  <c r="I12" i="29" s="1"/>
  <c r="AJ8" i="29"/>
  <c r="AJ12" i="29" s="1"/>
  <c r="AK8" i="29"/>
  <c r="AK12" i="29" s="1"/>
  <c r="E9" i="35"/>
  <c r="P7" i="30"/>
  <c r="P11" i="30" s="1"/>
  <c r="X7" i="30"/>
  <c r="X11" i="30" s="1"/>
  <c r="AF7" i="30"/>
  <c r="AF11" i="30" s="1"/>
  <c r="AN7" i="30"/>
  <c r="AN11" i="30" s="1"/>
  <c r="S7" i="30"/>
  <c r="S11" i="30" s="1"/>
  <c r="AQ7" i="30"/>
  <c r="AQ11" i="30" s="1"/>
  <c r="AC7" i="30"/>
  <c r="AC11" i="30" s="1"/>
  <c r="K7" i="30"/>
  <c r="K11" i="30" s="1"/>
  <c r="V7" i="30"/>
  <c r="V11" i="30" s="1"/>
  <c r="O7" i="30"/>
  <c r="O11" i="30" s="1"/>
  <c r="AM7" i="30"/>
  <c r="AM11" i="30" s="1"/>
  <c r="Q7" i="30"/>
  <c r="Q11" i="30" s="1"/>
  <c r="Y7" i="30"/>
  <c r="Y11" i="30" s="1"/>
  <c r="AG7" i="30"/>
  <c r="AG11" i="30" s="1"/>
  <c r="AO7" i="30"/>
  <c r="AO11" i="30" s="1"/>
  <c r="AW7" i="30"/>
  <c r="AW11" i="30" s="1"/>
  <c r="AI7" i="30"/>
  <c r="AI11" i="30" s="1"/>
  <c r="I7" i="30"/>
  <c r="I11" i="30" s="1"/>
  <c r="AS7" i="30"/>
  <c r="AS11" i="30" s="1"/>
  <c r="AD7" i="30"/>
  <c r="AD11" i="30" s="1"/>
  <c r="W7" i="30"/>
  <c r="W11" i="30" s="1"/>
  <c r="R7" i="30"/>
  <c r="R11" i="30" s="1"/>
  <c r="Z7" i="30"/>
  <c r="Z11" i="30" s="1"/>
  <c r="AH7" i="30"/>
  <c r="AH11" i="30" s="1"/>
  <c r="AP7" i="30"/>
  <c r="AP11" i="30" s="1"/>
  <c r="AX7" i="30"/>
  <c r="AX11" i="30" s="1"/>
  <c r="AA7" i="30"/>
  <c r="AA11" i="30" s="1"/>
  <c r="AY7" i="30"/>
  <c r="AY11" i="30" s="1"/>
  <c r="AK7" i="30"/>
  <c r="AK11" i="30" s="1"/>
  <c r="AL7" i="30"/>
  <c r="AL11" i="30" s="1"/>
  <c r="L7" i="30"/>
  <c r="L11" i="30" s="1"/>
  <c r="T7" i="30"/>
  <c r="T11" i="30" s="1"/>
  <c r="AB7" i="30"/>
  <c r="AB11" i="30" s="1"/>
  <c r="AJ7" i="30"/>
  <c r="AJ11" i="30" s="1"/>
  <c r="AR7" i="30"/>
  <c r="AR11" i="30" s="1"/>
  <c r="AZ7" i="30"/>
  <c r="AZ11" i="30" s="1"/>
  <c r="J7" i="30"/>
  <c r="J11" i="30" s="1"/>
  <c r="M7" i="30"/>
  <c r="M11" i="30" s="1"/>
  <c r="U7" i="30"/>
  <c r="U11" i="30" s="1"/>
  <c r="N7" i="30"/>
  <c r="N11" i="30" s="1"/>
  <c r="AT7" i="30"/>
  <c r="AT11" i="30" s="1"/>
  <c r="AE7" i="30"/>
  <c r="AE11" i="30" s="1"/>
  <c r="I6" i="30"/>
  <c r="Q6" i="30"/>
  <c r="Y6" i="30"/>
  <c r="AG6" i="30"/>
  <c r="AO6" i="30"/>
  <c r="AW6" i="30"/>
  <c r="AP6" i="30"/>
  <c r="M6" i="30"/>
  <c r="AS6" i="30"/>
  <c r="P6" i="30"/>
  <c r="J6" i="30"/>
  <c r="R6" i="30"/>
  <c r="Z6" i="30"/>
  <c r="AH6" i="30"/>
  <c r="AX6" i="30"/>
  <c r="AC6" i="30"/>
  <c r="K6" i="30"/>
  <c r="S6" i="30"/>
  <c r="AA6" i="30"/>
  <c r="AI6" i="30"/>
  <c r="AQ6" i="30"/>
  <c r="AY6" i="30"/>
  <c r="H7" i="30"/>
  <c r="H11" i="30" s="1"/>
  <c r="U6" i="30"/>
  <c r="AF6" i="30"/>
  <c r="L6" i="30"/>
  <c r="T6" i="30"/>
  <c r="AB6" i="30"/>
  <c r="AJ6" i="30"/>
  <c r="AR6" i="30"/>
  <c r="AZ6" i="30"/>
  <c r="H6" i="30"/>
  <c r="H10" i="30" s="1"/>
  <c r="AK6" i="30"/>
  <c r="AN6" i="30"/>
  <c r="N6" i="30"/>
  <c r="V6" i="30"/>
  <c r="AD6" i="30"/>
  <c r="AL6" i="30"/>
  <c r="AT6" i="30"/>
  <c r="O6" i="30"/>
  <c r="W6" i="30"/>
  <c r="AE6" i="30"/>
  <c r="AM6" i="30"/>
  <c r="X6" i="30"/>
  <c r="W5" i="5"/>
  <c r="W8" i="5" s="1"/>
  <c r="AE5" i="5"/>
  <c r="AE8" i="5" s="1"/>
  <c r="AM5" i="5"/>
  <c r="AM8" i="5" s="1"/>
  <c r="AU5" i="5"/>
  <c r="AU8" i="5" s="1"/>
  <c r="BC5" i="5"/>
  <c r="BC8" i="5" s="1"/>
  <c r="M5" i="5"/>
  <c r="M8" i="5" s="1"/>
  <c r="U5" i="5"/>
  <c r="U8" i="5" s="1"/>
  <c r="AH5" i="5"/>
  <c r="AH8" i="5" s="1"/>
  <c r="AQ5" i="5"/>
  <c r="AQ8" i="5" s="1"/>
  <c r="AD5" i="5"/>
  <c r="AD8" i="5" s="1"/>
  <c r="AT5" i="5"/>
  <c r="AT8" i="5" s="1"/>
  <c r="X5" i="5"/>
  <c r="X8" i="5" s="1"/>
  <c r="AF5" i="5"/>
  <c r="AF8" i="5" s="1"/>
  <c r="AN5" i="5"/>
  <c r="AN8" i="5" s="1"/>
  <c r="AV5" i="5"/>
  <c r="AV8" i="5" s="1"/>
  <c r="BD5" i="5"/>
  <c r="BD8" i="5" s="1"/>
  <c r="N5" i="5"/>
  <c r="N8" i="5" s="1"/>
  <c r="V5" i="5"/>
  <c r="V8" i="5" s="1"/>
  <c r="Z5" i="5"/>
  <c r="Z8" i="5" s="1"/>
  <c r="AX5" i="5"/>
  <c r="AX8" i="5" s="1"/>
  <c r="AI5" i="5"/>
  <c r="AI8" i="5" s="1"/>
  <c r="I5" i="5"/>
  <c r="I8" i="5" s="1"/>
  <c r="AL5" i="5"/>
  <c r="AL8" i="5" s="1"/>
  <c r="T5" i="5"/>
  <c r="T8" i="5" s="1"/>
  <c r="I6" i="5"/>
  <c r="I11" i="5" s="1"/>
  <c r="Y5" i="5"/>
  <c r="Y8" i="5" s="1"/>
  <c r="AG5" i="5"/>
  <c r="AG8" i="5" s="1"/>
  <c r="AO5" i="5"/>
  <c r="AO8" i="5" s="1"/>
  <c r="AW5" i="5"/>
  <c r="AW8" i="5" s="1"/>
  <c r="BE5" i="5"/>
  <c r="BE8" i="5" s="1"/>
  <c r="O5" i="5"/>
  <c r="O8" i="5" s="1"/>
  <c r="H5" i="5"/>
  <c r="H8" i="5" s="1"/>
  <c r="J6" i="5"/>
  <c r="J11" i="5" s="1"/>
  <c r="AP5" i="5"/>
  <c r="AP8" i="5" s="1"/>
  <c r="P5" i="5"/>
  <c r="P8" i="5" s="1"/>
  <c r="AA5" i="5"/>
  <c r="AA8" i="5" s="1"/>
  <c r="AY5" i="5"/>
  <c r="AY8" i="5" s="1"/>
  <c r="Q5" i="5"/>
  <c r="Q8" i="5" s="1"/>
  <c r="BB5" i="5"/>
  <c r="BB8" i="5" s="1"/>
  <c r="AB5" i="5"/>
  <c r="AB8" i="5" s="1"/>
  <c r="AJ5" i="5"/>
  <c r="AJ8" i="5" s="1"/>
  <c r="AR5" i="5"/>
  <c r="AR8" i="5" s="1"/>
  <c r="AZ5" i="5"/>
  <c r="AZ8" i="5" s="1"/>
  <c r="J5" i="5"/>
  <c r="J8" i="5" s="1"/>
  <c r="R5" i="5"/>
  <c r="R8" i="5" s="1"/>
  <c r="AC5" i="5"/>
  <c r="AC8" i="5" s="1"/>
  <c r="AK5" i="5"/>
  <c r="AK8" i="5" s="1"/>
  <c r="AS5" i="5"/>
  <c r="AS8" i="5" s="1"/>
  <c r="BA5" i="5"/>
  <c r="BA8" i="5" s="1"/>
  <c r="K5" i="5"/>
  <c r="K8" i="5" s="1"/>
  <c r="S5" i="5"/>
  <c r="S8" i="5" s="1"/>
  <c r="H6" i="5"/>
  <c r="H11" i="5" s="1"/>
  <c r="L5" i="5"/>
  <c r="L8" i="5" s="1"/>
  <c r="I6" i="26"/>
  <c r="I9" i="26" s="1"/>
  <c r="Q6" i="26"/>
  <c r="Q9" i="26" s="1"/>
  <c r="Y6" i="26"/>
  <c r="Y9" i="26" s="1"/>
  <c r="AG6" i="26"/>
  <c r="AG9" i="26" s="1"/>
  <c r="AO6" i="26"/>
  <c r="AO9" i="26" s="1"/>
  <c r="AW6" i="26"/>
  <c r="AW9" i="26" s="1"/>
  <c r="O5" i="26"/>
  <c r="O8" i="26" s="1"/>
  <c r="W5" i="26"/>
  <c r="W8" i="26" s="1"/>
  <c r="AE5" i="26"/>
  <c r="AE8" i="26" s="1"/>
  <c r="AM5" i="26"/>
  <c r="AM8" i="26" s="1"/>
  <c r="AU5" i="26"/>
  <c r="AU8" i="26" s="1"/>
  <c r="K6" i="26"/>
  <c r="K9" i="26" s="1"/>
  <c r="AA6" i="26"/>
  <c r="AA9" i="26" s="1"/>
  <c r="AY6" i="26"/>
  <c r="AY9" i="26" s="1"/>
  <c r="Q5" i="26"/>
  <c r="Q8" i="26" s="1"/>
  <c r="J6" i="26"/>
  <c r="J9" i="26" s="1"/>
  <c r="R6" i="26"/>
  <c r="R9" i="26" s="1"/>
  <c r="Z6" i="26"/>
  <c r="Z9" i="26" s="1"/>
  <c r="AH6" i="26"/>
  <c r="AH9" i="26" s="1"/>
  <c r="AP6" i="26"/>
  <c r="AP9" i="26" s="1"/>
  <c r="AX6" i="26"/>
  <c r="AX9" i="26" s="1"/>
  <c r="P5" i="26"/>
  <c r="P8" i="26" s="1"/>
  <c r="X5" i="26"/>
  <c r="X8" i="26" s="1"/>
  <c r="AF5" i="26"/>
  <c r="AF8" i="26" s="1"/>
  <c r="AN5" i="26"/>
  <c r="AN8" i="26" s="1"/>
  <c r="AV5" i="26"/>
  <c r="AV8" i="26" s="1"/>
  <c r="S6" i="26"/>
  <c r="S9" i="26" s="1"/>
  <c r="AQ6" i="26"/>
  <c r="AQ9" i="26" s="1"/>
  <c r="I5" i="26"/>
  <c r="I8" i="26" s="1"/>
  <c r="Y5" i="26"/>
  <c r="Y8" i="26" s="1"/>
  <c r="AG5" i="26"/>
  <c r="AG8" i="26" s="1"/>
  <c r="AW5" i="26"/>
  <c r="AW8" i="26" s="1"/>
  <c r="L6" i="26"/>
  <c r="L9" i="26" s="1"/>
  <c r="AB6" i="26"/>
  <c r="AB9" i="26" s="1"/>
  <c r="AR6" i="26"/>
  <c r="AR9" i="26" s="1"/>
  <c r="J5" i="26"/>
  <c r="J8" i="26" s="1"/>
  <c r="Z5" i="26"/>
  <c r="Z8" i="26" s="1"/>
  <c r="AP5" i="26"/>
  <c r="AP8" i="26" s="1"/>
  <c r="U6" i="26"/>
  <c r="U9" i="26" s="1"/>
  <c r="AK6" i="26"/>
  <c r="AK9" i="26" s="1"/>
  <c r="BA6" i="26"/>
  <c r="BA9" i="26" s="1"/>
  <c r="S5" i="26"/>
  <c r="S8" i="26" s="1"/>
  <c r="AI5" i="26"/>
  <c r="AI8" i="26" s="1"/>
  <c r="AY5" i="26"/>
  <c r="AY8" i="26" s="1"/>
  <c r="V6" i="26"/>
  <c r="V9" i="26" s="1"/>
  <c r="AL6" i="26"/>
  <c r="AL9" i="26" s="1"/>
  <c r="T5" i="26"/>
  <c r="T8" i="26" s="1"/>
  <c r="AJ5" i="26"/>
  <c r="AJ8" i="26" s="1"/>
  <c r="AZ5" i="26"/>
  <c r="AZ8" i="26" s="1"/>
  <c r="W6" i="26"/>
  <c r="W9" i="26" s="1"/>
  <c r="AM6" i="26"/>
  <c r="AM9" i="26" s="1"/>
  <c r="U5" i="26"/>
  <c r="U8" i="26" s="1"/>
  <c r="AK5" i="26"/>
  <c r="AK8" i="26" s="1"/>
  <c r="AI6" i="26"/>
  <c r="AI9" i="26" s="1"/>
  <c r="AO5" i="26"/>
  <c r="AO8" i="26" s="1"/>
  <c r="T6" i="26"/>
  <c r="T9" i="26" s="1"/>
  <c r="AJ6" i="26"/>
  <c r="AJ9" i="26" s="1"/>
  <c r="AZ6" i="26"/>
  <c r="AZ9" i="26" s="1"/>
  <c r="R5" i="26"/>
  <c r="R8" i="26" s="1"/>
  <c r="AH5" i="26"/>
  <c r="AH8" i="26" s="1"/>
  <c r="AX5" i="26"/>
  <c r="AX8" i="26" s="1"/>
  <c r="M6" i="26"/>
  <c r="M9" i="26" s="1"/>
  <c r="AC6" i="26"/>
  <c r="AC9" i="26" s="1"/>
  <c r="AS6" i="26"/>
  <c r="AS9" i="26" s="1"/>
  <c r="K5" i="26"/>
  <c r="K8" i="26" s="1"/>
  <c r="AA5" i="26"/>
  <c r="AA8" i="26" s="1"/>
  <c r="AQ5" i="26"/>
  <c r="AQ8" i="26" s="1"/>
  <c r="N6" i="26"/>
  <c r="N9" i="26" s="1"/>
  <c r="AD6" i="26"/>
  <c r="AD9" i="26" s="1"/>
  <c r="AT6" i="26"/>
  <c r="AT9" i="26" s="1"/>
  <c r="L5" i="26"/>
  <c r="L8" i="26" s="1"/>
  <c r="AB5" i="26"/>
  <c r="AB8" i="26" s="1"/>
  <c r="AR5" i="26"/>
  <c r="AR8" i="26" s="1"/>
  <c r="O6" i="26"/>
  <c r="O9" i="26" s="1"/>
  <c r="AE6" i="26"/>
  <c r="AE9" i="26" s="1"/>
  <c r="AU6" i="26"/>
  <c r="AU9" i="26" s="1"/>
  <c r="M5" i="26"/>
  <c r="M8" i="26" s="1"/>
  <c r="AC5" i="26"/>
  <c r="AC8" i="26" s="1"/>
  <c r="AS5" i="26"/>
  <c r="AS8" i="26" s="1"/>
  <c r="V5" i="26"/>
  <c r="V8" i="26" s="1"/>
  <c r="AL5" i="26"/>
  <c r="AL8" i="26" s="1"/>
  <c r="AT5" i="26"/>
  <c r="AT8" i="26" s="1"/>
  <c r="P6" i="26"/>
  <c r="P9" i="26" s="1"/>
  <c r="AD5" i="26"/>
  <c r="AD8" i="26" s="1"/>
  <c r="X6" i="26"/>
  <c r="X9" i="26" s="1"/>
  <c r="AF6" i="26"/>
  <c r="AF9" i="26" s="1"/>
  <c r="AN6" i="26"/>
  <c r="AN9" i="26" s="1"/>
  <c r="AV6" i="26"/>
  <c r="AV9" i="26" s="1"/>
  <c r="N5" i="26"/>
  <c r="N8" i="26" s="1"/>
  <c r="M6" i="28"/>
  <c r="M9" i="28" s="1"/>
  <c r="U6" i="28"/>
  <c r="U9" i="28" s="1"/>
  <c r="AC6" i="28"/>
  <c r="AC9" i="28" s="1"/>
  <c r="AK6" i="28"/>
  <c r="AK9" i="28" s="1"/>
  <c r="AS6" i="28"/>
  <c r="AS9" i="28" s="1"/>
  <c r="BA6" i="28"/>
  <c r="BA9" i="28" s="1"/>
  <c r="K7" i="28"/>
  <c r="K10" i="28" s="1"/>
  <c r="S7" i="28"/>
  <c r="S10" i="28" s="1"/>
  <c r="AA7" i="28"/>
  <c r="AA10" i="28" s="1"/>
  <c r="AI7" i="28"/>
  <c r="AI10" i="28" s="1"/>
  <c r="AQ7" i="28"/>
  <c r="AQ10" i="28" s="1"/>
  <c r="AY7" i="28"/>
  <c r="AY10" i="28" s="1"/>
  <c r="H7" i="28"/>
  <c r="H10" i="28" s="1"/>
  <c r="V6" i="28"/>
  <c r="V9" i="28" s="1"/>
  <c r="AD6" i="28"/>
  <c r="AD9" i="28" s="1"/>
  <c r="AL6" i="28"/>
  <c r="AL9" i="28" s="1"/>
  <c r="AT6" i="28"/>
  <c r="AT9" i="28" s="1"/>
  <c r="BB6" i="28"/>
  <c r="BB9" i="28" s="1"/>
  <c r="L7" i="28"/>
  <c r="L10" i="28" s="1"/>
  <c r="T7" i="28"/>
  <c r="T10" i="28" s="1"/>
  <c r="AB7" i="28"/>
  <c r="AB10" i="28" s="1"/>
  <c r="AJ7" i="28"/>
  <c r="AJ10" i="28" s="1"/>
  <c r="AR7" i="28"/>
  <c r="AR10" i="28" s="1"/>
  <c r="AZ7" i="28"/>
  <c r="AZ10" i="28" s="1"/>
  <c r="N6" i="28"/>
  <c r="N9" i="28" s="1"/>
  <c r="O6" i="28"/>
  <c r="O9" i="28" s="1"/>
  <c r="W6" i="28"/>
  <c r="W9" i="28" s="1"/>
  <c r="AE6" i="28"/>
  <c r="AE9" i="28" s="1"/>
  <c r="AM6" i="28"/>
  <c r="AM9" i="28" s="1"/>
  <c r="AU6" i="28"/>
  <c r="AU9" i="28" s="1"/>
  <c r="BC6" i="28"/>
  <c r="BC9" i="28" s="1"/>
  <c r="M7" i="28"/>
  <c r="M10" i="28" s="1"/>
  <c r="U7" i="28"/>
  <c r="U10" i="28" s="1"/>
  <c r="AC7" i="28"/>
  <c r="AC10" i="28" s="1"/>
  <c r="AK7" i="28"/>
  <c r="AK10" i="28" s="1"/>
  <c r="AS7" i="28"/>
  <c r="AS10" i="28" s="1"/>
  <c r="BA7" i="28"/>
  <c r="BA10" i="28" s="1"/>
  <c r="J8" i="27"/>
  <c r="J12" i="27" s="1"/>
  <c r="AB6" i="28"/>
  <c r="AB9" i="28" s="1"/>
  <c r="R7" i="28"/>
  <c r="R10" i="28" s="1"/>
  <c r="AP7" i="28"/>
  <c r="AP10" i="28" s="1"/>
  <c r="P6" i="28"/>
  <c r="P9" i="28" s="1"/>
  <c r="X6" i="28"/>
  <c r="X9" i="28" s="1"/>
  <c r="AF6" i="28"/>
  <c r="AF9" i="28" s="1"/>
  <c r="AN6" i="28"/>
  <c r="AN9" i="28" s="1"/>
  <c r="AV6" i="28"/>
  <c r="AV9" i="28" s="1"/>
  <c r="N7" i="28"/>
  <c r="N10" i="28" s="1"/>
  <c r="V7" i="28"/>
  <c r="V10" i="28" s="1"/>
  <c r="AD7" i="28"/>
  <c r="AD10" i="28" s="1"/>
  <c r="AL7" i="28"/>
  <c r="AL10" i="28" s="1"/>
  <c r="AT7" i="28"/>
  <c r="AT10" i="28" s="1"/>
  <c r="BB7" i="28"/>
  <c r="BB10" i="28" s="1"/>
  <c r="AJ6" i="28"/>
  <c r="AJ9" i="28" s="1"/>
  <c r="AZ6" i="28"/>
  <c r="AZ9" i="28" s="1"/>
  <c r="Z7" i="28"/>
  <c r="Z10" i="28" s="1"/>
  <c r="I6" i="28"/>
  <c r="I9" i="28" s="1"/>
  <c r="Q6" i="28"/>
  <c r="Q9" i="28" s="1"/>
  <c r="Y6" i="28"/>
  <c r="Y9" i="28" s="1"/>
  <c r="AG6" i="28"/>
  <c r="AG9" i="28" s="1"/>
  <c r="AO6" i="28"/>
  <c r="AO9" i="28" s="1"/>
  <c r="AW6" i="28"/>
  <c r="AW9" i="28" s="1"/>
  <c r="O7" i="28"/>
  <c r="O10" i="28" s="1"/>
  <c r="W7" i="28"/>
  <c r="W10" i="28" s="1"/>
  <c r="AE7" i="28"/>
  <c r="AE10" i="28" s="1"/>
  <c r="AM7" i="28"/>
  <c r="AM10" i="28" s="1"/>
  <c r="AU7" i="28"/>
  <c r="AU10" i="28" s="1"/>
  <c r="BC7" i="28"/>
  <c r="BC10" i="28" s="1"/>
  <c r="AR6" i="28"/>
  <c r="AR9" i="28" s="1"/>
  <c r="AH7" i="28"/>
  <c r="AH10" i="28" s="1"/>
  <c r="H6" i="28"/>
  <c r="H9" i="28" s="1"/>
  <c r="J6" i="28"/>
  <c r="J9" i="28" s="1"/>
  <c r="R6" i="28"/>
  <c r="R9" i="28" s="1"/>
  <c r="Z6" i="28"/>
  <c r="Z9" i="28" s="1"/>
  <c r="AH6" i="28"/>
  <c r="AH9" i="28" s="1"/>
  <c r="AP6" i="28"/>
  <c r="AP9" i="28" s="1"/>
  <c r="AX6" i="28"/>
  <c r="AX9" i="28" s="1"/>
  <c r="P7" i="28"/>
  <c r="P10" i="28" s="1"/>
  <c r="X7" i="28"/>
  <c r="X10" i="28" s="1"/>
  <c r="AF7" i="28"/>
  <c r="AF10" i="28" s="1"/>
  <c r="AN7" i="28"/>
  <c r="AN10" i="28" s="1"/>
  <c r="AV7" i="28"/>
  <c r="AV10" i="28" s="1"/>
  <c r="T6" i="28"/>
  <c r="T9" i="28" s="1"/>
  <c r="J7" i="28"/>
  <c r="J10" i="28" s="1"/>
  <c r="AX7" i="28"/>
  <c r="AX10" i="28" s="1"/>
  <c r="I8" i="27"/>
  <c r="I12" i="27" s="1"/>
  <c r="K6" i="28"/>
  <c r="K9" i="28" s="1"/>
  <c r="S6" i="28"/>
  <c r="S9" i="28" s="1"/>
  <c r="AA6" i="28"/>
  <c r="AA9" i="28" s="1"/>
  <c r="AI6" i="28"/>
  <c r="AI9" i="28" s="1"/>
  <c r="AQ6" i="28"/>
  <c r="AQ9" i="28" s="1"/>
  <c r="AY6" i="28"/>
  <c r="AY9" i="28" s="1"/>
  <c r="I7" i="28"/>
  <c r="I10" i="28" s="1"/>
  <c r="Q7" i="28"/>
  <c r="Q10" i="28" s="1"/>
  <c r="Y7" i="28"/>
  <c r="Y10" i="28" s="1"/>
  <c r="AG7" i="28"/>
  <c r="AG10" i="28" s="1"/>
  <c r="AO7" i="28"/>
  <c r="AO10" i="28" s="1"/>
  <c r="AW7" i="28"/>
  <c r="AW10" i="28" s="1"/>
  <c r="L6" i="28"/>
  <c r="L9" i="28" s="1"/>
  <c r="C26" i="29"/>
  <c r="C28" i="29"/>
  <c r="C29" i="29"/>
  <c r="D30" i="29"/>
  <c r="I6" i="27"/>
  <c r="I10" i="27" s="1"/>
  <c r="J6" i="27"/>
  <c r="J10" i="27" s="1"/>
  <c r="I7" i="27"/>
  <c r="I11" i="27" s="1"/>
  <c r="H8" i="27"/>
  <c r="H12" i="27" s="1"/>
  <c r="J5" i="24"/>
  <c r="J7" i="24" s="1"/>
  <c r="J9" i="24" s="1"/>
  <c r="H6" i="27"/>
  <c r="H10" i="27" s="1"/>
  <c r="J7" i="27"/>
  <c r="J11" i="27" s="1"/>
  <c r="I5" i="24"/>
  <c r="I7" i="24" s="1"/>
  <c r="I9" i="24" s="1"/>
  <c r="H7" i="27"/>
  <c r="H11" i="27" s="1"/>
  <c r="K5" i="24"/>
  <c r="K7" i="24" s="1"/>
  <c r="K9" i="24" s="1"/>
  <c r="K14" i="24" s="1"/>
  <c r="L5" i="24"/>
  <c r="L7" i="24" s="1"/>
  <c r="L9" i="24" s="1"/>
  <c r="O7" i="23"/>
  <c r="O10" i="23" s="1"/>
  <c r="W7" i="23"/>
  <c r="W10" i="23" s="1"/>
  <c r="AE7" i="23"/>
  <c r="AE10" i="23" s="1"/>
  <c r="AM7" i="23"/>
  <c r="AM10" i="23" s="1"/>
  <c r="AU7" i="23"/>
  <c r="AU10" i="23" s="1"/>
  <c r="BC7" i="23"/>
  <c r="BC10" i="23" s="1"/>
  <c r="L6" i="23"/>
  <c r="L9" i="23" s="1"/>
  <c r="T6" i="23"/>
  <c r="AB6" i="23"/>
  <c r="AB9" i="23" s="1"/>
  <c r="AJ6" i="23"/>
  <c r="AJ9" i="23" s="1"/>
  <c r="AR6" i="23"/>
  <c r="AR9" i="23" s="1"/>
  <c r="AZ6" i="23"/>
  <c r="AZ9" i="23" s="1"/>
  <c r="AK6" i="20"/>
  <c r="AK9" i="20" s="1"/>
  <c r="AS6" i="20"/>
  <c r="AS9" i="20" s="1"/>
  <c r="X6" i="20"/>
  <c r="X9" i="20" s="1"/>
  <c r="AF6" i="20"/>
  <c r="AF9" i="20" s="1"/>
  <c r="M6" i="20"/>
  <c r="M9" i="20" s="1"/>
  <c r="Z7" i="23"/>
  <c r="Z10" i="23" s="1"/>
  <c r="AX7" i="23"/>
  <c r="AX10" i="23" s="1"/>
  <c r="W6" i="23"/>
  <c r="AU6" i="23"/>
  <c r="AN6" i="20"/>
  <c r="AN9" i="20" s="1"/>
  <c r="AI6" i="20"/>
  <c r="AI9" i="20" s="1"/>
  <c r="AA7" i="23"/>
  <c r="AA10" i="23" s="1"/>
  <c r="AY7" i="23"/>
  <c r="AY10" i="23" s="1"/>
  <c r="X6" i="23"/>
  <c r="X9" i="23" s="1"/>
  <c r="AF6" i="23"/>
  <c r="AF9" i="23" s="1"/>
  <c r="AO6" i="20"/>
  <c r="AO9" i="20" s="1"/>
  <c r="Q6" i="20"/>
  <c r="Q9" i="20" s="1"/>
  <c r="AB7" i="23"/>
  <c r="AB10" i="23" s="1"/>
  <c r="AZ7" i="23"/>
  <c r="AZ10" i="23" s="1"/>
  <c r="Y6" i="23"/>
  <c r="Y9" i="23" s="1"/>
  <c r="AW6" i="23"/>
  <c r="AW9" i="23" s="1"/>
  <c r="AC6" i="20"/>
  <c r="AC9" i="20" s="1"/>
  <c r="AC7" i="23"/>
  <c r="AC10" i="23" s="1"/>
  <c r="BA7" i="23"/>
  <c r="BA10" i="23" s="1"/>
  <c r="Z6" i="23"/>
  <c r="Z9" i="23" s="1"/>
  <c r="AX6" i="23"/>
  <c r="AX9" i="23" s="1"/>
  <c r="AD6" i="20"/>
  <c r="AD9" i="20" s="1"/>
  <c r="AD7" i="23"/>
  <c r="AD10" i="23" s="1"/>
  <c r="P7" i="23"/>
  <c r="P10" i="23" s="1"/>
  <c r="X7" i="23"/>
  <c r="X10" i="23" s="1"/>
  <c r="AF7" i="23"/>
  <c r="AF10" i="23" s="1"/>
  <c r="AN7" i="23"/>
  <c r="AN10" i="23" s="1"/>
  <c r="AV10" i="23"/>
  <c r="M6" i="23"/>
  <c r="M9" i="23" s="1"/>
  <c r="U6" i="23"/>
  <c r="U9" i="23" s="1"/>
  <c r="AC6" i="23"/>
  <c r="AK6" i="23"/>
  <c r="AK9" i="23" s="1"/>
  <c r="AS6" i="23"/>
  <c r="AS9" i="23" s="1"/>
  <c r="AL6" i="20"/>
  <c r="AL9" i="20" s="1"/>
  <c r="AT6" i="20"/>
  <c r="AT9" i="20" s="1"/>
  <c r="Y6" i="20"/>
  <c r="Y9" i="20" s="1"/>
  <c r="AG6" i="20"/>
  <c r="AG9" i="20" s="1"/>
  <c r="N6" i="20"/>
  <c r="N9" i="20" s="1"/>
  <c r="R7" i="23"/>
  <c r="R10" i="23" s="1"/>
  <c r="AH7" i="23"/>
  <c r="AH10" i="23" s="1"/>
  <c r="O6" i="23"/>
  <c r="AM6" i="23"/>
  <c r="S6" i="20"/>
  <c r="S9" i="20" s="1"/>
  <c r="P6" i="20"/>
  <c r="P9" i="20" s="1"/>
  <c r="K7" i="23"/>
  <c r="K10" i="23" s="1"/>
  <c r="AQ7" i="23"/>
  <c r="AQ10" i="23" s="1"/>
  <c r="P6" i="23"/>
  <c r="AN6" i="23"/>
  <c r="AN9" i="23" s="1"/>
  <c r="AB6" i="20"/>
  <c r="AB9" i="20" s="1"/>
  <c r="T7" i="23"/>
  <c r="T10" i="23" s="1"/>
  <c r="AR7" i="23"/>
  <c r="AR10" i="23" s="1"/>
  <c r="I6" i="23"/>
  <c r="I9" i="23" s="1"/>
  <c r="AG6" i="23"/>
  <c r="AG9" i="23" s="1"/>
  <c r="U6" i="20"/>
  <c r="U9" i="20" s="1"/>
  <c r="H6" i="20"/>
  <c r="H9" i="20" s="1"/>
  <c r="U7" i="23"/>
  <c r="U10" i="23" s="1"/>
  <c r="AK7" i="23"/>
  <c r="AK10" i="23" s="1"/>
  <c r="J6" i="23"/>
  <c r="J9" i="23" s="1"/>
  <c r="AH6" i="23"/>
  <c r="AH9" i="23" s="1"/>
  <c r="V6" i="20"/>
  <c r="V9" i="20" s="1"/>
  <c r="V7" i="23"/>
  <c r="V10" i="23" s="1"/>
  <c r="AT7" i="23"/>
  <c r="AT10" i="23" s="1"/>
  <c r="I7" i="23"/>
  <c r="I10" i="23" s="1"/>
  <c r="Q7" i="23"/>
  <c r="Q10" i="23" s="1"/>
  <c r="Y7" i="23"/>
  <c r="Y10" i="23" s="1"/>
  <c r="AG7" i="23"/>
  <c r="AG10" i="23" s="1"/>
  <c r="AO7" i="23"/>
  <c r="AO10" i="23" s="1"/>
  <c r="AW7" i="23"/>
  <c r="AW10" i="23" s="1"/>
  <c r="N6" i="23"/>
  <c r="N9" i="23" s="1"/>
  <c r="V6" i="23"/>
  <c r="V9" i="23" s="1"/>
  <c r="AD6" i="23"/>
  <c r="AD9" i="23" s="1"/>
  <c r="AL6" i="23"/>
  <c r="AL9" i="23" s="1"/>
  <c r="AT6" i="23"/>
  <c r="AT9" i="23" s="1"/>
  <c r="AM6" i="20"/>
  <c r="AM9" i="20" s="1"/>
  <c r="R6" i="20"/>
  <c r="R9" i="20" s="1"/>
  <c r="Z6" i="20"/>
  <c r="Z9" i="20" s="1"/>
  <c r="AH6" i="20"/>
  <c r="AH9" i="20" s="1"/>
  <c r="O6" i="20"/>
  <c r="O9" i="20" s="1"/>
  <c r="J7" i="23"/>
  <c r="J10" i="23" s="1"/>
  <c r="AP7" i="23"/>
  <c r="AP10" i="23" s="1"/>
  <c r="AE6" i="23"/>
  <c r="BC6" i="23"/>
  <c r="BC9" i="23" s="1"/>
  <c r="AA6" i="20"/>
  <c r="AA9" i="20" s="1"/>
  <c r="S7" i="23"/>
  <c r="S10" i="23" s="1"/>
  <c r="AI7" i="23"/>
  <c r="AI10" i="23" s="1"/>
  <c r="H7" i="23"/>
  <c r="H10" i="23" s="1"/>
  <c r="AV6" i="23"/>
  <c r="AV9" i="23" s="1"/>
  <c r="T6" i="20"/>
  <c r="T9" i="20" s="1"/>
  <c r="I6" i="20"/>
  <c r="I9" i="20" s="1"/>
  <c r="L7" i="23"/>
  <c r="L10" i="23" s="1"/>
  <c r="AJ7" i="23"/>
  <c r="AJ10" i="23" s="1"/>
  <c r="Q6" i="23"/>
  <c r="Q9" i="23" s="1"/>
  <c r="AO6" i="23"/>
  <c r="AP6" i="20"/>
  <c r="AP9" i="20" s="1"/>
  <c r="J6" i="20"/>
  <c r="J9" i="20" s="1"/>
  <c r="M7" i="23"/>
  <c r="M10" i="23" s="1"/>
  <c r="AS7" i="23"/>
  <c r="AS10" i="23" s="1"/>
  <c r="R6" i="23"/>
  <c r="R9" i="23" s="1"/>
  <c r="AP6" i="23"/>
  <c r="AP9" i="23" s="1"/>
  <c r="AQ6" i="20"/>
  <c r="AQ9" i="20" s="1"/>
  <c r="K6" i="20"/>
  <c r="K9" i="20" s="1"/>
  <c r="N7" i="23"/>
  <c r="N10" i="23" s="1"/>
  <c r="AL7" i="23"/>
  <c r="AL10" i="23" s="1"/>
  <c r="AE6" i="20"/>
  <c r="AE9" i="20" s="1"/>
  <c r="K6" i="23"/>
  <c r="L6" i="20"/>
  <c r="L9" i="20" s="1"/>
  <c r="S6" i="23"/>
  <c r="S9" i="23" s="1"/>
  <c r="AA6" i="23"/>
  <c r="AA9" i="23" s="1"/>
  <c r="AQ6" i="23"/>
  <c r="AJ6" i="20"/>
  <c r="AJ9" i="20" s="1"/>
  <c r="AY6" i="23"/>
  <c r="H6" i="23"/>
  <c r="H9" i="23" s="1"/>
  <c r="AI6" i="23"/>
  <c r="AI9" i="23" s="1"/>
  <c r="AR6" i="20"/>
  <c r="AR9" i="20" s="1"/>
  <c r="W6" i="20"/>
  <c r="W9" i="20" s="1"/>
  <c r="BC7" i="20"/>
  <c r="BC10" i="20" s="1"/>
  <c r="R7" i="20"/>
  <c r="R10" i="20" s="1"/>
  <c r="Z7" i="20"/>
  <c r="Z10" i="20" s="1"/>
  <c r="AH7" i="20"/>
  <c r="AH10" i="20" s="1"/>
  <c r="AP7" i="20"/>
  <c r="AP10" i="20" s="1"/>
  <c r="AX7" i="20"/>
  <c r="AX10" i="20" s="1"/>
  <c r="H7" i="20"/>
  <c r="H10" i="20" s="1"/>
  <c r="AT7" i="20"/>
  <c r="AT10" i="20" s="1"/>
  <c r="W7" i="20"/>
  <c r="W10" i="20" s="1"/>
  <c r="L7" i="20"/>
  <c r="L10" i="20" s="1"/>
  <c r="X7" i="20"/>
  <c r="X10" i="20" s="1"/>
  <c r="M7" i="20"/>
  <c r="M10" i="20" s="1"/>
  <c r="Y7" i="20"/>
  <c r="Y10" i="20" s="1"/>
  <c r="S7" i="20"/>
  <c r="S10" i="20" s="1"/>
  <c r="AA7" i="20"/>
  <c r="AA10" i="20" s="1"/>
  <c r="AI7" i="20"/>
  <c r="AI10" i="20" s="1"/>
  <c r="AQ7" i="20"/>
  <c r="AQ10" i="20" s="1"/>
  <c r="AY7" i="20"/>
  <c r="AY10" i="20" s="1"/>
  <c r="AD7" i="20"/>
  <c r="AD10" i="20" s="1"/>
  <c r="AE7" i="20"/>
  <c r="AE10" i="20" s="1"/>
  <c r="BA7" i="20"/>
  <c r="BA10" i="20" s="1"/>
  <c r="AV7" i="20"/>
  <c r="AV10" i="20" s="1"/>
  <c r="AG7" i="20"/>
  <c r="AG10" i="20" s="1"/>
  <c r="T7" i="20"/>
  <c r="T10" i="20" s="1"/>
  <c r="AB7" i="20"/>
  <c r="AB10" i="20" s="1"/>
  <c r="AJ7" i="20"/>
  <c r="AJ10" i="20" s="1"/>
  <c r="AR7" i="20"/>
  <c r="AR10" i="20" s="1"/>
  <c r="I7" i="20"/>
  <c r="I10" i="20" s="1"/>
  <c r="N7" i="20"/>
  <c r="N10" i="20" s="1"/>
  <c r="AL7" i="20"/>
  <c r="AL10" i="20" s="1"/>
  <c r="AZ7" i="20"/>
  <c r="AZ10" i="20" s="1"/>
  <c r="AM7" i="20"/>
  <c r="AM10" i="20" s="1"/>
  <c r="P7" i="20"/>
  <c r="P10" i="20" s="1"/>
  <c r="AN7" i="20"/>
  <c r="AN10" i="20" s="1"/>
  <c r="Q7" i="20"/>
  <c r="Q10" i="20" s="1"/>
  <c r="AO7" i="20"/>
  <c r="AO10" i="20" s="1"/>
  <c r="U7" i="20"/>
  <c r="U10" i="20" s="1"/>
  <c r="AC7" i="20"/>
  <c r="AC10" i="20" s="1"/>
  <c r="AK7" i="20"/>
  <c r="AK10" i="20" s="1"/>
  <c r="AS7" i="20"/>
  <c r="AS10" i="20" s="1"/>
  <c r="J7" i="20"/>
  <c r="J10" i="20" s="1"/>
  <c r="V7" i="20"/>
  <c r="V10" i="20" s="1"/>
  <c r="K7" i="20"/>
  <c r="K10" i="20" s="1"/>
  <c r="O7" i="20"/>
  <c r="O10" i="20" s="1"/>
  <c r="AU7" i="20"/>
  <c r="AU10" i="20" s="1"/>
  <c r="AF7" i="20"/>
  <c r="AF10" i="20" s="1"/>
  <c r="AW7" i="20"/>
  <c r="AW10" i="20" s="1"/>
  <c r="V8" i="18"/>
  <c r="V11" i="18" s="1"/>
  <c r="AD8" i="18"/>
  <c r="AD11" i="18" s="1"/>
  <c r="AL8" i="18"/>
  <c r="AL11" i="18" s="1"/>
  <c r="AT8" i="18"/>
  <c r="AT11" i="18" s="1"/>
  <c r="O8" i="18"/>
  <c r="O11" i="18" s="1"/>
  <c r="P8" i="18"/>
  <c r="P11" i="18" s="1"/>
  <c r="AN8" i="18"/>
  <c r="AN11" i="18" s="1"/>
  <c r="AP8" i="18"/>
  <c r="AP11" i="18" s="1"/>
  <c r="AA8" i="18"/>
  <c r="AA11" i="18" s="1"/>
  <c r="L8" i="18"/>
  <c r="L11" i="18" s="1"/>
  <c r="AJ8" i="18"/>
  <c r="AJ11" i="18" s="1"/>
  <c r="AK8" i="18"/>
  <c r="AK11" i="18" s="1"/>
  <c r="N8" i="18"/>
  <c r="N11" i="18" s="1"/>
  <c r="AT9" i="18"/>
  <c r="AT12" i="18" s="1"/>
  <c r="W8" i="18"/>
  <c r="W11" i="18" s="1"/>
  <c r="AE8" i="18"/>
  <c r="AE11" i="18" s="1"/>
  <c r="AM8" i="18"/>
  <c r="AM11" i="18" s="1"/>
  <c r="AU8" i="18"/>
  <c r="AU11" i="18" s="1"/>
  <c r="H8" i="18"/>
  <c r="H11" i="18" s="1"/>
  <c r="X8" i="18"/>
  <c r="X11" i="18" s="1"/>
  <c r="AF8" i="18"/>
  <c r="AF11" i="18" s="1"/>
  <c r="I8" i="18"/>
  <c r="I11" i="18" s="1"/>
  <c r="S8" i="18"/>
  <c r="S11" i="18" s="1"/>
  <c r="AQ8" i="18"/>
  <c r="AQ11" i="18" s="1"/>
  <c r="AB8" i="18"/>
  <c r="AB11" i="18" s="1"/>
  <c r="M8" i="18"/>
  <c r="M11" i="18" s="1"/>
  <c r="AC8" i="18"/>
  <c r="AC11" i="18" s="1"/>
  <c r="Q8" i="18"/>
  <c r="Q11" i="18" s="1"/>
  <c r="Y8" i="18"/>
  <c r="Y11" i="18" s="1"/>
  <c r="AG8" i="18"/>
  <c r="AG11" i="18" s="1"/>
  <c r="AO8" i="18"/>
  <c r="AO11" i="18" s="1"/>
  <c r="J8" i="18"/>
  <c r="J11" i="18" s="1"/>
  <c r="R8" i="18"/>
  <c r="R11" i="18" s="1"/>
  <c r="Z8" i="18"/>
  <c r="Z11" i="18" s="1"/>
  <c r="AH8" i="18"/>
  <c r="AH11" i="18" s="1"/>
  <c r="K8" i="18"/>
  <c r="K11" i="18" s="1"/>
  <c r="AI8" i="18"/>
  <c r="AI11" i="18" s="1"/>
  <c r="T8" i="18"/>
  <c r="T11" i="18" s="1"/>
  <c r="AR8" i="18"/>
  <c r="AR11" i="18" s="1"/>
  <c r="U8" i="18"/>
  <c r="U11" i="18" s="1"/>
  <c r="AS8" i="18"/>
  <c r="AS11" i="18" s="1"/>
  <c r="AH9" i="18"/>
  <c r="AH12" i="18" s="1"/>
  <c r="AP9" i="18"/>
  <c r="AP12" i="18" s="1"/>
  <c r="AX9" i="18"/>
  <c r="AX12" i="18" s="1"/>
  <c r="O9" i="18"/>
  <c r="O12" i="18" s="1"/>
  <c r="X9" i="18"/>
  <c r="X12" i="18" s="1"/>
  <c r="L9" i="18"/>
  <c r="L12" i="18" s="1"/>
  <c r="M9" i="18"/>
  <c r="M12" i="18" s="1"/>
  <c r="N9" i="18"/>
  <c r="N12" i="18" s="1"/>
  <c r="AI9" i="18"/>
  <c r="AI12" i="18" s="1"/>
  <c r="AQ9" i="18"/>
  <c r="AQ12" i="18" s="1"/>
  <c r="AY9" i="18"/>
  <c r="AY12" i="18" s="1"/>
  <c r="W9" i="18"/>
  <c r="W12" i="18" s="1"/>
  <c r="P9" i="18"/>
  <c r="P12" i="18" s="1"/>
  <c r="Y9" i="18"/>
  <c r="Y12" i="18" s="1"/>
  <c r="AM9" i="18"/>
  <c r="AM12" i="18" s="1"/>
  <c r="AN9" i="18"/>
  <c r="AN12" i="18" s="1"/>
  <c r="AO9" i="18"/>
  <c r="AO12" i="18" s="1"/>
  <c r="AB9" i="18"/>
  <c r="AB12" i="18" s="1"/>
  <c r="AJ9" i="18"/>
  <c r="AJ12" i="18" s="1"/>
  <c r="AR9" i="18"/>
  <c r="AR12" i="18" s="1"/>
  <c r="AZ9" i="18"/>
  <c r="AZ12" i="18" s="1"/>
  <c r="I9" i="18"/>
  <c r="I12" i="18" s="1"/>
  <c r="Q9" i="18"/>
  <c r="Q12" i="18" s="1"/>
  <c r="Z9" i="18"/>
  <c r="Z12" i="18" s="1"/>
  <c r="BC9" i="18"/>
  <c r="BC12" i="18" s="1"/>
  <c r="AF9" i="18"/>
  <c r="AF12" i="18" s="1"/>
  <c r="U9" i="18"/>
  <c r="U12" i="18" s="1"/>
  <c r="AC9" i="18"/>
  <c r="AC12" i="18" s="1"/>
  <c r="AK9" i="18"/>
  <c r="AK12" i="18" s="1"/>
  <c r="AS9" i="18"/>
  <c r="AS12" i="18" s="1"/>
  <c r="BA9" i="18"/>
  <c r="BA12" i="18" s="1"/>
  <c r="J9" i="18"/>
  <c r="J12" i="18" s="1"/>
  <c r="R9" i="18"/>
  <c r="R12" i="18" s="1"/>
  <c r="AA9" i="18"/>
  <c r="AA12" i="18" s="1"/>
  <c r="AU9" i="18"/>
  <c r="AU12" i="18" s="1"/>
  <c r="AW9" i="18"/>
  <c r="AW12" i="18" s="1"/>
  <c r="AD9" i="18"/>
  <c r="AD12" i="18" s="1"/>
  <c r="AL9" i="18"/>
  <c r="AL12" i="18" s="1"/>
  <c r="K9" i="18"/>
  <c r="K12" i="18" s="1"/>
  <c r="S9" i="18"/>
  <c r="S12" i="18" s="1"/>
  <c r="H9" i="18"/>
  <c r="H12" i="18" s="1"/>
  <c r="AE9" i="18"/>
  <c r="AE12" i="18" s="1"/>
  <c r="T9" i="18"/>
  <c r="T12" i="18" s="1"/>
  <c r="AG9" i="18"/>
  <c r="AG12" i="18" s="1"/>
  <c r="V9" i="18"/>
  <c r="V12" i="18" s="1"/>
  <c r="H7" i="41"/>
  <c r="H10" i="41" s="1"/>
  <c r="AP7" i="41"/>
  <c r="AP10" i="41" s="1"/>
  <c r="AH7" i="41"/>
  <c r="AH10" i="41" s="1"/>
  <c r="Z7" i="41"/>
  <c r="Z10" i="41" s="1"/>
  <c r="R7" i="41"/>
  <c r="R10" i="41" s="1"/>
  <c r="J7" i="41"/>
  <c r="J10" i="41" s="1"/>
  <c r="L6" i="10"/>
  <c r="L9" i="10" s="1"/>
  <c r="T6" i="10"/>
  <c r="T9" i="10" s="1"/>
  <c r="AB6" i="10"/>
  <c r="AB9" i="10" s="1"/>
  <c r="AJ6" i="10"/>
  <c r="AJ9" i="10" s="1"/>
  <c r="AR6" i="10"/>
  <c r="AR9" i="10" s="1"/>
  <c r="Q7" i="10"/>
  <c r="Y7" i="10"/>
  <c r="AG7" i="10"/>
  <c r="AO7" i="10"/>
  <c r="I7" i="10"/>
  <c r="L6" i="2"/>
  <c r="T6" i="2"/>
  <c r="AB6" i="2"/>
  <c r="AJ6" i="2"/>
  <c r="AJ10" i="2" s="1"/>
  <c r="AR6" i="2"/>
  <c r="AR10" i="2" s="1"/>
  <c r="AZ6" i="2"/>
  <c r="AZ10" i="2" s="1"/>
  <c r="V6" i="2"/>
  <c r="AT6" i="2"/>
  <c r="AT10" i="2" s="1"/>
  <c r="AE7" i="41"/>
  <c r="AE10" i="41" s="1"/>
  <c r="W6" i="10"/>
  <c r="W9" i="10" s="1"/>
  <c r="L7" i="10"/>
  <c r="AR7" i="10"/>
  <c r="AO7" i="41"/>
  <c r="AO10" i="41" s="1"/>
  <c r="AG7" i="41"/>
  <c r="AG10" i="41" s="1"/>
  <c r="Y7" i="41"/>
  <c r="Y10" i="41" s="1"/>
  <c r="Q7" i="41"/>
  <c r="Q10" i="41" s="1"/>
  <c r="I7" i="41"/>
  <c r="I10" i="41" s="1"/>
  <c r="M6" i="10"/>
  <c r="M9" i="10" s="1"/>
  <c r="U6" i="10"/>
  <c r="U9" i="10" s="1"/>
  <c r="AC6" i="10"/>
  <c r="AC9" i="10" s="1"/>
  <c r="AK6" i="10"/>
  <c r="AK9" i="10" s="1"/>
  <c r="AS6" i="10"/>
  <c r="AS9" i="10" s="1"/>
  <c r="R7" i="10"/>
  <c r="Z7" i="10"/>
  <c r="AH7" i="10"/>
  <c r="AP7" i="10"/>
  <c r="J7" i="10"/>
  <c r="M6" i="2"/>
  <c r="M10" i="2" s="1"/>
  <c r="U6" i="2"/>
  <c r="U10" i="2" s="1"/>
  <c r="AC6" i="2"/>
  <c r="AC10" i="2" s="1"/>
  <c r="AK6" i="2"/>
  <c r="AS6" i="2"/>
  <c r="AS10" i="2" s="1"/>
  <c r="BA6" i="2"/>
  <c r="I5" i="7"/>
  <c r="AD6" i="2"/>
  <c r="W7" i="41"/>
  <c r="W10" i="41" s="1"/>
  <c r="O7" i="41"/>
  <c r="O10" i="41" s="1"/>
  <c r="O6" i="10"/>
  <c r="O9" i="10" s="1"/>
  <c r="AM6" i="10"/>
  <c r="AM9" i="10" s="1"/>
  <c r="AJ7" i="10"/>
  <c r="AN7" i="41"/>
  <c r="AN10" i="41" s="1"/>
  <c r="AF7" i="41"/>
  <c r="AF10" i="41" s="1"/>
  <c r="X7" i="41"/>
  <c r="X10" i="41" s="1"/>
  <c r="P7" i="41"/>
  <c r="P10" i="41" s="1"/>
  <c r="N6" i="10"/>
  <c r="N9" i="10" s="1"/>
  <c r="V6" i="10"/>
  <c r="V9" i="10" s="1"/>
  <c r="AD6" i="10"/>
  <c r="AD9" i="10" s="1"/>
  <c r="AL6" i="10"/>
  <c r="AL9" i="10" s="1"/>
  <c r="AT6" i="10"/>
  <c r="AT9" i="10" s="1"/>
  <c r="S7" i="10"/>
  <c r="AA7" i="10"/>
  <c r="AI7" i="10"/>
  <c r="AQ7" i="10"/>
  <c r="K7" i="10"/>
  <c r="AB7" i="10"/>
  <c r="AS7" i="41"/>
  <c r="AS10" i="41" s="1"/>
  <c r="AK7" i="41"/>
  <c r="AK10" i="41" s="1"/>
  <c r="AC7" i="41"/>
  <c r="AC10" i="41" s="1"/>
  <c r="U7" i="41"/>
  <c r="U10" i="41" s="1"/>
  <c r="M7" i="41"/>
  <c r="M10" i="41" s="1"/>
  <c r="Q6" i="10"/>
  <c r="Q9" i="10" s="1"/>
  <c r="Y6" i="10"/>
  <c r="Y9" i="10" s="1"/>
  <c r="AG6" i="10"/>
  <c r="AG9" i="10" s="1"/>
  <c r="AO6" i="10"/>
  <c r="AO9" i="10" s="1"/>
  <c r="N7" i="10"/>
  <c r="V7" i="10"/>
  <c r="AD7" i="10"/>
  <c r="AL7" i="10"/>
  <c r="AT7" i="10"/>
  <c r="I6" i="10"/>
  <c r="I9" i="10" s="1"/>
  <c r="AQ7" i="41"/>
  <c r="AQ10" i="41" s="1"/>
  <c r="AI7" i="41"/>
  <c r="AI10" i="41" s="1"/>
  <c r="AA7" i="41"/>
  <c r="AA10" i="41" s="1"/>
  <c r="S7" i="41"/>
  <c r="S10" i="41" s="1"/>
  <c r="K7" i="41"/>
  <c r="K10" i="41" s="1"/>
  <c r="S6" i="10"/>
  <c r="S9" i="10" s="1"/>
  <c r="AA6" i="10"/>
  <c r="AA9" i="10" s="1"/>
  <c r="AI6" i="10"/>
  <c r="AI9" i="10" s="1"/>
  <c r="AQ6" i="10"/>
  <c r="AQ9" i="10" s="1"/>
  <c r="P7" i="10"/>
  <c r="X7" i="10"/>
  <c r="AF7" i="10"/>
  <c r="AN7" i="10"/>
  <c r="K6" i="10"/>
  <c r="K9" i="10" s="1"/>
  <c r="K6" i="2"/>
  <c r="K10" i="2" s="1"/>
  <c r="S6" i="2"/>
  <c r="S10" i="2" s="1"/>
  <c r="AA6" i="2"/>
  <c r="AI6" i="2"/>
  <c r="AI10" i="2" s="1"/>
  <c r="AQ6" i="2"/>
  <c r="AY6" i="2"/>
  <c r="H6" i="2"/>
  <c r="N6" i="2"/>
  <c r="N10" i="2" s="1"/>
  <c r="AL6" i="2"/>
  <c r="AL10" i="2" s="1"/>
  <c r="J5" i="7"/>
  <c r="AM7" i="41"/>
  <c r="AM10" i="41" s="1"/>
  <c r="AE6" i="10"/>
  <c r="AE9" i="10" s="1"/>
  <c r="T7" i="10"/>
  <c r="H7" i="10"/>
  <c r="V7" i="41"/>
  <c r="V10" i="41" s="1"/>
  <c r="AP6" i="10"/>
  <c r="AP9" i="10" s="1"/>
  <c r="AM7" i="10"/>
  <c r="J6" i="10"/>
  <c r="J9" i="10" s="1"/>
  <c r="I6" i="2"/>
  <c r="Y6" i="2"/>
  <c r="Y10" i="2" s="1"/>
  <c r="AO6" i="2"/>
  <c r="Z6" i="2"/>
  <c r="AP6" i="2"/>
  <c r="AG6" i="2"/>
  <c r="AG10" i="2" s="1"/>
  <c r="AF6" i="10"/>
  <c r="AF9" i="10" s="1"/>
  <c r="AX6" i="2"/>
  <c r="AX10" i="2" s="1"/>
  <c r="AD7" i="41"/>
  <c r="AD10" i="41" s="1"/>
  <c r="AE7" i="10"/>
  <c r="W6" i="2"/>
  <c r="AB7" i="41"/>
  <c r="AB10" i="41" s="1"/>
  <c r="AK7" i="10"/>
  <c r="T7" i="41"/>
  <c r="T10" i="41" s="1"/>
  <c r="P6" i="10"/>
  <c r="P9" i="10" s="1"/>
  <c r="M7" i="10"/>
  <c r="AS7" i="10"/>
  <c r="H6" i="10"/>
  <c r="H9" i="10" s="1"/>
  <c r="J6" i="2"/>
  <c r="AH6" i="2"/>
  <c r="AM6" i="2"/>
  <c r="AT7" i="41"/>
  <c r="AT10" i="41" s="1"/>
  <c r="N7" i="41"/>
  <c r="N10" i="41" s="1"/>
  <c r="R6" i="10"/>
  <c r="R9" i="10" s="1"/>
  <c r="O7" i="10"/>
  <c r="O6" i="2"/>
  <c r="O10" i="2" s="1"/>
  <c r="AE6" i="2"/>
  <c r="AU6" i="2"/>
  <c r="AW6" i="2"/>
  <c r="AC7" i="10"/>
  <c r="R6" i="2"/>
  <c r="R10" i="2" s="1"/>
  <c r="X6" i="2"/>
  <c r="X10" i="2" s="1"/>
  <c r="AR7" i="41"/>
  <c r="AR10" i="41" s="1"/>
  <c r="L7" i="41"/>
  <c r="L10" i="41" s="1"/>
  <c r="X6" i="10"/>
  <c r="X9" i="10" s="1"/>
  <c r="U7" i="10"/>
  <c r="P6" i="2"/>
  <c r="AF6" i="2"/>
  <c r="AF10" i="2" s="1"/>
  <c r="AV6" i="2"/>
  <c r="AV10" i="2" s="1"/>
  <c r="AL7" i="41"/>
  <c r="AL10" i="41" s="1"/>
  <c r="Z6" i="10"/>
  <c r="Z9" i="10" s="1"/>
  <c r="W7" i="10"/>
  <c r="Q6" i="2"/>
  <c r="AJ7" i="41"/>
  <c r="AJ10" i="41" s="1"/>
  <c r="H5" i="7"/>
  <c r="AH6" i="10"/>
  <c r="AH9" i="10" s="1"/>
  <c r="BC6" i="2"/>
  <c r="BC10" i="2" s="1"/>
  <c r="AN6" i="10"/>
  <c r="AN9" i="10" s="1"/>
  <c r="AN6" i="2"/>
  <c r="F10" i="10"/>
  <c r="P6" i="11"/>
  <c r="P9" i="11" s="1"/>
  <c r="P10" i="11" s="1"/>
  <c r="X6" i="11"/>
  <c r="X9" i="11" s="1"/>
  <c r="X10" i="11" s="1"/>
  <c r="X15" i="11" s="1"/>
  <c r="AF6" i="11"/>
  <c r="AF9" i="11" s="1"/>
  <c r="AF10" i="11" s="1"/>
  <c r="AF15" i="11" s="1"/>
  <c r="AN6" i="11"/>
  <c r="AN9" i="11" s="1"/>
  <c r="AN10" i="11" s="1"/>
  <c r="AN15" i="11" s="1"/>
  <c r="AV6" i="11"/>
  <c r="AV9" i="11" s="1"/>
  <c r="AV10" i="11" s="1"/>
  <c r="AV15" i="11" s="1"/>
  <c r="BD6" i="11"/>
  <c r="BD9" i="11" s="1"/>
  <c r="BD10" i="11" s="1"/>
  <c r="BD15" i="11" s="1"/>
  <c r="N6" i="11"/>
  <c r="N9" i="11" s="1"/>
  <c r="N10" i="11" s="1"/>
  <c r="Q6" i="11"/>
  <c r="Q9" i="11" s="1"/>
  <c r="Q10" i="11" s="1"/>
  <c r="Y6" i="11"/>
  <c r="Y9" i="11" s="1"/>
  <c r="Y10" i="11" s="1"/>
  <c r="Y15" i="11" s="1"/>
  <c r="AG6" i="11"/>
  <c r="AG9" i="11" s="1"/>
  <c r="AG10" i="11" s="1"/>
  <c r="AG15" i="11" s="1"/>
  <c r="AO6" i="11"/>
  <c r="AO9" i="11" s="1"/>
  <c r="AO10" i="11" s="1"/>
  <c r="AO15" i="11" s="1"/>
  <c r="AW6" i="11"/>
  <c r="AW9" i="11" s="1"/>
  <c r="AW10" i="11" s="1"/>
  <c r="AW15" i="11" s="1"/>
  <c r="BE6" i="11"/>
  <c r="BE9" i="11" s="1"/>
  <c r="BE10" i="11" s="1"/>
  <c r="BE15" i="11" s="1"/>
  <c r="AU6" i="11"/>
  <c r="AU9" i="11" s="1"/>
  <c r="AU10" i="11" s="1"/>
  <c r="AU15" i="11" s="1"/>
  <c r="R6" i="11"/>
  <c r="R9" i="11" s="1"/>
  <c r="R10" i="11" s="1"/>
  <c r="Z6" i="11"/>
  <c r="Z9" i="11" s="1"/>
  <c r="Z10" i="11" s="1"/>
  <c r="Z15" i="11" s="1"/>
  <c r="AH6" i="11"/>
  <c r="AH9" i="11" s="1"/>
  <c r="AH10" i="11" s="1"/>
  <c r="AP6" i="11"/>
  <c r="AP9" i="11" s="1"/>
  <c r="AP10" i="11" s="1"/>
  <c r="AP15" i="11" s="1"/>
  <c r="AX6" i="11"/>
  <c r="AX9" i="11" s="1"/>
  <c r="AX10" i="11" s="1"/>
  <c r="AM6" i="11"/>
  <c r="AM9" i="11" s="1"/>
  <c r="AM10" i="11" s="1"/>
  <c r="AM15" i="11" s="1"/>
  <c r="S6" i="11"/>
  <c r="S9" i="11" s="1"/>
  <c r="S10" i="11" s="1"/>
  <c r="AA6" i="11"/>
  <c r="AA9" i="11" s="1"/>
  <c r="AA10" i="11" s="1"/>
  <c r="AA15" i="11" s="1"/>
  <c r="AI6" i="11"/>
  <c r="AI9" i="11" s="1"/>
  <c r="AI10" i="11" s="1"/>
  <c r="AQ6" i="11"/>
  <c r="AQ9" i="11" s="1"/>
  <c r="AQ10" i="11" s="1"/>
  <c r="AQ15" i="11" s="1"/>
  <c r="AY6" i="11"/>
  <c r="AY9" i="11" s="1"/>
  <c r="AY10" i="11" s="1"/>
  <c r="AY15" i="11" s="1"/>
  <c r="J6" i="11"/>
  <c r="J9" i="11" s="1"/>
  <c r="J10" i="11" s="1"/>
  <c r="W6" i="11"/>
  <c r="W9" i="11" s="1"/>
  <c r="W10" i="11" s="1"/>
  <c r="W15" i="11" s="1"/>
  <c r="T6" i="11"/>
  <c r="T9" i="11" s="1"/>
  <c r="T10" i="11" s="1"/>
  <c r="AB6" i="11"/>
  <c r="AB9" i="11" s="1"/>
  <c r="AB10" i="11" s="1"/>
  <c r="AB15" i="11" s="1"/>
  <c r="AJ6" i="11"/>
  <c r="AJ9" i="11" s="1"/>
  <c r="AJ10" i="11" s="1"/>
  <c r="AJ15" i="11" s="1"/>
  <c r="AR6" i="11"/>
  <c r="AR9" i="11" s="1"/>
  <c r="AR10" i="11" s="1"/>
  <c r="AR15" i="11" s="1"/>
  <c r="AZ6" i="11"/>
  <c r="AZ9" i="11" s="1"/>
  <c r="AZ10" i="11" s="1"/>
  <c r="AZ15" i="11" s="1"/>
  <c r="K6" i="11"/>
  <c r="K9" i="11" s="1"/>
  <c r="K10" i="11" s="1"/>
  <c r="AE6" i="11"/>
  <c r="AE9" i="11" s="1"/>
  <c r="AE10" i="11" s="1"/>
  <c r="U6" i="11"/>
  <c r="U9" i="11" s="1"/>
  <c r="U10" i="11" s="1"/>
  <c r="AC6" i="11"/>
  <c r="AC9" i="11" s="1"/>
  <c r="AC10" i="11" s="1"/>
  <c r="AK6" i="11"/>
  <c r="AK9" i="11" s="1"/>
  <c r="AK10" i="11" s="1"/>
  <c r="AK15" i="11" s="1"/>
  <c r="AS6" i="11"/>
  <c r="AS9" i="11" s="1"/>
  <c r="AS10" i="11" s="1"/>
  <c r="BA6" i="11"/>
  <c r="BA9" i="11" s="1"/>
  <c r="BA10" i="11" s="1"/>
  <c r="BA15" i="11" s="1"/>
  <c r="L6" i="11"/>
  <c r="L9" i="11" s="1"/>
  <c r="L10" i="11" s="1"/>
  <c r="I6" i="11"/>
  <c r="I9" i="11" s="1"/>
  <c r="I10" i="11" s="1"/>
  <c r="O6" i="11"/>
  <c r="O9" i="11" s="1"/>
  <c r="O10" i="11" s="1"/>
  <c r="V6" i="11"/>
  <c r="V9" i="11" s="1"/>
  <c r="V10" i="11" s="1"/>
  <c r="V15" i="11" s="1"/>
  <c r="AD6" i="11"/>
  <c r="AD9" i="11" s="1"/>
  <c r="AD10" i="11" s="1"/>
  <c r="AL6" i="11"/>
  <c r="AL9" i="11" s="1"/>
  <c r="AL10" i="11" s="1"/>
  <c r="AT6" i="11"/>
  <c r="AT9" i="11" s="1"/>
  <c r="AT10" i="11" s="1"/>
  <c r="AT15" i="11" s="1"/>
  <c r="BB6" i="11"/>
  <c r="BB9" i="11" s="1"/>
  <c r="BB10" i="11" s="1"/>
  <c r="BB15" i="11" s="1"/>
  <c r="M6" i="11"/>
  <c r="M9" i="11" s="1"/>
  <c r="M10" i="11" s="1"/>
  <c r="H6" i="11"/>
  <c r="H9" i="11" s="1"/>
  <c r="H10" i="11" s="1"/>
  <c r="BC6" i="11"/>
  <c r="BC9" i="11" s="1"/>
  <c r="BC10" i="11" s="1"/>
  <c r="BC15" i="11" s="1"/>
  <c r="T9" i="2"/>
  <c r="H9" i="2"/>
  <c r="U9" i="2"/>
  <c r="AG9" i="2"/>
  <c r="W9" i="2"/>
  <c r="AN9" i="2"/>
  <c r="F9" i="7"/>
  <c r="J7" i="39"/>
  <c r="J9" i="39" s="1"/>
  <c r="J10" i="39" s="1"/>
  <c r="I7" i="39"/>
  <c r="L8" i="17"/>
  <c r="L12" i="17" s="1"/>
  <c r="T8" i="17"/>
  <c r="T12" i="17" s="1"/>
  <c r="AB8" i="17"/>
  <c r="AB12" i="17" s="1"/>
  <c r="AJ8" i="17"/>
  <c r="AJ12" i="17" s="1"/>
  <c r="AR8" i="17"/>
  <c r="AR12" i="17" s="1"/>
  <c r="AZ8" i="17"/>
  <c r="AZ12" i="17" s="1"/>
  <c r="J7" i="17"/>
  <c r="J11" i="17" s="1"/>
  <c r="R7" i="17"/>
  <c r="R11" i="17" s="1"/>
  <c r="Z7" i="17"/>
  <c r="Z11" i="17" s="1"/>
  <c r="AH7" i="17"/>
  <c r="AH11" i="17" s="1"/>
  <c r="AP7" i="17"/>
  <c r="AP11" i="17" s="1"/>
  <c r="AX7" i="17"/>
  <c r="AX11" i="17" s="1"/>
  <c r="AT7" i="17"/>
  <c r="AT11" i="17" s="1"/>
  <c r="I8" i="17"/>
  <c r="I12" i="17" s="1"/>
  <c r="AG8" i="17"/>
  <c r="AG12" i="17" s="1"/>
  <c r="BE8" i="17"/>
  <c r="BE12" i="17" s="1"/>
  <c r="AE7" i="17"/>
  <c r="AE11" i="17" s="1"/>
  <c r="BC7" i="17"/>
  <c r="BC11" i="17" s="1"/>
  <c r="Z8" i="17"/>
  <c r="Z12" i="17" s="1"/>
  <c r="AH8" i="17"/>
  <c r="AH12" i="17" s="1"/>
  <c r="AF7" i="17"/>
  <c r="AF11" i="17" s="1"/>
  <c r="BD7" i="17"/>
  <c r="BD11" i="17" s="1"/>
  <c r="S8" i="17"/>
  <c r="S12" i="17" s="1"/>
  <c r="AI8" i="17"/>
  <c r="AI12" i="17" s="1"/>
  <c r="I7" i="17"/>
  <c r="I11" i="17" s="1"/>
  <c r="AG7" i="17"/>
  <c r="AG11" i="17" s="1"/>
  <c r="BE7" i="17"/>
  <c r="BE11" i="17" s="1"/>
  <c r="M8" i="17"/>
  <c r="M12" i="17" s="1"/>
  <c r="U8" i="17"/>
  <c r="U12" i="17" s="1"/>
  <c r="AC8" i="17"/>
  <c r="AC12" i="17" s="1"/>
  <c r="AK8" i="17"/>
  <c r="AK12" i="17" s="1"/>
  <c r="AS8" i="17"/>
  <c r="AS12" i="17" s="1"/>
  <c r="BA8" i="17"/>
  <c r="BA12" i="17" s="1"/>
  <c r="K7" i="17"/>
  <c r="K11" i="17" s="1"/>
  <c r="S7" i="17"/>
  <c r="S11" i="17" s="1"/>
  <c r="AA7" i="17"/>
  <c r="AA11" i="17" s="1"/>
  <c r="AI7" i="17"/>
  <c r="AI11" i="17" s="1"/>
  <c r="AQ7" i="17"/>
  <c r="AQ11" i="17" s="1"/>
  <c r="AY7" i="17"/>
  <c r="AY11" i="17" s="1"/>
  <c r="H8" i="17"/>
  <c r="H12" i="17" s="1"/>
  <c r="O8" i="17"/>
  <c r="O12" i="17" s="1"/>
  <c r="AM8" i="17"/>
  <c r="AM12" i="17" s="1"/>
  <c r="BC8" i="17"/>
  <c r="BC12" i="17" s="1"/>
  <c r="U7" i="17"/>
  <c r="U11" i="17" s="1"/>
  <c r="AK7" i="17"/>
  <c r="AK11" i="17" s="1"/>
  <c r="BA7" i="17"/>
  <c r="BA11" i="17" s="1"/>
  <c r="P8" i="17"/>
  <c r="P12" i="17" s="1"/>
  <c r="AF8" i="17"/>
  <c r="AF12" i="17" s="1"/>
  <c r="AV8" i="17"/>
  <c r="AV12" i="17" s="1"/>
  <c r="N7" i="17"/>
  <c r="N11" i="17" s="1"/>
  <c r="AD7" i="17"/>
  <c r="AD11" i="17" s="1"/>
  <c r="BB7" i="17"/>
  <c r="BB11" i="17" s="1"/>
  <c r="Y8" i="17"/>
  <c r="Y12" i="17" s="1"/>
  <c r="AW8" i="17"/>
  <c r="AW12" i="17" s="1"/>
  <c r="W7" i="17"/>
  <c r="W11" i="17" s="1"/>
  <c r="AU7" i="17"/>
  <c r="AU11" i="17" s="1"/>
  <c r="R8" i="17"/>
  <c r="R12" i="17" s="1"/>
  <c r="AX8" i="17"/>
  <c r="AX12" i="17" s="1"/>
  <c r="P7" i="17"/>
  <c r="P11" i="17" s="1"/>
  <c r="AV11" i="17"/>
  <c r="AA8" i="17"/>
  <c r="AA12" i="17" s="1"/>
  <c r="AY8" i="17"/>
  <c r="AY12" i="17" s="1"/>
  <c r="Y7" i="17"/>
  <c r="Y11" i="17" s="1"/>
  <c r="AW7" i="17"/>
  <c r="AW11" i="17" s="1"/>
  <c r="N8" i="17"/>
  <c r="N12" i="17" s="1"/>
  <c r="V8" i="17"/>
  <c r="V12" i="17" s="1"/>
  <c r="AD8" i="17"/>
  <c r="AD12" i="17" s="1"/>
  <c r="AL8" i="17"/>
  <c r="AL12" i="17" s="1"/>
  <c r="AT8" i="17"/>
  <c r="AT12" i="17" s="1"/>
  <c r="BB8" i="17"/>
  <c r="BB12" i="17" s="1"/>
  <c r="L7" i="17"/>
  <c r="L11" i="17" s="1"/>
  <c r="T7" i="17"/>
  <c r="T11" i="17" s="1"/>
  <c r="AB7" i="17"/>
  <c r="AB11" i="17" s="1"/>
  <c r="AJ7" i="17"/>
  <c r="AJ11" i="17" s="1"/>
  <c r="AR7" i="17"/>
  <c r="AR11" i="17" s="1"/>
  <c r="AZ7" i="17"/>
  <c r="AZ11" i="17" s="1"/>
  <c r="H7" i="17"/>
  <c r="H11" i="17" s="1"/>
  <c r="W8" i="17"/>
  <c r="W12" i="17" s="1"/>
  <c r="AE8" i="17"/>
  <c r="AE12" i="17" s="1"/>
  <c r="AU8" i="17"/>
  <c r="AU12" i="17" s="1"/>
  <c r="M7" i="17"/>
  <c r="M11" i="17" s="1"/>
  <c r="AC7" i="17"/>
  <c r="AC11" i="17" s="1"/>
  <c r="AS7" i="17"/>
  <c r="AS11" i="17" s="1"/>
  <c r="X8" i="17"/>
  <c r="X12" i="17" s="1"/>
  <c r="AN8" i="17"/>
  <c r="AN12" i="17" s="1"/>
  <c r="BD8" i="17"/>
  <c r="BD12" i="17" s="1"/>
  <c r="V7" i="17"/>
  <c r="V11" i="17" s="1"/>
  <c r="AL7" i="17"/>
  <c r="AL11" i="17" s="1"/>
  <c r="Q8" i="17"/>
  <c r="Q12" i="17" s="1"/>
  <c r="AO8" i="17"/>
  <c r="AO12" i="17" s="1"/>
  <c r="O7" i="17"/>
  <c r="O11" i="17" s="1"/>
  <c r="AM7" i="17"/>
  <c r="AM11" i="17" s="1"/>
  <c r="J8" i="17"/>
  <c r="J12" i="17" s="1"/>
  <c r="AP8" i="17"/>
  <c r="AP12" i="17" s="1"/>
  <c r="X7" i="17"/>
  <c r="X11" i="17" s="1"/>
  <c r="AN7" i="17"/>
  <c r="AN11" i="17" s="1"/>
  <c r="K8" i="17"/>
  <c r="K12" i="17" s="1"/>
  <c r="AQ8" i="17"/>
  <c r="AQ12" i="17" s="1"/>
  <c r="Q7" i="17"/>
  <c r="Q11" i="17" s="1"/>
  <c r="AO7" i="17"/>
  <c r="AO11" i="17" s="1"/>
  <c r="U6" i="15"/>
  <c r="U9" i="15" s="1"/>
  <c r="AC6" i="15"/>
  <c r="AC9" i="15" s="1"/>
  <c r="AK6" i="15"/>
  <c r="AK9" i="15" s="1"/>
  <c r="AS6" i="15"/>
  <c r="AS9" i="15" s="1"/>
  <c r="BA6" i="15"/>
  <c r="BA9" i="15" s="1"/>
  <c r="K6" i="15"/>
  <c r="K9" i="15" s="1"/>
  <c r="W6" i="15"/>
  <c r="W9" i="15" s="1"/>
  <c r="AM6" i="15"/>
  <c r="AM9" i="15" s="1"/>
  <c r="BC6" i="15"/>
  <c r="BC9" i="15" s="1"/>
  <c r="X6" i="15"/>
  <c r="X9" i="15" s="1"/>
  <c r="AN6" i="15"/>
  <c r="AN9" i="15" s="1"/>
  <c r="Y6" i="15"/>
  <c r="Y9" i="15" s="1"/>
  <c r="AO6" i="15"/>
  <c r="AO9" i="15" s="1"/>
  <c r="AW6" i="15"/>
  <c r="AW9" i="15" s="1"/>
  <c r="H7" i="16"/>
  <c r="H10" i="16" s="1"/>
  <c r="Z6" i="15"/>
  <c r="Z9" i="15" s="1"/>
  <c r="AP6" i="15"/>
  <c r="AP9" i="15" s="1"/>
  <c r="AA6" i="15"/>
  <c r="AA9" i="15" s="1"/>
  <c r="AQ6" i="15"/>
  <c r="AQ9" i="15" s="1"/>
  <c r="I6" i="15"/>
  <c r="I9" i="15" s="1"/>
  <c r="T6" i="15"/>
  <c r="T9" i="15" s="1"/>
  <c r="AJ6" i="15"/>
  <c r="AJ9" i="15" s="1"/>
  <c r="AZ6" i="15"/>
  <c r="AZ9" i="15" s="1"/>
  <c r="N6" i="15"/>
  <c r="N9" i="15" s="1"/>
  <c r="V6" i="15"/>
  <c r="V9" i="15" s="1"/>
  <c r="AD6" i="15"/>
  <c r="AD9" i="15" s="1"/>
  <c r="AL6" i="15"/>
  <c r="AL9" i="15" s="1"/>
  <c r="AT6" i="15"/>
  <c r="AT9" i="15" s="1"/>
  <c r="L6" i="15"/>
  <c r="L9" i="15" s="1"/>
  <c r="O6" i="15"/>
  <c r="O9" i="15" s="1"/>
  <c r="AE6" i="15"/>
  <c r="AE9" i="15" s="1"/>
  <c r="AU6" i="15"/>
  <c r="AU9" i="15" s="1"/>
  <c r="M6" i="15"/>
  <c r="M9" i="15" s="1"/>
  <c r="P6" i="15"/>
  <c r="P9" i="15" s="1"/>
  <c r="AF6" i="15"/>
  <c r="AF9" i="15" s="1"/>
  <c r="H6" i="15"/>
  <c r="H9" i="15" s="1"/>
  <c r="Q6" i="15"/>
  <c r="Q9" i="15" s="1"/>
  <c r="AG6" i="15"/>
  <c r="AG9" i="15" s="1"/>
  <c r="R6" i="15"/>
  <c r="R9" i="15" s="1"/>
  <c r="AH6" i="15"/>
  <c r="AH9" i="15" s="1"/>
  <c r="AX6" i="15"/>
  <c r="AX9" i="15" s="1"/>
  <c r="S6" i="15"/>
  <c r="S9" i="15" s="1"/>
  <c r="AI6" i="15"/>
  <c r="AI9" i="15" s="1"/>
  <c r="AY6" i="15"/>
  <c r="AY9" i="15" s="1"/>
  <c r="AB6" i="15"/>
  <c r="AB9" i="15" s="1"/>
  <c r="AR6" i="15"/>
  <c r="AR9" i="15" s="1"/>
  <c r="J6" i="15"/>
  <c r="J9" i="15" s="1"/>
  <c r="AM7" i="16"/>
  <c r="AM10" i="16" s="1"/>
  <c r="I7" i="16"/>
  <c r="I10" i="16" s="1"/>
  <c r="Q7" i="16"/>
  <c r="Q10" i="16" s="1"/>
  <c r="Y7" i="16"/>
  <c r="Y10" i="16" s="1"/>
  <c r="AG7" i="16"/>
  <c r="AG10" i="16" s="1"/>
  <c r="AD7" i="16"/>
  <c r="AD10" i="16" s="1"/>
  <c r="O7" i="16"/>
  <c r="O10" i="16" s="1"/>
  <c r="AL7" i="16"/>
  <c r="AL10" i="16" s="1"/>
  <c r="X7" i="16"/>
  <c r="X10" i="16" s="1"/>
  <c r="AN7" i="16"/>
  <c r="AN10" i="16" s="1"/>
  <c r="J7" i="16"/>
  <c r="J10" i="16" s="1"/>
  <c r="R7" i="16"/>
  <c r="R10" i="16" s="1"/>
  <c r="Z7" i="16"/>
  <c r="Z10" i="16" s="1"/>
  <c r="AH7" i="16"/>
  <c r="AH10" i="16" s="1"/>
  <c r="L7" i="16"/>
  <c r="L10" i="16" s="1"/>
  <c r="AI7" i="16"/>
  <c r="AI10" i="16" s="1"/>
  <c r="M7" i="16"/>
  <c r="M10" i="16" s="1"/>
  <c r="AC7" i="16"/>
  <c r="AC10" i="16" s="1"/>
  <c r="AR7" i="16"/>
  <c r="AR10" i="16" s="1"/>
  <c r="V7" i="16"/>
  <c r="V10" i="16" s="1"/>
  <c r="AS7" i="16"/>
  <c r="AS10" i="16" s="1"/>
  <c r="AE7" i="16"/>
  <c r="AE10" i="16" s="1"/>
  <c r="AT7" i="16"/>
  <c r="AT10" i="16" s="1"/>
  <c r="AF7" i="16"/>
  <c r="AF10" i="16" s="1"/>
  <c r="AO7" i="16"/>
  <c r="AO10" i="16" s="1"/>
  <c r="K7" i="16"/>
  <c r="K10" i="16" s="1"/>
  <c r="S7" i="16"/>
  <c r="S10" i="16" s="1"/>
  <c r="AA7" i="16"/>
  <c r="AA10" i="16" s="1"/>
  <c r="AP7" i="16"/>
  <c r="AP10" i="16" s="1"/>
  <c r="T7" i="16"/>
  <c r="T10" i="16" s="1"/>
  <c r="AB7" i="16"/>
  <c r="AB10" i="16" s="1"/>
  <c r="AQ7" i="16"/>
  <c r="AQ10" i="16" s="1"/>
  <c r="U7" i="16"/>
  <c r="U10" i="16" s="1"/>
  <c r="AJ7" i="16"/>
  <c r="AJ10" i="16" s="1"/>
  <c r="N7" i="16"/>
  <c r="N10" i="16" s="1"/>
  <c r="AK7" i="16"/>
  <c r="AK10" i="16" s="1"/>
  <c r="W7" i="16"/>
  <c r="W10" i="16" s="1"/>
  <c r="P7" i="16"/>
  <c r="P10" i="16" s="1"/>
  <c r="I8" i="25"/>
  <c r="I11" i="25" s="1"/>
  <c r="H6" i="26"/>
  <c r="H9" i="26" s="1"/>
  <c r="Z7" i="25"/>
  <c r="Z10" i="25" s="1"/>
  <c r="H5" i="26"/>
  <c r="H8" i="26" s="1"/>
  <c r="Y7" i="25"/>
  <c r="Y10" i="25" s="1"/>
  <c r="H8" i="25"/>
  <c r="H11" i="25" s="1"/>
  <c r="H7" i="25"/>
  <c r="H10" i="25" s="1"/>
  <c r="K7" i="25"/>
  <c r="K10" i="25" s="1"/>
  <c r="S7" i="25"/>
  <c r="S10" i="25" s="1"/>
  <c r="AA7" i="25"/>
  <c r="AA10" i="25" s="1"/>
  <c r="AI7" i="25"/>
  <c r="AI10" i="25" s="1"/>
  <c r="AQ7" i="25"/>
  <c r="AQ10" i="25" s="1"/>
  <c r="AM7" i="25"/>
  <c r="AM10" i="25" s="1"/>
  <c r="P7" i="25"/>
  <c r="P10" i="25" s="1"/>
  <c r="J7" i="25"/>
  <c r="J10" i="25" s="1"/>
  <c r="AG7" i="25"/>
  <c r="AG10" i="25" s="1"/>
  <c r="R7" i="25"/>
  <c r="R10" i="25" s="1"/>
  <c r="L7" i="25"/>
  <c r="L10" i="25" s="1"/>
  <c r="T7" i="25"/>
  <c r="T10" i="25" s="1"/>
  <c r="AB7" i="25"/>
  <c r="AB10" i="25" s="1"/>
  <c r="AJ7" i="25"/>
  <c r="AJ10" i="25" s="1"/>
  <c r="AR7" i="25"/>
  <c r="AR10" i="25" s="1"/>
  <c r="AE7" i="25"/>
  <c r="AE10" i="25" s="1"/>
  <c r="AN7" i="25"/>
  <c r="AN10" i="25" s="1"/>
  <c r="Q7" i="25"/>
  <c r="Q10" i="25" s="1"/>
  <c r="AH7" i="25"/>
  <c r="AH10" i="25" s="1"/>
  <c r="M7" i="25"/>
  <c r="M10" i="25" s="1"/>
  <c r="U7" i="25"/>
  <c r="U10" i="25" s="1"/>
  <c r="AC7" i="25"/>
  <c r="AC10" i="25" s="1"/>
  <c r="AK7" i="25"/>
  <c r="AK10" i="25" s="1"/>
  <c r="AS7" i="25"/>
  <c r="AS10" i="25" s="1"/>
  <c r="W7" i="25"/>
  <c r="W10" i="25" s="1"/>
  <c r="X7" i="25"/>
  <c r="X10" i="25" s="1"/>
  <c r="N7" i="25"/>
  <c r="N10" i="25" s="1"/>
  <c r="V7" i="25"/>
  <c r="V10" i="25" s="1"/>
  <c r="AD7" i="25"/>
  <c r="AD10" i="25" s="1"/>
  <c r="AL7" i="25"/>
  <c r="AL10" i="25" s="1"/>
  <c r="O7" i="25"/>
  <c r="O10" i="25" s="1"/>
  <c r="AF7" i="25"/>
  <c r="AF10" i="25" s="1"/>
  <c r="I7" i="25"/>
  <c r="I10" i="25" s="1"/>
  <c r="AO7" i="25"/>
  <c r="AO10" i="25" s="1"/>
  <c r="AP7" i="25"/>
  <c r="AP10" i="25" s="1"/>
  <c r="N8" i="16"/>
  <c r="N11" i="16" s="1"/>
  <c r="O8" i="16"/>
  <c r="O11" i="16" s="1"/>
  <c r="W8" i="16"/>
  <c r="W11" i="16" s="1"/>
  <c r="AE8" i="16"/>
  <c r="AE11" i="16" s="1"/>
  <c r="AM8" i="16"/>
  <c r="AM11" i="16" s="1"/>
  <c r="AU8" i="16"/>
  <c r="AU11" i="16" s="1"/>
  <c r="BC8" i="16"/>
  <c r="BC11" i="16" s="1"/>
  <c r="I8" i="16"/>
  <c r="I11" i="16" s="1"/>
  <c r="Y8" i="16"/>
  <c r="Y11" i="16" s="1"/>
  <c r="AW8" i="16"/>
  <c r="AW11" i="16" s="1"/>
  <c r="R8" i="16"/>
  <c r="R11" i="16" s="1"/>
  <c r="AH8" i="16"/>
  <c r="AH11" i="16" s="1"/>
  <c r="AX8" i="16"/>
  <c r="AX11" i="16" s="1"/>
  <c r="P8" i="16"/>
  <c r="P11" i="16" s="1"/>
  <c r="X8" i="16"/>
  <c r="X11" i="16" s="1"/>
  <c r="AF8" i="16"/>
  <c r="AF11" i="16" s="1"/>
  <c r="AN8" i="16"/>
  <c r="AN11" i="16" s="1"/>
  <c r="AV8" i="16"/>
  <c r="AV11" i="16" s="1"/>
  <c r="Q8" i="16"/>
  <c r="Q11" i="16" s="1"/>
  <c r="AG8" i="16"/>
  <c r="AG11" i="16" s="1"/>
  <c r="AO8" i="16"/>
  <c r="AO11" i="16" s="1"/>
  <c r="J8" i="16"/>
  <c r="J11" i="16" s="1"/>
  <c r="Z8" i="16"/>
  <c r="Z11" i="16" s="1"/>
  <c r="AP8" i="16"/>
  <c r="AP11" i="16" s="1"/>
  <c r="V8" i="16"/>
  <c r="V11" i="16" s="1"/>
  <c r="AL8" i="16"/>
  <c r="AL11" i="16" s="1"/>
  <c r="AB8" i="16"/>
  <c r="AB11" i="16" s="1"/>
  <c r="AC8" i="16"/>
  <c r="AC11" i="16" s="1"/>
  <c r="AD8" i="16"/>
  <c r="AD11" i="16" s="1"/>
  <c r="AI8" i="16"/>
  <c r="AI11" i="16" s="1"/>
  <c r="T8" i="16"/>
  <c r="T11" i="16" s="1"/>
  <c r="AA8" i="16"/>
  <c r="AA11" i="16" s="1"/>
  <c r="AQ8" i="16"/>
  <c r="AQ11" i="16" s="1"/>
  <c r="H8" i="16"/>
  <c r="H11" i="16" s="1"/>
  <c r="K8" i="16"/>
  <c r="K11" i="16" s="1"/>
  <c r="AR8" i="16"/>
  <c r="AR11" i="16" s="1"/>
  <c r="L8" i="16"/>
  <c r="L11" i="16" s="1"/>
  <c r="AS8" i="16"/>
  <c r="AS11" i="16" s="1"/>
  <c r="M8" i="16"/>
  <c r="M11" i="16" s="1"/>
  <c r="AT8" i="16"/>
  <c r="AT11" i="16" s="1"/>
  <c r="S8" i="16"/>
  <c r="S11" i="16" s="1"/>
  <c r="AY8" i="16"/>
  <c r="AY11" i="16" s="1"/>
  <c r="AJ8" i="16"/>
  <c r="AJ11" i="16" s="1"/>
  <c r="AZ8" i="16"/>
  <c r="AZ11" i="16" s="1"/>
  <c r="BA8" i="16"/>
  <c r="BA11" i="16" s="1"/>
  <c r="U8" i="16"/>
  <c r="U11" i="16" s="1"/>
  <c r="AK8" i="16"/>
  <c r="AK11" i="16" s="1"/>
  <c r="V8" i="36"/>
  <c r="V11" i="36" s="1"/>
  <c r="AD8" i="36"/>
  <c r="AD11" i="36" s="1"/>
  <c r="AL8" i="36"/>
  <c r="AL11" i="36" s="1"/>
  <c r="AT8" i="36"/>
  <c r="AT11" i="36" s="1"/>
  <c r="L8" i="36"/>
  <c r="L11" i="36" s="1"/>
  <c r="L7" i="36"/>
  <c r="L10" i="36" s="1"/>
  <c r="T7" i="36"/>
  <c r="T10" i="36" s="1"/>
  <c r="AB7" i="36"/>
  <c r="AB10" i="36" s="1"/>
  <c r="AJ7" i="36"/>
  <c r="AJ10" i="36" s="1"/>
  <c r="AR7" i="36"/>
  <c r="AR10" i="36" s="1"/>
  <c r="P8" i="36"/>
  <c r="P11" i="36" s="1"/>
  <c r="AN8" i="36"/>
  <c r="AN11" i="36" s="1"/>
  <c r="N8" i="36"/>
  <c r="N11" i="36" s="1"/>
  <c r="V7" i="36"/>
  <c r="V10" i="36" s="1"/>
  <c r="AD7" i="36"/>
  <c r="AD10" i="36" s="1"/>
  <c r="AT7" i="36"/>
  <c r="AT10" i="36" s="1"/>
  <c r="Y8" i="36"/>
  <c r="Y11" i="36" s="1"/>
  <c r="AW8" i="36"/>
  <c r="AW11" i="36" s="1"/>
  <c r="H8" i="36"/>
  <c r="H11" i="36" s="1"/>
  <c r="W7" i="36"/>
  <c r="W10" i="36" s="1"/>
  <c r="AM7" i="36"/>
  <c r="AM10" i="36" s="1"/>
  <c r="Z8" i="36"/>
  <c r="Z11" i="36" s="1"/>
  <c r="AH8" i="36"/>
  <c r="AH11" i="36" s="1"/>
  <c r="H7" i="36"/>
  <c r="H10" i="36" s="1"/>
  <c r="X7" i="36"/>
  <c r="X10" i="36" s="1"/>
  <c r="AF7" i="36"/>
  <c r="AF10" i="36" s="1"/>
  <c r="AV7" i="36"/>
  <c r="AV10" i="36" s="1"/>
  <c r="AK8" i="36"/>
  <c r="AK11" i="36" s="1"/>
  <c r="K8" i="36"/>
  <c r="K11" i="36" s="1"/>
  <c r="S7" i="36"/>
  <c r="S10" i="36" s="1"/>
  <c r="AI7" i="36"/>
  <c r="AI10" i="36" s="1"/>
  <c r="O8" i="36"/>
  <c r="O11" i="36" s="1"/>
  <c r="W8" i="36"/>
  <c r="W11" i="36" s="1"/>
  <c r="AE8" i="36"/>
  <c r="AE11" i="36" s="1"/>
  <c r="AM8" i="36"/>
  <c r="AM11" i="36" s="1"/>
  <c r="AU8" i="36"/>
  <c r="AU11" i="36" s="1"/>
  <c r="M8" i="36"/>
  <c r="M11" i="36" s="1"/>
  <c r="M7" i="36"/>
  <c r="M10" i="36" s="1"/>
  <c r="U7" i="36"/>
  <c r="U10" i="36" s="1"/>
  <c r="AC7" i="36"/>
  <c r="AC10" i="36" s="1"/>
  <c r="AK7" i="36"/>
  <c r="AK10" i="36" s="1"/>
  <c r="AS7" i="36"/>
  <c r="AS10" i="36" s="1"/>
  <c r="AF8" i="36"/>
  <c r="AF11" i="36" s="1"/>
  <c r="AV8" i="36"/>
  <c r="AV11" i="36" s="1"/>
  <c r="N7" i="36"/>
  <c r="N10" i="36" s="1"/>
  <c r="AL7" i="36"/>
  <c r="AL10" i="36" s="1"/>
  <c r="AG8" i="36"/>
  <c r="AG11" i="36" s="1"/>
  <c r="AO8" i="36"/>
  <c r="AO11" i="36" s="1"/>
  <c r="O7" i="36"/>
  <c r="O10" i="36" s="1"/>
  <c r="AE7" i="36"/>
  <c r="AE10" i="36" s="1"/>
  <c r="AU7" i="36"/>
  <c r="AU10" i="36" s="1"/>
  <c r="R8" i="36"/>
  <c r="R11" i="36" s="1"/>
  <c r="AP8" i="36"/>
  <c r="AP11" i="36" s="1"/>
  <c r="P7" i="36"/>
  <c r="P10" i="36" s="1"/>
  <c r="AN7" i="36"/>
  <c r="AN10" i="36" s="1"/>
  <c r="U8" i="36"/>
  <c r="U11" i="36" s="1"/>
  <c r="K7" i="36"/>
  <c r="K10" i="36" s="1"/>
  <c r="AA7" i="36"/>
  <c r="AA10" i="36" s="1"/>
  <c r="AQ7" i="36"/>
  <c r="AQ10" i="36" s="1"/>
  <c r="X8" i="36"/>
  <c r="X11" i="36" s="1"/>
  <c r="AS8" i="36"/>
  <c r="AS11" i="36" s="1"/>
  <c r="Q8" i="36"/>
  <c r="Q11" i="36" s="1"/>
  <c r="AC8" i="36"/>
  <c r="AC11" i="36" s="1"/>
  <c r="S8" i="36"/>
  <c r="S11" i="36" s="1"/>
  <c r="AA8" i="36"/>
  <c r="AA11" i="36" s="1"/>
  <c r="AI8" i="36"/>
  <c r="AI11" i="36" s="1"/>
  <c r="AQ8" i="36"/>
  <c r="AQ11" i="36" s="1"/>
  <c r="I8" i="36"/>
  <c r="I11" i="36" s="1"/>
  <c r="I7" i="36"/>
  <c r="I10" i="36" s="1"/>
  <c r="Q7" i="36"/>
  <c r="Q10" i="36" s="1"/>
  <c r="Y7" i="36"/>
  <c r="Y10" i="36" s="1"/>
  <c r="AG7" i="36"/>
  <c r="AG10" i="36" s="1"/>
  <c r="AO7" i="36"/>
  <c r="AO10" i="36" s="1"/>
  <c r="AW7" i="36"/>
  <c r="AW10" i="36" s="1"/>
  <c r="T8" i="36"/>
  <c r="T11" i="36" s="1"/>
  <c r="AB8" i="36"/>
  <c r="AB11" i="36" s="1"/>
  <c r="AJ8" i="36"/>
  <c r="AJ11" i="36" s="1"/>
  <c r="AR8" i="36"/>
  <c r="AR11" i="36" s="1"/>
  <c r="J8" i="36"/>
  <c r="J11" i="36" s="1"/>
  <c r="J7" i="36"/>
  <c r="J10" i="36" s="1"/>
  <c r="R7" i="36"/>
  <c r="R10" i="36" s="1"/>
  <c r="Z7" i="36"/>
  <c r="Z10" i="36" s="1"/>
  <c r="AH7" i="36"/>
  <c r="AH10" i="36" s="1"/>
  <c r="AP7" i="36"/>
  <c r="AP10" i="36" s="1"/>
  <c r="O8" i="13"/>
  <c r="O12" i="13" s="1"/>
  <c r="W8" i="13"/>
  <c r="W12" i="13" s="1"/>
  <c r="AE8" i="13"/>
  <c r="AE12" i="13" s="1"/>
  <c r="AM8" i="13"/>
  <c r="AM12" i="13" s="1"/>
  <c r="AU8" i="13"/>
  <c r="AU12" i="13" s="1"/>
  <c r="I8" i="13"/>
  <c r="I12" i="13" s="1"/>
  <c r="P8" i="13"/>
  <c r="P12" i="13" s="1"/>
  <c r="X8" i="13"/>
  <c r="X12" i="13" s="1"/>
  <c r="AF8" i="13"/>
  <c r="AF12" i="13" s="1"/>
  <c r="AN8" i="13"/>
  <c r="AN12" i="13" s="1"/>
  <c r="AV8" i="13"/>
  <c r="AV12" i="13" s="1"/>
  <c r="J8" i="13"/>
  <c r="J12" i="13" s="1"/>
  <c r="Q8" i="13"/>
  <c r="Q12" i="13" s="1"/>
  <c r="Y8" i="13"/>
  <c r="Y12" i="13" s="1"/>
  <c r="AG8" i="13"/>
  <c r="AG12" i="13" s="1"/>
  <c r="AO8" i="13"/>
  <c r="AO12" i="13" s="1"/>
  <c r="AW8" i="13"/>
  <c r="AW12" i="13" s="1"/>
  <c r="R8" i="13"/>
  <c r="R12" i="13" s="1"/>
  <c r="Z8" i="13"/>
  <c r="Z12" i="13" s="1"/>
  <c r="AH8" i="13"/>
  <c r="AH12" i="13" s="1"/>
  <c r="AP8" i="13"/>
  <c r="AP12" i="13" s="1"/>
  <c r="AX8" i="13"/>
  <c r="AX12" i="13" s="1"/>
  <c r="V8" i="13"/>
  <c r="V12" i="13" s="1"/>
  <c r="AL8" i="13"/>
  <c r="AL12" i="13" s="1"/>
  <c r="S8" i="13"/>
  <c r="S12" i="13" s="1"/>
  <c r="AA8" i="13"/>
  <c r="AA12" i="13" s="1"/>
  <c r="AI8" i="13"/>
  <c r="AI12" i="13" s="1"/>
  <c r="AQ8" i="13"/>
  <c r="AQ12" i="13" s="1"/>
  <c r="AY8" i="13"/>
  <c r="AY12" i="13" s="1"/>
  <c r="M8" i="13"/>
  <c r="M12" i="13" s="1"/>
  <c r="T8" i="13"/>
  <c r="T12" i="13" s="1"/>
  <c r="AB8" i="13"/>
  <c r="AB12" i="13" s="1"/>
  <c r="AJ8" i="13"/>
  <c r="AJ12" i="13" s="1"/>
  <c r="AR8" i="13"/>
  <c r="AR12" i="13" s="1"/>
  <c r="AZ8" i="13"/>
  <c r="AZ12" i="13" s="1"/>
  <c r="N8" i="13"/>
  <c r="N12" i="13" s="1"/>
  <c r="U8" i="13"/>
  <c r="U12" i="13" s="1"/>
  <c r="AC8" i="13"/>
  <c r="AC12" i="13" s="1"/>
  <c r="AK8" i="13"/>
  <c r="AK12" i="13" s="1"/>
  <c r="AS8" i="13"/>
  <c r="AS12" i="13" s="1"/>
  <c r="BA8" i="13"/>
  <c r="BA12" i="13" s="1"/>
  <c r="K8" i="13"/>
  <c r="K12" i="13" s="1"/>
  <c r="H14" i="13"/>
  <c r="AD8" i="13"/>
  <c r="AD12" i="13" s="1"/>
  <c r="AT8" i="13"/>
  <c r="AT12" i="13" s="1"/>
  <c r="L8" i="13"/>
  <c r="L12" i="13" s="1"/>
  <c r="I14" i="13"/>
  <c r="H7" i="13"/>
  <c r="H11" i="13" s="1"/>
  <c r="AQ7" i="13"/>
  <c r="AQ11" i="13" s="1"/>
  <c r="AY7" i="13"/>
  <c r="AY11" i="13" s="1"/>
  <c r="I7" i="13"/>
  <c r="I11" i="13" s="1"/>
  <c r="Q7" i="13"/>
  <c r="Q11" i="13" s="1"/>
  <c r="Y7" i="13"/>
  <c r="Y11" i="13" s="1"/>
  <c r="AG7" i="13"/>
  <c r="AG11" i="13" s="1"/>
  <c r="AR7" i="13"/>
  <c r="AR11" i="13" s="1"/>
  <c r="AZ7" i="13"/>
  <c r="AZ11" i="13" s="1"/>
  <c r="R7" i="13"/>
  <c r="R11" i="13" s="1"/>
  <c r="Z7" i="13"/>
  <c r="Z11" i="13" s="1"/>
  <c r="AH7" i="13"/>
  <c r="AH11" i="13" s="1"/>
  <c r="AS7" i="13"/>
  <c r="AS11" i="13" s="1"/>
  <c r="BA7" i="13"/>
  <c r="BA11" i="13" s="1"/>
  <c r="S7" i="13"/>
  <c r="S11" i="13" s="1"/>
  <c r="AA7" i="13"/>
  <c r="AA11" i="13" s="1"/>
  <c r="T7" i="13"/>
  <c r="T11" i="13" s="1"/>
  <c r="AB7" i="13"/>
  <c r="AB11" i="13" s="1"/>
  <c r="U7" i="13"/>
  <c r="U11" i="13" s="1"/>
  <c r="AK7" i="13"/>
  <c r="AK11" i="13" s="1"/>
  <c r="AN7" i="13"/>
  <c r="AN11" i="13" s="1"/>
  <c r="V7" i="13"/>
  <c r="V11" i="13" s="1"/>
  <c r="AD7" i="13"/>
  <c r="AD11" i="13" s="1"/>
  <c r="AW7" i="13"/>
  <c r="AW11" i="13" s="1"/>
  <c r="W7" i="13"/>
  <c r="W11" i="13" s="1"/>
  <c r="AM7" i="13"/>
  <c r="AM11" i="13" s="1"/>
  <c r="AX7" i="13"/>
  <c r="AX11" i="13" s="1"/>
  <c r="X7" i="13"/>
  <c r="X11" i="13" s="1"/>
  <c r="J7" i="13"/>
  <c r="J11" i="13" s="1"/>
  <c r="K7" i="13"/>
  <c r="K11" i="13" s="1"/>
  <c r="AT7" i="13"/>
  <c r="AT11" i="13" s="1"/>
  <c r="AJ7" i="13"/>
  <c r="M7" i="13"/>
  <c r="M11" i="13" s="1"/>
  <c r="AL7" i="13"/>
  <c r="AL11" i="13" s="1"/>
  <c r="O7" i="13"/>
  <c r="O11" i="13" s="1"/>
  <c r="AP7" i="13"/>
  <c r="AF7" i="13"/>
  <c r="AF11" i="13" s="1"/>
  <c r="AI7" i="13"/>
  <c r="AI11" i="13" s="1"/>
  <c r="L7" i="13"/>
  <c r="L11" i="13" s="1"/>
  <c r="AC7" i="13"/>
  <c r="AC11" i="13" s="1"/>
  <c r="N7" i="13"/>
  <c r="N11" i="13" s="1"/>
  <c r="AO7" i="13"/>
  <c r="AO11" i="13" s="1"/>
  <c r="AE7" i="13"/>
  <c r="AE11" i="13" s="1"/>
  <c r="P7" i="13"/>
  <c r="P11" i="13" s="1"/>
  <c r="H7" i="12"/>
  <c r="H10" i="12" s="1"/>
  <c r="P7" i="14"/>
  <c r="P10" i="14" s="1"/>
  <c r="X7" i="14"/>
  <c r="X10" i="14" s="1"/>
  <c r="AF7" i="14"/>
  <c r="AF10" i="14" s="1"/>
  <c r="AN7" i="14"/>
  <c r="AN10" i="14" s="1"/>
  <c r="AV7" i="14"/>
  <c r="AV10" i="14" s="1"/>
  <c r="O6" i="14"/>
  <c r="W6" i="14"/>
  <c r="W9" i="14" s="1"/>
  <c r="AE6" i="14"/>
  <c r="AE9" i="14" s="1"/>
  <c r="AM6" i="14"/>
  <c r="AM9" i="14" s="1"/>
  <c r="AU6" i="14"/>
  <c r="AU9" i="14" s="1"/>
  <c r="Q7" i="14"/>
  <c r="Q10" i="14" s="1"/>
  <c r="AG7" i="14"/>
  <c r="AG10" i="14" s="1"/>
  <c r="H7" i="14"/>
  <c r="H10" i="14" s="1"/>
  <c r="AF6" i="14"/>
  <c r="AF9" i="14" s="1"/>
  <c r="Z7" i="14"/>
  <c r="Z10" i="14" s="1"/>
  <c r="I6" i="14"/>
  <c r="Y6" i="14"/>
  <c r="Y9" i="14" s="1"/>
  <c r="H6" i="14"/>
  <c r="K7" i="14"/>
  <c r="K10" i="14" s="1"/>
  <c r="AA7" i="14"/>
  <c r="AA10" i="14" s="1"/>
  <c r="J6" i="14"/>
  <c r="Z6" i="14"/>
  <c r="Z9" i="14" s="1"/>
  <c r="N7" i="14"/>
  <c r="N10" i="14" s="1"/>
  <c r="V7" i="14"/>
  <c r="V10" i="14" s="1"/>
  <c r="AD7" i="14"/>
  <c r="AD10" i="14" s="1"/>
  <c r="AL7" i="14"/>
  <c r="AL10" i="14" s="1"/>
  <c r="AT7" i="14"/>
  <c r="AT10" i="14" s="1"/>
  <c r="M6" i="14"/>
  <c r="U6" i="14"/>
  <c r="U9" i="14" s="1"/>
  <c r="AC6" i="14"/>
  <c r="AC9" i="14" s="1"/>
  <c r="AK6" i="14"/>
  <c r="AK9" i="14" s="1"/>
  <c r="AS6" i="14"/>
  <c r="AS9" i="14" s="1"/>
  <c r="O7" i="14"/>
  <c r="O10" i="14" s="1"/>
  <c r="W7" i="14"/>
  <c r="W10" i="14" s="1"/>
  <c r="AE7" i="14"/>
  <c r="AE10" i="14" s="1"/>
  <c r="AM7" i="14"/>
  <c r="AM10" i="14" s="1"/>
  <c r="AU7" i="14"/>
  <c r="AU10" i="14" s="1"/>
  <c r="N6" i="14"/>
  <c r="V6" i="14"/>
  <c r="V9" i="14" s="1"/>
  <c r="AD6" i="14"/>
  <c r="AD9" i="14" s="1"/>
  <c r="AL6" i="14"/>
  <c r="AL9" i="14" s="1"/>
  <c r="AT6" i="14"/>
  <c r="AT9" i="14" s="1"/>
  <c r="I7" i="14"/>
  <c r="I10" i="14" s="1"/>
  <c r="Y7" i="14"/>
  <c r="Y10" i="14" s="1"/>
  <c r="AO7" i="14"/>
  <c r="AO10" i="14" s="1"/>
  <c r="P6" i="14"/>
  <c r="X6" i="14"/>
  <c r="X9" i="14" s="1"/>
  <c r="AN6" i="14"/>
  <c r="AN9" i="14" s="1"/>
  <c r="J7" i="14"/>
  <c r="J10" i="14" s="1"/>
  <c r="R7" i="14"/>
  <c r="R10" i="14" s="1"/>
  <c r="AH7" i="14"/>
  <c r="AH10" i="14" s="1"/>
  <c r="AP7" i="14"/>
  <c r="AP10" i="14" s="1"/>
  <c r="Q6" i="14"/>
  <c r="AG6" i="14"/>
  <c r="AG9" i="14" s="1"/>
  <c r="AO6" i="14"/>
  <c r="AO9" i="14" s="1"/>
  <c r="S7" i="14"/>
  <c r="S10" i="14" s="1"/>
  <c r="AI7" i="14"/>
  <c r="AI10" i="14" s="1"/>
  <c r="AQ7" i="14"/>
  <c r="AQ10" i="14" s="1"/>
  <c r="R6" i="14"/>
  <c r="AH6" i="14"/>
  <c r="AH9" i="14" s="1"/>
  <c r="H8" i="12"/>
  <c r="H11" i="12" s="1"/>
  <c r="U7" i="14"/>
  <c r="U10" i="14" s="1"/>
  <c r="AQ6" i="14"/>
  <c r="AQ9" i="14" s="1"/>
  <c r="AR6" i="14"/>
  <c r="AR9" i="14" s="1"/>
  <c r="T6" i="14"/>
  <c r="T9" i="14" s="1"/>
  <c r="AK7" i="14"/>
  <c r="AK10" i="14" s="1"/>
  <c r="L7" i="14"/>
  <c r="L10" i="14" s="1"/>
  <c r="AR7" i="14"/>
  <c r="AR10" i="14" s="1"/>
  <c r="AI6" i="14"/>
  <c r="AI9" i="14" s="1"/>
  <c r="M7" i="14"/>
  <c r="M10" i="14" s="1"/>
  <c r="AS7" i="14"/>
  <c r="AS10" i="14" s="1"/>
  <c r="AJ6" i="14"/>
  <c r="AJ9" i="14" s="1"/>
  <c r="T7" i="14"/>
  <c r="T10" i="14" s="1"/>
  <c r="K6" i="14"/>
  <c r="AP6" i="14"/>
  <c r="AP9" i="14" s="1"/>
  <c r="L6" i="14"/>
  <c r="AB7" i="14"/>
  <c r="AB10" i="14" s="1"/>
  <c r="S6" i="14"/>
  <c r="S9" i="14" s="1"/>
  <c r="AC7" i="14"/>
  <c r="AC10" i="14" s="1"/>
  <c r="H8" i="13"/>
  <c r="H12" i="13" s="1"/>
  <c r="AJ7" i="14"/>
  <c r="AJ10" i="14" s="1"/>
  <c r="AA6" i="14"/>
  <c r="AA9" i="14" s="1"/>
  <c r="AB6" i="14"/>
  <c r="AB9" i="14" s="1"/>
  <c r="CD27" i="22" l="1"/>
  <c r="CD94" i="22"/>
  <c r="DS9" i="116"/>
  <c r="DS14" i="116" s="1"/>
  <c r="FH90" i="22"/>
  <c r="CD107" i="22"/>
  <c r="CD89" i="22"/>
  <c r="CD18" i="22"/>
  <c r="CD125" i="22"/>
  <c r="CD117" i="22"/>
  <c r="CD79" i="22"/>
  <c r="CD106" i="22"/>
  <c r="CD92" i="22"/>
  <c r="CD124" i="22"/>
  <c r="CD91" i="22"/>
  <c r="CD86" i="22"/>
  <c r="CD116" i="22"/>
  <c r="CC110" i="22"/>
  <c r="CC88" i="22"/>
  <c r="CC84" i="22"/>
  <c r="CC95" i="22"/>
  <c r="CC109" i="22"/>
  <c r="CC28" i="22"/>
  <c r="DR24" i="118"/>
  <c r="FG120" i="22" s="1"/>
  <c r="CC116" i="22"/>
  <c r="CC111" i="22"/>
  <c r="CC41" i="22"/>
  <c r="CC89" i="22"/>
  <c r="CC36" i="22"/>
  <c r="CC91" i="22"/>
  <c r="CC108" i="22"/>
  <c r="CC117" i="22"/>
  <c r="CC37" i="22"/>
  <c r="CC92" i="22"/>
  <c r="CC67" i="22"/>
  <c r="CC94" i="22"/>
  <c r="CC98" i="22"/>
  <c r="CC125" i="22"/>
  <c r="CC106" i="22"/>
  <c r="CC27" i="22"/>
  <c r="CC83" i="22"/>
  <c r="CC112" i="22"/>
  <c r="CC123" i="22"/>
  <c r="CC80" i="22"/>
  <c r="CC44" i="22"/>
  <c r="CC124" i="22"/>
  <c r="CC79" i="22"/>
  <c r="DR9" i="116"/>
  <c r="DR14" i="116" s="1"/>
  <c r="DR18" i="116" s="1"/>
  <c r="DR24" i="116" s="1"/>
  <c r="FG118" i="22" s="1"/>
  <c r="FG90" i="22"/>
  <c r="CC122" i="22"/>
  <c r="AA18" i="62"/>
  <c r="CB27" i="22"/>
  <c r="CB111" i="22"/>
  <c r="CB80" i="22"/>
  <c r="DM18" i="62"/>
  <c r="FB45" i="22" s="1"/>
  <c r="DE18" i="62"/>
  <c r="ET45" i="22" s="1"/>
  <c r="DI18" i="62"/>
  <c r="EX45" i="22" s="1"/>
  <c r="DB18" i="62"/>
  <c r="EQ45" i="22" s="1"/>
  <c r="AR18" i="62"/>
  <c r="CE18" i="62"/>
  <c r="EG18" i="62"/>
  <c r="DP18" i="62"/>
  <c r="FE45" i="22" s="1"/>
  <c r="EE18" i="62"/>
  <c r="AB18" i="62"/>
  <c r="CB95" i="22"/>
  <c r="CF18" i="62"/>
  <c r="CA18" i="62"/>
  <c r="CT18" i="62"/>
  <c r="CU18" i="62"/>
  <c r="DU18" i="62"/>
  <c r="EA18" i="62"/>
  <c r="AU18" i="62"/>
  <c r="CQ18" i="62"/>
  <c r="CD18" i="62"/>
  <c r="EH18" i="62"/>
  <c r="EJ18" i="62"/>
  <c r="CZ18" i="62"/>
  <c r="EO45" i="22" s="1"/>
  <c r="DC18" i="62"/>
  <c r="ER45" i="22" s="1"/>
  <c r="EK18" i="62"/>
  <c r="DF18" i="62"/>
  <c r="EU45" i="22" s="1"/>
  <c r="EQ18" i="62"/>
  <c r="DH18" i="62"/>
  <c r="EW45" i="22" s="1"/>
  <c r="EC18" i="62"/>
  <c r="DY18" i="62"/>
  <c r="ET18" i="62"/>
  <c r="AE18" i="62"/>
  <c r="CN18" i="62"/>
  <c r="CW18" i="62"/>
  <c r="EL45" i="22" s="1"/>
  <c r="DS18" i="62"/>
  <c r="FH45" i="22" s="1"/>
  <c r="DA18" i="62"/>
  <c r="EP45" i="22" s="1"/>
  <c r="AJ18" i="62"/>
  <c r="EF18" i="62"/>
  <c r="DO18" i="62"/>
  <c r="FD45" i="22" s="1"/>
  <c r="DG18" i="62"/>
  <c r="EV45" i="22" s="1"/>
  <c r="CV18" i="62"/>
  <c r="AK18" i="62"/>
  <c r="AK15" i="62"/>
  <c r="AW14" i="24"/>
  <c r="CM18" i="22" s="1"/>
  <c r="AW11" i="24"/>
  <c r="I14" i="24"/>
  <c r="I11" i="24"/>
  <c r="AQ11" i="24"/>
  <c r="AQ14" i="24"/>
  <c r="AS20" i="104"/>
  <c r="CH107" i="22" s="1"/>
  <c r="AS17" i="104"/>
  <c r="AU20" i="104"/>
  <c r="CJ107" i="22" s="1"/>
  <c r="AU17" i="104"/>
  <c r="BN20" i="104"/>
  <c r="DC107" i="22" s="1"/>
  <c r="AQ18" i="62"/>
  <c r="AQ15" i="62"/>
  <c r="AN18" i="62"/>
  <c r="AN15" i="62"/>
  <c r="AD18" i="62"/>
  <c r="AD15" i="62"/>
  <c r="BW18" i="62"/>
  <c r="BY18" i="62"/>
  <c r="CB18" i="62"/>
  <c r="CB15" i="62"/>
  <c r="U14" i="24"/>
  <c r="U11" i="24"/>
  <c r="AJ11" i="24"/>
  <c r="AJ14" i="24"/>
  <c r="CL18" i="62"/>
  <c r="AY20" i="104"/>
  <c r="CN107" i="22" s="1"/>
  <c r="BA20" i="104"/>
  <c r="CP107" i="22" s="1"/>
  <c r="BO20" i="104"/>
  <c r="DD107" i="22" s="1"/>
  <c r="AZ20" i="104"/>
  <c r="CO107" i="22" s="1"/>
  <c r="BK20" i="104"/>
  <c r="CZ107" i="22" s="1"/>
  <c r="BT20" i="104"/>
  <c r="DI107" i="22" s="1"/>
  <c r="BB20" i="104"/>
  <c r="CQ107" i="22" s="1"/>
  <c r="Y20" i="104"/>
  <c r="Y17" i="104"/>
  <c r="CK20" i="104"/>
  <c r="DZ107" i="22" s="1"/>
  <c r="CD20" i="104"/>
  <c r="DS107" i="22" s="1"/>
  <c r="CR15" i="11"/>
  <c r="CR12" i="11"/>
  <c r="DF14" i="24"/>
  <c r="EV18" i="22" s="1"/>
  <c r="ER18" i="62"/>
  <c r="DL18" i="62"/>
  <c r="FA45" i="22" s="1"/>
  <c r="DZ18" i="62"/>
  <c r="DK18" i="62"/>
  <c r="EZ45" i="22" s="1"/>
  <c r="CB79" i="22"/>
  <c r="DK17" i="85"/>
  <c r="EZ86" i="22" s="1"/>
  <c r="DB17" i="85"/>
  <c r="EQ86" i="22" s="1"/>
  <c r="DG17" i="85"/>
  <c r="EV86" i="22" s="1"/>
  <c r="DF20" i="104"/>
  <c r="EU107" i="22" s="1"/>
  <c r="DN20" i="104"/>
  <c r="FC107" i="22" s="1"/>
  <c r="DE20" i="104"/>
  <c r="ET107" i="22" s="1"/>
  <c r="AM15" i="62"/>
  <c r="AM18" i="62"/>
  <c r="BY20" i="104"/>
  <c r="DN107" i="22" s="1"/>
  <c r="J11" i="24"/>
  <c r="J14" i="24"/>
  <c r="AI18" i="62"/>
  <c r="AP18" i="62"/>
  <c r="AS15" i="62"/>
  <c r="AS18" i="62"/>
  <c r="AF18" i="62"/>
  <c r="CC18" i="62"/>
  <c r="CB17" i="85"/>
  <c r="DQ86" i="22" s="1"/>
  <c r="CB15" i="85"/>
  <c r="AK14" i="24"/>
  <c r="AK11" i="24"/>
  <c r="AZ20" i="91"/>
  <c r="CO95" i="22" s="1"/>
  <c r="CL14" i="24"/>
  <c r="EB18" i="22" s="1"/>
  <c r="CL11" i="24"/>
  <c r="CR18" i="62"/>
  <c r="CE20" i="104"/>
  <c r="DT107" i="22" s="1"/>
  <c r="CE17" i="104"/>
  <c r="CG20" i="104"/>
  <c r="DV107" i="22" s="1"/>
  <c r="N20" i="104"/>
  <c r="N17" i="104"/>
  <c r="CO20" i="104"/>
  <c r="ED107" i="22" s="1"/>
  <c r="BH20" i="104"/>
  <c r="CW107" i="22" s="1"/>
  <c r="BS20" i="104"/>
  <c r="DH107" i="22" s="1"/>
  <c r="P17" i="104"/>
  <c r="P20" i="104"/>
  <c r="CB20" i="104"/>
  <c r="DQ107" i="22" s="1"/>
  <c r="CP20" i="104"/>
  <c r="EE107" i="22" s="1"/>
  <c r="Z20" i="104"/>
  <c r="Z17" i="104"/>
  <c r="CL20" i="104"/>
  <c r="EA107" i="22" s="1"/>
  <c r="CX14" i="24"/>
  <c r="EN18" i="22" s="1"/>
  <c r="CW15" i="39"/>
  <c r="EL27" i="22" s="1"/>
  <c r="BI27" i="22" s="1"/>
  <c r="CW12" i="39"/>
  <c r="DM14" i="24"/>
  <c r="FC18" i="22" s="1"/>
  <c r="DJ14" i="24"/>
  <c r="EZ18" i="22" s="1"/>
  <c r="DI14" i="24"/>
  <c r="EY18" i="22" s="1"/>
  <c r="DC15" i="39"/>
  <c r="ER27" i="22" s="1"/>
  <c r="BO27" i="22" s="1"/>
  <c r="DC12" i="39"/>
  <c r="DD18" i="62"/>
  <c r="ES45" i="22" s="1"/>
  <c r="DR18" i="62"/>
  <c r="FG45" i="22" s="1"/>
  <c r="CD45" i="22" s="1"/>
  <c r="CY17" i="85"/>
  <c r="EN86" i="22" s="1"/>
  <c r="CW17" i="104"/>
  <c r="CW20" i="104"/>
  <c r="EL107" i="22" s="1"/>
  <c r="DL20" i="104"/>
  <c r="FA107" i="22" s="1"/>
  <c r="DK20" i="104"/>
  <c r="EZ107" i="22" s="1"/>
  <c r="DJ20" i="104"/>
  <c r="EY107" i="22" s="1"/>
  <c r="AG15" i="62"/>
  <c r="AG18" i="62"/>
  <c r="AM14" i="24"/>
  <c r="AM11" i="24"/>
  <c r="BQ20" i="104"/>
  <c r="DF107" i="22" s="1"/>
  <c r="BJ20" i="104"/>
  <c r="CY107" i="22" s="1"/>
  <c r="AH18" i="62"/>
  <c r="BX18" i="62"/>
  <c r="CJ18" i="62"/>
  <c r="CP18" i="62"/>
  <c r="CO18" i="62"/>
  <c r="BI20" i="104"/>
  <c r="CX107" i="22" s="1"/>
  <c r="BP20" i="104"/>
  <c r="DE107" i="22" s="1"/>
  <c r="O20" i="104"/>
  <c r="O17" i="104"/>
  <c r="CA20" i="104"/>
  <c r="DP107" i="22" s="1"/>
  <c r="CA17" i="104"/>
  <c r="CJ20" i="104"/>
  <c r="DY107" i="22" s="1"/>
  <c r="DG14" i="24"/>
  <c r="EW18" i="22" s="1"/>
  <c r="BS18" i="22" s="1"/>
  <c r="CW14" i="24"/>
  <c r="EM18" i="22" s="1"/>
  <c r="DB14" i="24"/>
  <c r="ER18" i="22" s="1"/>
  <c r="DA14" i="24"/>
  <c r="EQ18" i="22" s="1"/>
  <c r="ES18" i="62"/>
  <c r="CW17" i="85"/>
  <c r="EL86" i="22" s="1"/>
  <c r="DD20" i="104"/>
  <c r="ES107" i="22" s="1"/>
  <c r="DC20" i="104"/>
  <c r="ER107" i="22" s="1"/>
  <c r="DB20" i="104"/>
  <c r="EQ107" i="22" s="1"/>
  <c r="DQ20" i="104"/>
  <c r="FF107" i="22" s="1"/>
  <c r="CC107" i="22" s="1"/>
  <c r="CB117" i="22"/>
  <c r="L14" i="24"/>
  <c r="L11" i="24"/>
  <c r="AV16" i="45"/>
  <c r="AV13" i="45"/>
  <c r="Z15" i="62"/>
  <c r="Z18" i="62"/>
  <c r="CH18" i="62"/>
  <c r="CK18" i="62"/>
  <c r="CL15" i="11"/>
  <c r="EB36" i="22" s="1"/>
  <c r="CL12" i="11"/>
  <c r="L17" i="104"/>
  <c r="L20" i="104"/>
  <c r="BX20" i="104"/>
  <c r="DM107" i="22" s="1"/>
  <c r="BR20" i="104"/>
  <c r="DG107" i="22" s="1"/>
  <c r="W20" i="104"/>
  <c r="W17" i="104"/>
  <c r="CI20" i="104"/>
  <c r="DX107" i="22" s="1"/>
  <c r="CI17" i="104"/>
  <c r="BZ20" i="104"/>
  <c r="DO107" i="22" s="1"/>
  <c r="AW20" i="104"/>
  <c r="CL107" i="22" s="1"/>
  <c r="DO14" i="24"/>
  <c r="FE18" i="22" s="1"/>
  <c r="DG14" i="40"/>
  <c r="EW41" i="22" s="1"/>
  <c r="BS41" i="22" s="1"/>
  <c r="DG11" i="40"/>
  <c r="CQ16" i="45"/>
  <c r="CQ13" i="45"/>
  <c r="DP14" i="24"/>
  <c r="FF18" i="22" s="1"/>
  <c r="CC18" i="22" s="1"/>
  <c r="DI15" i="39"/>
  <c r="EX27" i="22" s="1"/>
  <c r="BU27" i="22" s="1"/>
  <c r="DI12" i="39"/>
  <c r="ED18" i="62"/>
  <c r="CX18" i="62"/>
  <c r="EM45" i="22" s="1"/>
  <c r="DT18" i="62"/>
  <c r="EI18" i="62"/>
  <c r="DX18" i="62"/>
  <c r="EO18" i="62"/>
  <c r="EM18" i="62"/>
  <c r="DQ17" i="85"/>
  <c r="FF86" i="22" s="1"/>
  <c r="CC86" i="22" s="1"/>
  <c r="DH17" i="82"/>
  <c r="EW84" i="22" s="1"/>
  <c r="BT84" i="22" s="1"/>
  <c r="DH15" i="82"/>
  <c r="DN17" i="85"/>
  <c r="FC86" i="22" s="1"/>
  <c r="DH20" i="104"/>
  <c r="EW107" i="22" s="1"/>
  <c r="DH17" i="104"/>
  <c r="CX20" i="104"/>
  <c r="EM107" i="22" s="1"/>
  <c r="CV20" i="104"/>
  <c r="EK107" i="22" s="1"/>
  <c r="CU20" i="104"/>
  <c r="EJ107" i="22" s="1"/>
  <c r="CT20" i="104"/>
  <c r="EI107" i="22" s="1"/>
  <c r="DI20" i="104"/>
  <c r="EX107" i="22" s="1"/>
  <c r="AC15" i="62"/>
  <c r="AC18" i="62"/>
  <c r="CY14" i="40"/>
  <c r="EO41" i="22" s="1"/>
  <c r="BK41" i="22" s="1"/>
  <c r="CY11" i="40"/>
  <c r="DK14" i="24"/>
  <c r="FA18" i="22" s="1"/>
  <c r="DL14" i="24"/>
  <c r="FB18" i="22" s="1"/>
  <c r="DL15" i="11"/>
  <c r="FB36" i="22" s="1"/>
  <c r="BY36" i="22" s="1"/>
  <c r="DL12" i="11"/>
  <c r="DD14" i="24"/>
  <c r="ET18" i="22" s="1"/>
  <c r="DN15" i="39"/>
  <c r="FC27" i="22" s="1"/>
  <c r="BZ27" i="22" s="1"/>
  <c r="DN12" i="39"/>
  <c r="DI17" i="85"/>
  <c r="EX86" i="22" s="1"/>
  <c r="DE17" i="85"/>
  <c r="ET86" i="22" s="1"/>
  <c r="DM17" i="82"/>
  <c r="FB84" i="22" s="1"/>
  <c r="BY84" i="22" s="1"/>
  <c r="DM15" i="82"/>
  <c r="DP17" i="85"/>
  <c r="FE86" i="22" s="1"/>
  <c r="DH18" i="87"/>
  <c r="EW88" i="22" s="1"/>
  <c r="BS88" i="22" s="1"/>
  <c r="DH16" i="87"/>
  <c r="DF17" i="85"/>
  <c r="EU86" i="22" s="1"/>
  <c r="DL18" i="87"/>
  <c r="FA88" i="22" s="1"/>
  <c r="BW88" i="22" s="1"/>
  <c r="DL16" i="87"/>
  <c r="DO20" i="104"/>
  <c r="FD107" i="22" s="1"/>
  <c r="DA20" i="104"/>
  <c r="EP107" i="22" s="1"/>
  <c r="CM20" i="104"/>
  <c r="EB107" i="22" s="1"/>
  <c r="AA20" i="104"/>
  <c r="AA17" i="104"/>
  <c r="CF20" i="104"/>
  <c r="DU107" i="22" s="1"/>
  <c r="AE20" i="104"/>
  <c r="AE17" i="104"/>
  <c r="CQ20" i="104"/>
  <c r="EF107" i="22" s="1"/>
  <c r="BE20" i="104"/>
  <c r="CT107" i="22" s="1"/>
  <c r="AX20" i="104"/>
  <c r="CM107" i="22" s="1"/>
  <c r="AX17" i="104"/>
  <c r="AO18" i="62"/>
  <c r="AO15" i="62"/>
  <c r="CD16" i="45"/>
  <c r="CD13" i="45"/>
  <c r="M14" i="24"/>
  <c r="M11" i="24"/>
  <c r="P11" i="24"/>
  <c r="P14" i="24"/>
  <c r="CS18" i="62"/>
  <c r="CM18" i="62"/>
  <c r="AT20" i="104"/>
  <c r="CI107" i="22" s="1"/>
  <c r="CN20" i="104"/>
  <c r="EC107" i="22" s="1"/>
  <c r="AV20" i="104"/>
  <c r="CK107" i="22" s="1"/>
  <c r="AV17" i="104"/>
  <c r="BM20" i="104"/>
  <c r="DB107" i="22" s="1"/>
  <c r="BF20" i="104"/>
  <c r="CU107" i="22" s="1"/>
  <c r="DG15" i="11"/>
  <c r="EW36" i="22" s="1"/>
  <c r="BS36" i="22" s="1"/>
  <c r="DG12" i="11"/>
  <c r="CV14" i="24"/>
  <c r="EL18" i="22" s="1"/>
  <c r="DC14" i="24"/>
  <c r="ES18" i="22" s="1"/>
  <c r="DQ18" i="62"/>
  <c r="FF45" i="22" s="1"/>
  <c r="EN18" i="62"/>
  <c r="DW18" i="62"/>
  <c r="EL18" i="62"/>
  <c r="CB67" i="22"/>
  <c r="DC17" i="85"/>
  <c r="ER86" i="22" s="1"/>
  <c r="CB94" i="22"/>
  <c r="DH17" i="85"/>
  <c r="EW86" i="22" s="1"/>
  <c r="CX17" i="85"/>
  <c r="EM86" i="22" s="1"/>
  <c r="DL17" i="85"/>
  <c r="FA86" i="22" s="1"/>
  <c r="CB125" i="22"/>
  <c r="CZ20" i="104"/>
  <c r="EO107" i="22" s="1"/>
  <c r="DP20" i="104"/>
  <c r="FE107" i="22" s="1"/>
  <c r="DG20" i="104"/>
  <c r="EV107" i="22" s="1"/>
  <c r="CR20" i="104"/>
  <c r="EG107" i="22" s="1"/>
  <c r="CR17" i="104"/>
  <c r="CS20" i="104"/>
  <c r="EH107" i="22" s="1"/>
  <c r="CB120" i="22"/>
  <c r="DE14" i="24"/>
  <c r="EU18" i="22" s="1"/>
  <c r="CU14" i="24"/>
  <c r="EK18" i="22" s="1"/>
  <c r="CU11" i="24"/>
  <c r="CZ14" i="24"/>
  <c r="EP18" i="22" s="1"/>
  <c r="CY14" i="24"/>
  <c r="EO18" i="22" s="1"/>
  <c r="CY11" i="24"/>
  <c r="DH14" i="24"/>
  <c r="EX18" i="22" s="1"/>
  <c r="DH11" i="24"/>
  <c r="EP18" i="62"/>
  <c r="DJ18" i="62"/>
  <c r="EY45" i="22" s="1"/>
  <c r="DN18" i="62"/>
  <c r="FC45" i="22" s="1"/>
  <c r="DM17" i="85"/>
  <c r="FB86" i="22" s="1"/>
  <c r="CZ17" i="85"/>
  <c r="EO86" i="22" s="1"/>
  <c r="DD17" i="85"/>
  <c r="ES86" i="22" s="1"/>
  <c r="CY20" i="104"/>
  <c r="EN107" i="22" s="1"/>
  <c r="BB16" i="45"/>
  <c r="BB13" i="45"/>
  <c r="V14" i="24"/>
  <c r="V11" i="24"/>
  <c r="AT15" i="62"/>
  <c r="AT18" i="62"/>
  <c r="BR15" i="11"/>
  <c r="DH36" i="22" s="1"/>
  <c r="BR12" i="11"/>
  <c r="CI18" i="62"/>
  <c r="CH14" i="24"/>
  <c r="DX18" i="22" s="1"/>
  <c r="CH11" i="24"/>
  <c r="CH15" i="11"/>
  <c r="DX36" i="22" s="1"/>
  <c r="CH12" i="11"/>
  <c r="BG20" i="104"/>
  <c r="CV107" i="22" s="1"/>
  <c r="BD20" i="104"/>
  <c r="CS107" i="22" s="1"/>
  <c r="BU20" i="104"/>
  <c r="DJ107" i="22" s="1"/>
  <c r="AX15" i="11"/>
  <c r="CN36" i="22" s="1"/>
  <c r="AX12" i="11"/>
  <c r="I17" i="60"/>
  <c r="I14" i="60"/>
  <c r="Y15" i="62"/>
  <c r="Y18" i="62"/>
  <c r="AL18" i="62"/>
  <c r="BZ18" i="62"/>
  <c r="CG18" i="62"/>
  <c r="AD17" i="104"/>
  <c r="AD20" i="104"/>
  <c r="BW20" i="104"/>
  <c r="DL107" i="22" s="1"/>
  <c r="AR20" i="104"/>
  <c r="AR17" i="104"/>
  <c r="BC20" i="104"/>
  <c r="CR107" i="22" s="1"/>
  <c r="BC17" i="104"/>
  <c r="BL20" i="104"/>
  <c r="DA107" i="22" s="1"/>
  <c r="CC20" i="104"/>
  <c r="DR107" i="22" s="1"/>
  <c r="CH20" i="104"/>
  <c r="DW107" i="22" s="1"/>
  <c r="BV20" i="104"/>
  <c r="DK107" i="22" s="1"/>
  <c r="DN14" i="24"/>
  <c r="FD18" i="22" s="1"/>
  <c r="CB83" i="22"/>
  <c r="DA17" i="85"/>
  <c r="EP86" i="22" s="1"/>
  <c r="DJ17" i="85"/>
  <c r="EY86" i="22" s="1"/>
  <c r="DO17" i="85"/>
  <c r="FD86" i="22" s="1"/>
  <c r="CX18" i="87"/>
  <c r="EM88" i="22" s="1"/>
  <c r="BJ88" i="22" s="1"/>
  <c r="CX16" i="87"/>
  <c r="DM20" i="104"/>
  <c r="FB107" i="22" s="1"/>
  <c r="CB108" i="22"/>
  <c r="CW12" i="60"/>
  <c r="CW17" i="60" s="1"/>
  <c r="CB36" i="22"/>
  <c r="CB92" i="22"/>
  <c r="CB122" i="22"/>
  <c r="CB41" i="22"/>
  <c r="CB89" i="22"/>
  <c r="CB123" i="22"/>
  <c r="CB116" i="22"/>
  <c r="CB84" i="22"/>
  <c r="CB110" i="22"/>
  <c r="CB88" i="22"/>
  <c r="CB112" i="22"/>
  <c r="CB28" i="22"/>
  <c r="CB106" i="22"/>
  <c r="CB91" i="22"/>
  <c r="CB124" i="22"/>
  <c r="CB37" i="22"/>
  <c r="CB44" i="22"/>
  <c r="CB98" i="22"/>
  <c r="CB109" i="22"/>
  <c r="DF12" i="36"/>
  <c r="DF17" i="36" s="1"/>
  <c r="EV5" i="22" s="1"/>
  <c r="BZ110" i="22"/>
  <c r="DQ9" i="116"/>
  <c r="DQ14" i="116" s="1"/>
  <c r="DQ18" i="116" s="1"/>
  <c r="DQ24" i="116" s="1"/>
  <c r="FF118" i="22" s="1"/>
  <c r="FF90" i="22"/>
  <c r="CA112" i="22"/>
  <c r="CA98" i="22"/>
  <c r="CA37" i="22"/>
  <c r="CA122" i="22"/>
  <c r="CA111" i="22"/>
  <c r="CA27" i="22"/>
  <c r="CA94" i="22"/>
  <c r="CA89" i="22"/>
  <c r="CA125" i="22"/>
  <c r="CA67" i="22"/>
  <c r="CA124" i="22"/>
  <c r="CA123" i="22"/>
  <c r="CA41" i="22"/>
  <c r="CA84" i="22"/>
  <c r="CA120" i="22"/>
  <c r="CA80" i="22"/>
  <c r="CA88" i="22"/>
  <c r="CA92" i="22"/>
  <c r="CA117" i="22"/>
  <c r="CA44" i="22"/>
  <c r="CA110" i="22"/>
  <c r="CA36" i="22"/>
  <c r="CA91" i="22"/>
  <c r="CA109" i="22"/>
  <c r="CA106" i="22"/>
  <c r="CA28" i="22"/>
  <c r="CA79" i="22"/>
  <c r="CA83" i="22"/>
  <c r="DP9" i="116"/>
  <c r="DP14" i="116" s="1"/>
  <c r="DP18" i="116" s="1"/>
  <c r="DP24" i="116" s="1"/>
  <c r="FE118" i="22" s="1"/>
  <c r="FE90" i="22"/>
  <c r="CA108" i="22"/>
  <c r="CA116" i="22"/>
  <c r="CA95" i="22"/>
  <c r="BO108" i="22"/>
  <c r="BZ83" i="22"/>
  <c r="BZ116" i="22"/>
  <c r="BZ120" i="22"/>
  <c r="BZ36" i="22"/>
  <c r="BZ79" i="22"/>
  <c r="BZ28" i="22"/>
  <c r="BZ106" i="22"/>
  <c r="BZ108" i="22"/>
  <c r="BZ95" i="22"/>
  <c r="BZ91" i="22"/>
  <c r="BZ124" i="22"/>
  <c r="BZ122" i="22"/>
  <c r="BZ92" i="22"/>
  <c r="BZ67" i="22"/>
  <c r="BZ94" i="22"/>
  <c r="BZ80" i="22"/>
  <c r="DO9" i="116"/>
  <c r="DO14" i="116" s="1"/>
  <c r="DO18" i="116" s="1"/>
  <c r="DO24" i="116" s="1"/>
  <c r="FD118" i="22" s="1"/>
  <c r="FD90" i="22"/>
  <c r="BZ89" i="22"/>
  <c r="BZ41" i="22"/>
  <c r="BZ37" i="22"/>
  <c r="BZ117" i="22"/>
  <c r="BZ123" i="22"/>
  <c r="BZ44" i="22"/>
  <c r="BZ84" i="22"/>
  <c r="BZ98" i="22"/>
  <c r="BZ109" i="22"/>
  <c r="BZ111" i="22"/>
  <c r="BZ88" i="22"/>
  <c r="BZ112" i="22"/>
  <c r="BY123" i="22"/>
  <c r="BY110" i="22"/>
  <c r="BY117" i="22"/>
  <c r="BY111" i="22"/>
  <c r="BY116" i="22"/>
  <c r="BY83" i="22"/>
  <c r="BY89" i="22"/>
  <c r="DN25" i="126"/>
  <c r="FC125" i="22" s="1"/>
  <c r="BZ125" i="22" s="1"/>
  <c r="BY44" i="22"/>
  <c r="BY98" i="22"/>
  <c r="BY112" i="22"/>
  <c r="BY67" i="22"/>
  <c r="BY109" i="22"/>
  <c r="BY120" i="22"/>
  <c r="BY79" i="22"/>
  <c r="BY124" i="22"/>
  <c r="BY88" i="22"/>
  <c r="BY108" i="22"/>
  <c r="DN9" i="116"/>
  <c r="DN14" i="116" s="1"/>
  <c r="DN18" i="116" s="1"/>
  <c r="DN24" i="116" s="1"/>
  <c r="FC118" i="22" s="1"/>
  <c r="FC90" i="22"/>
  <c r="BY92" i="22"/>
  <c r="BY41" i="22"/>
  <c r="BY95" i="22"/>
  <c r="BY91" i="22"/>
  <c r="BY94" i="22"/>
  <c r="BY122" i="22"/>
  <c r="BY37" i="22"/>
  <c r="BY80" i="22"/>
  <c r="BY28" i="22"/>
  <c r="BY106" i="22"/>
  <c r="BX13" i="118"/>
  <c r="BX18" i="118" s="1"/>
  <c r="BX24" i="118" s="1"/>
  <c r="DM120" i="22" s="1"/>
  <c r="BX28" i="22"/>
  <c r="BN109" i="22"/>
  <c r="BK109" i="22"/>
  <c r="BW116" i="22"/>
  <c r="BS44" i="22"/>
  <c r="BX109" i="22"/>
  <c r="BX37" i="22"/>
  <c r="BW89" i="22"/>
  <c r="BE109" i="22"/>
  <c r="BW122" i="22"/>
  <c r="AT25" i="126"/>
  <c r="CI125" i="22" s="1"/>
  <c r="AU25" i="126"/>
  <c r="CJ125" i="22" s="1"/>
  <c r="AS25" i="126"/>
  <c r="CH125" i="22" s="1"/>
  <c r="BD25" i="126"/>
  <c r="CS125" i="22" s="1"/>
  <c r="CE25" i="126"/>
  <c r="DT125" i="22" s="1"/>
  <c r="BK25" i="126"/>
  <c r="CZ125" i="22" s="1"/>
  <c r="CS25" i="126"/>
  <c r="EH125" i="22" s="1"/>
  <c r="DD25" i="126"/>
  <c r="ES125" i="22" s="1"/>
  <c r="BS25" i="126"/>
  <c r="DH125" i="22" s="1"/>
  <c r="BT25" i="126"/>
  <c r="DI125" i="22" s="1"/>
  <c r="DA25" i="126"/>
  <c r="EP125" i="22" s="1"/>
  <c r="AZ25" i="126"/>
  <c r="CO125" i="22" s="1"/>
  <c r="BQ25" i="126"/>
  <c r="DF125" i="22" s="1"/>
  <c r="CB25" i="126"/>
  <c r="DQ125" i="22" s="1"/>
  <c r="DI25" i="126"/>
  <c r="EX125" i="22" s="1"/>
  <c r="BH25" i="126"/>
  <c r="CW125" i="22" s="1"/>
  <c r="BY25" i="126"/>
  <c r="DN125" i="22" s="1"/>
  <c r="CI25" i="126"/>
  <c r="DX125" i="22" s="1"/>
  <c r="BZ25" i="126"/>
  <c r="DO125" i="22" s="1"/>
  <c r="BJ25" i="126"/>
  <c r="CY125" i="22" s="1"/>
  <c r="CJ25" i="126"/>
  <c r="DY125" i="22" s="1"/>
  <c r="BE25" i="126"/>
  <c r="CT125" i="22" s="1"/>
  <c r="AY25" i="126"/>
  <c r="CN125" i="22" s="1"/>
  <c r="DK25" i="126"/>
  <c r="EZ125" i="22" s="1"/>
  <c r="BP25" i="126"/>
  <c r="DE125" i="22" s="1"/>
  <c r="CG25" i="126"/>
  <c r="DV125" i="22" s="1"/>
  <c r="CQ25" i="126"/>
  <c r="EF125" i="22" s="1"/>
  <c r="BR25" i="126"/>
  <c r="DG125" i="22" s="1"/>
  <c r="BL25" i="126"/>
  <c r="DA125" i="22" s="1"/>
  <c r="BI25" i="126"/>
  <c r="CX125" i="22" s="1"/>
  <c r="DF25" i="126"/>
  <c r="EU125" i="22" s="1"/>
  <c r="AX25" i="126"/>
  <c r="CM125" i="22" s="1"/>
  <c r="BB25" i="126"/>
  <c r="CQ125" i="22" s="1"/>
  <c r="CP25" i="126"/>
  <c r="EE125" i="22" s="1"/>
  <c r="BN25" i="126"/>
  <c r="DC125" i="22" s="1"/>
  <c r="CR25" i="126"/>
  <c r="EG125" i="22" s="1"/>
  <c r="BM25" i="126"/>
  <c r="DB125" i="22" s="1"/>
  <c r="BG25" i="126"/>
  <c r="CV125" i="22" s="1"/>
  <c r="BX25" i="126"/>
  <c r="DM125" i="22" s="1"/>
  <c r="CO25" i="126"/>
  <c r="ED125" i="22" s="1"/>
  <c r="CY25" i="126"/>
  <c r="EN125" i="22" s="1"/>
  <c r="CK25" i="126"/>
  <c r="DZ125" i="22" s="1"/>
  <c r="CV25" i="126"/>
  <c r="EK125" i="22" s="1"/>
  <c r="BA25" i="126"/>
  <c r="CP125" i="22" s="1"/>
  <c r="CM25" i="126"/>
  <c r="EB125" i="22" s="1"/>
  <c r="CU25" i="126"/>
  <c r="EJ125" i="22" s="1"/>
  <c r="DL25" i="126"/>
  <c r="FA125" i="22" s="1"/>
  <c r="CA25" i="126"/>
  <c r="DP125" i="22" s="1"/>
  <c r="AW25" i="126"/>
  <c r="CL125" i="22" s="1"/>
  <c r="DC25" i="126"/>
  <c r="ER125" i="22" s="1"/>
  <c r="DB25" i="126"/>
  <c r="EQ125" i="22" s="1"/>
  <c r="CX25" i="126"/>
  <c r="EM125" i="22" s="1"/>
  <c r="CD25" i="126"/>
  <c r="DS125" i="22" s="1"/>
  <c r="CH25" i="126"/>
  <c r="DW125" i="22" s="1"/>
  <c r="BF25" i="126"/>
  <c r="CU125" i="22" s="1"/>
  <c r="CT25" i="126"/>
  <c r="EI125" i="22" s="1"/>
  <c r="CZ25" i="126"/>
  <c r="EO125" i="22" s="1"/>
  <c r="BU25" i="126"/>
  <c r="DJ125" i="22" s="1"/>
  <c r="BO25" i="126"/>
  <c r="DD125" i="22" s="1"/>
  <c r="CF25" i="126"/>
  <c r="DU125" i="22" s="1"/>
  <c r="CW25" i="126"/>
  <c r="EL125" i="22" s="1"/>
  <c r="DG25" i="126"/>
  <c r="EV125" i="22" s="1"/>
  <c r="BV25" i="126"/>
  <c r="DK125" i="22" s="1"/>
  <c r="DM25" i="126"/>
  <c r="FB125" i="22" s="1"/>
  <c r="DJ25" i="126"/>
  <c r="EY125" i="22" s="1"/>
  <c r="CL25" i="126"/>
  <c r="EA125" i="22" s="1"/>
  <c r="AV25" i="126"/>
  <c r="CK125" i="22" s="1"/>
  <c r="DH25" i="126"/>
  <c r="EW125" i="22" s="1"/>
  <c r="CC25" i="126"/>
  <c r="DR125" i="22" s="1"/>
  <c r="BW25" i="126"/>
  <c r="DL125" i="22" s="1"/>
  <c r="CN25" i="126"/>
  <c r="EC125" i="22" s="1"/>
  <c r="DE25" i="126"/>
  <c r="ET125" i="22" s="1"/>
  <c r="BC25" i="126"/>
  <c r="CR125" i="22" s="1"/>
  <c r="BV109" i="22"/>
  <c r="BW109" i="22"/>
  <c r="BT109" i="22"/>
  <c r="BQ109" i="22"/>
  <c r="BW36" i="22"/>
  <c r="BW84" i="22"/>
  <c r="BF109" i="22"/>
  <c r="BW110" i="22"/>
  <c r="BP109" i="22"/>
  <c r="BG109" i="22"/>
  <c r="BU109" i="22"/>
  <c r="BR109" i="22"/>
  <c r="BM109" i="22"/>
  <c r="BJ109" i="22"/>
  <c r="BO109" i="22"/>
  <c r="BL109" i="22"/>
  <c r="BS109" i="22"/>
  <c r="BW44" i="22"/>
  <c r="BX98" i="22"/>
  <c r="BW111" i="22"/>
  <c r="BX117" i="22"/>
  <c r="BX41" i="22"/>
  <c r="BW67" i="22"/>
  <c r="BW92" i="22"/>
  <c r="BX91" i="22"/>
  <c r="BW95" i="22"/>
  <c r="BW124" i="22"/>
  <c r="BX120" i="22"/>
  <c r="BW106" i="22"/>
  <c r="BX112" i="22"/>
  <c r="BW120" i="22"/>
  <c r="BW117" i="22"/>
  <c r="BX123" i="22"/>
  <c r="BX27" i="22"/>
  <c r="BW27" i="22"/>
  <c r="BX79" i="22"/>
  <c r="BX83" i="22"/>
  <c r="BX95" i="22"/>
  <c r="BW112" i="22"/>
  <c r="BW41" i="22"/>
  <c r="DM14" i="70"/>
  <c r="DM16" i="70" s="1"/>
  <c r="DM21" i="70" s="1"/>
  <c r="DM22" i="70" s="1"/>
  <c r="BX108" i="22"/>
  <c r="BX116" i="22"/>
  <c r="BW37" i="22"/>
  <c r="BX44" i="22"/>
  <c r="BX67" i="22"/>
  <c r="BW91" i="22"/>
  <c r="BX89" i="22"/>
  <c r="BX124" i="22"/>
  <c r="BX80" i="22"/>
  <c r="BX94" i="22"/>
  <c r="BX110" i="22"/>
  <c r="BX111" i="22"/>
  <c r="BX122" i="22"/>
  <c r="BW98" i="22"/>
  <c r="BX106" i="22"/>
  <c r="BW123" i="22"/>
  <c r="BW28" i="22"/>
  <c r="BW79" i="22"/>
  <c r="BW83" i="22"/>
  <c r="BW94" i="22"/>
  <c r="BW108" i="22"/>
  <c r="BW80" i="22"/>
  <c r="BQ94" i="22"/>
  <c r="AN12" i="12"/>
  <c r="AN17" i="12" s="1"/>
  <c r="DA12" i="36"/>
  <c r="DA17" i="36" s="1"/>
  <c r="EQ5" i="22" s="1"/>
  <c r="CD18" i="117"/>
  <c r="CD24" i="117" s="1"/>
  <c r="DS119" i="22" s="1"/>
  <c r="AN18" i="117"/>
  <c r="AN24" i="117" s="1"/>
  <c r="DJ48" i="1"/>
  <c r="DM8" i="50" s="1"/>
  <c r="DM12" i="50" s="1"/>
  <c r="DM13" i="50" s="1"/>
  <c r="DM18" i="50" s="1"/>
  <c r="BV37" i="22"/>
  <c r="DM9" i="116"/>
  <c r="DM14" i="116" s="1"/>
  <c r="DM18" i="116" s="1"/>
  <c r="DM24" i="116" s="1"/>
  <c r="FB118" i="22" s="1"/>
  <c r="FB90" i="22"/>
  <c r="BV79" i="22"/>
  <c r="DL9" i="116"/>
  <c r="DL14" i="116" s="1"/>
  <c r="DL18" i="116" s="1"/>
  <c r="DL24" i="116" s="1"/>
  <c r="FA118" i="22" s="1"/>
  <c r="FA90" i="22"/>
  <c r="BE111" i="22"/>
  <c r="BV95" i="22"/>
  <c r="BV83" i="22"/>
  <c r="BU89" i="22"/>
  <c r="BU79" i="22"/>
  <c r="BV36" i="22"/>
  <c r="BU67" i="22"/>
  <c r="BU122" i="22"/>
  <c r="BV27" i="22"/>
  <c r="BU83" i="22"/>
  <c r="BU106" i="22"/>
  <c r="BU110" i="22"/>
  <c r="BU112" i="22"/>
  <c r="BU95" i="22"/>
  <c r="BU88" i="22"/>
  <c r="BU84" i="22"/>
  <c r="BV94" i="22"/>
  <c r="BU91" i="22"/>
  <c r="BU108" i="22"/>
  <c r="BU117" i="22"/>
  <c r="BV116" i="22"/>
  <c r="BV89" i="22"/>
  <c r="BV122" i="22"/>
  <c r="BV67" i="22"/>
  <c r="BV92" i="22"/>
  <c r="BV111" i="22"/>
  <c r="BU120" i="22"/>
  <c r="BV84" i="22"/>
  <c r="BV88" i="22"/>
  <c r="BV124" i="22"/>
  <c r="BV117" i="22"/>
  <c r="BU123" i="22"/>
  <c r="BU80" i="22"/>
  <c r="BU37" i="22"/>
  <c r="BU44" i="22"/>
  <c r="BV108" i="22"/>
  <c r="BV106" i="22"/>
  <c r="BV110" i="22"/>
  <c r="BV112" i="22"/>
  <c r="BV120" i="22"/>
  <c r="BU116" i="22"/>
  <c r="BV123" i="22"/>
  <c r="DJ9" i="116"/>
  <c r="DJ14" i="116" s="1"/>
  <c r="DJ18" i="116" s="1"/>
  <c r="DJ24" i="116" s="1"/>
  <c r="EY118" i="22" s="1"/>
  <c r="EY90" i="22"/>
  <c r="BU98" i="22"/>
  <c r="DK9" i="116"/>
  <c r="DK14" i="116" s="1"/>
  <c r="DK18" i="116" s="1"/>
  <c r="EZ90" i="22"/>
  <c r="BV28" i="22"/>
  <c r="BU92" i="22"/>
  <c r="BU94" i="22"/>
  <c r="BV98" i="22"/>
  <c r="BU36" i="22"/>
  <c r="BV41" i="22"/>
  <c r="BU28" i="22"/>
  <c r="BV44" i="22"/>
  <c r="BV91" i="22"/>
  <c r="BU111" i="22"/>
  <c r="BJ36" i="22"/>
  <c r="DF14" i="101"/>
  <c r="DF20" i="101" s="1"/>
  <c r="EU104" i="22" s="1"/>
  <c r="BO111" i="22"/>
  <c r="CX17" i="36"/>
  <c r="EN5" i="22" s="1"/>
  <c r="DK14" i="101"/>
  <c r="CX14" i="101"/>
  <c r="CX20" i="101" s="1"/>
  <c r="EM104" i="22" s="1"/>
  <c r="CW14" i="101"/>
  <c r="CW20" i="101" s="1"/>
  <c r="EL104" i="22" s="1"/>
  <c r="CY14" i="101"/>
  <c r="CY20" i="101" s="1"/>
  <c r="EN104" i="22" s="1"/>
  <c r="CT14" i="101"/>
  <c r="CT20" i="101" s="1"/>
  <c r="EI104" i="22" s="1"/>
  <c r="DD14" i="101"/>
  <c r="DD20" i="101" s="1"/>
  <c r="ES104" i="22" s="1"/>
  <c r="CU14" i="101"/>
  <c r="CU20" i="101" s="1"/>
  <c r="EJ104" i="22" s="1"/>
  <c r="DB14" i="101"/>
  <c r="DB20" i="101" s="1"/>
  <c r="EQ104" i="22" s="1"/>
  <c r="DH9" i="40"/>
  <c r="DH14" i="40" s="1"/>
  <c r="EX41" i="22" s="1"/>
  <c r="BU41" i="22" s="1"/>
  <c r="DH14" i="101"/>
  <c r="DA14" i="101"/>
  <c r="DA20" i="101" s="1"/>
  <c r="EP104" i="22" s="1"/>
  <c r="DE14" i="101"/>
  <c r="DE20" i="101" s="1"/>
  <c r="ET104" i="22" s="1"/>
  <c r="CS14" i="101"/>
  <c r="CS20" i="101" s="1"/>
  <c r="EH104" i="22" s="1"/>
  <c r="CZ14" i="101"/>
  <c r="CZ20" i="101" s="1"/>
  <c r="EO104" i="22" s="1"/>
  <c r="CV14" i="101"/>
  <c r="CV20" i="101" s="1"/>
  <c r="EK104" i="22" s="1"/>
  <c r="DG14" i="101"/>
  <c r="DG20" i="101" s="1"/>
  <c r="EV104" i="22" s="1"/>
  <c r="DC14" i="101"/>
  <c r="DC20" i="101" s="1"/>
  <c r="ER104" i="22" s="1"/>
  <c r="DJ14" i="101"/>
  <c r="DI14" i="101"/>
  <c r="DF14" i="54"/>
  <c r="CC12" i="47"/>
  <c r="CC17" i="47" s="1"/>
  <c r="DR32" i="22" s="1"/>
  <c r="CN12" i="47"/>
  <c r="CN17" i="47" s="1"/>
  <c r="EC32" i="22" s="1"/>
  <c r="CR11" i="23"/>
  <c r="CR16" i="23" s="1"/>
  <c r="EH17" i="22" s="1"/>
  <c r="DT10" i="35"/>
  <c r="DT5" i="34" s="1"/>
  <c r="DT9" i="34" s="1"/>
  <c r="DT11" i="34" s="1"/>
  <c r="DT16" i="34" s="1"/>
  <c r="DM12" i="5"/>
  <c r="DM17" i="5" s="1"/>
  <c r="FC11" i="22" s="1"/>
  <c r="DH13" i="52"/>
  <c r="BZ17" i="129"/>
  <c r="BW48" i="1" s="1"/>
  <c r="BZ8" i="50" s="1"/>
  <c r="BZ12" i="50" s="1"/>
  <c r="BZ13" i="50" s="1"/>
  <c r="BB17" i="129"/>
  <c r="AY48" i="1" s="1"/>
  <c r="BB8" i="50" s="1"/>
  <c r="BB12" i="50" s="1"/>
  <c r="BB13" i="50" s="1"/>
  <c r="CA17" i="129"/>
  <c r="BX48" i="1" s="1"/>
  <c r="CA8" i="50" s="1"/>
  <c r="CA12" i="50" s="1"/>
  <c r="CA13" i="50" s="1"/>
  <c r="CA18" i="50" s="1"/>
  <c r="CR17" i="129"/>
  <c r="CO48" i="1" s="1"/>
  <c r="CR8" i="50" s="1"/>
  <c r="CR12" i="50" s="1"/>
  <c r="CR13" i="50" s="1"/>
  <c r="CR18" i="50" s="1"/>
  <c r="CS17" i="129"/>
  <c r="CP48" i="1" s="1"/>
  <c r="CS8" i="50" s="1"/>
  <c r="CS12" i="50" s="1"/>
  <c r="CS13" i="50" s="1"/>
  <c r="CS18" i="50" s="1"/>
  <c r="AX17" i="129"/>
  <c r="AU48" i="1" s="1"/>
  <c r="AX8" i="50" s="1"/>
  <c r="AX12" i="50" s="1"/>
  <c r="AX13" i="50" s="1"/>
  <c r="AX18" i="50" s="1"/>
  <c r="DJ17" i="129"/>
  <c r="DG48" i="1" s="1"/>
  <c r="DJ8" i="50" s="1"/>
  <c r="DJ12" i="50" s="1"/>
  <c r="DJ13" i="50" s="1"/>
  <c r="DJ18" i="50" s="1"/>
  <c r="BO17" i="129"/>
  <c r="BL48" i="1" s="1"/>
  <c r="BO8" i="50" s="1"/>
  <c r="BO12" i="50" s="1"/>
  <c r="BO13" i="50" s="1"/>
  <c r="BO18" i="50" s="1"/>
  <c r="CV17" i="129"/>
  <c r="CS48" i="1" s="1"/>
  <c r="CV8" i="50" s="1"/>
  <c r="CV12" i="50" s="1"/>
  <c r="CV13" i="50" s="1"/>
  <c r="CV18" i="50" s="1"/>
  <c r="CH17" i="129"/>
  <c r="CE48" i="1" s="1"/>
  <c r="CH8" i="50" s="1"/>
  <c r="CH12" i="50" s="1"/>
  <c r="CH13" i="50" s="1"/>
  <c r="CH18" i="50" s="1"/>
  <c r="BI17" i="129"/>
  <c r="BF48" i="1" s="1"/>
  <c r="BI8" i="50" s="1"/>
  <c r="BI12" i="50" s="1"/>
  <c r="BI13" i="50" s="1"/>
  <c r="BI18" i="50" s="1"/>
  <c r="DF17" i="129"/>
  <c r="DC48" i="1" s="1"/>
  <c r="DF8" i="50" s="1"/>
  <c r="DF12" i="50" s="1"/>
  <c r="DF13" i="50" s="1"/>
  <c r="DF18" i="50" s="1"/>
  <c r="CZ17" i="129"/>
  <c r="CW48" i="1" s="1"/>
  <c r="CZ8" i="50" s="1"/>
  <c r="CZ12" i="50" s="1"/>
  <c r="CZ13" i="50" s="1"/>
  <c r="DA17" i="129"/>
  <c r="CX48" i="1" s="1"/>
  <c r="DA8" i="50" s="1"/>
  <c r="DA12" i="50" s="1"/>
  <c r="DA13" i="50" s="1"/>
  <c r="DA18" i="50" s="1"/>
  <c r="BF17" i="129"/>
  <c r="BC48" i="1" s="1"/>
  <c r="BF8" i="50" s="1"/>
  <c r="BF12" i="50" s="1"/>
  <c r="BF13" i="50" s="1"/>
  <c r="BW17" i="129"/>
  <c r="BT48" i="1" s="1"/>
  <c r="BW8" i="50" s="1"/>
  <c r="BW12" i="50" s="1"/>
  <c r="BW13" i="50" s="1"/>
  <c r="BW18" i="50" s="1"/>
  <c r="DD17" i="129"/>
  <c r="DA48" i="1" s="1"/>
  <c r="DD8" i="50" s="1"/>
  <c r="DD12" i="50" s="1"/>
  <c r="DD13" i="50" s="1"/>
  <c r="DD18" i="50" s="1"/>
  <c r="CX17" i="129"/>
  <c r="CU48" i="1" s="1"/>
  <c r="CX8" i="50" s="1"/>
  <c r="CX12" i="50" s="1"/>
  <c r="CX13" i="50" s="1"/>
  <c r="CX18" i="50" s="1"/>
  <c r="BR17" i="129"/>
  <c r="BO48" i="1" s="1"/>
  <c r="BR8" i="50" s="1"/>
  <c r="BR12" i="50" s="1"/>
  <c r="BR13" i="50" s="1"/>
  <c r="BR18" i="50" s="1"/>
  <c r="CO17" i="129"/>
  <c r="CL48" i="1" s="1"/>
  <c r="CO8" i="50" s="1"/>
  <c r="CO12" i="50" s="1"/>
  <c r="CO13" i="50" s="1"/>
  <c r="CO18" i="50" s="1"/>
  <c r="BQ17" i="129"/>
  <c r="BN48" i="1" s="1"/>
  <c r="BQ8" i="50" s="1"/>
  <c r="BQ12" i="50" s="1"/>
  <c r="BQ13" i="50" s="1"/>
  <c r="CQ17" i="129"/>
  <c r="CN48" i="1" s="1"/>
  <c r="CQ8" i="50" s="1"/>
  <c r="CQ12" i="50" s="1"/>
  <c r="CQ13" i="50" s="1"/>
  <c r="CQ18" i="50" s="1"/>
  <c r="AV17" i="129"/>
  <c r="AS48" i="1" s="1"/>
  <c r="AV8" i="50" s="1"/>
  <c r="AV12" i="50" s="1"/>
  <c r="AV13" i="50" s="1"/>
  <c r="AV18" i="50" s="1"/>
  <c r="DH17" i="129"/>
  <c r="DE48" i="1" s="1"/>
  <c r="DH8" i="50" s="1"/>
  <c r="DH12" i="50" s="1"/>
  <c r="DH13" i="50" s="1"/>
  <c r="AW17" i="129"/>
  <c r="AT48" i="1" s="1"/>
  <c r="AW8" i="50" s="1"/>
  <c r="AW12" i="50" s="1"/>
  <c r="AW13" i="50" s="1"/>
  <c r="AW18" i="50" s="1"/>
  <c r="DI17" i="129"/>
  <c r="DF48" i="1" s="1"/>
  <c r="DI8" i="50" s="1"/>
  <c r="DI12" i="50" s="1"/>
  <c r="DI13" i="50" s="1"/>
  <c r="DI18" i="50" s="1"/>
  <c r="BN17" i="129"/>
  <c r="BK48" i="1" s="1"/>
  <c r="BN8" i="50" s="1"/>
  <c r="BN12" i="50" s="1"/>
  <c r="BN13" i="50" s="1"/>
  <c r="CE17" i="129"/>
  <c r="CB48" i="1" s="1"/>
  <c r="CE8" i="50" s="1"/>
  <c r="CE12" i="50" s="1"/>
  <c r="CE13" i="50" s="1"/>
  <c r="AZ17" i="129"/>
  <c r="AW48" i="1" s="1"/>
  <c r="AZ8" i="50" s="1"/>
  <c r="AZ12" i="50" s="1"/>
  <c r="AZ13" i="50" s="1"/>
  <c r="AZ18" i="50" s="1"/>
  <c r="BY17" i="129"/>
  <c r="BV48" i="1" s="1"/>
  <c r="BY8" i="50" s="1"/>
  <c r="BY12" i="50" s="1"/>
  <c r="BY13" i="50" s="1"/>
  <c r="BY18" i="50" s="1"/>
  <c r="BJ17" i="129"/>
  <c r="BG48" i="1" s="1"/>
  <c r="BJ8" i="50" s="1"/>
  <c r="BJ12" i="50" s="1"/>
  <c r="BJ13" i="50" s="1"/>
  <c r="CW17" i="129"/>
  <c r="CT48" i="1" s="1"/>
  <c r="CW8" i="50" s="1"/>
  <c r="CW12" i="50" s="1"/>
  <c r="CW13" i="50" s="1"/>
  <c r="CY17" i="129"/>
  <c r="CV48" i="1" s="1"/>
  <c r="CY8" i="50" s="1"/>
  <c r="CY12" i="50" s="1"/>
  <c r="CY13" i="50" s="1"/>
  <c r="CY18" i="50" s="1"/>
  <c r="BD17" i="129"/>
  <c r="BA48" i="1" s="1"/>
  <c r="BD8" i="50" s="1"/>
  <c r="BD12" i="50" s="1"/>
  <c r="BD13" i="50" s="1"/>
  <c r="BD18" i="50" s="1"/>
  <c r="BE17" i="129"/>
  <c r="BB48" i="1" s="1"/>
  <c r="BE8" i="50" s="1"/>
  <c r="BE12" i="50" s="1"/>
  <c r="BE13" i="50" s="1"/>
  <c r="BV17" i="129"/>
  <c r="BS48" i="1" s="1"/>
  <c r="BV8" i="50" s="1"/>
  <c r="BV12" i="50" s="1"/>
  <c r="BV13" i="50" s="1"/>
  <c r="BV18" i="50" s="1"/>
  <c r="CM17" i="129"/>
  <c r="CJ48" i="1" s="1"/>
  <c r="CM8" i="50" s="1"/>
  <c r="CM12" i="50" s="1"/>
  <c r="CM13" i="50" s="1"/>
  <c r="CM18" i="50" s="1"/>
  <c r="BH17" i="129"/>
  <c r="BE48" i="1" s="1"/>
  <c r="BH8" i="50" s="1"/>
  <c r="BH12" i="50" s="1"/>
  <c r="BH13" i="50" s="1"/>
  <c r="BH18" i="50" s="1"/>
  <c r="CG17" i="129"/>
  <c r="CD48" i="1" s="1"/>
  <c r="CG8" i="50" s="1"/>
  <c r="CG12" i="50" s="1"/>
  <c r="CG13" i="50" s="1"/>
  <c r="BA17" i="129"/>
  <c r="AX48" i="1" s="1"/>
  <c r="BA8" i="50" s="1"/>
  <c r="BA12" i="50" s="1"/>
  <c r="BA13" i="50" s="1"/>
  <c r="CP17" i="129"/>
  <c r="CM48" i="1" s="1"/>
  <c r="CP8" i="50" s="1"/>
  <c r="CP12" i="50" s="1"/>
  <c r="CP13" i="50" s="1"/>
  <c r="CP18" i="50" s="1"/>
  <c r="AU17" i="129"/>
  <c r="AR48" i="1" s="1"/>
  <c r="AU8" i="50" s="1"/>
  <c r="AU12" i="50" s="1"/>
  <c r="AU13" i="50" s="1"/>
  <c r="DG17" i="129"/>
  <c r="DD48" i="1" s="1"/>
  <c r="DG8" i="50" s="1"/>
  <c r="DG12" i="50" s="1"/>
  <c r="DG13" i="50" s="1"/>
  <c r="DG18" i="50" s="1"/>
  <c r="BL17" i="129"/>
  <c r="BI48" i="1" s="1"/>
  <c r="BL8" i="50" s="1"/>
  <c r="BL12" i="50" s="1"/>
  <c r="BL13" i="50" s="1"/>
  <c r="BL18" i="50" s="1"/>
  <c r="BM17" i="129"/>
  <c r="BJ48" i="1" s="1"/>
  <c r="BM8" i="50" s="1"/>
  <c r="BM12" i="50" s="1"/>
  <c r="BM13" i="50" s="1"/>
  <c r="BM18" i="50" s="1"/>
  <c r="CD17" i="129"/>
  <c r="CA48" i="1" s="1"/>
  <c r="CD8" i="50" s="1"/>
  <c r="CD12" i="50" s="1"/>
  <c r="CD13" i="50" s="1"/>
  <c r="CU17" i="129"/>
  <c r="CR48" i="1" s="1"/>
  <c r="CU8" i="50" s="1"/>
  <c r="CU12" i="50" s="1"/>
  <c r="CU13" i="50" s="1"/>
  <c r="CU18" i="50" s="1"/>
  <c r="BP17" i="129"/>
  <c r="BM48" i="1" s="1"/>
  <c r="BP8" i="50" s="1"/>
  <c r="BP12" i="50" s="1"/>
  <c r="BP13" i="50" s="1"/>
  <c r="DE17" i="129"/>
  <c r="DB48" i="1" s="1"/>
  <c r="DE8" i="50" s="1"/>
  <c r="DE12" i="50" s="1"/>
  <c r="DE13" i="50" s="1"/>
  <c r="AS17" i="129"/>
  <c r="AP48" i="1" s="1"/>
  <c r="AS8" i="50" s="1"/>
  <c r="AS12" i="50" s="1"/>
  <c r="AS13" i="50" s="1"/>
  <c r="BC17" i="129"/>
  <c r="AZ48" i="1" s="1"/>
  <c r="BC8" i="50" s="1"/>
  <c r="BC12" i="50" s="1"/>
  <c r="BC13" i="50" s="1"/>
  <c r="BT17" i="129"/>
  <c r="BQ48" i="1" s="1"/>
  <c r="BT8" i="50" s="1"/>
  <c r="BT12" i="50" s="1"/>
  <c r="BT13" i="50" s="1"/>
  <c r="BT18" i="50" s="1"/>
  <c r="BU17" i="129"/>
  <c r="BR48" i="1" s="1"/>
  <c r="BU8" i="50" s="1"/>
  <c r="BU12" i="50" s="1"/>
  <c r="BU13" i="50" s="1"/>
  <c r="BU18" i="50" s="1"/>
  <c r="CL17" i="129"/>
  <c r="CI48" i="1" s="1"/>
  <c r="CL8" i="50" s="1"/>
  <c r="CL12" i="50" s="1"/>
  <c r="CL13" i="50" s="1"/>
  <c r="CL18" i="50" s="1"/>
  <c r="DC17" i="129"/>
  <c r="CZ48" i="1" s="1"/>
  <c r="DC8" i="50" s="1"/>
  <c r="DC12" i="50" s="1"/>
  <c r="DC13" i="50" s="1"/>
  <c r="DC18" i="50" s="1"/>
  <c r="BX17" i="129"/>
  <c r="BU48" i="1" s="1"/>
  <c r="BX8" i="50" s="1"/>
  <c r="BX12" i="50" s="1"/>
  <c r="BX13" i="50" s="1"/>
  <c r="BX18" i="50" s="1"/>
  <c r="AT17" i="129"/>
  <c r="AQ48" i="1" s="1"/>
  <c r="AT8" i="50" s="1"/>
  <c r="AT12" i="50" s="1"/>
  <c r="AT13" i="50" s="1"/>
  <c r="BK17" i="129"/>
  <c r="BH48" i="1" s="1"/>
  <c r="BK8" i="50" s="1"/>
  <c r="BK12" i="50" s="1"/>
  <c r="BK13" i="50" s="1"/>
  <c r="CB17" i="129"/>
  <c r="BY48" i="1" s="1"/>
  <c r="CB8" i="50" s="1"/>
  <c r="CB12" i="50" s="1"/>
  <c r="CB13" i="50" s="1"/>
  <c r="CB18" i="50" s="1"/>
  <c r="CC17" i="129"/>
  <c r="BZ48" i="1" s="1"/>
  <c r="CC8" i="50" s="1"/>
  <c r="CC12" i="50" s="1"/>
  <c r="CC13" i="50" s="1"/>
  <c r="CC18" i="50" s="1"/>
  <c r="CT17" i="129"/>
  <c r="CQ48" i="1" s="1"/>
  <c r="CT8" i="50" s="1"/>
  <c r="CT12" i="50" s="1"/>
  <c r="CT13" i="50" s="1"/>
  <c r="CT18" i="50" s="1"/>
  <c r="AY17" i="129"/>
  <c r="AV48" i="1" s="1"/>
  <c r="AY8" i="50" s="1"/>
  <c r="AY12" i="50" s="1"/>
  <c r="AY13" i="50" s="1"/>
  <c r="CF17" i="129"/>
  <c r="CC48" i="1" s="1"/>
  <c r="CF8" i="50" s="1"/>
  <c r="CF12" i="50" s="1"/>
  <c r="CF13" i="50" s="1"/>
  <c r="CF18" i="50" s="1"/>
  <c r="BS17" i="129"/>
  <c r="BP48" i="1" s="1"/>
  <c r="BS8" i="50" s="1"/>
  <c r="BS12" i="50" s="1"/>
  <c r="BS13" i="50" s="1"/>
  <c r="BS18" i="50" s="1"/>
  <c r="CJ17" i="129"/>
  <c r="CG48" i="1" s="1"/>
  <c r="CJ8" i="50" s="1"/>
  <c r="CJ12" i="50" s="1"/>
  <c r="CJ13" i="50" s="1"/>
  <c r="CJ18" i="50" s="1"/>
  <c r="CK17" i="129"/>
  <c r="CH48" i="1" s="1"/>
  <c r="CK8" i="50" s="1"/>
  <c r="CK12" i="50" s="1"/>
  <c r="CK13" i="50" s="1"/>
  <c r="CK18" i="50" s="1"/>
  <c r="DB17" i="129"/>
  <c r="CY48" i="1" s="1"/>
  <c r="DB8" i="50" s="1"/>
  <c r="DB12" i="50" s="1"/>
  <c r="DB13" i="50" s="1"/>
  <c r="DB18" i="50" s="1"/>
  <c r="BG17" i="129"/>
  <c r="BD48" i="1" s="1"/>
  <c r="BG8" i="50" s="1"/>
  <c r="BG12" i="50" s="1"/>
  <c r="BG13" i="50" s="1"/>
  <c r="CN17" i="129"/>
  <c r="CK48" i="1" s="1"/>
  <c r="CN8" i="50" s="1"/>
  <c r="CN12" i="50" s="1"/>
  <c r="CN13" i="50" s="1"/>
  <c r="AI17" i="129"/>
  <c r="AF48" i="1" s="1"/>
  <c r="AI8" i="50" s="1"/>
  <c r="AI12" i="50" s="1"/>
  <c r="AI13" i="50" s="1"/>
  <c r="AH17" i="129"/>
  <c r="AE48" i="1" s="1"/>
  <c r="AH8" i="50" s="1"/>
  <c r="AH12" i="50" s="1"/>
  <c r="AH13" i="50" s="1"/>
  <c r="X17" i="129"/>
  <c r="U48" i="1" s="1"/>
  <c r="X8" i="50" s="1"/>
  <c r="X12" i="50" s="1"/>
  <c r="X13" i="50" s="1"/>
  <c r="X18" i="50" s="1"/>
  <c r="R17" i="129"/>
  <c r="O48" i="1" s="1"/>
  <c r="R8" i="50" s="1"/>
  <c r="R12" i="50" s="1"/>
  <c r="R13" i="50" s="1"/>
  <c r="T17" i="129"/>
  <c r="Q48" i="1" s="1"/>
  <c r="T8" i="50" s="1"/>
  <c r="T12" i="50" s="1"/>
  <c r="T13" i="50" s="1"/>
  <c r="M17" i="129"/>
  <c r="J48" i="1" s="1"/>
  <c r="M8" i="50" s="1"/>
  <c r="M12" i="50" s="1"/>
  <c r="M13" i="50" s="1"/>
  <c r="EH13" i="52"/>
  <c r="EH18" i="52" s="1"/>
  <c r="DR13" i="52"/>
  <c r="DR18" i="52" s="1"/>
  <c r="FG33" i="22" s="1"/>
  <c r="AD48" i="1"/>
  <c r="AG8" i="50" s="1"/>
  <c r="AG12" i="50" s="1"/>
  <c r="AG13" i="50" s="1"/>
  <c r="AG14" i="129"/>
  <c r="AG48" i="1"/>
  <c r="AJ8" i="50" s="1"/>
  <c r="AJ12" i="50" s="1"/>
  <c r="AJ13" i="50" s="1"/>
  <c r="AJ14" i="129"/>
  <c r="AH48" i="1"/>
  <c r="AK8" i="50" s="1"/>
  <c r="AK12" i="50" s="1"/>
  <c r="AK13" i="50" s="1"/>
  <c r="AK14" i="129"/>
  <c r="AK48" i="1"/>
  <c r="AN8" i="50" s="1"/>
  <c r="AN12" i="50" s="1"/>
  <c r="AN13" i="50" s="1"/>
  <c r="AN14" i="129"/>
  <c r="AL48" i="1"/>
  <c r="AO8" i="50" s="1"/>
  <c r="AO12" i="50" s="1"/>
  <c r="AO13" i="50" s="1"/>
  <c r="AO14" i="129"/>
  <c r="AO48" i="1"/>
  <c r="AR8" i="50" s="1"/>
  <c r="AR12" i="50" s="1"/>
  <c r="AR13" i="50" s="1"/>
  <c r="AR14" i="129"/>
  <c r="AJ48" i="1"/>
  <c r="AM8" i="50" s="1"/>
  <c r="AM12" i="50" s="1"/>
  <c r="AM13" i="50" s="1"/>
  <c r="AM14" i="129"/>
  <c r="CY10" i="35"/>
  <c r="CY5" i="34" s="1"/>
  <c r="CY9" i="34" s="1"/>
  <c r="CY11" i="34" s="1"/>
  <c r="CY16" i="34" s="1"/>
  <c r="EO22" i="22" s="1"/>
  <c r="AN48" i="1"/>
  <c r="AQ8" i="50" s="1"/>
  <c r="AQ12" i="50" s="1"/>
  <c r="AQ13" i="50" s="1"/>
  <c r="AQ14" i="129"/>
  <c r="AI48" i="1"/>
  <c r="AL8" i="50" s="1"/>
  <c r="AL12" i="50" s="1"/>
  <c r="AL13" i="50" s="1"/>
  <c r="AL14" i="129"/>
  <c r="AM48" i="1"/>
  <c r="AP8" i="50" s="1"/>
  <c r="AP12" i="50" s="1"/>
  <c r="AP13" i="50" s="1"/>
  <c r="AP14" i="129"/>
  <c r="Z48" i="1"/>
  <c r="AC8" i="50" s="1"/>
  <c r="AC12" i="50" s="1"/>
  <c r="AC13" i="50" s="1"/>
  <c r="AC14" i="129"/>
  <c r="AC48" i="1"/>
  <c r="AF8" i="50" s="1"/>
  <c r="AF12" i="50" s="1"/>
  <c r="AF13" i="50" s="1"/>
  <c r="AF14" i="129"/>
  <c r="T48" i="1"/>
  <c r="W8" i="50" s="1"/>
  <c r="W12" i="50" s="1"/>
  <c r="W13" i="50" s="1"/>
  <c r="W14" i="129"/>
  <c r="AA48" i="1"/>
  <c r="AD8" i="50" s="1"/>
  <c r="AD12" i="50" s="1"/>
  <c r="AD13" i="50" s="1"/>
  <c r="AD14" i="129"/>
  <c r="AB48" i="1"/>
  <c r="AE8" i="50" s="1"/>
  <c r="AE12" i="50" s="1"/>
  <c r="AE13" i="50" s="1"/>
  <c r="AE14" i="129"/>
  <c r="R48" i="1"/>
  <c r="U8" i="50" s="1"/>
  <c r="U12" i="50" s="1"/>
  <c r="U13" i="50" s="1"/>
  <c r="U14" i="129"/>
  <c r="X48" i="1"/>
  <c r="AA8" i="50" s="1"/>
  <c r="AA12" i="50" s="1"/>
  <c r="AA13" i="50" s="1"/>
  <c r="AA14" i="129"/>
  <c r="BF12" i="47"/>
  <c r="BF17" i="47" s="1"/>
  <c r="AZ32" i="83" s="1"/>
  <c r="BI12" i="47"/>
  <c r="BI17" i="47" s="1"/>
  <c r="BC32" i="83" s="1"/>
  <c r="W48" i="1"/>
  <c r="Z8" i="50" s="1"/>
  <c r="Z12" i="50" s="1"/>
  <c r="Z13" i="50" s="1"/>
  <c r="Z14" i="129"/>
  <c r="S48" i="1"/>
  <c r="V8" i="50" s="1"/>
  <c r="V12" i="50" s="1"/>
  <c r="V13" i="50" s="1"/>
  <c r="V14" i="129"/>
  <c r="V48" i="1"/>
  <c r="Y8" i="50" s="1"/>
  <c r="Y12" i="50" s="1"/>
  <c r="Y13" i="50" s="1"/>
  <c r="Y14" i="129"/>
  <c r="Y48" i="1"/>
  <c r="AB8" i="50" s="1"/>
  <c r="AB12" i="50" s="1"/>
  <c r="AB13" i="50" s="1"/>
  <c r="AB14" i="129"/>
  <c r="L48" i="1"/>
  <c r="O8" i="50" s="1"/>
  <c r="O12" i="50" s="1"/>
  <c r="O13" i="50" s="1"/>
  <c r="O14" i="129"/>
  <c r="H48" i="1"/>
  <c r="K8" i="50" s="1"/>
  <c r="K12" i="50" s="1"/>
  <c r="K13" i="50" s="1"/>
  <c r="K14" i="129"/>
  <c r="P48" i="1"/>
  <c r="S8" i="50" s="1"/>
  <c r="S12" i="50" s="1"/>
  <c r="S13" i="50" s="1"/>
  <c r="S14" i="129"/>
  <c r="G48" i="1"/>
  <c r="J8" i="50" s="1"/>
  <c r="J12" i="50" s="1"/>
  <c r="J13" i="50" s="1"/>
  <c r="J18" i="50" s="1"/>
  <c r="J14" i="129"/>
  <c r="F48" i="1"/>
  <c r="I8" i="50" s="1"/>
  <c r="I12" i="50" s="1"/>
  <c r="I13" i="50" s="1"/>
  <c r="I18" i="50" s="1"/>
  <c r="I14" i="129"/>
  <c r="I48" i="1"/>
  <c r="L8" i="50" s="1"/>
  <c r="L12" i="50" s="1"/>
  <c r="L13" i="50" s="1"/>
  <c r="L14" i="129"/>
  <c r="K48" i="1"/>
  <c r="N8" i="50" s="1"/>
  <c r="N12" i="50" s="1"/>
  <c r="N13" i="50" s="1"/>
  <c r="N14" i="129"/>
  <c r="M48" i="1"/>
  <c r="P8" i="50" s="1"/>
  <c r="P12" i="50" s="1"/>
  <c r="P13" i="50" s="1"/>
  <c r="P14" i="129"/>
  <c r="N48" i="1"/>
  <c r="Q8" i="50" s="1"/>
  <c r="Q12" i="50" s="1"/>
  <c r="Q13" i="50" s="1"/>
  <c r="Q14" i="129"/>
  <c r="DO14" i="38"/>
  <c r="DO19" i="38" s="1"/>
  <c r="FD24" i="22" s="1"/>
  <c r="EB13" i="43"/>
  <c r="EB18" i="43" s="1"/>
  <c r="DJ11" i="28"/>
  <c r="EF14" i="30"/>
  <c r="DI10" i="35"/>
  <c r="DZ13" i="52"/>
  <c r="DZ18" i="52" s="1"/>
  <c r="CI14" i="129"/>
  <c r="CF48" i="1"/>
  <c r="CI8" i="50" s="1"/>
  <c r="CI12" i="50" s="1"/>
  <c r="CI13" i="50" s="1"/>
  <c r="CI18" i="50" s="1"/>
  <c r="DX18" i="116"/>
  <c r="DX24" i="116" s="1"/>
  <c r="BR106" i="22"/>
  <c r="CZ24" i="128"/>
  <c r="CZ21" i="128"/>
  <c r="BI18" i="117"/>
  <c r="BI24" i="117" s="1"/>
  <c r="CX119" i="22" s="1"/>
  <c r="CM24" i="128"/>
  <c r="CM21" i="128"/>
  <c r="DN13" i="66"/>
  <c r="DN18" i="66" s="1"/>
  <c r="FC47" i="22" s="1"/>
  <c r="BS94" i="22"/>
  <c r="BS110" i="22"/>
  <c r="BS123" i="22"/>
  <c r="BT80" i="22"/>
  <c r="BT95" i="22"/>
  <c r="BQ80" i="22"/>
  <c r="BT79" i="22"/>
  <c r="BT83" i="22"/>
  <c r="BT123" i="22"/>
  <c r="BS122" i="22"/>
  <c r="BT91" i="22"/>
  <c r="BT112" i="22"/>
  <c r="BT37" i="22"/>
  <c r="BT28" i="22"/>
  <c r="BS120" i="22"/>
  <c r="BS124" i="22"/>
  <c r="DI9" i="116"/>
  <c r="DI14" i="116" s="1"/>
  <c r="DI18" i="116" s="1"/>
  <c r="DI24" i="116" s="1"/>
  <c r="EX118" i="22" s="1"/>
  <c r="EX90" i="22"/>
  <c r="BT98" i="22"/>
  <c r="BT117" i="22"/>
  <c r="BT92" i="22"/>
  <c r="BT111" i="22"/>
  <c r="BT89" i="22"/>
  <c r="BT120" i="22"/>
  <c r="BT44" i="22"/>
  <c r="BS116" i="22"/>
  <c r="BT67" i="22"/>
  <c r="BS112" i="22"/>
  <c r="BT124" i="22"/>
  <c r="BT106" i="22"/>
  <c r="BT122" i="22"/>
  <c r="BT94" i="22"/>
  <c r="BT108" i="22"/>
  <c r="BT110" i="22"/>
  <c r="BT116" i="22"/>
  <c r="BS28" i="22"/>
  <c r="BS67" i="22"/>
  <c r="BS79" i="22"/>
  <c r="BS92" i="22"/>
  <c r="BS83" i="22"/>
  <c r="BS108" i="22"/>
  <c r="BS106" i="22"/>
  <c r="BS80" i="22"/>
  <c r="BS91" i="22"/>
  <c r="BS27" i="22"/>
  <c r="BS117" i="22"/>
  <c r="BS89" i="22"/>
  <c r="BS98" i="22"/>
  <c r="BS111" i="22"/>
  <c r="BS37" i="22"/>
  <c r="BS95" i="22"/>
  <c r="DU13" i="50"/>
  <c r="DV13" i="66"/>
  <c r="DV18" i="66" s="1"/>
  <c r="DS12" i="79"/>
  <c r="DS17" i="79" s="1"/>
  <c r="FH93" i="22" s="1"/>
  <c r="DK12" i="79"/>
  <c r="DK17" i="79" s="1"/>
  <c r="EZ93" i="22" s="1"/>
  <c r="DH9" i="116"/>
  <c r="DH14" i="116" s="1"/>
  <c r="DH18" i="116" s="1"/>
  <c r="DH24" i="116" s="1"/>
  <c r="EW118" i="22" s="1"/>
  <c r="EW90" i="22"/>
  <c r="BR116" i="22"/>
  <c r="L12" i="12"/>
  <c r="L17" i="12" s="1"/>
  <c r="DH16" i="70"/>
  <c r="DH21" i="70" s="1"/>
  <c r="DH22" i="70" s="1"/>
  <c r="DH29" i="70" s="1"/>
  <c r="DG12" i="5"/>
  <c r="DG17" i="5" s="1"/>
  <c r="EW11" i="22" s="1"/>
  <c r="AQ18" i="117"/>
  <c r="AQ24" i="117" s="1"/>
  <c r="AO18" i="117"/>
  <c r="AO24" i="117" s="1"/>
  <c r="AD18" i="117"/>
  <c r="AD24" i="117" s="1"/>
  <c r="BO18" i="117"/>
  <c r="BO24" i="117" s="1"/>
  <c r="DD119" i="22" s="1"/>
  <c r="BP18" i="117"/>
  <c r="BP24" i="117" s="1"/>
  <c r="DE119" i="22" s="1"/>
  <c r="AH18" i="117"/>
  <c r="AH24" i="117" s="1"/>
  <c r="BR67" i="22"/>
  <c r="BR41" i="22"/>
  <c r="BR27" i="22"/>
  <c r="BR83" i="22"/>
  <c r="DK12" i="5"/>
  <c r="DK17" i="5" s="1"/>
  <c r="FA11" i="22" s="1"/>
  <c r="BR37" i="22"/>
  <c r="DJ12" i="5"/>
  <c r="DJ17" i="5" s="1"/>
  <c r="EZ11" i="22" s="1"/>
  <c r="BR110" i="22"/>
  <c r="BR124" i="22"/>
  <c r="BR80" i="22"/>
  <c r="BR95" i="22"/>
  <c r="BR91" i="22"/>
  <c r="BR122" i="22"/>
  <c r="DH12" i="5"/>
  <c r="DH17" i="5" s="1"/>
  <c r="EX11" i="22" s="1"/>
  <c r="BR88" i="22"/>
  <c r="DG9" i="116"/>
  <c r="DG14" i="116" s="1"/>
  <c r="DG18" i="116" s="1"/>
  <c r="DG24" i="116" s="1"/>
  <c r="EV118" i="22" s="1"/>
  <c r="EV90" i="22"/>
  <c r="BR92" i="22"/>
  <c r="BR111" i="22"/>
  <c r="BR44" i="22"/>
  <c r="BR89" i="22"/>
  <c r="BR117" i="22"/>
  <c r="BR79" i="22"/>
  <c r="BR94" i="22"/>
  <c r="BR84" i="22"/>
  <c r="BR98" i="22"/>
  <c r="BR108" i="22"/>
  <c r="BR112" i="22"/>
  <c r="BR123" i="22"/>
  <c r="DP12" i="5"/>
  <c r="DP17" i="5" s="1"/>
  <c r="FF11" i="22" s="1"/>
  <c r="BR36" i="22"/>
  <c r="BR28" i="22"/>
  <c r="DL12" i="5"/>
  <c r="DL17" i="5" s="1"/>
  <c r="FB11" i="22" s="1"/>
  <c r="DN12" i="5"/>
  <c r="DN17" i="5" s="1"/>
  <c r="FD11" i="22" s="1"/>
  <c r="DQ12" i="5"/>
  <c r="DQ17" i="5" s="1"/>
  <c r="FG11" i="22" s="1"/>
  <c r="CD11" i="22" s="1"/>
  <c r="DF12" i="5"/>
  <c r="DF17" i="5" s="1"/>
  <c r="EV11" i="22" s="1"/>
  <c r="DI12" i="5"/>
  <c r="DI17" i="5" s="1"/>
  <c r="EY11" i="22" s="1"/>
  <c r="DO12" i="5"/>
  <c r="DO17" i="5" s="1"/>
  <c r="FE11" i="22" s="1"/>
  <c r="DR12" i="5"/>
  <c r="DR17" i="5" s="1"/>
  <c r="FH11" i="22" s="1"/>
  <c r="BM28" i="22"/>
  <c r="AS25" i="118"/>
  <c r="AS22" i="118"/>
  <c r="CO25" i="118"/>
  <c r="CO22" i="118"/>
  <c r="BW25" i="118"/>
  <c r="BW22" i="118"/>
  <c r="AU25" i="118"/>
  <c r="AU22" i="118"/>
  <c r="BO25" i="118"/>
  <c r="BO22" i="118"/>
  <c r="AW22" i="118"/>
  <c r="AW25" i="118"/>
  <c r="BG22" i="118"/>
  <c r="BG25" i="118"/>
  <c r="CZ25" i="118"/>
  <c r="CZ22" i="118"/>
  <c r="AY22" i="118"/>
  <c r="AY25" i="118"/>
  <c r="CI25" i="118"/>
  <c r="CI22" i="118"/>
  <c r="DD18" i="100"/>
  <c r="BP120" i="22"/>
  <c r="BQ110" i="22"/>
  <c r="BP91" i="22"/>
  <c r="BQ108" i="22"/>
  <c r="BP92" i="22"/>
  <c r="BP106" i="22"/>
  <c r="BP112" i="22"/>
  <c r="BQ41" i="22"/>
  <c r="BQ27" i="22"/>
  <c r="BQ44" i="22"/>
  <c r="BQ88" i="22"/>
  <c r="BP117" i="22"/>
  <c r="BQ28" i="22"/>
  <c r="BQ67" i="22"/>
  <c r="BQ83" i="22"/>
  <c r="BP108" i="22"/>
  <c r="BQ123" i="22"/>
  <c r="BP89" i="22"/>
  <c r="BP94" i="22"/>
  <c r="BP36" i="22"/>
  <c r="BP98" i="22"/>
  <c r="BQ124" i="22"/>
  <c r="BQ36" i="22"/>
  <c r="BP28" i="22"/>
  <c r="BP27" i="22"/>
  <c r="BQ79" i="22"/>
  <c r="BQ117" i="22"/>
  <c r="BQ116" i="22"/>
  <c r="BP67" i="22"/>
  <c r="BP95" i="22"/>
  <c r="BQ91" i="22"/>
  <c r="BQ112" i="22"/>
  <c r="BQ122" i="22"/>
  <c r="BQ37" i="22"/>
  <c r="BP37" i="22"/>
  <c r="BP41" i="22"/>
  <c r="BP79" i="22"/>
  <c r="DF9" i="116"/>
  <c r="DF14" i="116" s="1"/>
  <c r="DF18" i="116" s="1"/>
  <c r="DF24" i="116" s="1"/>
  <c r="EU118" i="22" s="1"/>
  <c r="EU90" i="22"/>
  <c r="BQ98" i="22"/>
  <c r="BQ95" i="22"/>
  <c r="BP124" i="22"/>
  <c r="BQ111" i="22"/>
  <c r="BP110" i="22"/>
  <c r="BP116" i="22"/>
  <c r="BP83" i="22"/>
  <c r="BQ84" i="22"/>
  <c r="BP84" i="22"/>
  <c r="BQ89" i="22"/>
  <c r="BP88" i="22"/>
  <c r="BQ92" i="22"/>
  <c r="BQ106" i="22"/>
  <c r="BP111" i="22"/>
  <c r="BP123" i="22"/>
  <c r="BQ120" i="22"/>
  <c r="BP122" i="22"/>
  <c r="BP44" i="22"/>
  <c r="BP80" i="22"/>
  <c r="DE9" i="116"/>
  <c r="DE14" i="116" s="1"/>
  <c r="DE18" i="116" s="1"/>
  <c r="ET90" i="22"/>
  <c r="DH12" i="60"/>
  <c r="DH17" i="60" s="1"/>
  <c r="BO84" i="22"/>
  <c r="AA18" i="117"/>
  <c r="AA24" i="117" s="1"/>
  <c r="BQ18" i="117"/>
  <c r="BQ24" i="117" s="1"/>
  <c r="DF119" i="22" s="1"/>
  <c r="BN112" i="22"/>
  <c r="BO88" i="22"/>
  <c r="BO122" i="22"/>
  <c r="BN37" i="22"/>
  <c r="BO41" i="22"/>
  <c r="BN44" i="22"/>
  <c r="BN79" i="22"/>
  <c r="BO89" i="22"/>
  <c r="BN98" i="22"/>
  <c r="BO67" i="22"/>
  <c r="BN84" i="22"/>
  <c r="BN88" i="22"/>
  <c r="BO79" i="22"/>
  <c r="BN110" i="22"/>
  <c r="BN120" i="22"/>
  <c r="BN80" i="22"/>
  <c r="BN94" i="22"/>
  <c r="BO83" i="22"/>
  <c r="BO106" i="22"/>
  <c r="BO123" i="22"/>
  <c r="BO91" i="22"/>
  <c r="BN111" i="22"/>
  <c r="BN116" i="22"/>
  <c r="BO92" i="22"/>
  <c r="BN36" i="22"/>
  <c r="BN92" i="22"/>
  <c r="BN95" i="22"/>
  <c r="BN124" i="22"/>
  <c r="BN28" i="22"/>
  <c r="BN67" i="22"/>
  <c r="BO95" i="22"/>
  <c r="BN108" i="22"/>
  <c r="BO110" i="22"/>
  <c r="BO120" i="22"/>
  <c r="BN83" i="22"/>
  <c r="BO124" i="22"/>
  <c r="BN106" i="22"/>
  <c r="BO117" i="22"/>
  <c r="BN117" i="22"/>
  <c r="BO116" i="22"/>
  <c r="BO37" i="22"/>
  <c r="BN91" i="22"/>
  <c r="BO112" i="22"/>
  <c r="BN123" i="22"/>
  <c r="BN41" i="22"/>
  <c r="BN89" i="22"/>
  <c r="BO44" i="22"/>
  <c r="BO98" i="22"/>
  <c r="DD9" i="116"/>
  <c r="DD14" i="116" s="1"/>
  <c r="DD18" i="116" s="1"/>
  <c r="DD24" i="116" s="1"/>
  <c r="ES118" i="22" s="1"/>
  <c r="ES90" i="22"/>
  <c r="BO36" i="22"/>
  <c r="BO28" i="22"/>
  <c r="BO80" i="22"/>
  <c r="BO94" i="22"/>
  <c r="BN122" i="22"/>
  <c r="R18" i="117"/>
  <c r="R24" i="117" s="1"/>
  <c r="CC18" i="117"/>
  <c r="CC24" i="117" s="1"/>
  <c r="DR119" i="22" s="1"/>
  <c r="X18" i="117"/>
  <c r="X24" i="117" s="1"/>
  <c r="BC123" i="22"/>
  <c r="AN18" i="116"/>
  <c r="AN24" i="116" s="1"/>
  <c r="AG18" i="117"/>
  <c r="AG24" i="117" s="1"/>
  <c r="W24" i="127"/>
  <c r="W21" i="127"/>
  <c r="AL24" i="127"/>
  <c r="AL21" i="127"/>
  <c r="AC21" i="127"/>
  <c r="AC24" i="127"/>
  <c r="CV24" i="127"/>
  <c r="CV21" i="127"/>
  <c r="Z21" i="127"/>
  <c r="Z24" i="127"/>
  <c r="AI24" i="127"/>
  <c r="AI21" i="127"/>
  <c r="AR21" i="127"/>
  <c r="AR24" i="127"/>
  <c r="AQ21" i="127"/>
  <c r="AQ24" i="127"/>
  <c r="AE21" i="127"/>
  <c r="AE24" i="127"/>
  <c r="AO24" i="127"/>
  <c r="AO21" i="127"/>
  <c r="DA21" i="127"/>
  <c r="DA24" i="127"/>
  <c r="AY21" i="127"/>
  <c r="AY24" i="127"/>
  <c r="BM41" i="22"/>
  <c r="BJ94" i="22"/>
  <c r="J18" i="117"/>
  <c r="J24" i="117" s="1"/>
  <c r="AS18" i="117"/>
  <c r="AS24" i="117" s="1"/>
  <c r="CH119" i="22" s="1"/>
  <c r="BB18" i="117"/>
  <c r="BB24" i="117" s="1"/>
  <c r="CQ119" i="22" s="1"/>
  <c r="CQ18" i="117"/>
  <c r="CQ24" i="117" s="1"/>
  <c r="EF119" i="22" s="1"/>
  <c r="BA18" i="117"/>
  <c r="BA24" i="117" s="1"/>
  <c r="CP119" i="22" s="1"/>
  <c r="BJ18" i="117"/>
  <c r="BJ24" i="117" s="1"/>
  <c r="CY119" i="22" s="1"/>
  <c r="BN18" i="117"/>
  <c r="BN24" i="117" s="1"/>
  <c r="DC119" i="22" s="1"/>
  <c r="BZ18" i="117"/>
  <c r="BZ24" i="117" s="1"/>
  <c r="DO119" i="22" s="1"/>
  <c r="CM18" i="117"/>
  <c r="CM24" i="117" s="1"/>
  <c r="EB119" i="22" s="1"/>
  <c r="BF18" i="117"/>
  <c r="BF24" i="117" s="1"/>
  <c r="CU119" i="22" s="1"/>
  <c r="T18" i="117"/>
  <c r="T24" i="117" s="1"/>
  <c r="BL79" i="22"/>
  <c r="CL18" i="117"/>
  <c r="CL24" i="117" s="1"/>
  <c r="EA119" i="22" s="1"/>
  <c r="CP18" i="117"/>
  <c r="CP24" i="117" s="1"/>
  <c r="EE119" i="22" s="1"/>
  <c r="CA18" i="117"/>
  <c r="CA24" i="117" s="1"/>
  <c r="DP119" i="22" s="1"/>
  <c r="CN18" i="117"/>
  <c r="CN24" i="117" s="1"/>
  <c r="EC119" i="22" s="1"/>
  <c r="CO18" i="117"/>
  <c r="CO24" i="117" s="1"/>
  <c r="ED119" i="22" s="1"/>
  <c r="ED12" i="60"/>
  <c r="ED17" i="60" s="1"/>
  <c r="BK18" i="117"/>
  <c r="BK24" i="117" s="1"/>
  <c r="CZ119" i="22" s="1"/>
  <c r="CI18" i="117"/>
  <c r="CI24" i="117" s="1"/>
  <c r="DX119" i="22" s="1"/>
  <c r="CH18" i="117"/>
  <c r="CH24" i="117" s="1"/>
  <c r="DW119" i="22" s="1"/>
  <c r="CB18" i="117"/>
  <c r="CB24" i="117" s="1"/>
  <c r="DQ119" i="22" s="1"/>
  <c r="BX18" i="117"/>
  <c r="BX24" i="117" s="1"/>
  <c r="DM119" i="22" s="1"/>
  <c r="BY18" i="117"/>
  <c r="BY24" i="117" s="1"/>
  <c r="DN119" i="22" s="1"/>
  <c r="BD116" i="22"/>
  <c r="AF18" i="117"/>
  <c r="AF24" i="117" s="1"/>
  <c r="CR18" i="117"/>
  <c r="CR24" i="117" s="1"/>
  <c r="EG119" i="22" s="1"/>
  <c r="DJ13" i="73"/>
  <c r="DJ18" i="73" s="1"/>
  <c r="EY78" i="22" s="1"/>
  <c r="BE9" i="7"/>
  <c r="BE11" i="7" s="1"/>
  <c r="BE16" i="7" s="1"/>
  <c r="AJ9" i="2"/>
  <c r="DE9" i="2"/>
  <c r="DM9" i="2"/>
  <c r="DU9" i="2"/>
  <c r="CW9" i="2"/>
  <c r="DI9" i="2"/>
  <c r="DY9" i="2"/>
  <c r="DF9" i="2"/>
  <c r="DN9" i="2"/>
  <c r="DV9" i="2"/>
  <c r="CX9" i="2"/>
  <c r="DA9" i="2"/>
  <c r="DQ9" i="2"/>
  <c r="DT9" i="2"/>
  <c r="CY9" i="2"/>
  <c r="DG9" i="2"/>
  <c r="DO9" i="2"/>
  <c r="DW9" i="2"/>
  <c r="CZ9" i="2"/>
  <c r="DH9" i="2"/>
  <c r="DP9" i="2"/>
  <c r="DX9" i="2"/>
  <c r="DD9" i="2"/>
  <c r="DL9" i="2"/>
  <c r="CV9" i="2"/>
  <c r="DB9" i="2"/>
  <c r="DJ9" i="2"/>
  <c r="DR9" i="2"/>
  <c r="DZ9" i="2"/>
  <c r="DC9" i="2"/>
  <c r="DK9" i="2"/>
  <c r="DS9" i="2"/>
  <c r="CU9" i="2"/>
  <c r="CQ9" i="2"/>
  <c r="CR9" i="2"/>
  <c r="CS9" i="2"/>
  <c r="CT9" i="2"/>
  <c r="CO9" i="2"/>
  <c r="CN9" i="2"/>
  <c r="CP9" i="2"/>
  <c r="CM9" i="2"/>
  <c r="CL9" i="2"/>
  <c r="CK9" i="2"/>
  <c r="CI9" i="2"/>
  <c r="CH9" i="2"/>
  <c r="CJ9" i="2"/>
  <c r="BG9" i="7"/>
  <c r="P9" i="7"/>
  <c r="P11" i="7" s="1"/>
  <c r="P16" i="7" s="1"/>
  <c r="AV9" i="7"/>
  <c r="AV11" i="7" s="1"/>
  <c r="AV16" i="7" s="1"/>
  <c r="BO9" i="7"/>
  <c r="BO11" i="7" s="1"/>
  <c r="BO16" i="7" s="1"/>
  <c r="L9" i="7"/>
  <c r="L11" i="7" s="1"/>
  <c r="L16" i="7" s="1"/>
  <c r="CK10" i="2"/>
  <c r="CN10" i="2"/>
  <c r="DJ9" i="7"/>
  <c r="DV10" i="10"/>
  <c r="DV11" i="10" s="1"/>
  <c r="DV6" i="41" s="1"/>
  <c r="DV9" i="41" s="1"/>
  <c r="DV11" i="41" s="1"/>
  <c r="DV16" i="41" s="1"/>
  <c r="CQ10" i="10"/>
  <c r="CQ11" i="10" s="1"/>
  <c r="DD10" i="10"/>
  <c r="DD11" i="10" s="1"/>
  <c r="DB9" i="7"/>
  <c r="DJ10" i="2"/>
  <c r="CZ9" i="7"/>
  <c r="CX10" i="10"/>
  <c r="CX11" i="10" s="1"/>
  <c r="DR10" i="2"/>
  <c r="DC10" i="2"/>
  <c r="DK10" i="10"/>
  <c r="DK11" i="10" s="1"/>
  <c r="DP10" i="2"/>
  <c r="CZ10" i="10"/>
  <c r="CZ11" i="10" s="1"/>
  <c r="DK9" i="7"/>
  <c r="DQ10" i="10"/>
  <c r="DQ11" i="10" s="1"/>
  <c r="BS10" i="10"/>
  <c r="BS11" i="10" s="1"/>
  <c r="AQ9" i="7"/>
  <c r="AQ11" i="7" s="1"/>
  <c r="AQ16" i="7" s="1"/>
  <c r="AQ4" i="2" s="1"/>
  <c r="AQ8" i="2" s="1"/>
  <c r="BF9" i="7"/>
  <c r="BT9" i="7"/>
  <c r="BT11" i="7" s="1"/>
  <c r="BT16" i="7" s="1"/>
  <c r="CK9" i="7"/>
  <c r="CK11" i="7" s="1"/>
  <c r="CK16" i="7" s="1"/>
  <c r="CK4" i="2" s="1"/>
  <c r="CK8" i="2" s="1"/>
  <c r="CM9" i="7"/>
  <c r="CM11" i="7" s="1"/>
  <c r="CM16" i="7" s="1"/>
  <c r="EC12" i="22" s="1"/>
  <c r="CM10" i="10"/>
  <c r="CM11" i="10" s="1"/>
  <c r="CL10" i="10"/>
  <c r="CL11" i="10" s="1"/>
  <c r="CR10" i="2"/>
  <c r="CX10" i="2"/>
  <c r="CW10" i="2"/>
  <c r="DB10" i="2"/>
  <c r="CU9" i="7"/>
  <c r="CU11" i="7" s="1"/>
  <c r="CU16" i="7" s="1"/>
  <c r="CU4" i="2" s="1"/>
  <c r="CU8" i="2" s="1"/>
  <c r="DC10" i="10"/>
  <c r="DC11" i="10" s="1"/>
  <c r="DH10" i="2"/>
  <c r="DC9" i="7"/>
  <c r="DY9" i="7"/>
  <c r="BN9" i="7"/>
  <c r="BN11" i="7" s="1"/>
  <c r="BN16" i="7" s="1"/>
  <c r="CO10" i="2"/>
  <c r="CM10" i="2"/>
  <c r="CV9" i="7"/>
  <c r="DQ10" i="2"/>
  <c r="DF10" i="10"/>
  <c r="DF11" i="10" s="1"/>
  <c r="DY10" i="2"/>
  <c r="DV10" i="2"/>
  <c r="DU9" i="7"/>
  <c r="CR9" i="7"/>
  <c r="DL10" i="10"/>
  <c r="DL11" i="10" s="1"/>
  <c r="DW9" i="7"/>
  <c r="DW11" i="7" s="1"/>
  <c r="DW16" i="7" s="1"/>
  <c r="DW4" i="2" s="1"/>
  <c r="DW8" i="2" s="1"/>
  <c r="DT9" i="7"/>
  <c r="DT11" i="7" s="1"/>
  <c r="DT16" i="7" s="1"/>
  <c r="DT4" i="2" s="1"/>
  <c r="DT8" i="2" s="1"/>
  <c r="CZ10" i="2"/>
  <c r="CS10" i="2"/>
  <c r="DQ9" i="7"/>
  <c r="DQ11" i="7" s="1"/>
  <c r="DQ16" i="7" s="1"/>
  <c r="DW10" i="10"/>
  <c r="DW11" i="10" s="1"/>
  <c r="EH13" i="73"/>
  <c r="EH18" i="73" s="1"/>
  <c r="EI11" i="34"/>
  <c r="EI16" i="34" s="1"/>
  <c r="CP9" i="7"/>
  <c r="CP11" i="7" s="1"/>
  <c r="CP16" i="7" s="1"/>
  <c r="EF12" i="22" s="1"/>
  <c r="DA10" i="2"/>
  <c r="DI10" i="2"/>
  <c r="DF10" i="2"/>
  <c r="DL10" i="2"/>
  <c r="DN9" i="7"/>
  <c r="DJ10" i="10"/>
  <c r="DJ11" i="10" s="1"/>
  <c r="DO9" i="7"/>
  <c r="DL9" i="7"/>
  <c r="DZ10" i="10"/>
  <c r="DZ11" i="10" s="1"/>
  <c r="DW10" i="2"/>
  <c r="DG10" i="10"/>
  <c r="DG11" i="10" s="1"/>
  <c r="DX10" i="10"/>
  <c r="DX11" i="10" s="1"/>
  <c r="DI9" i="7"/>
  <c r="DO10" i="10"/>
  <c r="DO11" i="10" s="1"/>
  <c r="DZ11" i="34"/>
  <c r="DZ16" i="34" s="1"/>
  <c r="AX9" i="7"/>
  <c r="AX11" i="7" s="1"/>
  <c r="AX16" i="7" s="1"/>
  <c r="P10" i="2"/>
  <c r="AW10" i="2"/>
  <c r="AM10" i="2"/>
  <c r="AP10" i="2"/>
  <c r="H10" i="2"/>
  <c r="AD10" i="2"/>
  <c r="AB10" i="2"/>
  <c r="CO9" i="7"/>
  <c r="CO11" i="7" s="1"/>
  <c r="CO16" i="7" s="1"/>
  <c r="CO4" i="2" s="1"/>
  <c r="CO8" i="2" s="1"/>
  <c r="CL10" i="2"/>
  <c r="CQ9" i="7"/>
  <c r="CN10" i="10"/>
  <c r="CN11" i="10" s="1"/>
  <c r="DB10" i="10"/>
  <c r="DB11" i="10" s="1"/>
  <c r="DX9" i="7"/>
  <c r="DT10" i="10"/>
  <c r="DT11" i="10" s="1"/>
  <c r="DT6" i="41" s="1"/>
  <c r="DT9" i="41" s="1"/>
  <c r="DT11" i="41" s="1"/>
  <c r="DT16" i="41" s="1"/>
  <c r="DV9" i="7"/>
  <c r="CX9" i="7"/>
  <c r="DG9" i="7"/>
  <c r="DG11" i="7" s="1"/>
  <c r="DG16" i="7" s="1"/>
  <c r="DD9" i="7"/>
  <c r="DR10" i="10"/>
  <c r="DR11" i="10" s="1"/>
  <c r="DO10" i="2"/>
  <c r="CY10" i="10"/>
  <c r="CY11" i="10" s="1"/>
  <c r="DP10" i="10"/>
  <c r="DP11" i="10" s="1"/>
  <c r="DA9" i="7"/>
  <c r="CT10" i="10"/>
  <c r="CT11" i="10" s="1"/>
  <c r="DR13" i="73"/>
  <c r="DR18" i="73" s="1"/>
  <c r="FG78" i="22" s="1"/>
  <c r="EC11" i="34"/>
  <c r="EC16" i="34" s="1"/>
  <c r="EJ11" i="34"/>
  <c r="EJ16" i="34" s="1"/>
  <c r="S9" i="7"/>
  <c r="S11" i="7" s="1"/>
  <c r="S16" i="7" s="1"/>
  <c r="BB9" i="7"/>
  <c r="CW10" i="7"/>
  <c r="DE10" i="7"/>
  <c r="DM10" i="7"/>
  <c r="DU10" i="7"/>
  <c r="DQ10" i="7"/>
  <c r="DD10" i="7"/>
  <c r="CX10" i="7"/>
  <c r="DF10" i="7"/>
  <c r="DN10" i="7"/>
  <c r="DV10" i="7"/>
  <c r="DA10" i="7"/>
  <c r="DI10" i="7"/>
  <c r="DY10" i="7"/>
  <c r="CU10" i="7"/>
  <c r="DL10" i="7"/>
  <c r="DT10" i="7"/>
  <c r="CY10" i="7"/>
  <c r="DG10" i="7"/>
  <c r="DO10" i="7"/>
  <c r="DW10" i="7"/>
  <c r="CS10" i="7"/>
  <c r="CZ10" i="7"/>
  <c r="DH10" i="7"/>
  <c r="DP10" i="7"/>
  <c r="DX10" i="7"/>
  <c r="CT10" i="7"/>
  <c r="DB10" i="7"/>
  <c r="DJ10" i="7"/>
  <c r="DR10" i="7"/>
  <c r="DZ10" i="7"/>
  <c r="CV10" i="7"/>
  <c r="DC10" i="7"/>
  <c r="DK10" i="7"/>
  <c r="DS10" i="7"/>
  <c r="CQ10" i="7"/>
  <c r="CR10" i="7"/>
  <c r="CP10" i="7"/>
  <c r="CO10" i="7"/>
  <c r="CL10" i="7"/>
  <c r="CM10" i="7"/>
  <c r="CN10" i="7"/>
  <c r="CI10" i="7"/>
  <c r="CJ10" i="7"/>
  <c r="CH10" i="7"/>
  <c r="CK10" i="7"/>
  <c r="CI10" i="2"/>
  <c r="AU10" i="2"/>
  <c r="AH10" i="2"/>
  <c r="Z10" i="2"/>
  <c r="AY10" i="2"/>
  <c r="T10" i="2"/>
  <c r="AG9" i="7"/>
  <c r="AG11" i="7" s="1"/>
  <c r="AG16" i="7" s="1"/>
  <c r="AG4" i="2" s="1"/>
  <c r="AG8" i="2" s="1"/>
  <c r="AG11" i="2" s="1"/>
  <c r="AG16" i="2" s="1"/>
  <c r="AE9" i="7"/>
  <c r="AE11" i="7" s="1"/>
  <c r="AE16" i="7" s="1"/>
  <c r="BA9" i="7"/>
  <c r="BA11" i="7" s="1"/>
  <c r="BA16" i="7" s="1"/>
  <c r="CJ9" i="7"/>
  <c r="CJ11" i="7" s="1"/>
  <c r="CJ16" i="7" s="1"/>
  <c r="DZ12" i="22" s="1"/>
  <c r="CH9" i="7"/>
  <c r="CH10" i="2"/>
  <c r="CO10" i="10"/>
  <c r="CO11" i="10" s="1"/>
  <c r="CV10" i="10"/>
  <c r="CV11" i="10" s="1"/>
  <c r="DH9" i="7"/>
  <c r="DS10" i="10"/>
  <c r="DS11" i="10" s="1"/>
  <c r="DS6" i="41" s="1"/>
  <c r="DS9" i="41" s="1"/>
  <c r="DS11" i="41" s="1"/>
  <c r="DS16" i="41" s="1"/>
  <c r="CQ10" i="2"/>
  <c r="DE9" i="7"/>
  <c r="DE11" i="7" s="1"/>
  <c r="DE16" i="7" s="1"/>
  <c r="DM9" i="7"/>
  <c r="CY9" i="7"/>
  <c r="CY11" i="7" s="1"/>
  <c r="CY16" i="7" s="1"/>
  <c r="CY4" i="2" s="1"/>
  <c r="CY8" i="2" s="1"/>
  <c r="DU10" i="10"/>
  <c r="DU11" i="10" s="1"/>
  <c r="DU6" i="41" s="1"/>
  <c r="DU9" i="41" s="1"/>
  <c r="DU11" i="41" s="1"/>
  <c r="DU16" i="41" s="1"/>
  <c r="CT10" i="2"/>
  <c r="DG10" i="2"/>
  <c r="DU10" i="2"/>
  <c r="DM10" i="10"/>
  <c r="DM11" i="10" s="1"/>
  <c r="BD112" i="22"/>
  <c r="EE11" i="34"/>
  <c r="EE16" i="34" s="1"/>
  <c r="EH11" i="34"/>
  <c r="EH16" i="34" s="1"/>
  <c r="DI10" i="10"/>
  <c r="DI11" i="10" s="1"/>
  <c r="DZ10" i="2"/>
  <c r="DN10" i="2"/>
  <c r="CT9" i="7"/>
  <c r="CS9" i="7"/>
  <c r="CS11" i="7" s="1"/>
  <c r="CS16" i="7" s="1"/>
  <c r="EI12" i="22" s="1"/>
  <c r="DT10" i="2"/>
  <c r="CW9" i="7"/>
  <c r="DS10" i="2"/>
  <c r="CR10" i="10"/>
  <c r="CR11" i="10" s="1"/>
  <c r="CV10" i="2"/>
  <c r="CY10" i="2"/>
  <c r="DM10" i="2"/>
  <c r="DE10" i="10"/>
  <c r="DE11" i="10" s="1"/>
  <c r="EB11" i="34"/>
  <c r="EB16" i="34" s="1"/>
  <c r="EG11" i="34"/>
  <c r="EG16" i="34" s="1"/>
  <c r="AS9" i="7"/>
  <c r="CN9" i="7"/>
  <c r="CN11" i="7" s="1"/>
  <c r="CN16" i="7" s="1"/>
  <c r="CN4" i="2" s="1"/>
  <c r="CN8" i="2" s="1"/>
  <c r="K9" i="7"/>
  <c r="K11" i="7" s="1"/>
  <c r="K16" i="7" s="1"/>
  <c r="CI9" i="7"/>
  <c r="CI11" i="7" s="1"/>
  <c r="CI16" i="7" s="1"/>
  <c r="DY12" i="22" s="1"/>
  <c r="CK10" i="10"/>
  <c r="CK11" i="10" s="1"/>
  <c r="CP10" i="2"/>
  <c r="CL9" i="7"/>
  <c r="CL11" i="7" s="1"/>
  <c r="CL16" i="7" s="1"/>
  <c r="EB12" i="22" s="1"/>
  <c r="CS10" i="10"/>
  <c r="CS11" i="10" s="1"/>
  <c r="DZ9" i="7"/>
  <c r="DZ11" i="7" s="1"/>
  <c r="DZ16" i="7" s="1"/>
  <c r="DZ4" i="2" s="1"/>
  <c r="DZ8" i="2" s="1"/>
  <c r="DF9" i="7"/>
  <c r="DF11" i="7" s="1"/>
  <c r="DF16" i="7" s="1"/>
  <c r="DR9" i="7"/>
  <c r="DR11" i="7" s="1"/>
  <c r="DR16" i="7" s="1"/>
  <c r="DA10" i="10"/>
  <c r="DA11" i="10" s="1"/>
  <c r="DP9" i="7"/>
  <c r="DP11" i="7" s="1"/>
  <c r="DP16" i="7" s="1"/>
  <c r="DN10" i="10"/>
  <c r="DN11" i="10" s="1"/>
  <c r="DD10" i="2"/>
  <c r="CU10" i="2"/>
  <c r="DK10" i="2"/>
  <c r="CU10" i="10"/>
  <c r="CU11" i="10" s="1"/>
  <c r="DX10" i="2"/>
  <c r="DH10" i="10"/>
  <c r="DH11" i="10" s="1"/>
  <c r="DS9" i="7"/>
  <c r="DY10" i="10"/>
  <c r="DY11" i="10" s="1"/>
  <c r="DE10" i="2"/>
  <c r="CW10" i="10"/>
  <c r="CW11" i="10" s="1"/>
  <c r="ED11" i="34"/>
  <c r="ED16" i="34" s="1"/>
  <c r="EF11" i="34"/>
  <c r="EF16" i="34" s="1"/>
  <c r="EA12" i="57"/>
  <c r="EA5" i="30" s="1"/>
  <c r="EA9" i="30" s="1"/>
  <c r="EA14" i="30" s="1"/>
  <c r="EA7" i="29" s="1"/>
  <c r="EA11" i="29" s="1"/>
  <c r="EA16" i="29" s="1"/>
  <c r="EA21" i="29" s="1"/>
  <c r="BM18" i="117"/>
  <c r="BM24" i="117" s="1"/>
  <c r="DB119" i="22" s="1"/>
  <c r="AB18" i="117"/>
  <c r="AB24" i="117" s="1"/>
  <c r="BA13" i="86"/>
  <c r="BA18" i="86" s="1"/>
  <c r="CP87" i="22" s="1"/>
  <c r="BL18" i="117"/>
  <c r="BL24" i="117" s="1"/>
  <c r="DA119" i="22" s="1"/>
  <c r="BU18" i="117"/>
  <c r="BU24" i="117" s="1"/>
  <c r="DJ119" i="22" s="1"/>
  <c r="BG18" i="117"/>
  <c r="BG24" i="117" s="1"/>
  <c r="CV119" i="22" s="1"/>
  <c r="AJ18" i="117"/>
  <c r="AJ24" i="117" s="1"/>
  <c r="CT11" i="28"/>
  <c r="DJ14" i="38"/>
  <c r="DJ19" i="38" s="1"/>
  <c r="EY24" i="22" s="1"/>
  <c r="DM10" i="44"/>
  <c r="BT12" i="47"/>
  <c r="BT17" i="47" s="1"/>
  <c r="BN32" i="83" s="1"/>
  <c r="DG16" i="58"/>
  <c r="EV43" i="22" s="1"/>
  <c r="BD120" i="22"/>
  <c r="AD18" i="116"/>
  <c r="AD24" i="116" s="1"/>
  <c r="BT18" i="117"/>
  <c r="BT24" i="117" s="1"/>
  <c r="DI119" i="22" s="1"/>
  <c r="U18" i="117"/>
  <c r="U24" i="117" s="1"/>
  <c r="AS12" i="12"/>
  <c r="AS17" i="12" s="1"/>
  <c r="DM13" i="18"/>
  <c r="DM18" i="18" s="1"/>
  <c r="FC15" i="22" s="1"/>
  <c r="CZ14" i="38"/>
  <c r="CZ19" i="38" s="1"/>
  <c r="EO24" i="22" s="1"/>
  <c r="CK13" i="43"/>
  <c r="CK18" i="43" s="1"/>
  <c r="DZ26" i="22" s="1"/>
  <c r="DB10" i="44"/>
  <c r="ER13" i="50"/>
  <c r="ER18" i="50" s="1"/>
  <c r="BM67" i="22"/>
  <c r="EQ12" i="79"/>
  <c r="EQ17" i="79" s="1"/>
  <c r="DA13" i="86"/>
  <c r="DA18" i="86" s="1"/>
  <c r="EP87" i="22" s="1"/>
  <c r="BC18" i="117"/>
  <c r="BC24" i="117" s="1"/>
  <c r="CR119" i="22" s="1"/>
  <c r="DJ12" i="36"/>
  <c r="DJ17" i="36" s="1"/>
  <c r="EZ5" i="22" s="1"/>
  <c r="N18" i="117"/>
  <c r="N21" i="117" s="1"/>
  <c r="Z18" i="117"/>
  <c r="Z24" i="117" s="1"/>
  <c r="O18" i="117"/>
  <c r="O24" i="117" s="1"/>
  <c r="V18" i="117"/>
  <c r="V24" i="117" s="1"/>
  <c r="Y18" i="117"/>
  <c r="Y24" i="117" s="1"/>
  <c r="BW18" i="117"/>
  <c r="BW24" i="117" s="1"/>
  <c r="DL119" i="22" s="1"/>
  <c r="AC18" i="117"/>
  <c r="AC24" i="117" s="1"/>
  <c r="DV11" i="20"/>
  <c r="DV16" i="20" s="1"/>
  <c r="DR12" i="12"/>
  <c r="DR17" i="12" s="1"/>
  <c r="FH6" i="22" s="1"/>
  <c r="EA13" i="43"/>
  <c r="EA18" i="43" s="1"/>
  <c r="BZ13" i="43"/>
  <c r="BZ18" i="43" s="1"/>
  <c r="DO26" i="22" s="1"/>
  <c r="CT13" i="52"/>
  <c r="CT18" i="52" s="1"/>
  <c r="EI33" i="22" s="1"/>
  <c r="AE18" i="117"/>
  <c r="AE24" i="117" s="1"/>
  <c r="CE18" i="117"/>
  <c r="CE24" i="117" s="1"/>
  <c r="DT119" i="22" s="1"/>
  <c r="BH18" i="117"/>
  <c r="BH24" i="117" s="1"/>
  <c r="CW119" i="22" s="1"/>
  <c r="AK18" i="117"/>
  <c r="AK24" i="117" s="1"/>
  <c r="DG12" i="12"/>
  <c r="DG17" i="12" s="1"/>
  <c r="EW6" i="22" s="1"/>
  <c r="BA122" i="22"/>
  <c r="BD122" i="22"/>
  <c r="DF11" i="20"/>
  <c r="DF16" i="20" s="1"/>
  <c r="EV16" i="22" s="1"/>
  <c r="DL13" i="52"/>
  <c r="DL18" i="52" s="1"/>
  <c r="FA33" i="22" s="1"/>
  <c r="DJ13" i="52"/>
  <c r="DJ18" i="52" s="1"/>
  <c r="EY33" i="22" s="1"/>
  <c r="EK12" i="81"/>
  <c r="EK17" i="81" s="1"/>
  <c r="BC106" i="22"/>
  <c r="DS11" i="28"/>
  <c r="DS16" i="28" s="1"/>
  <c r="DR11" i="28"/>
  <c r="DR16" i="28" s="1"/>
  <c r="FH39" i="22" s="1"/>
  <c r="EB13" i="49"/>
  <c r="EB18" i="49" s="1"/>
  <c r="DB13" i="52"/>
  <c r="DB18" i="52" s="1"/>
  <c r="EQ33" i="22" s="1"/>
  <c r="BM84" i="22"/>
  <c r="V18" i="116"/>
  <c r="V24" i="116" s="1"/>
  <c r="BE18" i="117"/>
  <c r="BE24" i="117" s="1"/>
  <c r="CT119" i="22" s="1"/>
  <c r="AU18" i="117"/>
  <c r="AU24" i="117" s="1"/>
  <c r="CJ119" i="22" s="1"/>
  <c r="BD18" i="117"/>
  <c r="BD24" i="117" s="1"/>
  <c r="CS119" i="22" s="1"/>
  <c r="AY18" i="117"/>
  <c r="AY24" i="117" s="1"/>
  <c r="CN119" i="22" s="1"/>
  <c r="DV14" i="17"/>
  <c r="DV21" i="17" s="1"/>
  <c r="DP12" i="25"/>
  <c r="DP17" i="25" s="1"/>
  <c r="DB11" i="28"/>
  <c r="DU14" i="38"/>
  <c r="DU19" i="38" s="1"/>
  <c r="DA13" i="52"/>
  <c r="DA18" i="52" s="1"/>
  <c r="EP33" i="22" s="1"/>
  <c r="BL83" i="22"/>
  <c r="BG108" i="22"/>
  <c r="M18" i="117"/>
  <c r="M24" i="117" s="1"/>
  <c r="EY12" i="79"/>
  <c r="EY17" i="79" s="1"/>
  <c r="BD110" i="22"/>
  <c r="AX18" i="117"/>
  <c r="AX24" i="117" s="1"/>
  <c r="CM119" i="22" s="1"/>
  <c r="AZ18" i="117"/>
  <c r="AZ24" i="117" s="1"/>
  <c r="CO119" i="22" s="1"/>
  <c r="BH116" i="22"/>
  <c r="AT18" i="117"/>
  <c r="AT24" i="117" s="1"/>
  <c r="CI119" i="22" s="1"/>
  <c r="EH13" i="50"/>
  <c r="EH18" i="50" s="1"/>
  <c r="EA12" i="79"/>
  <c r="EA17" i="79" s="1"/>
  <c r="FJ18" i="116"/>
  <c r="BL110" i="22"/>
  <c r="ET18" i="116"/>
  <c r="EN18" i="116"/>
  <c r="EN24" i="116" s="1"/>
  <c r="BA123" i="22"/>
  <c r="BS18" i="117"/>
  <c r="BS24" i="117" s="1"/>
  <c r="DH119" i="22" s="1"/>
  <c r="FD18" i="116"/>
  <c r="FB18" i="116"/>
  <c r="CJ18" i="117"/>
  <c r="CJ24" i="117" s="1"/>
  <c r="DY119" i="22" s="1"/>
  <c r="BK112" i="22"/>
  <c r="BH112" i="22"/>
  <c r="BG123" i="22"/>
  <c r="BL116" i="22"/>
  <c r="BL106" i="22"/>
  <c r="BA106" i="22"/>
  <c r="BA108" i="22"/>
  <c r="BA94" i="22"/>
  <c r="BE123" i="22"/>
  <c r="BA88" i="22"/>
  <c r="BA95" i="22"/>
  <c r="BA98" i="22"/>
  <c r="BA101" i="22"/>
  <c r="BF110" i="22"/>
  <c r="DC9" i="116"/>
  <c r="DC14" i="116" s="1"/>
  <c r="DC18" i="116" s="1"/>
  <c r="DC24" i="116" s="1"/>
  <c r="ER118" i="22" s="1"/>
  <c r="ER90" i="22"/>
  <c r="BI117" i="22"/>
  <c r="BD106" i="22"/>
  <c r="BD123" i="22"/>
  <c r="BM124" i="22"/>
  <c r="BG111" i="22"/>
  <c r="BM112" i="22"/>
  <c r="BJ108" i="22"/>
  <c r="BL122" i="22"/>
  <c r="BI120" i="22"/>
  <c r="BM120" i="22"/>
  <c r="BJ122" i="22"/>
  <c r="BJ116" i="22"/>
  <c r="BF112" i="22"/>
  <c r="BJ124" i="22"/>
  <c r="BH124" i="22"/>
  <c r="BL108" i="22"/>
  <c r="BJ110" i="22"/>
  <c r="BB108" i="22"/>
  <c r="BL117" i="22"/>
  <c r="BB106" i="22"/>
  <c r="BF106" i="22"/>
  <c r="BJ111" i="22"/>
  <c r="BE122" i="22"/>
  <c r="BG116" i="22"/>
  <c r="BH110" i="22"/>
  <c r="BF120" i="22"/>
  <c r="BH108" i="22"/>
  <c r="BM122" i="22"/>
  <c r="BC122" i="22"/>
  <c r="BE124" i="22"/>
  <c r="BE120" i="22"/>
  <c r="BI106" i="22"/>
  <c r="BK106" i="22"/>
  <c r="BE110" i="22"/>
  <c r="BG110" i="22"/>
  <c r="BJ123" i="22"/>
  <c r="BF124" i="22"/>
  <c r="BD124" i="22"/>
  <c r="BG106" i="22"/>
  <c r="BM108" i="22"/>
  <c r="BF111" i="22"/>
  <c r="BK117" i="22"/>
  <c r="BK110" i="22"/>
  <c r="BI110" i="22"/>
  <c r="BE117" i="22"/>
  <c r="BB123" i="22"/>
  <c r="BK111" i="22"/>
  <c r="BF122" i="22"/>
  <c r="BH111" i="22"/>
  <c r="BK122" i="22"/>
  <c r="BG120" i="22"/>
  <c r="BF116" i="22"/>
  <c r="BC120" i="22"/>
  <c r="BJ106" i="22"/>
  <c r="BE106" i="22"/>
  <c r="BB122" i="22"/>
  <c r="BH106" i="22"/>
  <c r="BM106" i="22"/>
  <c r="BL112" i="22"/>
  <c r="BF117" i="22"/>
  <c r="BI112" i="22"/>
  <c r="BH123" i="22"/>
  <c r="BJ120" i="22"/>
  <c r="BM116" i="22"/>
  <c r="BK124" i="22"/>
  <c r="BI124" i="22"/>
  <c r="BM111" i="22"/>
  <c r="BE108" i="22"/>
  <c r="BL111" i="22"/>
  <c r="BI108" i="22"/>
  <c r="BJ117" i="22"/>
  <c r="BI123" i="22"/>
  <c r="BI122" i="22"/>
  <c r="BK116" i="22"/>
  <c r="BC101" i="22"/>
  <c r="BF108" i="22"/>
  <c r="BK108" i="22"/>
  <c r="BM110" i="22"/>
  <c r="BI111" i="22"/>
  <c r="BG112" i="22"/>
  <c r="BH120" i="22"/>
  <c r="BE116" i="22"/>
  <c r="BB120" i="22"/>
  <c r="BL124" i="22"/>
  <c r="BE112" i="22"/>
  <c r="BJ112" i="22"/>
  <c r="BM117" i="22"/>
  <c r="BF123" i="22"/>
  <c r="BI116" i="22"/>
  <c r="BM89" i="22"/>
  <c r="CW18" i="117"/>
  <c r="CW24" i="117" s="1"/>
  <c r="EL119" i="22" s="1"/>
  <c r="CG122" i="22"/>
  <c r="BM94" i="22"/>
  <c r="CG101" i="22"/>
  <c r="BB101" i="22"/>
  <c r="CG108" i="22"/>
  <c r="BM44" i="22"/>
  <c r="BM88" i="22"/>
  <c r="BM79" i="22"/>
  <c r="BM83" i="22"/>
  <c r="BM92" i="22"/>
  <c r="DB9" i="116"/>
  <c r="DB14" i="116" s="1"/>
  <c r="DB18" i="116" s="1"/>
  <c r="DB24" i="116" s="1"/>
  <c r="EQ118" i="22" s="1"/>
  <c r="EQ90" i="22"/>
  <c r="BM98" i="22"/>
  <c r="BM80" i="22"/>
  <c r="BM91" i="22"/>
  <c r="BM37" i="22"/>
  <c r="BM27" i="22"/>
  <c r="CU14" i="106"/>
  <c r="CU20" i="106" s="1"/>
  <c r="CZ10" i="26"/>
  <c r="CZ15" i="26" s="1"/>
  <c r="EP8" i="22" s="1"/>
  <c r="CW14" i="106"/>
  <c r="CW20" i="106" s="1"/>
  <c r="R13" i="86"/>
  <c r="R18" i="86" s="1"/>
  <c r="BV18" i="117"/>
  <c r="BV24" i="117" s="1"/>
  <c r="DK119" i="22" s="1"/>
  <c r="CK18" i="117"/>
  <c r="CK24" i="117" s="1"/>
  <c r="DZ119" i="22" s="1"/>
  <c r="AI18" i="117"/>
  <c r="AI24" i="117" s="1"/>
  <c r="W18" i="117"/>
  <c r="W24" i="117" s="1"/>
  <c r="EV18" i="116"/>
  <c r="DV18" i="116"/>
  <c r="DV24" i="116" s="1"/>
  <c r="CV18" i="117"/>
  <c r="CV24" i="117" s="1"/>
  <c r="EK119" i="22" s="1"/>
  <c r="CU18" i="117"/>
  <c r="CU24" i="117" s="1"/>
  <c r="EJ119" i="22" s="1"/>
  <c r="EF18" i="116"/>
  <c r="EF24" i="116" s="1"/>
  <c r="DU18" i="117"/>
  <c r="DU24" i="117" s="1"/>
  <c r="CT18" i="100"/>
  <c r="CZ15" i="11"/>
  <c r="EP36" i="22" s="1"/>
  <c r="DA14" i="106"/>
  <c r="DA20" i="106" s="1"/>
  <c r="Q18" i="117"/>
  <c r="Q24" i="117" s="1"/>
  <c r="CF18" i="117"/>
  <c r="CF24" i="117" s="1"/>
  <c r="DU119" i="22" s="1"/>
  <c r="AF18" i="116"/>
  <c r="AF24" i="116" s="1"/>
  <c r="P18" i="117"/>
  <c r="P24" i="117" s="1"/>
  <c r="BL98" i="22"/>
  <c r="DB14" i="106"/>
  <c r="DB20" i="106" s="1"/>
  <c r="DE18" i="117"/>
  <c r="DE24" i="117" s="1"/>
  <c r="ET119" i="22" s="1"/>
  <c r="K18" i="117"/>
  <c r="K24" i="117" s="1"/>
  <c r="AR18" i="117"/>
  <c r="AR24" i="117" s="1"/>
  <c r="S18" i="117"/>
  <c r="S24" i="117" s="1"/>
  <c r="CG18" i="117"/>
  <c r="CG24" i="117" s="1"/>
  <c r="DV119" i="22" s="1"/>
  <c r="I14" i="106"/>
  <c r="I20" i="106" s="1"/>
  <c r="BR18" i="117"/>
  <c r="BR24" i="117" s="1"/>
  <c r="DG119" i="22" s="1"/>
  <c r="DB18" i="100"/>
  <c r="CT18" i="117"/>
  <c r="CT24" i="117" s="1"/>
  <c r="EI119" i="22" s="1"/>
  <c r="CW20" i="107"/>
  <c r="EL109" i="22" s="1"/>
  <c r="BI109" i="22" s="1"/>
  <c r="CW17" i="107"/>
  <c r="L18" i="117"/>
  <c r="L24" i="117" s="1"/>
  <c r="X18" i="116"/>
  <c r="X24" i="116" s="1"/>
  <c r="BJ95" i="22"/>
  <c r="DL18" i="117"/>
  <c r="DL24" i="117" s="1"/>
  <c r="FA119" i="22" s="1"/>
  <c r="DK18" i="117"/>
  <c r="DK24" i="117" s="1"/>
  <c r="EZ119" i="22" s="1"/>
  <c r="AL18" i="117"/>
  <c r="AL24" i="117" s="1"/>
  <c r="AM18" i="117"/>
  <c r="AM24" i="117" s="1"/>
  <c r="EL18" i="116"/>
  <c r="EL24" i="116" s="1"/>
  <c r="AV18" i="117"/>
  <c r="AV24" i="117" s="1"/>
  <c r="CK119" i="22" s="1"/>
  <c r="AP18" i="117"/>
  <c r="AP24" i="117" s="1"/>
  <c r="AW18" i="117"/>
  <c r="AW24" i="117" s="1"/>
  <c r="CL119" i="22" s="1"/>
  <c r="CR18" i="116"/>
  <c r="CR24" i="116" s="1"/>
  <c r="EG118" i="22" s="1"/>
  <c r="AI18" i="100"/>
  <c r="AI24" i="100" s="1"/>
  <c r="CX14" i="106"/>
  <c r="CX20" i="106" s="1"/>
  <c r="ED18" i="116"/>
  <c r="ED24" i="116" s="1"/>
  <c r="J20" i="114"/>
  <c r="J17" i="114"/>
  <c r="R17" i="114"/>
  <c r="R20" i="114"/>
  <c r="AW11" i="114"/>
  <c r="AW14" i="114" s="1"/>
  <c r="AW20" i="114" s="1"/>
  <c r="CL116" i="22" s="1"/>
  <c r="AZ11" i="114"/>
  <c r="AZ14" i="114" s="1"/>
  <c r="AZ20" i="114" s="1"/>
  <c r="CO116" i="22" s="1"/>
  <c r="CC11" i="114"/>
  <c r="CC14" i="114" s="1"/>
  <c r="CC20" i="114" s="1"/>
  <c r="DR116" i="22" s="1"/>
  <c r="CK11" i="114"/>
  <c r="CK14" i="114" s="1"/>
  <c r="CK20" i="114" s="1"/>
  <c r="DZ116" i="22" s="1"/>
  <c r="AN11" i="114"/>
  <c r="AN14" i="114" s="1"/>
  <c r="AN20" i="114" s="1"/>
  <c r="BN11" i="114"/>
  <c r="BN14" i="114" s="1"/>
  <c r="BN20" i="114" s="1"/>
  <c r="DC116" i="22" s="1"/>
  <c r="AA11" i="114"/>
  <c r="AA14" i="114" s="1"/>
  <c r="AA20" i="114" s="1"/>
  <c r="CM11" i="114"/>
  <c r="CM14" i="114" s="1"/>
  <c r="CM20" i="114" s="1"/>
  <c r="EB116" i="22" s="1"/>
  <c r="BH11" i="114"/>
  <c r="BH14" i="114" s="1"/>
  <c r="BH20" i="114" s="1"/>
  <c r="CW116" i="22" s="1"/>
  <c r="BI11" i="114"/>
  <c r="BI14" i="114" s="1"/>
  <c r="BI20" i="114" s="1"/>
  <c r="CX116" i="22" s="1"/>
  <c r="AT11" i="114"/>
  <c r="AT14" i="114" s="1"/>
  <c r="AT20" i="114" s="1"/>
  <c r="CI116" i="22" s="1"/>
  <c r="BC11" i="114"/>
  <c r="BC14" i="114" s="1"/>
  <c r="BC20" i="114" s="1"/>
  <c r="CR116" i="22" s="1"/>
  <c r="CB11" i="114"/>
  <c r="CB14" i="114" s="1"/>
  <c r="CB20" i="114" s="1"/>
  <c r="DQ116" i="22" s="1"/>
  <c r="BT11" i="114"/>
  <c r="BT14" i="114" s="1"/>
  <c r="BT20" i="114" s="1"/>
  <c r="DI116" i="22" s="1"/>
  <c r="BV11" i="114"/>
  <c r="BV14" i="114" s="1"/>
  <c r="BV20" i="114" s="1"/>
  <c r="DK116" i="22" s="1"/>
  <c r="AI11" i="114"/>
  <c r="AI14" i="114" s="1"/>
  <c r="BP11" i="114"/>
  <c r="BP14" i="114" s="1"/>
  <c r="BP20" i="114" s="1"/>
  <c r="DE116" i="22" s="1"/>
  <c r="BQ11" i="114"/>
  <c r="BQ14" i="114" s="1"/>
  <c r="BQ20" i="114" s="1"/>
  <c r="DF116" i="22" s="1"/>
  <c r="BB11" i="114"/>
  <c r="BB14" i="114" s="1"/>
  <c r="BB20" i="114" s="1"/>
  <c r="CQ116" i="22" s="1"/>
  <c r="BK11" i="114"/>
  <c r="BK14" i="114" s="1"/>
  <c r="BK20" i="114" s="1"/>
  <c r="CZ116" i="22" s="1"/>
  <c r="AL11" i="114"/>
  <c r="AL14" i="114" s="1"/>
  <c r="AL20" i="114" s="1"/>
  <c r="X11" i="114"/>
  <c r="X14" i="114" s="1"/>
  <c r="X20" i="114" s="1"/>
  <c r="AF11" i="114"/>
  <c r="AF14" i="114" s="1"/>
  <c r="AG11" i="114"/>
  <c r="AG14" i="114" s="1"/>
  <c r="AG20" i="114" s="1"/>
  <c r="CD11" i="114"/>
  <c r="CD14" i="114" s="1"/>
  <c r="CD20" i="114" s="1"/>
  <c r="DS116" i="22" s="1"/>
  <c r="AQ11" i="114"/>
  <c r="AQ14" i="114" s="1"/>
  <c r="AQ20" i="114" s="1"/>
  <c r="BX11" i="114"/>
  <c r="BX14" i="114" s="1"/>
  <c r="BX20" i="114" s="1"/>
  <c r="DM116" i="22" s="1"/>
  <c r="BY11" i="114"/>
  <c r="BY14" i="114" s="1"/>
  <c r="BY20" i="114" s="1"/>
  <c r="DN116" i="22" s="1"/>
  <c r="BJ11" i="114"/>
  <c r="BJ14" i="114" s="1"/>
  <c r="BJ20" i="114" s="1"/>
  <c r="CY116" i="22" s="1"/>
  <c r="BS11" i="114"/>
  <c r="BS14" i="114" s="1"/>
  <c r="BF11" i="114"/>
  <c r="BF14" i="114" s="1"/>
  <c r="BF20" i="114" s="1"/>
  <c r="CU116" i="22" s="1"/>
  <c r="CE11" i="114"/>
  <c r="CE14" i="114" s="1"/>
  <c r="CE20" i="114" s="1"/>
  <c r="DT116" i="22" s="1"/>
  <c r="BD11" i="114"/>
  <c r="BD14" i="114" s="1"/>
  <c r="BD20" i="114" s="1"/>
  <c r="CS116" i="22" s="1"/>
  <c r="AO11" i="114"/>
  <c r="AO14" i="114" s="1"/>
  <c r="BL11" i="114"/>
  <c r="BL14" i="114" s="1"/>
  <c r="BL20" i="114" s="1"/>
  <c r="DA116" i="22" s="1"/>
  <c r="BM11" i="114"/>
  <c r="BM14" i="114" s="1"/>
  <c r="BM20" i="114" s="1"/>
  <c r="DB116" i="22" s="1"/>
  <c r="Z11" i="114"/>
  <c r="Z14" i="114" s="1"/>
  <c r="Z20" i="114" s="1"/>
  <c r="CL11" i="114"/>
  <c r="CL14" i="114" s="1"/>
  <c r="CL20" i="114" s="1"/>
  <c r="EA116" i="22" s="1"/>
  <c r="AY11" i="114"/>
  <c r="AY14" i="114" s="1"/>
  <c r="AY20" i="114" s="1"/>
  <c r="CN116" i="22" s="1"/>
  <c r="T11" i="114"/>
  <c r="T14" i="114" s="1"/>
  <c r="T20" i="114" s="1"/>
  <c r="CF11" i="114"/>
  <c r="CF14" i="114" s="1"/>
  <c r="CF20" i="114" s="1"/>
  <c r="DU116" i="22" s="1"/>
  <c r="U11" i="114"/>
  <c r="U14" i="114" s="1"/>
  <c r="U20" i="114" s="1"/>
  <c r="CG11" i="114"/>
  <c r="CG14" i="114" s="1"/>
  <c r="CG20" i="114" s="1"/>
  <c r="DV116" i="22" s="1"/>
  <c r="BR11" i="114"/>
  <c r="BR14" i="114" s="1"/>
  <c r="BR20" i="114" s="1"/>
  <c r="DG116" i="22" s="1"/>
  <c r="CA11" i="114"/>
  <c r="CA14" i="114" s="1"/>
  <c r="CA20" i="114" s="1"/>
  <c r="DP116" i="22" s="1"/>
  <c r="AU11" i="114"/>
  <c r="AU14" i="114" s="1"/>
  <c r="CJ11" i="114"/>
  <c r="CJ14" i="114" s="1"/>
  <c r="CJ20" i="114" s="1"/>
  <c r="DY116" i="22" s="1"/>
  <c r="AH11" i="114"/>
  <c r="AH14" i="114" s="1"/>
  <c r="AH20" i="114" s="1"/>
  <c r="BG11" i="114"/>
  <c r="BG14" i="114" s="1"/>
  <c r="BG20" i="114" s="1"/>
  <c r="CV116" i="22" s="1"/>
  <c r="AB11" i="114"/>
  <c r="AB14" i="114" s="1"/>
  <c r="AB20" i="114" s="1"/>
  <c r="CN11" i="114"/>
  <c r="CN14" i="114" s="1"/>
  <c r="CN20" i="114" s="1"/>
  <c r="EC116" i="22" s="1"/>
  <c r="AC11" i="114"/>
  <c r="AC14" i="114" s="1"/>
  <c r="CO11" i="114"/>
  <c r="CO14" i="114" s="1"/>
  <c r="CO20" i="114" s="1"/>
  <c r="ED116" i="22" s="1"/>
  <c r="BZ11" i="114"/>
  <c r="BZ14" i="114" s="1"/>
  <c r="BZ20" i="114" s="1"/>
  <c r="DO116" i="22" s="1"/>
  <c r="W11" i="114"/>
  <c r="W14" i="114" s="1"/>
  <c r="W20" i="114" s="1"/>
  <c r="CI11" i="114"/>
  <c r="CI14" i="114" s="1"/>
  <c r="CI20" i="114" s="1"/>
  <c r="DX116" i="22" s="1"/>
  <c r="BE11" i="114"/>
  <c r="BE14" i="114" s="1"/>
  <c r="BE20" i="114" s="1"/>
  <c r="CT116" i="22" s="1"/>
  <c r="BA11" i="114"/>
  <c r="BA14" i="114" s="1"/>
  <c r="BA20" i="114" s="1"/>
  <c r="CP116" i="22" s="1"/>
  <c r="BU11" i="114"/>
  <c r="BU14" i="114" s="1"/>
  <c r="BU20" i="114" s="1"/>
  <c r="DJ116" i="22" s="1"/>
  <c r="AV11" i="114"/>
  <c r="AV14" i="114" s="1"/>
  <c r="AV20" i="114" s="1"/>
  <c r="CK116" i="22" s="1"/>
  <c r="AP11" i="114"/>
  <c r="AP14" i="114" s="1"/>
  <c r="AP20" i="114" s="1"/>
  <c r="BO11" i="114"/>
  <c r="BO14" i="114" s="1"/>
  <c r="BO20" i="114" s="1"/>
  <c r="DD116" i="22" s="1"/>
  <c r="AJ11" i="114"/>
  <c r="AJ14" i="114" s="1"/>
  <c r="AJ20" i="114" s="1"/>
  <c r="AK11" i="114"/>
  <c r="AK14" i="114" s="1"/>
  <c r="AK20" i="114" s="1"/>
  <c r="V11" i="114"/>
  <c r="V14" i="114" s="1"/>
  <c r="V20" i="114" s="1"/>
  <c r="CH11" i="114"/>
  <c r="CH14" i="114" s="1"/>
  <c r="CH20" i="114" s="1"/>
  <c r="DW116" i="22" s="1"/>
  <c r="AE11" i="114"/>
  <c r="AE14" i="114" s="1"/>
  <c r="AE20" i="114" s="1"/>
  <c r="CQ11" i="114"/>
  <c r="CQ14" i="114" s="1"/>
  <c r="CQ20" i="114" s="1"/>
  <c r="EF116" i="22" s="1"/>
  <c r="BC116" i="22" s="1"/>
  <c r="Y11" i="114"/>
  <c r="Y14" i="114" s="1"/>
  <c r="AX11" i="114"/>
  <c r="AX14" i="114" s="1"/>
  <c r="AX20" i="114" s="1"/>
  <c r="CM116" i="22" s="1"/>
  <c r="BW11" i="114"/>
  <c r="BW14" i="114" s="1"/>
  <c r="AR11" i="114"/>
  <c r="AR14" i="114" s="1"/>
  <c r="AS11" i="114"/>
  <c r="AS14" i="114" s="1"/>
  <c r="AS20" i="114" s="1"/>
  <c r="CH116" i="22" s="1"/>
  <c r="AD11" i="114"/>
  <c r="AD14" i="114" s="1"/>
  <c r="CP11" i="114"/>
  <c r="CP14" i="114" s="1"/>
  <c r="CP20" i="114" s="1"/>
  <c r="EE116" i="22" s="1"/>
  <c r="AM11" i="114"/>
  <c r="AM14" i="114" s="1"/>
  <c r="AM20" i="114" s="1"/>
  <c r="DE18" i="100"/>
  <c r="DT18" i="117"/>
  <c r="DT24" i="117" s="1"/>
  <c r="DS18" i="117"/>
  <c r="DS24" i="117" s="1"/>
  <c r="FH119" i="22" s="1"/>
  <c r="DR18" i="117"/>
  <c r="DR24" i="117" s="1"/>
  <c r="FG119" i="22" s="1"/>
  <c r="CD119" i="22" s="1"/>
  <c r="DQ18" i="117"/>
  <c r="DQ24" i="117" s="1"/>
  <c r="FF119" i="22" s="1"/>
  <c r="DP18" i="117"/>
  <c r="DP24" i="117" s="1"/>
  <c r="FE119" i="22" s="1"/>
  <c r="CU18" i="116"/>
  <c r="CU24" i="116" s="1"/>
  <c r="EJ118" i="22" s="1"/>
  <c r="FA18" i="116"/>
  <c r="AC18" i="116"/>
  <c r="AC24" i="116" s="1"/>
  <c r="DZ18" i="116"/>
  <c r="DZ24" i="116" s="1"/>
  <c r="EO18" i="116"/>
  <c r="EO24" i="116" s="1"/>
  <c r="EO90" i="22"/>
  <c r="CZ9" i="116"/>
  <c r="CZ14" i="116" s="1"/>
  <c r="CZ18" i="116" s="1"/>
  <c r="CZ24" i="116" s="1"/>
  <c r="EO118" i="22" s="1"/>
  <c r="EP90" i="22"/>
  <c r="DA9" i="116"/>
  <c r="DA14" i="116" s="1"/>
  <c r="DA18" i="116" s="1"/>
  <c r="DA24" i="116" s="1"/>
  <c r="EP118" i="22" s="1"/>
  <c r="EL90" i="22"/>
  <c r="CW9" i="116"/>
  <c r="CW14" i="116" s="1"/>
  <c r="CW18" i="116" s="1"/>
  <c r="CW24" i="116" s="1"/>
  <c r="EL118" i="22" s="1"/>
  <c r="CW18" i="100"/>
  <c r="CS18" i="100"/>
  <c r="CZ18" i="100"/>
  <c r="CX18" i="100"/>
  <c r="CY14" i="106"/>
  <c r="CY20" i="106" s="1"/>
  <c r="DM18" i="117"/>
  <c r="DM24" i="117" s="1"/>
  <c r="FB119" i="22" s="1"/>
  <c r="FC18" i="116"/>
  <c r="EY18" i="116"/>
  <c r="ES18" i="116"/>
  <c r="ES24" i="116" s="1"/>
  <c r="U18" i="116"/>
  <c r="U24" i="116" s="1"/>
  <c r="AR18" i="116"/>
  <c r="AR24" i="116" s="1"/>
  <c r="EG18" i="116"/>
  <c r="EG24" i="116" s="1"/>
  <c r="EE18" i="116"/>
  <c r="EE24" i="116" s="1"/>
  <c r="EA18" i="116"/>
  <c r="EA24" i="116" s="1"/>
  <c r="EU18" i="116"/>
  <c r="EK18" i="116"/>
  <c r="EK24" i="116" s="1"/>
  <c r="FH18" i="116"/>
  <c r="CV18" i="116"/>
  <c r="DY18" i="116"/>
  <c r="DY24" i="116" s="1"/>
  <c r="EM90" i="22"/>
  <c r="CX9" i="116"/>
  <c r="CX14" i="116" s="1"/>
  <c r="CX18" i="116" s="1"/>
  <c r="CX24" i="116" s="1"/>
  <c r="EM118" i="22" s="1"/>
  <c r="EN90" i="22"/>
  <c r="CY9" i="116"/>
  <c r="CY14" i="116" s="1"/>
  <c r="CY18" i="116" s="1"/>
  <c r="CY24" i="116" s="1"/>
  <c r="EN118" i="22" s="1"/>
  <c r="AM18" i="116"/>
  <c r="AM24" i="116" s="1"/>
  <c r="AI18" i="116"/>
  <c r="AI24" i="116" s="1"/>
  <c r="EC18" i="116"/>
  <c r="EC24" i="116" s="1"/>
  <c r="EZ18" i="116"/>
  <c r="AB18" i="116"/>
  <c r="AB24" i="116" s="1"/>
  <c r="AP18" i="116"/>
  <c r="AP24" i="116" s="1"/>
  <c r="CR20" i="115"/>
  <c r="EG117" i="22" s="1"/>
  <c r="BD117" i="22" s="1"/>
  <c r="CR17" i="115"/>
  <c r="CV14" i="106"/>
  <c r="CV20" i="106" s="1"/>
  <c r="CV20" i="115"/>
  <c r="EK117" i="22" s="1"/>
  <c r="BH117" i="22" s="1"/>
  <c r="CV17" i="115"/>
  <c r="CQ18" i="116"/>
  <c r="CQ24" i="116" s="1"/>
  <c r="EF118" i="22" s="1"/>
  <c r="EQ18" i="116"/>
  <c r="EQ24" i="116" s="1"/>
  <c r="DU18" i="116"/>
  <c r="DU24" i="116" s="1"/>
  <c r="ER18" i="116"/>
  <c r="ER24" i="116" s="1"/>
  <c r="FF18" i="116"/>
  <c r="CT18" i="116"/>
  <c r="CT24" i="116" s="1"/>
  <c r="EI118" i="22" s="1"/>
  <c r="AH18" i="116"/>
  <c r="AH24" i="116" s="1"/>
  <c r="DW18" i="116"/>
  <c r="DW24" i="116" s="1"/>
  <c r="FG18" i="116"/>
  <c r="EJ18" i="116"/>
  <c r="EJ24" i="116" s="1"/>
  <c r="EX18" i="116"/>
  <c r="Z18" i="116"/>
  <c r="Z24" i="116" s="1"/>
  <c r="AO18" i="116"/>
  <c r="AO24" i="116" s="1"/>
  <c r="CS18" i="117"/>
  <c r="CS24" i="117" s="1"/>
  <c r="EH119" i="22" s="1"/>
  <c r="EM18" i="116"/>
  <c r="EM24" i="116" s="1"/>
  <c r="EI18" i="116"/>
  <c r="EI24" i="116" s="1"/>
  <c r="EB18" i="116"/>
  <c r="EB24" i="116" s="1"/>
  <c r="EP18" i="116"/>
  <c r="EP24" i="116" s="1"/>
  <c r="FE18" i="116"/>
  <c r="CS18" i="116"/>
  <c r="CS24" i="116" s="1"/>
  <c r="EH118" i="22" s="1"/>
  <c r="AG18" i="116"/>
  <c r="AG24" i="116" s="1"/>
  <c r="AE18" i="116"/>
  <c r="AE24" i="116" s="1"/>
  <c r="DS18" i="116"/>
  <c r="DS24" i="116" s="1"/>
  <c r="FH118" i="22" s="1"/>
  <c r="CD118" i="22" s="1"/>
  <c r="FI18" i="116"/>
  <c r="DT18" i="116"/>
  <c r="DT24" i="116" s="1"/>
  <c r="EH18" i="116"/>
  <c r="EH24" i="116" s="1"/>
  <c r="EW18" i="116"/>
  <c r="Y18" i="116"/>
  <c r="Y24" i="116" s="1"/>
  <c r="CI18" i="100"/>
  <c r="CI24" i="100" s="1"/>
  <c r="AQ11" i="108"/>
  <c r="AQ14" i="108" s="1"/>
  <c r="N11" i="109"/>
  <c r="N14" i="109" s="1"/>
  <c r="N20" i="109" s="1"/>
  <c r="AF11" i="109"/>
  <c r="AF14" i="109" s="1"/>
  <c r="Y11" i="115"/>
  <c r="Y14" i="115" s="1"/>
  <c r="Y20" i="115" s="1"/>
  <c r="BV11" i="115"/>
  <c r="BV14" i="115" s="1"/>
  <c r="BV20" i="115" s="1"/>
  <c r="DK117" i="22" s="1"/>
  <c r="BH18" i="100"/>
  <c r="BH24" i="100" s="1"/>
  <c r="BI18" i="100"/>
  <c r="BI24" i="100" s="1"/>
  <c r="CH18" i="100"/>
  <c r="CH24" i="100" s="1"/>
  <c r="BC18" i="100"/>
  <c r="BC24" i="100" s="1"/>
  <c r="BT18" i="100"/>
  <c r="BT24" i="100" s="1"/>
  <c r="BE18" i="100"/>
  <c r="BE24" i="100" s="1"/>
  <c r="CN11" i="108"/>
  <c r="CN14" i="108" s="1"/>
  <c r="CN20" i="108" s="1"/>
  <c r="EC110" i="22" s="1"/>
  <c r="AS11" i="108"/>
  <c r="AS14" i="108" s="1"/>
  <c r="AS20" i="108" s="1"/>
  <c r="CH110" i="22" s="1"/>
  <c r="N11" i="108"/>
  <c r="N14" i="108" s="1"/>
  <c r="N20" i="108" s="1"/>
  <c r="BZ11" i="108"/>
  <c r="BZ14" i="108" s="1"/>
  <c r="BZ20" i="108" s="1"/>
  <c r="DO110" i="22" s="1"/>
  <c r="W11" i="108"/>
  <c r="W14" i="108" s="1"/>
  <c r="W20" i="108" s="1"/>
  <c r="CI11" i="108"/>
  <c r="CI14" i="108" s="1"/>
  <c r="CI20" i="108" s="1"/>
  <c r="DX110" i="22" s="1"/>
  <c r="X11" i="108"/>
  <c r="X14" i="108" s="1"/>
  <c r="X20" i="108" s="1"/>
  <c r="CJ11" i="108"/>
  <c r="CJ14" i="108" s="1"/>
  <c r="CJ20" i="108" s="1"/>
  <c r="DY110" i="22" s="1"/>
  <c r="Q11" i="108"/>
  <c r="Q14" i="108" s="1"/>
  <c r="Q20" i="108" s="1"/>
  <c r="CC11" i="108"/>
  <c r="CC14" i="108" s="1"/>
  <c r="CC20" i="108" s="1"/>
  <c r="DR110" i="22" s="1"/>
  <c r="BP11" i="109"/>
  <c r="BP14" i="109" s="1"/>
  <c r="BA11" i="109"/>
  <c r="BA14" i="109" s="1"/>
  <c r="BA20" i="109" s="1"/>
  <c r="CP111" i="22" s="1"/>
  <c r="AT11" i="109"/>
  <c r="AT14" i="109" s="1"/>
  <c r="AT20" i="109" s="1"/>
  <c r="CI111" i="22" s="1"/>
  <c r="AM11" i="109"/>
  <c r="AM14" i="109" s="1"/>
  <c r="AM20" i="109" s="1"/>
  <c r="AX11" i="109"/>
  <c r="AX14" i="109" s="1"/>
  <c r="AX20" i="109" s="1"/>
  <c r="CM111" i="22" s="1"/>
  <c r="BL11" i="109"/>
  <c r="BL14" i="109" s="1"/>
  <c r="BL20" i="109" s="1"/>
  <c r="DA111" i="22" s="1"/>
  <c r="AH11" i="109"/>
  <c r="AH14" i="109" s="1"/>
  <c r="AH20" i="109" s="1"/>
  <c r="AW11" i="109"/>
  <c r="AW14" i="109" s="1"/>
  <c r="AW20" i="109" s="1"/>
  <c r="CL111" i="22" s="1"/>
  <c r="CM11" i="110"/>
  <c r="CM14" i="110" s="1"/>
  <c r="CM20" i="110" s="1"/>
  <c r="EB112" i="22" s="1"/>
  <c r="BH11" i="110"/>
  <c r="BH14" i="110" s="1"/>
  <c r="BH20" i="110" s="1"/>
  <c r="CW112" i="22" s="1"/>
  <c r="BI11" i="110"/>
  <c r="BI14" i="110" s="1"/>
  <c r="M11" i="115"/>
  <c r="M14" i="115" s="1"/>
  <c r="BZ11" i="110"/>
  <c r="BZ14" i="110" s="1"/>
  <c r="BZ20" i="110" s="1"/>
  <c r="DO112" i="22" s="1"/>
  <c r="U11" i="115"/>
  <c r="U14" i="115" s="1"/>
  <c r="U20" i="115" s="1"/>
  <c r="AE11" i="110"/>
  <c r="AE14" i="110" s="1"/>
  <c r="CQ11" i="110"/>
  <c r="CQ14" i="110" s="1"/>
  <c r="CQ20" i="110" s="1"/>
  <c r="EF112" i="22" s="1"/>
  <c r="BC112" i="22" s="1"/>
  <c r="BB11" i="115"/>
  <c r="BB14" i="115" s="1"/>
  <c r="BB20" i="115" s="1"/>
  <c r="CQ117" i="22" s="1"/>
  <c r="AN11" i="110"/>
  <c r="AN14" i="110" s="1"/>
  <c r="AN20" i="110" s="1"/>
  <c r="CO11" i="115"/>
  <c r="CO14" i="115" s="1"/>
  <c r="CO20" i="115" s="1"/>
  <c r="ED117" i="22" s="1"/>
  <c r="BU11" i="110"/>
  <c r="BU14" i="110" s="1"/>
  <c r="BU20" i="110" s="1"/>
  <c r="DJ112" i="22" s="1"/>
  <c r="AD11" i="115"/>
  <c r="AD14" i="115" s="1"/>
  <c r="AD20" i="115" s="1"/>
  <c r="AG11" i="110"/>
  <c r="AG14" i="110" s="1"/>
  <c r="AG20" i="110" s="1"/>
  <c r="BN11" i="110"/>
  <c r="BN14" i="110" s="1"/>
  <c r="BN20" i="110" s="1"/>
  <c r="DC112" i="22" s="1"/>
  <c r="CO24" i="118"/>
  <c r="ED120" i="22" s="1"/>
  <c r="BA120" i="22" s="1"/>
  <c r="CO21" i="118"/>
  <c r="AE11" i="115"/>
  <c r="AE14" i="115" s="1"/>
  <c r="AE20" i="115" s="1"/>
  <c r="CQ11" i="115"/>
  <c r="CQ14" i="115" s="1"/>
  <c r="CQ20" i="115" s="1"/>
  <c r="EF117" i="22" s="1"/>
  <c r="AO24" i="122"/>
  <c r="AO21" i="122"/>
  <c r="AV11" i="115"/>
  <c r="AV14" i="115" s="1"/>
  <c r="AV20" i="115" s="1"/>
  <c r="CK117" i="22" s="1"/>
  <c r="BE11" i="115"/>
  <c r="BE14" i="115" s="1"/>
  <c r="BE20" i="115" s="1"/>
  <c r="CT117" i="22" s="1"/>
  <c r="AP11" i="115"/>
  <c r="AP14" i="115" s="1"/>
  <c r="AP20" i="115" s="1"/>
  <c r="K11" i="115"/>
  <c r="K14" i="115" s="1"/>
  <c r="K20" i="115" s="1"/>
  <c r="BW11" i="115"/>
  <c r="BW14" i="115" s="1"/>
  <c r="I24" i="122"/>
  <c r="I21" i="122"/>
  <c r="BP11" i="115"/>
  <c r="BP14" i="115" s="1"/>
  <c r="BP20" i="115" s="1"/>
  <c r="DE117" i="22" s="1"/>
  <c r="AN24" i="122"/>
  <c r="AN21" i="122"/>
  <c r="J11" i="108"/>
  <c r="J14" i="108" s="1"/>
  <c r="J20" i="108" s="1"/>
  <c r="BW11" i="110"/>
  <c r="BW14" i="110" s="1"/>
  <c r="BW20" i="110" s="1"/>
  <c r="DL112" i="22" s="1"/>
  <c r="P11" i="115"/>
  <c r="P14" i="115" s="1"/>
  <c r="P20" i="115" s="1"/>
  <c r="AP24" i="122"/>
  <c r="AP21" i="122"/>
  <c r="AQ24" i="122"/>
  <c r="AQ21" i="122"/>
  <c r="BP18" i="100"/>
  <c r="BP24" i="100" s="1"/>
  <c r="BQ18" i="100"/>
  <c r="BQ24" i="100" s="1"/>
  <c r="CP18" i="100"/>
  <c r="CP24" i="100" s="1"/>
  <c r="BK18" i="100"/>
  <c r="BK24" i="100" s="1"/>
  <c r="CB18" i="100"/>
  <c r="CB24" i="100" s="1"/>
  <c r="CD18" i="100"/>
  <c r="CD24" i="100" s="1"/>
  <c r="BM18" i="100"/>
  <c r="BM24" i="100" s="1"/>
  <c r="BA11" i="108"/>
  <c r="BA14" i="108" s="1"/>
  <c r="BA20" i="108" s="1"/>
  <c r="CP110" i="22" s="1"/>
  <c r="V11" i="108"/>
  <c r="V14" i="108" s="1"/>
  <c r="V20" i="108" s="1"/>
  <c r="CH11" i="108"/>
  <c r="CH14" i="108" s="1"/>
  <c r="CH20" i="108" s="1"/>
  <c r="DW110" i="22" s="1"/>
  <c r="T11" i="108"/>
  <c r="T14" i="108" s="1"/>
  <c r="T20" i="108" s="1"/>
  <c r="AE11" i="108"/>
  <c r="AE14" i="108" s="1"/>
  <c r="AE20" i="108" s="1"/>
  <c r="CQ11" i="108"/>
  <c r="CQ14" i="108" s="1"/>
  <c r="CQ20" i="108" s="1"/>
  <c r="EF110" i="22" s="1"/>
  <c r="BC110" i="22" s="1"/>
  <c r="AJ11" i="108"/>
  <c r="AJ14" i="108" s="1"/>
  <c r="AJ20" i="108" s="1"/>
  <c r="AF11" i="108"/>
  <c r="AF14" i="108" s="1"/>
  <c r="AF20" i="108" s="1"/>
  <c r="Y11" i="108"/>
  <c r="Y14" i="108" s="1"/>
  <c r="Y20" i="108" s="1"/>
  <c r="CK11" i="108"/>
  <c r="CK14" i="108" s="1"/>
  <c r="CK20" i="108" s="1"/>
  <c r="DZ110" i="22" s="1"/>
  <c r="L11" i="109"/>
  <c r="L14" i="109" s="1"/>
  <c r="L20" i="109" s="1"/>
  <c r="BX11" i="109"/>
  <c r="BX14" i="109" s="1"/>
  <c r="BI11" i="109"/>
  <c r="BI14" i="109" s="1"/>
  <c r="BI20" i="109" s="1"/>
  <c r="CX111" i="22" s="1"/>
  <c r="BB11" i="109"/>
  <c r="BB14" i="109" s="1"/>
  <c r="BB20" i="109" s="1"/>
  <c r="CQ111" i="22" s="1"/>
  <c r="Z11" i="109"/>
  <c r="Z14" i="109" s="1"/>
  <c r="AU11" i="109"/>
  <c r="AU14" i="109" s="1"/>
  <c r="AU20" i="109" s="1"/>
  <c r="CJ111" i="22" s="1"/>
  <c r="BT11" i="109"/>
  <c r="BT14" i="109" s="1"/>
  <c r="BT20" i="109" s="1"/>
  <c r="DI111" i="22" s="1"/>
  <c r="BV11" i="109"/>
  <c r="BV14" i="109" s="1"/>
  <c r="BV20" i="109" s="1"/>
  <c r="DK111" i="22" s="1"/>
  <c r="BE11" i="109"/>
  <c r="BE14" i="109" s="1"/>
  <c r="BE20" i="109" s="1"/>
  <c r="CT111" i="22" s="1"/>
  <c r="CO11" i="110"/>
  <c r="CO14" i="110" s="1"/>
  <c r="CO20" i="110" s="1"/>
  <c r="ED112" i="22" s="1"/>
  <c r="N11" i="115"/>
  <c r="N14" i="115" s="1"/>
  <c r="N20" i="115" s="1"/>
  <c r="CP11" i="110"/>
  <c r="CP14" i="110" s="1"/>
  <c r="CP20" i="110" s="1"/>
  <c r="EE112" i="22" s="1"/>
  <c r="BA11" i="115"/>
  <c r="BA14" i="115" s="1"/>
  <c r="BA20" i="115" s="1"/>
  <c r="CP117" i="22" s="1"/>
  <c r="AM11" i="110"/>
  <c r="AM14" i="110" s="1"/>
  <c r="AM20" i="110" s="1"/>
  <c r="CH11" i="115"/>
  <c r="CH14" i="115" s="1"/>
  <c r="CH20" i="115" s="1"/>
  <c r="DW117" i="22" s="1"/>
  <c r="AV11" i="110"/>
  <c r="AV14" i="110" s="1"/>
  <c r="AV20" i="110" s="1"/>
  <c r="CK112" i="22" s="1"/>
  <c r="CC11" i="110"/>
  <c r="CC14" i="110" s="1"/>
  <c r="CC20" i="110" s="1"/>
  <c r="DR112" i="22" s="1"/>
  <c r="BJ11" i="115"/>
  <c r="BJ14" i="115" s="1"/>
  <c r="BJ20" i="115" s="1"/>
  <c r="CY117" i="22" s="1"/>
  <c r="AL11" i="115"/>
  <c r="AL14" i="115" s="1"/>
  <c r="BV11" i="110"/>
  <c r="BV14" i="110" s="1"/>
  <c r="BV20" i="110" s="1"/>
  <c r="DK112" i="22" s="1"/>
  <c r="AK11" i="115"/>
  <c r="AK14" i="115" s="1"/>
  <c r="AK20" i="115" s="1"/>
  <c r="AM11" i="115"/>
  <c r="AM14" i="115" s="1"/>
  <c r="P18" i="116"/>
  <c r="P24" i="116" s="1"/>
  <c r="BD11" i="115"/>
  <c r="BD14" i="115" s="1"/>
  <c r="BD20" i="115" s="1"/>
  <c r="CS117" i="22" s="1"/>
  <c r="BM11" i="115"/>
  <c r="BM14" i="115" s="1"/>
  <c r="AX11" i="115"/>
  <c r="AX14" i="115" s="1"/>
  <c r="AX20" i="115" s="1"/>
  <c r="CM117" i="22" s="1"/>
  <c r="S11" i="115"/>
  <c r="S14" i="115" s="1"/>
  <c r="S20" i="115" s="1"/>
  <c r="CE11" i="115"/>
  <c r="CE14" i="115" s="1"/>
  <c r="L11" i="115"/>
  <c r="L14" i="115" s="1"/>
  <c r="L20" i="115" s="1"/>
  <c r="BX11" i="115"/>
  <c r="BX14" i="115" s="1"/>
  <c r="BX20" i="115" s="1"/>
  <c r="DM117" i="22" s="1"/>
  <c r="S24" i="122"/>
  <c r="S21" i="122"/>
  <c r="CE24" i="122"/>
  <c r="DT123" i="22" s="1"/>
  <c r="CE21" i="122"/>
  <c r="BK92" i="22"/>
  <c r="CZ24" i="122"/>
  <c r="EO123" i="22" s="1"/>
  <c r="BL123" i="22" s="1"/>
  <c r="CZ21" i="122"/>
  <c r="DJ18" i="117"/>
  <c r="DJ24" i="117" s="1"/>
  <c r="EY119" i="22" s="1"/>
  <c r="DI18" i="117"/>
  <c r="DI24" i="117" s="1"/>
  <c r="EX119" i="22" s="1"/>
  <c r="DH18" i="117"/>
  <c r="DH24" i="117" s="1"/>
  <c r="EW119" i="22" s="1"/>
  <c r="CN18" i="100"/>
  <c r="CN24" i="100" s="1"/>
  <c r="AT11" i="108"/>
  <c r="AT14" i="108" s="1"/>
  <c r="AT20" i="108" s="1"/>
  <c r="CI110" i="22" s="1"/>
  <c r="BC11" i="108"/>
  <c r="BC14" i="108" s="1"/>
  <c r="BC20" i="108" s="1"/>
  <c r="CR110" i="22" s="1"/>
  <c r="AW11" i="108"/>
  <c r="AW14" i="108" s="1"/>
  <c r="AQ11" i="109"/>
  <c r="AQ14" i="109" s="1"/>
  <c r="AQ20" i="109" s="1"/>
  <c r="Q11" i="109"/>
  <c r="Q14" i="109" s="1"/>
  <c r="Q20" i="109" s="1"/>
  <c r="AB11" i="110"/>
  <c r="AB14" i="110" s="1"/>
  <c r="AB20" i="110" s="1"/>
  <c r="AO11" i="110"/>
  <c r="AO14" i="110" s="1"/>
  <c r="AO20" i="110" s="1"/>
  <c r="AQ11" i="115"/>
  <c r="AQ14" i="115" s="1"/>
  <c r="AQ20" i="115" s="1"/>
  <c r="BX18" i="100"/>
  <c r="BX24" i="100" s="1"/>
  <c r="BY18" i="100"/>
  <c r="BY24" i="100" s="1"/>
  <c r="CL18" i="100"/>
  <c r="CL24" i="100" s="1"/>
  <c r="BS18" i="100"/>
  <c r="BS24" i="100" s="1"/>
  <c r="CJ18" i="100"/>
  <c r="CJ24" i="100" s="1"/>
  <c r="BU18" i="100"/>
  <c r="BU24" i="100" s="1"/>
  <c r="AI11" i="108"/>
  <c r="AI14" i="108" s="1"/>
  <c r="AI20" i="108" s="1"/>
  <c r="BI11" i="108"/>
  <c r="BI14" i="108" s="1"/>
  <c r="BI20" i="108" s="1"/>
  <c r="CX110" i="22" s="1"/>
  <c r="Z11" i="108"/>
  <c r="Z14" i="108" s="1"/>
  <c r="Z20" i="108" s="1"/>
  <c r="L11" i="108"/>
  <c r="L14" i="108" s="1"/>
  <c r="L20" i="108" s="1"/>
  <c r="AD11" i="108"/>
  <c r="AD14" i="108" s="1"/>
  <c r="AD20" i="108" s="1"/>
  <c r="CP11" i="108"/>
  <c r="CP14" i="108" s="1"/>
  <c r="CP20" i="108" s="1"/>
  <c r="EE110" i="22" s="1"/>
  <c r="AZ11" i="108"/>
  <c r="AZ14" i="108" s="1"/>
  <c r="AZ20" i="108" s="1"/>
  <c r="CO110" i="22" s="1"/>
  <c r="AM11" i="108"/>
  <c r="AM14" i="108" s="1"/>
  <c r="AM20" i="108" s="1"/>
  <c r="BH11" i="108"/>
  <c r="BH14" i="108" s="1"/>
  <c r="BH20" i="108" s="1"/>
  <c r="CW110" i="22" s="1"/>
  <c r="AN11" i="108"/>
  <c r="AN14" i="108" s="1"/>
  <c r="AN20" i="108" s="1"/>
  <c r="AG11" i="108"/>
  <c r="AG14" i="108" s="1"/>
  <c r="AG20" i="108" s="1"/>
  <c r="T11" i="109"/>
  <c r="T14" i="109" s="1"/>
  <c r="T20" i="109" s="1"/>
  <c r="CF11" i="109"/>
  <c r="CF14" i="109" s="1"/>
  <c r="CF20" i="109" s="1"/>
  <c r="DU111" i="22" s="1"/>
  <c r="BQ11" i="109"/>
  <c r="BQ14" i="109" s="1"/>
  <c r="BQ20" i="109" s="1"/>
  <c r="DF111" i="22" s="1"/>
  <c r="BJ11" i="109"/>
  <c r="BJ14" i="109" s="1"/>
  <c r="BJ20" i="109" s="1"/>
  <c r="CY111" i="22" s="1"/>
  <c r="AP11" i="109"/>
  <c r="AP14" i="109" s="1"/>
  <c r="AP20" i="109" s="1"/>
  <c r="BC11" i="109"/>
  <c r="BC14" i="109" s="1"/>
  <c r="BC20" i="109" s="1"/>
  <c r="CR111" i="22" s="1"/>
  <c r="AI11" i="109"/>
  <c r="AI14" i="109" s="1"/>
  <c r="P11" i="109"/>
  <c r="P14" i="109" s="1"/>
  <c r="P20" i="109" s="1"/>
  <c r="CB11" i="109"/>
  <c r="CB14" i="109" s="1"/>
  <c r="CB20" i="109" s="1"/>
  <c r="DQ111" i="22" s="1"/>
  <c r="BM11" i="109"/>
  <c r="BM14" i="109" s="1"/>
  <c r="BM20" i="109" s="1"/>
  <c r="DB111" i="22" s="1"/>
  <c r="AT11" i="115"/>
  <c r="AT14" i="115" s="1"/>
  <c r="AT20" i="115" s="1"/>
  <c r="CI117" i="22" s="1"/>
  <c r="BQ11" i="110"/>
  <c r="BQ14" i="110" s="1"/>
  <c r="BQ20" i="110" s="1"/>
  <c r="DF112" i="22" s="1"/>
  <c r="CG11" i="115"/>
  <c r="CG14" i="115" s="1"/>
  <c r="CG20" i="115" s="1"/>
  <c r="DV117" i="22" s="1"/>
  <c r="AL11" i="110"/>
  <c r="AL14" i="110" s="1"/>
  <c r="AL20" i="110" s="1"/>
  <c r="AU11" i="110"/>
  <c r="AU14" i="110" s="1"/>
  <c r="AU20" i="110" s="1"/>
  <c r="CJ112" i="22" s="1"/>
  <c r="BD11" i="110"/>
  <c r="BD14" i="110" s="1"/>
  <c r="BD20" i="110" s="1"/>
  <c r="CS112" i="22" s="1"/>
  <c r="AA11" i="110"/>
  <c r="AA14" i="110" s="1"/>
  <c r="AA20" i="110" s="1"/>
  <c r="BR11" i="115"/>
  <c r="BR14" i="115" s="1"/>
  <c r="BR20" i="115" s="1"/>
  <c r="DG117" i="22" s="1"/>
  <c r="CK11" i="110"/>
  <c r="CK14" i="110" s="1"/>
  <c r="CK20" i="110" s="1"/>
  <c r="DZ112" i="22" s="1"/>
  <c r="CP11" i="115"/>
  <c r="CP14" i="115" s="1"/>
  <c r="CP20" i="115" s="1"/>
  <c r="EE117" i="22" s="1"/>
  <c r="AS11" i="115"/>
  <c r="AS14" i="115" s="1"/>
  <c r="CD11" i="110"/>
  <c r="CD14" i="110" s="1"/>
  <c r="CD20" i="110" s="1"/>
  <c r="DS112" i="22" s="1"/>
  <c r="BQ11" i="115"/>
  <c r="BQ14" i="115" s="1"/>
  <c r="BQ20" i="115" s="1"/>
  <c r="DF117" i="22" s="1"/>
  <c r="AU11" i="115"/>
  <c r="AU14" i="115" s="1"/>
  <c r="BL11" i="115"/>
  <c r="BL14" i="115" s="1"/>
  <c r="BL20" i="115" s="1"/>
  <c r="DA117" i="22" s="1"/>
  <c r="I11" i="115"/>
  <c r="I14" i="115" s="1"/>
  <c r="I20" i="115" s="1"/>
  <c r="BU11" i="115"/>
  <c r="BU14" i="115" s="1"/>
  <c r="BU20" i="115" s="1"/>
  <c r="DJ117" i="22" s="1"/>
  <c r="BF11" i="115"/>
  <c r="BF14" i="115" s="1"/>
  <c r="BF20" i="115" s="1"/>
  <c r="CU117" i="22" s="1"/>
  <c r="AA11" i="115"/>
  <c r="AA14" i="115" s="1"/>
  <c r="CM11" i="115"/>
  <c r="CM14" i="115" s="1"/>
  <c r="AS24" i="118"/>
  <c r="CH120" i="22" s="1"/>
  <c r="AS21" i="118"/>
  <c r="AX24" i="122"/>
  <c r="CM123" i="22" s="1"/>
  <c r="AX21" i="122"/>
  <c r="T11" i="115"/>
  <c r="T14" i="115" s="1"/>
  <c r="T20" i="115" s="1"/>
  <c r="CF11" i="115"/>
  <c r="CF14" i="115" s="1"/>
  <c r="CF20" i="115" s="1"/>
  <c r="DU117" i="22" s="1"/>
  <c r="J21" i="122"/>
  <c r="J24" i="122"/>
  <c r="AY24" i="118"/>
  <c r="CN120" i="22" s="1"/>
  <c r="AY21" i="118"/>
  <c r="AA24" i="122"/>
  <c r="AA21" i="122"/>
  <c r="T24" i="122"/>
  <c r="T21" i="122"/>
  <c r="CY18" i="100"/>
  <c r="DD18" i="117"/>
  <c r="DD24" i="117" s="1"/>
  <c r="ES119" i="22" s="1"/>
  <c r="DC18" i="117"/>
  <c r="DC24" i="117" s="1"/>
  <c r="ER119" i="22" s="1"/>
  <c r="DB18" i="117"/>
  <c r="DB24" i="117" s="1"/>
  <c r="EQ119" i="22" s="1"/>
  <c r="DA18" i="117"/>
  <c r="DA24" i="117" s="1"/>
  <c r="EP119" i="22" s="1"/>
  <c r="CZ18" i="117"/>
  <c r="CZ24" i="117" s="1"/>
  <c r="EO119" i="22" s="1"/>
  <c r="CO18" i="100"/>
  <c r="CO24" i="100" s="1"/>
  <c r="AY11" i="108"/>
  <c r="AY14" i="108" s="1"/>
  <c r="AY20" i="108" s="1"/>
  <c r="CN110" i="22" s="1"/>
  <c r="AJ11" i="109"/>
  <c r="AJ14" i="109" s="1"/>
  <c r="AJ20" i="109" s="1"/>
  <c r="BZ11" i="109"/>
  <c r="BZ14" i="109" s="1"/>
  <c r="BZ20" i="109" s="1"/>
  <c r="DO111" i="22" s="1"/>
  <c r="AH11" i="110"/>
  <c r="AH14" i="110" s="1"/>
  <c r="AH20" i="110" s="1"/>
  <c r="AJ11" i="115"/>
  <c r="AJ14" i="115" s="1"/>
  <c r="AJ20" i="115" s="1"/>
  <c r="CF18" i="100"/>
  <c r="CF24" i="100" s="1"/>
  <c r="AY18" i="100"/>
  <c r="AY24" i="100" s="1"/>
  <c r="CG18" i="100"/>
  <c r="CG24" i="100" s="1"/>
  <c r="CA18" i="100"/>
  <c r="CA24" i="100" s="1"/>
  <c r="CR18" i="100"/>
  <c r="CR24" i="100" s="1"/>
  <c r="CC18" i="100"/>
  <c r="CC24" i="100" s="1"/>
  <c r="BO11" i="108"/>
  <c r="BO14" i="108" s="1"/>
  <c r="BO20" i="108" s="1"/>
  <c r="DD110" i="22" s="1"/>
  <c r="BQ11" i="108"/>
  <c r="BQ14" i="108" s="1"/>
  <c r="BQ20" i="108" s="1"/>
  <c r="DF110" i="22" s="1"/>
  <c r="CL11" i="108"/>
  <c r="CL14" i="108" s="1"/>
  <c r="CL20" i="108" s="1"/>
  <c r="EA110" i="22" s="1"/>
  <c r="AR11" i="108"/>
  <c r="AR14" i="108" s="1"/>
  <c r="AR20" i="108" s="1"/>
  <c r="AL11" i="108"/>
  <c r="AL14" i="108" s="1"/>
  <c r="AL20" i="108" s="1"/>
  <c r="AA11" i="108"/>
  <c r="AA14" i="108" s="1"/>
  <c r="AA20" i="108" s="1"/>
  <c r="BX11" i="108"/>
  <c r="BX14" i="108" s="1"/>
  <c r="BX20" i="108" s="1"/>
  <c r="DM110" i="22" s="1"/>
  <c r="AU11" i="108"/>
  <c r="AU14" i="108" s="1"/>
  <c r="AU20" i="108" s="1"/>
  <c r="CJ110" i="22" s="1"/>
  <c r="S11" i="108"/>
  <c r="S14" i="108" s="1"/>
  <c r="S20" i="108" s="1"/>
  <c r="BP11" i="108"/>
  <c r="BP14" i="108" s="1"/>
  <c r="BP20" i="108" s="1"/>
  <c r="DE110" i="22" s="1"/>
  <c r="AV11" i="108"/>
  <c r="AV14" i="108" s="1"/>
  <c r="AV20" i="108" s="1"/>
  <c r="CK110" i="22" s="1"/>
  <c r="AO11" i="108"/>
  <c r="AO14" i="108" s="1"/>
  <c r="AO20" i="108" s="1"/>
  <c r="BF11" i="109"/>
  <c r="BF14" i="109" s="1"/>
  <c r="BF20" i="109" s="1"/>
  <c r="CU111" i="22" s="1"/>
  <c r="AB11" i="109"/>
  <c r="AB14" i="109" s="1"/>
  <c r="AB20" i="109" s="1"/>
  <c r="CN11" i="109"/>
  <c r="CN14" i="109" s="1"/>
  <c r="CN20" i="109" s="1"/>
  <c r="EC111" i="22" s="1"/>
  <c r="M11" i="109"/>
  <c r="M14" i="109" s="1"/>
  <c r="M20" i="109" s="1"/>
  <c r="BY11" i="109"/>
  <c r="BY14" i="109" s="1"/>
  <c r="BY20" i="109" s="1"/>
  <c r="DN111" i="22" s="1"/>
  <c r="BR11" i="109"/>
  <c r="BR14" i="109" s="1"/>
  <c r="BR20" i="109" s="1"/>
  <c r="DG111" i="22" s="1"/>
  <c r="CD11" i="109"/>
  <c r="CD14" i="109" s="1"/>
  <c r="CD20" i="109" s="1"/>
  <c r="DS111" i="22" s="1"/>
  <c r="BK11" i="109"/>
  <c r="BK14" i="109" s="1"/>
  <c r="BK20" i="109" s="1"/>
  <c r="CZ111" i="22" s="1"/>
  <c r="CM11" i="109"/>
  <c r="CM14" i="109" s="1"/>
  <c r="CM20" i="109" s="1"/>
  <c r="EB111" i="22" s="1"/>
  <c r="X11" i="109"/>
  <c r="X14" i="109" s="1"/>
  <c r="X20" i="109" s="1"/>
  <c r="CJ11" i="109"/>
  <c r="CJ14" i="109" s="1"/>
  <c r="CJ20" i="109" s="1"/>
  <c r="DY111" i="22" s="1"/>
  <c r="I11" i="109"/>
  <c r="I14" i="109" s="1"/>
  <c r="I20" i="109" s="1"/>
  <c r="BU11" i="109"/>
  <c r="BU14" i="109" s="1"/>
  <c r="BU20" i="109" s="1"/>
  <c r="DJ111" i="22" s="1"/>
  <c r="BY11" i="115"/>
  <c r="BY14" i="115" s="1"/>
  <c r="BY20" i="115" s="1"/>
  <c r="DN117" i="22" s="1"/>
  <c r="BZ11" i="115"/>
  <c r="BZ14" i="115" s="1"/>
  <c r="BZ20" i="115" s="1"/>
  <c r="DO117" i="22" s="1"/>
  <c r="AT11" i="110"/>
  <c r="AT14" i="110" s="1"/>
  <c r="AT20" i="110" s="1"/>
  <c r="CI112" i="22" s="1"/>
  <c r="BC11" i="110"/>
  <c r="BC14" i="110" s="1"/>
  <c r="BC20" i="110" s="1"/>
  <c r="CR112" i="22" s="1"/>
  <c r="BY11" i="110"/>
  <c r="BY14" i="110" s="1"/>
  <c r="BY20" i="110" s="1"/>
  <c r="DN112" i="22" s="1"/>
  <c r="BL11" i="110"/>
  <c r="BL14" i="110" s="1"/>
  <c r="BL20" i="110" s="1"/>
  <c r="DA112" i="22" s="1"/>
  <c r="AI11" i="110"/>
  <c r="AI14" i="110" s="1"/>
  <c r="AI20" i="110" s="1"/>
  <c r="Y11" i="110"/>
  <c r="Y14" i="110" s="1"/>
  <c r="Y20" i="110" s="1"/>
  <c r="Z11" i="110"/>
  <c r="Z14" i="110" s="1"/>
  <c r="Z20" i="110" s="1"/>
  <c r="CL11" i="110"/>
  <c r="CL14" i="110" s="1"/>
  <c r="CL20" i="110" s="1"/>
  <c r="EA112" i="22" s="1"/>
  <c r="BC11" i="115"/>
  <c r="BC14" i="115" s="1"/>
  <c r="BT11" i="115"/>
  <c r="BT14" i="115" s="1"/>
  <c r="BT20" i="115" s="1"/>
  <c r="DI117" i="22" s="1"/>
  <c r="Q11" i="115"/>
  <c r="Q14" i="115" s="1"/>
  <c r="CC11" i="115"/>
  <c r="CC14" i="115" s="1"/>
  <c r="CC20" i="115" s="1"/>
  <c r="DR117" i="22" s="1"/>
  <c r="BN11" i="115"/>
  <c r="BN14" i="115" s="1"/>
  <c r="BN20" i="115" s="1"/>
  <c r="DC117" i="22" s="1"/>
  <c r="AI11" i="115"/>
  <c r="AI14" i="115" s="1"/>
  <c r="AI20" i="115" s="1"/>
  <c r="AB11" i="115"/>
  <c r="AB14" i="115" s="1"/>
  <c r="AB20" i="115" s="1"/>
  <c r="CN11" i="115"/>
  <c r="CN14" i="115" s="1"/>
  <c r="CN20" i="115" s="1"/>
  <c r="EC117" i="22" s="1"/>
  <c r="AW24" i="118"/>
  <c r="CL120" i="22" s="1"/>
  <c r="AW21" i="118"/>
  <c r="BG24" i="118"/>
  <c r="CV120" i="22" s="1"/>
  <c r="BG21" i="118"/>
  <c r="AI24" i="122"/>
  <c r="AI21" i="122"/>
  <c r="AD24" i="122"/>
  <c r="AD21" i="122"/>
  <c r="BJ28" i="22"/>
  <c r="BK67" i="22"/>
  <c r="CZ24" i="118"/>
  <c r="EO120" i="22" s="1"/>
  <c r="BL120" i="22" s="1"/>
  <c r="CZ21" i="118"/>
  <c r="DV18" i="117"/>
  <c r="DV24" i="117" s="1"/>
  <c r="M11" i="108"/>
  <c r="M14" i="108" s="1"/>
  <c r="M20" i="108" s="1"/>
  <c r="BD11" i="108"/>
  <c r="BD14" i="108" s="1"/>
  <c r="BD20" i="108" s="1"/>
  <c r="CS110" i="22" s="1"/>
  <c r="BN11" i="109"/>
  <c r="BN14" i="109" s="1"/>
  <c r="BN20" i="109" s="1"/>
  <c r="DC111" i="22" s="1"/>
  <c r="AA11" i="109"/>
  <c r="AA14" i="109" s="1"/>
  <c r="AA20" i="109" s="1"/>
  <c r="BK11" i="110"/>
  <c r="BK14" i="110" s="1"/>
  <c r="BK20" i="110" s="1"/>
  <c r="CZ112" i="22" s="1"/>
  <c r="BT11" i="110"/>
  <c r="BT14" i="110" s="1"/>
  <c r="BT20" i="110" s="1"/>
  <c r="DI112" i="22" s="1"/>
  <c r="BK11" i="115"/>
  <c r="BK14" i="115" s="1"/>
  <c r="BK20" i="115" s="1"/>
  <c r="CZ117" i="22" s="1"/>
  <c r="BG18" i="100"/>
  <c r="BG24" i="100" s="1"/>
  <c r="AJ18" i="100"/>
  <c r="AJ24" i="100" s="1"/>
  <c r="BF18" i="100"/>
  <c r="BF24" i="100" s="1"/>
  <c r="BW18" i="100"/>
  <c r="BW24" i="100" s="1"/>
  <c r="AK18" i="100"/>
  <c r="AK24" i="100" s="1"/>
  <c r="AX18" i="100"/>
  <c r="AX24" i="100" s="1"/>
  <c r="AL18" i="100"/>
  <c r="AL24" i="100" s="1"/>
  <c r="CQ18" i="100"/>
  <c r="CQ24" i="100" s="1"/>
  <c r="AT18" i="100"/>
  <c r="AT24" i="100" s="1"/>
  <c r="AV18" i="100"/>
  <c r="AV24" i="100" s="1"/>
  <c r="AP11" i="108"/>
  <c r="AP14" i="108" s="1"/>
  <c r="AP20" i="108" s="1"/>
  <c r="U11" i="108"/>
  <c r="U14" i="108" s="1"/>
  <c r="U20" i="108" s="1"/>
  <c r="CG11" i="108"/>
  <c r="CG14" i="108" s="1"/>
  <c r="CG20" i="108" s="1"/>
  <c r="DV110" i="22" s="1"/>
  <c r="BB11" i="108"/>
  <c r="BB14" i="108" s="1"/>
  <c r="BB20" i="108" s="1"/>
  <c r="CQ110" i="22" s="1"/>
  <c r="R11" i="108"/>
  <c r="R14" i="108" s="1"/>
  <c r="R20" i="108" s="1"/>
  <c r="BW11" i="108"/>
  <c r="BW14" i="108" s="1"/>
  <c r="BW20" i="108" s="1"/>
  <c r="DL110" i="22" s="1"/>
  <c r="BK11" i="108"/>
  <c r="BK14" i="108" s="1"/>
  <c r="BK20" i="108" s="1"/>
  <c r="CZ110" i="22" s="1"/>
  <c r="AH11" i="108"/>
  <c r="AH14" i="108" s="1"/>
  <c r="AH20" i="108" s="1"/>
  <c r="BG11" i="108"/>
  <c r="BG14" i="108" s="1"/>
  <c r="BG20" i="108" s="1"/>
  <c r="CV110" i="22" s="1"/>
  <c r="BL11" i="108"/>
  <c r="BL14" i="108" s="1"/>
  <c r="BL20" i="108" s="1"/>
  <c r="DA110" i="22" s="1"/>
  <c r="BE11" i="108"/>
  <c r="BE14" i="108" s="1"/>
  <c r="BE20" i="108" s="1"/>
  <c r="CT110" i="22" s="1"/>
  <c r="BO11" i="109"/>
  <c r="BO14" i="109" s="1"/>
  <c r="BO20" i="109" s="1"/>
  <c r="DD111" i="22" s="1"/>
  <c r="AR11" i="109"/>
  <c r="AR14" i="109" s="1"/>
  <c r="AR20" i="109" s="1"/>
  <c r="S11" i="109"/>
  <c r="S14" i="109" s="1"/>
  <c r="S20" i="109" s="1"/>
  <c r="AC11" i="109"/>
  <c r="AC14" i="109" s="1"/>
  <c r="AC20" i="109" s="1"/>
  <c r="CO11" i="109"/>
  <c r="CO14" i="109" s="1"/>
  <c r="CO20" i="109" s="1"/>
  <c r="ED111" i="22" s="1"/>
  <c r="V11" i="109"/>
  <c r="V14" i="109" s="1"/>
  <c r="V20" i="109" s="1"/>
  <c r="CH11" i="109"/>
  <c r="CH14" i="109" s="1"/>
  <c r="CH20" i="109" s="1"/>
  <c r="DW111" i="22" s="1"/>
  <c r="K11" i="109"/>
  <c r="K14" i="109" s="1"/>
  <c r="K20" i="109" s="1"/>
  <c r="O11" i="109"/>
  <c r="O14" i="109" s="1"/>
  <c r="O20" i="109" s="1"/>
  <c r="CA11" i="109"/>
  <c r="CA14" i="109" s="1"/>
  <c r="CA20" i="109" s="1"/>
  <c r="DP111" i="22" s="1"/>
  <c r="AN11" i="109"/>
  <c r="AN14" i="109" s="1"/>
  <c r="CE11" i="109"/>
  <c r="CE14" i="109" s="1"/>
  <c r="CE20" i="109" s="1"/>
  <c r="DT111" i="22" s="1"/>
  <c r="Y11" i="109"/>
  <c r="Y14" i="109" s="1"/>
  <c r="Y20" i="109" s="1"/>
  <c r="CK11" i="109"/>
  <c r="CK14" i="109" s="1"/>
  <c r="CK20" i="109" s="1"/>
  <c r="DZ111" i="22" s="1"/>
  <c r="CE11" i="110"/>
  <c r="CE14" i="110" s="1"/>
  <c r="CE20" i="110" s="1"/>
  <c r="DT112" i="22" s="1"/>
  <c r="BP11" i="110"/>
  <c r="BP14" i="110" s="1"/>
  <c r="BP20" i="110" s="1"/>
  <c r="DE112" i="22" s="1"/>
  <c r="AD11" i="110"/>
  <c r="AD14" i="110" s="1"/>
  <c r="AY11" i="110"/>
  <c r="AY14" i="110" s="1"/>
  <c r="AZ11" i="110"/>
  <c r="AZ14" i="110" s="1"/>
  <c r="AZ20" i="110" s="1"/>
  <c r="CO112" i="22" s="1"/>
  <c r="CH11" i="110"/>
  <c r="CH14" i="110" s="1"/>
  <c r="CH20" i="110" s="1"/>
  <c r="DW112" i="22" s="1"/>
  <c r="BS11" i="110"/>
  <c r="BS14" i="110" s="1"/>
  <c r="BS20" i="110" s="1"/>
  <c r="DH112" i="22" s="1"/>
  <c r="CB11" i="110"/>
  <c r="CB14" i="110" s="1"/>
  <c r="CB20" i="110" s="1"/>
  <c r="DQ112" i="22" s="1"/>
  <c r="AW11" i="110"/>
  <c r="AW14" i="110" s="1"/>
  <c r="AW20" i="110" s="1"/>
  <c r="CL112" i="22" s="1"/>
  <c r="BX11" i="110"/>
  <c r="BX14" i="110" s="1"/>
  <c r="BX20" i="110" s="1"/>
  <c r="DM112" i="22" s="1"/>
  <c r="AP11" i="110"/>
  <c r="AP14" i="110" s="1"/>
  <c r="AP20" i="110" s="1"/>
  <c r="BS11" i="115"/>
  <c r="BS14" i="115" s="1"/>
  <c r="BS20" i="115" s="1"/>
  <c r="DH117" i="22" s="1"/>
  <c r="X11" i="115"/>
  <c r="X14" i="115" s="1"/>
  <c r="CJ11" i="115"/>
  <c r="CJ14" i="115" s="1"/>
  <c r="CJ20" i="115" s="1"/>
  <c r="DY117" i="22" s="1"/>
  <c r="AG11" i="115"/>
  <c r="AG14" i="115" s="1"/>
  <c r="AG20" i="115" s="1"/>
  <c r="J18" i="116"/>
  <c r="J24" i="116" s="1"/>
  <c r="R11" i="115"/>
  <c r="R14" i="115" s="1"/>
  <c r="R20" i="115" s="1"/>
  <c r="CD11" i="115"/>
  <c r="CD14" i="115" s="1"/>
  <c r="CD20" i="115" s="1"/>
  <c r="DS117" i="22" s="1"/>
  <c r="AY11" i="115"/>
  <c r="AY14" i="115" s="1"/>
  <c r="AY20" i="115" s="1"/>
  <c r="AR11" i="115"/>
  <c r="AR14" i="115" s="1"/>
  <c r="I18" i="117"/>
  <c r="I24" i="117" s="1"/>
  <c r="BW21" i="118"/>
  <c r="BW24" i="118"/>
  <c r="DL120" i="22" s="1"/>
  <c r="AT24" i="122"/>
  <c r="CI123" i="22" s="1"/>
  <c r="AT21" i="122"/>
  <c r="V21" i="120"/>
  <c r="V24" i="120"/>
  <c r="CS14" i="106"/>
  <c r="CS20" i="106" s="1"/>
  <c r="CT14" i="106"/>
  <c r="CT20" i="106" s="1"/>
  <c r="CV24" i="120"/>
  <c r="EK122" i="22" s="1"/>
  <c r="BH122" i="22" s="1"/>
  <c r="CV21" i="120"/>
  <c r="DO18" i="117"/>
  <c r="DO24" i="117" s="1"/>
  <c r="FD119" i="22" s="1"/>
  <c r="DN18" i="117"/>
  <c r="DN24" i="117" s="1"/>
  <c r="FC119" i="22" s="1"/>
  <c r="AQ18" i="100"/>
  <c r="AQ24" i="100" s="1"/>
  <c r="AN18" i="100"/>
  <c r="AN24" i="100" s="1"/>
  <c r="BY11" i="108"/>
  <c r="BY14" i="108" s="1"/>
  <c r="BY20" i="108" s="1"/>
  <c r="DN110" i="22" s="1"/>
  <c r="U11" i="109"/>
  <c r="U14" i="109" s="1"/>
  <c r="AR11" i="110"/>
  <c r="AR14" i="110" s="1"/>
  <c r="AR20" i="110" s="1"/>
  <c r="BG11" i="110"/>
  <c r="BG14" i="110" s="1"/>
  <c r="BG20" i="110" s="1"/>
  <c r="CV112" i="22" s="1"/>
  <c r="CB11" i="115"/>
  <c r="CB14" i="115" s="1"/>
  <c r="CB20" i="115" s="1"/>
  <c r="DQ117" i="22" s="1"/>
  <c r="J11" i="115"/>
  <c r="J14" i="115" s="1"/>
  <c r="J20" i="115" s="1"/>
  <c r="BO24" i="118"/>
  <c r="DD120" i="22" s="1"/>
  <c r="BO21" i="118"/>
  <c r="AP18" i="100"/>
  <c r="AP24" i="100" s="1"/>
  <c r="CE18" i="100"/>
  <c r="CE24" i="100" s="1"/>
  <c r="AR18" i="100"/>
  <c r="AR24" i="100" s="1"/>
  <c r="CM18" i="100"/>
  <c r="CM24" i="100" s="1"/>
  <c r="AS18" i="100"/>
  <c r="AS24" i="100" s="1"/>
  <c r="BR18" i="100"/>
  <c r="BR24" i="100" s="1"/>
  <c r="AM18" i="100"/>
  <c r="AM24" i="100" s="1"/>
  <c r="BD18" i="100"/>
  <c r="BD24" i="100" s="1"/>
  <c r="BB18" i="100"/>
  <c r="BB24" i="100" s="1"/>
  <c r="AO18" i="100"/>
  <c r="AO24" i="100" s="1"/>
  <c r="BV11" i="108"/>
  <c r="BV14" i="108" s="1"/>
  <c r="BV20" i="108" s="1"/>
  <c r="DK110" i="22" s="1"/>
  <c r="AC11" i="108"/>
  <c r="AC14" i="108" s="1"/>
  <c r="AC20" i="108" s="1"/>
  <c r="CO11" i="108"/>
  <c r="CO14" i="108" s="1"/>
  <c r="CO20" i="108" s="1"/>
  <c r="ED110" i="22" s="1"/>
  <c r="K11" i="108"/>
  <c r="K14" i="108" s="1"/>
  <c r="K20" i="108" s="1"/>
  <c r="BJ11" i="108"/>
  <c r="BJ14" i="108" s="1"/>
  <c r="BJ20" i="108" s="1"/>
  <c r="CY110" i="22" s="1"/>
  <c r="AX11" i="108"/>
  <c r="AX14" i="108" s="1"/>
  <c r="AX20" i="108" s="1"/>
  <c r="CM110" i="22" s="1"/>
  <c r="BS11" i="108"/>
  <c r="BS14" i="108" s="1"/>
  <c r="BS20" i="108" s="1"/>
  <c r="DH110" i="22" s="1"/>
  <c r="BF11" i="108"/>
  <c r="BF14" i="108" s="1"/>
  <c r="BF20" i="108" s="1"/>
  <c r="CU110" i="22" s="1"/>
  <c r="CE11" i="108"/>
  <c r="CE14" i="108" s="1"/>
  <c r="CE20" i="108" s="1"/>
  <c r="DT110" i="22" s="1"/>
  <c r="BT11" i="108"/>
  <c r="BT14" i="108" s="1"/>
  <c r="BT20" i="108" s="1"/>
  <c r="DI110" i="22" s="1"/>
  <c r="BM11" i="108"/>
  <c r="BM14" i="108" s="1"/>
  <c r="BM20" i="108" s="1"/>
  <c r="DB110" i="22" s="1"/>
  <c r="AZ11" i="109"/>
  <c r="AZ14" i="109" s="1"/>
  <c r="AY11" i="109"/>
  <c r="AY14" i="109" s="1"/>
  <c r="AY20" i="109" s="1"/>
  <c r="CN111" i="22" s="1"/>
  <c r="AK11" i="109"/>
  <c r="AK14" i="109" s="1"/>
  <c r="AK20" i="109" s="1"/>
  <c r="J11" i="109"/>
  <c r="J14" i="109" s="1"/>
  <c r="J20" i="109" s="1"/>
  <c r="AD11" i="109"/>
  <c r="AD14" i="109" s="1"/>
  <c r="AD20" i="109" s="1"/>
  <c r="CP11" i="109"/>
  <c r="CP14" i="109" s="1"/>
  <c r="CP20" i="109" s="1"/>
  <c r="EE111" i="22" s="1"/>
  <c r="BW11" i="109"/>
  <c r="BW14" i="109" s="1"/>
  <c r="BW20" i="109" s="1"/>
  <c r="DL111" i="22" s="1"/>
  <c r="W11" i="109"/>
  <c r="W14" i="109" s="1"/>
  <c r="W20" i="109" s="1"/>
  <c r="CI11" i="109"/>
  <c r="CI14" i="109" s="1"/>
  <c r="CI20" i="109" s="1"/>
  <c r="DX111" i="22" s="1"/>
  <c r="AV11" i="109"/>
  <c r="AV14" i="109" s="1"/>
  <c r="AV20" i="109" s="1"/>
  <c r="CK111" i="22" s="1"/>
  <c r="AG11" i="109"/>
  <c r="AG14" i="109" s="1"/>
  <c r="AG20" i="109" s="1"/>
  <c r="AC11" i="110"/>
  <c r="AC14" i="110" s="1"/>
  <c r="BB11" i="110"/>
  <c r="BB14" i="110" s="1"/>
  <c r="BB20" i="110" s="1"/>
  <c r="CQ112" i="22" s="1"/>
  <c r="CN11" i="110"/>
  <c r="CN14" i="110" s="1"/>
  <c r="CN20" i="110" s="1"/>
  <c r="EC112" i="22" s="1"/>
  <c r="AK11" i="110"/>
  <c r="AK14" i="110" s="1"/>
  <c r="AK20" i="110" s="1"/>
  <c r="CA11" i="110"/>
  <c r="CA14" i="110" s="1"/>
  <c r="X14" i="110"/>
  <c r="X20" i="110" s="1"/>
  <c r="CJ11" i="110"/>
  <c r="CJ14" i="110" s="1"/>
  <c r="CJ20" i="110" s="1"/>
  <c r="DY112" i="22" s="1"/>
  <c r="AC11" i="115"/>
  <c r="AC14" i="115" s="1"/>
  <c r="AC20" i="115" s="1"/>
  <c r="CF11" i="110"/>
  <c r="CF14" i="110" s="1"/>
  <c r="CF20" i="110" s="1"/>
  <c r="DU112" i="22" s="1"/>
  <c r="BE11" i="110"/>
  <c r="BE14" i="110" s="1"/>
  <c r="BE20" i="110" s="1"/>
  <c r="CT112" i="22" s="1"/>
  <c r="BO11" i="110"/>
  <c r="BO14" i="110" s="1"/>
  <c r="BO20" i="110" s="1"/>
  <c r="DD112" i="22" s="1"/>
  <c r="AX11" i="110"/>
  <c r="AX14" i="110" s="1"/>
  <c r="AX20" i="110" s="1"/>
  <c r="CM112" i="22" s="1"/>
  <c r="O11" i="115"/>
  <c r="O14" i="115" s="1"/>
  <c r="O20" i="115" s="1"/>
  <c r="CA11" i="115"/>
  <c r="CA14" i="115" s="1"/>
  <c r="CA20" i="115" s="1"/>
  <c r="DP117" i="22" s="1"/>
  <c r="AF11" i="115"/>
  <c r="AF14" i="115" s="1"/>
  <c r="AF20" i="115" s="1"/>
  <c r="AO11" i="115"/>
  <c r="AO14" i="115" s="1"/>
  <c r="Z11" i="115"/>
  <c r="Z14" i="115" s="1"/>
  <c r="Z20" i="115" s="1"/>
  <c r="CL11" i="115"/>
  <c r="CL14" i="115" s="1"/>
  <c r="CL20" i="115" s="1"/>
  <c r="EA117" i="22" s="1"/>
  <c r="BG11" i="115"/>
  <c r="BG14" i="115" s="1"/>
  <c r="BG20" i="115" s="1"/>
  <c r="CV117" i="22" s="1"/>
  <c r="AZ11" i="115"/>
  <c r="AZ14" i="115" s="1"/>
  <c r="AZ20" i="115" s="1"/>
  <c r="CO117" i="22" s="1"/>
  <c r="CZ14" i="106"/>
  <c r="CZ20" i="106" s="1"/>
  <c r="DG18" i="117"/>
  <c r="DG24" i="117" s="1"/>
  <c r="EV119" i="22" s="1"/>
  <c r="DF18" i="117"/>
  <c r="DF24" i="117" s="1"/>
  <c r="EU119" i="22" s="1"/>
  <c r="BO18" i="100"/>
  <c r="BO24" i="100" s="1"/>
  <c r="CK18" i="100"/>
  <c r="CK24" i="100" s="1"/>
  <c r="CF11" i="108"/>
  <c r="CF14" i="108" s="1"/>
  <c r="CF20" i="108" s="1"/>
  <c r="DU110" i="22" s="1"/>
  <c r="CG11" i="109"/>
  <c r="CG14" i="109" s="1"/>
  <c r="CG20" i="109" s="1"/>
  <c r="DV111" i="22" s="1"/>
  <c r="BS11" i="109"/>
  <c r="BS14" i="109" s="1"/>
  <c r="BS20" i="109" s="1"/>
  <c r="DH111" i="22" s="1"/>
  <c r="CC11" i="109"/>
  <c r="CC14" i="109" s="1"/>
  <c r="CC20" i="109" s="1"/>
  <c r="DR111" i="22" s="1"/>
  <c r="BJ11" i="110"/>
  <c r="BJ14" i="110" s="1"/>
  <c r="BJ20" i="110" s="1"/>
  <c r="CY112" i="22" s="1"/>
  <c r="AJ11" i="110"/>
  <c r="AJ14" i="110" s="1"/>
  <c r="AJ20" i="110" s="1"/>
  <c r="CK11" i="115"/>
  <c r="CK14" i="115" s="1"/>
  <c r="CK20" i="115" s="1"/>
  <c r="DZ117" i="22" s="1"/>
  <c r="CI24" i="118"/>
  <c r="DX120" i="22" s="1"/>
  <c r="CI21" i="118"/>
  <c r="BV18" i="100"/>
  <c r="BV24" i="100" s="1"/>
  <c r="AZ18" i="100"/>
  <c r="AZ24" i="100" s="1"/>
  <c r="BA18" i="100"/>
  <c r="BA24" i="100" s="1"/>
  <c r="BZ18" i="100"/>
  <c r="BZ24" i="100" s="1"/>
  <c r="BJ18" i="100"/>
  <c r="BJ24" i="100" s="1"/>
  <c r="AU18" i="100"/>
  <c r="AU24" i="100" s="1"/>
  <c r="BN18" i="100"/>
  <c r="BN24" i="100" s="1"/>
  <c r="BL18" i="100"/>
  <c r="BL24" i="100" s="1"/>
  <c r="AW18" i="100"/>
  <c r="AW24" i="100" s="1"/>
  <c r="AB11" i="108"/>
  <c r="AB14" i="108" s="1"/>
  <c r="AB20" i="108" s="1"/>
  <c r="AK11" i="108"/>
  <c r="AK14" i="108" s="1"/>
  <c r="AK20" i="108" s="1"/>
  <c r="CM11" i="108"/>
  <c r="CM14" i="108" s="1"/>
  <c r="CM20" i="108" s="1"/>
  <c r="EB110" i="22" s="1"/>
  <c r="BR11" i="108"/>
  <c r="BR14" i="108" s="1"/>
  <c r="BR20" i="108" s="1"/>
  <c r="DG110" i="22" s="1"/>
  <c r="CD11" i="108"/>
  <c r="CD14" i="108" s="1"/>
  <c r="CD20" i="108" s="1"/>
  <c r="DS110" i="22" s="1"/>
  <c r="O11" i="108"/>
  <c r="O14" i="108" s="1"/>
  <c r="O20" i="108" s="1"/>
  <c r="CA11" i="108"/>
  <c r="CA14" i="108" s="1"/>
  <c r="BN11" i="108"/>
  <c r="BN14" i="108" s="1"/>
  <c r="BN20" i="108" s="1"/>
  <c r="DC110" i="22" s="1"/>
  <c r="P11" i="108"/>
  <c r="P14" i="108" s="1"/>
  <c r="P20" i="108" s="1"/>
  <c r="CB11" i="108"/>
  <c r="CB14" i="108" s="1"/>
  <c r="CB20" i="108" s="1"/>
  <c r="DQ110" i="22" s="1"/>
  <c r="I11" i="108"/>
  <c r="I14" i="108" s="1"/>
  <c r="I20" i="108" s="1"/>
  <c r="BU11" i="108"/>
  <c r="BU14" i="108" s="1"/>
  <c r="BU20" i="108" s="1"/>
  <c r="DJ110" i="22" s="1"/>
  <c r="BH11" i="109"/>
  <c r="BH14" i="109" s="1"/>
  <c r="BH20" i="109" s="1"/>
  <c r="CW111" i="22" s="1"/>
  <c r="BG11" i="109"/>
  <c r="BG14" i="109" s="1"/>
  <c r="BG20" i="109" s="1"/>
  <c r="CV111" i="22" s="1"/>
  <c r="AS11" i="109"/>
  <c r="AS14" i="109" s="1"/>
  <c r="AS20" i="109" s="1"/>
  <c r="CH111" i="22" s="1"/>
  <c r="CL11" i="109"/>
  <c r="CL14" i="109" s="1"/>
  <c r="CL20" i="109" s="1"/>
  <c r="EA111" i="22" s="1"/>
  <c r="AL11" i="109"/>
  <c r="AL14" i="109" s="1"/>
  <c r="AL20" i="109" s="1"/>
  <c r="AE11" i="109"/>
  <c r="AE14" i="109" s="1"/>
  <c r="CQ11" i="109"/>
  <c r="CQ14" i="109" s="1"/>
  <c r="CQ20" i="109" s="1"/>
  <c r="EF111" i="22" s="1"/>
  <c r="BD11" i="109"/>
  <c r="BD14" i="109" s="1"/>
  <c r="BD20" i="109" s="1"/>
  <c r="CS111" i="22" s="1"/>
  <c r="R11" i="109"/>
  <c r="R14" i="109" s="1"/>
  <c r="R20" i="109" s="1"/>
  <c r="AO11" i="109"/>
  <c r="AO14" i="109" s="1"/>
  <c r="AO20" i="109" s="1"/>
  <c r="AQ11" i="110"/>
  <c r="AQ14" i="110" s="1"/>
  <c r="AQ20" i="110" s="1"/>
  <c r="AS11" i="110"/>
  <c r="AS14" i="110" s="1"/>
  <c r="AS20" i="110" s="1"/>
  <c r="CH112" i="22" s="1"/>
  <c r="BR11" i="110"/>
  <c r="BR14" i="110" s="1"/>
  <c r="BR20" i="110" s="1"/>
  <c r="DG112" i="22" s="1"/>
  <c r="CG11" i="110"/>
  <c r="CG14" i="110" s="1"/>
  <c r="CG20" i="110" s="1"/>
  <c r="DV112" i="22" s="1"/>
  <c r="CI11" i="110"/>
  <c r="CI14" i="110" s="1"/>
  <c r="CI20" i="110" s="1"/>
  <c r="DX112" i="22" s="1"/>
  <c r="V11" i="115"/>
  <c r="V14" i="115" s="1"/>
  <c r="V20" i="115" s="1"/>
  <c r="AF11" i="110"/>
  <c r="AF14" i="110" s="1"/>
  <c r="BI11" i="115"/>
  <c r="BI14" i="115" s="1"/>
  <c r="BI20" i="115" s="1"/>
  <c r="CX117" i="22" s="1"/>
  <c r="BA11" i="110"/>
  <c r="BA14" i="110" s="1"/>
  <c r="BA20" i="110" s="1"/>
  <c r="CP112" i="22" s="1"/>
  <c r="BM11" i="110"/>
  <c r="BM14" i="110" s="1"/>
  <c r="BM20" i="110" s="1"/>
  <c r="DB112" i="22" s="1"/>
  <c r="BF11" i="110"/>
  <c r="BF14" i="110" s="1"/>
  <c r="BF20" i="110" s="1"/>
  <c r="CU112" i="22" s="1"/>
  <c r="W11" i="115"/>
  <c r="W14" i="115" s="1"/>
  <c r="W20" i="115" s="1"/>
  <c r="CI11" i="115"/>
  <c r="CI14" i="115" s="1"/>
  <c r="R21" i="122"/>
  <c r="R24" i="122"/>
  <c r="AN11" i="115"/>
  <c r="AN14" i="115" s="1"/>
  <c r="AN20" i="115" s="1"/>
  <c r="I13" i="116"/>
  <c r="AW11" i="115"/>
  <c r="AW14" i="115" s="1"/>
  <c r="AH11" i="115"/>
  <c r="AH14" i="115" s="1"/>
  <c r="AH20" i="115" s="1"/>
  <c r="K18" i="116"/>
  <c r="K24" i="116" s="1"/>
  <c r="BO11" i="115"/>
  <c r="BO14" i="115" s="1"/>
  <c r="BH11" i="115"/>
  <c r="BH14" i="115" s="1"/>
  <c r="AU24" i="118"/>
  <c r="CJ120" i="22" s="1"/>
  <c r="AU21" i="118"/>
  <c r="CI24" i="122"/>
  <c r="DX123" i="22" s="1"/>
  <c r="CI21" i="122"/>
  <c r="DA18" i="100"/>
  <c r="DC14" i="106"/>
  <c r="DC20" i="106" s="1"/>
  <c r="CY18" i="117"/>
  <c r="CY24" i="117" s="1"/>
  <c r="EN119" i="22" s="1"/>
  <c r="CX18" i="117"/>
  <c r="CX24" i="117" s="1"/>
  <c r="EM119" i="22" s="1"/>
  <c r="AN21" i="120"/>
  <c r="AW21" i="120"/>
  <c r="CI21" i="120"/>
  <c r="BX21" i="120"/>
  <c r="AK21" i="120"/>
  <c r="AS21" i="120"/>
  <c r="AB21" i="120"/>
  <c r="AD21" i="120"/>
  <c r="AO21" i="120"/>
  <c r="CR11" i="109"/>
  <c r="CR14" i="109" s="1"/>
  <c r="CR20" i="109" s="1"/>
  <c r="EG111" i="22" s="1"/>
  <c r="BD111" i="22" s="1"/>
  <c r="BJ83" i="22"/>
  <c r="BJ79" i="22"/>
  <c r="BL94" i="22"/>
  <c r="BK89" i="22"/>
  <c r="BL91" i="22"/>
  <c r="AZ11" i="99"/>
  <c r="AZ13" i="99" s="1"/>
  <c r="AZ19" i="99" s="1"/>
  <c r="AT11" i="99"/>
  <c r="AT13" i="99" s="1"/>
  <c r="AT19" i="99" s="1"/>
  <c r="CL11" i="99"/>
  <c r="CL13" i="99" s="1"/>
  <c r="CL19" i="99" s="1"/>
  <c r="BG11" i="99"/>
  <c r="BG13" i="99" s="1"/>
  <c r="BG19" i="99" s="1"/>
  <c r="BX11" i="99"/>
  <c r="BX13" i="99" s="1"/>
  <c r="BX19" i="99" s="1"/>
  <c r="P11" i="99"/>
  <c r="P13" i="99" s="1"/>
  <c r="P19" i="99" s="1"/>
  <c r="CB11" i="99"/>
  <c r="CB13" i="99" s="1"/>
  <c r="CB19" i="99" s="1"/>
  <c r="BS11" i="99"/>
  <c r="BS13" i="99" s="1"/>
  <c r="BS19" i="99" s="1"/>
  <c r="I11" i="99"/>
  <c r="I13" i="99" s="1"/>
  <c r="I19" i="99" s="1"/>
  <c r="BU11" i="99"/>
  <c r="BU13" i="99" s="1"/>
  <c r="BU19" i="99" s="1"/>
  <c r="BJ11" i="99"/>
  <c r="BJ13" i="99" s="1"/>
  <c r="BJ19" i="99" s="1"/>
  <c r="BK11" i="99"/>
  <c r="BK13" i="99" s="1"/>
  <c r="BK19" i="99" s="1"/>
  <c r="BO11" i="99"/>
  <c r="BO13" i="99" s="1"/>
  <c r="BO19" i="99" s="1"/>
  <c r="T11" i="99"/>
  <c r="T13" i="99" s="1"/>
  <c r="T19" i="99" s="1"/>
  <c r="CF11" i="99"/>
  <c r="CF13" i="99" s="1"/>
  <c r="CF19" i="99" s="1"/>
  <c r="BR11" i="99"/>
  <c r="BR13" i="99" s="1"/>
  <c r="BR19" i="99" s="1"/>
  <c r="M11" i="99"/>
  <c r="M13" i="99" s="1"/>
  <c r="M19" i="99" s="1"/>
  <c r="BY11" i="99"/>
  <c r="BY13" i="99" s="1"/>
  <c r="BY19" i="99" s="1"/>
  <c r="BJ37" i="22"/>
  <c r="AV11" i="99"/>
  <c r="AV13" i="99" s="1"/>
  <c r="AV19" i="99" s="1"/>
  <c r="AO11" i="99"/>
  <c r="AO13" i="99" s="1"/>
  <c r="AO19" i="99" s="1"/>
  <c r="BC11" i="99"/>
  <c r="BC13" i="99" s="1"/>
  <c r="BC19" i="99" s="1"/>
  <c r="BT11" i="99"/>
  <c r="BT13" i="99" s="1"/>
  <c r="BT19" i="99" s="1"/>
  <c r="W11" i="99"/>
  <c r="W13" i="99" s="1"/>
  <c r="W19" i="99" s="1"/>
  <c r="O11" i="99"/>
  <c r="O13" i="99" s="1"/>
  <c r="O19" i="99" s="1"/>
  <c r="L11" i="99"/>
  <c r="L13" i="99" s="1"/>
  <c r="L19" i="99" s="1"/>
  <c r="BB11" i="99"/>
  <c r="BB13" i="99" s="1"/>
  <c r="BB19" i="99" s="1"/>
  <c r="BQ11" i="99"/>
  <c r="BQ13" i="99" s="1"/>
  <c r="BQ19" i="99" s="1"/>
  <c r="AM11" i="99"/>
  <c r="AM13" i="99" s="1"/>
  <c r="AM19" i="99" s="1"/>
  <c r="X11" i="99"/>
  <c r="X13" i="99" s="1"/>
  <c r="X19" i="99" s="1"/>
  <c r="CJ11" i="99"/>
  <c r="CJ13" i="99" s="1"/>
  <c r="CJ19" i="99" s="1"/>
  <c r="CQ11" i="99"/>
  <c r="CQ13" i="99" s="1"/>
  <c r="CQ19" i="99" s="1"/>
  <c r="Q11" i="99"/>
  <c r="Q13" i="99" s="1"/>
  <c r="Q19" i="99" s="1"/>
  <c r="CC11" i="99"/>
  <c r="CC13" i="99" s="1"/>
  <c r="CC19" i="99" s="1"/>
  <c r="BZ11" i="99"/>
  <c r="BZ13" i="99" s="1"/>
  <c r="BZ19" i="99" s="1"/>
  <c r="Z11" i="99"/>
  <c r="Z13" i="99" s="1"/>
  <c r="Z19" i="99" s="1"/>
  <c r="K11" i="99"/>
  <c r="K13" i="99" s="1"/>
  <c r="K19" i="99" s="1"/>
  <c r="BW11" i="99"/>
  <c r="BW13" i="99" s="1"/>
  <c r="BW19" i="99" s="1"/>
  <c r="AE11" i="99"/>
  <c r="AE13" i="99" s="1"/>
  <c r="AE19" i="99" s="1"/>
  <c r="AB11" i="99"/>
  <c r="AB13" i="99" s="1"/>
  <c r="AB19" i="99" s="1"/>
  <c r="CN11" i="99"/>
  <c r="CN13" i="99" s="1"/>
  <c r="CN19" i="99" s="1"/>
  <c r="CH11" i="99"/>
  <c r="CH13" i="99" s="1"/>
  <c r="CH19" i="99" s="1"/>
  <c r="U11" i="99"/>
  <c r="U13" i="99" s="1"/>
  <c r="U19" i="99" s="1"/>
  <c r="CG11" i="99"/>
  <c r="CG13" i="99" s="1"/>
  <c r="CG19" i="99" s="1"/>
  <c r="BL92" i="22"/>
  <c r="BJ91" i="22"/>
  <c r="AI11" i="99"/>
  <c r="AI13" i="99" s="1"/>
  <c r="AI19" i="99" s="1"/>
  <c r="CD11" i="99"/>
  <c r="CD13" i="99" s="1"/>
  <c r="CD19" i="99" s="1"/>
  <c r="BM11" i="99"/>
  <c r="BM13" i="99" s="1"/>
  <c r="BM19" i="99" s="1"/>
  <c r="AD11" i="99"/>
  <c r="AD13" i="99" s="1"/>
  <c r="AD19" i="99" s="1"/>
  <c r="CI11" i="99"/>
  <c r="CI13" i="99" s="1"/>
  <c r="CI19" i="99" s="1"/>
  <c r="AF11" i="99"/>
  <c r="AF13" i="99" s="1"/>
  <c r="AF19" i="99" s="1"/>
  <c r="Y11" i="99"/>
  <c r="Y13" i="99" s="1"/>
  <c r="Y19" i="99" s="1"/>
  <c r="CK11" i="99"/>
  <c r="CK13" i="99" s="1"/>
  <c r="CK19" i="99" s="1"/>
  <c r="CP11" i="99"/>
  <c r="CP13" i="99" s="1"/>
  <c r="CP19" i="99" s="1"/>
  <c r="BF11" i="99"/>
  <c r="BF13" i="99" s="1"/>
  <c r="BF19" i="99" s="1"/>
  <c r="S11" i="99"/>
  <c r="S13" i="99" s="1"/>
  <c r="S19" i="99" s="1"/>
  <c r="CE11" i="99"/>
  <c r="CE13" i="99" s="1"/>
  <c r="CE19" i="99" s="1"/>
  <c r="CA11" i="99"/>
  <c r="CA13" i="99" s="1"/>
  <c r="CA19" i="99" s="1"/>
  <c r="AJ11" i="99"/>
  <c r="AJ13" i="99" s="1"/>
  <c r="AJ19" i="99" s="1"/>
  <c r="AC11" i="99"/>
  <c r="AC13" i="99" s="1"/>
  <c r="AC19" i="99" s="1"/>
  <c r="CO11" i="99"/>
  <c r="CO13" i="99" s="1"/>
  <c r="CO19" i="99" s="1"/>
  <c r="J11" i="99"/>
  <c r="J13" i="99" s="1"/>
  <c r="J19" i="99" s="1"/>
  <c r="AN11" i="99"/>
  <c r="AN13" i="99" s="1"/>
  <c r="AN19" i="99" s="1"/>
  <c r="AG11" i="99"/>
  <c r="AG13" i="99" s="1"/>
  <c r="AG19" i="99" s="1"/>
  <c r="BN11" i="99"/>
  <c r="BN13" i="99" s="1"/>
  <c r="BN19" i="99" s="1"/>
  <c r="AA11" i="99"/>
  <c r="AA13" i="99" s="1"/>
  <c r="AA19" i="99" s="1"/>
  <c r="CM11" i="99"/>
  <c r="CM13" i="99" s="1"/>
  <c r="CM19" i="99" s="1"/>
  <c r="AH11" i="99"/>
  <c r="AH13" i="99" s="1"/>
  <c r="AH19" i="99" s="1"/>
  <c r="AR11" i="99"/>
  <c r="AR13" i="99" s="1"/>
  <c r="AR19" i="99" s="1"/>
  <c r="AU11" i="99"/>
  <c r="AU13" i="99" s="1"/>
  <c r="AU19" i="99" s="1"/>
  <c r="AK11" i="99"/>
  <c r="AK13" i="99" s="1"/>
  <c r="AK19" i="99" s="1"/>
  <c r="BK27" i="22"/>
  <c r="BJ67" i="22"/>
  <c r="BD11" i="99"/>
  <c r="BD13" i="99" s="1"/>
  <c r="BD19" i="99" s="1"/>
  <c r="AW11" i="99"/>
  <c r="AW13" i="99" s="1"/>
  <c r="AW19" i="99" s="1"/>
  <c r="R11" i="99"/>
  <c r="R13" i="99" s="1"/>
  <c r="R19" i="99" s="1"/>
  <c r="AQ11" i="99"/>
  <c r="AQ13" i="99" s="1"/>
  <c r="AQ19" i="99" s="1"/>
  <c r="BH11" i="99"/>
  <c r="BH13" i="99" s="1"/>
  <c r="BH19" i="99" s="1"/>
  <c r="N11" i="99"/>
  <c r="N13" i="99" s="1"/>
  <c r="N19" i="99" s="1"/>
  <c r="AP11" i="99"/>
  <c r="AP13" i="99" s="1"/>
  <c r="AP19" i="99" s="1"/>
  <c r="BA11" i="99"/>
  <c r="BA13" i="99" s="1"/>
  <c r="BA19" i="99" s="1"/>
  <c r="BK44" i="22"/>
  <c r="BK98" i="22"/>
  <c r="AS11" i="99"/>
  <c r="AS13" i="99" s="1"/>
  <c r="AS19" i="99" s="1"/>
  <c r="BL11" i="99"/>
  <c r="BL13" i="99" s="1"/>
  <c r="BL19" i="99" s="1"/>
  <c r="BE11" i="99"/>
  <c r="BE13" i="99" s="1"/>
  <c r="BE19" i="99" s="1"/>
  <c r="V11" i="99"/>
  <c r="V13" i="99" s="1"/>
  <c r="V19" i="99" s="1"/>
  <c r="AX11" i="99"/>
  <c r="AX13" i="99" s="1"/>
  <c r="AX19" i="99" s="1"/>
  <c r="AY11" i="99"/>
  <c r="AY13" i="99" s="1"/>
  <c r="AY19" i="99" s="1"/>
  <c r="BP11" i="99"/>
  <c r="BP13" i="99" s="1"/>
  <c r="BP19" i="99" s="1"/>
  <c r="AL11" i="99"/>
  <c r="AL13" i="99" s="1"/>
  <c r="AL19" i="99" s="1"/>
  <c r="BV11" i="99"/>
  <c r="BV13" i="99" s="1"/>
  <c r="BV19" i="99" s="1"/>
  <c r="BI11" i="99"/>
  <c r="BI13" i="99" s="1"/>
  <c r="BI19" i="99" s="1"/>
  <c r="BJ41" i="22"/>
  <c r="BJ27" i="22"/>
  <c r="BL95" i="22"/>
  <c r="BL44" i="22"/>
  <c r="BJ44" i="22"/>
  <c r="BK79" i="22"/>
  <c r="BK94" i="22"/>
  <c r="BJ89" i="22"/>
  <c r="BK88" i="22"/>
  <c r="BL88" i="22"/>
  <c r="BL89" i="22"/>
  <c r="BK36" i="22"/>
  <c r="BL84" i="22"/>
  <c r="BJ84" i="22"/>
  <c r="BJ98" i="22"/>
  <c r="BK91" i="22"/>
  <c r="BL37" i="22"/>
  <c r="BK37" i="22"/>
  <c r="BK28" i="22"/>
  <c r="BL67" i="22"/>
  <c r="BK83" i="22"/>
  <c r="BK95" i="22"/>
  <c r="BK80" i="22"/>
  <c r="BL80" i="22"/>
  <c r="BL28" i="22"/>
  <c r="BL27" i="22"/>
  <c r="BK84" i="22"/>
  <c r="BJ92" i="22"/>
  <c r="BJ80" i="22"/>
  <c r="DO16" i="58"/>
  <c r="FD43" i="22" s="1"/>
  <c r="DM12" i="76"/>
  <c r="EI12" i="79"/>
  <c r="EI17" i="79" s="1"/>
  <c r="J14" i="97"/>
  <c r="J17" i="97" s="1"/>
  <c r="J23" i="97" s="1"/>
  <c r="DQ13" i="73"/>
  <c r="DQ18" i="73" s="1"/>
  <c r="FF78" i="22" s="1"/>
  <c r="BC13" i="123"/>
  <c r="BC18" i="123" s="1"/>
  <c r="BC24" i="123" s="1"/>
  <c r="CR124" i="22" s="1"/>
  <c r="BW13" i="123"/>
  <c r="BW18" i="123" s="1"/>
  <c r="BW24" i="123" s="1"/>
  <c r="DL124" i="22" s="1"/>
  <c r="BM13" i="123"/>
  <c r="BM18" i="123" s="1"/>
  <c r="BM24" i="123" s="1"/>
  <c r="DB124" i="22" s="1"/>
  <c r="BE13" i="123"/>
  <c r="BE18" i="123" s="1"/>
  <c r="BE24" i="123" s="1"/>
  <c r="CT124" i="22" s="1"/>
  <c r="CG13" i="123"/>
  <c r="CG18" i="123" s="1"/>
  <c r="CG24" i="123" s="1"/>
  <c r="DV124" i="22" s="1"/>
  <c r="AU13" i="123"/>
  <c r="AU18" i="123" s="1"/>
  <c r="AU24" i="123" s="1"/>
  <c r="CJ124" i="22" s="1"/>
  <c r="P13" i="123"/>
  <c r="P18" i="123" s="1"/>
  <c r="P24" i="123" s="1"/>
  <c r="CB13" i="123"/>
  <c r="CB18" i="123" s="1"/>
  <c r="CB24" i="123" s="1"/>
  <c r="DQ124" i="22" s="1"/>
  <c r="BF13" i="123"/>
  <c r="BF18" i="123" s="1"/>
  <c r="BF24" i="123" s="1"/>
  <c r="CU124" i="22" s="1"/>
  <c r="BO13" i="123"/>
  <c r="BO18" i="123" s="1"/>
  <c r="BO24" i="123" s="1"/>
  <c r="DD124" i="22" s="1"/>
  <c r="AB13" i="123"/>
  <c r="AB18" i="123" s="1"/>
  <c r="AB24" i="123" s="1"/>
  <c r="P21" i="126"/>
  <c r="W21" i="126"/>
  <c r="BP21" i="126"/>
  <c r="BQ13" i="123"/>
  <c r="BQ18" i="123" s="1"/>
  <c r="BQ24" i="123" s="1"/>
  <c r="DF124" i="22" s="1"/>
  <c r="Y13" i="123"/>
  <c r="Y18" i="123" s="1"/>
  <c r="Y24" i="123" s="1"/>
  <c r="BK13" i="123"/>
  <c r="BK18" i="123" s="1"/>
  <c r="BK24" i="123" s="1"/>
  <c r="CZ124" i="22" s="1"/>
  <c r="AF13" i="123"/>
  <c r="AF18" i="123" s="1"/>
  <c r="AF24" i="123" s="1"/>
  <c r="J13" i="123"/>
  <c r="J18" i="123" s="1"/>
  <c r="J24" i="123" s="1"/>
  <c r="BV13" i="123"/>
  <c r="BV18" i="123" s="1"/>
  <c r="BV24" i="123" s="1"/>
  <c r="DK124" i="22" s="1"/>
  <c r="S13" i="123"/>
  <c r="S18" i="123" s="1"/>
  <c r="S24" i="123" s="1"/>
  <c r="CE13" i="123"/>
  <c r="CE18" i="123" s="1"/>
  <c r="CE24" i="123" s="1"/>
  <c r="DT124" i="22" s="1"/>
  <c r="AR13" i="123"/>
  <c r="AR18" i="123" s="1"/>
  <c r="AR24" i="123" s="1"/>
  <c r="AX21" i="126"/>
  <c r="BG21" i="126"/>
  <c r="BX21" i="126"/>
  <c r="I13" i="123"/>
  <c r="I18" i="123" s="1"/>
  <c r="I24" i="123" s="1"/>
  <c r="Q13" i="123"/>
  <c r="Q18" i="123" s="1"/>
  <c r="Q24" i="123" s="1"/>
  <c r="BS13" i="123"/>
  <c r="BS18" i="123" s="1"/>
  <c r="BS24" i="123" s="1"/>
  <c r="DH124" i="22" s="1"/>
  <c r="AN13" i="123"/>
  <c r="AN18" i="123" s="1"/>
  <c r="AN24" i="123" s="1"/>
  <c r="R13" i="123"/>
  <c r="R18" i="123" s="1"/>
  <c r="R24" i="123" s="1"/>
  <c r="CD13" i="123"/>
  <c r="CD18" i="123" s="1"/>
  <c r="AA13" i="123"/>
  <c r="AA18" i="123" s="1"/>
  <c r="AA24" i="123" s="1"/>
  <c r="CM13" i="123"/>
  <c r="CM18" i="123" s="1"/>
  <c r="CM24" i="123" s="1"/>
  <c r="EB124" i="22" s="1"/>
  <c r="AZ13" i="123"/>
  <c r="AZ18" i="123" s="1"/>
  <c r="AZ24" i="123" s="1"/>
  <c r="CO124" i="22" s="1"/>
  <c r="X13" i="123"/>
  <c r="X18" i="123" s="1"/>
  <c r="X24" i="123" s="1"/>
  <c r="J13" i="86"/>
  <c r="J18" i="86" s="1"/>
  <c r="V13" i="123"/>
  <c r="V18" i="123" s="1"/>
  <c r="V24" i="123" s="1"/>
  <c r="AD13" i="123"/>
  <c r="AD18" i="123" s="1"/>
  <c r="AD24" i="123" s="1"/>
  <c r="M13" i="123"/>
  <c r="M18" i="123" s="1"/>
  <c r="M24" i="123" s="1"/>
  <c r="AL13" i="123"/>
  <c r="AL18" i="123" s="1"/>
  <c r="O13" i="123"/>
  <c r="O18" i="123" s="1"/>
  <c r="O24" i="123" s="1"/>
  <c r="CA13" i="123"/>
  <c r="CA18" i="123" s="1"/>
  <c r="CA24" i="123" s="1"/>
  <c r="DP124" i="22" s="1"/>
  <c r="AV13" i="123"/>
  <c r="AV18" i="123" s="1"/>
  <c r="AV24" i="123" s="1"/>
  <c r="CK124" i="22" s="1"/>
  <c r="Z13" i="123"/>
  <c r="Z18" i="123" s="1"/>
  <c r="Z24" i="123" s="1"/>
  <c r="CL13" i="123"/>
  <c r="CL18" i="123" s="1"/>
  <c r="CL24" i="123" s="1"/>
  <c r="EA124" i="22" s="1"/>
  <c r="AI13" i="123"/>
  <c r="AI18" i="123" s="1"/>
  <c r="AI24" i="123" s="1"/>
  <c r="BH13" i="123"/>
  <c r="BH18" i="123" s="1"/>
  <c r="BH24" i="123" s="1"/>
  <c r="CW124" i="22" s="1"/>
  <c r="CJ13" i="123"/>
  <c r="CJ18" i="123" s="1"/>
  <c r="CJ24" i="123" s="1"/>
  <c r="DY124" i="22" s="1"/>
  <c r="CH13" i="123"/>
  <c r="CH18" i="123" s="1"/>
  <c r="CH24" i="123" s="1"/>
  <c r="DW124" i="22" s="1"/>
  <c r="CK13" i="123"/>
  <c r="CK18" i="123" s="1"/>
  <c r="CK24" i="123" s="1"/>
  <c r="DZ124" i="22" s="1"/>
  <c r="AS13" i="123"/>
  <c r="AS18" i="123" s="1"/>
  <c r="AS24" i="123" s="1"/>
  <c r="CH124" i="22" s="1"/>
  <c r="AC13" i="123"/>
  <c r="AC18" i="123" s="1"/>
  <c r="AC24" i="123" s="1"/>
  <c r="BA13" i="123"/>
  <c r="BA18" i="123" s="1"/>
  <c r="BA24" i="123" s="1"/>
  <c r="CP124" i="22" s="1"/>
  <c r="AG13" i="123"/>
  <c r="AG18" i="123" s="1"/>
  <c r="BI13" i="123"/>
  <c r="BI18" i="123" s="1"/>
  <c r="BI24" i="123" s="1"/>
  <c r="CX124" i="22" s="1"/>
  <c r="U13" i="123"/>
  <c r="U18" i="123" s="1"/>
  <c r="U24" i="123" s="1"/>
  <c r="W13" i="123"/>
  <c r="W18" i="123" s="1"/>
  <c r="W24" i="123" s="1"/>
  <c r="CI13" i="123"/>
  <c r="CI18" i="123" s="1"/>
  <c r="CI24" i="123" s="1"/>
  <c r="DX124" i="22" s="1"/>
  <c r="BD13" i="123"/>
  <c r="BD18" i="123" s="1"/>
  <c r="BD24" i="123" s="1"/>
  <c r="CS124" i="22" s="1"/>
  <c r="AH13" i="123"/>
  <c r="AH18" i="123" s="1"/>
  <c r="AH24" i="123" s="1"/>
  <c r="AQ13" i="123"/>
  <c r="AQ18" i="123" s="1"/>
  <c r="AQ24" i="123" s="1"/>
  <c r="BP13" i="123"/>
  <c r="BP18" i="123" s="1"/>
  <c r="BP24" i="123" s="1"/>
  <c r="DE124" i="22" s="1"/>
  <c r="V21" i="126"/>
  <c r="S21" i="126"/>
  <c r="CE21" i="126"/>
  <c r="BZ13" i="123"/>
  <c r="BZ18" i="123" s="1"/>
  <c r="BZ24" i="123" s="1"/>
  <c r="DO124" i="22" s="1"/>
  <c r="BN13" i="123"/>
  <c r="BN18" i="123" s="1"/>
  <c r="BN24" i="123" s="1"/>
  <c r="DC124" i="22" s="1"/>
  <c r="AJ13" i="123"/>
  <c r="AJ18" i="123" s="1"/>
  <c r="AJ24" i="123" s="1"/>
  <c r="AT13" i="123"/>
  <c r="AT18" i="123" s="1"/>
  <c r="AT24" i="123" s="1"/>
  <c r="CI124" i="22" s="1"/>
  <c r="AW13" i="123"/>
  <c r="AW18" i="123" s="1"/>
  <c r="AW24" i="123" s="1"/>
  <c r="CL124" i="22" s="1"/>
  <c r="BU13" i="123"/>
  <c r="BU18" i="123" s="1"/>
  <c r="BB13" i="123"/>
  <c r="BB18" i="123" s="1"/>
  <c r="BB24" i="123" s="1"/>
  <c r="CQ124" i="22" s="1"/>
  <c r="N13" i="123"/>
  <c r="N18" i="123" s="1"/>
  <c r="N24" i="123" s="1"/>
  <c r="CC13" i="123"/>
  <c r="CC18" i="123" s="1"/>
  <c r="CC24" i="123" s="1"/>
  <c r="DR124" i="22" s="1"/>
  <c r="AO13" i="123"/>
  <c r="AO18" i="123" s="1"/>
  <c r="AO24" i="123" s="1"/>
  <c r="AE13" i="123"/>
  <c r="AE18" i="123" s="1"/>
  <c r="AE24" i="123" s="1"/>
  <c r="BL13" i="123"/>
  <c r="BL18" i="123" s="1"/>
  <c r="BL24" i="123" s="1"/>
  <c r="DA124" i="22" s="1"/>
  <c r="AP13" i="123"/>
  <c r="AP18" i="123" s="1"/>
  <c r="AY13" i="123"/>
  <c r="AY18" i="123" s="1"/>
  <c r="AY24" i="123" s="1"/>
  <c r="CN124" i="22" s="1"/>
  <c r="L13" i="123"/>
  <c r="L18" i="123" s="1"/>
  <c r="L24" i="123" s="1"/>
  <c r="BX13" i="123"/>
  <c r="BX18" i="123" s="1"/>
  <c r="BX24" i="123" s="1"/>
  <c r="DM124" i="22" s="1"/>
  <c r="BL21" i="126"/>
  <c r="K13" i="123"/>
  <c r="K18" i="123" s="1"/>
  <c r="K24" i="123" s="1"/>
  <c r="BR13" i="123"/>
  <c r="BR18" i="123" s="1"/>
  <c r="BR24" i="123" s="1"/>
  <c r="DG124" i="22" s="1"/>
  <c r="BY13" i="123"/>
  <c r="BY18" i="123" s="1"/>
  <c r="BY24" i="123" s="1"/>
  <c r="DN124" i="22" s="1"/>
  <c r="AK13" i="123"/>
  <c r="AK18" i="123" s="1"/>
  <c r="AK24" i="123" s="1"/>
  <c r="BJ13" i="123"/>
  <c r="BJ18" i="123" s="1"/>
  <c r="BJ24" i="123" s="1"/>
  <c r="CY124" i="22" s="1"/>
  <c r="AM13" i="123"/>
  <c r="AM18" i="123" s="1"/>
  <c r="BT13" i="123"/>
  <c r="BT18" i="123" s="1"/>
  <c r="BT24" i="123" s="1"/>
  <c r="DI124" i="22" s="1"/>
  <c r="AX13" i="123"/>
  <c r="AX18" i="123" s="1"/>
  <c r="AX24" i="123" s="1"/>
  <c r="CM124" i="22" s="1"/>
  <c r="BG13" i="123"/>
  <c r="BG18" i="123" s="1"/>
  <c r="BG24" i="123" s="1"/>
  <c r="CV124" i="22" s="1"/>
  <c r="T13" i="123"/>
  <c r="T18" i="123" s="1"/>
  <c r="T24" i="123" s="1"/>
  <c r="CF13" i="123"/>
  <c r="CF18" i="123" s="1"/>
  <c r="CF24" i="123" s="1"/>
  <c r="DU124" i="22" s="1"/>
  <c r="Y21" i="126"/>
  <c r="N21" i="126"/>
  <c r="AZ21" i="126"/>
  <c r="O21" i="126"/>
  <c r="CQ13" i="123"/>
  <c r="CQ18" i="123" s="1"/>
  <c r="CP13" i="123"/>
  <c r="CP18" i="123" s="1"/>
  <c r="CP24" i="123" s="1"/>
  <c r="EE124" i="22" s="1"/>
  <c r="CO13" i="123"/>
  <c r="CO18" i="123" s="1"/>
  <c r="CO24" i="123" s="1"/>
  <c r="ED124" i="22" s="1"/>
  <c r="CN13" i="123"/>
  <c r="CN18" i="123" s="1"/>
  <c r="CN24" i="123" s="1"/>
  <c r="EC124" i="22" s="1"/>
  <c r="BI92" i="22"/>
  <c r="CX13" i="27"/>
  <c r="FC14" i="97"/>
  <c r="FC17" i="97" s="1"/>
  <c r="FC23" i="97" s="1"/>
  <c r="CY13" i="73"/>
  <c r="CY18" i="73" s="1"/>
  <c r="EN78" i="22" s="1"/>
  <c r="CX12" i="5"/>
  <c r="CX17" i="5" s="1"/>
  <c r="EN11" i="22" s="1"/>
  <c r="DJ12" i="79"/>
  <c r="DJ17" i="79" s="1"/>
  <c r="EY93" i="22" s="1"/>
  <c r="DY12" i="79"/>
  <c r="DY17" i="79" s="1"/>
  <c r="DP13" i="73"/>
  <c r="DP18" i="73" s="1"/>
  <c r="FE78" i="22" s="1"/>
  <c r="BH95" i="22"/>
  <c r="BI91" i="22"/>
  <c r="BH98" i="22"/>
  <c r="BI67" i="22"/>
  <c r="BH94" i="22"/>
  <c r="CV13" i="43"/>
  <c r="CV18" i="43" s="1"/>
  <c r="EK26" i="22" s="1"/>
  <c r="FO14" i="97"/>
  <c r="FO17" i="97" s="1"/>
  <c r="FO23" i="97" s="1"/>
  <c r="DC14" i="97"/>
  <c r="DC17" i="97" s="1"/>
  <c r="DC23" i="97" s="1"/>
  <c r="ER100" i="22" s="1"/>
  <c r="DW14" i="97"/>
  <c r="DW17" i="97" s="1"/>
  <c r="DW23" i="97" s="1"/>
  <c r="BI41" i="22"/>
  <c r="BI36" i="22"/>
  <c r="BI28" i="22"/>
  <c r="BI94" i="22"/>
  <c r="BI98" i="22"/>
  <c r="BI95" i="22"/>
  <c r="BI89" i="22"/>
  <c r="BI79" i="22"/>
  <c r="BI84" i="22"/>
  <c r="BI37" i="22"/>
  <c r="BI44" i="22"/>
  <c r="BI80" i="22"/>
  <c r="BI83" i="22"/>
  <c r="K14" i="97"/>
  <c r="K17" i="97" s="1"/>
  <c r="K23" i="97" s="1"/>
  <c r="N14" i="97"/>
  <c r="N17" i="97" s="1"/>
  <c r="N23" i="97" s="1"/>
  <c r="CW12" i="5"/>
  <c r="CW17" i="5" s="1"/>
  <c r="EM11" i="22" s="1"/>
  <c r="CY16" i="58"/>
  <c r="EN43" i="22" s="1"/>
  <c r="EM14" i="97"/>
  <c r="EM17" i="97" s="1"/>
  <c r="EM23" i="97" s="1"/>
  <c r="FW14" i="97"/>
  <c r="FW17" i="97" s="1"/>
  <c r="FW23" i="97" s="1"/>
  <c r="DK14" i="97"/>
  <c r="DK17" i="97" s="1"/>
  <c r="DK23" i="97" s="1"/>
  <c r="EZ100" i="22" s="1"/>
  <c r="FG14" i="97"/>
  <c r="FG17" i="97" s="1"/>
  <c r="FG23" i="97" s="1"/>
  <c r="GH14" i="97"/>
  <c r="GH17" i="97" s="1"/>
  <c r="GH23" i="97" s="1"/>
  <c r="CX13" i="73"/>
  <c r="CX18" i="73" s="1"/>
  <c r="EM78" i="22" s="1"/>
  <c r="DL14" i="97"/>
  <c r="DL17" i="97" s="1"/>
  <c r="DL23" i="97" s="1"/>
  <c r="FA100" i="22" s="1"/>
  <c r="GG14" i="97"/>
  <c r="GG17" i="97" s="1"/>
  <c r="GG23" i="97" s="1"/>
  <c r="FP14" i="97"/>
  <c r="FP17" i="97" s="1"/>
  <c r="FP23" i="97" s="1"/>
  <c r="CW13" i="27"/>
  <c r="FD14" i="97"/>
  <c r="FD17" i="97" s="1"/>
  <c r="FD23" i="97" s="1"/>
  <c r="DD14" i="97"/>
  <c r="DD17" i="97" s="1"/>
  <c r="DD23" i="97" s="1"/>
  <c r="ES100" i="22" s="1"/>
  <c r="M14" i="97"/>
  <c r="M17" i="97" s="1"/>
  <c r="M23" i="97" s="1"/>
  <c r="CY14" i="97"/>
  <c r="CY17" i="97" s="1"/>
  <c r="CY23" i="97" s="1"/>
  <c r="EN100" i="22" s="1"/>
  <c r="FT14" i="97"/>
  <c r="FT17" i="97" s="1"/>
  <c r="FT23" i="97" s="1"/>
  <c r="CW14" i="97"/>
  <c r="CW17" i="97" s="1"/>
  <c r="CW23" i="97" s="1"/>
  <c r="EL100" i="22" s="1"/>
  <c r="DH14" i="97"/>
  <c r="DH17" i="97" s="1"/>
  <c r="DH23" i="97" s="1"/>
  <c r="EW100" i="22" s="1"/>
  <c r="EE14" i="97"/>
  <c r="EE17" i="97" s="1"/>
  <c r="EE23" i="97" s="1"/>
  <c r="DF14" i="97"/>
  <c r="DF17" i="97" s="1"/>
  <c r="DF23" i="97" s="1"/>
  <c r="EU100" i="22" s="1"/>
  <c r="L14" i="97"/>
  <c r="L17" i="97" s="1"/>
  <c r="L23" i="97" s="1"/>
  <c r="ET14" i="97"/>
  <c r="ET17" i="97" s="1"/>
  <c r="ET23" i="97" s="1"/>
  <c r="FY14" i="97"/>
  <c r="FY17" i="97" s="1"/>
  <c r="FY23" i="97" s="1"/>
  <c r="DM14" i="97"/>
  <c r="DM17" i="97" s="1"/>
  <c r="DM23" i="97" s="1"/>
  <c r="FB100" i="22" s="1"/>
  <c r="DU14" i="97"/>
  <c r="DU17" i="97" s="1"/>
  <c r="DU23" i="97" s="1"/>
  <c r="DO14" i="97"/>
  <c r="DO17" i="97" s="1"/>
  <c r="DO23" i="97" s="1"/>
  <c r="FD100" i="22" s="1"/>
  <c r="FS14" i="97"/>
  <c r="FS17" i="97" s="1"/>
  <c r="FS23" i="97" s="1"/>
  <c r="FJ14" i="97"/>
  <c r="FJ17" i="97" s="1"/>
  <c r="FJ23" i="97" s="1"/>
  <c r="BZ17" i="125"/>
  <c r="EV14" i="97"/>
  <c r="EV17" i="97" s="1"/>
  <c r="EV23" i="97" s="1"/>
  <c r="FQ14" i="97"/>
  <c r="FQ17" i="97" s="1"/>
  <c r="FQ23" i="97" s="1"/>
  <c r="DE14" i="97"/>
  <c r="DE17" i="97" s="1"/>
  <c r="DE23" i="97" s="1"/>
  <c r="ET100" i="22" s="1"/>
  <c r="FF14" i="97"/>
  <c r="FF17" i="97" s="1"/>
  <c r="FF23" i="97" s="1"/>
  <c r="FX14" i="97"/>
  <c r="FX17" i="97" s="1"/>
  <c r="FX23" i="97" s="1"/>
  <c r="CZ14" i="97"/>
  <c r="CZ17" i="97" s="1"/>
  <c r="CZ23" i="97" s="1"/>
  <c r="EO100" i="22" s="1"/>
  <c r="EW14" i="97"/>
  <c r="EW17" i="97" s="1"/>
  <c r="EW23" i="97" s="1"/>
  <c r="GA14" i="97"/>
  <c r="GA17" i="97" s="1"/>
  <c r="GA23" i="97" s="1"/>
  <c r="CC17" i="125"/>
  <c r="DG14" i="97"/>
  <c r="DG17" i="97" s="1"/>
  <c r="DG23" i="97" s="1"/>
  <c r="EV100" i="22" s="1"/>
  <c r="EY14" i="97"/>
  <c r="EY17" i="97" s="1"/>
  <c r="EY23" i="97" s="1"/>
  <c r="FH14" i="97"/>
  <c r="FH17" i="97" s="1"/>
  <c r="FH23" i="97" s="1"/>
  <c r="CX14" i="97"/>
  <c r="CX17" i="97" s="1"/>
  <c r="CX23" i="97" s="1"/>
  <c r="EM100" i="22" s="1"/>
  <c r="DP14" i="97"/>
  <c r="DP17" i="97" s="1"/>
  <c r="DP23" i="97" s="1"/>
  <c r="FE100" i="22" s="1"/>
  <c r="GE14" i="97"/>
  <c r="GE17" i="97" s="1"/>
  <c r="GE23" i="97" s="1"/>
  <c r="DS14" i="97"/>
  <c r="DS17" i="97" s="1"/>
  <c r="DS23" i="97" s="1"/>
  <c r="FH100" i="22" s="1"/>
  <c r="CD100" i="22" s="1"/>
  <c r="CT14" i="97"/>
  <c r="CT17" i="97" s="1"/>
  <c r="CT23" i="97" s="1"/>
  <c r="EI100" i="22" s="1"/>
  <c r="ED14" i="97"/>
  <c r="ED17" i="97" s="1"/>
  <c r="ED23" i="97" s="1"/>
  <c r="CV14" i="97"/>
  <c r="CV17" i="97" s="1"/>
  <c r="CV23" i="97" s="1"/>
  <c r="EK100" i="22" s="1"/>
  <c r="EB14" i="97"/>
  <c r="EB17" i="97" s="1"/>
  <c r="EB23" i="97" s="1"/>
  <c r="EK14" i="97"/>
  <c r="EK17" i="97" s="1"/>
  <c r="EK23" i="97" s="1"/>
  <c r="GB14" i="97"/>
  <c r="GB17" i="97" s="1"/>
  <c r="GB23" i="97" s="1"/>
  <c r="EN14" i="97"/>
  <c r="EN17" i="97" s="1"/>
  <c r="EN23" i="97" s="1"/>
  <c r="EL14" i="97"/>
  <c r="EL17" i="97" s="1"/>
  <c r="EL23" i="97" s="1"/>
  <c r="FI14" i="97"/>
  <c r="FI17" i="97" s="1"/>
  <c r="FI23" i="97" s="1"/>
  <c r="I14" i="97"/>
  <c r="I17" i="97" s="1"/>
  <c r="I23" i="97" s="1"/>
  <c r="EQ14" i="97"/>
  <c r="EQ17" i="97" s="1"/>
  <c r="EQ23" i="97" s="1"/>
  <c r="FR14" i="97"/>
  <c r="FR17" i="97" s="1"/>
  <c r="FR23" i="97" s="1"/>
  <c r="FL14" i="97"/>
  <c r="FL17" i="97" s="1"/>
  <c r="FL23" i="97" s="1"/>
  <c r="FN14" i="97"/>
  <c r="FN17" i="97" s="1"/>
  <c r="FN23" i="97" s="1"/>
  <c r="DB14" i="97"/>
  <c r="DB17" i="97" s="1"/>
  <c r="DB23" i="97" s="1"/>
  <c r="EQ100" i="22" s="1"/>
  <c r="CU14" i="97"/>
  <c r="CU17" i="97" s="1"/>
  <c r="CU23" i="97" s="1"/>
  <c r="EJ100" i="22" s="1"/>
  <c r="FE14" i="97"/>
  <c r="FE17" i="97" s="1"/>
  <c r="FE23" i="97" s="1"/>
  <c r="GF14" i="97"/>
  <c r="GF17" i="97" s="1"/>
  <c r="GF23" i="97" s="1"/>
  <c r="EC14" i="97"/>
  <c r="EC17" i="97" s="1"/>
  <c r="EC23" i="97" s="1"/>
  <c r="BJ11" i="94"/>
  <c r="BJ13" i="94" s="1"/>
  <c r="BJ19" i="94" s="1"/>
  <c r="CY97" i="22" s="1"/>
  <c r="AS11" i="94"/>
  <c r="AS13" i="94" s="1"/>
  <c r="AS19" i="94" s="1"/>
  <c r="CH97" i="22" s="1"/>
  <c r="T11" i="94"/>
  <c r="T13" i="94" s="1"/>
  <c r="T19" i="94" s="1"/>
  <c r="BZ11" i="94"/>
  <c r="BZ13" i="94" s="1"/>
  <c r="BZ19" i="94" s="1"/>
  <c r="DO97" i="22" s="1"/>
  <c r="AD11" i="94"/>
  <c r="AD13" i="94" s="1"/>
  <c r="AD19" i="94" s="1"/>
  <c r="BK11" i="94"/>
  <c r="BK13" i="94" s="1"/>
  <c r="BK19" i="94" s="1"/>
  <c r="CZ97" i="22" s="1"/>
  <c r="CQ11" i="94"/>
  <c r="CQ13" i="94" s="1"/>
  <c r="CQ19" i="94" s="1"/>
  <c r="EF97" i="22" s="1"/>
  <c r="AI11" i="94"/>
  <c r="AI13" i="94" s="1"/>
  <c r="AI19" i="94" s="1"/>
  <c r="AH11" i="94"/>
  <c r="AH13" i="94" s="1"/>
  <c r="AH19" i="94" s="1"/>
  <c r="CK11" i="94"/>
  <c r="CK13" i="94" s="1"/>
  <c r="CK19" i="94" s="1"/>
  <c r="DZ97" i="22" s="1"/>
  <c r="Y11" i="94"/>
  <c r="Y13" i="94" s="1"/>
  <c r="Y19" i="94" s="1"/>
  <c r="CB11" i="94"/>
  <c r="CB13" i="94" s="1"/>
  <c r="CB19" i="94" s="1"/>
  <c r="DQ97" i="22" s="1"/>
  <c r="P11" i="94"/>
  <c r="P13" i="94" s="1"/>
  <c r="CS14" i="97"/>
  <c r="CS17" i="97" s="1"/>
  <c r="CS23" i="97" s="1"/>
  <c r="EH100" i="22" s="1"/>
  <c r="FB14" i="97"/>
  <c r="FB17" i="97" s="1"/>
  <c r="FB23" i="97" s="1"/>
  <c r="V11" i="94"/>
  <c r="V13" i="94" s="1"/>
  <c r="V19" i="94" s="1"/>
  <c r="CO11" i="94"/>
  <c r="CO13" i="94" s="1"/>
  <c r="CO19" i="94" s="1"/>
  <c r="ED97" i="22" s="1"/>
  <c r="BH11" i="94"/>
  <c r="BH13" i="94" s="1"/>
  <c r="L11" i="94"/>
  <c r="L13" i="94" s="1"/>
  <c r="L19" i="94" s="1"/>
  <c r="BC11" i="94"/>
  <c r="BC13" i="94" s="1"/>
  <c r="BC19" i="94" s="1"/>
  <c r="CR97" i="22" s="1"/>
  <c r="AA11" i="94"/>
  <c r="AA13" i="94" s="1"/>
  <c r="AA19" i="94" s="1"/>
  <c r="Z11" i="94"/>
  <c r="Z13" i="94" s="1"/>
  <c r="Z19" i="94" s="1"/>
  <c r="CC11" i="94"/>
  <c r="CC13" i="94" s="1"/>
  <c r="CC19" i="94" s="1"/>
  <c r="DR97" i="22" s="1"/>
  <c r="Q11" i="94"/>
  <c r="Q13" i="94" s="1"/>
  <c r="BT11" i="94"/>
  <c r="BT13" i="94" s="1"/>
  <c r="BQ11" i="94"/>
  <c r="BQ13" i="94" s="1"/>
  <c r="BQ19" i="94" s="1"/>
  <c r="DF97" i="22" s="1"/>
  <c r="AK11" i="94"/>
  <c r="AK13" i="94" s="1"/>
  <c r="AK19" i="94" s="1"/>
  <c r="AU11" i="94"/>
  <c r="AU13" i="94" s="1"/>
  <c r="AU19" i="94" s="1"/>
  <c r="CJ97" i="22" s="1"/>
  <c r="CE11" i="94"/>
  <c r="CE13" i="94" s="1"/>
  <c r="CE19" i="94" s="1"/>
  <c r="DT97" i="22" s="1"/>
  <c r="S11" i="94"/>
  <c r="S13" i="94" s="1"/>
  <c r="S19" i="94" s="1"/>
  <c r="CD11" i="94"/>
  <c r="CD13" i="94" s="1"/>
  <c r="CD19" i="94" s="1"/>
  <c r="DS97" i="22" s="1"/>
  <c r="R11" i="94"/>
  <c r="R13" i="94" s="1"/>
  <c r="BU11" i="94"/>
  <c r="BU13" i="94" s="1"/>
  <c r="BU19" i="94" s="1"/>
  <c r="DJ97" i="22" s="1"/>
  <c r="BL11" i="94"/>
  <c r="BL13" i="94" s="1"/>
  <c r="BL19" i="94" s="1"/>
  <c r="DA97" i="22" s="1"/>
  <c r="CR11" i="94"/>
  <c r="CR13" i="94" s="1"/>
  <c r="CR19" i="94" s="1"/>
  <c r="EG97" i="22" s="1"/>
  <c r="BD97" i="22" s="1"/>
  <c r="CR14" i="97"/>
  <c r="CR17" i="97" s="1"/>
  <c r="EX14" i="97"/>
  <c r="EX17" i="97" s="1"/>
  <c r="EX23" i="97" s="1"/>
  <c r="EZ14" i="97"/>
  <c r="EZ17" i="97" s="1"/>
  <c r="EZ23" i="97" s="1"/>
  <c r="EO14" i="97"/>
  <c r="EO17" i="97" s="1"/>
  <c r="EO23" i="97" s="1"/>
  <c r="CP11" i="94"/>
  <c r="CP13" i="94" s="1"/>
  <c r="CP19" i="94" s="1"/>
  <c r="EE97" i="22" s="1"/>
  <c r="AT11" i="94"/>
  <c r="AT13" i="94" s="1"/>
  <c r="AT19" i="94" s="1"/>
  <c r="CI97" i="22" s="1"/>
  <c r="N11" i="94"/>
  <c r="N13" i="94" s="1"/>
  <c r="N19" i="94" s="1"/>
  <c r="BR11" i="94"/>
  <c r="BR13" i="94" s="1"/>
  <c r="BR19" i="94" s="1"/>
  <c r="DG97" i="22" s="1"/>
  <c r="AM11" i="94"/>
  <c r="AM13" i="94" s="1"/>
  <c r="BW11" i="94"/>
  <c r="BW13" i="94" s="1"/>
  <c r="BW19" i="94" s="1"/>
  <c r="DL97" i="22" s="1"/>
  <c r="K11" i="94"/>
  <c r="K13" i="94" s="1"/>
  <c r="K19" i="94" s="1"/>
  <c r="BV11" i="94"/>
  <c r="BV13" i="94" s="1"/>
  <c r="BV19" i="94" s="1"/>
  <c r="DK97" i="22" s="1"/>
  <c r="J11" i="94"/>
  <c r="J13" i="94" s="1"/>
  <c r="J19" i="94" s="1"/>
  <c r="BM11" i="94"/>
  <c r="BM13" i="94" s="1"/>
  <c r="BM19" i="94" s="1"/>
  <c r="DB97" i="22" s="1"/>
  <c r="BD11" i="94"/>
  <c r="BD13" i="94" s="1"/>
  <c r="BD19" i="94" s="1"/>
  <c r="CS97" i="22" s="1"/>
  <c r="FK14" i="97"/>
  <c r="FK17" i="97" s="1"/>
  <c r="FK23" i="97" s="1"/>
  <c r="FA14" i="97"/>
  <c r="FA17" i="97" s="1"/>
  <c r="FA23" i="97" s="1"/>
  <c r="EP14" i="97"/>
  <c r="EP17" i="97" s="1"/>
  <c r="EP23" i="97" s="1"/>
  <c r="EJ14" i="97"/>
  <c r="EJ17" i="97" s="1"/>
  <c r="EJ23" i="97" s="1"/>
  <c r="EG14" i="97"/>
  <c r="EG17" i="97" s="1"/>
  <c r="EG23" i="97" s="1"/>
  <c r="AR11" i="94"/>
  <c r="AR13" i="94" s="1"/>
  <c r="AB11" i="94"/>
  <c r="AB13" i="94" s="1"/>
  <c r="AB19" i="94" s="1"/>
  <c r="CN11" i="94"/>
  <c r="CN13" i="94" s="1"/>
  <c r="CN19" i="94" s="1"/>
  <c r="EC97" i="22" s="1"/>
  <c r="BY11" i="94"/>
  <c r="BY13" i="94" s="1"/>
  <c r="BY19" i="94" s="1"/>
  <c r="DN97" i="22" s="1"/>
  <c r="AZ11" i="94"/>
  <c r="AZ13" i="94" s="1"/>
  <c r="AZ19" i="94" s="1"/>
  <c r="CO97" i="22" s="1"/>
  <c r="AE11" i="94"/>
  <c r="AE13" i="94" s="1"/>
  <c r="BO11" i="94"/>
  <c r="BO13" i="94" s="1"/>
  <c r="BO19" i="94" s="1"/>
  <c r="DD97" i="22" s="1"/>
  <c r="BN11" i="94"/>
  <c r="BN13" i="94" s="1"/>
  <c r="BN19" i="94" s="1"/>
  <c r="DC97" i="22" s="1"/>
  <c r="BE11" i="94"/>
  <c r="BE13" i="94" s="1"/>
  <c r="BE19" i="94" s="1"/>
  <c r="CT97" i="22" s="1"/>
  <c r="AV11" i="94"/>
  <c r="AV13" i="94" s="1"/>
  <c r="AV19" i="94" s="1"/>
  <c r="CK97" i="22" s="1"/>
  <c r="DV14" i="97"/>
  <c r="DV17" i="97" s="1"/>
  <c r="DV23" i="97" s="1"/>
  <c r="EU14" i="97"/>
  <c r="EU17" i="97" s="1"/>
  <c r="EU23" i="97" s="1"/>
  <c r="ES14" i="97"/>
  <c r="ES17" i="97" s="1"/>
  <c r="ES23" i="97" s="1"/>
  <c r="EH14" i="97"/>
  <c r="EH17" i="97" s="1"/>
  <c r="EH23" i="97" s="1"/>
  <c r="DT14" i="97"/>
  <c r="DT17" i="97" s="1"/>
  <c r="DT23" i="97" s="1"/>
  <c r="DY14" i="97"/>
  <c r="DY17" i="97" s="1"/>
  <c r="DY23" i="97" s="1"/>
  <c r="CF11" i="94"/>
  <c r="CF13" i="94" s="1"/>
  <c r="CF19" i="94" s="1"/>
  <c r="DU97" i="22" s="1"/>
  <c r="BB11" i="94"/>
  <c r="BB13" i="94" s="1"/>
  <c r="BB19" i="94" s="1"/>
  <c r="CQ97" i="22" s="1"/>
  <c r="AC11" i="94"/>
  <c r="AC13" i="94" s="1"/>
  <c r="CI11" i="94"/>
  <c r="CI13" i="94" s="1"/>
  <c r="CI19" i="94" s="1"/>
  <c r="DX97" i="22" s="1"/>
  <c r="W11" i="94"/>
  <c r="W13" i="94" s="1"/>
  <c r="W19" i="94" s="1"/>
  <c r="BG11" i="94"/>
  <c r="BG13" i="94" s="1"/>
  <c r="BG19" i="94" s="1"/>
  <c r="CV97" i="22" s="1"/>
  <c r="CM11" i="94"/>
  <c r="CM13" i="94" s="1"/>
  <c r="CM19" i="94" s="1"/>
  <c r="EB97" i="22" s="1"/>
  <c r="BF11" i="94"/>
  <c r="BF13" i="94" s="1"/>
  <c r="BF19" i="94" s="1"/>
  <c r="CU97" i="22" s="1"/>
  <c r="CL11" i="94"/>
  <c r="CL13" i="94" s="1"/>
  <c r="CL19" i="94" s="1"/>
  <c r="EA97" i="22" s="1"/>
  <c r="AW11" i="94"/>
  <c r="AW13" i="94" s="1"/>
  <c r="AW19" i="94" s="1"/>
  <c r="CL97" i="22" s="1"/>
  <c r="AN11" i="94"/>
  <c r="AN13" i="94" s="1"/>
  <c r="EF14" i="97"/>
  <c r="EF17" i="97" s="1"/>
  <c r="EF23" i="97" s="1"/>
  <c r="FZ14" i="97"/>
  <c r="FZ17" i="97" s="1"/>
  <c r="FZ23" i="97" s="1"/>
  <c r="DN14" i="97"/>
  <c r="DN17" i="97" s="1"/>
  <c r="DN23" i="97" s="1"/>
  <c r="FC100" i="22" s="1"/>
  <c r="ER14" i="97"/>
  <c r="ER17" i="97" s="1"/>
  <c r="ER23" i="97" s="1"/>
  <c r="EI14" i="97"/>
  <c r="EI17" i="97" s="1"/>
  <c r="EI23" i="97" s="1"/>
  <c r="DZ14" i="97"/>
  <c r="DZ17" i="97" s="1"/>
  <c r="DZ23" i="97" s="1"/>
  <c r="GC14" i="97"/>
  <c r="GC17" i="97" s="1"/>
  <c r="GC23" i="97" s="1"/>
  <c r="DQ14" i="97"/>
  <c r="DQ17" i="97" s="1"/>
  <c r="DQ23" i="97" s="1"/>
  <c r="FF100" i="22" s="1"/>
  <c r="CH11" i="94"/>
  <c r="CH13" i="94" s="1"/>
  <c r="CH19" i="94" s="1"/>
  <c r="DW97" i="22" s="1"/>
  <c r="BI11" i="94"/>
  <c r="BI13" i="94" s="1"/>
  <c r="BI19" i="94" s="1"/>
  <c r="CX97" i="22" s="1"/>
  <c r="AJ11" i="94"/>
  <c r="AJ13" i="94" s="1"/>
  <c r="AJ19" i="94" s="1"/>
  <c r="BX11" i="94"/>
  <c r="BX13" i="94" s="1"/>
  <c r="BX19" i="94" s="1"/>
  <c r="DM97" i="22" s="1"/>
  <c r="CA11" i="94"/>
  <c r="CA13" i="94" s="1"/>
  <c r="CA19" i="94" s="1"/>
  <c r="DP97" i="22" s="1"/>
  <c r="O11" i="94"/>
  <c r="O13" i="94" s="1"/>
  <c r="O19" i="94" s="1"/>
  <c r="AY11" i="94"/>
  <c r="AY13" i="94" s="1"/>
  <c r="AY19" i="94" s="1"/>
  <c r="CN97" i="22" s="1"/>
  <c r="AX11" i="94"/>
  <c r="AX13" i="94" s="1"/>
  <c r="AX19" i="94" s="1"/>
  <c r="CM97" i="22" s="1"/>
  <c r="AO11" i="94"/>
  <c r="AO13" i="94" s="1"/>
  <c r="AO19" i="94" s="1"/>
  <c r="AF11" i="94"/>
  <c r="AF13" i="94" s="1"/>
  <c r="AF19" i="94" s="1"/>
  <c r="DX14" i="97"/>
  <c r="DX17" i="97" s="1"/>
  <c r="DX23" i="97" s="1"/>
  <c r="EA14" i="97"/>
  <c r="EA17" i="97" s="1"/>
  <c r="EA23" i="97" s="1"/>
  <c r="GD14" i="97"/>
  <c r="GD17" i="97" s="1"/>
  <c r="GD23" i="97" s="1"/>
  <c r="DR14" i="97"/>
  <c r="DR17" i="97" s="1"/>
  <c r="DR23" i="97" s="1"/>
  <c r="FG100" i="22" s="1"/>
  <c r="FU14" i="97"/>
  <c r="FU17" i="97" s="1"/>
  <c r="FU23" i="97" s="1"/>
  <c r="DI14" i="97"/>
  <c r="DI17" i="97" s="1"/>
  <c r="DI23" i="97" s="1"/>
  <c r="EX100" i="22" s="1"/>
  <c r="U11" i="94"/>
  <c r="U13" i="94" s="1"/>
  <c r="U19" i="94" s="1"/>
  <c r="BP11" i="94"/>
  <c r="BP13" i="94" s="1"/>
  <c r="BP19" i="94" s="1"/>
  <c r="DE97" i="22" s="1"/>
  <c r="AL11" i="94"/>
  <c r="AL13" i="94" s="1"/>
  <c r="AL19" i="94" s="1"/>
  <c r="M11" i="94"/>
  <c r="M13" i="94" s="1"/>
  <c r="M19" i="94" s="1"/>
  <c r="BA11" i="94"/>
  <c r="BA13" i="94" s="1"/>
  <c r="BA19" i="94" s="1"/>
  <c r="CP97" i="22" s="1"/>
  <c r="AQ11" i="94"/>
  <c r="AQ13" i="94" s="1"/>
  <c r="AQ19" i="94" s="1"/>
  <c r="AP11" i="94"/>
  <c r="AP13" i="94" s="1"/>
  <c r="AP19" i="94" s="1"/>
  <c r="AG11" i="94"/>
  <c r="AG13" i="94" s="1"/>
  <c r="AG19" i="94" s="1"/>
  <c r="CJ11" i="94"/>
  <c r="CJ13" i="94" s="1"/>
  <c r="CJ19" i="94" s="1"/>
  <c r="DY97" i="22" s="1"/>
  <c r="FV14" i="97"/>
  <c r="FV17" i="97" s="1"/>
  <c r="FV23" i="97" s="1"/>
  <c r="DJ14" i="97"/>
  <c r="DJ17" i="97" s="1"/>
  <c r="DJ23" i="97" s="1"/>
  <c r="EY100" i="22" s="1"/>
  <c r="FM14" i="97"/>
  <c r="FM17" i="97" s="1"/>
  <c r="FM23" i="97" s="1"/>
  <c r="DA14" i="97"/>
  <c r="DA17" i="97" s="1"/>
  <c r="DA23" i="97" s="1"/>
  <c r="EP100" i="22" s="1"/>
  <c r="R12" i="97"/>
  <c r="R14" i="97" s="1"/>
  <c r="AK12" i="97"/>
  <c r="AK14" i="97" s="1"/>
  <c r="AK17" i="97" s="1"/>
  <c r="AK23" i="97" s="1"/>
  <c r="BJ12" i="97"/>
  <c r="BJ14" i="97" s="1"/>
  <c r="BJ17" i="97" s="1"/>
  <c r="BJ23" i="97" s="1"/>
  <c r="CY100" i="22" s="1"/>
  <c r="BD12" i="97"/>
  <c r="BD14" i="97" s="1"/>
  <c r="BD17" i="97" s="1"/>
  <c r="BD23" i="97" s="1"/>
  <c r="CS100" i="22" s="1"/>
  <c r="CA12" i="97"/>
  <c r="CA14" i="97" s="1"/>
  <c r="CA17" i="97" s="1"/>
  <c r="CA23" i="97" s="1"/>
  <c r="DP100" i="22" s="1"/>
  <c r="AW12" i="97"/>
  <c r="AW14" i="97" s="1"/>
  <c r="AW17" i="97" s="1"/>
  <c r="AW23" i="97" s="1"/>
  <c r="CL100" i="22" s="1"/>
  <c r="BG12" i="97"/>
  <c r="BG14" i="97" s="1"/>
  <c r="BG17" i="97" s="1"/>
  <c r="BG23" i="97" s="1"/>
  <c r="CV100" i="22" s="1"/>
  <c r="BV12" i="97"/>
  <c r="BV14" i="97" s="1"/>
  <c r="BV17" i="97" s="1"/>
  <c r="BV23" i="97" s="1"/>
  <c r="DK100" i="22" s="1"/>
  <c r="AR12" i="97"/>
  <c r="AR14" i="97" s="1"/>
  <c r="AR17" i="97" s="1"/>
  <c r="AJ12" i="97"/>
  <c r="AJ14" i="97" s="1"/>
  <c r="AJ17" i="97" s="1"/>
  <c r="AJ23" i="97" s="1"/>
  <c r="BN12" i="97"/>
  <c r="BN14" i="97" s="1"/>
  <c r="BN17" i="97" s="1"/>
  <c r="BN23" i="97" s="1"/>
  <c r="DC100" i="22" s="1"/>
  <c r="AS12" i="97"/>
  <c r="AS14" i="97" s="1"/>
  <c r="AS17" i="97" s="1"/>
  <c r="AS23" i="97" s="1"/>
  <c r="CH100" i="22" s="1"/>
  <c r="BR12" i="97"/>
  <c r="BR14" i="97" s="1"/>
  <c r="BR17" i="97" s="1"/>
  <c r="BR23" i="97" s="1"/>
  <c r="DG100" i="22" s="1"/>
  <c r="BL12" i="97"/>
  <c r="BL14" i="97" s="1"/>
  <c r="BL17" i="97" s="1"/>
  <c r="BE12" i="97"/>
  <c r="BE14" i="97" s="1"/>
  <c r="BE17" i="97" s="1"/>
  <c r="BE23" i="97" s="1"/>
  <c r="CT100" i="22" s="1"/>
  <c r="BO12" i="97"/>
  <c r="BO14" i="97" s="1"/>
  <c r="BO17" i="97" s="1"/>
  <c r="BO23" i="97" s="1"/>
  <c r="DD100" i="22" s="1"/>
  <c r="AZ12" i="97"/>
  <c r="AZ14" i="97" s="1"/>
  <c r="AZ17" i="97" s="1"/>
  <c r="AZ23" i="97" s="1"/>
  <c r="CO100" i="22" s="1"/>
  <c r="CI12" i="97"/>
  <c r="CI14" i="97" s="1"/>
  <c r="CI17" i="97" s="1"/>
  <c r="BA12" i="97"/>
  <c r="BA14" i="97" s="1"/>
  <c r="BA17" i="97" s="1"/>
  <c r="BA23" i="97" s="1"/>
  <c r="CP100" i="22" s="1"/>
  <c r="BZ12" i="97"/>
  <c r="BZ14" i="97" s="1"/>
  <c r="BZ17" i="97" s="1"/>
  <c r="BZ23" i="97" s="1"/>
  <c r="DO100" i="22" s="1"/>
  <c r="BT12" i="97"/>
  <c r="BT14" i="97" s="1"/>
  <c r="BT17" i="97" s="1"/>
  <c r="BT23" i="97" s="1"/>
  <c r="DI100" i="22" s="1"/>
  <c r="BM12" i="97"/>
  <c r="BM14" i="97" s="1"/>
  <c r="BM17" i="97" s="1"/>
  <c r="BM23" i="97" s="1"/>
  <c r="DB100" i="22" s="1"/>
  <c r="BW12" i="97"/>
  <c r="BW14" i="97" s="1"/>
  <c r="BW17" i="97" s="1"/>
  <c r="BW23" i="97" s="1"/>
  <c r="DL100" i="22" s="1"/>
  <c r="BH12" i="97"/>
  <c r="BH14" i="97" s="1"/>
  <c r="BH17" i="97" s="1"/>
  <c r="AY12" i="97"/>
  <c r="AY14" i="97" s="1"/>
  <c r="AY17" i="97" s="1"/>
  <c r="AY23" i="97" s="1"/>
  <c r="CN100" i="22" s="1"/>
  <c r="CO12" i="97"/>
  <c r="CO14" i="97" s="1"/>
  <c r="CO17" i="97" s="1"/>
  <c r="CO23" i="97" s="1"/>
  <c r="ED100" i="22" s="1"/>
  <c r="AO12" i="97"/>
  <c r="AO14" i="97" s="1"/>
  <c r="AO17" i="97" s="1"/>
  <c r="AO23" i="97" s="1"/>
  <c r="W12" i="97"/>
  <c r="W14" i="97" s="1"/>
  <c r="CB12" i="97"/>
  <c r="CB14" i="97" s="1"/>
  <c r="CB17" i="97" s="1"/>
  <c r="CB23" i="97" s="1"/>
  <c r="DQ100" i="22" s="1"/>
  <c r="CE12" i="97"/>
  <c r="CE14" i="97" s="1"/>
  <c r="CE17" i="97" s="1"/>
  <c r="CE23" i="97" s="1"/>
  <c r="DT100" i="22" s="1"/>
  <c r="BQ12" i="97"/>
  <c r="BQ14" i="97" s="1"/>
  <c r="BQ17" i="97" s="1"/>
  <c r="BQ23" i="97" s="1"/>
  <c r="DF100" i="22" s="1"/>
  <c r="AH12" i="97"/>
  <c r="AH14" i="97" s="1"/>
  <c r="AH17" i="97" s="1"/>
  <c r="AH23" i="97" s="1"/>
  <c r="AD12" i="97"/>
  <c r="AD14" i="97" s="1"/>
  <c r="AD17" i="97" s="1"/>
  <c r="CP12" i="97"/>
  <c r="CP14" i="97" s="1"/>
  <c r="CP17" i="97" s="1"/>
  <c r="CP23" i="97" s="1"/>
  <c r="EE100" i="22" s="1"/>
  <c r="AM12" i="97"/>
  <c r="AM14" i="97" s="1"/>
  <c r="AM17" i="97" s="1"/>
  <c r="X12" i="97"/>
  <c r="CJ12" i="97"/>
  <c r="CJ14" i="97" s="1"/>
  <c r="CJ17" i="97" s="1"/>
  <c r="CJ23" i="97" s="1"/>
  <c r="DY100" i="22" s="1"/>
  <c r="O12" i="97"/>
  <c r="O14" i="97" s="1"/>
  <c r="O17" i="97" s="1"/>
  <c r="O23" i="97" s="1"/>
  <c r="Q12" i="97"/>
  <c r="Q14" i="97" s="1"/>
  <c r="CC12" i="97"/>
  <c r="CC14" i="97" s="1"/>
  <c r="CC17" i="97" s="1"/>
  <c r="CC23" i="97" s="1"/>
  <c r="DR100" i="22" s="1"/>
  <c r="Z12" i="97"/>
  <c r="Z14" i="97" s="1"/>
  <c r="Z17" i="97" s="1"/>
  <c r="Z23" i="97" s="1"/>
  <c r="AA12" i="97"/>
  <c r="AA14" i="97" s="1"/>
  <c r="AA17" i="97" s="1"/>
  <c r="AA23" i="97" s="1"/>
  <c r="CM12" i="97"/>
  <c r="CM14" i="97" s="1"/>
  <c r="CM17" i="97" s="1"/>
  <c r="CM23" i="97" s="1"/>
  <c r="EB100" i="22" s="1"/>
  <c r="BX12" i="97"/>
  <c r="BX14" i="97" s="1"/>
  <c r="BX17" i="97" s="1"/>
  <c r="BB12" i="97"/>
  <c r="BB14" i="97" s="1"/>
  <c r="BB17" i="97" s="1"/>
  <c r="BB23" i="97" s="1"/>
  <c r="CQ100" i="22" s="1"/>
  <c r="BK12" i="97"/>
  <c r="BK14" i="97" s="1"/>
  <c r="BK17" i="97" s="1"/>
  <c r="BK23" i="97" s="1"/>
  <c r="CZ100" i="22" s="1"/>
  <c r="BI12" i="97"/>
  <c r="BI14" i="97" s="1"/>
  <c r="BI17" i="97" s="1"/>
  <c r="BI23" i="97" s="1"/>
  <c r="CX100" i="22" s="1"/>
  <c r="V12" i="97"/>
  <c r="V14" i="97" s="1"/>
  <c r="P12" i="97"/>
  <c r="P14" i="97" s="1"/>
  <c r="P17" i="97" s="1"/>
  <c r="P23" i="97" s="1"/>
  <c r="BU12" i="97"/>
  <c r="BU14" i="97" s="1"/>
  <c r="BU17" i="97" s="1"/>
  <c r="BP12" i="97"/>
  <c r="BP14" i="97" s="1"/>
  <c r="BP17" i="97" s="1"/>
  <c r="BP23" i="97" s="1"/>
  <c r="DE100" i="22" s="1"/>
  <c r="BY12" i="97"/>
  <c r="BY14" i="97" s="1"/>
  <c r="BY17" i="97" s="1"/>
  <c r="BY23" i="97" s="1"/>
  <c r="DN100" i="22" s="1"/>
  <c r="AX12" i="97"/>
  <c r="AX14" i="97" s="1"/>
  <c r="AX17" i="97" s="1"/>
  <c r="AX23" i="97" s="1"/>
  <c r="CM100" i="22" s="1"/>
  <c r="AL12" i="97"/>
  <c r="AL14" i="97" s="1"/>
  <c r="AL17" i="97" s="1"/>
  <c r="AL23" i="97" s="1"/>
  <c r="CQ12" i="97"/>
  <c r="CQ14" i="97" s="1"/>
  <c r="CQ17" i="97" s="1"/>
  <c r="CQ23" i="97" s="1"/>
  <c r="EF100" i="22" s="1"/>
  <c r="BC12" i="97"/>
  <c r="BC14" i="97" s="1"/>
  <c r="BC17" i="97" s="1"/>
  <c r="BC23" i="97" s="1"/>
  <c r="CR100" i="22" s="1"/>
  <c r="AF12" i="97"/>
  <c r="AF14" i="97" s="1"/>
  <c r="AF17" i="97" s="1"/>
  <c r="AF23" i="97" s="1"/>
  <c r="AE12" i="97"/>
  <c r="AE14" i="97" s="1"/>
  <c r="AE17" i="97" s="1"/>
  <c r="AE23" i="97" s="1"/>
  <c r="Y12" i="97"/>
  <c r="Y14" i="97" s="1"/>
  <c r="Y17" i="97" s="1"/>
  <c r="Y23" i="97" s="1"/>
  <c r="CK12" i="97"/>
  <c r="CK14" i="97" s="1"/>
  <c r="CK17" i="97" s="1"/>
  <c r="CK23" i="97" s="1"/>
  <c r="DZ100" i="22" s="1"/>
  <c r="AP12" i="97"/>
  <c r="AP14" i="97" s="1"/>
  <c r="AP17" i="97" s="1"/>
  <c r="AI12" i="97"/>
  <c r="AI14" i="97" s="1"/>
  <c r="AI17" i="97" s="1"/>
  <c r="T12" i="97"/>
  <c r="T14" i="97" s="1"/>
  <c r="CF12" i="97"/>
  <c r="CF14" i="97" s="1"/>
  <c r="CF17" i="97" s="1"/>
  <c r="CF23" i="97" s="1"/>
  <c r="DU100" i="22" s="1"/>
  <c r="AC12" i="97"/>
  <c r="AC14" i="97" s="1"/>
  <c r="AC17" i="97" s="1"/>
  <c r="AC23" i="97" s="1"/>
  <c r="AV12" i="97"/>
  <c r="AV14" i="97" s="1"/>
  <c r="AV17" i="97" s="1"/>
  <c r="AV23" i="97" s="1"/>
  <c r="CK100" i="22" s="1"/>
  <c r="CH12" i="97"/>
  <c r="CH14" i="97" s="1"/>
  <c r="CH17" i="97" s="1"/>
  <c r="CH23" i="97" s="1"/>
  <c r="DW100" i="22" s="1"/>
  <c r="S12" i="97"/>
  <c r="S14" i="97" s="1"/>
  <c r="U12" i="97"/>
  <c r="U14" i="97" s="1"/>
  <c r="CG12" i="97"/>
  <c r="CG14" i="97" s="1"/>
  <c r="CG17" i="97" s="1"/>
  <c r="CG23" i="97" s="1"/>
  <c r="DV100" i="22" s="1"/>
  <c r="BF12" i="97"/>
  <c r="BF14" i="97" s="1"/>
  <c r="BF17" i="97" s="1"/>
  <c r="BF23" i="97" s="1"/>
  <c r="CU100" i="22" s="1"/>
  <c r="AT12" i="97"/>
  <c r="AT14" i="97" s="1"/>
  <c r="AT17" i="97" s="1"/>
  <c r="AT23" i="97" s="1"/>
  <c r="CI100" i="22" s="1"/>
  <c r="BS12" i="97"/>
  <c r="BS14" i="97" s="1"/>
  <c r="BS17" i="97" s="1"/>
  <c r="BS23" i="97" s="1"/>
  <c r="DH100" i="22" s="1"/>
  <c r="AN12" i="97"/>
  <c r="AN14" i="97" s="1"/>
  <c r="AN17" i="97" s="1"/>
  <c r="AN23" i="97" s="1"/>
  <c r="AU12" i="97"/>
  <c r="AU14" i="97" s="1"/>
  <c r="AU17" i="97" s="1"/>
  <c r="AU23" i="97" s="1"/>
  <c r="CJ100" i="22" s="1"/>
  <c r="AG12" i="97"/>
  <c r="AG14" i="97" s="1"/>
  <c r="AG17" i="97" s="1"/>
  <c r="CL12" i="97"/>
  <c r="CL14" i="97" s="1"/>
  <c r="CL17" i="97" s="1"/>
  <c r="CL23" i="97" s="1"/>
  <c r="EA100" i="22" s="1"/>
  <c r="CD12" i="97"/>
  <c r="CD14" i="97" s="1"/>
  <c r="CD17" i="97" s="1"/>
  <c r="CD23" i="97" s="1"/>
  <c r="DS100" i="22" s="1"/>
  <c r="AQ12" i="97"/>
  <c r="AQ14" i="97" s="1"/>
  <c r="AQ17" i="97" s="1"/>
  <c r="AQ23" i="97" s="1"/>
  <c r="AB12" i="97"/>
  <c r="AB14" i="97" s="1"/>
  <c r="AB17" i="97" s="1"/>
  <c r="AB23" i="97" s="1"/>
  <c r="CN12" i="97"/>
  <c r="CN14" i="97" s="1"/>
  <c r="CN17" i="97" s="1"/>
  <c r="CN23" i="97" s="1"/>
  <c r="EC100" i="22" s="1"/>
  <c r="CU18" i="87"/>
  <c r="EJ88" i="22" s="1"/>
  <c r="DW16" i="58"/>
  <c r="X13" i="86"/>
  <c r="X18" i="86" s="1"/>
  <c r="BF17" i="125"/>
  <c r="AV17" i="125"/>
  <c r="FA21" i="70"/>
  <c r="FA22" i="70" s="1"/>
  <c r="FA29" i="70" s="1"/>
  <c r="CS17" i="125"/>
  <c r="CF17" i="125"/>
  <c r="BL17" i="125"/>
  <c r="BK17" i="125"/>
  <c r="BC17" i="125"/>
  <c r="CD17" i="125"/>
  <c r="BS17" i="125"/>
  <c r="BA17" i="125"/>
  <c r="BV17" i="125"/>
  <c r="BG17" i="125"/>
  <c r="CO17" i="125"/>
  <c r="CO10" i="125"/>
  <c r="CO19" i="125" s="1"/>
  <c r="CO22" i="125" s="1"/>
  <c r="BH17" i="125"/>
  <c r="BH10" i="125"/>
  <c r="CU17" i="125"/>
  <c r="CU10" i="125"/>
  <c r="CU19" i="125" s="1"/>
  <c r="CU22" i="125" s="1"/>
  <c r="CG17" i="125"/>
  <c r="CG10" i="125"/>
  <c r="CG19" i="125" s="1"/>
  <c r="CG22" i="125" s="1"/>
  <c r="CG23" i="125" s="1"/>
  <c r="CG30" i="125" s="1"/>
  <c r="CG29" i="125" s="1"/>
  <c r="BR17" i="125"/>
  <c r="BR10" i="125"/>
  <c r="AZ17" i="125"/>
  <c r="AZ10" i="125"/>
  <c r="CM17" i="125"/>
  <c r="CM10" i="125"/>
  <c r="CM19" i="125" s="1"/>
  <c r="CM22" i="125" s="1"/>
  <c r="CP17" i="125"/>
  <c r="CP10" i="125"/>
  <c r="BM17" i="125"/>
  <c r="BM10" i="125"/>
  <c r="CR17" i="125"/>
  <c r="CR10" i="125"/>
  <c r="CQ17" i="125"/>
  <c r="CQ10" i="125"/>
  <c r="BY17" i="125"/>
  <c r="BY10" i="125"/>
  <c r="BY19" i="125" s="1"/>
  <c r="BY22" i="125" s="1"/>
  <c r="BY23" i="125" s="1"/>
  <c r="BY30" i="125" s="1"/>
  <c r="BY29" i="125" s="1"/>
  <c r="BB17" i="125"/>
  <c r="BB10" i="125"/>
  <c r="CE17" i="125"/>
  <c r="CE10" i="125"/>
  <c r="CT17" i="125"/>
  <c r="CT10" i="125"/>
  <c r="BE17" i="125"/>
  <c r="BE10" i="125"/>
  <c r="CJ17" i="125"/>
  <c r="CJ10" i="125"/>
  <c r="CI17" i="125"/>
  <c r="CI10" i="125"/>
  <c r="BQ17" i="125"/>
  <c r="BQ10" i="125"/>
  <c r="BW17" i="125"/>
  <c r="BW10" i="125"/>
  <c r="CL17" i="125"/>
  <c r="CL10" i="125"/>
  <c r="CH17" i="125"/>
  <c r="CH10" i="125"/>
  <c r="AW17" i="125"/>
  <c r="AW10" i="125"/>
  <c r="CB17" i="125"/>
  <c r="CB10" i="125"/>
  <c r="CA17" i="125"/>
  <c r="CA10" i="125"/>
  <c r="BI17" i="125"/>
  <c r="BI10" i="125"/>
  <c r="CN10" i="125"/>
  <c r="CN19" i="125" s="1"/>
  <c r="CN22" i="125" s="1"/>
  <c r="CN23" i="125" s="1"/>
  <c r="CN30" i="125" s="1"/>
  <c r="BO17" i="125"/>
  <c r="BO10" i="125"/>
  <c r="BT17" i="125"/>
  <c r="BT10" i="125"/>
  <c r="BU17" i="125"/>
  <c r="BU10" i="125"/>
  <c r="AX17" i="125"/>
  <c r="AX10" i="125"/>
  <c r="BJ17" i="125"/>
  <c r="BJ10" i="125"/>
  <c r="BX17" i="125"/>
  <c r="BX10" i="125"/>
  <c r="AY17" i="125"/>
  <c r="AY10" i="125"/>
  <c r="BN17" i="125"/>
  <c r="BN10" i="125"/>
  <c r="CK17" i="125"/>
  <c r="CK10" i="125"/>
  <c r="BD17" i="125"/>
  <c r="BD10" i="125"/>
  <c r="BP17" i="125"/>
  <c r="BP10" i="125"/>
  <c r="CC13" i="43"/>
  <c r="CC18" i="43" s="1"/>
  <c r="DR26" i="22" s="1"/>
  <c r="CW17" i="125"/>
  <c r="CW19" i="125"/>
  <c r="CW22" i="125" s="1"/>
  <c r="CW23" i="125" s="1"/>
  <c r="CF22" i="125"/>
  <c r="CF23" i="125" s="1"/>
  <c r="CF30" i="125" s="1"/>
  <c r="EE17" i="125"/>
  <c r="EE14" i="125"/>
  <c r="EE16" i="125" s="1"/>
  <c r="DI17" i="125"/>
  <c r="DI14" i="125"/>
  <c r="DI16" i="125" s="1"/>
  <c r="DW17" i="125"/>
  <c r="DW14" i="125"/>
  <c r="DW16" i="125" s="1"/>
  <c r="EG17" i="125"/>
  <c r="EG14" i="125"/>
  <c r="EG16" i="125" s="1"/>
  <c r="ES17" i="125"/>
  <c r="ES14" i="125"/>
  <c r="ES16" i="125" s="1"/>
  <c r="CY17" i="125"/>
  <c r="CY14" i="125"/>
  <c r="CY16" i="125" s="1"/>
  <c r="DZ17" i="125"/>
  <c r="DZ14" i="125"/>
  <c r="DZ16" i="125" s="1"/>
  <c r="DJ17" i="125"/>
  <c r="DJ14" i="125"/>
  <c r="DJ16" i="125" s="1"/>
  <c r="EN17" i="125"/>
  <c r="EN14" i="125"/>
  <c r="EN16" i="125" s="1"/>
  <c r="EV17" i="125"/>
  <c r="EV14" i="125"/>
  <c r="EV16" i="125" s="1"/>
  <c r="EZ17" i="125"/>
  <c r="EZ14" i="125"/>
  <c r="EZ16" i="125" s="1"/>
  <c r="EP17" i="125"/>
  <c r="EP14" i="125"/>
  <c r="EP16" i="125" s="1"/>
  <c r="FA17" i="125"/>
  <c r="FA14" i="125"/>
  <c r="FA16" i="125" s="1"/>
  <c r="ER17" i="125"/>
  <c r="ER14" i="125"/>
  <c r="ER16" i="125" s="1"/>
  <c r="EB17" i="125"/>
  <c r="EB14" i="125"/>
  <c r="EB16" i="125" s="1"/>
  <c r="DB17" i="125"/>
  <c r="DB14" i="125"/>
  <c r="DB16" i="125" s="1"/>
  <c r="DA17" i="125"/>
  <c r="DA14" i="125"/>
  <c r="DA16" i="125" s="1"/>
  <c r="EY17" i="125"/>
  <c r="EY14" i="125"/>
  <c r="EY16" i="125" s="1"/>
  <c r="FD17" i="125"/>
  <c r="FD14" i="125"/>
  <c r="FD16" i="125" s="1"/>
  <c r="ET17" i="125"/>
  <c r="ET14" i="125"/>
  <c r="ET16" i="125" s="1"/>
  <c r="DQ17" i="125"/>
  <c r="DQ14" i="125"/>
  <c r="DQ16" i="125" s="1"/>
  <c r="EQ17" i="125"/>
  <c r="EQ14" i="125"/>
  <c r="EQ16" i="125" s="1"/>
  <c r="DY17" i="125"/>
  <c r="DY14" i="125"/>
  <c r="DY16" i="125" s="1"/>
  <c r="EL17" i="125"/>
  <c r="EL14" i="125"/>
  <c r="EL16" i="125" s="1"/>
  <c r="DK17" i="125"/>
  <c r="DK14" i="125"/>
  <c r="DK16" i="125" s="1"/>
  <c r="DS17" i="125"/>
  <c r="DS14" i="125"/>
  <c r="DS16" i="125" s="1"/>
  <c r="DE17" i="125"/>
  <c r="DE14" i="125"/>
  <c r="DE16" i="125" s="1"/>
  <c r="FB17" i="125"/>
  <c r="FB14" i="125"/>
  <c r="FB16" i="125" s="1"/>
  <c r="EI17" i="125"/>
  <c r="EI14" i="125"/>
  <c r="EI16" i="125" s="1"/>
  <c r="DT17" i="125"/>
  <c r="DT14" i="125"/>
  <c r="DT16" i="125" s="1"/>
  <c r="EW17" i="125"/>
  <c r="EW14" i="125"/>
  <c r="EW16" i="125" s="1"/>
  <c r="EA17" i="125"/>
  <c r="EA14" i="125"/>
  <c r="EA16" i="125" s="1"/>
  <c r="DN17" i="125"/>
  <c r="DN14" i="125"/>
  <c r="DN16" i="125" s="1"/>
  <c r="DM17" i="125"/>
  <c r="DM14" i="125"/>
  <c r="DM16" i="125" s="1"/>
  <c r="EU17" i="125"/>
  <c r="EU14" i="125"/>
  <c r="EU16" i="125" s="1"/>
  <c r="DP17" i="125"/>
  <c r="DP14" i="125"/>
  <c r="DP16" i="125" s="1"/>
  <c r="DH17" i="125"/>
  <c r="DH14" i="125"/>
  <c r="DH16" i="125" s="1"/>
  <c r="CZ17" i="125"/>
  <c r="CZ14" i="125"/>
  <c r="CZ16" i="125" s="1"/>
  <c r="ED17" i="125"/>
  <c r="ED14" i="125"/>
  <c r="ED16" i="125" s="1"/>
  <c r="DC17" i="125"/>
  <c r="DC14" i="125"/>
  <c r="DC16" i="125" s="1"/>
  <c r="EF17" i="125"/>
  <c r="EF14" i="125"/>
  <c r="EF16" i="125" s="1"/>
  <c r="DF17" i="125"/>
  <c r="DF14" i="125"/>
  <c r="DF16" i="125" s="1"/>
  <c r="DU17" i="125"/>
  <c r="DU14" i="125"/>
  <c r="DU16" i="125" s="1"/>
  <c r="FC17" i="125"/>
  <c r="FC14" i="125"/>
  <c r="FC16" i="125" s="1"/>
  <c r="EH17" i="125"/>
  <c r="EH14" i="125"/>
  <c r="EH16" i="125" s="1"/>
  <c r="DG17" i="125"/>
  <c r="DG14" i="125"/>
  <c r="DG16" i="125" s="1"/>
  <c r="FE17" i="125"/>
  <c r="FE14" i="125"/>
  <c r="FE16" i="125" s="1"/>
  <c r="EJ17" i="125"/>
  <c r="EJ14" i="125"/>
  <c r="EJ16" i="125" s="1"/>
  <c r="EM17" i="125"/>
  <c r="EM14" i="125"/>
  <c r="EM16" i="125" s="1"/>
  <c r="DR17" i="125"/>
  <c r="DR14" i="125"/>
  <c r="DR16" i="125" s="1"/>
  <c r="DL17" i="125"/>
  <c r="DL14" i="125"/>
  <c r="DL16" i="125" s="1"/>
  <c r="EO17" i="125"/>
  <c r="EO14" i="125"/>
  <c r="EO16" i="125" s="1"/>
  <c r="DO17" i="125"/>
  <c r="DO14" i="125"/>
  <c r="DO16" i="125" s="1"/>
  <c r="EC17" i="125"/>
  <c r="EC14" i="125"/>
  <c r="EC16" i="125" s="1"/>
  <c r="CX17" i="125"/>
  <c r="CX14" i="125"/>
  <c r="CX16" i="125" s="1"/>
  <c r="EX17" i="125"/>
  <c r="EX14" i="125"/>
  <c r="EX16" i="125" s="1"/>
  <c r="DV17" i="125"/>
  <c r="DV14" i="125"/>
  <c r="DV16" i="125" s="1"/>
  <c r="DD17" i="125"/>
  <c r="DD14" i="125"/>
  <c r="DD16" i="125" s="1"/>
  <c r="DX17" i="125"/>
  <c r="DX14" i="125"/>
  <c r="DX16" i="125" s="1"/>
  <c r="EK17" i="125"/>
  <c r="EK14" i="125"/>
  <c r="EK16" i="125" s="1"/>
  <c r="AL22" i="125"/>
  <c r="AL23" i="125" s="1"/>
  <c r="AL30" i="125" s="1"/>
  <c r="CV17" i="125"/>
  <c r="CV19" i="125"/>
  <c r="CV22" i="125" s="1"/>
  <c r="BN12" i="12"/>
  <c r="BN17" i="12" s="1"/>
  <c r="CS13" i="43"/>
  <c r="CW21" i="70"/>
  <c r="CW22" i="70" s="1"/>
  <c r="CW29" i="70" s="1"/>
  <c r="EL50" i="22" s="1"/>
  <c r="EI90" i="22"/>
  <c r="EJ91" i="22"/>
  <c r="EJ86" i="22"/>
  <c r="EH90" i="22"/>
  <c r="CZ13" i="43"/>
  <c r="EK91" i="22"/>
  <c r="BH91" i="22" s="1"/>
  <c r="BF95" i="22"/>
  <c r="DE13" i="43"/>
  <c r="DE18" i="43" s="1"/>
  <c r="ET26" i="22" s="1"/>
  <c r="EW12" i="79"/>
  <c r="EW17" i="79" s="1"/>
  <c r="BX12" i="47"/>
  <c r="BX17" i="47" s="1"/>
  <c r="CG13" i="43"/>
  <c r="CG18" i="43" s="1"/>
  <c r="CE13" i="43"/>
  <c r="CE18" i="43" s="1"/>
  <c r="DT26" i="22" s="1"/>
  <c r="EK90" i="22"/>
  <c r="DQ13" i="86"/>
  <c r="DQ18" i="86" s="1"/>
  <c r="FF87" i="22" s="1"/>
  <c r="AX29" i="70"/>
  <c r="AX14" i="70"/>
  <c r="DK13" i="86"/>
  <c r="DK18" i="86" s="1"/>
  <c r="EZ87" i="22" s="1"/>
  <c r="DJ12" i="57"/>
  <c r="DJ5" i="30" s="1"/>
  <c r="DJ9" i="30" s="1"/>
  <c r="DJ14" i="30" s="1"/>
  <c r="DJ7" i="29" s="1"/>
  <c r="DJ11" i="29" s="1"/>
  <c r="DJ16" i="29" s="1"/>
  <c r="DZ12" i="57"/>
  <c r="DZ5" i="30" s="1"/>
  <c r="DZ9" i="30" s="1"/>
  <c r="DZ14" i="30" s="1"/>
  <c r="DZ7" i="29" s="1"/>
  <c r="DZ11" i="29" s="1"/>
  <c r="DZ16" i="29" s="1"/>
  <c r="DZ21" i="29" s="1"/>
  <c r="DO14" i="55"/>
  <c r="DR12" i="79"/>
  <c r="DR17" i="79" s="1"/>
  <c r="FG93" i="22" s="1"/>
  <c r="CD93" i="22" s="1"/>
  <c r="DI12" i="81"/>
  <c r="DI17" i="81" s="1"/>
  <c r="EX85" i="22" s="1"/>
  <c r="DQ12" i="81"/>
  <c r="DQ17" i="81" s="1"/>
  <c r="FF85" i="22" s="1"/>
  <c r="AM19" i="125"/>
  <c r="AM22" i="125" s="1"/>
  <c r="AI30" i="125"/>
  <c r="DC13" i="43"/>
  <c r="DC18" i="43" s="1"/>
  <c r="ER26" i="22" s="1"/>
  <c r="AD30" i="125"/>
  <c r="AE30" i="125"/>
  <c r="AG30" i="125"/>
  <c r="AK30" i="125"/>
  <c r="AJ30" i="125"/>
  <c r="AF30" i="125"/>
  <c r="AH30" i="125"/>
  <c r="CV13" i="27"/>
  <c r="CW13" i="73"/>
  <c r="CW18" i="73" s="1"/>
  <c r="EL78" i="22" s="1"/>
  <c r="CV12" i="5"/>
  <c r="CV17" i="5" s="1"/>
  <c r="EL11" i="22" s="1"/>
  <c r="BB98" i="22"/>
  <c r="EB13" i="50"/>
  <c r="EC12" i="81"/>
  <c r="EC17" i="81" s="1"/>
  <c r="DZ13" i="73"/>
  <c r="DZ18" i="73" s="1"/>
  <c r="DB13" i="43"/>
  <c r="DB18" i="43" s="1"/>
  <c r="EQ26" i="22" s="1"/>
  <c r="EF90" i="22"/>
  <c r="BU12" i="47"/>
  <c r="BU17" i="47" s="1"/>
  <c r="DY13" i="86"/>
  <c r="DY18" i="86" s="1"/>
  <c r="CH13" i="43"/>
  <c r="CH18" i="43" s="1"/>
  <c r="DF10" i="35"/>
  <c r="DL14" i="55"/>
  <c r="DK14" i="54"/>
  <c r="EP13" i="50"/>
  <c r="EP18" i="50" s="1"/>
  <c r="DO13" i="50"/>
  <c r="DO18" i="50" s="1"/>
  <c r="CW13" i="43"/>
  <c r="CW18" i="43" s="1"/>
  <c r="EL26" i="22" s="1"/>
  <c r="DT12" i="60"/>
  <c r="DT17" i="60" s="1"/>
  <c r="DC13" i="66"/>
  <c r="DC18" i="66" s="1"/>
  <c r="ER47" i="22" s="1"/>
  <c r="EC13" i="73"/>
  <c r="EC18" i="73" s="1"/>
  <c r="EK86" i="22"/>
  <c r="EE14" i="55"/>
  <c r="EE19" i="55" s="1"/>
  <c r="DO11" i="28"/>
  <c r="BN13" i="43"/>
  <c r="BN18" i="43" s="1"/>
  <c r="EM13" i="49"/>
  <c r="EM18" i="49" s="1"/>
  <c r="ED12" i="76"/>
  <c r="ED17" i="76" s="1"/>
  <c r="EC12" i="76"/>
  <c r="EC17" i="76" s="1"/>
  <c r="DX13" i="73"/>
  <c r="DX18" i="73" s="1"/>
  <c r="DU13" i="49"/>
  <c r="DU18" i="49" s="1"/>
  <c r="CV16" i="58"/>
  <c r="EK43" i="22" s="1"/>
  <c r="EK21" i="70"/>
  <c r="EK22" i="70" s="1"/>
  <c r="EK29" i="70" s="1"/>
  <c r="CT13" i="43"/>
  <c r="CT18" i="43" s="1"/>
  <c r="CZ13" i="73"/>
  <c r="CZ18" i="73" s="1"/>
  <c r="EO78" i="22" s="1"/>
  <c r="CV14" i="54"/>
  <c r="DD13" i="43"/>
  <c r="DD18" i="43" s="1"/>
  <c r="ES26" i="22" s="1"/>
  <c r="CO13" i="43"/>
  <c r="CO18" i="43" s="1"/>
  <c r="ED26" i="22" s="1"/>
  <c r="EE13" i="49"/>
  <c r="EE18" i="49" s="1"/>
  <c r="AX94" i="22"/>
  <c r="EG13" i="52"/>
  <c r="EG18" i="52" s="1"/>
  <c r="CR13" i="43"/>
  <c r="CR18" i="43" s="1"/>
  <c r="EG26" i="22" s="1"/>
  <c r="CN13" i="43"/>
  <c r="CN18" i="43" s="1"/>
  <c r="EC26" i="22" s="1"/>
  <c r="CQ13" i="43"/>
  <c r="CQ18" i="43" s="1"/>
  <c r="EF26" i="22" s="1"/>
  <c r="CX13" i="43"/>
  <c r="CX18" i="43" s="1"/>
  <c r="EM26" i="22" s="1"/>
  <c r="CP13" i="43"/>
  <c r="CP18" i="43" s="1"/>
  <c r="EE26" i="22" s="1"/>
  <c r="CY13" i="43"/>
  <c r="CY18" i="43" s="1"/>
  <c r="EN26" i="22" s="1"/>
  <c r="CU13" i="43"/>
  <c r="CU18" i="43" s="1"/>
  <c r="CJ13" i="43"/>
  <c r="CJ18" i="43" s="1"/>
  <c r="CM13" i="43"/>
  <c r="CM18" i="43" s="1"/>
  <c r="EB26" i="22" s="1"/>
  <c r="DG13" i="43"/>
  <c r="DG18" i="43" s="1"/>
  <c r="EV26" i="22" s="1"/>
  <c r="BD95" i="22"/>
  <c r="CI13" i="43"/>
  <c r="CI18" i="43" s="1"/>
  <c r="EJ90" i="22"/>
  <c r="CL13" i="43"/>
  <c r="CL18" i="43" s="1"/>
  <c r="EA26" i="22" s="1"/>
  <c r="CM12" i="47"/>
  <c r="CM17" i="47" s="1"/>
  <c r="DG14" i="38"/>
  <c r="DG19" i="38" s="1"/>
  <c r="EV24" i="22" s="1"/>
  <c r="DL14" i="54"/>
  <c r="BS13" i="43"/>
  <c r="BS18" i="43" s="1"/>
  <c r="EF13" i="43"/>
  <c r="EF18" i="43" s="1"/>
  <c r="CY14" i="54"/>
  <c r="DI12" i="79"/>
  <c r="DI17" i="79" s="1"/>
  <c r="EX93" i="22" s="1"/>
  <c r="EC14" i="30"/>
  <c r="EC7" i="29" s="1"/>
  <c r="EC11" i="29" s="1"/>
  <c r="EC16" i="29" s="1"/>
  <c r="EC21" i="29" s="1"/>
  <c r="DO13" i="18"/>
  <c r="EY21" i="70"/>
  <c r="EY22" i="70" s="1"/>
  <c r="EY29" i="70" s="1"/>
  <c r="BE95" i="22"/>
  <c r="DJ10" i="44"/>
  <c r="BK13" i="43"/>
  <c r="BK18" i="43" s="1"/>
  <c r="CZ13" i="52"/>
  <c r="CV13" i="49"/>
  <c r="CV18" i="49" s="1"/>
  <c r="EK30" i="22" s="1"/>
  <c r="EH12" i="79"/>
  <c r="EH17" i="79" s="1"/>
  <c r="CB13" i="43"/>
  <c r="CB18" i="43" s="1"/>
  <c r="EG90" i="22"/>
  <c r="I13" i="73"/>
  <c r="I18" i="73" s="1"/>
  <c r="CF13" i="43"/>
  <c r="CF18" i="43" s="1"/>
  <c r="EM13" i="50"/>
  <c r="EM18" i="50" s="1"/>
  <c r="DN13" i="43"/>
  <c r="DN18" i="43" s="1"/>
  <c r="FC26" i="22" s="1"/>
  <c r="CD13" i="43"/>
  <c r="CD18" i="43" s="1"/>
  <c r="DU11" i="28"/>
  <c r="DU16" i="28" s="1"/>
  <c r="DZ14" i="54"/>
  <c r="DZ19" i="54" s="1"/>
  <c r="DQ13" i="52"/>
  <c r="DQ18" i="52" s="1"/>
  <c r="FF33" i="22" s="1"/>
  <c r="DI12" i="47"/>
  <c r="DI17" i="47" s="1"/>
  <c r="EX32" i="22" s="1"/>
  <c r="DQ16" i="58"/>
  <c r="FF43" i="22" s="1"/>
  <c r="EB12" i="60"/>
  <c r="EB17" i="60" s="1"/>
  <c r="EA13" i="52"/>
  <c r="EA18" i="52" s="1"/>
  <c r="DX13" i="32"/>
  <c r="DX5" i="31" s="1"/>
  <c r="DX10" i="31" s="1"/>
  <c r="DX11" i="31" s="1"/>
  <c r="DX17" i="31" s="1"/>
  <c r="DU16" i="58"/>
  <c r="EA12" i="60"/>
  <c r="EA17" i="60" s="1"/>
  <c r="DJ12" i="76"/>
  <c r="DJ17" i="76" s="1"/>
  <c r="EY81" i="22" s="1"/>
  <c r="CW13" i="66"/>
  <c r="CW18" i="66" s="1"/>
  <c r="EL47" i="22" s="1"/>
  <c r="CX11" i="20"/>
  <c r="CX16" i="20" s="1"/>
  <c r="EN16" i="22" s="1"/>
  <c r="CT13" i="27"/>
  <c r="BC94" i="22"/>
  <c r="CS12" i="25"/>
  <c r="CW11" i="20"/>
  <c r="CW16" i="20" s="1"/>
  <c r="EM16" i="22" s="1"/>
  <c r="DG14" i="55"/>
  <c r="DR13" i="50"/>
  <c r="AV95" i="22"/>
  <c r="DA13" i="43"/>
  <c r="DA18" i="43" s="1"/>
  <c r="EP26" i="22" s="1"/>
  <c r="AX95" i="22"/>
  <c r="DF13" i="43"/>
  <c r="DF18" i="43" s="1"/>
  <c r="EU26" i="22" s="1"/>
  <c r="CU12" i="36"/>
  <c r="DH11" i="20"/>
  <c r="DH16" i="20" s="1"/>
  <c r="EX16" i="22" s="1"/>
  <c r="BB95" i="22"/>
  <c r="AV98" i="22"/>
  <c r="DH14" i="17"/>
  <c r="DH21" i="17" s="1"/>
  <c r="EX10" i="22" s="1"/>
  <c r="EF11" i="23"/>
  <c r="EF16" i="23" s="1"/>
  <c r="DM12" i="12"/>
  <c r="DM17" i="12" s="1"/>
  <c r="FC6" i="22" s="1"/>
  <c r="DF10" i="26"/>
  <c r="DF15" i="26" s="1"/>
  <c r="EV8" i="22" s="1"/>
  <c r="DU12" i="16"/>
  <c r="DU17" i="16" s="1"/>
  <c r="BE94" i="22"/>
  <c r="AW95" i="22"/>
  <c r="T12" i="12"/>
  <c r="T17" i="12" s="1"/>
  <c r="DJ10" i="26"/>
  <c r="DJ15" i="26" s="1"/>
  <c r="EZ8" i="22" s="1"/>
  <c r="CB12" i="12"/>
  <c r="AX98" i="22"/>
  <c r="BQ12" i="12"/>
  <c r="BQ17" i="12" s="1"/>
  <c r="DT14" i="17"/>
  <c r="DT21" i="17" s="1"/>
  <c r="DS14" i="17"/>
  <c r="DS21" i="17" s="1"/>
  <c r="AV94" i="22"/>
  <c r="EJ27" i="22"/>
  <c r="EH44" i="22"/>
  <c r="EK79" i="22"/>
  <c r="BH79" i="22" s="1"/>
  <c r="EH92" i="22"/>
  <c r="EK89" i="22"/>
  <c r="BH89" i="22" s="1"/>
  <c r="EE83" i="22"/>
  <c r="EE18" i="22"/>
  <c r="EG28" i="22"/>
  <c r="EI28" i="22"/>
  <c r="EF83" i="22"/>
  <c r="EE28" i="22"/>
  <c r="EE84" i="22"/>
  <c r="EC92" i="22"/>
  <c r="DW92" i="22"/>
  <c r="CT92" i="22"/>
  <c r="EA92" i="22"/>
  <c r="EG84" i="22"/>
  <c r="AH20" i="103"/>
  <c r="AH17" i="103"/>
  <c r="DF84" i="22"/>
  <c r="CY84" i="22"/>
  <c r="CR84" i="22"/>
  <c r="CW86" i="22"/>
  <c r="DK86" i="22"/>
  <c r="DN86" i="22"/>
  <c r="CZ86" i="22"/>
  <c r="DB86" i="22"/>
  <c r="DD86" i="22"/>
  <c r="DO83" i="22"/>
  <c r="DO84" i="22"/>
  <c r="DU80" i="22"/>
  <c r="DR67" i="22"/>
  <c r="DW83" i="22"/>
  <c r="DS44" i="22"/>
  <c r="CQ89" i="22"/>
  <c r="DY80" i="22"/>
  <c r="DX67" i="22"/>
  <c r="DX84" i="22"/>
  <c r="DX28" i="22"/>
  <c r="DZ18" i="22"/>
  <c r="DR18" i="22"/>
  <c r="DW18" i="22"/>
  <c r="ED37" i="22"/>
  <c r="ED36" i="22"/>
  <c r="EA44" i="22"/>
  <c r="EF67" i="22"/>
  <c r="EB79" i="22"/>
  <c r="EE86" i="22"/>
  <c r="EC44" i="22"/>
  <c r="ED84" i="22"/>
  <c r="ED89" i="22"/>
  <c r="EB89" i="22"/>
  <c r="EE92" i="22"/>
  <c r="DH92" i="22"/>
  <c r="CK92" i="22"/>
  <c r="CP92" i="22"/>
  <c r="DB92" i="22"/>
  <c r="CV92" i="22"/>
  <c r="CF20" i="103"/>
  <c r="DU106" i="22" s="1"/>
  <c r="CG106" i="22" s="1"/>
  <c r="CF17" i="103"/>
  <c r="V20" i="103"/>
  <c r="V17" i="103"/>
  <c r="DN10" i="26"/>
  <c r="DN15" i="26" s="1"/>
  <c r="FD8" i="22" s="1"/>
  <c r="CZ12" i="25"/>
  <c r="CZ17" i="25" s="1"/>
  <c r="EK27" i="22"/>
  <c r="DF11" i="28"/>
  <c r="EK44" i="22"/>
  <c r="BH44" i="22" s="1"/>
  <c r="EJ67" i="22"/>
  <c r="EJ89" i="22"/>
  <c r="EI89" i="22"/>
  <c r="BF94" i="22"/>
  <c r="BG98" i="22"/>
  <c r="EI92" i="22"/>
  <c r="DJ84" i="22"/>
  <c r="CJ86" i="22"/>
  <c r="EF41" i="22"/>
  <c r="EB28" i="22"/>
  <c r="EA80" i="22"/>
  <c r="EE79" i="22"/>
  <c r="EG41" i="22"/>
  <c r="EB84" i="22"/>
  <c r="EF80" i="22"/>
  <c r="EH83" i="22"/>
  <c r="N20" i="103"/>
  <c r="N17" i="103"/>
  <c r="DG84" i="22"/>
  <c r="CZ84" i="22"/>
  <c r="DM84" i="22"/>
  <c r="DO28" i="22"/>
  <c r="DM86" i="22"/>
  <c r="CQ86" i="22"/>
  <c r="CK86" i="22"/>
  <c r="DL86" i="22"/>
  <c r="DQ79" i="22"/>
  <c r="DO67" i="22"/>
  <c r="DR36" i="22"/>
  <c r="DQ84" i="22"/>
  <c r="DR37" i="22"/>
  <c r="DR79" i="22"/>
  <c r="DT79" i="22"/>
  <c r="DS28" i="22"/>
  <c r="DU67" i="22"/>
  <c r="DW86" i="22"/>
  <c r="DU86" i="22"/>
  <c r="DT86" i="22"/>
  <c r="DF89" i="22"/>
  <c r="DT89" i="22"/>
  <c r="DC89" i="22"/>
  <c r="DQ89" i="22"/>
  <c r="DW89" i="22"/>
  <c r="DY79" i="22"/>
  <c r="DY86" i="22"/>
  <c r="DY36" i="22"/>
  <c r="DY41" i="22"/>
  <c r="DV83" i="22"/>
  <c r="DX44" i="22"/>
  <c r="DP18" i="22"/>
  <c r="DY18" i="22"/>
  <c r="DO18" i="22"/>
  <c r="ED18" i="22"/>
  <c r="EC37" i="22"/>
  <c r="EH67" i="22"/>
  <c r="EA37" i="22"/>
  <c r="ED83" i="22"/>
  <c r="EG18" i="22"/>
  <c r="EG36" i="22"/>
  <c r="EG79" i="22"/>
  <c r="EB86" i="22"/>
  <c r="EK83" i="22"/>
  <c r="BH83" i="22" s="1"/>
  <c r="EE67" i="22"/>
  <c r="EE80" i="22"/>
  <c r="ED86" i="22"/>
  <c r="EF89" i="22"/>
  <c r="EE89" i="22"/>
  <c r="CH92" i="22"/>
  <c r="DP92" i="22"/>
  <c r="CS92" i="22"/>
  <c r="DJ92" i="22"/>
  <c r="CX92" i="22"/>
  <c r="DD92" i="22"/>
  <c r="EE37" i="22"/>
  <c r="EG37" i="22"/>
  <c r="AK17" i="103"/>
  <c r="AK20" i="103"/>
  <c r="EH27" i="22"/>
  <c r="EJ28" i="22"/>
  <c r="EK67" i="22"/>
  <c r="BH67" i="22" s="1"/>
  <c r="EK80" i="22"/>
  <c r="BH80" i="22" s="1"/>
  <c r="EJ84" i="22"/>
  <c r="EH84" i="22"/>
  <c r="EK92" i="22"/>
  <c r="BH92" i="22" s="1"/>
  <c r="EK84" i="22"/>
  <c r="BH84" i="22" s="1"/>
  <c r="EI18" i="22"/>
  <c r="EK36" i="22"/>
  <c r="BH36" i="22" s="1"/>
  <c r="EK37" i="22"/>
  <c r="BH37" i="22" s="1"/>
  <c r="EK41" i="22"/>
  <c r="BH41" i="22" s="1"/>
  <c r="EJ37" i="22"/>
  <c r="EI27" i="22"/>
  <c r="EJ44" i="22"/>
  <c r="AZ94" i="22"/>
  <c r="AR41" i="83"/>
  <c r="CJ84" i="22"/>
  <c r="DC86" i="22"/>
  <c r="DT84" i="22"/>
  <c r="DS84" i="22"/>
  <c r="DJ89" i="22"/>
  <c r="DY84" i="22"/>
  <c r="DZ89" i="22"/>
  <c r="EH80" i="22"/>
  <c r="CN84" i="22"/>
  <c r="DP83" i="22"/>
  <c r="DV84" i="22"/>
  <c r="DR83" i="22"/>
  <c r="DV86" i="22"/>
  <c r="CX89" i="22"/>
  <c r="DH89" i="22"/>
  <c r="DZ84" i="22"/>
  <c r="DZ36" i="22"/>
  <c r="DY37" i="22"/>
  <c r="EF18" i="22"/>
  <c r="EC28" i="22"/>
  <c r="EE44" i="22"/>
  <c r="ED80" i="22"/>
  <c r="DR92" i="22"/>
  <c r="AR44" i="83"/>
  <c r="CM84" i="22"/>
  <c r="DN84" i="22"/>
  <c r="DA84" i="22"/>
  <c r="CO86" i="22"/>
  <c r="CI86" i="22"/>
  <c r="CS86" i="22"/>
  <c r="DO44" i="22"/>
  <c r="DP80" i="22"/>
  <c r="DQ41" i="22"/>
  <c r="DR28" i="22"/>
  <c r="DQ36" i="22"/>
  <c r="DU44" i="22"/>
  <c r="DQ80" i="22"/>
  <c r="DT28" i="22"/>
  <c r="CW89" i="22"/>
  <c r="DK89" i="22"/>
  <c r="DI89" i="22"/>
  <c r="DB89" i="22"/>
  <c r="CS89" i="22"/>
  <c r="CZ89" i="22"/>
  <c r="DN89" i="22"/>
  <c r="DY89" i="22"/>
  <c r="DZ28" i="22"/>
  <c r="DZ80" i="22"/>
  <c r="DZ79" i="22"/>
  <c r="DX37" i="22"/>
  <c r="DX41" i="22"/>
  <c r="DT18" i="22"/>
  <c r="EG67" i="22"/>
  <c r="EE41" i="22"/>
  <c r="EA84" i="22"/>
  <c r="EC89" i="22"/>
  <c r="EH28" i="22"/>
  <c r="EB83" i="22"/>
  <c r="ED67" i="22"/>
  <c r="CW92" i="22"/>
  <c r="DN92" i="22"/>
  <c r="CQ92" i="22"/>
  <c r="EF92" i="22"/>
  <c r="DI92" i="22"/>
  <c r="DZ92" i="22"/>
  <c r="CU92" i="22"/>
  <c r="DT92" i="22"/>
  <c r="AB17" i="103"/>
  <c r="AB20" i="103"/>
  <c r="EI41" i="22"/>
  <c r="EH36" i="22"/>
  <c r="EH79" i="22"/>
  <c r="BD94" i="22"/>
  <c r="AW94" i="22"/>
  <c r="EI84" i="22"/>
  <c r="BG94" i="22"/>
  <c r="EJ92" i="22"/>
  <c r="CQ84" i="22"/>
  <c r="CL86" i="22"/>
  <c r="DP28" i="22"/>
  <c r="DV80" i="22"/>
  <c r="CG94" i="22"/>
  <c r="CS84" i="22"/>
  <c r="DG86" i="22"/>
  <c r="DP41" i="22"/>
  <c r="DU28" i="22"/>
  <c r="DR41" i="22"/>
  <c r="DQ28" i="22"/>
  <c r="DP84" i="22"/>
  <c r="DW80" i="22"/>
  <c r="DU36" i="22"/>
  <c r="DE89" i="22"/>
  <c r="DA89" i="22"/>
  <c r="DU18" i="22"/>
  <c r="EC41" i="22"/>
  <c r="EA86" i="22"/>
  <c r="EG83" i="22"/>
  <c r="CO92" i="22"/>
  <c r="DX92" i="22"/>
  <c r="AF20" i="103"/>
  <c r="AF17" i="103"/>
  <c r="AY41" i="83"/>
  <c r="CU84" i="22"/>
  <c r="CV84" i="22"/>
  <c r="DI84" i="22"/>
  <c r="CL84" i="22"/>
  <c r="DO36" i="22"/>
  <c r="CH86" i="22"/>
  <c r="DE86" i="22"/>
  <c r="CY86" i="22"/>
  <c r="DI86" i="22"/>
  <c r="DO41" i="22"/>
  <c r="DO37" i="22"/>
  <c r="DT44" i="22"/>
  <c r="DO86" i="22"/>
  <c r="DW84" i="22"/>
  <c r="DV67" i="22"/>
  <c r="DT37" i="22"/>
  <c r="DW37" i="22"/>
  <c r="DV37" i="22"/>
  <c r="DU37" i="22"/>
  <c r="CH89" i="22"/>
  <c r="CO89" i="22"/>
  <c r="CY89" i="22"/>
  <c r="CI89" i="22"/>
  <c r="CT89" i="22"/>
  <c r="DD89" i="22"/>
  <c r="CK89" i="22"/>
  <c r="CR89" i="22"/>
  <c r="DM89" i="22"/>
  <c r="DX79" i="22"/>
  <c r="DY83" i="22"/>
  <c r="EA83" i="22"/>
  <c r="EA79" i="22"/>
  <c r="DZ44" i="22"/>
  <c r="DZ41" i="22"/>
  <c r="EA18" i="22"/>
  <c r="EB37" i="22"/>
  <c r="EC36" i="22"/>
  <c r="EF28" i="22"/>
  <c r="EC18" i="22"/>
  <c r="EB41" i="22"/>
  <c r="EI86" i="22"/>
  <c r="EB44" i="22"/>
  <c r="EC86" i="22"/>
  <c r="EF44" i="22"/>
  <c r="EG86" i="22"/>
  <c r="ED44" i="22"/>
  <c r="AZ95" i="22"/>
  <c r="AY95" i="22"/>
  <c r="EH89" i="22"/>
  <c r="EG89" i="22"/>
  <c r="DE92" i="22"/>
  <c r="DV92" i="22"/>
  <c r="CY92" i="22"/>
  <c r="DQ92" i="22"/>
  <c r="DC92" i="22"/>
  <c r="EB92" i="22"/>
  <c r="EF37" i="22"/>
  <c r="S17" i="103"/>
  <c r="S20" i="103"/>
  <c r="L17" i="103"/>
  <c r="L20" i="103"/>
  <c r="J20" i="103"/>
  <c r="J17" i="103"/>
  <c r="EI79" i="22"/>
  <c r="BB94" i="22"/>
  <c r="AY94" i="22"/>
  <c r="BE98" i="22"/>
  <c r="DE84" i="22"/>
  <c r="DJ86" i="22"/>
  <c r="CV86" i="22"/>
  <c r="DO80" i="22"/>
  <c r="DT83" i="22"/>
  <c r="DS86" i="22"/>
  <c r="DV36" i="22"/>
  <c r="DG89" i="22"/>
  <c r="EA36" i="22"/>
  <c r="EA28" i="22"/>
  <c r="EH18" i="22"/>
  <c r="DH84" i="22"/>
  <c r="DA86" i="22"/>
  <c r="DW79" i="22"/>
  <c r="DS67" i="22"/>
  <c r="DS89" i="22"/>
  <c r="DP89" i="22"/>
  <c r="DQ18" i="22"/>
  <c r="ED41" i="22"/>
  <c r="EC84" i="22"/>
  <c r="EB80" i="22"/>
  <c r="EJ83" i="22"/>
  <c r="CI92" i="22"/>
  <c r="AW98" i="22"/>
  <c r="AR36" i="83"/>
  <c r="CO84" i="22"/>
  <c r="CH84" i="22"/>
  <c r="CT84" i="22"/>
  <c r="CP86" i="22"/>
  <c r="CR86" i="22"/>
  <c r="CM86" i="22"/>
  <c r="DO79" i="22"/>
  <c r="DS36" i="22"/>
  <c r="DQ37" i="22"/>
  <c r="DW28" i="22"/>
  <c r="DS41" i="22"/>
  <c r="DR86" i="22"/>
  <c r="DV44" i="22"/>
  <c r="DS80" i="22"/>
  <c r="DR84" i="22"/>
  <c r="DV28" i="22"/>
  <c r="DP67" i="22"/>
  <c r="DU83" i="22"/>
  <c r="DU79" i="22"/>
  <c r="DS83" i="22"/>
  <c r="DT36" i="22"/>
  <c r="DT41" i="22"/>
  <c r="DX86" i="22"/>
  <c r="DW41" i="22"/>
  <c r="DV41" i="22"/>
  <c r="DU41" i="22"/>
  <c r="DU89" i="22"/>
  <c r="CL89" i="22"/>
  <c r="CN89" i="22"/>
  <c r="CU89" i="22"/>
  <c r="CJ89" i="22"/>
  <c r="DL89" i="22"/>
  <c r="DX89" i="22"/>
  <c r="EA67" i="22"/>
  <c r="DX80" i="22"/>
  <c r="DX83" i="22"/>
  <c r="DY28" i="22"/>
  <c r="DY67" i="22"/>
  <c r="EA89" i="22"/>
  <c r="DZ83" i="22"/>
  <c r="DZ37" i="22"/>
  <c r="DV18" i="22"/>
  <c r="DS18" i="22"/>
  <c r="EE36" i="22"/>
  <c r="EI80" i="22"/>
  <c r="EF36" i="22"/>
  <c r="EC80" i="22"/>
  <c r="ED79" i="22"/>
  <c r="ED28" i="22"/>
  <c r="EF86" i="22"/>
  <c r="EI83" i="22"/>
  <c r="BC95" i="22"/>
  <c r="EF84" i="22"/>
  <c r="DM92" i="22"/>
  <c r="ED92" i="22"/>
  <c r="DG92" i="22"/>
  <c r="DY92" i="22"/>
  <c r="DK92" i="22"/>
  <c r="AQ17" i="103"/>
  <c r="AQ20" i="103"/>
  <c r="Y20" i="103"/>
  <c r="Y17" i="103"/>
  <c r="EJ36" i="22"/>
  <c r="EJ41" i="22"/>
  <c r="EH37" i="22"/>
  <c r="EJ18" i="22"/>
  <c r="EK28" i="22"/>
  <c r="BH28" i="22" s="1"/>
  <c r="BF98" i="22"/>
  <c r="BG95" i="22"/>
  <c r="CX86" i="22"/>
  <c r="DW67" i="22"/>
  <c r="DT80" i="22"/>
  <c r="DQ44" i="22"/>
  <c r="DP79" i="22"/>
  <c r="DP36" i="22"/>
  <c r="DR44" i="22"/>
  <c r="DV79" i="22"/>
  <c r="DW36" i="22"/>
  <c r="DO89" i="22"/>
  <c r="DY44" i="22"/>
  <c r="EH86" i="22"/>
  <c r="EB67" i="22"/>
  <c r="EC83" i="22"/>
  <c r="DF92" i="22"/>
  <c r="DA92" i="22"/>
  <c r="CM92" i="22"/>
  <c r="AL20" i="103"/>
  <c r="AL17" i="103"/>
  <c r="DK84" i="22"/>
  <c r="CW84" i="22"/>
  <c r="CI84" i="22"/>
  <c r="DD84" i="22"/>
  <c r="DB84" i="22"/>
  <c r="DF86" i="22"/>
  <c r="DH86" i="22"/>
  <c r="CT86" i="22"/>
  <c r="CU86" i="22"/>
  <c r="CN86" i="22"/>
  <c r="DP37" i="22"/>
  <c r="DW44" i="22"/>
  <c r="DR80" i="22"/>
  <c r="DQ83" i="22"/>
  <c r="DS37" i="22"/>
  <c r="DT67" i="22"/>
  <c r="DQ67" i="22"/>
  <c r="DP86" i="22"/>
  <c r="DP44" i="22"/>
  <c r="DS79" i="22"/>
  <c r="DU84" i="22"/>
  <c r="DR89" i="22"/>
  <c r="CV89" i="22"/>
  <c r="DZ67" i="22"/>
  <c r="DZ86" i="22"/>
  <c r="EA41" i="22"/>
  <c r="EF79" i="22"/>
  <c r="EG80" i="22"/>
  <c r="EC79" i="22"/>
  <c r="EC67" i="22"/>
  <c r="DU92" i="22"/>
  <c r="DO92" i="22"/>
  <c r="EG92" i="22"/>
  <c r="CL92" i="22"/>
  <c r="DS92" i="22"/>
  <c r="EG44" i="22"/>
  <c r="EI37" i="22"/>
  <c r="EH41" i="22"/>
  <c r="EI36" i="22"/>
  <c r="EI44" i="22"/>
  <c r="EI67" i="22"/>
  <c r="EJ80" i="22"/>
  <c r="EJ79" i="22"/>
  <c r="DR13" i="66"/>
  <c r="DR18" i="66" s="1"/>
  <c r="FG47" i="22" s="1"/>
  <c r="DB13" i="86"/>
  <c r="DB18" i="86" s="1"/>
  <c r="EQ87" i="22" s="1"/>
  <c r="CU13" i="32"/>
  <c r="CU5" i="31" s="1"/>
  <c r="CU10" i="31" s="1"/>
  <c r="CU11" i="31" s="1"/>
  <c r="CU17" i="31" s="1"/>
  <c r="DS13" i="50"/>
  <c r="DS18" i="50" s="1"/>
  <c r="DJ13" i="66"/>
  <c r="DJ18" i="66" s="1"/>
  <c r="EY47" i="22" s="1"/>
  <c r="EI12" i="81"/>
  <c r="EI17" i="81" s="1"/>
  <c r="DG13" i="86"/>
  <c r="DG18" i="86" s="1"/>
  <c r="EV87" i="22" s="1"/>
  <c r="DG12" i="60"/>
  <c r="DG17" i="60" s="1"/>
  <c r="BC12" i="12"/>
  <c r="BC17" i="12" s="1"/>
  <c r="CR14" i="17"/>
  <c r="CR21" i="17" s="1"/>
  <c r="CU12" i="5"/>
  <c r="CU17" i="5" s="1"/>
  <c r="EB11" i="23"/>
  <c r="EB16" i="23" s="1"/>
  <c r="DZ12" i="16"/>
  <c r="DZ17" i="16" s="1"/>
  <c r="DF11" i="23"/>
  <c r="DF16" i="23" s="1"/>
  <c r="EV17" i="22" s="1"/>
  <c r="M12" i="12"/>
  <c r="M17" i="12" s="1"/>
  <c r="EJ11" i="23"/>
  <c r="EJ16" i="23" s="1"/>
  <c r="DD12" i="12"/>
  <c r="DD17" i="12" s="1"/>
  <c r="ET6" i="22" s="1"/>
  <c r="DO14" i="54"/>
  <c r="DH14" i="55"/>
  <c r="DL10" i="35"/>
  <c r="EF13" i="50"/>
  <c r="EF18" i="50" s="1"/>
  <c r="CV12" i="47"/>
  <c r="CV17" i="47" s="1"/>
  <c r="DJ12" i="12"/>
  <c r="DJ17" i="12" s="1"/>
  <c r="EZ6" i="22" s="1"/>
  <c r="AZ12" i="12"/>
  <c r="AZ17" i="12" s="1"/>
  <c r="DD10" i="26"/>
  <c r="DD15" i="26" s="1"/>
  <c r="ET8" i="22" s="1"/>
  <c r="DG12" i="36"/>
  <c r="AY12" i="12"/>
  <c r="AY17" i="12" s="1"/>
  <c r="DC12" i="12"/>
  <c r="DC17" i="12" s="1"/>
  <c r="ES6" i="22" s="1"/>
  <c r="AU12" i="12"/>
  <c r="AU17" i="12" s="1"/>
  <c r="CY12" i="12"/>
  <c r="AI12" i="12"/>
  <c r="AI17" i="12" s="1"/>
  <c r="DD12" i="36"/>
  <c r="CX10" i="26"/>
  <c r="CX15" i="26" s="1"/>
  <c r="EN8" i="22" s="1"/>
  <c r="CU14" i="17"/>
  <c r="CU21" i="17" s="1"/>
  <c r="DU11" i="23"/>
  <c r="DU16" i="23" s="1"/>
  <c r="CV10" i="35"/>
  <c r="AT12" i="12"/>
  <c r="AT17" i="12" s="1"/>
  <c r="DG11" i="23"/>
  <c r="DE11" i="20"/>
  <c r="DE16" i="20" s="1"/>
  <c r="EU16" i="22" s="1"/>
  <c r="DL11" i="23"/>
  <c r="DL16" i="23" s="1"/>
  <c r="FB17" i="22" s="1"/>
  <c r="CY11" i="28"/>
  <c r="DQ14" i="38"/>
  <c r="DQ19" i="38" s="1"/>
  <c r="FF24" i="22" s="1"/>
  <c r="CT12" i="25"/>
  <c r="CT17" i="25" s="1"/>
  <c r="DK12" i="16"/>
  <c r="DK17" i="16" s="1"/>
  <c r="FA40" i="22" s="1"/>
  <c r="EM11" i="23"/>
  <c r="EM16" i="23" s="1"/>
  <c r="DS11" i="20"/>
  <c r="DS16" i="20" s="1"/>
  <c r="DR11" i="23"/>
  <c r="DR16" i="23" s="1"/>
  <c r="FH17" i="22" s="1"/>
  <c r="DR11" i="20"/>
  <c r="DR16" i="20" s="1"/>
  <c r="FH16" i="22" s="1"/>
  <c r="DQ11" i="23"/>
  <c r="DQ16" i="23" s="1"/>
  <c r="FG17" i="22" s="1"/>
  <c r="DP13" i="43"/>
  <c r="DE12" i="57"/>
  <c r="DE5" i="30" s="1"/>
  <c r="DE9" i="30" s="1"/>
  <c r="DE14" i="30" s="1"/>
  <c r="DE7" i="29" s="1"/>
  <c r="DE11" i="29" s="1"/>
  <c r="DE16" i="29" s="1"/>
  <c r="FD12" i="79"/>
  <c r="FD17" i="79" s="1"/>
  <c r="CZ13" i="86"/>
  <c r="CZ18" i="86" s="1"/>
  <c r="EO87" i="22" s="1"/>
  <c r="DZ12" i="81"/>
  <c r="DZ17" i="81" s="1"/>
  <c r="DD13" i="86"/>
  <c r="DD18" i="86" s="1"/>
  <c r="ES87" i="22" s="1"/>
  <c r="DB12" i="36"/>
  <c r="DC14" i="17"/>
  <c r="CT12" i="12"/>
  <c r="CT17" i="12" s="1"/>
  <c r="CZ14" i="17"/>
  <c r="CZ21" i="17" s="1"/>
  <c r="EP10" i="22" s="1"/>
  <c r="DG10" i="35"/>
  <c r="DN13" i="27"/>
  <c r="AL12" i="12"/>
  <c r="AL17" i="12" s="1"/>
  <c r="DG11" i="28"/>
  <c r="CV12" i="12"/>
  <c r="CV17" i="12" s="1"/>
  <c r="EL6" i="22" s="1"/>
  <c r="DK11" i="20"/>
  <c r="DK16" i="20" s="1"/>
  <c r="FA16" i="22" s="1"/>
  <c r="CW12" i="57"/>
  <c r="CW5" i="30" s="1"/>
  <c r="CW9" i="30" s="1"/>
  <c r="CW14" i="30" s="1"/>
  <c r="CW7" i="29" s="1"/>
  <c r="CW11" i="29" s="1"/>
  <c r="CW16" i="29" s="1"/>
  <c r="CY10" i="44"/>
  <c r="DC13" i="86"/>
  <c r="DC18" i="86" s="1"/>
  <c r="ER87" i="22" s="1"/>
  <c r="DO12" i="81"/>
  <c r="DO17" i="81" s="1"/>
  <c r="FD85" i="22" s="1"/>
  <c r="DE12" i="16"/>
  <c r="DE17" i="16" s="1"/>
  <c r="EU40" i="22" s="1"/>
  <c r="DF12" i="57"/>
  <c r="DF5" i="30" s="1"/>
  <c r="DF9" i="30" s="1"/>
  <c r="DF14" i="30" s="1"/>
  <c r="DF7" i="29" s="1"/>
  <c r="DF11" i="29" s="1"/>
  <c r="DF16" i="29" s="1"/>
  <c r="DW13" i="86"/>
  <c r="DW18" i="86" s="1"/>
  <c r="BW12" i="47"/>
  <c r="BW17" i="47" s="1"/>
  <c r="ED13" i="49"/>
  <c r="ED18" i="49" s="1"/>
  <c r="DG13" i="18"/>
  <c r="DZ13" i="50"/>
  <c r="DO11" i="23"/>
  <c r="DO16" i="23" s="1"/>
  <c r="FE17" i="22" s="1"/>
  <c r="DT11" i="23"/>
  <c r="DT16" i="23" s="1"/>
  <c r="DF13" i="49"/>
  <c r="DF18" i="49" s="1"/>
  <c r="EU30" i="22" s="1"/>
  <c r="DK13" i="52"/>
  <c r="DK18" i="52" s="1"/>
  <c r="EZ33" i="22" s="1"/>
  <c r="CS12" i="57"/>
  <c r="CS5" i="30" s="1"/>
  <c r="CS9" i="30" s="1"/>
  <c r="CS14" i="30" s="1"/>
  <c r="CS7" i="29" s="1"/>
  <c r="CS11" i="29" s="1"/>
  <c r="CS16" i="29" s="1"/>
  <c r="CS21" i="29" s="1"/>
  <c r="BB12" i="47"/>
  <c r="BB17" i="47" s="1"/>
  <c r="DH13" i="43"/>
  <c r="DY14" i="54"/>
  <c r="DY19" i="54" s="1"/>
  <c r="EG14" i="55"/>
  <c r="EG19" i="55" s="1"/>
  <c r="EV12" i="79"/>
  <c r="EV17" i="79" s="1"/>
  <c r="DV12" i="79"/>
  <c r="DV17" i="79" s="1"/>
  <c r="AE12" i="12"/>
  <c r="AE17" i="12" s="1"/>
  <c r="DT10" i="26"/>
  <c r="DT15" i="26" s="1"/>
  <c r="CX11" i="28"/>
  <c r="DZ13" i="49"/>
  <c r="DZ18" i="49" s="1"/>
  <c r="DM14" i="54"/>
  <c r="DQ14" i="54"/>
  <c r="CH12" i="47"/>
  <c r="CH17" i="47" s="1"/>
  <c r="DY14" i="55"/>
  <c r="DY19" i="55" s="1"/>
  <c r="ED16" i="58"/>
  <c r="DB21" i="70"/>
  <c r="DB22" i="70" s="1"/>
  <c r="DB29" i="70" s="1"/>
  <c r="EQ50" i="22" s="1"/>
  <c r="DW12" i="76"/>
  <c r="DW17" i="76" s="1"/>
  <c r="DT12" i="76"/>
  <c r="DT17" i="76" s="1"/>
  <c r="EN12" i="79"/>
  <c r="EN17" i="79" s="1"/>
  <c r="DK12" i="76"/>
  <c r="DK17" i="76" s="1"/>
  <c r="EZ81" i="22" s="1"/>
  <c r="EM12" i="79"/>
  <c r="EM17" i="79" s="1"/>
  <c r="DN12" i="79"/>
  <c r="DN17" i="79" s="1"/>
  <c r="FC93" i="22" s="1"/>
  <c r="EL12" i="81"/>
  <c r="EL17" i="81" s="1"/>
  <c r="DG12" i="81"/>
  <c r="DG17" i="81" s="1"/>
  <c r="EV85" i="22" s="1"/>
  <c r="DL12" i="81"/>
  <c r="DL17" i="81" s="1"/>
  <c r="FA85" i="22" s="1"/>
  <c r="DO11" i="20"/>
  <c r="DO16" i="20" s="1"/>
  <c r="FE16" i="22" s="1"/>
  <c r="CV11" i="23"/>
  <c r="CV16" i="23" s="1"/>
  <c r="EL17" i="22" s="1"/>
  <c r="CY14" i="55"/>
  <c r="DA10" i="35"/>
  <c r="DE13" i="73"/>
  <c r="DE18" i="73" s="1"/>
  <c r="ET78" i="22" s="1"/>
  <c r="EF12" i="79"/>
  <c r="EF17" i="79" s="1"/>
  <c r="DY12" i="81"/>
  <c r="DY17" i="81" s="1"/>
  <c r="EA12" i="81"/>
  <c r="EA17" i="81" s="1"/>
  <c r="DE13" i="86"/>
  <c r="DE18" i="86" s="1"/>
  <c r="ET87" i="22" s="1"/>
  <c r="DR13" i="49"/>
  <c r="DR18" i="49" s="1"/>
  <c r="FG30" i="22" s="1"/>
  <c r="DO13" i="49"/>
  <c r="DO18" i="49" s="1"/>
  <c r="FD30" i="22" s="1"/>
  <c r="CY12" i="25"/>
  <c r="DI12" i="36"/>
  <c r="DI17" i="36" s="1"/>
  <c r="EY5" i="22" s="1"/>
  <c r="BX12" i="12"/>
  <c r="BX17" i="12" s="1"/>
  <c r="CZ10" i="44"/>
  <c r="DE11" i="23"/>
  <c r="DE16" i="23" s="1"/>
  <c r="EU17" i="22" s="1"/>
  <c r="Q12" i="12"/>
  <c r="Q17" i="12" s="1"/>
  <c r="DV14" i="54"/>
  <c r="DV19" i="54" s="1"/>
  <c r="CJ12" i="47"/>
  <c r="CJ17" i="47" s="1"/>
  <c r="DG12" i="47"/>
  <c r="DG17" i="47" s="1"/>
  <c r="EV32" i="22" s="1"/>
  <c r="DS16" i="58"/>
  <c r="FH43" i="22" s="1"/>
  <c r="DN12" i="60"/>
  <c r="DN17" i="60" s="1"/>
  <c r="DD13" i="66"/>
  <c r="DD18" i="66" s="1"/>
  <c r="ES47" i="22" s="1"/>
  <c r="DD12" i="76"/>
  <c r="DD17" i="76" s="1"/>
  <c r="ES81" i="22" s="1"/>
  <c r="DT13" i="73"/>
  <c r="DT18" i="73" s="1"/>
  <c r="DN13" i="86"/>
  <c r="DN18" i="86" s="1"/>
  <c r="FC87" i="22" s="1"/>
  <c r="CS14" i="17"/>
  <c r="CS21" i="17" s="1"/>
  <c r="DI12" i="12"/>
  <c r="DI17" i="12" s="1"/>
  <c r="EY6" i="22" s="1"/>
  <c r="DA12" i="25"/>
  <c r="DU11" i="20"/>
  <c r="DU16" i="20" s="1"/>
  <c r="DD13" i="49"/>
  <c r="DD18" i="49" s="1"/>
  <c r="ES30" i="22" s="1"/>
  <c r="DS10" i="35"/>
  <c r="DS5" i="34" s="1"/>
  <c r="DS9" i="34" s="1"/>
  <c r="DS11" i="34" s="1"/>
  <c r="DS16" i="34" s="1"/>
  <c r="EE13" i="32"/>
  <c r="EJ13" i="50"/>
  <c r="EJ18" i="50" s="1"/>
  <c r="DA12" i="47"/>
  <c r="DA17" i="47" s="1"/>
  <c r="EP32" i="22" s="1"/>
  <c r="DX14" i="38"/>
  <c r="DX19" i="38" s="1"/>
  <c r="CV10" i="44"/>
  <c r="BJ12" i="47"/>
  <c r="BJ17" i="47" s="1"/>
  <c r="DB10" i="35"/>
  <c r="CS13" i="49"/>
  <c r="CS18" i="49" s="1"/>
  <c r="EA13" i="49"/>
  <c r="EA18" i="49" s="1"/>
  <c r="DF13" i="66"/>
  <c r="DF18" i="66" s="1"/>
  <c r="EU47" i="22" s="1"/>
  <c r="DE13" i="66"/>
  <c r="DE18" i="66" s="1"/>
  <c r="ET47" i="22" s="1"/>
  <c r="CS13" i="66"/>
  <c r="CS18" i="66" s="1"/>
  <c r="EH21" i="70"/>
  <c r="EH22" i="70" s="1"/>
  <c r="EH29" i="70" s="1"/>
  <c r="EO12" i="79"/>
  <c r="EO17" i="79" s="1"/>
  <c r="ER12" i="79"/>
  <c r="ER17" i="79" s="1"/>
  <c r="DH12" i="79"/>
  <c r="DH17" i="79" s="1"/>
  <c r="EW93" i="22" s="1"/>
  <c r="DG12" i="79"/>
  <c r="DG17" i="79" s="1"/>
  <c r="EV93" i="22" s="1"/>
  <c r="ET12" i="79"/>
  <c r="ET17" i="79" s="1"/>
  <c r="EA13" i="86"/>
  <c r="EA18" i="86" s="1"/>
  <c r="DO13" i="32"/>
  <c r="DO5" i="31" s="1"/>
  <c r="DO10" i="31" s="1"/>
  <c r="DO11" i="31" s="1"/>
  <c r="AW12" i="12"/>
  <c r="AW17" i="12" s="1"/>
  <c r="CY12" i="36"/>
  <c r="DE12" i="12"/>
  <c r="DE17" i="12" s="1"/>
  <c r="EU6" i="22" s="1"/>
  <c r="DN11" i="23"/>
  <c r="DN16" i="23" s="1"/>
  <c r="FD17" i="22" s="1"/>
  <c r="BO12" i="12"/>
  <c r="BO17" i="12" s="1"/>
  <c r="BW12" i="12"/>
  <c r="BW17" i="12" s="1"/>
  <c r="DO14" i="17"/>
  <c r="DO21" i="17" s="1"/>
  <c r="FE10" i="22" s="1"/>
  <c r="DQ12" i="25"/>
  <c r="DQ17" i="25" s="1"/>
  <c r="FG7" i="22" s="1"/>
  <c r="CD7" i="22" s="1"/>
  <c r="EB12" i="16"/>
  <c r="EB17" i="16" s="1"/>
  <c r="DW11" i="28"/>
  <c r="DW16" i="28" s="1"/>
  <c r="BK12" i="12"/>
  <c r="BK17" i="12" s="1"/>
  <c r="DE12" i="25"/>
  <c r="DK12" i="25"/>
  <c r="DK17" i="25" s="1"/>
  <c r="DA11" i="20"/>
  <c r="DA16" i="20" s="1"/>
  <c r="EQ16" i="22" s="1"/>
  <c r="DN12" i="25"/>
  <c r="DN17" i="25" s="1"/>
  <c r="DE14" i="17"/>
  <c r="DE21" i="17" s="1"/>
  <c r="EU10" i="22" s="1"/>
  <c r="DP11" i="20"/>
  <c r="DP16" i="20" s="1"/>
  <c r="FF16" i="22" s="1"/>
  <c r="J12" i="12"/>
  <c r="J17" i="12" s="1"/>
  <c r="DQ14" i="17"/>
  <c r="DQ21" i="17" s="1"/>
  <c r="FG10" i="22" s="1"/>
  <c r="EC13" i="27"/>
  <c r="EC18" i="27" s="1"/>
  <c r="DL13" i="50"/>
  <c r="DK12" i="36"/>
  <c r="DK17" i="36" s="1"/>
  <c r="FA5" i="22" s="1"/>
  <c r="AO12" i="12"/>
  <c r="AO17" i="12" s="1"/>
  <c r="AB12" i="12"/>
  <c r="AB17" i="12" s="1"/>
  <c r="DS10" i="26"/>
  <c r="DS15" i="26" s="1"/>
  <c r="AJ12" i="12"/>
  <c r="AJ17" i="12" s="1"/>
  <c r="DH11" i="28"/>
  <c r="X12" i="12"/>
  <c r="X17" i="12" s="1"/>
  <c r="DP14" i="17"/>
  <c r="DP10" i="26"/>
  <c r="DP15" i="26" s="1"/>
  <c r="FF8" i="22" s="1"/>
  <c r="DL13" i="18"/>
  <c r="DL18" i="18" s="1"/>
  <c r="FB15" i="22" s="1"/>
  <c r="DL12" i="12"/>
  <c r="DL17" i="12" s="1"/>
  <c r="FB6" i="22" s="1"/>
  <c r="DF12" i="25"/>
  <c r="CY11" i="23"/>
  <c r="CY16" i="23" s="1"/>
  <c r="EO17" i="22" s="1"/>
  <c r="DK12" i="57"/>
  <c r="DK5" i="30" s="1"/>
  <c r="DK9" i="30" s="1"/>
  <c r="DK14" i="30" s="1"/>
  <c r="DK7" i="29" s="1"/>
  <c r="DK11" i="29" s="1"/>
  <c r="DK16" i="29" s="1"/>
  <c r="CU11" i="20"/>
  <c r="CU16" i="20" s="1"/>
  <c r="DR14" i="38"/>
  <c r="DR19" i="38" s="1"/>
  <c r="FG24" i="22" s="1"/>
  <c r="DX13" i="50"/>
  <c r="DX18" i="50" s="1"/>
  <c r="DX14" i="17"/>
  <c r="DX21" i="17" s="1"/>
  <c r="CW14" i="55"/>
  <c r="DC21" i="70"/>
  <c r="DC22" i="70" s="1"/>
  <c r="DC29" i="70" s="1"/>
  <c r="ER50" i="22" s="1"/>
  <c r="CG12" i="12"/>
  <c r="I12" i="12"/>
  <c r="CU10" i="35"/>
  <c r="DQ12" i="36"/>
  <c r="DQ17" i="36" s="1"/>
  <c r="FG5" i="22" s="1"/>
  <c r="CF12" i="12"/>
  <c r="DH12" i="25"/>
  <c r="DH17" i="25" s="1"/>
  <c r="DQ12" i="16"/>
  <c r="DQ17" i="16" s="1"/>
  <c r="FG40" i="22" s="1"/>
  <c r="CD40" i="22" s="1"/>
  <c r="BY12" i="12"/>
  <c r="DT12" i="16"/>
  <c r="DT17" i="16" s="1"/>
  <c r="CZ12" i="5"/>
  <c r="CZ12" i="36"/>
  <c r="CV14" i="17"/>
  <c r="CV21" i="17" s="1"/>
  <c r="EL10" i="22" s="1"/>
  <c r="CV12" i="36"/>
  <c r="CW12" i="25"/>
  <c r="CW12" i="16"/>
  <c r="CW17" i="16" s="1"/>
  <c r="EM40" i="22" s="1"/>
  <c r="BU12" i="12"/>
  <c r="BU17" i="12" s="1"/>
  <c r="DD12" i="25"/>
  <c r="DD12" i="16"/>
  <c r="DD17" i="16" s="1"/>
  <c r="ET40" i="22" s="1"/>
  <c r="CW12" i="36"/>
  <c r="DI12" i="16"/>
  <c r="DI17" i="16" s="1"/>
  <c r="EY40" i="22" s="1"/>
  <c r="DM13" i="27"/>
  <c r="CV14" i="38"/>
  <c r="CV19" i="38" s="1"/>
  <c r="EB14" i="54"/>
  <c r="EB19" i="54" s="1"/>
  <c r="EH13" i="32"/>
  <c r="BG12" i="47"/>
  <c r="BG17" i="47" s="1"/>
  <c r="ED14" i="54"/>
  <c r="ED19" i="54" s="1"/>
  <c r="CS13" i="52"/>
  <c r="CS18" i="52" s="1"/>
  <c r="DC10" i="35"/>
  <c r="CT12" i="36"/>
  <c r="CT17" i="36" s="1"/>
  <c r="DB10" i="26"/>
  <c r="DB15" i="26" s="1"/>
  <c r="ER8" i="22" s="1"/>
  <c r="DQ11" i="20"/>
  <c r="DQ16" i="20" s="1"/>
  <c r="FG16" i="22" s="1"/>
  <c r="CT12" i="16"/>
  <c r="CT17" i="16" s="1"/>
  <c r="DH10" i="26"/>
  <c r="DH15" i="26" s="1"/>
  <c r="EX8" i="22" s="1"/>
  <c r="CT12" i="57"/>
  <c r="CT5" i="30" s="1"/>
  <c r="CT9" i="30" s="1"/>
  <c r="CT14" i="30" s="1"/>
  <c r="CT7" i="29" s="1"/>
  <c r="CT11" i="29" s="1"/>
  <c r="CT16" i="29" s="1"/>
  <c r="CT21" i="29" s="1"/>
  <c r="CT10" i="26"/>
  <c r="CT15" i="26" s="1"/>
  <c r="DV12" i="16"/>
  <c r="DV17" i="16" s="1"/>
  <c r="CY14" i="17"/>
  <c r="DK13" i="43"/>
  <c r="DK18" i="43" s="1"/>
  <c r="EZ26" i="22" s="1"/>
  <c r="EC13" i="49"/>
  <c r="EC18" i="49" s="1"/>
  <c r="EC16" i="58"/>
  <c r="EA21" i="70"/>
  <c r="EA22" i="70" s="1"/>
  <c r="EA29" i="70" s="1"/>
  <c r="DF12" i="76"/>
  <c r="DF17" i="76" s="1"/>
  <c r="EU81" i="22" s="1"/>
  <c r="ES21" i="70"/>
  <c r="ES22" i="70" s="1"/>
  <c r="ES29" i="70" s="1"/>
  <c r="EF12" i="81"/>
  <c r="EF17" i="81" s="1"/>
  <c r="DD11" i="23"/>
  <c r="DD16" i="23" s="1"/>
  <c r="ET17" i="22" s="1"/>
  <c r="DQ13" i="49"/>
  <c r="DQ18" i="49" s="1"/>
  <c r="FF30" i="22" s="1"/>
  <c r="DI14" i="17"/>
  <c r="DI21" i="17" s="1"/>
  <c r="EY10" i="22" s="1"/>
  <c r="DR13" i="18"/>
  <c r="DR18" i="18" s="1"/>
  <c r="FH15" i="22" s="1"/>
  <c r="DF13" i="27"/>
  <c r="DJ11" i="23"/>
  <c r="DJ16" i="23" s="1"/>
  <c r="EZ17" i="22" s="1"/>
  <c r="CS13" i="27"/>
  <c r="CS18" i="27" s="1"/>
  <c r="DJ11" i="20"/>
  <c r="DJ16" i="20" s="1"/>
  <c r="EZ16" i="22" s="1"/>
  <c r="DI11" i="23"/>
  <c r="DI16" i="23" s="1"/>
  <c r="EY17" i="22" s="1"/>
  <c r="DP10" i="35"/>
  <c r="EA13" i="32"/>
  <c r="DI13" i="49"/>
  <c r="DI18" i="49" s="1"/>
  <c r="EX30" i="22" s="1"/>
  <c r="EE14" i="54"/>
  <c r="EE19" i="54" s="1"/>
  <c r="CY13" i="27"/>
  <c r="DA11" i="28"/>
  <c r="DL13" i="27"/>
  <c r="EB14" i="30"/>
  <c r="EB7" i="29" s="1"/>
  <c r="EB11" i="29" s="1"/>
  <c r="EB16" i="29" s="1"/>
  <c r="EB21" i="29" s="1"/>
  <c r="DD13" i="32"/>
  <c r="DD5" i="31" s="1"/>
  <c r="DD10" i="31" s="1"/>
  <c r="DD11" i="31" s="1"/>
  <c r="DP14" i="38"/>
  <c r="DP19" i="38" s="1"/>
  <c r="FE24" i="22" s="1"/>
  <c r="DX14" i="55"/>
  <c r="DX19" i="55" s="1"/>
  <c r="DZ11" i="23"/>
  <c r="DZ16" i="23" s="1"/>
  <c r="DU13" i="32"/>
  <c r="DU5" i="31" s="1"/>
  <c r="DU10" i="31" s="1"/>
  <c r="DU11" i="31" s="1"/>
  <c r="DU17" i="31" s="1"/>
  <c r="DH10" i="44"/>
  <c r="DR13" i="27"/>
  <c r="DR18" i="27" s="1"/>
  <c r="FH19" i="22" s="1"/>
  <c r="DL11" i="28"/>
  <c r="EH14" i="30"/>
  <c r="DB13" i="32"/>
  <c r="DB5" i="31" s="1"/>
  <c r="DB10" i="31" s="1"/>
  <c r="DB11" i="31" s="1"/>
  <c r="DW10" i="35"/>
  <c r="DW5" i="34" s="1"/>
  <c r="DW9" i="34" s="1"/>
  <c r="DW11" i="34" s="1"/>
  <c r="DW16" i="34" s="1"/>
  <c r="ES13" i="50"/>
  <c r="ES18" i="50" s="1"/>
  <c r="DL13" i="49"/>
  <c r="DL18" i="49" s="1"/>
  <c r="FA30" i="22" s="1"/>
  <c r="DD13" i="52"/>
  <c r="DD18" i="52" s="1"/>
  <c r="ES33" i="22" s="1"/>
  <c r="EK13" i="32"/>
  <c r="DP10" i="44"/>
  <c r="DT14" i="55"/>
  <c r="DT19" i="55" s="1"/>
  <c r="EG13" i="32"/>
  <c r="CW10" i="35"/>
  <c r="CX14" i="38"/>
  <c r="CX19" i="38" s="1"/>
  <c r="EM24" i="22" s="1"/>
  <c r="DZ13" i="43"/>
  <c r="DZ18" i="43" s="1"/>
  <c r="EL13" i="50"/>
  <c r="EL18" i="50" s="1"/>
  <c r="EF13" i="49"/>
  <c r="EF18" i="49" s="1"/>
  <c r="DU14" i="54"/>
  <c r="DU19" i="54" s="1"/>
  <c r="BH12" i="47"/>
  <c r="BH17" i="47" s="1"/>
  <c r="CW32" i="22" s="1"/>
  <c r="CT12" i="47"/>
  <c r="CT17" i="47" s="1"/>
  <c r="BM13" i="43"/>
  <c r="BM18" i="43" s="1"/>
  <c r="DB26" i="22" s="1"/>
  <c r="DO13" i="43"/>
  <c r="DO18" i="43" s="1"/>
  <c r="FD26" i="22" s="1"/>
  <c r="DJ14" i="54"/>
  <c r="CA12" i="47"/>
  <c r="CA17" i="47" s="1"/>
  <c r="DJ14" i="55"/>
  <c r="CP12" i="47"/>
  <c r="CP17" i="47" s="1"/>
  <c r="DC13" i="49"/>
  <c r="DC18" i="49" s="1"/>
  <c r="ER30" i="22" s="1"/>
  <c r="DE12" i="60"/>
  <c r="DE17" i="60" s="1"/>
  <c r="DX12" i="60"/>
  <c r="DX17" i="60" s="1"/>
  <c r="DO12" i="60"/>
  <c r="DO17" i="60" s="1"/>
  <c r="DS21" i="70"/>
  <c r="DS22" i="70" s="1"/>
  <c r="DS29" i="70" s="1"/>
  <c r="FH50" i="22" s="1"/>
  <c r="DQ12" i="79"/>
  <c r="DQ17" i="79" s="1"/>
  <c r="FF93" i="22" s="1"/>
  <c r="CZ21" i="70"/>
  <c r="CZ22" i="70" s="1"/>
  <c r="CZ29" i="70" s="1"/>
  <c r="EO50" i="22" s="1"/>
  <c r="CX13" i="66"/>
  <c r="CX18" i="66" s="1"/>
  <c r="EM47" i="22" s="1"/>
  <c r="DK13" i="66"/>
  <c r="DK18" i="66" s="1"/>
  <c r="EZ47" i="22" s="1"/>
  <c r="ET21" i="70"/>
  <c r="ET22" i="70" s="1"/>
  <c r="ET29" i="70" s="1"/>
  <c r="EX12" i="79"/>
  <c r="EX17" i="79" s="1"/>
  <c r="EI13" i="73"/>
  <c r="EI18" i="73" s="1"/>
  <c r="CZ12" i="76"/>
  <c r="CZ17" i="76" s="1"/>
  <c r="EO81" i="22" s="1"/>
  <c r="DT12" i="79"/>
  <c r="DT17" i="79" s="1"/>
  <c r="DW13" i="73"/>
  <c r="DW18" i="73" s="1"/>
  <c r="EB12" i="76"/>
  <c r="EB17" i="76" s="1"/>
  <c r="CV13" i="73"/>
  <c r="CV18" i="73" s="1"/>
  <c r="DS12" i="76"/>
  <c r="DS17" i="76" s="1"/>
  <c r="FH81" i="22" s="1"/>
  <c r="EU12" i="79"/>
  <c r="EU17" i="79" s="1"/>
  <c r="DB12" i="76"/>
  <c r="DB17" i="76" s="1"/>
  <c r="EQ81" i="22" s="1"/>
  <c r="EM12" i="81"/>
  <c r="EM17" i="81" s="1"/>
  <c r="DI13" i="86"/>
  <c r="DI18" i="86" s="1"/>
  <c r="EX87" i="22" s="1"/>
  <c r="DX12" i="81"/>
  <c r="DX17" i="81" s="1"/>
  <c r="DE12" i="5"/>
  <c r="DE17" i="5" s="1"/>
  <c r="EU11" i="22" s="1"/>
  <c r="CZ12" i="16"/>
  <c r="CZ17" i="16" s="1"/>
  <c r="EP40" i="22" s="1"/>
  <c r="EI11" i="23"/>
  <c r="EI16" i="23" s="1"/>
  <c r="EQ13" i="32"/>
  <c r="DL10" i="44"/>
  <c r="DC12" i="47"/>
  <c r="DC17" i="47" s="1"/>
  <c r="ER32" i="22" s="1"/>
  <c r="DL12" i="57"/>
  <c r="DL5" i="30" s="1"/>
  <c r="DL9" i="30" s="1"/>
  <c r="DT14" i="38"/>
  <c r="DT19" i="38" s="1"/>
  <c r="EF13" i="52"/>
  <c r="EF18" i="52" s="1"/>
  <c r="DQ12" i="57"/>
  <c r="DQ5" i="30" s="1"/>
  <c r="DQ9" i="30" s="1"/>
  <c r="DQ14" i="30" s="1"/>
  <c r="DQ7" i="29" s="1"/>
  <c r="DQ11" i="29" s="1"/>
  <c r="DQ16" i="29" s="1"/>
  <c r="DQ21" i="29" s="1"/>
  <c r="FG20" i="22" s="1"/>
  <c r="DD10" i="35"/>
  <c r="BI13" i="43"/>
  <c r="BI18" i="43" s="1"/>
  <c r="DY13" i="52"/>
  <c r="DY18" i="52" s="1"/>
  <c r="DD14" i="38"/>
  <c r="DD19" i="38" s="1"/>
  <c r="ES24" i="22" s="1"/>
  <c r="EU13" i="50"/>
  <c r="EU18" i="50" s="1"/>
  <c r="DA13" i="49"/>
  <c r="DA18" i="49" s="1"/>
  <c r="EP30" i="22" s="1"/>
  <c r="CZ12" i="47"/>
  <c r="CZ17" i="47" s="1"/>
  <c r="EO32" i="22" s="1"/>
  <c r="DO12" i="57"/>
  <c r="DO5" i="30" s="1"/>
  <c r="DO9" i="30" s="1"/>
  <c r="DO14" i="30" s="1"/>
  <c r="DO7" i="29" s="1"/>
  <c r="DO11" i="29" s="1"/>
  <c r="DO16" i="29" s="1"/>
  <c r="DQ10" i="44"/>
  <c r="DP16" i="58"/>
  <c r="FE43" i="22" s="1"/>
  <c r="DT16" i="58"/>
  <c r="EA16" i="58"/>
  <c r="DU12" i="60"/>
  <c r="DU17" i="60" s="1"/>
  <c r="DV12" i="60"/>
  <c r="DV17" i="60" s="1"/>
  <c r="FE21" i="70"/>
  <c r="FE22" i="70" s="1"/>
  <c r="FE29" i="70" s="1"/>
  <c r="CU21" i="70"/>
  <c r="CU22" i="70" s="1"/>
  <c r="CU29" i="70" s="1"/>
  <c r="CU13" i="73"/>
  <c r="CU18" i="73" s="1"/>
  <c r="DL13" i="66"/>
  <c r="DL18" i="66" s="1"/>
  <c r="FA47" i="22" s="1"/>
  <c r="CY13" i="66"/>
  <c r="CY18" i="66" s="1"/>
  <c r="EN47" i="22" s="1"/>
  <c r="EF13" i="73"/>
  <c r="EF18" i="73" s="1"/>
  <c r="CR12" i="16"/>
  <c r="CR17" i="16" s="1"/>
  <c r="DD14" i="17"/>
  <c r="DD21" i="17" s="1"/>
  <c r="ET10" i="22" s="1"/>
  <c r="DC12" i="36"/>
  <c r="EG11" i="23"/>
  <c r="EG16" i="23" s="1"/>
  <c r="EC14" i="55"/>
  <c r="EC19" i="55" s="1"/>
  <c r="DQ13" i="27"/>
  <c r="DQ18" i="27" s="1"/>
  <c r="FG19" i="22" s="1"/>
  <c r="DA10" i="44"/>
  <c r="DJ14" i="17"/>
  <c r="DJ21" i="17" s="1"/>
  <c r="EZ10" i="22" s="1"/>
  <c r="CY12" i="5"/>
  <c r="CY17" i="5" s="1"/>
  <c r="EO11" i="22" s="1"/>
  <c r="EC11" i="23"/>
  <c r="EC16" i="23" s="1"/>
  <c r="DI13" i="27"/>
  <c r="EB14" i="55"/>
  <c r="EB19" i="55" s="1"/>
  <c r="AH12" i="12"/>
  <c r="AH17" i="12" s="1"/>
  <c r="DH12" i="12"/>
  <c r="DH17" i="12" s="1"/>
  <c r="EX6" i="22" s="1"/>
  <c r="CT11" i="20"/>
  <c r="CT16" i="20" s="1"/>
  <c r="DC11" i="23"/>
  <c r="CU11" i="28"/>
  <c r="CU16" i="28" s="1"/>
  <c r="EA14" i="54"/>
  <c r="EA19" i="54" s="1"/>
  <c r="EL11" i="23"/>
  <c r="EL16" i="23" s="1"/>
  <c r="DY13" i="27"/>
  <c r="DY18" i="27" s="1"/>
  <c r="DD12" i="47"/>
  <c r="DD17" i="47" s="1"/>
  <c r="ES32" i="22" s="1"/>
  <c r="EK11" i="23"/>
  <c r="EK16" i="23" s="1"/>
  <c r="CZ13" i="27"/>
  <c r="DP14" i="55"/>
  <c r="EE13" i="27"/>
  <c r="EE18" i="27" s="1"/>
  <c r="DP13" i="32"/>
  <c r="DP5" i="31" s="1"/>
  <c r="DP10" i="31" s="1"/>
  <c r="DP11" i="31" s="1"/>
  <c r="DI14" i="38"/>
  <c r="DI19" i="38" s="1"/>
  <c r="EX24" i="22" s="1"/>
  <c r="DP13" i="52"/>
  <c r="DP18" i="52" s="1"/>
  <c r="FE33" i="22" s="1"/>
  <c r="EN13" i="32"/>
  <c r="BX13" i="43"/>
  <c r="BX18" i="43" s="1"/>
  <c r="EV13" i="50"/>
  <c r="EV18" i="50" s="1"/>
  <c r="DB13" i="49"/>
  <c r="DB18" i="49" s="1"/>
  <c r="EQ30" i="22" s="1"/>
  <c r="DI13" i="52"/>
  <c r="DI18" i="52" s="1"/>
  <c r="EX33" i="22" s="1"/>
  <c r="DN10" i="35"/>
  <c r="DU14" i="55"/>
  <c r="DU19" i="55" s="1"/>
  <c r="DV10" i="35"/>
  <c r="DV5" i="34" s="1"/>
  <c r="DV9" i="34" s="1"/>
  <c r="DV11" i="34" s="1"/>
  <c r="DV16" i="34" s="1"/>
  <c r="DA14" i="38"/>
  <c r="DA19" i="38" s="1"/>
  <c r="EP24" i="22" s="1"/>
  <c r="BO13" i="43"/>
  <c r="BO18" i="43" s="1"/>
  <c r="DW13" i="49"/>
  <c r="DW18" i="49" s="1"/>
  <c r="DC13" i="52"/>
  <c r="DC18" i="52" s="1"/>
  <c r="ER33" i="22" s="1"/>
  <c r="DN10" i="44"/>
  <c r="DK14" i="38"/>
  <c r="DK19" i="38" s="1"/>
  <c r="EZ24" i="22" s="1"/>
  <c r="DC10" i="44"/>
  <c r="AZ12" i="47"/>
  <c r="AZ17" i="47" s="1"/>
  <c r="DU13" i="43"/>
  <c r="DU18" i="43" s="1"/>
  <c r="DA14" i="55"/>
  <c r="CG12" i="47"/>
  <c r="CG17" i="47" s="1"/>
  <c r="DR16" i="58"/>
  <c r="FG43" i="22" s="1"/>
  <c r="CD43" i="22" s="1"/>
  <c r="EC12" i="60"/>
  <c r="EC17" i="60" s="1"/>
  <c r="DP12" i="60"/>
  <c r="DP17" i="60" s="1"/>
  <c r="DY21" i="70"/>
  <c r="DY22" i="70" s="1"/>
  <c r="DY29" i="70" s="1"/>
  <c r="DM13" i="66"/>
  <c r="DM18" i="66" s="1"/>
  <c r="FB47" i="22" s="1"/>
  <c r="DN12" i="76"/>
  <c r="DN17" i="76" s="1"/>
  <c r="FC81" i="22" s="1"/>
  <c r="EP21" i="70"/>
  <c r="EP22" i="70" s="1"/>
  <c r="EP29" i="70" s="1"/>
  <c r="EF21" i="70"/>
  <c r="EF22" i="70" s="1"/>
  <c r="EF29" i="70" s="1"/>
  <c r="DI13" i="73"/>
  <c r="DI18" i="73" s="1"/>
  <c r="EX78" i="22" s="1"/>
  <c r="DI21" i="70"/>
  <c r="DI22" i="70" s="1"/>
  <c r="DI29" i="70" s="1"/>
  <c r="DY13" i="66"/>
  <c r="DY18" i="66" s="1"/>
  <c r="DO21" i="70"/>
  <c r="DO22" i="70" s="1"/>
  <c r="DO29" i="70" s="1"/>
  <c r="FD50" i="22" s="1"/>
  <c r="DX13" i="66"/>
  <c r="DX18" i="66" s="1"/>
  <c r="DN21" i="70"/>
  <c r="DN22" i="70" s="1"/>
  <c r="DN29" i="70" s="1"/>
  <c r="FC50" i="22" s="1"/>
  <c r="DW13" i="66"/>
  <c r="DW18" i="66" s="1"/>
  <c r="DE21" i="70"/>
  <c r="DE22" i="70" s="1"/>
  <c r="DE29" i="70" s="1"/>
  <c r="ET50" i="22" s="1"/>
  <c r="DV12" i="76"/>
  <c r="DV17" i="76" s="1"/>
  <c r="EZ21" i="70"/>
  <c r="EZ22" i="70" s="1"/>
  <c r="EZ29" i="70" s="1"/>
  <c r="DU12" i="76"/>
  <c r="DU17" i="76" s="1"/>
  <c r="DC13" i="73"/>
  <c r="DC18" i="73" s="1"/>
  <c r="ER78" i="22" s="1"/>
  <c r="DX12" i="76"/>
  <c r="DX17" i="76" s="1"/>
  <c r="EZ12" i="79"/>
  <c r="EZ17" i="79" s="1"/>
  <c r="DP12" i="79"/>
  <c r="DP17" i="79" s="1"/>
  <c r="FE93" i="22" s="1"/>
  <c r="DO12" i="79"/>
  <c r="DO17" i="79" s="1"/>
  <c r="FD93" i="22" s="1"/>
  <c r="DZ12" i="76"/>
  <c r="DZ17" i="76" s="1"/>
  <c r="FB12" i="79"/>
  <c r="FB17" i="79" s="1"/>
  <c r="DB13" i="73"/>
  <c r="DB18" i="73" s="1"/>
  <c r="EQ78" i="22" s="1"/>
  <c r="DN12" i="81"/>
  <c r="DN17" i="81" s="1"/>
  <c r="FC85" i="22" s="1"/>
  <c r="DX13" i="86"/>
  <c r="DX18" i="86" s="1"/>
  <c r="DS14" i="54"/>
  <c r="DS19" i="54" s="1"/>
  <c r="FH42" i="22" s="1"/>
  <c r="EH14" i="54"/>
  <c r="EH19" i="54" s="1"/>
  <c r="CZ16" i="58"/>
  <c r="EO43" i="22" s="1"/>
  <c r="DF16" i="58"/>
  <c r="EU43" i="22" s="1"/>
  <c r="DD16" i="58"/>
  <c r="ES43" i="22" s="1"/>
  <c r="DQ12" i="60"/>
  <c r="DQ17" i="60" s="1"/>
  <c r="EP12" i="79"/>
  <c r="EP17" i="79" s="1"/>
  <c r="DX21" i="70"/>
  <c r="DX22" i="70" s="1"/>
  <c r="DX29" i="70" s="1"/>
  <c r="DP13" i="66"/>
  <c r="DP18" i="66" s="1"/>
  <c r="FE47" i="22" s="1"/>
  <c r="DP12" i="76"/>
  <c r="DP17" i="76" s="1"/>
  <c r="FE81" i="22" s="1"/>
  <c r="DR12" i="76"/>
  <c r="DR17" i="76" s="1"/>
  <c r="FG81" i="22" s="1"/>
  <c r="CD81" i="22" s="1"/>
  <c r="CT13" i="73"/>
  <c r="CT18" i="73" s="1"/>
  <c r="EG12" i="81"/>
  <c r="EG17" i="81" s="1"/>
  <c r="DP13" i="86"/>
  <c r="DP18" i="86" s="1"/>
  <c r="FE87" i="22" s="1"/>
  <c r="DC12" i="5"/>
  <c r="DC17" i="5" s="1"/>
  <c r="ES11" i="22" s="1"/>
  <c r="DW11" i="20"/>
  <c r="DW16" i="20" s="1"/>
  <c r="DN13" i="32"/>
  <c r="DN5" i="31" s="1"/>
  <c r="DN10" i="31" s="1"/>
  <c r="DN11" i="31" s="1"/>
  <c r="DX11" i="20"/>
  <c r="DX16" i="20" s="1"/>
  <c r="CR11" i="28"/>
  <c r="CR16" i="28" s="1"/>
  <c r="CW13" i="32"/>
  <c r="CW5" i="31" s="1"/>
  <c r="CW10" i="31" s="1"/>
  <c r="CW11" i="31" s="1"/>
  <c r="CV13" i="52"/>
  <c r="DH13" i="18"/>
  <c r="DH18" i="18" s="1"/>
  <c r="EX15" i="22" s="1"/>
  <c r="DM12" i="57"/>
  <c r="DM5" i="30" s="1"/>
  <c r="DM9" i="30" s="1"/>
  <c r="DM14" i="30" s="1"/>
  <c r="DM7" i="29" s="1"/>
  <c r="DM11" i="29" s="1"/>
  <c r="DM16" i="29" s="1"/>
  <c r="DD10" i="44"/>
  <c r="EH13" i="49"/>
  <c r="EH18" i="49" s="1"/>
  <c r="DO13" i="27"/>
  <c r="CX13" i="32"/>
  <c r="CX5" i="31" s="1"/>
  <c r="CX10" i="31" s="1"/>
  <c r="CX11" i="31" s="1"/>
  <c r="ED13" i="43"/>
  <c r="ED18" i="43" s="1"/>
  <c r="DG13" i="49"/>
  <c r="DG18" i="49" s="1"/>
  <c r="EV30" i="22" s="1"/>
  <c r="CR12" i="47"/>
  <c r="CR17" i="47" s="1"/>
  <c r="DL13" i="43"/>
  <c r="DL18" i="43" s="1"/>
  <c r="FA26" i="22" s="1"/>
  <c r="DW13" i="50"/>
  <c r="DW18" i="50" s="1"/>
  <c r="DW14" i="54"/>
  <c r="DW19" i="54" s="1"/>
  <c r="CK12" i="47"/>
  <c r="CK17" i="47" s="1"/>
  <c r="DH12" i="57"/>
  <c r="DH5" i="30" s="1"/>
  <c r="DH9" i="30" s="1"/>
  <c r="DH14" i="30" s="1"/>
  <c r="DH7" i="29" s="1"/>
  <c r="DH11" i="29" s="1"/>
  <c r="DH16" i="29" s="1"/>
  <c r="EM14" i="55"/>
  <c r="EM19" i="55" s="1"/>
  <c r="CX13" i="49"/>
  <c r="CX18" i="49" s="1"/>
  <c r="EM30" i="22" s="1"/>
  <c r="CE12" i="47"/>
  <c r="CE17" i="47" s="1"/>
  <c r="DN14" i="38"/>
  <c r="DN19" i="38" s="1"/>
  <c r="FC24" i="22" s="1"/>
  <c r="CU14" i="38"/>
  <c r="CU19" i="38" s="1"/>
  <c r="EK13" i="49"/>
  <c r="EK18" i="49" s="1"/>
  <c r="CQ12" i="47"/>
  <c r="CQ17" i="47" s="1"/>
  <c r="EG16" i="58"/>
  <c r="CX16" i="58"/>
  <c r="EM43" i="22" s="1"/>
  <c r="DC16" i="58"/>
  <c r="ER43" i="22" s="1"/>
  <c r="DB12" i="60"/>
  <c r="DB17" i="60" s="1"/>
  <c r="DR12" i="60"/>
  <c r="DR17" i="60" s="1"/>
  <c r="EE12" i="60"/>
  <c r="EE17" i="60" s="1"/>
  <c r="EO12" i="81"/>
  <c r="EO17" i="81" s="1"/>
  <c r="Q19" i="95"/>
  <c r="Q16" i="95"/>
  <c r="AI16" i="95"/>
  <c r="AI19" i="95"/>
  <c r="W16" i="95"/>
  <c r="W19" i="95"/>
  <c r="BT19" i="95"/>
  <c r="DI98" i="22" s="1"/>
  <c r="BT16" i="95"/>
  <c r="AE16" i="95"/>
  <c r="AE19" i="95"/>
  <c r="CN19" i="95"/>
  <c r="EC98" i="22" s="1"/>
  <c r="AZ98" i="22" s="1"/>
  <c r="CN16" i="95"/>
  <c r="L16" i="95"/>
  <c r="L19" i="95"/>
  <c r="CS12" i="36"/>
  <c r="CS17" i="36" s="1"/>
  <c r="DN14" i="17"/>
  <c r="DN21" i="17" s="1"/>
  <c r="FD10" i="22" s="1"/>
  <c r="DL12" i="16"/>
  <c r="DL17" i="16" s="1"/>
  <c r="FB40" i="22" s="1"/>
  <c r="BZ12" i="12"/>
  <c r="BZ14" i="12" s="1"/>
  <c r="DK10" i="26"/>
  <c r="DK15" i="26" s="1"/>
  <c r="FA8" i="22" s="1"/>
  <c r="DI13" i="18"/>
  <c r="DI18" i="18" s="1"/>
  <c r="EY15" i="22" s="1"/>
  <c r="DW11" i="23"/>
  <c r="DW16" i="23" s="1"/>
  <c r="BI19" i="95"/>
  <c r="CX98" i="22" s="1"/>
  <c r="BI16" i="95"/>
  <c r="CE16" i="95"/>
  <c r="CE19" i="95"/>
  <c r="DT98" i="22" s="1"/>
  <c r="AG19" i="95"/>
  <c r="AG16" i="95"/>
  <c r="AC16" i="95"/>
  <c r="AC19" i="95"/>
  <c r="AT16" i="95"/>
  <c r="AT19" i="95"/>
  <c r="CI98" i="22" s="1"/>
  <c r="J16" i="95"/>
  <c r="J19" i="95"/>
  <c r="T16" i="95"/>
  <c r="T19" i="95"/>
  <c r="AU16" i="95"/>
  <c r="AU19" i="95"/>
  <c r="CJ98" i="22" s="1"/>
  <c r="AW19" i="95"/>
  <c r="CL98" i="22" s="1"/>
  <c r="AW16" i="95"/>
  <c r="DR10" i="26"/>
  <c r="DR15" i="26" s="1"/>
  <c r="FH8" i="22" s="1"/>
  <c r="CR12" i="12"/>
  <c r="CR17" i="12" s="1"/>
  <c r="DA12" i="16"/>
  <c r="DA17" i="16" s="1"/>
  <c r="EQ40" i="22" s="1"/>
  <c r="CZ11" i="28"/>
  <c r="BR12" i="12"/>
  <c r="BR17" i="12" s="1"/>
  <c r="DQ10" i="26"/>
  <c r="DQ15" i="26" s="1"/>
  <c r="FG8" i="22" s="1"/>
  <c r="DN13" i="18"/>
  <c r="DN18" i="18" s="1"/>
  <c r="FD15" i="22" s="1"/>
  <c r="DG10" i="26"/>
  <c r="DG15" i="26" s="1"/>
  <c r="EW8" i="22" s="1"/>
  <c r="DC12" i="16"/>
  <c r="DQ10" i="35"/>
  <c r="CT12" i="5"/>
  <c r="CT17" i="5" s="1"/>
  <c r="EF13" i="27"/>
  <c r="EF18" i="27" s="1"/>
  <c r="EE14" i="30"/>
  <c r="EA13" i="27"/>
  <c r="EA18" i="27" s="1"/>
  <c r="DW19" i="48"/>
  <c r="DW18" i="48"/>
  <c r="DW11" i="48"/>
  <c r="DW16" i="48" s="1"/>
  <c r="DN14" i="55"/>
  <c r="ET18" i="48"/>
  <c r="ET19" i="48"/>
  <c r="ET11" i="48"/>
  <c r="ET16" i="48" s="1"/>
  <c r="ES11" i="48"/>
  <c r="ES16" i="48" s="1"/>
  <c r="ES19" i="48"/>
  <c r="ES18" i="48"/>
  <c r="EJ18" i="48"/>
  <c r="EJ19" i="48"/>
  <c r="EJ11" i="48"/>
  <c r="EJ16" i="48" s="1"/>
  <c r="EA13" i="50"/>
  <c r="EA18" i="50" s="1"/>
  <c r="EE13" i="52"/>
  <c r="EE18" i="52" s="1"/>
  <c r="EI11" i="48"/>
  <c r="EI16" i="48" s="1"/>
  <c r="EI18" i="48"/>
  <c r="EI19" i="48"/>
  <c r="EX11" i="48"/>
  <c r="EX16" i="48" s="1"/>
  <c r="EX18" i="48"/>
  <c r="EX19" i="48"/>
  <c r="DE13" i="52"/>
  <c r="DE18" i="52" s="1"/>
  <c r="ET33" i="22" s="1"/>
  <c r="DI19" i="48"/>
  <c r="EX34" i="22" s="1"/>
  <c r="DI11" i="48"/>
  <c r="DI16" i="48" s="1"/>
  <c r="DI18" i="48"/>
  <c r="EX66" i="22" s="1"/>
  <c r="CZ19" i="48"/>
  <c r="EO34" i="22" s="1"/>
  <c r="CZ11" i="48"/>
  <c r="CZ16" i="48" s="1"/>
  <c r="CZ18" i="48"/>
  <c r="EO66" i="22" s="1"/>
  <c r="ED13" i="62"/>
  <c r="CX13" i="62"/>
  <c r="DT13" i="62"/>
  <c r="CZ13" i="62"/>
  <c r="EI13" i="62"/>
  <c r="ES13" i="62"/>
  <c r="EP13" i="62"/>
  <c r="DQ13" i="62"/>
  <c r="AK16" i="95"/>
  <c r="AK19" i="95"/>
  <c r="X19" i="95"/>
  <c r="X16" i="95"/>
  <c r="CB19" i="95"/>
  <c r="DQ98" i="22" s="1"/>
  <c r="CB16" i="95"/>
  <c r="AY16" i="95"/>
  <c r="AY19" i="95"/>
  <c r="CN98" i="22" s="1"/>
  <c r="AO19" i="95"/>
  <c r="AO16" i="95"/>
  <c r="AM16" i="95"/>
  <c r="AM19" i="95"/>
  <c r="N16" i="95"/>
  <c r="N19" i="95"/>
  <c r="CR19" i="95"/>
  <c r="EG98" i="22" s="1"/>
  <c r="CR16" i="95"/>
  <c r="DD13" i="18"/>
  <c r="DD18" i="18" s="1"/>
  <c r="ET15" i="22" s="1"/>
  <c r="AC12" i="12"/>
  <c r="AC17" i="12" s="1"/>
  <c r="EC12" i="16"/>
  <c r="EC17" i="16" s="1"/>
  <c r="DE13" i="18"/>
  <c r="DE18" i="18" s="1"/>
  <c r="EU15" i="22" s="1"/>
  <c r="CS12" i="12"/>
  <c r="CS17" i="12" s="1"/>
  <c r="Y12" i="12"/>
  <c r="Y17" i="12" s="1"/>
  <c r="DO10" i="26"/>
  <c r="DO15" i="26" s="1"/>
  <c r="FE8" i="22" s="1"/>
  <c r="DI11" i="20"/>
  <c r="DI16" i="20" s="1"/>
  <c r="EY16" i="22" s="1"/>
  <c r="CV12" i="16"/>
  <c r="CV17" i="16" s="1"/>
  <c r="EL40" i="22" s="1"/>
  <c r="DH11" i="23"/>
  <c r="DH16" i="23" s="1"/>
  <c r="EX17" i="22" s="1"/>
  <c r="BV12" i="12"/>
  <c r="BV17" i="12" s="1"/>
  <c r="CJ12" i="12"/>
  <c r="DM12" i="25"/>
  <c r="DM17" i="25" s="1"/>
  <c r="DX12" i="16"/>
  <c r="DX17" i="16" s="1"/>
  <c r="CL12" i="12"/>
  <c r="CL14" i="12" s="1"/>
  <c r="AR12" i="12"/>
  <c r="AR17" i="12" s="1"/>
  <c r="CV12" i="25"/>
  <c r="DP12" i="36"/>
  <c r="DP17" i="36" s="1"/>
  <c r="FF5" i="22" s="1"/>
  <c r="DP12" i="16"/>
  <c r="DP17" i="16" s="1"/>
  <c r="FF40" i="22" s="1"/>
  <c r="BJ12" i="12"/>
  <c r="BJ17" i="12" s="1"/>
  <c r="DQ12" i="12"/>
  <c r="DQ17" i="12" s="1"/>
  <c r="FG6" i="22" s="1"/>
  <c r="CD6" i="22" s="1"/>
  <c r="CR10" i="26"/>
  <c r="CR15" i="26" s="1"/>
  <c r="DA12" i="5"/>
  <c r="DA17" i="5" s="1"/>
  <c r="EQ11" i="22" s="1"/>
  <c r="AD12" i="12"/>
  <c r="AD17" i="12" s="1"/>
  <c r="CX12" i="25"/>
  <c r="DI10" i="26"/>
  <c r="DI15" i="26" s="1"/>
  <c r="EY8" i="22" s="1"/>
  <c r="DF13" i="18"/>
  <c r="DF18" i="18" s="1"/>
  <c r="EV15" i="22" s="1"/>
  <c r="CZ11" i="20"/>
  <c r="CZ16" i="20" s="1"/>
  <c r="EP16" i="22" s="1"/>
  <c r="DA13" i="18"/>
  <c r="DA18" i="18" s="1"/>
  <c r="EQ15" i="22" s="1"/>
  <c r="BY13" i="43"/>
  <c r="BY18" i="43" s="1"/>
  <c r="CY10" i="26"/>
  <c r="CU12" i="16"/>
  <c r="DA14" i="17"/>
  <c r="DA21" i="17" s="1"/>
  <c r="EQ10" i="22" s="1"/>
  <c r="DJ13" i="18"/>
  <c r="DT11" i="20"/>
  <c r="DT16" i="20" s="1"/>
  <c r="DC11" i="20"/>
  <c r="DB11" i="23"/>
  <c r="DB16" i="23" s="1"/>
  <c r="ER17" i="22" s="1"/>
  <c r="DB11" i="20"/>
  <c r="DB16" i="20" s="1"/>
  <c r="ER16" i="22" s="1"/>
  <c r="DA11" i="23"/>
  <c r="DA16" i="23" s="1"/>
  <c r="EQ17" i="22" s="1"/>
  <c r="ED14" i="30"/>
  <c r="DX13" i="27"/>
  <c r="DX18" i="27" s="1"/>
  <c r="DR13" i="32"/>
  <c r="DR5" i="31" s="1"/>
  <c r="DR10" i="31" s="1"/>
  <c r="DR11" i="31" s="1"/>
  <c r="DR17" i="31" s="1"/>
  <c r="FH21" i="22" s="1"/>
  <c r="CS12" i="47"/>
  <c r="CS17" i="47" s="1"/>
  <c r="CT19" i="48"/>
  <c r="CT11" i="48"/>
  <c r="CT16" i="48" s="1"/>
  <c r="CT18" i="48"/>
  <c r="CS11" i="28"/>
  <c r="CS16" i="28" s="1"/>
  <c r="ER13" i="32"/>
  <c r="DD13" i="27"/>
  <c r="DY10" i="35"/>
  <c r="DY5" i="34" s="1"/>
  <c r="DY9" i="34" s="1"/>
  <c r="DY11" i="34" s="1"/>
  <c r="DY16" i="34" s="1"/>
  <c r="DE14" i="38"/>
  <c r="DE19" i="38" s="1"/>
  <c r="ET24" i="22" s="1"/>
  <c r="BO12" i="47"/>
  <c r="BO17" i="47" s="1"/>
  <c r="DS13" i="27"/>
  <c r="DS18" i="27" s="1"/>
  <c r="DM11" i="28"/>
  <c r="EI14" i="30"/>
  <c r="DL13" i="32"/>
  <c r="DL5" i="31" s="1"/>
  <c r="DL10" i="31" s="1"/>
  <c r="DL11" i="31" s="1"/>
  <c r="CW10" i="44"/>
  <c r="DX13" i="52"/>
  <c r="DX18" i="52" s="1"/>
  <c r="DJ13" i="27"/>
  <c r="DD11" i="28"/>
  <c r="BU13" i="43"/>
  <c r="BU18" i="43" s="1"/>
  <c r="DJ26" i="22" s="1"/>
  <c r="CY13" i="49"/>
  <c r="CY18" i="49" s="1"/>
  <c r="EN30" i="22" s="1"/>
  <c r="DT14" i="54"/>
  <c r="DT19" i="54" s="1"/>
  <c r="CX12" i="57"/>
  <c r="CX5" i="30" s="1"/>
  <c r="CX9" i="30" s="1"/>
  <c r="CX14" i="30" s="1"/>
  <c r="CX7" i="29" s="1"/>
  <c r="CX11" i="29" s="1"/>
  <c r="CX16" i="29" s="1"/>
  <c r="EB13" i="32"/>
  <c r="DE10" i="44"/>
  <c r="DD14" i="55"/>
  <c r="DO11" i="48"/>
  <c r="DO16" i="48" s="1"/>
  <c r="DO19" i="48"/>
  <c r="FD34" i="22" s="1"/>
  <c r="DO18" i="48"/>
  <c r="FD66" i="22" s="1"/>
  <c r="CO12" i="12"/>
  <c r="CO17" i="12" s="1"/>
  <c r="CN12" i="12"/>
  <c r="CN17" i="12" s="1"/>
  <c r="S12" i="12"/>
  <c r="S17" i="12" s="1"/>
  <c r="DR12" i="16"/>
  <c r="DR17" i="16" s="1"/>
  <c r="FH40" i="22" s="1"/>
  <c r="DM11" i="23"/>
  <c r="DM16" i="23" s="1"/>
  <c r="FC17" i="22" s="1"/>
  <c r="BF12" i="12"/>
  <c r="BF17" i="12" s="1"/>
  <c r="CK12" i="12"/>
  <c r="O12" i="12"/>
  <c r="O17" i="12" s="1"/>
  <c r="DY12" i="16"/>
  <c r="DY17" i="16" s="1"/>
  <c r="AK12" i="12"/>
  <c r="AK17" i="12" s="1"/>
  <c r="DM12" i="36"/>
  <c r="DM17" i="36" s="1"/>
  <c r="FC5" i="22" s="1"/>
  <c r="BZ5" i="22" s="1"/>
  <c r="CW12" i="12"/>
  <c r="CW17" i="12" s="1"/>
  <c r="EM6" i="22" s="1"/>
  <c r="DC12" i="25"/>
  <c r="DM12" i="16"/>
  <c r="DM17" i="16" s="1"/>
  <c r="FC40" i="22" s="1"/>
  <c r="CE12" i="12"/>
  <c r="AV12" i="12"/>
  <c r="AV17" i="12" s="1"/>
  <c r="AG12" i="12"/>
  <c r="AG17" i="12" s="1"/>
  <c r="DO12" i="36"/>
  <c r="DO17" i="36" s="1"/>
  <c r="FE5" i="22" s="1"/>
  <c r="BA12" i="12"/>
  <c r="BA17" i="12" s="1"/>
  <c r="DF12" i="12"/>
  <c r="DF17" i="12" s="1"/>
  <c r="EV6" i="22" s="1"/>
  <c r="CW10" i="26"/>
  <c r="CW15" i="26" s="1"/>
  <c r="EM8" i="22" s="1"/>
  <c r="DJ12" i="16"/>
  <c r="DJ17" i="16" s="1"/>
  <c r="EZ40" i="22" s="1"/>
  <c r="CT14" i="17"/>
  <c r="CT21" i="17" s="1"/>
  <c r="DP11" i="23"/>
  <c r="DP16" i="23" s="1"/>
  <c r="FF17" i="22" s="1"/>
  <c r="V12" i="12"/>
  <c r="V17" i="12" s="1"/>
  <c r="CS10" i="26"/>
  <c r="CS15" i="26" s="1"/>
  <c r="CU11" i="23"/>
  <c r="CU16" i="23" s="1"/>
  <c r="DZ14" i="17"/>
  <c r="DZ21" i="17" s="1"/>
  <c r="AX12" i="12"/>
  <c r="AX17" i="12" s="1"/>
  <c r="DR12" i="25"/>
  <c r="DR17" i="25" s="1"/>
  <c r="FH7" i="22" s="1"/>
  <c r="CW14" i="17"/>
  <c r="CW21" i="17" s="1"/>
  <c r="EM10" i="22" s="1"/>
  <c r="DB13" i="18"/>
  <c r="DB18" i="18" s="1"/>
  <c r="ER15" i="22" s="1"/>
  <c r="DL11" i="20"/>
  <c r="DL16" i="20" s="1"/>
  <c r="FB16" i="22" s="1"/>
  <c r="DS11" i="23"/>
  <c r="DS16" i="23" s="1"/>
  <c r="EP13" i="32"/>
  <c r="CS11" i="20"/>
  <c r="CS16" i="20" s="1"/>
  <c r="CT11" i="23"/>
  <c r="CT16" i="23" s="1"/>
  <c r="CX13" i="18"/>
  <c r="CX18" i="18" s="1"/>
  <c r="EN15" i="22" s="1"/>
  <c r="CR11" i="20"/>
  <c r="CR16" i="20" s="1"/>
  <c r="CS11" i="23"/>
  <c r="CS16" i="23" s="1"/>
  <c r="CW14" i="38"/>
  <c r="CW19" i="38" s="1"/>
  <c r="EL24" i="22" s="1"/>
  <c r="DP13" i="27"/>
  <c r="DH13" i="32"/>
  <c r="DH5" i="31" s="1"/>
  <c r="DH10" i="31" s="1"/>
  <c r="DH11" i="31" s="1"/>
  <c r="EC13" i="50"/>
  <c r="EC18" i="50" s="1"/>
  <c r="ED11" i="23"/>
  <c r="ED16" i="23" s="1"/>
  <c r="P19" i="95"/>
  <c r="P16" i="95"/>
  <c r="U16" i="95"/>
  <c r="U19" i="95"/>
  <c r="M16" i="95"/>
  <c r="M19" i="95"/>
  <c r="Z16" i="95"/>
  <c r="Z19" i="95"/>
  <c r="AJ16" i="95"/>
  <c r="AJ19" i="95"/>
  <c r="R16" i="95"/>
  <c r="R19" i="95"/>
  <c r="AB16" i="95"/>
  <c r="AB19" i="95"/>
  <c r="AV19" i="95"/>
  <c r="CK98" i="22" s="1"/>
  <c r="AV16" i="95"/>
  <c r="Y19" i="95"/>
  <c r="Y16" i="95"/>
  <c r="AA12" i="12"/>
  <c r="AA17" i="12" s="1"/>
  <c r="DI12" i="25"/>
  <c r="DI17" i="25" s="1"/>
  <c r="ED12" i="16"/>
  <c r="ED17" i="16" s="1"/>
  <c r="DA10" i="26"/>
  <c r="DA15" i="26" s="1"/>
  <c r="EQ8" i="22" s="1"/>
  <c r="DH12" i="16"/>
  <c r="DH17" i="16" s="1"/>
  <c r="EX40" i="22" s="1"/>
  <c r="CC12" i="12"/>
  <c r="CX12" i="12"/>
  <c r="CX17" i="12" s="1"/>
  <c r="EN6" i="22" s="1"/>
  <c r="DO12" i="25"/>
  <c r="DO17" i="25" s="1"/>
  <c r="DN12" i="16"/>
  <c r="DN17" i="16" s="1"/>
  <c r="FD40" i="22" s="1"/>
  <c r="DH12" i="36"/>
  <c r="DE12" i="36"/>
  <c r="BT12" i="12"/>
  <c r="BT17" i="12" s="1"/>
  <c r="DB12" i="16"/>
  <c r="DB17" i="16" s="1"/>
  <c r="ER40" i="22" s="1"/>
  <c r="DG11" i="20"/>
  <c r="DG16" i="20" s="1"/>
  <c r="EW16" i="22" s="1"/>
  <c r="DC11" i="28"/>
  <c r="BG12" i="12"/>
  <c r="BG17" i="12" s="1"/>
  <c r="P12" i="12"/>
  <c r="P17" i="12" s="1"/>
  <c r="CQ12" i="12"/>
  <c r="CQ17" i="12" s="1"/>
  <c r="W12" i="12"/>
  <c r="W17" i="12" s="1"/>
  <c r="DL14" i="17"/>
  <c r="DL21" i="17" s="1"/>
  <c r="FB10" i="22" s="1"/>
  <c r="AQ12" i="12"/>
  <c r="AQ17" i="12" s="1"/>
  <c r="N12" i="12"/>
  <c r="N17" i="12" s="1"/>
  <c r="DW12" i="16"/>
  <c r="DW17" i="16" s="1"/>
  <c r="DR14" i="17"/>
  <c r="DR21" i="17" s="1"/>
  <c r="FH10" i="22" s="1"/>
  <c r="EN11" i="23"/>
  <c r="EN16" i="23" s="1"/>
  <c r="ED13" i="27"/>
  <c r="ED18" i="27" s="1"/>
  <c r="AP12" i="12"/>
  <c r="AP17" i="12" s="1"/>
  <c r="DP12" i="12"/>
  <c r="DP17" i="12" s="1"/>
  <c r="FF6" i="22" s="1"/>
  <c r="DJ12" i="25"/>
  <c r="DJ17" i="25" s="1"/>
  <c r="DU10" i="26"/>
  <c r="DU15" i="26" s="1"/>
  <c r="DD11" i="20"/>
  <c r="DD16" i="20" s="1"/>
  <c r="ET16" i="22" s="1"/>
  <c r="DK11" i="23"/>
  <c r="DK16" i="23" s="1"/>
  <c r="FA17" i="22" s="1"/>
  <c r="DP11" i="28"/>
  <c r="DV12" i="57"/>
  <c r="DV5" i="30" s="1"/>
  <c r="DV9" i="30" s="1"/>
  <c r="DV14" i="30" s="1"/>
  <c r="DV7" i="29" s="1"/>
  <c r="DV11" i="29" s="1"/>
  <c r="DV16" i="29" s="1"/>
  <c r="DV21" i="29" s="1"/>
  <c r="DE13" i="32"/>
  <c r="DE5" i="31" s="1"/>
  <c r="DE10" i="31" s="1"/>
  <c r="DE11" i="31" s="1"/>
  <c r="DM14" i="55"/>
  <c r="CY13" i="18"/>
  <c r="CY18" i="18" s="1"/>
  <c r="EO15" i="22" s="1"/>
  <c r="CX11" i="23"/>
  <c r="CX16" i="23" s="1"/>
  <c r="EN17" i="22" s="1"/>
  <c r="EG14" i="30"/>
  <c r="CW11" i="23"/>
  <c r="CW16" i="23" s="1"/>
  <c r="EM17" i="22" s="1"/>
  <c r="DV13" i="27"/>
  <c r="DV18" i="27" s="1"/>
  <c r="DH13" i="27"/>
  <c r="CY13" i="32"/>
  <c r="CY5" i="31" s="1"/>
  <c r="CY10" i="31" s="1"/>
  <c r="CY11" i="31" s="1"/>
  <c r="DS13" i="43"/>
  <c r="DS18" i="43" s="1"/>
  <c r="FH26" i="22" s="1"/>
  <c r="DP13" i="50"/>
  <c r="DP18" i="50" s="1"/>
  <c r="EF14" i="55"/>
  <c r="EF19" i="55" s="1"/>
  <c r="DZ13" i="32"/>
  <c r="CT13" i="49"/>
  <c r="CT18" i="49" s="1"/>
  <c r="CX14" i="55"/>
  <c r="DC13" i="27"/>
  <c r="CW11" i="28"/>
  <c r="CT13" i="32"/>
  <c r="CT5" i="31" s="1"/>
  <c r="CT10" i="31" s="1"/>
  <c r="CT11" i="31" s="1"/>
  <c r="CT17" i="31" s="1"/>
  <c r="DX10" i="35"/>
  <c r="DX5" i="34" s="1"/>
  <c r="DX9" i="34" s="1"/>
  <c r="DX11" i="34" s="1"/>
  <c r="DX16" i="34" s="1"/>
  <c r="BR13" i="43"/>
  <c r="BR18" i="43" s="1"/>
  <c r="AS16" i="95"/>
  <c r="AS19" i="95"/>
  <c r="CH98" i="22" s="1"/>
  <c r="CI19" i="95"/>
  <c r="DX98" i="22" s="1"/>
  <c r="CI16" i="95"/>
  <c r="AN19" i="95"/>
  <c r="AN16" i="95"/>
  <c r="AF19" i="95"/>
  <c r="AF16" i="95"/>
  <c r="BW16" i="95"/>
  <c r="BW19" i="95"/>
  <c r="DL98" i="22" s="1"/>
  <c r="AX16" i="95"/>
  <c r="AX19" i="95"/>
  <c r="CM98" i="22" s="1"/>
  <c r="S16" i="95"/>
  <c r="S19" i="95"/>
  <c r="O16" i="95"/>
  <c r="O19" i="95"/>
  <c r="AD16" i="95"/>
  <c r="AD19" i="95"/>
  <c r="AR16" i="95"/>
  <c r="AR19" i="95"/>
  <c r="V16" i="95"/>
  <c r="V19" i="95"/>
  <c r="CY11" i="20"/>
  <c r="BL12" i="12"/>
  <c r="BL17" i="12" s="1"/>
  <c r="DK12" i="12"/>
  <c r="CI12" i="12"/>
  <c r="DL12" i="25"/>
  <c r="DL17" i="25" s="1"/>
  <c r="DL10" i="26"/>
  <c r="DL15" i="26" s="1"/>
  <c r="FB8" i="22" s="1"/>
  <c r="CU13" i="27"/>
  <c r="AF12" i="12"/>
  <c r="AF17" i="12" s="1"/>
  <c r="CU12" i="25"/>
  <c r="CU17" i="25" s="1"/>
  <c r="DE10" i="26"/>
  <c r="DE15" i="26" s="1"/>
  <c r="EU8" i="22" s="1"/>
  <c r="DN14" i="30"/>
  <c r="DN7" i="29" s="1"/>
  <c r="DN11" i="29" s="1"/>
  <c r="DN16" i="29" s="1"/>
  <c r="DO12" i="16"/>
  <c r="DO17" i="16" s="1"/>
  <c r="FE40" i="22" s="1"/>
  <c r="EK13" i="50"/>
  <c r="EK18" i="50" s="1"/>
  <c r="DF13" i="32"/>
  <c r="DF5" i="31" s="1"/>
  <c r="DF10" i="31" s="1"/>
  <c r="DF11" i="31" s="1"/>
  <c r="DB12" i="25"/>
  <c r="DM10" i="26"/>
  <c r="DM15" i="26" s="1"/>
  <c r="FC8" i="22" s="1"/>
  <c r="CV11" i="20"/>
  <c r="CV16" i="20" s="1"/>
  <c r="EL16" i="22" s="1"/>
  <c r="DB12" i="57"/>
  <c r="DB5" i="30" s="1"/>
  <c r="DB9" i="30" s="1"/>
  <c r="DB14" i="30" s="1"/>
  <c r="DB7" i="29" s="1"/>
  <c r="DB11" i="29" s="1"/>
  <c r="DB16" i="29" s="1"/>
  <c r="DA13" i="27"/>
  <c r="DD12" i="57"/>
  <c r="DD5" i="30" s="1"/>
  <c r="DD9" i="30" s="1"/>
  <c r="DD14" i="30" s="1"/>
  <c r="DD7" i="29" s="1"/>
  <c r="DD11" i="29" s="1"/>
  <c r="DD16" i="29" s="1"/>
  <c r="BL13" i="43"/>
  <c r="BL18" i="43" s="1"/>
  <c r="EG13" i="49"/>
  <c r="EG18" i="49" s="1"/>
  <c r="DI12" i="57"/>
  <c r="DI5" i="30" s="1"/>
  <c r="DI9" i="30" s="1"/>
  <c r="DI14" i="30" s="1"/>
  <c r="DI7" i="29" s="1"/>
  <c r="DI11" i="29" s="1"/>
  <c r="DI16" i="29" s="1"/>
  <c r="DX12" i="57"/>
  <c r="DX5" i="30" s="1"/>
  <c r="DX9" i="30" s="1"/>
  <c r="DX14" i="30" s="1"/>
  <c r="DX7" i="29" s="1"/>
  <c r="DX11" i="29" s="1"/>
  <c r="DX16" i="29" s="1"/>
  <c r="DX21" i="29" s="1"/>
  <c r="DG12" i="57"/>
  <c r="DG5" i="30" s="1"/>
  <c r="DG9" i="30" s="1"/>
  <c r="DG14" i="30" s="1"/>
  <c r="DG7" i="29" s="1"/>
  <c r="DG11" i="29" s="1"/>
  <c r="DG16" i="29" s="1"/>
  <c r="EL13" i="32"/>
  <c r="DG10" i="44"/>
  <c r="CZ13" i="32"/>
  <c r="CZ5" i="31" s="1"/>
  <c r="CZ10" i="31" s="1"/>
  <c r="CZ11" i="31" s="1"/>
  <c r="DA13" i="32"/>
  <c r="DA5" i="31" s="1"/>
  <c r="DA10" i="31" s="1"/>
  <c r="DA11" i="31" s="1"/>
  <c r="CZ13" i="49"/>
  <c r="CZ18" i="49" s="1"/>
  <c r="EO30" i="22" s="1"/>
  <c r="DN18" i="48"/>
  <c r="FC66" i="22" s="1"/>
  <c r="DN19" i="48"/>
  <c r="FC34" i="22" s="1"/>
  <c r="DN11" i="48"/>
  <c r="DN16" i="48" s="1"/>
  <c r="DM18" i="48"/>
  <c r="FB66" i="22" s="1"/>
  <c r="DM11" i="48"/>
  <c r="DM16" i="48" s="1"/>
  <c r="DM19" i="48"/>
  <c r="FB34" i="22" s="1"/>
  <c r="DD18" i="48"/>
  <c r="ES66" i="22" s="1"/>
  <c r="DD11" i="48"/>
  <c r="DD16" i="48" s="1"/>
  <c r="DD19" i="48"/>
  <c r="ES34" i="22" s="1"/>
  <c r="DJ10" i="35"/>
  <c r="EA14" i="55"/>
  <c r="EA19" i="55" s="1"/>
  <c r="CY13" i="52"/>
  <c r="CY18" i="52" s="1"/>
  <c r="EN33" i="22" s="1"/>
  <c r="DC11" i="48"/>
  <c r="DC16" i="48" s="1"/>
  <c r="DC19" i="48"/>
  <c r="ER34" i="22" s="1"/>
  <c r="DC18" i="48"/>
  <c r="ER66" i="22" s="1"/>
  <c r="DN13" i="52"/>
  <c r="DN18" i="52" s="1"/>
  <c r="FC33" i="22" s="1"/>
  <c r="DR19" i="48"/>
  <c r="FG34" i="22" s="1"/>
  <c r="DR11" i="48"/>
  <c r="DR16" i="48" s="1"/>
  <c r="DR18" i="48"/>
  <c r="FG66" i="22" s="1"/>
  <c r="EG13" i="50"/>
  <c r="EG18" i="50" s="1"/>
  <c r="EI13" i="49"/>
  <c r="EI18" i="49" s="1"/>
  <c r="DP14" i="54"/>
  <c r="EK13" i="52"/>
  <c r="EK18" i="52" s="1"/>
  <c r="EO11" i="48"/>
  <c r="EO16" i="48" s="1"/>
  <c r="EO19" i="48"/>
  <c r="EO18" i="48"/>
  <c r="EF11" i="48"/>
  <c r="EF16" i="48" s="1"/>
  <c r="EF18" i="48"/>
  <c r="EF19" i="48"/>
  <c r="DH16" i="58"/>
  <c r="EW43" i="22" s="1"/>
  <c r="DN16" i="58"/>
  <c r="FC43" i="22" s="1"/>
  <c r="DL16" i="58"/>
  <c r="FA43" i="22" s="1"/>
  <c r="DU13" i="62"/>
  <c r="CZ12" i="60"/>
  <c r="CZ17" i="60" s="1"/>
  <c r="DC13" i="62"/>
  <c r="EO13" i="62"/>
  <c r="DI13" i="62"/>
  <c r="EE13" i="62"/>
  <c r="DH13" i="62"/>
  <c r="CV10" i="26"/>
  <c r="CV15" i="26" s="1"/>
  <c r="EL8" i="22" s="1"/>
  <c r="BP12" i="12"/>
  <c r="BP17" i="12" s="1"/>
  <c r="BM12" i="12"/>
  <c r="BM17" i="12" s="1"/>
  <c r="CS12" i="16"/>
  <c r="CS17" i="16" s="1"/>
  <c r="BD12" i="12"/>
  <c r="BD17" i="12" s="1"/>
  <c r="DV11" i="23"/>
  <c r="DV16" i="23" s="1"/>
  <c r="DB12" i="12"/>
  <c r="DB17" i="12" s="1"/>
  <c r="ER6" i="22" s="1"/>
  <c r="DN11" i="20"/>
  <c r="DN16" i="20" s="1"/>
  <c r="FD16" i="22" s="1"/>
  <c r="CA12" i="12"/>
  <c r="CU12" i="12"/>
  <c r="CU17" i="12" s="1"/>
  <c r="DF12" i="16"/>
  <c r="DF17" i="16" s="1"/>
  <c r="EV40" i="22" s="1"/>
  <c r="CD12" i="12"/>
  <c r="CP12" i="12"/>
  <c r="CP17" i="12" s="1"/>
  <c r="U12" i="12"/>
  <c r="U17" i="12" s="1"/>
  <c r="DW14" i="17"/>
  <c r="DW21" i="17" s="1"/>
  <c r="EB13" i="52"/>
  <c r="EB18" i="52" s="1"/>
  <c r="DC10" i="26"/>
  <c r="DG12" i="16"/>
  <c r="DG17" i="16" s="1"/>
  <c r="EW40" i="22" s="1"/>
  <c r="DU14" i="17"/>
  <c r="DU21" i="17" s="1"/>
  <c r="DB12" i="5"/>
  <c r="DB17" i="5" s="1"/>
  <c r="ER11" i="22" s="1"/>
  <c r="DB14" i="17"/>
  <c r="DB21" i="17" s="1"/>
  <c r="ER10" i="22" s="1"/>
  <c r="DK13" i="18"/>
  <c r="DK18" i="18" s="1"/>
  <c r="FA15" i="22" s="1"/>
  <c r="Z12" i="12"/>
  <c r="Z17" i="12" s="1"/>
  <c r="CZ12" i="12"/>
  <c r="CZ17" i="12" s="1"/>
  <c r="EP6" i="22" s="1"/>
  <c r="EA12" i="16"/>
  <c r="EA17" i="16" s="1"/>
  <c r="CZ13" i="18"/>
  <c r="DY11" i="23"/>
  <c r="DY16" i="23" s="1"/>
  <c r="DE13" i="27"/>
  <c r="DD12" i="5"/>
  <c r="DD17" i="5" s="1"/>
  <c r="ET11" i="22" s="1"/>
  <c r="DP13" i="18"/>
  <c r="DP18" i="18" s="1"/>
  <c r="FF15" i="22" s="1"/>
  <c r="DX11" i="23"/>
  <c r="DX16" i="23" s="1"/>
  <c r="DR12" i="57"/>
  <c r="DR5" i="30" s="1"/>
  <c r="DR9" i="30" s="1"/>
  <c r="DR14" i="30" s="1"/>
  <c r="DR7" i="29" s="1"/>
  <c r="DR11" i="29" s="1"/>
  <c r="DR16" i="29" s="1"/>
  <c r="DR21" i="29" s="1"/>
  <c r="FH20" i="22" s="1"/>
  <c r="EF13" i="32"/>
  <c r="CU13" i="52"/>
  <c r="CU18" i="52" s="1"/>
  <c r="CR13" i="27"/>
  <c r="DU12" i="57"/>
  <c r="DU5" i="30" s="1"/>
  <c r="DU9" i="30" s="1"/>
  <c r="DU14" i="30" s="1"/>
  <c r="DU7" i="29" s="1"/>
  <c r="DU11" i="29" s="1"/>
  <c r="DU16" i="29" s="1"/>
  <c r="DU21" i="29" s="1"/>
  <c r="DO10" i="44"/>
  <c r="CU13" i="49"/>
  <c r="CU18" i="49" s="1"/>
  <c r="CZ14" i="55"/>
  <c r="DW13" i="27"/>
  <c r="DW18" i="27" s="1"/>
  <c r="CV12" i="57"/>
  <c r="CV5" i="30" s="1"/>
  <c r="CV9" i="30" s="1"/>
  <c r="CV14" i="30" s="1"/>
  <c r="CV7" i="29" s="1"/>
  <c r="CV11" i="29" s="1"/>
  <c r="CV16" i="29" s="1"/>
  <c r="DG13" i="32"/>
  <c r="DG5" i="31" s="1"/>
  <c r="DG10" i="31" s="1"/>
  <c r="DG11" i="31" s="1"/>
  <c r="CY14" i="38"/>
  <c r="CY19" i="38" s="1"/>
  <c r="EN24" i="22" s="1"/>
  <c r="DT13" i="49"/>
  <c r="DT18" i="49" s="1"/>
  <c r="DH12" i="47"/>
  <c r="DH17" i="47" s="1"/>
  <c r="EW32" i="22" s="1"/>
  <c r="DA12" i="57"/>
  <c r="DA5" i="30" s="1"/>
  <c r="DA9" i="30" s="1"/>
  <c r="DA14" i="30" s="1"/>
  <c r="DA7" i="29" s="1"/>
  <c r="DA11" i="29" s="1"/>
  <c r="DA16" i="29" s="1"/>
  <c r="DY13" i="43"/>
  <c r="DY18" i="43" s="1"/>
  <c r="DP12" i="57"/>
  <c r="DP5" i="30" s="1"/>
  <c r="DP9" i="30" s="1"/>
  <c r="DP14" i="30" s="1"/>
  <c r="DP7" i="29" s="1"/>
  <c r="DP11" i="29" s="1"/>
  <c r="DP16" i="29" s="1"/>
  <c r="BV13" i="43"/>
  <c r="BV18" i="43" s="1"/>
  <c r="CU12" i="57"/>
  <c r="CU5" i="30" s="1"/>
  <c r="CU9" i="30" s="1"/>
  <c r="CU14" i="30" s="1"/>
  <c r="CU7" i="29" s="1"/>
  <c r="CU11" i="29" s="1"/>
  <c r="CU16" i="29" s="1"/>
  <c r="CY12" i="57"/>
  <c r="CY5" i="30" s="1"/>
  <c r="CY9" i="30" s="1"/>
  <c r="CY14" i="30" s="1"/>
  <c r="CY7" i="29" s="1"/>
  <c r="CY11" i="29" s="1"/>
  <c r="CY16" i="29" s="1"/>
  <c r="EC13" i="32"/>
  <c r="DE14" i="55"/>
  <c r="DK10" i="35"/>
  <c r="CS10" i="44"/>
  <c r="CS15" i="44" s="1"/>
  <c r="K16" i="95"/>
  <c r="K19" i="95"/>
  <c r="I16" i="95"/>
  <c r="I19" i="95"/>
  <c r="AL16" i="95"/>
  <c r="AL19" i="95"/>
  <c r="AA16" i="95"/>
  <c r="AA19" i="95"/>
  <c r="AP16" i="95"/>
  <c r="AP19" i="95"/>
  <c r="BL19" i="95"/>
  <c r="DA98" i="22" s="1"/>
  <c r="BL16" i="95"/>
  <c r="AH16" i="95"/>
  <c r="AH19" i="95"/>
  <c r="BD19" i="95"/>
  <c r="CS98" i="22" s="1"/>
  <c r="BD16" i="95"/>
  <c r="AQ16" i="95"/>
  <c r="AQ19" i="95"/>
  <c r="BP19" i="95"/>
  <c r="DE98" i="22" s="1"/>
  <c r="BP16" i="95"/>
  <c r="CM12" i="12"/>
  <c r="CM17" i="12" s="1"/>
  <c r="DR12" i="36"/>
  <c r="DR17" i="36" s="1"/>
  <c r="FH5" i="22" s="1"/>
  <c r="BI12" i="12"/>
  <c r="BI17" i="12" s="1"/>
  <c r="DO12" i="12"/>
  <c r="DO17" i="12" s="1"/>
  <c r="FE6" i="22" s="1"/>
  <c r="CX12" i="16"/>
  <c r="CX17" i="16" s="1"/>
  <c r="EN40" i="22" s="1"/>
  <c r="DF14" i="17"/>
  <c r="DF21" i="17" s="1"/>
  <c r="EV10" i="22" s="1"/>
  <c r="BH12" i="12"/>
  <c r="BH17" i="12" s="1"/>
  <c r="DN12" i="12"/>
  <c r="DN17" i="12" s="1"/>
  <c r="FD6" i="22" s="1"/>
  <c r="DG14" i="17"/>
  <c r="BE12" i="12"/>
  <c r="BE17" i="12" s="1"/>
  <c r="AM12" i="12"/>
  <c r="AM17" i="12" s="1"/>
  <c r="CR12" i="36"/>
  <c r="CR17" i="36" s="1"/>
  <c r="EA14" i="17"/>
  <c r="EA21" i="17" s="1"/>
  <c r="CZ11" i="23"/>
  <c r="CZ16" i="23" s="1"/>
  <c r="EP17" i="22" s="1"/>
  <c r="BJ13" i="43"/>
  <c r="BJ18" i="43" s="1"/>
  <c r="DG12" i="25"/>
  <c r="DG17" i="25" s="1"/>
  <c r="DL12" i="36"/>
  <c r="DL17" i="36" s="1"/>
  <c r="FB5" i="22" s="1"/>
  <c r="BS12" i="12"/>
  <c r="BS17" i="12" s="1"/>
  <c r="DU13" i="27"/>
  <c r="DU18" i="27" s="1"/>
  <c r="DA12" i="12"/>
  <c r="DA17" i="12" s="1"/>
  <c r="EQ6" i="22" s="1"/>
  <c r="CH12" i="12"/>
  <c r="K12" i="12"/>
  <c r="K17" i="12" s="1"/>
  <c r="DK14" i="17"/>
  <c r="DK21" i="17" s="1"/>
  <c r="FA10" i="22" s="1"/>
  <c r="BB12" i="12"/>
  <c r="BB17" i="12" s="1"/>
  <c r="CY12" i="16"/>
  <c r="DM14" i="17"/>
  <c r="DM21" i="17" s="1"/>
  <c r="FC10" i="22" s="1"/>
  <c r="DW13" i="32"/>
  <c r="DW5" i="31" s="1"/>
  <c r="DW10" i="31" s="1"/>
  <c r="DW11" i="31" s="1"/>
  <c r="DW17" i="31" s="1"/>
  <c r="CX14" i="17"/>
  <c r="CX21" i="17" s="1"/>
  <c r="EN10" i="22" s="1"/>
  <c r="DC13" i="18"/>
  <c r="DC18" i="18" s="1"/>
  <c r="ES15" i="22" s="1"/>
  <c r="DM11" i="20"/>
  <c r="DM16" i="20" s="1"/>
  <c r="FC16" i="22" s="1"/>
  <c r="DC12" i="57"/>
  <c r="DC5" i="30" s="1"/>
  <c r="DC9" i="30" s="1"/>
  <c r="DC14" i="30" s="1"/>
  <c r="DC7" i="29" s="1"/>
  <c r="DC11" i="29" s="1"/>
  <c r="DC16" i="29" s="1"/>
  <c r="R12" i="12"/>
  <c r="R17" i="12" s="1"/>
  <c r="CU10" i="26"/>
  <c r="CU15" i="26" s="1"/>
  <c r="DS12" i="16"/>
  <c r="DS17" i="16" s="1"/>
  <c r="DY14" i="17"/>
  <c r="DY21" i="17" s="1"/>
  <c r="DH14" i="38"/>
  <c r="DH19" i="38" s="1"/>
  <c r="EW24" i="22" s="1"/>
  <c r="DQ13" i="18"/>
  <c r="DQ18" i="18" s="1"/>
  <c r="FG15" i="22" s="1"/>
  <c r="CD15" i="22" s="1"/>
  <c r="DS12" i="57"/>
  <c r="DS5" i="30" s="1"/>
  <c r="DS9" i="30" s="1"/>
  <c r="DS14" i="30" s="1"/>
  <c r="DS7" i="29" s="1"/>
  <c r="DS11" i="29" s="1"/>
  <c r="DS16" i="29" s="1"/>
  <c r="DS21" i="29" s="1"/>
  <c r="DK11" i="28"/>
  <c r="CV13" i="32"/>
  <c r="CV5" i="31" s="1"/>
  <c r="CV10" i="31" s="1"/>
  <c r="CV11" i="31" s="1"/>
  <c r="EE11" i="23"/>
  <c r="EE16" i="23" s="1"/>
  <c r="ES13" i="32"/>
  <c r="DQ11" i="28"/>
  <c r="DQ16" i="28" s="1"/>
  <c r="FG39" i="22" s="1"/>
  <c r="CD39" i="22" s="1"/>
  <c r="DH10" i="35"/>
  <c r="DN14" i="54"/>
  <c r="EA11" i="23"/>
  <c r="EA16" i="23" s="1"/>
  <c r="EB13" i="27"/>
  <c r="EB18" i="27" s="1"/>
  <c r="DV11" i="28"/>
  <c r="DV16" i="28" s="1"/>
  <c r="DV13" i="32"/>
  <c r="DV5" i="31" s="1"/>
  <c r="DV10" i="31" s="1"/>
  <c r="DV11" i="31" s="1"/>
  <c r="DV17" i="31" s="1"/>
  <c r="CS18" i="48"/>
  <c r="CS11" i="48"/>
  <c r="CS16" i="48" s="1"/>
  <c r="CS19" i="48"/>
  <c r="EM13" i="32"/>
  <c r="CS14" i="38"/>
  <c r="CS19" i="38" s="1"/>
  <c r="DX13" i="43"/>
  <c r="DX18" i="43" s="1"/>
  <c r="BE12" i="47"/>
  <c r="BE17" i="47" s="1"/>
  <c r="DT13" i="32"/>
  <c r="DT5" i="31" s="1"/>
  <c r="DT10" i="31" s="1"/>
  <c r="DT11" i="31" s="1"/>
  <c r="DT17" i="31" s="1"/>
  <c r="DM14" i="38"/>
  <c r="DM19" i="38" s="1"/>
  <c r="FB24" i="22" s="1"/>
  <c r="EL13" i="49"/>
  <c r="EL18" i="49" s="1"/>
  <c r="EJ13" i="52"/>
  <c r="EJ18" i="52" s="1"/>
  <c r="CZ10" i="35"/>
  <c r="BT13" i="43"/>
  <c r="BT18" i="43" s="1"/>
  <c r="EG13" i="43"/>
  <c r="EG18" i="43" s="1"/>
  <c r="DC14" i="54"/>
  <c r="EM11" i="48"/>
  <c r="EM16" i="48" s="1"/>
  <c r="EM18" i="48"/>
  <c r="EM19" i="48"/>
  <c r="DM10" i="35"/>
  <c r="CX10" i="44"/>
  <c r="EJ13" i="32"/>
  <c r="DV13" i="49"/>
  <c r="DV18" i="49" s="1"/>
  <c r="DG13" i="27"/>
  <c r="DI11" i="28"/>
  <c r="CX10" i="35"/>
  <c r="DQ13" i="43"/>
  <c r="DQ18" i="43" s="1"/>
  <c r="FF26" i="22" s="1"/>
  <c r="EN13" i="50"/>
  <c r="EN18" i="50" s="1"/>
  <c r="CX14" i="54"/>
  <c r="CB12" i="47"/>
  <c r="CB17" i="47" s="1"/>
  <c r="DT13" i="27"/>
  <c r="DT18" i="27" s="1"/>
  <c r="DN11" i="28"/>
  <c r="EJ14" i="30"/>
  <c r="DM13" i="32"/>
  <c r="DM5" i="31" s="1"/>
  <c r="DM10" i="31" s="1"/>
  <c r="DM11" i="31" s="1"/>
  <c r="DI10" i="44"/>
  <c r="EN14" i="55"/>
  <c r="EN19" i="55" s="1"/>
  <c r="DG14" i="54"/>
  <c r="EH11" i="23"/>
  <c r="EH16" i="23" s="1"/>
  <c r="CZ12" i="57"/>
  <c r="CZ5" i="30" s="1"/>
  <c r="CZ9" i="30" s="1"/>
  <c r="CZ14" i="30" s="1"/>
  <c r="CZ7" i="29" s="1"/>
  <c r="CZ11" i="29" s="1"/>
  <c r="CZ16" i="29" s="1"/>
  <c r="ED13" i="32"/>
  <c r="DR10" i="44"/>
  <c r="DR15" i="44" s="1"/>
  <c r="FG25" i="22" s="1"/>
  <c r="DW14" i="55"/>
  <c r="DW19" i="55" s="1"/>
  <c r="BN12" i="47"/>
  <c r="BN17" i="47" s="1"/>
  <c r="DZ13" i="27"/>
  <c r="DZ18" i="27" s="1"/>
  <c r="DT11" i="28"/>
  <c r="DT16" i="28" s="1"/>
  <c r="DK13" i="32"/>
  <c r="DK5" i="31" s="1"/>
  <c r="DK10" i="31" s="1"/>
  <c r="DK11" i="31" s="1"/>
  <c r="DB14" i="38"/>
  <c r="DB19" i="38" s="1"/>
  <c r="EQ24" i="22" s="1"/>
  <c r="BQ13" i="43"/>
  <c r="BQ18" i="43" s="1"/>
  <c r="DY13" i="49"/>
  <c r="DY18" i="49" s="1"/>
  <c r="DT13" i="52"/>
  <c r="DT18" i="52" s="1"/>
  <c r="DT13" i="43"/>
  <c r="DT18" i="43" s="1"/>
  <c r="EE13" i="50"/>
  <c r="EE18" i="50" s="1"/>
  <c r="EJ14" i="55"/>
  <c r="EJ19" i="55" s="1"/>
  <c r="EE19" i="48"/>
  <c r="EE18" i="48"/>
  <c r="EE11" i="48"/>
  <c r="EE16" i="48" s="1"/>
  <c r="EO13" i="32"/>
  <c r="DE10" i="35"/>
  <c r="DF14" i="38"/>
  <c r="DF19" i="38" s="1"/>
  <c r="EU24" i="22" s="1"/>
  <c r="EH13" i="43"/>
  <c r="EH18" i="43" s="1"/>
  <c r="ET13" i="50"/>
  <c r="ET18" i="50" s="1"/>
  <c r="DV14" i="55"/>
  <c r="DV19" i="55" s="1"/>
  <c r="EC14" i="54"/>
  <c r="EC19" i="54" s="1"/>
  <c r="BP12" i="47"/>
  <c r="BP17" i="47" s="1"/>
  <c r="DB12" i="47"/>
  <c r="DB17" i="47" s="1"/>
  <c r="EQ32" i="22" s="1"/>
  <c r="FA11" i="48"/>
  <c r="FA16" i="48" s="1"/>
  <c r="FA19" i="48"/>
  <c r="FA18" i="48"/>
  <c r="ER19" i="48"/>
  <c r="ER18" i="48"/>
  <c r="ER11" i="48"/>
  <c r="ER16" i="48" s="1"/>
  <c r="DW13" i="43"/>
  <c r="DW18" i="43" s="1"/>
  <c r="EI13" i="50"/>
  <c r="EI18" i="50" s="1"/>
  <c r="DC14" i="55"/>
  <c r="DR14" i="54"/>
  <c r="DR19" i="54" s="1"/>
  <c r="FG42" i="22" s="1"/>
  <c r="CI12" i="47"/>
  <c r="CI17" i="47" s="1"/>
  <c r="EQ11" i="48"/>
  <c r="EQ16" i="48" s="1"/>
  <c r="EQ19" i="48"/>
  <c r="EQ18" i="48"/>
  <c r="DR14" i="55"/>
  <c r="DR19" i="55" s="1"/>
  <c r="FG31" i="22" s="1"/>
  <c r="CD31" i="22" s="1"/>
  <c r="EG14" i="54"/>
  <c r="EG19" i="54" s="1"/>
  <c r="BL12" i="47"/>
  <c r="BL17" i="47" s="1"/>
  <c r="CX12" i="47"/>
  <c r="CX17" i="47" s="1"/>
  <c r="EM32" i="22" s="1"/>
  <c r="CV11" i="48"/>
  <c r="CV16" i="48" s="1"/>
  <c r="CV18" i="48"/>
  <c r="CV19" i="48"/>
  <c r="DK13" i="49"/>
  <c r="DK18" i="49" s="1"/>
  <c r="EZ30" i="22" s="1"/>
  <c r="DM13" i="52"/>
  <c r="DM18" i="52" s="1"/>
  <c r="FB33" i="22" s="1"/>
  <c r="DQ18" i="48"/>
  <c r="FF66" i="22" s="1"/>
  <c r="DQ11" i="48"/>
  <c r="DQ16" i="48" s="1"/>
  <c r="DQ19" i="48"/>
  <c r="FF34" i="22" s="1"/>
  <c r="DH11" i="48"/>
  <c r="DH16" i="48" s="1"/>
  <c r="DH19" i="48"/>
  <c r="EW34" i="22" s="1"/>
  <c r="DH18" i="48"/>
  <c r="EW66" i="22" s="1"/>
  <c r="DY16" i="58"/>
  <c r="CW16" i="58"/>
  <c r="EL43" i="22" s="1"/>
  <c r="DF13" i="62"/>
  <c r="EB13" i="62"/>
  <c r="DE13" i="62"/>
  <c r="EQ13" i="62"/>
  <c r="DJ12" i="60"/>
  <c r="DJ17" i="60" s="1"/>
  <c r="EG13" i="62"/>
  <c r="DW12" i="60"/>
  <c r="DW17" i="60" s="1"/>
  <c r="DY12" i="60"/>
  <c r="DY17" i="60" s="1"/>
  <c r="EL13" i="62"/>
  <c r="DR21" i="70"/>
  <c r="DR22" i="70" s="1"/>
  <c r="DR29" i="70" s="1"/>
  <c r="FG50" i="22" s="1"/>
  <c r="DZ13" i="66"/>
  <c r="DZ18" i="66" s="1"/>
  <c r="DA13" i="66"/>
  <c r="DA18" i="66" s="1"/>
  <c r="EP47" i="22" s="1"/>
  <c r="FC21" i="70"/>
  <c r="FC22" i="70" s="1"/>
  <c r="FC29" i="70" s="1"/>
  <c r="EG13" i="73"/>
  <c r="EG18" i="73" s="1"/>
  <c r="CZ13" i="66"/>
  <c r="CZ18" i="66" s="1"/>
  <c r="EO47" i="22" s="1"/>
  <c r="FB21" i="70"/>
  <c r="FB22" i="70" s="1"/>
  <c r="FB29" i="70" s="1"/>
  <c r="DE12" i="76"/>
  <c r="DE17" i="76" s="1"/>
  <c r="ET81" i="22" s="1"/>
  <c r="EA13" i="66"/>
  <c r="EA18" i="66" s="1"/>
  <c r="DM13" i="73"/>
  <c r="DM18" i="73" s="1"/>
  <c r="FB78" i="22" s="1"/>
  <c r="CV13" i="66"/>
  <c r="CV18" i="66" s="1"/>
  <c r="EB21" i="70"/>
  <c r="EB22" i="70" s="1"/>
  <c r="EB29" i="70" s="1"/>
  <c r="DU13" i="73"/>
  <c r="DU18" i="73" s="1"/>
  <c r="EB12" i="79"/>
  <c r="EB17" i="79" s="1"/>
  <c r="EE13" i="73"/>
  <c r="EE18" i="73" s="1"/>
  <c r="DV13" i="73"/>
  <c r="DV18" i="73" s="1"/>
  <c r="EA12" i="76"/>
  <c r="EA17" i="76" s="1"/>
  <c r="FC12" i="79"/>
  <c r="FC17" i="79" s="1"/>
  <c r="ED12" i="79"/>
  <c r="ED17" i="79" s="1"/>
  <c r="EC12" i="79"/>
  <c r="EC17" i="79" s="1"/>
  <c r="DB12" i="81"/>
  <c r="DB17" i="81" s="1"/>
  <c r="EQ85" i="22" s="1"/>
  <c r="DJ13" i="86"/>
  <c r="DJ18" i="86" s="1"/>
  <c r="EY87" i="22" s="1"/>
  <c r="EB12" i="81"/>
  <c r="EB17" i="81" s="1"/>
  <c r="EN13" i="62"/>
  <c r="DN13" i="62"/>
  <c r="DJ21" i="70"/>
  <c r="DJ22" i="70" s="1"/>
  <c r="DJ29" i="70" s="1"/>
  <c r="EY50" i="22" s="1"/>
  <c r="EU21" i="70"/>
  <c r="EU22" i="70" s="1"/>
  <c r="EU29" i="70" s="1"/>
  <c r="DT21" i="70"/>
  <c r="DT22" i="70" s="1"/>
  <c r="DT29" i="70" s="1"/>
  <c r="DN13" i="73"/>
  <c r="DN18" i="73" s="1"/>
  <c r="FC78" i="22" s="1"/>
  <c r="DA12" i="76"/>
  <c r="DA17" i="76" s="1"/>
  <c r="EP81" i="22" s="1"/>
  <c r="DU12" i="79"/>
  <c r="DU17" i="79" s="1"/>
  <c r="DT12" i="81"/>
  <c r="DT17" i="81" s="1"/>
  <c r="DE12" i="81"/>
  <c r="DE17" i="81" s="1"/>
  <c r="ET85" i="22" s="1"/>
  <c r="DR12" i="81"/>
  <c r="DR17" i="81" s="1"/>
  <c r="FG85" i="22" s="1"/>
  <c r="DY13" i="32"/>
  <c r="DY5" i="31" s="1"/>
  <c r="DY10" i="31" s="1"/>
  <c r="DY11" i="31" s="1"/>
  <c r="DY17" i="31" s="1"/>
  <c r="BP13" i="43"/>
  <c r="BP18" i="43" s="1"/>
  <c r="DR13" i="43"/>
  <c r="DR18" i="43" s="1"/>
  <c r="FG26" i="22" s="1"/>
  <c r="ED13" i="50"/>
  <c r="ED18" i="50" s="1"/>
  <c r="DX13" i="49"/>
  <c r="DX18" i="49" s="1"/>
  <c r="DF14" i="55"/>
  <c r="CL12" i="47"/>
  <c r="CL17" i="47" s="1"/>
  <c r="EL18" i="48"/>
  <c r="EL11" i="48"/>
  <c r="EL16" i="48" s="1"/>
  <c r="EL19" i="48"/>
  <c r="EK18" i="48"/>
  <c r="EK11" i="48"/>
  <c r="EK16" i="48" s="1"/>
  <c r="EK19" i="48"/>
  <c r="EB18" i="48"/>
  <c r="EB19" i="48"/>
  <c r="EB11" i="48"/>
  <c r="EB16" i="48" s="1"/>
  <c r="DM13" i="49"/>
  <c r="DM18" i="49" s="1"/>
  <c r="FB30" i="22" s="1"/>
  <c r="DB14" i="54"/>
  <c r="BS12" i="47"/>
  <c r="BS17" i="47" s="1"/>
  <c r="DW13" i="52"/>
  <c r="DW18" i="52" s="1"/>
  <c r="EA11" i="48"/>
  <c r="EA16" i="48" s="1"/>
  <c r="EA19" i="48"/>
  <c r="EA18" i="48"/>
  <c r="DB14" i="55"/>
  <c r="EP19" i="48"/>
  <c r="EP11" i="48"/>
  <c r="EP16" i="48" s="1"/>
  <c r="EP18" i="48"/>
  <c r="DE12" i="47"/>
  <c r="DE17" i="47" s="1"/>
  <c r="ET32" i="22" s="1"/>
  <c r="CW13" i="52"/>
  <c r="CW18" i="52" s="1"/>
  <c r="EL33" i="22" s="1"/>
  <c r="DA18" i="48"/>
  <c r="EP66" i="22" s="1"/>
  <c r="DA19" i="48"/>
  <c r="EP34" i="22" s="1"/>
  <c r="DA11" i="48"/>
  <c r="DA16" i="48" s="1"/>
  <c r="DI16" i="58"/>
  <c r="EX43" i="22" s="1"/>
  <c r="EF16" i="58"/>
  <c r="DM16" i="58"/>
  <c r="FB43" i="22" s="1"/>
  <c r="DD12" i="60"/>
  <c r="DD17" i="60" s="1"/>
  <c r="EK13" i="62"/>
  <c r="CY13" i="62"/>
  <c r="EN45" i="22"/>
  <c r="EA13" i="62"/>
  <c r="DI12" i="60"/>
  <c r="DI17" i="60" s="1"/>
  <c r="EH13" i="62"/>
  <c r="CY12" i="60"/>
  <c r="CY17" i="60" s="1"/>
  <c r="DX13" i="62"/>
  <c r="DK13" i="62"/>
  <c r="DJ13" i="62"/>
  <c r="EF13" i="62"/>
  <c r="DK21" i="70"/>
  <c r="DK22" i="70" s="1"/>
  <c r="DK29" i="70" s="1"/>
  <c r="EZ50" i="22" s="1"/>
  <c r="FD21" i="70"/>
  <c r="FD22" i="70" s="1"/>
  <c r="FD29" i="70" s="1"/>
  <c r="EM21" i="70"/>
  <c r="EM22" i="70" s="1"/>
  <c r="EM29" i="70" s="1"/>
  <c r="EL21" i="70"/>
  <c r="EL22" i="70" s="1"/>
  <c r="EL29" i="70" s="1"/>
  <c r="DY13" i="73"/>
  <c r="DY18" i="73" s="1"/>
  <c r="EC21" i="70"/>
  <c r="EC22" i="70" s="1"/>
  <c r="EC29" i="70" s="1"/>
  <c r="DL21" i="70"/>
  <c r="DL22" i="70" s="1"/>
  <c r="DL29" i="70" s="1"/>
  <c r="FA50" i="22" s="1"/>
  <c r="EA13" i="73"/>
  <c r="EA18" i="73" s="1"/>
  <c r="DL12" i="79"/>
  <c r="DL17" i="79" s="1"/>
  <c r="FA93" i="22" s="1"/>
  <c r="DO13" i="73"/>
  <c r="DO18" i="73" s="1"/>
  <c r="FD78" i="22" s="1"/>
  <c r="DF13" i="73"/>
  <c r="DF18" i="73" s="1"/>
  <c r="EU78" i="22" s="1"/>
  <c r="DM12" i="79"/>
  <c r="DM17" i="79" s="1"/>
  <c r="FB93" i="22" s="1"/>
  <c r="DJ12" i="81"/>
  <c r="DJ17" i="81" s="1"/>
  <c r="EY85" i="22" s="1"/>
  <c r="EB13" i="86"/>
  <c r="EB18" i="86" s="1"/>
  <c r="DM13" i="86"/>
  <c r="DM18" i="86" s="1"/>
  <c r="FB87" i="22" s="1"/>
  <c r="DC12" i="81"/>
  <c r="DC17" i="81" s="1"/>
  <c r="ER85" i="22" s="1"/>
  <c r="DP12" i="81"/>
  <c r="DP17" i="81" s="1"/>
  <c r="FE85" i="22" s="1"/>
  <c r="DT12" i="57"/>
  <c r="DT5" i="30" s="1"/>
  <c r="DT9" i="30" s="1"/>
  <c r="DT14" i="30" s="1"/>
  <c r="DT7" i="29" s="1"/>
  <c r="DT11" i="29" s="1"/>
  <c r="DT16" i="29" s="1"/>
  <c r="DT21" i="29" s="1"/>
  <c r="EI13" i="32"/>
  <c r="DY12" i="57"/>
  <c r="DY5" i="30" s="1"/>
  <c r="DY9" i="30" s="1"/>
  <c r="DY14" i="30" s="1"/>
  <c r="DY7" i="29" s="1"/>
  <c r="DY11" i="29" s="1"/>
  <c r="DY16" i="29" s="1"/>
  <c r="DY21" i="29" s="1"/>
  <c r="DO10" i="35"/>
  <c r="CT14" i="38"/>
  <c r="CT19" i="38" s="1"/>
  <c r="DK13" i="27"/>
  <c r="DE11" i="28"/>
  <c r="DC13" i="32"/>
  <c r="DC5" i="31" s="1"/>
  <c r="DC10" i="31" s="1"/>
  <c r="DC11" i="31" s="1"/>
  <c r="DN13" i="49"/>
  <c r="DN18" i="49" s="1"/>
  <c r="FC30" i="22" s="1"/>
  <c r="DB13" i="27"/>
  <c r="CV11" i="28"/>
  <c r="DW12" i="57"/>
  <c r="DW5" i="30" s="1"/>
  <c r="DW9" i="30" s="1"/>
  <c r="DW14" i="30" s="1"/>
  <c r="DW7" i="29" s="1"/>
  <c r="DW11" i="29" s="1"/>
  <c r="DW16" i="29" s="1"/>
  <c r="DW21" i="29" s="1"/>
  <c r="DV13" i="43"/>
  <c r="DV18" i="43" s="1"/>
  <c r="DT13" i="50"/>
  <c r="DT18" i="50" s="1"/>
  <c r="DD14" i="54"/>
  <c r="CF12" i="47"/>
  <c r="CF17" i="47" s="1"/>
  <c r="DS13" i="32"/>
  <c r="DS5" i="31" s="1"/>
  <c r="DS10" i="31" s="1"/>
  <c r="DS11" i="31" s="1"/>
  <c r="DS17" i="31" s="1"/>
  <c r="DW14" i="38"/>
  <c r="DW19" i="38" s="1"/>
  <c r="CT10" i="44"/>
  <c r="CT15" i="44" s="1"/>
  <c r="CW13" i="49"/>
  <c r="CW18" i="49" s="1"/>
  <c r="EL30" i="22" s="1"/>
  <c r="EI13" i="52"/>
  <c r="EI18" i="52" s="1"/>
  <c r="DG18" i="48"/>
  <c r="EV66" i="22" s="1"/>
  <c r="DG19" i="48"/>
  <c r="EV34" i="22" s="1"/>
  <c r="DG11" i="48"/>
  <c r="DG16" i="48" s="1"/>
  <c r="DQ13" i="32"/>
  <c r="DQ5" i="31" s="1"/>
  <c r="DQ10" i="31" s="1"/>
  <c r="DQ11" i="31" s="1"/>
  <c r="DQ17" i="31" s="1"/>
  <c r="FG21" i="22" s="1"/>
  <c r="CD21" i="22" s="1"/>
  <c r="BH13" i="43"/>
  <c r="BH18" i="43" s="1"/>
  <c r="DJ13" i="43"/>
  <c r="DJ18" i="43" s="1"/>
  <c r="EY26" i="22" s="1"/>
  <c r="DV13" i="50"/>
  <c r="DV18" i="50" s="1"/>
  <c r="DP13" i="49"/>
  <c r="DP18" i="49" s="1"/>
  <c r="FE30" i="22" s="1"/>
  <c r="DE14" i="54"/>
  <c r="CD12" i="47"/>
  <c r="CD17" i="47" s="1"/>
  <c r="ED18" i="48"/>
  <c r="ED11" i="48"/>
  <c r="ED16" i="48" s="1"/>
  <c r="ED19" i="48"/>
  <c r="EC11" i="48"/>
  <c r="EC16" i="48" s="1"/>
  <c r="EC19" i="48"/>
  <c r="EC18" i="48"/>
  <c r="DT18" i="48"/>
  <c r="DT11" i="48"/>
  <c r="DT16" i="48" s="1"/>
  <c r="DT19" i="48"/>
  <c r="DS10" i="44"/>
  <c r="DS15" i="44" s="1"/>
  <c r="FH25" i="22" s="1"/>
  <c r="CD25" i="22" s="1"/>
  <c r="BW13" i="43"/>
  <c r="BW18" i="43" s="1"/>
  <c r="DK13" i="50"/>
  <c r="DK18" i="50" s="1"/>
  <c r="DE13" i="49"/>
  <c r="DE18" i="49" s="1"/>
  <c r="ET30" i="22" s="1"/>
  <c r="BA12" i="47"/>
  <c r="BA17" i="47" s="1"/>
  <c r="DO13" i="52"/>
  <c r="DO18" i="52" s="1"/>
  <c r="FD33" i="22" s="1"/>
  <c r="DS11" i="48"/>
  <c r="DS16" i="48" s="1"/>
  <c r="DS18" i="48"/>
  <c r="FH66" i="22" s="1"/>
  <c r="CD66" i="22" s="1"/>
  <c r="DS19" i="48"/>
  <c r="FH34" i="22" s="1"/>
  <c r="DI14" i="54"/>
  <c r="DI19" i="54" s="1"/>
  <c r="BZ12" i="47"/>
  <c r="BZ17" i="47" s="1"/>
  <c r="ED13" i="52"/>
  <c r="ED18" i="52" s="1"/>
  <c r="EH11" i="48"/>
  <c r="EH16" i="48" s="1"/>
  <c r="EH19" i="48"/>
  <c r="EH18" i="48"/>
  <c r="EW13" i="50"/>
  <c r="EW18" i="50" s="1"/>
  <c r="DQ14" i="55"/>
  <c r="EF14" i="54"/>
  <c r="EF19" i="54" s="1"/>
  <c r="BK12" i="47"/>
  <c r="BK17" i="47" s="1"/>
  <c r="CW12" i="47"/>
  <c r="CW17" i="47" s="1"/>
  <c r="EL32" i="22" s="1"/>
  <c r="CU11" i="48"/>
  <c r="CU16" i="48" s="1"/>
  <c r="CU18" i="48"/>
  <c r="CU19" i="48"/>
  <c r="EV19" i="48"/>
  <c r="EV11" i="48"/>
  <c r="EV16" i="48" s="1"/>
  <c r="EV18" i="48"/>
  <c r="DA16" i="58"/>
  <c r="EP43" i="22" s="1"/>
  <c r="DX16" i="58"/>
  <c r="DE16" i="58"/>
  <c r="ET43" i="22" s="1"/>
  <c r="EB16" i="58"/>
  <c r="EC13" i="62"/>
  <c r="DL12" i="60"/>
  <c r="DL17" i="60" s="1"/>
  <c r="DV13" i="62"/>
  <c r="DS12" i="60"/>
  <c r="DS17" i="60" s="1"/>
  <c r="CW13" i="62"/>
  <c r="DS13" i="62"/>
  <c r="DA12" i="60"/>
  <c r="DA17" i="60" s="1"/>
  <c r="DL13" i="62"/>
  <c r="DZ13" i="62"/>
  <c r="DP13" i="62"/>
  <c r="DB13" i="62"/>
  <c r="DF12" i="60"/>
  <c r="DF17" i="60" s="1"/>
  <c r="DS13" i="66"/>
  <c r="DS18" i="66" s="1"/>
  <c r="FH47" i="22" s="1"/>
  <c r="CU13" i="66"/>
  <c r="CU18" i="66" s="1"/>
  <c r="DT13" i="66"/>
  <c r="DT18" i="66" s="1"/>
  <c r="CT21" i="70"/>
  <c r="CT22" i="70" s="1"/>
  <c r="CT29" i="70" s="1"/>
  <c r="DB13" i="66"/>
  <c r="DB18" i="66" s="1"/>
  <c r="EQ47" i="22" s="1"/>
  <c r="EV21" i="70"/>
  <c r="EV22" i="70" s="1"/>
  <c r="EV29" i="70" s="1"/>
  <c r="EE21" i="70"/>
  <c r="EE22" i="70" s="1"/>
  <c r="EE29" i="70" s="1"/>
  <c r="DH13" i="73"/>
  <c r="DH18" i="73" s="1"/>
  <c r="EW78" i="22" s="1"/>
  <c r="EO21" i="70"/>
  <c r="EO22" i="70" s="1"/>
  <c r="EO29" i="70" s="1"/>
  <c r="ED21" i="70"/>
  <c r="ED22" i="70" s="1"/>
  <c r="ED29" i="70" s="1"/>
  <c r="EG21" i="70"/>
  <c r="EG22" i="70" s="1"/>
  <c r="EG29" i="70" s="1"/>
  <c r="DU21" i="70"/>
  <c r="DU22" i="70" s="1"/>
  <c r="DU29" i="70" s="1"/>
  <c r="DD21" i="70"/>
  <c r="DD22" i="70" s="1"/>
  <c r="DD29" i="70" s="1"/>
  <c r="ES50" i="22" s="1"/>
  <c r="DA13" i="73"/>
  <c r="DA18" i="73" s="1"/>
  <c r="EP78" i="22" s="1"/>
  <c r="DS13" i="73"/>
  <c r="DS18" i="73" s="1"/>
  <c r="FH78" i="22" s="1"/>
  <c r="DD12" i="79"/>
  <c r="DD17" i="79" s="1"/>
  <c r="ES93" i="22" s="1"/>
  <c r="DO12" i="76"/>
  <c r="DO17" i="76" s="1"/>
  <c r="FD81" i="22" s="1"/>
  <c r="DG13" i="73"/>
  <c r="DG18" i="73" s="1"/>
  <c r="EV78" i="22" s="1"/>
  <c r="DL12" i="76"/>
  <c r="DL17" i="76" s="1"/>
  <c r="FA81" i="22" s="1"/>
  <c r="EE12" i="79"/>
  <c r="EE17" i="79" s="1"/>
  <c r="DF12" i="79"/>
  <c r="DF17" i="79" s="1"/>
  <c r="EU93" i="22" s="1"/>
  <c r="EJ13" i="73"/>
  <c r="EJ18" i="73" s="1"/>
  <c r="DE12" i="79"/>
  <c r="DE17" i="79" s="1"/>
  <c r="ET93" i="22" s="1"/>
  <c r="DO13" i="86"/>
  <c r="DO18" i="86" s="1"/>
  <c r="FD87" i="22" s="1"/>
  <c r="ED12" i="81"/>
  <c r="ED17" i="81" s="1"/>
  <c r="ED13" i="86"/>
  <c r="ED18" i="86" s="1"/>
  <c r="CY13" i="86"/>
  <c r="CY18" i="86" s="1"/>
  <c r="EN87" i="22" s="1"/>
  <c r="DT13" i="86"/>
  <c r="DT18" i="86" s="1"/>
  <c r="DI13" i="43"/>
  <c r="DI18" i="43" s="1"/>
  <c r="EX26" i="22" s="1"/>
  <c r="EK14" i="55"/>
  <c r="EK19" i="55" s="1"/>
  <c r="DJ13" i="32"/>
  <c r="DJ5" i="31" s="1"/>
  <c r="DJ10" i="31" s="1"/>
  <c r="DJ11" i="31" s="1"/>
  <c r="DL14" i="38"/>
  <c r="DL19" i="38" s="1"/>
  <c r="FA24" i="22" s="1"/>
  <c r="CA13" i="43"/>
  <c r="CA18" i="43" s="1"/>
  <c r="EJ13" i="49"/>
  <c r="EJ18" i="49" s="1"/>
  <c r="DS13" i="52"/>
  <c r="DS18" i="52" s="1"/>
  <c r="FH33" i="22" s="1"/>
  <c r="CD33" i="22" s="1"/>
  <c r="CY11" i="48"/>
  <c r="CY16" i="48" s="1"/>
  <c r="CY18" i="48"/>
  <c r="EN66" i="22" s="1"/>
  <c r="CY19" i="48"/>
  <c r="EN34" i="22" s="1"/>
  <c r="DI13" i="32"/>
  <c r="DI5" i="31" s="1"/>
  <c r="DI10" i="31" s="1"/>
  <c r="DI11" i="31" s="1"/>
  <c r="DN13" i="50"/>
  <c r="DN18" i="50" s="1"/>
  <c r="DH13" i="49"/>
  <c r="DH18" i="49" s="1"/>
  <c r="EW30" i="22" s="1"/>
  <c r="CW14" i="54"/>
  <c r="BV12" i="47"/>
  <c r="BV17" i="47" s="1"/>
  <c r="DV18" i="48"/>
  <c r="DV11" i="48"/>
  <c r="DV16" i="48" s="1"/>
  <c r="DV19" i="48"/>
  <c r="DU18" i="48"/>
  <c r="DU19" i="48"/>
  <c r="DU11" i="48"/>
  <c r="DU16" i="48" s="1"/>
  <c r="DL18" i="48"/>
  <c r="FA66" i="22" s="1"/>
  <c r="DL19" i="48"/>
  <c r="FA34" i="22" s="1"/>
  <c r="DL11" i="48"/>
  <c r="DL16" i="48" s="1"/>
  <c r="DR10" i="35"/>
  <c r="DS14" i="38"/>
  <c r="DS19" i="38" s="1"/>
  <c r="FH24" i="22" s="1"/>
  <c r="DK10" i="44"/>
  <c r="EI14" i="55"/>
  <c r="EI19" i="55" s="1"/>
  <c r="BD12" i="47"/>
  <c r="BD17" i="47" s="1"/>
  <c r="DG13" i="52"/>
  <c r="DG18" i="52" s="1"/>
  <c r="EV33" i="22" s="1"/>
  <c r="DK11" i="48"/>
  <c r="DK16" i="48" s="1"/>
  <c r="DK19" i="48"/>
  <c r="EZ34" i="22" s="1"/>
  <c r="DK18" i="48"/>
  <c r="EZ66" i="22" s="1"/>
  <c r="DA14" i="54"/>
  <c r="BR12" i="47"/>
  <c r="BR17" i="47" s="1"/>
  <c r="DV13" i="52"/>
  <c r="DV18" i="52" s="1"/>
  <c r="DZ18" i="48"/>
  <c r="DZ11" i="48"/>
  <c r="DZ16" i="48" s="1"/>
  <c r="DZ19" i="48"/>
  <c r="EC13" i="43"/>
  <c r="EC18" i="43" s="1"/>
  <c r="EO13" i="50"/>
  <c r="EO18" i="50" s="1"/>
  <c r="DI14" i="55"/>
  <c r="DX14" i="54"/>
  <c r="DX19" i="54" s="1"/>
  <c r="CO12" i="47"/>
  <c r="CO17" i="47" s="1"/>
  <c r="EW18" i="48"/>
  <c r="EW19" i="48"/>
  <c r="EW11" i="48"/>
  <c r="EW16" i="48" s="1"/>
  <c r="EN19" i="48"/>
  <c r="EN18" i="48"/>
  <c r="EN11" i="48"/>
  <c r="EN16" i="48" s="1"/>
  <c r="DV16" i="58"/>
  <c r="DZ16" i="58"/>
  <c r="DM13" i="62"/>
  <c r="CV12" i="60"/>
  <c r="CV17" i="60" s="1"/>
  <c r="DK12" i="60"/>
  <c r="DK17" i="60" s="1"/>
  <c r="DD13" i="62"/>
  <c r="DR13" i="62"/>
  <c r="EF12" i="60"/>
  <c r="EF17" i="60" s="1"/>
  <c r="CX12" i="60"/>
  <c r="CX17" i="60" s="1"/>
  <c r="EM13" i="62"/>
  <c r="DU13" i="66"/>
  <c r="DU18" i="66" s="1"/>
  <c r="DQ21" i="70"/>
  <c r="DQ22" i="70" s="1"/>
  <c r="DQ29" i="70" s="1"/>
  <c r="FF50" i="22" s="1"/>
  <c r="EX21" i="70"/>
  <c r="EX22" i="70" s="1"/>
  <c r="EX29" i="70" s="1"/>
  <c r="EN21" i="70"/>
  <c r="EN22" i="70" s="1"/>
  <c r="EN29" i="70" s="1"/>
  <c r="EW21" i="70"/>
  <c r="EW22" i="70" s="1"/>
  <c r="EW29" i="70" s="1"/>
  <c r="DW21" i="70"/>
  <c r="DW22" i="70" s="1"/>
  <c r="DW29" i="70" s="1"/>
  <c r="DA21" i="70"/>
  <c r="DA22" i="70" s="1"/>
  <c r="DA29" i="70" s="1"/>
  <c r="EP50" i="22" s="1"/>
  <c r="DV21" i="70"/>
  <c r="DV22" i="70" s="1"/>
  <c r="DV29" i="70" s="1"/>
  <c r="CV21" i="70"/>
  <c r="CV22" i="70" s="1"/>
  <c r="CV29" i="70" s="1"/>
  <c r="CS13" i="73"/>
  <c r="CS18" i="73" s="1"/>
  <c r="DK13" i="73"/>
  <c r="DK18" i="73" s="1"/>
  <c r="EZ78" i="22" s="1"/>
  <c r="DG12" i="76"/>
  <c r="DG17" i="76" s="1"/>
  <c r="EV81" i="22" s="1"/>
  <c r="DX12" i="79"/>
  <c r="DX17" i="79" s="1"/>
  <c r="DC12" i="76"/>
  <c r="DC17" i="76" s="1"/>
  <c r="ER81" i="22" s="1"/>
  <c r="DW12" i="79"/>
  <c r="DW17" i="79" s="1"/>
  <c r="EB13" i="73"/>
  <c r="EB18" i="73" s="1"/>
  <c r="EE13" i="86"/>
  <c r="EE18" i="86" s="1"/>
  <c r="DV12" i="81"/>
  <c r="DV17" i="81" s="1"/>
  <c r="EF13" i="86"/>
  <c r="EF18" i="86" s="1"/>
  <c r="DV13" i="86"/>
  <c r="DV18" i="86" s="1"/>
  <c r="DF12" i="81"/>
  <c r="DF17" i="81" s="1"/>
  <c r="EU85" i="22" s="1"/>
  <c r="DS12" i="81"/>
  <c r="DS17" i="81" s="1"/>
  <c r="FH85" i="22" s="1"/>
  <c r="DZ13" i="86"/>
  <c r="DZ18" i="86" s="1"/>
  <c r="DY12" i="76"/>
  <c r="DY17" i="76" s="1"/>
  <c r="FA12" i="79"/>
  <c r="FA17" i="79" s="1"/>
  <c r="DH12" i="81"/>
  <c r="DH17" i="81" s="1"/>
  <c r="EW85" i="22" s="1"/>
  <c r="DA12" i="81"/>
  <c r="DA17" i="81" s="1"/>
  <c r="EP85" i="22" s="1"/>
  <c r="DK12" i="81"/>
  <c r="DK17" i="81" s="1"/>
  <c r="EZ85" i="22" s="1"/>
  <c r="DR13" i="86"/>
  <c r="DR18" i="86" s="1"/>
  <c r="FG87" i="22" s="1"/>
  <c r="CD87" i="22" s="1"/>
  <c r="DJ13" i="49"/>
  <c r="DJ18" i="49" s="1"/>
  <c r="EY30" i="22" s="1"/>
  <c r="CU12" i="47"/>
  <c r="CU17" i="47" s="1"/>
  <c r="EU19" i="48"/>
  <c r="EU18" i="48"/>
  <c r="EU11" i="48"/>
  <c r="EU16" i="48" s="1"/>
  <c r="DU10" i="35"/>
  <c r="DU5" i="34" s="1"/>
  <c r="DU9" i="34" s="1"/>
  <c r="DU11" i="34" s="1"/>
  <c r="DU16" i="34" s="1"/>
  <c r="DV14" i="38"/>
  <c r="DV19" i="38" s="1"/>
  <c r="DF10" i="44"/>
  <c r="EL14" i="55"/>
  <c r="EL19" i="55" s="1"/>
  <c r="DF11" i="48"/>
  <c r="DF16" i="48" s="1"/>
  <c r="DF19" i="48"/>
  <c r="EU34" i="22" s="1"/>
  <c r="DF18" i="48"/>
  <c r="EU66" i="22" s="1"/>
  <c r="DE18" i="48"/>
  <c r="ET66" i="22" s="1"/>
  <c r="DE19" i="48"/>
  <c r="ET34" i="22" s="1"/>
  <c r="DE11" i="48"/>
  <c r="DE16" i="48" s="1"/>
  <c r="DC14" i="38"/>
  <c r="DC19" i="38" s="1"/>
  <c r="ER24" i="22" s="1"/>
  <c r="CU10" i="44"/>
  <c r="CU15" i="44" s="1"/>
  <c r="DS14" i="55"/>
  <c r="DS19" i="55" s="1"/>
  <c r="FH31" i="22" s="1"/>
  <c r="BM12" i="47"/>
  <c r="BM17" i="47" s="1"/>
  <c r="CY12" i="47"/>
  <c r="CY17" i="47" s="1"/>
  <c r="EN32" i="22" s="1"/>
  <c r="CW11" i="48"/>
  <c r="CW16" i="48" s="1"/>
  <c r="CW19" i="48"/>
  <c r="EL34" i="22" s="1"/>
  <c r="CW18" i="48"/>
  <c r="EL66" i="22" s="1"/>
  <c r="EH14" i="55"/>
  <c r="EH19" i="55" s="1"/>
  <c r="BC12" i="47"/>
  <c r="BC17" i="47" s="1"/>
  <c r="DF13" i="52"/>
  <c r="DF18" i="52" s="1"/>
  <c r="EU33" i="22" s="1"/>
  <c r="DJ18" i="48"/>
  <c r="EY66" i="22" s="1"/>
  <c r="DJ11" i="48"/>
  <c r="DJ16" i="48" s="1"/>
  <c r="DJ19" i="48"/>
  <c r="EY34" i="22" s="1"/>
  <c r="DM13" i="43"/>
  <c r="DM18" i="43" s="1"/>
  <c r="FB26" i="22" s="1"/>
  <c r="DY13" i="50"/>
  <c r="DY18" i="50" s="1"/>
  <c r="DH14" i="54"/>
  <c r="BY12" i="47"/>
  <c r="BY17" i="47" s="1"/>
  <c r="EC13" i="52"/>
  <c r="EC18" i="52" s="1"/>
  <c r="EG18" i="48"/>
  <c r="EG11" i="48"/>
  <c r="EG16" i="48" s="1"/>
  <c r="EG19" i="48"/>
  <c r="DX11" i="48"/>
  <c r="DX16" i="48" s="1"/>
  <c r="DX19" i="48"/>
  <c r="DX18" i="48"/>
  <c r="DK16" i="58"/>
  <c r="EZ43" i="22" s="1"/>
  <c r="DJ16" i="58"/>
  <c r="EY43" i="22" s="1"/>
  <c r="DC12" i="60"/>
  <c r="DC17" i="60" s="1"/>
  <c r="ER13" i="62"/>
  <c r="DM12" i="60"/>
  <c r="DM17" i="60" s="1"/>
  <c r="DZ12" i="60"/>
  <c r="DZ17" i="60" s="1"/>
  <c r="DY13" i="62"/>
  <c r="DA13" i="62"/>
  <c r="DW13" i="62"/>
  <c r="EQ21" i="70"/>
  <c r="EQ22" i="70" s="1"/>
  <c r="EQ29" i="70" s="1"/>
  <c r="DQ13" i="66"/>
  <c r="DQ18" i="66" s="1"/>
  <c r="FF47" i="22" s="1"/>
  <c r="DG21" i="70"/>
  <c r="DG22" i="70" s="1"/>
  <c r="DG29" i="70" s="1"/>
  <c r="EV50" i="22" s="1"/>
  <c r="EG12" i="79"/>
  <c r="EG17" i="79" s="1"/>
  <c r="DF21" i="70"/>
  <c r="DF22" i="70" s="1"/>
  <c r="DF29" i="70" s="1"/>
  <c r="EU50" i="22" s="1"/>
  <c r="DZ12" i="79"/>
  <c r="DZ17" i="79" s="1"/>
  <c r="DO13" i="66"/>
  <c r="DO18" i="66" s="1"/>
  <c r="FD47" i="22" s="1"/>
  <c r="ER21" i="70"/>
  <c r="ER22" i="70" s="1"/>
  <c r="ER29" i="70" s="1"/>
  <c r="CY12" i="76"/>
  <c r="CY17" i="76" s="1"/>
  <c r="EN81" i="22" s="1"/>
  <c r="DL13" i="73"/>
  <c r="DL18" i="73" s="1"/>
  <c r="FA78" i="22" s="1"/>
  <c r="DQ12" i="76"/>
  <c r="DQ17" i="76" s="1"/>
  <c r="FF81" i="22" s="1"/>
  <c r="ES12" i="79"/>
  <c r="ES17" i="79" s="1"/>
  <c r="EC13" i="86"/>
  <c r="EC18" i="86" s="1"/>
  <c r="EP12" i="81"/>
  <c r="EP17" i="81" s="1"/>
  <c r="DF13" i="86"/>
  <c r="DF18" i="86" s="1"/>
  <c r="EU87" i="22" s="1"/>
  <c r="ED14" i="55"/>
  <c r="ED19" i="55" s="1"/>
  <c r="DJ12" i="47"/>
  <c r="DJ17" i="47" s="1"/>
  <c r="EY32" i="22" s="1"/>
  <c r="BV32" i="22" s="1"/>
  <c r="CX11" i="48"/>
  <c r="CX16" i="48" s="1"/>
  <c r="CX19" i="48"/>
  <c r="EM34" i="22" s="1"/>
  <c r="CX18" i="48"/>
  <c r="EM66" i="22" s="1"/>
  <c r="EZ11" i="48"/>
  <c r="EZ16" i="48" s="1"/>
  <c r="EZ19" i="48"/>
  <c r="EZ18" i="48"/>
  <c r="EE13" i="43"/>
  <c r="EE18" i="43" s="1"/>
  <c r="EQ13" i="50"/>
  <c r="EQ18" i="50" s="1"/>
  <c r="DK14" i="55"/>
  <c r="EY11" i="48"/>
  <c r="EY16" i="48" s="1"/>
  <c r="EY19" i="48"/>
  <c r="EY18" i="48"/>
  <c r="DZ14" i="55"/>
  <c r="DZ19" i="55" s="1"/>
  <c r="DF12" i="47"/>
  <c r="DF17" i="47" s="1"/>
  <c r="EU32" i="22" s="1"/>
  <c r="CX13" i="52"/>
  <c r="CX18" i="52" s="1"/>
  <c r="EM33" i="22" s="1"/>
  <c r="DB19" i="48"/>
  <c r="EQ34" i="22" s="1"/>
  <c r="DB18" i="48"/>
  <c r="EQ66" i="22" s="1"/>
  <c r="DB11" i="48"/>
  <c r="DB16" i="48" s="1"/>
  <c r="DQ13" i="50"/>
  <c r="DQ18" i="50" s="1"/>
  <c r="DS13" i="49"/>
  <c r="DS18" i="49" s="1"/>
  <c r="FH30" i="22" s="1"/>
  <c r="CZ14" i="54"/>
  <c r="BQ12" i="47"/>
  <c r="BQ17" i="47" s="1"/>
  <c r="DU13" i="52"/>
  <c r="DU18" i="52" s="1"/>
  <c r="DY11" i="48"/>
  <c r="DY16" i="48" s="1"/>
  <c r="DY18" i="48"/>
  <c r="DY19" i="48"/>
  <c r="DP11" i="48"/>
  <c r="DP16" i="48" s="1"/>
  <c r="DP18" i="48"/>
  <c r="FE66" i="22" s="1"/>
  <c r="DP19" i="48"/>
  <c r="FE34" i="22" s="1"/>
  <c r="EE16" i="58"/>
  <c r="DB16" i="58"/>
  <c r="EQ43" i="22" s="1"/>
  <c r="DG13" i="62"/>
  <c r="EJ13" i="62"/>
  <c r="DO13" i="62"/>
  <c r="ET13" i="62"/>
  <c r="CT13" i="66"/>
  <c r="CT18" i="66" s="1"/>
  <c r="EI21" i="70"/>
  <c r="EI22" i="70" s="1"/>
  <c r="EI29" i="70" s="1"/>
  <c r="DZ21" i="70"/>
  <c r="DZ22" i="70" s="1"/>
  <c r="DZ29" i="70" s="1"/>
  <c r="DP21" i="70"/>
  <c r="DP22" i="70" s="1"/>
  <c r="DP29" i="70" s="1"/>
  <c r="FE50" i="22" s="1"/>
  <c r="DI13" i="66"/>
  <c r="DI18" i="66" s="1"/>
  <c r="EX47" i="22" s="1"/>
  <c r="CY21" i="70"/>
  <c r="CY22" i="70" s="1"/>
  <c r="CY29" i="70" s="1"/>
  <c r="EN50" i="22" s="1"/>
  <c r="DH13" i="66"/>
  <c r="DH18" i="66" s="1"/>
  <c r="EW47" i="22" s="1"/>
  <c r="CS21" i="70"/>
  <c r="CS22" i="70" s="1"/>
  <c r="CS29" i="70" s="1"/>
  <c r="CX21" i="70"/>
  <c r="CX22" i="70" s="1"/>
  <c r="CX29" i="70" s="1"/>
  <c r="EM50" i="22" s="1"/>
  <c r="DG13" i="66"/>
  <c r="DG18" i="66" s="1"/>
  <c r="EV47" i="22" s="1"/>
  <c r="EJ21" i="70"/>
  <c r="EJ22" i="70" s="1"/>
  <c r="EJ29" i="70" s="1"/>
  <c r="DH12" i="76"/>
  <c r="DH17" i="76" s="1"/>
  <c r="EW81" i="22" s="1"/>
  <c r="EJ12" i="79"/>
  <c r="EJ17" i="79" s="1"/>
  <c r="ED13" i="73"/>
  <c r="ED18" i="73" s="1"/>
  <c r="EL12" i="79"/>
  <c r="EL17" i="79" s="1"/>
  <c r="DD13" i="73"/>
  <c r="DD18" i="73" s="1"/>
  <c r="ES78" i="22" s="1"/>
  <c r="DI12" i="76"/>
  <c r="DI17" i="76" s="1"/>
  <c r="EX81" i="22" s="1"/>
  <c r="EK12" i="79"/>
  <c r="EK17" i="79" s="1"/>
  <c r="DD12" i="81"/>
  <c r="DD17" i="81" s="1"/>
  <c r="ES85" i="22" s="1"/>
  <c r="DM12" i="81"/>
  <c r="DM17" i="81" s="1"/>
  <c r="FB85" i="22" s="1"/>
  <c r="EJ12" i="81"/>
  <c r="EJ17" i="81" s="1"/>
  <c r="DH13" i="86"/>
  <c r="DH18" i="86" s="1"/>
  <c r="EW87" i="22" s="1"/>
  <c r="DU13" i="86"/>
  <c r="DU18" i="86" s="1"/>
  <c r="EH12" i="81"/>
  <c r="EH17" i="81" s="1"/>
  <c r="CX13" i="86"/>
  <c r="CX18" i="86" s="1"/>
  <c r="EM87" i="22" s="1"/>
  <c r="DS13" i="86"/>
  <c r="DS18" i="86" s="1"/>
  <c r="FH87" i="22" s="1"/>
  <c r="EN12" i="81"/>
  <c r="EN17" i="81" s="1"/>
  <c r="DL13" i="86"/>
  <c r="DL18" i="86" s="1"/>
  <c r="FA87" i="22" s="1"/>
  <c r="BR16" i="89"/>
  <c r="BR9" i="116" s="1"/>
  <c r="BR14" i="116" s="1"/>
  <c r="BR18" i="116" s="1"/>
  <c r="BR24" i="116" s="1"/>
  <c r="DG118" i="22" s="1"/>
  <c r="AD17" i="91"/>
  <c r="AD20" i="91"/>
  <c r="AY19" i="91"/>
  <c r="AY16" i="91"/>
  <c r="AT16" i="90"/>
  <c r="CG16" i="89"/>
  <c r="CG9" i="116" s="1"/>
  <c r="CG14" i="116" s="1"/>
  <c r="CG18" i="116" s="1"/>
  <c r="CG24" i="116" s="1"/>
  <c r="DV118" i="22" s="1"/>
  <c r="BU16" i="90"/>
  <c r="CH16" i="90"/>
  <c r="BN16" i="90"/>
  <c r="AU19" i="91"/>
  <c r="AU16" i="91"/>
  <c r="BM16" i="89"/>
  <c r="BM9" i="116" s="1"/>
  <c r="BM14" i="116" s="1"/>
  <c r="BM18" i="116" s="1"/>
  <c r="BM24" i="116" s="1"/>
  <c r="DB118" i="22" s="1"/>
  <c r="AF19" i="91"/>
  <c r="AF16" i="91"/>
  <c r="AY20" i="91"/>
  <c r="CN95" i="22" s="1"/>
  <c r="AY17" i="91"/>
  <c r="CD16" i="89"/>
  <c r="CD9" i="116" s="1"/>
  <c r="CD14" i="116" s="1"/>
  <c r="CD18" i="116" s="1"/>
  <c r="CD24" i="116" s="1"/>
  <c r="DS118" i="22" s="1"/>
  <c r="BH16" i="90"/>
  <c r="S13" i="89"/>
  <c r="S16" i="89"/>
  <c r="S9" i="116" s="1"/>
  <c r="S14" i="116" s="1"/>
  <c r="CE16" i="89"/>
  <c r="CE9" i="116" s="1"/>
  <c r="CE14" i="116" s="1"/>
  <c r="CE18" i="116" s="1"/>
  <c r="CE24" i="116" s="1"/>
  <c r="DT118" i="22" s="1"/>
  <c r="BQ16" i="90"/>
  <c r="AG20" i="91"/>
  <c r="AG17" i="91"/>
  <c r="BW16" i="90"/>
  <c r="BW13" i="90"/>
  <c r="AR19" i="91"/>
  <c r="AR16" i="91"/>
  <c r="AV16" i="90"/>
  <c r="I11" i="91"/>
  <c r="I13" i="91" s="1"/>
  <c r="I16" i="91" s="1"/>
  <c r="I17" i="91" s="1"/>
  <c r="BZ16" i="90"/>
  <c r="AL16" i="89"/>
  <c r="AL9" i="116" s="1"/>
  <c r="AL14" i="116" s="1"/>
  <c r="AL18" i="116" s="1"/>
  <c r="AL24" i="116" s="1"/>
  <c r="AL13" i="89"/>
  <c r="CC16" i="90"/>
  <c r="BV16" i="90"/>
  <c r="T16" i="89"/>
  <c r="T9" i="116" s="1"/>
  <c r="T14" i="116" s="1"/>
  <c r="T18" i="116" s="1"/>
  <c r="T24" i="116" s="1"/>
  <c r="T13" i="89"/>
  <c r="I16" i="89"/>
  <c r="I9" i="116" s="1"/>
  <c r="I14" i="116" s="1"/>
  <c r="I13" i="89"/>
  <c r="BU16" i="89"/>
  <c r="BU9" i="116" s="1"/>
  <c r="BU14" i="116" s="1"/>
  <c r="BU18" i="116" s="1"/>
  <c r="BU24" i="116" s="1"/>
  <c r="DJ118" i="22" s="1"/>
  <c r="AY16" i="90"/>
  <c r="CL16" i="89"/>
  <c r="CL9" i="116" s="1"/>
  <c r="CL14" i="116" s="1"/>
  <c r="CL18" i="116" s="1"/>
  <c r="CL24" i="116" s="1"/>
  <c r="EA118" i="22" s="1"/>
  <c r="BP16" i="90"/>
  <c r="AZ16" i="89"/>
  <c r="AZ9" i="116" s="1"/>
  <c r="AZ14" i="116" s="1"/>
  <c r="AZ18" i="116" s="1"/>
  <c r="AZ24" i="116" s="1"/>
  <c r="CO118" i="22" s="1"/>
  <c r="AU20" i="91"/>
  <c r="CJ95" i="22" s="1"/>
  <c r="AU17" i="91"/>
  <c r="AA16" i="89"/>
  <c r="AA9" i="116" s="1"/>
  <c r="AA14" i="116" s="1"/>
  <c r="AA18" i="116" s="1"/>
  <c r="AA24" i="116" s="1"/>
  <c r="AA13" i="89"/>
  <c r="BY16" i="90"/>
  <c r="CM16" i="90"/>
  <c r="CR16" i="90"/>
  <c r="CQ16" i="90"/>
  <c r="BD16" i="90"/>
  <c r="AI19" i="91"/>
  <c r="AI16" i="91"/>
  <c r="CI16" i="90"/>
  <c r="BB16" i="89"/>
  <c r="BB9" i="116" s="1"/>
  <c r="BB14" i="116" s="1"/>
  <c r="BB18" i="116" s="1"/>
  <c r="BB24" i="116" s="1"/>
  <c r="CQ118" i="22" s="1"/>
  <c r="AU16" i="89"/>
  <c r="AU9" i="116" s="1"/>
  <c r="AU14" i="116" s="1"/>
  <c r="AU18" i="116" s="1"/>
  <c r="AU24" i="116" s="1"/>
  <c r="CJ118" i="22" s="1"/>
  <c r="CK16" i="90"/>
  <c r="CJ16" i="89"/>
  <c r="CJ9" i="116" s="1"/>
  <c r="CJ14" i="116" s="1"/>
  <c r="CJ18" i="116" s="1"/>
  <c r="CJ24" i="116" s="1"/>
  <c r="DY118" i="22" s="1"/>
  <c r="CD16" i="90"/>
  <c r="AM20" i="91"/>
  <c r="AM17" i="91"/>
  <c r="CC16" i="89"/>
  <c r="CC9" i="116" s="1"/>
  <c r="CC14" i="116" s="1"/>
  <c r="CC18" i="116" s="1"/>
  <c r="CC24" i="116" s="1"/>
  <c r="DR118" i="22" s="1"/>
  <c r="BG16" i="90"/>
  <c r="AV19" i="91"/>
  <c r="AV16" i="91"/>
  <c r="AI20" i="91"/>
  <c r="AI17" i="91"/>
  <c r="BH16" i="89"/>
  <c r="BH9" i="116" s="1"/>
  <c r="BH14" i="116" s="1"/>
  <c r="BH18" i="116" s="1"/>
  <c r="BH24" i="116" s="1"/>
  <c r="CW118" i="22" s="1"/>
  <c r="BX16" i="90"/>
  <c r="BX16" i="89"/>
  <c r="BX9" i="116" s="1"/>
  <c r="BX14" i="116" s="1"/>
  <c r="BX18" i="116" s="1"/>
  <c r="BX24" i="116" s="1"/>
  <c r="DM118" i="22" s="1"/>
  <c r="BX13" i="89"/>
  <c r="CG16" i="90"/>
  <c r="BZ16" i="89"/>
  <c r="BZ9" i="116" s="1"/>
  <c r="BZ14" i="116" s="1"/>
  <c r="BZ18" i="116" s="1"/>
  <c r="BZ24" i="116" s="1"/>
  <c r="DO118" i="22" s="1"/>
  <c r="BY16" i="89"/>
  <c r="BY9" i="116" s="1"/>
  <c r="BY14" i="116" s="1"/>
  <c r="BY18" i="116" s="1"/>
  <c r="BY24" i="116" s="1"/>
  <c r="DN118" i="22" s="1"/>
  <c r="AT16" i="89"/>
  <c r="AT9" i="116" s="1"/>
  <c r="AT14" i="116" s="1"/>
  <c r="AT18" i="116" s="1"/>
  <c r="AT24" i="116" s="1"/>
  <c r="CI118" i="22" s="1"/>
  <c r="BL16" i="90"/>
  <c r="BJ16" i="89"/>
  <c r="BJ9" i="116" s="1"/>
  <c r="BJ14" i="116" s="1"/>
  <c r="BJ18" i="116" s="1"/>
  <c r="BJ24" i="116" s="1"/>
  <c r="CY118" i="22" s="1"/>
  <c r="BC16" i="89"/>
  <c r="BC9" i="116" s="1"/>
  <c r="BC14" i="116" s="1"/>
  <c r="BC18" i="116" s="1"/>
  <c r="BC13" i="89"/>
  <c r="CL13" i="90"/>
  <c r="CL16" i="90"/>
  <c r="BP16" i="89"/>
  <c r="BP9" i="116" s="1"/>
  <c r="BP14" i="116" s="1"/>
  <c r="BP18" i="116" s="1"/>
  <c r="BP24" i="116" s="1"/>
  <c r="DE118" i="22" s="1"/>
  <c r="BP13" i="89"/>
  <c r="M16" i="89"/>
  <c r="M9" i="116" s="1"/>
  <c r="M14" i="116" s="1"/>
  <c r="M13" i="89"/>
  <c r="CK16" i="89"/>
  <c r="CK9" i="116" s="1"/>
  <c r="CK14" i="116" s="1"/>
  <c r="CK18" i="116" s="1"/>
  <c r="CK24" i="116" s="1"/>
  <c r="DZ118" i="22" s="1"/>
  <c r="BO16" i="90"/>
  <c r="AS16" i="89"/>
  <c r="AS9" i="116" s="1"/>
  <c r="AS14" i="116" s="1"/>
  <c r="AS18" i="116" s="1"/>
  <c r="AS24" i="116" s="1"/>
  <c r="CH118" i="22" s="1"/>
  <c r="AS13" i="89"/>
  <c r="CF16" i="90"/>
  <c r="AL13" i="90"/>
  <c r="AL16" i="90"/>
  <c r="BQ16" i="89"/>
  <c r="BQ9" i="116" s="1"/>
  <c r="BQ14" i="116" s="1"/>
  <c r="BQ18" i="116" s="1"/>
  <c r="BQ24" i="116" s="1"/>
  <c r="DF118" i="22" s="1"/>
  <c r="AQ16" i="89"/>
  <c r="AQ9" i="116" s="1"/>
  <c r="AQ14" i="116" s="1"/>
  <c r="AQ18" i="116" s="1"/>
  <c r="AQ24" i="116" s="1"/>
  <c r="AQ13" i="89"/>
  <c r="BK16" i="89"/>
  <c r="BK9" i="116" s="1"/>
  <c r="BK14" i="116" s="1"/>
  <c r="BK18" i="116" s="1"/>
  <c r="BK24" i="116" s="1"/>
  <c r="CZ118" i="22" s="1"/>
  <c r="BB16" i="90"/>
  <c r="AV16" i="89"/>
  <c r="AV9" i="116" s="1"/>
  <c r="AV14" i="116" s="1"/>
  <c r="AV18" i="116" s="1"/>
  <c r="AV24" i="116" s="1"/>
  <c r="CK118" i="22" s="1"/>
  <c r="CH16" i="89"/>
  <c r="CH9" i="116" s="1"/>
  <c r="CH14" i="116" s="1"/>
  <c r="CH18" i="116" s="1"/>
  <c r="CH24" i="116" s="1"/>
  <c r="DW118" i="22" s="1"/>
  <c r="CB16" i="90"/>
  <c r="AJ16" i="89"/>
  <c r="AJ9" i="116" s="1"/>
  <c r="AJ14" i="116" s="1"/>
  <c r="AJ18" i="116" s="1"/>
  <c r="AJ24" i="116" s="1"/>
  <c r="AJ13" i="89"/>
  <c r="BS16" i="89"/>
  <c r="BS9" i="116" s="1"/>
  <c r="BS14" i="116" s="1"/>
  <c r="BS18" i="116" s="1"/>
  <c r="BS24" i="116" s="1"/>
  <c r="DH118" i="22" s="1"/>
  <c r="AW16" i="90"/>
  <c r="AW13" i="90"/>
  <c r="AD19" i="91"/>
  <c r="AD16" i="91"/>
  <c r="BJ16" i="90"/>
  <c r="CE16" i="90"/>
  <c r="BD16" i="89"/>
  <c r="BD9" i="116" s="1"/>
  <c r="BD14" i="116" s="1"/>
  <c r="BD18" i="116" s="1"/>
  <c r="BD24" i="116" s="1"/>
  <c r="CS118" i="22" s="1"/>
  <c r="BF16" i="89"/>
  <c r="BF9" i="116" s="1"/>
  <c r="BF14" i="116" s="1"/>
  <c r="BF18" i="116" s="1"/>
  <c r="BF24" i="116" s="1"/>
  <c r="CU118" i="22" s="1"/>
  <c r="AU16" i="90"/>
  <c r="AU13" i="90"/>
  <c r="BL16" i="89"/>
  <c r="BL9" i="116" s="1"/>
  <c r="BL14" i="116" s="1"/>
  <c r="BL18" i="116" s="1"/>
  <c r="BL24" i="116" s="1"/>
  <c r="DA118" i="22" s="1"/>
  <c r="BG16" i="89"/>
  <c r="BG9" i="116" s="1"/>
  <c r="BG14" i="116" s="1"/>
  <c r="BG18" i="116" s="1"/>
  <c r="BG24" i="116" s="1"/>
  <c r="CV118" i="22" s="1"/>
  <c r="AS16" i="90"/>
  <c r="CO16" i="89"/>
  <c r="CO9" i="116" s="1"/>
  <c r="CO14" i="116" s="1"/>
  <c r="CO18" i="116" s="1"/>
  <c r="CO24" i="116" s="1"/>
  <c r="ED118" i="22" s="1"/>
  <c r="CN16" i="90"/>
  <c r="CN16" i="89"/>
  <c r="CN9" i="116" s="1"/>
  <c r="CN14" i="116" s="1"/>
  <c r="CN18" i="116" s="1"/>
  <c r="CN24" i="116" s="1"/>
  <c r="EC118" i="22" s="1"/>
  <c r="CP16" i="89"/>
  <c r="CP9" i="116" s="1"/>
  <c r="CP14" i="116" s="1"/>
  <c r="CP18" i="116" s="1"/>
  <c r="CP24" i="116" s="1"/>
  <c r="EE118" i="22" s="1"/>
  <c r="BI16" i="89"/>
  <c r="BI9" i="116" s="1"/>
  <c r="BI14" i="116" s="1"/>
  <c r="BI18" i="116" s="1"/>
  <c r="BI24" i="116" s="1"/>
  <c r="CX118" i="22" s="1"/>
  <c r="CJ16" i="90"/>
  <c r="CF16" i="89"/>
  <c r="CF9" i="116" s="1"/>
  <c r="CF14" i="116" s="1"/>
  <c r="CF18" i="116" s="1"/>
  <c r="CF24" i="116" s="1"/>
  <c r="DU118" i="22" s="1"/>
  <c r="AK16" i="89"/>
  <c r="AK9" i="116" s="1"/>
  <c r="AK14" i="116" s="1"/>
  <c r="AK18" i="116" s="1"/>
  <c r="AK24" i="116" s="1"/>
  <c r="AK13" i="89"/>
  <c r="CA16" i="89"/>
  <c r="CA9" i="116" s="1"/>
  <c r="CA14" i="116" s="1"/>
  <c r="CA18" i="116" s="1"/>
  <c r="CA24" i="116" s="1"/>
  <c r="DP118" i="22" s="1"/>
  <c r="BE16" i="90"/>
  <c r="AX16" i="90"/>
  <c r="BC16" i="90"/>
  <c r="AW16" i="89"/>
  <c r="AW9" i="116" s="1"/>
  <c r="AW14" i="116" s="1"/>
  <c r="AW18" i="116" s="1"/>
  <c r="CA16" i="90"/>
  <c r="BN16" i="89"/>
  <c r="BN9" i="116" s="1"/>
  <c r="BN14" i="116" s="1"/>
  <c r="BN18" i="116" s="1"/>
  <c r="BN24" i="116" s="1"/>
  <c r="DC118" i="22" s="1"/>
  <c r="AR16" i="90"/>
  <c r="AR13" i="90"/>
  <c r="AG19" i="91"/>
  <c r="AG16" i="91"/>
  <c r="BK13" i="90"/>
  <c r="BK16" i="90"/>
  <c r="CB16" i="89"/>
  <c r="CB9" i="116" s="1"/>
  <c r="CB14" i="116" s="1"/>
  <c r="CB18" i="116" s="1"/>
  <c r="CB13" i="89"/>
  <c r="BO16" i="89"/>
  <c r="BO9" i="116" s="1"/>
  <c r="BO14" i="116" s="1"/>
  <c r="BO18" i="116" s="1"/>
  <c r="BA16" i="90"/>
  <c r="CP16" i="90"/>
  <c r="CO16" i="90"/>
  <c r="CT16" i="90"/>
  <c r="CM16" i="89"/>
  <c r="CM9" i="116" s="1"/>
  <c r="CM14" i="116" s="1"/>
  <c r="CM18" i="116" s="1"/>
  <c r="BT16" i="90"/>
  <c r="AF20" i="91"/>
  <c r="AF17" i="91"/>
  <c r="CA19" i="91"/>
  <c r="CA16" i="91"/>
  <c r="AX16" i="89"/>
  <c r="AX9" i="116" s="1"/>
  <c r="AX14" i="116" s="1"/>
  <c r="AX18" i="116" s="1"/>
  <c r="AX13" i="89"/>
  <c r="BR16" i="90"/>
  <c r="AY16" i="89"/>
  <c r="AY9" i="116" s="1"/>
  <c r="AY14" i="116" s="1"/>
  <c r="AY18" i="116" s="1"/>
  <c r="AY24" i="116" s="1"/>
  <c r="AY13" i="89"/>
  <c r="BA16" i="89"/>
  <c r="BA9" i="116" s="1"/>
  <c r="BA14" i="116" s="1"/>
  <c r="BA18" i="116" s="1"/>
  <c r="BA24" i="116" s="1"/>
  <c r="CP118" i="22" s="1"/>
  <c r="W13" i="89"/>
  <c r="W16" i="89"/>
  <c r="W9" i="116" s="1"/>
  <c r="W14" i="116" s="1"/>
  <c r="W18" i="116" s="1"/>
  <c r="W24" i="116" s="1"/>
  <c r="CI16" i="89"/>
  <c r="CI9" i="116" s="1"/>
  <c r="CI14" i="116" s="1"/>
  <c r="CI18" i="116" s="1"/>
  <c r="CI24" i="116" s="1"/>
  <c r="DX118" i="22" s="1"/>
  <c r="CI13" i="89"/>
  <c r="BM16" i="90"/>
  <c r="CA20" i="91"/>
  <c r="DP95" i="22" s="1"/>
  <c r="CA17" i="91"/>
  <c r="BF16" i="90"/>
  <c r="AM19" i="91"/>
  <c r="AM16" i="91"/>
  <c r="AR20" i="91"/>
  <c r="AR17" i="91"/>
  <c r="BS16" i="90"/>
  <c r="BT16" i="89"/>
  <c r="BT9" i="116" s="1"/>
  <c r="BT14" i="116" s="1"/>
  <c r="BT18" i="116" s="1"/>
  <c r="BT24" i="116" s="1"/>
  <c r="DI118" i="22" s="1"/>
  <c r="BT13" i="89"/>
  <c r="BE16" i="89"/>
  <c r="BE9" i="116" s="1"/>
  <c r="BE14" i="116" s="1"/>
  <c r="BE18" i="116" s="1"/>
  <c r="BE24" i="116" s="1"/>
  <c r="CT118" i="22" s="1"/>
  <c r="CE19" i="91"/>
  <c r="CE16" i="91"/>
  <c r="BV16" i="89"/>
  <c r="BV9" i="116" s="1"/>
  <c r="BV14" i="116" s="1"/>
  <c r="BV18" i="116" s="1"/>
  <c r="BV24" i="116" s="1"/>
  <c r="DK118" i="22" s="1"/>
  <c r="AZ16" i="90"/>
  <c r="AV20" i="91"/>
  <c r="CK95" i="22" s="1"/>
  <c r="AV17" i="91"/>
  <c r="BW16" i="89"/>
  <c r="BW9" i="116" s="1"/>
  <c r="BW14" i="116" s="1"/>
  <c r="BW18" i="116" s="1"/>
  <c r="BW24" i="116" s="1"/>
  <c r="DL118" i="22" s="1"/>
  <c r="BI16" i="90"/>
  <c r="CE17" i="91"/>
  <c r="CE20" i="91"/>
  <c r="DT95" i="22" s="1"/>
  <c r="CS16" i="90"/>
  <c r="CN12" i="5"/>
  <c r="CN17" i="5" s="1"/>
  <c r="CQ13" i="73"/>
  <c r="CQ18" i="73" s="1"/>
  <c r="CN13" i="73"/>
  <c r="CN18" i="73" s="1"/>
  <c r="CR12" i="25"/>
  <c r="CR17" i="25" s="1"/>
  <c r="CU16" i="58"/>
  <c r="CX12" i="76"/>
  <c r="CX17" i="76" s="1"/>
  <c r="EM81" i="22" s="1"/>
  <c r="CU14" i="55"/>
  <c r="CU19" i="55" s="1"/>
  <c r="CT16" i="58"/>
  <c r="CW13" i="18"/>
  <c r="CW18" i="18" s="1"/>
  <c r="EM15" i="22" s="1"/>
  <c r="CV13" i="18"/>
  <c r="CV18" i="18" s="1"/>
  <c r="EL15" i="22" s="1"/>
  <c r="DK11" i="14"/>
  <c r="DK16" i="14" s="1"/>
  <c r="DR11" i="14"/>
  <c r="DR16" i="14" s="1"/>
  <c r="DB11" i="14"/>
  <c r="DB16" i="14" s="1"/>
  <c r="ER4" i="22" s="1"/>
  <c r="DJ11" i="14"/>
  <c r="DJ16" i="14" s="1"/>
  <c r="EZ4" i="22" s="1"/>
  <c r="CL14" i="54"/>
  <c r="CL19" i="54" s="1"/>
  <c r="BF12" i="79"/>
  <c r="BF17" i="79" s="1"/>
  <c r="CU93" i="22" s="1"/>
  <c r="Q12" i="79"/>
  <c r="Q17" i="79" s="1"/>
  <c r="W13" i="86"/>
  <c r="W18" i="86" s="1"/>
  <c r="CO12" i="5"/>
  <c r="CO17" i="5" s="1"/>
  <c r="DI13" i="13"/>
  <c r="DI18" i="13" s="1"/>
  <c r="EY3" i="22" s="1"/>
  <c r="CW13" i="13"/>
  <c r="CW18" i="13" s="1"/>
  <c r="EM3" i="22" s="1"/>
  <c r="CV13" i="13"/>
  <c r="CV18" i="13" s="1"/>
  <c r="EL3" i="22" s="1"/>
  <c r="DE13" i="13"/>
  <c r="DE18" i="13" s="1"/>
  <c r="EU3" i="22" s="1"/>
  <c r="DP11" i="14"/>
  <c r="DP16" i="14" s="1"/>
  <c r="DC13" i="13"/>
  <c r="DC18" i="13" s="1"/>
  <c r="ES3" i="22" s="1"/>
  <c r="DQ11" i="14"/>
  <c r="DQ16" i="14" s="1"/>
  <c r="DH11" i="14"/>
  <c r="DL11" i="14"/>
  <c r="DL16" i="14" s="1"/>
  <c r="DL13" i="13"/>
  <c r="DL18" i="13" s="1"/>
  <c r="FB3" i="22" s="1"/>
  <c r="DC11" i="14"/>
  <c r="DF11" i="14"/>
  <c r="DB13" i="13"/>
  <c r="DB15" i="13" s="1"/>
  <c r="DI11" i="14"/>
  <c r="DI16" i="14" s="1"/>
  <c r="EY4" i="22" s="1"/>
  <c r="DD13" i="13"/>
  <c r="DD18" i="13" s="1"/>
  <c r="ET3" i="22" s="1"/>
  <c r="CZ11" i="14"/>
  <c r="CZ16" i="14" s="1"/>
  <c r="CX11" i="14"/>
  <c r="CX16" i="14" s="1"/>
  <c r="DD11" i="14"/>
  <c r="DA11" i="14"/>
  <c r="DA16" i="14" s="1"/>
  <c r="DG11" i="14"/>
  <c r="DA13" i="13"/>
  <c r="DA18" i="13" s="1"/>
  <c r="EQ3" i="22" s="1"/>
  <c r="CY11" i="14"/>
  <c r="CY13" i="13"/>
  <c r="CY18" i="13" s="1"/>
  <c r="EO3" i="22" s="1"/>
  <c r="DH13" i="13"/>
  <c r="DM11" i="14"/>
  <c r="DM16" i="14" s="1"/>
  <c r="DF13" i="13"/>
  <c r="DF18" i="13" s="1"/>
  <c r="EV3" i="22" s="1"/>
  <c r="DN11" i="14"/>
  <c r="DN16" i="14" s="1"/>
  <c r="DQ13" i="13"/>
  <c r="DQ18" i="13" s="1"/>
  <c r="FG3" i="22" s="1"/>
  <c r="CD3" i="22" s="1"/>
  <c r="DE11" i="14"/>
  <c r="DR13" i="13"/>
  <c r="DR18" i="13" s="1"/>
  <c r="FH3" i="22" s="1"/>
  <c r="DJ13" i="13"/>
  <c r="DM13" i="13"/>
  <c r="DM18" i="13" s="1"/>
  <c r="FC3" i="22" s="1"/>
  <c r="CZ13" i="13"/>
  <c r="CZ18" i="13" s="1"/>
  <c r="EP3" i="22" s="1"/>
  <c r="DK13" i="13"/>
  <c r="DK18" i="13" s="1"/>
  <c r="FA3" i="22" s="1"/>
  <c r="DN13" i="13"/>
  <c r="DP13" i="13"/>
  <c r="DP18" i="13" s="1"/>
  <c r="FF3" i="22" s="1"/>
  <c r="CC3" i="22" s="1"/>
  <c r="DG13" i="13"/>
  <c r="DO11" i="14"/>
  <c r="DO16" i="14" s="1"/>
  <c r="DO13" i="13"/>
  <c r="DO18" i="13" s="1"/>
  <c r="FE3" i="22" s="1"/>
  <c r="CX13" i="13"/>
  <c r="CX18" i="13" s="1"/>
  <c r="EN3" i="22" s="1"/>
  <c r="AQ14" i="101"/>
  <c r="AQ20" i="101" s="1"/>
  <c r="U14" i="101"/>
  <c r="U20" i="101" s="1"/>
  <c r="CG14" i="101"/>
  <c r="CG20" i="101" s="1"/>
  <c r="DV104" i="22" s="1"/>
  <c r="BW14" i="101"/>
  <c r="BW20" i="101" s="1"/>
  <c r="DL104" i="22" s="1"/>
  <c r="BP14" i="101"/>
  <c r="BP20" i="101" s="1"/>
  <c r="DE104" i="22" s="1"/>
  <c r="N14" i="101"/>
  <c r="N20" i="101" s="1"/>
  <c r="BZ14" i="101"/>
  <c r="BZ20" i="101" s="1"/>
  <c r="DO104" i="22" s="1"/>
  <c r="CF14" i="101"/>
  <c r="CF20" i="101" s="1"/>
  <c r="DU104" i="22" s="1"/>
  <c r="AU14" i="101"/>
  <c r="AU20" i="101" s="1"/>
  <c r="CJ104" i="22" s="1"/>
  <c r="BT14" i="101"/>
  <c r="BT20" i="101" s="1"/>
  <c r="DI104" i="22" s="1"/>
  <c r="AO14" i="101"/>
  <c r="AO20" i="101" s="1"/>
  <c r="BM14" i="101"/>
  <c r="BM20" i="101" s="1"/>
  <c r="DB104" i="22" s="1"/>
  <c r="Z14" i="101"/>
  <c r="Z20" i="101" s="1"/>
  <c r="CL14" i="101"/>
  <c r="CL20" i="101" s="1"/>
  <c r="EA104" i="22" s="1"/>
  <c r="CP11" i="107"/>
  <c r="CP14" i="107" s="1"/>
  <c r="CP20" i="107" s="1"/>
  <c r="EE109" i="22" s="1"/>
  <c r="P11" i="107"/>
  <c r="P14" i="107" s="1"/>
  <c r="P20" i="107" s="1"/>
  <c r="AG11" i="107"/>
  <c r="AG14" i="107" s="1"/>
  <c r="AG20" i="107" s="1"/>
  <c r="AM11" i="107"/>
  <c r="AM14" i="107" s="1"/>
  <c r="AM20" i="107" s="1"/>
  <c r="BN11" i="107"/>
  <c r="BN14" i="107" s="1"/>
  <c r="BN20" i="107" s="1"/>
  <c r="DC109" i="22" s="1"/>
  <c r="BZ11" i="107"/>
  <c r="BZ14" i="107" s="1"/>
  <c r="BZ20" i="107" s="1"/>
  <c r="DO109" i="22" s="1"/>
  <c r="K11" i="107"/>
  <c r="K14" i="107" s="1"/>
  <c r="K20" i="107" s="1"/>
  <c r="BW11" i="107"/>
  <c r="BW14" i="107" s="1"/>
  <c r="BW20" i="107" s="1"/>
  <c r="DL109" i="22" s="1"/>
  <c r="BP11" i="107"/>
  <c r="BP14" i="107" s="1"/>
  <c r="BP20" i="107" s="1"/>
  <c r="DE109" i="22" s="1"/>
  <c r="BB11" i="107"/>
  <c r="BB14" i="107" s="1"/>
  <c r="BB20" i="107" s="1"/>
  <c r="CQ109" i="22" s="1"/>
  <c r="BQ11" i="107"/>
  <c r="BQ14" i="107" s="1"/>
  <c r="BQ20" i="107" s="1"/>
  <c r="DF109" i="22" s="1"/>
  <c r="CM14" i="101"/>
  <c r="CM20" i="101" s="1"/>
  <c r="EB104" i="22" s="1"/>
  <c r="AC14" i="101"/>
  <c r="AC20" i="101" s="1"/>
  <c r="CO14" i="101"/>
  <c r="CO20" i="101" s="1"/>
  <c r="ED104" i="22" s="1"/>
  <c r="V14" i="101"/>
  <c r="V20" i="101" s="1"/>
  <c r="CH14" i="101"/>
  <c r="CH20" i="101" s="1"/>
  <c r="DW104" i="22" s="1"/>
  <c r="K14" i="101"/>
  <c r="K20" i="101" s="1"/>
  <c r="BC14" i="101"/>
  <c r="BC20" i="101" s="1"/>
  <c r="CR104" i="22" s="1"/>
  <c r="P14" i="101"/>
  <c r="P20" i="101" s="1"/>
  <c r="CB14" i="101"/>
  <c r="CB20" i="101" s="1"/>
  <c r="DQ104" i="22" s="1"/>
  <c r="BE14" i="101"/>
  <c r="BE20" i="101" s="1"/>
  <c r="CT104" i="22" s="1"/>
  <c r="CC14" i="101"/>
  <c r="CC20" i="101" s="1"/>
  <c r="DR104" i="22" s="1"/>
  <c r="AH14" i="101"/>
  <c r="AH20" i="101" s="1"/>
  <c r="AV11" i="107"/>
  <c r="AV14" i="107" s="1"/>
  <c r="AV20" i="107" s="1"/>
  <c r="CK109" i="22" s="1"/>
  <c r="AO11" i="107"/>
  <c r="AO14" i="107" s="1"/>
  <c r="AO20" i="107" s="1"/>
  <c r="BS11" i="107"/>
  <c r="BS14" i="107" s="1"/>
  <c r="BS20" i="107" s="1"/>
  <c r="DH109" i="22" s="1"/>
  <c r="J11" i="107"/>
  <c r="J14" i="107" s="1"/>
  <c r="J20" i="107" s="1"/>
  <c r="BV11" i="107"/>
  <c r="BV14" i="107" s="1"/>
  <c r="BV20" i="107" s="1"/>
  <c r="DK109" i="22" s="1"/>
  <c r="S11" i="107"/>
  <c r="S14" i="107" s="1"/>
  <c r="S20" i="107" s="1"/>
  <c r="CE11" i="107"/>
  <c r="CE14" i="107" s="1"/>
  <c r="CE20" i="107" s="1"/>
  <c r="DT109" i="22" s="1"/>
  <c r="L11" i="107"/>
  <c r="L14" i="107" s="1"/>
  <c r="L20" i="107" s="1"/>
  <c r="BX11" i="107"/>
  <c r="BX14" i="107" s="1"/>
  <c r="BX20" i="107" s="1"/>
  <c r="DM109" i="22" s="1"/>
  <c r="M11" i="107"/>
  <c r="M14" i="107" s="1"/>
  <c r="M20" i="107" s="1"/>
  <c r="BY11" i="107"/>
  <c r="BY14" i="107" s="1"/>
  <c r="BY20" i="107" s="1"/>
  <c r="DN109" i="22" s="1"/>
  <c r="AK14" i="101"/>
  <c r="AK20" i="101" s="1"/>
  <c r="AD14" i="101"/>
  <c r="AD20" i="101" s="1"/>
  <c r="CP14" i="101"/>
  <c r="CP20" i="101" s="1"/>
  <c r="EE104" i="22" s="1"/>
  <c r="AI14" i="101"/>
  <c r="AI20" i="101" s="1"/>
  <c r="BK14" i="101"/>
  <c r="BK20" i="101" s="1"/>
  <c r="CZ104" i="22" s="1"/>
  <c r="X14" i="101"/>
  <c r="X20" i="101" s="1"/>
  <c r="CJ14" i="101"/>
  <c r="CJ20" i="101" s="1"/>
  <c r="DY104" i="22" s="1"/>
  <c r="AY14" i="101"/>
  <c r="AY20" i="101" s="1"/>
  <c r="CN104" i="22" s="1"/>
  <c r="BU14" i="101"/>
  <c r="BU20" i="101" s="1"/>
  <c r="DJ104" i="22" s="1"/>
  <c r="AP14" i="101"/>
  <c r="AP20" i="101" s="1"/>
  <c r="CB11" i="107"/>
  <c r="CB14" i="107" s="1"/>
  <c r="CB20" i="107" s="1"/>
  <c r="DQ109" i="22" s="1"/>
  <c r="AW11" i="107"/>
  <c r="AW14" i="107" s="1"/>
  <c r="AW20" i="107" s="1"/>
  <c r="CL109" i="22" s="1"/>
  <c r="R11" i="107"/>
  <c r="R14" i="107" s="1"/>
  <c r="R20" i="107" s="1"/>
  <c r="CD11" i="107"/>
  <c r="CD14" i="107" s="1"/>
  <c r="CD20" i="107" s="1"/>
  <c r="DS109" i="22" s="1"/>
  <c r="X11" i="107"/>
  <c r="X14" i="107" s="1"/>
  <c r="X20" i="107" s="1"/>
  <c r="AA11" i="107"/>
  <c r="AA14" i="107" s="1"/>
  <c r="AA20" i="107" s="1"/>
  <c r="CM11" i="107"/>
  <c r="CM14" i="107" s="1"/>
  <c r="CM20" i="107" s="1"/>
  <c r="EB109" i="22" s="1"/>
  <c r="T11" i="107"/>
  <c r="T14" i="107" s="1"/>
  <c r="T20" i="107" s="1"/>
  <c r="CF11" i="107"/>
  <c r="CF14" i="107" s="1"/>
  <c r="CF20" i="107" s="1"/>
  <c r="DU109" i="22" s="1"/>
  <c r="U11" i="107"/>
  <c r="U14" i="107" s="1"/>
  <c r="U20" i="107" s="1"/>
  <c r="CG11" i="107"/>
  <c r="CG14" i="107" s="1"/>
  <c r="CG20" i="107" s="1"/>
  <c r="DV109" i="22" s="1"/>
  <c r="AS14" i="101"/>
  <c r="AS20" i="101" s="1"/>
  <c r="CH104" i="22" s="1"/>
  <c r="AL14" i="101"/>
  <c r="AL20" i="101" s="1"/>
  <c r="CE14" i="101"/>
  <c r="CE20" i="101" s="1"/>
  <c r="DT104" i="22" s="1"/>
  <c r="BS14" i="101"/>
  <c r="BS20" i="101" s="1"/>
  <c r="DH104" i="22" s="1"/>
  <c r="BX14" i="101"/>
  <c r="BX20" i="101" s="1"/>
  <c r="DM104" i="22" s="1"/>
  <c r="AF14" i="101"/>
  <c r="AF20" i="101" s="1"/>
  <c r="CR14" i="101"/>
  <c r="CR20" i="101" s="1"/>
  <c r="EG104" i="22" s="1"/>
  <c r="CK14" i="101"/>
  <c r="CK20" i="101" s="1"/>
  <c r="DZ104" i="22" s="1"/>
  <c r="T14" i="101"/>
  <c r="T20" i="101" s="1"/>
  <c r="AX14" i="101"/>
  <c r="AX20" i="101" s="1"/>
  <c r="CM104" i="22" s="1"/>
  <c r="W11" i="107"/>
  <c r="W14" i="107" s="1"/>
  <c r="W20" i="107" s="1"/>
  <c r="BE11" i="107"/>
  <c r="BE14" i="107" s="1"/>
  <c r="BE20" i="107" s="1"/>
  <c r="CT109" i="22" s="1"/>
  <c r="AL11" i="107"/>
  <c r="AL14" i="107" s="1"/>
  <c r="AL20" i="107" s="1"/>
  <c r="Z11" i="107"/>
  <c r="Z14" i="107" s="1"/>
  <c r="Z20" i="107" s="1"/>
  <c r="CL11" i="107"/>
  <c r="CL14" i="107" s="1"/>
  <c r="CL20" i="107" s="1"/>
  <c r="EA109" i="22" s="1"/>
  <c r="BD11" i="107"/>
  <c r="BD14" i="107" s="1"/>
  <c r="BD20" i="107" s="1"/>
  <c r="CS109" i="22" s="1"/>
  <c r="AI11" i="107"/>
  <c r="AI14" i="107" s="1"/>
  <c r="AI20" i="107" s="1"/>
  <c r="AF11" i="107"/>
  <c r="AF14" i="107" s="1"/>
  <c r="AF20" i="107" s="1"/>
  <c r="AB11" i="107"/>
  <c r="AB14" i="107" s="1"/>
  <c r="AB20" i="107" s="1"/>
  <c r="CN11" i="107"/>
  <c r="CN14" i="107" s="1"/>
  <c r="CN20" i="107" s="1"/>
  <c r="EC109" i="22" s="1"/>
  <c r="AC11" i="107"/>
  <c r="AC14" i="107" s="1"/>
  <c r="AC20" i="107" s="1"/>
  <c r="CO11" i="107"/>
  <c r="CO14" i="107" s="1"/>
  <c r="CO20" i="107" s="1"/>
  <c r="ED109" i="22" s="1"/>
  <c r="BA14" i="101"/>
  <c r="BA20" i="101" s="1"/>
  <c r="CP104" i="22" s="1"/>
  <c r="AT14" i="101"/>
  <c r="AT20" i="101" s="1"/>
  <c r="CI104" i="22" s="1"/>
  <c r="O14" i="101"/>
  <c r="O20" i="101" s="1"/>
  <c r="CA14" i="101"/>
  <c r="CA20" i="101" s="1"/>
  <c r="DP104" i="22" s="1"/>
  <c r="AN14" i="101"/>
  <c r="AN20" i="101" s="1"/>
  <c r="AB14" i="101"/>
  <c r="AB20" i="101" s="1"/>
  <c r="BH14" i="101"/>
  <c r="BH20" i="101" s="1"/>
  <c r="CW104" i="22" s="1"/>
  <c r="BF14" i="101"/>
  <c r="BF20" i="101" s="1"/>
  <c r="CU104" i="22" s="1"/>
  <c r="BK11" i="107"/>
  <c r="BK14" i="107" s="1"/>
  <c r="BK20" i="107" s="1"/>
  <c r="CZ109" i="22" s="1"/>
  <c r="BM11" i="107"/>
  <c r="BM14" i="107" s="1"/>
  <c r="BM20" i="107" s="1"/>
  <c r="DB109" i="22" s="1"/>
  <c r="BJ11" i="107"/>
  <c r="BJ14" i="107" s="1"/>
  <c r="BJ20" i="107" s="1"/>
  <c r="CY109" i="22" s="1"/>
  <c r="AN11" i="107"/>
  <c r="AN14" i="107" s="1"/>
  <c r="AN20" i="107" s="1"/>
  <c r="AH11" i="107"/>
  <c r="AH14" i="107" s="1"/>
  <c r="AH20" i="107" s="1"/>
  <c r="AE11" i="107"/>
  <c r="AE14" i="107" s="1"/>
  <c r="AE20" i="107" s="1"/>
  <c r="CJ11" i="107"/>
  <c r="CJ14" i="107" s="1"/>
  <c r="CJ20" i="107" s="1"/>
  <c r="DY109" i="22" s="1"/>
  <c r="AQ11" i="107"/>
  <c r="AQ14" i="107" s="1"/>
  <c r="AQ20" i="107" s="1"/>
  <c r="O11" i="107"/>
  <c r="O14" i="107" s="1"/>
  <c r="O20" i="107" s="1"/>
  <c r="BL11" i="107"/>
  <c r="BL14" i="107" s="1"/>
  <c r="BL20" i="107" s="1"/>
  <c r="DA109" i="22" s="1"/>
  <c r="AJ11" i="107"/>
  <c r="AJ14" i="107" s="1"/>
  <c r="AJ20" i="107" s="1"/>
  <c r="AK11" i="107"/>
  <c r="AK14" i="107" s="1"/>
  <c r="AK20" i="107" s="1"/>
  <c r="BI14" i="101"/>
  <c r="BI20" i="101" s="1"/>
  <c r="CX104" i="22" s="1"/>
  <c r="BB14" i="101"/>
  <c r="BB20" i="101" s="1"/>
  <c r="CQ104" i="22" s="1"/>
  <c r="W14" i="101"/>
  <c r="W20" i="101" s="1"/>
  <c r="CI14" i="101"/>
  <c r="CI20" i="101" s="1"/>
  <c r="DX104" i="22" s="1"/>
  <c r="BO14" i="101"/>
  <c r="BO20" i="101" s="1"/>
  <c r="DD104" i="22" s="1"/>
  <c r="AV14" i="101"/>
  <c r="AV20" i="101" s="1"/>
  <c r="CK104" i="22" s="1"/>
  <c r="AZ14" i="101"/>
  <c r="AZ20" i="101" s="1"/>
  <c r="CO104" i="22" s="1"/>
  <c r="Q14" i="101"/>
  <c r="Q20" i="101" s="1"/>
  <c r="BN14" i="101"/>
  <c r="BN20" i="101" s="1"/>
  <c r="DC104" i="22" s="1"/>
  <c r="CQ11" i="107"/>
  <c r="CQ14" i="107" s="1"/>
  <c r="CQ20" i="107" s="1"/>
  <c r="EF109" i="22" s="1"/>
  <c r="I11" i="107"/>
  <c r="I14" i="107" s="1"/>
  <c r="I20" i="107" s="1"/>
  <c r="BU11" i="107"/>
  <c r="BU14" i="107" s="1"/>
  <c r="BU20" i="107" s="1"/>
  <c r="DJ109" i="22" s="1"/>
  <c r="CH11" i="107"/>
  <c r="CH14" i="107" s="1"/>
  <c r="CH20" i="107" s="1"/>
  <c r="DW109" i="22" s="1"/>
  <c r="BT11" i="107"/>
  <c r="BT14" i="107" s="1"/>
  <c r="BT20" i="107" s="1"/>
  <c r="DI109" i="22" s="1"/>
  <c r="AP11" i="107"/>
  <c r="AP14" i="107" s="1"/>
  <c r="AP20" i="107" s="1"/>
  <c r="BC11" i="107"/>
  <c r="BC14" i="107" s="1"/>
  <c r="BC20" i="107" s="1"/>
  <c r="CR109" i="22" s="1"/>
  <c r="AY11" i="107"/>
  <c r="AY14" i="107" s="1"/>
  <c r="AY20" i="107" s="1"/>
  <c r="CN109" i="22" s="1"/>
  <c r="AU11" i="107"/>
  <c r="AU14" i="107" s="1"/>
  <c r="AU20" i="107" s="1"/>
  <c r="CJ109" i="22" s="1"/>
  <c r="CR11" i="107"/>
  <c r="CR14" i="107" s="1"/>
  <c r="CR20" i="107" s="1"/>
  <c r="EG109" i="22" s="1"/>
  <c r="BD109" i="22" s="1"/>
  <c r="AR11" i="107"/>
  <c r="AR14" i="107" s="1"/>
  <c r="AR20" i="107" s="1"/>
  <c r="AS11" i="107"/>
  <c r="AS14" i="107" s="1"/>
  <c r="AS20" i="107" s="1"/>
  <c r="CH109" i="22" s="1"/>
  <c r="AJ14" i="101"/>
  <c r="AJ20" i="101" s="1"/>
  <c r="BQ14" i="101"/>
  <c r="BQ20" i="101" s="1"/>
  <c r="DF104" i="22" s="1"/>
  <c r="BJ14" i="101"/>
  <c r="BJ20" i="101" s="1"/>
  <c r="CY104" i="22" s="1"/>
  <c r="AE14" i="101"/>
  <c r="AE20" i="101" s="1"/>
  <c r="CQ14" i="101"/>
  <c r="CQ20" i="101" s="1"/>
  <c r="EF104" i="22" s="1"/>
  <c r="BD14" i="101"/>
  <c r="BD20" i="101" s="1"/>
  <c r="CS104" i="22" s="1"/>
  <c r="I14" i="101"/>
  <c r="I20" i="101" s="1"/>
  <c r="S14" i="101"/>
  <c r="S20" i="101" s="1"/>
  <c r="AG14" i="101"/>
  <c r="AG20" i="101" s="1"/>
  <c r="J14" i="101"/>
  <c r="J20" i="101" s="1"/>
  <c r="BV14" i="101"/>
  <c r="BV20" i="101" s="1"/>
  <c r="DK104" i="22" s="1"/>
  <c r="Q11" i="107"/>
  <c r="Q14" i="107" s="1"/>
  <c r="Q20" i="107" s="1"/>
  <c r="CC11" i="107"/>
  <c r="CC14" i="107" s="1"/>
  <c r="CC20" i="107" s="1"/>
  <c r="DR109" i="22" s="1"/>
  <c r="AX11" i="107"/>
  <c r="AX14" i="107" s="1"/>
  <c r="AX20" i="107" s="1"/>
  <c r="CM109" i="22" s="1"/>
  <c r="CI11" i="107"/>
  <c r="CI14" i="107" s="1"/>
  <c r="CI20" i="107" s="1"/>
  <c r="DX109" i="22" s="1"/>
  <c r="BG11" i="107"/>
  <c r="BG14" i="107" s="1"/>
  <c r="BG20" i="107" s="1"/>
  <c r="CV109" i="22" s="1"/>
  <c r="AT11" i="107"/>
  <c r="AT14" i="107" s="1"/>
  <c r="AT20" i="107" s="1"/>
  <c r="CI109" i="22" s="1"/>
  <c r="CA11" i="107"/>
  <c r="CA14" i="107" s="1"/>
  <c r="CA20" i="107" s="1"/>
  <c r="DP109" i="22" s="1"/>
  <c r="AZ11" i="107"/>
  <c r="AZ14" i="107" s="1"/>
  <c r="AZ20" i="107" s="1"/>
  <c r="CO109" i="22" s="1"/>
  <c r="BA11" i="107"/>
  <c r="BA14" i="107" s="1"/>
  <c r="BA20" i="107" s="1"/>
  <c r="CP109" i="22" s="1"/>
  <c r="AA14" i="101"/>
  <c r="AA20" i="101" s="1"/>
  <c r="CN14" i="101"/>
  <c r="CN20" i="101" s="1"/>
  <c r="EC104" i="22" s="1"/>
  <c r="M14" i="101"/>
  <c r="M20" i="101" s="1"/>
  <c r="BY14" i="101"/>
  <c r="BY20" i="101" s="1"/>
  <c r="DN104" i="22" s="1"/>
  <c r="L14" i="101"/>
  <c r="L20" i="101" s="1"/>
  <c r="BR14" i="101"/>
  <c r="BR20" i="101" s="1"/>
  <c r="DG104" i="22" s="1"/>
  <c r="AR14" i="101"/>
  <c r="AR20" i="101" s="1"/>
  <c r="AM14" i="101"/>
  <c r="AM20" i="101" s="1"/>
  <c r="BL14" i="101"/>
  <c r="BL20" i="101" s="1"/>
  <c r="DA104" i="22" s="1"/>
  <c r="Y14" i="101"/>
  <c r="Y20" i="101" s="1"/>
  <c r="BG14" i="101"/>
  <c r="BG20" i="101" s="1"/>
  <c r="CV104" i="22" s="1"/>
  <c r="AW14" i="101"/>
  <c r="AW20" i="101" s="1"/>
  <c r="CL104" i="22" s="1"/>
  <c r="R14" i="101"/>
  <c r="R20" i="101" s="1"/>
  <c r="CD14" i="101"/>
  <c r="CD20" i="101" s="1"/>
  <c r="DS104" i="22" s="1"/>
  <c r="N11" i="107"/>
  <c r="N14" i="107" s="1"/>
  <c r="N20" i="107" s="1"/>
  <c r="Y11" i="107"/>
  <c r="Y14" i="107" s="1"/>
  <c r="Y20" i="107" s="1"/>
  <c r="CK11" i="107"/>
  <c r="CK14" i="107" s="1"/>
  <c r="CK20" i="107" s="1"/>
  <c r="DZ109" i="22" s="1"/>
  <c r="BF11" i="107"/>
  <c r="BF14" i="107" s="1"/>
  <c r="BF20" i="107" s="1"/>
  <c r="CU109" i="22" s="1"/>
  <c r="V11" i="107"/>
  <c r="V14" i="107" s="1"/>
  <c r="V20" i="107" s="1"/>
  <c r="BO11" i="107"/>
  <c r="BO14" i="107" s="1"/>
  <c r="BO20" i="107" s="1"/>
  <c r="DD109" i="22" s="1"/>
  <c r="BR11" i="107"/>
  <c r="BR14" i="107" s="1"/>
  <c r="BR20" i="107" s="1"/>
  <c r="DG109" i="22" s="1"/>
  <c r="BH11" i="107"/>
  <c r="BH14" i="107" s="1"/>
  <c r="BH20" i="107" s="1"/>
  <c r="CW109" i="22" s="1"/>
  <c r="AD11" i="107"/>
  <c r="AD14" i="107" s="1"/>
  <c r="AD20" i="107" s="1"/>
  <c r="BI11" i="107"/>
  <c r="BI14" i="107" s="1"/>
  <c r="BI20" i="107" s="1"/>
  <c r="CX109" i="22" s="1"/>
  <c r="CE13" i="86"/>
  <c r="CE18" i="86" s="1"/>
  <c r="CL12" i="16"/>
  <c r="CL17" i="16" s="1"/>
  <c r="CP10" i="26"/>
  <c r="CP15" i="26" s="1"/>
  <c r="AK14" i="106"/>
  <c r="AK20" i="106" s="1"/>
  <c r="AS14" i="106"/>
  <c r="AS20" i="106" s="1"/>
  <c r="BI14" i="106"/>
  <c r="BI20" i="106" s="1"/>
  <c r="BQ14" i="106"/>
  <c r="BQ20" i="106" s="1"/>
  <c r="AY14" i="106"/>
  <c r="AY20" i="106" s="1"/>
  <c r="AR14" i="106"/>
  <c r="AR20" i="106" s="1"/>
  <c r="AU14" i="106"/>
  <c r="AU20" i="106" s="1"/>
  <c r="BD14" i="106"/>
  <c r="BD20" i="106" s="1"/>
  <c r="BE14" i="106"/>
  <c r="BE20" i="106" s="1"/>
  <c r="AP14" i="106"/>
  <c r="AP20" i="106" s="1"/>
  <c r="BG14" i="106"/>
  <c r="BG20" i="106" s="1"/>
  <c r="AZ14" i="106"/>
  <c r="AZ20" i="106" s="1"/>
  <c r="BC14" i="106"/>
  <c r="BC20" i="106" s="1"/>
  <c r="BL14" i="106"/>
  <c r="BL20" i="106" s="1"/>
  <c r="BM14" i="106"/>
  <c r="BM20" i="106" s="1"/>
  <c r="N14" i="106"/>
  <c r="N20" i="106" s="1"/>
  <c r="AX14" i="106"/>
  <c r="AX20" i="106" s="1"/>
  <c r="W14" i="106"/>
  <c r="W20" i="106" s="1"/>
  <c r="K14" i="106"/>
  <c r="K20" i="106" s="1"/>
  <c r="BO14" i="106"/>
  <c r="BO20" i="106" s="1"/>
  <c r="BH14" i="106"/>
  <c r="BH20" i="106" s="1"/>
  <c r="BK14" i="106"/>
  <c r="BK20" i="106" s="1"/>
  <c r="BT14" i="106"/>
  <c r="BT20" i="106" s="1"/>
  <c r="BU14" i="106"/>
  <c r="BU20" i="106" s="1"/>
  <c r="AL14" i="106"/>
  <c r="AL20" i="106" s="1"/>
  <c r="BF14" i="106"/>
  <c r="BF20" i="106" s="1"/>
  <c r="BN14" i="106"/>
  <c r="BN20" i="106" s="1"/>
  <c r="Q14" i="106"/>
  <c r="Q20" i="106" s="1"/>
  <c r="BA14" i="106"/>
  <c r="BA20" i="106" s="1"/>
  <c r="BW14" i="106"/>
  <c r="BW20" i="106" s="1"/>
  <c r="CR14" i="105"/>
  <c r="CR20" i="105" s="1"/>
  <c r="EG108" i="22" s="1"/>
  <c r="BD108" i="22" s="1"/>
  <c r="BP14" i="106"/>
  <c r="BP20" i="106" s="1"/>
  <c r="V14" i="106"/>
  <c r="V20" i="106" s="1"/>
  <c r="BS14" i="106"/>
  <c r="BS20" i="106" s="1"/>
  <c r="AD14" i="106"/>
  <c r="AD20" i="106" s="1"/>
  <c r="P14" i="106"/>
  <c r="P20" i="106" s="1"/>
  <c r="CB14" i="106"/>
  <c r="CB20" i="106" s="1"/>
  <c r="BR14" i="106"/>
  <c r="BR20" i="106" s="1"/>
  <c r="BB14" i="106"/>
  <c r="BB20" i="106" s="1"/>
  <c r="AC14" i="106"/>
  <c r="AC20" i="106" s="1"/>
  <c r="CE14" i="106"/>
  <c r="CE20" i="106" s="1"/>
  <c r="BX14" i="106"/>
  <c r="BX20" i="106" s="1"/>
  <c r="AT14" i="106"/>
  <c r="AT20" i="106" s="1"/>
  <c r="O14" i="106"/>
  <c r="O20" i="106" s="1"/>
  <c r="CA14" i="106"/>
  <c r="CA20" i="106" s="1"/>
  <c r="BZ14" i="106"/>
  <c r="BZ20" i="106" s="1"/>
  <c r="X14" i="106"/>
  <c r="X20" i="106" s="1"/>
  <c r="CJ14" i="106"/>
  <c r="CJ20" i="106" s="1"/>
  <c r="Y14" i="106"/>
  <c r="Y20" i="106" s="1"/>
  <c r="CK14" i="106"/>
  <c r="CK20" i="106" s="1"/>
  <c r="BJ14" i="106"/>
  <c r="BJ20" i="106" s="1"/>
  <c r="J14" i="106"/>
  <c r="J20" i="106" s="1"/>
  <c r="BV14" i="106"/>
  <c r="BV20" i="106" s="1"/>
  <c r="U14" i="106"/>
  <c r="U20" i="106" s="1"/>
  <c r="AA14" i="106"/>
  <c r="AA20" i="106" s="1"/>
  <c r="CO14" i="106"/>
  <c r="CO20" i="106" s="1"/>
  <c r="CM14" i="106"/>
  <c r="CM20" i="106" s="1"/>
  <c r="T14" i="106"/>
  <c r="T20" i="106" s="1"/>
  <c r="CF14" i="106"/>
  <c r="CF20" i="106" s="1"/>
  <c r="CP14" i="106"/>
  <c r="CP20" i="106" s="1"/>
  <c r="CI14" i="106"/>
  <c r="CI20" i="106" s="1"/>
  <c r="AF14" i="106"/>
  <c r="AF20" i="106" s="1"/>
  <c r="CR14" i="106"/>
  <c r="CR20" i="106" s="1"/>
  <c r="AG14" i="106"/>
  <c r="AG20" i="106" s="1"/>
  <c r="CH14" i="106"/>
  <c r="CH20" i="106" s="1"/>
  <c r="R14" i="106"/>
  <c r="R20" i="106" s="1"/>
  <c r="CD14" i="106"/>
  <c r="CD20" i="106" s="1"/>
  <c r="M14" i="106"/>
  <c r="M20" i="106" s="1"/>
  <c r="BY14" i="106"/>
  <c r="BY20" i="106" s="1"/>
  <c r="CG14" i="106"/>
  <c r="CG20" i="106" s="1"/>
  <c r="AI14" i="106"/>
  <c r="AI20" i="106" s="1"/>
  <c r="AB14" i="106"/>
  <c r="AB20" i="106" s="1"/>
  <c r="CN14" i="106"/>
  <c r="CN20" i="106" s="1"/>
  <c r="AE14" i="106"/>
  <c r="AE20" i="106" s="1"/>
  <c r="CQ14" i="106"/>
  <c r="CQ20" i="106" s="1"/>
  <c r="AN14" i="106"/>
  <c r="AN20" i="106" s="1"/>
  <c r="AO14" i="106"/>
  <c r="AO20" i="106" s="1"/>
  <c r="Z14" i="106"/>
  <c r="Z20" i="106" s="1"/>
  <c r="CL14" i="106"/>
  <c r="CL20" i="106" s="1"/>
  <c r="L14" i="106"/>
  <c r="L20" i="106" s="1"/>
  <c r="CC14" i="106"/>
  <c r="CC20" i="106" s="1"/>
  <c r="S14" i="106"/>
  <c r="S20" i="106" s="1"/>
  <c r="AQ14" i="106"/>
  <c r="AQ20" i="106" s="1"/>
  <c r="AJ14" i="106"/>
  <c r="AJ20" i="106" s="1"/>
  <c r="AM14" i="106"/>
  <c r="AM20" i="106" s="1"/>
  <c r="AV14" i="106"/>
  <c r="AV20" i="106" s="1"/>
  <c r="AW14" i="106"/>
  <c r="AW20" i="106" s="1"/>
  <c r="AH14" i="106"/>
  <c r="AH20" i="106" s="1"/>
  <c r="CS14" i="55"/>
  <c r="CS19" i="55" s="1"/>
  <c r="CL10" i="44"/>
  <c r="CL15" i="44" s="1"/>
  <c r="CR12" i="81"/>
  <c r="CR17" i="81" s="1"/>
  <c r="CP12" i="16"/>
  <c r="CP17" i="16" s="1"/>
  <c r="CO16" i="58"/>
  <c r="CO12" i="79"/>
  <c r="CO17" i="79" s="1"/>
  <c r="ED93" i="22" s="1"/>
  <c r="CS13" i="32"/>
  <c r="CS5" i="31" s="1"/>
  <c r="CS10" i="31" s="1"/>
  <c r="CS11" i="31" s="1"/>
  <c r="CS17" i="31" s="1"/>
  <c r="CS10" i="35"/>
  <c r="CQ13" i="27"/>
  <c r="CQ18" i="27" s="1"/>
  <c r="CR21" i="70"/>
  <c r="CR22" i="70" s="1"/>
  <c r="CR29" i="70" s="1"/>
  <c r="CQ12" i="16"/>
  <c r="CR14" i="38"/>
  <c r="CR19" i="38" s="1"/>
  <c r="CP13" i="32"/>
  <c r="CP5" i="31" s="1"/>
  <c r="CP10" i="31" s="1"/>
  <c r="CP11" i="31" s="1"/>
  <c r="CP17" i="31" s="1"/>
  <c r="CM11" i="28"/>
  <c r="CM16" i="28" s="1"/>
  <c r="CP11" i="20"/>
  <c r="CP16" i="20" s="1"/>
  <c r="CR13" i="66"/>
  <c r="CR18" i="66" s="1"/>
  <c r="CO11" i="23"/>
  <c r="CO16" i="23" s="1"/>
  <c r="CT10" i="35"/>
  <c r="CR13" i="49"/>
  <c r="CR18" i="49" s="1"/>
  <c r="CO10" i="35"/>
  <c r="CR15" i="39"/>
  <c r="CQ14" i="17"/>
  <c r="CQ21" i="17" s="1"/>
  <c r="CO11" i="20"/>
  <c r="CO16" i="20" s="1"/>
  <c r="CQ11" i="14"/>
  <c r="CQ16" i="14" s="1"/>
  <c r="CR13" i="52"/>
  <c r="CR18" i="52" s="1"/>
  <c r="CR10" i="35"/>
  <c r="CR10" i="44"/>
  <c r="CR15" i="44" s="1"/>
  <c r="CR13" i="32"/>
  <c r="CQ11" i="20"/>
  <c r="CQ16" i="20" s="1"/>
  <c r="CR11" i="48"/>
  <c r="CR16" i="48" s="1"/>
  <c r="CR18" i="48"/>
  <c r="CR19" i="48"/>
  <c r="CQ10" i="35"/>
  <c r="CP10" i="35"/>
  <c r="CQ13" i="18"/>
  <c r="CQ18" i="18" s="1"/>
  <c r="CQ13" i="32"/>
  <c r="CQ5" i="31" s="1"/>
  <c r="CQ10" i="31" s="1"/>
  <c r="CQ11" i="31" s="1"/>
  <c r="CQ17" i="31" s="1"/>
  <c r="CP13" i="27"/>
  <c r="CP18" i="27" s="1"/>
  <c r="AU16" i="92"/>
  <c r="AU19" i="92"/>
  <c r="AO16" i="92"/>
  <c r="AO19" i="92"/>
  <c r="AI19" i="92"/>
  <c r="AI16" i="92"/>
  <c r="BC19" i="92"/>
  <c r="BC16" i="92"/>
  <c r="BK16" i="92"/>
  <c r="BK19" i="92"/>
  <c r="AY19" i="92"/>
  <c r="AY16" i="92"/>
  <c r="AJ19" i="92"/>
  <c r="CJ16" i="92"/>
  <c r="AH19" i="92"/>
  <c r="AH16" i="92"/>
  <c r="AL16" i="92"/>
  <c r="AL19" i="92"/>
  <c r="BW19" i="92"/>
  <c r="BW16" i="92"/>
  <c r="CQ13" i="49"/>
  <c r="CQ18" i="49" s="1"/>
  <c r="CQ21" i="70"/>
  <c r="CQ22" i="70" s="1"/>
  <c r="CQ29" i="70" s="1"/>
  <c r="CP14" i="17"/>
  <c r="CP21" i="17" s="1"/>
  <c r="CO13" i="27"/>
  <c r="CO18" i="27" s="1"/>
  <c r="CO13" i="73"/>
  <c r="CO18" i="73" s="1"/>
  <c r="CP13" i="73"/>
  <c r="CP18" i="73" s="1"/>
  <c r="CN13" i="27"/>
  <c r="CN18" i="27" s="1"/>
  <c r="CQ12" i="60"/>
  <c r="CQ17" i="60" s="1"/>
  <c r="CM14" i="38"/>
  <c r="CM19" i="38" s="1"/>
  <c r="CR14" i="55"/>
  <c r="CR19" i="55" s="1"/>
  <c r="CN12" i="57"/>
  <c r="CN5" i="30" s="1"/>
  <c r="CN9" i="30" s="1"/>
  <c r="CN14" i="30" s="1"/>
  <c r="CN7" i="29" s="1"/>
  <c r="CN11" i="29" s="1"/>
  <c r="CN16" i="29" s="1"/>
  <c r="CN21" i="29" s="1"/>
  <c r="CP12" i="81"/>
  <c r="CP17" i="81" s="1"/>
  <c r="CS12" i="5"/>
  <c r="CS17" i="5" s="1"/>
  <c r="CH10" i="26"/>
  <c r="CH15" i="26" s="1"/>
  <c r="CM13" i="27"/>
  <c r="CM18" i="27" s="1"/>
  <c r="CZ12" i="81"/>
  <c r="CZ17" i="81" s="1"/>
  <c r="EO85" i="22" s="1"/>
  <c r="CR13" i="18"/>
  <c r="CR18" i="18" s="1"/>
  <c r="CY12" i="79"/>
  <c r="CW12" i="79"/>
  <c r="CW17" i="79" s="1"/>
  <c r="EL93" i="22" s="1"/>
  <c r="CR12" i="76"/>
  <c r="CI11" i="14"/>
  <c r="CI16" i="14" s="1"/>
  <c r="CQ12" i="76"/>
  <c r="CQ17" i="76" s="1"/>
  <c r="CK13" i="18"/>
  <c r="CK18" i="18" s="1"/>
  <c r="CV12" i="79"/>
  <c r="CV17" i="79" s="1"/>
  <c r="EK93" i="22" s="1"/>
  <c r="CS12" i="76"/>
  <c r="CS17" i="76" s="1"/>
  <c r="CP12" i="79"/>
  <c r="CP17" i="79" s="1"/>
  <c r="EE93" i="22" s="1"/>
  <c r="CQ16" i="58"/>
  <c r="CQ12" i="79"/>
  <c r="CQ17" i="79" s="1"/>
  <c r="EF93" i="22" s="1"/>
  <c r="CR11" i="14"/>
  <c r="CR16" i="14" s="1"/>
  <c r="CO12" i="25"/>
  <c r="CO17" i="25" s="1"/>
  <c r="CV14" i="55"/>
  <c r="CR12" i="60"/>
  <c r="CR17" i="60" s="1"/>
  <c r="CM13" i="32"/>
  <c r="CM5" i="31" s="1"/>
  <c r="CM10" i="31" s="1"/>
  <c r="CM11" i="31" s="1"/>
  <c r="CM17" i="31" s="1"/>
  <c r="CO13" i="86"/>
  <c r="CO18" i="86" s="1"/>
  <c r="CL12" i="25"/>
  <c r="CL17" i="25" s="1"/>
  <c r="CP12" i="57"/>
  <c r="CP5" i="30" s="1"/>
  <c r="CP9" i="30" s="1"/>
  <c r="CP14" i="30" s="1"/>
  <c r="CP7" i="29" s="1"/>
  <c r="CP11" i="29" s="1"/>
  <c r="CP16" i="29" s="1"/>
  <c r="CP21" i="29" s="1"/>
  <c r="CP14" i="54"/>
  <c r="CP19" i="54" s="1"/>
  <c r="CX12" i="81"/>
  <c r="CX17" i="81" s="1"/>
  <c r="EM85" i="22" s="1"/>
  <c r="CW13" i="86"/>
  <c r="CW18" i="86" s="1"/>
  <c r="EL87" i="22" s="1"/>
  <c r="CO12" i="60"/>
  <c r="CO17" i="60" s="1"/>
  <c r="CN16" i="58"/>
  <c r="CM13" i="52"/>
  <c r="CM18" i="52" s="1"/>
  <c r="CN12" i="79"/>
  <c r="CN17" i="79" s="1"/>
  <c r="EC93" i="22" s="1"/>
  <c r="CO12" i="16"/>
  <c r="CO17" i="16" s="1"/>
  <c r="CQ12" i="81"/>
  <c r="CQ17" i="81" s="1"/>
  <c r="CN11" i="23"/>
  <c r="CN16" i="23" s="1"/>
  <c r="CX12" i="79"/>
  <c r="CX17" i="79" s="1"/>
  <c r="EM93" i="22" s="1"/>
  <c r="CO12" i="36"/>
  <c r="CO17" i="36" s="1"/>
  <c r="CP16" i="58"/>
  <c r="CN21" i="70"/>
  <c r="CN22" i="70" s="1"/>
  <c r="CN29" i="70" s="1"/>
  <c r="CJ14" i="55"/>
  <c r="CJ19" i="55" s="1"/>
  <c r="CO10" i="26"/>
  <c r="CO15" i="26" s="1"/>
  <c r="CM10" i="44"/>
  <c r="CM15" i="44" s="1"/>
  <c r="CQ12" i="36"/>
  <c r="CK11" i="20"/>
  <c r="CK16" i="20" s="1"/>
  <c r="CP12" i="36"/>
  <c r="CP17" i="36" s="1"/>
  <c r="CL14" i="38"/>
  <c r="CL19" i="38" s="1"/>
  <c r="CP11" i="10"/>
  <c r="CL11" i="28"/>
  <c r="CL16" i="28" s="1"/>
  <c r="CT14" i="54"/>
  <c r="CT19" i="54" s="1"/>
  <c r="CM12" i="81"/>
  <c r="CM17" i="81" s="1"/>
  <c r="CM13" i="18"/>
  <c r="CM18" i="18" s="1"/>
  <c r="CP11" i="28"/>
  <c r="CP16" i="28" s="1"/>
  <c r="CS11" i="14"/>
  <c r="CS16" i="14" s="1"/>
  <c r="CQ12" i="25"/>
  <c r="CQ17" i="25" s="1"/>
  <c r="CN10" i="26"/>
  <c r="CN15" i="26" s="1"/>
  <c r="CP10" i="44"/>
  <c r="CP15" i="44" s="1"/>
  <c r="CK12" i="16"/>
  <c r="CK17" i="16" s="1"/>
  <c r="CM10" i="26"/>
  <c r="CM15" i="26" s="1"/>
  <c r="CU11" i="14"/>
  <c r="CU16" i="14" s="1"/>
  <c r="CN10" i="35"/>
  <c r="CR13" i="73"/>
  <c r="CR18" i="73" s="1"/>
  <c r="DC12" i="79"/>
  <c r="DC17" i="79" s="1"/>
  <c r="ER93" i="22" s="1"/>
  <c r="CP12" i="76"/>
  <c r="CP17" i="76" s="1"/>
  <c r="CM11" i="14"/>
  <c r="CM16" i="14" s="1"/>
  <c r="CM11" i="23"/>
  <c r="CM16" i="23" s="1"/>
  <c r="CU13" i="18"/>
  <c r="CU18" i="18" s="1"/>
  <c r="CT12" i="60"/>
  <c r="CT17" i="60" s="1"/>
  <c r="CO14" i="55"/>
  <c r="CO19" i="55" s="1"/>
  <c r="CM13" i="73"/>
  <c r="CM18" i="73" s="1"/>
  <c r="CZ12" i="79"/>
  <c r="CZ17" i="79" s="1"/>
  <c r="EO93" i="22" s="1"/>
  <c r="CS14" i="54"/>
  <c r="CS19" i="54" s="1"/>
  <c r="CW12" i="76"/>
  <c r="CW17" i="76" s="1"/>
  <c r="EL81" i="22" s="1"/>
  <c r="CV13" i="86"/>
  <c r="CV18" i="86" s="1"/>
  <c r="CT13" i="86"/>
  <c r="CT18" i="86" s="1"/>
  <c r="CW11" i="14"/>
  <c r="CW16" i="14" s="1"/>
  <c r="CQ10" i="44"/>
  <c r="CQ15" i="44" s="1"/>
  <c r="CM10" i="35"/>
  <c r="CQ14" i="38"/>
  <c r="CQ19" i="38" s="1"/>
  <c r="CM12" i="79"/>
  <c r="CM17" i="79" s="1"/>
  <c r="EB93" i="22" s="1"/>
  <c r="CR12" i="79"/>
  <c r="CR17" i="79" s="1"/>
  <c r="EG93" i="22" s="1"/>
  <c r="CQ13" i="52"/>
  <c r="CQ18" i="52" s="1"/>
  <c r="CO12" i="76"/>
  <c r="CO17" i="76" s="1"/>
  <c r="CU12" i="81"/>
  <c r="CU17" i="81" s="1"/>
  <c r="CM13" i="86"/>
  <c r="CM18" i="86" s="1"/>
  <c r="CL13" i="86"/>
  <c r="CL18" i="86" s="1"/>
  <c r="BX14" i="54"/>
  <c r="BX19" i="54" s="1"/>
  <c r="CM12" i="25"/>
  <c r="CM17" i="25" s="1"/>
  <c r="CR12" i="57"/>
  <c r="CR5" i="30" s="1"/>
  <c r="CR9" i="30" s="1"/>
  <c r="CR14" i="30" s="1"/>
  <c r="CR7" i="29" s="1"/>
  <c r="CR11" i="29" s="1"/>
  <c r="CR16" i="29" s="1"/>
  <c r="CR21" i="29" s="1"/>
  <c r="CO11" i="14"/>
  <c r="CO16" i="14" s="1"/>
  <c r="CP13" i="18"/>
  <c r="CP18" i="18" s="1"/>
  <c r="CO13" i="18"/>
  <c r="CO18" i="18" s="1"/>
  <c r="CN13" i="32"/>
  <c r="CN5" i="31" s="1"/>
  <c r="CN10" i="31" s="1"/>
  <c r="CN11" i="31" s="1"/>
  <c r="CN17" i="31" s="1"/>
  <c r="CQ11" i="28"/>
  <c r="CQ16" i="28" s="1"/>
  <c r="CN13" i="52"/>
  <c r="CN18" i="52" s="1"/>
  <c r="CQ14" i="54"/>
  <c r="CQ19" i="54" s="1"/>
  <c r="CM13" i="62"/>
  <c r="CV12" i="76"/>
  <c r="CV17" i="76" s="1"/>
  <c r="CP14" i="55"/>
  <c r="CP19" i="55" s="1"/>
  <c r="CL16" i="58"/>
  <c r="DB12" i="79"/>
  <c r="DB17" i="79" s="1"/>
  <c r="EQ93" i="22" s="1"/>
  <c r="CO19" i="48"/>
  <c r="CO11" i="48"/>
  <c r="CO16" i="48" s="1"/>
  <c r="CO18" i="48"/>
  <c r="CT13" i="62"/>
  <c r="CP12" i="25"/>
  <c r="CP17" i="25" s="1"/>
  <c r="CT11" i="14"/>
  <c r="CT16" i="14" s="1"/>
  <c r="CO13" i="32"/>
  <c r="CO5" i="31" s="1"/>
  <c r="CO10" i="31" s="1"/>
  <c r="CO11" i="31" s="1"/>
  <c r="CO17" i="31" s="1"/>
  <c r="CO11" i="28"/>
  <c r="CO16" i="28" s="1"/>
  <c r="CP11" i="23"/>
  <c r="CP16" i="23" s="1"/>
  <c r="CQ12" i="57"/>
  <c r="CQ5" i="30" s="1"/>
  <c r="CQ9" i="30" s="1"/>
  <c r="CQ14" i="30" s="1"/>
  <c r="CQ7" i="29" s="1"/>
  <c r="CQ11" i="29" s="1"/>
  <c r="CQ16" i="29" s="1"/>
  <c r="CQ21" i="29" s="1"/>
  <c r="CN10" i="44"/>
  <c r="CN15" i="44" s="1"/>
  <c r="CQ10" i="26"/>
  <c r="CQ15" i="26" s="1"/>
  <c r="CN11" i="28"/>
  <c r="CN16" i="28" s="1"/>
  <c r="CM19" i="48"/>
  <c r="CM18" i="48"/>
  <c r="CM11" i="48"/>
  <c r="CM16" i="48" s="1"/>
  <c r="CT14" i="55"/>
  <c r="CT19" i="55" s="1"/>
  <c r="CN12" i="76"/>
  <c r="CN17" i="76" s="1"/>
  <c r="CQ14" i="55"/>
  <c r="CQ19" i="55" s="1"/>
  <c r="CM16" i="58"/>
  <c r="CP12" i="60"/>
  <c r="CP17" i="60" s="1"/>
  <c r="CM15" i="39"/>
  <c r="CL13" i="52"/>
  <c r="CL18" i="52" s="1"/>
  <c r="CM13" i="66"/>
  <c r="CM18" i="66" s="1"/>
  <c r="CT12" i="79"/>
  <c r="CT17" i="79" s="1"/>
  <c r="EI93" i="22" s="1"/>
  <c r="CO13" i="49"/>
  <c r="CO18" i="49" s="1"/>
  <c r="CL13" i="62"/>
  <c r="CI12" i="81"/>
  <c r="CI17" i="81" s="1"/>
  <c r="CI10" i="35"/>
  <c r="CH11" i="28"/>
  <c r="CH16" i="28" s="1"/>
  <c r="CV11" i="14"/>
  <c r="CV16" i="14" s="1"/>
  <c r="CO10" i="44"/>
  <c r="CO15" i="44" s="1"/>
  <c r="CO14" i="54"/>
  <c r="CO19" i="54" s="1"/>
  <c r="CL11" i="14"/>
  <c r="CL16" i="14" s="1"/>
  <c r="CL11" i="20"/>
  <c r="CL16" i="20" s="1"/>
  <c r="CM21" i="70"/>
  <c r="CM22" i="70" s="1"/>
  <c r="CM29" i="70" s="1"/>
  <c r="CP14" i="38"/>
  <c r="CP19" i="38" s="1"/>
  <c r="CN13" i="18"/>
  <c r="CN18" i="18" s="1"/>
  <c r="CL11" i="23"/>
  <c r="CL16" i="23" s="1"/>
  <c r="CT13" i="18"/>
  <c r="CT18" i="18" s="1"/>
  <c r="CO21" i="70"/>
  <c r="CO22" i="70" s="1"/>
  <c r="CO29" i="70" s="1"/>
  <c r="CM12" i="16"/>
  <c r="CM17" i="16" s="1"/>
  <c r="CS13" i="18"/>
  <c r="CS18" i="18" s="1"/>
  <c r="CY12" i="81"/>
  <c r="CY17" i="81" s="1"/>
  <c r="EN85" i="22" s="1"/>
  <c r="CU12" i="60"/>
  <c r="CU17" i="60" s="1"/>
  <c r="CM13" i="49"/>
  <c r="CM18" i="49" s="1"/>
  <c r="CO13" i="52"/>
  <c r="CO18" i="52" s="1"/>
  <c r="CU12" i="76"/>
  <c r="CU17" i="76" s="1"/>
  <c r="CQ13" i="86"/>
  <c r="CQ18" i="86" s="1"/>
  <c r="CR13" i="62"/>
  <c r="CU14" i="54"/>
  <c r="CU19" i="54" s="1"/>
  <c r="CQ13" i="62"/>
  <c r="CW12" i="81"/>
  <c r="CW17" i="81" s="1"/>
  <c r="EL85" i="22" s="1"/>
  <c r="CP19" i="48"/>
  <c r="CP11" i="48"/>
  <c r="CP16" i="48" s="1"/>
  <c r="CP18" i="48"/>
  <c r="CL12" i="79"/>
  <c r="CL17" i="79" s="1"/>
  <c r="EA93" i="22" s="1"/>
  <c r="CR16" i="58"/>
  <c r="CN11" i="14"/>
  <c r="CN16" i="14" s="1"/>
  <c r="CL29" i="70"/>
  <c r="CL14" i="70"/>
  <c r="CP11" i="14"/>
  <c r="CP16" i="14" s="1"/>
  <c r="CO14" i="38"/>
  <c r="CO19" i="38" s="1"/>
  <c r="CP13" i="66"/>
  <c r="CP18" i="66" s="1"/>
  <c r="CK10" i="35"/>
  <c r="CN15" i="39"/>
  <c r="CL12" i="76"/>
  <c r="CL17" i="76" s="1"/>
  <c r="CN12" i="16"/>
  <c r="CN17" i="16" s="1"/>
  <c r="CO12" i="57"/>
  <c r="CO5" i="30" s="1"/>
  <c r="CO9" i="30" s="1"/>
  <c r="CO14" i="30" s="1"/>
  <c r="CO7" i="29" s="1"/>
  <c r="CO11" i="29" s="1"/>
  <c r="CO16" i="29" s="1"/>
  <c r="CO21" i="29" s="1"/>
  <c r="CS12" i="60"/>
  <c r="CS17" i="60" s="1"/>
  <c r="CM12" i="60"/>
  <c r="CM17" i="60" s="1"/>
  <c r="CV13" i="62"/>
  <c r="CL19" i="48"/>
  <c r="CL18" i="48"/>
  <c r="CL11" i="48"/>
  <c r="CL16" i="48" s="1"/>
  <c r="CP21" i="70"/>
  <c r="CP22" i="70" s="1"/>
  <c r="CP29" i="70" s="1"/>
  <c r="CM12" i="76"/>
  <c r="CO13" i="66"/>
  <c r="CO18" i="66" s="1"/>
  <c r="CO12" i="81"/>
  <c r="CO17" i="81" s="1"/>
  <c r="CP13" i="49"/>
  <c r="CP18" i="49" s="1"/>
  <c r="CN12" i="60"/>
  <c r="CN17" i="60" s="1"/>
  <c r="DA12" i="79"/>
  <c r="DA17" i="79" s="1"/>
  <c r="EP93" i="22" s="1"/>
  <c r="CP13" i="86"/>
  <c r="CP18" i="86" s="1"/>
  <c r="CS13" i="86"/>
  <c r="CS18" i="86" s="1"/>
  <c r="CQ15" i="39"/>
  <c r="CN11" i="20"/>
  <c r="CN16" i="20" s="1"/>
  <c r="CM11" i="20"/>
  <c r="CM16" i="20" s="1"/>
  <c r="CM12" i="57"/>
  <c r="CM5" i="30" s="1"/>
  <c r="CM9" i="30" s="1"/>
  <c r="CM14" i="30" s="1"/>
  <c r="CM7" i="29" s="1"/>
  <c r="CM11" i="29" s="1"/>
  <c r="CM16" i="29" s="1"/>
  <c r="CM21" i="29" s="1"/>
  <c r="CR14" i="54"/>
  <c r="CR19" i="54" s="1"/>
  <c r="CN13" i="62"/>
  <c r="CS12" i="81"/>
  <c r="CS17" i="81" s="1"/>
  <c r="CO15" i="39"/>
  <c r="CM14" i="54"/>
  <c r="CM19" i="54" s="1"/>
  <c r="CQ13" i="66"/>
  <c r="CQ18" i="66" s="1"/>
  <c r="CS16" i="58"/>
  <c r="CN14" i="55"/>
  <c r="CN19" i="55" s="1"/>
  <c r="CO13" i="62"/>
  <c r="CS12" i="79"/>
  <c r="CS17" i="79" s="1"/>
  <c r="EH93" i="22" s="1"/>
  <c r="CN12" i="36"/>
  <c r="CN17" i="36" s="1"/>
  <c r="CP15" i="39"/>
  <c r="CT12" i="76"/>
  <c r="CT17" i="76" s="1"/>
  <c r="CN14" i="54"/>
  <c r="CQ11" i="48"/>
  <c r="CQ16" i="48" s="1"/>
  <c r="CQ19" i="48"/>
  <c r="CQ18" i="48"/>
  <c r="CN13" i="66"/>
  <c r="CN18" i="66" s="1"/>
  <c r="CV12" i="81"/>
  <c r="CV17" i="81" s="1"/>
  <c r="CR13" i="86"/>
  <c r="CR18" i="86" s="1"/>
  <c r="CQ11" i="23"/>
  <c r="CQ16" i="23" s="1"/>
  <c r="CL10" i="35"/>
  <c r="CP13" i="52"/>
  <c r="CP18" i="52" s="1"/>
  <c r="CU12" i="79"/>
  <c r="CU17" i="79" s="1"/>
  <c r="EJ93" i="22" s="1"/>
  <c r="CP13" i="62"/>
  <c r="CN12" i="81"/>
  <c r="CN17" i="81" s="1"/>
  <c r="CU13" i="86"/>
  <c r="CU18" i="86" s="1"/>
  <c r="CN12" i="25"/>
  <c r="CN17" i="25" s="1"/>
  <c r="CS13" i="62"/>
  <c r="CN14" i="38"/>
  <c r="CN19" i="38" s="1"/>
  <c r="CN13" i="49"/>
  <c r="CN18" i="49" s="1"/>
  <c r="CN19" i="48"/>
  <c r="CN11" i="48"/>
  <c r="CN16" i="48" s="1"/>
  <c r="CN18" i="48"/>
  <c r="CT12" i="81"/>
  <c r="CT17" i="81" s="1"/>
  <c r="CU13" i="62"/>
  <c r="CN13" i="86"/>
  <c r="CN18" i="86" s="1"/>
  <c r="CL12" i="60"/>
  <c r="CL17" i="60" s="1"/>
  <c r="CL13" i="18"/>
  <c r="CL18" i="18" s="1"/>
  <c r="CM12" i="36"/>
  <c r="CM17" i="36" s="1"/>
  <c r="AI14" i="70"/>
  <c r="BS29" i="70"/>
  <c r="BS14" i="70"/>
  <c r="BQ29" i="70"/>
  <c r="BQ14" i="70"/>
  <c r="CC29" i="70"/>
  <c r="CC14" i="70"/>
  <c r="CB29" i="70"/>
  <c r="CB14" i="70"/>
  <c r="AL14" i="70"/>
  <c r="BP29" i="70"/>
  <c r="BP14" i="70"/>
  <c r="AN14" i="70"/>
  <c r="AS14" i="70"/>
  <c r="AE14" i="70"/>
  <c r="BV29" i="70"/>
  <c r="BV14" i="70"/>
  <c r="BX29" i="70"/>
  <c r="BX14" i="70"/>
  <c r="CG29" i="70"/>
  <c r="CG14" i="70"/>
  <c r="AH14" i="70"/>
  <c r="AO14" i="70"/>
  <c r="AQ14" i="70"/>
  <c r="BM29" i="70"/>
  <c r="BM14" i="70"/>
  <c r="BO29" i="70"/>
  <c r="BO14" i="70"/>
  <c r="CA29" i="70"/>
  <c r="CA14" i="70"/>
  <c r="BY29" i="70"/>
  <c r="BY14" i="70"/>
  <c r="AG14" i="70"/>
  <c r="AK14" i="70"/>
  <c r="BN29" i="70"/>
  <c r="BN14" i="70"/>
  <c r="BR29" i="70"/>
  <c r="BR14" i="70"/>
  <c r="BW29" i="70"/>
  <c r="BW14" i="70"/>
  <c r="CE29" i="70"/>
  <c r="CE14" i="70"/>
  <c r="CK29" i="70"/>
  <c r="CK14" i="70"/>
  <c r="AP14" i="70"/>
  <c r="AR14" i="70"/>
  <c r="BL29" i="70"/>
  <c r="BL14" i="70"/>
  <c r="BU29" i="70"/>
  <c r="BU14" i="70"/>
  <c r="CD29" i="70"/>
  <c r="CD14" i="70"/>
  <c r="BZ29" i="70"/>
  <c r="BZ14" i="70"/>
  <c r="CH29" i="70"/>
  <c r="CH14" i="70"/>
  <c r="CI29" i="70"/>
  <c r="CI14" i="70"/>
  <c r="AJ14" i="70"/>
  <c r="AU14" i="70"/>
  <c r="AT14" i="70"/>
  <c r="AW14" i="70"/>
  <c r="CJ29" i="70"/>
  <c r="CJ14" i="70"/>
  <c r="AM14" i="70"/>
  <c r="AF14" i="70"/>
  <c r="AV14" i="70"/>
  <c r="BT29" i="70"/>
  <c r="BT14" i="70"/>
  <c r="CD13" i="86"/>
  <c r="CD18" i="86" s="1"/>
  <c r="CI13" i="86"/>
  <c r="CI18" i="86" s="1"/>
  <c r="CH11" i="23"/>
  <c r="CH16" i="23" s="1"/>
  <c r="CD11" i="20"/>
  <c r="CD16" i="20" s="1"/>
  <c r="AP13" i="27"/>
  <c r="AP18" i="27" s="1"/>
  <c r="CG11" i="28"/>
  <c r="CG16" i="28" s="1"/>
  <c r="AX13" i="27"/>
  <c r="AX18" i="27" s="1"/>
  <c r="CL13" i="73"/>
  <c r="CL18" i="73" s="1"/>
  <c r="CJ10" i="35"/>
  <c r="CK13" i="27"/>
  <c r="CK18" i="27" s="1"/>
  <c r="CB13" i="27"/>
  <c r="CB18" i="27" s="1"/>
  <c r="CJ13" i="52"/>
  <c r="CJ18" i="52" s="1"/>
  <c r="AB13" i="27"/>
  <c r="CI10" i="44"/>
  <c r="CI15" i="44" s="1"/>
  <c r="BJ13" i="27"/>
  <c r="BJ18" i="27" s="1"/>
  <c r="CK10" i="44"/>
  <c r="CK15" i="44" s="1"/>
  <c r="CK12" i="25"/>
  <c r="CK17" i="25" s="1"/>
  <c r="CH12" i="16"/>
  <c r="CH17" i="16" s="1"/>
  <c r="BZ14" i="38"/>
  <c r="BZ19" i="38" s="1"/>
  <c r="CJ12" i="60"/>
  <c r="CJ17" i="60" s="1"/>
  <c r="CI13" i="52"/>
  <c r="CI18" i="52" s="1"/>
  <c r="CG12" i="57"/>
  <c r="CG5" i="30" s="1"/>
  <c r="CG9" i="30" s="1"/>
  <c r="CG14" i="30" s="1"/>
  <c r="CG7" i="29" s="1"/>
  <c r="CG11" i="29" s="1"/>
  <c r="CG16" i="29" s="1"/>
  <c r="CG21" i="29" s="1"/>
  <c r="CJ16" i="58"/>
  <c r="CH11" i="14"/>
  <c r="CH16" i="14" s="1"/>
  <c r="CL10" i="26"/>
  <c r="CL15" i="26" s="1"/>
  <c r="BQ13" i="27"/>
  <c r="BQ18" i="27" s="1"/>
  <c r="BV13" i="27"/>
  <c r="CK12" i="81"/>
  <c r="CK17" i="81" s="1"/>
  <c r="BD13" i="27"/>
  <c r="BD18" i="27" s="1"/>
  <c r="CK14" i="54"/>
  <c r="CK19" i="54" s="1"/>
  <c r="BO13" i="27"/>
  <c r="BO18" i="27" s="1"/>
  <c r="T13" i="27"/>
  <c r="CH11" i="20"/>
  <c r="CH16" i="20" s="1"/>
  <c r="CD12" i="60"/>
  <c r="CD17" i="60" s="1"/>
  <c r="AH13" i="27"/>
  <c r="AW13" i="27"/>
  <c r="AW18" i="27" s="1"/>
  <c r="BS13" i="27"/>
  <c r="BS18" i="27" s="1"/>
  <c r="CJ14" i="38"/>
  <c r="CJ19" i="38" s="1"/>
  <c r="AM13" i="27"/>
  <c r="AM18" i="27" s="1"/>
  <c r="R13" i="27"/>
  <c r="R18" i="27" s="1"/>
  <c r="AO13" i="27"/>
  <c r="AO18" i="27" s="1"/>
  <c r="CH14" i="55"/>
  <c r="CH19" i="55" s="1"/>
  <c r="AT13" i="27"/>
  <c r="P13" i="27"/>
  <c r="P18" i="27" s="1"/>
  <c r="CJ13" i="32"/>
  <c r="CJ5" i="31" s="1"/>
  <c r="CJ10" i="31" s="1"/>
  <c r="CJ11" i="31" s="1"/>
  <c r="CJ17" i="31" s="1"/>
  <c r="CJ12" i="16"/>
  <c r="CJ17" i="16" s="1"/>
  <c r="CK12" i="60"/>
  <c r="CK17" i="60" s="1"/>
  <c r="BZ14" i="17"/>
  <c r="CL12" i="81"/>
  <c r="CL17" i="81" s="1"/>
  <c r="CK13" i="66"/>
  <c r="CK18" i="66" s="1"/>
  <c r="CE10" i="44"/>
  <c r="CE15" i="44" s="1"/>
  <c r="CE13" i="27"/>
  <c r="CE18" i="27" s="1"/>
  <c r="CJ11" i="14"/>
  <c r="CJ16" i="14" s="1"/>
  <c r="CG12" i="60"/>
  <c r="CG17" i="60" s="1"/>
  <c r="CK11" i="28"/>
  <c r="CK16" i="28" s="1"/>
  <c r="CI11" i="20"/>
  <c r="CI16" i="20" s="1"/>
  <c r="CJ11" i="20"/>
  <c r="CI13" i="27"/>
  <c r="CI18" i="27" s="1"/>
  <c r="CJ10" i="26"/>
  <c r="CJ15" i="26" s="1"/>
  <c r="CJ12" i="25"/>
  <c r="CJ17" i="25" s="1"/>
  <c r="BZ14" i="55"/>
  <c r="BZ19" i="55" s="1"/>
  <c r="BY12" i="60"/>
  <c r="BY17" i="60" s="1"/>
  <c r="CA12" i="25"/>
  <c r="CA17" i="25" s="1"/>
  <c r="CK14" i="38"/>
  <c r="CK19" i="38" s="1"/>
  <c r="CJ11" i="23"/>
  <c r="CJ16" i="23" s="1"/>
  <c r="CI14" i="38"/>
  <c r="CI19" i="38" s="1"/>
  <c r="CJ18" i="48"/>
  <c r="CJ11" i="48"/>
  <c r="CJ16" i="48" s="1"/>
  <c r="CJ19" i="48"/>
  <c r="W13" i="27"/>
  <c r="W18" i="27" s="1"/>
  <c r="CI13" i="32"/>
  <c r="CI5" i="31" s="1"/>
  <c r="CI10" i="31" s="1"/>
  <c r="CI11" i="31" s="1"/>
  <c r="CI17" i="31" s="1"/>
  <c r="N13" i="27"/>
  <c r="N18" i="27" s="1"/>
  <c r="CI13" i="62"/>
  <c r="BH13" i="27"/>
  <c r="BH18" i="27" s="1"/>
  <c r="U13" i="27"/>
  <c r="BA13" i="27"/>
  <c r="BA18" i="27" s="1"/>
  <c r="AJ13" i="27"/>
  <c r="CJ12" i="81"/>
  <c r="CJ17" i="81" s="1"/>
  <c r="Z13" i="27"/>
  <c r="CL13" i="49"/>
  <c r="CL18" i="49" s="1"/>
  <c r="CL13" i="66"/>
  <c r="CL18" i="66" s="1"/>
  <c r="BF13" i="27"/>
  <c r="CI13" i="73"/>
  <c r="CI18" i="73" s="1"/>
  <c r="CI12" i="76"/>
  <c r="CI17" i="76" s="1"/>
  <c r="AU13" i="27"/>
  <c r="AU18" i="27" s="1"/>
  <c r="BT13" i="27"/>
  <c r="BT18" i="27" s="1"/>
  <c r="CK13" i="49"/>
  <c r="CK18" i="49" s="1"/>
  <c r="CL13" i="32"/>
  <c r="CL5" i="31" s="1"/>
  <c r="CL10" i="31" s="1"/>
  <c r="CL11" i="31" s="1"/>
  <c r="CL17" i="31" s="1"/>
  <c r="BL13" i="27"/>
  <c r="BL18" i="27" s="1"/>
  <c r="CJ15" i="39"/>
  <c r="CI13" i="49"/>
  <c r="CI18" i="49" s="1"/>
  <c r="BW13" i="27"/>
  <c r="BW18" i="27" s="1"/>
  <c r="M13" i="27"/>
  <c r="M18" i="27" s="1"/>
  <c r="AY13" i="27"/>
  <c r="AY18" i="27" s="1"/>
  <c r="BI13" i="27"/>
  <c r="BI18" i="27" s="1"/>
  <c r="CI10" i="26"/>
  <c r="CI15" i="26" s="1"/>
  <c r="CI12" i="16"/>
  <c r="CI17" i="16" s="1"/>
  <c r="CJ10" i="70"/>
  <c r="CJ19" i="70" s="1"/>
  <c r="CJ13" i="62"/>
  <c r="BE13" i="27"/>
  <c r="BE18" i="27" s="1"/>
  <c r="CA13" i="27"/>
  <c r="CA18" i="27" s="1"/>
  <c r="AQ13" i="27"/>
  <c r="AQ18" i="27" s="1"/>
  <c r="BX10" i="35"/>
  <c r="CA10" i="26"/>
  <c r="CA15" i="26" s="1"/>
  <c r="BZ12" i="5"/>
  <c r="BZ17" i="5" s="1"/>
  <c r="CI12" i="60"/>
  <c r="CI17" i="60" s="1"/>
  <c r="CJ13" i="73"/>
  <c r="CJ18" i="73" s="1"/>
  <c r="CI12" i="36"/>
  <c r="CI17" i="36" s="1"/>
  <c r="BP13" i="27"/>
  <c r="BP18" i="27" s="1"/>
  <c r="CH12" i="36"/>
  <c r="CH17" i="36" s="1"/>
  <c r="CK13" i="62"/>
  <c r="CJ12" i="76"/>
  <c r="CJ17" i="76" s="1"/>
  <c r="X13" i="27"/>
  <c r="CK14" i="55"/>
  <c r="CK19" i="55" s="1"/>
  <c r="CL12" i="36"/>
  <c r="CL17" i="36" s="1"/>
  <c r="CL14" i="55"/>
  <c r="CL19" i="55" s="1"/>
  <c r="CJ13" i="27"/>
  <c r="CJ18" i="27" s="1"/>
  <c r="CJ11" i="28"/>
  <c r="CJ16" i="28" s="1"/>
  <c r="BU13" i="27"/>
  <c r="BU18" i="27" s="1"/>
  <c r="L13" i="27"/>
  <c r="L18" i="27" s="1"/>
  <c r="AI13" i="27"/>
  <c r="AI18" i="27" s="1"/>
  <c r="CH13" i="27"/>
  <c r="CH18" i="27" s="1"/>
  <c r="CK11" i="23"/>
  <c r="CK16" i="23" s="1"/>
  <c r="CG13" i="27"/>
  <c r="CG18" i="27" s="1"/>
  <c r="CK15" i="39"/>
  <c r="CI14" i="54"/>
  <c r="CI15" i="39"/>
  <c r="AV13" i="27"/>
  <c r="AV18" i="27" s="1"/>
  <c r="BM13" i="27"/>
  <c r="BM18" i="27" s="1"/>
  <c r="BK13" i="27"/>
  <c r="BK18" i="27" s="1"/>
  <c r="BZ13" i="27"/>
  <c r="AA13" i="27"/>
  <c r="AA18" i="27" s="1"/>
  <c r="BY14" i="38"/>
  <c r="BY19" i="38" s="1"/>
  <c r="CJ12" i="36"/>
  <c r="CJ17" i="36" s="1"/>
  <c r="CI12" i="79"/>
  <c r="CI17" i="79" s="1"/>
  <c r="DX93" i="22" s="1"/>
  <c r="CK13" i="32"/>
  <c r="CK5" i="31" s="1"/>
  <c r="CK10" i="31" s="1"/>
  <c r="CK11" i="31" s="1"/>
  <c r="CK17" i="31" s="1"/>
  <c r="AN13" i="27"/>
  <c r="AN18" i="27" s="1"/>
  <c r="CI14" i="55"/>
  <c r="CK12" i="79"/>
  <c r="CK17" i="79" s="1"/>
  <c r="DZ93" i="22" s="1"/>
  <c r="BB13" i="27"/>
  <c r="CM14" i="55"/>
  <c r="CM19" i="55" s="1"/>
  <c r="BX13" i="27"/>
  <c r="BX18" i="27" s="1"/>
  <c r="CK16" i="58"/>
  <c r="AF13" i="27"/>
  <c r="AF18" i="27" s="1"/>
  <c r="AG13" i="27"/>
  <c r="AG18" i="27" s="1"/>
  <c r="AS13" i="27"/>
  <c r="AS18" i="27" s="1"/>
  <c r="BR13" i="27"/>
  <c r="S13" i="27"/>
  <c r="CI12" i="25"/>
  <c r="CI17" i="25" s="1"/>
  <c r="CI11" i="23"/>
  <c r="CI16" i="23" s="1"/>
  <c r="BW12" i="57"/>
  <c r="BW5" i="30" s="1"/>
  <c r="BW9" i="30" s="1"/>
  <c r="BW14" i="30" s="1"/>
  <c r="BW7" i="29" s="1"/>
  <c r="BW11" i="29" s="1"/>
  <c r="BW16" i="29" s="1"/>
  <c r="BW21" i="29" s="1"/>
  <c r="CK13" i="73"/>
  <c r="CK18" i="73" s="1"/>
  <c r="CK11" i="14"/>
  <c r="CK16" i="14" s="1"/>
  <c r="O13" i="27"/>
  <c r="O18" i="27" s="1"/>
  <c r="CK10" i="70"/>
  <c r="CK19" i="70" s="1"/>
  <c r="CI10" i="70"/>
  <c r="CI19" i="70" s="1"/>
  <c r="BG13" i="27"/>
  <c r="BG18" i="27" s="1"/>
  <c r="CK12" i="36"/>
  <c r="CK17" i="36" s="1"/>
  <c r="AE13" i="27"/>
  <c r="CI16" i="58"/>
  <c r="CJ10" i="44"/>
  <c r="CJ15" i="44" s="1"/>
  <c r="CJ14" i="54"/>
  <c r="CJ19" i="54" s="1"/>
  <c r="AL13" i="27"/>
  <c r="AL18" i="27" s="1"/>
  <c r="CJ13" i="49"/>
  <c r="CJ18" i="49" s="1"/>
  <c r="CK18" i="48"/>
  <c r="CK11" i="48"/>
  <c r="CK16" i="48" s="1"/>
  <c r="CK19" i="48"/>
  <c r="Y13" i="27"/>
  <c r="Y18" i="27" s="1"/>
  <c r="AK13" i="27"/>
  <c r="AK18" i="27" s="1"/>
  <c r="AZ13" i="27"/>
  <c r="AZ18" i="27" s="1"/>
  <c r="K13" i="27"/>
  <c r="K18" i="27" s="1"/>
  <c r="CC13" i="27"/>
  <c r="CC18" i="27" s="1"/>
  <c r="CH12" i="25"/>
  <c r="CH17" i="25" s="1"/>
  <c r="CL13" i="27"/>
  <c r="CL18" i="27" s="1"/>
  <c r="CK10" i="26"/>
  <c r="CK15" i="26" s="1"/>
  <c r="CF13" i="27"/>
  <c r="CF18" i="27" s="1"/>
  <c r="CJ12" i="79"/>
  <c r="CJ17" i="79" s="1"/>
  <c r="DY93" i="22" s="1"/>
  <c r="CK12" i="76"/>
  <c r="CK17" i="76" s="1"/>
  <c r="CL15" i="39"/>
  <c r="CJ13" i="66"/>
  <c r="CJ18" i="66" s="1"/>
  <c r="BC13" i="27"/>
  <c r="BC18" i="27" s="1"/>
  <c r="CI13" i="66"/>
  <c r="CI18" i="66" s="1"/>
  <c r="CI11" i="28"/>
  <c r="CI16" i="28" s="1"/>
  <c r="CI11" i="48"/>
  <c r="CI16" i="48" s="1"/>
  <c r="CI19" i="48"/>
  <c r="CI18" i="48"/>
  <c r="AD13" i="27"/>
  <c r="AD18" i="27" s="1"/>
  <c r="V13" i="27"/>
  <c r="V18" i="27" s="1"/>
  <c r="CH13" i="32"/>
  <c r="CH5" i="31" s="1"/>
  <c r="CH10" i="31" s="1"/>
  <c r="CH11" i="31" s="1"/>
  <c r="CH17" i="31" s="1"/>
  <c r="BN13" i="27"/>
  <c r="CK13" i="52"/>
  <c r="CK18" i="52" s="1"/>
  <c r="CH10" i="35"/>
  <c r="Q13" i="27"/>
  <c r="Q18" i="27" s="1"/>
  <c r="AC13" i="27"/>
  <c r="AR13" i="27"/>
  <c r="BY13" i="27"/>
  <c r="BY18" i="27" s="1"/>
  <c r="CD13" i="27"/>
  <c r="CD18" i="27" s="1"/>
  <c r="CD10" i="35"/>
  <c r="CH12" i="57"/>
  <c r="CH5" i="30" s="1"/>
  <c r="CH9" i="30" s="1"/>
  <c r="CH14" i="30" s="1"/>
  <c r="CD13" i="18"/>
  <c r="CD18" i="18" s="1"/>
  <c r="BE10" i="10"/>
  <c r="BE11" i="10" s="1"/>
  <c r="BN10" i="10"/>
  <c r="BN11" i="10" s="1"/>
  <c r="BT10" i="2"/>
  <c r="BX10" i="2"/>
  <c r="CA10" i="2"/>
  <c r="CF10" i="10"/>
  <c r="CF11" i="10" s="1"/>
  <c r="CI12" i="57"/>
  <c r="CI5" i="30" s="1"/>
  <c r="CI9" i="30" s="1"/>
  <c r="CI14" i="30" s="1"/>
  <c r="CI7" i="29" s="1"/>
  <c r="CI11" i="29" s="1"/>
  <c r="CI16" i="29" s="1"/>
  <c r="CI21" i="29" s="1"/>
  <c r="CK12" i="57"/>
  <c r="CK5" i="30" s="1"/>
  <c r="CK9" i="30" s="1"/>
  <c r="CK14" i="30" s="1"/>
  <c r="CK7" i="29" s="1"/>
  <c r="CK11" i="29" s="1"/>
  <c r="CK16" i="29" s="1"/>
  <c r="CK21" i="29" s="1"/>
  <c r="CJ12" i="57"/>
  <c r="CJ5" i="30" s="1"/>
  <c r="CJ9" i="30" s="1"/>
  <c r="CJ14" i="30" s="1"/>
  <c r="CJ7" i="29" s="1"/>
  <c r="CJ11" i="29" s="1"/>
  <c r="CJ16" i="29" s="1"/>
  <c r="CJ21" i="29" s="1"/>
  <c r="CL12" i="57"/>
  <c r="CL5" i="30" s="1"/>
  <c r="CL9" i="30" s="1"/>
  <c r="CL14" i="30" s="1"/>
  <c r="CL7" i="29" s="1"/>
  <c r="CL11" i="29" s="1"/>
  <c r="CL16" i="29" s="1"/>
  <c r="CL21" i="29" s="1"/>
  <c r="CK14" i="17"/>
  <c r="CK21" i="17" s="1"/>
  <c r="CI13" i="13"/>
  <c r="CI18" i="13" s="1"/>
  <c r="CN13" i="13"/>
  <c r="CP13" i="13"/>
  <c r="BX13" i="18"/>
  <c r="BX18" i="18" s="1"/>
  <c r="CJ13" i="13"/>
  <c r="CJ18" i="13" s="1"/>
  <c r="CD10" i="7"/>
  <c r="CE10" i="7"/>
  <c r="CF10" i="7"/>
  <c r="CG10" i="7"/>
  <c r="CC10" i="7"/>
  <c r="CB10" i="7"/>
  <c r="BY10" i="7"/>
  <c r="BZ10" i="7"/>
  <c r="CA10" i="7"/>
  <c r="BX10" i="7"/>
  <c r="BV10" i="7"/>
  <c r="BW10" i="7"/>
  <c r="O10" i="7"/>
  <c r="W10" i="7"/>
  <c r="AE10" i="7"/>
  <c r="AM10" i="7"/>
  <c r="AU10" i="7"/>
  <c r="BC10" i="7"/>
  <c r="BK10" i="7"/>
  <c r="BS10" i="7"/>
  <c r="P10" i="7"/>
  <c r="X10" i="7"/>
  <c r="AF10" i="7"/>
  <c r="AN10" i="7"/>
  <c r="AV10" i="7"/>
  <c r="BD10" i="7"/>
  <c r="BL10" i="7"/>
  <c r="BT10" i="7"/>
  <c r="Q10" i="7"/>
  <c r="Y10" i="7"/>
  <c r="AG10" i="7"/>
  <c r="AO10" i="7"/>
  <c r="AW10" i="7"/>
  <c r="BE10" i="7"/>
  <c r="BM10" i="7"/>
  <c r="BU10" i="7"/>
  <c r="S10" i="7"/>
  <c r="BO10" i="7"/>
  <c r="K10" i="7"/>
  <c r="AA10" i="7"/>
  <c r="AI10" i="7"/>
  <c r="AQ10" i="7"/>
  <c r="BG10" i="7"/>
  <c r="AB10" i="7"/>
  <c r="BP10" i="7"/>
  <c r="R10" i="7"/>
  <c r="Z10" i="7"/>
  <c r="AH10" i="7"/>
  <c r="AP10" i="7"/>
  <c r="AX10" i="7"/>
  <c r="BF10" i="7"/>
  <c r="BN10" i="7"/>
  <c r="L10" i="7"/>
  <c r="AJ10" i="7"/>
  <c r="AZ10" i="7"/>
  <c r="AY10" i="7"/>
  <c r="T10" i="7"/>
  <c r="AR10" i="7"/>
  <c r="BH10" i="7"/>
  <c r="M10" i="7"/>
  <c r="U10" i="7"/>
  <c r="AC10" i="7"/>
  <c r="AK10" i="7"/>
  <c r="AS10" i="7"/>
  <c r="BA10" i="7"/>
  <c r="BI10" i="7"/>
  <c r="BQ10" i="7"/>
  <c r="N10" i="7"/>
  <c r="V10" i="7"/>
  <c r="AD10" i="7"/>
  <c r="AL10" i="7"/>
  <c r="AT10" i="7"/>
  <c r="BB10" i="7"/>
  <c r="BJ10" i="7"/>
  <c r="BR10" i="7"/>
  <c r="BV10" i="10"/>
  <c r="BV11" i="10" s="1"/>
  <c r="BY10" i="10"/>
  <c r="BY11" i="10" s="1"/>
  <c r="CB10" i="2"/>
  <c r="CE10" i="2"/>
  <c r="AF9" i="2"/>
  <c r="AI9" i="2"/>
  <c r="AQ9" i="2"/>
  <c r="BJ10" i="2"/>
  <c r="BT10" i="10"/>
  <c r="BT11" i="10" s="1"/>
  <c r="BR10" i="2"/>
  <c r="BJ9" i="7"/>
  <c r="BJ11" i="7" s="1"/>
  <c r="BJ16" i="7" s="1"/>
  <c r="AF9" i="7"/>
  <c r="AL9" i="7"/>
  <c r="BS9" i="7"/>
  <c r="BS11" i="7" s="1"/>
  <c r="BS16" i="7" s="1"/>
  <c r="AN9" i="7"/>
  <c r="AK9" i="7"/>
  <c r="BP10" i="10"/>
  <c r="BP11" i="10" s="1"/>
  <c r="BL9" i="7"/>
  <c r="BZ10" i="10"/>
  <c r="BZ11" i="10" s="1"/>
  <c r="CC9" i="7"/>
  <c r="CC11" i="7" s="1"/>
  <c r="CC16" i="7" s="1"/>
  <c r="CG9" i="7"/>
  <c r="I9" i="2"/>
  <c r="X9" i="2"/>
  <c r="AL9" i="2"/>
  <c r="AD9" i="2"/>
  <c r="BD10" i="10"/>
  <c r="BD11" i="10" s="1"/>
  <c r="BI10" i="10"/>
  <c r="BI11" i="10" s="1"/>
  <c r="S9" i="2"/>
  <c r="P9" i="2"/>
  <c r="AP9" i="2"/>
  <c r="V9" i="2"/>
  <c r="K9" i="2"/>
  <c r="N9" i="2"/>
  <c r="Q10" i="2"/>
  <c r="AE10" i="2"/>
  <c r="J10" i="2"/>
  <c r="W10" i="2"/>
  <c r="AO10" i="2"/>
  <c r="AQ10" i="2"/>
  <c r="BA10" i="2"/>
  <c r="L10" i="2"/>
  <c r="BD10" i="2"/>
  <c r="BH10" i="10"/>
  <c r="BH11" i="10" s="1"/>
  <c r="BF10" i="2"/>
  <c r="BF10" i="10"/>
  <c r="BF11" i="10" s="1"/>
  <c r="BH10" i="2"/>
  <c r="BG10" i="2"/>
  <c r="BM10" i="2"/>
  <c r="BK9" i="7"/>
  <c r="BH9" i="7"/>
  <c r="BQ10" i="2"/>
  <c r="AA9" i="7"/>
  <c r="Q9" i="7"/>
  <c r="Q11" i="7" s="1"/>
  <c r="Q16" i="7" s="1"/>
  <c r="N9" i="7"/>
  <c r="N11" i="7" s="1"/>
  <c r="N16" i="7" s="1"/>
  <c r="X9" i="7"/>
  <c r="X11" i="7" s="1"/>
  <c r="X16" i="7" s="1"/>
  <c r="X4" i="2" s="1"/>
  <c r="X8" i="2" s="1"/>
  <c r="X11" i="2" s="1"/>
  <c r="X16" i="2" s="1"/>
  <c r="BU10" i="10"/>
  <c r="BU11" i="10" s="1"/>
  <c r="AD9" i="7"/>
  <c r="AC9" i="7"/>
  <c r="AZ9" i="7"/>
  <c r="AZ11" i="7" s="1"/>
  <c r="AZ16" i="7" s="1"/>
  <c r="BS10" i="2"/>
  <c r="BY9" i="7"/>
  <c r="CA10" i="10"/>
  <c r="CA11" i="10" s="1"/>
  <c r="CB10" i="10"/>
  <c r="CB11" i="10" s="1"/>
  <c r="CF10" i="2"/>
  <c r="AT9" i="2"/>
  <c r="AH9" i="2"/>
  <c r="J9" i="2"/>
  <c r="BA9" i="2"/>
  <c r="AX9" i="2"/>
  <c r="AZ9" i="2"/>
  <c r="BJ10" i="10"/>
  <c r="BJ11" i="10" s="1"/>
  <c r="BM10" i="10"/>
  <c r="BM11" i="10" s="1"/>
  <c r="BL10" i="2"/>
  <c r="BL10" i="10"/>
  <c r="BL11" i="10" s="1"/>
  <c r="Y9" i="7"/>
  <c r="AP9" i="7"/>
  <c r="AP11" i="7" s="1"/>
  <c r="AP16" i="7" s="1"/>
  <c r="AP4" i="2" s="1"/>
  <c r="AP8" i="2" s="1"/>
  <c r="BQ9" i="7"/>
  <c r="BI9" i="7"/>
  <c r="BI11" i="7" s="1"/>
  <c r="BI16" i="7" s="1"/>
  <c r="BP9" i="7"/>
  <c r="BP11" i="7" s="1"/>
  <c r="BP16" i="7" s="1"/>
  <c r="BQ10" i="10"/>
  <c r="BQ11" i="10" s="1"/>
  <c r="R9" i="7"/>
  <c r="R11" i="7" s="1"/>
  <c r="R16" i="7" s="1"/>
  <c r="U9" i="7"/>
  <c r="U11" i="7" s="1"/>
  <c r="U16" i="7" s="1"/>
  <c r="AR9" i="7"/>
  <c r="AR11" i="7" s="1"/>
  <c r="AR16" i="7" s="1"/>
  <c r="BV9" i="7"/>
  <c r="BY10" i="2"/>
  <c r="CF9" i="7"/>
  <c r="CD10" i="10"/>
  <c r="CD11" i="10" s="1"/>
  <c r="CG17" i="88"/>
  <c r="CG15" i="88"/>
  <c r="O9" i="2"/>
  <c r="M9" i="2"/>
  <c r="L9" i="2"/>
  <c r="BC9" i="2"/>
  <c r="BG10" i="10"/>
  <c r="BG11" i="10" s="1"/>
  <c r="AO9" i="2"/>
  <c r="AU9" i="2"/>
  <c r="AY9" i="2"/>
  <c r="AS9" i="2"/>
  <c r="R9" i="2"/>
  <c r="AR9" i="2"/>
  <c r="AN10" i="2"/>
  <c r="I10" i="2"/>
  <c r="AA10" i="2"/>
  <c r="AK10" i="2"/>
  <c r="V10" i="2"/>
  <c r="BC10" i="10"/>
  <c r="BC11" i="10" s="1"/>
  <c r="BK10" i="2"/>
  <c r="AT9" i="7"/>
  <c r="BN10" i="2"/>
  <c r="AU9" i="7"/>
  <c r="AU11" i="7" s="1"/>
  <c r="AU16" i="7" s="1"/>
  <c r="O9" i="7"/>
  <c r="O11" i="7" s="1"/>
  <c r="O16" i="7" s="1"/>
  <c r="BP10" i="2"/>
  <c r="AW9" i="7"/>
  <c r="AW11" i="7" s="1"/>
  <c r="AW16" i="7" s="1"/>
  <c r="BR9" i="7"/>
  <c r="M9" i="7"/>
  <c r="M11" i="7" s="1"/>
  <c r="M16" i="7" s="1"/>
  <c r="AJ9" i="7"/>
  <c r="BO10" i="10"/>
  <c r="BO11" i="10" s="1"/>
  <c r="BX9" i="7"/>
  <c r="BX11" i="7" s="1"/>
  <c r="BX16" i="7" s="1"/>
  <c r="BW10" i="2"/>
  <c r="CB9" i="7"/>
  <c r="CB11" i="7" s="1"/>
  <c r="CB16" i="7" s="1"/>
  <c r="CD9" i="7"/>
  <c r="CD11" i="7" s="1"/>
  <c r="CD16" i="7" s="1"/>
  <c r="CG10" i="10"/>
  <c r="CG11" i="10" s="1"/>
  <c r="CD10" i="2"/>
  <c r="CJ10" i="10"/>
  <c r="CJ11" i="10" s="1"/>
  <c r="CI10" i="10"/>
  <c r="CI11" i="10" s="1"/>
  <c r="CH10" i="10"/>
  <c r="CH11" i="10" s="1"/>
  <c r="Q9" i="2"/>
  <c r="AM9" i="2"/>
  <c r="AA9" i="2"/>
  <c r="AK9" i="2"/>
  <c r="AW9" i="2"/>
  <c r="BB10" i="2"/>
  <c r="BB10" i="10"/>
  <c r="BB11" i="10" s="1"/>
  <c r="BE10" i="2"/>
  <c r="BK10" i="10"/>
  <c r="BK11" i="10" s="1"/>
  <c r="V9" i="7"/>
  <c r="BR10" i="10"/>
  <c r="BR11" i="10" s="1"/>
  <c r="BC9" i="7"/>
  <c r="BC11" i="7" s="1"/>
  <c r="BC16" i="7" s="1"/>
  <c r="BD9" i="7"/>
  <c r="BD11" i="7" s="1"/>
  <c r="BD16" i="7" s="1"/>
  <c r="AI9" i="7"/>
  <c r="AI11" i="7" s="1"/>
  <c r="AI16" i="7" s="1"/>
  <c r="AI4" i="2" s="1"/>
  <c r="AI8" i="2" s="1"/>
  <c r="AY9" i="7"/>
  <c r="BU10" i="2"/>
  <c r="BU9" i="7"/>
  <c r="BU11" i="7" s="1"/>
  <c r="BU16" i="7" s="1"/>
  <c r="AB9" i="7"/>
  <c r="AB11" i="7" s="1"/>
  <c r="AB16" i="7" s="1"/>
  <c r="BW10" i="10"/>
  <c r="BW11" i="10" s="1"/>
  <c r="BV10" i="2"/>
  <c r="CA9" i="7"/>
  <c r="CC10" i="2"/>
  <c r="CG10" i="2"/>
  <c r="CE10" i="10"/>
  <c r="CE11" i="10" s="1"/>
  <c r="CD9" i="2"/>
  <c r="CE9" i="2"/>
  <c r="CF9" i="2"/>
  <c r="CG9" i="2"/>
  <c r="BZ9" i="2"/>
  <c r="CA9" i="2"/>
  <c r="CB9" i="2"/>
  <c r="CC9" i="2"/>
  <c r="BY9" i="2"/>
  <c r="BX9" i="2"/>
  <c r="BV9" i="2"/>
  <c r="BW9" i="2"/>
  <c r="BR9" i="2"/>
  <c r="BS9" i="2"/>
  <c r="BT9" i="2"/>
  <c r="BO9" i="2"/>
  <c r="BU9" i="2"/>
  <c r="BN9" i="2"/>
  <c r="BP9" i="2"/>
  <c r="BQ9" i="2"/>
  <c r="BK9" i="2"/>
  <c r="BL9" i="2"/>
  <c r="BM9" i="2"/>
  <c r="BJ9" i="2"/>
  <c r="BH9" i="2"/>
  <c r="BI9" i="2"/>
  <c r="BG9" i="2"/>
  <c r="BF9" i="2"/>
  <c r="BE9" i="2"/>
  <c r="BD9" i="2"/>
  <c r="BB9" i="2"/>
  <c r="AV9" i="2"/>
  <c r="AE9" i="2"/>
  <c r="Z9" i="2"/>
  <c r="AC9" i="2"/>
  <c r="Y9" i="2"/>
  <c r="AB9" i="2"/>
  <c r="BA10" i="10"/>
  <c r="BA11" i="10" s="1"/>
  <c r="AM9" i="7"/>
  <c r="Z9" i="7"/>
  <c r="AH9" i="7"/>
  <c r="W9" i="7"/>
  <c r="AO9" i="7"/>
  <c r="BM9" i="7"/>
  <c r="T9" i="7"/>
  <c r="BX10" i="10"/>
  <c r="BX11" i="10" s="1"/>
  <c r="BW9" i="7"/>
  <c r="BW11" i="7" s="1"/>
  <c r="BW16" i="7" s="1"/>
  <c r="BZ9" i="7"/>
  <c r="CC10" i="10"/>
  <c r="CC11" i="10" s="1"/>
  <c r="BZ10" i="2"/>
  <c r="CE9" i="7"/>
  <c r="CE11" i="7" s="1"/>
  <c r="CE16" i="7" s="1"/>
  <c r="CG11" i="20"/>
  <c r="CG16" i="20" s="1"/>
  <c r="CJ13" i="18"/>
  <c r="CJ18" i="18" s="1"/>
  <c r="CM13" i="13"/>
  <c r="CO13" i="13"/>
  <c r="CL13" i="13"/>
  <c r="CL18" i="13" s="1"/>
  <c r="AA17" i="88"/>
  <c r="AA15" i="88"/>
  <c r="AM17" i="88"/>
  <c r="AM15" i="88"/>
  <c r="CK13" i="13"/>
  <c r="CK18" i="13" s="1"/>
  <c r="CU13" i="13"/>
  <c r="CU18" i="13" s="1"/>
  <c r="Y17" i="88"/>
  <c r="Y15" i="88"/>
  <c r="AX17" i="88"/>
  <c r="AX15" i="88"/>
  <c r="Z17" i="88"/>
  <c r="Z15" i="88"/>
  <c r="W15" i="88"/>
  <c r="CH13" i="18"/>
  <c r="CH18" i="18" s="1"/>
  <c r="CH13" i="13"/>
  <c r="CH18" i="13" s="1"/>
  <c r="CR13" i="13"/>
  <c r="CR18" i="13" s="1"/>
  <c r="CF11" i="28"/>
  <c r="CF16" i="28" s="1"/>
  <c r="CF11" i="20"/>
  <c r="CF16" i="20" s="1"/>
  <c r="BA17" i="88"/>
  <c r="BA15" i="88"/>
  <c r="CQ13" i="13"/>
  <c r="CQ18" i="13" s="1"/>
  <c r="CF13" i="18"/>
  <c r="CF18" i="18" s="1"/>
  <c r="AL17" i="88"/>
  <c r="AL15" i="88"/>
  <c r="CS13" i="13"/>
  <c r="CS18" i="13" s="1"/>
  <c r="CG13" i="18"/>
  <c r="CG18" i="18" s="1"/>
  <c r="CI13" i="18"/>
  <c r="CI18" i="18" s="1"/>
  <c r="AR17" i="88"/>
  <c r="AR15" i="88"/>
  <c r="CT13" i="13"/>
  <c r="CT18" i="13" s="1"/>
  <c r="AJ17" i="88"/>
  <c r="AJ15" i="88"/>
  <c r="AO17" i="88"/>
  <c r="AO15" i="88"/>
  <c r="BW14" i="38"/>
  <c r="BW19" i="38" s="1"/>
  <c r="CD12" i="36"/>
  <c r="CH13" i="66"/>
  <c r="CH18" i="66" s="1"/>
  <c r="CG13" i="66"/>
  <c r="CG18" i="66" s="1"/>
  <c r="AA15" i="87"/>
  <c r="AA18" i="87"/>
  <c r="I15" i="87"/>
  <c r="I18" i="87"/>
  <c r="R15" i="87"/>
  <c r="R18" i="87"/>
  <c r="BY13" i="87"/>
  <c r="BY18" i="87" s="1"/>
  <c r="DN88" i="22" s="1"/>
  <c r="AM13" i="87"/>
  <c r="AM18" i="87" s="1"/>
  <c r="N13" i="87"/>
  <c r="N18" i="87" s="1"/>
  <c r="CJ13" i="87"/>
  <c r="CJ18" i="87" s="1"/>
  <c r="DY88" i="22" s="1"/>
  <c r="AR13" i="87"/>
  <c r="AR18" i="87" s="1"/>
  <c r="AI13" i="87"/>
  <c r="AI18" i="87" s="1"/>
  <c r="BI13" i="87"/>
  <c r="BI18" i="87" s="1"/>
  <c r="CX88" i="22" s="1"/>
  <c r="AS13" i="87"/>
  <c r="AS18" i="87" s="1"/>
  <c r="CH88" i="22" s="1"/>
  <c r="BQ13" i="87"/>
  <c r="BQ18" i="87" s="1"/>
  <c r="DF88" i="22" s="1"/>
  <c r="M13" i="87"/>
  <c r="M18" i="87" s="1"/>
  <c r="Q13" i="87"/>
  <c r="J13" i="87"/>
  <c r="J18" i="87" s="1"/>
  <c r="AC13" i="87"/>
  <c r="CC13" i="87"/>
  <c r="CC18" i="87" s="1"/>
  <c r="DR88" i="22" s="1"/>
  <c r="BN13" i="87"/>
  <c r="BN18" i="87" s="1"/>
  <c r="DC88" i="22" s="1"/>
  <c r="AB13" i="87"/>
  <c r="AB18" i="87" s="1"/>
  <c r="BZ13" i="87"/>
  <c r="BZ18" i="87" s="1"/>
  <c r="DO88" i="22" s="1"/>
  <c r="V13" i="87"/>
  <c r="V18" i="87" s="1"/>
  <c r="CH13" i="87"/>
  <c r="CH18" i="87" s="1"/>
  <c r="DW88" i="22" s="1"/>
  <c r="BT13" i="87"/>
  <c r="BT18" i="87" s="1"/>
  <c r="DI88" i="22" s="1"/>
  <c r="AP13" i="87"/>
  <c r="AP18" i="87" s="1"/>
  <c r="O13" i="87"/>
  <c r="S13" i="87"/>
  <c r="S18" i="87" s="1"/>
  <c r="BF13" i="87"/>
  <c r="BF18" i="87" s="1"/>
  <c r="CU88" i="22" s="1"/>
  <c r="CE11" i="14"/>
  <c r="BR13" i="87"/>
  <c r="BR18" i="87" s="1"/>
  <c r="DG88" i="22" s="1"/>
  <c r="W13" i="87"/>
  <c r="W18" i="87" s="1"/>
  <c r="AN13" i="87"/>
  <c r="AN18" i="87" s="1"/>
  <c r="Y13" i="87"/>
  <c r="CK13" i="87"/>
  <c r="CK18" i="87" s="1"/>
  <c r="BV13" i="87"/>
  <c r="BV15" i="87" s="1"/>
  <c r="AJ13" i="87"/>
  <c r="AJ18" i="87" s="1"/>
  <c r="AV13" i="87"/>
  <c r="AV18" i="87" s="1"/>
  <c r="CK88" i="22" s="1"/>
  <c r="CA13" i="87"/>
  <c r="CA18" i="87" s="1"/>
  <c r="DP88" i="22" s="1"/>
  <c r="AG13" i="87"/>
  <c r="AG18" i="87" s="1"/>
  <c r="CD13" i="87"/>
  <c r="CD18" i="87" s="1"/>
  <c r="DS88" i="22" s="1"/>
  <c r="Z13" i="87"/>
  <c r="AY13" i="87"/>
  <c r="AY18" i="87" s="1"/>
  <c r="CN88" i="22" s="1"/>
  <c r="AD13" i="87"/>
  <c r="AD18" i="87" s="1"/>
  <c r="BS13" i="87"/>
  <c r="BS18" i="87" s="1"/>
  <c r="DH88" i="22" s="1"/>
  <c r="AO13" i="87"/>
  <c r="AO18" i="87" s="1"/>
  <c r="AZ13" i="87"/>
  <c r="AZ18" i="87" s="1"/>
  <c r="CO88" i="22" s="1"/>
  <c r="CF29" i="70"/>
  <c r="AL13" i="87"/>
  <c r="AL18" i="87" s="1"/>
  <c r="CI13" i="87"/>
  <c r="CI18" i="87" s="1"/>
  <c r="DX88" i="22" s="1"/>
  <c r="BL13" i="87"/>
  <c r="BL18" i="87" s="1"/>
  <c r="DA88" i="22" s="1"/>
  <c r="AW13" i="87"/>
  <c r="AH13" i="87"/>
  <c r="AH18" i="87" s="1"/>
  <c r="BO13" i="87"/>
  <c r="BO18" i="87" s="1"/>
  <c r="DD88" i="22" s="1"/>
  <c r="BH13" i="87"/>
  <c r="BH18" i="87" s="1"/>
  <c r="CW88" i="22" s="1"/>
  <c r="AT13" i="87"/>
  <c r="AT18" i="87" s="1"/>
  <c r="CI88" i="22" s="1"/>
  <c r="BE13" i="87"/>
  <c r="BE18" i="87" s="1"/>
  <c r="CT88" i="22" s="1"/>
  <c r="K13" i="87"/>
  <c r="K18" i="87" s="1"/>
  <c r="BW13" i="87"/>
  <c r="BW18" i="87" s="1"/>
  <c r="DL88" i="22" s="1"/>
  <c r="P13" i="87"/>
  <c r="CB13" i="87"/>
  <c r="CB18" i="87" s="1"/>
  <c r="DQ88" i="22" s="1"/>
  <c r="BM13" i="87"/>
  <c r="BJ13" i="87"/>
  <c r="BJ18" i="87" s="1"/>
  <c r="CY88" i="22" s="1"/>
  <c r="AE13" i="87"/>
  <c r="AE18" i="87" s="1"/>
  <c r="CE11" i="20"/>
  <c r="CE16" i="20" s="1"/>
  <c r="CF13" i="66"/>
  <c r="CF18" i="66" s="1"/>
  <c r="CE13" i="18"/>
  <c r="CE18" i="18" s="1"/>
  <c r="S13" i="86"/>
  <c r="S18" i="86" s="1"/>
  <c r="CH13" i="86"/>
  <c r="CH18" i="86" s="1"/>
  <c r="AX13" i="86"/>
  <c r="AX18" i="86" s="1"/>
  <c r="AI13" i="86"/>
  <c r="AI18" i="86" s="1"/>
  <c r="AS13" i="86"/>
  <c r="AS18" i="86" s="1"/>
  <c r="CJ13" i="86"/>
  <c r="CJ18" i="86" s="1"/>
  <c r="BM13" i="86"/>
  <c r="BM18" i="86" s="1"/>
  <c r="CF12" i="5"/>
  <c r="CD10" i="26"/>
  <c r="CD15" i="26" s="1"/>
  <c r="CF11" i="14"/>
  <c r="CF16" i="14" s="1"/>
  <c r="CJ14" i="17"/>
  <c r="CJ21" i="17" s="1"/>
  <c r="CI14" i="17"/>
  <c r="CI21" i="17" s="1"/>
  <c r="CL12" i="5"/>
  <c r="CL17" i="5" s="1"/>
  <c r="CF13" i="13"/>
  <c r="CF18" i="13" s="1"/>
  <c r="CK13" i="86"/>
  <c r="CK18" i="86" s="1"/>
  <c r="CD11" i="14"/>
  <c r="CD16" i="14" s="1"/>
  <c r="CG12" i="16"/>
  <c r="CG17" i="16" s="1"/>
  <c r="CH12" i="5"/>
  <c r="CH17" i="5" s="1"/>
  <c r="CB13" i="86"/>
  <c r="CB18" i="86" s="1"/>
  <c r="CG10" i="26"/>
  <c r="CG15" i="26" s="1"/>
  <c r="CD14" i="17"/>
  <c r="CF12" i="16"/>
  <c r="CF17" i="16" s="1"/>
  <c r="CP12" i="5"/>
  <c r="CP17" i="5" s="1"/>
  <c r="CF10" i="26"/>
  <c r="CF15" i="26" s="1"/>
  <c r="CD12" i="5"/>
  <c r="CD17" i="5" s="1"/>
  <c r="CD12" i="25"/>
  <c r="CD17" i="25" s="1"/>
  <c r="CG12" i="25"/>
  <c r="CG17" i="25" s="1"/>
  <c r="CE12" i="36"/>
  <c r="CE17" i="36" s="1"/>
  <c r="CE10" i="26"/>
  <c r="CE15" i="26" s="1"/>
  <c r="CF13" i="86"/>
  <c r="CF18" i="86" s="1"/>
  <c r="CE12" i="25"/>
  <c r="CE17" i="25" s="1"/>
  <c r="CG12" i="36"/>
  <c r="CG17" i="36" s="1"/>
  <c r="CE12" i="16"/>
  <c r="CE17" i="16" s="1"/>
  <c r="CE12" i="5"/>
  <c r="CE17" i="5" s="1"/>
  <c r="CH14" i="17"/>
  <c r="CH21" i="17" s="1"/>
  <c r="AH13" i="86"/>
  <c r="AH15" i="86" s="1"/>
  <c r="CQ12" i="5"/>
  <c r="CQ17" i="5" s="1"/>
  <c r="CR12" i="5"/>
  <c r="CR17" i="5" s="1"/>
  <c r="CI12" i="5"/>
  <c r="CI17" i="5" s="1"/>
  <c r="CE13" i="13"/>
  <c r="CE18" i="13" s="1"/>
  <c r="CK12" i="5"/>
  <c r="CK17" i="5" s="1"/>
  <c r="CG11" i="14"/>
  <c r="CG16" i="14" s="1"/>
  <c r="CD13" i="13"/>
  <c r="CD18" i="13" s="1"/>
  <c r="CJ12" i="5"/>
  <c r="CJ17" i="5" s="1"/>
  <c r="I13" i="86"/>
  <c r="I18" i="86" s="1"/>
  <c r="CG13" i="13"/>
  <c r="CG18" i="13" s="1"/>
  <c r="CM12" i="5"/>
  <c r="CM17" i="5" s="1"/>
  <c r="CO14" i="17"/>
  <c r="CO21" i="17" s="1"/>
  <c r="CF12" i="36"/>
  <c r="CF17" i="36" s="1"/>
  <c r="N13" i="86"/>
  <c r="N18" i="86" s="1"/>
  <c r="CL14" i="17"/>
  <c r="CD12" i="16"/>
  <c r="CD17" i="16" s="1"/>
  <c r="CF12" i="25"/>
  <c r="CF17" i="25" s="1"/>
  <c r="CG14" i="17"/>
  <c r="CG21" i="17" s="1"/>
  <c r="CN14" i="17"/>
  <c r="CN21" i="17" s="1"/>
  <c r="CM14" i="17"/>
  <c r="CM21" i="17" s="1"/>
  <c r="AW13" i="86"/>
  <c r="AW18" i="86" s="1"/>
  <c r="CG12" i="5"/>
  <c r="CG17" i="5" s="1"/>
  <c r="CF14" i="17"/>
  <c r="CF21" i="17" s="1"/>
  <c r="CE14" i="17"/>
  <c r="CE21" i="17" s="1"/>
  <c r="CG13" i="86"/>
  <c r="CG18" i="86" s="1"/>
  <c r="K13" i="86"/>
  <c r="K18" i="86" s="1"/>
  <c r="Y13" i="86"/>
  <c r="Y18" i="86" s="1"/>
  <c r="T13" i="86"/>
  <c r="T18" i="86" s="1"/>
  <c r="AE13" i="86"/>
  <c r="AE15" i="86" s="1"/>
  <c r="AO13" i="86"/>
  <c r="AO15" i="86" s="1"/>
  <c r="BB13" i="86"/>
  <c r="BB18" i="86" s="1"/>
  <c r="M13" i="86"/>
  <c r="M18" i="86" s="1"/>
  <c r="AF13" i="86"/>
  <c r="AF18" i="86" s="1"/>
  <c r="AQ13" i="86"/>
  <c r="AQ15" i="86" s="1"/>
  <c r="AB13" i="86"/>
  <c r="AB18" i="86" s="1"/>
  <c r="U13" i="86"/>
  <c r="U18" i="86" s="1"/>
  <c r="BC13" i="86"/>
  <c r="BC18" i="86" s="1"/>
  <c r="BO13" i="86"/>
  <c r="BO18" i="86" s="1"/>
  <c r="BW13" i="86"/>
  <c r="BW18" i="86" s="1"/>
  <c r="CC13" i="86"/>
  <c r="CC18" i="86" s="1"/>
  <c r="AP13" i="86"/>
  <c r="AP18" i="86" s="1"/>
  <c r="O13" i="86"/>
  <c r="O18" i="86" s="1"/>
  <c r="AU13" i="86"/>
  <c r="AU18" i="86" s="1"/>
  <c r="Z13" i="86"/>
  <c r="Z18" i="86" s="1"/>
  <c r="AK13" i="86"/>
  <c r="AK18" i="86" s="1"/>
  <c r="AA13" i="86"/>
  <c r="AA18" i="86" s="1"/>
  <c r="L13" i="86"/>
  <c r="L18" i="86" s="1"/>
  <c r="AL13" i="86"/>
  <c r="AL18" i="86" s="1"/>
  <c r="BU13" i="86"/>
  <c r="BU18" i="86" s="1"/>
  <c r="BX13" i="86"/>
  <c r="BX18" i="86" s="1"/>
  <c r="BY13" i="86"/>
  <c r="BY18" i="86" s="1"/>
  <c r="CC11" i="28"/>
  <c r="CC16" i="28" s="1"/>
  <c r="BZ13" i="86"/>
  <c r="BZ18" i="86" s="1"/>
  <c r="BP13" i="86"/>
  <c r="BP18" i="86" s="1"/>
  <c r="BK13" i="86"/>
  <c r="BK18" i="86" s="1"/>
  <c r="BR13" i="86"/>
  <c r="BR18" i="86" s="1"/>
  <c r="BH13" i="86"/>
  <c r="BH18" i="86" s="1"/>
  <c r="BQ13" i="86"/>
  <c r="BQ18" i="86" s="1"/>
  <c r="CA10" i="35"/>
  <c r="BE13" i="86"/>
  <c r="BE18" i="86" s="1"/>
  <c r="BG13" i="86"/>
  <c r="BG18" i="86" s="1"/>
  <c r="CE12" i="79"/>
  <c r="CE17" i="79" s="1"/>
  <c r="DT93" i="22" s="1"/>
  <c r="CA13" i="86"/>
  <c r="CA18" i="86" s="1"/>
  <c r="CD14" i="54"/>
  <c r="CD19" i="54" s="1"/>
  <c r="BN13" i="86"/>
  <c r="BN18" i="86" s="1"/>
  <c r="CB14" i="55"/>
  <c r="CB19" i="55" s="1"/>
  <c r="BJ13" i="86"/>
  <c r="BJ18" i="86" s="1"/>
  <c r="BS13" i="86"/>
  <c r="BS18" i="86" s="1"/>
  <c r="Q13" i="86"/>
  <c r="Q18" i="86" s="1"/>
  <c r="V13" i="86"/>
  <c r="BI13" i="86"/>
  <c r="BI18" i="86" s="1"/>
  <c r="AG13" i="86"/>
  <c r="AG18" i="86" s="1"/>
  <c r="P13" i="86"/>
  <c r="P18" i="86" s="1"/>
  <c r="BF13" i="86"/>
  <c r="BF18" i="86" s="1"/>
  <c r="AV13" i="86"/>
  <c r="AV18" i="86" s="1"/>
  <c r="AD13" i="86"/>
  <c r="AD18" i="86" s="1"/>
  <c r="BT13" i="86"/>
  <c r="BT18" i="86" s="1"/>
  <c r="AT13" i="86"/>
  <c r="AT18" i="86" s="1"/>
  <c r="BD13" i="86"/>
  <c r="BD18" i="86" s="1"/>
  <c r="BV13" i="86"/>
  <c r="BV18" i="86" s="1"/>
  <c r="AY13" i="86"/>
  <c r="AY18" i="86" s="1"/>
  <c r="AJ13" i="86"/>
  <c r="AJ18" i="86" s="1"/>
  <c r="CE12" i="76"/>
  <c r="BL13" i="86"/>
  <c r="BL18" i="86" s="1"/>
  <c r="AR13" i="86"/>
  <c r="AR18" i="86" s="1"/>
  <c r="AC13" i="86"/>
  <c r="AN13" i="86"/>
  <c r="AZ13" i="86"/>
  <c r="AZ18" i="86" s="1"/>
  <c r="CE12" i="60"/>
  <c r="CE17" i="60" s="1"/>
  <c r="CA11" i="20"/>
  <c r="CA16" i="20" s="1"/>
  <c r="CB11" i="23"/>
  <c r="CB16" i="23" s="1"/>
  <c r="CB12" i="5"/>
  <c r="CB17" i="5" s="1"/>
  <c r="CA13" i="49"/>
  <c r="CA18" i="49" s="1"/>
  <c r="CC12" i="57"/>
  <c r="CC5" i="30" s="1"/>
  <c r="CC9" i="30" s="1"/>
  <c r="CC14" i="30" s="1"/>
  <c r="CC7" i="29" s="1"/>
  <c r="CC11" i="29" s="1"/>
  <c r="CC16" i="29" s="1"/>
  <c r="CC21" i="29" s="1"/>
  <c r="CE11" i="28"/>
  <c r="CE16" i="28" s="1"/>
  <c r="CD14" i="55"/>
  <c r="CD19" i="55" s="1"/>
  <c r="CF16" i="58"/>
  <c r="CG10" i="44"/>
  <c r="CG15" i="44" s="1"/>
  <c r="CD11" i="28"/>
  <c r="CD16" i="28" s="1"/>
  <c r="CC12" i="79"/>
  <c r="CC17" i="79" s="1"/>
  <c r="DR93" i="22" s="1"/>
  <c r="CD13" i="32"/>
  <c r="CD5" i="31" s="1"/>
  <c r="CD10" i="31" s="1"/>
  <c r="CD11" i="31" s="1"/>
  <c r="CD17" i="31" s="1"/>
  <c r="CB12" i="16"/>
  <c r="CB17" i="16" s="1"/>
  <c r="CD14" i="38"/>
  <c r="CD19" i="38" s="1"/>
  <c r="CC12" i="36"/>
  <c r="CC17" i="36" s="1"/>
  <c r="CA12" i="57"/>
  <c r="CA5" i="30" s="1"/>
  <c r="CA9" i="30" s="1"/>
  <c r="CA14" i="30" s="1"/>
  <c r="CA7" i="29" s="1"/>
  <c r="CA11" i="29" s="1"/>
  <c r="CA16" i="29" s="1"/>
  <c r="CA21" i="29" s="1"/>
  <c r="CB11" i="28"/>
  <c r="CB16" i="28" s="1"/>
  <c r="CE10" i="35"/>
  <c r="CA13" i="52"/>
  <c r="CA18" i="52" s="1"/>
  <c r="CF12" i="57"/>
  <c r="CF5" i="30" s="1"/>
  <c r="CF9" i="30" s="1"/>
  <c r="CF14" i="30" s="1"/>
  <c r="CF7" i="29" s="1"/>
  <c r="CF11" i="29" s="1"/>
  <c r="CF16" i="29" s="1"/>
  <c r="CF21" i="29" s="1"/>
  <c r="CE11" i="23"/>
  <c r="CC11" i="23"/>
  <c r="CC16" i="23" s="1"/>
  <c r="CB13" i="32"/>
  <c r="CB5" i="31" s="1"/>
  <c r="CB10" i="31" s="1"/>
  <c r="CB11" i="31" s="1"/>
  <c r="CB17" i="31" s="1"/>
  <c r="CD13" i="73"/>
  <c r="CD18" i="73" s="1"/>
  <c r="CD12" i="81"/>
  <c r="CD17" i="81" s="1"/>
  <c r="CG14" i="54"/>
  <c r="CG19" i="54" s="1"/>
  <c r="CA13" i="18"/>
  <c r="CA18" i="18" s="1"/>
  <c r="CB12" i="76"/>
  <c r="CB17" i="76" s="1"/>
  <c r="CG13" i="52"/>
  <c r="CG18" i="52" s="1"/>
  <c r="CG14" i="38"/>
  <c r="CG19" i="38" s="1"/>
  <c r="CC11" i="14"/>
  <c r="CC16" i="14" s="1"/>
  <c r="CA14" i="38"/>
  <c r="CA19" i="38" s="1"/>
  <c r="CG12" i="79"/>
  <c r="CG17" i="79" s="1"/>
  <c r="DV93" i="22" s="1"/>
  <c r="CA13" i="13"/>
  <c r="CA18" i="13" s="1"/>
  <c r="CA16" i="58"/>
  <c r="CC12" i="16"/>
  <c r="CC17" i="16" s="1"/>
  <c r="CC11" i="20"/>
  <c r="CC16" i="20" s="1"/>
  <c r="CC13" i="66"/>
  <c r="CC18" i="66" s="1"/>
  <c r="CB10" i="26"/>
  <c r="CB15" i="26" s="1"/>
  <c r="CA12" i="60"/>
  <c r="CA17" i="60" s="1"/>
  <c r="BZ10" i="26"/>
  <c r="BZ15" i="26" s="1"/>
  <c r="CH13" i="49"/>
  <c r="CH18" i="49" s="1"/>
  <c r="CC14" i="17"/>
  <c r="CC21" i="17" s="1"/>
  <c r="CG13" i="32"/>
  <c r="CG5" i="31" s="1"/>
  <c r="CG10" i="31" s="1"/>
  <c r="CG11" i="31" s="1"/>
  <c r="CG17" i="31" s="1"/>
  <c r="CC12" i="60"/>
  <c r="CC17" i="60" s="1"/>
  <c r="CE13" i="52"/>
  <c r="CE18" i="52" s="1"/>
  <c r="CC13" i="73"/>
  <c r="CC18" i="73" s="1"/>
  <c r="CE13" i="73"/>
  <c r="CE18" i="73" s="1"/>
  <c r="CE14" i="55"/>
  <c r="CE19" i="55" s="1"/>
  <c r="CC13" i="32"/>
  <c r="CC5" i="31" s="1"/>
  <c r="CC10" i="31" s="1"/>
  <c r="CC11" i="31" s="1"/>
  <c r="CC17" i="31" s="1"/>
  <c r="BW14" i="17"/>
  <c r="BW21" i="17" s="1"/>
  <c r="CB11" i="20"/>
  <c r="CB16" i="20" s="1"/>
  <c r="CB14" i="38"/>
  <c r="CB19" i="38" s="1"/>
  <c r="CE14" i="38"/>
  <c r="CE19" i="38" s="1"/>
  <c r="CB13" i="52"/>
  <c r="CB18" i="52" s="1"/>
  <c r="CH13" i="73"/>
  <c r="CH18" i="73" s="1"/>
  <c r="CG12" i="81"/>
  <c r="CG17" i="81" s="1"/>
  <c r="CE12" i="81"/>
  <c r="CE17" i="81" s="1"/>
  <c r="CE16" i="58"/>
  <c r="BY11" i="28"/>
  <c r="BY16" i="28" s="1"/>
  <c r="CE14" i="54"/>
  <c r="CE19" i="54" s="1"/>
  <c r="BZ13" i="13"/>
  <c r="BZ18" i="13" s="1"/>
  <c r="CB13" i="13"/>
  <c r="CB18" i="13" s="1"/>
  <c r="CD10" i="44"/>
  <c r="CD15" i="44" s="1"/>
  <c r="CH12" i="76"/>
  <c r="CH17" i="76" s="1"/>
  <c r="CF14" i="55"/>
  <c r="CF19" i="55" s="1"/>
  <c r="CG12" i="76"/>
  <c r="CG17" i="76" s="1"/>
  <c r="R12" i="79"/>
  <c r="R17" i="79" s="1"/>
  <c r="CB16" i="58"/>
  <c r="CA13" i="66"/>
  <c r="CA18" i="66" s="1"/>
  <c r="CA14" i="54"/>
  <c r="CA19" i="54" s="1"/>
  <c r="CF10" i="35"/>
  <c r="CC16" i="58"/>
  <c r="CE13" i="49"/>
  <c r="CE18" i="49" s="1"/>
  <c r="CC13" i="52"/>
  <c r="CC18" i="52" s="1"/>
  <c r="CC14" i="54"/>
  <c r="CC19" i="54" s="1"/>
  <c r="CD12" i="57"/>
  <c r="CD5" i="30" s="1"/>
  <c r="CD9" i="30" s="1"/>
  <c r="CD14" i="30" s="1"/>
  <c r="CD7" i="29" s="1"/>
  <c r="CD11" i="29" s="1"/>
  <c r="CD16" i="29" s="1"/>
  <c r="CD21" i="29" s="1"/>
  <c r="CA12" i="16"/>
  <c r="CA17" i="16" s="1"/>
  <c r="CC12" i="25"/>
  <c r="CC17" i="25" s="1"/>
  <c r="CB14" i="17"/>
  <c r="CB21" i="17" s="1"/>
  <c r="CA11" i="28"/>
  <c r="CA16" i="28" s="1"/>
  <c r="BZ11" i="23"/>
  <c r="BZ16" i="23" s="1"/>
  <c r="CH14" i="38"/>
  <c r="CH19" i="38" s="1"/>
  <c r="CG11" i="23"/>
  <c r="CG16" i="23" s="1"/>
  <c r="CC13" i="62"/>
  <c r="CH12" i="81"/>
  <c r="CH17" i="81" s="1"/>
  <c r="CD16" i="58"/>
  <c r="CD12" i="76"/>
  <c r="CD17" i="76" s="1"/>
  <c r="CB15" i="39"/>
  <c r="CC14" i="55"/>
  <c r="CC19" i="55" s="1"/>
  <c r="CB12" i="60"/>
  <c r="CB17" i="60" s="1"/>
  <c r="CD12" i="79"/>
  <c r="CD17" i="79" s="1"/>
  <c r="DS93" i="22" s="1"/>
  <c r="CH13" i="52"/>
  <c r="CH18" i="52" s="1"/>
  <c r="CE13" i="62"/>
  <c r="CF13" i="73"/>
  <c r="CF18" i="73" s="1"/>
  <c r="CC10" i="44"/>
  <c r="CC15" i="44" s="1"/>
  <c r="CF10" i="70"/>
  <c r="CF19" i="70" s="1"/>
  <c r="CF13" i="49"/>
  <c r="CF18" i="49" s="1"/>
  <c r="CB11" i="48"/>
  <c r="CB16" i="48" s="1"/>
  <c r="CB18" i="48"/>
  <c r="CB19" i="48"/>
  <c r="CF12" i="76"/>
  <c r="CF17" i="76" s="1"/>
  <c r="CB14" i="54"/>
  <c r="CB19" i="54" s="1"/>
  <c r="CA14" i="17"/>
  <c r="CA21" i="17" s="1"/>
  <c r="CB11" i="14"/>
  <c r="CC12" i="5"/>
  <c r="CC17" i="5" s="1"/>
  <c r="CH10" i="44"/>
  <c r="CH15" i="44" s="1"/>
  <c r="CA11" i="23"/>
  <c r="CA16" i="23" s="1"/>
  <c r="CF13" i="52"/>
  <c r="CF18" i="52" s="1"/>
  <c r="CC11" i="48"/>
  <c r="CC16" i="48" s="1"/>
  <c r="CC19" i="48"/>
  <c r="CC18" i="48"/>
  <c r="CG10" i="70"/>
  <c r="CG19" i="70" s="1"/>
  <c r="CD19" i="48"/>
  <c r="CD11" i="48"/>
  <c r="CD16" i="48" s="1"/>
  <c r="CD18" i="48"/>
  <c r="CG13" i="62"/>
  <c r="CE13" i="66"/>
  <c r="CE18" i="66" s="1"/>
  <c r="CC10" i="26"/>
  <c r="CC15" i="26" s="1"/>
  <c r="CC13" i="13"/>
  <c r="CC18" i="13" s="1"/>
  <c r="CE10" i="70"/>
  <c r="CE19" i="70" s="1"/>
  <c r="CE18" i="48"/>
  <c r="CE11" i="48"/>
  <c r="CE16" i="48" s="1"/>
  <c r="CE19" i="48"/>
  <c r="CD13" i="49"/>
  <c r="CD18" i="49" s="1"/>
  <c r="CF13" i="32"/>
  <c r="CF5" i="31" s="1"/>
  <c r="CF10" i="31" s="1"/>
  <c r="CF11" i="31" s="1"/>
  <c r="CF17" i="31" s="1"/>
  <c r="CB10" i="44"/>
  <c r="CB15" i="44" s="1"/>
  <c r="CF12" i="81"/>
  <c r="CF17" i="81" s="1"/>
  <c r="CE15" i="39"/>
  <c r="CA12" i="79"/>
  <c r="CA17" i="79" s="1"/>
  <c r="DP93" i="22" s="1"/>
  <c r="CA12" i="36"/>
  <c r="CA17" i="36" s="1"/>
  <c r="CC13" i="18"/>
  <c r="CC18" i="18" s="1"/>
  <c r="CD15" i="39"/>
  <c r="BZ13" i="18"/>
  <c r="BZ18" i="18" s="1"/>
  <c r="CB12" i="25"/>
  <c r="CB17" i="25" s="1"/>
  <c r="CB13" i="18"/>
  <c r="CB18" i="18" s="1"/>
  <c r="CA15" i="39"/>
  <c r="CC10" i="35"/>
  <c r="CA13" i="73"/>
  <c r="CA18" i="73" s="1"/>
  <c r="CE13" i="32"/>
  <c r="CE5" i="31" s="1"/>
  <c r="CE10" i="31" s="1"/>
  <c r="CE11" i="31" s="1"/>
  <c r="CE17" i="31" s="1"/>
  <c r="CB12" i="81"/>
  <c r="CB17" i="81" s="1"/>
  <c r="CB13" i="49"/>
  <c r="CB18" i="49" s="1"/>
  <c r="CD13" i="52"/>
  <c r="CD18" i="52" s="1"/>
  <c r="CA13" i="62"/>
  <c r="CB13" i="73"/>
  <c r="CB18" i="73" s="1"/>
  <c r="CA12" i="81"/>
  <c r="CA17" i="81" s="1"/>
  <c r="CH16" i="58"/>
  <c r="CG13" i="73"/>
  <c r="CG18" i="73" s="1"/>
  <c r="CF12" i="60"/>
  <c r="CF17" i="60" s="1"/>
  <c r="CH14" i="54"/>
  <c r="CH19" i="54" s="1"/>
  <c r="CB12" i="57"/>
  <c r="CB5" i="30" s="1"/>
  <c r="CB9" i="30" s="1"/>
  <c r="CB14" i="30" s="1"/>
  <c r="CB7" i="29" s="1"/>
  <c r="CB11" i="29" s="1"/>
  <c r="CB16" i="29" s="1"/>
  <c r="CB21" i="29" s="1"/>
  <c r="BZ11" i="14"/>
  <c r="BZ16" i="14" s="1"/>
  <c r="CA11" i="14"/>
  <c r="CF10" i="44"/>
  <c r="CF15" i="44" s="1"/>
  <c r="CH11" i="48"/>
  <c r="CH16" i="48" s="1"/>
  <c r="CH18" i="48"/>
  <c r="CH19" i="48"/>
  <c r="CF13" i="62"/>
  <c r="CB10" i="35"/>
  <c r="CB13" i="62"/>
  <c r="CF19" i="48"/>
  <c r="CF18" i="48"/>
  <c r="CF11" i="48"/>
  <c r="CF16" i="48" s="1"/>
  <c r="CH12" i="60"/>
  <c r="CH17" i="60" s="1"/>
  <c r="CF15" i="39"/>
  <c r="CG14" i="55"/>
  <c r="CG19" i="55" s="1"/>
  <c r="CD13" i="62"/>
  <c r="BZ12" i="25"/>
  <c r="BZ17" i="25" s="1"/>
  <c r="CG10" i="35"/>
  <c r="CH10" i="70"/>
  <c r="CH19" i="70" s="1"/>
  <c r="CB12" i="36"/>
  <c r="CB17" i="36" s="1"/>
  <c r="CD11" i="23"/>
  <c r="CD16" i="23" s="1"/>
  <c r="CC14" i="38"/>
  <c r="CC19" i="38" s="1"/>
  <c r="BZ12" i="36"/>
  <c r="BZ17" i="36" s="1"/>
  <c r="CA13" i="32"/>
  <c r="CA5" i="31" s="1"/>
  <c r="CA10" i="31" s="1"/>
  <c r="CA11" i="31" s="1"/>
  <c r="CA17" i="31" s="1"/>
  <c r="CH13" i="62"/>
  <c r="CA12" i="5"/>
  <c r="CA17" i="5" s="1"/>
  <c r="BZ11" i="20"/>
  <c r="BZ16" i="20" s="1"/>
  <c r="CF11" i="23"/>
  <c r="CF16" i="23" s="1"/>
  <c r="CE12" i="57"/>
  <c r="CE5" i="30" s="1"/>
  <c r="CE9" i="30" s="1"/>
  <c r="CE14" i="30" s="1"/>
  <c r="CE7" i="29" s="1"/>
  <c r="CE11" i="29" s="1"/>
  <c r="CE16" i="29" s="1"/>
  <c r="CE21" i="29" s="1"/>
  <c r="CG16" i="58"/>
  <c r="CC13" i="49"/>
  <c r="CC18" i="49" s="1"/>
  <c r="CH12" i="79"/>
  <c r="CH17" i="79" s="1"/>
  <c r="DW93" i="22" s="1"/>
  <c r="CG19" i="48"/>
  <c r="CG11" i="48"/>
  <c r="CG16" i="48" s="1"/>
  <c r="CG18" i="48"/>
  <c r="CG15" i="39"/>
  <c r="BZ12" i="16"/>
  <c r="BZ17" i="16" s="1"/>
  <c r="CC15" i="39"/>
  <c r="CG13" i="49"/>
  <c r="CG18" i="49" s="1"/>
  <c r="CF14" i="38"/>
  <c r="CF19" i="38" s="1"/>
  <c r="CF12" i="79"/>
  <c r="CF17" i="79" s="1"/>
  <c r="DU93" i="22" s="1"/>
  <c r="CC12" i="81"/>
  <c r="CC17" i="81" s="1"/>
  <c r="CB13" i="66"/>
  <c r="CB18" i="66" s="1"/>
  <c r="CC12" i="76"/>
  <c r="CC17" i="76" s="1"/>
  <c r="CH15" i="39"/>
  <c r="CF14" i="54"/>
  <c r="CF19" i="54" s="1"/>
  <c r="CB12" i="79"/>
  <c r="CB17" i="79" s="1"/>
  <c r="DQ93" i="22" s="1"/>
  <c r="CA19" i="48"/>
  <c r="CA18" i="48"/>
  <c r="CA11" i="48"/>
  <c r="CA16" i="48" s="1"/>
  <c r="CD13" i="66"/>
  <c r="CD18" i="66" s="1"/>
  <c r="BZ13" i="49"/>
  <c r="BZ18" i="49" s="1"/>
  <c r="BY12" i="5"/>
  <c r="BY17" i="5" s="1"/>
  <c r="BZ11" i="28"/>
  <c r="BZ16" i="28" s="1"/>
  <c r="BY11" i="23"/>
  <c r="BY16" i="23" s="1"/>
  <c r="BZ13" i="73"/>
  <c r="BZ18" i="73" s="1"/>
  <c r="BY12" i="25"/>
  <c r="BY17" i="25" s="1"/>
  <c r="BY10" i="35"/>
  <c r="BY10" i="26"/>
  <c r="BY15" i="26" s="1"/>
  <c r="BZ13" i="62"/>
  <c r="BY13" i="13"/>
  <c r="BY11" i="20"/>
  <c r="BZ16" i="58"/>
  <c r="BZ12" i="60"/>
  <c r="BZ17" i="60" s="1"/>
  <c r="BW13" i="49"/>
  <c r="BW18" i="49" s="1"/>
  <c r="BZ19" i="48"/>
  <c r="BZ11" i="48"/>
  <c r="BZ16" i="48" s="1"/>
  <c r="BZ18" i="48"/>
  <c r="BY12" i="16"/>
  <c r="BY17" i="16" s="1"/>
  <c r="BZ13" i="52"/>
  <c r="BZ18" i="52" s="1"/>
  <c r="BY14" i="17"/>
  <c r="BY21" i="17" s="1"/>
  <c r="BZ12" i="79"/>
  <c r="BZ17" i="79" s="1"/>
  <c r="DO93" i="22" s="1"/>
  <c r="BZ13" i="66"/>
  <c r="BZ18" i="66" s="1"/>
  <c r="BZ10" i="35"/>
  <c r="BY13" i="32"/>
  <c r="BY5" i="31" s="1"/>
  <c r="BY10" i="31" s="1"/>
  <c r="BY11" i="31" s="1"/>
  <c r="BY17" i="31" s="1"/>
  <c r="BZ13" i="32"/>
  <c r="BZ5" i="31" s="1"/>
  <c r="BZ10" i="31" s="1"/>
  <c r="BZ11" i="31" s="1"/>
  <c r="BZ17" i="31" s="1"/>
  <c r="W12" i="79"/>
  <c r="W17" i="79" s="1"/>
  <c r="CA12" i="76"/>
  <c r="CA17" i="76" s="1"/>
  <c r="O15" i="85"/>
  <c r="Q15" i="85"/>
  <c r="BX14" i="17"/>
  <c r="BX21" i="17" s="1"/>
  <c r="BY13" i="49"/>
  <c r="BY18" i="49" s="1"/>
  <c r="BY12" i="81"/>
  <c r="BY17" i="81" s="1"/>
  <c r="BZ12" i="81"/>
  <c r="BZ17" i="81" s="1"/>
  <c r="BV11" i="28"/>
  <c r="BV16" i="28" s="1"/>
  <c r="BY12" i="57"/>
  <c r="BY5" i="30" s="1"/>
  <c r="BY9" i="30" s="1"/>
  <c r="BY14" i="30" s="1"/>
  <c r="BY7" i="29" s="1"/>
  <c r="BY11" i="29" s="1"/>
  <c r="BY16" i="29" s="1"/>
  <c r="I15" i="61"/>
  <c r="I18" i="61" s="1"/>
  <c r="I20" i="61" s="1"/>
  <c r="I9" i="39"/>
  <c r="I10" i="39" s="1"/>
  <c r="H9" i="19"/>
  <c r="H11" i="19" s="1"/>
  <c r="H16" i="19" s="1"/>
  <c r="I9" i="75"/>
  <c r="I11" i="75" s="1"/>
  <c r="I16" i="75" s="1"/>
  <c r="BX12" i="16"/>
  <c r="BX17" i="16" s="1"/>
  <c r="BV12" i="57"/>
  <c r="BV5" i="30" s="1"/>
  <c r="BV9" i="30" s="1"/>
  <c r="BV14" i="30" s="1"/>
  <c r="BV7" i="29" s="1"/>
  <c r="BV11" i="29" s="1"/>
  <c r="BV16" i="29" s="1"/>
  <c r="BV21" i="29" s="1"/>
  <c r="BW10" i="44"/>
  <c r="BW15" i="44" s="1"/>
  <c r="BY10" i="44"/>
  <c r="BY15" i="44" s="1"/>
  <c r="CS36" i="22"/>
  <c r="AX36" i="83"/>
  <c r="CK44" i="22"/>
  <c r="AP44" i="83"/>
  <c r="CU44" i="22"/>
  <c r="AZ44" i="83"/>
  <c r="DE67" i="22"/>
  <c r="BJ67" i="83"/>
  <c r="DC37" i="22"/>
  <c r="BH37" i="83"/>
  <c r="DK37" i="22"/>
  <c r="BP37" i="83"/>
  <c r="DC80" i="22"/>
  <c r="BH80" i="83"/>
  <c r="CI44" i="22"/>
  <c r="AN44" i="83"/>
  <c r="CK18" i="22"/>
  <c r="AP18" i="83"/>
  <c r="CH18" i="22"/>
  <c r="AM18" i="83"/>
  <c r="C18" i="83" s="1"/>
  <c r="CH44" i="22"/>
  <c r="AM44" i="83"/>
  <c r="CQ44" i="22"/>
  <c r="AV44" i="83"/>
  <c r="CW67" i="22"/>
  <c r="BB67" i="83"/>
  <c r="CX67" i="22"/>
  <c r="BC67" i="83"/>
  <c r="DC67" i="22"/>
  <c r="BH67" i="83"/>
  <c r="CZ44" i="22"/>
  <c r="BE44" i="83"/>
  <c r="DB36" i="22"/>
  <c r="BG36" i="83"/>
  <c r="CX37" i="22"/>
  <c r="BC37" i="83"/>
  <c r="DD37" i="22"/>
  <c r="BI37" i="83"/>
  <c r="DI44" i="22"/>
  <c r="BN44" i="83"/>
  <c r="DG18" i="22"/>
  <c r="BL18" i="83"/>
  <c r="DD41" i="22"/>
  <c r="BI41" i="83"/>
  <c r="DJ44" i="22"/>
  <c r="BO44" i="83"/>
  <c r="DG28" i="22"/>
  <c r="BL28" i="83"/>
  <c r="DE79" i="22"/>
  <c r="BJ79" i="83"/>
  <c r="CH79" i="22"/>
  <c r="AM79" i="83"/>
  <c r="C79" i="83" s="1"/>
  <c r="CU79" i="22"/>
  <c r="AZ79" i="83"/>
  <c r="CK83" i="22"/>
  <c r="AP83" i="83"/>
  <c r="DK83" i="22"/>
  <c r="BP83" i="83"/>
  <c r="CW83" i="22"/>
  <c r="BB83" i="83"/>
  <c r="DF83" i="22"/>
  <c r="BK83" i="83"/>
  <c r="DJ80" i="22"/>
  <c r="BO80" i="83"/>
  <c r="DL36" i="22"/>
  <c r="BQ36" i="83"/>
  <c r="DN37" i="22"/>
  <c r="BS37" i="83"/>
  <c r="DN44" i="22"/>
  <c r="BS44" i="83"/>
  <c r="DL18" i="22"/>
  <c r="BQ18" i="83"/>
  <c r="DL80" i="22"/>
  <c r="BQ80" i="83"/>
  <c r="DN41" i="22"/>
  <c r="BS41" i="83"/>
  <c r="DL83" i="22"/>
  <c r="BQ83" i="83"/>
  <c r="DL28" i="22"/>
  <c r="BQ28" i="83"/>
  <c r="DM79" i="22"/>
  <c r="BR79" i="83"/>
  <c r="DM41" i="22"/>
  <c r="BR41" i="83"/>
  <c r="CW44" i="22"/>
  <c r="BB44" i="83"/>
  <c r="DD18" i="22"/>
  <c r="BI18" i="83"/>
  <c r="DB37" i="22"/>
  <c r="BG37" i="83"/>
  <c r="DH18" i="22"/>
  <c r="BM18" i="83"/>
  <c r="DH41" i="22"/>
  <c r="BM41" i="83"/>
  <c r="DI67" i="22"/>
  <c r="BN67" i="83"/>
  <c r="DJ36" i="22"/>
  <c r="BO36" i="83"/>
  <c r="DF37" i="22"/>
  <c r="BK37" i="83"/>
  <c r="DK67" i="22"/>
  <c r="BP67" i="83"/>
  <c r="CP79" i="22"/>
  <c r="AU79" i="83"/>
  <c r="CM80" i="22"/>
  <c r="AR80" i="83"/>
  <c r="CI79" i="22"/>
  <c r="AN79" i="83"/>
  <c r="CR79" i="22"/>
  <c r="AW79" i="83"/>
  <c r="CL79" i="22"/>
  <c r="AQ79" i="83"/>
  <c r="CI80" i="22"/>
  <c r="AN80" i="83"/>
  <c r="CW80" i="22"/>
  <c r="BB80" i="83"/>
  <c r="DC79" i="22"/>
  <c r="BH79" i="83"/>
  <c r="CZ80" i="22"/>
  <c r="BE80" i="83"/>
  <c r="CS83" i="22"/>
  <c r="AX83" i="83"/>
  <c r="CQ83" i="22"/>
  <c r="AV83" i="83"/>
  <c r="DN80" i="22"/>
  <c r="BS80" i="83"/>
  <c r="CO36" i="22"/>
  <c r="AT36" i="83"/>
  <c r="CN18" i="22"/>
  <c r="AS18" i="83"/>
  <c r="CL44" i="22"/>
  <c r="AQ44" i="83"/>
  <c r="CU18" i="22"/>
  <c r="AZ18" i="83"/>
  <c r="CU67" i="22"/>
  <c r="AZ67" i="83"/>
  <c r="CX36" i="22"/>
  <c r="BC36" i="83"/>
  <c r="CW36" i="22"/>
  <c r="BB36" i="83"/>
  <c r="DG44" i="22"/>
  <c r="BL44" i="83"/>
  <c r="DE18" i="22"/>
  <c r="BJ18" i="83"/>
  <c r="DH44" i="22"/>
  <c r="BM44" i="83"/>
  <c r="DI28" i="22"/>
  <c r="BN28" i="83"/>
  <c r="CX79" i="22"/>
  <c r="BC79" i="83"/>
  <c r="CU80" i="22"/>
  <c r="AZ80" i="83"/>
  <c r="CQ79" i="22"/>
  <c r="AV79" i="83"/>
  <c r="CT79" i="22"/>
  <c r="AY79" i="83"/>
  <c r="CQ80" i="22"/>
  <c r="AV80" i="83"/>
  <c r="DK79" i="22"/>
  <c r="BP79" i="83"/>
  <c r="DA83" i="22"/>
  <c r="BF83" i="83"/>
  <c r="CJ83" i="22"/>
  <c r="AO83" i="83"/>
  <c r="DG83" i="22"/>
  <c r="BL83" i="83"/>
  <c r="BW12" i="16"/>
  <c r="BW17" i="16" s="1"/>
  <c r="DM36" i="22"/>
  <c r="BR36" i="83"/>
  <c r="DN83" i="22"/>
  <c r="BS83" i="83"/>
  <c r="CS67" i="22"/>
  <c r="AX67" i="83"/>
  <c r="CY67" i="22"/>
  <c r="BD67" i="83"/>
  <c r="CP18" i="22"/>
  <c r="AU18" i="83"/>
  <c r="CO44" i="22"/>
  <c r="AT44" i="83"/>
  <c r="DI41" i="22"/>
  <c r="BN41" i="83"/>
  <c r="DF36" i="22"/>
  <c r="BK36" i="83"/>
  <c r="CT80" i="22"/>
  <c r="AY80" i="83"/>
  <c r="CY79" i="22"/>
  <c r="BD79" i="83"/>
  <c r="CO80" i="22"/>
  <c r="AT80" i="83"/>
  <c r="DB79" i="22"/>
  <c r="BG79" i="83"/>
  <c r="CY80" i="22"/>
  <c r="BD80" i="83"/>
  <c r="CK80" i="22"/>
  <c r="AP80" i="83"/>
  <c r="DI83" i="22"/>
  <c r="BN83" i="83"/>
  <c r="CY83" i="22"/>
  <c r="BD83" i="83"/>
  <c r="DD83" i="22"/>
  <c r="BI83" i="83"/>
  <c r="DM67" i="22"/>
  <c r="BR67" i="83"/>
  <c r="DL67" i="22"/>
  <c r="BQ67" i="83"/>
  <c r="DN18" i="22"/>
  <c r="BS18" i="83"/>
  <c r="CR36" i="22"/>
  <c r="AW36" i="83"/>
  <c r="CQ36" i="22"/>
  <c r="AV36" i="83"/>
  <c r="CH36" i="22"/>
  <c r="AM36" i="83"/>
  <c r="C36" i="83" s="1"/>
  <c r="CQ18" i="22"/>
  <c r="AV18" i="83"/>
  <c r="CL18" i="22"/>
  <c r="AQ18" i="83"/>
  <c r="CP44" i="22"/>
  <c r="AU44" i="83"/>
  <c r="CT67" i="22"/>
  <c r="AY67" i="83"/>
  <c r="CX44" i="22"/>
  <c r="BC44" i="83"/>
  <c r="DA67" i="22"/>
  <c r="BF67" i="83"/>
  <c r="CZ67" i="22"/>
  <c r="BE67" i="83"/>
  <c r="CY37" i="22"/>
  <c r="BD37" i="83"/>
  <c r="DG36" i="22"/>
  <c r="BL36" i="83"/>
  <c r="DK36" i="22"/>
  <c r="BP36" i="83"/>
  <c r="DH28" i="22"/>
  <c r="BM28" i="83"/>
  <c r="DI36" i="22"/>
  <c r="BN36" i="83"/>
  <c r="DK18" i="22"/>
  <c r="BP18" i="83"/>
  <c r="DJ37" i="22"/>
  <c r="BO37" i="83"/>
  <c r="DF18" i="22"/>
  <c r="BK18" i="83"/>
  <c r="DJ28" i="22"/>
  <c r="BO28" i="83"/>
  <c r="DF28" i="22"/>
  <c r="BK28" i="83"/>
  <c r="DK80" i="22"/>
  <c r="BP80" i="83"/>
  <c r="DB80" i="22"/>
  <c r="BG80" i="83"/>
  <c r="DG79" i="22"/>
  <c r="BL79" i="83"/>
  <c r="CK79" i="22"/>
  <c r="AP79" i="83"/>
  <c r="CH80" i="22"/>
  <c r="AM80" i="83"/>
  <c r="DJ79" i="22"/>
  <c r="BO79" i="83"/>
  <c r="CJ79" i="22"/>
  <c r="AO79" i="83"/>
  <c r="CN79" i="22"/>
  <c r="AS79" i="83"/>
  <c r="CS80" i="22"/>
  <c r="AX80" i="83"/>
  <c r="CT83" i="22"/>
  <c r="AY83" i="83"/>
  <c r="CV83" i="22"/>
  <c r="BA83" i="83"/>
  <c r="DL41" i="22"/>
  <c r="BQ41" i="83"/>
  <c r="DM37" i="22"/>
  <c r="BR37" i="83"/>
  <c r="CZ36" i="22"/>
  <c r="BE36" i="83"/>
  <c r="DA18" i="22"/>
  <c r="BF18" i="83"/>
  <c r="DF44" i="22"/>
  <c r="BK44" i="83"/>
  <c r="DE44" i="22"/>
  <c r="BJ44" i="83"/>
  <c r="CJ36" i="22"/>
  <c r="AO36" i="83"/>
  <c r="CK36" i="22"/>
  <c r="AP36" i="83"/>
  <c r="CN44" i="22"/>
  <c r="AS44" i="83"/>
  <c r="CT18" i="22"/>
  <c r="AY18" i="83"/>
  <c r="CV18" i="22"/>
  <c r="BA18" i="83"/>
  <c r="DC18" i="22"/>
  <c r="BH18" i="83"/>
  <c r="CZ37" i="22"/>
  <c r="BE37" i="83"/>
  <c r="DE37" i="22"/>
  <c r="BJ37" i="83"/>
  <c r="DG41" i="22"/>
  <c r="BL41" i="83"/>
  <c r="DI18" i="22"/>
  <c r="BN18" i="83"/>
  <c r="DJ18" i="22"/>
  <c r="BO18" i="83"/>
  <c r="DG37" i="22"/>
  <c r="BL37" i="83"/>
  <c r="DG67" i="22"/>
  <c r="BL67" i="83"/>
  <c r="DF67" i="22"/>
  <c r="BK67" i="83"/>
  <c r="DE41" i="22"/>
  <c r="BJ41" i="83"/>
  <c r="DJ67" i="22"/>
  <c r="BO67" i="83"/>
  <c r="DH79" i="22"/>
  <c r="BM79" i="83"/>
  <c r="CS79" i="22"/>
  <c r="AX79" i="83"/>
  <c r="CP80" i="22"/>
  <c r="AU80" i="83"/>
  <c r="CV79" i="22"/>
  <c r="BA79" i="83"/>
  <c r="DA80" i="22"/>
  <c r="BF80" i="83"/>
  <c r="CL83" i="22"/>
  <c r="AQ83" i="83"/>
  <c r="CM83" i="22"/>
  <c r="AR83" i="83"/>
  <c r="CR83" i="22"/>
  <c r="AW83" i="83"/>
  <c r="CH83" i="22"/>
  <c r="AM83" i="83"/>
  <c r="C83" i="83" s="1"/>
  <c r="DM44" i="22"/>
  <c r="BR44" i="83"/>
  <c r="DL37" i="22"/>
  <c r="BQ37" i="83"/>
  <c r="DL79" i="22"/>
  <c r="BQ79" i="83"/>
  <c r="CJ18" i="22"/>
  <c r="AO18" i="83"/>
  <c r="CY44" i="22"/>
  <c r="BD44" i="83"/>
  <c r="DA44" i="22"/>
  <c r="BF44" i="83"/>
  <c r="CP36" i="22"/>
  <c r="AU36" i="83"/>
  <c r="DB44" i="22"/>
  <c r="BG44" i="83"/>
  <c r="DH67" i="22"/>
  <c r="BM67" i="83"/>
  <c r="DD44" i="22"/>
  <c r="BI44" i="83"/>
  <c r="CL80" i="22"/>
  <c r="AQ80" i="83"/>
  <c r="CT36" i="22"/>
  <c r="AY36" i="83"/>
  <c r="CS18" i="22"/>
  <c r="AX18" i="83"/>
  <c r="CI18" i="22"/>
  <c r="AN18" i="83"/>
  <c r="CU36" i="22"/>
  <c r="AZ36" i="83"/>
  <c r="CL36" i="22"/>
  <c r="AQ36" i="83"/>
  <c r="CR18" i="22"/>
  <c r="AW18" i="83"/>
  <c r="CO18" i="22"/>
  <c r="AT18" i="83"/>
  <c r="CR67" i="22"/>
  <c r="AW67" i="83"/>
  <c r="CY36" i="22"/>
  <c r="BD36" i="83"/>
  <c r="CV67" i="22"/>
  <c r="BA67" i="83"/>
  <c r="DC44" i="22"/>
  <c r="BH44" i="83"/>
  <c r="DC36" i="22"/>
  <c r="BH36" i="83"/>
  <c r="CW37" i="22"/>
  <c r="BB37" i="83"/>
  <c r="DD36" i="22"/>
  <c r="BI36" i="83"/>
  <c r="DK41" i="22"/>
  <c r="BP41" i="83"/>
  <c r="DE28" i="22"/>
  <c r="BJ28" i="83"/>
  <c r="DE36" i="22"/>
  <c r="BJ36" i="83"/>
  <c r="DA79" i="22"/>
  <c r="BF79" i="83"/>
  <c r="CX80" i="22"/>
  <c r="BC80" i="83"/>
  <c r="DD79" i="22"/>
  <c r="BI79" i="83"/>
  <c r="DI80" i="22"/>
  <c r="BN80" i="83"/>
  <c r="DH83" i="22"/>
  <c r="BM83" i="83"/>
  <c r="CU83" i="22"/>
  <c r="AZ83" i="83"/>
  <c r="CP83" i="22"/>
  <c r="AU83" i="83"/>
  <c r="DN36" i="22"/>
  <c r="BS36" i="83"/>
  <c r="DM80" i="22"/>
  <c r="BR80" i="83"/>
  <c r="DL44" i="22"/>
  <c r="BQ44" i="83"/>
  <c r="DN67" i="22"/>
  <c r="BS67" i="83"/>
  <c r="CY18" i="22"/>
  <c r="BD18" i="83"/>
  <c r="CJ44" i="22"/>
  <c r="AO44" i="83"/>
  <c r="CT44" i="22"/>
  <c r="AY44" i="83"/>
  <c r="DF79" i="22"/>
  <c r="BK79" i="83"/>
  <c r="CS44" i="22"/>
  <c r="AX44" i="83"/>
  <c r="CR44" i="22"/>
  <c r="AW44" i="83"/>
  <c r="CV36" i="22"/>
  <c r="BA36" i="83"/>
  <c r="CV44" i="22"/>
  <c r="BA44" i="83"/>
  <c r="CW18" i="22"/>
  <c r="BB18" i="83"/>
  <c r="CX18" i="22"/>
  <c r="BC18" i="83"/>
  <c r="CZ18" i="22"/>
  <c r="BE18" i="83"/>
  <c r="DB67" i="22"/>
  <c r="BG67" i="83"/>
  <c r="DA36" i="22"/>
  <c r="BF36" i="83"/>
  <c r="DB18" i="22"/>
  <c r="BG18" i="83"/>
  <c r="DA37" i="22"/>
  <c r="BF37" i="83"/>
  <c r="DF41" i="22"/>
  <c r="BK41" i="83"/>
  <c r="DH37" i="22"/>
  <c r="BM37" i="83"/>
  <c r="DJ41" i="22"/>
  <c r="BO41" i="83"/>
  <c r="DI37" i="22"/>
  <c r="BN37" i="83"/>
  <c r="DK44" i="22"/>
  <c r="BP44" i="83"/>
  <c r="CO79" i="22"/>
  <c r="AT79" i="83"/>
  <c r="CW79" i="22"/>
  <c r="BB79" i="83"/>
  <c r="DE80" i="22"/>
  <c r="BJ80" i="83"/>
  <c r="DI79" i="22"/>
  <c r="BN79" i="83"/>
  <c r="DF80" i="22"/>
  <c r="BK80" i="83"/>
  <c r="CZ79" i="22"/>
  <c r="BE79" i="83"/>
  <c r="CM79" i="22"/>
  <c r="AR79" i="83"/>
  <c r="DJ83" i="22"/>
  <c r="BO83" i="83"/>
  <c r="DC83" i="22"/>
  <c r="BH83" i="83"/>
  <c r="CN83" i="22"/>
  <c r="AS83" i="83"/>
  <c r="DE83" i="22"/>
  <c r="BJ83" i="83"/>
  <c r="CZ83" i="22"/>
  <c r="BE83" i="83"/>
  <c r="CO83" i="22"/>
  <c r="AT83" i="83"/>
  <c r="CX83" i="22"/>
  <c r="BC83" i="83"/>
  <c r="DM18" i="22"/>
  <c r="BR18" i="83"/>
  <c r="DN28" i="22"/>
  <c r="BS28" i="83"/>
  <c r="DM83" i="22"/>
  <c r="BR83" i="83"/>
  <c r="DM28" i="22"/>
  <c r="BR28" i="83"/>
  <c r="DN79" i="22"/>
  <c r="BS79" i="83"/>
  <c r="BZ10" i="44"/>
  <c r="BZ15" i="44" s="1"/>
  <c r="BX12" i="81"/>
  <c r="BX17" i="81" s="1"/>
  <c r="BW13" i="52"/>
  <c r="BW18" i="52" s="1"/>
  <c r="BY11" i="14"/>
  <c r="BY16" i="14" s="1"/>
  <c r="BY16" i="58"/>
  <c r="BW11" i="28"/>
  <c r="BW16" i="28" s="1"/>
  <c r="BV12" i="25"/>
  <c r="BV17" i="25" s="1"/>
  <c r="BW12" i="25"/>
  <c r="BW17" i="25" s="1"/>
  <c r="BX14" i="38"/>
  <c r="BX19" i="38" s="1"/>
  <c r="BX12" i="79"/>
  <c r="BX17" i="79" s="1"/>
  <c r="DM93" i="22" s="1"/>
  <c r="BV10" i="35"/>
  <c r="BW13" i="18"/>
  <c r="BW18" i="18" s="1"/>
  <c r="BX12" i="36"/>
  <c r="BX17" i="36" s="1"/>
  <c r="BW11" i="14"/>
  <c r="BW16" i="14" s="1"/>
  <c r="BV12" i="36"/>
  <c r="BV17" i="36" s="1"/>
  <c r="BY13" i="66"/>
  <c r="BY18" i="66" s="1"/>
  <c r="BY12" i="79"/>
  <c r="BY17" i="79" s="1"/>
  <c r="DN93" i="22" s="1"/>
  <c r="BY12" i="36"/>
  <c r="BY17" i="36" s="1"/>
  <c r="BV14" i="17"/>
  <c r="BV21" i="17" s="1"/>
  <c r="BX11" i="20"/>
  <c r="BX16" i="20" s="1"/>
  <c r="BZ12" i="76"/>
  <c r="BZ17" i="76" s="1"/>
  <c r="BS10" i="44"/>
  <c r="BS15" i="44" s="1"/>
  <c r="BX12" i="25"/>
  <c r="BX17" i="25" s="1"/>
  <c r="BY13" i="62"/>
  <c r="CA14" i="55"/>
  <c r="BX10" i="70"/>
  <c r="BX19" i="70" s="1"/>
  <c r="BX15" i="39"/>
  <c r="BW12" i="81"/>
  <c r="BW17" i="81" s="1"/>
  <c r="BW14" i="54"/>
  <c r="BX13" i="66"/>
  <c r="BX18" i="66" s="1"/>
  <c r="BY14" i="54"/>
  <c r="BY19" i="54" s="1"/>
  <c r="CA10" i="70"/>
  <c r="CA19" i="70" s="1"/>
  <c r="BW10" i="35"/>
  <c r="BX14" i="55"/>
  <c r="BX19" i="55" s="1"/>
  <c r="BW12" i="5"/>
  <c r="BW17" i="5" s="1"/>
  <c r="BX11" i="23"/>
  <c r="BX16" i="23" s="1"/>
  <c r="BX13" i="49"/>
  <c r="BX18" i="49" s="1"/>
  <c r="BV13" i="18"/>
  <c r="BV18" i="18" s="1"/>
  <c r="BW13" i="66"/>
  <c r="BW18" i="66" s="1"/>
  <c r="BW12" i="79"/>
  <c r="BW17" i="79" s="1"/>
  <c r="DL93" i="22" s="1"/>
  <c r="BY13" i="52"/>
  <c r="BY18" i="52" s="1"/>
  <c r="CD10" i="70"/>
  <c r="CD19" i="70" s="1"/>
  <c r="BX10" i="44"/>
  <c r="BX15" i="44" s="1"/>
  <c r="BY18" i="48"/>
  <c r="BY11" i="48"/>
  <c r="BY16" i="48" s="1"/>
  <c r="BY19" i="48"/>
  <c r="BZ14" i="54"/>
  <c r="BZ19" i="54" s="1"/>
  <c r="BW11" i="48"/>
  <c r="BW16" i="48" s="1"/>
  <c r="BW18" i="48"/>
  <c r="BW19" i="48"/>
  <c r="BX11" i="14"/>
  <c r="BV11" i="14"/>
  <c r="BV16" i="14" s="1"/>
  <c r="BZ10" i="70"/>
  <c r="BZ19" i="70" s="1"/>
  <c r="BZ15" i="39"/>
  <c r="CA10" i="44"/>
  <c r="CA15" i="44" s="1"/>
  <c r="BW15" i="39"/>
  <c r="BX16" i="58"/>
  <c r="CC10" i="70"/>
  <c r="CC19" i="70" s="1"/>
  <c r="BX10" i="26"/>
  <c r="BX15" i="26" s="1"/>
  <c r="BX11" i="28"/>
  <c r="BX16" i="28" s="1"/>
  <c r="BY13" i="73"/>
  <c r="BX12" i="57"/>
  <c r="BX5" i="30" s="1"/>
  <c r="BX9" i="30" s="1"/>
  <c r="BX14" i="30" s="1"/>
  <c r="BX7" i="29" s="1"/>
  <c r="BX11" i="29" s="1"/>
  <c r="BX16" i="29" s="1"/>
  <c r="BX21" i="29" s="1"/>
  <c r="BY14" i="55"/>
  <c r="BY19" i="55" s="1"/>
  <c r="BY13" i="18"/>
  <c r="BY18" i="18" s="1"/>
  <c r="BW14" i="55"/>
  <c r="BV10" i="26"/>
  <c r="BV15" i="26" s="1"/>
  <c r="BW11" i="20"/>
  <c r="BW16" i="20" s="1"/>
  <c r="BV13" i="32"/>
  <c r="BV5" i="31" s="1"/>
  <c r="BV10" i="31" s="1"/>
  <c r="BV11" i="31" s="1"/>
  <c r="BV17" i="31" s="1"/>
  <c r="BX12" i="60"/>
  <c r="BX17" i="60" s="1"/>
  <c r="BV12" i="16"/>
  <c r="BX18" i="48"/>
  <c r="BX11" i="48"/>
  <c r="BX16" i="48" s="1"/>
  <c r="BX19" i="48"/>
  <c r="CB10" i="70"/>
  <c r="CB19" i="70" s="1"/>
  <c r="BX13" i="62"/>
  <c r="BX13" i="52"/>
  <c r="BX18" i="52" s="1"/>
  <c r="BY10" i="70"/>
  <c r="BY19" i="70" s="1"/>
  <c r="BY15" i="39"/>
  <c r="BW10" i="70"/>
  <c r="BW19" i="70" s="1"/>
  <c r="BW11" i="23"/>
  <c r="BW16" i="23" s="1"/>
  <c r="BV11" i="20"/>
  <c r="BV16" i="20" s="1"/>
  <c r="BW16" i="58"/>
  <c r="BZ12" i="57"/>
  <c r="BZ5" i="30" s="1"/>
  <c r="BZ9" i="30" s="1"/>
  <c r="BZ14" i="30" s="1"/>
  <c r="BZ7" i="29" s="1"/>
  <c r="BZ11" i="29" s="1"/>
  <c r="BZ16" i="29" s="1"/>
  <c r="BZ21" i="29" s="1"/>
  <c r="BW10" i="26"/>
  <c r="BW15" i="26" s="1"/>
  <c r="BV12" i="5"/>
  <c r="BV17" i="5" s="1"/>
  <c r="BX13" i="32"/>
  <c r="BX5" i="31" s="1"/>
  <c r="BX10" i="31" s="1"/>
  <c r="BX11" i="31" s="1"/>
  <c r="BX17" i="31" s="1"/>
  <c r="BV11" i="23"/>
  <c r="BW13" i="32"/>
  <c r="BW5" i="31" s="1"/>
  <c r="BW10" i="31" s="1"/>
  <c r="BW11" i="31" s="1"/>
  <c r="BW17" i="31" s="1"/>
  <c r="BW13" i="62"/>
  <c r="BW12" i="60"/>
  <c r="BW17" i="60" s="1"/>
  <c r="BX12" i="5"/>
  <c r="BX13" i="73"/>
  <c r="BW12" i="36"/>
  <c r="BW17" i="36" s="1"/>
  <c r="AR17" i="82"/>
  <c r="AR15" i="82"/>
  <c r="AK17" i="82"/>
  <c r="AK15" i="82"/>
  <c r="W17" i="82"/>
  <c r="W15" i="82"/>
  <c r="AI17" i="82"/>
  <c r="AI15" i="82"/>
  <c r="BN17" i="82"/>
  <c r="BN15" i="82"/>
  <c r="AL17" i="82"/>
  <c r="AL15" i="82"/>
  <c r="BA17" i="82"/>
  <c r="BA15" i="82"/>
  <c r="S17" i="82"/>
  <c r="S15" i="82"/>
  <c r="BI17" i="82"/>
  <c r="BI15" i="82"/>
  <c r="BW12" i="76"/>
  <c r="Q17" i="82"/>
  <c r="Q15" i="82"/>
  <c r="BW17" i="82"/>
  <c r="BW15" i="82"/>
  <c r="T17" i="82"/>
  <c r="T15" i="82"/>
  <c r="AV17" i="82"/>
  <c r="AV15" i="82"/>
  <c r="Y17" i="82"/>
  <c r="Y15" i="82"/>
  <c r="BX12" i="76"/>
  <c r="BX17" i="76" s="1"/>
  <c r="BY12" i="76"/>
  <c r="BY17" i="76" s="1"/>
  <c r="AJ12" i="79"/>
  <c r="AJ17" i="79" s="1"/>
  <c r="AX11" i="14"/>
  <c r="AX13" i="14" s="1"/>
  <c r="BW13" i="73"/>
  <c r="BV15" i="46"/>
  <c r="BQ12" i="79"/>
  <c r="BQ17" i="79" s="1"/>
  <c r="DF93" i="22" s="1"/>
  <c r="BW13" i="13"/>
  <c r="BX13" i="13"/>
  <c r="BV13" i="13"/>
  <c r="AX12" i="81"/>
  <c r="AX17" i="81" s="1"/>
  <c r="M12" i="81"/>
  <c r="M17" i="81" s="1"/>
  <c r="AD12" i="81"/>
  <c r="AD17" i="81" s="1"/>
  <c r="AJ12" i="81"/>
  <c r="AJ17" i="81" s="1"/>
  <c r="AC12" i="81"/>
  <c r="AC17" i="81" s="1"/>
  <c r="BM12" i="81"/>
  <c r="BM17" i="81" s="1"/>
  <c r="AO12" i="81"/>
  <c r="AO17" i="81" s="1"/>
  <c r="AE12" i="79"/>
  <c r="AE17" i="79" s="1"/>
  <c r="O12" i="81"/>
  <c r="O17" i="81" s="1"/>
  <c r="AT12" i="81"/>
  <c r="AT17" i="81" s="1"/>
  <c r="BU12" i="79"/>
  <c r="BU17" i="79" s="1"/>
  <c r="DJ93" i="22" s="1"/>
  <c r="AG12" i="79"/>
  <c r="AG17" i="79" s="1"/>
  <c r="S12" i="79"/>
  <c r="S17" i="79" s="1"/>
  <c r="AW12" i="79"/>
  <c r="AW17" i="79" s="1"/>
  <c r="CL93" i="22" s="1"/>
  <c r="AU12" i="79"/>
  <c r="AU17" i="79" s="1"/>
  <c r="CJ93" i="22" s="1"/>
  <c r="BK12" i="79"/>
  <c r="BK17" i="79" s="1"/>
  <c r="CZ93" i="22" s="1"/>
  <c r="K12" i="81"/>
  <c r="K17" i="81" s="1"/>
  <c r="BC12" i="79"/>
  <c r="BC17" i="79" s="1"/>
  <c r="CR93" i="22" s="1"/>
  <c r="Y12" i="79"/>
  <c r="Y17" i="79" s="1"/>
  <c r="BA12" i="79"/>
  <c r="BA17" i="79" s="1"/>
  <c r="CP93" i="22" s="1"/>
  <c r="BP12" i="79"/>
  <c r="BP17" i="79" s="1"/>
  <c r="DE93" i="22" s="1"/>
  <c r="BS12" i="81"/>
  <c r="BS17" i="81" s="1"/>
  <c r="T12" i="79"/>
  <c r="T17" i="79" s="1"/>
  <c r="AO12" i="79"/>
  <c r="AO17" i="79" s="1"/>
  <c r="U12" i="79"/>
  <c r="U17" i="79" s="1"/>
  <c r="BU12" i="81"/>
  <c r="BU17" i="81" s="1"/>
  <c r="AH12" i="81"/>
  <c r="AH17" i="81" s="1"/>
  <c r="U12" i="81"/>
  <c r="U17" i="81" s="1"/>
  <c r="AL12" i="81"/>
  <c r="AL17" i="81" s="1"/>
  <c r="P12" i="81"/>
  <c r="P17" i="81" s="1"/>
  <c r="AW12" i="81"/>
  <c r="AW14" i="81" s="1"/>
  <c r="BO12" i="81"/>
  <c r="BO17" i="81" s="1"/>
  <c r="AR12" i="81"/>
  <c r="AR17" i="81" s="1"/>
  <c r="BR12" i="81"/>
  <c r="BR17" i="81" s="1"/>
  <c r="AA12" i="79"/>
  <c r="AA17" i="79" s="1"/>
  <c r="AB12" i="79"/>
  <c r="AB17" i="79" s="1"/>
  <c r="AC12" i="79"/>
  <c r="AC17" i="79" s="1"/>
  <c r="BT12" i="79"/>
  <c r="BT17" i="79" s="1"/>
  <c r="DI93" i="22" s="1"/>
  <c r="BN12" i="81"/>
  <c r="BN17" i="81" s="1"/>
  <c r="AN12" i="81"/>
  <c r="AN17" i="81" s="1"/>
  <c r="BQ12" i="81"/>
  <c r="BQ17" i="81" s="1"/>
  <c r="BL12" i="81"/>
  <c r="BL17" i="81" s="1"/>
  <c r="AI12" i="81"/>
  <c r="AI17" i="81" s="1"/>
  <c r="Z12" i="79"/>
  <c r="Z17" i="79" s="1"/>
  <c r="AY12" i="79"/>
  <c r="AY17" i="79" s="1"/>
  <c r="CN93" i="22" s="1"/>
  <c r="AV12" i="79"/>
  <c r="AV17" i="79" s="1"/>
  <c r="CK93" i="22" s="1"/>
  <c r="AX12" i="79"/>
  <c r="AX17" i="79" s="1"/>
  <c r="CM93" i="22" s="1"/>
  <c r="X12" i="79"/>
  <c r="X17" i="79" s="1"/>
  <c r="BO12" i="79"/>
  <c r="BO17" i="79" s="1"/>
  <c r="DD93" i="22" s="1"/>
  <c r="AD12" i="79"/>
  <c r="AD17" i="79" s="1"/>
  <c r="AQ12" i="81"/>
  <c r="AQ17" i="81" s="1"/>
  <c r="L12" i="81"/>
  <c r="L17" i="81" s="1"/>
  <c r="BE12" i="81"/>
  <c r="BE17" i="81" s="1"/>
  <c r="AF12" i="79"/>
  <c r="AF17" i="79" s="1"/>
  <c r="J12" i="79"/>
  <c r="J17" i="79" s="1"/>
  <c r="X12" i="81"/>
  <c r="X17" i="81" s="1"/>
  <c r="N12" i="81"/>
  <c r="N17" i="81" s="1"/>
  <c r="T12" i="81"/>
  <c r="T17" i="81" s="1"/>
  <c r="AF12" i="81"/>
  <c r="AF17" i="81" s="1"/>
  <c r="Q12" i="81"/>
  <c r="Q17" i="81" s="1"/>
  <c r="BV12" i="79"/>
  <c r="BV17" i="79" s="1"/>
  <c r="DK93" i="22" s="1"/>
  <c r="BM12" i="79"/>
  <c r="BM17" i="79" s="1"/>
  <c r="DB93" i="22" s="1"/>
  <c r="AM12" i="81"/>
  <c r="AM17" i="81" s="1"/>
  <c r="Y12" i="81"/>
  <c r="Y17" i="81" s="1"/>
  <c r="S12" i="81"/>
  <c r="S17" i="81" s="1"/>
  <c r="I11" i="74"/>
  <c r="I16" i="74" s="1"/>
  <c r="BL12" i="79"/>
  <c r="BL17" i="79" s="1"/>
  <c r="DA93" i="22" s="1"/>
  <c r="AI12" i="79"/>
  <c r="AI17" i="79" s="1"/>
  <c r="AK12" i="79"/>
  <c r="AK17" i="79" s="1"/>
  <c r="BN12" i="79"/>
  <c r="BN17" i="79" s="1"/>
  <c r="DC93" i="22" s="1"/>
  <c r="N12" i="79"/>
  <c r="N17" i="79" s="1"/>
  <c r="AA12" i="81"/>
  <c r="AA17" i="81" s="1"/>
  <c r="AK12" i="81"/>
  <c r="BT12" i="81"/>
  <c r="BT17" i="81" s="1"/>
  <c r="AE12" i="81"/>
  <c r="AE17" i="81" s="1"/>
  <c r="BV12" i="81"/>
  <c r="BV17" i="81" s="1"/>
  <c r="BB12" i="81"/>
  <c r="BB17" i="81" s="1"/>
  <c r="BJ12" i="81"/>
  <c r="BJ17" i="81" s="1"/>
  <c r="BD17" i="79"/>
  <c r="CS93" i="22" s="1"/>
  <c r="I12" i="76"/>
  <c r="I17" i="76" s="1"/>
  <c r="AQ12" i="79"/>
  <c r="AQ17" i="79" s="1"/>
  <c r="P12" i="79"/>
  <c r="P17" i="79" s="1"/>
  <c r="AR12" i="79"/>
  <c r="AR17" i="79" s="1"/>
  <c r="AH12" i="79"/>
  <c r="AH17" i="79" s="1"/>
  <c r="AS12" i="79"/>
  <c r="AS17" i="79" s="1"/>
  <c r="CH93" i="22" s="1"/>
  <c r="V12" i="79"/>
  <c r="V17" i="79" s="1"/>
  <c r="AS12" i="81"/>
  <c r="AS17" i="81" s="1"/>
  <c r="AU12" i="81"/>
  <c r="AZ12" i="81"/>
  <c r="AZ17" i="81" s="1"/>
  <c r="BI12" i="81"/>
  <c r="BI17" i="81" s="1"/>
  <c r="BH12" i="81"/>
  <c r="BH17" i="81" s="1"/>
  <c r="AZ12" i="79"/>
  <c r="AZ17" i="79" s="1"/>
  <c r="CO93" i="22" s="1"/>
  <c r="AN12" i="79"/>
  <c r="AN17" i="79" s="1"/>
  <c r="BG12" i="79"/>
  <c r="BG17" i="79" s="1"/>
  <c r="CV93" i="22" s="1"/>
  <c r="BH12" i="79"/>
  <c r="BH17" i="79" s="1"/>
  <c r="CW93" i="22" s="1"/>
  <c r="BI12" i="79"/>
  <c r="BI17" i="79" s="1"/>
  <c r="CX93" i="22" s="1"/>
  <c r="BE12" i="79"/>
  <c r="BE17" i="79" s="1"/>
  <c r="CT93" i="22" s="1"/>
  <c r="BJ12" i="79"/>
  <c r="BJ17" i="79" s="1"/>
  <c r="CY93" i="22" s="1"/>
  <c r="AL12" i="79"/>
  <c r="AL17" i="79" s="1"/>
  <c r="AY12" i="81"/>
  <c r="J12" i="81"/>
  <c r="J17" i="81" s="1"/>
  <c r="BD12" i="81"/>
  <c r="BG12" i="81"/>
  <c r="BG17" i="81" s="1"/>
  <c r="W12" i="81"/>
  <c r="W17" i="81" s="1"/>
  <c r="BP12" i="81"/>
  <c r="BP17" i="81" s="1"/>
  <c r="V12" i="81"/>
  <c r="V17" i="81" s="1"/>
  <c r="I12" i="81"/>
  <c r="I17" i="81" s="1"/>
  <c r="Z12" i="81"/>
  <c r="Z17" i="81" s="1"/>
  <c r="AB12" i="81"/>
  <c r="AB17" i="81" s="1"/>
  <c r="BC12" i="81"/>
  <c r="BC17" i="81" s="1"/>
  <c r="BA12" i="81"/>
  <c r="BA17" i="81" s="1"/>
  <c r="BG13" i="73"/>
  <c r="BG18" i="73" s="1"/>
  <c r="BR17" i="79"/>
  <c r="DG93" i="22" s="1"/>
  <c r="BR13" i="79"/>
  <c r="BS12" i="79"/>
  <c r="BS17" i="79" s="1"/>
  <c r="DH93" i="22" s="1"/>
  <c r="AP12" i="79"/>
  <c r="AP17" i="79" s="1"/>
  <c r="AT12" i="79"/>
  <c r="AT17" i="79" s="1"/>
  <c r="CI93" i="22" s="1"/>
  <c r="K12" i="79"/>
  <c r="K17" i="79" s="1"/>
  <c r="AM12" i="79"/>
  <c r="AM17" i="79" s="1"/>
  <c r="L12" i="79"/>
  <c r="L17" i="79" s="1"/>
  <c r="O12" i="79"/>
  <c r="O17" i="79" s="1"/>
  <c r="M12" i="79"/>
  <c r="M17" i="79" s="1"/>
  <c r="I12" i="79"/>
  <c r="I17" i="79" s="1"/>
  <c r="BB12" i="79"/>
  <c r="BB17" i="79" s="1"/>
  <c r="CQ93" i="22" s="1"/>
  <c r="AV12" i="81"/>
  <c r="AV17" i="81" s="1"/>
  <c r="R12" i="81"/>
  <c r="R17" i="81" s="1"/>
  <c r="AG12" i="81"/>
  <c r="AP12" i="81"/>
  <c r="AP17" i="81" s="1"/>
  <c r="BK12" i="81"/>
  <c r="BK17" i="81" s="1"/>
  <c r="BF12" i="81"/>
  <c r="BF17" i="81" s="1"/>
  <c r="BR14" i="55"/>
  <c r="BR19" i="55" s="1"/>
  <c r="BR14" i="38"/>
  <c r="BR19" i="38" s="1"/>
  <c r="BQ14" i="54"/>
  <c r="BQ19" i="54" s="1"/>
  <c r="BR12" i="16"/>
  <c r="BU14" i="17"/>
  <c r="BU21" i="17" s="1"/>
  <c r="BO12" i="5"/>
  <c r="BO17" i="5" s="1"/>
  <c r="BS13" i="13"/>
  <c r="BO12" i="36"/>
  <c r="BO17" i="36" s="1"/>
  <c r="BS16" i="58"/>
  <c r="BV16" i="58"/>
  <c r="BT16" i="58"/>
  <c r="BU16" i="58"/>
  <c r="BR16" i="58"/>
  <c r="AS13" i="66"/>
  <c r="AS18" i="66" s="1"/>
  <c r="BQ14" i="55"/>
  <c r="BQ19" i="55" s="1"/>
  <c r="AK12" i="78"/>
  <c r="AK17" i="78" s="1"/>
  <c r="K12" i="78"/>
  <c r="K17" i="78" s="1"/>
  <c r="U12" i="78"/>
  <c r="U17" i="78" s="1"/>
  <c r="AQ12" i="78"/>
  <c r="AQ17" i="78" s="1"/>
  <c r="AR12" i="78"/>
  <c r="AR17" i="78" s="1"/>
  <c r="AG12" i="78"/>
  <c r="AG17" i="78" s="1"/>
  <c r="L12" i="78"/>
  <c r="L17" i="78" s="1"/>
  <c r="AB12" i="78"/>
  <c r="AB17" i="78" s="1"/>
  <c r="AZ12" i="78"/>
  <c r="AZ17" i="78" s="1"/>
  <c r="AA12" i="78"/>
  <c r="AA17" i="78" s="1"/>
  <c r="BQ12" i="78"/>
  <c r="BQ17" i="78" s="1"/>
  <c r="BR13" i="73"/>
  <c r="BQ12" i="5"/>
  <c r="BQ17" i="5" s="1"/>
  <c r="AY12" i="78"/>
  <c r="AY17" i="78" s="1"/>
  <c r="AS12" i="78"/>
  <c r="AS17" i="78" s="1"/>
  <c r="BA12" i="78"/>
  <c r="BA17" i="78" s="1"/>
  <c r="BI12" i="78"/>
  <c r="BI17" i="78" s="1"/>
  <c r="BO12" i="78"/>
  <c r="BO17" i="78" s="1"/>
  <c r="AC12" i="78"/>
  <c r="AC17" i="78" s="1"/>
  <c r="AJ12" i="78"/>
  <c r="AJ17" i="78" s="1"/>
  <c r="AI12" i="78"/>
  <c r="AI17" i="78" s="1"/>
  <c r="T12" i="78"/>
  <c r="T17" i="78" s="1"/>
  <c r="AQ16" i="77"/>
  <c r="AQ14" i="77"/>
  <c r="AO16" i="77"/>
  <c r="AO14" i="77"/>
  <c r="AC14" i="77"/>
  <c r="AC16" i="77"/>
  <c r="P16" i="77"/>
  <c r="P14" i="77"/>
  <c r="S12" i="78"/>
  <c r="S17" i="78" s="1"/>
  <c r="BM16" i="77"/>
  <c r="BM14" i="77"/>
  <c r="AE14" i="77"/>
  <c r="AE16" i="77"/>
  <c r="AT14" i="77"/>
  <c r="AT16" i="77"/>
  <c r="M12" i="78"/>
  <c r="M17" i="78" s="1"/>
  <c r="BG12" i="78"/>
  <c r="BG17" i="78" s="1"/>
  <c r="BH12" i="78"/>
  <c r="BH17" i="78" s="1"/>
  <c r="BP12" i="78"/>
  <c r="BP17" i="78" s="1"/>
  <c r="BR12" i="5"/>
  <c r="BR17" i="5" s="1"/>
  <c r="AL12" i="78"/>
  <c r="AL17" i="78" s="1"/>
  <c r="AW12" i="78"/>
  <c r="AW17" i="78" s="1"/>
  <c r="P12" i="78"/>
  <c r="P17" i="78" s="1"/>
  <c r="BN12" i="78"/>
  <c r="BN17" i="78" s="1"/>
  <c r="BM12" i="78"/>
  <c r="BM17" i="78" s="1"/>
  <c r="X12" i="78"/>
  <c r="X17" i="78" s="1"/>
  <c r="Y12" i="78"/>
  <c r="Y17" i="78" s="1"/>
  <c r="BF12" i="78"/>
  <c r="BF17" i="78" s="1"/>
  <c r="Q12" i="78"/>
  <c r="Q17" i="78" s="1"/>
  <c r="BE12" i="78"/>
  <c r="BE17" i="78" s="1"/>
  <c r="R12" i="78"/>
  <c r="R17" i="78" s="1"/>
  <c r="BT12" i="78"/>
  <c r="BT17" i="78" s="1"/>
  <c r="Z12" i="78"/>
  <c r="Z17" i="78" s="1"/>
  <c r="AF12" i="78"/>
  <c r="AF17" i="78" s="1"/>
  <c r="I12" i="78"/>
  <c r="I17" i="78" s="1"/>
  <c r="AP12" i="78"/>
  <c r="AP17" i="78" s="1"/>
  <c r="V12" i="78"/>
  <c r="V17" i="78" s="1"/>
  <c r="O12" i="78"/>
  <c r="O17" i="78" s="1"/>
  <c r="AD12" i="78"/>
  <c r="AD17" i="78" s="1"/>
  <c r="W12" i="78"/>
  <c r="W17" i="78" s="1"/>
  <c r="AE12" i="78"/>
  <c r="AE17" i="78" s="1"/>
  <c r="AT12" i="78"/>
  <c r="AT17" i="78" s="1"/>
  <c r="AM12" i="78"/>
  <c r="AM17" i="78" s="1"/>
  <c r="BU12" i="78"/>
  <c r="BU17" i="78" s="1"/>
  <c r="J12" i="78"/>
  <c r="J17" i="78" s="1"/>
  <c r="BV12" i="78"/>
  <c r="BV17" i="78" s="1"/>
  <c r="BD12" i="78"/>
  <c r="BD17" i="78" s="1"/>
  <c r="AO12" i="78"/>
  <c r="AO17" i="78" s="1"/>
  <c r="BB12" i="78"/>
  <c r="BB17" i="78" s="1"/>
  <c r="AN12" i="78"/>
  <c r="AN17" i="78" s="1"/>
  <c r="AU12" i="78"/>
  <c r="AU17" i="78" s="1"/>
  <c r="AX12" i="78"/>
  <c r="AX17" i="78" s="1"/>
  <c r="BJ12" i="78"/>
  <c r="BJ17" i="78" s="1"/>
  <c r="BL12" i="78"/>
  <c r="BL17" i="78" s="1"/>
  <c r="BC12" i="78"/>
  <c r="BC17" i="78" s="1"/>
  <c r="AV12" i="78"/>
  <c r="AV17" i="78" s="1"/>
  <c r="BR12" i="78"/>
  <c r="BR17" i="78" s="1"/>
  <c r="BK12" i="78"/>
  <c r="BK17" i="78" s="1"/>
  <c r="AH12" i="78"/>
  <c r="AH17" i="78" s="1"/>
  <c r="N12" i="78"/>
  <c r="N17" i="78" s="1"/>
  <c r="BS12" i="78"/>
  <c r="BS17" i="78" s="1"/>
  <c r="BB10" i="76"/>
  <c r="BB12" i="76" s="1"/>
  <c r="BC10" i="76"/>
  <c r="BC12" i="76" s="1"/>
  <c r="BD10" i="76"/>
  <c r="BD12" i="76" s="1"/>
  <c r="AW10" i="76"/>
  <c r="AW12" i="76" s="1"/>
  <c r="AP10" i="76"/>
  <c r="AP12" i="76" s="1"/>
  <c r="AI10" i="76"/>
  <c r="AI12" i="76" s="1"/>
  <c r="AI17" i="76" s="1"/>
  <c r="AJ10" i="76"/>
  <c r="AJ12" i="76" s="1"/>
  <c r="AJ17" i="76" s="1"/>
  <c r="AK10" i="76"/>
  <c r="AK12" i="76" s="1"/>
  <c r="AK17" i="76" s="1"/>
  <c r="BJ10" i="76"/>
  <c r="BJ12" i="76" s="1"/>
  <c r="BK10" i="76"/>
  <c r="BK12" i="76" s="1"/>
  <c r="BL10" i="76"/>
  <c r="BL12" i="76" s="1"/>
  <c r="BE10" i="76"/>
  <c r="BE12" i="76" s="1"/>
  <c r="AX10" i="76"/>
  <c r="AX12" i="76" s="1"/>
  <c r="AQ10" i="76"/>
  <c r="AQ12" i="76" s="1"/>
  <c r="AR10" i="76"/>
  <c r="AR12" i="76" s="1"/>
  <c r="AR17" i="76" s="1"/>
  <c r="AS10" i="76"/>
  <c r="AS12" i="76" s="1"/>
  <c r="BR10" i="76"/>
  <c r="BR12" i="76" s="1"/>
  <c r="BR17" i="76" s="1"/>
  <c r="BS10" i="76"/>
  <c r="BS12" i="76" s="1"/>
  <c r="BT10" i="76"/>
  <c r="BT12" i="76" s="1"/>
  <c r="BT17" i="76" s="1"/>
  <c r="BM10" i="76"/>
  <c r="BM12" i="76" s="1"/>
  <c r="BF10" i="76"/>
  <c r="BF12" i="76" s="1"/>
  <c r="AY10" i="76"/>
  <c r="AY12" i="76" s="1"/>
  <c r="AZ10" i="76"/>
  <c r="AZ12" i="76" s="1"/>
  <c r="BA10" i="76"/>
  <c r="BA12" i="76" s="1"/>
  <c r="N10" i="76"/>
  <c r="N12" i="76" s="1"/>
  <c r="N17" i="76" s="1"/>
  <c r="O10" i="76"/>
  <c r="O12" i="76" s="1"/>
  <c r="O17" i="76" s="1"/>
  <c r="P10" i="76"/>
  <c r="P12" i="76" s="1"/>
  <c r="P17" i="76" s="1"/>
  <c r="BU10" i="76"/>
  <c r="BU12" i="76" s="1"/>
  <c r="BU17" i="76" s="1"/>
  <c r="BN10" i="76"/>
  <c r="BN12" i="76" s="1"/>
  <c r="BG10" i="76"/>
  <c r="BG12" i="76" s="1"/>
  <c r="BH10" i="76"/>
  <c r="BH12" i="76" s="1"/>
  <c r="BI10" i="76"/>
  <c r="BI12" i="76" s="1"/>
  <c r="V10" i="76"/>
  <c r="V12" i="76" s="1"/>
  <c r="V17" i="76" s="1"/>
  <c r="W10" i="76"/>
  <c r="W12" i="76" s="1"/>
  <c r="W17" i="76" s="1"/>
  <c r="X10" i="76"/>
  <c r="X12" i="76" s="1"/>
  <c r="X17" i="76" s="1"/>
  <c r="Q10" i="76"/>
  <c r="Q12" i="76" s="1"/>
  <c r="J10" i="76"/>
  <c r="J12" i="76" s="1"/>
  <c r="J17" i="76" s="1"/>
  <c r="BV10" i="76"/>
  <c r="BV12" i="76" s="1"/>
  <c r="BV17" i="76" s="1"/>
  <c r="BO10" i="76"/>
  <c r="BO12" i="76" s="1"/>
  <c r="BP10" i="76"/>
  <c r="BP12" i="76" s="1"/>
  <c r="BQ10" i="76"/>
  <c r="BQ12" i="76" s="1"/>
  <c r="AD10" i="76"/>
  <c r="AD12" i="76" s="1"/>
  <c r="AD17" i="76" s="1"/>
  <c r="AE10" i="76"/>
  <c r="AE12" i="76" s="1"/>
  <c r="AE17" i="76" s="1"/>
  <c r="AF10" i="76"/>
  <c r="AF12" i="76" s="1"/>
  <c r="AF17" i="76" s="1"/>
  <c r="Y10" i="76"/>
  <c r="Y12" i="76" s="1"/>
  <c r="Y17" i="76" s="1"/>
  <c r="R10" i="76"/>
  <c r="R12" i="76" s="1"/>
  <c r="R17" i="76" s="1"/>
  <c r="K10" i="76"/>
  <c r="K12" i="76" s="1"/>
  <c r="K17" i="76" s="1"/>
  <c r="L10" i="76"/>
  <c r="L12" i="76" s="1"/>
  <c r="L17" i="76" s="1"/>
  <c r="M10" i="76"/>
  <c r="M12" i="76" s="1"/>
  <c r="M17" i="76" s="1"/>
  <c r="AL10" i="76"/>
  <c r="AL12" i="76" s="1"/>
  <c r="AL17" i="76" s="1"/>
  <c r="AM10" i="76"/>
  <c r="AM12" i="76" s="1"/>
  <c r="AN10" i="76"/>
  <c r="AN12" i="76" s="1"/>
  <c r="AN17" i="76" s="1"/>
  <c r="AG10" i="76"/>
  <c r="AG12" i="76" s="1"/>
  <c r="Z10" i="76"/>
  <c r="Z12" i="76" s="1"/>
  <c r="Z17" i="76" s="1"/>
  <c r="S10" i="76"/>
  <c r="S12" i="76" s="1"/>
  <c r="S17" i="76" s="1"/>
  <c r="T10" i="76"/>
  <c r="T12" i="76" s="1"/>
  <c r="T17" i="76" s="1"/>
  <c r="U10" i="76"/>
  <c r="U12" i="76" s="1"/>
  <c r="U17" i="76" s="1"/>
  <c r="AT10" i="76"/>
  <c r="AT12" i="76" s="1"/>
  <c r="AU10" i="76"/>
  <c r="AU12" i="76" s="1"/>
  <c r="AV10" i="76"/>
  <c r="AV12" i="76" s="1"/>
  <c r="AO10" i="76"/>
  <c r="AO12" i="76" s="1"/>
  <c r="AH10" i="76"/>
  <c r="AH12" i="76" s="1"/>
  <c r="AA10" i="76"/>
  <c r="AA12" i="76" s="1"/>
  <c r="AA17" i="76" s="1"/>
  <c r="AB10" i="76"/>
  <c r="AB12" i="76" s="1"/>
  <c r="AC10" i="76"/>
  <c r="AC12" i="76" s="1"/>
  <c r="AC17" i="76" s="1"/>
  <c r="BP10" i="44"/>
  <c r="BP15" i="44" s="1"/>
  <c r="BV13" i="73"/>
  <c r="AA9" i="75"/>
  <c r="AA11" i="75" s="1"/>
  <c r="AA16" i="75" s="1"/>
  <c r="AU9" i="75"/>
  <c r="AU11" i="75" s="1"/>
  <c r="AU16" i="75" s="1"/>
  <c r="P9" i="75"/>
  <c r="P11" i="75" s="1"/>
  <c r="P16" i="75" s="1"/>
  <c r="AI9" i="75"/>
  <c r="AI11" i="75" s="1"/>
  <c r="AI16" i="75" s="1"/>
  <c r="BC9" i="75"/>
  <c r="BC11" i="75" s="1"/>
  <c r="BC16" i="75" s="1"/>
  <c r="AY9" i="75"/>
  <c r="AY11" i="75" s="1"/>
  <c r="AY16" i="75" s="1"/>
  <c r="BS9" i="75"/>
  <c r="BS11" i="75" s="1"/>
  <c r="BS16" i="75" s="1"/>
  <c r="BG9" i="75"/>
  <c r="BG11" i="75" s="1"/>
  <c r="BG16" i="75" s="1"/>
  <c r="O9" i="75"/>
  <c r="O11" i="75" s="1"/>
  <c r="O16" i="75" s="1"/>
  <c r="BO9" i="75"/>
  <c r="BO11" i="75" s="1"/>
  <c r="BO16" i="75" s="1"/>
  <c r="BR9" i="75"/>
  <c r="BR11" i="75" s="1"/>
  <c r="BR16" i="75" s="1"/>
  <c r="W9" i="75"/>
  <c r="W11" i="75" s="1"/>
  <c r="W16" i="75" s="1"/>
  <c r="K9" i="75"/>
  <c r="K11" i="75" s="1"/>
  <c r="K16" i="75" s="1"/>
  <c r="S9" i="75"/>
  <c r="S11" i="75" s="1"/>
  <c r="S16" i="75" s="1"/>
  <c r="AM9" i="75"/>
  <c r="AM11" i="75" s="1"/>
  <c r="AM16" i="75" s="1"/>
  <c r="BT12" i="36"/>
  <c r="BT17" i="36" s="1"/>
  <c r="BP12" i="36"/>
  <c r="BV13" i="52"/>
  <c r="BV18" i="52" s="1"/>
  <c r="BT10" i="44"/>
  <c r="BT15" i="44" s="1"/>
  <c r="BU13" i="52"/>
  <c r="BU18" i="52" s="1"/>
  <c r="BT13" i="73"/>
  <c r="BO11" i="14"/>
  <c r="BO16" i="14" s="1"/>
  <c r="BP12" i="5"/>
  <c r="BP17" i="5" s="1"/>
  <c r="BQ13" i="73"/>
  <c r="BO12" i="25"/>
  <c r="BO17" i="25" s="1"/>
  <c r="BP13" i="66"/>
  <c r="BP18" i="66" s="1"/>
  <c r="BU12" i="60"/>
  <c r="BU17" i="60" s="1"/>
  <c r="BP10" i="26"/>
  <c r="BP15" i="26" s="1"/>
  <c r="BU13" i="13"/>
  <c r="BS12" i="60"/>
  <c r="BS17" i="60" s="1"/>
  <c r="BP12" i="16"/>
  <c r="BP17" i="16" s="1"/>
  <c r="BR13" i="52"/>
  <c r="BR18" i="52" s="1"/>
  <c r="BU12" i="5"/>
  <c r="BU17" i="5" s="1"/>
  <c r="BS14" i="55"/>
  <c r="BS19" i="55" s="1"/>
  <c r="BS13" i="32"/>
  <c r="BS5" i="31" s="1"/>
  <c r="BS10" i="31" s="1"/>
  <c r="BS11" i="31" s="1"/>
  <c r="BS17" i="31" s="1"/>
  <c r="BN13" i="18"/>
  <c r="BN18" i="18" s="1"/>
  <c r="BN11" i="28"/>
  <c r="BN16" i="28" s="1"/>
  <c r="BQ13" i="13"/>
  <c r="BQ13" i="18"/>
  <c r="BQ18" i="18" s="1"/>
  <c r="BV10" i="44"/>
  <c r="BV15" i="44" s="1"/>
  <c r="BT11" i="23"/>
  <c r="BT16" i="23" s="1"/>
  <c r="BR10" i="35"/>
  <c r="BS11" i="23"/>
  <c r="BS16" i="23" s="1"/>
  <c r="BR13" i="66"/>
  <c r="BR18" i="66" s="1"/>
  <c r="BR13" i="13"/>
  <c r="BR14" i="54"/>
  <c r="BR19" i="54" s="1"/>
  <c r="BQ12" i="60"/>
  <c r="BQ17" i="60" s="1"/>
  <c r="BP14" i="38"/>
  <c r="BP19" i="38" s="1"/>
  <c r="BV14" i="54"/>
  <c r="BT13" i="66"/>
  <c r="BT18" i="66" s="1"/>
  <c r="BU13" i="66"/>
  <c r="BU18" i="66" s="1"/>
  <c r="BS12" i="25"/>
  <c r="BS17" i="25" s="1"/>
  <c r="BQ12" i="36"/>
  <c r="BO10" i="26"/>
  <c r="BO15" i="26" s="1"/>
  <c r="BP11" i="23"/>
  <c r="BP16" i="23" s="1"/>
  <c r="BV14" i="38"/>
  <c r="BV19" i="38" s="1"/>
  <c r="BP13" i="13"/>
  <c r="BT12" i="5"/>
  <c r="BT17" i="5" s="1"/>
  <c r="BS12" i="57"/>
  <c r="BS5" i="30" s="1"/>
  <c r="BS9" i="30" s="1"/>
  <c r="BS14" i="30" s="1"/>
  <c r="BS7" i="29" s="1"/>
  <c r="BS11" i="29" s="1"/>
  <c r="BS16" i="29" s="1"/>
  <c r="BS21" i="29" s="1"/>
  <c r="BQ10" i="44"/>
  <c r="BQ15" i="44" s="1"/>
  <c r="BS14" i="54"/>
  <c r="BS19" i="54" s="1"/>
  <c r="BQ16" i="58"/>
  <c r="BT14" i="55"/>
  <c r="BT19" i="55" s="1"/>
  <c r="BR13" i="32"/>
  <c r="BR5" i="31" s="1"/>
  <c r="BR10" i="31" s="1"/>
  <c r="BR11" i="31" s="1"/>
  <c r="BR17" i="31" s="1"/>
  <c r="BQ14" i="17"/>
  <c r="BQ21" i="17" s="1"/>
  <c r="BS13" i="73"/>
  <c r="BR12" i="60"/>
  <c r="BR17" i="60" s="1"/>
  <c r="BT10" i="26"/>
  <c r="BT15" i="26" s="1"/>
  <c r="BQ10" i="35"/>
  <c r="BP11" i="14"/>
  <c r="BP16" i="14" s="1"/>
  <c r="BP12" i="60"/>
  <c r="BP17" i="60" s="1"/>
  <c r="BS13" i="18"/>
  <c r="BS18" i="18" s="1"/>
  <c r="BS11" i="14"/>
  <c r="BS16" i="14" s="1"/>
  <c r="BO10" i="35"/>
  <c r="BS13" i="52"/>
  <c r="BT14" i="17"/>
  <c r="BT21" i="17" s="1"/>
  <c r="BR10" i="44"/>
  <c r="BR15" i="44" s="1"/>
  <c r="BM11" i="20"/>
  <c r="BM16" i="20" s="1"/>
  <c r="BP12" i="57"/>
  <c r="BP5" i="30" s="1"/>
  <c r="BP9" i="30" s="1"/>
  <c r="BP14" i="30" s="1"/>
  <c r="BP7" i="29" s="1"/>
  <c r="BP11" i="29" s="1"/>
  <c r="BP16" i="29" s="1"/>
  <c r="BP21" i="29" s="1"/>
  <c r="BT12" i="57"/>
  <c r="BT5" i="30" s="1"/>
  <c r="BT9" i="30" s="1"/>
  <c r="BT14" i="30" s="1"/>
  <c r="BT7" i="29" s="1"/>
  <c r="BT11" i="29" s="1"/>
  <c r="BT16" i="29" s="1"/>
  <c r="BT21" i="29" s="1"/>
  <c r="BP10" i="35"/>
  <c r="BV13" i="66"/>
  <c r="BV18" i="66" s="1"/>
  <c r="BS12" i="16"/>
  <c r="BS17" i="16" s="1"/>
  <c r="BQ13" i="32"/>
  <c r="BQ5" i="31" s="1"/>
  <c r="BQ10" i="31" s="1"/>
  <c r="BQ11" i="31" s="1"/>
  <c r="BQ17" i="31" s="1"/>
  <c r="BP14" i="54"/>
  <c r="BP19" i="54" s="1"/>
  <c r="BO13" i="32"/>
  <c r="BO5" i="31" s="1"/>
  <c r="BO10" i="31" s="1"/>
  <c r="BO11" i="31" s="1"/>
  <c r="BO17" i="31" s="1"/>
  <c r="BU12" i="25"/>
  <c r="BU17" i="25" s="1"/>
  <c r="BR12" i="36"/>
  <c r="BR17" i="36" s="1"/>
  <c r="BN12" i="5"/>
  <c r="BN17" i="5" s="1"/>
  <c r="BT13" i="18"/>
  <c r="BT18" i="18" s="1"/>
  <c r="BQ18" i="48"/>
  <c r="BQ19" i="48"/>
  <c r="BQ11" i="48"/>
  <c r="BQ16" i="48" s="1"/>
  <c r="BT13" i="13"/>
  <c r="BU10" i="26"/>
  <c r="BU15" i="26" s="1"/>
  <c r="BP11" i="28"/>
  <c r="BP16" i="28" s="1"/>
  <c r="BQ12" i="16"/>
  <c r="BO15" i="39"/>
  <c r="BT14" i="54"/>
  <c r="BT19" i="54" s="1"/>
  <c r="BQ13" i="66"/>
  <c r="BQ18" i="66" s="1"/>
  <c r="BT13" i="32"/>
  <c r="BT5" i="31" s="1"/>
  <c r="BT10" i="31" s="1"/>
  <c r="BT11" i="31" s="1"/>
  <c r="BT17" i="31" s="1"/>
  <c r="BO14" i="54"/>
  <c r="BO19" i="54" s="1"/>
  <c r="BC14" i="40"/>
  <c r="AT14" i="40"/>
  <c r="BI14" i="40"/>
  <c r="BG14" i="40"/>
  <c r="BK14" i="40"/>
  <c r="BO11" i="28"/>
  <c r="BO16" i="28" s="1"/>
  <c r="BR11" i="48"/>
  <c r="BR16" i="48" s="1"/>
  <c r="BR18" i="48"/>
  <c r="BR19" i="48"/>
  <c r="AY14" i="40"/>
  <c r="BE14" i="40"/>
  <c r="BF14" i="40"/>
  <c r="BP11" i="20"/>
  <c r="BP16" i="20" s="1"/>
  <c r="BU12" i="16"/>
  <c r="BU17" i="16" s="1"/>
  <c r="BO13" i="13"/>
  <c r="BN10" i="26"/>
  <c r="BR10" i="70"/>
  <c r="BR19" i="70" s="1"/>
  <c r="BT12" i="25"/>
  <c r="BT17" i="25" s="1"/>
  <c r="BQ10" i="70"/>
  <c r="BQ19" i="70" s="1"/>
  <c r="BR11" i="20"/>
  <c r="BR16" i="20" s="1"/>
  <c r="BV10" i="70"/>
  <c r="BV19" i="70" s="1"/>
  <c r="BV11" i="48"/>
  <c r="BV16" i="48" s="1"/>
  <c r="BV18" i="48"/>
  <c r="BV19" i="48"/>
  <c r="BO18" i="67"/>
  <c r="BP14" i="17"/>
  <c r="BP21" i="17" s="1"/>
  <c r="BS15" i="39"/>
  <c r="BR11" i="23"/>
  <c r="BT15" i="39"/>
  <c r="BS19" i="48"/>
  <c r="BS11" i="48"/>
  <c r="BS16" i="48" s="1"/>
  <c r="BS18" i="48"/>
  <c r="BU10" i="35"/>
  <c r="BN13" i="32"/>
  <c r="BN5" i="31" s="1"/>
  <c r="BN10" i="31" s="1"/>
  <c r="BN11" i="31" s="1"/>
  <c r="BN17" i="31" s="1"/>
  <c r="BU15" i="39"/>
  <c r="AX14" i="40"/>
  <c r="AV14" i="40"/>
  <c r="BH14" i="40"/>
  <c r="BM14" i="40"/>
  <c r="BQ11" i="14"/>
  <c r="BQ16" i="14" s="1"/>
  <c r="AS14" i="40"/>
  <c r="BB14" i="40"/>
  <c r="BN12" i="25"/>
  <c r="BN17" i="25" s="1"/>
  <c r="BN12" i="16"/>
  <c r="BN17" i="16" s="1"/>
  <c r="BT10" i="70"/>
  <c r="BT19" i="70" s="1"/>
  <c r="BO11" i="20"/>
  <c r="BO16" i="20" s="1"/>
  <c r="BU11" i="14"/>
  <c r="BR12" i="57"/>
  <c r="BR5" i="30" s="1"/>
  <c r="BR9" i="30" s="1"/>
  <c r="BR14" i="30" s="1"/>
  <c r="BR7" i="29" s="1"/>
  <c r="BR11" i="29" s="1"/>
  <c r="BR16" i="29" s="1"/>
  <c r="BR21" i="29" s="1"/>
  <c r="BQ11" i="28"/>
  <c r="BQ16" i="28" s="1"/>
  <c r="BU14" i="38"/>
  <c r="BU19" i="38" s="1"/>
  <c r="BO12" i="16"/>
  <c r="BO17" i="16" s="1"/>
  <c r="BN10" i="35"/>
  <c r="BP11" i="48"/>
  <c r="BP16" i="48" s="1"/>
  <c r="BP18" i="48"/>
  <c r="BP19" i="48"/>
  <c r="BR13" i="18"/>
  <c r="BR18" i="18" s="1"/>
  <c r="BS11" i="28"/>
  <c r="BS16" i="28" s="1"/>
  <c r="BU11" i="28"/>
  <c r="BU16" i="28" s="1"/>
  <c r="BU13" i="49"/>
  <c r="BU18" i="49" s="1"/>
  <c r="BO14" i="38"/>
  <c r="BO19" i="38" s="1"/>
  <c r="BU14" i="55"/>
  <c r="BU19" i="55" s="1"/>
  <c r="AR14" i="40"/>
  <c r="AU14" i="40"/>
  <c r="AZ14" i="40"/>
  <c r="BR11" i="28"/>
  <c r="BR16" i="28" s="1"/>
  <c r="BR10" i="26"/>
  <c r="BR15" i="26" s="1"/>
  <c r="BS10" i="70"/>
  <c r="BS19" i="70" s="1"/>
  <c r="BP13" i="52"/>
  <c r="BP18" i="52" s="1"/>
  <c r="BN12" i="36"/>
  <c r="BQ11" i="23"/>
  <c r="BU13" i="18"/>
  <c r="BU18" i="18" s="1"/>
  <c r="BS14" i="38"/>
  <c r="BS19" i="38" s="1"/>
  <c r="BR12" i="25"/>
  <c r="BR17" i="25" s="1"/>
  <c r="BS11" i="20"/>
  <c r="BS16" i="20" s="1"/>
  <c r="BP13" i="32"/>
  <c r="BP5" i="31" s="1"/>
  <c r="BP10" i="31" s="1"/>
  <c r="BP11" i="31" s="1"/>
  <c r="BP17" i="31" s="1"/>
  <c r="BS12" i="36"/>
  <c r="BS17" i="36" s="1"/>
  <c r="BO13" i="18"/>
  <c r="BO18" i="18" s="1"/>
  <c r="BT12" i="60"/>
  <c r="BT17" i="60" s="1"/>
  <c r="BR11" i="14"/>
  <c r="BR16" i="14" s="1"/>
  <c r="BU11" i="23"/>
  <c r="BU16" i="23" s="1"/>
  <c r="BT14" i="38"/>
  <c r="BT19" i="38" s="1"/>
  <c r="BP16" i="58"/>
  <c r="BQ12" i="57"/>
  <c r="BQ5" i="30" s="1"/>
  <c r="BQ9" i="30" s="1"/>
  <c r="BQ14" i="30" s="1"/>
  <c r="BQ7" i="29" s="1"/>
  <c r="BQ11" i="29" s="1"/>
  <c r="BQ16" i="29" s="1"/>
  <c r="BQ21" i="29" s="1"/>
  <c r="BP15" i="39"/>
  <c r="BQ11" i="20"/>
  <c r="BQ16" i="20" s="1"/>
  <c r="BT13" i="49"/>
  <c r="BT18" i="49" s="1"/>
  <c r="BS13" i="66"/>
  <c r="BS18" i="66" s="1"/>
  <c r="BT19" i="48"/>
  <c r="BT11" i="48"/>
  <c r="BT16" i="48" s="1"/>
  <c r="BT18" i="48"/>
  <c r="BS10" i="35"/>
  <c r="BP10" i="70"/>
  <c r="BP19" i="70" s="1"/>
  <c r="BT10" i="35"/>
  <c r="BT13" i="52"/>
  <c r="BT18" i="52" s="1"/>
  <c r="BA14" i="40"/>
  <c r="BJ14" i="40"/>
  <c r="BL14" i="40"/>
  <c r="BU12" i="36"/>
  <c r="BU17" i="36" s="1"/>
  <c r="BN13" i="13"/>
  <c r="BV12" i="60"/>
  <c r="BV17" i="60" s="1"/>
  <c r="BQ10" i="26"/>
  <c r="BQ15" i="26" s="1"/>
  <c r="BT12" i="16"/>
  <c r="BT17" i="16" s="1"/>
  <c r="BO12" i="57"/>
  <c r="BO5" i="30" s="1"/>
  <c r="BO9" i="30" s="1"/>
  <c r="BO14" i="30" s="1"/>
  <c r="BO7" i="29" s="1"/>
  <c r="BO11" i="29" s="1"/>
  <c r="BO16" i="29" s="1"/>
  <c r="BO21" i="29" s="1"/>
  <c r="BV14" i="55"/>
  <c r="BV19" i="55" s="1"/>
  <c r="BP12" i="25"/>
  <c r="BP17" i="25" s="1"/>
  <c r="BT11" i="20"/>
  <c r="BT16" i="20" s="1"/>
  <c r="BU12" i="57"/>
  <c r="BU5" i="30" s="1"/>
  <c r="BU9" i="30" s="1"/>
  <c r="BU14" i="30" s="1"/>
  <c r="BU7" i="29" s="1"/>
  <c r="BU11" i="29" s="1"/>
  <c r="BU16" i="29" s="1"/>
  <c r="BU21" i="29" s="1"/>
  <c r="BU11" i="20"/>
  <c r="BU16" i="20" s="1"/>
  <c r="BR15" i="39"/>
  <c r="BO12" i="60"/>
  <c r="BO17" i="60" s="1"/>
  <c r="BT11" i="28"/>
  <c r="BT16" i="28" s="1"/>
  <c r="BU13" i="32"/>
  <c r="BU5" i="31" s="1"/>
  <c r="BU10" i="31" s="1"/>
  <c r="BU11" i="31" s="1"/>
  <c r="BU17" i="31" s="1"/>
  <c r="BQ14" i="38"/>
  <c r="BQ19" i="38" s="1"/>
  <c r="BV13" i="49"/>
  <c r="BV18" i="49" s="1"/>
  <c r="BU11" i="48"/>
  <c r="BU16" i="48" s="1"/>
  <c r="BU18" i="48"/>
  <c r="BU19" i="48"/>
  <c r="BR14" i="17"/>
  <c r="BR21" i="17" s="1"/>
  <c r="BN11" i="20"/>
  <c r="BU10" i="44"/>
  <c r="BU15" i="44" s="1"/>
  <c r="BS12" i="5"/>
  <c r="BS17" i="5" s="1"/>
  <c r="BT11" i="14"/>
  <c r="BT16" i="14" s="1"/>
  <c r="BP13" i="18"/>
  <c r="BS10" i="26"/>
  <c r="BS15" i="26" s="1"/>
  <c r="BN12" i="60"/>
  <c r="BN17" i="60" s="1"/>
  <c r="BQ12" i="25"/>
  <c r="BQ17" i="25" s="1"/>
  <c r="BQ15" i="39"/>
  <c r="BS14" i="17"/>
  <c r="BS21" i="17" s="1"/>
  <c r="BQ13" i="52"/>
  <c r="BQ18" i="52" s="1"/>
  <c r="BU10" i="70"/>
  <c r="BU19" i="70" s="1"/>
  <c r="BU14" i="54"/>
  <c r="BU19" i="54" s="1"/>
  <c r="BV15" i="39"/>
  <c r="BU13" i="73"/>
  <c r="AD13" i="73"/>
  <c r="AD18" i="73" s="1"/>
  <c r="AW13" i="73"/>
  <c r="AW18" i="73" s="1"/>
  <c r="P13" i="73"/>
  <c r="P18" i="73" s="1"/>
  <c r="BN13" i="52"/>
  <c r="BN18" i="52" s="1"/>
  <c r="BO13" i="52"/>
  <c r="AE13" i="73"/>
  <c r="AE18" i="73" s="1"/>
  <c r="BM13" i="73"/>
  <c r="BM18" i="73" s="1"/>
  <c r="BK13" i="49"/>
  <c r="BK18" i="49" s="1"/>
  <c r="BE13" i="73"/>
  <c r="BE18" i="73" s="1"/>
  <c r="BC13" i="73"/>
  <c r="BC18" i="73" s="1"/>
  <c r="BJ13" i="73"/>
  <c r="BJ18" i="73" s="1"/>
  <c r="AO13" i="73"/>
  <c r="AO18" i="73" s="1"/>
  <c r="BL13" i="73"/>
  <c r="BL18" i="73" s="1"/>
  <c r="W13" i="73"/>
  <c r="W18" i="73" s="1"/>
  <c r="Y13" i="73"/>
  <c r="Y18" i="73" s="1"/>
  <c r="AF13" i="73"/>
  <c r="AF18" i="73" s="1"/>
  <c r="BK13" i="73"/>
  <c r="BK18" i="73" s="1"/>
  <c r="BM12" i="5"/>
  <c r="BM17" i="5" s="1"/>
  <c r="AG13" i="73"/>
  <c r="AG18" i="73" s="1"/>
  <c r="AN13" i="73"/>
  <c r="AN18" i="73" s="1"/>
  <c r="AT13" i="73"/>
  <c r="AT18" i="73" s="1"/>
  <c r="AV13" i="73"/>
  <c r="AV18" i="73" s="1"/>
  <c r="BD13" i="73"/>
  <c r="BD18" i="73" s="1"/>
  <c r="O13" i="73"/>
  <c r="O18" i="73" s="1"/>
  <c r="Q13" i="73"/>
  <c r="Q18" i="73" s="1"/>
  <c r="AS13" i="73"/>
  <c r="AS18" i="73" s="1"/>
  <c r="BN13" i="73"/>
  <c r="BN18" i="73" s="1"/>
  <c r="T13" i="73"/>
  <c r="T18" i="73" s="1"/>
  <c r="Z13" i="73"/>
  <c r="Z18" i="73" s="1"/>
  <c r="N13" i="73"/>
  <c r="N18" i="73" s="1"/>
  <c r="BO13" i="73"/>
  <c r="BO18" i="73" s="1"/>
  <c r="AM13" i="73"/>
  <c r="AM18" i="73" s="1"/>
  <c r="AB13" i="73"/>
  <c r="AB18" i="73" s="1"/>
  <c r="BF13" i="73"/>
  <c r="BF18" i="73" s="1"/>
  <c r="R13" i="73"/>
  <c r="R18" i="73" s="1"/>
  <c r="V13" i="73"/>
  <c r="V18" i="73" s="1"/>
  <c r="K13" i="73"/>
  <c r="K18" i="73" s="1"/>
  <c r="AJ13" i="73"/>
  <c r="AJ18" i="73" s="1"/>
  <c r="AX13" i="73"/>
  <c r="AX18" i="73" s="1"/>
  <c r="X13" i="73"/>
  <c r="X18" i="73" s="1"/>
  <c r="S13" i="73"/>
  <c r="S18" i="73" s="1"/>
  <c r="J13" i="73"/>
  <c r="J18" i="73" s="1"/>
  <c r="AR13" i="73"/>
  <c r="AR18" i="73" s="1"/>
  <c r="AL13" i="73"/>
  <c r="AL18" i="73" s="1"/>
  <c r="AA13" i="73"/>
  <c r="AA18" i="73" s="1"/>
  <c r="AP13" i="73"/>
  <c r="AP18" i="73" s="1"/>
  <c r="AZ13" i="73"/>
  <c r="AZ18" i="73" s="1"/>
  <c r="U13" i="73"/>
  <c r="U18" i="73" s="1"/>
  <c r="AI13" i="73"/>
  <c r="AI18" i="73" s="1"/>
  <c r="BH13" i="73"/>
  <c r="BH18" i="73" s="1"/>
  <c r="AK13" i="73"/>
  <c r="AK18" i="73" s="1"/>
  <c r="M13" i="73"/>
  <c r="M18" i="73" s="1"/>
  <c r="BB13" i="73"/>
  <c r="BB18" i="73" s="1"/>
  <c r="AQ13" i="73"/>
  <c r="AQ18" i="73" s="1"/>
  <c r="BP13" i="73"/>
  <c r="AU13" i="73"/>
  <c r="AU18" i="73" s="1"/>
  <c r="BA13" i="73"/>
  <c r="BA18" i="73" s="1"/>
  <c r="AC13" i="73"/>
  <c r="AC18" i="73" s="1"/>
  <c r="AH13" i="73"/>
  <c r="AH18" i="73" s="1"/>
  <c r="AY13" i="73"/>
  <c r="AY18" i="73" s="1"/>
  <c r="L13" i="73"/>
  <c r="L18" i="73" s="1"/>
  <c r="BI13" i="73"/>
  <c r="BI18" i="73" s="1"/>
  <c r="L10" i="44"/>
  <c r="L15" i="44" s="1"/>
  <c r="K9" i="19"/>
  <c r="K11" i="19" s="1"/>
  <c r="K16" i="19" s="1"/>
  <c r="J9" i="19"/>
  <c r="J11" i="19" s="1"/>
  <c r="L9" i="19"/>
  <c r="L11" i="19" s="1"/>
  <c r="L16" i="19" s="1"/>
  <c r="I9" i="19"/>
  <c r="I11" i="19" s="1"/>
  <c r="I16" i="19" s="1"/>
  <c r="M9" i="19"/>
  <c r="M11" i="19" s="1"/>
  <c r="M10" i="44"/>
  <c r="M15" i="44" s="1"/>
  <c r="J10" i="44"/>
  <c r="J15" i="44" s="1"/>
  <c r="BK12" i="36"/>
  <c r="BK17" i="36" s="1"/>
  <c r="BM13" i="18"/>
  <c r="BM18" i="18" s="1"/>
  <c r="N11" i="19"/>
  <c r="N16" i="19" s="1"/>
  <c r="O11" i="19"/>
  <c r="O16" i="19" s="1"/>
  <c r="BF29" i="70"/>
  <c r="BG29" i="70"/>
  <c r="BK29" i="70"/>
  <c r="AZ29" i="70"/>
  <c r="BH29" i="70"/>
  <c r="BC29" i="70"/>
  <c r="BB29" i="70"/>
  <c r="BE29" i="70"/>
  <c r="BI29" i="70"/>
  <c r="BJ29" i="70"/>
  <c r="BD29" i="70"/>
  <c r="AY29" i="70"/>
  <c r="BA29" i="70"/>
  <c r="BM12" i="36"/>
  <c r="BM17" i="36" s="1"/>
  <c r="AC10" i="44"/>
  <c r="AC15" i="44" s="1"/>
  <c r="Z10" i="44"/>
  <c r="Z15" i="44" s="1"/>
  <c r="BL12" i="36"/>
  <c r="BL17" i="36" s="1"/>
  <c r="T10" i="44"/>
  <c r="T15" i="44" s="1"/>
  <c r="BM13" i="32"/>
  <c r="BM5" i="31" s="1"/>
  <c r="BM10" i="31" s="1"/>
  <c r="BM11" i="31" s="1"/>
  <c r="BM17" i="31" s="1"/>
  <c r="BL11" i="14"/>
  <c r="BL16" i="14" s="1"/>
  <c r="BM10" i="35"/>
  <c r="BL12" i="25"/>
  <c r="BL17" i="25" s="1"/>
  <c r="BK10" i="26"/>
  <c r="BK10" i="35"/>
  <c r="BI10" i="44"/>
  <c r="BI15" i="44" s="1"/>
  <c r="BL11" i="28"/>
  <c r="BL16" i="28" s="1"/>
  <c r="AK10" i="44"/>
  <c r="AK15" i="44" s="1"/>
  <c r="AU14" i="38"/>
  <c r="AU19" i="38" s="1"/>
  <c r="Y10" i="44"/>
  <c r="Y15" i="44" s="1"/>
  <c r="BN11" i="14"/>
  <c r="BN16" i="14" s="1"/>
  <c r="BM14" i="38"/>
  <c r="BM19" i="38" s="1"/>
  <c r="AJ10" i="44"/>
  <c r="AJ15" i="44" s="1"/>
  <c r="BK12" i="5"/>
  <c r="BK17" i="5" s="1"/>
  <c r="AH10" i="44"/>
  <c r="AH15" i="44" s="1"/>
  <c r="BL13" i="13"/>
  <c r="K10" i="44"/>
  <c r="K15" i="44" s="1"/>
  <c r="U10" i="44"/>
  <c r="U15" i="44" s="1"/>
  <c r="R10" i="44"/>
  <c r="R15" i="44" s="1"/>
  <c r="BL11" i="20"/>
  <c r="BL16" i="20" s="1"/>
  <c r="BN14" i="17"/>
  <c r="BN21" i="17" s="1"/>
  <c r="BL12" i="16"/>
  <c r="BL17" i="16" s="1"/>
  <c r="BM12" i="25"/>
  <c r="BM17" i="25" s="1"/>
  <c r="AZ10" i="44"/>
  <c r="AZ15" i="44" s="1"/>
  <c r="BL14" i="38"/>
  <c r="BL19" i="38" s="1"/>
  <c r="BC10" i="44"/>
  <c r="BC15" i="44" s="1"/>
  <c r="AD10" i="44"/>
  <c r="AD15" i="44" s="1"/>
  <c r="AU10" i="44"/>
  <c r="AU15" i="44" s="1"/>
  <c r="V10" i="44"/>
  <c r="V15" i="44" s="1"/>
  <c r="AR10" i="44"/>
  <c r="Y14" i="55"/>
  <c r="Y19" i="55" s="1"/>
  <c r="BK11" i="14"/>
  <c r="BK16" i="14" s="1"/>
  <c r="BL13" i="18"/>
  <c r="BL15" i="18" s="1"/>
  <c r="BM11" i="14"/>
  <c r="BM16" i="14" s="1"/>
  <c r="BM10" i="26"/>
  <c r="BM11" i="23"/>
  <c r="BM16" i="23" s="1"/>
  <c r="BM14" i="54"/>
  <c r="BM19" i="54" s="1"/>
  <c r="BK12" i="25"/>
  <c r="BK17" i="25" s="1"/>
  <c r="BK14" i="17"/>
  <c r="BK21" i="17" s="1"/>
  <c r="BH10" i="44"/>
  <c r="BK13" i="18"/>
  <c r="BK13" i="32"/>
  <c r="BK5" i="31" s="1"/>
  <c r="BK10" i="31" s="1"/>
  <c r="BK11" i="31" s="1"/>
  <c r="BK17" i="31" s="1"/>
  <c r="BL10" i="26"/>
  <c r="BI11" i="23"/>
  <c r="BI16" i="23" s="1"/>
  <c r="BK13" i="13"/>
  <c r="BL12" i="5"/>
  <c r="BL17" i="5" s="1"/>
  <c r="BQ13" i="49"/>
  <c r="BQ18" i="49" s="1"/>
  <c r="BP13" i="49"/>
  <c r="BP18" i="49" s="1"/>
  <c r="BO14" i="17"/>
  <c r="BO21" i="17" s="1"/>
  <c r="S10" i="44"/>
  <c r="S15" i="44" s="1"/>
  <c r="AB10" i="44"/>
  <c r="AB15" i="44" s="1"/>
  <c r="AW10" i="44"/>
  <c r="AW15" i="44" s="1"/>
  <c r="P10" i="44"/>
  <c r="P15" i="44" s="1"/>
  <c r="BK10" i="44"/>
  <c r="BK15" i="44" s="1"/>
  <c r="BM11" i="28"/>
  <c r="BM16" i="28" s="1"/>
  <c r="AT10" i="44"/>
  <c r="AT15" i="44" s="1"/>
  <c r="AO10" i="44"/>
  <c r="BG10" i="44"/>
  <c r="BG15" i="44" s="1"/>
  <c r="BM10" i="44"/>
  <c r="BM15" i="44" s="1"/>
  <c r="AL10" i="44"/>
  <c r="AL15" i="44" s="1"/>
  <c r="BM15" i="39"/>
  <c r="BK12" i="16"/>
  <c r="BK17" i="16" s="1"/>
  <c r="BL15" i="39"/>
  <c r="AG10" i="44"/>
  <c r="AG15" i="44" s="1"/>
  <c r="BK11" i="23"/>
  <c r="BK16" i="23" s="1"/>
  <c r="BN10" i="44"/>
  <c r="BN15" i="44" s="1"/>
  <c r="BD10" i="44"/>
  <c r="BD15" i="44" s="1"/>
  <c r="BR13" i="49"/>
  <c r="BR18" i="49" s="1"/>
  <c r="BO13" i="49"/>
  <c r="BO18" i="49" s="1"/>
  <c r="BM14" i="17"/>
  <c r="BM21" i="17" s="1"/>
  <c r="BM13" i="13"/>
  <c r="BN14" i="38"/>
  <c r="BN19" i="38" s="1"/>
  <c r="AY10" i="44"/>
  <c r="AY15" i="44" s="1"/>
  <c r="BF10" i="44"/>
  <c r="BF15" i="44" s="1"/>
  <c r="BL12" i="57"/>
  <c r="BL5" i="30" s="1"/>
  <c r="BL9" i="30" s="1"/>
  <c r="BL14" i="30" s="1"/>
  <c r="BL7" i="29" s="1"/>
  <c r="BL11" i="29" s="1"/>
  <c r="BL16" i="29" s="1"/>
  <c r="BL21" i="29" s="1"/>
  <c r="BK12" i="57"/>
  <c r="BK5" i="30" s="1"/>
  <c r="BK9" i="30" s="1"/>
  <c r="BK14" i="30" s="1"/>
  <c r="BK7" i="29" s="1"/>
  <c r="BK11" i="29" s="1"/>
  <c r="BK16" i="29" s="1"/>
  <c r="BK21" i="29" s="1"/>
  <c r="Q10" i="44"/>
  <c r="Q15" i="44" s="1"/>
  <c r="AV10" i="44"/>
  <c r="AM10" i="44"/>
  <c r="AM15" i="44" s="1"/>
  <c r="BK11" i="20"/>
  <c r="BK16" i="20" s="1"/>
  <c r="N10" i="44"/>
  <c r="N15" i="44" s="1"/>
  <c r="BA10" i="44"/>
  <c r="BA15" i="44" s="1"/>
  <c r="AQ10" i="44"/>
  <c r="AQ15" i="44" s="1"/>
  <c r="BK11" i="28"/>
  <c r="BK16" i="28" s="1"/>
  <c r="AX10" i="44"/>
  <c r="AX15" i="44" s="1"/>
  <c r="BN15" i="39"/>
  <c r="BL13" i="32"/>
  <c r="BL5" i="31" s="1"/>
  <c r="BL10" i="31" s="1"/>
  <c r="BL11" i="31" s="1"/>
  <c r="BL17" i="31" s="1"/>
  <c r="BO10" i="44"/>
  <c r="BO15" i="44" s="1"/>
  <c r="AN10" i="44"/>
  <c r="AN15" i="44" s="1"/>
  <c r="BM12" i="57"/>
  <c r="BM5" i="30" s="1"/>
  <c r="BM9" i="30" s="1"/>
  <c r="BM14" i="30" s="1"/>
  <c r="BM7" i="29" s="1"/>
  <c r="BM11" i="29" s="1"/>
  <c r="BM16" i="29" s="1"/>
  <c r="BM21" i="29" s="1"/>
  <c r="AE10" i="44"/>
  <c r="AE15" i="44" s="1"/>
  <c r="BN11" i="23"/>
  <c r="BN16" i="23" s="1"/>
  <c r="BL10" i="35"/>
  <c r="BJ10" i="44"/>
  <c r="BJ15" i="44" s="1"/>
  <c r="BM12" i="16"/>
  <c r="BM17" i="16" s="1"/>
  <c r="AS10" i="44"/>
  <c r="AS15" i="44" s="1"/>
  <c r="AI10" i="44"/>
  <c r="AI15" i="44" s="1"/>
  <c r="AP10" i="44"/>
  <c r="BN12" i="57"/>
  <c r="BN5" i="30" s="1"/>
  <c r="BN9" i="30" s="1"/>
  <c r="BN14" i="30" s="1"/>
  <c r="BN7" i="29" s="1"/>
  <c r="BN11" i="29" s="1"/>
  <c r="BN16" i="29" s="1"/>
  <c r="BN21" i="29" s="1"/>
  <c r="AF10" i="44"/>
  <c r="AF15" i="44" s="1"/>
  <c r="W10" i="44"/>
  <c r="W15" i="44" s="1"/>
  <c r="BL10" i="44"/>
  <c r="BL15" i="44" s="1"/>
  <c r="BO11" i="23"/>
  <c r="BO16" i="23" s="1"/>
  <c r="BL14" i="17"/>
  <c r="BL21" i="17" s="1"/>
  <c r="AA10" i="44"/>
  <c r="AA15" i="44" s="1"/>
  <c r="BL11" i="23"/>
  <c r="BL16" i="23" s="1"/>
  <c r="BE10" i="44"/>
  <c r="BE15" i="44" s="1"/>
  <c r="X10" i="44"/>
  <c r="X15" i="44" s="1"/>
  <c r="O10" i="44"/>
  <c r="BB10" i="44"/>
  <c r="BB15" i="44" s="1"/>
  <c r="BN14" i="54"/>
  <c r="BN19" i="54" s="1"/>
  <c r="BN13" i="49"/>
  <c r="BN18" i="49" s="1"/>
  <c r="BS13" i="49"/>
  <c r="BS18" i="49" s="1"/>
  <c r="BM13" i="49"/>
  <c r="BM18" i="49" s="1"/>
  <c r="BL13" i="49"/>
  <c r="BL18" i="49" s="1"/>
  <c r="BM10" i="70"/>
  <c r="BM19" i="70" s="1"/>
  <c r="BL10" i="70"/>
  <c r="BL19" i="70" s="1"/>
  <c r="BN10" i="70"/>
  <c r="BN19" i="70" s="1"/>
  <c r="BO10" i="70"/>
  <c r="BO19" i="70" s="1"/>
  <c r="BL16" i="58"/>
  <c r="BO13" i="66"/>
  <c r="BO18" i="66" s="1"/>
  <c r="BH14" i="54"/>
  <c r="BH19" i="54" s="1"/>
  <c r="BJ13" i="32"/>
  <c r="BJ5" i="31" s="1"/>
  <c r="BJ10" i="31" s="1"/>
  <c r="BJ11" i="31" s="1"/>
  <c r="BJ17" i="31" s="1"/>
  <c r="BK13" i="66"/>
  <c r="BK18" i="66" s="1"/>
  <c r="BJ14" i="17"/>
  <c r="Q14" i="55"/>
  <c r="Q19" i="55" s="1"/>
  <c r="BJ10" i="26"/>
  <c r="BJ12" i="16"/>
  <c r="BJ11" i="14"/>
  <c r="BJ16" i="14" s="1"/>
  <c r="BJ13" i="13"/>
  <c r="BJ11" i="23"/>
  <c r="BP14" i="55"/>
  <c r="BP19" i="55" s="1"/>
  <c r="BM12" i="60"/>
  <c r="BM17" i="60" s="1"/>
  <c r="BL13" i="66"/>
  <c r="BL18" i="66" s="1"/>
  <c r="BK16" i="58"/>
  <c r="AG14" i="55"/>
  <c r="AG19" i="55" s="1"/>
  <c r="BJ12" i="36"/>
  <c r="BJ17" i="36" s="1"/>
  <c r="BJ13" i="18"/>
  <c r="BL14" i="54"/>
  <c r="BL19" i="54" s="1"/>
  <c r="BJ11" i="20"/>
  <c r="BM13" i="52"/>
  <c r="BM18" i="52" s="1"/>
  <c r="BJ11" i="28"/>
  <c r="BJ16" i="28" s="1"/>
  <c r="BL13" i="52"/>
  <c r="BL18" i="52" s="1"/>
  <c r="BN14" i="55"/>
  <c r="BN19" i="55" s="1"/>
  <c r="BJ16" i="58"/>
  <c r="BI10" i="35"/>
  <c r="BO11" i="48"/>
  <c r="BO16" i="48" s="1"/>
  <c r="BO19" i="48"/>
  <c r="BO18" i="48"/>
  <c r="BK14" i="55"/>
  <c r="BK11" i="48"/>
  <c r="BK16" i="48" s="1"/>
  <c r="BK19" i="48"/>
  <c r="BK18" i="48"/>
  <c r="BM16" i="58"/>
  <c r="BJ10" i="35"/>
  <c r="BL12" i="60"/>
  <c r="BL17" i="60" s="1"/>
  <c r="AY10" i="70"/>
  <c r="AY19" i="70" s="1"/>
  <c r="AN10" i="70"/>
  <c r="AN19" i="70" s="1"/>
  <c r="BC10" i="70"/>
  <c r="BC19" i="70" s="1"/>
  <c r="BJ10" i="70"/>
  <c r="BJ19" i="70" s="1"/>
  <c r="BB10" i="70"/>
  <c r="BB19" i="70" s="1"/>
  <c r="BL14" i="55"/>
  <c r="BL19" i="55" s="1"/>
  <c r="BL11" i="48"/>
  <c r="BL16" i="48" s="1"/>
  <c r="BL18" i="48"/>
  <c r="BL19" i="48"/>
  <c r="BK15" i="46"/>
  <c r="BN16" i="58"/>
  <c r="AQ10" i="70"/>
  <c r="AQ19" i="70" s="1"/>
  <c r="BF10" i="70"/>
  <c r="BF19" i="70" s="1"/>
  <c r="AF10" i="70"/>
  <c r="AF19" i="70" s="1"/>
  <c r="AU10" i="70"/>
  <c r="AU19" i="70" s="1"/>
  <c r="AT10" i="70"/>
  <c r="AT19" i="70" s="1"/>
  <c r="BN11" i="48"/>
  <c r="BN16" i="48" s="1"/>
  <c r="BN18" i="48"/>
  <c r="BN19" i="48"/>
  <c r="BM19" i="48"/>
  <c r="BM11" i="48"/>
  <c r="BM16" i="48" s="1"/>
  <c r="BM18" i="48"/>
  <c r="BH10" i="70"/>
  <c r="BH19" i="70" s="1"/>
  <c r="AI10" i="70"/>
  <c r="AI19" i="70" s="1"/>
  <c r="AK10" i="70"/>
  <c r="AK19" i="70" s="1"/>
  <c r="AM10" i="70"/>
  <c r="AM19" i="70" s="1"/>
  <c r="AL10" i="70"/>
  <c r="AL19" i="70" s="1"/>
  <c r="Y14" i="38"/>
  <c r="Y19" i="38" s="1"/>
  <c r="BN13" i="66"/>
  <c r="BN18" i="66" s="1"/>
  <c r="BK14" i="54"/>
  <c r="BK19" i="54" s="1"/>
  <c r="BO16" i="58"/>
  <c r="BJ12" i="5"/>
  <c r="BJ17" i="5" s="1"/>
  <c r="BA10" i="70"/>
  <c r="BA19" i="70" s="1"/>
  <c r="BI10" i="70"/>
  <c r="BI19" i="70" s="1"/>
  <c r="AP10" i="70"/>
  <c r="AP19" i="70" s="1"/>
  <c r="AE10" i="70"/>
  <c r="AE19" i="70" s="1"/>
  <c r="BM15" i="46"/>
  <c r="BL15" i="46"/>
  <c r="BM13" i="66"/>
  <c r="BM18" i="66" s="1"/>
  <c r="BK12" i="60"/>
  <c r="BK17" i="60" s="1"/>
  <c r="BK14" i="38"/>
  <c r="BK19" i="38" s="1"/>
  <c r="BO15" i="46"/>
  <c r="AH10" i="70"/>
  <c r="AH19" i="70" s="1"/>
  <c r="BE10" i="70"/>
  <c r="BE19" i="70" s="1"/>
  <c r="AZ10" i="70"/>
  <c r="AZ19" i="70" s="1"/>
  <c r="AW10" i="70"/>
  <c r="AW19" i="70" s="1"/>
  <c r="BK15" i="39"/>
  <c r="BN15" i="46"/>
  <c r="BJ12" i="25"/>
  <c r="BO14" i="55"/>
  <c r="AR10" i="70"/>
  <c r="AR19" i="70" s="1"/>
  <c r="AS10" i="70"/>
  <c r="AS19" i="70" s="1"/>
  <c r="AO10" i="70"/>
  <c r="AO19" i="70" s="1"/>
  <c r="BD10" i="70"/>
  <c r="BD19" i="70" s="1"/>
  <c r="BK10" i="70"/>
  <c r="BK19" i="70" s="1"/>
  <c r="BJ12" i="57"/>
  <c r="BJ5" i="30" s="1"/>
  <c r="BJ9" i="30" s="1"/>
  <c r="BJ14" i="30" s="1"/>
  <c r="BJ7" i="29" s="1"/>
  <c r="BJ11" i="29" s="1"/>
  <c r="BJ16" i="29" s="1"/>
  <c r="BJ21" i="29" s="1"/>
  <c r="BM14" i="55"/>
  <c r="BM19" i="55" s="1"/>
  <c r="AJ10" i="70"/>
  <c r="AJ19" i="70" s="1"/>
  <c r="BG10" i="70"/>
  <c r="BG19" i="70" s="1"/>
  <c r="AG10" i="70"/>
  <c r="AG19" i="70" s="1"/>
  <c r="AV10" i="70"/>
  <c r="AV19" i="70" s="1"/>
  <c r="AQ14" i="55"/>
  <c r="AQ19" i="55" s="1"/>
  <c r="BI13" i="66"/>
  <c r="BI18" i="66" s="1"/>
  <c r="BJ14" i="38"/>
  <c r="BJ19" i="38" s="1"/>
  <c r="BJ13" i="66"/>
  <c r="BJ18" i="66" s="1"/>
  <c r="AH14" i="55"/>
  <c r="AH19" i="55" s="1"/>
  <c r="AY14" i="55"/>
  <c r="BH13" i="49"/>
  <c r="BH18" i="49" s="1"/>
  <c r="AO14" i="55"/>
  <c r="AO19" i="55" s="1"/>
  <c r="P14" i="55"/>
  <c r="P19" i="55" s="1"/>
  <c r="AP14" i="55"/>
  <c r="AP19" i="55" s="1"/>
  <c r="BG14" i="55"/>
  <c r="BI10" i="26"/>
  <c r="AR13" i="66"/>
  <c r="AR18" i="66" s="1"/>
  <c r="BI14" i="38"/>
  <c r="BI19" i="38" s="1"/>
  <c r="AH13" i="52"/>
  <c r="AH18" i="52" s="1"/>
  <c r="Z13" i="52"/>
  <c r="BH10" i="35"/>
  <c r="AW14" i="55"/>
  <c r="AZ13" i="52"/>
  <c r="AZ18" i="52" s="1"/>
  <c r="BE11" i="23"/>
  <c r="BE16" i="23" s="1"/>
  <c r="AX14" i="55"/>
  <c r="BI16" i="58"/>
  <c r="Z14" i="55"/>
  <c r="Z19" i="55" s="1"/>
  <c r="BF14" i="55"/>
  <c r="BF19" i="55" s="1"/>
  <c r="AF14" i="55"/>
  <c r="AF19" i="55" s="1"/>
  <c r="BI14" i="54"/>
  <c r="BI19" i="54" s="1"/>
  <c r="X14" i="55"/>
  <c r="X19" i="55" s="1"/>
  <c r="AV14" i="55"/>
  <c r="AV19" i="55" s="1"/>
  <c r="AA14" i="55"/>
  <c r="AA19" i="55" s="1"/>
  <c r="BH11" i="23"/>
  <c r="BH16" i="23" s="1"/>
  <c r="BK13" i="52"/>
  <c r="BI13" i="18"/>
  <c r="AI14" i="55"/>
  <c r="AI19" i="55" s="1"/>
  <c r="BI13" i="49"/>
  <c r="BI18" i="49" s="1"/>
  <c r="BF12" i="57"/>
  <c r="BF5" i="30" s="1"/>
  <c r="BF9" i="30" s="1"/>
  <c r="BJ13" i="52"/>
  <c r="BJ18" i="52" s="1"/>
  <c r="BD14" i="55"/>
  <c r="BD19" i="55" s="1"/>
  <c r="BH11" i="20"/>
  <c r="BH16" i="20" s="1"/>
  <c r="R14" i="55"/>
  <c r="R19" i="55" s="1"/>
  <c r="AN14" i="55"/>
  <c r="AN19" i="55" s="1"/>
  <c r="BG10" i="26"/>
  <c r="BI12" i="16"/>
  <c r="BI17" i="16" s="1"/>
  <c r="BG11" i="23"/>
  <c r="BG16" i="23" s="1"/>
  <c r="AU14" i="55"/>
  <c r="AU19" i="55" s="1"/>
  <c r="BA14" i="55"/>
  <c r="BA19" i="55" s="1"/>
  <c r="AR14" i="55"/>
  <c r="AR19" i="55" s="1"/>
  <c r="R13" i="52"/>
  <c r="AZ15" i="39"/>
  <c r="AR13" i="52"/>
  <c r="AR18" i="52" s="1"/>
  <c r="BG12" i="25"/>
  <c r="BG17" i="25" s="1"/>
  <c r="BG12" i="57"/>
  <c r="BG5" i="30" s="1"/>
  <c r="BG9" i="30" s="1"/>
  <c r="BG14" i="30" s="1"/>
  <c r="BG7" i="29" s="1"/>
  <c r="BG11" i="29" s="1"/>
  <c r="BG16" i="29" s="1"/>
  <c r="BG21" i="29" s="1"/>
  <c r="BF15" i="39"/>
  <c r="BH16" i="58"/>
  <c r="AR15" i="39"/>
  <c r="BG13" i="18"/>
  <c r="BD15" i="39"/>
  <c r="BI13" i="52"/>
  <c r="BI18" i="52" s="1"/>
  <c r="W15" i="39"/>
  <c r="V14" i="55"/>
  <c r="V19" i="55" s="1"/>
  <c r="BI15" i="39"/>
  <c r="BH14" i="55"/>
  <c r="BH19" i="55" s="1"/>
  <c r="AX15" i="39"/>
  <c r="BI15" i="46"/>
  <c r="BI18" i="48"/>
  <c r="BI19" i="48"/>
  <c r="BI11" i="48"/>
  <c r="BI16" i="48" s="1"/>
  <c r="AJ13" i="52"/>
  <c r="AJ18" i="52" s="1"/>
  <c r="BH10" i="26"/>
  <c r="AG15" i="39"/>
  <c r="BH13" i="32"/>
  <c r="BH5" i="31" s="1"/>
  <c r="BH10" i="31" s="1"/>
  <c r="BH11" i="31" s="1"/>
  <c r="BH17" i="31" s="1"/>
  <c r="AJ15" i="39"/>
  <c r="BG11" i="20"/>
  <c r="BG16" i="20" s="1"/>
  <c r="AV15" i="39"/>
  <c r="BC14" i="55"/>
  <c r="BH11" i="28"/>
  <c r="BH16" i="28" s="1"/>
  <c r="O15" i="39"/>
  <c r="N14" i="55"/>
  <c r="N19" i="55" s="1"/>
  <c r="BH12" i="57"/>
  <c r="BH5" i="30" s="1"/>
  <c r="BH9" i="30" s="1"/>
  <c r="BH14" i="30" s="1"/>
  <c r="BH7" i="29" s="1"/>
  <c r="BH11" i="29" s="1"/>
  <c r="BH16" i="29" s="1"/>
  <c r="BH21" i="29" s="1"/>
  <c r="BJ15" i="39"/>
  <c r="BI14" i="55"/>
  <c r="BI19" i="55" s="1"/>
  <c r="BA15" i="39"/>
  <c r="BJ15" i="46"/>
  <c r="AZ14" i="55"/>
  <c r="AZ19" i="55" s="1"/>
  <c r="BJ11" i="48"/>
  <c r="BJ16" i="48" s="1"/>
  <c r="BJ18" i="48"/>
  <c r="BJ19" i="48"/>
  <c r="BH14" i="17"/>
  <c r="BH21" i="17" s="1"/>
  <c r="BH12" i="25"/>
  <c r="BH17" i="25" s="1"/>
  <c r="AW15" i="39"/>
  <c r="AO15" i="39"/>
  <c r="AB15" i="39"/>
  <c r="BG15" i="39"/>
  <c r="BH15" i="46"/>
  <c r="BH11" i="48"/>
  <c r="BH16" i="48" s="1"/>
  <c r="BH18" i="48"/>
  <c r="BH19" i="48"/>
  <c r="AN15" i="39"/>
  <c r="BB15" i="39"/>
  <c r="AS15" i="39"/>
  <c r="Q15" i="39"/>
  <c r="AP15" i="39"/>
  <c r="AH15" i="39"/>
  <c r="T15" i="39"/>
  <c r="S14" i="55"/>
  <c r="S19" i="55" s="1"/>
  <c r="AY15" i="39"/>
  <c r="BE13" i="32"/>
  <c r="BE5" i="31" s="1"/>
  <c r="BE10" i="31" s="1"/>
  <c r="BE11" i="31" s="1"/>
  <c r="BE17" i="31" s="1"/>
  <c r="AF15" i="39"/>
  <c r="AM14" i="55"/>
  <c r="AM19" i="55" s="1"/>
  <c r="BH13" i="66"/>
  <c r="BH18" i="66" s="1"/>
  <c r="BI12" i="57"/>
  <c r="BI5" i="30" s="1"/>
  <c r="BI9" i="30" s="1"/>
  <c r="BI14" i="30" s="1"/>
  <c r="BI7" i="29" s="1"/>
  <c r="BI11" i="29" s="1"/>
  <c r="BI16" i="29" s="1"/>
  <c r="BI21" i="29" s="1"/>
  <c r="BJ14" i="55"/>
  <c r="BJ19" i="55" s="1"/>
  <c r="BH13" i="52"/>
  <c r="AT15" i="39"/>
  <c r="AS14" i="55"/>
  <c r="AS19" i="55" s="1"/>
  <c r="BI13" i="32"/>
  <c r="BI5" i="31" s="1"/>
  <c r="BI10" i="31" s="1"/>
  <c r="BI11" i="31" s="1"/>
  <c r="BI17" i="31" s="1"/>
  <c r="AK15" i="39"/>
  <c r="AJ14" i="55"/>
  <c r="AJ19" i="55" s="1"/>
  <c r="BH12" i="60"/>
  <c r="BH17" i="60" s="1"/>
  <c r="L13" i="52"/>
  <c r="L18" i="52" s="1"/>
  <c r="AP13" i="52"/>
  <c r="AP18" i="52" s="1"/>
  <c r="L15" i="39"/>
  <c r="AQ15" i="39"/>
  <c r="X15" i="39"/>
  <c r="AE14" i="55"/>
  <c r="AE19" i="55" s="1"/>
  <c r="BC15" i="39"/>
  <c r="BB14" i="55"/>
  <c r="BB19" i="55" s="1"/>
  <c r="BF13" i="32"/>
  <c r="BF5" i="31" s="1"/>
  <c r="BF10" i="31" s="1"/>
  <c r="BF11" i="31" s="1"/>
  <c r="BF17" i="31" s="1"/>
  <c r="AL15" i="39"/>
  <c r="AK14" i="55"/>
  <c r="AK19" i="55" s="1"/>
  <c r="AC15" i="39"/>
  <c r="AB14" i="55"/>
  <c r="AB19" i="55" s="1"/>
  <c r="BI12" i="25"/>
  <c r="BI17" i="25" s="1"/>
  <c r="BE15" i="39"/>
  <c r="R15" i="39"/>
  <c r="BE14" i="55"/>
  <c r="BE19" i="55" s="1"/>
  <c r="BI11" i="20"/>
  <c r="BI16" i="20" s="1"/>
  <c r="BJ14" i="54"/>
  <c r="BJ19" i="54" s="1"/>
  <c r="BG13" i="32"/>
  <c r="BG5" i="31" s="1"/>
  <c r="BG10" i="31" s="1"/>
  <c r="BG11" i="31" s="1"/>
  <c r="BG17" i="31" s="1"/>
  <c r="AI15" i="39"/>
  <c r="BI11" i="28"/>
  <c r="BI16" i="28" s="1"/>
  <c r="BG10" i="35"/>
  <c r="P15" i="39"/>
  <c r="W14" i="55"/>
  <c r="W19" i="55" s="1"/>
  <c r="AU15" i="39"/>
  <c r="AT14" i="55"/>
  <c r="AT19" i="55" s="1"/>
  <c r="AD15" i="39"/>
  <c r="AC14" i="55"/>
  <c r="AC19" i="55" s="1"/>
  <c r="BI12" i="60"/>
  <c r="BI17" i="60" s="1"/>
  <c r="U15" i="39"/>
  <c r="T14" i="55"/>
  <c r="T19" i="55" s="1"/>
  <c r="Y15" i="39"/>
  <c r="Z15" i="39"/>
  <c r="BH13" i="18"/>
  <c r="BH15" i="39"/>
  <c r="BJ13" i="49"/>
  <c r="BJ18" i="49" s="1"/>
  <c r="AA15" i="39"/>
  <c r="BH14" i="38"/>
  <c r="BH19" i="38" s="1"/>
  <c r="O14" i="55"/>
  <c r="O19" i="55" s="1"/>
  <c r="BD13" i="32"/>
  <c r="BD5" i="31" s="1"/>
  <c r="BD10" i="31" s="1"/>
  <c r="BD11" i="31" s="1"/>
  <c r="BD17" i="31" s="1"/>
  <c r="AM15" i="39"/>
  <c r="AL14" i="55"/>
  <c r="AL19" i="55" s="1"/>
  <c r="BJ12" i="60"/>
  <c r="BJ17" i="60" s="1"/>
  <c r="V15" i="39"/>
  <c r="U14" i="55"/>
  <c r="U19" i="55" s="1"/>
  <c r="M15" i="39"/>
  <c r="L14" i="55"/>
  <c r="L19" i="55" s="1"/>
  <c r="S15" i="39"/>
  <c r="AE15" i="39"/>
  <c r="AD14" i="55"/>
  <c r="AD19" i="55" s="1"/>
  <c r="BG11" i="28"/>
  <c r="BG16" i="28" s="1"/>
  <c r="N15" i="39"/>
  <c r="M14" i="55"/>
  <c r="M19" i="55" s="1"/>
  <c r="BG14" i="17"/>
  <c r="BG21" i="17" s="1"/>
  <c r="BH12" i="36"/>
  <c r="BH17" i="36" s="1"/>
  <c r="BI12" i="5"/>
  <c r="BI17" i="5" s="1"/>
  <c r="BG12" i="36"/>
  <c r="BG17" i="36" s="1"/>
  <c r="BH12" i="5"/>
  <c r="BH17" i="5" s="1"/>
  <c r="BG12" i="5"/>
  <c r="BG17" i="5" s="1"/>
  <c r="BI14" i="17"/>
  <c r="BI21" i="17" s="1"/>
  <c r="BI12" i="36"/>
  <c r="BI17" i="36" s="1"/>
  <c r="BI13" i="13"/>
  <c r="BH13" i="13"/>
  <c r="BG13" i="13"/>
  <c r="BH11" i="14"/>
  <c r="BH16" i="14" s="1"/>
  <c r="BI11" i="14"/>
  <c r="BI16" i="14" s="1"/>
  <c r="BG11" i="14"/>
  <c r="BG16" i="14" s="1"/>
  <c r="U14" i="38"/>
  <c r="U16" i="38" s="1"/>
  <c r="AB13" i="52"/>
  <c r="AB18" i="52" s="1"/>
  <c r="BF14" i="54"/>
  <c r="BF19" i="54" s="1"/>
  <c r="BF11" i="20"/>
  <c r="BF16" i="20" s="1"/>
  <c r="BD12" i="25"/>
  <c r="BD17" i="25" s="1"/>
  <c r="BF11" i="23"/>
  <c r="BF16" i="23" s="1"/>
  <c r="BG14" i="54"/>
  <c r="BG19" i="54" s="1"/>
  <c r="BG13" i="43"/>
  <c r="BG18" i="43" s="1"/>
  <c r="BF12" i="36"/>
  <c r="BF17" i="36" s="1"/>
  <c r="BG12" i="60"/>
  <c r="BG17" i="60" s="1"/>
  <c r="BG15" i="46"/>
  <c r="BG16" i="58"/>
  <c r="BG13" i="66"/>
  <c r="BG18" i="66" s="1"/>
  <c r="BG13" i="49"/>
  <c r="BG18" i="49" s="1"/>
  <c r="BG11" i="48"/>
  <c r="BG16" i="48" s="1"/>
  <c r="BG18" i="48"/>
  <c r="BG19" i="48"/>
  <c r="BG14" i="38"/>
  <c r="BG19" i="38" s="1"/>
  <c r="BH12" i="16"/>
  <c r="BH17" i="16" s="1"/>
  <c r="BF10" i="26"/>
  <c r="BF11" i="14"/>
  <c r="BF16" i="14" s="1"/>
  <c r="BF12" i="16"/>
  <c r="CT41" i="22"/>
  <c r="AR14" i="17"/>
  <c r="AR18" i="17" s="1"/>
  <c r="BF13" i="13"/>
  <c r="BF12" i="25"/>
  <c r="BF17" i="25" s="1"/>
  <c r="BF13" i="18"/>
  <c r="BF15" i="18" s="1"/>
  <c r="T14" i="17"/>
  <c r="T21" i="17" s="1"/>
  <c r="BF12" i="5"/>
  <c r="BF17" i="5" s="1"/>
  <c r="BG12" i="16"/>
  <c r="BG17" i="16" s="1"/>
  <c r="BF14" i="17"/>
  <c r="BF13" i="49"/>
  <c r="BF18" i="49" s="1"/>
  <c r="AJ14" i="17"/>
  <c r="AJ18" i="17" s="1"/>
  <c r="BE13" i="49"/>
  <c r="BE18" i="49" s="1"/>
  <c r="BE11" i="28"/>
  <c r="BE16" i="28" s="1"/>
  <c r="BD12" i="36"/>
  <c r="BD17" i="36" s="1"/>
  <c r="BG13" i="52"/>
  <c r="BE13" i="52"/>
  <c r="T13" i="52"/>
  <c r="T18" i="52" s="1"/>
  <c r="BF16" i="58"/>
  <c r="BE12" i="16"/>
  <c r="BE17" i="16" s="1"/>
  <c r="BF13" i="66"/>
  <c r="BF18" i="66" s="1"/>
  <c r="BE13" i="13"/>
  <c r="BD13" i="52"/>
  <c r="BD18" i="52" s="1"/>
  <c r="BD13" i="13"/>
  <c r="BD11" i="20"/>
  <c r="BD16" i="20" s="1"/>
  <c r="BE13" i="66"/>
  <c r="BE18" i="66" s="1"/>
  <c r="BE10" i="26"/>
  <c r="BF12" i="60"/>
  <c r="BF17" i="60" s="1"/>
  <c r="BF13" i="52"/>
  <c r="BF18" i="52" s="1"/>
  <c r="BE13" i="43"/>
  <c r="BE18" i="43" s="1"/>
  <c r="BF15" i="46"/>
  <c r="BD11" i="14"/>
  <c r="BD16" i="14" s="1"/>
  <c r="BE12" i="57"/>
  <c r="BE5" i="30" s="1"/>
  <c r="BE9" i="30" s="1"/>
  <c r="BE11" i="14"/>
  <c r="BE16" i="14" s="1"/>
  <c r="BD11" i="23"/>
  <c r="BD16" i="23" s="1"/>
  <c r="BE13" i="18"/>
  <c r="BE18" i="18" s="1"/>
  <c r="BF14" i="38"/>
  <c r="BF19" i="38" s="1"/>
  <c r="BE14" i="54"/>
  <c r="BE19" i="54" s="1"/>
  <c r="BE12" i="36"/>
  <c r="BE17" i="36" s="1"/>
  <c r="BE12" i="60"/>
  <c r="BE17" i="60" s="1"/>
  <c r="BE11" i="20"/>
  <c r="BE16" i="20" s="1"/>
  <c r="BE12" i="25"/>
  <c r="BE17" i="25" s="1"/>
  <c r="BC13" i="43"/>
  <c r="BC18" i="43" s="1"/>
  <c r="BD10" i="26"/>
  <c r="BF11" i="48"/>
  <c r="BF16" i="48" s="1"/>
  <c r="BF18" i="48"/>
  <c r="BF19" i="48"/>
  <c r="BC12" i="57"/>
  <c r="BC5" i="30" s="1"/>
  <c r="BC9" i="30" s="1"/>
  <c r="BF13" i="43"/>
  <c r="BF18" i="43" s="1"/>
  <c r="BD11" i="28"/>
  <c r="BD16" i="28" s="1"/>
  <c r="BE16" i="58"/>
  <c r="BD13" i="18"/>
  <c r="BD18" i="18" s="1"/>
  <c r="BE15" i="46"/>
  <c r="BD12" i="57"/>
  <c r="BD5" i="30" s="1"/>
  <c r="BD9" i="30" s="1"/>
  <c r="BD12" i="16"/>
  <c r="BD17" i="16" s="1"/>
  <c r="BE18" i="48"/>
  <c r="BE11" i="48"/>
  <c r="BE16" i="48" s="1"/>
  <c r="BE19" i="48"/>
  <c r="BE14" i="38"/>
  <c r="BE19" i="38" s="1"/>
  <c r="AZ14" i="17"/>
  <c r="AZ21" i="17" s="1"/>
  <c r="BE12" i="5"/>
  <c r="BE17" i="5" s="1"/>
  <c r="N13" i="52"/>
  <c r="N18" i="52" s="1"/>
  <c r="AF13" i="52"/>
  <c r="AF18" i="52" s="1"/>
  <c r="BD12" i="5"/>
  <c r="BD17" i="5" s="1"/>
  <c r="BB13" i="18"/>
  <c r="AX13" i="52"/>
  <c r="AX18" i="52" s="1"/>
  <c r="X13" i="52"/>
  <c r="X18" i="52" s="1"/>
  <c r="AS13" i="52"/>
  <c r="AK13" i="52"/>
  <c r="AG13" i="52"/>
  <c r="AG18" i="52" s="1"/>
  <c r="AV13" i="52"/>
  <c r="AD13" i="52"/>
  <c r="AD18" i="52" s="1"/>
  <c r="P13" i="52"/>
  <c r="P18" i="52" s="1"/>
  <c r="AL13" i="52"/>
  <c r="AL18" i="52" s="1"/>
  <c r="BC16" i="58"/>
  <c r="AA13" i="52"/>
  <c r="AA18" i="52" s="1"/>
  <c r="S13" i="52"/>
  <c r="S18" i="52" s="1"/>
  <c r="AO13" i="52"/>
  <c r="AO18" i="52" s="1"/>
  <c r="U13" i="52"/>
  <c r="U18" i="52" s="1"/>
  <c r="M13" i="52"/>
  <c r="M18" i="52" s="1"/>
  <c r="BC12" i="60"/>
  <c r="BC17" i="60" s="1"/>
  <c r="AQ13" i="52"/>
  <c r="AQ18" i="52" s="1"/>
  <c r="BC11" i="20"/>
  <c r="BC16" i="20" s="1"/>
  <c r="AI13" i="52"/>
  <c r="AI18" i="52" s="1"/>
  <c r="BC13" i="52"/>
  <c r="BD13" i="66"/>
  <c r="BD18" i="66" s="1"/>
  <c r="BC12" i="36"/>
  <c r="BC17" i="36" s="1"/>
  <c r="BC13" i="49"/>
  <c r="BC18" i="49" s="1"/>
  <c r="BB13" i="52"/>
  <c r="BB18" i="52" s="1"/>
  <c r="BB12" i="16"/>
  <c r="AT13" i="52"/>
  <c r="AT18" i="52" s="1"/>
  <c r="AQ15" i="46"/>
  <c r="K15" i="46"/>
  <c r="AK15" i="46"/>
  <c r="AR15" i="46"/>
  <c r="P15" i="46"/>
  <c r="BA9" i="46"/>
  <c r="BA10" i="46" s="1"/>
  <c r="BB9" i="46"/>
  <c r="BB10" i="46" s="1"/>
  <c r="AC13" i="52"/>
  <c r="AC18" i="52" s="1"/>
  <c r="BD12" i="60"/>
  <c r="BD17" i="60" s="1"/>
  <c r="Y13" i="52"/>
  <c r="Y18" i="52" s="1"/>
  <c r="BC12" i="25"/>
  <c r="BC17" i="25" s="1"/>
  <c r="BC13" i="66"/>
  <c r="BC18" i="66" s="1"/>
  <c r="S15" i="46"/>
  <c r="AS15" i="46"/>
  <c r="O15" i="46"/>
  <c r="X15" i="46"/>
  <c r="R15" i="46"/>
  <c r="AX9" i="46"/>
  <c r="AX10" i="46" s="1"/>
  <c r="BD13" i="49"/>
  <c r="BD18" i="49" s="1"/>
  <c r="BC10" i="26"/>
  <c r="Q13" i="52"/>
  <c r="Q18" i="52" s="1"/>
  <c r="BC13" i="13"/>
  <c r="AN13" i="52"/>
  <c r="AN18" i="52" s="1"/>
  <c r="BC15" i="46"/>
  <c r="AA15" i="46"/>
  <c r="AJ15" i="46"/>
  <c r="W15" i="46"/>
  <c r="AF15" i="46"/>
  <c r="Z15" i="46"/>
  <c r="BC13" i="18"/>
  <c r="BC18" i="18" s="1"/>
  <c r="BC14" i="38"/>
  <c r="BC19" i="38" s="1"/>
  <c r="V13" i="52"/>
  <c r="V18" i="52" s="1"/>
  <c r="AY13" i="52"/>
  <c r="AY18" i="52" s="1"/>
  <c r="AM15" i="46"/>
  <c r="AI15" i="46"/>
  <c r="N15" i="46"/>
  <c r="AE15" i="46"/>
  <c r="AN15" i="46"/>
  <c r="AH15" i="46"/>
  <c r="BD13" i="43"/>
  <c r="BD18" i="43" s="1"/>
  <c r="AE13" i="52"/>
  <c r="AE18" i="52" s="1"/>
  <c r="BD14" i="54"/>
  <c r="BD19" i="54" s="1"/>
  <c r="BC14" i="54"/>
  <c r="BC19" i="54" s="1"/>
  <c r="BC11" i="14"/>
  <c r="BC16" i="14" s="1"/>
  <c r="AM13" i="52"/>
  <c r="AM18" i="52" s="1"/>
  <c r="AP15" i="46"/>
  <c r="AV9" i="46"/>
  <c r="AV10" i="46" s="1"/>
  <c r="BC18" i="48"/>
  <c r="BC19" i="48"/>
  <c r="BC11" i="48"/>
  <c r="BC16" i="48" s="1"/>
  <c r="AB15" i="46"/>
  <c r="AD15" i="46"/>
  <c r="AU15" i="46"/>
  <c r="Y15" i="46"/>
  <c r="BD15" i="46"/>
  <c r="BA13" i="52"/>
  <c r="BA18" i="52" s="1"/>
  <c r="W13" i="52"/>
  <c r="W18" i="52" s="1"/>
  <c r="AW13" i="52"/>
  <c r="AW18" i="52" s="1"/>
  <c r="BD11" i="48"/>
  <c r="BD16" i="48" s="1"/>
  <c r="BD19" i="48"/>
  <c r="BD18" i="48"/>
  <c r="V15" i="46"/>
  <c r="AW9" i="46"/>
  <c r="AW10" i="46" s="1"/>
  <c r="U15" i="46"/>
  <c r="AL15" i="46"/>
  <c r="T15" i="46"/>
  <c r="AG15" i="46"/>
  <c r="AY9" i="46"/>
  <c r="AY10" i="46" s="1"/>
  <c r="BB13" i="13"/>
  <c r="AU13" i="52"/>
  <c r="AU18" i="52" s="1"/>
  <c r="BD16" i="58"/>
  <c r="BD14" i="38"/>
  <c r="BD19" i="38" s="1"/>
  <c r="Q15" i="46"/>
  <c r="L15" i="46"/>
  <c r="AC15" i="46"/>
  <c r="AT15" i="46"/>
  <c r="M15" i="46"/>
  <c r="AO15" i="46"/>
  <c r="AZ9" i="46"/>
  <c r="AZ10" i="46" s="1"/>
  <c r="K13" i="52"/>
  <c r="K18" i="52" s="1"/>
  <c r="O13" i="52"/>
  <c r="O18" i="52" s="1"/>
  <c r="AU13" i="66"/>
  <c r="AU18" i="66" s="1"/>
  <c r="BB12" i="57"/>
  <c r="BB5" i="30" s="1"/>
  <c r="BB9" i="30" s="1"/>
  <c r="BB14" i="30" s="1"/>
  <c r="BB7" i="29" s="1"/>
  <c r="BB11" i="29" s="1"/>
  <c r="BB16" i="29" s="1"/>
  <c r="BC12" i="5"/>
  <c r="BC17" i="5" s="1"/>
  <c r="BB12" i="25"/>
  <c r="BB11" i="20"/>
  <c r="BB11" i="14"/>
  <c r="BB16" i="14" s="1"/>
  <c r="BB11" i="23"/>
  <c r="BB10" i="26"/>
  <c r="W10" i="26"/>
  <c r="W15" i="26" s="1"/>
  <c r="BB12" i="36"/>
  <c r="BB17" i="36" s="1"/>
  <c r="L14" i="17"/>
  <c r="L21" i="17" s="1"/>
  <c r="BA11" i="20"/>
  <c r="BA16" i="20" s="1"/>
  <c r="BB12" i="5"/>
  <c r="BB17" i="5" s="1"/>
  <c r="AT10" i="67"/>
  <c r="AT13" i="67" s="1"/>
  <c r="AT18" i="67" s="1"/>
  <c r="AV10" i="67"/>
  <c r="AV13" i="67" s="1"/>
  <c r="AV18" i="67" s="1"/>
  <c r="AG10" i="67"/>
  <c r="AG13" i="67" s="1"/>
  <c r="AG18" i="67" s="1"/>
  <c r="O10" i="67"/>
  <c r="O13" i="67" s="1"/>
  <c r="O18" i="67" s="1"/>
  <c r="N10" i="67"/>
  <c r="N13" i="67" s="1"/>
  <c r="N18" i="67" s="1"/>
  <c r="AO10" i="67"/>
  <c r="AO13" i="67" s="1"/>
  <c r="AO18" i="67" s="1"/>
  <c r="W10" i="67"/>
  <c r="W13" i="67" s="1"/>
  <c r="W18" i="67" s="1"/>
  <c r="AD10" i="67"/>
  <c r="AD13" i="67" s="1"/>
  <c r="AD18" i="67" s="1"/>
  <c r="AW10" i="67"/>
  <c r="AW13" i="67" s="1"/>
  <c r="AW18" i="67" s="1"/>
  <c r="AE10" i="67"/>
  <c r="AE13" i="67" s="1"/>
  <c r="AE18" i="67" s="1"/>
  <c r="P10" i="67"/>
  <c r="P13" i="67" s="1"/>
  <c r="P18" i="67" s="1"/>
  <c r="V10" i="67"/>
  <c r="V13" i="67" s="1"/>
  <c r="V18" i="67" s="1"/>
  <c r="BA10" i="67"/>
  <c r="BA13" i="67" s="1"/>
  <c r="BA18" i="67" s="1"/>
  <c r="AM10" i="67"/>
  <c r="AM13" i="67" s="1"/>
  <c r="AM18" i="67" s="1"/>
  <c r="AF10" i="67"/>
  <c r="AF13" i="67" s="1"/>
  <c r="AF18" i="67" s="1"/>
  <c r="X10" i="67"/>
  <c r="X13" i="67" s="1"/>
  <c r="X18" i="67" s="1"/>
  <c r="AL10" i="67"/>
  <c r="AL13" i="67" s="1"/>
  <c r="AL18" i="67" s="1"/>
  <c r="AU10" i="67"/>
  <c r="AU13" i="67" s="1"/>
  <c r="AU18" i="67" s="1"/>
  <c r="I10" i="67"/>
  <c r="I13" i="67" s="1"/>
  <c r="I18" i="67" s="1"/>
  <c r="BB13" i="43"/>
  <c r="BB18" i="43" s="1"/>
  <c r="BB10" i="67"/>
  <c r="BB13" i="67" s="1"/>
  <c r="BB18" i="67" s="1"/>
  <c r="Q10" i="67"/>
  <c r="Q13" i="67" s="1"/>
  <c r="Q18" i="67" s="1"/>
  <c r="BB12" i="60"/>
  <c r="BB17" i="60" s="1"/>
  <c r="BA12" i="36"/>
  <c r="BA17" i="36" s="1"/>
  <c r="AN10" i="67"/>
  <c r="AN13" i="67" s="1"/>
  <c r="AN18" i="67" s="1"/>
  <c r="Y10" i="67"/>
  <c r="Y13" i="67" s="1"/>
  <c r="Y18" i="67" s="1"/>
  <c r="BA12" i="16"/>
  <c r="BA17" i="16" s="1"/>
  <c r="BB14" i="54"/>
  <c r="BB19" i="54" s="1"/>
  <c r="BA11" i="14"/>
  <c r="BA16" i="14" s="1"/>
  <c r="BB13" i="49"/>
  <c r="BB18" i="49" s="1"/>
  <c r="BA13" i="32"/>
  <c r="BA5" i="31" s="1"/>
  <c r="BA10" i="31" s="1"/>
  <c r="BA11" i="31" s="1"/>
  <c r="BA17" i="31" s="1"/>
  <c r="BB14" i="38"/>
  <c r="BB19" i="38" s="1"/>
  <c r="BA13" i="18"/>
  <c r="BB11" i="48"/>
  <c r="BB16" i="48" s="1"/>
  <c r="BB18" i="48"/>
  <c r="BB19" i="48"/>
  <c r="BB16" i="58"/>
  <c r="BB13" i="66"/>
  <c r="BB18" i="66" s="1"/>
  <c r="BA12" i="25"/>
  <c r="BA17" i="25" s="1"/>
  <c r="BA12" i="57"/>
  <c r="BA5" i="30" s="1"/>
  <c r="BA9" i="30" s="1"/>
  <c r="AZ12" i="36"/>
  <c r="AZ17" i="36" s="1"/>
  <c r="BA12" i="5"/>
  <c r="BA17" i="5" s="1"/>
  <c r="AZ12" i="16"/>
  <c r="AZ17" i="16" s="1"/>
  <c r="BA13" i="43"/>
  <c r="BA18" i="43" s="1"/>
  <c r="AZ11" i="14"/>
  <c r="AZ16" i="14" s="1"/>
  <c r="AZ11" i="20"/>
  <c r="AZ16" i="20" s="1"/>
  <c r="AZ13" i="18"/>
  <c r="BA18" i="48"/>
  <c r="BA19" i="48"/>
  <c r="BA11" i="48"/>
  <c r="BA16" i="48" s="1"/>
  <c r="BA14" i="38"/>
  <c r="BA19" i="38" s="1"/>
  <c r="BA12" i="60"/>
  <c r="BA17" i="60" s="1"/>
  <c r="BA13" i="49"/>
  <c r="BA18" i="49" s="1"/>
  <c r="AZ12" i="57"/>
  <c r="AZ5" i="30" s="1"/>
  <c r="AZ9" i="30" s="1"/>
  <c r="AZ12" i="25"/>
  <c r="AZ17" i="25" s="1"/>
  <c r="BA13" i="66"/>
  <c r="BA18" i="66" s="1"/>
  <c r="BA16" i="58"/>
  <c r="BA14" i="54"/>
  <c r="BA19" i="54" s="1"/>
  <c r="AZ12" i="5"/>
  <c r="AZ17" i="5" s="1"/>
  <c r="AY12" i="57"/>
  <c r="AY5" i="30" s="1"/>
  <c r="AY9" i="30" s="1"/>
  <c r="I13" i="66"/>
  <c r="I18" i="66" s="1"/>
  <c r="U13" i="67"/>
  <c r="U18" i="67" s="1"/>
  <c r="AN13" i="66"/>
  <c r="AN18" i="66" s="1"/>
  <c r="AP13" i="66"/>
  <c r="AP18" i="66" s="1"/>
  <c r="AC13" i="67"/>
  <c r="AC18" i="67" s="1"/>
  <c r="J13" i="67"/>
  <c r="J18" i="67" s="1"/>
  <c r="K13" i="67"/>
  <c r="K18" i="67" s="1"/>
  <c r="AK13" i="67"/>
  <c r="AK18" i="67" s="1"/>
  <c r="T13" i="67"/>
  <c r="T18" i="67" s="1"/>
  <c r="R13" i="67"/>
  <c r="R18" i="67" s="1"/>
  <c r="S13" i="67"/>
  <c r="S18" i="67" s="1"/>
  <c r="AS13" i="67"/>
  <c r="AS18" i="67" s="1"/>
  <c r="Z13" i="67"/>
  <c r="Z18" i="67" s="1"/>
  <c r="AA13" i="67"/>
  <c r="AA18" i="67" s="1"/>
  <c r="AB13" i="67"/>
  <c r="AB18" i="67" s="1"/>
  <c r="AH13" i="67"/>
  <c r="AH18" i="67" s="1"/>
  <c r="AI13" i="67"/>
  <c r="AI18" i="67" s="1"/>
  <c r="N13" i="66"/>
  <c r="N18" i="66" s="1"/>
  <c r="AJ13" i="67"/>
  <c r="AJ18" i="67" s="1"/>
  <c r="AP13" i="67"/>
  <c r="AP18" i="67" s="1"/>
  <c r="AQ13" i="67"/>
  <c r="AQ18" i="67" s="1"/>
  <c r="AZ16" i="58"/>
  <c r="AR13" i="67"/>
  <c r="AR18" i="67" s="1"/>
  <c r="AX13" i="67"/>
  <c r="AX18" i="67" s="1"/>
  <c r="AY13" i="67"/>
  <c r="AY18" i="67" s="1"/>
  <c r="M13" i="67"/>
  <c r="M18" i="67" s="1"/>
  <c r="L13" i="67"/>
  <c r="L18" i="67" s="1"/>
  <c r="AZ13" i="67"/>
  <c r="AZ18" i="67" s="1"/>
  <c r="AF13" i="66"/>
  <c r="AF18" i="66" s="1"/>
  <c r="AJ13" i="66"/>
  <c r="AJ18" i="66" s="1"/>
  <c r="S13" i="66"/>
  <c r="S18" i="66" s="1"/>
  <c r="AM13" i="66"/>
  <c r="AM18" i="66" s="1"/>
  <c r="AW11" i="48"/>
  <c r="AW16" i="48" s="1"/>
  <c r="AW19" i="48"/>
  <c r="AW18" i="48"/>
  <c r="I19" i="48"/>
  <c r="I18" i="48"/>
  <c r="AY11" i="48"/>
  <c r="AY16" i="48" s="1"/>
  <c r="AY18" i="48"/>
  <c r="AY19" i="48"/>
  <c r="AZ11" i="48"/>
  <c r="AZ16" i="48" s="1"/>
  <c r="AZ19" i="48"/>
  <c r="AZ18" i="48"/>
  <c r="AV11" i="48"/>
  <c r="AV16" i="48" s="1"/>
  <c r="AV18" i="48"/>
  <c r="AV19" i="48"/>
  <c r="AX11" i="48"/>
  <c r="AX16" i="48" s="1"/>
  <c r="AX19" i="48"/>
  <c r="AX18" i="48"/>
  <c r="M13" i="66"/>
  <c r="M18" i="66" s="1"/>
  <c r="AA13" i="66"/>
  <c r="AA18" i="66" s="1"/>
  <c r="AW13" i="66"/>
  <c r="AW18" i="66" s="1"/>
  <c r="X13" i="66"/>
  <c r="X18" i="66" s="1"/>
  <c r="AB13" i="66"/>
  <c r="AB18" i="66" s="1"/>
  <c r="V13" i="66"/>
  <c r="V18" i="66" s="1"/>
  <c r="AV13" i="66"/>
  <c r="AV18" i="66" s="1"/>
  <c r="AO13" i="66"/>
  <c r="AO18" i="66" s="1"/>
  <c r="L13" i="66"/>
  <c r="L18" i="66" s="1"/>
  <c r="O13" i="66"/>
  <c r="O18" i="66" s="1"/>
  <c r="U13" i="66"/>
  <c r="U18" i="66" s="1"/>
  <c r="P13" i="66"/>
  <c r="P18" i="66" s="1"/>
  <c r="T13" i="66"/>
  <c r="T18" i="66" s="1"/>
  <c r="AQ13" i="66"/>
  <c r="AQ18" i="66" s="1"/>
  <c r="AG13" i="66"/>
  <c r="AG18" i="66" s="1"/>
  <c r="AC13" i="66"/>
  <c r="AC18" i="66" s="1"/>
  <c r="AH13" i="66"/>
  <c r="AH18" i="66" s="1"/>
  <c r="R13" i="66"/>
  <c r="R18" i="66" s="1"/>
  <c r="AT13" i="66"/>
  <c r="AT18" i="66" s="1"/>
  <c r="K13" i="66"/>
  <c r="K18" i="66" s="1"/>
  <c r="AZ13" i="66"/>
  <c r="AZ18" i="66" s="1"/>
  <c r="Y13" i="66"/>
  <c r="Y18" i="66" s="1"/>
  <c r="W13" i="66"/>
  <c r="W18" i="66" s="1"/>
  <c r="Z13" i="66"/>
  <c r="Z18" i="66" s="1"/>
  <c r="AD13" i="66"/>
  <c r="AD18" i="66" s="1"/>
  <c r="AL13" i="66"/>
  <c r="AL18" i="66" s="1"/>
  <c r="AI13" i="66"/>
  <c r="AI18" i="66" s="1"/>
  <c r="AE13" i="66"/>
  <c r="AE18" i="66" s="1"/>
  <c r="AK13" i="66"/>
  <c r="AK18" i="66" s="1"/>
  <c r="J13" i="66"/>
  <c r="J18" i="66" s="1"/>
  <c r="Q13" i="66"/>
  <c r="Q18" i="66" s="1"/>
  <c r="AX13" i="66"/>
  <c r="AX18" i="66" s="1"/>
  <c r="AY13" i="66"/>
  <c r="AY18" i="66" s="1"/>
  <c r="AJ14" i="38"/>
  <c r="AJ19" i="38" s="1"/>
  <c r="AY11" i="20"/>
  <c r="AY16" i="20" s="1"/>
  <c r="AZ14" i="54"/>
  <c r="AZ19" i="54" s="1"/>
  <c r="P12" i="56"/>
  <c r="P17" i="56" s="1"/>
  <c r="AT12" i="56"/>
  <c r="AT14" i="56" s="1"/>
  <c r="AZ13" i="49"/>
  <c r="AZ18" i="49" s="1"/>
  <c r="K12" i="56"/>
  <c r="K14" i="56" s="1"/>
  <c r="Y12" i="56"/>
  <c r="Y14" i="56" s="1"/>
  <c r="AZ14" i="38"/>
  <c r="AZ19" i="38" s="1"/>
  <c r="AY12" i="25"/>
  <c r="AY17" i="25" s="1"/>
  <c r="AZ13" i="43"/>
  <c r="AZ18" i="43" s="1"/>
  <c r="AY12" i="36"/>
  <c r="AY17" i="36" s="1"/>
  <c r="AZ12" i="60"/>
  <c r="AZ17" i="60" s="1"/>
  <c r="AY13" i="18"/>
  <c r="AY11" i="14"/>
  <c r="AY16" i="14" s="1"/>
  <c r="Z12" i="56"/>
  <c r="Z14" i="56" s="1"/>
  <c r="Q12" i="56"/>
  <c r="Q17" i="56" s="1"/>
  <c r="N12" i="56"/>
  <c r="N14" i="56" s="1"/>
  <c r="AY12" i="5"/>
  <c r="AY17" i="5" s="1"/>
  <c r="AK12" i="56"/>
  <c r="AK17" i="56" s="1"/>
  <c r="AB12" i="56"/>
  <c r="AB17" i="56" s="1"/>
  <c r="AQ12" i="56"/>
  <c r="AQ17" i="56" s="1"/>
  <c r="AN12" i="56"/>
  <c r="AN14" i="56" s="1"/>
  <c r="L12" i="56"/>
  <c r="L14" i="56" s="1"/>
  <c r="AH12" i="56"/>
  <c r="AH14" i="56" s="1"/>
  <c r="V12" i="56"/>
  <c r="V17" i="56" s="1"/>
  <c r="AX12" i="57"/>
  <c r="AX5" i="30" s="1"/>
  <c r="AX9" i="30" s="1"/>
  <c r="T12" i="56"/>
  <c r="T14" i="56" s="1"/>
  <c r="M12" i="56"/>
  <c r="M17" i="56" s="1"/>
  <c r="AC12" i="56"/>
  <c r="AC17" i="56" s="1"/>
  <c r="J12" i="56"/>
  <c r="J14" i="56" s="1"/>
  <c r="AS12" i="56"/>
  <c r="AS14" i="56" s="1"/>
  <c r="O12" i="56"/>
  <c r="O17" i="56" s="1"/>
  <c r="AJ12" i="56"/>
  <c r="AJ14" i="56" s="1"/>
  <c r="W12" i="56"/>
  <c r="W14" i="56" s="1"/>
  <c r="AP12" i="56"/>
  <c r="AP14" i="56" s="1"/>
  <c r="I12" i="56"/>
  <c r="I14" i="56" s="1"/>
  <c r="AR12" i="56"/>
  <c r="AR14" i="56" s="1"/>
  <c r="S12" i="56"/>
  <c r="S17" i="56" s="1"/>
  <c r="AE12" i="56"/>
  <c r="AE17" i="56" s="1"/>
  <c r="AI12" i="56"/>
  <c r="AI14" i="56" s="1"/>
  <c r="AM12" i="56"/>
  <c r="AM17" i="56" s="1"/>
  <c r="AU12" i="56"/>
  <c r="AU17" i="56" s="1"/>
  <c r="AG12" i="56"/>
  <c r="AG14" i="56" s="1"/>
  <c r="U12" i="56"/>
  <c r="U14" i="56" s="1"/>
  <c r="AD12" i="56"/>
  <c r="AD17" i="56" s="1"/>
  <c r="X12" i="56"/>
  <c r="X17" i="56" s="1"/>
  <c r="AO12" i="56"/>
  <c r="AO17" i="56" s="1"/>
  <c r="R12" i="56"/>
  <c r="R17" i="56" s="1"/>
  <c r="AL12" i="56"/>
  <c r="AL14" i="56" s="1"/>
  <c r="AA12" i="56"/>
  <c r="AA17" i="56" s="1"/>
  <c r="AF12" i="56"/>
  <c r="AF14" i="56" s="1"/>
  <c r="AY12" i="38"/>
  <c r="AY14" i="38" s="1"/>
  <c r="AX11" i="20"/>
  <c r="AX16" i="20" s="1"/>
  <c r="AX12" i="25"/>
  <c r="AX17" i="25" s="1"/>
  <c r="AY14" i="54"/>
  <c r="AY19" i="54" s="1"/>
  <c r="CM44" i="22"/>
  <c r="CM36" i="22"/>
  <c r="CM41" i="22"/>
  <c r="AY12" i="60"/>
  <c r="AY17" i="60" s="1"/>
  <c r="AX12" i="16"/>
  <c r="AX17" i="16" s="1"/>
  <c r="AY12" i="47"/>
  <c r="AY17" i="47" s="1"/>
  <c r="X14" i="38"/>
  <c r="X16" i="38" s="1"/>
  <c r="AX13" i="18"/>
  <c r="AY16" i="58"/>
  <c r="AY13" i="43"/>
  <c r="AY18" i="43" s="1"/>
  <c r="AF14" i="38"/>
  <c r="AF19" i="38" s="1"/>
  <c r="K13" i="62"/>
  <c r="K14" i="38"/>
  <c r="K19" i="38" s="1"/>
  <c r="AX12" i="5"/>
  <c r="AX17" i="5" s="1"/>
  <c r="AK14" i="38"/>
  <c r="AK19" i="38" s="1"/>
  <c r="AV14" i="38"/>
  <c r="AV19" i="38" s="1"/>
  <c r="P14" i="38"/>
  <c r="P19" i="38" s="1"/>
  <c r="AN14" i="38"/>
  <c r="AN19" i="38" s="1"/>
  <c r="O14" i="38"/>
  <c r="O19" i="38" s="1"/>
  <c r="AT14" i="38"/>
  <c r="AT19" i="38" s="1"/>
  <c r="AG14" i="38"/>
  <c r="AG19" i="38" s="1"/>
  <c r="I14" i="38"/>
  <c r="I19" i="38" s="1"/>
  <c r="AC14" i="38"/>
  <c r="AC19" i="38" s="1"/>
  <c r="AP14" i="38"/>
  <c r="AP19" i="38" s="1"/>
  <c r="I16" i="58"/>
  <c r="AA14" i="38"/>
  <c r="AA19" i="38" s="1"/>
  <c r="AX14" i="38"/>
  <c r="AX19" i="38" s="1"/>
  <c r="AS14" i="38"/>
  <c r="AS19" i="38" s="1"/>
  <c r="W14" i="38"/>
  <c r="W19" i="38" s="1"/>
  <c r="AW14" i="38"/>
  <c r="AW19" i="38" s="1"/>
  <c r="AQ14" i="38"/>
  <c r="AQ16" i="38" s="1"/>
  <c r="T14" i="38"/>
  <c r="T16" i="38" s="1"/>
  <c r="AL14" i="38"/>
  <c r="AL19" i="38" s="1"/>
  <c r="S14" i="38"/>
  <c r="S19" i="38" s="1"/>
  <c r="N14" i="38"/>
  <c r="N16" i="38" s="1"/>
  <c r="AB14" i="38"/>
  <c r="AB19" i="38" s="1"/>
  <c r="Z14" i="38"/>
  <c r="Z19" i="38" s="1"/>
  <c r="L14" i="38"/>
  <c r="L19" i="38" s="1"/>
  <c r="AH14" i="38"/>
  <c r="AH19" i="38" s="1"/>
  <c r="V14" i="38"/>
  <c r="AX12" i="60"/>
  <c r="AX17" i="60" s="1"/>
  <c r="R14" i="38"/>
  <c r="AW12" i="57"/>
  <c r="AW5" i="30" s="1"/>
  <c r="AW9" i="30" s="1"/>
  <c r="AD14" i="38"/>
  <c r="AD19" i="38" s="1"/>
  <c r="M14" i="38"/>
  <c r="M19" i="38" s="1"/>
  <c r="AO14" i="38"/>
  <c r="AO19" i="38" s="1"/>
  <c r="AE14" i="38"/>
  <c r="AE19" i="38" s="1"/>
  <c r="J14" i="38"/>
  <c r="J19" i="38" s="1"/>
  <c r="AM14" i="38"/>
  <c r="AM19" i="38" s="1"/>
  <c r="AR14" i="38"/>
  <c r="AR19" i="38" s="1"/>
  <c r="Q14" i="38"/>
  <c r="AI14" i="38"/>
  <c r="AI19" i="38" s="1"/>
  <c r="AV12" i="60"/>
  <c r="AV17" i="60" s="1"/>
  <c r="S10" i="63"/>
  <c r="S13" i="63" s="1"/>
  <c r="S18" i="63" s="1"/>
  <c r="R10" i="63"/>
  <c r="R13" i="63" s="1"/>
  <c r="R18" i="63" s="1"/>
  <c r="V10" i="63"/>
  <c r="V13" i="63" s="1"/>
  <c r="V18" i="63" s="1"/>
  <c r="O10" i="63"/>
  <c r="O13" i="63" s="1"/>
  <c r="O18" i="63" s="1"/>
  <c r="W10" i="63"/>
  <c r="W13" i="63" s="1"/>
  <c r="W18" i="63" s="1"/>
  <c r="L10" i="63"/>
  <c r="L13" i="63" s="1"/>
  <c r="L18" i="63" s="1"/>
  <c r="P10" i="63"/>
  <c r="P13" i="63" s="1"/>
  <c r="T10" i="63"/>
  <c r="T13" i="63" s="1"/>
  <c r="T18" i="63" s="1"/>
  <c r="Q10" i="63"/>
  <c r="Q13" i="63" s="1"/>
  <c r="Q18" i="63" s="1"/>
  <c r="N10" i="63"/>
  <c r="N13" i="63" s="1"/>
  <c r="N18" i="63" s="1"/>
  <c r="AW12" i="16"/>
  <c r="AW17" i="16" s="1"/>
  <c r="I10" i="63"/>
  <c r="I13" i="63" s="1"/>
  <c r="I18" i="63" s="1"/>
  <c r="M10" i="63"/>
  <c r="M13" i="63" s="1"/>
  <c r="M18" i="63" s="1"/>
  <c r="K10" i="63"/>
  <c r="K13" i="63" s="1"/>
  <c r="K18" i="63" s="1"/>
  <c r="J10" i="63"/>
  <c r="J13" i="63" s="1"/>
  <c r="J18" i="63" s="1"/>
  <c r="X10" i="63"/>
  <c r="X13" i="63" s="1"/>
  <c r="X18" i="63" s="1"/>
  <c r="U10" i="63"/>
  <c r="U13" i="63" s="1"/>
  <c r="U18" i="63" s="1"/>
  <c r="AT13" i="63"/>
  <c r="AT18" i="63" s="1"/>
  <c r="AH13" i="63"/>
  <c r="AH18" i="63" s="1"/>
  <c r="AC13" i="63"/>
  <c r="AF13" i="63"/>
  <c r="AF18" i="63" s="1"/>
  <c r="AA13" i="63"/>
  <c r="AA18" i="63" s="1"/>
  <c r="Z13" i="63"/>
  <c r="Z18" i="63" s="1"/>
  <c r="AK13" i="63"/>
  <c r="AK18" i="63" s="1"/>
  <c r="AX12" i="47"/>
  <c r="AX17" i="47" s="1"/>
  <c r="AI13" i="63"/>
  <c r="AI18" i="63" s="1"/>
  <c r="AP13" i="63"/>
  <c r="AP18" i="63" s="1"/>
  <c r="AS13" i="63"/>
  <c r="AS18" i="63" s="1"/>
  <c r="AQ13" i="63"/>
  <c r="AQ18" i="63" s="1"/>
  <c r="AE13" i="63"/>
  <c r="AE18" i="63" s="1"/>
  <c r="AX14" i="54"/>
  <c r="AX19" i="54" s="1"/>
  <c r="AM13" i="63"/>
  <c r="AM18" i="63" s="1"/>
  <c r="Y13" i="63"/>
  <c r="Y18" i="63" s="1"/>
  <c r="AV11" i="63"/>
  <c r="AW8" i="63"/>
  <c r="AU13" i="63"/>
  <c r="AU18" i="63" s="1"/>
  <c r="AN13" i="63"/>
  <c r="AN18" i="63" s="1"/>
  <c r="AB13" i="63"/>
  <c r="AB18" i="63" s="1"/>
  <c r="AO13" i="63"/>
  <c r="AO18" i="63" s="1"/>
  <c r="AG13" i="63"/>
  <c r="AG18" i="63" s="1"/>
  <c r="AW12" i="60"/>
  <c r="AW17" i="60" s="1"/>
  <c r="AJ13" i="63"/>
  <c r="AJ18" i="63" s="1"/>
  <c r="AL13" i="63"/>
  <c r="AL18" i="63" s="1"/>
  <c r="AD13" i="63"/>
  <c r="AD18" i="63" s="1"/>
  <c r="AR13" i="63"/>
  <c r="AR18" i="63" s="1"/>
  <c r="AW11" i="20"/>
  <c r="AW16" i="20" s="1"/>
  <c r="AW13" i="18"/>
  <c r="AW18" i="18" s="1"/>
  <c r="AX16" i="58"/>
  <c r="AW12" i="25"/>
  <c r="AW11" i="14"/>
  <c r="AW16" i="14" s="1"/>
  <c r="AX13" i="43"/>
  <c r="AX18" i="43" s="1"/>
  <c r="AS10" i="10"/>
  <c r="AS11" i="10" s="1"/>
  <c r="K10" i="10"/>
  <c r="K11" i="10" s="1"/>
  <c r="K6" i="41" s="1"/>
  <c r="K9" i="41" s="1"/>
  <c r="K11" i="41" s="1"/>
  <c r="K16" i="41" s="1"/>
  <c r="AE10" i="10"/>
  <c r="AE11" i="10" s="1"/>
  <c r="AE6" i="41" s="1"/>
  <c r="AE9" i="41" s="1"/>
  <c r="AE11" i="41" s="1"/>
  <c r="AE16" i="41" s="1"/>
  <c r="L10" i="10"/>
  <c r="L11" i="10" s="1"/>
  <c r="L6" i="41" s="1"/>
  <c r="L9" i="41" s="1"/>
  <c r="L11" i="41" s="1"/>
  <c r="L16" i="41" s="1"/>
  <c r="U10" i="10"/>
  <c r="U11" i="10" s="1"/>
  <c r="U6" i="41" s="1"/>
  <c r="U9" i="41" s="1"/>
  <c r="U11" i="41" s="1"/>
  <c r="U16" i="41" s="1"/>
  <c r="AK10" i="10"/>
  <c r="AK11" i="10" s="1"/>
  <c r="AK6" i="41" s="1"/>
  <c r="AK9" i="41" s="1"/>
  <c r="AK11" i="41" s="1"/>
  <c r="AK16" i="41" s="1"/>
  <c r="P10" i="10"/>
  <c r="P11" i="10" s="1"/>
  <c r="P6" i="41" s="1"/>
  <c r="P9" i="41" s="1"/>
  <c r="P11" i="41" s="1"/>
  <c r="P16" i="41" s="1"/>
  <c r="R10" i="10"/>
  <c r="R11" i="10" s="1"/>
  <c r="R6" i="41" s="1"/>
  <c r="R9" i="41" s="1"/>
  <c r="R11" i="41" s="1"/>
  <c r="R16" i="41" s="1"/>
  <c r="Q10" i="10"/>
  <c r="Q11" i="10" s="1"/>
  <c r="Q6" i="41" s="1"/>
  <c r="Q9" i="41" s="1"/>
  <c r="Q11" i="41" s="1"/>
  <c r="Q16" i="41" s="1"/>
  <c r="O10" i="10"/>
  <c r="O11" i="10" s="1"/>
  <c r="O6" i="41" s="1"/>
  <c r="O9" i="41" s="1"/>
  <c r="O11" i="41" s="1"/>
  <c r="O16" i="41" s="1"/>
  <c r="AJ10" i="10"/>
  <c r="AJ11" i="10" s="1"/>
  <c r="AJ6" i="41" s="1"/>
  <c r="AJ9" i="41" s="1"/>
  <c r="AJ11" i="41" s="1"/>
  <c r="AJ16" i="41" s="1"/>
  <c r="AC10" i="10"/>
  <c r="AC11" i="10" s="1"/>
  <c r="AC6" i="41" s="1"/>
  <c r="AC9" i="41" s="1"/>
  <c r="AC11" i="41" s="1"/>
  <c r="AC16" i="41" s="1"/>
  <c r="M10" i="10"/>
  <c r="M11" i="10" s="1"/>
  <c r="M6" i="41" s="1"/>
  <c r="M9" i="41" s="1"/>
  <c r="M11" i="41" s="1"/>
  <c r="M16" i="41" s="1"/>
  <c r="AL10" i="10"/>
  <c r="AL11" i="10" s="1"/>
  <c r="AL6" i="41" s="1"/>
  <c r="AL9" i="41" s="1"/>
  <c r="AL11" i="41" s="1"/>
  <c r="AL16" i="41" s="1"/>
  <c r="J10" i="10"/>
  <c r="J11" i="10" s="1"/>
  <c r="J6" i="41" s="1"/>
  <c r="J9" i="41" s="1"/>
  <c r="J11" i="41" s="1"/>
  <c r="J16" i="41" s="1"/>
  <c r="I10" i="10"/>
  <c r="I11" i="10" s="1"/>
  <c r="I6" i="41" s="1"/>
  <c r="I9" i="41" s="1"/>
  <c r="I11" i="41" s="1"/>
  <c r="I16" i="41" s="1"/>
  <c r="AM10" i="10"/>
  <c r="AM11" i="10" s="1"/>
  <c r="AM6" i="41" s="1"/>
  <c r="AM9" i="41" s="1"/>
  <c r="AM11" i="41" s="1"/>
  <c r="AM16" i="41" s="1"/>
  <c r="AN10" i="10"/>
  <c r="AN11" i="10" s="1"/>
  <c r="AN6" i="41" s="1"/>
  <c r="AN9" i="41" s="1"/>
  <c r="AN11" i="41" s="1"/>
  <c r="AN16" i="41" s="1"/>
  <c r="AD10" i="10"/>
  <c r="AD11" i="10" s="1"/>
  <c r="AD6" i="41" s="1"/>
  <c r="AD9" i="41" s="1"/>
  <c r="AD11" i="41" s="1"/>
  <c r="AD16" i="41" s="1"/>
  <c r="AI10" i="10"/>
  <c r="AI11" i="10" s="1"/>
  <c r="AI6" i="41" s="1"/>
  <c r="AI9" i="41" s="1"/>
  <c r="AI11" i="41" s="1"/>
  <c r="AI16" i="41" s="1"/>
  <c r="AP10" i="10"/>
  <c r="AP11" i="10" s="1"/>
  <c r="AP6" i="41" s="1"/>
  <c r="AP9" i="41" s="1"/>
  <c r="AP11" i="41" s="1"/>
  <c r="AP16" i="41" s="1"/>
  <c r="AO10" i="10"/>
  <c r="AO11" i="10" s="1"/>
  <c r="AO6" i="41" s="1"/>
  <c r="AO9" i="41" s="1"/>
  <c r="AO11" i="41" s="1"/>
  <c r="AO16" i="41" s="1"/>
  <c r="AR10" i="10"/>
  <c r="AR11" i="10" s="1"/>
  <c r="AY12" i="16"/>
  <c r="AY17" i="16" s="1"/>
  <c r="AQ10" i="10"/>
  <c r="AQ11" i="10" s="1"/>
  <c r="AQ6" i="41" s="1"/>
  <c r="AQ9" i="41" s="1"/>
  <c r="AQ11" i="41" s="1"/>
  <c r="AQ16" i="41" s="1"/>
  <c r="AF10" i="10"/>
  <c r="AF11" i="10" s="1"/>
  <c r="AF6" i="41" s="1"/>
  <c r="AF9" i="41" s="1"/>
  <c r="AF11" i="41" s="1"/>
  <c r="AF16" i="41" s="1"/>
  <c r="V10" i="10"/>
  <c r="V11" i="10" s="1"/>
  <c r="V6" i="41" s="1"/>
  <c r="V9" i="41" s="1"/>
  <c r="V11" i="41" s="1"/>
  <c r="V16" i="41" s="1"/>
  <c r="AA10" i="10"/>
  <c r="AA11" i="10" s="1"/>
  <c r="AA6" i="41" s="1"/>
  <c r="AA9" i="41" s="1"/>
  <c r="AA11" i="41" s="1"/>
  <c r="AA16" i="41" s="1"/>
  <c r="AH10" i="10"/>
  <c r="AH11" i="10" s="1"/>
  <c r="AH6" i="41" s="1"/>
  <c r="AH9" i="41" s="1"/>
  <c r="AH11" i="41" s="1"/>
  <c r="AH16" i="41" s="1"/>
  <c r="AG10" i="10"/>
  <c r="AG11" i="10" s="1"/>
  <c r="AG6" i="41" s="1"/>
  <c r="AG9" i="41" s="1"/>
  <c r="AG11" i="41" s="1"/>
  <c r="AG16" i="41" s="1"/>
  <c r="T10" i="10"/>
  <c r="T11" i="10" s="1"/>
  <c r="T6" i="41" s="1"/>
  <c r="T9" i="41" s="1"/>
  <c r="T11" i="41" s="1"/>
  <c r="T16" i="41" s="1"/>
  <c r="AB10" i="10"/>
  <c r="AB11" i="10" s="1"/>
  <c r="AB6" i="41" s="1"/>
  <c r="AB9" i="41" s="1"/>
  <c r="AB11" i="41" s="1"/>
  <c r="AB16" i="41" s="1"/>
  <c r="BC12" i="16"/>
  <c r="BC17" i="16" s="1"/>
  <c r="AT10" i="10"/>
  <c r="AT11" i="10" s="1"/>
  <c r="W10" i="10"/>
  <c r="W11" i="10" s="1"/>
  <c r="W6" i="41" s="1"/>
  <c r="W9" i="41" s="1"/>
  <c r="W11" i="41" s="1"/>
  <c r="W16" i="41" s="1"/>
  <c r="X10" i="10"/>
  <c r="X11" i="10" s="1"/>
  <c r="X6" i="41" s="1"/>
  <c r="X9" i="41" s="1"/>
  <c r="X11" i="41" s="1"/>
  <c r="X16" i="41" s="1"/>
  <c r="N10" i="10"/>
  <c r="N11" i="10" s="1"/>
  <c r="N6" i="41" s="1"/>
  <c r="N9" i="41" s="1"/>
  <c r="N11" i="41" s="1"/>
  <c r="N16" i="41" s="1"/>
  <c r="S10" i="10"/>
  <c r="S11" i="10" s="1"/>
  <c r="S6" i="41" s="1"/>
  <c r="S9" i="41" s="1"/>
  <c r="S11" i="41" s="1"/>
  <c r="S16" i="41" s="1"/>
  <c r="Z10" i="10"/>
  <c r="Z11" i="10" s="1"/>
  <c r="Z6" i="41" s="1"/>
  <c r="Z9" i="41" s="1"/>
  <c r="Z11" i="41" s="1"/>
  <c r="Z16" i="41" s="1"/>
  <c r="Y10" i="10"/>
  <c r="Y11" i="10" s="1"/>
  <c r="Y6" i="41" s="1"/>
  <c r="Y9" i="41" s="1"/>
  <c r="Y11" i="41" s="1"/>
  <c r="Y16" i="41" s="1"/>
  <c r="AW12" i="5"/>
  <c r="AW17" i="5" s="1"/>
  <c r="L13" i="62"/>
  <c r="AW16" i="58"/>
  <c r="S13" i="62"/>
  <c r="T13" i="62"/>
  <c r="U13" i="62"/>
  <c r="M13" i="62"/>
  <c r="I13" i="62"/>
  <c r="AA13" i="62"/>
  <c r="J13" i="62"/>
  <c r="AN13" i="62"/>
  <c r="AD13" i="62"/>
  <c r="AR13" i="62"/>
  <c r="AP13" i="62"/>
  <c r="AS13" i="62"/>
  <c r="AF13" i="62"/>
  <c r="V13" i="62"/>
  <c r="AJ13" i="62"/>
  <c r="AK13" i="62"/>
  <c r="AH13" i="62"/>
  <c r="X13" i="62"/>
  <c r="O13" i="62"/>
  <c r="AB13" i="62"/>
  <c r="Z13" i="62"/>
  <c r="Q13" i="62"/>
  <c r="AU13" i="62"/>
  <c r="AV11" i="62"/>
  <c r="AV18" i="62" s="1"/>
  <c r="AM13" i="62"/>
  <c r="AC13" i="62"/>
  <c r="AO13" i="62"/>
  <c r="AE13" i="62"/>
  <c r="N13" i="62"/>
  <c r="AQ13" i="62"/>
  <c r="AG13" i="62"/>
  <c r="P13" i="62"/>
  <c r="W13" i="62"/>
  <c r="AT13" i="62"/>
  <c r="AI13" i="62"/>
  <c r="R13" i="62"/>
  <c r="Y13" i="62"/>
  <c r="AL13" i="62"/>
  <c r="AB14" i="17"/>
  <c r="AB21" i="17" s="1"/>
  <c r="AU11" i="20"/>
  <c r="AU16" i="20" s="1"/>
  <c r="AT13" i="49"/>
  <c r="AT18" i="49" s="1"/>
  <c r="M13" i="49"/>
  <c r="M18" i="49" s="1"/>
  <c r="AG13" i="49"/>
  <c r="AG18" i="49" s="1"/>
  <c r="AV12" i="57"/>
  <c r="AV5" i="30" s="1"/>
  <c r="AV9" i="30" s="1"/>
  <c r="AU12" i="57"/>
  <c r="AU5" i="30" s="1"/>
  <c r="AU9" i="30" s="1"/>
  <c r="AV14" i="54"/>
  <c r="AV19" i="54" s="1"/>
  <c r="AV11" i="20"/>
  <c r="AV16" i="20" s="1"/>
  <c r="AV12" i="25"/>
  <c r="AO13" i="49"/>
  <c r="AO18" i="49" s="1"/>
  <c r="AV13" i="18"/>
  <c r="AV13" i="32"/>
  <c r="M14" i="54"/>
  <c r="M19" i="54" s="1"/>
  <c r="N13" i="49"/>
  <c r="N18" i="49" s="1"/>
  <c r="R13" i="49"/>
  <c r="R18" i="49" s="1"/>
  <c r="L13" i="49"/>
  <c r="L18" i="49" s="1"/>
  <c r="AH13" i="49"/>
  <c r="AH18" i="49" s="1"/>
  <c r="AC13" i="49"/>
  <c r="AC18" i="49" s="1"/>
  <c r="AK13" i="49"/>
  <c r="AK18" i="49" s="1"/>
  <c r="I13" i="49"/>
  <c r="I18" i="49" s="1"/>
  <c r="AU12" i="25"/>
  <c r="T13" i="49"/>
  <c r="T18" i="49" s="1"/>
  <c r="Z13" i="49"/>
  <c r="Z18" i="49" s="1"/>
  <c r="AD13" i="49"/>
  <c r="AD18" i="49" s="1"/>
  <c r="U13" i="49"/>
  <c r="U18" i="49" s="1"/>
  <c r="S12" i="60"/>
  <c r="S17" i="60" s="1"/>
  <c r="AB12" i="60"/>
  <c r="AB17" i="60" s="1"/>
  <c r="AU12" i="60"/>
  <c r="AU17" i="60" s="1"/>
  <c r="O12" i="60"/>
  <c r="O17" i="60" s="1"/>
  <c r="Z12" i="60"/>
  <c r="Z17" i="60" s="1"/>
  <c r="AV10" i="26"/>
  <c r="AV15" i="26" s="1"/>
  <c r="AA12" i="60"/>
  <c r="AA17" i="60" s="1"/>
  <c r="M12" i="60"/>
  <c r="M17" i="60" s="1"/>
  <c r="AD12" i="60"/>
  <c r="AD17" i="60" s="1"/>
  <c r="Q12" i="60"/>
  <c r="Q17" i="60" s="1"/>
  <c r="AH12" i="60"/>
  <c r="AH17" i="60" s="1"/>
  <c r="AU10" i="26"/>
  <c r="AI12" i="60"/>
  <c r="AI17" i="60" s="1"/>
  <c r="U12" i="60"/>
  <c r="U17" i="60" s="1"/>
  <c r="AE12" i="60"/>
  <c r="AE17" i="60" s="1"/>
  <c r="Y12" i="60"/>
  <c r="Y17" i="60" s="1"/>
  <c r="AP12" i="60"/>
  <c r="AP17" i="60" s="1"/>
  <c r="AQ12" i="60"/>
  <c r="AQ17" i="60" s="1"/>
  <c r="AC12" i="60"/>
  <c r="AC17" i="60" s="1"/>
  <c r="P12" i="60"/>
  <c r="P17" i="60" s="1"/>
  <c r="AG12" i="60"/>
  <c r="AG17" i="60" s="1"/>
  <c r="O13" i="49"/>
  <c r="O18" i="49" s="1"/>
  <c r="AB13" i="49"/>
  <c r="AB18" i="49" s="1"/>
  <c r="T12" i="60"/>
  <c r="T17" i="60" s="1"/>
  <c r="AK12" i="60"/>
  <c r="AK17" i="60" s="1"/>
  <c r="X12" i="60"/>
  <c r="X17" i="60" s="1"/>
  <c r="AO12" i="60"/>
  <c r="AO17" i="60" s="1"/>
  <c r="AL12" i="60"/>
  <c r="AL17" i="60" s="1"/>
  <c r="AJ12" i="60"/>
  <c r="AJ17" i="60" s="1"/>
  <c r="AS12" i="60"/>
  <c r="AS17" i="60" s="1"/>
  <c r="AF12" i="60"/>
  <c r="AF17" i="60" s="1"/>
  <c r="AT12" i="60"/>
  <c r="AT17" i="60" s="1"/>
  <c r="W12" i="60"/>
  <c r="W17" i="60" s="1"/>
  <c r="AR12" i="60"/>
  <c r="AR17" i="60" s="1"/>
  <c r="V12" i="60"/>
  <c r="V17" i="60" s="1"/>
  <c r="AN12" i="60"/>
  <c r="AN17" i="60" s="1"/>
  <c r="J12" i="60"/>
  <c r="J17" i="60" s="1"/>
  <c r="V13" i="49"/>
  <c r="V18" i="49" s="1"/>
  <c r="AV13" i="49"/>
  <c r="AV18" i="49" s="1"/>
  <c r="K12" i="60"/>
  <c r="K17" i="60" s="1"/>
  <c r="L12" i="60"/>
  <c r="L17" i="60" s="1"/>
  <c r="AM12" i="60"/>
  <c r="AM17" i="60" s="1"/>
  <c r="N12" i="60"/>
  <c r="N17" i="60" s="1"/>
  <c r="R12" i="60"/>
  <c r="R17" i="60" s="1"/>
  <c r="AN13" i="49"/>
  <c r="AN18" i="49" s="1"/>
  <c r="AS13" i="49"/>
  <c r="AS18" i="49" s="1"/>
  <c r="AL13" i="49"/>
  <c r="AL18" i="49" s="1"/>
  <c r="AP13" i="49"/>
  <c r="AP18" i="49" s="1"/>
  <c r="AW14" i="54"/>
  <c r="K13" i="49"/>
  <c r="K18" i="49" s="1"/>
  <c r="Q13" i="49"/>
  <c r="Q18" i="49" s="1"/>
  <c r="AW12" i="47"/>
  <c r="AW17" i="47" s="1"/>
  <c r="AY13" i="49"/>
  <c r="AY18" i="49" s="1"/>
  <c r="AF13" i="49"/>
  <c r="AF18" i="49" s="1"/>
  <c r="AV12" i="47"/>
  <c r="AV17" i="47" s="1"/>
  <c r="AU13" i="49"/>
  <c r="AU18" i="49" s="1"/>
  <c r="AR13" i="49"/>
  <c r="AR18" i="49" s="1"/>
  <c r="AQ13" i="49"/>
  <c r="AQ18" i="49" s="1"/>
  <c r="AW13" i="49"/>
  <c r="AW18" i="49" s="1"/>
  <c r="X13" i="49"/>
  <c r="X18" i="49" s="1"/>
  <c r="J13" i="49"/>
  <c r="J18" i="49" s="1"/>
  <c r="AE13" i="49"/>
  <c r="AE18" i="49" s="1"/>
  <c r="AW13" i="43"/>
  <c r="AW18" i="43" s="1"/>
  <c r="AJ13" i="49"/>
  <c r="AJ18" i="49" s="1"/>
  <c r="AI13" i="49"/>
  <c r="AI18" i="49" s="1"/>
  <c r="P13" i="49"/>
  <c r="P18" i="49" s="1"/>
  <c r="AX13" i="49"/>
  <c r="AX18" i="49" s="1"/>
  <c r="AA13" i="49"/>
  <c r="AA18" i="49" s="1"/>
  <c r="R14" i="54"/>
  <c r="R19" i="54" s="1"/>
  <c r="AV13" i="43"/>
  <c r="AV18" i="43" s="1"/>
  <c r="AM13" i="49"/>
  <c r="AM18" i="49" s="1"/>
  <c r="W13" i="49"/>
  <c r="W18" i="49" s="1"/>
  <c r="S13" i="49"/>
  <c r="S18" i="49" s="1"/>
  <c r="Y13" i="49"/>
  <c r="Y18" i="49" s="1"/>
  <c r="AV12" i="5"/>
  <c r="AV17" i="5" s="1"/>
  <c r="AV12" i="16"/>
  <c r="AV17" i="16" s="1"/>
  <c r="AU12" i="16"/>
  <c r="AU17" i="16" s="1"/>
  <c r="AW13" i="32"/>
  <c r="AW5" i="31" s="1"/>
  <c r="AW10" i="31" s="1"/>
  <c r="AW11" i="31" s="1"/>
  <c r="AW17" i="31" s="1"/>
  <c r="AS14" i="54"/>
  <c r="AS19" i="54" s="1"/>
  <c r="AU13" i="43"/>
  <c r="AU15" i="43" s="1"/>
  <c r="AP11" i="40"/>
  <c r="N11" i="40"/>
  <c r="AU12" i="5"/>
  <c r="AU17" i="5" s="1"/>
  <c r="AV16" i="58"/>
  <c r="T13" i="32"/>
  <c r="T5" i="31" s="1"/>
  <c r="T10" i="31" s="1"/>
  <c r="T11" i="31" s="1"/>
  <c r="T17" i="31" s="1"/>
  <c r="S12" i="57"/>
  <c r="S5" i="30" s="1"/>
  <c r="S9" i="30" s="1"/>
  <c r="R13" i="58"/>
  <c r="M13" i="58"/>
  <c r="L13" i="58"/>
  <c r="V13" i="58"/>
  <c r="Z13" i="58"/>
  <c r="AB13" i="58"/>
  <c r="AH13" i="58"/>
  <c r="S13" i="58"/>
  <c r="AJ13" i="58"/>
  <c r="AC13" i="58"/>
  <c r="AL13" i="58"/>
  <c r="O13" i="58"/>
  <c r="K13" i="58"/>
  <c r="T13" i="58"/>
  <c r="AP13" i="58"/>
  <c r="AA13" i="58"/>
  <c r="AK13" i="58"/>
  <c r="AT13" i="58"/>
  <c r="W13" i="58"/>
  <c r="P13" i="58"/>
  <c r="U13" i="58"/>
  <c r="AI13" i="58"/>
  <c r="AS13" i="58"/>
  <c r="AS16" i="58" s="1"/>
  <c r="AU13" i="58"/>
  <c r="AE13" i="58"/>
  <c r="X13" i="58"/>
  <c r="Q13" i="58"/>
  <c r="AD13" i="58"/>
  <c r="AQ13" i="58"/>
  <c r="AM13" i="58"/>
  <c r="AF13" i="58"/>
  <c r="Y13" i="58"/>
  <c r="AR13" i="58"/>
  <c r="AN13" i="58"/>
  <c r="AG13" i="58"/>
  <c r="J13" i="58"/>
  <c r="N13" i="58"/>
  <c r="AO13" i="58"/>
  <c r="X12" i="58"/>
  <c r="AF12" i="58"/>
  <c r="AP12" i="57"/>
  <c r="AP5" i="30" s="1"/>
  <c r="AP9" i="30" s="1"/>
  <c r="M12" i="58"/>
  <c r="AU12" i="58"/>
  <c r="AN12" i="58"/>
  <c r="AM12" i="58"/>
  <c r="T12" i="57"/>
  <c r="T5" i="30" s="1"/>
  <c r="T9" i="30" s="1"/>
  <c r="Q12" i="58"/>
  <c r="L12" i="58"/>
  <c r="U12" i="58"/>
  <c r="AQ12" i="58"/>
  <c r="AT12" i="58"/>
  <c r="Y12" i="58"/>
  <c r="J12" i="58"/>
  <c r="T12" i="58"/>
  <c r="AC12" i="58"/>
  <c r="AG12" i="58"/>
  <c r="R12" i="58"/>
  <c r="AB12" i="58"/>
  <c r="K12" i="58"/>
  <c r="AK12" i="58"/>
  <c r="N12" i="58"/>
  <c r="AE12" i="58"/>
  <c r="AO12" i="58"/>
  <c r="Z12" i="58"/>
  <c r="AJ12" i="58"/>
  <c r="AA12" i="58"/>
  <c r="V12" i="58"/>
  <c r="O12" i="58"/>
  <c r="AP12" i="58"/>
  <c r="AL12" i="58"/>
  <c r="AH12" i="58"/>
  <c r="S12" i="58"/>
  <c r="AR12" i="58"/>
  <c r="AI12" i="58"/>
  <c r="AD12" i="58"/>
  <c r="W12" i="58"/>
  <c r="P12" i="58"/>
  <c r="P13" i="32"/>
  <c r="P5" i="31" s="1"/>
  <c r="P10" i="31" s="1"/>
  <c r="P11" i="31" s="1"/>
  <c r="P17" i="31" s="1"/>
  <c r="AP13" i="32"/>
  <c r="AP5" i="31" s="1"/>
  <c r="AP10" i="31" s="1"/>
  <c r="AP11" i="31" s="1"/>
  <c r="AP17" i="31" s="1"/>
  <c r="AI12" i="57"/>
  <c r="AI5" i="30" s="1"/>
  <c r="AI9" i="30" s="1"/>
  <c r="AB12" i="57"/>
  <c r="AB5" i="30" s="1"/>
  <c r="AB9" i="30" s="1"/>
  <c r="K12" i="57"/>
  <c r="K5" i="30" s="1"/>
  <c r="K9" i="30" s="1"/>
  <c r="P12" i="57"/>
  <c r="P5" i="30" s="1"/>
  <c r="P9" i="30" s="1"/>
  <c r="AJ12" i="57"/>
  <c r="AJ5" i="30" s="1"/>
  <c r="AJ9" i="30" s="1"/>
  <c r="W12" i="57"/>
  <c r="W5" i="30" s="1"/>
  <c r="W9" i="30" s="1"/>
  <c r="AK12" i="57"/>
  <c r="AK5" i="30" s="1"/>
  <c r="AK9" i="30" s="1"/>
  <c r="J12" i="57"/>
  <c r="J5" i="30" s="1"/>
  <c r="J9" i="30" s="1"/>
  <c r="AC12" i="57"/>
  <c r="AC5" i="30" s="1"/>
  <c r="AC9" i="30" s="1"/>
  <c r="Z12" i="57"/>
  <c r="Z5" i="30" s="1"/>
  <c r="Z9" i="30" s="1"/>
  <c r="I12" i="57"/>
  <c r="I5" i="30" s="1"/>
  <c r="I9" i="30" s="1"/>
  <c r="AF12" i="57"/>
  <c r="AF5" i="30" s="1"/>
  <c r="AF9" i="30" s="1"/>
  <c r="AE12" i="57"/>
  <c r="AE5" i="30" s="1"/>
  <c r="AE9" i="30" s="1"/>
  <c r="AT12" i="57"/>
  <c r="AT5" i="30" s="1"/>
  <c r="AT9" i="30" s="1"/>
  <c r="AL12" i="57"/>
  <c r="AL5" i="30" s="1"/>
  <c r="AL9" i="30" s="1"/>
  <c r="AA12" i="57"/>
  <c r="AA5" i="30" s="1"/>
  <c r="AA9" i="30" s="1"/>
  <c r="AN12" i="57"/>
  <c r="AN5" i="30" s="1"/>
  <c r="AN9" i="30" s="1"/>
  <c r="AH12" i="57"/>
  <c r="AH5" i="30" s="1"/>
  <c r="AH9" i="30" s="1"/>
  <c r="U12" i="57"/>
  <c r="U5" i="30" s="1"/>
  <c r="U9" i="30" s="1"/>
  <c r="N12" i="47"/>
  <c r="N17" i="47" s="1"/>
  <c r="AG12" i="57"/>
  <c r="AG5" i="30" s="1"/>
  <c r="AG9" i="30" s="1"/>
  <c r="AQ12" i="57"/>
  <c r="AQ5" i="30" s="1"/>
  <c r="AQ9" i="30" s="1"/>
  <c r="O12" i="57"/>
  <c r="O5" i="30" s="1"/>
  <c r="O9" i="30" s="1"/>
  <c r="Y12" i="57"/>
  <c r="Y5" i="30" s="1"/>
  <c r="Y9" i="30" s="1"/>
  <c r="L12" i="57"/>
  <c r="L5" i="30" s="1"/>
  <c r="L9" i="30" s="1"/>
  <c r="X12" i="57"/>
  <c r="X5" i="30" s="1"/>
  <c r="X9" i="30" s="1"/>
  <c r="V12" i="57"/>
  <c r="V5" i="30" s="1"/>
  <c r="V9" i="30" s="1"/>
  <c r="Q12" i="57"/>
  <c r="Q5" i="30" s="1"/>
  <c r="Q9" i="30" s="1"/>
  <c r="H12" i="57"/>
  <c r="H5" i="30" s="1"/>
  <c r="H9" i="30" s="1"/>
  <c r="H14" i="30" s="1"/>
  <c r="H7" i="29" s="1"/>
  <c r="H11" i="29" s="1"/>
  <c r="H16" i="29" s="1"/>
  <c r="H21" i="29" s="1"/>
  <c r="AD12" i="57"/>
  <c r="AD5" i="30" s="1"/>
  <c r="AD9" i="30" s="1"/>
  <c r="M12" i="57"/>
  <c r="M5" i="30" s="1"/>
  <c r="M9" i="30" s="1"/>
  <c r="AR12" i="57"/>
  <c r="AR5" i="30" s="1"/>
  <c r="AR9" i="30" s="1"/>
  <c r="N12" i="57"/>
  <c r="N5" i="30" s="1"/>
  <c r="N9" i="30" s="1"/>
  <c r="X12" i="47"/>
  <c r="X17" i="47" s="1"/>
  <c r="I13" i="32"/>
  <c r="I5" i="31" s="1"/>
  <c r="I10" i="31" s="1"/>
  <c r="I11" i="31" s="1"/>
  <c r="I17" i="31" s="1"/>
  <c r="R12" i="57"/>
  <c r="R5" i="30" s="1"/>
  <c r="R9" i="30" s="1"/>
  <c r="AM12" i="57"/>
  <c r="AM5" i="30" s="1"/>
  <c r="AM9" i="30" s="1"/>
  <c r="AS12" i="57"/>
  <c r="AS5" i="30" s="1"/>
  <c r="AS9" i="30" s="1"/>
  <c r="AO12" i="57"/>
  <c r="AO5" i="30" s="1"/>
  <c r="AO9" i="30" s="1"/>
  <c r="N9" i="48"/>
  <c r="AG9" i="48"/>
  <c r="V9" i="48"/>
  <c r="AI9" i="48"/>
  <c r="AL9" i="48"/>
  <c r="AO9" i="48"/>
  <c r="W9" i="48"/>
  <c r="AT9" i="48"/>
  <c r="AQ9" i="48"/>
  <c r="M9" i="48"/>
  <c r="AU9" i="48"/>
  <c r="T9" i="48"/>
  <c r="O9" i="48"/>
  <c r="U9" i="48"/>
  <c r="J9" i="48"/>
  <c r="AR9" i="48"/>
  <c r="AM9" i="48"/>
  <c r="AB9" i="48"/>
  <c r="AK9" i="48"/>
  <c r="P9" i="48"/>
  <c r="R9" i="48"/>
  <c r="AC9" i="48"/>
  <c r="L9" i="48"/>
  <c r="AN9" i="48"/>
  <c r="Z9" i="48"/>
  <c r="AS9" i="48"/>
  <c r="AE9" i="48"/>
  <c r="K9" i="48"/>
  <c r="AJ9" i="48"/>
  <c r="Q9" i="48"/>
  <c r="AH9" i="48"/>
  <c r="S9" i="48"/>
  <c r="X9" i="48"/>
  <c r="Y9" i="48"/>
  <c r="AD9" i="48"/>
  <c r="AP9" i="48"/>
  <c r="AF9" i="48"/>
  <c r="AA9" i="48"/>
  <c r="AF13" i="32"/>
  <c r="AF5" i="31" s="1"/>
  <c r="AF10" i="31" s="1"/>
  <c r="AF11" i="31" s="1"/>
  <c r="AF17" i="31" s="1"/>
  <c r="L13" i="32"/>
  <c r="L5" i="31" s="1"/>
  <c r="L10" i="31" s="1"/>
  <c r="L11" i="31" s="1"/>
  <c r="L17" i="31" s="1"/>
  <c r="X13" i="32"/>
  <c r="X5" i="31" s="1"/>
  <c r="X10" i="31" s="1"/>
  <c r="X11" i="31" s="1"/>
  <c r="X17" i="31" s="1"/>
  <c r="BB13" i="32"/>
  <c r="BB5" i="31" s="1"/>
  <c r="BB10" i="31" s="1"/>
  <c r="BB11" i="31" s="1"/>
  <c r="BB17" i="31" s="1"/>
  <c r="AR13" i="32"/>
  <c r="AR5" i="31" s="1"/>
  <c r="AR10" i="31" s="1"/>
  <c r="AR11" i="31" s="1"/>
  <c r="AI13" i="32"/>
  <c r="AI5" i="31" s="1"/>
  <c r="AI10" i="31" s="1"/>
  <c r="AI11" i="31" s="1"/>
  <c r="AI17" i="31" s="1"/>
  <c r="R13" i="32"/>
  <c r="R5" i="31" s="1"/>
  <c r="R10" i="31" s="1"/>
  <c r="R11" i="31" s="1"/>
  <c r="R17" i="31" s="1"/>
  <c r="S13" i="32"/>
  <c r="S5" i="31" s="1"/>
  <c r="S10" i="31" s="1"/>
  <c r="S11" i="31" s="1"/>
  <c r="S17" i="31" s="1"/>
  <c r="AG13" i="32"/>
  <c r="AG5" i="31" s="1"/>
  <c r="AG10" i="31" s="1"/>
  <c r="AG11" i="31" s="1"/>
  <c r="AG17" i="31" s="1"/>
  <c r="AL13" i="32"/>
  <c r="AL5" i="31" s="1"/>
  <c r="AL10" i="31" s="1"/>
  <c r="AL11" i="31" s="1"/>
  <c r="AL17" i="31" s="1"/>
  <c r="BC13" i="32"/>
  <c r="BC5" i="31" s="1"/>
  <c r="BC10" i="31" s="1"/>
  <c r="BC11" i="31" s="1"/>
  <c r="BC17" i="31" s="1"/>
  <c r="AD13" i="32"/>
  <c r="AD5" i="31" s="1"/>
  <c r="AD10" i="31" s="1"/>
  <c r="AD11" i="31" s="1"/>
  <c r="AD17" i="31" s="1"/>
  <c r="AM13" i="32"/>
  <c r="AM5" i="31" s="1"/>
  <c r="AM10" i="31" s="1"/>
  <c r="AM11" i="31" s="1"/>
  <c r="AM17" i="31" s="1"/>
  <c r="AZ13" i="32"/>
  <c r="AZ5" i="31" s="1"/>
  <c r="AZ10" i="31" s="1"/>
  <c r="AZ11" i="31" s="1"/>
  <c r="AZ17" i="31" s="1"/>
  <c r="AQ13" i="32"/>
  <c r="AQ5" i="31" s="1"/>
  <c r="AQ10" i="31" s="1"/>
  <c r="AQ11" i="31" s="1"/>
  <c r="AQ17" i="31" s="1"/>
  <c r="AJ13" i="32"/>
  <c r="AJ5" i="31" s="1"/>
  <c r="AJ10" i="31" s="1"/>
  <c r="AJ11" i="31" s="1"/>
  <c r="AJ17" i="31" s="1"/>
  <c r="O13" i="32"/>
  <c r="O5" i="31" s="1"/>
  <c r="O10" i="31" s="1"/>
  <c r="O11" i="31" s="1"/>
  <c r="O17" i="31" s="1"/>
  <c r="J13" i="32"/>
  <c r="J5" i="31" s="1"/>
  <c r="J10" i="31" s="1"/>
  <c r="J11" i="31" s="1"/>
  <c r="J17" i="31" s="1"/>
  <c r="Q13" i="32"/>
  <c r="Q5" i="31" s="1"/>
  <c r="Q10" i="31" s="1"/>
  <c r="Q11" i="31" s="1"/>
  <c r="Q17" i="31" s="1"/>
  <c r="H9" i="32"/>
  <c r="H13" i="32" s="1"/>
  <c r="H5" i="31" s="1"/>
  <c r="H10" i="31" s="1"/>
  <c r="H11" i="31" s="1"/>
  <c r="H17" i="31" s="1"/>
  <c r="M13" i="32"/>
  <c r="M5" i="31" s="1"/>
  <c r="M10" i="31" s="1"/>
  <c r="M11" i="31" s="1"/>
  <c r="M17" i="31" s="1"/>
  <c r="AT13" i="32"/>
  <c r="AT5" i="31" s="1"/>
  <c r="AT10" i="31" s="1"/>
  <c r="AT11" i="31" s="1"/>
  <c r="AT17" i="31" s="1"/>
  <c r="AU13" i="32"/>
  <c r="AU5" i="31" s="1"/>
  <c r="AU10" i="31" s="1"/>
  <c r="AU11" i="31" s="1"/>
  <c r="AU17" i="31" s="1"/>
  <c r="V13" i="32"/>
  <c r="V5" i="31" s="1"/>
  <c r="V10" i="31" s="1"/>
  <c r="V11" i="31" s="1"/>
  <c r="V17" i="31" s="1"/>
  <c r="AY13" i="32"/>
  <c r="AY5" i="31" s="1"/>
  <c r="AY10" i="31" s="1"/>
  <c r="AY11" i="31" s="1"/>
  <c r="AY17" i="31" s="1"/>
  <c r="AS13" i="32"/>
  <c r="AS5" i="31" s="1"/>
  <c r="AS10" i="31" s="1"/>
  <c r="AS11" i="31" s="1"/>
  <c r="AN13" i="32"/>
  <c r="AN5" i="31" s="1"/>
  <c r="AN10" i="31" s="1"/>
  <c r="AN11" i="31" s="1"/>
  <c r="AN17" i="31" s="1"/>
  <c r="N13" i="32"/>
  <c r="N5" i="31" s="1"/>
  <c r="N10" i="31" s="1"/>
  <c r="N11" i="31" s="1"/>
  <c r="N17" i="31" s="1"/>
  <c r="AX13" i="32"/>
  <c r="AX5" i="31" s="1"/>
  <c r="AX10" i="31" s="1"/>
  <c r="AX11" i="31" s="1"/>
  <c r="AX17" i="31" s="1"/>
  <c r="AK13" i="32"/>
  <c r="AK5" i="31" s="1"/>
  <c r="AK10" i="31" s="1"/>
  <c r="AK11" i="31" s="1"/>
  <c r="AK17" i="31" s="1"/>
  <c r="AE13" i="32"/>
  <c r="AE5" i="31" s="1"/>
  <c r="AE10" i="31" s="1"/>
  <c r="AE11" i="31" s="1"/>
  <c r="AE17" i="31" s="1"/>
  <c r="AA13" i="32"/>
  <c r="AA5" i="31" s="1"/>
  <c r="AA10" i="31" s="1"/>
  <c r="AA11" i="31" s="1"/>
  <c r="AA17" i="31" s="1"/>
  <c r="AH13" i="32"/>
  <c r="AH5" i="31" s="1"/>
  <c r="AH10" i="31" s="1"/>
  <c r="AH11" i="31" s="1"/>
  <c r="AH17" i="31" s="1"/>
  <c r="AO13" i="32"/>
  <c r="AO5" i="31" s="1"/>
  <c r="AO10" i="31" s="1"/>
  <c r="AO11" i="31" s="1"/>
  <c r="AO17" i="31" s="1"/>
  <c r="AC13" i="32"/>
  <c r="AC5" i="31" s="1"/>
  <c r="AC10" i="31" s="1"/>
  <c r="AC11" i="31" s="1"/>
  <c r="AC17" i="31" s="1"/>
  <c r="W13" i="32"/>
  <c r="W5" i="31" s="1"/>
  <c r="W10" i="31" s="1"/>
  <c r="W11" i="31" s="1"/>
  <c r="W17" i="31" s="1"/>
  <c r="AB13" i="32"/>
  <c r="AB5" i="31" s="1"/>
  <c r="AB10" i="31" s="1"/>
  <c r="AB11" i="31" s="1"/>
  <c r="AB17" i="31" s="1"/>
  <c r="K13" i="32"/>
  <c r="K5" i="31" s="1"/>
  <c r="K10" i="31" s="1"/>
  <c r="K11" i="31" s="1"/>
  <c r="K17" i="31" s="1"/>
  <c r="Z13" i="32"/>
  <c r="Z5" i="31" s="1"/>
  <c r="Z10" i="31" s="1"/>
  <c r="Z11" i="31" s="1"/>
  <c r="Z17" i="31" s="1"/>
  <c r="Y13" i="32"/>
  <c r="Y5" i="31" s="1"/>
  <c r="Y10" i="31" s="1"/>
  <c r="Y11" i="31" s="1"/>
  <c r="Y17" i="31" s="1"/>
  <c r="U13" i="32"/>
  <c r="U5" i="31" s="1"/>
  <c r="U10" i="31" s="1"/>
  <c r="U11" i="31" s="1"/>
  <c r="U17" i="31" s="1"/>
  <c r="AB14" i="54"/>
  <c r="AB19" i="54" s="1"/>
  <c r="K14" i="54"/>
  <c r="K19" i="54" s="1"/>
  <c r="T14" i="54"/>
  <c r="T19" i="54" s="1"/>
  <c r="AC14" i="54"/>
  <c r="AC19" i="54" s="1"/>
  <c r="AL14" i="54"/>
  <c r="AL19" i="54" s="1"/>
  <c r="S14" i="54"/>
  <c r="S19" i="54" s="1"/>
  <c r="L14" i="54"/>
  <c r="L16" i="54" s="1"/>
  <c r="U14" i="54"/>
  <c r="U19" i="54" s="1"/>
  <c r="AI14" i="54"/>
  <c r="AI19" i="54" s="1"/>
  <c r="V14" i="54"/>
  <c r="V19" i="54" s="1"/>
  <c r="AD14" i="54"/>
  <c r="AD19" i="54" s="1"/>
  <c r="AM14" i="54"/>
  <c r="AM19" i="54" s="1"/>
  <c r="AU14" i="54"/>
  <c r="AU19" i="54" s="1"/>
  <c r="N14" i="54"/>
  <c r="N19" i="54" s="1"/>
  <c r="AJ14" i="54"/>
  <c r="AJ19" i="54" s="1"/>
  <c r="AQ14" i="54"/>
  <c r="AQ19" i="54" s="1"/>
  <c r="Y14" i="54"/>
  <c r="Y19" i="54" s="1"/>
  <c r="AE14" i="54"/>
  <c r="AE19" i="54" s="1"/>
  <c r="AT12" i="47"/>
  <c r="AT17" i="47" s="1"/>
  <c r="AK14" i="54"/>
  <c r="AK19" i="54" s="1"/>
  <c r="J14" i="54"/>
  <c r="AT14" i="54"/>
  <c r="AT19" i="54" s="1"/>
  <c r="AH14" i="54"/>
  <c r="AH19" i="54" s="1"/>
  <c r="AA14" i="54"/>
  <c r="I14" i="54"/>
  <c r="AP14" i="54"/>
  <c r="P14" i="54"/>
  <c r="P19" i="54" s="1"/>
  <c r="Q14" i="54"/>
  <c r="J14" i="55"/>
  <c r="J19" i="55" s="1"/>
  <c r="O14" i="54"/>
  <c r="X14" i="54"/>
  <c r="AR14" i="54"/>
  <c r="W14" i="54"/>
  <c r="W19" i="54" s="1"/>
  <c r="AF14" i="54"/>
  <c r="AF19" i="54" s="1"/>
  <c r="AG14" i="54"/>
  <c r="AG19" i="54" s="1"/>
  <c r="K14" i="55"/>
  <c r="K19" i="55" s="1"/>
  <c r="I14" i="55"/>
  <c r="AN14" i="54"/>
  <c r="AN19" i="54" s="1"/>
  <c r="Z14" i="54"/>
  <c r="Z19" i="54" s="1"/>
  <c r="AO14" i="54"/>
  <c r="AO19" i="54" s="1"/>
  <c r="H13" i="13"/>
  <c r="H18" i="13" s="1"/>
  <c r="M12" i="47"/>
  <c r="M17" i="47" s="1"/>
  <c r="O12" i="47"/>
  <c r="O17" i="47" s="1"/>
  <c r="Z12" i="47"/>
  <c r="Z17" i="47" s="1"/>
  <c r="AJ12" i="47"/>
  <c r="AJ17" i="47" s="1"/>
  <c r="AG12" i="47"/>
  <c r="AG14" i="47" s="1"/>
  <c r="Y12" i="47"/>
  <c r="Y17" i="47" s="1"/>
  <c r="AB12" i="47"/>
  <c r="AB17" i="47" s="1"/>
  <c r="AE12" i="47"/>
  <c r="AE17" i="47" s="1"/>
  <c r="V12" i="47"/>
  <c r="V17" i="47" s="1"/>
  <c r="AI12" i="47"/>
  <c r="AI17" i="47" s="1"/>
  <c r="W12" i="47"/>
  <c r="W17" i="47" s="1"/>
  <c r="AK12" i="47"/>
  <c r="AK17" i="47" s="1"/>
  <c r="J13" i="52"/>
  <c r="J18" i="52" s="1"/>
  <c r="AD12" i="47"/>
  <c r="AD17" i="47" s="1"/>
  <c r="S12" i="47"/>
  <c r="S17" i="47" s="1"/>
  <c r="I13" i="52"/>
  <c r="I18" i="52" s="1"/>
  <c r="H11" i="28"/>
  <c r="H16" i="28" s="1"/>
  <c r="P12" i="47"/>
  <c r="P17" i="47" s="1"/>
  <c r="U12" i="47"/>
  <c r="U17" i="47" s="1"/>
  <c r="H11" i="23"/>
  <c r="H16" i="23" s="1"/>
  <c r="AM12" i="47"/>
  <c r="AM17" i="47" s="1"/>
  <c r="AU12" i="47"/>
  <c r="AU17" i="47" s="1"/>
  <c r="AC12" i="47"/>
  <c r="AC17" i="47" s="1"/>
  <c r="Q12" i="47"/>
  <c r="Q17" i="47" s="1"/>
  <c r="AO12" i="47"/>
  <c r="AO17" i="47" s="1"/>
  <c r="J12" i="47"/>
  <c r="J17" i="47" s="1"/>
  <c r="AH12" i="47"/>
  <c r="AH17" i="47" s="1"/>
  <c r="AS12" i="47"/>
  <c r="AS17" i="47" s="1"/>
  <c r="AQ12" i="47"/>
  <c r="AQ17" i="47" s="1"/>
  <c r="I10" i="44"/>
  <c r="I15" i="44" s="1"/>
  <c r="AL12" i="47"/>
  <c r="AL17" i="47" s="1"/>
  <c r="T12" i="47"/>
  <c r="T17" i="47" s="1"/>
  <c r="AF12" i="47"/>
  <c r="AF17" i="47" s="1"/>
  <c r="L12" i="47"/>
  <c r="L17" i="47" s="1"/>
  <c r="H11" i="45"/>
  <c r="H16" i="45" s="1"/>
  <c r="I11" i="48"/>
  <c r="AR12" i="47"/>
  <c r="AR17" i="47" s="1"/>
  <c r="R12" i="47"/>
  <c r="R17" i="47" s="1"/>
  <c r="H13" i="27"/>
  <c r="H18" i="27" s="1"/>
  <c r="K12" i="47"/>
  <c r="K17" i="47" s="1"/>
  <c r="AP12" i="47"/>
  <c r="AP17" i="47" s="1"/>
  <c r="AN12" i="47"/>
  <c r="AN17" i="47" s="1"/>
  <c r="H9" i="24"/>
  <c r="AA12" i="47"/>
  <c r="AA17" i="47" s="1"/>
  <c r="I10" i="47"/>
  <c r="I12" i="47" s="1"/>
  <c r="I17" i="47" s="1"/>
  <c r="AM10" i="26"/>
  <c r="AM15" i="26" s="1"/>
  <c r="AZ11" i="28"/>
  <c r="AZ16" i="28" s="1"/>
  <c r="AF10" i="26"/>
  <c r="AF15" i="26" s="1"/>
  <c r="AE10" i="26"/>
  <c r="AE15" i="26" s="1"/>
  <c r="J9" i="46"/>
  <c r="J10" i="46" s="1"/>
  <c r="L12" i="5"/>
  <c r="R12" i="5"/>
  <c r="I10" i="46"/>
  <c r="AH16" i="45"/>
  <c r="AH13" i="45"/>
  <c r="AD16" i="45"/>
  <c r="AD13" i="45"/>
  <c r="R16" i="45"/>
  <c r="R13" i="45"/>
  <c r="AK16" i="45"/>
  <c r="AK13" i="45"/>
  <c r="M16" i="45"/>
  <c r="M13" i="45"/>
  <c r="N16" i="45"/>
  <c r="N13" i="45"/>
  <c r="AC16" i="45"/>
  <c r="AC13" i="45"/>
  <c r="T16" i="45"/>
  <c r="T13" i="45"/>
  <c r="Y16" i="45"/>
  <c r="Y13" i="45"/>
  <c r="K16" i="45"/>
  <c r="K13" i="45"/>
  <c r="AM16" i="45"/>
  <c r="AM13" i="45"/>
  <c r="AP16" i="45"/>
  <c r="AP13" i="45"/>
  <c r="I16" i="45"/>
  <c r="I13" i="45"/>
  <c r="J16" i="45"/>
  <c r="J13" i="45"/>
  <c r="X16" i="45"/>
  <c r="X13" i="45"/>
  <c r="U9" i="35"/>
  <c r="U10" i="35" s="1"/>
  <c r="U5" i="34" s="1"/>
  <c r="U9" i="34" s="1"/>
  <c r="U11" i="34" s="1"/>
  <c r="U16" i="34" s="1"/>
  <c r="AK9" i="35"/>
  <c r="AK10" i="35" s="1"/>
  <c r="AK5" i="34" s="1"/>
  <c r="AK9" i="34" s="1"/>
  <c r="AK11" i="34" s="1"/>
  <c r="BA9" i="35"/>
  <c r="BA10" i="35" s="1"/>
  <c r="V9" i="35"/>
  <c r="V10" i="35" s="1"/>
  <c r="V5" i="34" s="1"/>
  <c r="V9" i="34" s="1"/>
  <c r="V11" i="34" s="1"/>
  <c r="V16" i="34" s="1"/>
  <c r="BB9" i="35"/>
  <c r="BB10" i="35" s="1"/>
  <c r="W9" i="35"/>
  <c r="W10" i="35" s="1"/>
  <c r="W5" i="34" s="1"/>
  <c r="W9" i="34" s="1"/>
  <c r="W11" i="34" s="1"/>
  <c r="W16" i="34" s="1"/>
  <c r="BC9" i="35"/>
  <c r="BC10" i="35" s="1"/>
  <c r="L9" i="35"/>
  <c r="L10" i="35" s="1"/>
  <c r="L5" i="34" s="1"/>
  <c r="L9" i="34" s="1"/>
  <c r="L11" i="34" s="1"/>
  <c r="L16" i="34" s="1"/>
  <c r="AR9" i="35"/>
  <c r="AR10" i="35" s="1"/>
  <c r="AD9" i="35"/>
  <c r="AD10" i="35" s="1"/>
  <c r="AD5" i="34" s="1"/>
  <c r="AD9" i="34" s="1"/>
  <c r="AD11" i="34" s="1"/>
  <c r="AL9" i="35"/>
  <c r="AL10" i="35" s="1"/>
  <c r="AL5" i="34" s="1"/>
  <c r="AL9" i="34" s="1"/>
  <c r="AL11" i="34" s="1"/>
  <c r="AL16" i="34" s="1"/>
  <c r="AM9" i="35"/>
  <c r="AM10" i="35" s="1"/>
  <c r="AM5" i="34" s="1"/>
  <c r="AM9" i="34" s="1"/>
  <c r="AM11" i="34" s="1"/>
  <c r="AB9" i="35"/>
  <c r="AB10" i="35" s="1"/>
  <c r="AB5" i="34" s="1"/>
  <c r="AB9" i="34" s="1"/>
  <c r="AB11" i="34" s="1"/>
  <c r="AB16" i="34" s="1"/>
  <c r="M9" i="35"/>
  <c r="M10" i="35" s="1"/>
  <c r="M5" i="34" s="1"/>
  <c r="M9" i="34" s="1"/>
  <c r="M11" i="34" s="1"/>
  <c r="AC9" i="35"/>
  <c r="AC10" i="35" s="1"/>
  <c r="AC5" i="34" s="1"/>
  <c r="AC9" i="34" s="1"/>
  <c r="AC11" i="34" s="1"/>
  <c r="AS9" i="35"/>
  <c r="AS10" i="35" s="1"/>
  <c r="N9" i="35"/>
  <c r="N10" i="35" s="1"/>
  <c r="N5" i="34" s="1"/>
  <c r="N9" i="34" s="1"/>
  <c r="N11" i="34" s="1"/>
  <c r="AT9" i="35"/>
  <c r="AT10" i="35" s="1"/>
  <c r="O9" i="35"/>
  <c r="O10" i="35" s="1"/>
  <c r="O5" i="34" s="1"/>
  <c r="O9" i="34" s="1"/>
  <c r="O11" i="34" s="1"/>
  <c r="O16" i="34" s="1"/>
  <c r="T9" i="35"/>
  <c r="T10" i="35" s="1"/>
  <c r="T5" i="34" s="1"/>
  <c r="T9" i="34" s="1"/>
  <c r="T11" i="34" s="1"/>
  <c r="AE9" i="35"/>
  <c r="AE10" i="35" s="1"/>
  <c r="AE5" i="34" s="1"/>
  <c r="AE9" i="34" s="1"/>
  <c r="AE11" i="34" s="1"/>
  <c r="AE16" i="34" s="1"/>
  <c r="AJ9" i="35"/>
  <c r="AJ10" i="35" s="1"/>
  <c r="AJ5" i="34" s="1"/>
  <c r="AJ9" i="34" s="1"/>
  <c r="AJ11" i="34" s="1"/>
  <c r="AJ16" i="34" s="1"/>
  <c r="AU9" i="35"/>
  <c r="AU10" i="35" s="1"/>
  <c r="AZ9" i="35"/>
  <c r="AZ10" i="35" s="1"/>
  <c r="AW9" i="35"/>
  <c r="AW10" i="35" s="1"/>
  <c r="AF9" i="35"/>
  <c r="AF10" i="35" s="1"/>
  <c r="AF5" i="34" s="1"/>
  <c r="AF9" i="34" s="1"/>
  <c r="AF11" i="34" s="1"/>
  <c r="AF16" i="34" s="1"/>
  <c r="AP9" i="35"/>
  <c r="AP10" i="35" s="1"/>
  <c r="AP5" i="34" s="1"/>
  <c r="AP9" i="34" s="1"/>
  <c r="AP11" i="34" s="1"/>
  <c r="AO9" i="35"/>
  <c r="AO10" i="35" s="1"/>
  <c r="AO5" i="34" s="1"/>
  <c r="AO9" i="34" s="1"/>
  <c r="AO11" i="34" s="1"/>
  <c r="AO16" i="34" s="1"/>
  <c r="X9" i="35"/>
  <c r="X10" i="35" s="1"/>
  <c r="X5" i="34" s="1"/>
  <c r="X9" i="34" s="1"/>
  <c r="X11" i="34" s="1"/>
  <c r="AH9" i="35"/>
  <c r="AH10" i="35" s="1"/>
  <c r="AH5" i="34" s="1"/>
  <c r="AH9" i="34" s="1"/>
  <c r="AH11" i="34" s="1"/>
  <c r="AG9" i="35"/>
  <c r="AG10" i="35" s="1"/>
  <c r="AG5" i="34" s="1"/>
  <c r="AG9" i="34" s="1"/>
  <c r="AG11" i="34" s="1"/>
  <c r="AG16" i="34" s="1"/>
  <c r="P9" i="35"/>
  <c r="P10" i="35" s="1"/>
  <c r="P5" i="34" s="1"/>
  <c r="P9" i="34" s="1"/>
  <c r="P11" i="34" s="1"/>
  <c r="P16" i="34" s="1"/>
  <c r="K9" i="35"/>
  <c r="K10" i="35" s="1"/>
  <c r="K5" i="34" s="1"/>
  <c r="K9" i="34" s="1"/>
  <c r="K11" i="34" s="1"/>
  <c r="Z9" i="35"/>
  <c r="Z10" i="35" s="1"/>
  <c r="Z5" i="34" s="1"/>
  <c r="Z9" i="34" s="1"/>
  <c r="Z11" i="34" s="1"/>
  <c r="Z16" i="34" s="1"/>
  <c r="Y9" i="35"/>
  <c r="Y10" i="35" s="1"/>
  <c r="Y5" i="34" s="1"/>
  <c r="Y9" i="34" s="1"/>
  <c r="Y11" i="34" s="1"/>
  <c r="J9" i="35"/>
  <c r="J10" i="35" s="1"/>
  <c r="J5" i="34" s="1"/>
  <c r="J9" i="34" s="1"/>
  <c r="J11" i="34" s="1"/>
  <c r="AY9" i="35"/>
  <c r="AY10" i="35" s="1"/>
  <c r="R9" i="35"/>
  <c r="R10" i="35" s="1"/>
  <c r="R5" i="34" s="1"/>
  <c r="R9" i="34" s="1"/>
  <c r="R11" i="34" s="1"/>
  <c r="Q9" i="35"/>
  <c r="Q10" i="35" s="1"/>
  <c r="Q5" i="34" s="1"/>
  <c r="Q9" i="34" s="1"/>
  <c r="Q11" i="34" s="1"/>
  <c r="Q16" i="34" s="1"/>
  <c r="I9" i="35"/>
  <c r="I10" i="35" s="1"/>
  <c r="I5" i="34" s="1"/>
  <c r="I9" i="34" s="1"/>
  <c r="I11" i="34" s="1"/>
  <c r="AI9" i="35"/>
  <c r="AI10" i="35" s="1"/>
  <c r="AI5" i="34" s="1"/>
  <c r="AI9" i="34" s="1"/>
  <c r="AI11" i="34" s="1"/>
  <c r="AI16" i="34" s="1"/>
  <c r="BD9" i="35"/>
  <c r="BD10" i="35" s="1"/>
  <c r="AQ9" i="35"/>
  <c r="AQ10" i="35" s="1"/>
  <c r="AQ5" i="34" s="1"/>
  <c r="AQ9" i="34" s="1"/>
  <c r="AQ11" i="34" s="1"/>
  <c r="AQ16" i="34" s="1"/>
  <c r="AA9" i="35"/>
  <c r="AA10" i="35" s="1"/>
  <c r="AA5" i="34" s="1"/>
  <c r="AA9" i="34" s="1"/>
  <c r="AA11" i="34" s="1"/>
  <c r="AA16" i="34" s="1"/>
  <c r="AV9" i="35"/>
  <c r="AV10" i="35" s="1"/>
  <c r="S9" i="35"/>
  <c r="S10" i="35" s="1"/>
  <c r="S5" i="34" s="1"/>
  <c r="S9" i="34" s="1"/>
  <c r="S11" i="34" s="1"/>
  <c r="S16" i="34" s="1"/>
  <c r="BF9" i="35"/>
  <c r="BF10" i="35" s="1"/>
  <c r="BE9" i="35"/>
  <c r="BE10" i="35" s="1"/>
  <c r="AN9" i="35"/>
  <c r="AN10" i="35" s="1"/>
  <c r="AN5" i="34" s="1"/>
  <c r="AN9" i="34" s="1"/>
  <c r="AN11" i="34" s="1"/>
  <c r="AN16" i="34" s="1"/>
  <c r="AX9" i="35"/>
  <c r="AX10" i="35" s="1"/>
  <c r="Z10" i="26"/>
  <c r="Z15" i="26" s="1"/>
  <c r="AG10" i="26"/>
  <c r="AG15" i="26" s="1"/>
  <c r="J12" i="5"/>
  <c r="AF12" i="5"/>
  <c r="AF15" i="5" s="1"/>
  <c r="AA11" i="28"/>
  <c r="V10" i="26"/>
  <c r="V15" i="26" s="1"/>
  <c r="AA12" i="5"/>
  <c r="AA17" i="5" s="1"/>
  <c r="AE12" i="5"/>
  <c r="AE15" i="5" s="1"/>
  <c r="I12" i="5"/>
  <c r="AR12" i="5"/>
  <c r="AR17" i="5" s="1"/>
  <c r="AK12" i="5"/>
  <c r="AK17" i="5" s="1"/>
  <c r="Y12" i="5"/>
  <c r="Y17" i="5" s="1"/>
  <c r="Z12" i="5"/>
  <c r="Z17" i="5" s="1"/>
  <c r="K12" i="5"/>
  <c r="AJ12" i="5"/>
  <c r="AJ17" i="5" s="1"/>
  <c r="Y10" i="26"/>
  <c r="Y15" i="26" s="1"/>
  <c r="AB12" i="5"/>
  <c r="AB17" i="5" s="1"/>
  <c r="AO12" i="5"/>
  <c r="AO17" i="5" s="1"/>
  <c r="AS12" i="5"/>
  <c r="AS17" i="5" s="1"/>
  <c r="AP12" i="5"/>
  <c r="AP15" i="5" s="1"/>
  <c r="AG12" i="5"/>
  <c r="AG15" i="5" s="1"/>
  <c r="O12" i="5"/>
  <c r="X12" i="5"/>
  <c r="X17" i="5" s="1"/>
  <c r="BA10" i="30"/>
  <c r="K10" i="30"/>
  <c r="J10" i="30"/>
  <c r="AW10" i="30"/>
  <c r="W12" i="5"/>
  <c r="W17" i="5" s="1"/>
  <c r="T12" i="5"/>
  <c r="T15" i="5" s="1"/>
  <c r="X10" i="30"/>
  <c r="AT10" i="30"/>
  <c r="AZ10" i="30"/>
  <c r="U10" i="30"/>
  <c r="AV10" i="30"/>
  <c r="BD10" i="30"/>
  <c r="AO10" i="30"/>
  <c r="BC10" i="30"/>
  <c r="AL10" i="30"/>
  <c r="AR10" i="30"/>
  <c r="P10" i="30"/>
  <c r="AG10" i="30"/>
  <c r="L11" i="28"/>
  <c r="L16" i="28" s="1"/>
  <c r="AC12" i="5"/>
  <c r="AC17" i="5" s="1"/>
  <c r="Q12" i="5"/>
  <c r="AU10" i="30"/>
  <c r="AD10" i="30"/>
  <c r="AJ10" i="30"/>
  <c r="AY10" i="30"/>
  <c r="AC10" i="30"/>
  <c r="AS10" i="30"/>
  <c r="Y10" i="30"/>
  <c r="V10" i="30"/>
  <c r="AQ10" i="30"/>
  <c r="M10" i="30"/>
  <c r="N10" i="30"/>
  <c r="AI10" i="30"/>
  <c r="BF10" i="30"/>
  <c r="S12" i="5"/>
  <c r="W10" i="30"/>
  <c r="AN10" i="30"/>
  <c r="L10" i="30"/>
  <c r="AA10" i="30"/>
  <c r="Z10" i="30"/>
  <c r="AP10" i="30"/>
  <c r="AM10" i="30"/>
  <c r="AB10" i="30"/>
  <c r="AX10" i="30"/>
  <c r="Q10" i="30"/>
  <c r="P12" i="5"/>
  <c r="AE10" i="30"/>
  <c r="T10" i="30"/>
  <c r="AH10" i="30"/>
  <c r="I10" i="30"/>
  <c r="AM12" i="5"/>
  <c r="AM17" i="5" s="1"/>
  <c r="O10" i="30"/>
  <c r="AK10" i="30"/>
  <c r="AF10" i="30"/>
  <c r="S10" i="30"/>
  <c r="R10" i="30"/>
  <c r="BE10" i="30"/>
  <c r="AI12" i="5"/>
  <c r="AI17" i="5" s="1"/>
  <c r="N12" i="5"/>
  <c r="AH12" i="5"/>
  <c r="AH17" i="5" s="1"/>
  <c r="AL12" i="5"/>
  <c r="AL17" i="5" s="1"/>
  <c r="AT12" i="5"/>
  <c r="AT17" i="5" s="1"/>
  <c r="AD12" i="5"/>
  <c r="AD17" i="5" s="1"/>
  <c r="H12" i="5"/>
  <c r="AN12" i="5"/>
  <c r="AN17" i="5" s="1"/>
  <c r="U12" i="5"/>
  <c r="U17" i="5" s="1"/>
  <c r="V12" i="5"/>
  <c r="AQ12" i="5"/>
  <c r="AQ17" i="5" s="1"/>
  <c r="M12" i="5"/>
  <c r="AN10" i="26"/>
  <c r="AN15" i="26" s="1"/>
  <c r="X10" i="26"/>
  <c r="X15" i="26" s="1"/>
  <c r="AI10" i="26"/>
  <c r="AI15" i="26" s="1"/>
  <c r="AB11" i="28"/>
  <c r="AQ11" i="28"/>
  <c r="AQ16" i="28" s="1"/>
  <c r="AT10" i="26"/>
  <c r="AI12" i="16"/>
  <c r="AI17" i="16" s="1"/>
  <c r="AL10" i="26"/>
  <c r="AL15" i="26" s="1"/>
  <c r="AZ10" i="26"/>
  <c r="AR10" i="26"/>
  <c r="AQ10" i="26"/>
  <c r="AQ15" i="26" s="1"/>
  <c r="AJ11" i="28"/>
  <c r="AJ16" i="28" s="1"/>
  <c r="AM12" i="16"/>
  <c r="AM17" i="16" s="1"/>
  <c r="U10" i="26"/>
  <c r="U15" i="26" s="1"/>
  <c r="AY11" i="28"/>
  <c r="AY16" i="28" s="1"/>
  <c r="AC10" i="26"/>
  <c r="AC15" i="26" s="1"/>
  <c r="AB10" i="26"/>
  <c r="AB15" i="26" s="1"/>
  <c r="AA10" i="26"/>
  <c r="AA15" i="26" s="1"/>
  <c r="AR11" i="28"/>
  <c r="AR16" i="28" s="1"/>
  <c r="AK10" i="26"/>
  <c r="AK15" i="26" s="1"/>
  <c r="AP10" i="26"/>
  <c r="AP15" i="26" s="1"/>
  <c r="AH10" i="26"/>
  <c r="AH15" i="26" s="1"/>
  <c r="AO10" i="26"/>
  <c r="AO15" i="26" s="1"/>
  <c r="AJ10" i="26"/>
  <c r="AJ15" i="26" s="1"/>
  <c r="K11" i="28"/>
  <c r="K16" i="28" s="1"/>
  <c r="T10" i="26"/>
  <c r="T15" i="26" s="1"/>
  <c r="R11" i="28"/>
  <c r="R16" i="28" s="1"/>
  <c r="AW10" i="26"/>
  <c r="AW15" i="26" s="1"/>
  <c r="AS10" i="26"/>
  <c r="AS15" i="26" s="1"/>
  <c r="AD10" i="26"/>
  <c r="AD15" i="26" s="1"/>
  <c r="AH11" i="28"/>
  <c r="BA10" i="26"/>
  <c r="AY10" i="26"/>
  <c r="AX10" i="26"/>
  <c r="Z11" i="28"/>
  <c r="Z16" i="28" s="1"/>
  <c r="S11" i="28"/>
  <c r="S16" i="28" s="1"/>
  <c r="AN11" i="28"/>
  <c r="AN16" i="28" s="1"/>
  <c r="BC11" i="28"/>
  <c r="BC16" i="28" s="1"/>
  <c r="AL11" i="28"/>
  <c r="BA11" i="28"/>
  <c r="BA16" i="28" s="1"/>
  <c r="W11" i="28"/>
  <c r="U11" i="28"/>
  <c r="U16" i="28" s="1"/>
  <c r="BF11" i="28"/>
  <c r="BF16" i="28" s="1"/>
  <c r="AP11" i="28"/>
  <c r="AP16" i="28" s="1"/>
  <c r="AO11" i="28"/>
  <c r="AO16" i="28" s="1"/>
  <c r="AV11" i="28"/>
  <c r="AV16" i="28" s="1"/>
  <c r="AT11" i="28"/>
  <c r="AT16" i="28" s="1"/>
  <c r="T11" i="28"/>
  <c r="T16" i="28" s="1"/>
  <c r="AG11" i="28"/>
  <c r="AG16" i="28" s="1"/>
  <c r="Y11" i="28"/>
  <c r="Y16" i="28" s="1"/>
  <c r="AF11" i="28"/>
  <c r="AF16" i="28" s="1"/>
  <c r="AU11" i="28"/>
  <c r="AU16" i="28" s="1"/>
  <c r="AD11" i="28"/>
  <c r="AD16" i="28" s="1"/>
  <c r="AS11" i="28"/>
  <c r="AS16" i="28" s="1"/>
  <c r="Q11" i="28"/>
  <c r="Q16" i="28" s="1"/>
  <c r="X11" i="28"/>
  <c r="AM11" i="28"/>
  <c r="AM16" i="28" s="1"/>
  <c r="V11" i="28"/>
  <c r="V16" i="28" s="1"/>
  <c r="AK11" i="28"/>
  <c r="AK16" i="28" s="1"/>
  <c r="J13" i="27"/>
  <c r="J18" i="27" s="1"/>
  <c r="J11" i="28"/>
  <c r="J16" i="28" s="1"/>
  <c r="I11" i="28"/>
  <c r="I16" i="28" s="1"/>
  <c r="P11" i="28"/>
  <c r="P16" i="28" s="1"/>
  <c r="AE11" i="28"/>
  <c r="AE16" i="28" s="1"/>
  <c r="AC11" i="28"/>
  <c r="AC16" i="28" s="1"/>
  <c r="O11" i="28"/>
  <c r="O16" i="28" s="1"/>
  <c r="M11" i="28"/>
  <c r="M16" i="28" s="1"/>
  <c r="I13" i="27"/>
  <c r="I18" i="27" s="1"/>
  <c r="AI11" i="28"/>
  <c r="AI16" i="28" s="1"/>
  <c r="AX11" i="28"/>
  <c r="AW11" i="28"/>
  <c r="AW16" i="28" s="1"/>
  <c r="N11" i="28"/>
  <c r="N16" i="28" s="1"/>
  <c r="BB11" i="28"/>
  <c r="D27" i="29"/>
  <c r="D29" i="29"/>
  <c r="D31" i="29"/>
  <c r="D26" i="29"/>
  <c r="E25" i="29" s="1"/>
  <c r="D28" i="29"/>
  <c r="J11" i="23"/>
  <c r="J16" i="23" s="1"/>
  <c r="N11" i="23"/>
  <c r="AY9" i="23"/>
  <c r="AY11" i="23" s="1"/>
  <c r="AY16" i="23" s="1"/>
  <c r="AO9" i="23"/>
  <c r="AO11" i="23" s="1"/>
  <c r="AO16" i="23" s="1"/>
  <c r="T9" i="23"/>
  <c r="T11" i="23" s="1"/>
  <c r="T16" i="23" s="1"/>
  <c r="O9" i="23"/>
  <c r="O11" i="23" s="1"/>
  <c r="O16" i="23" s="1"/>
  <c r="AU9" i="23"/>
  <c r="AU11" i="23" s="1"/>
  <c r="P9" i="23"/>
  <c r="P11" i="23" s="1"/>
  <c r="P16" i="23" s="1"/>
  <c r="W9" i="23"/>
  <c r="W11" i="23" s="1"/>
  <c r="W16" i="23" s="1"/>
  <c r="AQ9" i="23"/>
  <c r="AQ11" i="23" s="1"/>
  <c r="AQ16" i="23" s="1"/>
  <c r="K9" i="23"/>
  <c r="K11" i="23" s="1"/>
  <c r="K16" i="23" s="1"/>
  <c r="AE9" i="23"/>
  <c r="AE11" i="23" s="1"/>
  <c r="AE16" i="23" s="1"/>
  <c r="AC9" i="23"/>
  <c r="AC11" i="23" s="1"/>
  <c r="AC16" i="23" s="1"/>
  <c r="AM9" i="23"/>
  <c r="AM11" i="23" s="1"/>
  <c r="AM16" i="23" s="1"/>
  <c r="V13" i="18"/>
  <c r="V18" i="18" s="1"/>
  <c r="K11" i="20"/>
  <c r="K16" i="20" s="1"/>
  <c r="O11" i="20"/>
  <c r="O16" i="20" s="1"/>
  <c r="AL11" i="20"/>
  <c r="AL16" i="20" s="1"/>
  <c r="AI11" i="20"/>
  <c r="AI16" i="20" s="1"/>
  <c r="L11" i="23"/>
  <c r="L16" i="23" s="1"/>
  <c r="AH11" i="20"/>
  <c r="AH16" i="20" s="1"/>
  <c r="BA11" i="23"/>
  <c r="BA16" i="23" s="1"/>
  <c r="Q11" i="20"/>
  <c r="Q16" i="20" s="1"/>
  <c r="AN11" i="20"/>
  <c r="AN16" i="20" s="1"/>
  <c r="AT11" i="23"/>
  <c r="AH11" i="23"/>
  <c r="AH16" i="23" s="1"/>
  <c r="AS11" i="23"/>
  <c r="X11" i="20"/>
  <c r="AB11" i="20"/>
  <c r="AB16" i="20" s="1"/>
  <c r="S11" i="23"/>
  <c r="S16" i="23" s="1"/>
  <c r="Z11" i="20"/>
  <c r="Z16" i="20" s="1"/>
  <c r="AN11" i="23"/>
  <c r="AN16" i="23" s="1"/>
  <c r="AM13" i="18"/>
  <c r="AM18" i="18" s="1"/>
  <c r="BC11" i="23"/>
  <c r="BC16" i="23" s="1"/>
  <c r="V11" i="23"/>
  <c r="V16" i="23" s="1"/>
  <c r="R11" i="23"/>
  <c r="R16" i="23" s="1"/>
  <c r="AK11" i="23"/>
  <c r="AK16" i="23" s="1"/>
  <c r="AZ11" i="23"/>
  <c r="AZ16" i="23" s="1"/>
  <c r="AA11" i="23"/>
  <c r="AA16" i="23" s="1"/>
  <c r="AI11" i="23"/>
  <c r="AI16" i="23" s="1"/>
  <c r="AF11" i="23"/>
  <c r="AF16" i="23" s="1"/>
  <c r="AX11" i="23"/>
  <c r="AR11" i="23"/>
  <c r="AS11" i="20"/>
  <c r="AS16" i="20" s="1"/>
  <c r="AE13" i="18"/>
  <c r="AE18" i="18" s="1"/>
  <c r="AG11" i="23"/>
  <c r="AG16" i="23" s="1"/>
  <c r="U11" i="23"/>
  <c r="U16" i="23" s="1"/>
  <c r="AW11" i="23"/>
  <c r="X11" i="23"/>
  <c r="X16" i="23" s="1"/>
  <c r="Z11" i="23"/>
  <c r="Z16" i="23" s="1"/>
  <c r="AJ11" i="23"/>
  <c r="AJ16" i="23" s="1"/>
  <c r="Q11" i="23"/>
  <c r="Q16" i="23" s="1"/>
  <c r="AL11" i="23"/>
  <c r="AL16" i="23" s="1"/>
  <c r="AV11" i="23"/>
  <c r="AV13" i="23" s="1"/>
  <c r="AP11" i="23"/>
  <c r="AP16" i="23" s="1"/>
  <c r="I11" i="23"/>
  <c r="I16" i="23" s="1"/>
  <c r="M11" i="23"/>
  <c r="M16" i="23" s="1"/>
  <c r="AD11" i="23"/>
  <c r="AD16" i="23" s="1"/>
  <c r="Y11" i="23"/>
  <c r="Y16" i="23" s="1"/>
  <c r="AB11" i="23"/>
  <c r="AB16" i="23" s="1"/>
  <c r="AJ11" i="20"/>
  <c r="AJ16" i="20" s="1"/>
  <c r="AP11" i="20"/>
  <c r="AP16" i="20" s="1"/>
  <c r="S11" i="20"/>
  <c r="S16" i="20" s="1"/>
  <c r="AT11" i="20"/>
  <c r="AT16" i="20" s="1"/>
  <c r="AD11" i="20"/>
  <c r="AD16" i="20" s="1"/>
  <c r="AF11" i="20"/>
  <c r="AF16" i="20" s="1"/>
  <c r="W11" i="20"/>
  <c r="W16" i="20" s="1"/>
  <c r="AA11" i="20"/>
  <c r="AA16" i="20" s="1"/>
  <c r="AO11" i="20"/>
  <c r="AO16" i="20" s="1"/>
  <c r="AK11" i="20"/>
  <c r="AK16" i="20" s="1"/>
  <c r="K13" i="18"/>
  <c r="K18" i="18" s="1"/>
  <c r="AR11" i="20"/>
  <c r="AR16" i="20" s="1"/>
  <c r="L11" i="20"/>
  <c r="L16" i="20" s="1"/>
  <c r="R11" i="20"/>
  <c r="R16" i="20" s="1"/>
  <c r="U11" i="20"/>
  <c r="U16" i="20" s="1"/>
  <c r="Y13" i="18"/>
  <c r="Y18" i="18" s="1"/>
  <c r="AQ11" i="20"/>
  <c r="AQ16" i="20" s="1"/>
  <c r="AA13" i="18"/>
  <c r="AA18" i="18" s="1"/>
  <c r="I11" i="20"/>
  <c r="I16" i="20" s="1"/>
  <c r="AM11" i="20"/>
  <c r="AM16" i="20" s="1"/>
  <c r="V11" i="20"/>
  <c r="V16" i="20" s="1"/>
  <c r="N11" i="20"/>
  <c r="N16" i="20" s="1"/>
  <c r="AC11" i="20"/>
  <c r="AC16" i="20" s="1"/>
  <c r="AE11" i="20"/>
  <c r="AE16" i="20" s="1"/>
  <c r="T11" i="20"/>
  <c r="T16" i="20" s="1"/>
  <c r="AG11" i="20"/>
  <c r="AG16" i="20" s="1"/>
  <c r="J11" i="20"/>
  <c r="J16" i="20" s="1"/>
  <c r="P11" i="20"/>
  <c r="P16" i="20" s="1"/>
  <c r="Y11" i="20"/>
  <c r="Y16" i="20" s="1"/>
  <c r="M11" i="20"/>
  <c r="M16" i="20" s="1"/>
  <c r="W13" i="18"/>
  <c r="W18" i="18" s="1"/>
  <c r="N13" i="18"/>
  <c r="N18" i="18" s="1"/>
  <c r="R13" i="18"/>
  <c r="R18" i="18" s="1"/>
  <c r="AG13" i="18"/>
  <c r="AG18" i="18" s="1"/>
  <c r="AL13" i="18"/>
  <c r="AL18" i="18" s="1"/>
  <c r="Z13" i="18"/>
  <c r="Z18" i="18" s="1"/>
  <c r="AN13" i="18"/>
  <c r="AN18" i="18" s="1"/>
  <c r="AH13" i="18"/>
  <c r="AH18" i="18" s="1"/>
  <c r="U13" i="18"/>
  <c r="U18" i="18" s="1"/>
  <c r="AD13" i="18"/>
  <c r="AD18" i="18" s="1"/>
  <c r="AK13" i="18"/>
  <c r="AK18" i="18" s="1"/>
  <c r="AC13" i="18"/>
  <c r="AC18" i="18" s="1"/>
  <c r="AQ13" i="18"/>
  <c r="AQ18" i="18" s="1"/>
  <c r="AT13" i="18"/>
  <c r="AO13" i="18"/>
  <c r="AO18" i="18" s="1"/>
  <c r="AI13" i="18"/>
  <c r="AI18" i="18" s="1"/>
  <c r="X13" i="18"/>
  <c r="X18" i="18" s="1"/>
  <c r="AU13" i="18"/>
  <c r="AR13" i="18"/>
  <c r="AS13" i="18"/>
  <c r="AJ13" i="18"/>
  <c r="AJ18" i="18" s="1"/>
  <c r="AF13" i="18"/>
  <c r="AF18" i="18" s="1"/>
  <c r="AB13" i="18"/>
  <c r="AB18" i="18" s="1"/>
  <c r="AP13" i="18"/>
  <c r="AP18" i="18" s="1"/>
  <c r="T13" i="18"/>
  <c r="T18" i="18" s="1"/>
  <c r="L13" i="18"/>
  <c r="L18" i="18" s="1"/>
  <c r="Q13" i="18"/>
  <c r="Q18" i="18" s="1"/>
  <c r="I13" i="18"/>
  <c r="I18" i="18" s="1"/>
  <c r="J13" i="18"/>
  <c r="J18" i="18" s="1"/>
  <c r="H13" i="18"/>
  <c r="H18" i="18" s="1"/>
  <c r="O13" i="18"/>
  <c r="O18" i="18" s="1"/>
  <c r="P13" i="18"/>
  <c r="P18" i="18" s="1"/>
  <c r="M13" i="18"/>
  <c r="M18" i="18" s="1"/>
  <c r="S13" i="18"/>
  <c r="S18" i="18" s="1"/>
  <c r="AE11" i="40"/>
  <c r="Y11" i="40"/>
  <c r="AJ11" i="40"/>
  <c r="AD11" i="40"/>
  <c r="T11" i="40"/>
  <c r="Q11" i="40"/>
  <c r="X11" i="40"/>
  <c r="R11" i="40"/>
  <c r="AC11" i="40"/>
  <c r="W11" i="40"/>
  <c r="AU10" i="10"/>
  <c r="AU11" i="10" s="1"/>
  <c r="AX10" i="10"/>
  <c r="AX11" i="10" s="1"/>
  <c r="H10" i="10"/>
  <c r="H11" i="10" s="1"/>
  <c r="AV10" i="10"/>
  <c r="AV11" i="10" s="1"/>
  <c r="AY10" i="10"/>
  <c r="AY11" i="10" s="1"/>
  <c r="AW10" i="10"/>
  <c r="AW11" i="10" s="1"/>
  <c r="AZ10" i="10"/>
  <c r="AZ11" i="10" s="1"/>
  <c r="Z12" i="25"/>
  <c r="Z17" i="25" s="1"/>
  <c r="U12" i="16"/>
  <c r="U17" i="16" s="1"/>
  <c r="M12" i="16"/>
  <c r="M17" i="16" s="1"/>
  <c r="AH14" i="17"/>
  <c r="AH21" i="17" s="1"/>
  <c r="AI14" i="17"/>
  <c r="AI21" i="17" s="1"/>
  <c r="AS14" i="17"/>
  <c r="AS18" i="17" s="1"/>
  <c r="N14" i="17"/>
  <c r="N21" i="17" s="1"/>
  <c r="O14" i="17"/>
  <c r="O21" i="17" s="1"/>
  <c r="N10" i="26"/>
  <c r="N15" i="26" s="1"/>
  <c r="AX14" i="17"/>
  <c r="AX18" i="17" s="1"/>
  <c r="V12" i="16"/>
  <c r="V17" i="16" s="1"/>
  <c r="R15" i="11"/>
  <c r="N12" i="11"/>
  <c r="N15" i="11"/>
  <c r="O12" i="11"/>
  <c r="O15" i="11"/>
  <c r="AL15" i="11"/>
  <c r="AL12" i="11"/>
  <c r="AI15" i="11"/>
  <c r="AI12" i="11"/>
  <c r="I9" i="7"/>
  <c r="I11" i="7" s="1"/>
  <c r="I15" i="11"/>
  <c r="Z14" i="17"/>
  <c r="Z18" i="17" s="1"/>
  <c r="AD15" i="11"/>
  <c r="AD12" i="11"/>
  <c r="AC12" i="11"/>
  <c r="AC15" i="11"/>
  <c r="T15" i="11"/>
  <c r="T12" i="11"/>
  <c r="BA14" i="17"/>
  <c r="BA21" i="17" s="1"/>
  <c r="U15" i="11"/>
  <c r="U12" i="11"/>
  <c r="M15" i="11"/>
  <c r="M12" i="11"/>
  <c r="AE15" i="11"/>
  <c r="AE12" i="11"/>
  <c r="Q15" i="11"/>
  <c r="H9" i="7"/>
  <c r="H11" i="7" s="1"/>
  <c r="H16" i="7" s="1"/>
  <c r="H15" i="11"/>
  <c r="L15" i="11"/>
  <c r="L12" i="11"/>
  <c r="AS12" i="11"/>
  <c r="AS15" i="11"/>
  <c r="K15" i="11"/>
  <c r="K12" i="11"/>
  <c r="S12" i="11"/>
  <c r="S15" i="11"/>
  <c r="AO14" i="17"/>
  <c r="AO21" i="17" s="1"/>
  <c r="AM14" i="17"/>
  <c r="AM21" i="17" s="1"/>
  <c r="J9" i="7"/>
  <c r="J11" i="7" s="1"/>
  <c r="J15" i="11"/>
  <c r="J12" i="11"/>
  <c r="P15" i="11"/>
  <c r="P12" i="11"/>
  <c r="AH12" i="11"/>
  <c r="AH15" i="11"/>
  <c r="AD14" i="17"/>
  <c r="AD21" i="17" s="1"/>
  <c r="AK14" i="17"/>
  <c r="AK18" i="17" s="1"/>
  <c r="K15" i="39"/>
  <c r="AE14" i="17"/>
  <c r="AE21" i="17" s="1"/>
  <c r="J15" i="39"/>
  <c r="J12" i="39"/>
  <c r="AQ14" i="17"/>
  <c r="AQ21" i="17" s="1"/>
  <c r="R14" i="17"/>
  <c r="R21" i="17" s="1"/>
  <c r="AF14" i="17"/>
  <c r="AF18" i="17" s="1"/>
  <c r="AU14" i="17"/>
  <c r="AU21" i="17" s="1"/>
  <c r="AV14" i="17"/>
  <c r="Q14" i="17"/>
  <c r="Q21" i="17" s="1"/>
  <c r="AC14" i="17"/>
  <c r="AC21" i="17" s="1"/>
  <c r="K14" i="17"/>
  <c r="K21" i="17" s="1"/>
  <c r="BD14" i="17"/>
  <c r="BD21" i="17" s="1"/>
  <c r="AE12" i="16"/>
  <c r="AE17" i="16" s="1"/>
  <c r="AR12" i="16"/>
  <c r="AR17" i="16" s="1"/>
  <c r="J14" i="17"/>
  <c r="J21" i="17" s="1"/>
  <c r="K12" i="16"/>
  <c r="K17" i="16" s="1"/>
  <c r="AP14" i="17"/>
  <c r="AP18" i="17" s="1"/>
  <c r="BB14" i="17"/>
  <c r="AJ12" i="16"/>
  <c r="AJ17" i="16" s="1"/>
  <c r="AC12" i="16"/>
  <c r="AC17" i="16" s="1"/>
  <c r="Q12" i="16"/>
  <c r="Q17" i="16" s="1"/>
  <c r="BC14" i="17"/>
  <c r="BC21" i="17" s="1"/>
  <c r="AA14" i="17"/>
  <c r="AA18" i="17" s="1"/>
  <c r="AT14" i="17"/>
  <c r="AO12" i="16"/>
  <c r="AO17" i="16" s="1"/>
  <c r="AG14" i="17"/>
  <c r="AG21" i="17" s="1"/>
  <c r="S10" i="26"/>
  <c r="S15" i="26" s="1"/>
  <c r="O10" i="26"/>
  <c r="O15" i="26" s="1"/>
  <c r="X12" i="16"/>
  <c r="X17" i="16" s="1"/>
  <c r="N12" i="16"/>
  <c r="N17" i="16" s="1"/>
  <c r="T12" i="25"/>
  <c r="T17" i="25" s="1"/>
  <c r="S12" i="16"/>
  <c r="S17" i="16" s="1"/>
  <c r="J12" i="16"/>
  <c r="J17" i="16" s="1"/>
  <c r="AW14" i="17"/>
  <c r="AW21" i="17" s="1"/>
  <c r="U14" i="17"/>
  <c r="U21" i="17" s="1"/>
  <c r="I12" i="16"/>
  <c r="I17" i="16" s="1"/>
  <c r="AN12" i="16"/>
  <c r="AN17" i="16" s="1"/>
  <c r="V14" i="17"/>
  <c r="V21" i="17" s="1"/>
  <c r="Y14" i="17"/>
  <c r="Y18" i="17" s="1"/>
  <c r="W14" i="17"/>
  <c r="W21" i="17" s="1"/>
  <c r="AY14" i="17"/>
  <c r="AY21" i="17" s="1"/>
  <c r="S14" i="17"/>
  <c r="S21" i="17" s="1"/>
  <c r="P14" i="17"/>
  <c r="P21" i="17" s="1"/>
  <c r="R12" i="16"/>
  <c r="R17" i="16" s="1"/>
  <c r="Y12" i="16"/>
  <c r="Y17" i="16" s="1"/>
  <c r="AB12" i="16"/>
  <c r="AB14" i="16" s="1"/>
  <c r="AN14" i="17"/>
  <c r="AN21" i="17" s="1"/>
  <c r="M14" i="17"/>
  <c r="AL14" i="17"/>
  <c r="AG12" i="16"/>
  <c r="AG17" i="16" s="1"/>
  <c r="W12" i="16"/>
  <c r="W17" i="16" s="1"/>
  <c r="X14" i="17"/>
  <c r="X21" i="17" s="1"/>
  <c r="I14" i="17"/>
  <c r="I21" i="17" s="1"/>
  <c r="AK12" i="16"/>
  <c r="AK17" i="16" s="1"/>
  <c r="AS12" i="16"/>
  <c r="AS17" i="16" s="1"/>
  <c r="AA12" i="16"/>
  <c r="AA17" i="16" s="1"/>
  <c r="BE14" i="17"/>
  <c r="BE21" i="17" s="1"/>
  <c r="AL12" i="16"/>
  <c r="AL17" i="16" s="1"/>
  <c r="AF12" i="16"/>
  <c r="AF17" i="16" s="1"/>
  <c r="O12" i="16"/>
  <c r="O17" i="16" s="1"/>
  <c r="T12" i="16"/>
  <c r="T17" i="16" s="1"/>
  <c r="J12" i="25"/>
  <c r="J17" i="25" s="1"/>
  <c r="AT12" i="16"/>
  <c r="AT17" i="16" s="1"/>
  <c r="P12" i="16"/>
  <c r="P17" i="16" s="1"/>
  <c r="AD12" i="16"/>
  <c r="AD14" i="16" s="1"/>
  <c r="AP12" i="16"/>
  <c r="AP17" i="16" s="1"/>
  <c r="L12" i="16"/>
  <c r="L17" i="16" s="1"/>
  <c r="Z12" i="16"/>
  <c r="Z17" i="16" s="1"/>
  <c r="AH12" i="16"/>
  <c r="AH17" i="16" s="1"/>
  <c r="AQ12" i="16"/>
  <c r="AQ17" i="16" s="1"/>
  <c r="L10" i="26"/>
  <c r="L15" i="26" s="1"/>
  <c r="N12" i="25"/>
  <c r="Q10" i="26"/>
  <c r="Q15" i="26" s="1"/>
  <c r="M10" i="26"/>
  <c r="M15" i="26" s="1"/>
  <c r="R10" i="26"/>
  <c r="R15" i="26" s="1"/>
  <c r="Y12" i="25"/>
  <c r="Y17" i="25" s="1"/>
  <c r="AP12" i="25"/>
  <c r="AP17" i="25" s="1"/>
  <c r="P10" i="26"/>
  <c r="P15" i="26" s="1"/>
  <c r="O12" i="25"/>
  <c r="O17" i="25" s="1"/>
  <c r="V12" i="25"/>
  <c r="V17" i="25" s="1"/>
  <c r="W12" i="25"/>
  <c r="W17" i="25" s="1"/>
  <c r="AB12" i="25"/>
  <c r="AB17" i="25" s="1"/>
  <c r="K10" i="26"/>
  <c r="K15" i="26" s="1"/>
  <c r="H12" i="25"/>
  <c r="K12" i="25"/>
  <c r="K17" i="25" s="1"/>
  <c r="AN12" i="25"/>
  <c r="AN17" i="25" s="1"/>
  <c r="AS12" i="25"/>
  <c r="AS17" i="25" s="1"/>
  <c r="L12" i="25"/>
  <c r="L17" i="25" s="1"/>
  <c r="AO12" i="25"/>
  <c r="AO17" i="25" s="1"/>
  <c r="AF12" i="25"/>
  <c r="AF17" i="25" s="1"/>
  <c r="AA12" i="25"/>
  <c r="AA17" i="25" s="1"/>
  <c r="AK12" i="25"/>
  <c r="AK17" i="25" s="1"/>
  <c r="I10" i="26"/>
  <c r="I15" i="26" s="1"/>
  <c r="AG12" i="25"/>
  <c r="AG17" i="25" s="1"/>
  <c r="X12" i="25"/>
  <c r="X17" i="25" s="1"/>
  <c r="AC12" i="25"/>
  <c r="AC17" i="25" s="1"/>
  <c r="AI12" i="25"/>
  <c r="AI17" i="25" s="1"/>
  <c r="R12" i="25"/>
  <c r="R17" i="25" s="1"/>
  <c r="P12" i="25"/>
  <c r="P17" i="25" s="1"/>
  <c r="AT12" i="25"/>
  <c r="U12" i="25"/>
  <c r="U17" i="25" s="1"/>
  <c r="AM12" i="25"/>
  <c r="AM17" i="25" s="1"/>
  <c r="J10" i="26"/>
  <c r="J15" i="26" s="1"/>
  <c r="Q12" i="25"/>
  <c r="Q17" i="25" s="1"/>
  <c r="AH12" i="25"/>
  <c r="AH17" i="25" s="1"/>
  <c r="I12" i="25"/>
  <c r="I17" i="25" s="1"/>
  <c r="AL12" i="25"/>
  <c r="AL17" i="25" s="1"/>
  <c r="M12" i="25"/>
  <c r="M17" i="25" s="1"/>
  <c r="AR12" i="25"/>
  <c r="S12" i="25"/>
  <c r="S17" i="25" s="1"/>
  <c r="AE12" i="25"/>
  <c r="AE17" i="25" s="1"/>
  <c r="AD12" i="25"/>
  <c r="AD17" i="25" s="1"/>
  <c r="AQ12" i="25"/>
  <c r="AQ17" i="25" s="1"/>
  <c r="AJ12" i="25"/>
  <c r="AJ17" i="25" s="1"/>
  <c r="AW12" i="36"/>
  <c r="L12" i="36"/>
  <c r="Z12" i="36"/>
  <c r="Z17" i="36" s="1"/>
  <c r="AL12" i="36"/>
  <c r="AL17" i="36" s="1"/>
  <c r="H12" i="36"/>
  <c r="H17" i="36" s="1"/>
  <c r="O12" i="36"/>
  <c r="O17" i="36" s="1"/>
  <c r="S11" i="14"/>
  <c r="S16" i="14" s="1"/>
  <c r="Q136" i="1" s="1"/>
  <c r="AN12" i="36"/>
  <c r="AN17" i="36" s="1"/>
  <c r="AT12" i="36"/>
  <c r="H12" i="16"/>
  <c r="H17" i="16" s="1"/>
  <c r="R12" i="36"/>
  <c r="R17" i="36" s="1"/>
  <c r="P12" i="36"/>
  <c r="P17" i="36" s="1"/>
  <c r="H12" i="12"/>
  <c r="H17" i="12" s="1"/>
  <c r="AX12" i="36"/>
  <c r="Y12" i="36"/>
  <c r="Y17" i="36" s="1"/>
  <c r="AD12" i="36"/>
  <c r="H10" i="26"/>
  <c r="N12" i="36"/>
  <c r="N17" i="36" s="1"/>
  <c r="AP12" i="36"/>
  <c r="AP17" i="36" s="1"/>
  <c r="AE12" i="36"/>
  <c r="AE17" i="36" s="1"/>
  <c r="AK12" i="36"/>
  <c r="AK17" i="36" s="1"/>
  <c r="AG12" i="36"/>
  <c r="AG17" i="36" s="1"/>
  <c r="Q12" i="36"/>
  <c r="Q17" i="36" s="1"/>
  <c r="S12" i="36"/>
  <c r="S17" i="36" s="1"/>
  <c r="AJ12" i="36"/>
  <c r="AJ17" i="36" s="1"/>
  <c r="AB12" i="36"/>
  <c r="AB17" i="36" s="1"/>
  <c r="J12" i="36"/>
  <c r="J17" i="36" s="1"/>
  <c r="AQ12" i="36"/>
  <c r="AQ17" i="36" s="1"/>
  <c r="AS12" i="36"/>
  <c r="V12" i="36"/>
  <c r="V17" i="36" s="1"/>
  <c r="T12" i="36"/>
  <c r="T17" i="36" s="1"/>
  <c r="AO12" i="36"/>
  <c r="AO17" i="36" s="1"/>
  <c r="AA12" i="36"/>
  <c r="AA17" i="36" s="1"/>
  <c r="AV12" i="36"/>
  <c r="AM12" i="36"/>
  <c r="AM17" i="36" s="1"/>
  <c r="K12" i="36"/>
  <c r="K17" i="36" s="1"/>
  <c r="AC12" i="36"/>
  <c r="AC17" i="36" s="1"/>
  <c r="AF12" i="36"/>
  <c r="AF17" i="36" s="1"/>
  <c r="W12" i="36"/>
  <c r="W17" i="36" s="1"/>
  <c r="AU12" i="36"/>
  <c r="U12" i="36"/>
  <c r="U17" i="36" s="1"/>
  <c r="X12" i="36"/>
  <c r="X17" i="36" s="1"/>
  <c r="M12" i="36"/>
  <c r="M17" i="36" s="1"/>
  <c r="AH12" i="36"/>
  <c r="AH17" i="36" s="1"/>
  <c r="I12" i="36"/>
  <c r="I17" i="36" s="1"/>
  <c r="AI12" i="36"/>
  <c r="AI17" i="36" s="1"/>
  <c r="AR12" i="36"/>
  <c r="O13" i="13"/>
  <c r="AT13" i="13"/>
  <c r="J13" i="13"/>
  <c r="J18" i="13" s="1"/>
  <c r="P13" i="13"/>
  <c r="AF11" i="14"/>
  <c r="AV13" i="13"/>
  <c r="T13" i="13"/>
  <c r="AO13" i="13"/>
  <c r="N13" i="13"/>
  <c r="M13" i="13"/>
  <c r="M15" i="13" s="1"/>
  <c r="K13" i="13"/>
  <c r="K18" i="13" s="1"/>
  <c r="Q13" i="13"/>
  <c r="Q15" i="13" s="1"/>
  <c r="AE13" i="13"/>
  <c r="X11" i="14"/>
  <c r="X16" i="14" s="1"/>
  <c r="V136" i="1" s="1"/>
  <c r="AL13" i="13"/>
  <c r="AL15" i="13" s="1"/>
  <c r="AD13" i="13"/>
  <c r="AB13" i="13"/>
  <c r="X13" i="13"/>
  <c r="V13" i="13"/>
  <c r="V15" i="13" s="1"/>
  <c r="AH11" i="14"/>
  <c r="AH16" i="14" s="1"/>
  <c r="AF136" i="1" s="1"/>
  <c r="AC13" i="13"/>
  <c r="AF13" i="13"/>
  <c r="AX13" i="13"/>
  <c r="AW13" i="13"/>
  <c r="AN13" i="13"/>
  <c r="AS13" i="13"/>
  <c r="AG13" i="13"/>
  <c r="BA13" i="13"/>
  <c r="AZ13" i="13"/>
  <c r="AU13" i="13"/>
  <c r="AU15" i="13" s="1"/>
  <c r="AH13" i="13"/>
  <c r="I13" i="13"/>
  <c r="AI13" i="13"/>
  <c r="AI15" i="13" s="1"/>
  <c r="AM13" i="13"/>
  <c r="AK13" i="13"/>
  <c r="AK15" i="13" s="1"/>
  <c r="AA13" i="13"/>
  <c r="AA15" i="13" s="1"/>
  <c r="Z13" i="13"/>
  <c r="AY13" i="13"/>
  <c r="W13" i="13"/>
  <c r="U13" i="13"/>
  <c r="S13" i="13"/>
  <c r="R13" i="13"/>
  <c r="R15" i="13" s="1"/>
  <c r="AQ13" i="13"/>
  <c r="AQ15" i="13" s="1"/>
  <c r="AG11" i="14"/>
  <c r="AG16" i="14" s="1"/>
  <c r="AE136" i="1" s="1"/>
  <c r="Z11" i="14"/>
  <c r="Z16" i="14" s="1"/>
  <c r="X136" i="1" s="1"/>
  <c r="L13" i="13"/>
  <c r="L15" i="13" s="1"/>
  <c r="AR13" i="13"/>
  <c r="Y13" i="13"/>
  <c r="AJ11" i="13"/>
  <c r="AJ13" i="13" s="1"/>
  <c r="AJ15" i="13" s="1"/>
  <c r="AP11" i="13"/>
  <c r="AP13" i="13" s="1"/>
  <c r="AP15" i="13" s="1"/>
  <c r="AI11" i="14"/>
  <c r="AI16" i="14" s="1"/>
  <c r="AG136" i="1" s="1"/>
  <c r="T11" i="14"/>
  <c r="T16" i="14" s="1"/>
  <c r="R136" i="1" s="1"/>
  <c r="W11" i="14"/>
  <c r="W16" i="14" s="1"/>
  <c r="U136" i="1" s="1"/>
  <c r="AK11" i="14"/>
  <c r="Y11" i="14"/>
  <c r="Y16" i="14" s="1"/>
  <c r="W136" i="1" s="1"/>
  <c r="AV11" i="14"/>
  <c r="AV16" i="14" s="1"/>
  <c r="AJ11" i="14"/>
  <c r="AJ16" i="14" s="1"/>
  <c r="AH136" i="1" s="1"/>
  <c r="AN11" i="14"/>
  <c r="AN16" i="14" s="1"/>
  <c r="AL136" i="1" s="1"/>
  <c r="V11" i="14"/>
  <c r="V16" i="14" s="1"/>
  <c r="T136" i="1" s="1"/>
  <c r="AE11" i="14"/>
  <c r="AE16" i="14" s="1"/>
  <c r="AC136" i="1" s="1"/>
  <c r="AB11" i="14"/>
  <c r="AB16" i="14" s="1"/>
  <c r="Z136" i="1" s="1"/>
  <c r="AP11" i="14"/>
  <c r="AR11" i="14"/>
  <c r="AS11" i="14"/>
  <c r="AT11" i="14"/>
  <c r="AQ11" i="14"/>
  <c r="AL11" i="14"/>
  <c r="AC11" i="14"/>
  <c r="AC16" i="14" s="1"/>
  <c r="AA136" i="1" s="1"/>
  <c r="AU11" i="14"/>
  <c r="AU16" i="14" s="1"/>
  <c r="AA11" i="14"/>
  <c r="AA16" i="14" s="1"/>
  <c r="Y136" i="1" s="1"/>
  <c r="AD11" i="14"/>
  <c r="AD16" i="14" s="1"/>
  <c r="AB136" i="1" s="1"/>
  <c r="U11" i="14"/>
  <c r="U16" i="14" s="1"/>
  <c r="S136" i="1" s="1"/>
  <c r="AM11" i="14"/>
  <c r="AM16" i="14" s="1"/>
  <c r="AK136" i="1" s="1"/>
  <c r="AO11" i="14"/>
  <c r="AO16" i="14" s="1"/>
  <c r="AM136" i="1" s="1"/>
  <c r="H11" i="20"/>
  <c r="H16" i="20" s="1"/>
  <c r="H14" i="17"/>
  <c r="H21" i="17" s="1"/>
  <c r="CD30" i="22" l="1"/>
  <c r="DR4" i="2"/>
  <c r="DR8" i="2" s="1"/>
  <c r="FH12" i="22"/>
  <c r="CD85" i="22"/>
  <c r="CD42" i="22"/>
  <c r="CD8" i="22"/>
  <c r="CD5" i="22"/>
  <c r="CD24" i="22"/>
  <c r="CC120" i="22"/>
  <c r="CD120" i="22"/>
  <c r="DP136" i="1"/>
  <c r="FH4" i="22"/>
  <c r="DR5" i="34"/>
  <c r="DR9" i="34" s="1"/>
  <c r="DR11" i="34" s="1"/>
  <c r="DR16" i="34" s="1"/>
  <c r="FH22" i="22" s="1"/>
  <c r="FH23" i="22"/>
  <c r="CD50" i="22"/>
  <c r="CD10" i="22"/>
  <c r="CD47" i="22"/>
  <c r="CD90" i="22"/>
  <c r="CD34" i="22"/>
  <c r="CD19" i="22"/>
  <c r="CD17" i="22"/>
  <c r="DR6" i="41"/>
  <c r="DR9" i="41" s="1"/>
  <c r="DR11" i="41" s="1"/>
  <c r="DR16" i="41" s="1"/>
  <c r="FH35" i="22" s="1"/>
  <c r="FH14" i="22"/>
  <c r="CD26" i="22"/>
  <c r="CD16" i="22"/>
  <c r="CD20" i="22"/>
  <c r="CD78" i="22"/>
  <c r="CC93" i="22"/>
  <c r="CC81" i="22"/>
  <c r="CC33" i="22"/>
  <c r="CC5" i="22"/>
  <c r="CC26" i="22"/>
  <c r="CC47" i="22"/>
  <c r="CC17" i="22"/>
  <c r="CC119" i="22"/>
  <c r="CC45" i="22"/>
  <c r="CC15" i="22"/>
  <c r="CC6" i="22"/>
  <c r="CC11" i="22"/>
  <c r="CC78" i="22"/>
  <c r="CC30" i="22"/>
  <c r="BB14" i="25"/>
  <c r="BB17" i="25"/>
  <c r="DO136" i="1"/>
  <c r="FG4" i="22"/>
  <c r="CD4" i="22" s="1"/>
  <c r="CX17" i="25"/>
  <c r="EN7" i="22" s="1"/>
  <c r="CV17" i="25"/>
  <c r="EL7" i="22" s="1"/>
  <c r="DD17" i="25"/>
  <c r="ET7" i="22" s="1"/>
  <c r="CS17" i="25"/>
  <c r="EI7" i="22" s="1"/>
  <c r="CC87" i="22"/>
  <c r="CC34" i="22"/>
  <c r="DB17" i="25"/>
  <c r="ER7" i="22" s="1"/>
  <c r="DQ5" i="34"/>
  <c r="DQ9" i="34" s="1"/>
  <c r="DQ11" i="34" s="1"/>
  <c r="DQ16" i="34" s="1"/>
  <c r="FG22" i="22" s="1"/>
  <c r="CD22" i="22" s="1"/>
  <c r="FG23" i="22"/>
  <c r="CD23" i="22" s="1"/>
  <c r="DF17" i="25"/>
  <c r="EV7" i="22" s="1"/>
  <c r="CC16" i="22"/>
  <c r="DA17" i="25"/>
  <c r="EQ7" i="22" s="1"/>
  <c r="DQ4" i="2"/>
  <c r="DQ8" i="2" s="1"/>
  <c r="DQ11" i="2" s="1"/>
  <c r="DQ16" i="2" s="1"/>
  <c r="FG13" i="22" s="1"/>
  <c r="FG12" i="22"/>
  <c r="CD12" i="22" s="1"/>
  <c r="CY17" i="25"/>
  <c r="EO7" i="22" s="1"/>
  <c r="DQ6" i="41"/>
  <c r="DQ9" i="41" s="1"/>
  <c r="DQ11" i="41" s="1"/>
  <c r="DQ16" i="41" s="1"/>
  <c r="FG35" i="22" s="1"/>
  <c r="CD35" i="22" s="1"/>
  <c r="FG14" i="22"/>
  <c r="AW14" i="25"/>
  <c r="AW17" i="25"/>
  <c r="BJ14" i="25"/>
  <c r="BJ17" i="25"/>
  <c r="CW17" i="25"/>
  <c r="EM7" i="22" s="1"/>
  <c r="CC43" i="22"/>
  <c r="CC100" i="22"/>
  <c r="CC118" i="22"/>
  <c r="CC8" i="22"/>
  <c r="CC90" i="22"/>
  <c r="CC50" i="22"/>
  <c r="DC17" i="25"/>
  <c r="ES7" i="22" s="1"/>
  <c r="CC40" i="22"/>
  <c r="DE17" i="25"/>
  <c r="EU7" i="22" s="1"/>
  <c r="CC24" i="22"/>
  <c r="DO18" i="18"/>
  <c r="FE15" i="22" s="1"/>
  <c r="CC66" i="22"/>
  <c r="CC85" i="22"/>
  <c r="BX84" i="22"/>
  <c r="AR18" i="83"/>
  <c r="I18" i="83" s="1"/>
  <c r="AS36" i="83"/>
  <c r="I36" i="83" s="1"/>
  <c r="CA16" i="22"/>
  <c r="BZ85" i="22"/>
  <c r="BT36" i="22"/>
  <c r="BM86" i="22"/>
  <c r="BH27" i="22"/>
  <c r="BY27" i="22"/>
  <c r="CB43" i="22"/>
  <c r="BX36" i="22"/>
  <c r="CB45" i="22"/>
  <c r="BN27" i="22"/>
  <c r="BM36" i="83"/>
  <c r="AC36" i="83" s="1"/>
  <c r="BL41" i="22"/>
  <c r="BW40" i="22"/>
  <c r="CB85" i="22"/>
  <c r="BU86" i="22"/>
  <c r="BX107" i="22"/>
  <c r="BJ86" i="22"/>
  <c r="BW107" i="22"/>
  <c r="CB6" i="22"/>
  <c r="BK18" i="22"/>
  <c r="BT86" i="22"/>
  <c r="BJ18" i="22"/>
  <c r="CB118" i="22"/>
  <c r="BY86" i="22"/>
  <c r="BO107" i="22"/>
  <c r="BR107" i="22"/>
  <c r="BW18" i="22"/>
  <c r="BX88" i="22"/>
  <c r="CB107" i="22"/>
  <c r="BR18" i="22"/>
  <c r="BT88" i="22"/>
  <c r="BP86" i="22"/>
  <c r="BC107" i="22"/>
  <c r="CB17" i="22"/>
  <c r="CB78" i="22"/>
  <c r="BU107" i="22"/>
  <c r="BT27" i="22"/>
  <c r="BV18" i="22"/>
  <c r="BR86" i="22"/>
  <c r="CA18" i="22"/>
  <c r="BG107" i="22"/>
  <c r="BO86" i="22"/>
  <c r="BL107" i="22"/>
  <c r="CA33" i="22"/>
  <c r="BI18" i="22"/>
  <c r="BJ107" i="22"/>
  <c r="CB18" i="22"/>
  <c r="BI86" i="22"/>
  <c r="CB34" i="22"/>
  <c r="CB30" i="22"/>
  <c r="BX86" i="22"/>
  <c r="BN86" i="22"/>
  <c r="BK107" i="22"/>
  <c r="BD107" i="22"/>
  <c r="BQ86" i="22"/>
  <c r="BY18" i="22"/>
  <c r="BF107" i="22"/>
  <c r="BO18" i="22"/>
  <c r="CB40" i="22"/>
  <c r="BU18" i="22"/>
  <c r="BH107" i="22"/>
  <c r="CB86" i="22"/>
  <c r="CA107" i="22"/>
  <c r="BV107" i="22"/>
  <c r="BZ107" i="22"/>
  <c r="BY107" i="22"/>
  <c r="BK86" i="22"/>
  <c r="BL86" i="22"/>
  <c r="BN107" i="22"/>
  <c r="BM107" i="22"/>
  <c r="BE107" i="22"/>
  <c r="BQ18" i="22"/>
  <c r="BP18" i="22"/>
  <c r="BT18" i="22"/>
  <c r="BZ18" i="22"/>
  <c r="CA86" i="22"/>
  <c r="BZ86" i="22"/>
  <c r="BM18" i="22"/>
  <c r="BL18" i="22"/>
  <c r="BB107" i="22"/>
  <c r="BA107" i="22"/>
  <c r="CG107" i="22"/>
  <c r="BP107" i="22"/>
  <c r="BQ107" i="22"/>
  <c r="BS107" i="22"/>
  <c r="BT107" i="22"/>
  <c r="BN18" i="22"/>
  <c r="BW86" i="22"/>
  <c r="BV86" i="22"/>
  <c r="BV15" i="27"/>
  <c r="BV18" i="27"/>
  <c r="DL19" i="22" s="1"/>
  <c r="FC7" i="22"/>
  <c r="CT18" i="27"/>
  <c r="EJ19" i="22" s="1"/>
  <c r="BV17" i="16"/>
  <c r="DL40" i="22" s="1"/>
  <c r="BV14" i="16"/>
  <c r="BZ21" i="17"/>
  <c r="DP10" i="22" s="1"/>
  <c r="BZ18" i="17"/>
  <c r="T18" i="27"/>
  <c r="T15" i="27"/>
  <c r="CM17" i="76"/>
  <c r="EB81" i="22" s="1"/>
  <c r="CM14" i="76"/>
  <c r="CR17" i="76"/>
  <c r="EG81" i="22" s="1"/>
  <c r="CR14" i="76"/>
  <c r="DD19" i="54"/>
  <c r="ES42" i="22" s="1"/>
  <c r="DD16" i="54"/>
  <c r="DE16" i="28"/>
  <c r="EU39" i="22" s="1"/>
  <c r="DK17" i="31"/>
  <c r="FA21" i="22" s="1"/>
  <c r="CV21" i="29"/>
  <c r="EL20" i="22" s="1"/>
  <c r="DC15" i="26"/>
  <c r="ES8" i="22" s="1"/>
  <c r="BP8" i="22" s="1"/>
  <c r="DC12" i="26"/>
  <c r="DG21" i="29"/>
  <c r="EW20" i="22" s="1"/>
  <c r="CY16" i="20"/>
  <c r="EO16" i="22" s="1"/>
  <c r="BL16" i="22" s="1"/>
  <c r="CY13" i="20"/>
  <c r="EZ7" i="22"/>
  <c r="DE15" i="44"/>
  <c r="ET25" i="22" s="1"/>
  <c r="DM21" i="29"/>
  <c r="FC20" i="22" s="1"/>
  <c r="DC15" i="44"/>
  <c r="ER25" i="22" s="1"/>
  <c r="DI18" i="27"/>
  <c r="EY19" i="22" s="1"/>
  <c r="DP15" i="44"/>
  <c r="FE25" i="22" s="1"/>
  <c r="DL16" i="28"/>
  <c r="FB39" i="22" s="1"/>
  <c r="CY21" i="17"/>
  <c r="EO10" i="22" s="1"/>
  <c r="BK10" i="22" s="1"/>
  <c r="CY18" i="17"/>
  <c r="DM18" i="27"/>
  <c r="FC19" i="22" s="1"/>
  <c r="DQ19" i="54"/>
  <c r="FF42" i="22" s="1"/>
  <c r="CC42" i="22" s="1"/>
  <c r="DN18" i="27"/>
  <c r="FD19" i="22" s="1"/>
  <c r="DR7" i="51"/>
  <c r="DR11" i="51" s="1"/>
  <c r="DR13" i="51" s="1"/>
  <c r="DR18" i="51" s="1"/>
  <c r="FG29" i="22" s="1"/>
  <c r="DR18" i="50"/>
  <c r="DO16" i="28"/>
  <c r="FE39" i="22" s="1"/>
  <c r="CX18" i="27"/>
  <c r="EN19" i="22" s="1"/>
  <c r="FF7" i="22"/>
  <c r="CC7" i="22" s="1"/>
  <c r="N7" i="51"/>
  <c r="N11" i="51" s="1"/>
  <c r="N13" i="51" s="1"/>
  <c r="N18" i="50"/>
  <c r="S7" i="51"/>
  <c r="S11" i="51" s="1"/>
  <c r="S13" i="51" s="1"/>
  <c r="S18" i="51" s="1"/>
  <c r="S18" i="50"/>
  <c r="Y7" i="51"/>
  <c r="Y11" i="51" s="1"/>
  <c r="Y13" i="51" s="1"/>
  <c r="Y18" i="51" s="1"/>
  <c r="Y18" i="50"/>
  <c r="AA7" i="51"/>
  <c r="AA11" i="51" s="1"/>
  <c r="AA13" i="51" s="1"/>
  <c r="AA18" i="51" s="1"/>
  <c r="AA18" i="50"/>
  <c r="W7" i="51"/>
  <c r="W11" i="51" s="1"/>
  <c r="W13" i="51" s="1"/>
  <c r="W18" i="51" s="1"/>
  <c r="W18" i="50"/>
  <c r="AL7" i="51"/>
  <c r="AL11" i="51" s="1"/>
  <c r="AL13" i="51" s="1"/>
  <c r="AL18" i="51" s="1"/>
  <c r="AL18" i="50"/>
  <c r="AH7" i="51"/>
  <c r="AH11" i="51" s="1"/>
  <c r="AH13" i="51" s="1"/>
  <c r="AH18" i="51" s="1"/>
  <c r="AH18" i="50"/>
  <c r="CG7" i="51"/>
  <c r="CG11" i="51" s="1"/>
  <c r="CG13" i="51" s="1"/>
  <c r="CG18" i="51" s="1"/>
  <c r="DV29" i="22" s="1"/>
  <c r="CG18" i="50"/>
  <c r="BJ7" i="51"/>
  <c r="BJ11" i="51" s="1"/>
  <c r="BJ13" i="51" s="1"/>
  <c r="BJ18" i="51" s="1"/>
  <c r="BD29" i="83" s="1"/>
  <c r="BJ18" i="50"/>
  <c r="BF7" i="51"/>
  <c r="BF11" i="51" s="1"/>
  <c r="BF13" i="51" s="1"/>
  <c r="BF18" i="51" s="1"/>
  <c r="BF18" i="50"/>
  <c r="AL13" i="28"/>
  <c r="AL16" i="28"/>
  <c r="BZ15" i="27"/>
  <c r="BZ18" i="27"/>
  <c r="DP19" i="22" s="1"/>
  <c r="DI16" i="28"/>
  <c r="EY39" i="22" s="1"/>
  <c r="DD21" i="29"/>
  <c r="ET20" i="22" s="1"/>
  <c r="DD18" i="29"/>
  <c r="FE7" i="22"/>
  <c r="DN19" i="55"/>
  <c r="FC31" i="22" s="1"/>
  <c r="CD21" i="17"/>
  <c r="DT10" i="22" s="1"/>
  <c r="CD18" i="17"/>
  <c r="BF21" i="17"/>
  <c r="CV10" i="22" s="1"/>
  <c r="BF18" i="17"/>
  <c r="AP15" i="44"/>
  <c r="AP12" i="44"/>
  <c r="BR16" i="23"/>
  <c r="DH17" i="22" s="1"/>
  <c r="BR13" i="23"/>
  <c r="BW16" i="54"/>
  <c r="BW19" i="54"/>
  <c r="DL42" i="22" s="1"/>
  <c r="AE15" i="27"/>
  <c r="AE18" i="27"/>
  <c r="Z18" i="27"/>
  <c r="Z15" i="27"/>
  <c r="CA47" i="22"/>
  <c r="DE19" i="54"/>
  <c r="ET42" i="22" s="1"/>
  <c r="DK18" i="27"/>
  <c r="FA19" i="22" s="1"/>
  <c r="DB19" i="55"/>
  <c r="EQ31" i="22" s="1"/>
  <c r="DG19" i="54"/>
  <c r="EV42" i="22" s="1"/>
  <c r="CX19" i="54"/>
  <c r="EM42" i="22" s="1"/>
  <c r="CX15" i="44"/>
  <c r="EM25" i="22" s="1"/>
  <c r="DN19" i="54"/>
  <c r="FC42" i="22" s="1"/>
  <c r="DP21" i="29"/>
  <c r="FF20" i="22" s="1"/>
  <c r="CC20" i="22" s="1"/>
  <c r="DM19" i="55"/>
  <c r="FB31" i="22" s="1"/>
  <c r="DH17" i="31"/>
  <c r="EX21" i="22" s="1"/>
  <c r="CW15" i="44"/>
  <c r="EL25" i="22" s="1"/>
  <c r="DD18" i="27"/>
  <c r="ET19" i="22" s="1"/>
  <c r="CB87" i="22"/>
  <c r="DP17" i="31"/>
  <c r="FF21" i="22" s="1"/>
  <c r="CC21" i="22" s="1"/>
  <c r="DJ19" i="55"/>
  <c r="EY31" i="22" s="1"/>
  <c r="DL18" i="27"/>
  <c r="FB19" i="22" s="1"/>
  <c r="DP21" i="17"/>
  <c r="FF10" i="22" s="1"/>
  <c r="CB10" i="22" s="1"/>
  <c r="DP18" i="17"/>
  <c r="DL7" i="51"/>
  <c r="DL11" i="51" s="1"/>
  <c r="DL13" i="51" s="1"/>
  <c r="DL18" i="50"/>
  <c r="FA7" i="22"/>
  <c r="CB16" i="22"/>
  <c r="DM19" i="54"/>
  <c r="FB42" i="22" s="1"/>
  <c r="DZ7" i="51"/>
  <c r="DZ11" i="51" s="1"/>
  <c r="DZ13" i="51" s="1"/>
  <c r="DZ18" i="51" s="1"/>
  <c r="DZ18" i="50"/>
  <c r="DG19" i="55"/>
  <c r="EV31" i="22" s="1"/>
  <c r="DK19" i="54"/>
  <c r="EZ42" i="22" s="1"/>
  <c r="BS86" i="22"/>
  <c r="AO7" i="51"/>
  <c r="AO11" i="51" s="1"/>
  <c r="AO13" i="51" s="1"/>
  <c r="AO18" i="51" s="1"/>
  <c r="AO18" i="50"/>
  <c r="AG7" i="51"/>
  <c r="AG11" i="51" s="1"/>
  <c r="AG13" i="51" s="1"/>
  <c r="AG18" i="51" s="1"/>
  <c r="AG18" i="50"/>
  <c r="AI7" i="51"/>
  <c r="AI11" i="51" s="1"/>
  <c r="AI13" i="51" s="1"/>
  <c r="AI18" i="51" s="1"/>
  <c r="AI18" i="50"/>
  <c r="AY7" i="51"/>
  <c r="AY11" i="51" s="1"/>
  <c r="AY13" i="51" s="1"/>
  <c r="AY18" i="51" s="1"/>
  <c r="AY18" i="50"/>
  <c r="CD7" i="51"/>
  <c r="CD11" i="51" s="1"/>
  <c r="CD13" i="51" s="1"/>
  <c r="CD18" i="51" s="1"/>
  <c r="DS29" i="22" s="1"/>
  <c r="CD18" i="50"/>
  <c r="DK24" i="116"/>
  <c r="EZ118" i="22" s="1"/>
  <c r="BV118" i="22" s="1"/>
  <c r="DK21" i="116"/>
  <c r="AH13" i="28"/>
  <c r="AH16" i="28"/>
  <c r="BO19" i="55"/>
  <c r="DD31" i="22" s="1"/>
  <c r="BO16" i="55"/>
  <c r="BW19" i="55"/>
  <c r="DL31" i="22" s="1"/>
  <c r="BW16" i="55"/>
  <c r="AR15" i="27"/>
  <c r="AR18" i="27"/>
  <c r="AH18" i="27"/>
  <c r="AH15" i="27"/>
  <c r="CV16" i="55"/>
  <c r="CV19" i="55"/>
  <c r="EK31" i="22" s="1"/>
  <c r="DA16" i="55"/>
  <c r="DA19" i="55"/>
  <c r="EP31" i="22" s="1"/>
  <c r="AW19" i="54"/>
  <c r="AQ42" i="83" s="1"/>
  <c r="AW16" i="54"/>
  <c r="H11" i="24"/>
  <c r="H14" i="24"/>
  <c r="BB16" i="20"/>
  <c r="CR16" i="22" s="1"/>
  <c r="BB13" i="20"/>
  <c r="AO15" i="44"/>
  <c r="AO12" i="44"/>
  <c r="BQ17" i="16"/>
  <c r="DG40" i="22" s="1"/>
  <c r="BQ14" i="16"/>
  <c r="BV16" i="54"/>
  <c r="BV19" i="54"/>
  <c r="DK42" i="22" s="1"/>
  <c r="CL21" i="17"/>
  <c r="EB10" i="22" s="1"/>
  <c r="CL18" i="17"/>
  <c r="BN18" i="27"/>
  <c r="DD19" i="22" s="1"/>
  <c r="BN15" i="27"/>
  <c r="CI19" i="54"/>
  <c r="DX42" i="22" s="1"/>
  <c r="CI16" i="54"/>
  <c r="CY17" i="79"/>
  <c r="EN93" i="22" s="1"/>
  <c r="CQ17" i="16"/>
  <c r="EG40" i="22" s="1"/>
  <c r="CQ14" i="16"/>
  <c r="CZ19" i="54"/>
  <c r="EO42" i="22" s="1"/>
  <c r="DH16" i="54"/>
  <c r="DH19" i="54"/>
  <c r="EW42" i="22" s="1"/>
  <c r="DF12" i="44"/>
  <c r="DF15" i="44"/>
  <c r="EU25" i="22" s="1"/>
  <c r="DK15" i="44"/>
  <c r="EZ25" i="22" s="1"/>
  <c r="DI17" i="31"/>
  <c r="EY21" i="22" s="1"/>
  <c r="DJ17" i="31"/>
  <c r="EZ21" i="22" s="1"/>
  <c r="CZ19" i="55"/>
  <c r="EO31" i="22" s="1"/>
  <c r="DI21" i="29"/>
  <c r="EY20" i="22" s="1"/>
  <c r="CU15" i="27"/>
  <c r="CU18" i="27"/>
  <c r="EK19" i="22" s="1"/>
  <c r="CW16" i="28"/>
  <c r="EM39" i="22" s="1"/>
  <c r="CY17" i="31"/>
  <c r="EO21" i="22" s="1"/>
  <c r="DE17" i="31"/>
  <c r="EU21" i="22" s="1"/>
  <c r="DP18" i="27"/>
  <c r="FF19" i="22" s="1"/>
  <c r="CC19" i="22" s="1"/>
  <c r="CX21" i="29"/>
  <c r="EN20" i="22" s="1"/>
  <c r="DL17" i="31"/>
  <c r="FB21" i="22" s="1"/>
  <c r="CU17" i="16"/>
  <c r="EK40" i="22" s="1"/>
  <c r="BH40" i="22" s="1"/>
  <c r="CU14" i="16"/>
  <c r="CV18" i="52"/>
  <c r="EK33" i="22" s="1"/>
  <c r="BH33" i="22" s="1"/>
  <c r="CV15" i="52"/>
  <c r="DN15" i="44"/>
  <c r="FC25" i="22" s="1"/>
  <c r="DH15" i="44"/>
  <c r="EW25" i="22" s="1"/>
  <c r="DA16" i="28"/>
  <c r="EQ39" i="22" s="1"/>
  <c r="CY15" i="44"/>
  <c r="EN25" i="22" s="1"/>
  <c r="DE21" i="29"/>
  <c r="EU20" i="22" s="1"/>
  <c r="DH19" i="55"/>
  <c r="EW31" i="22" s="1"/>
  <c r="BH86" i="22"/>
  <c r="DL19" i="55"/>
  <c r="FA31" i="22" s="1"/>
  <c r="DB15" i="44"/>
  <c r="EQ25" i="22" s="1"/>
  <c r="L7" i="51"/>
  <c r="L11" i="51" s="1"/>
  <c r="L13" i="51" s="1"/>
  <c r="L18" i="51" s="1"/>
  <c r="L18" i="50"/>
  <c r="K7" i="51"/>
  <c r="K11" i="51" s="1"/>
  <c r="K13" i="51" s="1"/>
  <c r="K18" i="51" s="1"/>
  <c r="K18" i="50"/>
  <c r="V7" i="51"/>
  <c r="V11" i="51" s="1"/>
  <c r="V13" i="51" s="1"/>
  <c r="V18" i="51" s="1"/>
  <c r="V18" i="50"/>
  <c r="U7" i="51"/>
  <c r="U11" i="51" s="1"/>
  <c r="U13" i="51" s="1"/>
  <c r="U18" i="51" s="1"/>
  <c r="U18" i="50"/>
  <c r="AF7" i="51"/>
  <c r="AF11" i="51" s="1"/>
  <c r="AF13" i="51" s="1"/>
  <c r="AF18" i="51" s="1"/>
  <c r="AF18" i="50"/>
  <c r="AQ7" i="51"/>
  <c r="AQ11" i="51" s="1"/>
  <c r="AQ13" i="51" s="1"/>
  <c r="AQ18" i="51" s="1"/>
  <c r="AQ18" i="50"/>
  <c r="CN7" i="51"/>
  <c r="CN11" i="51" s="1"/>
  <c r="CN13" i="51" s="1"/>
  <c r="CN18" i="51" s="1"/>
  <c r="EC29" i="22" s="1"/>
  <c r="CN18" i="50"/>
  <c r="BQ7" i="51"/>
  <c r="BQ11" i="51" s="1"/>
  <c r="BQ13" i="51" s="1"/>
  <c r="BQ18" i="51" s="1"/>
  <c r="DF29" i="22" s="1"/>
  <c r="BQ18" i="50"/>
  <c r="CZ7" i="51"/>
  <c r="CZ11" i="51" s="1"/>
  <c r="CZ13" i="51" s="1"/>
  <c r="CZ18" i="50"/>
  <c r="BX18" i="22"/>
  <c r="BK19" i="55"/>
  <c r="BE31" i="83" s="1"/>
  <c r="BK16" i="55"/>
  <c r="AR12" i="44"/>
  <c r="AR15" i="44"/>
  <c r="BR15" i="27"/>
  <c r="BR18" i="27"/>
  <c r="DH19" i="22" s="1"/>
  <c r="AB13" i="28"/>
  <c r="AB16" i="28"/>
  <c r="BB13" i="28"/>
  <c r="BB16" i="28"/>
  <c r="CR39" i="22" s="1"/>
  <c r="W13" i="28"/>
  <c r="W16" i="28"/>
  <c r="BK18" i="52"/>
  <c r="BE33" i="83" s="1"/>
  <c r="BK15" i="52"/>
  <c r="BJ17" i="16"/>
  <c r="CZ40" i="22" s="1"/>
  <c r="BJ14" i="16"/>
  <c r="BH15" i="44"/>
  <c r="CW25" i="22" s="1"/>
  <c r="BH12" i="44"/>
  <c r="BO18" i="52"/>
  <c r="DD33" i="22" s="1"/>
  <c r="BO15" i="52"/>
  <c r="BY16" i="20"/>
  <c r="DO16" i="22" s="1"/>
  <c r="BY13" i="20"/>
  <c r="CE16" i="23"/>
  <c r="DU17" i="22" s="1"/>
  <c r="CE13" i="23"/>
  <c r="AJ18" i="27"/>
  <c r="AJ15" i="27"/>
  <c r="AB15" i="27"/>
  <c r="AB18" i="27"/>
  <c r="CB66" i="22"/>
  <c r="DI19" i="55"/>
  <c r="EX31" i="22" s="1"/>
  <c r="DA19" i="54"/>
  <c r="EP42" i="22" s="1"/>
  <c r="DF19" i="55"/>
  <c r="EU31" i="22" s="1"/>
  <c r="DI15" i="44"/>
  <c r="EX25" i="22" s="1"/>
  <c r="DA21" i="29"/>
  <c r="EQ20" i="22" s="1"/>
  <c r="DF17" i="31"/>
  <c r="EV21" i="22" s="1"/>
  <c r="DC18" i="27"/>
  <c r="ES19" i="22" s="1"/>
  <c r="DH18" i="27"/>
  <c r="EX19" i="22" s="1"/>
  <c r="EY7" i="22"/>
  <c r="CY15" i="26"/>
  <c r="EO8" i="22" s="1"/>
  <c r="BK8" i="22" s="1"/>
  <c r="CY12" i="26"/>
  <c r="CZ16" i="28"/>
  <c r="EP39" i="22" s="1"/>
  <c r="CW17" i="31"/>
  <c r="EM21" i="22" s="1"/>
  <c r="DP19" i="55"/>
  <c r="FE31" i="22" s="1"/>
  <c r="DC16" i="23"/>
  <c r="ES17" i="22" s="1"/>
  <c r="BP17" i="22" s="1"/>
  <c r="DC13" i="23"/>
  <c r="DJ19" i="54"/>
  <c r="EY42" i="22" s="1"/>
  <c r="CY18" i="27"/>
  <c r="EO19" i="22" s="1"/>
  <c r="CZ17" i="5"/>
  <c r="EP11" i="22" s="1"/>
  <c r="BM11" i="22" s="1"/>
  <c r="CZ15" i="5"/>
  <c r="DK21" i="29"/>
  <c r="FA20" i="22" s="1"/>
  <c r="DH16" i="28"/>
  <c r="EX39" i="22" s="1"/>
  <c r="CZ12" i="44"/>
  <c r="CZ15" i="44"/>
  <c r="EO25" i="22" s="1"/>
  <c r="CX16" i="28"/>
  <c r="EN39" i="22" s="1"/>
  <c r="CW21" i="29"/>
  <c r="EM20" i="22" s="1"/>
  <c r="DO19" i="54"/>
  <c r="FD42" i="22" s="1"/>
  <c r="EB7" i="51"/>
  <c r="EB11" i="51" s="1"/>
  <c r="EB13" i="51" s="1"/>
  <c r="EB18" i="51" s="1"/>
  <c r="EB18" i="50"/>
  <c r="CW18" i="27"/>
  <c r="EM19" i="22" s="1"/>
  <c r="DM17" i="76"/>
  <c r="FB81" i="22" s="1"/>
  <c r="BY81" i="22" s="1"/>
  <c r="DM14" i="76"/>
  <c r="DU7" i="51"/>
  <c r="DU11" i="51" s="1"/>
  <c r="DU13" i="51" s="1"/>
  <c r="DU18" i="51" s="1"/>
  <c r="DU18" i="50"/>
  <c r="AN7" i="51"/>
  <c r="AN11" i="51" s="1"/>
  <c r="AN13" i="51" s="1"/>
  <c r="AN18" i="51" s="1"/>
  <c r="AN18" i="50"/>
  <c r="BG7" i="51"/>
  <c r="BG11" i="51" s="1"/>
  <c r="BG13" i="51" s="1"/>
  <c r="BG18" i="51" s="1"/>
  <c r="BG18" i="50"/>
  <c r="CE7" i="51"/>
  <c r="CE11" i="51" s="1"/>
  <c r="CE13" i="51" s="1"/>
  <c r="CE18" i="51" s="1"/>
  <c r="DT29" i="22" s="1"/>
  <c r="CE18" i="50"/>
  <c r="U18" i="27"/>
  <c r="U15" i="27"/>
  <c r="CY17" i="16"/>
  <c r="EO40" i="22" s="1"/>
  <c r="BL40" i="22" s="1"/>
  <c r="CY14" i="16"/>
  <c r="DG21" i="17"/>
  <c r="EW10" i="22" s="1"/>
  <c r="BT10" i="22" s="1"/>
  <c r="DG18" i="17"/>
  <c r="DE18" i="27"/>
  <c r="EU19" i="22" s="1"/>
  <c r="CV19" i="54"/>
  <c r="EK42" i="22" s="1"/>
  <c r="CV16" i="54"/>
  <c r="DO19" i="55"/>
  <c r="FD31" i="22" s="1"/>
  <c r="BC19" i="55"/>
  <c r="CR31" i="22" s="1"/>
  <c r="BC16" i="55"/>
  <c r="AW19" i="55"/>
  <c r="CL31" i="22" s="1"/>
  <c r="AW16" i="55"/>
  <c r="BS18" i="52"/>
  <c r="BM33" i="83" s="1"/>
  <c r="BS15" i="52"/>
  <c r="AA13" i="28"/>
  <c r="AA16" i="28"/>
  <c r="BB21" i="17"/>
  <c r="CR10" i="22" s="1"/>
  <c r="BB18" i="17"/>
  <c r="X13" i="28"/>
  <c r="X16" i="28"/>
  <c r="AY16" i="55"/>
  <c r="AY19" i="55"/>
  <c r="CN31" i="22" s="1"/>
  <c r="BS17" i="76"/>
  <c r="DH81" i="22" s="1"/>
  <c r="BS14" i="76"/>
  <c r="BR17" i="16"/>
  <c r="DH40" i="22" s="1"/>
  <c r="BR14" i="16"/>
  <c r="S18" i="27"/>
  <c r="S15" i="27"/>
  <c r="BB15" i="27"/>
  <c r="BB18" i="27"/>
  <c r="CR19" i="22" s="1"/>
  <c r="CV16" i="28"/>
  <c r="EL39" i="22" s="1"/>
  <c r="DC19" i="55"/>
  <c r="ER31" i="22" s="1"/>
  <c r="DM17" i="31"/>
  <c r="FC21" i="22" s="1"/>
  <c r="DE19" i="55"/>
  <c r="ET31" i="22" s="1"/>
  <c r="DO15" i="44"/>
  <c r="FD25" i="22" s="1"/>
  <c r="DA17" i="31"/>
  <c r="EQ21" i="22" s="1"/>
  <c r="FB7" i="22"/>
  <c r="CX19" i="55"/>
  <c r="EM31" i="22" s="1"/>
  <c r="DP16" i="28"/>
  <c r="FF39" i="22" s="1"/>
  <c r="CC39" i="22" s="1"/>
  <c r="DM16" i="28"/>
  <c r="FC39" i="22" s="1"/>
  <c r="DH21" i="29"/>
  <c r="EX20" i="22" s="1"/>
  <c r="CX17" i="31"/>
  <c r="EN21" i="22" s="1"/>
  <c r="CZ18" i="27"/>
  <c r="EP19" i="22" s="1"/>
  <c r="DA15" i="44"/>
  <c r="EP25" i="22" s="1"/>
  <c r="DL15" i="44"/>
  <c r="FA25" i="22" s="1"/>
  <c r="DF18" i="27"/>
  <c r="EV19" i="22" s="1"/>
  <c r="DC21" i="17"/>
  <c r="ES10" i="22" s="1"/>
  <c r="BO10" i="22" s="1"/>
  <c r="DC18" i="17"/>
  <c r="CY16" i="28"/>
  <c r="EO39" i="22" s="1"/>
  <c r="DF16" i="28"/>
  <c r="EV39" i="22" s="1"/>
  <c r="CZ18" i="52"/>
  <c r="EO33" i="22" s="1"/>
  <c r="BK33" i="22" s="1"/>
  <c r="CZ15" i="52"/>
  <c r="CY19" i="54"/>
  <c r="EN42" i="22" s="1"/>
  <c r="CB11" i="22"/>
  <c r="BS84" i="22"/>
  <c r="Q7" i="51"/>
  <c r="Q11" i="51" s="1"/>
  <c r="Q13" i="51" s="1"/>
  <c r="Q18" i="51" s="1"/>
  <c r="Q18" i="50"/>
  <c r="O7" i="51"/>
  <c r="O11" i="51" s="1"/>
  <c r="O13" i="51" s="1"/>
  <c r="O18" i="51" s="1"/>
  <c r="O18" i="50"/>
  <c r="Z7" i="51"/>
  <c r="Z11" i="51" s="1"/>
  <c r="Z13" i="51" s="1"/>
  <c r="Z18" i="51" s="1"/>
  <c r="Z18" i="50"/>
  <c r="AE7" i="51"/>
  <c r="AE11" i="51" s="1"/>
  <c r="AE13" i="51" s="1"/>
  <c r="AE18" i="51" s="1"/>
  <c r="AE18" i="50"/>
  <c r="AC7" i="51"/>
  <c r="AC11" i="51" s="1"/>
  <c r="AC13" i="51" s="1"/>
  <c r="AC18" i="51" s="1"/>
  <c r="AC18" i="50"/>
  <c r="M7" i="51"/>
  <c r="M11" i="51" s="1"/>
  <c r="M13" i="51" s="1"/>
  <c r="M18" i="51" s="1"/>
  <c r="M18" i="50"/>
  <c r="BC7" i="51"/>
  <c r="BC11" i="51" s="1"/>
  <c r="BC13" i="51" s="1"/>
  <c r="BC18" i="51" s="1"/>
  <c r="BC18" i="50"/>
  <c r="BE7" i="51"/>
  <c r="BE11" i="51" s="1"/>
  <c r="BE13" i="51" s="1"/>
  <c r="BE18" i="51" s="1"/>
  <c r="BE18" i="50"/>
  <c r="BN7" i="51"/>
  <c r="BN11" i="51" s="1"/>
  <c r="BN13" i="51" s="1"/>
  <c r="BN18" i="51" s="1"/>
  <c r="DC29" i="22" s="1"/>
  <c r="BN18" i="50"/>
  <c r="DM15" i="44"/>
  <c r="FB25" i="22" s="1"/>
  <c r="AM7" i="51"/>
  <c r="AM11" i="51" s="1"/>
  <c r="AM13" i="51" s="1"/>
  <c r="AM18" i="51" s="1"/>
  <c r="AM18" i="50"/>
  <c r="AK7" i="51"/>
  <c r="AK11" i="51" s="1"/>
  <c r="AK13" i="51" s="1"/>
  <c r="AK18" i="51" s="1"/>
  <c r="AK18" i="50"/>
  <c r="T7" i="51"/>
  <c r="T11" i="51" s="1"/>
  <c r="T13" i="51" s="1"/>
  <c r="T18" i="51" s="1"/>
  <c r="T18" i="50"/>
  <c r="BK7" i="51"/>
  <c r="BK11" i="51" s="1"/>
  <c r="BK13" i="51" s="1"/>
  <c r="BK18" i="51" s="1"/>
  <c r="BK18" i="50"/>
  <c r="AS7" i="51"/>
  <c r="AS11" i="51" s="1"/>
  <c r="AS13" i="51" s="1"/>
  <c r="AS18" i="51" s="1"/>
  <c r="AS18" i="50"/>
  <c r="AU7" i="51"/>
  <c r="AU11" i="51" s="1"/>
  <c r="AU13" i="51" s="1"/>
  <c r="AU18" i="51" s="1"/>
  <c r="AU18" i="50"/>
  <c r="BB7" i="51"/>
  <c r="BB11" i="51" s="1"/>
  <c r="BB13" i="51" s="1"/>
  <c r="BB18" i="51" s="1"/>
  <c r="BB18" i="50"/>
  <c r="DF19" i="54"/>
  <c r="EU42" i="22" s="1"/>
  <c r="AX19" i="55"/>
  <c r="CM31" i="22" s="1"/>
  <c r="AX16" i="55"/>
  <c r="BN15" i="26"/>
  <c r="DD8" i="22" s="1"/>
  <c r="BN12" i="26"/>
  <c r="CA16" i="55"/>
  <c r="CA19" i="55"/>
  <c r="DP31" i="22" s="1"/>
  <c r="AT15" i="27"/>
  <c r="AT18" i="27"/>
  <c r="CJ19" i="22" s="1"/>
  <c r="DP19" i="54"/>
  <c r="FE42" i="22" s="1"/>
  <c r="CV12" i="44"/>
  <c r="CV15" i="44"/>
  <c r="EK25" i="22" s="1"/>
  <c r="AT21" i="17"/>
  <c r="AO10" i="83" s="1"/>
  <c r="AT18" i="17"/>
  <c r="AV21" i="17"/>
  <c r="CL10" i="22" s="1"/>
  <c r="AV18" i="17"/>
  <c r="AX16" i="28"/>
  <c r="CN39" i="22" s="1"/>
  <c r="AX13" i="28"/>
  <c r="BJ21" i="17"/>
  <c r="CZ10" i="22" s="1"/>
  <c r="BJ18" i="17"/>
  <c r="O15" i="44"/>
  <c r="O12" i="44"/>
  <c r="BN16" i="20"/>
  <c r="DD16" i="22" s="1"/>
  <c r="BN13" i="20"/>
  <c r="BW17" i="76"/>
  <c r="DL81" i="22" s="1"/>
  <c r="BW14" i="76"/>
  <c r="CE17" i="76"/>
  <c r="DT81" i="22" s="1"/>
  <c r="CE14" i="76"/>
  <c r="AC15" i="27"/>
  <c r="AC18" i="27"/>
  <c r="CI16" i="55"/>
  <c r="CI19" i="55"/>
  <c r="DX31" i="22" s="1"/>
  <c r="BF18" i="27"/>
  <c r="CV19" i="22" s="1"/>
  <c r="BF15" i="27"/>
  <c r="CB50" i="22"/>
  <c r="DK19" i="55"/>
  <c r="EZ31" i="22" s="1"/>
  <c r="BX34" i="22"/>
  <c r="DQ19" i="55"/>
  <c r="FF31" i="22" s="1"/>
  <c r="CC31" i="22" s="1"/>
  <c r="BY33" i="22"/>
  <c r="DN16" i="28"/>
  <c r="FD39" i="22" s="1"/>
  <c r="DG15" i="27"/>
  <c r="DG18" i="27"/>
  <c r="EW19" i="22" s="1"/>
  <c r="DC19" i="54"/>
  <c r="ER42" i="22" s="1"/>
  <c r="CV17" i="31"/>
  <c r="EL21" i="22" s="1"/>
  <c r="EW7" i="22"/>
  <c r="DG14" i="25"/>
  <c r="CY21" i="29"/>
  <c r="EO20" i="22" s="1"/>
  <c r="CR18" i="27"/>
  <c r="EH19" i="22" s="1"/>
  <c r="CR15" i="27"/>
  <c r="DG15" i="44"/>
  <c r="EV25" i="22" s="1"/>
  <c r="DA18" i="27"/>
  <c r="EQ19" i="22" s="1"/>
  <c r="DN21" i="29"/>
  <c r="FD20" i="22" s="1"/>
  <c r="DK17" i="12"/>
  <c r="FA6" i="22" s="1"/>
  <c r="BX6" i="22" s="1"/>
  <c r="DK14" i="12"/>
  <c r="DC16" i="28"/>
  <c r="ES39" i="22" s="1"/>
  <c r="DD16" i="28"/>
  <c r="ET39" i="22" s="1"/>
  <c r="DC16" i="20"/>
  <c r="ES16" i="22" s="1"/>
  <c r="BO16" i="22" s="1"/>
  <c r="DC13" i="20"/>
  <c r="DC17" i="16"/>
  <c r="ES40" i="22" s="1"/>
  <c r="BO40" i="22" s="1"/>
  <c r="DC14" i="16"/>
  <c r="DN17" i="31"/>
  <c r="FD21" i="22" s="1"/>
  <c r="DQ15" i="44"/>
  <c r="FF25" i="22" s="1"/>
  <c r="CC25" i="22" s="1"/>
  <c r="DB17" i="31"/>
  <c r="ER21" i="22" s="1"/>
  <c r="CB24" i="22"/>
  <c r="CW19" i="55"/>
  <c r="EL31" i="22" s="1"/>
  <c r="DO17" i="31"/>
  <c r="FE21" i="22" s="1"/>
  <c r="DF21" i="29"/>
  <c r="EV20" i="22" s="1"/>
  <c r="DG16" i="28"/>
  <c r="EW39" i="22" s="1"/>
  <c r="BH18" i="22"/>
  <c r="DJ15" i="44"/>
  <c r="EY25" i="22" s="1"/>
  <c r="P7" i="51"/>
  <c r="P11" i="51" s="1"/>
  <c r="P13" i="51" s="1"/>
  <c r="P18" i="50"/>
  <c r="AB7" i="51"/>
  <c r="AB11" i="51" s="1"/>
  <c r="AB13" i="51" s="1"/>
  <c r="AB18" i="51" s="1"/>
  <c r="AB18" i="50"/>
  <c r="AD7" i="51"/>
  <c r="AD11" i="51" s="1"/>
  <c r="AD13" i="51" s="1"/>
  <c r="AD18" i="51" s="1"/>
  <c r="AD18" i="50"/>
  <c r="AP7" i="51"/>
  <c r="AP11" i="51" s="1"/>
  <c r="AP13" i="51" s="1"/>
  <c r="AP18" i="51" s="1"/>
  <c r="AP18" i="50"/>
  <c r="R7" i="51"/>
  <c r="R11" i="51" s="1"/>
  <c r="R13" i="51" s="1"/>
  <c r="R18" i="51" s="1"/>
  <c r="R18" i="50"/>
  <c r="AT7" i="51"/>
  <c r="AT11" i="51" s="1"/>
  <c r="AT13" i="51" s="1"/>
  <c r="AT18" i="51" s="1"/>
  <c r="AT18" i="50"/>
  <c r="DE7" i="51"/>
  <c r="DE11" i="51" s="1"/>
  <c r="DE13" i="51" s="1"/>
  <c r="DE18" i="50"/>
  <c r="BZ7" i="51"/>
  <c r="BZ11" i="51" s="1"/>
  <c r="BZ13" i="51" s="1"/>
  <c r="BZ18" i="51" s="1"/>
  <c r="DO29" i="22" s="1"/>
  <c r="BZ18" i="50"/>
  <c r="BI107" i="22"/>
  <c r="AV15" i="44"/>
  <c r="AP25" i="83" s="1"/>
  <c r="AV12" i="44"/>
  <c r="DB18" i="27"/>
  <c r="ER19" i="22" s="1"/>
  <c r="CZ17" i="31"/>
  <c r="EP21" i="22" s="1"/>
  <c r="DO18" i="27"/>
  <c r="FE19" i="22" s="1"/>
  <c r="BG16" i="55"/>
  <c r="BG19" i="55"/>
  <c r="CV31" i="22" s="1"/>
  <c r="BJ16" i="20"/>
  <c r="CZ16" i="22" s="1"/>
  <c r="BJ13" i="20"/>
  <c r="BV16" i="23"/>
  <c r="DL17" i="22" s="1"/>
  <c r="BV13" i="23"/>
  <c r="X18" i="27"/>
  <c r="X15" i="27"/>
  <c r="CJ16" i="20"/>
  <c r="DZ16" i="22" s="1"/>
  <c r="CJ13" i="20"/>
  <c r="CN16" i="54"/>
  <c r="CN19" i="54"/>
  <c r="EC42" i="22" s="1"/>
  <c r="CW19" i="54"/>
  <c r="EL42" i="22" s="1"/>
  <c r="DC17" i="31"/>
  <c r="ES21" i="22" s="1"/>
  <c r="DB19" i="54"/>
  <c r="EQ42" i="22" s="1"/>
  <c r="CZ21" i="29"/>
  <c r="EP20" i="22" s="1"/>
  <c r="CZ18" i="29"/>
  <c r="DK16" i="28"/>
  <c r="FA39" i="22" s="1"/>
  <c r="DC21" i="29"/>
  <c r="ES20" i="22" s="1"/>
  <c r="CU21" i="29"/>
  <c r="EK20" i="22" s="1"/>
  <c r="CU18" i="29"/>
  <c r="DG17" i="31"/>
  <c r="EW21" i="22" s="1"/>
  <c r="DB21" i="29"/>
  <c r="ER20" i="22" s="1"/>
  <c r="BZ17" i="22"/>
  <c r="DD19" i="55"/>
  <c r="ES31" i="22" s="1"/>
  <c r="DJ18" i="27"/>
  <c r="EZ19" i="22" s="1"/>
  <c r="DD15" i="44"/>
  <c r="ES25" i="22" s="1"/>
  <c r="DO21" i="29"/>
  <c r="FE20" i="22" s="1"/>
  <c r="DO18" i="29"/>
  <c r="DD17" i="31"/>
  <c r="ET21" i="22" s="1"/>
  <c r="EX7" i="22"/>
  <c r="FD7" i="22"/>
  <c r="CY19" i="55"/>
  <c r="EN31" i="22" s="1"/>
  <c r="DG16" i="23"/>
  <c r="EW17" i="22" s="1"/>
  <c r="BS17" i="22" s="1"/>
  <c r="DG13" i="23"/>
  <c r="DL19" i="54"/>
  <c r="FA42" i="22" s="1"/>
  <c r="CV18" i="27"/>
  <c r="EL19" i="22" s="1"/>
  <c r="DJ21" i="29"/>
  <c r="EZ20" i="22" s="1"/>
  <c r="DB16" i="28"/>
  <c r="ER39" i="22" s="1"/>
  <c r="CT16" i="28"/>
  <c r="EJ39" i="22" s="1"/>
  <c r="DE24" i="116"/>
  <c r="ET118" i="22" s="1"/>
  <c r="BQ118" i="22" s="1"/>
  <c r="DE21" i="116"/>
  <c r="DJ16" i="28"/>
  <c r="EZ39" i="22" s="1"/>
  <c r="AR7" i="51"/>
  <c r="AR11" i="51" s="1"/>
  <c r="AR13" i="51" s="1"/>
  <c r="AR18" i="51" s="1"/>
  <c r="AR18" i="50"/>
  <c r="AJ7" i="51"/>
  <c r="AJ11" i="51" s="1"/>
  <c r="AJ13" i="51" s="1"/>
  <c r="AJ18" i="51" s="1"/>
  <c r="AJ18" i="50"/>
  <c r="BP7" i="51"/>
  <c r="BP11" i="51" s="1"/>
  <c r="BP13" i="51" s="1"/>
  <c r="BP18" i="51" s="1"/>
  <c r="DE29" i="22" s="1"/>
  <c r="BP18" i="50"/>
  <c r="BA7" i="51"/>
  <c r="BA11" i="51" s="1"/>
  <c r="BA13" i="51" s="1"/>
  <c r="BA18" i="51" s="1"/>
  <c r="BA18" i="50"/>
  <c r="CW7" i="51"/>
  <c r="CW11" i="51" s="1"/>
  <c r="CW13" i="51" s="1"/>
  <c r="CW18" i="50"/>
  <c r="DH7" i="51"/>
  <c r="DH11" i="51" s="1"/>
  <c r="DH13" i="51" s="1"/>
  <c r="DH18" i="50"/>
  <c r="DH18" i="52"/>
  <c r="EW33" i="22" s="1"/>
  <c r="BS33" i="22" s="1"/>
  <c r="DH15" i="52"/>
  <c r="AH14" i="60"/>
  <c r="AU14" i="60"/>
  <c r="AQ14" i="60"/>
  <c r="U14" i="60"/>
  <c r="AG14" i="60"/>
  <c r="CA14" i="60"/>
  <c r="AS14" i="60"/>
  <c r="CB8" i="22"/>
  <c r="CB47" i="22"/>
  <c r="CB33" i="22"/>
  <c r="CB3" i="22"/>
  <c r="CB100" i="22"/>
  <c r="CB119" i="22"/>
  <c r="CB90" i="22"/>
  <c r="CA5" i="22"/>
  <c r="CB5" i="22"/>
  <c r="CB81" i="22"/>
  <c r="CB93" i="22"/>
  <c r="CA78" i="22"/>
  <c r="DH18" i="43"/>
  <c r="EW26" i="22" s="1"/>
  <c r="BT26" i="22" s="1"/>
  <c r="DH15" i="43"/>
  <c r="CS18" i="43"/>
  <c r="EH26" i="22" s="1"/>
  <c r="BD26" i="22" s="1"/>
  <c r="CS15" i="43"/>
  <c r="DP18" i="43"/>
  <c r="FE26" i="22" s="1"/>
  <c r="DP6" i="41"/>
  <c r="DP9" i="41" s="1"/>
  <c r="DP11" i="41" s="1"/>
  <c r="DP16" i="41" s="1"/>
  <c r="FF35" i="22" s="1"/>
  <c r="FF14" i="22"/>
  <c r="CZ18" i="43"/>
  <c r="EO26" i="22" s="1"/>
  <c r="BK26" i="22" s="1"/>
  <c r="CZ15" i="43"/>
  <c r="DN136" i="1"/>
  <c r="FF4" i="22"/>
  <c r="CC4" i="22" s="1"/>
  <c r="DP5" i="34"/>
  <c r="DP9" i="34" s="1"/>
  <c r="DP11" i="34" s="1"/>
  <c r="DP16" i="34" s="1"/>
  <c r="FF22" i="22" s="1"/>
  <c r="FF23" i="22"/>
  <c r="DP4" i="2"/>
  <c r="DP8" i="2" s="1"/>
  <c r="DP11" i="2" s="1"/>
  <c r="DP16" i="2" s="1"/>
  <c r="FF13" i="22" s="1"/>
  <c r="FF12" i="22"/>
  <c r="CA81" i="22"/>
  <c r="CA119" i="22"/>
  <c r="CA10" i="22"/>
  <c r="CA11" i="22"/>
  <c r="CA93" i="22"/>
  <c r="CA6" i="22"/>
  <c r="CA90" i="22"/>
  <c r="CA87" i="22"/>
  <c r="DO6" i="41"/>
  <c r="DO9" i="41" s="1"/>
  <c r="DO11" i="41" s="1"/>
  <c r="DO16" i="41" s="1"/>
  <c r="FE35" i="22" s="1"/>
  <c r="FE14" i="22"/>
  <c r="CA24" i="22"/>
  <c r="DM136" i="1"/>
  <c r="FE4" i="22"/>
  <c r="CA100" i="22"/>
  <c r="CA43" i="22"/>
  <c r="DO5" i="34"/>
  <c r="DO9" i="34" s="1"/>
  <c r="DO11" i="34" s="1"/>
  <c r="DO16" i="34" s="1"/>
  <c r="FE22" i="22" s="1"/>
  <c r="FE23" i="22"/>
  <c r="CA40" i="22"/>
  <c r="CA66" i="22"/>
  <c r="CA30" i="22"/>
  <c r="CA8" i="22"/>
  <c r="CA45" i="22"/>
  <c r="CA34" i="22"/>
  <c r="CA85" i="22"/>
  <c r="CA118" i="22"/>
  <c r="CA17" i="22"/>
  <c r="CA50" i="22"/>
  <c r="BZ90" i="22"/>
  <c r="BZ43" i="22"/>
  <c r="BZ24" i="22"/>
  <c r="BZ34" i="22"/>
  <c r="BZ50" i="22"/>
  <c r="BZ66" i="22"/>
  <c r="BZ30" i="22"/>
  <c r="BZ8" i="22"/>
  <c r="BZ16" i="22"/>
  <c r="BZ40" i="22"/>
  <c r="DN6" i="41"/>
  <c r="DN9" i="41" s="1"/>
  <c r="DN11" i="41" s="1"/>
  <c r="DN16" i="41" s="1"/>
  <c r="FD35" i="22" s="1"/>
  <c r="FD14" i="22"/>
  <c r="DL136" i="1"/>
  <c r="FD4" i="22"/>
  <c r="BZ87" i="22"/>
  <c r="BZ15" i="22"/>
  <c r="BZ78" i="22"/>
  <c r="DN5" i="34"/>
  <c r="DN9" i="34" s="1"/>
  <c r="DN11" i="34" s="1"/>
  <c r="DN16" i="34" s="1"/>
  <c r="FD22" i="22" s="1"/>
  <c r="FD23" i="22"/>
  <c r="BZ100" i="22"/>
  <c r="BZ119" i="22"/>
  <c r="BZ118" i="22"/>
  <c r="BZ11" i="22"/>
  <c r="BY10" i="22"/>
  <c r="BZ10" i="22"/>
  <c r="BZ26" i="22"/>
  <c r="BZ45" i="22"/>
  <c r="BZ93" i="22"/>
  <c r="BZ6" i="22"/>
  <c r="BZ47" i="22"/>
  <c r="BZ33" i="22"/>
  <c r="BZ81" i="22"/>
  <c r="BX3" i="22"/>
  <c r="BY93" i="22"/>
  <c r="BY119" i="22"/>
  <c r="BY125" i="22"/>
  <c r="BY8" i="22"/>
  <c r="BY15" i="22"/>
  <c r="BY47" i="22"/>
  <c r="BY66" i="22"/>
  <c r="BY24" i="22"/>
  <c r="BY5" i="22"/>
  <c r="BY87" i="22"/>
  <c r="BY43" i="22"/>
  <c r="BY85" i="22"/>
  <c r="BY90" i="22"/>
  <c r="BY3" i="22"/>
  <c r="BY34" i="22"/>
  <c r="BY78" i="22"/>
  <c r="BY16" i="22"/>
  <c r="BY100" i="22"/>
  <c r="DM6" i="41"/>
  <c r="DM9" i="41" s="1"/>
  <c r="DM11" i="41" s="1"/>
  <c r="DM16" i="41" s="1"/>
  <c r="FC35" i="22" s="1"/>
  <c r="FC14" i="22"/>
  <c r="BY45" i="22"/>
  <c r="DK136" i="1"/>
  <c r="FC4" i="22"/>
  <c r="DM5" i="34"/>
  <c r="DM9" i="34" s="1"/>
  <c r="DM11" i="34" s="1"/>
  <c r="DM16" i="34" s="1"/>
  <c r="FC22" i="22" s="1"/>
  <c r="FC23" i="22"/>
  <c r="BY30" i="22"/>
  <c r="BY26" i="22"/>
  <c r="BY11" i="22"/>
  <c r="BY118" i="22"/>
  <c r="BY40" i="22"/>
  <c r="BY17" i="22"/>
  <c r="BY6" i="22"/>
  <c r="BL125" i="22"/>
  <c r="BW33" i="22"/>
  <c r="BW16" i="22"/>
  <c r="DL14" i="30"/>
  <c r="DL7" i="29" s="1"/>
  <c r="DL11" i="29" s="1"/>
  <c r="DL16" i="29" s="1"/>
  <c r="BX24" i="22"/>
  <c r="BX66" i="22"/>
  <c r="BW85" i="22"/>
  <c r="BP125" i="22"/>
  <c r="BX10" i="22"/>
  <c r="BA109" i="22"/>
  <c r="BN125" i="22"/>
  <c r="BO125" i="22"/>
  <c r="BS125" i="22"/>
  <c r="BH125" i="22"/>
  <c r="BI125" i="22"/>
  <c r="BV125" i="22"/>
  <c r="BC125" i="22"/>
  <c r="CG125" i="22"/>
  <c r="BK125" i="22"/>
  <c r="BJ125" i="22"/>
  <c r="BX125" i="22"/>
  <c r="BW125" i="22"/>
  <c r="BA125" i="22"/>
  <c r="BB125" i="22"/>
  <c r="BT125" i="22"/>
  <c r="BU125" i="22"/>
  <c r="BF125" i="22"/>
  <c r="BG125" i="22"/>
  <c r="BD125" i="22"/>
  <c r="BE125" i="22"/>
  <c r="BQ125" i="22"/>
  <c r="BR125" i="22"/>
  <c r="BM125" i="22"/>
  <c r="BW90" i="22"/>
  <c r="BX87" i="22"/>
  <c r="BX17" i="22"/>
  <c r="BX15" i="22"/>
  <c r="BW100" i="22"/>
  <c r="BC109" i="22"/>
  <c r="BH109" i="22"/>
  <c r="BB109" i="22"/>
  <c r="CG109" i="22"/>
  <c r="BX47" i="22"/>
  <c r="BW119" i="22"/>
  <c r="BW24" i="22"/>
  <c r="BX40" i="22"/>
  <c r="BX118" i="22"/>
  <c r="BW34" i="22"/>
  <c r="BW30" i="22"/>
  <c r="BW43" i="22"/>
  <c r="BX11" i="22"/>
  <c r="BX78" i="22"/>
  <c r="BX93" i="22"/>
  <c r="BW45" i="22"/>
  <c r="BX85" i="22"/>
  <c r="BX45" i="22"/>
  <c r="BX8" i="22"/>
  <c r="BW10" i="22"/>
  <c r="BX30" i="22"/>
  <c r="BW17" i="22"/>
  <c r="BW93" i="22"/>
  <c r="BW78" i="22"/>
  <c r="BX16" i="22"/>
  <c r="BW50" i="22"/>
  <c r="BW5" i="22"/>
  <c r="BW66" i="22"/>
  <c r="BX43" i="22"/>
  <c r="BW47" i="22"/>
  <c r="BW26" i="22"/>
  <c r="BW81" i="22"/>
  <c r="BW8" i="22"/>
  <c r="BX100" i="22"/>
  <c r="BX26" i="22"/>
  <c r="BX5" i="22"/>
  <c r="BW87" i="22"/>
  <c r="BX119" i="22"/>
  <c r="BX33" i="22"/>
  <c r="BW11" i="22"/>
  <c r="BX90" i="22"/>
  <c r="DM29" i="70"/>
  <c r="FB50" i="22" s="1"/>
  <c r="FB4" i="22"/>
  <c r="DJ136" i="1"/>
  <c r="BV87" i="22"/>
  <c r="DL6" i="41"/>
  <c r="DL9" i="41" s="1"/>
  <c r="DL11" i="41" s="1"/>
  <c r="DL16" i="41" s="1"/>
  <c r="FB35" i="22" s="1"/>
  <c r="FB14" i="22"/>
  <c r="BV11" i="22"/>
  <c r="DL5" i="34"/>
  <c r="DL9" i="34" s="1"/>
  <c r="DL11" i="34" s="1"/>
  <c r="DL16" i="34" s="1"/>
  <c r="FB22" i="22" s="1"/>
  <c r="FB23" i="22"/>
  <c r="DJ18" i="18"/>
  <c r="EZ15" i="22" s="1"/>
  <c r="DI136" i="1"/>
  <c r="FA4" i="22"/>
  <c r="BW4" i="22" s="1"/>
  <c r="DK5" i="34"/>
  <c r="DK9" i="34" s="1"/>
  <c r="DK11" i="34" s="1"/>
  <c r="DK16" i="34" s="1"/>
  <c r="FA22" i="22" s="1"/>
  <c r="FA23" i="22"/>
  <c r="DK6" i="41"/>
  <c r="DK9" i="41" s="1"/>
  <c r="DK11" i="41" s="1"/>
  <c r="DK16" i="41" s="1"/>
  <c r="FA35" i="22" s="1"/>
  <c r="FA14" i="22"/>
  <c r="BV5" i="22"/>
  <c r="BU47" i="22"/>
  <c r="BU81" i="22"/>
  <c r="BV93" i="22"/>
  <c r="BV26" i="22"/>
  <c r="BU40" i="22"/>
  <c r="BV100" i="22"/>
  <c r="BU78" i="22"/>
  <c r="BU24" i="22"/>
  <c r="BU33" i="22"/>
  <c r="BV16" i="22"/>
  <c r="BU6" i="22"/>
  <c r="BV8" i="22"/>
  <c r="BV17" i="22"/>
  <c r="BV90" i="22"/>
  <c r="BU11" i="22"/>
  <c r="BU119" i="22"/>
  <c r="BU90" i="22"/>
  <c r="BV30" i="22"/>
  <c r="BV85" i="22"/>
  <c r="BV45" i="22"/>
  <c r="BV50" i="22"/>
  <c r="BV34" i="22"/>
  <c r="BU8" i="22"/>
  <c r="BU93" i="22"/>
  <c r="BU10" i="22"/>
  <c r="BU32" i="22"/>
  <c r="BV119" i="22"/>
  <c r="BU118" i="22"/>
  <c r="BU34" i="22"/>
  <c r="BU15" i="22"/>
  <c r="BV40" i="22"/>
  <c r="BV47" i="22"/>
  <c r="BV81" i="22"/>
  <c r="BS104" i="22"/>
  <c r="BU43" i="22"/>
  <c r="BU17" i="22"/>
  <c r="BU87" i="22"/>
  <c r="DJ5" i="34"/>
  <c r="DJ9" i="34" s="1"/>
  <c r="DJ11" i="34" s="1"/>
  <c r="DJ16" i="34" s="1"/>
  <c r="EZ22" i="22" s="1"/>
  <c r="EZ23" i="22"/>
  <c r="BU16" i="22"/>
  <c r="BV4" i="22"/>
  <c r="BU45" i="22"/>
  <c r="BU85" i="22"/>
  <c r="BV33" i="22"/>
  <c r="BV24" i="22"/>
  <c r="BU26" i="22"/>
  <c r="BU30" i="22"/>
  <c r="DI5" i="34"/>
  <c r="DI9" i="34" s="1"/>
  <c r="DI11" i="34" s="1"/>
  <c r="DI16" i="34" s="1"/>
  <c r="EY22" i="22" s="1"/>
  <c r="EY23" i="22"/>
  <c r="BV66" i="22"/>
  <c r="BV10" i="22"/>
  <c r="BV6" i="22"/>
  <c r="BU100" i="22"/>
  <c r="DI6" i="41"/>
  <c r="DI9" i="41" s="1"/>
  <c r="DI11" i="41" s="1"/>
  <c r="DI16" i="41" s="1"/>
  <c r="EY35" i="22" s="1"/>
  <c r="EY14" i="22"/>
  <c r="BV43" i="22"/>
  <c r="BU66" i="22"/>
  <c r="DJ6" i="41"/>
  <c r="DJ9" i="41" s="1"/>
  <c r="DJ11" i="41" s="1"/>
  <c r="DJ16" i="41" s="1"/>
  <c r="EZ35" i="22" s="1"/>
  <c r="EZ14" i="22"/>
  <c r="BV78" i="22"/>
  <c r="EO23" i="22"/>
  <c r="CX32" i="22"/>
  <c r="S32" i="22" s="1"/>
  <c r="BO104" i="22"/>
  <c r="BK104" i="22"/>
  <c r="BE104" i="22"/>
  <c r="BQ104" i="22"/>
  <c r="BP104" i="22"/>
  <c r="BI104" i="22"/>
  <c r="BD104" i="22"/>
  <c r="DJ7" i="51"/>
  <c r="DJ11" i="51" s="1"/>
  <c r="DJ13" i="51" s="1"/>
  <c r="BJ104" i="22"/>
  <c r="BH104" i="22"/>
  <c r="BN104" i="22"/>
  <c r="BF104" i="22"/>
  <c r="DT7" i="22"/>
  <c r="CD14" i="25"/>
  <c r="CD17" i="36"/>
  <c r="DT5" i="22" s="1"/>
  <c r="CD14" i="36"/>
  <c r="DE17" i="36"/>
  <c r="EU5" i="22" s="1"/>
  <c r="BR5" i="22" s="1"/>
  <c r="CW17" i="36"/>
  <c r="EM5" i="22" s="1"/>
  <c r="BJ5" i="22" s="1"/>
  <c r="CZ17" i="36"/>
  <c r="EP5" i="22" s="1"/>
  <c r="BM5" i="22" s="1"/>
  <c r="EP7" i="22"/>
  <c r="CZ14" i="25"/>
  <c r="CQ14" i="36"/>
  <c r="CQ17" i="36"/>
  <c r="EG5" i="22" s="1"/>
  <c r="DH17" i="36"/>
  <c r="EX5" i="22" s="1"/>
  <c r="BU5" i="22" s="1"/>
  <c r="EJ7" i="22"/>
  <c r="CT14" i="25"/>
  <c r="BG104" i="22"/>
  <c r="CY17" i="36"/>
  <c r="EO5" i="22" s="1"/>
  <c r="BB17" i="16"/>
  <c r="AW40" i="83" s="1"/>
  <c r="BB14" i="16"/>
  <c r="BF17" i="16"/>
  <c r="CV40" i="22" s="1"/>
  <c r="BF14" i="16"/>
  <c r="DB17" i="36"/>
  <c r="ER5" i="22" s="1"/>
  <c r="DD17" i="36"/>
  <c r="ET5" i="22" s="1"/>
  <c r="CU17" i="36"/>
  <c r="EK5" i="22" s="1"/>
  <c r="DG17" i="36"/>
  <c r="EW5" i="22" s="1"/>
  <c r="DP7" i="22"/>
  <c r="BZ14" i="25"/>
  <c r="DC17" i="36"/>
  <c r="ES5" i="22" s="1"/>
  <c r="DC14" i="36"/>
  <c r="CV17" i="36"/>
  <c r="EL5" i="22" s="1"/>
  <c r="CY17" i="12"/>
  <c r="EO6" i="22" s="1"/>
  <c r="BL6" i="22" s="1"/>
  <c r="CY14" i="12"/>
  <c r="DH16" i="14"/>
  <c r="DF136" i="1" s="1"/>
  <c r="DE16" i="14"/>
  <c r="EU4" i="22" s="1"/>
  <c r="DG16" i="14"/>
  <c r="DE136" i="1" s="1"/>
  <c r="DF16" i="14"/>
  <c r="EV4" i="22" s="1"/>
  <c r="DD16" i="14"/>
  <c r="DD6" i="42" s="1"/>
  <c r="DD8" i="42" s="1"/>
  <c r="DD9" i="42" s="1"/>
  <c r="DD14" i="42" s="1"/>
  <c r="ET38" i="22" s="1"/>
  <c r="EX42" i="22"/>
  <c r="CY16" i="14"/>
  <c r="CY6" i="42" s="1"/>
  <c r="CY8" i="42" s="1"/>
  <c r="CY9" i="42" s="1"/>
  <c r="CY14" i="42" s="1"/>
  <c r="EO38" i="22" s="1"/>
  <c r="CY13" i="14"/>
  <c r="DC16" i="14"/>
  <c r="ES4" i="22" s="1"/>
  <c r="DC13" i="14"/>
  <c r="BM104" i="22"/>
  <c r="BR104" i="22"/>
  <c r="BL104" i="22"/>
  <c r="BT41" i="22"/>
  <c r="EX50" i="22"/>
  <c r="BU50" i="22" s="1"/>
  <c r="BR8" i="22"/>
  <c r="CU32" i="22"/>
  <c r="BS45" i="22"/>
  <c r="BT93" i="22"/>
  <c r="BT87" i="22"/>
  <c r="BT66" i="22"/>
  <c r="BT30" i="22"/>
  <c r="BS6" i="22"/>
  <c r="BT24" i="22"/>
  <c r="BT85" i="22"/>
  <c r="BQ16" i="22"/>
  <c r="BS34" i="22"/>
  <c r="BS40" i="22"/>
  <c r="BT81" i="22"/>
  <c r="BS66" i="22"/>
  <c r="BT34" i="22"/>
  <c r="BT40" i="22"/>
  <c r="BS119" i="22"/>
  <c r="BS47" i="22"/>
  <c r="BS78" i="22"/>
  <c r="BT45" i="22"/>
  <c r="BT11" i="22"/>
  <c r="BT100" i="22"/>
  <c r="BT6" i="22"/>
  <c r="BS118" i="22"/>
  <c r="BT43" i="22"/>
  <c r="BT90" i="22"/>
  <c r="DH5" i="34"/>
  <c r="DH9" i="34" s="1"/>
  <c r="DH11" i="34" s="1"/>
  <c r="DH16" i="34" s="1"/>
  <c r="EX22" i="22" s="1"/>
  <c r="EX23" i="22"/>
  <c r="BT119" i="22"/>
  <c r="DH6" i="41"/>
  <c r="DH9" i="41" s="1"/>
  <c r="DH11" i="41" s="1"/>
  <c r="DH16" i="41" s="1"/>
  <c r="EX35" i="22" s="1"/>
  <c r="EX14" i="22"/>
  <c r="BT118" i="22"/>
  <c r="BT78" i="22"/>
  <c r="BT16" i="22"/>
  <c r="BS93" i="22"/>
  <c r="BT47" i="22"/>
  <c r="BT32" i="22"/>
  <c r="BT8" i="22"/>
  <c r="BS90" i="22"/>
  <c r="BS85" i="22"/>
  <c r="BS43" i="22"/>
  <c r="BS30" i="22"/>
  <c r="BS32" i="22"/>
  <c r="BS24" i="22"/>
  <c r="BS11" i="22"/>
  <c r="BS81" i="22"/>
  <c r="BS100" i="22"/>
  <c r="BS87" i="22"/>
  <c r="BS8" i="22"/>
  <c r="BS16" i="22"/>
  <c r="BP15" i="22"/>
  <c r="BP119" i="22"/>
  <c r="DG18" i="18"/>
  <c r="EW15" i="22" s="1"/>
  <c r="DG15" i="18"/>
  <c r="CZ18" i="18"/>
  <c r="EP15" i="22" s="1"/>
  <c r="BL15" i="22" s="1"/>
  <c r="CZ15" i="18"/>
  <c r="EW50" i="22"/>
  <c r="DG6" i="41"/>
  <c r="DG9" i="41" s="1"/>
  <c r="DG11" i="41" s="1"/>
  <c r="EW14" i="22"/>
  <c r="DG4" i="2"/>
  <c r="DG8" i="2" s="1"/>
  <c r="DG11" i="2" s="1"/>
  <c r="DG16" i="2" s="1"/>
  <c r="EW13" i="22" s="1"/>
  <c r="EW12" i="22"/>
  <c r="DG5" i="34"/>
  <c r="DG9" i="34" s="1"/>
  <c r="DG11" i="34" s="1"/>
  <c r="DG16" i="34" s="1"/>
  <c r="EW22" i="22" s="1"/>
  <c r="EW23" i="22"/>
  <c r="AO21" i="117"/>
  <c r="BP78" i="22"/>
  <c r="BR93" i="22"/>
  <c r="BN45" i="22"/>
  <c r="BO81" i="22"/>
  <c r="BR87" i="22"/>
  <c r="BR11" i="22"/>
  <c r="BR32" i="22"/>
  <c r="BR43" i="22"/>
  <c r="BR24" i="22"/>
  <c r="BR85" i="22"/>
  <c r="BR17" i="22"/>
  <c r="BR66" i="22"/>
  <c r="BR34" i="22"/>
  <c r="BR90" i="22"/>
  <c r="BR3" i="22"/>
  <c r="BR100" i="22"/>
  <c r="BR119" i="22"/>
  <c r="BR33" i="22"/>
  <c r="BR81" i="22"/>
  <c r="BR6" i="22"/>
  <c r="BR10" i="22"/>
  <c r="DF4" i="2"/>
  <c r="DF8" i="2" s="1"/>
  <c r="DF11" i="2" s="1"/>
  <c r="DF16" i="2" s="1"/>
  <c r="EV13" i="22" s="1"/>
  <c r="EV12" i="22"/>
  <c r="BR78" i="22"/>
  <c r="BR47" i="22"/>
  <c r="BR30" i="22"/>
  <c r="BR16" i="22"/>
  <c r="BR50" i="22"/>
  <c r="BR40" i="22"/>
  <c r="BR26" i="22"/>
  <c r="DF5" i="34"/>
  <c r="DF9" i="34" s="1"/>
  <c r="DF11" i="34" s="1"/>
  <c r="DF16" i="34" s="1"/>
  <c r="EV22" i="22" s="1"/>
  <c r="EV23" i="22"/>
  <c r="BR118" i="22"/>
  <c r="BR45" i="22"/>
  <c r="BR15" i="22"/>
  <c r="DF6" i="41"/>
  <c r="DF9" i="41" s="1"/>
  <c r="DF11" i="41" s="1"/>
  <c r="DF16" i="41" s="1"/>
  <c r="EV35" i="22" s="1"/>
  <c r="EV14" i="22"/>
  <c r="BN43" i="22"/>
  <c r="BP45" i="22"/>
  <c r="BQ11" i="22"/>
  <c r="BQ43" i="22"/>
  <c r="BQ17" i="22"/>
  <c r="BQ26" i="22"/>
  <c r="BQ40" i="22"/>
  <c r="BP47" i="22"/>
  <c r="BQ30" i="22"/>
  <c r="BQ93" i="22"/>
  <c r="BP3" i="22"/>
  <c r="BQ66" i="22"/>
  <c r="BP93" i="22"/>
  <c r="BQ78" i="22"/>
  <c r="BQ8" i="22"/>
  <c r="BQ100" i="22"/>
  <c r="BP50" i="22"/>
  <c r="BP33" i="22"/>
  <c r="BP81" i="22"/>
  <c r="BP26" i="22"/>
  <c r="BP85" i="22"/>
  <c r="BP34" i="22"/>
  <c r="BQ24" i="22"/>
  <c r="BP30" i="22"/>
  <c r="BP6" i="22"/>
  <c r="BP100" i="22"/>
  <c r="BQ85" i="22"/>
  <c r="BP24" i="22"/>
  <c r="BQ87" i="22"/>
  <c r="BQ90" i="22"/>
  <c r="DE4" i="2"/>
  <c r="DE8" i="2" s="1"/>
  <c r="DE11" i="2" s="1"/>
  <c r="DE16" i="2" s="1"/>
  <c r="EU13" i="22" s="1"/>
  <c r="EU12" i="22"/>
  <c r="BQ32" i="22"/>
  <c r="BQ33" i="22"/>
  <c r="BP11" i="22"/>
  <c r="BP32" i="22"/>
  <c r="BQ119" i="22"/>
  <c r="DE6" i="41"/>
  <c r="DE9" i="41" s="1"/>
  <c r="DE11" i="41" s="1"/>
  <c r="DE16" i="41" s="1"/>
  <c r="EU35" i="22" s="1"/>
  <c r="EU14" i="22"/>
  <c r="BP90" i="22"/>
  <c r="BQ3" i="22"/>
  <c r="BQ34" i="22"/>
  <c r="BQ81" i="22"/>
  <c r="BP66" i="22"/>
  <c r="BQ15" i="22"/>
  <c r="DD5" i="34"/>
  <c r="DD9" i="34" s="1"/>
  <c r="DD11" i="34" s="1"/>
  <c r="DD16" i="34" s="1"/>
  <c r="ET22" i="22" s="1"/>
  <c r="ET23" i="22"/>
  <c r="BQ45" i="22"/>
  <c r="DE5" i="34"/>
  <c r="DE9" i="34" s="1"/>
  <c r="DE11" i="34" s="1"/>
  <c r="DE16" i="34" s="1"/>
  <c r="EU22" i="22" s="1"/>
  <c r="EU23" i="22"/>
  <c r="BP43" i="22"/>
  <c r="BQ6" i="22"/>
  <c r="BQ47" i="22"/>
  <c r="DD6" i="41"/>
  <c r="DD9" i="41" s="1"/>
  <c r="DD11" i="41" s="1"/>
  <c r="DD16" i="41" s="1"/>
  <c r="ET35" i="22" s="1"/>
  <c r="ET14" i="22"/>
  <c r="BQ50" i="22"/>
  <c r="BQ10" i="22"/>
  <c r="BP87" i="22"/>
  <c r="BO43" i="22"/>
  <c r="BN100" i="22"/>
  <c r="N24" i="117"/>
  <c r="BO66" i="22"/>
  <c r="BN34" i="22"/>
  <c r="BN26" i="22"/>
  <c r="BO6" i="22"/>
  <c r="BO93" i="22"/>
  <c r="BO85" i="22"/>
  <c r="BO100" i="22"/>
  <c r="BO119" i="22"/>
  <c r="BO90" i="22"/>
  <c r="BO32" i="22"/>
  <c r="BO47" i="22"/>
  <c r="BO11" i="22"/>
  <c r="BN8" i="22"/>
  <c r="BN93" i="22"/>
  <c r="BN15" i="22"/>
  <c r="BN30" i="22"/>
  <c r="BO87" i="22"/>
  <c r="BN66" i="22"/>
  <c r="BN90" i="22"/>
  <c r="BN85" i="22"/>
  <c r="BO33" i="22"/>
  <c r="BN16" i="22"/>
  <c r="BO118" i="22"/>
  <c r="BN47" i="22"/>
  <c r="DC5" i="34"/>
  <c r="DC9" i="34" s="1"/>
  <c r="DC11" i="34" s="1"/>
  <c r="DC16" i="34" s="1"/>
  <c r="ES22" i="22" s="1"/>
  <c r="ES23" i="22"/>
  <c r="BN119" i="22"/>
  <c r="BO24" i="22"/>
  <c r="BN81" i="22"/>
  <c r="BN32" i="22"/>
  <c r="BO78" i="22"/>
  <c r="BN50" i="22"/>
  <c r="BN10" i="22"/>
  <c r="BN78" i="22"/>
  <c r="BO50" i="22"/>
  <c r="BN87" i="22"/>
  <c r="BN118" i="22"/>
  <c r="DC6" i="41"/>
  <c r="DC9" i="41" s="1"/>
  <c r="DC11" i="41" s="1"/>
  <c r="DC16" i="41" s="1"/>
  <c r="ES35" i="22" s="1"/>
  <c r="ES14" i="22"/>
  <c r="BN24" i="22"/>
  <c r="BN6" i="22"/>
  <c r="BO34" i="22"/>
  <c r="BO15" i="22"/>
  <c r="BO30" i="22"/>
  <c r="BO26" i="22"/>
  <c r="BN33" i="22"/>
  <c r="BO45" i="22"/>
  <c r="BN17" i="22"/>
  <c r="BN11" i="22"/>
  <c r="BN40" i="22"/>
  <c r="BG11" i="7"/>
  <c r="BG16" i="7" s="1"/>
  <c r="BB12" i="83" s="1"/>
  <c r="BB11" i="7"/>
  <c r="BB16" i="7" s="1"/>
  <c r="CR12" i="22" s="1"/>
  <c r="CJ4" i="2"/>
  <c r="CJ8" i="2" s="1"/>
  <c r="CJ11" i="2" s="1"/>
  <c r="CJ16" i="2" s="1"/>
  <c r="DZ13" i="22" s="1"/>
  <c r="CS4" i="2"/>
  <c r="CS8" i="2" s="1"/>
  <c r="CS11" i="2" s="1"/>
  <c r="CS16" i="2" s="1"/>
  <c r="EI13" i="22" s="1"/>
  <c r="CN11" i="2"/>
  <c r="CN16" i="2" s="1"/>
  <c r="ED13" i="22" s="1"/>
  <c r="BF11" i="7"/>
  <c r="BF16" i="7" s="1"/>
  <c r="BF4" i="2" s="1"/>
  <c r="BF8" i="2" s="1"/>
  <c r="BF11" i="2" s="1"/>
  <c r="BF16" i="2" s="1"/>
  <c r="EA12" i="22"/>
  <c r="AX12" i="22" s="1"/>
  <c r="EK12" i="22"/>
  <c r="ED12" i="22"/>
  <c r="AZ12" i="22" s="1"/>
  <c r="BC119" i="22"/>
  <c r="DR11" i="2"/>
  <c r="DR16" i="2" s="1"/>
  <c r="FH13" i="22" s="1"/>
  <c r="CU11" i="2"/>
  <c r="CU16" i="2" s="1"/>
  <c r="EK13" i="22" s="1"/>
  <c r="CP4" i="2"/>
  <c r="CP8" i="2" s="1"/>
  <c r="CP11" i="2" s="1"/>
  <c r="CP16" i="2" s="1"/>
  <c r="EF13" i="22" s="1"/>
  <c r="CO11" i="2"/>
  <c r="CO16" i="2" s="1"/>
  <c r="EE13" i="22" s="1"/>
  <c r="CI4" i="2"/>
  <c r="CI8" i="2" s="1"/>
  <c r="CI11" i="2" s="1"/>
  <c r="CI16" i="2" s="1"/>
  <c r="DY13" i="22" s="1"/>
  <c r="BA119" i="22"/>
  <c r="BB119" i="22"/>
  <c r="CY11" i="2"/>
  <c r="CY16" i="2" s="1"/>
  <c r="EO13" i="22" s="1"/>
  <c r="DT11" i="2"/>
  <c r="DT16" i="2" s="1"/>
  <c r="DW11" i="2"/>
  <c r="DW16" i="2" s="1"/>
  <c r="AE21" i="117"/>
  <c r="BL87" i="22"/>
  <c r="BW21" i="117"/>
  <c r="DZ11" i="2"/>
  <c r="DZ16" i="2" s="1"/>
  <c r="EO12" i="22"/>
  <c r="AS11" i="7"/>
  <c r="AS16" i="7" s="1"/>
  <c r="AS4" i="2" s="1"/>
  <c r="AS8" i="2" s="1"/>
  <c r="AS11" i="2" s="1"/>
  <c r="AS16" i="2" s="1"/>
  <c r="W11" i="7"/>
  <c r="W16" i="7" s="1"/>
  <c r="W4" i="2" s="1"/>
  <c r="W8" i="2" s="1"/>
  <c r="W11" i="2" s="1"/>
  <c r="W16" i="2" s="1"/>
  <c r="V11" i="7"/>
  <c r="V16" i="7" s="1"/>
  <c r="V4" i="2" s="1"/>
  <c r="V8" i="2" s="1"/>
  <c r="V11" i="2" s="1"/>
  <c r="V16" i="2" s="1"/>
  <c r="AC11" i="7"/>
  <c r="AC16" i="7" s="1"/>
  <c r="AC4" i="2" s="1"/>
  <c r="AC8" i="2" s="1"/>
  <c r="AC11" i="2" s="1"/>
  <c r="AC16" i="2" s="1"/>
  <c r="CG11" i="7"/>
  <c r="CG16" i="7" s="1"/>
  <c r="CG4" i="2" s="1"/>
  <c r="CG8" i="2" s="1"/>
  <c r="CG11" i="2" s="1"/>
  <c r="CG16" i="2" s="1"/>
  <c r="CK11" i="2"/>
  <c r="CK16" i="2" s="1"/>
  <c r="EA13" i="22" s="1"/>
  <c r="DY11" i="7"/>
  <c r="DY16" i="7" s="1"/>
  <c r="DY4" i="2" s="1"/>
  <c r="DY8" i="2" s="1"/>
  <c r="DY11" i="2" s="1"/>
  <c r="DY16" i="2" s="1"/>
  <c r="DJ11" i="7"/>
  <c r="DJ16" i="7" s="1"/>
  <c r="AD11" i="7"/>
  <c r="AD16" i="7" s="1"/>
  <c r="AD4" i="2" s="1"/>
  <c r="AD8" i="2" s="1"/>
  <c r="AD11" i="2" s="1"/>
  <c r="AD16" i="2" s="1"/>
  <c r="DS11" i="7"/>
  <c r="DS16" i="7" s="1"/>
  <c r="DS4" i="2" s="1"/>
  <c r="DS8" i="2" s="1"/>
  <c r="DS11" i="2" s="1"/>
  <c r="DS16" i="2" s="1"/>
  <c r="CT11" i="7"/>
  <c r="CT16" i="7" s="1"/>
  <c r="DD11" i="7"/>
  <c r="DD16" i="7" s="1"/>
  <c r="CQ11" i="7"/>
  <c r="CQ16" i="7" s="1"/>
  <c r="DC11" i="7"/>
  <c r="DC16" i="7" s="1"/>
  <c r="CZ11" i="7"/>
  <c r="CZ16" i="7" s="1"/>
  <c r="Z11" i="7"/>
  <c r="Z16" i="7" s="1"/>
  <c r="Z4" i="2" s="1"/>
  <c r="Z8" i="2" s="1"/>
  <c r="Z11" i="2" s="1"/>
  <c r="Z16" i="2" s="1"/>
  <c r="DH11" i="7"/>
  <c r="DH16" i="7" s="1"/>
  <c r="DK11" i="7"/>
  <c r="DK16" i="7" s="1"/>
  <c r="CX11" i="7"/>
  <c r="CX16" i="7" s="1"/>
  <c r="DL11" i="7"/>
  <c r="DL16" i="7" s="1"/>
  <c r="AP11" i="2"/>
  <c r="AP16" i="2" s="1"/>
  <c r="CM4" i="2"/>
  <c r="CM8" i="2" s="1"/>
  <c r="CM11" i="2" s="1"/>
  <c r="CM16" i="2" s="1"/>
  <c r="EC13" i="22" s="1"/>
  <c r="EE12" i="22"/>
  <c r="BB12" i="22" s="1"/>
  <c r="DA11" i="7"/>
  <c r="DA16" i="7" s="1"/>
  <c r="DV11" i="7"/>
  <c r="DV16" i="7" s="1"/>
  <c r="DV4" i="2" s="1"/>
  <c r="DV8" i="2" s="1"/>
  <c r="DV11" i="2" s="1"/>
  <c r="DV16" i="2" s="1"/>
  <c r="DO11" i="7"/>
  <c r="DO16" i="7" s="1"/>
  <c r="CV11" i="7"/>
  <c r="CV16" i="7" s="1"/>
  <c r="DB11" i="7"/>
  <c r="DB16" i="7" s="1"/>
  <c r="T11" i="7"/>
  <c r="T16" i="7" s="1"/>
  <c r="T4" i="2" s="1"/>
  <c r="T8" i="2" s="1"/>
  <c r="T11" i="2" s="1"/>
  <c r="T16" i="2" s="1"/>
  <c r="CA11" i="7"/>
  <c r="CA16" i="7" s="1"/>
  <c r="DQ12" i="22" s="1"/>
  <c r="Y11" i="7"/>
  <c r="Y16" i="7" s="1"/>
  <c r="Y4" i="2" s="1"/>
  <c r="Y8" i="2" s="1"/>
  <c r="Y11" i="2" s="1"/>
  <c r="Y16" i="2" s="1"/>
  <c r="BY11" i="7"/>
  <c r="BY16" i="7" s="1"/>
  <c r="BY4" i="2" s="1"/>
  <c r="BY8" i="2" s="1"/>
  <c r="BY11" i="2" s="1"/>
  <c r="BY16" i="2" s="1"/>
  <c r="CL4" i="2"/>
  <c r="CL8" i="2" s="1"/>
  <c r="CL11" i="2" s="1"/>
  <c r="CL16" i="2" s="1"/>
  <c r="EB13" i="22" s="1"/>
  <c r="BM33" i="22"/>
  <c r="CR11" i="7"/>
  <c r="CR16" i="7" s="1"/>
  <c r="AJ11" i="7"/>
  <c r="AJ16" i="7" s="1"/>
  <c r="AJ4" i="2" s="1"/>
  <c r="AJ8" i="2" s="1"/>
  <c r="AJ11" i="2" s="1"/>
  <c r="AJ16" i="2" s="1"/>
  <c r="AT11" i="7"/>
  <c r="AT16" i="7" s="1"/>
  <c r="AT4" i="2" s="1"/>
  <c r="AT8" i="2" s="1"/>
  <c r="AT11" i="2" s="1"/>
  <c r="AT16" i="2" s="1"/>
  <c r="CW11" i="7"/>
  <c r="CW16" i="7" s="1"/>
  <c r="DM11" i="7"/>
  <c r="DM16" i="7" s="1"/>
  <c r="CH11" i="7"/>
  <c r="CH16" i="7" s="1"/>
  <c r="DX11" i="7"/>
  <c r="DX16" i="7" s="1"/>
  <c r="DX4" i="2" s="1"/>
  <c r="DX8" i="2" s="1"/>
  <c r="DX11" i="2" s="1"/>
  <c r="DX16" i="2" s="1"/>
  <c r="DI11" i="7"/>
  <c r="DI16" i="7" s="1"/>
  <c r="DN11" i="7"/>
  <c r="DN16" i="7" s="1"/>
  <c r="DU11" i="7"/>
  <c r="DU16" i="7" s="1"/>
  <c r="DU4" i="2" s="1"/>
  <c r="DU8" i="2" s="1"/>
  <c r="DU11" i="2" s="1"/>
  <c r="DU16" i="2" s="1"/>
  <c r="BK24" i="22"/>
  <c r="AY21" i="117"/>
  <c r="CE21" i="117"/>
  <c r="DI32" i="22"/>
  <c r="BG21" i="117"/>
  <c r="BE100" i="22"/>
  <c r="BA44" i="22"/>
  <c r="BA92" i="22"/>
  <c r="BA86" i="22"/>
  <c r="BA28" i="22"/>
  <c r="BA93" i="22"/>
  <c r="BA80" i="22"/>
  <c r="BA18" i="22"/>
  <c r="BA84" i="22"/>
  <c r="BA37" i="22"/>
  <c r="BA124" i="22"/>
  <c r="BA110" i="22"/>
  <c r="BA79" i="22"/>
  <c r="BA111" i="22"/>
  <c r="BA67" i="22"/>
  <c r="BA112" i="22"/>
  <c r="BA117" i="22"/>
  <c r="BA83" i="22"/>
  <c r="BA100" i="22"/>
  <c r="BA97" i="22"/>
  <c r="BA104" i="22"/>
  <c r="BA116" i="22"/>
  <c r="BA26" i="22"/>
  <c r="BA89" i="22"/>
  <c r="BA36" i="22"/>
  <c r="BA118" i="22"/>
  <c r="BA41" i="22"/>
  <c r="BI88" i="22"/>
  <c r="DZ88" i="22"/>
  <c r="AV88" i="22" s="1"/>
  <c r="DB5" i="34"/>
  <c r="DB9" i="34" s="1"/>
  <c r="DB11" i="34" s="1"/>
  <c r="DB16" i="34" s="1"/>
  <c r="ER22" i="22" s="1"/>
  <c r="ER23" i="22"/>
  <c r="DB6" i="41"/>
  <c r="DB9" i="41" s="1"/>
  <c r="DB11" i="41" s="1"/>
  <c r="DB16" i="41" s="1"/>
  <c r="ER35" i="22" s="1"/>
  <c r="ER14" i="22"/>
  <c r="BM87" i="22"/>
  <c r="BK119" i="22"/>
  <c r="BB118" i="22"/>
  <c r="BE119" i="22"/>
  <c r="BH119" i="22"/>
  <c r="BB104" i="22"/>
  <c r="BB117" i="22"/>
  <c r="BG119" i="22"/>
  <c r="BC111" i="22"/>
  <c r="BB112" i="22"/>
  <c r="BF119" i="22"/>
  <c r="BC118" i="22"/>
  <c r="BJ119" i="22"/>
  <c r="BE118" i="22"/>
  <c r="BM100" i="22"/>
  <c r="BC97" i="22"/>
  <c r="BB110" i="22"/>
  <c r="BF118" i="22"/>
  <c r="BJ118" i="22"/>
  <c r="BI118" i="22"/>
  <c r="BG122" i="22"/>
  <c r="BL119" i="22"/>
  <c r="BK120" i="22"/>
  <c r="BM119" i="22"/>
  <c r="BM118" i="22"/>
  <c r="BB116" i="22"/>
  <c r="BG117" i="22"/>
  <c r="BL118" i="22"/>
  <c r="BI119" i="22"/>
  <c r="BK123" i="22"/>
  <c r="BM78" i="22"/>
  <c r="BB111" i="22"/>
  <c r="BC117" i="22"/>
  <c r="BD118" i="22"/>
  <c r="BC108" i="22"/>
  <c r="BC104" i="22"/>
  <c r="BK118" i="22"/>
  <c r="BD119" i="22"/>
  <c r="CG120" i="22"/>
  <c r="CG123" i="22"/>
  <c r="BM50" i="22"/>
  <c r="CG104" i="22"/>
  <c r="BM85" i="22"/>
  <c r="CG119" i="22"/>
  <c r="BM45" i="22"/>
  <c r="BB97" i="22"/>
  <c r="BM66" i="22"/>
  <c r="BM47" i="22"/>
  <c r="BM10" i="22"/>
  <c r="BM40" i="22"/>
  <c r="BM6" i="22"/>
  <c r="BM43" i="22"/>
  <c r="BM81" i="22"/>
  <c r="BM93" i="22"/>
  <c r="BM8" i="22"/>
  <c r="BM3" i="22"/>
  <c r="BM34" i="22"/>
  <c r="BM32" i="22"/>
  <c r="BL36" i="22"/>
  <c r="BM36" i="22"/>
  <c r="DA5" i="34"/>
  <c r="DA9" i="34" s="1"/>
  <c r="DA11" i="34" s="1"/>
  <c r="DA16" i="34" s="1"/>
  <c r="EQ22" i="22" s="1"/>
  <c r="EQ23" i="22"/>
  <c r="BM26" i="22"/>
  <c r="BL24" i="22"/>
  <c r="BM24" i="22"/>
  <c r="BM16" i="22"/>
  <c r="BM30" i="22"/>
  <c r="BM90" i="22"/>
  <c r="DA6" i="42"/>
  <c r="DA8" i="42" s="1"/>
  <c r="DA9" i="42" s="1"/>
  <c r="DA14" i="42" s="1"/>
  <c r="EQ38" i="22" s="1"/>
  <c r="EQ4" i="22"/>
  <c r="BN4" i="22" s="1"/>
  <c r="DA6" i="41"/>
  <c r="DA9" i="41" s="1"/>
  <c r="DA11" i="41" s="1"/>
  <c r="DA16" i="41" s="1"/>
  <c r="EQ35" i="22" s="1"/>
  <c r="EQ14" i="22"/>
  <c r="BM17" i="22"/>
  <c r="BI90" i="22"/>
  <c r="BH90" i="22"/>
  <c r="X21" i="116"/>
  <c r="BI81" i="22"/>
  <c r="AF20" i="110"/>
  <c r="AF17" i="110"/>
  <c r="AI20" i="109"/>
  <c r="AU17" i="109"/>
  <c r="BP20" i="109"/>
  <c r="DE111" i="22" s="1"/>
  <c r="CE17" i="109"/>
  <c r="AC17" i="110"/>
  <c r="AC20" i="110"/>
  <c r="U20" i="109"/>
  <c r="U17" i="109"/>
  <c r="AL17" i="109"/>
  <c r="Z20" i="109"/>
  <c r="AE20" i="110"/>
  <c r="AE17" i="110"/>
  <c r="AE20" i="109"/>
  <c r="AQ17" i="109"/>
  <c r="AN20" i="109"/>
  <c r="BC17" i="109"/>
  <c r="AZ20" i="109"/>
  <c r="CO111" i="22" s="1"/>
  <c r="BO17" i="109"/>
  <c r="AY17" i="110"/>
  <c r="AY20" i="110"/>
  <c r="CN112" i="22" s="1"/>
  <c r="BX20" i="109"/>
  <c r="DM111" i="22" s="1"/>
  <c r="CM17" i="109"/>
  <c r="AF20" i="109"/>
  <c r="AR17" i="109"/>
  <c r="CA20" i="110"/>
  <c r="DP112" i="22" s="1"/>
  <c r="CA17" i="110"/>
  <c r="AD20" i="110"/>
  <c r="AD17" i="110"/>
  <c r="AW20" i="108"/>
  <c r="CL110" i="22" s="1"/>
  <c r="AW17" i="108"/>
  <c r="BI17" i="110"/>
  <c r="BI20" i="110"/>
  <c r="CX112" i="22" s="1"/>
  <c r="CA20" i="108"/>
  <c r="DP110" i="22" s="1"/>
  <c r="CA17" i="108"/>
  <c r="AQ17" i="108"/>
  <c r="AQ20" i="108"/>
  <c r="BL90" i="22"/>
  <c r="AD20" i="114"/>
  <c r="AD17" i="114"/>
  <c r="BW20" i="114"/>
  <c r="DL116" i="22" s="1"/>
  <c r="BW17" i="114"/>
  <c r="BS17" i="114"/>
  <c r="BS20" i="114"/>
  <c r="DH116" i="22" s="1"/>
  <c r="Y20" i="114"/>
  <c r="Y17" i="114"/>
  <c r="AU17" i="114"/>
  <c r="AU20" i="114"/>
  <c r="CJ116" i="22" s="1"/>
  <c r="AO17" i="114"/>
  <c r="AO20" i="114"/>
  <c r="AF20" i="114"/>
  <c r="AF17" i="114"/>
  <c r="BK81" i="22"/>
  <c r="AR20" i="114"/>
  <c r="AR17" i="114"/>
  <c r="AI20" i="114"/>
  <c r="AI17" i="114"/>
  <c r="AC20" i="114"/>
  <c r="AC17" i="114"/>
  <c r="AX24" i="116"/>
  <c r="CM118" i="22" s="1"/>
  <c r="AX21" i="116"/>
  <c r="AL20" i="115"/>
  <c r="AL17" i="115"/>
  <c r="AS20" i="115"/>
  <c r="CH117" i="22" s="1"/>
  <c r="AS17" i="115"/>
  <c r="BC24" i="116"/>
  <c r="CR118" i="22" s="1"/>
  <c r="BC21" i="116"/>
  <c r="BO24" i="116"/>
  <c r="DD118" i="22" s="1"/>
  <c r="BO21" i="116"/>
  <c r="CN118" i="22"/>
  <c r="AY21" i="116"/>
  <c r="X20" i="115"/>
  <c r="X17" i="115"/>
  <c r="CM24" i="116"/>
  <c r="EB118" i="22" s="1"/>
  <c r="CM21" i="116"/>
  <c r="AW24" i="116"/>
  <c r="CL118" i="22" s="1"/>
  <c r="AW21" i="116"/>
  <c r="AO20" i="115"/>
  <c r="AO17" i="115"/>
  <c r="CN117" i="22"/>
  <c r="AY17" i="115"/>
  <c r="AR20" i="115"/>
  <c r="AR17" i="115"/>
  <c r="BC20" i="115"/>
  <c r="CR117" i="22" s="1"/>
  <c r="BC17" i="115"/>
  <c r="CE20" i="115"/>
  <c r="DT117" i="22" s="1"/>
  <c r="CE17" i="115"/>
  <c r="AM20" i="115"/>
  <c r="AM17" i="115"/>
  <c r="M20" i="115"/>
  <c r="M17" i="115"/>
  <c r="CV21" i="116"/>
  <c r="CV24" i="116"/>
  <c r="EK118" i="22" s="1"/>
  <c r="BH118" i="22" s="1"/>
  <c r="AW20" i="115"/>
  <c r="CL117" i="22" s="1"/>
  <c r="AW17" i="115"/>
  <c r="BK50" i="22"/>
  <c r="I18" i="116"/>
  <c r="I24" i="116" s="1"/>
  <c r="BJ90" i="22"/>
  <c r="BK90" i="22"/>
  <c r="BH20" i="115"/>
  <c r="CW117" i="22" s="1"/>
  <c r="BH17" i="115"/>
  <c r="CM20" i="115"/>
  <c r="EB117" i="22" s="1"/>
  <c r="CM17" i="115"/>
  <c r="AU20" i="115"/>
  <c r="CJ117" i="22" s="1"/>
  <c r="AU17" i="115"/>
  <c r="Q20" i="115"/>
  <c r="Q17" i="115"/>
  <c r="BO20" i="115"/>
  <c r="DD117" i="22" s="1"/>
  <c r="BO17" i="115"/>
  <c r="AA20" i="115"/>
  <c r="AA17" i="115"/>
  <c r="BM20" i="115"/>
  <c r="DB117" i="22" s="1"/>
  <c r="BM17" i="115"/>
  <c r="BW20" i="115"/>
  <c r="DL117" i="22" s="1"/>
  <c r="BW17" i="115"/>
  <c r="CB24" i="116"/>
  <c r="DQ118" i="22" s="1"/>
  <c r="CB21" i="116"/>
  <c r="CI20" i="115"/>
  <c r="DX117" i="22" s="1"/>
  <c r="CI17" i="115"/>
  <c r="R18" i="116"/>
  <c r="R24" i="116" s="1"/>
  <c r="S18" i="116"/>
  <c r="S24" i="116" s="1"/>
  <c r="Q18" i="116"/>
  <c r="Q24" i="116" s="1"/>
  <c r="O18" i="116"/>
  <c r="O24" i="116" s="1"/>
  <c r="N18" i="116"/>
  <c r="N21" i="116" s="1"/>
  <c r="M18" i="116"/>
  <c r="M24" i="116" s="1"/>
  <c r="L18" i="116"/>
  <c r="L24" i="116" s="1"/>
  <c r="BJ8" i="22"/>
  <c r="BL32" i="22"/>
  <c r="BK45" i="22"/>
  <c r="BJ43" i="22"/>
  <c r="BL85" i="22"/>
  <c r="BK66" i="22"/>
  <c r="BK87" i="22"/>
  <c r="BJ47" i="22"/>
  <c r="BK32" i="22"/>
  <c r="BJ26" i="22"/>
  <c r="BJ85" i="22"/>
  <c r="BJ11" i="22"/>
  <c r="BJ81" i="22"/>
  <c r="BJ78" i="22"/>
  <c r="BJ15" i="22"/>
  <c r="BK17" i="22"/>
  <c r="BI100" i="22"/>
  <c r="BL47" i="22"/>
  <c r="BJ3" i="22"/>
  <c r="BJ6" i="22"/>
  <c r="BG100" i="22"/>
  <c r="BK100" i="22"/>
  <c r="BJ34" i="22"/>
  <c r="BJ33" i="22"/>
  <c r="CX5" i="34"/>
  <c r="CX9" i="34" s="1"/>
  <c r="CX11" i="34" s="1"/>
  <c r="CX16" i="34" s="1"/>
  <c r="EN22" i="22" s="1"/>
  <c r="BK22" i="22" s="1"/>
  <c r="EN23" i="22"/>
  <c r="CZ6" i="41"/>
  <c r="CZ9" i="41" s="1"/>
  <c r="CZ11" i="41" s="1"/>
  <c r="CZ16" i="41" s="1"/>
  <c r="EP35" i="22" s="1"/>
  <c r="EP14" i="22"/>
  <c r="BL45" i="22"/>
  <c r="CY6" i="41"/>
  <c r="CY9" i="41" s="1"/>
  <c r="CY11" i="41" s="1"/>
  <c r="EO14" i="22"/>
  <c r="BK34" i="22"/>
  <c r="BL34" i="22"/>
  <c r="BJ30" i="22"/>
  <c r="BL50" i="22"/>
  <c r="BJ40" i="22"/>
  <c r="BF100" i="22"/>
  <c r="BK43" i="22"/>
  <c r="CX6" i="42"/>
  <c r="CX8" i="42" s="1"/>
  <c r="CX9" i="42" s="1"/>
  <c r="CX14" i="42" s="1"/>
  <c r="EN38" i="22" s="1"/>
  <c r="EN4" i="22"/>
  <c r="BJ45" i="22"/>
  <c r="BL43" i="22"/>
  <c r="BK47" i="22"/>
  <c r="BL81" i="22"/>
  <c r="BL78" i="22"/>
  <c r="BK3" i="22"/>
  <c r="CZ6" i="42"/>
  <c r="CZ8" i="42" s="1"/>
  <c r="CZ9" i="42" s="1"/>
  <c r="CZ14" i="42" s="1"/>
  <c r="EP38" i="22" s="1"/>
  <c r="EP4" i="22"/>
  <c r="BJ66" i="22"/>
  <c r="BJ32" i="22"/>
  <c r="BK15" i="22"/>
  <c r="BJ16" i="22"/>
  <c r="X14" i="97"/>
  <c r="X17" i="97" s="1"/>
  <c r="X23" i="97" s="1"/>
  <c r="BK11" i="22"/>
  <c r="BL93" i="22"/>
  <c r="BL3" i="22"/>
  <c r="CZ5" i="34"/>
  <c r="CZ9" i="34" s="1"/>
  <c r="CZ11" i="34" s="1"/>
  <c r="CZ16" i="34" s="1"/>
  <c r="EP22" i="22" s="1"/>
  <c r="EP23" i="22"/>
  <c r="BJ17" i="22"/>
  <c r="BJ10" i="22"/>
  <c r="BJ24" i="22"/>
  <c r="BJ100" i="22"/>
  <c r="BK85" i="22"/>
  <c r="BK30" i="22"/>
  <c r="BL30" i="22"/>
  <c r="BB100" i="22"/>
  <c r="BK78" i="22"/>
  <c r="BJ87" i="22"/>
  <c r="BJ50" i="22"/>
  <c r="CX6" i="41"/>
  <c r="CX9" i="41" s="1"/>
  <c r="CX11" i="41" s="1"/>
  <c r="EN14" i="22"/>
  <c r="BL66" i="22"/>
  <c r="BL17" i="22"/>
  <c r="BH100" i="22"/>
  <c r="BL100" i="22"/>
  <c r="CY7" i="51"/>
  <c r="CY11" i="51" s="1"/>
  <c r="CY13" i="51" s="1"/>
  <c r="AP24" i="123"/>
  <c r="AP21" i="123"/>
  <c r="AM24" i="123"/>
  <c r="AM21" i="123"/>
  <c r="AG24" i="123"/>
  <c r="AG21" i="123"/>
  <c r="BU24" i="123"/>
  <c r="DJ124" i="22" s="1"/>
  <c r="BU21" i="123"/>
  <c r="AL21" i="123"/>
  <c r="AL24" i="123"/>
  <c r="CD24" i="123"/>
  <c r="DS124" i="22" s="1"/>
  <c r="CD21" i="123"/>
  <c r="CQ24" i="123"/>
  <c r="EF124" i="22" s="1"/>
  <c r="BC124" i="22" s="1"/>
  <c r="CQ21" i="123"/>
  <c r="BI16" i="22"/>
  <c r="BI11" i="22"/>
  <c r="BI78" i="22"/>
  <c r="BI87" i="22"/>
  <c r="BI45" i="22"/>
  <c r="BI66" i="22"/>
  <c r="BI32" i="22"/>
  <c r="BI30" i="22"/>
  <c r="BI26" i="22"/>
  <c r="BI24" i="22"/>
  <c r="BI93" i="22"/>
  <c r="BI33" i="22"/>
  <c r="BI40" i="22"/>
  <c r="BI8" i="22"/>
  <c r="BH26" i="22"/>
  <c r="BH30" i="22"/>
  <c r="BH43" i="22"/>
  <c r="CW6" i="42"/>
  <c r="CW8" i="42" s="1"/>
  <c r="CW9" i="42" s="1"/>
  <c r="CW14" i="42" s="1"/>
  <c r="EM38" i="22" s="1"/>
  <c r="EM4" i="22"/>
  <c r="BH93" i="22"/>
  <c r="BI3" i="22"/>
  <c r="CW5" i="34"/>
  <c r="CW9" i="34" s="1"/>
  <c r="CW11" i="34" s="1"/>
  <c r="CW16" i="34" s="1"/>
  <c r="EM22" i="22" s="1"/>
  <c r="EM23" i="22"/>
  <c r="BI85" i="22"/>
  <c r="BI17" i="22"/>
  <c r="BI6" i="22"/>
  <c r="BI50" i="22"/>
  <c r="BI43" i="22"/>
  <c r="CW6" i="41"/>
  <c r="CW9" i="41" s="1"/>
  <c r="CW11" i="41" s="1"/>
  <c r="EM14" i="22"/>
  <c r="BI15" i="22"/>
  <c r="BI34" i="22"/>
  <c r="BI10" i="22"/>
  <c r="BI47" i="22"/>
  <c r="CX7" i="51"/>
  <c r="CX11" i="51" s="1"/>
  <c r="CX13" i="51" s="1"/>
  <c r="CV5" i="34"/>
  <c r="CV9" i="34" s="1"/>
  <c r="CV11" i="34" s="1"/>
  <c r="CV16" i="34" s="1"/>
  <c r="EL22" i="22" s="1"/>
  <c r="EL23" i="22"/>
  <c r="CV6" i="41"/>
  <c r="CV9" i="41" s="1"/>
  <c r="CV11" i="41" s="1"/>
  <c r="EL14" i="22"/>
  <c r="CV6" i="42"/>
  <c r="CV8" i="42" s="1"/>
  <c r="CV9" i="42" s="1"/>
  <c r="CV14" i="42" s="1"/>
  <c r="EL38" i="22" s="1"/>
  <c r="EL4" i="22"/>
  <c r="BT19" i="94"/>
  <c r="DI97" i="22" s="1"/>
  <c r="BT16" i="94"/>
  <c r="BH19" i="94"/>
  <c r="CW97" i="22" s="1"/>
  <c r="BH16" i="94"/>
  <c r="R19" i="94"/>
  <c r="R16" i="94"/>
  <c r="AC19" i="94"/>
  <c r="AC16" i="94"/>
  <c r="Q19" i="94"/>
  <c r="Q16" i="94"/>
  <c r="P19" i="94"/>
  <c r="P16" i="94"/>
  <c r="AM19" i="94"/>
  <c r="AM16" i="94"/>
  <c r="AN19" i="94"/>
  <c r="AN16" i="94"/>
  <c r="AR19" i="94"/>
  <c r="AR16" i="94"/>
  <c r="AI20" i="97"/>
  <c r="AI23" i="97"/>
  <c r="Q17" i="97"/>
  <c r="Q23" i="97" s="1"/>
  <c r="BH20" i="97"/>
  <c r="BH23" i="97"/>
  <c r="CW100" i="22" s="1"/>
  <c r="U17" i="97"/>
  <c r="U23" i="97" s="1"/>
  <c r="AP23" i="97"/>
  <c r="AP20" i="97"/>
  <c r="AZ16" i="94"/>
  <c r="AG20" i="97"/>
  <c r="AG23" i="97"/>
  <c r="S17" i="97"/>
  <c r="S23" i="97" s="1"/>
  <c r="BL23" i="97"/>
  <c r="DA100" i="22" s="1"/>
  <c r="BL20" i="97"/>
  <c r="CR23" i="97"/>
  <c r="EG100" i="22" s="1"/>
  <c r="BD100" i="22" s="1"/>
  <c r="CR20" i="97"/>
  <c r="BX23" i="97"/>
  <c r="DM100" i="22" s="1"/>
  <c r="BX20" i="97"/>
  <c r="BU23" i="97"/>
  <c r="DJ100" i="22" s="1"/>
  <c r="BU20" i="97"/>
  <c r="W17" i="97"/>
  <c r="W23" i="97" s="1"/>
  <c r="AM23" i="97"/>
  <c r="AM20" i="97"/>
  <c r="BX16" i="94"/>
  <c r="CI23" i="97"/>
  <c r="DX100" i="22" s="1"/>
  <c r="CI20" i="97"/>
  <c r="T17" i="97"/>
  <c r="T23" i="97" s="1"/>
  <c r="V17" i="97"/>
  <c r="V23" i="97" s="1"/>
  <c r="AD23" i="97"/>
  <c r="AD20" i="97"/>
  <c r="AR23" i="97"/>
  <c r="AR20" i="97"/>
  <c r="R17" i="97"/>
  <c r="R23" i="97" s="1"/>
  <c r="AE19" i="94"/>
  <c r="AE16" i="94"/>
  <c r="AM83" i="22"/>
  <c r="ES22" i="125"/>
  <c r="ES23" i="125" s="1"/>
  <c r="ES30" i="125" s="1"/>
  <c r="EU22" i="125"/>
  <c r="EU23" i="125" s="1"/>
  <c r="EU30" i="125" s="1"/>
  <c r="CK19" i="125"/>
  <c r="CK22" i="125" s="1"/>
  <c r="CK23" i="125" s="1"/>
  <c r="CK30" i="125" s="1"/>
  <c r="CH19" i="125"/>
  <c r="CH22" i="125" s="1"/>
  <c r="CH23" i="125" s="1"/>
  <c r="CH30" i="125" s="1"/>
  <c r="BJ19" i="125"/>
  <c r="BJ22" i="125" s="1"/>
  <c r="BJ23" i="125" s="1"/>
  <c r="BJ30" i="125" s="1"/>
  <c r="BR19" i="125"/>
  <c r="BR22" i="125" s="1"/>
  <c r="BR23" i="125" s="1"/>
  <c r="BR30" i="125" s="1"/>
  <c r="CR19" i="125"/>
  <c r="CR22" i="125" s="1"/>
  <c r="CR23" i="125" s="1"/>
  <c r="CR30" i="125" s="1"/>
  <c r="CI19" i="125"/>
  <c r="CI22" i="125" s="1"/>
  <c r="CI23" i="125" s="1"/>
  <c r="CI30" i="125" s="1"/>
  <c r="AS19" i="125"/>
  <c r="AS22" i="125" s="1"/>
  <c r="AS23" i="125" s="1"/>
  <c r="AS30" i="125" s="1"/>
  <c r="AV19" i="125"/>
  <c r="BU19" i="125"/>
  <c r="BU22" i="125" s="1"/>
  <c r="BU23" i="125" s="1"/>
  <c r="BU30" i="125" s="1"/>
  <c r="BQ19" i="125"/>
  <c r="BQ22" i="125" s="1"/>
  <c r="BQ23" i="125" s="1"/>
  <c r="BQ30" i="125" s="1"/>
  <c r="BQ29" i="125" s="1"/>
  <c r="BA19" i="125"/>
  <c r="BA22" i="125" s="1"/>
  <c r="BA23" i="125" s="1"/>
  <c r="BA30" i="125" s="1"/>
  <c r="BA29" i="125" s="1"/>
  <c r="BG19" i="125"/>
  <c r="BG22" i="125" s="1"/>
  <c r="BG23" i="125" s="1"/>
  <c r="BG30" i="125" s="1"/>
  <c r="CD19" i="125"/>
  <c r="CD22" i="125" s="1"/>
  <c r="CD23" i="125" s="1"/>
  <c r="CD30" i="125" s="1"/>
  <c r="CD29" i="125" s="1"/>
  <c r="AR19" i="125"/>
  <c r="AR22" i="125" s="1"/>
  <c r="AR23" i="125" s="1"/>
  <c r="AR30" i="125" s="1"/>
  <c r="BP19" i="125"/>
  <c r="BP22" i="125" s="1"/>
  <c r="BP23" i="125" s="1"/>
  <c r="BP30" i="125" s="1"/>
  <c r="BC19" i="125"/>
  <c r="BC22" i="125" s="1"/>
  <c r="BC23" i="125" s="1"/>
  <c r="BC30" i="125" s="1"/>
  <c r="BM19" i="125"/>
  <c r="BM22" i="125" s="1"/>
  <c r="BM23" i="125" s="1"/>
  <c r="BM30" i="125" s="1"/>
  <c r="CS19" i="125"/>
  <c r="CS22" i="125" s="1"/>
  <c r="CS23" i="125" s="1"/>
  <c r="CS30" i="125" s="1"/>
  <c r="BT19" i="125"/>
  <c r="BT22" i="125" s="1"/>
  <c r="BT23" i="125" s="1"/>
  <c r="BT30" i="125" s="1"/>
  <c r="BT29" i="125" s="1"/>
  <c r="AW19" i="125"/>
  <c r="AW22" i="125" s="1"/>
  <c r="AW23" i="125" s="1"/>
  <c r="AW30" i="125" s="1"/>
  <c r="AW29" i="125" s="1"/>
  <c r="CW30" i="125"/>
  <c r="BL19" i="125"/>
  <c r="BL22" i="125" s="1"/>
  <c r="BL23" i="125" s="1"/>
  <c r="BL30" i="125" s="1"/>
  <c r="AZ19" i="125"/>
  <c r="AZ22" i="125" s="1"/>
  <c r="AZ23" i="125" s="1"/>
  <c r="AZ30" i="125" s="1"/>
  <c r="BD19" i="125"/>
  <c r="BD22" i="125" s="1"/>
  <c r="BD23" i="125" s="1"/>
  <c r="BD30" i="125" s="1"/>
  <c r="BD29" i="125" s="1"/>
  <c r="BE19" i="125"/>
  <c r="BE22" i="125" s="1"/>
  <c r="BE23" i="125" s="1"/>
  <c r="BE30" i="125" s="1"/>
  <c r="AO19" i="125"/>
  <c r="AO22" i="125" s="1"/>
  <c r="AO23" i="125" s="1"/>
  <c r="AO30" i="125" s="1"/>
  <c r="BH19" i="125"/>
  <c r="BH22" i="125" s="1"/>
  <c r="BH23" i="125" s="1"/>
  <c r="BH30" i="125" s="1"/>
  <c r="AQ19" i="125"/>
  <c r="AQ22" i="125" s="1"/>
  <c r="AQ23" i="125" s="1"/>
  <c r="AQ30" i="125" s="1"/>
  <c r="CQ19" i="125"/>
  <c r="CQ22" i="125" s="1"/>
  <c r="CQ23" i="125" s="1"/>
  <c r="CQ30" i="125" s="1"/>
  <c r="CB19" i="125"/>
  <c r="CB22" i="125" s="1"/>
  <c r="CB23" i="125" s="1"/>
  <c r="CB30" i="125" s="1"/>
  <c r="CJ19" i="125"/>
  <c r="CJ22" i="125" s="1"/>
  <c r="CJ23" i="125" s="1"/>
  <c r="CJ30" i="125" s="1"/>
  <c r="AP19" i="125"/>
  <c r="AP22" i="125" s="1"/>
  <c r="AP23" i="125" s="1"/>
  <c r="AP30" i="125" s="1"/>
  <c r="BF19" i="125"/>
  <c r="BF22" i="125" s="1"/>
  <c r="BF23" i="125" s="1"/>
  <c r="BF30" i="125" s="1"/>
  <c r="BW19" i="125"/>
  <c r="BW22" i="125" s="1"/>
  <c r="BW23" i="125" s="1"/>
  <c r="BW30" i="125" s="1"/>
  <c r="BI19" i="125"/>
  <c r="BI22" i="125" s="1"/>
  <c r="BI23" i="125" s="1"/>
  <c r="BI30" i="125" s="1"/>
  <c r="BB19" i="125"/>
  <c r="BB22" i="125" s="1"/>
  <c r="BB23" i="125" s="1"/>
  <c r="BB30" i="125" s="1"/>
  <c r="FC22" i="125"/>
  <c r="FC23" i="125" s="1"/>
  <c r="FC30" i="125" s="1"/>
  <c r="CP19" i="125"/>
  <c r="CP22" i="125" s="1"/>
  <c r="CP23" i="125" s="1"/>
  <c r="CP30" i="125" s="1"/>
  <c r="CP29" i="125" s="1"/>
  <c r="CA19" i="125"/>
  <c r="CA22" i="125" s="1"/>
  <c r="CA23" i="125" s="1"/>
  <c r="CA30" i="125" s="1"/>
  <c r="CT19" i="125"/>
  <c r="CT22" i="125" s="1"/>
  <c r="CT23" i="125" s="1"/>
  <c r="CT30" i="125" s="1"/>
  <c r="BN19" i="125"/>
  <c r="BN22" i="125" s="1"/>
  <c r="BN23" i="125" s="1"/>
  <c r="BN30" i="125" s="1"/>
  <c r="CL19" i="125"/>
  <c r="CL22" i="125" s="1"/>
  <c r="CL23" i="125" s="1"/>
  <c r="CL30" i="125" s="1"/>
  <c r="AU19" i="125"/>
  <c r="AU22" i="125" s="1"/>
  <c r="AU23" i="125" s="1"/>
  <c r="AU30" i="125" s="1"/>
  <c r="AY19" i="125"/>
  <c r="AY22" i="125" s="1"/>
  <c r="AY23" i="125" s="1"/>
  <c r="AY30" i="125" s="1"/>
  <c r="CC19" i="125"/>
  <c r="CC22" i="125" s="1"/>
  <c r="CC23" i="125" s="1"/>
  <c r="CC30" i="125" s="1"/>
  <c r="BX19" i="125"/>
  <c r="BX22" i="125" s="1"/>
  <c r="BX23" i="125" s="1"/>
  <c r="BX30" i="125" s="1"/>
  <c r="BO19" i="125"/>
  <c r="BO22" i="125" s="1"/>
  <c r="BO23" i="125" s="1"/>
  <c r="BO30" i="125" s="1"/>
  <c r="AX19" i="125"/>
  <c r="AX22" i="125" s="1"/>
  <c r="AX23" i="125" s="1"/>
  <c r="AX30" i="125" s="1"/>
  <c r="BV19" i="125"/>
  <c r="BV22" i="125" s="1"/>
  <c r="BV23" i="125" s="1"/>
  <c r="BV30" i="125" s="1"/>
  <c r="AT19" i="125"/>
  <c r="AT22" i="125" s="1"/>
  <c r="AT23" i="125" s="1"/>
  <c r="AT30" i="125" s="1"/>
  <c r="AN19" i="125"/>
  <c r="AN22" i="125" s="1"/>
  <c r="AN23" i="125" s="1"/>
  <c r="AN30" i="125" s="1"/>
  <c r="BS19" i="125"/>
  <c r="BS22" i="125" s="1"/>
  <c r="BS23" i="125" s="1"/>
  <c r="BS30" i="125" s="1"/>
  <c r="BK19" i="125"/>
  <c r="BK22" i="125" s="1"/>
  <c r="BK23" i="125" s="1"/>
  <c r="BK30" i="125" s="1"/>
  <c r="CE19" i="125"/>
  <c r="CE22" i="125" s="1"/>
  <c r="CE23" i="125" s="1"/>
  <c r="CE30" i="125" s="1"/>
  <c r="BZ19" i="125"/>
  <c r="BZ22" i="125" s="1"/>
  <c r="BZ23" i="125" s="1"/>
  <c r="BZ30" i="125" s="1"/>
  <c r="DF22" i="125"/>
  <c r="DF23" i="125" s="1"/>
  <c r="DF30" i="125" s="1"/>
  <c r="DM22" i="125"/>
  <c r="DM23" i="125" s="1"/>
  <c r="DM30" i="125" s="1"/>
  <c r="DS22" i="125"/>
  <c r="DS23" i="125" s="1"/>
  <c r="DS30" i="125" s="1"/>
  <c r="EZ22" i="125"/>
  <c r="EZ23" i="125" s="1"/>
  <c r="EZ30" i="125" s="1"/>
  <c r="DZ22" i="125"/>
  <c r="DZ23" i="125" s="1"/>
  <c r="DZ30" i="125" s="1"/>
  <c r="CU23" i="125"/>
  <c r="CU30" i="125" s="1"/>
  <c r="CM23" i="125"/>
  <c r="CM30" i="125" s="1"/>
  <c r="CO23" i="125"/>
  <c r="CO30" i="125" s="1"/>
  <c r="EO22" i="125"/>
  <c r="EO23" i="125" s="1"/>
  <c r="EO30" i="125" s="1"/>
  <c r="EA22" i="125"/>
  <c r="EA23" i="125" s="1"/>
  <c r="EA30" i="125" s="1"/>
  <c r="EL22" i="125"/>
  <c r="EL23" i="125" s="1"/>
  <c r="EL30" i="125" s="1"/>
  <c r="DE22" i="125"/>
  <c r="DE23" i="125" s="1"/>
  <c r="DE30" i="125" s="1"/>
  <c r="EK22" i="125"/>
  <c r="EK23" i="125" s="1"/>
  <c r="EK30" i="125" s="1"/>
  <c r="FD22" i="125"/>
  <c r="FD23" i="125" s="1"/>
  <c r="FD30" i="125" s="1"/>
  <c r="EC22" i="125"/>
  <c r="EC23" i="125" s="1"/>
  <c r="EC30" i="125" s="1"/>
  <c r="DX22" i="125"/>
  <c r="DX23" i="125" s="1"/>
  <c r="DX30" i="125" s="1"/>
  <c r="CX22" i="125"/>
  <c r="CX23" i="125" s="1"/>
  <c r="CX30" i="125" s="1"/>
  <c r="DO22" i="125"/>
  <c r="DO23" i="125" s="1"/>
  <c r="DO30" i="125" s="1"/>
  <c r="ET22" i="125"/>
  <c r="ET23" i="125" s="1"/>
  <c r="ET30" i="125" s="1"/>
  <c r="DW22" i="125"/>
  <c r="DW23" i="125" s="1"/>
  <c r="DW30" i="125" s="1"/>
  <c r="DD22" i="125"/>
  <c r="DD23" i="125" s="1"/>
  <c r="DD30" i="125" s="1"/>
  <c r="EJ22" i="125"/>
  <c r="EJ23" i="125" s="1"/>
  <c r="EJ30" i="125" s="1"/>
  <c r="EB22" i="125"/>
  <c r="EB23" i="125" s="1"/>
  <c r="EB30" i="125" s="1"/>
  <c r="DV22" i="125"/>
  <c r="DV23" i="125" s="1"/>
  <c r="DV30" i="125" s="1"/>
  <c r="DC22" i="125"/>
  <c r="DC23" i="125" s="1"/>
  <c r="DC30" i="125" s="1"/>
  <c r="DP22" i="125"/>
  <c r="DP23" i="125" s="1"/>
  <c r="DP30" i="125" s="1"/>
  <c r="DU22" i="125"/>
  <c r="DU23" i="125" s="1"/>
  <c r="DU30" i="125" s="1"/>
  <c r="FB22" i="125"/>
  <c r="FB23" i="125" s="1"/>
  <c r="FB30" i="125" s="1"/>
  <c r="EX22" i="125"/>
  <c r="EX23" i="125" s="1"/>
  <c r="EX30" i="125" s="1"/>
  <c r="EM22" i="125"/>
  <c r="EM23" i="125" s="1"/>
  <c r="EM30" i="125" s="1"/>
  <c r="EH22" i="125"/>
  <c r="EH23" i="125" s="1"/>
  <c r="EH30" i="125" s="1"/>
  <c r="EF22" i="125"/>
  <c r="EF23" i="125" s="1"/>
  <c r="EF30" i="125" s="1"/>
  <c r="DH22" i="125"/>
  <c r="DH23" i="125" s="1"/>
  <c r="DH30" i="125" s="1"/>
  <c r="DN22" i="125"/>
  <c r="DN23" i="125" s="1"/>
  <c r="DN30" i="125" s="1"/>
  <c r="EI22" i="125"/>
  <c r="EI23" i="125" s="1"/>
  <c r="EI30" i="125" s="1"/>
  <c r="DK22" i="125"/>
  <c r="DK23" i="125" s="1"/>
  <c r="DK30" i="125" s="1"/>
  <c r="DQ22" i="125"/>
  <c r="DQ23" i="125" s="1"/>
  <c r="DQ30" i="125" s="1"/>
  <c r="DB22" i="125"/>
  <c r="DB23" i="125" s="1"/>
  <c r="DB30" i="125" s="1"/>
  <c r="EP22" i="125"/>
  <c r="EP23" i="125" s="1"/>
  <c r="EP30" i="125" s="1"/>
  <c r="DJ22" i="125"/>
  <c r="DJ23" i="125" s="1"/>
  <c r="DJ30" i="125" s="1"/>
  <c r="EG22" i="125"/>
  <c r="EG23" i="125" s="1"/>
  <c r="EG30" i="125" s="1"/>
  <c r="CV23" i="125"/>
  <c r="CV30" i="125" s="1"/>
  <c r="DL22" i="125"/>
  <c r="DL23" i="125" s="1"/>
  <c r="DL30" i="125" s="1"/>
  <c r="FE22" i="125"/>
  <c r="FE23" i="125" s="1"/>
  <c r="FE30" i="125" s="1"/>
  <c r="ED22" i="125"/>
  <c r="ED23" i="125" s="1"/>
  <c r="ED30" i="125" s="1"/>
  <c r="EW22" i="125"/>
  <c r="EW23" i="125" s="1"/>
  <c r="EW30" i="125" s="1"/>
  <c r="DY22" i="125"/>
  <c r="DY23" i="125" s="1"/>
  <c r="DY30" i="125" s="1"/>
  <c r="EY22" i="125"/>
  <c r="EY23" i="125" s="1"/>
  <c r="EY30" i="125" s="1"/>
  <c r="ER22" i="125"/>
  <c r="ER23" i="125" s="1"/>
  <c r="ER30" i="125" s="1"/>
  <c r="EV22" i="125"/>
  <c r="EV23" i="125" s="1"/>
  <c r="EV30" i="125" s="1"/>
  <c r="CY22" i="125"/>
  <c r="CY23" i="125" s="1"/>
  <c r="CY30" i="125" s="1"/>
  <c r="DI22" i="125"/>
  <c r="DI23" i="125" s="1"/>
  <c r="DI30" i="125" s="1"/>
  <c r="AM23" i="125"/>
  <c r="AM30" i="125" s="1"/>
  <c r="DR22" i="125"/>
  <c r="DR23" i="125" s="1"/>
  <c r="DR30" i="125" s="1"/>
  <c r="DG22" i="125"/>
  <c r="DG23" i="125" s="1"/>
  <c r="DG30" i="125" s="1"/>
  <c r="CZ22" i="125"/>
  <c r="CZ23" i="125" s="1"/>
  <c r="CZ30" i="125" s="1"/>
  <c r="DT22" i="125"/>
  <c r="DT23" i="125" s="1"/>
  <c r="DT30" i="125" s="1"/>
  <c r="EQ22" i="125"/>
  <c r="EQ23" i="125" s="1"/>
  <c r="EQ30" i="125" s="1"/>
  <c r="DA22" i="125"/>
  <c r="DA23" i="125" s="1"/>
  <c r="DA30" i="125" s="1"/>
  <c r="FA22" i="125"/>
  <c r="FA23" i="125" s="1"/>
  <c r="FA30" i="125" s="1"/>
  <c r="EN22" i="125"/>
  <c r="EN23" i="125" s="1"/>
  <c r="EN30" i="125" s="1"/>
  <c r="EE22" i="125"/>
  <c r="EE23" i="125" s="1"/>
  <c r="EE30" i="125" s="1"/>
  <c r="AQ67" i="22"/>
  <c r="DM32" i="22"/>
  <c r="DV26" i="22"/>
  <c r="BD90" i="22"/>
  <c r="BE90" i="22"/>
  <c r="BG91" i="22"/>
  <c r="BG86" i="22"/>
  <c r="BF90" i="22"/>
  <c r="BR32" i="83"/>
  <c r="AT80" i="22"/>
  <c r="AJ41" i="22"/>
  <c r="AJ36" i="22"/>
  <c r="AJ67" i="22"/>
  <c r="AK86" i="22"/>
  <c r="CI15" i="43"/>
  <c r="DW26" i="22"/>
  <c r="AT79" i="22"/>
  <c r="AM86" i="22"/>
  <c r="BM26" i="83"/>
  <c r="DJ32" i="22"/>
  <c r="DH26" i="22"/>
  <c r="BO32" i="83"/>
  <c r="AE32" i="83" s="1"/>
  <c r="AL86" i="22"/>
  <c r="BH26" i="83"/>
  <c r="DC26" i="22"/>
  <c r="X26" i="22" s="1"/>
  <c r="EI26" i="22"/>
  <c r="AK80" i="22"/>
  <c r="CW15" i="13"/>
  <c r="DQ26" i="22"/>
  <c r="AM26" i="22" s="1"/>
  <c r="DO7" i="51"/>
  <c r="DO11" i="51" s="1"/>
  <c r="DO13" i="51" s="1"/>
  <c r="BG90" i="22"/>
  <c r="BC37" i="22"/>
  <c r="AO86" i="22"/>
  <c r="DS7" i="51"/>
  <c r="DS11" i="51" s="1"/>
  <c r="DS13" i="51" s="1"/>
  <c r="DS18" i="51" s="1"/>
  <c r="FH29" i="22" s="1"/>
  <c r="AW92" i="22"/>
  <c r="AN83" i="22"/>
  <c r="AM28" i="22"/>
  <c r="AQ83" i="22"/>
  <c r="AO89" i="22"/>
  <c r="AT89" i="22"/>
  <c r="AT86" i="22"/>
  <c r="AR86" i="22"/>
  <c r="BG44" i="22"/>
  <c r="AL84" i="22"/>
  <c r="BD18" i="22"/>
  <c r="AT18" i="22"/>
  <c r="AV83" i="22"/>
  <c r="AT83" i="22"/>
  <c r="BC90" i="22"/>
  <c r="AL41" i="22"/>
  <c r="AV84" i="22"/>
  <c r="AW83" i="22"/>
  <c r="AP37" i="22"/>
  <c r="AX83" i="22"/>
  <c r="AV18" i="22"/>
  <c r="AV28" i="22"/>
  <c r="AM37" i="22"/>
  <c r="AM80" i="22"/>
  <c r="DD7" i="51"/>
  <c r="DD11" i="51" s="1"/>
  <c r="DD13" i="51" s="1"/>
  <c r="BL26" i="83"/>
  <c r="DG26" i="22"/>
  <c r="AK41" i="22"/>
  <c r="AW84" i="22"/>
  <c r="BR26" i="83"/>
  <c r="BB84" i="22"/>
  <c r="BD28" i="22"/>
  <c r="BC26" i="22"/>
  <c r="DM26" i="22"/>
  <c r="BP26" i="83"/>
  <c r="AF86" i="22"/>
  <c r="BN26" i="83"/>
  <c r="DK26" i="22"/>
  <c r="AV44" i="22"/>
  <c r="AT92" i="22"/>
  <c r="AO41" i="22"/>
  <c r="AS79" i="22"/>
  <c r="BD86" i="22"/>
  <c r="AN41" i="22"/>
  <c r="AV79" i="22"/>
  <c r="Z84" i="22"/>
  <c r="AZ26" i="22"/>
  <c r="AR79" i="22"/>
  <c r="CY32" i="22"/>
  <c r="AK89" i="22"/>
  <c r="BD89" i="22"/>
  <c r="AT44" i="22"/>
  <c r="BD32" i="83"/>
  <c r="T32" i="83" s="1"/>
  <c r="AO36" i="22"/>
  <c r="AO80" i="22"/>
  <c r="AR28" i="22"/>
  <c r="AN86" i="22"/>
  <c r="DS26" i="22"/>
  <c r="AN26" i="22" s="1"/>
  <c r="AK36" i="22"/>
  <c r="AL92" i="22"/>
  <c r="AX86" i="22"/>
  <c r="AZ18" i="22"/>
  <c r="BD83" i="22"/>
  <c r="DD26" i="22"/>
  <c r="DI26" i="22"/>
  <c r="BF67" i="22"/>
  <c r="AN37" i="22"/>
  <c r="AW28" i="22"/>
  <c r="AX79" i="22"/>
  <c r="CV32" i="22"/>
  <c r="CZ26" i="22"/>
  <c r="AN80" i="22"/>
  <c r="AP36" i="22"/>
  <c r="BE26" i="83"/>
  <c r="AV67" i="22"/>
  <c r="AJ89" i="22"/>
  <c r="AL36" i="22"/>
  <c r="AK44" i="22"/>
  <c r="AN36" i="22"/>
  <c r="AN18" i="22"/>
  <c r="AM67" i="22"/>
  <c r="H36" i="83"/>
  <c r="AJ44" i="22"/>
  <c r="AN67" i="22"/>
  <c r="AO79" i="22"/>
  <c r="AW89" i="22"/>
  <c r="AL28" i="22"/>
  <c r="BA32" i="83"/>
  <c r="Q32" i="83" s="1"/>
  <c r="BD88" i="22"/>
  <c r="BF89" i="22"/>
  <c r="AX89" i="22"/>
  <c r="BB86" i="22"/>
  <c r="AW26" i="22"/>
  <c r="AR41" i="22"/>
  <c r="DY26" i="22"/>
  <c r="AV26" i="22" s="1"/>
  <c r="BB41" i="22"/>
  <c r="BF44" i="22"/>
  <c r="BE37" i="22"/>
  <c r="AI84" i="22"/>
  <c r="BG67" i="22"/>
  <c r="AR80" i="22"/>
  <c r="AK37" i="22"/>
  <c r="EJ26" i="22"/>
  <c r="BG26" i="22" s="1"/>
  <c r="AN89" i="22"/>
  <c r="DU26" i="22"/>
  <c r="BB44" i="22"/>
  <c r="AL83" i="22"/>
  <c r="AM44" i="22"/>
  <c r="AL18" i="22"/>
  <c r="AY26" i="22"/>
  <c r="AW36" i="22"/>
  <c r="BK26" i="83"/>
  <c r="AH86" i="22"/>
  <c r="DF26" i="22"/>
  <c r="AS89" i="22"/>
  <c r="AV89" i="22"/>
  <c r="BC89" i="22"/>
  <c r="AX80" i="22"/>
  <c r="AX18" i="22"/>
  <c r="AT84" i="22"/>
  <c r="AA84" i="22"/>
  <c r="BE44" i="22"/>
  <c r="AR83" i="22"/>
  <c r="AZ28" i="22"/>
  <c r="AZ79" i="22"/>
  <c r="EB32" i="22"/>
  <c r="AY32" i="22" s="1"/>
  <c r="BI26" i="83"/>
  <c r="H44" i="83"/>
  <c r="AK84" i="22"/>
  <c r="AM18" i="22"/>
  <c r="BB26" i="22"/>
  <c r="BG36" i="22"/>
  <c r="AS84" i="22"/>
  <c r="AX41" i="22"/>
  <c r="AP83" i="22"/>
  <c r="AL80" i="22"/>
  <c r="AQ86" i="22"/>
  <c r="AZ89" i="22"/>
  <c r="BQ18" i="73"/>
  <c r="BV18" i="73"/>
  <c r="BC80" i="22"/>
  <c r="AW86" i="22"/>
  <c r="BG89" i="22"/>
  <c r="BU18" i="73"/>
  <c r="BS18" i="73"/>
  <c r="BY18" i="73"/>
  <c r="BT18" i="73"/>
  <c r="BR18" i="73"/>
  <c r="BX18" i="73"/>
  <c r="BG28" i="22"/>
  <c r="BP18" i="73"/>
  <c r="BF37" i="22"/>
  <c r="AY18" i="22"/>
  <c r="AN44" i="22"/>
  <c r="AL67" i="22"/>
  <c r="AH89" i="22"/>
  <c r="AO18" i="22"/>
  <c r="AS37" i="22"/>
  <c r="AP44" i="22"/>
  <c r="AO84" i="22"/>
  <c r="BG37" i="22"/>
  <c r="AY36" i="22"/>
  <c r="BE92" i="22"/>
  <c r="BW18" i="73"/>
  <c r="AP84" i="22"/>
  <c r="AQ18" i="22"/>
  <c r="AV41" i="22"/>
  <c r="AM36" i="22"/>
  <c r="AK67" i="22"/>
  <c r="AP18" i="22"/>
  <c r="AO83" i="22"/>
  <c r="AQ44" i="22"/>
  <c r="BG80" i="22"/>
  <c r="BE80" i="22"/>
  <c r="AJ37" i="22"/>
  <c r="AY79" i="22"/>
  <c r="BE89" i="22"/>
  <c r="AW18" i="22"/>
  <c r="BD92" i="22"/>
  <c r="BG79" i="22"/>
  <c r="AY89" i="22"/>
  <c r="AZ44" i="22"/>
  <c r="DX7" i="51"/>
  <c r="DX11" i="51" s="1"/>
  <c r="DX13" i="51" s="1"/>
  <c r="DX18" i="51" s="1"/>
  <c r="AW41" i="22"/>
  <c r="AN79" i="22"/>
  <c r="AP67" i="22"/>
  <c r="BF83" i="22"/>
  <c r="AY80" i="22"/>
  <c r="AM41" i="22"/>
  <c r="AX84" i="22"/>
  <c r="BB80" i="22"/>
  <c r="CU7" i="51"/>
  <c r="CU11" i="51" s="1"/>
  <c r="CU13" i="51" s="1"/>
  <c r="CU18" i="51" s="1"/>
  <c r="AL44" i="22"/>
  <c r="BE27" i="22"/>
  <c r="BF79" i="22"/>
  <c r="BF41" i="22"/>
  <c r="AY83" i="22"/>
  <c r="AP86" i="22"/>
  <c r="BC84" i="22"/>
  <c r="AZ92" i="22"/>
  <c r="AW79" i="22"/>
  <c r="AI89" i="22"/>
  <c r="BC41" i="22"/>
  <c r="BE79" i="22"/>
  <c r="BE83" i="22"/>
  <c r="AX67" i="22"/>
  <c r="AL79" i="22"/>
  <c r="AB84" i="22"/>
  <c r="BC86" i="22"/>
  <c r="BF92" i="22"/>
  <c r="AW93" i="22"/>
  <c r="AW67" i="22"/>
  <c r="AP89" i="22"/>
  <c r="AQ41" i="22"/>
  <c r="AN28" i="22"/>
  <c r="BB36" i="22"/>
  <c r="AQ28" i="22"/>
  <c r="AV37" i="22"/>
  <c r="AQ84" i="22"/>
  <c r="AY37" i="22"/>
  <c r="AX36" i="22"/>
  <c r="AF84" i="22"/>
  <c r="BB67" i="22"/>
  <c r="AR18" i="22"/>
  <c r="AT67" i="22"/>
  <c r="AO44" i="22"/>
  <c r="AP80" i="22"/>
  <c r="AK83" i="22"/>
  <c r="AI86" i="22"/>
  <c r="BF28" i="22"/>
  <c r="AX93" i="22"/>
  <c r="BC44" i="22"/>
  <c r="AK92" i="22"/>
  <c r="AR44" i="22"/>
  <c r="BE41" i="22"/>
  <c r="AL37" i="22"/>
  <c r="BG18" i="22"/>
  <c r="AM79" i="22"/>
  <c r="BC92" i="22"/>
  <c r="AS44" i="22"/>
  <c r="BD80" i="22"/>
  <c r="AO67" i="22"/>
  <c r="AJ86" i="22"/>
  <c r="BC36" i="22"/>
  <c r="AQ92" i="22"/>
  <c r="AO37" i="22"/>
  <c r="BF80" i="22"/>
  <c r="AQ80" i="22"/>
  <c r="AV86" i="22"/>
  <c r="AZ83" i="22"/>
  <c r="AS80" i="22"/>
  <c r="AW80" i="22"/>
  <c r="AS18" i="22"/>
  <c r="AZ80" i="22"/>
  <c r="AZ37" i="22"/>
  <c r="AV92" i="22"/>
  <c r="BE28" i="22"/>
  <c r="BE36" i="22"/>
  <c r="BC67" i="22"/>
  <c r="AR84" i="22"/>
  <c r="AT37" i="22"/>
  <c r="AY93" i="22"/>
  <c r="BB93" i="22"/>
  <c r="AJ83" i="22"/>
  <c r="AZ84" i="22"/>
  <c r="BD84" i="22"/>
  <c r="AK28" i="22"/>
  <c r="BG92" i="22"/>
  <c r="BF36" i="22"/>
  <c r="AG89" i="22"/>
  <c r="AP28" i="22"/>
  <c r="CG86" i="22"/>
  <c r="AJ84" i="22"/>
  <c r="AV36" i="22"/>
  <c r="BC88" i="22"/>
  <c r="AS86" i="22"/>
  <c r="CG95" i="22"/>
  <c r="AP92" i="22"/>
  <c r="BB89" i="22"/>
  <c r="BG83" i="22"/>
  <c r="AX26" i="22"/>
  <c r="AK18" i="22"/>
  <c r="BF93" i="22"/>
  <c r="AS92" i="22"/>
  <c r="BG41" i="22"/>
  <c r="BG84" i="22"/>
  <c r="AQ36" i="22"/>
  <c r="AY44" i="22"/>
  <c r="AS83" i="22"/>
  <c r="AG86" i="22"/>
  <c r="BE93" i="22"/>
  <c r="BD93" i="22"/>
  <c r="BD44" i="22"/>
  <c r="AR92" i="22"/>
  <c r="AE84" i="22"/>
  <c r="AY84" i="22"/>
  <c r="BO136" i="1"/>
  <c r="BP23" i="83"/>
  <c r="BN14" i="83"/>
  <c r="CK85" i="22"/>
  <c r="DR81" i="22"/>
  <c r="DV27" i="22"/>
  <c r="CZ87" i="22"/>
  <c r="DL87" i="22"/>
  <c r="CQ87" i="22"/>
  <c r="DB87" i="22"/>
  <c r="DW87" i="22"/>
  <c r="DW47" i="22"/>
  <c r="EJ3" i="22"/>
  <c r="CT12" i="22"/>
  <c r="BJ14" i="83"/>
  <c r="BE4" i="2"/>
  <c r="BE8" i="2" s="1"/>
  <c r="BE11" i="2" s="1"/>
  <c r="BE16" i="2" s="1"/>
  <c r="DY78" i="22"/>
  <c r="EK45" i="22"/>
  <c r="BH45" i="22" s="1"/>
  <c r="EC27" i="22"/>
  <c r="EA50" i="22"/>
  <c r="ED8" i="22"/>
  <c r="EB39" i="22"/>
  <c r="EB25" i="22"/>
  <c r="EA45" i="22"/>
  <c r="EK66" i="22"/>
  <c r="BH66" i="22" s="1"/>
  <c r="CG98" i="22"/>
  <c r="AU14" i="83"/>
  <c r="AN8" i="83"/>
  <c r="BH136" i="1"/>
  <c r="AQ33" i="83"/>
  <c r="DI87" i="22"/>
  <c r="EB42" i="22"/>
  <c r="ED16" i="22"/>
  <c r="ED47" i="22"/>
  <c r="EG78" i="22"/>
  <c r="EG7" i="22"/>
  <c r="EG15" i="22"/>
  <c r="EF8" i="22"/>
  <c r="DL26" i="22"/>
  <c r="BB26" i="83"/>
  <c r="EK47" i="22"/>
  <c r="BH47" i="22" s="1"/>
  <c r="DX32" i="22"/>
  <c r="EJ11" i="22"/>
  <c r="EK21" i="22"/>
  <c r="AS36" i="22"/>
  <c r="AR36" i="22"/>
  <c r="AS67" i="22"/>
  <c r="AR67" i="22"/>
  <c r="AV23" i="83"/>
  <c r="AT33" i="83"/>
  <c r="DS47" i="22"/>
  <c r="DE87" i="22"/>
  <c r="AT14" i="83"/>
  <c r="AM39" i="83"/>
  <c r="C39" i="83" s="1"/>
  <c r="AR23" i="83"/>
  <c r="AM23" i="83"/>
  <c r="C23" i="83" s="1"/>
  <c r="AR21" i="83"/>
  <c r="AM30" i="83"/>
  <c r="C30" i="83" s="1"/>
  <c r="AU5" i="83"/>
  <c r="AS33" i="83"/>
  <c r="AZ5" i="83"/>
  <c r="BB136" i="1"/>
  <c r="BD136" i="1"/>
  <c r="BF33" i="83"/>
  <c r="DO10" i="22"/>
  <c r="DO43" i="22"/>
  <c r="DR17" i="22"/>
  <c r="DA87" i="22"/>
  <c r="DH87" i="22"/>
  <c r="EK3" i="22"/>
  <c r="BH3" i="22" s="1"/>
  <c r="AF89" i="22"/>
  <c r="EA20" i="22"/>
  <c r="AZ14" i="83"/>
  <c r="EA27" i="22"/>
  <c r="EB19" i="22"/>
  <c r="EA5" i="22"/>
  <c r="ED27" i="22"/>
  <c r="EF27" i="22"/>
  <c r="EF25" i="22"/>
  <c r="ED31" i="22"/>
  <c r="CN5" i="34"/>
  <c r="CN9" i="34" s="1"/>
  <c r="CN11" i="34" s="1"/>
  <c r="CN16" i="34" s="1"/>
  <c r="EG47" i="22"/>
  <c r="EB40" i="22"/>
  <c r="EI16" i="22"/>
  <c r="EI34" i="22"/>
  <c r="BD98" i="22"/>
  <c r="BC98" i="22"/>
  <c r="AZ41" i="22"/>
  <c r="AY41" i="22"/>
  <c r="BE84" i="22"/>
  <c r="BF84" i="22"/>
  <c r="AM89" i="22"/>
  <c r="AL89" i="22"/>
  <c r="BC83" i="22"/>
  <c r="BB83" i="22"/>
  <c r="DZ27" i="22"/>
  <c r="AQ14" i="83"/>
  <c r="AN23" i="83"/>
  <c r="AP40" i="83"/>
  <c r="AQ8" i="83"/>
  <c r="AR32" i="83"/>
  <c r="AW136" i="1"/>
  <c r="AU33" i="83"/>
  <c r="AX33" i="83"/>
  <c r="AY5" i="83"/>
  <c r="BB5" i="83"/>
  <c r="BC33" i="83"/>
  <c r="BC23" i="83"/>
  <c r="BS25" i="83"/>
  <c r="DP81" i="22"/>
  <c r="DO33" i="22"/>
  <c r="DO78" i="22"/>
  <c r="DT78" i="22"/>
  <c r="DW30" i="22"/>
  <c r="DP43" i="22"/>
  <c r="DQ81" i="22"/>
  <c r="DS5" i="22"/>
  <c r="EA3" i="22"/>
  <c r="EB3" i="22"/>
  <c r="DT15" i="22"/>
  <c r="EB8" i="22"/>
  <c r="EA7" i="22"/>
  <c r="EA19" i="22"/>
  <c r="DX17" i="22"/>
  <c r="DW50" i="22"/>
  <c r="BF50" i="83"/>
  <c r="DZ50" i="22"/>
  <c r="DC50" i="22"/>
  <c r="DP50" i="22"/>
  <c r="DK50" i="22"/>
  <c r="DE50" i="22"/>
  <c r="DF50" i="22"/>
  <c r="EB15" i="22"/>
  <c r="EC66" i="22"/>
  <c r="ED7" i="22"/>
  <c r="EF66" i="22"/>
  <c r="EC7" i="22"/>
  <c r="EF33" i="22"/>
  <c r="AZ67" i="22"/>
  <c r="ED43" i="22"/>
  <c r="EJ43" i="22"/>
  <c r="BG43" i="22" s="1"/>
  <c r="CP91" i="22"/>
  <c r="DP90" i="22"/>
  <c r="EC91" i="22"/>
  <c r="CS90" i="22"/>
  <c r="DZ90" i="22"/>
  <c r="CR90" i="22"/>
  <c r="DM90" i="22"/>
  <c r="DR90" i="22"/>
  <c r="DX91" i="22"/>
  <c r="DJ90" i="22"/>
  <c r="DW91" i="22"/>
  <c r="DG90" i="22"/>
  <c r="EI78" i="22"/>
  <c r="EI32" i="22"/>
  <c r="EI10" i="22"/>
  <c r="AR37" i="22"/>
  <c r="AQ37" i="22"/>
  <c r="BB37" i="22"/>
  <c r="AX37" i="22"/>
  <c r="AW37" i="22"/>
  <c r="BG27" i="22"/>
  <c r="BF27" i="22"/>
  <c r="AP23" i="83"/>
  <c r="AX23" i="83"/>
  <c r="AR15" i="83"/>
  <c r="BQ26" i="83"/>
  <c r="DW33" i="22"/>
  <c r="DW85" i="22"/>
  <c r="DS7" i="22"/>
  <c r="DP42" i="22"/>
  <c r="DU31" i="22"/>
  <c r="DR16" i="22"/>
  <c r="DR78" i="22"/>
  <c r="DP8" i="22"/>
  <c r="DQ3" i="22"/>
  <c r="DQ15" i="22"/>
  <c r="DS24" i="22"/>
  <c r="DX81" i="22"/>
  <c r="CJ5" i="34"/>
  <c r="CJ9" i="34" s="1"/>
  <c r="CJ11" i="34" s="1"/>
  <c r="CJ16" i="34" s="1"/>
  <c r="DX87" i="22"/>
  <c r="EF34" i="22"/>
  <c r="EG39" i="22"/>
  <c r="DM42" i="22"/>
  <c r="EG10" i="22"/>
  <c r="AY67" i="22"/>
  <c r="CX91" i="22"/>
  <c r="CT90" i="22"/>
  <c r="CU91" i="22"/>
  <c r="CP90" i="22"/>
  <c r="DD90" i="22"/>
  <c r="ED90" i="22"/>
  <c r="DT91" i="22"/>
  <c r="DF90" i="22"/>
  <c r="CY90" i="22"/>
  <c r="DM91" i="22"/>
  <c r="DO91" i="22"/>
  <c r="DJ91" i="22"/>
  <c r="DA26" i="22"/>
  <c r="BF26" i="83"/>
  <c r="EH39" i="22"/>
  <c r="DV32" i="22"/>
  <c r="DA7" i="51"/>
  <c r="DA11" i="51" s="1"/>
  <c r="DA13" i="51" s="1"/>
  <c r="BB32" i="83"/>
  <c r="AO92" i="22"/>
  <c r="AD84" i="22"/>
  <c r="AC84" i="22"/>
  <c r="AY92" i="22"/>
  <c r="AX92" i="22"/>
  <c r="AZ86" i="22"/>
  <c r="AY86" i="22"/>
  <c r="BE86" i="22"/>
  <c r="BF86" i="22"/>
  <c r="BC28" i="22"/>
  <c r="BB28" i="22"/>
  <c r="AN92" i="22"/>
  <c r="AM92" i="22"/>
  <c r="BB18" i="22"/>
  <c r="BC18" i="22"/>
  <c r="BF18" i="22"/>
  <c r="BE5" i="83"/>
  <c r="AR8" i="83"/>
  <c r="AS23" i="83"/>
  <c r="AX12" i="83"/>
  <c r="ED5" i="22"/>
  <c r="BW136" i="1"/>
  <c r="DR15" i="22"/>
  <c r="DT27" i="22"/>
  <c r="DS34" i="22"/>
  <c r="DS11" i="22"/>
  <c r="DU30" i="22"/>
  <c r="DR45" i="22"/>
  <c r="DQ40" i="22"/>
  <c r="DW81" i="22"/>
  <c r="DT43" i="22"/>
  <c r="DM10" i="22"/>
  <c r="DW11" i="22"/>
  <c r="DT3" i="22"/>
  <c r="DU5" i="22"/>
  <c r="EB11" i="22"/>
  <c r="AO28" i="22"/>
  <c r="EH3" i="22"/>
  <c r="DY3" i="22"/>
  <c r="DY40" i="22"/>
  <c r="DZ42" i="22"/>
  <c r="DX85" i="22"/>
  <c r="EB27" i="22"/>
  <c r="EB34" i="22"/>
  <c r="EE21" i="22"/>
  <c r="EA43" i="22"/>
  <c r="EG31" i="22"/>
  <c r="BD67" i="22"/>
  <c r="BB79" i="22"/>
  <c r="BC79" i="22"/>
  <c r="BB92" i="22"/>
  <c r="AW44" i="22"/>
  <c r="AX44" i="22"/>
  <c r="AZ36" i="22"/>
  <c r="AT36" i="22"/>
  <c r="AV80" i="22"/>
  <c r="BG5" i="83"/>
  <c r="AR14" i="83"/>
  <c r="AP39" i="83"/>
  <c r="AO23" i="83"/>
  <c r="AM14" i="83"/>
  <c r="C14" i="83" s="1"/>
  <c r="DQ47" i="22"/>
  <c r="DD87" i="22"/>
  <c r="EA8" i="22"/>
  <c r="DY81" i="22"/>
  <c r="AN7" i="83"/>
  <c r="AO40" i="83"/>
  <c r="AN40" i="83"/>
  <c r="AS14" i="83"/>
  <c r="AM40" i="83"/>
  <c r="C40" i="83" s="1"/>
  <c r="AP14" i="83"/>
  <c r="AO39" i="83"/>
  <c r="AQ23" i="83"/>
  <c r="AT23" i="83"/>
  <c r="AW23" i="83"/>
  <c r="AO14" i="83"/>
  <c r="AT5" i="83"/>
  <c r="AV33" i="83"/>
  <c r="AR33" i="83"/>
  <c r="AY17" i="83"/>
  <c r="BD5" i="83"/>
  <c r="BJ23" i="83"/>
  <c r="BM23" i="83"/>
  <c r="BM136" i="1"/>
  <c r="CP85" i="22"/>
  <c r="CV85" i="22"/>
  <c r="CH85" i="22"/>
  <c r="DD85" i="22"/>
  <c r="DR30" i="22"/>
  <c r="DW45" i="22"/>
  <c r="DU66" i="22"/>
  <c r="DW66" i="22"/>
  <c r="DW42" i="22"/>
  <c r="DS33" i="22"/>
  <c r="DR7" i="22"/>
  <c r="DU85" i="22"/>
  <c r="DS3" i="22"/>
  <c r="CL87" i="22"/>
  <c r="CE136" i="1"/>
  <c r="DX10" i="22"/>
  <c r="DW8" i="22"/>
  <c r="DY10" i="22"/>
  <c r="DX3" i="22"/>
  <c r="DQ19" i="22"/>
  <c r="DX24" i="22"/>
  <c r="DO31" i="22"/>
  <c r="EJ81" i="22"/>
  <c r="EJ15" i="22"/>
  <c r="ED42" i="22"/>
  <c r="ED39" i="22"/>
  <c r="EC43" i="22"/>
  <c r="EC21" i="22"/>
  <c r="EF50" i="22"/>
  <c r="EK8" i="22"/>
  <c r="BH8" i="22" s="1"/>
  <c r="AP41" i="22"/>
  <c r="AQ79" i="22"/>
  <c r="AP79" i="22"/>
  <c r="AN84" i="22"/>
  <c r="AM84" i="22"/>
  <c r="AK79" i="22"/>
  <c r="AS28" i="22"/>
  <c r="AT28" i="22"/>
  <c r="DY47" i="22"/>
  <c r="DZ34" i="22"/>
  <c r="AN39" i="83"/>
  <c r="AQ39" i="83"/>
  <c r="AN14" i="83"/>
  <c r="BK23" i="83"/>
  <c r="CR85" i="22"/>
  <c r="DC85" i="22"/>
  <c r="DL84" i="22"/>
  <c r="AH84" i="22" s="1"/>
  <c r="DV43" i="22"/>
  <c r="DU34" i="22"/>
  <c r="BS12" i="83"/>
  <c r="AP12" i="83"/>
  <c r="BB14" i="83"/>
  <c r="AS12" i="83"/>
  <c r="BK14" i="83"/>
  <c r="BO14" i="83"/>
  <c r="DY5" i="22"/>
  <c r="DZ17" i="22"/>
  <c r="DZ7" i="22"/>
  <c r="ED33" i="22"/>
  <c r="EB17" i="22"/>
  <c r="EI42" i="22"/>
  <c r="EH81" i="22"/>
  <c r="EF19" i="22"/>
  <c r="EF21" i="22"/>
  <c r="EI5" i="22"/>
  <c r="CT6" i="41"/>
  <c r="CT9" i="41" s="1"/>
  <c r="CT11" i="41" s="1"/>
  <c r="CT16" i="41" s="1"/>
  <c r="EJ14" i="22"/>
  <c r="AT41" i="22"/>
  <c r="AS41" i="22"/>
  <c r="AY28" i="22"/>
  <c r="AX28" i="22"/>
  <c r="CY85" i="22"/>
  <c r="CG93" i="22"/>
  <c r="DH85" i="22"/>
  <c r="DB85" i="22"/>
  <c r="CP84" i="22"/>
  <c r="DO15" i="22"/>
  <c r="BR23" i="83"/>
  <c r="DO5" i="22"/>
  <c r="DM85" i="22"/>
  <c r="AJ80" i="22"/>
  <c r="DL25" i="22"/>
  <c r="DL39" i="22"/>
  <c r="DO40" i="22"/>
  <c r="DO17" i="22"/>
  <c r="DR85" i="22"/>
  <c r="DQ21" i="22"/>
  <c r="DU25" i="22"/>
  <c r="DQ30" i="22"/>
  <c r="DP15" i="22"/>
  <c r="DQ25" i="22"/>
  <c r="DS8" i="22"/>
  <c r="DR66" i="22"/>
  <c r="DQ10" i="22"/>
  <c r="DS25" i="22"/>
  <c r="DT85" i="22"/>
  <c r="DT33" i="22"/>
  <c r="DV42" i="22"/>
  <c r="DP33" i="22"/>
  <c r="DR40" i="22"/>
  <c r="DU43" i="22"/>
  <c r="CK87" i="22"/>
  <c r="CY87" i="22"/>
  <c r="CV87" i="22"/>
  <c r="DO87" i="22"/>
  <c r="CR87" i="22"/>
  <c r="EC10" i="22"/>
  <c r="DV5" i="22"/>
  <c r="EA11" i="22"/>
  <c r="DU11" i="22"/>
  <c r="DW7" i="22"/>
  <c r="DQ87" i="22"/>
  <c r="DZ10" i="22"/>
  <c r="DY87" i="22"/>
  <c r="DU15" i="22"/>
  <c r="AT88" i="22"/>
  <c r="AH88" i="22"/>
  <c r="CP89" i="22"/>
  <c r="DX15" i="22"/>
  <c r="DU12" i="22"/>
  <c r="BR14" i="83"/>
  <c r="BM14" i="83"/>
  <c r="BO12" i="83"/>
  <c r="BI12" i="83"/>
  <c r="AM12" i="83"/>
  <c r="C12" i="83" s="1"/>
  <c r="BA14" i="83"/>
  <c r="DY20" i="22"/>
  <c r="DX66" i="22"/>
  <c r="DZ81" i="22"/>
  <c r="DX7" i="22"/>
  <c r="DZ66" i="22"/>
  <c r="DZ39" i="22"/>
  <c r="DY45" i="22"/>
  <c r="DX30" i="22"/>
  <c r="DX78" i="22"/>
  <c r="DZ24" i="22"/>
  <c r="EA39" i="22"/>
  <c r="DZ47" i="22"/>
  <c r="DY43" i="22"/>
  <c r="DZ25" i="22"/>
  <c r="EA78" i="22"/>
  <c r="DS87" i="22"/>
  <c r="DO50" i="22"/>
  <c r="DT50" i="22"/>
  <c r="DD50" i="22"/>
  <c r="BM50" i="83"/>
  <c r="EC87" i="22"/>
  <c r="EC34" i="22"/>
  <c r="EJ87" i="22"/>
  <c r="EH85" i="22"/>
  <c r="EH87" i="22"/>
  <c r="EE50" i="22"/>
  <c r="EG43" i="22"/>
  <c r="EF45" i="22"/>
  <c r="EB30" i="22"/>
  <c r="ED25" i="22"/>
  <c r="EB43" i="22"/>
  <c r="EG8" i="22"/>
  <c r="EF7" i="22"/>
  <c r="EE31" i="22"/>
  <c r="EI87" i="22"/>
  <c r="EK15" i="22"/>
  <c r="BH15" i="22" s="1"/>
  <c r="EE8" i="22"/>
  <c r="ED17" i="22"/>
  <c r="EC19" i="22"/>
  <c r="EB24" i="22"/>
  <c r="EF30" i="22"/>
  <c r="CR92" i="22"/>
  <c r="EG34" i="22"/>
  <c r="EF16" i="22"/>
  <c r="EG24" i="22"/>
  <c r="DT87" i="22"/>
  <c r="EH7" i="22"/>
  <c r="DL90" i="22"/>
  <c r="DC90" i="22"/>
  <c r="CH91" i="22"/>
  <c r="CY91" i="22"/>
  <c r="DQ91" i="22"/>
  <c r="DA91" i="22"/>
  <c r="CW90" i="22"/>
  <c r="DF91" i="22"/>
  <c r="DV90" i="22"/>
  <c r="DU32" i="22"/>
  <c r="EH34" i="22"/>
  <c r="EH25" i="22"/>
  <c r="EI17" i="22"/>
  <c r="BE17" i="22" s="1"/>
  <c r="EJ10" i="22"/>
  <c r="EH32" i="22"/>
  <c r="EI6" i="22"/>
  <c r="EF32" i="22"/>
  <c r="DZ32" i="22"/>
  <c r="EE32" i="22"/>
  <c r="EJ40" i="22"/>
  <c r="EH30" i="22"/>
  <c r="DY32" i="22"/>
  <c r="EJ6" i="22"/>
  <c r="BD41" i="22"/>
  <c r="AV5" i="83"/>
  <c r="AN33" i="83"/>
  <c r="AY15" i="83"/>
  <c r="BG33" i="83"/>
  <c r="BI136" i="1"/>
  <c r="BP136" i="1"/>
  <c r="CQ85" i="22"/>
  <c r="CT85" i="22"/>
  <c r="DP25" i="22"/>
  <c r="DO25" i="22"/>
  <c r="AJ28" i="22"/>
  <c r="DO85" i="22"/>
  <c r="DP21" i="22"/>
  <c r="DO66" i="22"/>
  <c r="DP39" i="22"/>
  <c r="DP66" i="22"/>
  <c r="DV17" i="22"/>
  <c r="DP5" i="22"/>
  <c r="DS45" i="22"/>
  <c r="DQ45" i="22"/>
  <c r="DV78" i="22"/>
  <c r="DQ85" i="22"/>
  <c r="DS27" i="22"/>
  <c r="DV21" i="22"/>
  <c r="DT47" i="22"/>
  <c r="DR34" i="22"/>
  <c r="DQ42" i="22"/>
  <c r="DW17" i="22"/>
  <c r="DR42" i="22"/>
  <c r="DP47" i="22"/>
  <c r="DR3" i="22"/>
  <c r="DV85" i="22"/>
  <c r="DP24" i="22"/>
  <c r="DT21" i="22"/>
  <c r="DS31" i="22"/>
  <c r="DQ16" i="22"/>
  <c r="CU87" i="22"/>
  <c r="DQ31" i="22"/>
  <c r="CT87" i="22"/>
  <c r="DS39" i="22"/>
  <c r="ED10" i="22"/>
  <c r="EE10" i="22"/>
  <c r="DU3" i="22"/>
  <c r="DU40" i="22"/>
  <c r="DX11" i="22"/>
  <c r="CD136" i="1"/>
  <c r="DU47" i="22"/>
  <c r="DV16" i="22"/>
  <c r="BG14" i="83"/>
  <c r="BQ14" i="83"/>
  <c r="DZ33" i="22"/>
  <c r="DX34" i="22"/>
  <c r="AV93" i="22"/>
  <c r="DS19" i="22"/>
  <c r="DY30" i="22"/>
  <c r="DZ43" i="22"/>
  <c r="EA21" i="22"/>
  <c r="DW19" i="22"/>
  <c r="DZ19" i="22"/>
  <c r="DZ45" i="22"/>
  <c r="DY27" i="22"/>
  <c r="DX45" i="22"/>
  <c r="DZ8" i="22"/>
  <c r="EA85" i="22"/>
  <c r="DW31" i="22"/>
  <c r="DZ85" i="22"/>
  <c r="EC30" i="22"/>
  <c r="EC85" i="22"/>
  <c r="ED45" i="22"/>
  <c r="EE87" i="22"/>
  <c r="EE47" i="22"/>
  <c r="ED15" i="22"/>
  <c r="EF31" i="22"/>
  <c r="EC25" i="22"/>
  <c r="EK81" i="22"/>
  <c r="BH81" i="22" s="1"/>
  <c r="ED21" i="22"/>
  <c r="EK87" i="22"/>
  <c r="BH87" i="22" s="1"/>
  <c r="EC17" i="22"/>
  <c r="EC8" i="22"/>
  <c r="EF39" i="22"/>
  <c r="DY31" i="22"/>
  <c r="EF85" i="22"/>
  <c r="EE7" i="22"/>
  <c r="EB14" i="22"/>
  <c r="DX8" i="22"/>
  <c r="EG66" i="22"/>
  <c r="EG33" i="22"/>
  <c r="EG30" i="22"/>
  <c r="EC39" i="22"/>
  <c r="EG19" i="22"/>
  <c r="EF40" i="22"/>
  <c r="EI43" i="22"/>
  <c r="EC78" i="22"/>
  <c r="DI90" i="22"/>
  <c r="CN90" i="22"/>
  <c r="DI91" i="22"/>
  <c r="DQ90" i="22"/>
  <c r="DP91" i="22"/>
  <c r="DU90" i="22"/>
  <c r="CV90" i="22"/>
  <c r="DW90" i="22"/>
  <c r="CI90" i="22"/>
  <c r="DS91" i="22"/>
  <c r="CS91" i="22"/>
  <c r="CK91" i="22"/>
  <c r="DT90" i="22"/>
  <c r="CI91" i="22"/>
  <c r="EI50" i="22"/>
  <c r="EJ34" i="22"/>
  <c r="DS32" i="22"/>
  <c r="AN32" i="22" s="1"/>
  <c r="EH5" i="22"/>
  <c r="EJ30" i="22"/>
  <c r="BG30" i="22" s="1"/>
  <c r="EI40" i="22"/>
  <c r="EI30" i="22"/>
  <c r="EH16" i="22"/>
  <c r="DN26" i="22"/>
  <c r="AJ26" i="22" s="1"/>
  <c r="EK39" i="22"/>
  <c r="BE18" i="22"/>
  <c r="BE67" i="22"/>
  <c r="AO33" i="83"/>
  <c r="AX15" i="83"/>
  <c r="AZ15" i="83"/>
  <c r="AZ33" i="83"/>
  <c r="BC5" i="83"/>
  <c r="BH23" i="83"/>
  <c r="BH5" i="83"/>
  <c r="CW85" i="22"/>
  <c r="DK85" i="22"/>
  <c r="DO27" i="22"/>
  <c r="DO42" i="22"/>
  <c r="AJ18" i="22"/>
  <c r="BS40" i="83"/>
  <c r="DN85" i="22"/>
  <c r="DO21" i="22"/>
  <c r="DO45" i="22"/>
  <c r="DO11" i="22"/>
  <c r="DP34" i="22"/>
  <c r="DU24" i="22"/>
  <c r="DV66" i="22"/>
  <c r="DR24" i="22"/>
  <c r="DV31" i="22"/>
  <c r="BX136" i="1"/>
  <c r="DW43" i="22"/>
  <c r="DU21" i="22"/>
  <c r="DS15" i="22"/>
  <c r="DS30" i="22"/>
  <c r="DV45" i="22"/>
  <c r="DR25" i="22"/>
  <c r="DR31" i="22"/>
  <c r="DW24" i="22"/>
  <c r="DR33" i="22"/>
  <c r="DQ43" i="22"/>
  <c r="DP3" i="22"/>
  <c r="DW78" i="22"/>
  <c r="DS21" i="22"/>
  <c r="DR8" i="22"/>
  <c r="CA136" i="1"/>
  <c r="DS85" i="22"/>
  <c r="DU39" i="22"/>
  <c r="CN87" i="22"/>
  <c r="DC87" i="22"/>
  <c r="CA5" i="34"/>
  <c r="CA9" i="34" s="1"/>
  <c r="CA11" i="34" s="1"/>
  <c r="CA16" i="34" s="1"/>
  <c r="DN87" i="22"/>
  <c r="CJ87" i="22"/>
  <c r="DW10" i="22"/>
  <c r="EC11" i="22"/>
  <c r="DY11" i="22"/>
  <c r="DW5" i="22"/>
  <c r="DT11" i="22"/>
  <c r="DW40" i="22"/>
  <c r="DT8" i="22"/>
  <c r="DU16" i="22"/>
  <c r="BB88" i="22"/>
  <c r="AQ88" i="22"/>
  <c r="BH88" i="22"/>
  <c r="DL24" i="22"/>
  <c r="DY15" i="22"/>
  <c r="DV15" i="22"/>
  <c r="DZ15" i="22"/>
  <c r="BP12" i="83"/>
  <c r="DV89" i="22"/>
  <c r="AQ89" i="22" s="1"/>
  <c r="BJ12" i="83"/>
  <c r="AU12" i="83"/>
  <c r="BC14" i="83"/>
  <c r="BD14" i="83"/>
  <c r="BN12" i="83"/>
  <c r="EA10" i="22"/>
  <c r="CD5" i="34"/>
  <c r="CD9" i="34" s="1"/>
  <c r="CD11" i="34" s="1"/>
  <c r="DY17" i="22"/>
  <c r="EA17" i="22"/>
  <c r="EA31" i="22"/>
  <c r="DP11" i="22"/>
  <c r="EA47" i="22"/>
  <c r="DY19" i="22"/>
  <c r="DX33" i="22"/>
  <c r="DX25" i="22"/>
  <c r="DI50" i="22"/>
  <c r="DY50" i="22"/>
  <c r="DS50" i="22"/>
  <c r="DL50" i="22"/>
  <c r="BG50" i="83"/>
  <c r="DV50" i="22"/>
  <c r="DQ50" i="22"/>
  <c r="EE45" i="22"/>
  <c r="EG17" i="22"/>
  <c r="BD17" i="22" s="1"/>
  <c r="EC45" i="22"/>
  <c r="EA66" i="22"/>
  <c r="EE20" i="22"/>
  <c r="ED24" i="22"/>
  <c r="EE66" i="22"/>
  <c r="EJ42" i="22"/>
  <c r="EE24" i="22"/>
  <c r="DX39" i="22"/>
  <c r="ED30" i="22"/>
  <c r="EC81" i="22"/>
  <c r="EG20" i="22"/>
  <c r="EB45" i="22"/>
  <c r="EE15" i="22"/>
  <c r="EA87" i="22"/>
  <c r="EA24" i="22"/>
  <c r="EC50" i="22"/>
  <c r="EE40" i="22"/>
  <c r="EE42" i="22"/>
  <c r="EA15" i="22"/>
  <c r="EI11" i="22"/>
  <c r="EE19" i="22"/>
  <c r="EG21" i="22"/>
  <c r="EG85" i="22"/>
  <c r="EJ31" i="22"/>
  <c r="EF78" i="22"/>
  <c r="DH91" i="22"/>
  <c r="DB91" i="22"/>
  <c r="DG91" i="22"/>
  <c r="EB90" i="22"/>
  <c r="CZ91" i="22"/>
  <c r="CL90" i="22"/>
  <c r="DY91" i="22"/>
  <c r="DA90" i="22"/>
  <c r="CK90" i="22"/>
  <c r="DU91" i="22"/>
  <c r="DE90" i="22"/>
  <c r="DN90" i="22"/>
  <c r="DY90" i="22"/>
  <c r="EF91" i="22"/>
  <c r="CO90" i="22"/>
  <c r="DB90" i="22"/>
  <c r="ED32" i="22"/>
  <c r="DP26" i="22"/>
  <c r="EJ66" i="22"/>
  <c r="DE26" i="22"/>
  <c r="EH66" i="22"/>
  <c r="EK6" i="22"/>
  <c r="BH6" i="22" s="1"/>
  <c r="EK7" i="22"/>
  <c r="EH6" i="22"/>
  <c r="EJ24" i="22"/>
  <c r="CO32" i="22"/>
  <c r="EJ78" i="22"/>
  <c r="DP32" i="22"/>
  <c r="EK24" i="22"/>
  <c r="BH24" i="22" s="1"/>
  <c r="CU5" i="34"/>
  <c r="CU9" i="34" s="1"/>
  <c r="CU11" i="34" s="1"/>
  <c r="CU16" i="34" s="1"/>
  <c r="EK11" i="22"/>
  <c r="BH11" i="22" s="1"/>
  <c r="AY98" i="22"/>
  <c r="BE23" i="83"/>
  <c r="BG23" i="83"/>
  <c r="BO23" i="83"/>
  <c r="BL23" i="83"/>
  <c r="CU85" i="22"/>
  <c r="CX85" i="22"/>
  <c r="CK84" i="22"/>
  <c r="AJ79" i="22"/>
  <c r="DN30" i="22"/>
  <c r="DO34" i="22"/>
  <c r="DO8" i="22"/>
  <c r="DO30" i="22"/>
  <c r="DV30" i="22"/>
  <c r="DP16" i="22"/>
  <c r="DT17" i="22"/>
  <c r="DU27" i="22"/>
  <c r="DP85" i="22"/>
  <c r="DP78" i="22"/>
  <c r="DQ5" i="22"/>
  <c r="DT34" i="22"/>
  <c r="DU33" i="22"/>
  <c r="DU81" i="22"/>
  <c r="DU78" i="22"/>
  <c r="DQ27" i="22"/>
  <c r="DP17" i="22"/>
  <c r="DT30" i="22"/>
  <c r="DQ33" i="22"/>
  <c r="DR47" i="22"/>
  <c r="DS78" i="22"/>
  <c r="CO87" i="22"/>
  <c r="DK87" i="22"/>
  <c r="DS42" i="22"/>
  <c r="DF87" i="22"/>
  <c r="DM87" i="22"/>
  <c r="DV87" i="22"/>
  <c r="DV7" i="22"/>
  <c r="DW3" i="22"/>
  <c r="EH11" i="22"/>
  <c r="DU7" i="22"/>
  <c r="DV8" i="22"/>
  <c r="CB136" i="1"/>
  <c r="CH87" i="22"/>
  <c r="DU50" i="22"/>
  <c r="BE88" i="22"/>
  <c r="DW15" i="22"/>
  <c r="EG3" i="22"/>
  <c r="CM89" i="22"/>
  <c r="DW16" i="22"/>
  <c r="DU14" i="22"/>
  <c r="BF14" i="83"/>
  <c r="DT12" i="22"/>
  <c r="AR12" i="83"/>
  <c r="BL14" i="83"/>
  <c r="BH14" i="83"/>
  <c r="AY14" i="83"/>
  <c r="DN15" i="22"/>
  <c r="EB20" i="22"/>
  <c r="DT19" i="22"/>
  <c r="DX21" i="22"/>
  <c r="DY39" i="22"/>
  <c r="DY42" i="22"/>
  <c r="DY7" i="22"/>
  <c r="EB31" i="22"/>
  <c r="DZ5" i="22"/>
  <c r="DX19" i="22"/>
  <c r="DQ8" i="22"/>
  <c r="DY8" i="22"/>
  <c r="EB21" i="22"/>
  <c r="EA30" i="22"/>
  <c r="DY34" i="22"/>
  <c r="DU19" i="22"/>
  <c r="DW39" i="22"/>
  <c r="EC24" i="22"/>
  <c r="EG87" i="22"/>
  <c r="EC31" i="22"/>
  <c r="EG42" i="22"/>
  <c r="EA34" i="22"/>
  <c r="ED40" i="22"/>
  <c r="EI15" i="22"/>
  <c r="EB50" i="22"/>
  <c r="EI31" i="22"/>
  <c r="EF17" i="22"/>
  <c r="ED66" i="22"/>
  <c r="EF15" i="22"/>
  <c r="EB87" i="22"/>
  <c r="EF24" i="22"/>
  <c r="EH42" i="22"/>
  <c r="EE81" i="22"/>
  <c r="EF5" i="22"/>
  <c r="EE43" i="22"/>
  <c r="EF20" i="22"/>
  <c r="EF81" i="22"/>
  <c r="EH15" i="22"/>
  <c r="EE85" i="22"/>
  <c r="ED19" i="22"/>
  <c r="EF10" i="22"/>
  <c r="EG16" i="22"/>
  <c r="EG27" i="22"/>
  <c r="BD27" i="22" s="1"/>
  <c r="EA25" i="22"/>
  <c r="EE11" i="22"/>
  <c r="ED11" i="22"/>
  <c r="CO91" i="22"/>
  <c r="EI91" i="22"/>
  <c r="BF91" i="22" s="1"/>
  <c r="CR91" i="22"/>
  <c r="CX90" i="22"/>
  <c r="CQ91" i="22"/>
  <c r="EA91" i="22"/>
  <c r="DO90" i="22"/>
  <c r="DZ91" i="22"/>
  <c r="EG91" i="22"/>
  <c r="DE91" i="22"/>
  <c r="DK91" i="22"/>
  <c r="EJ47" i="22"/>
  <c r="EI24" i="22"/>
  <c r="DQ32" i="22"/>
  <c r="AM32" i="22" s="1"/>
  <c r="EK17" i="22"/>
  <c r="BH17" i="22" s="1"/>
  <c r="EJ16" i="22"/>
  <c r="EJ50" i="22"/>
  <c r="EI19" i="22"/>
  <c r="EJ5" i="22"/>
  <c r="EK16" i="22"/>
  <c r="BH16" i="22" s="1"/>
  <c r="EH10" i="22"/>
  <c r="BD79" i="22"/>
  <c r="AY136" i="1"/>
  <c r="AW5" i="83"/>
  <c r="BA136" i="1"/>
  <c r="AZ7" i="83"/>
  <c r="BA5" i="83"/>
  <c r="BB23" i="83"/>
  <c r="BF5" i="83"/>
  <c r="BI23" i="83"/>
  <c r="CZ85" i="22"/>
  <c r="DE85" i="22"/>
  <c r="CO85" i="22"/>
  <c r="DI85" i="22"/>
  <c r="DA85" i="22"/>
  <c r="DG85" i="22"/>
  <c r="DJ85" i="22"/>
  <c r="CI85" i="22"/>
  <c r="CX84" i="22"/>
  <c r="DC84" i="22"/>
  <c r="Y84" i="22" s="1"/>
  <c r="BU136" i="1"/>
  <c r="DN10" i="22"/>
  <c r="DO47" i="22"/>
  <c r="BQ30" i="83"/>
  <c r="DU42" i="22"/>
  <c r="DR27" i="22"/>
  <c r="DV34" i="22"/>
  <c r="DQ11" i="22"/>
  <c r="DR5" i="22"/>
  <c r="DU45" i="22"/>
  <c r="DQ78" i="22"/>
  <c r="DS66" i="22"/>
  <c r="DQ17" i="22"/>
  <c r="DQ34" i="22"/>
  <c r="DS81" i="22"/>
  <c r="DQ39" i="22"/>
  <c r="DR43" i="22"/>
  <c r="DT42" i="22"/>
  <c r="DT24" i="22"/>
  <c r="DT31" i="22"/>
  <c r="DW21" i="22"/>
  <c r="DS16" i="22"/>
  <c r="DV24" i="22"/>
  <c r="DR21" i="22"/>
  <c r="DR39" i="22"/>
  <c r="DT39" i="22"/>
  <c r="DP30" i="22"/>
  <c r="CS87" i="22"/>
  <c r="CX87" i="22"/>
  <c r="CW87" i="22"/>
  <c r="DJ87" i="22"/>
  <c r="DU10" i="22"/>
  <c r="DT40" i="22"/>
  <c r="EG11" i="22"/>
  <c r="DU87" i="22"/>
  <c r="EF11" i="22"/>
  <c r="DZ87" i="22"/>
  <c r="DV47" i="22"/>
  <c r="EI3" i="22"/>
  <c r="BR12" i="83"/>
  <c r="AV12" i="83"/>
  <c r="DR12" i="22"/>
  <c r="CD6" i="41"/>
  <c r="CD9" i="41" s="1"/>
  <c r="CD11" i="41" s="1"/>
  <c r="CD16" i="41" s="1"/>
  <c r="BK12" i="83"/>
  <c r="BE14" i="83"/>
  <c r="CC4" i="2"/>
  <c r="CC8" i="2" s="1"/>
  <c r="CC11" i="2" s="1"/>
  <c r="CC16" i="2" s="1"/>
  <c r="AQ12" i="83"/>
  <c r="DO19" i="22"/>
  <c r="DX47" i="22"/>
  <c r="DY25" i="22"/>
  <c r="CI136" i="1"/>
  <c r="EB5" i="22"/>
  <c r="DX5" i="22"/>
  <c r="BS23" i="83"/>
  <c r="DZ30" i="22"/>
  <c r="DQ7" i="22"/>
  <c r="DY16" i="22"/>
  <c r="DT25" i="22"/>
  <c r="DZ40" i="22"/>
  <c r="DX16" i="22"/>
  <c r="DO24" i="22"/>
  <c r="DY33" i="22"/>
  <c r="DX50" i="22"/>
  <c r="DJ50" i="22"/>
  <c r="DG50" i="22"/>
  <c r="DN50" i="22"/>
  <c r="DM50" i="22"/>
  <c r="DR50" i="22"/>
  <c r="EJ45" i="22"/>
  <c r="EH45" i="22"/>
  <c r="BG93" i="22"/>
  <c r="EK85" i="22"/>
  <c r="BH85" i="22" s="1"/>
  <c r="EI81" i="22"/>
  <c r="EH43" i="22"/>
  <c r="EC20" i="22"/>
  <c r="EE30" i="22"/>
  <c r="EA81" i="22"/>
  <c r="DX26" i="22"/>
  <c r="EE34" i="22"/>
  <c r="EG45" i="22"/>
  <c r="EC40" i="22"/>
  <c r="EB16" i="22"/>
  <c r="DY23" i="22"/>
  <c r="EB47" i="22"/>
  <c r="EF42" i="22"/>
  <c r="EJ85" i="22"/>
  <c r="CM5" i="34"/>
  <c r="CM9" i="34" s="1"/>
  <c r="CM11" i="34" s="1"/>
  <c r="CM16" i="34" s="1"/>
  <c r="EA40" i="22"/>
  <c r="EC15" i="22"/>
  <c r="EI45" i="22"/>
  <c r="EE5" i="22"/>
  <c r="AZ93" i="22"/>
  <c r="EB7" i="22"/>
  <c r="BC93" i="22"/>
  <c r="ED20" i="22"/>
  <c r="ED78" i="22"/>
  <c r="DL92" i="22"/>
  <c r="CN92" i="22"/>
  <c r="CO136" i="1"/>
  <c r="EI21" i="22"/>
  <c r="EH31" i="22"/>
  <c r="EA42" i="22"/>
  <c r="EH91" i="22"/>
  <c r="DK90" i="22"/>
  <c r="DX90" i="22"/>
  <c r="CM90" i="22"/>
  <c r="ED91" i="22"/>
  <c r="CM91" i="22"/>
  <c r="EE90" i="22"/>
  <c r="BB90" i="22" s="1"/>
  <c r="CJ91" i="22"/>
  <c r="CL91" i="22"/>
  <c r="CZ90" i="22"/>
  <c r="CH90" i="22"/>
  <c r="DV91" i="22"/>
  <c r="CJ90" i="22"/>
  <c r="EB91" i="22"/>
  <c r="EA90" i="22"/>
  <c r="DR91" i="22"/>
  <c r="CW91" i="22"/>
  <c r="EI47" i="22"/>
  <c r="EJ25" i="22"/>
  <c r="EH78" i="22"/>
  <c r="EJ21" i="22"/>
  <c r="BO26" i="83"/>
  <c r="EI39" i="22"/>
  <c r="EH8" i="22"/>
  <c r="DT32" i="22"/>
  <c r="EG32" i="22"/>
  <c r="EJ8" i="22"/>
  <c r="EH47" i="22"/>
  <c r="AV32" i="83"/>
  <c r="EK10" i="22"/>
  <c r="BH10" i="22" s="1"/>
  <c r="AX5" i="83"/>
  <c r="BC136" i="1"/>
  <c r="BD33" i="83"/>
  <c r="AR78" i="83"/>
  <c r="BR136" i="1"/>
  <c r="BN23" i="83"/>
  <c r="DF85" i="22"/>
  <c r="CM85" i="22"/>
  <c r="DL85" i="22"/>
  <c r="DO81" i="22"/>
  <c r="DO7" i="22"/>
  <c r="DW27" i="22"/>
  <c r="DP40" i="22"/>
  <c r="DW34" i="22"/>
  <c r="DP45" i="22"/>
  <c r="DP27" i="22"/>
  <c r="DT66" i="22"/>
  <c r="DW25" i="22"/>
  <c r="DQ66" i="22"/>
  <c r="DT45" i="22"/>
  <c r="DS43" i="22"/>
  <c r="DR10" i="22"/>
  <c r="DV81" i="22"/>
  <c r="DO39" i="22"/>
  <c r="DQ24" i="22"/>
  <c r="DS10" i="22"/>
  <c r="DS40" i="22"/>
  <c r="DV33" i="22"/>
  <c r="DS17" i="22"/>
  <c r="DV25" i="22"/>
  <c r="DR11" i="22"/>
  <c r="CI87" i="22"/>
  <c r="DP87" i="22"/>
  <c r="DG87" i="22"/>
  <c r="DR87" i="22"/>
  <c r="DV10" i="22"/>
  <c r="DZ11" i="22"/>
  <c r="DU8" i="22"/>
  <c r="DV40" i="22"/>
  <c r="DV3" i="22"/>
  <c r="CM87" i="22"/>
  <c r="AL88" i="22"/>
  <c r="AM88" i="22"/>
  <c r="DV39" i="22"/>
  <c r="BS14" i="83"/>
  <c r="AW14" i="83"/>
  <c r="BD12" i="83"/>
  <c r="BP14" i="83"/>
  <c r="BE12" i="83"/>
  <c r="DZ3" i="22"/>
  <c r="DZ20" i="22"/>
  <c r="BI14" i="83"/>
  <c r="DV19" i="22"/>
  <c r="DX43" i="22"/>
  <c r="DZ78" i="22"/>
  <c r="BS24" i="83"/>
  <c r="DX27" i="22"/>
  <c r="DZ31" i="22"/>
  <c r="DY85" i="22"/>
  <c r="DY21" i="22"/>
  <c r="DY66" i="22"/>
  <c r="DL45" i="22"/>
  <c r="DZ21" i="22"/>
  <c r="DY24" i="22"/>
  <c r="DX40" i="22"/>
  <c r="DR19" i="22"/>
  <c r="DT16" i="22"/>
  <c r="EC5" i="22"/>
  <c r="EI85" i="22"/>
  <c r="EE33" i="22"/>
  <c r="EC47" i="22"/>
  <c r="EE27" i="22"/>
  <c r="EF47" i="22"/>
  <c r="EC16" i="22"/>
  <c r="ED85" i="22"/>
  <c r="CN136" i="1"/>
  <c r="EF87" i="22"/>
  <c r="ED50" i="22"/>
  <c r="CJ136" i="1"/>
  <c r="EA33" i="22"/>
  <c r="EB66" i="22"/>
  <c r="EE39" i="22"/>
  <c r="ED34" i="22"/>
  <c r="EC33" i="22"/>
  <c r="EH20" i="22"/>
  <c r="ED81" i="22"/>
  <c r="EJ20" i="22"/>
  <c r="EB78" i="22"/>
  <c r="EE25" i="22"/>
  <c r="EB85" i="22"/>
  <c r="EA16" i="22"/>
  <c r="EB33" i="22"/>
  <c r="ED87" i="22"/>
  <c r="EF43" i="22"/>
  <c r="EE78" i="22"/>
  <c r="CZ92" i="22"/>
  <c r="CJ92" i="22"/>
  <c r="EG25" i="22"/>
  <c r="EE16" i="22"/>
  <c r="EE17" i="22"/>
  <c r="EG50" i="22"/>
  <c r="EE91" i="22"/>
  <c r="CT91" i="22"/>
  <c r="EC90" i="22"/>
  <c r="CU90" i="22"/>
  <c r="DH90" i="22"/>
  <c r="DD91" i="22"/>
  <c r="CV91" i="22"/>
  <c r="CQ90" i="22"/>
  <c r="DN91" i="22"/>
  <c r="CN91" i="22"/>
  <c r="DL91" i="22"/>
  <c r="DS90" i="22"/>
  <c r="DC91" i="22"/>
  <c r="EH50" i="22"/>
  <c r="EJ32" i="22"/>
  <c r="EK50" i="22"/>
  <c r="BH50" i="22" s="1"/>
  <c r="DO32" i="22"/>
  <c r="EI25" i="22"/>
  <c r="EA32" i="22"/>
  <c r="EK34" i="22"/>
  <c r="BH34" i="22" s="1"/>
  <c r="EH24" i="22"/>
  <c r="EJ33" i="22"/>
  <c r="BF33" i="22" s="1"/>
  <c r="EJ17" i="22"/>
  <c r="EI8" i="22"/>
  <c r="EI66" i="22"/>
  <c r="EH40" i="22"/>
  <c r="EK78" i="22"/>
  <c r="BH78" i="22" s="1"/>
  <c r="BG26" i="83"/>
  <c r="EH33" i="22"/>
  <c r="DW32" i="22"/>
  <c r="EI20" i="22"/>
  <c r="BQ32" i="83"/>
  <c r="EK32" i="22"/>
  <c r="BH32" i="22" s="1"/>
  <c r="BD37" i="22"/>
  <c r="BD36" i="22"/>
  <c r="EK23" i="22"/>
  <c r="BS26" i="83"/>
  <c r="DL32" i="22"/>
  <c r="BJ26" i="83"/>
  <c r="CQ32" i="22"/>
  <c r="AT32" i="83"/>
  <c r="DW7" i="51"/>
  <c r="DW11" i="51" s="1"/>
  <c r="DW13" i="51" s="1"/>
  <c r="DW18" i="51" s="1"/>
  <c r="CT7" i="51"/>
  <c r="CT11" i="51" s="1"/>
  <c r="CT13" i="51" s="1"/>
  <c r="CT18" i="51" s="1"/>
  <c r="BE32" i="83"/>
  <c r="CZ32" i="22"/>
  <c r="DK7" i="51"/>
  <c r="DK11" i="51" s="1"/>
  <c r="DK13" i="51" s="1"/>
  <c r="CS7" i="51"/>
  <c r="CS11" i="51" s="1"/>
  <c r="CS13" i="51" s="1"/>
  <c r="CS18" i="51" s="1"/>
  <c r="DI7" i="51"/>
  <c r="DI11" i="51" s="1"/>
  <c r="DI13" i="51" s="1"/>
  <c r="CV7" i="51"/>
  <c r="CV11" i="51" s="1"/>
  <c r="CV13" i="51" s="1"/>
  <c r="CV18" i="51" s="1"/>
  <c r="DG7" i="51"/>
  <c r="DG11" i="51" s="1"/>
  <c r="DG13" i="51" s="1"/>
  <c r="DB7" i="51"/>
  <c r="DB11" i="51" s="1"/>
  <c r="DB13" i="51" s="1"/>
  <c r="BJ32" i="83"/>
  <c r="DE32" i="22"/>
  <c r="CS6" i="41"/>
  <c r="CS9" i="41" s="1"/>
  <c r="CS11" i="41" s="1"/>
  <c r="CS16" i="41" s="1"/>
  <c r="EI14" i="22"/>
  <c r="DF7" i="51"/>
  <c r="DF11" i="51" s="1"/>
  <c r="DF13" i="51" s="1"/>
  <c r="DP7" i="51"/>
  <c r="DP11" i="51" s="1"/>
  <c r="DP13" i="51" s="1"/>
  <c r="BI32" i="83"/>
  <c r="DD32" i="22"/>
  <c r="DM7" i="51"/>
  <c r="DM11" i="51" s="1"/>
  <c r="DM13" i="51" s="1"/>
  <c r="BG32" i="83"/>
  <c r="DB32" i="22"/>
  <c r="BM32" i="83"/>
  <c r="AD32" i="83" s="1"/>
  <c r="DH32" i="22"/>
  <c r="BP32" i="83"/>
  <c r="DK32" i="22"/>
  <c r="EA7" i="51"/>
  <c r="EA11" i="51" s="1"/>
  <c r="EA13" i="51" s="1"/>
  <c r="EA18" i="51" s="1"/>
  <c r="BK32" i="83"/>
  <c r="DF32" i="22"/>
  <c r="BS32" i="83"/>
  <c r="DN32" i="22"/>
  <c r="AW32" i="83"/>
  <c r="CR32" i="22"/>
  <c r="AX32" i="83"/>
  <c r="CS32" i="22"/>
  <c r="ED7" i="51"/>
  <c r="ED11" i="51" s="1"/>
  <c r="ED13" i="51" s="1"/>
  <c r="ED18" i="51" s="1"/>
  <c r="DT7" i="51"/>
  <c r="DT11" i="51" s="1"/>
  <c r="DT13" i="51" s="1"/>
  <c r="DT18" i="51" s="1"/>
  <c r="BF32" i="83"/>
  <c r="DA32" i="22"/>
  <c r="EH14" i="22"/>
  <c r="CR6" i="41"/>
  <c r="CR9" i="41" s="1"/>
  <c r="CR11" i="41" s="1"/>
  <c r="CR16" i="41" s="1"/>
  <c r="EC7" i="51"/>
  <c r="EC11" i="51" s="1"/>
  <c r="EC13" i="51" s="1"/>
  <c r="EC18" i="51" s="1"/>
  <c r="DY7" i="51"/>
  <c r="DY11" i="51" s="1"/>
  <c r="DY13" i="51" s="1"/>
  <c r="DY18" i="51" s="1"/>
  <c r="BL32" i="83"/>
  <c r="DG32" i="22"/>
  <c r="DC7" i="51"/>
  <c r="DC11" i="51" s="1"/>
  <c r="DC13" i="51" s="1"/>
  <c r="DN7" i="51"/>
  <c r="DN11" i="51" s="1"/>
  <c r="DN13" i="51" s="1"/>
  <c r="AU32" i="83"/>
  <c r="CP32" i="22"/>
  <c r="BH32" i="83"/>
  <c r="DC32" i="22"/>
  <c r="DQ7" i="51"/>
  <c r="DQ11" i="51" s="1"/>
  <c r="DQ13" i="51" s="1"/>
  <c r="DV7" i="51"/>
  <c r="DV11" i="51" s="1"/>
  <c r="DV13" i="51" s="1"/>
  <c r="DV18" i="51" s="1"/>
  <c r="AY32" i="83"/>
  <c r="P32" i="83" s="1"/>
  <c r="CT32" i="22"/>
  <c r="CU6" i="41"/>
  <c r="CU9" i="41" s="1"/>
  <c r="CU11" i="41" s="1"/>
  <c r="CU16" i="41" s="1"/>
  <c r="EK14" i="22"/>
  <c r="I19" i="91"/>
  <c r="DN6" i="42"/>
  <c r="DN8" i="42" s="1"/>
  <c r="DN9" i="42" s="1"/>
  <c r="DN14" i="42" s="1"/>
  <c r="FD38" i="22" s="1"/>
  <c r="DN5" i="15"/>
  <c r="DN8" i="15" s="1"/>
  <c r="DN10" i="15" s="1"/>
  <c r="CP7" i="51"/>
  <c r="CP11" i="51" s="1"/>
  <c r="CP13" i="51" s="1"/>
  <c r="CP18" i="51" s="1"/>
  <c r="DM6" i="42"/>
  <c r="DM8" i="42" s="1"/>
  <c r="DM9" i="42" s="1"/>
  <c r="DM14" i="42" s="1"/>
  <c r="FC38" i="22" s="1"/>
  <c r="DM5" i="15"/>
  <c r="DM8" i="15" s="1"/>
  <c r="DM10" i="15" s="1"/>
  <c r="DL6" i="42"/>
  <c r="DL8" i="42" s="1"/>
  <c r="DL9" i="42" s="1"/>
  <c r="DL14" i="42" s="1"/>
  <c r="FB38" i="22" s="1"/>
  <c r="DL5" i="15"/>
  <c r="DL8" i="15" s="1"/>
  <c r="DL10" i="15" s="1"/>
  <c r="EK4" i="22"/>
  <c r="CU6" i="42"/>
  <c r="CU8" i="42" s="1"/>
  <c r="CU9" i="42" s="1"/>
  <c r="CU14" i="42" s="1"/>
  <c r="CZ136" i="1"/>
  <c r="DB6" i="42"/>
  <c r="DB8" i="42" s="1"/>
  <c r="DB9" i="42" s="1"/>
  <c r="DB14" i="42" s="1"/>
  <c r="ER38" i="22" s="1"/>
  <c r="DB5" i="15"/>
  <c r="DB8" i="15" s="1"/>
  <c r="DB10" i="15" s="1"/>
  <c r="DB14" i="15" s="1"/>
  <c r="ER9" i="22" s="1"/>
  <c r="CQ136" i="1"/>
  <c r="CS6" i="42"/>
  <c r="CS8" i="42" s="1"/>
  <c r="CS9" i="42" s="1"/>
  <c r="CS14" i="42" s="1"/>
  <c r="DO6" i="42"/>
  <c r="DO8" i="42" s="1"/>
  <c r="DO9" i="42" s="1"/>
  <c r="DO14" i="42" s="1"/>
  <c r="FE38" i="22" s="1"/>
  <c r="DO5" i="15"/>
  <c r="DO8" i="15" s="1"/>
  <c r="DO10" i="15" s="1"/>
  <c r="DQ6" i="42"/>
  <c r="DQ8" i="42" s="1"/>
  <c r="DQ9" i="42" s="1"/>
  <c r="DQ14" i="42" s="1"/>
  <c r="FG38" i="22" s="1"/>
  <c r="CD38" i="22" s="1"/>
  <c r="DQ5" i="15"/>
  <c r="DQ8" i="15" s="1"/>
  <c r="DQ10" i="15" s="1"/>
  <c r="DR6" i="42"/>
  <c r="DR8" i="42" s="1"/>
  <c r="DR9" i="42" s="1"/>
  <c r="DR14" i="42" s="1"/>
  <c r="FH38" i="22" s="1"/>
  <c r="DR5" i="15"/>
  <c r="DR8" i="15" s="1"/>
  <c r="DR10" i="15" s="1"/>
  <c r="DR14" i="15" s="1"/>
  <c r="FH9" i="22" s="1"/>
  <c r="CQ7" i="51"/>
  <c r="CQ11" i="51" s="1"/>
  <c r="CQ13" i="51" s="1"/>
  <c r="CQ18" i="51" s="1"/>
  <c r="DG136" i="1"/>
  <c r="DI6" i="42"/>
  <c r="DI8" i="42" s="1"/>
  <c r="DI9" i="42" s="1"/>
  <c r="DI14" i="42" s="1"/>
  <c r="EY38" i="22" s="1"/>
  <c r="DI5" i="15"/>
  <c r="DI8" i="15" s="1"/>
  <c r="DI10" i="15" s="1"/>
  <c r="DH136" i="1"/>
  <c r="DJ6" i="42"/>
  <c r="DJ8" i="42" s="1"/>
  <c r="DJ9" i="42" s="1"/>
  <c r="DJ14" i="42" s="1"/>
  <c r="EZ38" i="22" s="1"/>
  <c r="DJ5" i="15"/>
  <c r="DJ8" i="15" s="1"/>
  <c r="DJ10" i="15" s="1"/>
  <c r="DK6" i="42"/>
  <c r="DK8" i="42" s="1"/>
  <c r="DK9" i="42" s="1"/>
  <c r="DK14" i="42" s="1"/>
  <c r="FA38" i="22" s="1"/>
  <c r="DK5" i="15"/>
  <c r="DK8" i="15" s="1"/>
  <c r="DK10" i="15" s="1"/>
  <c r="CR136" i="1"/>
  <c r="CT6" i="42"/>
  <c r="CT8" i="42" s="1"/>
  <c r="CT9" i="42" s="1"/>
  <c r="CT14" i="42" s="1"/>
  <c r="CO7" i="51"/>
  <c r="CO11" i="51" s="1"/>
  <c r="CO13" i="51" s="1"/>
  <c r="CO18" i="51" s="1"/>
  <c r="DP6" i="42"/>
  <c r="DP8" i="42" s="1"/>
  <c r="DP9" i="42" s="1"/>
  <c r="DP14" i="42" s="1"/>
  <c r="FF38" i="22" s="1"/>
  <c r="DP5" i="15"/>
  <c r="DP8" i="15" s="1"/>
  <c r="DP10" i="15" s="1"/>
  <c r="CR7" i="51"/>
  <c r="CR11" i="51" s="1"/>
  <c r="CR13" i="51" s="1"/>
  <c r="CR18" i="51" s="1"/>
  <c r="EJ23" i="22"/>
  <c r="CT5" i="34"/>
  <c r="CT9" i="34" s="1"/>
  <c r="CT11" i="34" s="1"/>
  <c r="CT16" i="34" s="1"/>
  <c r="CR5" i="31"/>
  <c r="CR10" i="31" s="1"/>
  <c r="CR11" i="31" s="1"/>
  <c r="CR17" i="31" s="1"/>
  <c r="I14" i="12"/>
  <c r="I17" i="12"/>
  <c r="CD17" i="12"/>
  <c r="CL17" i="12"/>
  <c r="EF6" i="22"/>
  <c r="CF17" i="12"/>
  <c r="CJ17" i="12"/>
  <c r="EE6" i="22"/>
  <c r="BZ17" i="12"/>
  <c r="CE17" i="12"/>
  <c r="CK17" i="12"/>
  <c r="BY17" i="12"/>
  <c r="CC17" i="12"/>
  <c r="CI17" i="12"/>
  <c r="EG6" i="22"/>
  <c r="ED6" i="22"/>
  <c r="CB17" i="12"/>
  <c r="CA17" i="12"/>
  <c r="CH17" i="12"/>
  <c r="CG17" i="12"/>
  <c r="EC6" i="22"/>
  <c r="CZ5" i="15"/>
  <c r="CZ8" i="15" s="1"/>
  <c r="CZ10" i="15" s="1"/>
  <c r="CZ14" i="15" s="1"/>
  <c r="EP9" i="22" s="1"/>
  <c r="CX136" i="1"/>
  <c r="CW5" i="15"/>
  <c r="CW8" i="15" s="1"/>
  <c r="CW10" i="15" s="1"/>
  <c r="CW14" i="15" s="1"/>
  <c r="EM9" i="22" s="1"/>
  <c r="CU136" i="1"/>
  <c r="DA5" i="15"/>
  <c r="DA8" i="15" s="1"/>
  <c r="DA10" i="15" s="1"/>
  <c r="DA14" i="15" s="1"/>
  <c r="EQ9" i="22" s="1"/>
  <c r="CY136" i="1"/>
  <c r="CV5" i="15"/>
  <c r="CV8" i="15" s="1"/>
  <c r="CV10" i="15" s="1"/>
  <c r="CV14" i="15" s="1"/>
  <c r="EL9" i="22" s="1"/>
  <c r="CT136" i="1"/>
  <c r="CX5" i="15"/>
  <c r="CX8" i="15" s="1"/>
  <c r="CX10" i="15" s="1"/>
  <c r="CX14" i="15" s="1"/>
  <c r="EN9" i="22" s="1"/>
  <c r="CV136" i="1"/>
  <c r="CM6" i="42"/>
  <c r="CM8" i="42" s="1"/>
  <c r="CM9" i="42" s="1"/>
  <c r="CM14" i="42" s="1"/>
  <c r="CK136" i="1"/>
  <c r="EH4" i="22"/>
  <c r="CP136" i="1"/>
  <c r="EE4" i="22"/>
  <c r="CM136" i="1"/>
  <c r="CU5" i="15"/>
  <c r="CU8" i="15" s="1"/>
  <c r="CU10" i="15" s="1"/>
  <c r="CU14" i="15" s="1"/>
  <c r="CS136" i="1"/>
  <c r="ED4" i="22"/>
  <c r="CL136" i="1"/>
  <c r="BQ4" i="83"/>
  <c r="BT136" i="1"/>
  <c r="BB4" i="83"/>
  <c r="BE136" i="1"/>
  <c r="BG4" i="83"/>
  <c r="BJ136" i="1"/>
  <c r="AQ4" i="83"/>
  <c r="AT136" i="1"/>
  <c r="AR4" i="83"/>
  <c r="AU136" i="1"/>
  <c r="BD4" i="83"/>
  <c r="BG136" i="1"/>
  <c r="BK4" i="83"/>
  <c r="BN136" i="1"/>
  <c r="BC4" i="83"/>
  <c r="BF136" i="1"/>
  <c r="DX4" i="22"/>
  <c r="CF136" i="1"/>
  <c r="CI5" i="15"/>
  <c r="CI8" i="15" s="1"/>
  <c r="CI10" i="15" s="1"/>
  <c r="CI14" i="15" s="1"/>
  <c r="CG136" i="1"/>
  <c r="AP4" i="83"/>
  <c r="AS136" i="1"/>
  <c r="AW4" i="83"/>
  <c r="AZ136" i="1"/>
  <c r="BH4" i="83"/>
  <c r="BK136" i="1"/>
  <c r="AU4" i="83"/>
  <c r="AX136" i="1"/>
  <c r="BI4" i="83"/>
  <c r="BL136" i="1"/>
  <c r="BN4" i="83"/>
  <c r="BQ136" i="1"/>
  <c r="CJ5" i="15"/>
  <c r="CJ8" i="15" s="1"/>
  <c r="CJ10" i="15" s="1"/>
  <c r="CJ14" i="15" s="1"/>
  <c r="CH136" i="1"/>
  <c r="CS5" i="15"/>
  <c r="CS8" i="15" s="1"/>
  <c r="CS10" i="15" s="1"/>
  <c r="CS14" i="15" s="1"/>
  <c r="EI4" i="22"/>
  <c r="CT5" i="15"/>
  <c r="CT8" i="15" s="1"/>
  <c r="CT10" i="15" s="1"/>
  <c r="CT14" i="15" s="1"/>
  <c r="EJ4" i="22"/>
  <c r="CS5" i="34"/>
  <c r="CS9" i="34" s="1"/>
  <c r="CS11" i="34" s="1"/>
  <c r="CS16" i="34" s="1"/>
  <c r="EI23" i="22"/>
  <c r="CR5" i="34"/>
  <c r="CR9" i="34" s="1"/>
  <c r="CR11" i="34" s="1"/>
  <c r="CR16" i="34" s="1"/>
  <c r="EH23" i="22"/>
  <c r="DI15" i="13"/>
  <c r="CV15" i="13"/>
  <c r="DD15" i="13"/>
  <c r="DE15" i="13"/>
  <c r="DC15" i="13"/>
  <c r="DL15" i="13"/>
  <c r="DB18" i="13"/>
  <c r="ER3" i="22" s="1"/>
  <c r="BO3" i="22" s="1"/>
  <c r="DR15" i="13"/>
  <c r="DK15" i="13"/>
  <c r="DO15" i="13"/>
  <c r="DM15" i="13"/>
  <c r="DP15" i="13"/>
  <c r="DN15" i="13"/>
  <c r="DN18" i="13"/>
  <c r="FD3" i="22" s="1"/>
  <c r="CY15" i="13"/>
  <c r="DJ15" i="13"/>
  <c r="DJ18" i="13"/>
  <c r="EZ3" i="22" s="1"/>
  <c r="BW3" i="22" s="1"/>
  <c r="DH15" i="13"/>
  <c r="DH18" i="13"/>
  <c r="EX3" i="22" s="1"/>
  <c r="BU3" i="22" s="1"/>
  <c r="DF15" i="13"/>
  <c r="DA15" i="13"/>
  <c r="DQ15" i="13"/>
  <c r="CZ15" i="13"/>
  <c r="DG15" i="13"/>
  <c r="DG18" i="13"/>
  <c r="EW3" i="22" s="1"/>
  <c r="CX15" i="13"/>
  <c r="CU15" i="13"/>
  <c r="CS15" i="13"/>
  <c r="CT15" i="13"/>
  <c r="CR15" i="13"/>
  <c r="CO5" i="34"/>
  <c r="CO9" i="34" s="1"/>
  <c r="CO11" i="34" s="1"/>
  <c r="CO16" i="34" s="1"/>
  <c r="EE23" i="22"/>
  <c r="CQ5" i="15"/>
  <c r="CQ8" i="15" s="1"/>
  <c r="CQ10" i="15" s="1"/>
  <c r="CQ14" i="15" s="1"/>
  <c r="CQ6" i="42"/>
  <c r="CQ8" i="42" s="1"/>
  <c r="CQ9" i="42" s="1"/>
  <c r="CQ14" i="42" s="1"/>
  <c r="EG4" i="22"/>
  <c r="CQ15" i="13"/>
  <c r="CQ5" i="34"/>
  <c r="CQ9" i="34" s="1"/>
  <c r="CQ11" i="34" s="1"/>
  <c r="EG23" i="22"/>
  <c r="CP5" i="34"/>
  <c r="CP9" i="34" s="1"/>
  <c r="CP11" i="34" s="1"/>
  <c r="CP16" i="34" s="1"/>
  <c r="EF23" i="22"/>
  <c r="CQ6" i="41"/>
  <c r="CQ9" i="41" s="1"/>
  <c r="CQ11" i="41" s="1"/>
  <c r="CQ16" i="41" s="1"/>
  <c r="EG14" i="22"/>
  <c r="CR5" i="15"/>
  <c r="CR8" i="15" s="1"/>
  <c r="CR10" i="15" s="1"/>
  <c r="CR14" i="15" s="1"/>
  <c r="CR6" i="42"/>
  <c r="CR8" i="42" s="1"/>
  <c r="CR9" i="42" s="1"/>
  <c r="CR14" i="42" s="1"/>
  <c r="CP18" i="13"/>
  <c r="CP15" i="13"/>
  <c r="CP5" i="15"/>
  <c r="CP8" i="15" s="1"/>
  <c r="CP10" i="15" s="1"/>
  <c r="CP14" i="15" s="1"/>
  <c r="EF4" i="22"/>
  <c r="CP6" i="42"/>
  <c r="CP8" i="42" s="1"/>
  <c r="CP9" i="42" s="1"/>
  <c r="CP14" i="42" s="1"/>
  <c r="CO6" i="41"/>
  <c r="CO9" i="41" s="1"/>
  <c r="CO11" i="41" s="1"/>
  <c r="CO16" i="41" s="1"/>
  <c r="EE14" i="22"/>
  <c r="CP6" i="41"/>
  <c r="CP9" i="41" s="1"/>
  <c r="CP11" i="41" s="1"/>
  <c r="CP16" i="41" s="1"/>
  <c r="EF14" i="22"/>
  <c r="CN6" i="41"/>
  <c r="CN9" i="41" s="1"/>
  <c r="CN11" i="41" s="1"/>
  <c r="CN16" i="41" s="1"/>
  <c r="ED14" i="22"/>
  <c r="ED23" i="22"/>
  <c r="CM18" i="13"/>
  <c r="CM15" i="13"/>
  <c r="CN18" i="13"/>
  <c r="CN15" i="13"/>
  <c r="CO18" i="13"/>
  <c r="CO15" i="13"/>
  <c r="BO50" i="83"/>
  <c r="CI6" i="42"/>
  <c r="CI8" i="42" s="1"/>
  <c r="CI9" i="42" s="1"/>
  <c r="CI14" i="42" s="1"/>
  <c r="DY4" i="22"/>
  <c r="BS50" i="83"/>
  <c r="EC23" i="22"/>
  <c r="CL6" i="41"/>
  <c r="CL9" i="41" s="1"/>
  <c r="CL11" i="41" s="1"/>
  <c r="BP50" i="83"/>
  <c r="DA50" i="22"/>
  <c r="BK50" i="83"/>
  <c r="CM5" i="15"/>
  <c r="CM8" i="15" s="1"/>
  <c r="CM10" i="15" s="1"/>
  <c r="CM14" i="15" s="1"/>
  <c r="EC4" i="22"/>
  <c r="BJ50" i="83"/>
  <c r="BH50" i="83"/>
  <c r="BI50" i="83"/>
  <c r="DH50" i="22"/>
  <c r="BN50" i="83"/>
  <c r="BQ50" i="83"/>
  <c r="DB50" i="22"/>
  <c r="BR50" i="83"/>
  <c r="BL50" i="83"/>
  <c r="BR42" i="83"/>
  <c r="CI5" i="34"/>
  <c r="CI9" i="34" s="1"/>
  <c r="CI11" i="34" s="1"/>
  <c r="CI16" i="34" s="1"/>
  <c r="CM7" i="51"/>
  <c r="CM11" i="51" s="1"/>
  <c r="CM13" i="51" s="1"/>
  <c r="CM18" i="51" s="1"/>
  <c r="CG36" i="22"/>
  <c r="C36" i="22" s="1"/>
  <c r="AY12" i="22"/>
  <c r="CK15" i="13"/>
  <c r="CG18" i="22"/>
  <c r="C18" i="22" s="1"/>
  <c r="CN6" i="42"/>
  <c r="CN8" i="42" s="1"/>
  <c r="CN9" i="42" s="1"/>
  <c r="CN14" i="42" s="1"/>
  <c r="CN5" i="15"/>
  <c r="CN8" i="15" s="1"/>
  <c r="CN10" i="15" s="1"/>
  <c r="CN14" i="15" s="1"/>
  <c r="CL15" i="13"/>
  <c r="EA14" i="22"/>
  <c r="CK6" i="41"/>
  <c r="CK9" i="41" s="1"/>
  <c r="CK11" i="41" s="1"/>
  <c r="CK16" i="41" s="1"/>
  <c r="EB4" i="22"/>
  <c r="CL6" i="42"/>
  <c r="CL8" i="42" s="1"/>
  <c r="CL9" i="42" s="1"/>
  <c r="CL14" i="42" s="1"/>
  <c r="CL5" i="15"/>
  <c r="CL8" i="15" s="1"/>
  <c r="CL10" i="15" s="1"/>
  <c r="CL14" i="15" s="1"/>
  <c r="CG44" i="22"/>
  <c r="C44" i="22" s="1"/>
  <c r="EC14" i="22"/>
  <c r="CM6" i="41"/>
  <c r="CM9" i="41" s="1"/>
  <c r="CM11" i="41" s="1"/>
  <c r="CM16" i="41" s="1"/>
  <c r="CO6" i="42"/>
  <c r="CO8" i="42" s="1"/>
  <c r="CO9" i="42" s="1"/>
  <c r="CO14" i="42" s="1"/>
  <c r="CO5" i="15"/>
  <c r="CO8" i="15" s="1"/>
  <c r="CO10" i="15" s="1"/>
  <c r="CO14" i="15" s="1"/>
  <c r="CK5" i="15"/>
  <c r="CK8" i="15" s="1"/>
  <c r="CK10" i="15" s="1"/>
  <c r="CK14" i="15" s="1"/>
  <c r="EA4" i="22"/>
  <c r="CK6" i="42"/>
  <c r="CK8" i="42" s="1"/>
  <c r="CK9" i="42" s="1"/>
  <c r="CK14" i="42" s="1"/>
  <c r="EB23" i="22"/>
  <c r="CL5" i="34"/>
  <c r="CL9" i="34" s="1"/>
  <c r="CL11" i="34" s="1"/>
  <c r="CL16" i="34" s="1"/>
  <c r="CG79" i="22"/>
  <c r="C79" i="22" s="1"/>
  <c r="EA23" i="22"/>
  <c r="CK5" i="34"/>
  <c r="CK9" i="34" s="1"/>
  <c r="CK11" i="34" s="1"/>
  <c r="CK16" i="34" s="1"/>
  <c r="DN24" i="22"/>
  <c r="DZ23" i="22"/>
  <c r="CL7" i="51"/>
  <c r="CL11" i="51" s="1"/>
  <c r="CL13" i="51" s="1"/>
  <c r="CL18" i="51" s="1"/>
  <c r="BX5" i="34"/>
  <c r="BX9" i="34" s="1"/>
  <c r="BX11" i="34" s="1"/>
  <c r="BX16" i="34" s="1"/>
  <c r="DN23" i="22"/>
  <c r="CH6" i="42"/>
  <c r="CH8" i="42" s="1"/>
  <c r="CH9" i="42" s="1"/>
  <c r="CH14" i="42" s="1"/>
  <c r="BQ45" i="83"/>
  <c r="CI7" i="51"/>
  <c r="CI11" i="51" s="1"/>
  <c r="CI13" i="51" s="1"/>
  <c r="CI18" i="51" s="1"/>
  <c r="CH5" i="15"/>
  <c r="CH8" i="15" s="1"/>
  <c r="CH10" i="15" s="1"/>
  <c r="CH14" i="15" s="1"/>
  <c r="CJ6" i="42"/>
  <c r="CJ8" i="42" s="1"/>
  <c r="CJ9" i="42" s="1"/>
  <c r="CJ14" i="42" s="1"/>
  <c r="CF7" i="51"/>
  <c r="CF11" i="51" s="1"/>
  <c r="CF13" i="51" s="1"/>
  <c r="CF18" i="51" s="1"/>
  <c r="DZ4" i="22"/>
  <c r="CE15" i="13"/>
  <c r="CI15" i="13"/>
  <c r="CJ7" i="51"/>
  <c r="CJ11" i="51" s="1"/>
  <c r="CJ13" i="51" s="1"/>
  <c r="CJ18" i="51" s="1"/>
  <c r="CG15" i="13"/>
  <c r="BX16" i="14"/>
  <c r="CB16" i="14"/>
  <c r="CE16" i="14"/>
  <c r="CE13" i="14"/>
  <c r="AV12" i="22"/>
  <c r="CJ15" i="13"/>
  <c r="CF15" i="13"/>
  <c r="CH15" i="13"/>
  <c r="DX14" i="22"/>
  <c r="CH6" i="41"/>
  <c r="CH9" i="41" s="1"/>
  <c r="CH11" i="41" s="1"/>
  <c r="CA16" i="14"/>
  <c r="CA13" i="14"/>
  <c r="DX23" i="22"/>
  <c r="CH5" i="34"/>
  <c r="CH9" i="34" s="1"/>
  <c r="CH11" i="34" s="1"/>
  <c r="CH16" i="34" s="1"/>
  <c r="DY14" i="22"/>
  <c r="CI6" i="41"/>
  <c r="CI9" i="41" s="1"/>
  <c r="CI11" i="41" s="1"/>
  <c r="CI16" i="41" s="1"/>
  <c r="CK7" i="51"/>
  <c r="CK11" i="51" s="1"/>
  <c r="CK13" i="51" s="1"/>
  <c r="CK18" i="51" s="1"/>
  <c r="CC15" i="13"/>
  <c r="DZ14" i="22"/>
  <c r="CJ6" i="41"/>
  <c r="CJ9" i="41" s="1"/>
  <c r="CJ11" i="41" s="1"/>
  <c r="CJ16" i="41" s="1"/>
  <c r="CD15" i="13"/>
  <c r="DT23" i="22"/>
  <c r="AI11" i="2"/>
  <c r="AI16" i="2" s="1"/>
  <c r="BH11" i="7"/>
  <c r="BH16" i="7" s="1"/>
  <c r="BK11" i="7"/>
  <c r="BK16" i="7" s="1"/>
  <c r="BM11" i="7"/>
  <c r="BM16" i="7" s="1"/>
  <c r="CF11" i="7"/>
  <c r="CF16" i="7" s="1"/>
  <c r="BQ11" i="7"/>
  <c r="BQ16" i="7" s="1"/>
  <c r="BL11" i="7"/>
  <c r="BL16" i="7" s="1"/>
  <c r="BV11" i="7"/>
  <c r="BV16" i="7" s="1"/>
  <c r="BR11" i="7"/>
  <c r="BR16" i="7" s="1"/>
  <c r="AK11" i="7"/>
  <c r="AK16" i="7" s="1"/>
  <c r="AK4" i="2" s="1"/>
  <c r="AK8" i="2" s="1"/>
  <c r="AK11" i="2" s="1"/>
  <c r="AK16" i="2" s="1"/>
  <c r="CH7" i="29"/>
  <c r="CH11" i="29" s="1"/>
  <c r="CH16" i="29" s="1"/>
  <c r="DR20" i="22"/>
  <c r="BY21" i="29"/>
  <c r="BZ18" i="29"/>
  <c r="DP20" i="22"/>
  <c r="DU20" i="22"/>
  <c r="DT20" i="22"/>
  <c r="DS20" i="22"/>
  <c r="BB21" i="29"/>
  <c r="BB18" i="29"/>
  <c r="DQ20" i="22"/>
  <c r="DV20" i="22"/>
  <c r="DW20" i="22"/>
  <c r="BD4" i="2"/>
  <c r="BD8" i="2" s="1"/>
  <c r="BD11" i="2" s="1"/>
  <c r="BD16" i="2" s="1"/>
  <c r="AY12" i="83"/>
  <c r="BS15" i="83"/>
  <c r="CG5" i="34"/>
  <c r="CG9" i="34" s="1"/>
  <c r="CG11" i="34" s="1"/>
  <c r="CG16" i="34" s="1"/>
  <c r="DW23" i="22"/>
  <c r="CG6" i="42"/>
  <c r="CG8" i="42" s="1"/>
  <c r="CG9" i="42" s="1"/>
  <c r="CG14" i="42" s="1"/>
  <c r="DW4" i="22"/>
  <c r="CG6" i="41"/>
  <c r="CG9" i="41" s="1"/>
  <c r="CG11" i="41" s="1"/>
  <c r="CG16" i="41" s="1"/>
  <c r="DW14" i="22"/>
  <c r="AZ12" i="83"/>
  <c r="CU12" i="22"/>
  <c r="BI4" i="2"/>
  <c r="BI8" i="2" s="1"/>
  <c r="BI11" i="2" s="1"/>
  <c r="BI16" i="2" s="1"/>
  <c r="AQ11" i="2"/>
  <c r="AQ16" i="2" s="1"/>
  <c r="BX4" i="2"/>
  <c r="BX8" i="2" s="1"/>
  <c r="BX11" i="2" s="1"/>
  <c r="BX16" i="2" s="1"/>
  <c r="DN12" i="22"/>
  <c r="DF12" i="22"/>
  <c r="BP4" i="2"/>
  <c r="BP8" i="2" s="1"/>
  <c r="BP11" i="2" s="1"/>
  <c r="BP16" i="2" s="1"/>
  <c r="DS12" i="22"/>
  <c r="CY12" i="22"/>
  <c r="DE12" i="22"/>
  <c r="BO4" i="2"/>
  <c r="BO8" i="2" s="1"/>
  <c r="BO11" i="2" s="1"/>
  <c r="BO16" i="2" s="1"/>
  <c r="DM12" i="22"/>
  <c r="DI12" i="22"/>
  <c r="BS4" i="2"/>
  <c r="BS8" i="2" s="1"/>
  <c r="BS11" i="2" s="1"/>
  <c r="BS16" i="2" s="1"/>
  <c r="CW26" i="22"/>
  <c r="BW4" i="2"/>
  <c r="BW8" i="2" s="1"/>
  <c r="BW11" i="2" s="1"/>
  <c r="BW16" i="2" s="1"/>
  <c r="CD4" i="2"/>
  <c r="CD8" i="2" s="1"/>
  <c r="CD11" i="2" s="1"/>
  <c r="CD16" i="2" s="1"/>
  <c r="CB4" i="2"/>
  <c r="CB8" i="2" s="1"/>
  <c r="CB11" i="2" s="1"/>
  <c r="CB16" i="2" s="1"/>
  <c r="CE4" i="2"/>
  <c r="CE8" i="2" s="1"/>
  <c r="CE11" i="2" s="1"/>
  <c r="CE16" i="2" s="1"/>
  <c r="BN4" i="2"/>
  <c r="BN8" i="2" s="1"/>
  <c r="BN11" i="2" s="1"/>
  <c r="BN16" i="2" s="1"/>
  <c r="DD12" i="22"/>
  <c r="DK12" i="22"/>
  <c r="BU4" i="2"/>
  <c r="BU8" i="2" s="1"/>
  <c r="BU11" i="2" s="1"/>
  <c r="BU16" i="2" s="1"/>
  <c r="AH11" i="7"/>
  <c r="AH16" i="7" s="1"/>
  <c r="AH4" i="2" s="1"/>
  <c r="AH8" i="2" s="1"/>
  <c r="AH11" i="2" s="1"/>
  <c r="AH16" i="2" s="1"/>
  <c r="CF17" i="5"/>
  <c r="CF15" i="5"/>
  <c r="BZ11" i="7"/>
  <c r="BZ16" i="7" s="1"/>
  <c r="AM11" i="7"/>
  <c r="AM16" i="7" s="1"/>
  <c r="AM4" i="2" s="1"/>
  <c r="AM8" i="2" s="1"/>
  <c r="AM11" i="2" s="1"/>
  <c r="AM16" i="2" s="1"/>
  <c r="AY11" i="7"/>
  <c r="AY16" i="7" s="1"/>
  <c r="AA11" i="7"/>
  <c r="AA16" i="7" s="1"/>
  <c r="AA4" i="2" s="1"/>
  <c r="AA8" i="2" s="1"/>
  <c r="AA11" i="2" s="1"/>
  <c r="AA16" i="2" s="1"/>
  <c r="AN11" i="7"/>
  <c r="AN16" i="7" s="1"/>
  <c r="AN4" i="2" s="1"/>
  <c r="AN8" i="2" s="1"/>
  <c r="AN11" i="2" s="1"/>
  <c r="AN16" i="2" s="1"/>
  <c r="BX17" i="5"/>
  <c r="BX15" i="5"/>
  <c r="DV14" i="22"/>
  <c r="CF6" i="41"/>
  <c r="CF9" i="41" s="1"/>
  <c r="CF11" i="41" s="1"/>
  <c r="CF16" i="41" s="1"/>
  <c r="CZ12" i="22"/>
  <c r="DJ12" i="22"/>
  <c r="AL11" i="7"/>
  <c r="AL16" i="7" s="1"/>
  <c r="AL4" i="2" s="1"/>
  <c r="AL8" i="2" s="1"/>
  <c r="AL11" i="2" s="1"/>
  <c r="AL16" i="2" s="1"/>
  <c r="BJ4" i="2"/>
  <c r="BJ8" i="2" s="1"/>
  <c r="BJ11" i="2" s="1"/>
  <c r="BJ16" i="2" s="1"/>
  <c r="BT4" i="2"/>
  <c r="BT8" i="2" s="1"/>
  <c r="BT11" i="2" s="1"/>
  <c r="BT16" i="2" s="1"/>
  <c r="AO11" i="7"/>
  <c r="AO16" i="7" s="1"/>
  <c r="AO4" i="2" s="1"/>
  <c r="AO8" i="2" s="1"/>
  <c r="AO11" i="2" s="1"/>
  <c r="AO16" i="2" s="1"/>
  <c r="AF11" i="7"/>
  <c r="AF16" i="7" s="1"/>
  <c r="AF4" i="2" s="1"/>
  <c r="AF8" i="2" s="1"/>
  <c r="AF11" i="2" s="1"/>
  <c r="AF16" i="2" s="1"/>
  <c r="BQ24" i="83"/>
  <c r="CF5" i="34"/>
  <c r="CF9" i="34" s="1"/>
  <c r="CF11" i="34" s="1"/>
  <c r="CF16" i="34" s="1"/>
  <c r="DV23" i="22"/>
  <c r="CF6" i="42"/>
  <c r="CF8" i="42" s="1"/>
  <c r="CF9" i="42" s="1"/>
  <c r="CF14" i="42" s="1"/>
  <c r="DV4" i="22"/>
  <c r="DT14" i="22"/>
  <c r="CE6" i="41"/>
  <c r="CE9" i="41" s="1"/>
  <c r="CE11" i="41" s="1"/>
  <c r="CE16" i="41" s="1"/>
  <c r="AI15" i="86"/>
  <c r="AW18" i="87"/>
  <c r="CL88" i="22" s="1"/>
  <c r="AW15" i="87"/>
  <c r="BV18" i="87"/>
  <c r="DK88" i="22" s="1"/>
  <c r="AG88" i="22" s="1"/>
  <c r="O15" i="87"/>
  <c r="O18" i="87"/>
  <c r="Z15" i="87"/>
  <c r="Z18" i="87"/>
  <c r="Y15" i="87"/>
  <c r="Y18" i="87"/>
  <c r="AC18" i="87"/>
  <c r="AC15" i="87"/>
  <c r="BM18" i="87"/>
  <c r="DB88" i="22" s="1"/>
  <c r="BM15" i="87"/>
  <c r="Q15" i="87"/>
  <c r="Q18" i="87"/>
  <c r="P15" i="87"/>
  <c r="P18" i="87"/>
  <c r="AA28" i="83"/>
  <c r="Y44" i="83"/>
  <c r="CD5" i="15"/>
  <c r="CD8" i="15" s="1"/>
  <c r="CD10" i="15" s="1"/>
  <c r="CD14" i="15" s="1"/>
  <c r="DT4" i="22"/>
  <c r="AO18" i="86"/>
  <c r="CE5" i="34"/>
  <c r="CE9" i="34" s="1"/>
  <c r="CE11" i="34" s="1"/>
  <c r="CE16" i="34" s="1"/>
  <c r="DU23" i="22"/>
  <c r="AH18" i="86"/>
  <c r="AQ18" i="86"/>
  <c r="CD6" i="42"/>
  <c r="CD8" i="42" s="1"/>
  <c r="CD9" i="42" s="1"/>
  <c r="CD14" i="42" s="1"/>
  <c r="CF5" i="15"/>
  <c r="CF8" i="15" s="1"/>
  <c r="CF10" i="15" s="1"/>
  <c r="CF14" i="15" s="1"/>
  <c r="CG5" i="15"/>
  <c r="CG8" i="15" s="1"/>
  <c r="CG10" i="15" s="1"/>
  <c r="CG14" i="15" s="1"/>
  <c r="CC5" i="34"/>
  <c r="CC9" i="34" s="1"/>
  <c r="CC11" i="34" s="1"/>
  <c r="CC16" i="34" s="1"/>
  <c r="DS23" i="22"/>
  <c r="CC6" i="41"/>
  <c r="CC9" i="41" s="1"/>
  <c r="CC11" i="41" s="1"/>
  <c r="CC16" i="41" s="1"/>
  <c r="DS14" i="22"/>
  <c r="CB6" i="41"/>
  <c r="CB9" i="41" s="1"/>
  <c r="CB11" i="41" s="1"/>
  <c r="CB16" i="41" s="1"/>
  <c r="DR14" i="22"/>
  <c r="CC6" i="42"/>
  <c r="CC8" i="42" s="1"/>
  <c r="CC9" i="42" s="1"/>
  <c r="CC14" i="42" s="1"/>
  <c r="DS4" i="22"/>
  <c r="CB5" i="34"/>
  <c r="CB9" i="34" s="1"/>
  <c r="CB11" i="34" s="1"/>
  <c r="CB16" i="34" s="1"/>
  <c r="DR23" i="22"/>
  <c r="AE18" i="86"/>
  <c r="Y44" i="22"/>
  <c r="AF15" i="86"/>
  <c r="DQ23" i="22"/>
  <c r="AN15" i="86"/>
  <c r="AN18" i="86"/>
  <c r="AC15" i="86"/>
  <c r="AC18" i="86"/>
  <c r="V15" i="86"/>
  <c r="V18" i="86"/>
  <c r="CB15" i="13"/>
  <c r="CB7" i="51"/>
  <c r="CB11" i="51" s="1"/>
  <c r="CB13" i="51" s="1"/>
  <c r="CB18" i="51" s="1"/>
  <c r="CA15" i="13"/>
  <c r="BZ15" i="13"/>
  <c r="CC5" i="15"/>
  <c r="CC8" i="15" s="1"/>
  <c r="CC10" i="15" s="1"/>
  <c r="CC14" i="15" s="1"/>
  <c r="BR10" i="83"/>
  <c r="BZ5" i="34"/>
  <c r="BZ9" i="34" s="1"/>
  <c r="BZ11" i="34" s="1"/>
  <c r="BZ16" i="34" s="1"/>
  <c r="DP23" i="22"/>
  <c r="DP4" i="22"/>
  <c r="BZ5" i="15"/>
  <c r="BZ8" i="15" s="1"/>
  <c r="BZ10" i="15" s="1"/>
  <c r="BZ14" i="15" s="1"/>
  <c r="BZ6" i="42"/>
  <c r="BZ8" i="42" s="1"/>
  <c r="BZ9" i="42" s="1"/>
  <c r="BZ14" i="42" s="1"/>
  <c r="DP14" i="22"/>
  <c r="BZ6" i="41"/>
  <c r="BZ9" i="41" s="1"/>
  <c r="BZ11" i="41" s="1"/>
  <c r="CC7" i="51"/>
  <c r="CC11" i="51" s="1"/>
  <c r="CC13" i="51" s="1"/>
  <c r="CC18" i="51" s="1"/>
  <c r="CH7" i="51"/>
  <c r="CH11" i="51" s="1"/>
  <c r="CH13" i="51" s="1"/>
  <c r="CH18" i="51" s="1"/>
  <c r="CA7" i="51"/>
  <c r="CA11" i="51" s="1"/>
  <c r="CA13" i="51" s="1"/>
  <c r="CA18" i="51" s="1"/>
  <c r="DQ14" i="22"/>
  <c r="CA6" i="41"/>
  <c r="CA9" i="41" s="1"/>
  <c r="CA11" i="41" s="1"/>
  <c r="CA16" i="41" s="1"/>
  <c r="AG18" i="13"/>
  <c r="AG15" i="13"/>
  <c r="BQ18" i="13"/>
  <c r="BQ15" i="13"/>
  <c r="AM18" i="13"/>
  <c r="AM15" i="13"/>
  <c r="AS18" i="13"/>
  <c r="AS15" i="13"/>
  <c r="X18" i="13"/>
  <c r="X15" i="13"/>
  <c r="Y18" i="13"/>
  <c r="Y15" i="13"/>
  <c r="S18" i="13"/>
  <c r="S15" i="13"/>
  <c r="AN18" i="13"/>
  <c r="AN15" i="13"/>
  <c r="AT18" i="13"/>
  <c r="AT15" i="13"/>
  <c r="BP18" i="13"/>
  <c r="BP15" i="13"/>
  <c r="AR18" i="13"/>
  <c r="AR15" i="13"/>
  <c r="U18" i="13"/>
  <c r="U15" i="13"/>
  <c r="AW18" i="13"/>
  <c r="AW15" i="13"/>
  <c r="AB18" i="13"/>
  <c r="AB15" i="13"/>
  <c r="N18" i="13"/>
  <c r="N15" i="13"/>
  <c r="O18" i="13"/>
  <c r="O15" i="13"/>
  <c r="BD18" i="13"/>
  <c r="BD15" i="13"/>
  <c r="BK18" i="13"/>
  <c r="BK15" i="13"/>
  <c r="BO18" i="13"/>
  <c r="BO15" i="13"/>
  <c r="BB18" i="13"/>
  <c r="BB15" i="13"/>
  <c r="W18" i="13"/>
  <c r="W15" i="13"/>
  <c r="AH18" i="13"/>
  <c r="AH15" i="13"/>
  <c r="AX18" i="13"/>
  <c r="AX15" i="13"/>
  <c r="AD18" i="13"/>
  <c r="AD15" i="13"/>
  <c r="AO18" i="13"/>
  <c r="AO15" i="13"/>
  <c r="BG18" i="13"/>
  <c r="BG15" i="13"/>
  <c r="BM18" i="13"/>
  <c r="BM15" i="13"/>
  <c r="BT18" i="13"/>
  <c r="BT15" i="13"/>
  <c r="BU18" i="13"/>
  <c r="BU15" i="13"/>
  <c r="BS18" i="13"/>
  <c r="BS15" i="13"/>
  <c r="AY18" i="13"/>
  <c r="AY15" i="13"/>
  <c r="AF18" i="13"/>
  <c r="AF15" i="13"/>
  <c r="T18" i="13"/>
  <c r="T15" i="13"/>
  <c r="BH18" i="13"/>
  <c r="BH15" i="13"/>
  <c r="BN18" i="13"/>
  <c r="BN15" i="13"/>
  <c r="BV18" i="13"/>
  <c r="BV15" i="13"/>
  <c r="BY18" i="13"/>
  <c r="BY15" i="13"/>
  <c r="Z18" i="13"/>
  <c r="Z15" i="13"/>
  <c r="AZ18" i="13"/>
  <c r="AZ15" i="13"/>
  <c r="AC18" i="13"/>
  <c r="AC15" i="13"/>
  <c r="AV18" i="13"/>
  <c r="AV15" i="13"/>
  <c r="BE18" i="13"/>
  <c r="BE15" i="13"/>
  <c r="BF18" i="13"/>
  <c r="BF15" i="13"/>
  <c r="BI18" i="13"/>
  <c r="BI15" i="13"/>
  <c r="BL18" i="13"/>
  <c r="BL15" i="13"/>
  <c r="BX18" i="13"/>
  <c r="BX15" i="13"/>
  <c r="P18" i="13"/>
  <c r="P15" i="13"/>
  <c r="BA18" i="13"/>
  <c r="BA15" i="13"/>
  <c r="AE18" i="13"/>
  <c r="AE15" i="13"/>
  <c r="BC18" i="13"/>
  <c r="BC15" i="13"/>
  <c r="BJ18" i="13"/>
  <c r="BJ15" i="13"/>
  <c r="BR18" i="13"/>
  <c r="BR15" i="13"/>
  <c r="BW18" i="13"/>
  <c r="BW15" i="13"/>
  <c r="N18" i="22"/>
  <c r="AA28" i="22"/>
  <c r="DL30" i="22"/>
  <c r="DO14" i="22"/>
  <c r="BY6" i="41"/>
  <c r="BY9" i="41" s="1"/>
  <c r="BY11" i="41" s="1"/>
  <c r="BY16" i="41" s="1"/>
  <c r="BY5" i="15"/>
  <c r="BY8" i="15" s="1"/>
  <c r="BY10" i="15" s="1"/>
  <c r="BY14" i="15" s="1"/>
  <c r="BY6" i="42"/>
  <c r="BY8" i="42" s="1"/>
  <c r="BY9" i="42" s="1"/>
  <c r="BY14" i="42" s="1"/>
  <c r="DO4" i="22"/>
  <c r="DO23" i="22"/>
  <c r="BY5" i="34"/>
  <c r="BY9" i="34" s="1"/>
  <c r="BY11" i="34" s="1"/>
  <c r="BY16" i="34" s="1"/>
  <c r="V79" i="22"/>
  <c r="D18" i="22"/>
  <c r="F44" i="22"/>
  <c r="BS30" i="83"/>
  <c r="N44" i="22"/>
  <c r="Y83" i="83"/>
  <c r="BS10" i="83"/>
  <c r="DN40" i="22"/>
  <c r="BQ39" i="83"/>
  <c r="H18" i="22"/>
  <c r="AH18" i="22"/>
  <c r="N67" i="22"/>
  <c r="H80" i="22"/>
  <c r="Y18" i="22"/>
  <c r="T67" i="22"/>
  <c r="N36" i="22"/>
  <c r="Q18" i="22"/>
  <c r="F36" i="22"/>
  <c r="F79" i="22"/>
  <c r="S83" i="22"/>
  <c r="Y83" i="22"/>
  <c r="AA83" i="22"/>
  <c r="O18" i="22"/>
  <c r="AC67" i="22"/>
  <c r="M18" i="22"/>
  <c r="K83" i="22"/>
  <c r="I79" i="22"/>
  <c r="Q83" i="22"/>
  <c r="O67" i="22"/>
  <c r="G44" i="22"/>
  <c r="AG41" i="22"/>
  <c r="G36" i="22"/>
  <c r="H80" i="83"/>
  <c r="J18" i="22"/>
  <c r="M79" i="22"/>
  <c r="V44" i="22"/>
  <c r="M44" i="22"/>
  <c r="K83" i="83"/>
  <c r="N44" i="83"/>
  <c r="P44" i="83"/>
  <c r="K80" i="22"/>
  <c r="L18" i="22"/>
  <c r="L79" i="22"/>
  <c r="J79" i="22"/>
  <c r="W18" i="22"/>
  <c r="O44" i="22"/>
  <c r="P67" i="83"/>
  <c r="H79" i="22"/>
  <c r="R44" i="22"/>
  <c r="AA79" i="22"/>
  <c r="K18" i="22"/>
  <c r="T18" i="22"/>
  <c r="G18" i="22"/>
  <c r="R36" i="22"/>
  <c r="I18" i="22"/>
  <c r="Q44" i="22"/>
  <c r="I36" i="22"/>
  <c r="L44" i="22"/>
  <c r="DN25" i="22"/>
  <c r="U80" i="22"/>
  <c r="AC18" i="22"/>
  <c r="P44" i="22"/>
  <c r="W18" i="83"/>
  <c r="AF80" i="22"/>
  <c r="AI83" i="22"/>
  <c r="U44" i="22"/>
  <c r="Z83" i="22"/>
  <c r="W67" i="22"/>
  <c r="G83" i="22"/>
  <c r="N79" i="22"/>
  <c r="G79" i="22"/>
  <c r="L36" i="22"/>
  <c r="J44" i="22"/>
  <c r="O80" i="22"/>
  <c r="AA18" i="22"/>
  <c r="F83" i="22"/>
  <c r="K44" i="22"/>
  <c r="AF83" i="22"/>
  <c r="W36" i="22"/>
  <c r="Z79" i="22"/>
  <c r="I79" i="83"/>
  <c r="R67" i="22"/>
  <c r="AI44" i="22"/>
  <c r="K79" i="22"/>
  <c r="T80" i="22"/>
  <c r="F18" i="22"/>
  <c r="AI28" i="22"/>
  <c r="Y36" i="22"/>
  <c r="U36" i="22"/>
  <c r="AF79" i="22"/>
  <c r="I83" i="22"/>
  <c r="V67" i="22"/>
  <c r="M36" i="22"/>
  <c r="X79" i="22"/>
  <c r="O79" i="22"/>
  <c r="I12" i="39"/>
  <c r="I15" i="39"/>
  <c r="R79" i="22"/>
  <c r="AE37" i="22"/>
  <c r="V18" i="22"/>
  <c r="AC83" i="22"/>
  <c r="Z36" i="22"/>
  <c r="T79" i="22"/>
  <c r="X44" i="22"/>
  <c r="Z44" i="22"/>
  <c r="AE28" i="22"/>
  <c r="L44" i="83"/>
  <c r="I44" i="22"/>
  <c r="J44" i="83"/>
  <c r="O80" i="83"/>
  <c r="G80" i="22"/>
  <c r="AE41" i="22"/>
  <c r="F83" i="83"/>
  <c r="X18" i="22"/>
  <c r="D80" i="22"/>
  <c r="AD28" i="22"/>
  <c r="AI80" i="22"/>
  <c r="N83" i="22"/>
  <c r="AA37" i="22"/>
  <c r="AE44" i="22"/>
  <c r="T37" i="22"/>
  <c r="S67" i="22"/>
  <c r="H83" i="22"/>
  <c r="AF36" i="22"/>
  <c r="L80" i="22"/>
  <c r="V80" i="22"/>
  <c r="AE36" i="22"/>
  <c r="S36" i="22"/>
  <c r="S44" i="22"/>
  <c r="AD18" i="22"/>
  <c r="P80" i="22"/>
  <c r="AD44" i="22"/>
  <c r="AH28" i="22"/>
  <c r="K18" i="83"/>
  <c r="BQ25" i="83"/>
  <c r="V83" i="22"/>
  <c r="AF44" i="22"/>
  <c r="U79" i="22"/>
  <c r="R44" i="83"/>
  <c r="S79" i="22"/>
  <c r="X80" i="83"/>
  <c r="AH36" i="22"/>
  <c r="D79" i="22"/>
  <c r="E44" i="22"/>
  <c r="AF37" i="22"/>
  <c r="O36" i="22"/>
  <c r="AB37" i="22"/>
  <c r="P18" i="22"/>
  <c r="O83" i="22"/>
  <c r="W80" i="22"/>
  <c r="AG18" i="22"/>
  <c r="AA41" i="22"/>
  <c r="Z18" i="22"/>
  <c r="S37" i="22"/>
  <c r="R83" i="22"/>
  <c r="U67" i="22"/>
  <c r="AD83" i="22"/>
  <c r="AA80" i="22"/>
  <c r="U18" i="22"/>
  <c r="O18" i="83"/>
  <c r="AA44" i="83"/>
  <c r="AB36" i="22"/>
  <c r="D79" i="83"/>
  <c r="S79" i="83"/>
  <c r="AB41" i="22"/>
  <c r="G80" i="83"/>
  <c r="T79" i="83"/>
  <c r="AB44" i="22"/>
  <c r="P67" i="22"/>
  <c r="K36" i="22"/>
  <c r="L83" i="22"/>
  <c r="S80" i="22"/>
  <c r="AE67" i="22"/>
  <c r="AI79" i="22"/>
  <c r="AG80" i="22"/>
  <c r="AB83" i="22"/>
  <c r="P79" i="22"/>
  <c r="AC28" i="22"/>
  <c r="AC36" i="22"/>
  <c r="Z37" i="22"/>
  <c r="X67" i="22"/>
  <c r="D44" i="22"/>
  <c r="AD41" i="22"/>
  <c r="AI18" i="22"/>
  <c r="N83" i="83"/>
  <c r="Q36" i="22"/>
  <c r="R83" i="83"/>
  <c r="AH67" i="22"/>
  <c r="AB67" i="22"/>
  <c r="E18" i="22"/>
  <c r="J36" i="22"/>
  <c r="Q67" i="22"/>
  <c r="AD67" i="22"/>
  <c r="V37" i="22"/>
  <c r="R18" i="22"/>
  <c r="V36" i="22"/>
  <c r="AB79" i="22"/>
  <c r="AB28" i="22"/>
  <c r="Y79" i="22"/>
  <c r="AF67" i="22"/>
  <c r="W37" i="22"/>
  <c r="AH41" i="22"/>
  <c r="AE80" i="22"/>
  <c r="AB18" i="22"/>
  <c r="E79" i="22"/>
  <c r="P83" i="22"/>
  <c r="X44" i="83"/>
  <c r="AG79" i="83"/>
  <c r="Q79" i="22"/>
  <c r="P36" i="22"/>
  <c r="Y37" i="22"/>
  <c r="M83" i="22"/>
  <c r="AH79" i="22"/>
  <c r="F44" i="83"/>
  <c r="AE79" i="22"/>
  <c r="AD37" i="22"/>
  <c r="S18" i="22"/>
  <c r="AH80" i="22"/>
  <c r="U83" i="22"/>
  <c r="AA67" i="22"/>
  <c r="T44" i="22"/>
  <c r="X37" i="22"/>
  <c r="AC41" i="22"/>
  <c r="AD36" i="22"/>
  <c r="AE83" i="22"/>
  <c r="AI18" i="83"/>
  <c r="AA36" i="22"/>
  <c r="W79" i="22"/>
  <c r="AD79" i="22"/>
  <c r="AE18" i="83"/>
  <c r="AE18" i="22"/>
  <c r="AD83" i="83"/>
  <c r="AI37" i="22"/>
  <c r="AA44" i="22"/>
  <c r="T83" i="22"/>
  <c r="AH44" i="83"/>
  <c r="U37" i="22"/>
  <c r="Q83" i="83"/>
  <c r="T36" i="22"/>
  <c r="AG36" i="22"/>
  <c r="AA83" i="83"/>
  <c r="X67" i="83"/>
  <c r="X80" i="22"/>
  <c r="AC37" i="22"/>
  <c r="AF18" i="22"/>
  <c r="Z41" i="22"/>
  <c r="AC79" i="22"/>
  <c r="AH79" i="83"/>
  <c r="AG80" i="83"/>
  <c r="AI67" i="22"/>
  <c r="X36" i="22"/>
  <c r="AH44" i="22"/>
  <c r="AI41" i="22"/>
  <c r="AH37" i="22"/>
  <c r="AE80" i="83"/>
  <c r="AG37" i="22"/>
  <c r="W44" i="22"/>
  <c r="R79" i="83"/>
  <c r="AF67" i="83"/>
  <c r="V18" i="83"/>
  <c r="V83" i="83"/>
  <c r="AH80" i="83"/>
  <c r="S44" i="83"/>
  <c r="AA79" i="83"/>
  <c r="AE44" i="83"/>
  <c r="AF41" i="22"/>
  <c r="U44" i="83"/>
  <c r="AB28" i="83"/>
  <c r="AG67" i="22"/>
  <c r="AH83" i="22"/>
  <c r="CU6" i="22"/>
  <c r="AZ6" i="83"/>
  <c r="CO10" i="22"/>
  <c r="AT10" i="83"/>
  <c r="CK10" i="22"/>
  <c r="AP10" i="83"/>
  <c r="CO6" i="22"/>
  <c r="AT6" i="83"/>
  <c r="CI16" i="22"/>
  <c r="AN16" i="83"/>
  <c r="CS39" i="22"/>
  <c r="AX39" i="83"/>
  <c r="CU23" i="22"/>
  <c r="AZ23" i="83"/>
  <c r="CP23" i="22"/>
  <c r="AU23" i="83"/>
  <c r="CH42" i="22"/>
  <c r="AM42" i="83"/>
  <c r="C42" i="83" s="1"/>
  <c r="CL26" i="22"/>
  <c r="AQ26" i="83"/>
  <c r="CK32" i="22"/>
  <c r="AP32" i="83"/>
  <c r="CK30" i="22"/>
  <c r="AP30" i="83"/>
  <c r="CM11" i="22"/>
  <c r="AR11" i="83"/>
  <c r="CS40" i="22"/>
  <c r="AX40" i="83"/>
  <c r="CM24" i="22"/>
  <c r="AR24" i="83"/>
  <c r="CO24" i="22"/>
  <c r="AT24" i="83"/>
  <c r="CK47" i="22"/>
  <c r="AP47" i="83"/>
  <c r="CM34" i="22"/>
  <c r="AR34" i="83"/>
  <c r="CN34" i="22"/>
  <c r="AS34" i="83"/>
  <c r="CM67" i="22"/>
  <c r="AR67" i="83"/>
  <c r="CP16" i="22"/>
  <c r="AU16" i="83"/>
  <c r="CQ34" i="22"/>
  <c r="AV34" i="83"/>
  <c r="BA6" i="42"/>
  <c r="BA8" i="42" s="1"/>
  <c r="BA9" i="42" s="1"/>
  <c r="BA14" i="42" s="1"/>
  <c r="AV4" i="83"/>
  <c r="CI67" i="22"/>
  <c r="AN67" i="83"/>
  <c r="CS42" i="22"/>
  <c r="AX42" i="83"/>
  <c r="CT40" i="22"/>
  <c r="AY40" i="83"/>
  <c r="CU34" i="22"/>
  <c r="AZ34" i="83"/>
  <c r="CU43" i="22"/>
  <c r="AZ43" i="83"/>
  <c r="CV26" i="22"/>
  <c r="BA26" i="83"/>
  <c r="CW10" i="22"/>
  <c r="BB10" i="83"/>
  <c r="CY42" i="22"/>
  <c r="BD42" i="83"/>
  <c r="CQ31" i="22"/>
  <c r="AV31" i="83"/>
  <c r="CY31" i="22"/>
  <c r="BD31" i="83"/>
  <c r="CN27" i="22"/>
  <c r="AS27" i="83"/>
  <c r="CW34" i="22"/>
  <c r="BB34" i="83"/>
  <c r="CX20" i="22"/>
  <c r="BC20" i="83"/>
  <c r="CW16" i="22"/>
  <c r="BB16" i="83"/>
  <c r="CX27" i="22"/>
  <c r="BC27" i="83"/>
  <c r="CY40" i="22"/>
  <c r="BD40" i="83"/>
  <c r="CU17" i="22"/>
  <c r="AZ17" i="83"/>
  <c r="CY26" i="22"/>
  <c r="BD26" i="83"/>
  <c r="CY24" i="22"/>
  <c r="BD24" i="83"/>
  <c r="DB31" i="22"/>
  <c r="BG31" i="83"/>
  <c r="DA31" i="22"/>
  <c r="BF31" i="83"/>
  <c r="DB43" i="22"/>
  <c r="BG43" i="83"/>
  <c r="BI5" i="34"/>
  <c r="BI9" i="34" s="1"/>
  <c r="BI11" i="34" s="1"/>
  <c r="BI16" i="34" s="1"/>
  <c r="BD23" i="83"/>
  <c r="CZ6" i="22"/>
  <c r="BE6" i="83"/>
  <c r="DC42" i="22"/>
  <c r="BH42" i="83"/>
  <c r="DC20" i="22"/>
  <c r="BH20" i="83"/>
  <c r="DB20" i="22"/>
  <c r="BG20" i="83"/>
  <c r="CS25" i="22"/>
  <c r="AX25" i="83"/>
  <c r="CI25" i="22"/>
  <c r="AN25" i="83"/>
  <c r="DE10" i="22"/>
  <c r="BJ10" i="83"/>
  <c r="DA21" i="22"/>
  <c r="BF21" i="83"/>
  <c r="DC17" i="22"/>
  <c r="BH17" i="83"/>
  <c r="CO25" i="22"/>
  <c r="AT25" i="83"/>
  <c r="DB24" i="22"/>
  <c r="BG24" i="83"/>
  <c r="CY50" i="22"/>
  <c r="BD50" i="83"/>
  <c r="CV50" i="22"/>
  <c r="BA50" i="83"/>
  <c r="DC11" i="22"/>
  <c r="BH11" i="83"/>
  <c r="DJ6" i="22"/>
  <c r="BO6" i="83"/>
  <c r="DF33" i="22"/>
  <c r="BK33" i="83"/>
  <c r="DJ4" i="22"/>
  <c r="BO4" i="83"/>
  <c r="CZ41" i="22"/>
  <c r="BE41" i="83"/>
  <c r="DI66" i="22"/>
  <c r="BN66" i="83"/>
  <c r="DG20" i="22"/>
  <c r="BL20" i="83"/>
  <c r="DI5" i="22"/>
  <c r="BN5" i="83"/>
  <c r="DE33" i="22"/>
  <c r="BJ33" i="83"/>
  <c r="DJ31" i="22"/>
  <c r="BO31" i="83"/>
  <c r="DG4" i="22"/>
  <c r="BL4" i="83"/>
  <c r="DK34" i="22"/>
  <c r="BP34" i="83"/>
  <c r="DJ7" i="22"/>
  <c r="BO7" i="83"/>
  <c r="CU41" i="22"/>
  <c r="P41" i="22" s="1"/>
  <c r="AZ41" i="83"/>
  <c r="CY41" i="22"/>
  <c r="BD41" i="83"/>
  <c r="DF66" i="22"/>
  <c r="BK66" i="83"/>
  <c r="DI40" i="22"/>
  <c r="BN40" i="83"/>
  <c r="DJ8" i="22"/>
  <c r="BO8" i="83"/>
  <c r="DH42" i="22"/>
  <c r="BM42" i="83"/>
  <c r="DE8" i="22"/>
  <c r="BJ8" i="83"/>
  <c r="DI19" i="22"/>
  <c r="BN19" i="83"/>
  <c r="DK25" i="22"/>
  <c r="BP25" i="83"/>
  <c r="DF8" i="22"/>
  <c r="BK8" i="83"/>
  <c r="DF19" i="22"/>
  <c r="BK19" i="83"/>
  <c r="CV80" i="22"/>
  <c r="R80" i="22" s="1"/>
  <c r="BA80" i="83"/>
  <c r="Q80" i="83" s="1"/>
  <c r="DH11" i="22"/>
  <c r="BM11" i="83"/>
  <c r="DF31" i="22"/>
  <c r="BK31" i="83"/>
  <c r="DH43" i="22"/>
  <c r="BM43" i="83"/>
  <c r="DN34" i="22"/>
  <c r="BS34" i="83"/>
  <c r="J83" i="22"/>
  <c r="P36" i="83"/>
  <c r="Q36" i="83"/>
  <c r="W80" i="83"/>
  <c r="AC79" i="83"/>
  <c r="AD79" i="83"/>
  <c r="X18" i="83"/>
  <c r="Y18" i="83"/>
  <c r="AB44" i="83"/>
  <c r="C80" i="83"/>
  <c r="D80" i="83"/>
  <c r="AE36" i="83"/>
  <c r="AB36" i="83"/>
  <c r="AH36" i="83"/>
  <c r="AI36" i="83"/>
  <c r="CH43" i="22"/>
  <c r="AM43" i="83"/>
  <c r="C43" i="83" s="1"/>
  <c r="CV6" i="22"/>
  <c r="BA6" i="83"/>
  <c r="CQ10" i="22"/>
  <c r="AV10" i="83"/>
  <c r="CJ16" i="22"/>
  <c r="AO16" i="83"/>
  <c r="CP39" i="22"/>
  <c r="AU39" i="83"/>
  <c r="CT6" i="22"/>
  <c r="AY6" i="83"/>
  <c r="CI6" i="22"/>
  <c r="AN6" i="83"/>
  <c r="CM10" i="22"/>
  <c r="AR10" i="83"/>
  <c r="CJ11" i="22"/>
  <c r="AO11" i="83"/>
  <c r="CV23" i="22"/>
  <c r="BA23" i="83"/>
  <c r="CK26" i="22"/>
  <c r="AP26" i="83"/>
  <c r="CL19" i="22"/>
  <c r="AQ19" i="83"/>
  <c r="CH45" i="22"/>
  <c r="AM45" i="83"/>
  <c r="CO40" i="22"/>
  <c r="AT40" i="83"/>
  <c r="CM26" i="22"/>
  <c r="AR26" i="83"/>
  <c r="CN26" i="22"/>
  <c r="AS26" i="83"/>
  <c r="CN19" i="22"/>
  <c r="AS19" i="83"/>
  <c r="CN66" i="22"/>
  <c r="AS66" i="83"/>
  <c r="CP11" i="22"/>
  <c r="AU11" i="83"/>
  <c r="CP30" i="22"/>
  <c r="AU30" i="83"/>
  <c r="CQ66" i="22"/>
  <c r="AV66" i="83"/>
  <c r="CQ14" i="22"/>
  <c r="AV14" i="83"/>
  <c r="CR11" i="22"/>
  <c r="AW11" i="83"/>
  <c r="CS24" i="22"/>
  <c r="AX24" i="83"/>
  <c r="CR34" i="22"/>
  <c r="AW34" i="83"/>
  <c r="CS19" i="22"/>
  <c r="AX19" i="83"/>
  <c r="CU11" i="22"/>
  <c r="AZ11" i="83"/>
  <c r="CU66" i="22"/>
  <c r="AZ66" i="83"/>
  <c r="CU16" i="22"/>
  <c r="AZ16" i="83"/>
  <c r="CU4" i="22"/>
  <c r="AZ4" i="83"/>
  <c r="CU30" i="22"/>
  <c r="AZ30" i="83"/>
  <c r="BF5" i="15"/>
  <c r="BF8" i="15" s="1"/>
  <c r="BF10" i="15" s="1"/>
  <c r="BF14" i="15" s="1"/>
  <c r="BA4" i="83"/>
  <c r="CV30" i="22"/>
  <c r="BA30" i="83"/>
  <c r="CV42" i="22"/>
  <c r="BA42" i="83"/>
  <c r="CX6" i="22"/>
  <c r="BC6" i="83"/>
  <c r="CY16" i="22"/>
  <c r="BD16" i="83"/>
  <c r="CY20" i="22"/>
  <c r="BD20" i="83"/>
  <c r="CW66" i="22"/>
  <c r="BB66" i="83"/>
  <c r="CO31" i="22"/>
  <c r="AT31" i="83"/>
  <c r="CX30" i="22"/>
  <c r="BC30" i="83"/>
  <c r="CX42" i="22"/>
  <c r="BC42" i="83"/>
  <c r="CX47" i="22"/>
  <c r="BC47" i="83"/>
  <c r="CZ20" i="22"/>
  <c r="BE20" i="83"/>
  <c r="DC28" i="22"/>
  <c r="BH28" i="83"/>
  <c r="DD28" i="22"/>
  <c r="Z28" i="22" s="1"/>
  <c r="BI28" i="83"/>
  <c r="Z28" i="83" s="1"/>
  <c r="DB34" i="22"/>
  <c r="BG34" i="83"/>
  <c r="CZ66" i="22"/>
  <c r="BE66" i="83"/>
  <c r="CX19" i="22"/>
  <c r="BC19" i="83"/>
  <c r="DA42" i="22"/>
  <c r="BF42" i="83"/>
  <c r="DE31" i="22"/>
  <c r="BJ31" i="83"/>
  <c r="CZ47" i="22"/>
  <c r="BE47" i="83"/>
  <c r="CQ25" i="22"/>
  <c r="AV25" i="83"/>
  <c r="DB10" i="22"/>
  <c r="BG10" i="83"/>
  <c r="CH25" i="22"/>
  <c r="AM25" i="83"/>
  <c r="CP25" i="22"/>
  <c r="AU25" i="83"/>
  <c r="CU25" i="22"/>
  <c r="AZ25" i="83"/>
  <c r="DA40" i="22"/>
  <c r="BF40" i="83"/>
  <c r="DC39" i="22"/>
  <c r="BH39" i="83"/>
  <c r="DE30" i="22"/>
  <c r="BJ30" i="83"/>
  <c r="DA6" i="22"/>
  <c r="BF6" i="83"/>
  <c r="CX50" i="22"/>
  <c r="BC50" i="83"/>
  <c r="CU50" i="22"/>
  <c r="AZ50" i="83"/>
  <c r="DE6" i="22"/>
  <c r="BJ6" i="83"/>
  <c r="DI10" i="22"/>
  <c r="BN10" i="83"/>
  <c r="DI11" i="22"/>
  <c r="BN11" i="83"/>
  <c r="DK30" i="22"/>
  <c r="BP30" i="83"/>
  <c r="DG27" i="22"/>
  <c r="BL27" i="83"/>
  <c r="CQ41" i="22"/>
  <c r="AV41" i="83"/>
  <c r="DJ19" i="22"/>
  <c r="BO19" i="83"/>
  <c r="DF21" i="22"/>
  <c r="BK21" i="83"/>
  <c r="DD24" i="22"/>
  <c r="BI24" i="83"/>
  <c r="DC41" i="22"/>
  <c r="Y41" i="22" s="1"/>
  <c r="BH41" i="83"/>
  <c r="DK66" i="22"/>
  <c r="BP66" i="83"/>
  <c r="CO41" i="22"/>
  <c r="AT41" i="83"/>
  <c r="CJ41" i="22"/>
  <c r="AO41" i="83"/>
  <c r="DD27" i="22"/>
  <c r="BI27" i="83"/>
  <c r="DJ15" i="22"/>
  <c r="BO15" i="83"/>
  <c r="DK47" i="22"/>
  <c r="BP47" i="83"/>
  <c r="DF25" i="22"/>
  <c r="BK25" i="83"/>
  <c r="DG42" i="22"/>
  <c r="BL42" i="83"/>
  <c r="DG15" i="22"/>
  <c r="BL15" i="83"/>
  <c r="DE4" i="22"/>
  <c r="BJ4" i="83"/>
  <c r="DJ5" i="22"/>
  <c r="BO5" i="83"/>
  <c r="DH80" i="22"/>
  <c r="AD80" i="22" s="1"/>
  <c r="BM80" i="83"/>
  <c r="DE25" i="22"/>
  <c r="BJ25" i="83"/>
  <c r="DJ81" i="22"/>
  <c r="BO81" i="83"/>
  <c r="CH47" i="22"/>
  <c r="AM47" i="83"/>
  <c r="C47" i="83" s="1"/>
  <c r="DK28" i="22"/>
  <c r="AF28" i="22" s="1"/>
  <c r="BP28" i="83"/>
  <c r="DN21" i="22"/>
  <c r="BS21" i="83"/>
  <c r="DL43" i="22"/>
  <c r="BQ43" i="83"/>
  <c r="DN27" i="22"/>
  <c r="BS27" i="83"/>
  <c r="DN31" i="22"/>
  <c r="BS31" i="83"/>
  <c r="DM43" i="22"/>
  <c r="BR43" i="83"/>
  <c r="DL47" i="22"/>
  <c r="BQ47" i="83"/>
  <c r="DM19" i="22"/>
  <c r="BR19" i="83"/>
  <c r="DN5" i="22"/>
  <c r="BS5" i="83"/>
  <c r="DM24" i="22"/>
  <c r="BR24" i="83"/>
  <c r="AI28" i="83"/>
  <c r="AA80" i="83"/>
  <c r="K79" i="83"/>
  <c r="V67" i="83"/>
  <c r="W67" i="83"/>
  <c r="L36" i="83"/>
  <c r="M36" i="83"/>
  <c r="AD41" i="83"/>
  <c r="AE41" i="83"/>
  <c r="AI36" i="22"/>
  <c r="AD44" i="83"/>
  <c r="AC44" i="83"/>
  <c r="K36" i="83"/>
  <c r="L83" i="83"/>
  <c r="M83" i="83"/>
  <c r="AD67" i="83"/>
  <c r="AE67" i="83"/>
  <c r="AI79" i="83"/>
  <c r="Q79" i="83"/>
  <c r="AC28" i="83"/>
  <c r="I44" i="83"/>
  <c r="CJ46" i="22"/>
  <c r="AO46" i="83"/>
  <c r="CH46" i="22"/>
  <c r="AM46" i="83"/>
  <c r="CO4" i="22"/>
  <c r="AT4" i="83"/>
  <c r="CO42" i="22"/>
  <c r="AT42" i="83"/>
  <c r="CO47" i="22"/>
  <c r="AT47" i="83"/>
  <c r="CK34" i="22"/>
  <c r="AP34" i="83"/>
  <c r="CO43" i="22"/>
  <c r="AT43" i="83"/>
  <c r="CP42" i="22"/>
  <c r="AU42" i="83"/>
  <c r="CP26" i="22"/>
  <c r="AU26" i="83"/>
  <c r="CQ42" i="22"/>
  <c r="AV42" i="83"/>
  <c r="CQ16" i="22"/>
  <c r="AV16" i="83"/>
  <c r="CS43" i="22"/>
  <c r="AX43" i="83"/>
  <c r="CS28" i="22"/>
  <c r="AX28" i="83"/>
  <c r="CR66" i="22"/>
  <c r="AW66" i="83"/>
  <c r="CS26" i="22"/>
  <c r="AX26" i="83"/>
  <c r="CR28" i="22"/>
  <c r="AW28" i="83"/>
  <c r="CR47" i="22"/>
  <c r="AW47" i="83"/>
  <c r="CS16" i="22"/>
  <c r="AX16" i="83"/>
  <c r="CR43" i="22"/>
  <c r="AW43" i="83"/>
  <c r="CP10" i="22"/>
  <c r="AU10" i="83"/>
  <c r="CT28" i="22"/>
  <c r="AY28" i="83"/>
  <c r="CV17" i="22"/>
  <c r="BA17" i="83"/>
  <c r="CS14" i="22"/>
  <c r="AX14" i="83"/>
  <c r="CT31" i="22"/>
  <c r="AY31" i="83"/>
  <c r="CR27" i="22"/>
  <c r="AW27" i="83"/>
  <c r="CW47" i="22"/>
  <c r="BB47" i="83"/>
  <c r="CH27" i="22"/>
  <c r="AM27" i="83"/>
  <c r="CY28" i="22"/>
  <c r="BD28" i="83"/>
  <c r="CX34" i="22"/>
  <c r="BC34" i="83"/>
  <c r="CO27" i="22"/>
  <c r="AT27" i="83"/>
  <c r="CW30" i="22"/>
  <c r="BB30" i="83"/>
  <c r="CZ19" i="22"/>
  <c r="BE19" i="83"/>
  <c r="CZ24" i="22"/>
  <c r="BE24" i="83"/>
  <c r="DC34" i="22"/>
  <c r="BH34" i="83"/>
  <c r="DC43" i="22"/>
  <c r="BH43" i="83"/>
  <c r="CZ34" i="22"/>
  <c r="BE34" i="83"/>
  <c r="CY43" i="22"/>
  <c r="BD43" i="83"/>
  <c r="CZ21" i="22"/>
  <c r="BE21" i="83"/>
  <c r="DE17" i="22"/>
  <c r="BJ17" i="83"/>
  <c r="DC40" i="22"/>
  <c r="BH40" i="83"/>
  <c r="DD25" i="22"/>
  <c r="BI25" i="83"/>
  <c r="CN25" i="22"/>
  <c r="AS25" i="83"/>
  <c r="DB27" i="22"/>
  <c r="BG27" i="83"/>
  <c r="CZ25" i="22"/>
  <c r="BE25" i="83"/>
  <c r="DF30" i="22"/>
  <c r="BK30" i="83"/>
  <c r="DA19" i="22"/>
  <c r="BF19" i="83"/>
  <c r="CJ25" i="22"/>
  <c r="AO25" i="83"/>
  <c r="DC19" i="22"/>
  <c r="BH19" i="83"/>
  <c r="DB19" i="22"/>
  <c r="BG19" i="83"/>
  <c r="CT50" i="22"/>
  <c r="AY50" i="83"/>
  <c r="CZ30" i="22"/>
  <c r="BE30" i="83"/>
  <c r="DK6" i="22"/>
  <c r="BP6" i="83"/>
  <c r="DJ25" i="22"/>
  <c r="BO25" i="83"/>
  <c r="DK16" i="22"/>
  <c r="BP16" i="83"/>
  <c r="DJ40" i="22"/>
  <c r="BO40" i="83"/>
  <c r="DI33" i="22"/>
  <c r="BN33" i="83"/>
  <c r="DI34" i="22"/>
  <c r="BN34" i="83"/>
  <c r="DE43" i="22"/>
  <c r="BJ43" i="83"/>
  <c r="DI16" i="22"/>
  <c r="BN16" i="83"/>
  <c r="DJ30" i="22"/>
  <c r="BO30" i="83"/>
  <c r="DE40" i="22"/>
  <c r="BJ40" i="83"/>
  <c r="CX41" i="22"/>
  <c r="BC41" i="83"/>
  <c r="DH66" i="22"/>
  <c r="BM66" i="83"/>
  <c r="DG34" i="22"/>
  <c r="BL34" i="83"/>
  <c r="CS41" i="22"/>
  <c r="O41" i="22" s="1"/>
  <c r="AX41" i="83"/>
  <c r="DD11" i="22"/>
  <c r="BI11" i="83"/>
  <c r="DI20" i="22"/>
  <c r="BN20" i="83"/>
  <c r="DI7" i="22"/>
  <c r="BN7" i="83"/>
  <c r="DK11" i="22"/>
  <c r="BP11" i="83"/>
  <c r="DE47" i="22"/>
  <c r="BJ47" i="83"/>
  <c r="DI25" i="22"/>
  <c r="BN25" i="83"/>
  <c r="CN80" i="22"/>
  <c r="J80" i="22" s="1"/>
  <c r="AS80" i="83"/>
  <c r="DG19" i="22"/>
  <c r="BL19" i="83"/>
  <c r="DG43" i="22"/>
  <c r="BL43" i="83"/>
  <c r="DF42" i="22"/>
  <c r="BK42" i="83"/>
  <c r="DM45" i="22"/>
  <c r="BR45" i="83"/>
  <c r="DN20" i="22"/>
  <c r="BS20" i="83"/>
  <c r="DL34" i="22"/>
  <c r="BQ34" i="83"/>
  <c r="DN66" i="22"/>
  <c r="BS66" i="83"/>
  <c r="DL15" i="22"/>
  <c r="BQ15" i="83"/>
  <c r="DM47" i="22"/>
  <c r="BR47" i="83"/>
  <c r="DN45" i="22"/>
  <c r="BS45" i="83"/>
  <c r="DM7" i="22"/>
  <c r="BR7" i="83"/>
  <c r="D18" i="83"/>
  <c r="E18" i="83"/>
  <c r="Z44" i="83"/>
  <c r="W44" i="83"/>
  <c r="AA67" i="83"/>
  <c r="AB67" i="83"/>
  <c r="Z37" i="83"/>
  <c r="AA37" i="83"/>
  <c r="F36" i="83"/>
  <c r="G36" i="83"/>
  <c r="J79" i="83"/>
  <c r="T37" i="83"/>
  <c r="U37" i="83"/>
  <c r="DM40" i="22"/>
  <c r="BR40" i="83"/>
  <c r="AG79" i="22"/>
  <c r="AC44" i="22"/>
  <c r="D44" i="83"/>
  <c r="C44" i="83"/>
  <c r="Q44" i="83"/>
  <c r="CS17" i="22"/>
  <c r="AX17" i="83"/>
  <c r="CK43" i="22"/>
  <c r="AP43" i="83"/>
  <c r="CL40" i="22"/>
  <c r="AQ40" i="83"/>
  <c r="CL32" i="22"/>
  <c r="AQ32" i="83"/>
  <c r="CK42" i="22"/>
  <c r="AP42" i="83"/>
  <c r="CK16" i="22"/>
  <c r="AP16" i="83"/>
  <c r="CM40" i="22"/>
  <c r="AR40" i="83"/>
  <c r="CK24" i="22"/>
  <c r="AP24" i="83"/>
  <c r="CN43" i="22"/>
  <c r="AS43" i="83"/>
  <c r="CO16" i="22"/>
  <c r="AT16" i="83"/>
  <c r="CK66" i="22"/>
  <c r="AP66" i="83"/>
  <c r="CP19" i="22"/>
  <c r="AU19" i="83"/>
  <c r="CP24" i="22"/>
  <c r="AU24" i="83"/>
  <c r="CP40" i="22"/>
  <c r="AU40" i="83"/>
  <c r="CQ40" i="22"/>
  <c r="AV40" i="83"/>
  <c r="CQ67" i="22"/>
  <c r="M67" i="22" s="1"/>
  <c r="AV67" i="83"/>
  <c r="M67" i="83" s="1"/>
  <c r="CP67" i="22"/>
  <c r="AU67" i="83"/>
  <c r="CR24" i="22"/>
  <c r="AW24" i="83"/>
  <c r="CR30" i="22"/>
  <c r="AW30" i="83"/>
  <c r="CT4" i="22"/>
  <c r="AY4" i="83"/>
  <c r="CU19" i="22"/>
  <c r="AZ19" i="83"/>
  <c r="CX40" i="22"/>
  <c r="BC40" i="83"/>
  <c r="CV47" i="22"/>
  <c r="BA47" i="83"/>
  <c r="CY6" i="22"/>
  <c r="BD6" i="83"/>
  <c r="CW24" i="22"/>
  <c r="BB24" i="83"/>
  <c r="CY21" i="22"/>
  <c r="BD21" i="83"/>
  <c r="CW28" i="22"/>
  <c r="BB28" i="83"/>
  <c r="CL27" i="22"/>
  <c r="AQ27" i="83"/>
  <c r="CP27" i="22"/>
  <c r="AU27" i="83"/>
  <c r="CX21" i="22"/>
  <c r="BC21" i="83"/>
  <c r="CX66" i="22"/>
  <c r="BC66" i="83"/>
  <c r="CW43" i="22"/>
  <c r="BB43" i="83"/>
  <c r="CU31" i="22"/>
  <c r="AZ31" i="83"/>
  <c r="CY19" i="22"/>
  <c r="BD19" i="83"/>
  <c r="DC66" i="22"/>
  <c r="BH66" i="83"/>
  <c r="CZ28" i="22"/>
  <c r="BE28" i="83"/>
  <c r="DC31" i="22"/>
  <c r="BH31" i="83"/>
  <c r="CW42" i="22"/>
  <c r="BB42" i="83"/>
  <c r="DA25" i="22"/>
  <c r="BF25" i="83"/>
  <c r="DB21" i="22"/>
  <c r="BG21" i="83"/>
  <c r="DA16" i="22"/>
  <c r="BF16" i="83"/>
  <c r="DC24" i="22"/>
  <c r="BH24" i="83"/>
  <c r="DB11" i="22"/>
  <c r="BG11" i="83"/>
  <c r="CJ24" i="22"/>
  <c r="AO24" i="83"/>
  <c r="DC6" i="22"/>
  <c r="BH6" i="83"/>
  <c r="CQ50" i="22"/>
  <c r="AV50" i="83"/>
  <c r="DG6" i="22"/>
  <c r="BL6" i="83"/>
  <c r="DK27" i="22"/>
  <c r="BP27" i="83"/>
  <c r="DF27" i="22"/>
  <c r="BK27" i="83"/>
  <c r="DF24" i="22"/>
  <c r="BK24" i="83"/>
  <c r="DK20" i="22"/>
  <c r="BP20" i="83"/>
  <c r="DG8" i="22"/>
  <c r="BL8" i="83"/>
  <c r="DH47" i="22"/>
  <c r="BM47" i="83"/>
  <c r="DI24" i="22"/>
  <c r="BN24" i="83"/>
  <c r="DH7" i="22"/>
  <c r="BM7" i="83"/>
  <c r="DH8" i="22"/>
  <c r="BM8" i="83"/>
  <c r="DK39" i="22"/>
  <c r="BP39" i="83"/>
  <c r="DJ24" i="22"/>
  <c r="BO24" i="83"/>
  <c r="CL41" i="22"/>
  <c r="H41" i="22" s="1"/>
  <c r="AQ41" i="83"/>
  <c r="H41" i="83" s="1"/>
  <c r="DH27" i="22"/>
  <c r="BM27" i="83"/>
  <c r="DG66" i="22"/>
  <c r="BL66" i="83"/>
  <c r="DD42" i="22"/>
  <c r="BI42" i="83"/>
  <c r="DF39" i="22"/>
  <c r="BK39" i="83"/>
  <c r="DH5" i="22"/>
  <c r="BM5" i="83"/>
  <c r="DJ20" i="22"/>
  <c r="BO20" i="83"/>
  <c r="DI15" i="22"/>
  <c r="BN15" i="83"/>
  <c r="DJ11" i="22"/>
  <c r="BO11" i="83"/>
  <c r="DJ47" i="22"/>
  <c r="BO47" i="83"/>
  <c r="DG47" i="22"/>
  <c r="BL47" i="83"/>
  <c r="DG33" i="22"/>
  <c r="BL33" i="83"/>
  <c r="DE7" i="22"/>
  <c r="BJ7" i="83"/>
  <c r="DK33" i="22"/>
  <c r="BP33" i="83"/>
  <c r="CR80" i="22"/>
  <c r="M80" i="22" s="1"/>
  <c r="AW80" i="83"/>
  <c r="DB83" i="22"/>
  <c r="X83" i="22" s="1"/>
  <c r="BG83" i="83"/>
  <c r="DJ43" i="22"/>
  <c r="BO43" i="83"/>
  <c r="DG24" i="22"/>
  <c r="BL24" i="83"/>
  <c r="DL11" i="22"/>
  <c r="BQ11" i="83"/>
  <c r="DL16" i="22"/>
  <c r="BQ16" i="83"/>
  <c r="DL27" i="22"/>
  <c r="BQ27" i="83"/>
  <c r="DL66" i="22"/>
  <c r="BQ66" i="83"/>
  <c r="DM25" i="22"/>
  <c r="BR25" i="83"/>
  <c r="DM27" i="22"/>
  <c r="BR27" i="83"/>
  <c r="DN7" i="22"/>
  <c r="BS7" i="83"/>
  <c r="DL7" i="22"/>
  <c r="BQ7" i="83"/>
  <c r="AH83" i="83"/>
  <c r="AI83" i="83"/>
  <c r="AE83" i="83"/>
  <c r="AF83" i="83"/>
  <c r="AG44" i="83"/>
  <c r="V36" i="83"/>
  <c r="W36" i="83"/>
  <c r="S18" i="83"/>
  <c r="O44" i="83"/>
  <c r="Z79" i="83"/>
  <c r="T44" i="83"/>
  <c r="G18" i="83"/>
  <c r="Z83" i="83"/>
  <c r="P80" i="83"/>
  <c r="K44" i="83"/>
  <c r="U67" i="83"/>
  <c r="AB83" i="83"/>
  <c r="AC83" i="83"/>
  <c r="P18" i="83"/>
  <c r="Q18" i="83"/>
  <c r="AI80" i="83"/>
  <c r="Z18" i="83"/>
  <c r="AH28" i="83"/>
  <c r="AH18" i="83"/>
  <c r="S83" i="83"/>
  <c r="AF44" i="83"/>
  <c r="S67" i="83"/>
  <c r="T67" i="83"/>
  <c r="CJ32" i="22"/>
  <c r="AO32" i="83"/>
  <c r="CI30" i="22"/>
  <c r="AN30" i="83"/>
  <c r="CI42" i="22"/>
  <c r="AN42" i="83"/>
  <c r="CM43" i="22"/>
  <c r="AR43" i="83"/>
  <c r="CI46" i="22"/>
  <c r="AN46" i="83"/>
  <c r="CO19" i="22"/>
  <c r="AT19" i="83"/>
  <c r="CI47" i="22"/>
  <c r="AN47" i="83"/>
  <c r="CL47" i="22"/>
  <c r="AQ47" i="83"/>
  <c r="CO67" i="22"/>
  <c r="AT67" i="83"/>
  <c r="CH67" i="22"/>
  <c r="AM67" i="83"/>
  <c r="CQ47" i="22"/>
  <c r="AV47" i="83"/>
  <c r="CQ24" i="22"/>
  <c r="AV24" i="83"/>
  <c r="CQ19" i="22"/>
  <c r="AV19" i="83"/>
  <c r="CQ26" i="22"/>
  <c r="AV26" i="83"/>
  <c r="CS11" i="22"/>
  <c r="AX11" i="83"/>
  <c r="CS66" i="22"/>
  <c r="AX66" i="83"/>
  <c r="CJ28" i="22"/>
  <c r="AO28" i="83"/>
  <c r="CT24" i="22"/>
  <c r="AY24" i="83"/>
  <c r="CT43" i="22"/>
  <c r="AY43" i="83"/>
  <c r="CT42" i="22"/>
  <c r="AY42" i="83"/>
  <c r="CU28" i="22"/>
  <c r="AZ28" i="83"/>
  <c r="CT47" i="22"/>
  <c r="AY47" i="83"/>
  <c r="CU47" i="22"/>
  <c r="AZ47" i="83"/>
  <c r="CW40" i="22"/>
  <c r="BB40" i="83"/>
  <c r="CV24" i="22"/>
  <c r="BA24" i="83"/>
  <c r="CV43" i="22"/>
  <c r="BA43" i="83"/>
  <c r="CW6" i="22"/>
  <c r="BB6" i="83"/>
  <c r="CX11" i="22"/>
  <c r="BC11" i="83"/>
  <c r="CW19" i="22"/>
  <c r="BB19" i="83"/>
  <c r="CY39" i="22"/>
  <c r="BD39" i="83"/>
  <c r="CH31" i="22"/>
  <c r="AM31" i="83"/>
  <c r="CQ27" i="22"/>
  <c r="AV27" i="83"/>
  <c r="CV27" i="22"/>
  <c r="BA27" i="83"/>
  <c r="CX39" i="22"/>
  <c r="BC39" i="83"/>
  <c r="CX28" i="22"/>
  <c r="BC28" i="83"/>
  <c r="CZ27" i="22"/>
  <c r="BE27" i="83"/>
  <c r="DB47" i="22"/>
  <c r="BG47" i="83"/>
  <c r="CZ11" i="22"/>
  <c r="BE11" i="83"/>
  <c r="BJ6" i="42"/>
  <c r="BJ8" i="42" s="1"/>
  <c r="BJ9" i="42" s="1"/>
  <c r="BJ14" i="42" s="1"/>
  <c r="BE4" i="83"/>
  <c r="DA30" i="22"/>
  <c r="BF30" i="83"/>
  <c r="CY25" i="22"/>
  <c r="BD25" i="83"/>
  <c r="DC27" i="22"/>
  <c r="BH27" i="83"/>
  <c r="DC25" i="22"/>
  <c r="BH25" i="83"/>
  <c r="CL25" i="22"/>
  <c r="AQ25" i="83"/>
  <c r="DA10" i="22"/>
  <c r="BF10" i="83"/>
  <c r="DA4" i="22"/>
  <c r="BF4" i="83"/>
  <c r="CR25" i="22"/>
  <c r="AW25" i="83"/>
  <c r="DB40" i="22"/>
  <c r="BG40" i="83"/>
  <c r="CR50" i="22"/>
  <c r="AW50" i="83"/>
  <c r="DC15" i="22"/>
  <c r="BH15" i="83"/>
  <c r="DD6" i="22"/>
  <c r="BI6" i="83"/>
  <c r="DG7" i="22"/>
  <c r="BL7" i="83"/>
  <c r="DH10" i="22"/>
  <c r="BM10" i="83"/>
  <c r="DK21" i="22"/>
  <c r="BP21" i="83"/>
  <c r="DJ16" i="22"/>
  <c r="BO16" i="83"/>
  <c r="DI30" i="22"/>
  <c r="BN30" i="83"/>
  <c r="DK17" i="22"/>
  <c r="BP17" i="83"/>
  <c r="DH24" i="22"/>
  <c r="BM24" i="83"/>
  <c r="DH39" i="22"/>
  <c r="BM39" i="83"/>
  <c r="DI39" i="22"/>
  <c r="BN39" i="83"/>
  <c r="DG39" i="22"/>
  <c r="BL39" i="83"/>
  <c r="DD40" i="22"/>
  <c r="BI40" i="83"/>
  <c r="CN41" i="22"/>
  <c r="I41" i="22" s="1"/>
  <c r="AS41" i="83"/>
  <c r="I41" i="83" s="1"/>
  <c r="DH34" i="22"/>
  <c r="BM34" i="83"/>
  <c r="DK8" i="22"/>
  <c r="BP8" i="83"/>
  <c r="DK7" i="22"/>
  <c r="BP7" i="83"/>
  <c r="DF20" i="22"/>
  <c r="BK20" i="83"/>
  <c r="DG10" i="22"/>
  <c r="BL10" i="83"/>
  <c r="DI47" i="22"/>
  <c r="BN47" i="83"/>
  <c r="DI17" i="22"/>
  <c r="BN17" i="83"/>
  <c r="DD39" i="22"/>
  <c r="BI39" i="83"/>
  <c r="DF40" i="22"/>
  <c r="BK40" i="83"/>
  <c r="DJ33" i="22"/>
  <c r="BO33" i="83"/>
  <c r="DK81" i="22"/>
  <c r="BP81" i="83"/>
  <c r="DI81" i="22"/>
  <c r="BN81" i="83"/>
  <c r="DG11" i="22"/>
  <c r="BL11" i="83"/>
  <c r="DI43" i="22"/>
  <c r="BN43" i="83"/>
  <c r="DE5" i="22"/>
  <c r="BJ5" i="83"/>
  <c r="DG31" i="22"/>
  <c r="BL31" i="83"/>
  <c r="DM5" i="22"/>
  <c r="BR5" i="83"/>
  <c r="DL21" i="22"/>
  <c r="BQ21" i="83"/>
  <c r="DM30" i="22"/>
  <c r="BR30" i="83"/>
  <c r="DN42" i="22"/>
  <c r="BS42" i="83"/>
  <c r="DH25" i="22"/>
  <c r="BM25" i="83"/>
  <c r="DN47" i="22"/>
  <c r="BS47" i="83"/>
  <c r="DM39" i="22"/>
  <c r="BR39" i="83"/>
  <c r="AG44" i="22"/>
  <c r="S37" i="83"/>
  <c r="Q67" i="83"/>
  <c r="R67" i="83"/>
  <c r="N18" i="83"/>
  <c r="AI44" i="83"/>
  <c r="I83" i="83"/>
  <c r="K80" i="83"/>
  <c r="L80" i="83"/>
  <c r="AC67" i="83"/>
  <c r="AD18" i="83"/>
  <c r="R18" i="83"/>
  <c r="E79" i="83"/>
  <c r="F79" i="83"/>
  <c r="AB79" i="83"/>
  <c r="E44" i="83"/>
  <c r="AF37" i="83"/>
  <c r="AG37" i="83"/>
  <c r="G44" i="83"/>
  <c r="CI11" i="22"/>
  <c r="AN11" i="83"/>
  <c r="CL11" i="22"/>
  <c r="AQ11" i="83"/>
  <c r="CM30" i="22"/>
  <c r="AR30" i="83"/>
  <c r="CK19" i="22"/>
  <c r="AP19" i="83"/>
  <c r="CP6" i="22"/>
  <c r="AU6" i="83"/>
  <c r="CS10" i="22"/>
  <c r="AX10" i="83"/>
  <c r="CO17" i="22"/>
  <c r="AT17" i="83"/>
  <c r="CJ42" i="22"/>
  <c r="AO42" i="83"/>
  <c r="CK45" i="22"/>
  <c r="AP45" i="83"/>
  <c r="CM19" i="22"/>
  <c r="AR19" i="83"/>
  <c r="CL24" i="22"/>
  <c r="AQ24" i="83"/>
  <c r="CN11" i="22"/>
  <c r="AS11" i="83"/>
  <c r="CN42" i="22"/>
  <c r="AS42" i="83"/>
  <c r="CO66" i="22"/>
  <c r="AT66" i="83"/>
  <c r="CL66" i="22"/>
  <c r="AQ66" i="83"/>
  <c r="CP43" i="22"/>
  <c r="AU43" i="83"/>
  <c r="CP34" i="22"/>
  <c r="AU34" i="83"/>
  <c r="CI28" i="22"/>
  <c r="AN28" i="83"/>
  <c r="CS34" i="22"/>
  <c r="AX34" i="83"/>
  <c r="CS47" i="22"/>
  <c r="AX47" i="83"/>
  <c r="CT34" i="22"/>
  <c r="AY34" i="83"/>
  <c r="CT39" i="22"/>
  <c r="AY39" i="83"/>
  <c r="CU24" i="22"/>
  <c r="AZ24" i="83"/>
  <c r="CT16" i="22"/>
  <c r="AY16" i="83"/>
  <c r="CT19" i="22"/>
  <c r="AY19" i="83"/>
  <c r="CU39" i="22"/>
  <c r="AZ39" i="83"/>
  <c r="CV11" i="22"/>
  <c r="BA11" i="83"/>
  <c r="CV28" i="22"/>
  <c r="BA28" i="83"/>
  <c r="CV16" i="22"/>
  <c r="BA16" i="83"/>
  <c r="CY10" i="22"/>
  <c r="BD10" i="83"/>
  <c r="CI31" i="22"/>
  <c r="AN31" i="83"/>
  <c r="CI27" i="22"/>
  <c r="AN27" i="83"/>
  <c r="CX10" i="22"/>
  <c r="BC10" i="83"/>
  <c r="CX31" i="22"/>
  <c r="BC31" i="83"/>
  <c r="CM27" i="22"/>
  <c r="AR27" i="83"/>
  <c r="CU27" i="22"/>
  <c r="AZ27" i="83"/>
  <c r="CP31" i="22"/>
  <c r="AU31" i="83"/>
  <c r="CX16" i="22"/>
  <c r="BC16" i="83"/>
  <c r="CX17" i="22"/>
  <c r="BC17" i="83"/>
  <c r="CX43" i="22"/>
  <c r="BC43" i="83"/>
  <c r="DA28" i="22"/>
  <c r="BF28" i="83"/>
  <c r="DD43" i="22"/>
  <c r="BI43" i="83"/>
  <c r="DA34" i="22"/>
  <c r="BF34" i="83"/>
  <c r="DD66" i="22"/>
  <c r="BI66" i="83"/>
  <c r="CZ39" i="22"/>
  <c r="BE39" i="83"/>
  <c r="DD47" i="22"/>
  <c r="BI47" i="83"/>
  <c r="DB30" i="22"/>
  <c r="BG30" i="83"/>
  <c r="CT25" i="22"/>
  <c r="AY25" i="83"/>
  <c r="DC10" i="22"/>
  <c r="BH10" i="83"/>
  <c r="DA17" i="22"/>
  <c r="BF17" i="83"/>
  <c r="DB25" i="22"/>
  <c r="BG25" i="83"/>
  <c r="CY17" i="22"/>
  <c r="BD17" i="83"/>
  <c r="DD10" i="22"/>
  <c r="BI10" i="83"/>
  <c r="DA11" i="22"/>
  <c r="BF11" i="83"/>
  <c r="DB39" i="22"/>
  <c r="BG39" i="83"/>
  <c r="DC21" i="22"/>
  <c r="BH21" i="83"/>
  <c r="CP50" i="22"/>
  <c r="AU50" i="83"/>
  <c r="CW50" i="22"/>
  <c r="BB50" i="83"/>
  <c r="DF6" i="22"/>
  <c r="BK6" i="83"/>
  <c r="DJ42" i="22"/>
  <c r="BO42" i="83"/>
  <c r="DJ39" i="22"/>
  <c r="BO39" i="83"/>
  <c r="DF7" i="22"/>
  <c r="BK7" i="83"/>
  <c r="DG16" i="22"/>
  <c r="BL16" i="83"/>
  <c r="DH4" i="22"/>
  <c r="BM4" i="83"/>
  <c r="DK15" i="22"/>
  <c r="BP15" i="83"/>
  <c r="CP41" i="22"/>
  <c r="AU41" i="83"/>
  <c r="DH15" i="22"/>
  <c r="BM15" i="83"/>
  <c r="DH20" i="22"/>
  <c r="BM20" i="83"/>
  <c r="DJ27" i="22"/>
  <c r="BO27" i="83"/>
  <c r="DF10" i="22"/>
  <c r="BK10" i="83"/>
  <c r="DH16" i="22"/>
  <c r="BM16" i="83"/>
  <c r="DK40" i="22"/>
  <c r="BP40" i="83"/>
  <c r="DE39" i="22"/>
  <c r="BJ39" i="83"/>
  <c r="DJ21" i="22"/>
  <c r="BO21" i="83"/>
  <c r="DE21" i="22"/>
  <c r="BJ21" i="83"/>
  <c r="DC16" i="22"/>
  <c r="BH16" i="83"/>
  <c r="DH21" i="22"/>
  <c r="BM21" i="83"/>
  <c r="DD15" i="22"/>
  <c r="BI15" i="83"/>
  <c r="DE19" i="22"/>
  <c r="BJ19" i="83"/>
  <c r="DG80" i="22"/>
  <c r="AB80" i="22" s="1"/>
  <c r="BL80" i="83"/>
  <c r="AB80" i="83" s="1"/>
  <c r="DK43" i="22"/>
  <c r="BP43" i="83"/>
  <c r="DN81" i="22"/>
  <c r="BS81" i="83"/>
  <c r="DN6" i="22"/>
  <c r="BS6" i="83"/>
  <c r="DL20" i="22"/>
  <c r="BQ20" i="83"/>
  <c r="DM34" i="22"/>
  <c r="BR34" i="83"/>
  <c r="DM16" i="22"/>
  <c r="BR16" i="83"/>
  <c r="DN39" i="22"/>
  <c r="BS39" i="83"/>
  <c r="DM6" i="22"/>
  <c r="BR6" i="83"/>
  <c r="DN19" i="22"/>
  <c r="BS19" i="83"/>
  <c r="DN17" i="22"/>
  <c r="BS17" i="83"/>
  <c r="DN43" i="22"/>
  <c r="BS43" i="83"/>
  <c r="T18" i="83"/>
  <c r="U18" i="83"/>
  <c r="S80" i="83"/>
  <c r="T80" i="83"/>
  <c r="L18" i="83"/>
  <c r="M18" i="83"/>
  <c r="AG67" i="83"/>
  <c r="AH67" i="83"/>
  <c r="T83" i="83"/>
  <c r="U83" i="83"/>
  <c r="W79" i="83"/>
  <c r="X79" i="83"/>
  <c r="O79" i="83"/>
  <c r="P79" i="83"/>
  <c r="AD28" i="83"/>
  <c r="AE28" i="83"/>
  <c r="R36" i="83"/>
  <c r="S36" i="83"/>
  <c r="U80" i="83"/>
  <c r="V80" i="83"/>
  <c r="G79" i="83"/>
  <c r="H79" i="83"/>
  <c r="AG83" i="83"/>
  <c r="CU10" i="22"/>
  <c r="AZ10" i="83"/>
  <c r="CN30" i="22"/>
  <c r="AS30" i="83"/>
  <c r="CI19" i="22"/>
  <c r="AN19" i="83"/>
  <c r="CH16" i="22"/>
  <c r="AM16" i="83"/>
  <c r="C16" i="83" s="1"/>
  <c r="CK11" i="22"/>
  <c r="AP11" i="83"/>
  <c r="CL30" i="22"/>
  <c r="AQ30" i="83"/>
  <c r="CS6" i="22"/>
  <c r="AX6" i="83"/>
  <c r="CI36" i="22"/>
  <c r="E36" i="22" s="1"/>
  <c r="AN36" i="83"/>
  <c r="CP17" i="22"/>
  <c r="AU17" i="83"/>
  <c r="CQ17" i="22"/>
  <c r="AV17" i="83"/>
  <c r="CQ39" i="22"/>
  <c r="AV39" i="83"/>
  <c r="CT23" i="22"/>
  <c r="AY23" i="83"/>
  <c r="CI45" i="22"/>
  <c r="AN45" i="83"/>
  <c r="CJ45" i="22"/>
  <c r="AO45" i="83"/>
  <c r="CL43" i="22"/>
  <c r="AQ43" i="83"/>
  <c r="CN32" i="22"/>
  <c r="AS32" i="83"/>
  <c r="CO11" i="22"/>
  <c r="AT11" i="83"/>
  <c r="CO26" i="22"/>
  <c r="AT26" i="83"/>
  <c r="CN47" i="22"/>
  <c r="AS47" i="83"/>
  <c r="CO34" i="22"/>
  <c r="AT34" i="83"/>
  <c r="CL34" i="22"/>
  <c r="AQ34" i="83"/>
  <c r="CP47" i="22"/>
  <c r="AU47" i="83"/>
  <c r="CP66" i="22"/>
  <c r="AU66" i="83"/>
  <c r="CQ30" i="22"/>
  <c r="AV30" i="83"/>
  <c r="CJ67" i="22"/>
  <c r="AO67" i="83"/>
  <c r="CR6" i="22"/>
  <c r="AW6" i="83"/>
  <c r="CS4" i="22"/>
  <c r="AX4" i="83"/>
  <c r="CT11" i="22"/>
  <c r="AY11" i="83"/>
  <c r="CU26" i="22"/>
  <c r="AZ26" i="83"/>
  <c r="CT26" i="22"/>
  <c r="AY26" i="83"/>
  <c r="CT30" i="22"/>
  <c r="AY30" i="83"/>
  <c r="CV34" i="22"/>
  <c r="BA34" i="83"/>
  <c r="CW11" i="22"/>
  <c r="BB11" i="83"/>
  <c r="CY11" i="22"/>
  <c r="BD11" i="83"/>
  <c r="CW39" i="22"/>
  <c r="BB39" i="83"/>
  <c r="CY30" i="22"/>
  <c r="BD30" i="83"/>
  <c r="CJ27" i="22"/>
  <c r="AO27" i="83"/>
  <c r="CT27" i="22"/>
  <c r="AY27" i="83"/>
  <c r="CY34" i="22"/>
  <c r="BD34" i="83"/>
  <c r="CY27" i="22"/>
  <c r="BD27" i="83"/>
  <c r="CW20" i="22"/>
  <c r="BB20" i="83"/>
  <c r="CJ31" i="22"/>
  <c r="AO31" i="83"/>
  <c r="CS31" i="22"/>
  <c r="AX31" i="83"/>
  <c r="DB28" i="22"/>
  <c r="BG28" i="83"/>
  <c r="CZ42" i="22"/>
  <c r="BE42" i="83"/>
  <c r="DA66" i="22"/>
  <c r="BF66" i="83"/>
  <c r="DD34" i="22"/>
  <c r="BI34" i="83"/>
  <c r="CZ43" i="22"/>
  <c r="BE43" i="83"/>
  <c r="DA43" i="22"/>
  <c r="BF43" i="83"/>
  <c r="DH30" i="22"/>
  <c r="BM30" i="83"/>
  <c r="DB17" i="22"/>
  <c r="BG17" i="83"/>
  <c r="DD20" i="22"/>
  <c r="BI20" i="83"/>
  <c r="DD17" i="22"/>
  <c r="BI17" i="83"/>
  <c r="CM25" i="22"/>
  <c r="AR25" i="83"/>
  <c r="DD30" i="22"/>
  <c r="BI30" i="83"/>
  <c r="CV25" i="22"/>
  <c r="BA25" i="83"/>
  <c r="DB42" i="22"/>
  <c r="BG42" i="83"/>
  <c r="DA24" i="22"/>
  <c r="BF24" i="83"/>
  <c r="DB16" i="22"/>
  <c r="BG16" i="83"/>
  <c r="CX25" i="22"/>
  <c r="BC25" i="83"/>
  <c r="DB6" i="22"/>
  <c r="BG6" i="83"/>
  <c r="CN50" i="22"/>
  <c r="AS50" i="83"/>
  <c r="CO50" i="22"/>
  <c r="AT50" i="83"/>
  <c r="DC33" i="22"/>
  <c r="BH33" i="83"/>
  <c r="DH6" i="22"/>
  <c r="BM6" i="83"/>
  <c r="DI8" i="22"/>
  <c r="BN8" i="83"/>
  <c r="DJ34" i="22"/>
  <c r="BO34" i="83"/>
  <c r="DK31" i="22"/>
  <c r="BP31" i="83"/>
  <c r="DK5" i="22"/>
  <c r="BP5" i="83"/>
  <c r="DE27" i="22"/>
  <c r="BJ27" i="83"/>
  <c r="CK41" i="22"/>
  <c r="AP41" i="83"/>
  <c r="DE34" i="22"/>
  <c r="BJ34" i="83"/>
  <c r="CR41" i="22"/>
  <c r="AW41" i="83"/>
  <c r="DI27" i="22"/>
  <c r="BN27" i="83"/>
  <c r="DF16" i="22"/>
  <c r="BK16" i="83"/>
  <c r="DA41" i="22"/>
  <c r="BF41" i="83"/>
  <c r="DF47" i="22"/>
  <c r="BK47" i="83"/>
  <c r="DE42" i="22"/>
  <c r="BJ42" i="83"/>
  <c r="DG25" i="22"/>
  <c r="BL25" i="83"/>
  <c r="DI31" i="22"/>
  <c r="BN31" i="83"/>
  <c r="DK24" i="22"/>
  <c r="BP24" i="83"/>
  <c r="DE24" i="22"/>
  <c r="BJ24" i="83"/>
  <c r="DI21" i="22"/>
  <c r="BN21" i="83"/>
  <c r="DD80" i="22"/>
  <c r="Z80" i="22" s="1"/>
  <c r="BI80" i="83"/>
  <c r="Z80" i="83" s="1"/>
  <c r="CJ80" i="22"/>
  <c r="F80" i="22" s="1"/>
  <c r="AO80" i="83"/>
  <c r="DG81" i="22"/>
  <c r="BL81" i="83"/>
  <c r="CI83" i="22"/>
  <c r="E83" i="22" s="1"/>
  <c r="AN83" i="83"/>
  <c r="DE11" i="22"/>
  <c r="BJ11" i="83"/>
  <c r="DM81" i="22"/>
  <c r="BR81" i="83"/>
  <c r="DL6" i="22"/>
  <c r="BQ6" i="83"/>
  <c r="DM21" i="22"/>
  <c r="BR21" i="83"/>
  <c r="DM8" i="22"/>
  <c r="BR8" i="83"/>
  <c r="DM17" i="22"/>
  <c r="BR17" i="83"/>
  <c r="DM33" i="22"/>
  <c r="BR33" i="83"/>
  <c r="DL8" i="22"/>
  <c r="BQ8" i="83"/>
  <c r="DN8" i="22"/>
  <c r="BS8" i="83"/>
  <c r="DM11" i="22"/>
  <c r="BR11" i="83"/>
  <c r="DN16" i="22"/>
  <c r="BS16" i="83"/>
  <c r="DL5" i="22"/>
  <c r="BQ5" i="83"/>
  <c r="DM15" i="22"/>
  <c r="BR15" i="83"/>
  <c r="AF41" i="83"/>
  <c r="AG41" i="83"/>
  <c r="X36" i="83"/>
  <c r="Y36" i="83"/>
  <c r="T36" i="83"/>
  <c r="U36" i="83"/>
  <c r="G83" i="83"/>
  <c r="H83" i="83"/>
  <c r="Z41" i="83"/>
  <c r="AA41" i="83"/>
  <c r="AB37" i="83"/>
  <c r="AC37" i="83"/>
  <c r="AB41" i="83"/>
  <c r="AC41" i="83"/>
  <c r="AH37" i="83"/>
  <c r="AI37" i="83"/>
  <c r="O83" i="83"/>
  <c r="P83" i="83"/>
  <c r="AE79" i="83"/>
  <c r="AF79" i="83"/>
  <c r="AF18" i="83"/>
  <c r="AG18" i="83"/>
  <c r="AF36" i="83"/>
  <c r="AG36" i="83"/>
  <c r="N67" i="83"/>
  <c r="O67" i="83"/>
  <c r="AG83" i="22"/>
  <c r="F18" i="83"/>
  <c r="X37" i="83"/>
  <c r="Y37" i="83"/>
  <c r="N36" i="83"/>
  <c r="O36" i="83"/>
  <c r="CL16" i="22"/>
  <c r="AQ16" i="83"/>
  <c r="CO39" i="22"/>
  <c r="AT39" i="83"/>
  <c r="CH11" i="22"/>
  <c r="AM11" i="83"/>
  <c r="C11" i="83" s="1"/>
  <c r="CQ6" i="22"/>
  <c r="AV6" i="83"/>
  <c r="CT10" i="22"/>
  <c r="AY10" i="83"/>
  <c r="CM39" i="22"/>
  <c r="AR39" i="83"/>
  <c r="CV39" i="22"/>
  <c r="BA39" i="83"/>
  <c r="CH32" i="22"/>
  <c r="AM32" i="83"/>
  <c r="CI32" i="22"/>
  <c r="AN32" i="83"/>
  <c r="CJ30" i="22"/>
  <c r="AO30" i="83"/>
  <c r="CM16" i="22"/>
  <c r="AR16" i="83"/>
  <c r="CM42" i="22"/>
  <c r="AR42" i="83"/>
  <c r="CH24" i="22"/>
  <c r="AM24" i="83"/>
  <c r="C24" i="83" s="1"/>
  <c r="CI24" i="22"/>
  <c r="AN24" i="83"/>
  <c r="CN40" i="22"/>
  <c r="AS40" i="83"/>
  <c r="CN16" i="22"/>
  <c r="AS16" i="83"/>
  <c r="CO30" i="22"/>
  <c r="AT30" i="83"/>
  <c r="CM47" i="22"/>
  <c r="AR47" i="83"/>
  <c r="CM66" i="22"/>
  <c r="AR66" i="83"/>
  <c r="CN67" i="22"/>
  <c r="AS67" i="83"/>
  <c r="CQ11" i="22"/>
  <c r="AV11" i="83"/>
  <c r="CQ43" i="22"/>
  <c r="AV43" i="83"/>
  <c r="CL67" i="22"/>
  <c r="AQ67" i="83"/>
  <c r="CK67" i="22"/>
  <c r="AP67" i="83"/>
  <c r="CJ47" i="22"/>
  <c r="AO47" i="83"/>
  <c r="CR42" i="22"/>
  <c r="AW42" i="83"/>
  <c r="CS30" i="22"/>
  <c r="AX30" i="83"/>
  <c r="CH28" i="22"/>
  <c r="AM28" i="83"/>
  <c r="CT66" i="22"/>
  <c r="AY66" i="83"/>
  <c r="CR26" i="22"/>
  <c r="AW26" i="83"/>
  <c r="CU40" i="22"/>
  <c r="AZ40" i="83"/>
  <c r="CV66" i="22"/>
  <c r="BA66" i="83"/>
  <c r="CU42" i="22"/>
  <c r="AZ42" i="83"/>
  <c r="CW27" i="22"/>
  <c r="BB27" i="83"/>
  <c r="CW21" i="22"/>
  <c r="BB21" i="83"/>
  <c r="CY66" i="22"/>
  <c r="BD66" i="83"/>
  <c r="CK27" i="22"/>
  <c r="AP27" i="83"/>
  <c r="CW31" i="22"/>
  <c r="BB31" i="83"/>
  <c r="CS27" i="22"/>
  <c r="AX27" i="83"/>
  <c r="CW17" i="22"/>
  <c r="BB17" i="83"/>
  <c r="CK31" i="22"/>
  <c r="AP31" i="83"/>
  <c r="CX24" i="22"/>
  <c r="BC24" i="83"/>
  <c r="CX26" i="22"/>
  <c r="BC26" i="83"/>
  <c r="CY47" i="22"/>
  <c r="BD47" i="83"/>
  <c r="DC47" i="22"/>
  <c r="BH47" i="83"/>
  <c r="DB66" i="22"/>
  <c r="BG66" i="83"/>
  <c r="DA47" i="22"/>
  <c r="BF47" i="83"/>
  <c r="DC30" i="22"/>
  <c r="BH30" i="83"/>
  <c r="DA39" i="22"/>
  <c r="BF39" i="83"/>
  <c r="DA20" i="22"/>
  <c r="BF20" i="83"/>
  <c r="DG30" i="22"/>
  <c r="BL30" i="83"/>
  <c r="DA27" i="22"/>
  <c r="BF27" i="83"/>
  <c r="BK5" i="34"/>
  <c r="BK9" i="34" s="1"/>
  <c r="BK11" i="34" s="1"/>
  <c r="BK16" i="34" s="1"/>
  <c r="BF23" i="83"/>
  <c r="CS50" i="22"/>
  <c r="AX50" i="83"/>
  <c r="CZ50" i="22"/>
  <c r="BE50" i="83"/>
  <c r="DI6" i="22"/>
  <c r="BN6" i="83"/>
  <c r="DJ66" i="22"/>
  <c r="BO66" i="83"/>
  <c r="DE20" i="22"/>
  <c r="BJ20" i="83"/>
  <c r="DB41" i="22"/>
  <c r="BG41" i="83"/>
  <c r="DE15" i="22"/>
  <c r="BJ15" i="83"/>
  <c r="CH41" i="22"/>
  <c r="AM41" i="83"/>
  <c r="C41" i="83" s="1"/>
  <c r="DE66" i="22"/>
  <c r="BJ66" i="83"/>
  <c r="DE16" i="22"/>
  <c r="BJ16" i="83"/>
  <c r="CI41" i="22"/>
  <c r="AN41" i="83"/>
  <c r="DD21" i="22"/>
  <c r="BI21" i="83"/>
  <c r="DK19" i="22"/>
  <c r="BP19" i="83"/>
  <c r="DD67" i="22"/>
  <c r="Y67" i="22" s="1"/>
  <c r="BI67" i="83"/>
  <c r="CV41" i="22"/>
  <c r="BA41" i="83"/>
  <c r="CW41" i="22"/>
  <c r="BB41" i="83"/>
  <c r="DI42" i="22"/>
  <c r="BN42" i="83"/>
  <c r="DF34" i="22"/>
  <c r="BK34" i="83"/>
  <c r="DG21" i="22"/>
  <c r="BL21" i="83"/>
  <c r="DJ10" i="22"/>
  <c r="BO10" i="83"/>
  <c r="DF43" i="22"/>
  <c r="BK43" i="83"/>
  <c r="DF17" i="22"/>
  <c r="BK17" i="83"/>
  <c r="DJ17" i="22"/>
  <c r="BO17" i="83"/>
  <c r="DH31" i="22"/>
  <c r="BM31" i="83"/>
  <c r="DF11" i="22"/>
  <c r="BK11" i="83"/>
  <c r="DK10" i="22"/>
  <c r="BP10" i="83"/>
  <c r="DM66" i="22"/>
  <c r="BR66" i="83"/>
  <c r="DM20" i="22"/>
  <c r="BR20" i="83"/>
  <c r="DN33" i="22"/>
  <c r="BS33" i="83"/>
  <c r="DM31" i="22"/>
  <c r="BR31" i="83"/>
  <c r="DL10" i="22"/>
  <c r="BQ10" i="83"/>
  <c r="DM4" i="22"/>
  <c r="BR4" i="83"/>
  <c r="BV5" i="34"/>
  <c r="BV9" i="34" s="1"/>
  <c r="BV11" i="34" s="1"/>
  <c r="BV16" i="34" s="1"/>
  <c r="BQ23" i="83"/>
  <c r="DL33" i="22"/>
  <c r="BQ33" i="83"/>
  <c r="J83" i="83"/>
  <c r="U79" i="83"/>
  <c r="V79" i="83"/>
  <c r="AD37" i="83"/>
  <c r="AE37" i="83"/>
  <c r="V37" i="83"/>
  <c r="W37" i="83"/>
  <c r="AI67" i="83"/>
  <c r="Z36" i="83"/>
  <c r="AA36" i="83"/>
  <c r="L79" i="83"/>
  <c r="AA18" i="83"/>
  <c r="J18" i="83"/>
  <c r="Y79" i="83"/>
  <c r="M79" i="83"/>
  <c r="N79" i="83"/>
  <c r="AH41" i="83"/>
  <c r="AI41" i="83"/>
  <c r="AF80" i="83"/>
  <c r="AB18" i="83"/>
  <c r="AC18" i="83"/>
  <c r="V44" i="83"/>
  <c r="M44" i="83"/>
  <c r="DL23" i="22"/>
  <c r="BW6" i="42"/>
  <c r="BW8" i="42" s="1"/>
  <c r="BW9" i="42" s="1"/>
  <c r="BW14" i="42" s="1"/>
  <c r="BW5" i="15"/>
  <c r="BW8" i="15" s="1"/>
  <c r="BW10" i="15" s="1"/>
  <c r="BW14" i="15" s="1"/>
  <c r="DL4" i="22"/>
  <c r="BV5" i="15"/>
  <c r="BV8" i="15" s="1"/>
  <c r="BV10" i="15" s="1"/>
  <c r="BV14" i="15" s="1"/>
  <c r="BV6" i="42"/>
  <c r="BV8" i="42" s="1"/>
  <c r="BV9" i="42" s="1"/>
  <c r="BV14" i="42" s="1"/>
  <c r="DM14" i="22"/>
  <c r="BW6" i="41"/>
  <c r="BW9" i="41" s="1"/>
  <c r="BW11" i="41" s="1"/>
  <c r="BW16" i="41" s="1"/>
  <c r="DM23" i="22"/>
  <c r="BW5" i="34"/>
  <c r="BW9" i="34" s="1"/>
  <c r="BW11" i="34" s="1"/>
  <c r="BW16" i="34" s="1"/>
  <c r="BY7" i="51"/>
  <c r="BY11" i="51" s="1"/>
  <c r="BY13" i="51" s="1"/>
  <c r="BY18" i="51" s="1"/>
  <c r="DN14" i="22"/>
  <c r="BX6" i="41"/>
  <c r="BX9" i="41" s="1"/>
  <c r="BX11" i="41" s="1"/>
  <c r="BX16" i="41" s="1"/>
  <c r="DL14" i="22"/>
  <c r="BV6" i="41"/>
  <c r="BV9" i="41" s="1"/>
  <c r="BV11" i="41" s="1"/>
  <c r="BW7" i="51"/>
  <c r="BW11" i="51" s="1"/>
  <c r="BW13" i="51" s="1"/>
  <c r="BW18" i="51" s="1"/>
  <c r="BX7" i="51"/>
  <c r="BX11" i="51" s="1"/>
  <c r="BX13" i="51" s="1"/>
  <c r="BX18" i="51" s="1"/>
  <c r="H6" i="41"/>
  <c r="H9" i="41" s="1"/>
  <c r="H11" i="41" s="1"/>
  <c r="BU16" i="14"/>
  <c r="BU6" i="41"/>
  <c r="BU9" i="41" s="1"/>
  <c r="BU11" i="41" s="1"/>
  <c r="BU16" i="41" s="1"/>
  <c r="DK14" i="22"/>
  <c r="BU5" i="34"/>
  <c r="BU9" i="34" s="1"/>
  <c r="BU11" i="34" s="1"/>
  <c r="BU16" i="34" s="1"/>
  <c r="DK23" i="22"/>
  <c r="BT5" i="34"/>
  <c r="BT9" i="34" s="1"/>
  <c r="BT11" i="34" s="1"/>
  <c r="BT16" i="34" s="1"/>
  <c r="DJ23" i="22"/>
  <c r="BT6" i="41"/>
  <c r="BT9" i="41" s="1"/>
  <c r="BT11" i="41" s="1"/>
  <c r="BT16" i="41" s="1"/>
  <c r="DJ14" i="22"/>
  <c r="AW17" i="81"/>
  <c r="AH14" i="81"/>
  <c r="BL14" i="81"/>
  <c r="AG14" i="81"/>
  <c r="AG17" i="81"/>
  <c r="AY17" i="81"/>
  <c r="AY14" i="81"/>
  <c r="AU17" i="81"/>
  <c r="AU14" i="81"/>
  <c r="BD14" i="81"/>
  <c r="BD17" i="81"/>
  <c r="AK17" i="81"/>
  <c r="AK14" i="81"/>
  <c r="BS5" i="15"/>
  <c r="BS8" i="15" s="1"/>
  <c r="BS10" i="15" s="1"/>
  <c r="BS14" i="15" s="1"/>
  <c r="DI4" i="22"/>
  <c r="BS5" i="34"/>
  <c r="BS9" i="34" s="1"/>
  <c r="BS11" i="34" s="1"/>
  <c r="BS16" i="34" s="1"/>
  <c r="DI23" i="22"/>
  <c r="BS6" i="41"/>
  <c r="BS9" i="41" s="1"/>
  <c r="BS11" i="41" s="1"/>
  <c r="BS16" i="41" s="1"/>
  <c r="DI14" i="22"/>
  <c r="BR6" i="41"/>
  <c r="BR9" i="41" s="1"/>
  <c r="BR11" i="41" s="1"/>
  <c r="BR16" i="41" s="1"/>
  <c r="DH14" i="22"/>
  <c r="BR5" i="34"/>
  <c r="BR9" i="34" s="1"/>
  <c r="BR11" i="34" s="1"/>
  <c r="BR16" i="34" s="1"/>
  <c r="DH23" i="22"/>
  <c r="BQ17" i="36"/>
  <c r="BP17" i="36"/>
  <c r="AX17" i="36"/>
  <c r="AX14" i="36"/>
  <c r="AX16" i="23"/>
  <c r="AX13" i="23"/>
  <c r="BB16" i="23"/>
  <c r="BB13" i="23"/>
  <c r="BQ16" i="23"/>
  <c r="BJ16" i="23"/>
  <c r="BJ13" i="23"/>
  <c r="BN17" i="36"/>
  <c r="BN14" i="25"/>
  <c r="BQ6" i="41"/>
  <c r="BQ9" i="41" s="1"/>
  <c r="BQ11" i="41" s="1"/>
  <c r="BQ16" i="41" s="1"/>
  <c r="DG14" i="22"/>
  <c r="BQ5" i="34"/>
  <c r="BQ9" i="34" s="1"/>
  <c r="BQ11" i="34" s="1"/>
  <c r="BQ16" i="34" s="1"/>
  <c r="DG23" i="22"/>
  <c r="BR7" i="51"/>
  <c r="BR11" i="51" s="1"/>
  <c r="BR13" i="51" s="1"/>
  <c r="BR18" i="51" s="1"/>
  <c r="AS14" i="76"/>
  <c r="AS17" i="76"/>
  <c r="BO17" i="76"/>
  <c r="BM17" i="76"/>
  <c r="BB17" i="76"/>
  <c r="AB17" i="76"/>
  <c r="AB14" i="76"/>
  <c r="AM17" i="76"/>
  <c r="AM14" i="76"/>
  <c r="AQ17" i="76"/>
  <c r="AQ14" i="76"/>
  <c r="AG14" i="76"/>
  <c r="AG17" i="76"/>
  <c r="BP17" i="76"/>
  <c r="BF17" i="76"/>
  <c r="BI17" i="76"/>
  <c r="AX17" i="76"/>
  <c r="AX14" i="76"/>
  <c r="AT17" i="76"/>
  <c r="BC17" i="76"/>
  <c r="AH17" i="76"/>
  <c r="AH14" i="76"/>
  <c r="Q14" i="76"/>
  <c r="Q17" i="76"/>
  <c r="BH17" i="76"/>
  <c r="BE17" i="76"/>
  <c r="AO14" i="76"/>
  <c r="AO17" i="76"/>
  <c r="BG17" i="76"/>
  <c r="BA17" i="76"/>
  <c r="BL17" i="76"/>
  <c r="AP17" i="76"/>
  <c r="AP14" i="76"/>
  <c r="AV17" i="76"/>
  <c r="BN17" i="76"/>
  <c r="AZ17" i="76"/>
  <c r="BK17" i="76"/>
  <c r="AW17" i="76"/>
  <c r="AU17" i="76"/>
  <c r="BQ17" i="76"/>
  <c r="AY17" i="76"/>
  <c r="BJ17" i="76"/>
  <c r="BD17" i="76"/>
  <c r="BO6" i="42"/>
  <c r="BO8" i="42" s="1"/>
  <c r="BO9" i="42" s="1"/>
  <c r="BO14" i="42" s="1"/>
  <c r="BO5" i="15"/>
  <c r="BO8" i="15" s="1"/>
  <c r="BO10" i="15" s="1"/>
  <c r="BO14" i="15" s="1"/>
  <c r="BP18" i="18"/>
  <c r="BK15" i="83" s="1"/>
  <c r="BP6" i="41"/>
  <c r="BP9" i="41" s="1"/>
  <c r="BP11" i="41" s="1"/>
  <c r="BP16" i="41" s="1"/>
  <c r="DF14" i="22"/>
  <c r="BP5" i="15"/>
  <c r="BP8" i="15" s="1"/>
  <c r="BP10" i="15" s="1"/>
  <c r="BP14" i="15" s="1"/>
  <c r="DF4" i="22"/>
  <c r="BO6" i="41"/>
  <c r="BO9" i="41" s="1"/>
  <c r="BO11" i="41" s="1"/>
  <c r="BO16" i="41" s="1"/>
  <c r="DE14" i="22"/>
  <c r="BO5" i="34"/>
  <c r="BO9" i="34" s="1"/>
  <c r="BO11" i="34" s="1"/>
  <c r="BO16" i="34" s="1"/>
  <c r="DE23" i="22"/>
  <c r="BP5" i="34"/>
  <c r="BP9" i="34" s="1"/>
  <c r="BP11" i="34" s="1"/>
  <c r="BP16" i="34" s="1"/>
  <c r="DF23" i="22"/>
  <c r="BO7" i="51"/>
  <c r="BO11" i="51" s="1"/>
  <c r="BO13" i="51" s="1"/>
  <c r="BO18" i="51" s="1"/>
  <c r="BU7" i="51"/>
  <c r="BU11" i="51" s="1"/>
  <c r="BU13" i="51" s="1"/>
  <c r="BU18" i="51" s="1"/>
  <c r="BS6" i="42"/>
  <c r="BS8" i="42" s="1"/>
  <c r="BS9" i="42" s="1"/>
  <c r="BS14" i="42" s="1"/>
  <c r="BP6" i="42"/>
  <c r="BP8" i="42" s="1"/>
  <c r="BP9" i="42" s="1"/>
  <c r="BP14" i="42" s="1"/>
  <c r="CR5" i="22"/>
  <c r="AW17" i="36"/>
  <c r="CX5" i="22"/>
  <c r="BJ15" i="26"/>
  <c r="DD23" i="22"/>
  <c r="BN5" i="34"/>
  <c r="BN9" i="34" s="1"/>
  <c r="BN11" i="34" s="1"/>
  <c r="BN16" i="34" s="1"/>
  <c r="AY15" i="26"/>
  <c r="AZ15" i="26"/>
  <c r="AV17" i="36"/>
  <c r="L14" i="36"/>
  <c r="L17" i="36"/>
  <c r="AT17" i="25"/>
  <c r="AU17" i="36"/>
  <c r="AD14" i="36"/>
  <c r="AD17" i="36"/>
  <c r="AX15" i="26"/>
  <c r="AR15" i="26"/>
  <c r="CS5" i="22"/>
  <c r="BD15" i="26"/>
  <c r="CU5" i="22"/>
  <c r="BE15" i="26"/>
  <c r="BF15" i="26"/>
  <c r="CY5" i="22"/>
  <c r="BR6" i="42"/>
  <c r="BR8" i="42" s="1"/>
  <c r="BR9" i="42" s="1"/>
  <c r="BR14" i="42" s="1"/>
  <c r="BR5" i="15"/>
  <c r="BR8" i="15" s="1"/>
  <c r="BR10" i="15" s="1"/>
  <c r="BR14" i="15" s="1"/>
  <c r="AV17" i="25"/>
  <c r="DD14" i="22"/>
  <c r="BN6" i="41"/>
  <c r="BN9" i="41" s="1"/>
  <c r="BN11" i="41" s="1"/>
  <c r="BN16" i="41" s="1"/>
  <c r="BT7" i="51"/>
  <c r="BT11" i="51" s="1"/>
  <c r="BT13" i="51" s="1"/>
  <c r="BT18" i="51" s="1"/>
  <c r="AT17" i="36"/>
  <c r="N14" i="25"/>
  <c r="N17" i="25"/>
  <c r="BA15" i="26"/>
  <c r="CQ5" i="22"/>
  <c r="BC15" i="26"/>
  <c r="BI15" i="26"/>
  <c r="BL15" i="26"/>
  <c r="DA5" i="22"/>
  <c r="BB15" i="26"/>
  <c r="CP5" i="22"/>
  <c r="DB5" i="22"/>
  <c r="BS7" i="51"/>
  <c r="BS11" i="51" s="1"/>
  <c r="BS13" i="51" s="1"/>
  <c r="BS18" i="51" s="1"/>
  <c r="AR17" i="36"/>
  <c r="AT15" i="26"/>
  <c r="AU15" i="26"/>
  <c r="AU17" i="25"/>
  <c r="CO5" i="22"/>
  <c r="CZ5" i="22"/>
  <c r="BK15" i="26"/>
  <c r="DC5" i="22"/>
  <c r="BT6" i="42"/>
  <c r="BT8" i="42" s="1"/>
  <c r="BT9" i="42" s="1"/>
  <c r="BT14" i="42" s="1"/>
  <c r="BT5" i="15"/>
  <c r="BT8" i="15" s="1"/>
  <c r="BT10" i="15" s="1"/>
  <c r="BT14" i="15" s="1"/>
  <c r="BQ5" i="15"/>
  <c r="BQ8" i="15" s="1"/>
  <c r="BQ10" i="15" s="1"/>
  <c r="BQ14" i="15" s="1"/>
  <c r="BQ6" i="42"/>
  <c r="BQ8" i="42" s="1"/>
  <c r="BQ9" i="42" s="1"/>
  <c r="BQ14" i="42" s="1"/>
  <c r="CT5" i="22"/>
  <c r="BG15" i="26"/>
  <c r="AS17" i="36"/>
  <c r="AR17" i="25"/>
  <c r="CV5" i="22"/>
  <c r="BM15" i="26"/>
  <c r="BN5" i="15"/>
  <c r="BN8" i="15" s="1"/>
  <c r="BN10" i="15" s="1"/>
  <c r="BN14" i="15" s="1"/>
  <c r="BN6" i="42"/>
  <c r="BN8" i="42" s="1"/>
  <c r="BN9" i="42" s="1"/>
  <c r="BN14" i="42" s="1"/>
  <c r="DD4" i="22"/>
  <c r="BV7" i="51"/>
  <c r="BV11" i="51" s="1"/>
  <c r="BV13" i="51" s="1"/>
  <c r="BV18" i="51" s="1"/>
  <c r="CW5" i="22"/>
  <c r="BH15" i="26"/>
  <c r="P15" i="73"/>
  <c r="AX14" i="12"/>
  <c r="AU14" i="12"/>
  <c r="AV14" i="12"/>
  <c r="AT14" i="12"/>
  <c r="AW14" i="12"/>
  <c r="BM6" i="41"/>
  <c r="BM9" i="41" s="1"/>
  <c r="BM11" i="41" s="1"/>
  <c r="DC14" i="22"/>
  <c r="BM5" i="34"/>
  <c r="BM9" i="34" s="1"/>
  <c r="BM11" i="34" s="1"/>
  <c r="BM16" i="34" s="1"/>
  <c r="DC23" i="22"/>
  <c r="BM5" i="15"/>
  <c r="BM8" i="15" s="1"/>
  <c r="BM10" i="15" s="1"/>
  <c r="BM14" i="15" s="1"/>
  <c r="DC4" i="22"/>
  <c r="AT15" i="73"/>
  <c r="BH18" i="18"/>
  <c r="BJ18" i="18"/>
  <c r="BL18" i="18"/>
  <c r="AV18" i="18"/>
  <c r="BA18" i="18"/>
  <c r="BF18" i="18"/>
  <c r="BG18" i="18"/>
  <c r="AX18" i="18"/>
  <c r="AZ18" i="18"/>
  <c r="BI18" i="18"/>
  <c r="AT18" i="18"/>
  <c r="AS18" i="18"/>
  <c r="AR18" i="18"/>
  <c r="BB18" i="18"/>
  <c r="AU18" i="18"/>
  <c r="AY18" i="18"/>
  <c r="BK18" i="18"/>
  <c r="AX15" i="73"/>
  <c r="CM78" i="22"/>
  <c r="M15" i="73"/>
  <c r="N15" i="73"/>
  <c r="J15" i="73"/>
  <c r="BE15" i="52"/>
  <c r="BE18" i="52"/>
  <c r="R15" i="52"/>
  <c r="R18" i="52"/>
  <c r="AX16" i="14"/>
  <c r="BC18" i="52"/>
  <c r="BG18" i="52"/>
  <c r="BH18" i="52"/>
  <c r="BH15" i="52"/>
  <c r="Z15" i="52"/>
  <c r="Z18" i="52"/>
  <c r="AV15" i="52"/>
  <c r="AV18" i="52"/>
  <c r="AK18" i="52"/>
  <c r="AK15" i="52"/>
  <c r="AS18" i="52"/>
  <c r="AS15" i="52"/>
  <c r="J13" i="19"/>
  <c r="J16" i="19"/>
  <c r="M13" i="19"/>
  <c r="M16" i="19"/>
  <c r="Q11" i="19"/>
  <c r="Q16" i="19" s="1"/>
  <c r="P11" i="19"/>
  <c r="BL5" i="34"/>
  <c r="BL9" i="34" s="1"/>
  <c r="BL11" i="34" s="1"/>
  <c r="BL16" i="34" s="1"/>
  <c r="DB23" i="22"/>
  <c r="BL5" i="15"/>
  <c r="BL8" i="15" s="1"/>
  <c r="BL10" i="15" s="1"/>
  <c r="BL14" i="15" s="1"/>
  <c r="DB4" i="22"/>
  <c r="BL6" i="41"/>
  <c r="BL9" i="41" s="1"/>
  <c r="BL11" i="41" s="1"/>
  <c r="DB14" i="22"/>
  <c r="BL6" i="42"/>
  <c r="BL8" i="42" s="1"/>
  <c r="BL9" i="42" s="1"/>
  <c r="BL14" i="42" s="1"/>
  <c r="DA23" i="22"/>
  <c r="BM6" i="42"/>
  <c r="BM8" i="42" s="1"/>
  <c r="BM9" i="42" s="1"/>
  <c r="BM14" i="42" s="1"/>
  <c r="BK5" i="15"/>
  <c r="BK8" i="15" s="1"/>
  <c r="BK10" i="15" s="1"/>
  <c r="BK14" i="15" s="1"/>
  <c r="BK6" i="42"/>
  <c r="BK8" i="42" s="1"/>
  <c r="BK9" i="42" s="1"/>
  <c r="BK14" i="42" s="1"/>
  <c r="DA14" i="22"/>
  <c r="BK6" i="41"/>
  <c r="BK9" i="41" s="1"/>
  <c r="BK11" i="41" s="1"/>
  <c r="BI7" i="51"/>
  <c r="BI11" i="51" s="1"/>
  <c r="BI13" i="51" s="1"/>
  <c r="BI18" i="51" s="1"/>
  <c r="BM7" i="51"/>
  <c r="BM11" i="51" s="1"/>
  <c r="BM13" i="51" s="1"/>
  <c r="BM18" i="51" s="1"/>
  <c r="AW7" i="51"/>
  <c r="AW11" i="51" s="1"/>
  <c r="AW13" i="51" s="1"/>
  <c r="AW18" i="51" s="1"/>
  <c r="AX7" i="51"/>
  <c r="AX11" i="51" s="1"/>
  <c r="AX13" i="51" s="1"/>
  <c r="AX18" i="51" s="1"/>
  <c r="X7" i="51"/>
  <c r="X11" i="51" s="1"/>
  <c r="X13" i="51" s="1"/>
  <c r="X18" i="51" s="1"/>
  <c r="AZ7" i="51"/>
  <c r="AZ11" i="51" s="1"/>
  <c r="AZ13" i="51" s="1"/>
  <c r="AZ18" i="51" s="1"/>
  <c r="BD7" i="51"/>
  <c r="BD11" i="51" s="1"/>
  <c r="BD13" i="51" s="1"/>
  <c r="BD18" i="51" s="1"/>
  <c r="BH7" i="51"/>
  <c r="BH11" i="51" s="1"/>
  <c r="BH13" i="51" s="1"/>
  <c r="BH18" i="51" s="1"/>
  <c r="BL7" i="51"/>
  <c r="BL11" i="51" s="1"/>
  <c r="BL13" i="51" s="1"/>
  <c r="BL18" i="51" s="1"/>
  <c r="AV7" i="51"/>
  <c r="AV11" i="51" s="1"/>
  <c r="AV13" i="51" s="1"/>
  <c r="AV18" i="51" s="1"/>
  <c r="BJ5" i="15"/>
  <c r="BJ8" i="15" s="1"/>
  <c r="BJ10" i="15" s="1"/>
  <c r="BJ14" i="15" s="1"/>
  <c r="CZ4" i="22"/>
  <c r="BJ6" i="41"/>
  <c r="BJ9" i="41" s="1"/>
  <c r="BJ11" i="41" s="1"/>
  <c r="BJ13" i="41" s="1"/>
  <c r="CZ14" i="22"/>
  <c r="BJ5" i="34"/>
  <c r="BJ9" i="34" s="1"/>
  <c r="BJ11" i="34" s="1"/>
  <c r="BJ16" i="34" s="1"/>
  <c r="CZ23" i="22"/>
  <c r="DB33" i="22"/>
  <c r="CY23" i="22"/>
  <c r="DA33" i="22"/>
  <c r="CO33" i="22"/>
  <c r="BH5" i="34"/>
  <c r="BH9" i="34" s="1"/>
  <c r="BH11" i="34" s="1"/>
  <c r="BH16" i="34" s="1"/>
  <c r="U19" i="38"/>
  <c r="CX23" i="22"/>
  <c r="CY33" i="22"/>
  <c r="BF14" i="30"/>
  <c r="BF7" i="29" s="1"/>
  <c r="BF11" i="29" s="1"/>
  <c r="BF16" i="29" s="1"/>
  <c r="BF21" i="29" s="1"/>
  <c r="AS17" i="31"/>
  <c r="AB15" i="52"/>
  <c r="BG5" i="34"/>
  <c r="BG9" i="34" s="1"/>
  <c r="BG11" i="34" s="1"/>
  <c r="BG16" i="34" s="1"/>
  <c r="CW23" i="22"/>
  <c r="CX14" i="22"/>
  <c r="BH6" i="41"/>
  <c r="BH9" i="41" s="1"/>
  <c r="BH11" i="41" s="1"/>
  <c r="CY14" i="22"/>
  <c r="BI6" i="41"/>
  <c r="BI9" i="41" s="1"/>
  <c r="BI11" i="41" s="1"/>
  <c r="CX33" i="22"/>
  <c r="AR17" i="31"/>
  <c r="BI5" i="15"/>
  <c r="BI8" i="15" s="1"/>
  <c r="BI10" i="15" s="1"/>
  <c r="BI14" i="15" s="1"/>
  <c r="CY4" i="22"/>
  <c r="BI6" i="42"/>
  <c r="BI8" i="42" s="1"/>
  <c r="BI9" i="42" s="1"/>
  <c r="BI14" i="42" s="1"/>
  <c r="BH5" i="15"/>
  <c r="BH8" i="15" s="1"/>
  <c r="BH10" i="15" s="1"/>
  <c r="BH14" i="15" s="1"/>
  <c r="CX4" i="22"/>
  <c r="BH6" i="42"/>
  <c r="BH8" i="42" s="1"/>
  <c r="BH9" i="42" s="1"/>
  <c r="BH14" i="42" s="1"/>
  <c r="BG5" i="15"/>
  <c r="BG8" i="15" s="1"/>
  <c r="BG10" i="15" s="1"/>
  <c r="BG14" i="15" s="1"/>
  <c r="CW4" i="22"/>
  <c r="BG6" i="42"/>
  <c r="BG8" i="42" s="1"/>
  <c r="BG9" i="42" s="1"/>
  <c r="BG14" i="42" s="1"/>
  <c r="BG6" i="41"/>
  <c r="BG9" i="41" s="1"/>
  <c r="BG11" i="41" s="1"/>
  <c r="CW14" i="22"/>
  <c r="BC6" i="41"/>
  <c r="BC9" i="41" s="1"/>
  <c r="BC11" i="41" s="1"/>
  <c r="CV4" i="22"/>
  <c r="BF6" i="42"/>
  <c r="BF8" i="42" s="1"/>
  <c r="BF9" i="42" s="1"/>
  <c r="BF14" i="42" s="1"/>
  <c r="BC14" i="30"/>
  <c r="BC7" i="29" s="1"/>
  <c r="BC11" i="29" s="1"/>
  <c r="BC16" i="29" s="1"/>
  <c r="BC21" i="29" s="1"/>
  <c r="AR21" i="17"/>
  <c r="BD6" i="41"/>
  <c r="BD9" i="41" s="1"/>
  <c r="BD11" i="41" s="1"/>
  <c r="CT14" i="22"/>
  <c r="BE6" i="41"/>
  <c r="BE9" i="41" s="1"/>
  <c r="BE11" i="41" s="1"/>
  <c r="CU14" i="22"/>
  <c r="CV14" i="22"/>
  <c r="BF6" i="41"/>
  <c r="BF9" i="41" s="1"/>
  <c r="BF11" i="41" s="1"/>
  <c r="CU7" i="22"/>
  <c r="CT17" i="22"/>
  <c r="AJ21" i="17"/>
  <c r="BE14" i="30"/>
  <c r="BE7" i="29" s="1"/>
  <c r="BE11" i="29" s="1"/>
  <c r="BE16" i="29" s="1"/>
  <c r="BE21" i="29" s="1"/>
  <c r="BE5" i="34"/>
  <c r="BE9" i="34" s="1"/>
  <c r="BE11" i="34" s="1"/>
  <c r="BE16" i="34" s="1"/>
  <c r="BE5" i="15"/>
  <c r="BE8" i="15" s="1"/>
  <c r="BE10" i="15" s="1"/>
  <c r="BE14" i="15" s="1"/>
  <c r="BE6" i="42"/>
  <c r="BE8" i="42" s="1"/>
  <c r="BE9" i="42" s="1"/>
  <c r="BE14" i="42" s="1"/>
  <c r="BF5" i="34"/>
  <c r="BF9" i="34" s="1"/>
  <c r="BF11" i="34" s="1"/>
  <c r="BF16" i="34" s="1"/>
  <c r="CU15" i="22"/>
  <c r="BD5" i="15"/>
  <c r="BD8" i="15" s="1"/>
  <c r="BD10" i="15" s="1"/>
  <c r="BD14" i="15" s="1"/>
  <c r="BD6" i="42"/>
  <c r="BD8" i="42" s="1"/>
  <c r="BD9" i="42" s="1"/>
  <c r="BD14" i="42" s="1"/>
  <c r="BD5" i="34"/>
  <c r="BD9" i="34" s="1"/>
  <c r="BD11" i="34" s="1"/>
  <c r="BD16" i="34" s="1"/>
  <c r="CT15" i="22"/>
  <c r="BD14" i="30"/>
  <c r="BD7" i="29" s="1"/>
  <c r="BD11" i="29" s="1"/>
  <c r="BD16" i="29" s="1"/>
  <c r="BD21" i="29" s="1"/>
  <c r="N15" i="52"/>
  <c r="CM15" i="22"/>
  <c r="AW15" i="18"/>
  <c r="CS15" i="22"/>
  <c r="BC15" i="18"/>
  <c r="CS33" i="22"/>
  <c r="CQ33" i="22"/>
  <c r="S15" i="52"/>
  <c r="CI33" i="22"/>
  <c r="BB5" i="34"/>
  <c r="BB9" i="34" s="1"/>
  <c r="BB11" i="34" s="1"/>
  <c r="CR23" i="22"/>
  <c r="BC4" i="2"/>
  <c r="BC8" i="2" s="1"/>
  <c r="BC11" i="2" s="1"/>
  <c r="BC16" i="2" s="1"/>
  <c r="CS12" i="22"/>
  <c r="BB5" i="15"/>
  <c r="BB8" i="15" s="1"/>
  <c r="BB10" i="15" s="1"/>
  <c r="BB14" i="15" s="1"/>
  <c r="CR4" i="22"/>
  <c r="AZ15" i="46"/>
  <c r="BC6" i="42"/>
  <c r="BC8" i="42" s="1"/>
  <c r="BC9" i="42" s="1"/>
  <c r="BC14" i="42" s="1"/>
  <c r="BC5" i="15"/>
  <c r="BC8" i="15" s="1"/>
  <c r="BC10" i="15" s="1"/>
  <c r="BC14" i="15" s="1"/>
  <c r="AN15" i="52"/>
  <c r="BA15" i="46"/>
  <c r="AY15" i="46"/>
  <c r="CJ33" i="22"/>
  <c r="CL33" i="22"/>
  <c r="AW15" i="52"/>
  <c r="AX15" i="46"/>
  <c r="AC15" i="52"/>
  <c r="K15" i="52"/>
  <c r="AW15" i="46"/>
  <c r="AV15" i="46"/>
  <c r="BC5" i="34"/>
  <c r="BC9" i="34" s="1"/>
  <c r="BC11" i="34" s="1"/>
  <c r="BC16" i="34" s="1"/>
  <c r="CS23" i="22"/>
  <c r="O15" i="52"/>
  <c r="CP33" i="22"/>
  <c r="BB6" i="41"/>
  <c r="BB9" i="41" s="1"/>
  <c r="BB11" i="41" s="1"/>
  <c r="CR14" i="22"/>
  <c r="CN33" i="22"/>
  <c r="BB15" i="46"/>
  <c r="BB6" i="42"/>
  <c r="BB8" i="42" s="1"/>
  <c r="BB9" i="42" s="1"/>
  <c r="BA6" i="41"/>
  <c r="BA9" i="41" s="1"/>
  <c r="BA11" i="41" s="1"/>
  <c r="CQ4" i="22"/>
  <c r="BA5" i="15"/>
  <c r="BA8" i="15" s="1"/>
  <c r="BA10" i="15" s="1"/>
  <c r="BA14" i="15" s="1"/>
  <c r="CQ12" i="22"/>
  <c r="BA4" i="2"/>
  <c r="BA8" i="2" s="1"/>
  <c r="BA11" i="2" s="1"/>
  <c r="BA16" i="2" s="1"/>
  <c r="BA14" i="30"/>
  <c r="BA7" i="29" s="1"/>
  <c r="BA11" i="29" s="1"/>
  <c r="BA16" i="29" s="1"/>
  <c r="BA21" i="29" s="1"/>
  <c r="BA5" i="34"/>
  <c r="BA9" i="34" s="1"/>
  <c r="BA11" i="34" s="1"/>
  <c r="BA16" i="34" s="1"/>
  <c r="CQ23" i="22"/>
  <c r="AZ6" i="41"/>
  <c r="AZ9" i="41" s="1"/>
  <c r="AZ11" i="41" s="1"/>
  <c r="CP14" i="22"/>
  <c r="AZ4" i="2"/>
  <c r="AZ8" i="2" s="1"/>
  <c r="AZ11" i="2" s="1"/>
  <c r="CP12" i="22"/>
  <c r="AZ6" i="42"/>
  <c r="AZ8" i="42" s="1"/>
  <c r="AZ9" i="42" s="1"/>
  <c r="AZ14" i="42" s="1"/>
  <c r="CP4" i="22"/>
  <c r="CM33" i="22"/>
  <c r="AY14" i="30"/>
  <c r="AY7" i="29" s="1"/>
  <c r="AY11" i="29" s="1"/>
  <c r="AY16" i="29" s="1"/>
  <c r="AY21" i="29" s="1"/>
  <c r="AZ5" i="15"/>
  <c r="AZ8" i="15" s="1"/>
  <c r="AZ10" i="15" s="1"/>
  <c r="AZ14" i="15" s="1"/>
  <c r="AZ14" i="30"/>
  <c r="AZ7" i="29" s="1"/>
  <c r="AZ11" i="29" s="1"/>
  <c r="AZ16" i="29" s="1"/>
  <c r="AZ21" i="29" s="1"/>
  <c r="AZ5" i="34"/>
  <c r="AZ9" i="34" s="1"/>
  <c r="AZ11" i="34" s="1"/>
  <c r="AZ16" i="34" s="1"/>
  <c r="AX21" i="17"/>
  <c r="K17" i="56"/>
  <c r="AA11" i="48"/>
  <c r="AA16" i="48" s="1"/>
  <c r="AA19" i="48"/>
  <c r="AA18" i="48"/>
  <c r="S11" i="48"/>
  <c r="S16" i="48" s="1"/>
  <c r="S18" i="48"/>
  <c r="S19" i="48"/>
  <c r="AN11" i="48"/>
  <c r="AN16" i="48" s="1"/>
  <c r="AN19" i="48"/>
  <c r="AN18" i="48"/>
  <c r="AR11" i="48"/>
  <c r="AR16" i="48" s="1"/>
  <c r="AR18" i="48"/>
  <c r="AR19" i="48"/>
  <c r="AT11" i="48"/>
  <c r="AT16" i="48" s="1"/>
  <c r="AT18" i="48"/>
  <c r="AT19" i="48"/>
  <c r="AH11" i="48"/>
  <c r="AH16" i="48" s="1"/>
  <c r="AH19" i="48"/>
  <c r="AH18" i="48"/>
  <c r="L11" i="48"/>
  <c r="L16" i="48" s="1"/>
  <c r="L19" i="48"/>
  <c r="L18" i="48"/>
  <c r="J11" i="48"/>
  <c r="J16" i="48" s="1"/>
  <c r="J19" i="48"/>
  <c r="J18" i="48"/>
  <c r="W11" i="48"/>
  <c r="W16" i="48" s="1"/>
  <c r="W18" i="48"/>
  <c r="W19" i="48"/>
  <c r="AF11" i="48"/>
  <c r="AF16" i="48" s="1"/>
  <c r="AF18" i="48"/>
  <c r="AF19" i="48"/>
  <c r="AJ11" i="48"/>
  <c r="AJ16" i="48" s="1"/>
  <c r="AJ19" i="48"/>
  <c r="AJ18" i="48"/>
  <c r="R11" i="48"/>
  <c r="R16" i="48" s="1"/>
  <c r="R19" i="48"/>
  <c r="R18" i="48"/>
  <c r="O11" i="48"/>
  <c r="O16" i="48" s="1"/>
  <c r="O18" i="48"/>
  <c r="O19" i="48"/>
  <c r="AL11" i="48"/>
  <c r="AL16" i="48" s="1"/>
  <c r="AL18" i="48"/>
  <c r="AL19" i="48"/>
  <c r="Q11" i="48"/>
  <c r="Q16" i="48" s="1"/>
  <c r="Q19" i="48"/>
  <c r="Q18" i="48"/>
  <c r="AP11" i="48"/>
  <c r="AP16" i="48" s="1"/>
  <c r="AP19" i="48"/>
  <c r="AP18" i="48"/>
  <c r="K11" i="48"/>
  <c r="K16" i="48" s="1"/>
  <c r="K18" i="48"/>
  <c r="K19" i="48"/>
  <c r="P11" i="48"/>
  <c r="P16" i="48" s="1"/>
  <c r="P18" i="48"/>
  <c r="P19" i="48"/>
  <c r="T11" i="48"/>
  <c r="T16" i="48" s="1"/>
  <c r="T19" i="48"/>
  <c r="T18" i="48"/>
  <c r="AI11" i="48"/>
  <c r="AI16" i="48" s="1"/>
  <c r="AI18" i="48"/>
  <c r="AI19" i="48"/>
  <c r="U11" i="48"/>
  <c r="U16" i="48" s="1"/>
  <c r="U18" i="48"/>
  <c r="U19" i="48"/>
  <c r="AD11" i="48"/>
  <c r="AD16" i="48" s="1"/>
  <c r="AD18" i="48"/>
  <c r="AD19" i="48"/>
  <c r="AE11" i="48"/>
  <c r="AE16" i="48" s="1"/>
  <c r="AE18" i="48"/>
  <c r="AE19" i="48"/>
  <c r="AK11" i="48"/>
  <c r="AK16" i="48" s="1"/>
  <c r="AK18" i="48"/>
  <c r="AK19" i="48"/>
  <c r="AU11" i="48"/>
  <c r="AU16" i="48" s="1"/>
  <c r="AU18" i="48"/>
  <c r="AU19" i="48"/>
  <c r="V11" i="48"/>
  <c r="V16" i="48" s="1"/>
  <c r="V18" i="48"/>
  <c r="V19" i="48"/>
  <c r="AC11" i="48"/>
  <c r="AC16" i="48" s="1"/>
  <c r="AC19" i="48"/>
  <c r="AC18" i="48"/>
  <c r="AO11" i="48"/>
  <c r="AO16" i="48" s="1"/>
  <c r="AO19" i="48"/>
  <c r="AO18" i="48"/>
  <c r="Y11" i="48"/>
  <c r="Y16" i="48" s="1"/>
  <c r="Y19" i="48"/>
  <c r="Y18" i="48"/>
  <c r="AS11" i="48"/>
  <c r="AS13" i="48" s="1"/>
  <c r="AS19" i="48"/>
  <c r="AS18" i="48"/>
  <c r="AB11" i="48"/>
  <c r="AB16" i="48" s="1"/>
  <c r="AB18" i="48"/>
  <c r="AB19" i="48"/>
  <c r="M11" i="48"/>
  <c r="M16" i="48" s="1"/>
  <c r="M19" i="48"/>
  <c r="M18" i="48"/>
  <c r="AG11" i="48"/>
  <c r="AG16" i="48" s="1"/>
  <c r="AG19" i="48"/>
  <c r="AG18" i="48"/>
  <c r="X11" i="48"/>
  <c r="X16" i="48" s="1"/>
  <c r="X19" i="48"/>
  <c r="X18" i="48"/>
  <c r="Z11" i="48"/>
  <c r="Z16" i="48" s="1"/>
  <c r="Z19" i="48"/>
  <c r="Z18" i="48"/>
  <c r="AM11" i="48"/>
  <c r="AM16" i="48" s="1"/>
  <c r="AM18" i="48"/>
  <c r="AM19" i="48"/>
  <c r="AQ11" i="48"/>
  <c r="AQ13" i="48" s="1"/>
  <c r="AQ19" i="48"/>
  <c r="AQ18" i="48"/>
  <c r="N11" i="48"/>
  <c r="N16" i="48" s="1"/>
  <c r="N18" i="48"/>
  <c r="N19" i="48"/>
  <c r="Y17" i="56"/>
  <c r="AT17" i="56"/>
  <c r="P14" i="56"/>
  <c r="Z17" i="56"/>
  <c r="AY6" i="41"/>
  <c r="AY9" i="41" s="1"/>
  <c r="AY11" i="41" s="1"/>
  <c r="CO14" i="22"/>
  <c r="AY5" i="34"/>
  <c r="AY9" i="34" s="1"/>
  <c r="AY11" i="34" s="1"/>
  <c r="AY16" i="34" s="1"/>
  <c r="CO23" i="22"/>
  <c r="AY6" i="42"/>
  <c r="AY8" i="42" s="1"/>
  <c r="AY9" i="42" s="1"/>
  <c r="AY14" i="42" s="1"/>
  <c r="AY5" i="15"/>
  <c r="AY8" i="15" s="1"/>
  <c r="AY10" i="15" s="1"/>
  <c r="AY14" i="15" s="1"/>
  <c r="AK14" i="56"/>
  <c r="N17" i="56"/>
  <c r="Q14" i="56"/>
  <c r="AQ14" i="56"/>
  <c r="AH17" i="56"/>
  <c r="V14" i="56"/>
  <c r="AB14" i="56"/>
  <c r="AN17" i="56"/>
  <c r="L17" i="56"/>
  <c r="O14" i="56"/>
  <c r="AI17" i="56"/>
  <c r="R14" i="56"/>
  <c r="AX14" i="30"/>
  <c r="AX7" i="29" s="1"/>
  <c r="AX11" i="29" s="1"/>
  <c r="AX16" i="29" s="1"/>
  <c r="AX21" i="29" s="1"/>
  <c r="AP17" i="56"/>
  <c r="AJ17" i="56"/>
  <c r="AF17" i="56"/>
  <c r="AG17" i="56"/>
  <c r="T17" i="56"/>
  <c r="U17" i="56"/>
  <c r="M14" i="56"/>
  <c r="I17" i="56"/>
  <c r="AR17" i="56"/>
  <c r="J17" i="56"/>
  <c r="X14" i="56"/>
  <c r="AC14" i="56"/>
  <c r="AD14" i="56"/>
  <c r="AL17" i="56"/>
  <c r="AM14" i="56"/>
  <c r="AA14" i="56"/>
  <c r="W17" i="56"/>
  <c r="AU14" i="56"/>
  <c r="AE14" i="56"/>
  <c r="AS17" i="56"/>
  <c r="AO14" i="56"/>
  <c r="H36" i="22"/>
  <c r="H44" i="22"/>
  <c r="AY19" i="38"/>
  <c r="AX6" i="41"/>
  <c r="AX9" i="41" s="1"/>
  <c r="AX11" i="41" s="1"/>
  <c r="CN14" i="22"/>
  <c r="AX5" i="34"/>
  <c r="AX9" i="34" s="1"/>
  <c r="AX11" i="34" s="1"/>
  <c r="AX16" i="34" s="1"/>
  <c r="CN23" i="22"/>
  <c r="CM32" i="22"/>
  <c r="AX4" i="2"/>
  <c r="AX8" i="2" s="1"/>
  <c r="AX11" i="2" s="1"/>
  <c r="CN12" i="22"/>
  <c r="X19" i="38"/>
  <c r="O16" i="38"/>
  <c r="N13" i="23"/>
  <c r="N16" i="23"/>
  <c r="AR16" i="23"/>
  <c r="AW16" i="23"/>
  <c r="AS16" i="23"/>
  <c r="AU16" i="23"/>
  <c r="AV16" i="23"/>
  <c r="AT16" i="23"/>
  <c r="AW14" i="30"/>
  <c r="AW7" i="29" s="1"/>
  <c r="AW11" i="29" s="1"/>
  <c r="AW16" i="29" s="1"/>
  <c r="AW21" i="29" s="1"/>
  <c r="AQ19" i="38"/>
  <c r="N19" i="38"/>
  <c r="T19" i="38"/>
  <c r="CK12" i="22"/>
  <c r="N4" i="2"/>
  <c r="N8" i="2" s="1"/>
  <c r="N11" i="2" s="1"/>
  <c r="N16" i="2" s="1"/>
  <c r="AG13" i="2"/>
  <c r="L4" i="2"/>
  <c r="L8" i="2" s="1"/>
  <c r="L11" i="2" s="1"/>
  <c r="L16" i="2" s="1"/>
  <c r="AE4" i="2"/>
  <c r="AE8" i="2" s="1"/>
  <c r="AE11" i="2" s="1"/>
  <c r="AE16" i="2" s="1"/>
  <c r="AV4" i="2"/>
  <c r="AV8" i="2" s="1"/>
  <c r="AV11" i="2" s="1"/>
  <c r="AV16" i="2" s="1"/>
  <c r="AB4" i="2"/>
  <c r="AB8" i="2" s="1"/>
  <c r="AB11" i="2" s="1"/>
  <c r="AB16" i="2" s="1"/>
  <c r="P4" i="2"/>
  <c r="P8" i="2" s="1"/>
  <c r="P11" i="2" s="1"/>
  <c r="P16" i="2" s="1"/>
  <c r="S4" i="2"/>
  <c r="S8" i="2" s="1"/>
  <c r="S11" i="2" s="1"/>
  <c r="S16" i="2" s="1"/>
  <c r="M4" i="2"/>
  <c r="M8" i="2" s="1"/>
  <c r="M11" i="2" s="1"/>
  <c r="M16" i="2" s="1"/>
  <c r="R4" i="2"/>
  <c r="R8" i="2" s="1"/>
  <c r="R11" i="2" s="1"/>
  <c r="R16" i="2" s="1"/>
  <c r="U4" i="2"/>
  <c r="U8" i="2" s="1"/>
  <c r="U11" i="2" s="1"/>
  <c r="U16" i="2" s="1"/>
  <c r="J16" i="7"/>
  <c r="J4" i="2" s="1"/>
  <c r="J8" i="2" s="1"/>
  <c r="J11" i="2" s="1"/>
  <c r="J16" i="2" s="1"/>
  <c r="K4" i="2"/>
  <c r="K8" i="2" s="1"/>
  <c r="K11" i="2" s="1"/>
  <c r="K16" i="2" s="1"/>
  <c r="AR4" i="2"/>
  <c r="AR8" i="2" s="1"/>
  <c r="AR11" i="2" s="1"/>
  <c r="AR16" i="2" s="1"/>
  <c r="Q4" i="2"/>
  <c r="Q8" i="2" s="1"/>
  <c r="Q11" i="2" s="1"/>
  <c r="Q16" i="2" s="1"/>
  <c r="O4" i="2"/>
  <c r="O8" i="2" s="1"/>
  <c r="O11" i="2" s="1"/>
  <c r="O16" i="2" s="1"/>
  <c r="I16" i="7"/>
  <c r="I4" i="2" s="1"/>
  <c r="I8" i="2" s="1"/>
  <c r="I11" i="2" s="1"/>
  <c r="I16" i="2" s="1"/>
  <c r="Q16" i="38"/>
  <c r="Q19" i="38"/>
  <c r="R16" i="38"/>
  <c r="R19" i="38"/>
  <c r="V19" i="38"/>
  <c r="V16" i="38"/>
  <c r="CM21" i="22"/>
  <c r="AC15" i="63"/>
  <c r="AC18" i="63"/>
  <c r="P18" i="63"/>
  <c r="P15" i="63"/>
  <c r="AV13" i="63"/>
  <c r="AV18" i="63" s="1"/>
  <c r="AW11" i="62"/>
  <c r="AW11" i="63"/>
  <c r="AW13" i="63" s="1"/>
  <c r="AW18" i="63" s="1"/>
  <c r="AX8" i="63"/>
  <c r="AW6" i="41"/>
  <c r="AW9" i="41" s="1"/>
  <c r="AW11" i="41" s="1"/>
  <c r="CM14" i="22"/>
  <c r="CM8" i="22"/>
  <c r="H4" i="2"/>
  <c r="H8" i="2" s="1"/>
  <c r="H11" i="2" s="1"/>
  <c r="H16" i="2" s="1"/>
  <c r="CL8" i="22"/>
  <c r="AW4" i="2"/>
  <c r="AW8" i="2" s="1"/>
  <c r="AW11" i="2" s="1"/>
  <c r="AW16" i="2" s="1"/>
  <c r="CM12" i="22"/>
  <c r="CM4" i="22"/>
  <c r="AW6" i="42"/>
  <c r="AW8" i="42" s="1"/>
  <c r="AW9" i="42" s="1"/>
  <c r="AW14" i="42" s="1"/>
  <c r="AW5" i="15"/>
  <c r="AW8" i="15" s="1"/>
  <c r="AW10" i="15" s="1"/>
  <c r="AW14" i="15" s="1"/>
  <c r="AW5" i="34"/>
  <c r="AW9" i="34" s="1"/>
  <c r="AW11" i="34" s="1"/>
  <c r="AW16" i="34" s="1"/>
  <c r="CM23" i="22"/>
  <c r="AB18" i="17"/>
  <c r="AV13" i="62"/>
  <c r="AB16" i="55"/>
  <c r="AS6" i="41"/>
  <c r="AS9" i="41" s="1"/>
  <c r="AS11" i="41" s="1"/>
  <c r="CI14" i="22"/>
  <c r="AT6" i="41"/>
  <c r="AT9" i="41" s="1"/>
  <c r="AT11" i="41" s="1"/>
  <c r="CJ14" i="22"/>
  <c r="AU6" i="41"/>
  <c r="AU9" i="41" s="1"/>
  <c r="AU11" i="41" s="1"/>
  <c r="CK14" i="22"/>
  <c r="AV6" i="41"/>
  <c r="AV9" i="41" s="1"/>
  <c r="AV11" i="41" s="1"/>
  <c r="CL14" i="22"/>
  <c r="AR6" i="41"/>
  <c r="AR9" i="41" s="1"/>
  <c r="AR11" i="41" s="1"/>
  <c r="CH14" i="22"/>
  <c r="CL39" i="22"/>
  <c r="CI39" i="22"/>
  <c r="CK39" i="22"/>
  <c r="CH39" i="22"/>
  <c r="CJ39" i="22"/>
  <c r="AU14" i="30"/>
  <c r="AU7" i="29" s="1"/>
  <c r="AU11" i="29" s="1"/>
  <c r="AU16" i="29" s="1"/>
  <c r="AU21" i="29" s="1"/>
  <c r="AS12" i="26"/>
  <c r="CI8" i="22"/>
  <c r="AV14" i="30"/>
  <c r="AV7" i="29" s="1"/>
  <c r="AV11" i="29" s="1"/>
  <c r="AV16" i="29" s="1"/>
  <c r="AV21" i="29" s="1"/>
  <c r="CJ40" i="22"/>
  <c r="CK40" i="22"/>
  <c r="CH40" i="22"/>
  <c r="CI40" i="22"/>
  <c r="AE16" i="55"/>
  <c r="AI16" i="55"/>
  <c r="Q16" i="55"/>
  <c r="AV5" i="31"/>
  <c r="AV10" i="31" s="1"/>
  <c r="AV11" i="31" s="1"/>
  <c r="AV17" i="31" s="1"/>
  <c r="H15" i="13"/>
  <c r="CL4" i="22"/>
  <c r="AV6" i="42"/>
  <c r="AV8" i="42" s="1"/>
  <c r="AV9" i="42" s="1"/>
  <c r="AV14" i="42" s="1"/>
  <c r="AV5" i="15"/>
  <c r="AV8" i="15" s="1"/>
  <c r="AV10" i="15" s="1"/>
  <c r="AV14" i="15" s="1"/>
  <c r="AS16" i="54"/>
  <c r="CK4" i="22"/>
  <c r="AU6" i="42"/>
  <c r="AU8" i="42" s="1"/>
  <c r="AU9" i="42" s="1"/>
  <c r="AU14" i="42" s="1"/>
  <c r="AU5" i="15"/>
  <c r="AU8" i="15" s="1"/>
  <c r="AU10" i="15" s="1"/>
  <c r="AU14" i="15" s="1"/>
  <c r="AV5" i="34"/>
  <c r="AV9" i="34" s="1"/>
  <c r="AV11" i="34" s="1"/>
  <c r="CL23" i="22"/>
  <c r="AU5" i="34"/>
  <c r="AU9" i="34" s="1"/>
  <c r="AU11" i="34" s="1"/>
  <c r="AU16" i="34" s="1"/>
  <c r="CK23" i="22"/>
  <c r="AB14" i="30"/>
  <c r="AB7" i="29" s="1"/>
  <c r="AB11" i="29" s="1"/>
  <c r="AB16" i="29" s="1"/>
  <c r="AB21" i="29" s="1"/>
  <c r="AU18" i="43"/>
  <c r="AU16" i="58"/>
  <c r="AK16" i="58"/>
  <c r="Y16" i="58"/>
  <c r="AA14" i="30"/>
  <c r="AA7" i="29" s="1"/>
  <c r="AA11" i="29" s="1"/>
  <c r="AA16" i="29" s="1"/>
  <c r="AA21" i="29" s="1"/>
  <c r="S14" i="30"/>
  <c r="S7" i="29" s="1"/>
  <c r="S11" i="29" s="1"/>
  <c r="S16" i="29" s="1"/>
  <c r="S21" i="29" s="1"/>
  <c r="AP14" i="30"/>
  <c r="AP7" i="29" s="1"/>
  <c r="AP11" i="29" s="1"/>
  <c r="AP16" i="29" s="1"/>
  <c r="AP21" i="29" s="1"/>
  <c r="AI14" i="30"/>
  <c r="AI7" i="29" s="1"/>
  <c r="AI11" i="29" s="1"/>
  <c r="AI16" i="29" s="1"/>
  <c r="AI21" i="29" s="1"/>
  <c r="AD16" i="58"/>
  <c r="AE14" i="30"/>
  <c r="AE7" i="29" s="1"/>
  <c r="AE11" i="29" s="1"/>
  <c r="AE16" i="29" s="1"/>
  <c r="N16" i="58"/>
  <c r="AJ16" i="58"/>
  <c r="R16" i="58"/>
  <c r="AP16" i="58"/>
  <c r="T16" i="58"/>
  <c r="J16" i="58"/>
  <c r="K16" i="58"/>
  <c r="Z16" i="58"/>
  <c r="P16" i="58"/>
  <c r="O16" i="58"/>
  <c r="W14" i="30"/>
  <c r="W7" i="29" s="1"/>
  <c r="W11" i="29" s="1"/>
  <c r="W16" i="29" s="1"/>
  <c r="W21" i="29" s="1"/>
  <c r="AN16" i="58"/>
  <c r="I14" i="30"/>
  <c r="I7" i="29" s="1"/>
  <c r="I11" i="29" s="1"/>
  <c r="I16" i="29" s="1"/>
  <c r="AM14" i="30"/>
  <c r="AM7" i="29" s="1"/>
  <c r="AM11" i="29" s="1"/>
  <c r="AM16" i="29" s="1"/>
  <c r="AM21" i="29" s="1"/>
  <c r="AG14" i="30"/>
  <c r="AG7" i="29" s="1"/>
  <c r="AG11" i="29" s="1"/>
  <c r="AG16" i="29" s="1"/>
  <c r="AG21" i="29" s="1"/>
  <c r="AB16" i="58"/>
  <c r="AT16" i="58"/>
  <c r="AS14" i="30"/>
  <c r="AS7" i="29" s="1"/>
  <c r="AS11" i="29" s="1"/>
  <c r="AS16" i="29" s="1"/>
  <c r="AS21" i="29" s="1"/>
  <c r="S16" i="58"/>
  <c r="AQ16" i="58"/>
  <c r="M16" i="58"/>
  <c r="AA16" i="58"/>
  <c r="AJ14" i="30"/>
  <c r="AJ7" i="29" s="1"/>
  <c r="AJ11" i="29" s="1"/>
  <c r="AJ16" i="29" s="1"/>
  <c r="AT14" i="30"/>
  <c r="AT7" i="29" s="1"/>
  <c r="AT11" i="29" s="1"/>
  <c r="AT16" i="29" s="1"/>
  <c r="AT21" i="29" s="1"/>
  <c r="AO16" i="58"/>
  <c r="AH16" i="58"/>
  <c r="X16" i="58"/>
  <c r="W16" i="58"/>
  <c r="AL16" i="58"/>
  <c r="AM16" i="58"/>
  <c r="AI16" i="58"/>
  <c r="AG16" i="58"/>
  <c r="AR16" i="58"/>
  <c r="V16" i="58"/>
  <c r="AE16" i="58"/>
  <c r="AC16" i="58"/>
  <c r="U16" i="58"/>
  <c r="L16" i="58"/>
  <c r="Q16" i="58"/>
  <c r="AF16" i="58"/>
  <c r="T14" i="30"/>
  <c r="T7" i="29" s="1"/>
  <c r="T11" i="29" s="1"/>
  <c r="T16" i="29" s="1"/>
  <c r="T21" i="29" s="1"/>
  <c r="AL14" i="30"/>
  <c r="AL7" i="29" s="1"/>
  <c r="AL11" i="29" s="1"/>
  <c r="AL16" i="29" s="1"/>
  <c r="AL21" i="29" s="1"/>
  <c r="K14" i="30"/>
  <c r="K7" i="29" s="1"/>
  <c r="K11" i="29" s="1"/>
  <c r="K16" i="29" s="1"/>
  <c r="V14" i="30"/>
  <c r="V7" i="29" s="1"/>
  <c r="V11" i="29" s="1"/>
  <c r="V16" i="29" s="1"/>
  <c r="V21" i="29" s="1"/>
  <c r="AN14" i="30"/>
  <c r="AN7" i="29" s="1"/>
  <c r="AN11" i="29" s="1"/>
  <c r="AN16" i="29" s="1"/>
  <c r="AN21" i="29" s="1"/>
  <c r="J14" i="30"/>
  <c r="J7" i="29" s="1"/>
  <c r="J11" i="29" s="1"/>
  <c r="J16" i="29" s="1"/>
  <c r="J21" i="29" s="1"/>
  <c r="AC14" i="30"/>
  <c r="AC7" i="29" s="1"/>
  <c r="AC11" i="29" s="1"/>
  <c r="AC16" i="29" s="1"/>
  <c r="AC21" i="29" s="1"/>
  <c r="U14" i="30"/>
  <c r="U7" i="29" s="1"/>
  <c r="U11" i="29" s="1"/>
  <c r="U16" i="29" s="1"/>
  <c r="U21" i="29" s="1"/>
  <c r="AH14" i="30"/>
  <c r="AH7" i="29" s="1"/>
  <c r="AH11" i="29" s="1"/>
  <c r="AH16" i="29" s="1"/>
  <c r="AH21" i="29" s="1"/>
  <c r="P14" i="30"/>
  <c r="P7" i="29" s="1"/>
  <c r="P11" i="29" s="1"/>
  <c r="P16" i="29" s="1"/>
  <c r="P21" i="29" s="1"/>
  <c r="R14" i="30"/>
  <c r="R7" i="29" s="1"/>
  <c r="R11" i="29" s="1"/>
  <c r="R16" i="29" s="1"/>
  <c r="R21" i="29" s="1"/>
  <c r="Z14" i="30"/>
  <c r="Z7" i="29" s="1"/>
  <c r="Z11" i="29" s="1"/>
  <c r="Z16" i="29" s="1"/>
  <c r="Z21" i="29" s="1"/>
  <c r="AF14" i="30"/>
  <c r="AF7" i="29" s="1"/>
  <c r="AF11" i="29" s="1"/>
  <c r="AF16" i="29" s="1"/>
  <c r="AF21" i="29" s="1"/>
  <c r="AK14" i="30"/>
  <c r="AK7" i="29" s="1"/>
  <c r="AK11" i="29" s="1"/>
  <c r="AK16" i="29" s="1"/>
  <c r="AK21" i="29" s="1"/>
  <c r="AR14" i="30"/>
  <c r="AR7" i="29" s="1"/>
  <c r="AR11" i="29" s="1"/>
  <c r="AR16" i="29" s="1"/>
  <c r="M14" i="30"/>
  <c r="M7" i="29" s="1"/>
  <c r="M11" i="29" s="1"/>
  <c r="M16" i="29" s="1"/>
  <c r="AD14" i="30"/>
  <c r="AD7" i="29" s="1"/>
  <c r="AD11" i="29" s="1"/>
  <c r="AD16" i="29" s="1"/>
  <c r="AD21" i="29" s="1"/>
  <c r="AQ14" i="30"/>
  <c r="AQ7" i="29" s="1"/>
  <c r="AQ11" i="29" s="1"/>
  <c r="AQ16" i="29" s="1"/>
  <c r="N14" i="47"/>
  <c r="Q14" i="30"/>
  <c r="Q7" i="29" s="1"/>
  <c r="Q11" i="29" s="1"/>
  <c r="Q16" i="29" s="1"/>
  <c r="Q21" i="29" s="1"/>
  <c r="AI14" i="31"/>
  <c r="T14" i="31"/>
  <c r="L14" i="30"/>
  <c r="L7" i="29" s="1"/>
  <c r="L11" i="29" s="1"/>
  <c r="L16" i="29" s="1"/>
  <c r="L21" i="29" s="1"/>
  <c r="X14" i="47"/>
  <c r="Y14" i="31"/>
  <c r="AN14" i="31"/>
  <c r="X14" i="31"/>
  <c r="AK14" i="31"/>
  <c r="X14" i="30"/>
  <c r="X7" i="29" s="1"/>
  <c r="X11" i="29" s="1"/>
  <c r="X16" i="29" s="1"/>
  <c r="X21" i="29" s="1"/>
  <c r="AD14" i="31"/>
  <c r="AO14" i="30"/>
  <c r="AO7" i="29" s="1"/>
  <c r="AO11" i="29" s="1"/>
  <c r="AO16" i="29" s="1"/>
  <c r="AO21" i="29" s="1"/>
  <c r="W14" i="31"/>
  <c r="AC14" i="31"/>
  <c r="AH14" i="31"/>
  <c r="O14" i="30"/>
  <c r="O7" i="29" s="1"/>
  <c r="O11" i="29" s="1"/>
  <c r="O16" i="29" s="1"/>
  <c r="O21" i="29" s="1"/>
  <c r="Y14" i="30"/>
  <c r="Y7" i="29" s="1"/>
  <c r="Y11" i="29" s="1"/>
  <c r="Y16" i="29" s="1"/>
  <c r="Y21" i="29" s="1"/>
  <c r="N14" i="30"/>
  <c r="N7" i="29" s="1"/>
  <c r="N11" i="29" s="1"/>
  <c r="N16" i="29" s="1"/>
  <c r="N21" i="29" s="1"/>
  <c r="I16" i="48"/>
  <c r="I13" i="48"/>
  <c r="AB14" i="31"/>
  <c r="AT14" i="31"/>
  <c r="AT5" i="34"/>
  <c r="AT9" i="34" s="1"/>
  <c r="AT11" i="34" s="1"/>
  <c r="CJ23" i="22"/>
  <c r="AR5" i="34"/>
  <c r="AR9" i="34" s="1"/>
  <c r="AR11" i="34" s="1"/>
  <c r="AR16" i="34" s="1"/>
  <c r="CH23" i="22"/>
  <c r="AS5" i="34"/>
  <c r="AS9" i="34" s="1"/>
  <c r="AS11" i="34" s="1"/>
  <c r="AS16" i="34" s="1"/>
  <c r="CI23" i="22"/>
  <c r="AK13" i="14"/>
  <c r="AK16" i="14"/>
  <c r="AQ16" i="14"/>
  <c r="AQ13" i="14"/>
  <c r="AS16" i="14"/>
  <c r="X13" i="20"/>
  <c r="X16" i="20"/>
  <c r="AT16" i="14"/>
  <c r="AL16" i="14"/>
  <c r="AL13" i="14"/>
  <c r="AR16" i="14"/>
  <c r="AF16" i="14"/>
  <c r="AF13" i="14"/>
  <c r="AP13" i="14"/>
  <c r="AP16" i="14"/>
  <c r="AK12" i="26"/>
  <c r="AA12" i="26"/>
  <c r="V12" i="26"/>
  <c r="AM12" i="26"/>
  <c r="AQ12" i="26"/>
  <c r="L19" i="54"/>
  <c r="AB16" i="54"/>
  <c r="O16" i="55"/>
  <c r="AI16" i="54"/>
  <c r="J15" i="52"/>
  <c r="AO16" i="55"/>
  <c r="V16" i="54"/>
  <c r="AU16" i="54"/>
  <c r="N16" i="54"/>
  <c r="M14" i="47"/>
  <c r="Y16" i="54"/>
  <c r="AT14" i="47"/>
  <c r="I19" i="54"/>
  <c r="I16" i="54"/>
  <c r="AR19" i="54"/>
  <c r="AR16" i="54"/>
  <c r="AP16" i="54"/>
  <c r="AP19" i="54"/>
  <c r="J19" i="54"/>
  <c r="J16" i="54"/>
  <c r="X19" i="54"/>
  <c r="X16" i="54"/>
  <c r="AH16" i="55"/>
  <c r="O19" i="54"/>
  <c r="O16" i="54"/>
  <c r="Q19" i="54"/>
  <c r="Q16" i="54"/>
  <c r="AA19" i="54"/>
  <c r="AA16" i="54"/>
  <c r="I19" i="55"/>
  <c r="I16" i="55"/>
  <c r="P16" i="55"/>
  <c r="O14" i="47"/>
  <c r="AJ14" i="47"/>
  <c r="Z14" i="47"/>
  <c r="Y14" i="47"/>
  <c r="AG17" i="47"/>
  <c r="AK14" i="47"/>
  <c r="AB14" i="47"/>
  <c r="V14" i="47"/>
  <c r="AH14" i="47"/>
  <c r="AM14" i="47"/>
  <c r="AE14" i="47"/>
  <c r="U14" i="47"/>
  <c r="AD14" i="47"/>
  <c r="AU14" i="47"/>
  <c r="W14" i="47"/>
  <c r="AI14" i="47"/>
  <c r="Q14" i="47"/>
  <c r="J14" i="47"/>
  <c r="AO14" i="47"/>
  <c r="P14" i="47"/>
  <c r="AF14" i="47"/>
  <c r="AC14" i="47"/>
  <c r="I7" i="51"/>
  <c r="J7" i="51"/>
  <c r="J11" i="51" s="1"/>
  <c r="J13" i="51" s="1"/>
  <c r="K14" i="47"/>
  <c r="AR14" i="47"/>
  <c r="AA14" i="47"/>
  <c r="L14" i="47"/>
  <c r="AS14" i="47"/>
  <c r="R14" i="47"/>
  <c r="AQ14" i="47"/>
  <c r="T14" i="47"/>
  <c r="AL14" i="47"/>
  <c r="AN14" i="47"/>
  <c r="AP14" i="47"/>
  <c r="H10" i="35"/>
  <c r="H5" i="34" s="1"/>
  <c r="H9" i="34" s="1"/>
  <c r="W15" i="49"/>
  <c r="S15" i="49"/>
  <c r="AH15" i="49"/>
  <c r="AS15" i="49"/>
  <c r="CH30" i="22"/>
  <c r="AJ15" i="49"/>
  <c r="Y15" i="49"/>
  <c r="N15" i="49"/>
  <c r="AP15" i="49"/>
  <c r="AK15" i="49"/>
  <c r="AO15" i="49"/>
  <c r="AR15" i="49"/>
  <c r="AC15" i="49"/>
  <c r="AQ15" i="49"/>
  <c r="AA15" i="49"/>
  <c r="I14" i="47"/>
  <c r="AI12" i="26"/>
  <c r="I15" i="46"/>
  <c r="J15" i="46"/>
  <c r="AD16" i="34"/>
  <c r="AD13" i="34"/>
  <c r="AK16" i="34"/>
  <c r="AK13" i="34"/>
  <c r="K13" i="34"/>
  <c r="K16" i="34"/>
  <c r="R13" i="34"/>
  <c r="R16" i="34"/>
  <c r="AC16" i="34"/>
  <c r="AC13" i="34"/>
  <c r="I16" i="34"/>
  <c r="I13" i="34"/>
  <c r="AH13" i="34"/>
  <c r="AH16" i="34"/>
  <c r="M16" i="34"/>
  <c r="M13" i="34"/>
  <c r="N16" i="34"/>
  <c r="N13" i="34"/>
  <c r="J13" i="34"/>
  <c r="J16" i="34"/>
  <c r="X16" i="34"/>
  <c r="X13" i="34"/>
  <c r="Y13" i="34"/>
  <c r="Y16" i="34"/>
  <c r="T16" i="34"/>
  <c r="T13" i="34"/>
  <c r="AM13" i="34"/>
  <c r="AM16" i="34"/>
  <c r="AP13" i="34"/>
  <c r="AP16" i="34"/>
  <c r="AE17" i="5"/>
  <c r="AF17" i="5"/>
  <c r="W15" i="5"/>
  <c r="X15" i="5"/>
  <c r="AN12" i="26"/>
  <c r="AC15" i="5"/>
  <c r="Y12" i="26"/>
  <c r="T17" i="5"/>
  <c r="AG17" i="5"/>
  <c r="Z15" i="5"/>
  <c r="AP17" i="5"/>
  <c r="V17" i="5"/>
  <c r="V15" i="5"/>
  <c r="AL12" i="26"/>
  <c r="AO12" i="26"/>
  <c r="N12" i="26"/>
  <c r="AJ12" i="26"/>
  <c r="H12" i="26"/>
  <c r="H15" i="26"/>
  <c r="AM5" i="15"/>
  <c r="AM8" i="15" s="1"/>
  <c r="AM10" i="15" s="1"/>
  <c r="AM14" i="15" s="1"/>
  <c r="AM6" i="42"/>
  <c r="AM8" i="42" s="1"/>
  <c r="AM9" i="42" s="1"/>
  <c r="AM14" i="42" s="1"/>
  <c r="AG5" i="15"/>
  <c r="AG8" i="15" s="1"/>
  <c r="AG10" i="15" s="1"/>
  <c r="AG14" i="15" s="1"/>
  <c r="AG6" i="42"/>
  <c r="AG8" i="42" s="1"/>
  <c r="AG9" i="42" s="1"/>
  <c r="AG14" i="42" s="1"/>
  <c r="U5" i="15"/>
  <c r="U8" i="15" s="1"/>
  <c r="U10" i="15" s="1"/>
  <c r="U14" i="15" s="1"/>
  <c r="U6" i="42"/>
  <c r="U8" i="42" s="1"/>
  <c r="U9" i="42" s="1"/>
  <c r="U14" i="42" s="1"/>
  <c r="AC5" i="15"/>
  <c r="AC8" i="15" s="1"/>
  <c r="AC10" i="15" s="1"/>
  <c r="AC14" i="15" s="1"/>
  <c r="AC6" i="42"/>
  <c r="AC8" i="42" s="1"/>
  <c r="AC9" i="42" s="1"/>
  <c r="AC13" i="28"/>
  <c r="AD13" i="28"/>
  <c r="AH5" i="15"/>
  <c r="AH8" i="15" s="1"/>
  <c r="AH10" i="15" s="1"/>
  <c r="AH14" i="15" s="1"/>
  <c r="AH6" i="42"/>
  <c r="AH8" i="42" s="1"/>
  <c r="AH9" i="42" s="1"/>
  <c r="X5" i="15"/>
  <c r="X8" i="15" s="1"/>
  <c r="X10" i="15" s="1"/>
  <c r="X14" i="15" s="1"/>
  <c r="X6" i="42"/>
  <c r="X8" i="42" s="1"/>
  <c r="X9" i="42" s="1"/>
  <c r="AE13" i="28"/>
  <c r="AA5" i="15"/>
  <c r="AA8" i="15" s="1"/>
  <c r="AA10" i="15" s="1"/>
  <c r="AA14" i="15" s="1"/>
  <c r="AA6" i="42"/>
  <c r="AA8" i="42" s="1"/>
  <c r="AA9" i="42" s="1"/>
  <c r="AB5" i="15"/>
  <c r="AB8" i="15" s="1"/>
  <c r="AB10" i="15" s="1"/>
  <c r="AB14" i="15" s="1"/>
  <c r="AB6" i="42"/>
  <c r="AB8" i="42" s="1"/>
  <c r="AB9" i="42" s="1"/>
  <c r="AN5" i="15"/>
  <c r="AN8" i="15" s="1"/>
  <c r="AN10" i="15" s="1"/>
  <c r="AN14" i="15" s="1"/>
  <c r="AN6" i="42"/>
  <c r="AN8" i="42" s="1"/>
  <c r="AN9" i="42" s="1"/>
  <c r="AN14" i="42" s="1"/>
  <c r="W5" i="15"/>
  <c r="W8" i="15" s="1"/>
  <c r="W10" i="15" s="1"/>
  <c r="W14" i="15" s="1"/>
  <c r="W6" i="42"/>
  <c r="W8" i="42" s="1"/>
  <c r="W9" i="42" s="1"/>
  <c r="W14" i="42" s="1"/>
  <c r="AO5" i="15"/>
  <c r="AO8" i="15" s="1"/>
  <c r="AO10" i="15" s="1"/>
  <c r="AO14" i="15" s="1"/>
  <c r="AO6" i="42"/>
  <c r="AO8" i="42" s="1"/>
  <c r="AO9" i="42" s="1"/>
  <c r="AO14" i="42" s="1"/>
  <c r="AJ5" i="15"/>
  <c r="AJ8" i="15" s="1"/>
  <c r="AJ10" i="15" s="1"/>
  <c r="AJ14" i="15" s="1"/>
  <c r="AJ6" i="42"/>
  <c r="AJ8" i="42" s="1"/>
  <c r="AJ9" i="42" s="1"/>
  <c r="AJ14" i="42" s="1"/>
  <c r="AI5" i="15"/>
  <c r="AI8" i="15" s="1"/>
  <c r="AI10" i="15" s="1"/>
  <c r="AI14" i="15" s="1"/>
  <c r="AI6" i="42"/>
  <c r="AI8" i="42" s="1"/>
  <c r="AI9" i="42" s="1"/>
  <c r="AI14" i="42" s="1"/>
  <c r="V5" i="15"/>
  <c r="V8" i="15" s="1"/>
  <c r="V10" i="15" s="1"/>
  <c r="V14" i="15" s="1"/>
  <c r="V6" i="42"/>
  <c r="V8" i="42" s="1"/>
  <c r="V9" i="42" s="1"/>
  <c r="V14" i="42" s="1"/>
  <c r="S5" i="15"/>
  <c r="S8" i="15" s="1"/>
  <c r="S10" i="15" s="1"/>
  <c r="S14" i="15" s="1"/>
  <c r="S6" i="42"/>
  <c r="S8" i="42" s="1"/>
  <c r="S9" i="42" s="1"/>
  <c r="S14" i="42" s="1"/>
  <c r="AP13" i="28"/>
  <c r="V15" i="18"/>
  <c r="Z13" i="20"/>
  <c r="AE13" i="23"/>
  <c r="AQ13" i="23"/>
  <c r="V13" i="23"/>
  <c r="AA15" i="18"/>
  <c r="AH13" i="23"/>
  <c r="U13" i="23"/>
  <c r="AD13" i="23"/>
  <c r="R13" i="23"/>
  <c r="AN13" i="23"/>
  <c r="AB13" i="23"/>
  <c r="Y13" i="23"/>
  <c r="S13" i="23"/>
  <c r="AH13" i="20"/>
  <c r="AM15" i="18"/>
  <c r="U15" i="18"/>
  <c r="AS13" i="20"/>
  <c r="AE15" i="18"/>
  <c r="M13" i="20"/>
  <c r="AE13" i="20"/>
  <c r="Y15" i="18"/>
  <c r="V13" i="20"/>
  <c r="H13" i="20"/>
  <c r="S13" i="20"/>
  <c r="AG15" i="18"/>
  <c r="AH13" i="41"/>
  <c r="L15" i="18"/>
  <c r="AI15" i="18"/>
  <c r="AQ15" i="18"/>
  <c r="AL15" i="18"/>
  <c r="AR15" i="18"/>
  <c r="O15" i="18"/>
  <c r="X13" i="41"/>
  <c r="AS21" i="17"/>
  <c r="AD13" i="41"/>
  <c r="AE13" i="41"/>
  <c r="M13" i="41"/>
  <c r="AI18" i="17"/>
  <c r="O13" i="41"/>
  <c r="AN13" i="41"/>
  <c r="AK13" i="41"/>
  <c r="AH18" i="17"/>
  <c r="Z21" i="17"/>
  <c r="AG18" i="17"/>
  <c r="AO18" i="17"/>
  <c r="AM18" i="17"/>
  <c r="AK21" i="17"/>
  <c r="AE18" i="17"/>
  <c r="AC18" i="17"/>
  <c r="AB17" i="16"/>
  <c r="AF21" i="17"/>
  <c r="Q18" i="17"/>
  <c r="Y21" i="17"/>
  <c r="V18" i="17"/>
  <c r="AA21" i="17"/>
  <c r="AP21" i="17"/>
  <c r="AL18" i="17"/>
  <c r="AL21" i="17"/>
  <c r="Z14" i="16"/>
  <c r="M21" i="17"/>
  <c r="M18" i="17"/>
  <c r="H18" i="17"/>
  <c r="AD17" i="16"/>
  <c r="Z14" i="36"/>
  <c r="Y14" i="25"/>
  <c r="AJ14" i="25"/>
  <c r="AQ14" i="25"/>
  <c r="H14" i="25"/>
  <c r="H17" i="25"/>
  <c r="AI14" i="25"/>
  <c r="AO14" i="25"/>
  <c r="M14" i="25"/>
  <c r="V14" i="25"/>
  <c r="AA14" i="25"/>
  <c r="CI7" i="22"/>
  <c r="AS14" i="25"/>
  <c r="O14" i="25"/>
  <c r="W14" i="12"/>
  <c r="Y14" i="36"/>
  <c r="V14" i="12"/>
  <c r="S14" i="12"/>
  <c r="Q14" i="12"/>
  <c r="Z14" i="12"/>
  <c r="T14" i="12"/>
  <c r="Y14" i="12"/>
  <c r="AR14" i="12"/>
  <c r="K14" i="36"/>
  <c r="M14" i="36"/>
  <c r="AE14" i="36"/>
  <c r="T14" i="36"/>
  <c r="J15" i="13"/>
  <c r="R18" i="13"/>
  <c r="AL18" i="13"/>
  <c r="I15" i="13"/>
  <c r="I18" i="13"/>
  <c r="AP18" i="13"/>
  <c r="K15" i="13"/>
  <c r="AJ18" i="13"/>
  <c r="V18" i="13"/>
  <c r="Q18" i="13"/>
  <c r="L18" i="13"/>
  <c r="AA18" i="13"/>
  <c r="AQ18" i="13"/>
  <c r="AK18" i="13"/>
  <c r="AU18" i="13"/>
  <c r="M18" i="13"/>
  <c r="AI18" i="13"/>
  <c r="U15" i="17"/>
  <c r="I15" i="17"/>
  <c r="H15" i="17"/>
  <c r="J15" i="17"/>
  <c r="T15" i="17"/>
  <c r="CD14" i="22" l="1"/>
  <c r="FG9" i="22"/>
  <c r="CD9" i="22" s="1"/>
  <c r="DQ14" i="15"/>
  <c r="CD13" i="22"/>
  <c r="CD29" i="22"/>
  <c r="BX31" i="22"/>
  <c r="CC38" i="22"/>
  <c r="CC35" i="22"/>
  <c r="CC22" i="22"/>
  <c r="J36" i="83"/>
  <c r="H18" i="83"/>
  <c r="CC12" i="22"/>
  <c r="CC14" i="22"/>
  <c r="CC23" i="22"/>
  <c r="BK7" i="22"/>
  <c r="CB15" i="22"/>
  <c r="CA15" i="22"/>
  <c r="BH7" i="22"/>
  <c r="BN7" i="22"/>
  <c r="BR7" i="22"/>
  <c r="BQ7" i="22"/>
  <c r="BO7" i="22"/>
  <c r="BP7" i="22"/>
  <c r="BI7" i="22"/>
  <c r="BJ7" i="22"/>
  <c r="BF7" i="22"/>
  <c r="CC10" i="22"/>
  <c r="BM7" i="22"/>
  <c r="CC13" i="22"/>
  <c r="AD36" i="83"/>
  <c r="CZ31" i="22"/>
  <c r="V31" i="22" s="1"/>
  <c r="CJ10" i="22"/>
  <c r="DH33" i="22"/>
  <c r="AC33" i="22" s="1"/>
  <c r="BK29" i="83"/>
  <c r="AR31" i="83"/>
  <c r="BI33" i="83"/>
  <c r="Z33" i="83" s="1"/>
  <c r="CL42" i="22"/>
  <c r="H42" i="22" s="1"/>
  <c r="BO8" i="22"/>
  <c r="BB25" i="83"/>
  <c r="R25" i="83" s="1"/>
  <c r="BL40" i="83"/>
  <c r="AB40" i="83" s="1"/>
  <c r="AW39" i="83"/>
  <c r="M39" i="83" s="1"/>
  <c r="BY7" i="22"/>
  <c r="BL33" i="22"/>
  <c r="BQ40" i="83"/>
  <c r="AH40" i="83" s="1"/>
  <c r="BM17" i="83"/>
  <c r="AD17" i="83" s="1"/>
  <c r="BJ29" i="83"/>
  <c r="CZ33" i="22"/>
  <c r="V33" i="22" s="1"/>
  <c r="BW6" i="22"/>
  <c r="BP42" i="83"/>
  <c r="AF42" i="83" s="1"/>
  <c r="BL10" i="22"/>
  <c r="BK16" i="22"/>
  <c r="BE16" i="83"/>
  <c r="U16" i="83" s="1"/>
  <c r="BI16" i="83"/>
  <c r="Z16" i="83" s="1"/>
  <c r="BT21" i="22"/>
  <c r="CA39" i="22"/>
  <c r="BE40" i="83"/>
  <c r="V40" i="83" s="1"/>
  <c r="BK42" i="22"/>
  <c r="BL8" i="22"/>
  <c r="AQ10" i="83"/>
  <c r="H10" i="83" s="1"/>
  <c r="BQ42" i="83"/>
  <c r="BP40" i="22"/>
  <c r="BQ31" i="83"/>
  <c r="AH31" i="83" s="1"/>
  <c r="BH29" i="83"/>
  <c r="BL11" i="22"/>
  <c r="CY29" i="22"/>
  <c r="CK25" i="22"/>
  <c r="F25" i="22" s="1"/>
  <c r="BQ19" i="83"/>
  <c r="AG19" i="83" s="1"/>
  <c r="BS26" i="22"/>
  <c r="BI19" i="83"/>
  <c r="Z19" i="83" s="1"/>
  <c r="BL26" i="22"/>
  <c r="BM81" i="83"/>
  <c r="AD81" i="83" s="1"/>
  <c r="AS31" i="83"/>
  <c r="AW19" i="83"/>
  <c r="N19" i="83" s="1"/>
  <c r="BA31" i="83"/>
  <c r="R31" i="83" s="1"/>
  <c r="BP10" i="22"/>
  <c r="BM19" i="83"/>
  <c r="AC19" i="83" s="1"/>
  <c r="BJ25" i="22"/>
  <c r="BM25" i="22"/>
  <c r="BP16" i="22"/>
  <c r="BT33" i="22"/>
  <c r="BX81" i="22"/>
  <c r="BO39" i="22"/>
  <c r="BT17" i="22"/>
  <c r="BM39" i="22"/>
  <c r="BI19" i="22"/>
  <c r="BV21" i="22"/>
  <c r="BW39" i="22"/>
  <c r="BY31" i="22"/>
  <c r="BX39" i="22"/>
  <c r="BP19" i="22"/>
  <c r="BT25" i="22"/>
  <c r="BU19" i="22"/>
  <c r="BH20" i="22"/>
  <c r="BS10" i="22"/>
  <c r="BR42" i="22"/>
  <c r="AP15" i="51"/>
  <c r="BO17" i="22"/>
  <c r="BS20" i="22"/>
  <c r="CA31" i="22"/>
  <c r="BY21" i="22"/>
  <c r="BR25" i="22"/>
  <c r="BU21" i="22"/>
  <c r="BV39" i="22"/>
  <c r="AO19" i="83"/>
  <c r="E19" i="83" s="1"/>
  <c r="BQ81" i="83"/>
  <c r="AG81" i="83" s="1"/>
  <c r="BJ31" i="22"/>
  <c r="BV20" i="22"/>
  <c r="BR39" i="22"/>
  <c r="BA19" i="83"/>
  <c r="R19" i="83" s="1"/>
  <c r="AQ31" i="83"/>
  <c r="G31" i="83" s="1"/>
  <c r="AW16" i="83"/>
  <c r="M16" i="83" s="1"/>
  <c r="BS42" i="22"/>
  <c r="BP42" i="22"/>
  <c r="AS39" i="83"/>
  <c r="J39" i="83" s="1"/>
  <c r="BS25" i="22"/>
  <c r="BU25" i="22"/>
  <c r="BI31" i="83"/>
  <c r="Y31" i="83" s="1"/>
  <c r="BF39" i="22"/>
  <c r="BT19" i="22"/>
  <c r="BQ25" i="22"/>
  <c r="BZ20" i="22"/>
  <c r="BX42" i="22"/>
  <c r="BJ39" i="22"/>
  <c r="BS31" i="22"/>
  <c r="BS21" i="22"/>
  <c r="BW31" i="22"/>
  <c r="CB39" i="22"/>
  <c r="AW31" i="83"/>
  <c r="M31" i="83" s="1"/>
  <c r="BI8" i="83"/>
  <c r="Z8" i="83" s="1"/>
  <c r="BA10" i="83"/>
  <c r="R10" i="83" s="1"/>
  <c r="BE10" i="83"/>
  <c r="U10" i="83" s="1"/>
  <c r="CB38" i="22"/>
  <c r="BI39" i="22"/>
  <c r="BO19" i="22"/>
  <c r="BG42" i="22"/>
  <c r="BP118" i="22"/>
  <c r="CB23" i="22"/>
  <c r="BN20" i="22"/>
  <c r="BQ17" i="83"/>
  <c r="AG17" i="83" s="1"/>
  <c r="BK40" i="22"/>
  <c r="CB22" i="22"/>
  <c r="BN21" i="22"/>
  <c r="BI25" i="22"/>
  <c r="BK31" i="22"/>
  <c r="CA25" i="22"/>
  <c r="BN39" i="22"/>
  <c r="BZ7" i="22"/>
  <c r="AW10" i="83"/>
  <c r="N10" i="83" s="1"/>
  <c r="BM40" i="83"/>
  <c r="AD40" i="83" s="1"/>
  <c r="BE26" i="22"/>
  <c r="BW20" i="22"/>
  <c r="BP25" i="22"/>
  <c r="BI21" i="22"/>
  <c r="BV31" i="22"/>
  <c r="BZ21" i="22"/>
  <c r="CB4" i="22"/>
  <c r="BM42" i="22"/>
  <c r="CB25" i="22"/>
  <c r="BS19" i="22"/>
  <c r="BR31" i="22"/>
  <c r="BK20" i="22"/>
  <c r="BL42" i="22"/>
  <c r="BO20" i="22"/>
  <c r="BP20" i="22"/>
  <c r="BH42" i="22"/>
  <c r="BI42" i="22"/>
  <c r="BN31" i="22"/>
  <c r="BO31" i="22"/>
  <c r="CB21" i="22"/>
  <c r="CA21" i="22"/>
  <c r="CB42" i="22"/>
  <c r="CA42" i="22"/>
  <c r="BY25" i="22"/>
  <c r="BX25" i="22"/>
  <c r="BU39" i="22"/>
  <c r="BU31" i="22"/>
  <c r="BT31" i="22"/>
  <c r="BQ20" i="22"/>
  <c r="BR20" i="22"/>
  <c r="BR21" i="22"/>
  <c r="BQ21" i="22"/>
  <c r="BK93" i="22"/>
  <c r="BJ93" i="22"/>
  <c r="BY42" i="22"/>
  <c r="BZ42" i="22"/>
  <c r="BI31" i="22"/>
  <c r="BL19" i="22"/>
  <c r="BM19" i="22"/>
  <c r="BK39" i="22"/>
  <c r="BL39" i="22"/>
  <c r="BJ21" i="22"/>
  <c r="BK21" i="22"/>
  <c r="BI20" i="22"/>
  <c r="BJ20" i="22"/>
  <c r="BV7" i="22"/>
  <c r="BU7" i="22"/>
  <c r="BQ42" i="22"/>
  <c r="BZ31" i="22"/>
  <c r="BK19" i="22"/>
  <c r="BJ19" i="22"/>
  <c r="CB20" i="22"/>
  <c r="CA20" i="22"/>
  <c r="BM20" i="22"/>
  <c r="BL20" i="22"/>
  <c r="BN19" i="22"/>
  <c r="BS7" i="22"/>
  <c r="BT7" i="22"/>
  <c r="BR19" i="22"/>
  <c r="BQ19" i="22"/>
  <c r="CB31" i="22"/>
  <c r="BL31" i="22"/>
  <c r="BM31" i="22"/>
  <c r="BY19" i="22"/>
  <c r="BX19" i="22"/>
  <c r="BJ42" i="22"/>
  <c r="CB7" i="22"/>
  <c r="CA7" i="22"/>
  <c r="BW21" i="22"/>
  <c r="BX21" i="22"/>
  <c r="CB19" i="22"/>
  <c r="CA19" i="22"/>
  <c r="BP39" i="22"/>
  <c r="BQ39" i="22"/>
  <c r="BU20" i="22"/>
  <c r="BQ31" i="22"/>
  <c r="BP31" i="22"/>
  <c r="BO25" i="22"/>
  <c r="BN25" i="22"/>
  <c r="BV19" i="22"/>
  <c r="BW19" i="22"/>
  <c r="BM21" i="22"/>
  <c r="BL21" i="22"/>
  <c r="BT39" i="22"/>
  <c r="BS39" i="22"/>
  <c r="BO42" i="22"/>
  <c r="BN42" i="22"/>
  <c r="BZ39" i="22"/>
  <c r="BY39" i="22"/>
  <c r="BK25" i="22"/>
  <c r="BL25" i="22"/>
  <c r="BP21" i="22"/>
  <c r="BO21" i="22"/>
  <c r="BZ25" i="22"/>
  <c r="BV25" i="22"/>
  <c r="BW25" i="22"/>
  <c r="BW42" i="22"/>
  <c r="BV42" i="22"/>
  <c r="BX7" i="22"/>
  <c r="BW7" i="22"/>
  <c r="CX18" i="51"/>
  <c r="EM29" i="22" s="1"/>
  <c r="DL21" i="29"/>
  <c r="FB20" i="22" s="1"/>
  <c r="BX20" i="22" s="1"/>
  <c r="DL18" i="51"/>
  <c r="FA29" i="22" s="1"/>
  <c r="DN14" i="15"/>
  <c r="FD9" i="22" s="1"/>
  <c r="DQ18" i="51"/>
  <c r="FF29" i="22" s="1"/>
  <c r="CC29" i="22" s="1"/>
  <c r="AW13" i="62"/>
  <c r="AW18" i="62"/>
  <c r="DB18" i="51"/>
  <c r="EQ29" i="22" s="1"/>
  <c r="CY18" i="51"/>
  <c r="EN29" i="22" s="1"/>
  <c r="BT20" i="22"/>
  <c r="P18" i="51"/>
  <c r="P15" i="51"/>
  <c r="N15" i="51"/>
  <c r="N18" i="51"/>
  <c r="DP14" i="15"/>
  <c r="FF9" i="22" s="1"/>
  <c r="CC9" i="22" s="1"/>
  <c r="DM18" i="51"/>
  <c r="FB29" i="22" s="1"/>
  <c r="CH21" i="29"/>
  <c r="DX20" i="22" s="1"/>
  <c r="AS20" i="22" s="1"/>
  <c r="CH18" i="29"/>
  <c r="DI14" i="15"/>
  <c r="EY9" i="22" s="1"/>
  <c r="DO14" i="15"/>
  <c r="FE9" i="22" s="1"/>
  <c r="DG18" i="51"/>
  <c r="EV29" i="22" s="1"/>
  <c r="BF19" i="22"/>
  <c r="DD18" i="51"/>
  <c r="ES29" i="22" s="1"/>
  <c r="CB14" i="22"/>
  <c r="DL14" i="15"/>
  <c r="FB9" i="22" s="1"/>
  <c r="DP18" i="51"/>
  <c r="FE29" i="22" s="1"/>
  <c r="BU42" i="22"/>
  <c r="AV16" i="34"/>
  <c r="CL22" i="22" s="1"/>
  <c r="AV13" i="34"/>
  <c r="CQ16" i="34"/>
  <c r="EG22" i="22" s="1"/>
  <c r="CQ13" i="34"/>
  <c r="DF18" i="51"/>
  <c r="EU29" i="22" s="1"/>
  <c r="DI18" i="51"/>
  <c r="EX29" i="22" s="1"/>
  <c r="DJ18" i="51"/>
  <c r="EY29" i="22" s="1"/>
  <c r="CZ18" i="51"/>
  <c r="EO29" i="22" s="1"/>
  <c r="DK14" i="15"/>
  <c r="FA9" i="22" s="1"/>
  <c r="DM14" i="15"/>
  <c r="FC9" i="22" s="1"/>
  <c r="DN18" i="51"/>
  <c r="FC29" i="22" s="1"/>
  <c r="BH21" i="22"/>
  <c r="DG16" i="41"/>
  <c r="EW35" i="22" s="1"/>
  <c r="BT35" i="22" s="1"/>
  <c r="DG13" i="41"/>
  <c r="DH18" i="51"/>
  <c r="EW29" i="22" s="1"/>
  <c r="DE18" i="51"/>
  <c r="ET29" i="22" s="1"/>
  <c r="BB14" i="42"/>
  <c r="CR38" i="22" s="1"/>
  <c r="BB11" i="42"/>
  <c r="DC18" i="51"/>
  <c r="ER29" i="22" s="1"/>
  <c r="DK18" i="51"/>
  <c r="EZ29" i="22" s="1"/>
  <c r="CD16" i="34"/>
  <c r="DT22" i="22" s="1"/>
  <c r="CD13" i="34"/>
  <c r="BW118" i="22"/>
  <c r="J18" i="51"/>
  <c r="J15" i="51"/>
  <c r="BB16" i="34"/>
  <c r="CR22" i="22" s="1"/>
  <c r="BB13" i="34"/>
  <c r="DJ14" i="15"/>
  <c r="EZ9" i="22" s="1"/>
  <c r="BH25" i="22"/>
  <c r="BH31" i="22"/>
  <c r="DA18" i="51"/>
  <c r="EP29" i="22" s="1"/>
  <c r="DO18" i="51"/>
  <c r="FD29" i="22" s="1"/>
  <c r="CW18" i="51"/>
  <c r="EL29" i="22" s="1"/>
  <c r="BZ19" i="22"/>
  <c r="CB35" i="22"/>
  <c r="CA26" i="22"/>
  <c r="CB26" i="22"/>
  <c r="CA4" i="22"/>
  <c r="CA23" i="22"/>
  <c r="CA22" i="22"/>
  <c r="CA35" i="22"/>
  <c r="CA38" i="22"/>
  <c r="BZ3" i="22"/>
  <c r="CA3" i="22"/>
  <c r="DO4" i="2"/>
  <c r="DO8" i="2" s="1"/>
  <c r="DO11" i="2" s="1"/>
  <c r="DO16" i="2" s="1"/>
  <c r="FE13" i="22" s="1"/>
  <c r="CB13" i="22" s="1"/>
  <c r="FE12" i="22"/>
  <c r="CB12" i="22" s="1"/>
  <c r="CA14" i="22"/>
  <c r="BZ23" i="22"/>
  <c r="BZ14" i="22"/>
  <c r="BZ22" i="22"/>
  <c r="BZ4" i="22"/>
  <c r="BZ35" i="22"/>
  <c r="DN4" i="2"/>
  <c r="DN8" i="2" s="1"/>
  <c r="DN11" i="2" s="1"/>
  <c r="DN16" i="2" s="1"/>
  <c r="FD13" i="22" s="1"/>
  <c r="FD12" i="22"/>
  <c r="BZ38" i="22"/>
  <c r="BY23" i="22"/>
  <c r="BY4" i="22"/>
  <c r="BX50" i="22"/>
  <c r="BY50" i="22"/>
  <c r="BY14" i="22"/>
  <c r="DM4" i="2"/>
  <c r="DM8" i="2" s="1"/>
  <c r="DM11" i="2" s="1"/>
  <c r="DM16" i="2" s="1"/>
  <c r="FC13" i="22" s="1"/>
  <c r="FC12" i="22"/>
  <c r="BY35" i="22"/>
  <c r="BY38" i="22"/>
  <c r="BY22" i="22"/>
  <c r="BK23" i="22"/>
  <c r="BW23" i="22"/>
  <c r="BX14" i="22"/>
  <c r="BW35" i="22"/>
  <c r="BW22" i="22"/>
  <c r="BX35" i="22"/>
  <c r="BX38" i="22"/>
  <c r="BW14" i="22"/>
  <c r="BX22" i="22"/>
  <c r="BV15" i="22"/>
  <c r="BW15" i="22"/>
  <c r="BX23" i="22"/>
  <c r="BW38" i="22"/>
  <c r="BX4" i="22"/>
  <c r="DL4" i="2"/>
  <c r="DL8" i="2" s="1"/>
  <c r="DL11" i="2" s="1"/>
  <c r="DL16" i="2" s="1"/>
  <c r="FB13" i="22" s="1"/>
  <c r="FB12" i="22"/>
  <c r="DK4" i="2"/>
  <c r="DK8" i="2" s="1"/>
  <c r="DK11" i="2" s="1"/>
  <c r="DK16" i="2" s="1"/>
  <c r="FA13" i="22" s="1"/>
  <c r="FA12" i="22"/>
  <c r="T32" i="22"/>
  <c r="BV22" i="22"/>
  <c r="BU35" i="22"/>
  <c r="BU22" i="22"/>
  <c r="BV14" i="22"/>
  <c r="BV23" i="22"/>
  <c r="BU14" i="22"/>
  <c r="BV35" i="22"/>
  <c r="DJ4" i="2"/>
  <c r="DJ8" i="2" s="1"/>
  <c r="DJ11" i="2" s="1"/>
  <c r="DJ16" i="2" s="1"/>
  <c r="EZ13" i="22" s="1"/>
  <c r="EZ12" i="22"/>
  <c r="BV38" i="22"/>
  <c r="BU23" i="22"/>
  <c r="DI4" i="2"/>
  <c r="DI8" i="2" s="1"/>
  <c r="DI11" i="2" s="1"/>
  <c r="DI16" i="2" s="1"/>
  <c r="EY13" i="22" s="1"/>
  <c r="EY12" i="22"/>
  <c r="BV3" i="22"/>
  <c r="CY5" i="15"/>
  <c r="CY8" i="15" s="1"/>
  <c r="CY10" i="15" s="1"/>
  <c r="CY14" i="15" s="1"/>
  <c r="EO9" i="22" s="1"/>
  <c r="BL9" i="22" s="1"/>
  <c r="BK6" i="22"/>
  <c r="DC136" i="1"/>
  <c r="DE5" i="15"/>
  <c r="DE8" i="15" s="1"/>
  <c r="DE10" i="15" s="1"/>
  <c r="DE14" i="15" s="1"/>
  <c r="EU9" i="22" s="1"/>
  <c r="DE6" i="42"/>
  <c r="DE8" i="42" s="1"/>
  <c r="DE9" i="42" s="1"/>
  <c r="DE14" i="42" s="1"/>
  <c r="EU38" i="22" s="1"/>
  <c r="BQ38" i="22" s="1"/>
  <c r="DB136" i="1"/>
  <c r="BI5" i="22"/>
  <c r="DG6" i="42"/>
  <c r="DG8" i="42" s="1"/>
  <c r="DG9" i="42" s="1"/>
  <c r="DG14" i="42" s="1"/>
  <c r="EW38" i="22" s="1"/>
  <c r="DF5" i="15"/>
  <c r="DF8" i="15" s="1"/>
  <c r="DF10" i="15" s="1"/>
  <c r="DF14" i="15" s="1"/>
  <c r="EV9" i="22" s="1"/>
  <c r="DF6" i="42"/>
  <c r="DF8" i="42" s="1"/>
  <c r="DF9" i="42" s="1"/>
  <c r="DF14" i="42" s="1"/>
  <c r="EV38" i="22" s="1"/>
  <c r="DD136" i="1"/>
  <c r="BA40" i="83"/>
  <c r="Q40" i="83" s="1"/>
  <c r="BL7" i="22"/>
  <c r="BH5" i="22"/>
  <c r="CR40" i="22"/>
  <c r="M40" i="22" s="1"/>
  <c r="EX4" i="22"/>
  <c r="BU4" i="22" s="1"/>
  <c r="DH5" i="15"/>
  <c r="DH8" i="15" s="1"/>
  <c r="DH10" i="15" s="1"/>
  <c r="DH6" i="42"/>
  <c r="DH8" i="42" s="1"/>
  <c r="DH9" i="42" s="1"/>
  <c r="DH14" i="42" s="1"/>
  <c r="EX38" i="22" s="1"/>
  <c r="BU38" i="22" s="1"/>
  <c r="CW136" i="1"/>
  <c r="EO4" i="22"/>
  <c r="BK4" i="22" s="1"/>
  <c r="ET4" i="22"/>
  <c r="BQ4" i="22" s="1"/>
  <c r="BQ5" i="22"/>
  <c r="DD5" i="15"/>
  <c r="DD8" i="15" s="1"/>
  <c r="DD10" i="15" s="1"/>
  <c r="DD14" i="15" s="1"/>
  <c r="ET9" i="22" s="1"/>
  <c r="BN5" i="22"/>
  <c r="BO5" i="22"/>
  <c r="BP5" i="22"/>
  <c r="BT5" i="22"/>
  <c r="BK5" i="22"/>
  <c r="BL5" i="22"/>
  <c r="EW4" i="22"/>
  <c r="DG5" i="15"/>
  <c r="DG8" i="15" s="1"/>
  <c r="DG10" i="15" s="1"/>
  <c r="DG14" i="15" s="1"/>
  <c r="EW9" i="22" s="1"/>
  <c r="DC5" i="15"/>
  <c r="DC8" i="15" s="1"/>
  <c r="DC10" i="15" s="1"/>
  <c r="DC14" i="15" s="1"/>
  <c r="ES9" i="22" s="1"/>
  <c r="BO9" i="22" s="1"/>
  <c r="BG5" i="22"/>
  <c r="BS5" i="22"/>
  <c r="DC6" i="42"/>
  <c r="DC8" i="42" s="1"/>
  <c r="DC9" i="42" s="1"/>
  <c r="DC14" i="42" s="1"/>
  <c r="ES38" i="22" s="1"/>
  <c r="BP38" i="22" s="1"/>
  <c r="DA136" i="1"/>
  <c r="BR4" i="22"/>
  <c r="BT42" i="22"/>
  <c r="BO4" i="22"/>
  <c r="Q32" i="22"/>
  <c r="P32" i="22"/>
  <c r="CV16" i="41"/>
  <c r="EL35" i="22" s="1"/>
  <c r="CH16" i="41"/>
  <c r="DX35" i="22" s="1"/>
  <c r="CH13" i="41"/>
  <c r="CY16" i="41"/>
  <c r="EO35" i="22" s="1"/>
  <c r="BL35" i="22" s="1"/>
  <c r="CY13" i="41"/>
  <c r="CW16" i="41"/>
  <c r="EM35" i="22" s="1"/>
  <c r="BV16" i="41"/>
  <c r="DL35" i="22" s="1"/>
  <c r="BV13" i="41"/>
  <c r="CX16" i="41"/>
  <c r="EN35" i="22" s="1"/>
  <c r="BZ16" i="41"/>
  <c r="DP35" i="22" s="1"/>
  <c r="BZ13" i="41"/>
  <c r="CL16" i="41"/>
  <c r="EB35" i="22" s="1"/>
  <c r="CL13" i="41"/>
  <c r="I11" i="51"/>
  <c r="I13" i="51" s="1"/>
  <c r="I18" i="51" s="1"/>
  <c r="BS22" i="22"/>
  <c r="BT23" i="22"/>
  <c r="BT22" i="22"/>
  <c r="BT14" i="22"/>
  <c r="BS14" i="22"/>
  <c r="BS13" i="22"/>
  <c r="DH4" i="2"/>
  <c r="DH8" i="2" s="1"/>
  <c r="DH11" i="2" s="1"/>
  <c r="DH16" i="2" s="1"/>
  <c r="EX13" i="22" s="1"/>
  <c r="EX12" i="22"/>
  <c r="BS23" i="22"/>
  <c r="BT3" i="22"/>
  <c r="BS50" i="22"/>
  <c r="BT50" i="22"/>
  <c r="BS15" i="22"/>
  <c r="BT15" i="22"/>
  <c r="BS3" i="22"/>
  <c r="BS12" i="22"/>
  <c r="BM15" i="22"/>
  <c r="BQ35" i="22"/>
  <c r="BR23" i="22"/>
  <c r="BR14" i="22"/>
  <c r="BR12" i="22"/>
  <c r="BR35" i="22"/>
  <c r="BR22" i="22"/>
  <c r="BR13" i="22"/>
  <c r="BP14" i="22"/>
  <c r="BP23" i="22"/>
  <c r="BP22" i="22"/>
  <c r="BQ23" i="22"/>
  <c r="DD4" i="2"/>
  <c r="DD8" i="2" s="1"/>
  <c r="DD11" i="2" s="1"/>
  <c r="DD16" i="2" s="1"/>
  <c r="ET13" i="22" s="1"/>
  <c r="BQ13" i="22" s="1"/>
  <c r="ET12" i="22"/>
  <c r="BQ12" i="22" s="1"/>
  <c r="BP35" i="22"/>
  <c r="BQ14" i="22"/>
  <c r="BQ22" i="22"/>
  <c r="BO23" i="22"/>
  <c r="CW12" i="22"/>
  <c r="AW12" i="83"/>
  <c r="N12" i="83" s="1"/>
  <c r="BB4" i="2"/>
  <c r="BB8" i="2" s="1"/>
  <c r="BB11" i="2" s="1"/>
  <c r="BB16" i="2" s="1"/>
  <c r="CR13" i="22" s="1"/>
  <c r="BG4" i="2"/>
  <c r="BG8" i="2" s="1"/>
  <c r="BG11" i="2" s="1"/>
  <c r="BG16" i="2" s="1"/>
  <c r="BB13" i="83" s="1"/>
  <c r="BO22" i="22"/>
  <c r="BN14" i="22"/>
  <c r="BO35" i="22"/>
  <c r="BN38" i="22"/>
  <c r="BN9" i="22"/>
  <c r="BN35" i="22"/>
  <c r="BN3" i="22"/>
  <c r="DC4" i="2"/>
  <c r="DC8" i="2" s="1"/>
  <c r="DC11" i="2" s="1"/>
  <c r="DC16" i="2" s="1"/>
  <c r="ES13" i="22" s="1"/>
  <c r="ES12" i="22"/>
  <c r="BN23" i="22"/>
  <c r="BN22" i="22"/>
  <c r="BO14" i="22"/>
  <c r="BA12" i="83"/>
  <c r="R12" i="83" s="1"/>
  <c r="CV12" i="22"/>
  <c r="AN12" i="83"/>
  <c r="D12" i="83" s="1"/>
  <c r="CI12" i="22"/>
  <c r="AD32" i="22"/>
  <c r="AW12" i="22"/>
  <c r="CA4" i="2"/>
  <c r="CA8" i="2" s="1"/>
  <c r="CA11" i="2" s="1"/>
  <c r="CA16" i="2" s="1"/>
  <c r="DQ13" i="22" s="1"/>
  <c r="BA12" i="22"/>
  <c r="BA85" i="22"/>
  <c r="DO12" i="22"/>
  <c r="AJ12" i="22" s="1"/>
  <c r="AO12" i="83"/>
  <c r="F12" i="83" s="1"/>
  <c r="AP13" i="2"/>
  <c r="DW12" i="22"/>
  <c r="AD13" i="2"/>
  <c r="CH4" i="2"/>
  <c r="CH8" i="2" s="1"/>
  <c r="CH11" i="2" s="1"/>
  <c r="CH16" i="2" s="1"/>
  <c r="DX13" i="22" s="1"/>
  <c r="AT13" i="22" s="1"/>
  <c r="DX12" i="22"/>
  <c r="AT12" i="22" s="1"/>
  <c r="DA4" i="2"/>
  <c r="DA8" i="2" s="1"/>
  <c r="DA11" i="2" s="1"/>
  <c r="DA16" i="2" s="1"/>
  <c r="EQ13" i="22" s="1"/>
  <c r="EQ12" i="22"/>
  <c r="CZ4" i="2"/>
  <c r="CZ8" i="2" s="1"/>
  <c r="CZ11" i="2" s="1"/>
  <c r="CZ16" i="2" s="1"/>
  <c r="EP13" i="22" s="1"/>
  <c r="EP12" i="22"/>
  <c r="CW4" i="2"/>
  <c r="CW8" i="2" s="1"/>
  <c r="CW11" i="2" s="1"/>
  <c r="CW16" i="2" s="1"/>
  <c r="EM13" i="22" s="1"/>
  <c r="EM12" i="22"/>
  <c r="CQ4" i="2"/>
  <c r="CQ8" i="2" s="1"/>
  <c r="CQ11" i="2" s="1"/>
  <c r="CQ16" i="2" s="1"/>
  <c r="EG13" i="22" s="1"/>
  <c r="BC13" i="22" s="1"/>
  <c r="EG12" i="22"/>
  <c r="DB4" i="2"/>
  <c r="DB8" i="2" s="1"/>
  <c r="DB11" i="2" s="1"/>
  <c r="DB16" i="2" s="1"/>
  <c r="ER13" i="22" s="1"/>
  <c r="ER12" i="22"/>
  <c r="CR4" i="2"/>
  <c r="CR8" i="2" s="1"/>
  <c r="CR11" i="2" s="1"/>
  <c r="CR16" i="2" s="1"/>
  <c r="EH13" i="22" s="1"/>
  <c r="EH12" i="22"/>
  <c r="BE12" i="22" s="1"/>
  <c r="CV4" i="2"/>
  <c r="CV8" i="2" s="1"/>
  <c r="CV11" i="2" s="1"/>
  <c r="CV16" i="2" s="1"/>
  <c r="EL13" i="22" s="1"/>
  <c r="EL12" i="22"/>
  <c r="CX4" i="2"/>
  <c r="CX8" i="2" s="1"/>
  <c r="CX11" i="2" s="1"/>
  <c r="CX16" i="2" s="1"/>
  <c r="EN13" i="22" s="1"/>
  <c r="BK13" i="22" s="1"/>
  <c r="EN12" i="22"/>
  <c r="BK12" i="22" s="1"/>
  <c r="EJ12" i="22"/>
  <c r="CT4" i="2"/>
  <c r="CT8" i="2" s="1"/>
  <c r="CT11" i="2" s="1"/>
  <c r="CT16" i="2" s="1"/>
  <c r="EJ13" i="22" s="1"/>
  <c r="BG13" i="22" s="1"/>
  <c r="AE32" i="22"/>
  <c r="BA6" i="22"/>
  <c r="BA19" i="22"/>
  <c r="BA11" i="22"/>
  <c r="BA87" i="22"/>
  <c r="BA14" i="22"/>
  <c r="BA50" i="22"/>
  <c r="BA40" i="22"/>
  <c r="BA20" i="22"/>
  <c r="BA24" i="22"/>
  <c r="BA8" i="22"/>
  <c r="BA23" i="22"/>
  <c r="BA81" i="22"/>
  <c r="BA78" i="22"/>
  <c r="BA21" i="22"/>
  <c r="BA7" i="22"/>
  <c r="BA33" i="22"/>
  <c r="BA31" i="22"/>
  <c r="BA34" i="22"/>
  <c r="BA32" i="22"/>
  <c r="BA5" i="22"/>
  <c r="BA43" i="22"/>
  <c r="BA15" i="22"/>
  <c r="BA10" i="22"/>
  <c r="BA91" i="22"/>
  <c r="BA30" i="22"/>
  <c r="BA39" i="22"/>
  <c r="BA90" i="22"/>
  <c r="BA47" i="22"/>
  <c r="BA4" i="22"/>
  <c r="BA66" i="22"/>
  <c r="BA42" i="22"/>
  <c r="BA13" i="22"/>
  <c r="BA27" i="22"/>
  <c r="BA16" i="22"/>
  <c r="BA45" i="22"/>
  <c r="BA17" i="22"/>
  <c r="BA25" i="22"/>
  <c r="BM35" i="22"/>
  <c r="BM38" i="22"/>
  <c r="BG118" i="22"/>
  <c r="BB124" i="22"/>
  <c r="CG124" i="22"/>
  <c r="CG116" i="22"/>
  <c r="BM9" i="22"/>
  <c r="CG97" i="22"/>
  <c r="BM4" i="22"/>
  <c r="CG110" i="22"/>
  <c r="CG111" i="22"/>
  <c r="CG117" i="22"/>
  <c r="CG112" i="22"/>
  <c r="CG118" i="22"/>
  <c r="BM14" i="22"/>
  <c r="BL22" i="22"/>
  <c r="BM22" i="22"/>
  <c r="BL23" i="22"/>
  <c r="BM23" i="22"/>
  <c r="N24" i="116"/>
  <c r="BJ22" i="22"/>
  <c r="BJ23" i="22"/>
  <c r="BJ38" i="22"/>
  <c r="CG100" i="22"/>
  <c r="BK38" i="22"/>
  <c r="BL38" i="22"/>
  <c r="BC100" i="22"/>
  <c r="BJ9" i="22"/>
  <c r="BJ14" i="22"/>
  <c r="BJ4" i="22"/>
  <c r="BK14" i="22"/>
  <c r="BL14" i="22"/>
  <c r="BI14" i="22"/>
  <c r="BH14" i="22"/>
  <c r="BI23" i="22"/>
  <c r="BH4" i="22"/>
  <c r="BH23" i="22"/>
  <c r="BI4" i="22"/>
  <c r="BI9" i="22"/>
  <c r="BI38" i="22"/>
  <c r="BI22" i="22"/>
  <c r="BG39" i="22"/>
  <c r="BH39" i="22"/>
  <c r="BG19" i="22"/>
  <c r="BH19" i="22"/>
  <c r="BE33" i="22"/>
  <c r="BE7" i="22"/>
  <c r="AM33" i="22"/>
  <c r="AV22" i="125"/>
  <c r="AV23" i="125" s="1"/>
  <c r="AV30" i="125" s="1"/>
  <c r="AH32" i="22"/>
  <c r="AR26" i="22"/>
  <c r="AQ26" i="22"/>
  <c r="AH32" i="83"/>
  <c r="AI32" i="83"/>
  <c r="J33" i="83"/>
  <c r="BF15" i="22"/>
  <c r="AG39" i="22"/>
  <c r="AD26" i="22"/>
  <c r="Y26" i="22"/>
  <c r="AC26" i="22"/>
  <c r="AC26" i="83"/>
  <c r="AD26" i="83"/>
  <c r="Y26" i="83"/>
  <c r="U26" i="83"/>
  <c r="AL26" i="22"/>
  <c r="EJ29" i="22"/>
  <c r="BQ78" i="83"/>
  <c r="DL78" i="22"/>
  <c r="AR10" i="22"/>
  <c r="AH26" i="22"/>
  <c r="AB26" i="22"/>
  <c r="K23" i="83"/>
  <c r="AH39" i="22"/>
  <c r="AE26" i="22"/>
  <c r="AJ5" i="22"/>
  <c r="AV66" i="22"/>
  <c r="AS87" i="22"/>
  <c r="N23" i="83"/>
  <c r="AP5" i="22"/>
  <c r="AK8" i="22"/>
  <c r="U26" i="22"/>
  <c r="V26" i="22"/>
  <c r="AY13" i="22"/>
  <c r="AB23" i="83"/>
  <c r="V26" i="83"/>
  <c r="AJ39" i="22"/>
  <c r="AF26" i="83"/>
  <c r="AB26" i="83"/>
  <c r="AG26" i="83"/>
  <c r="AY33" i="22"/>
  <c r="G40" i="83"/>
  <c r="U32" i="22"/>
  <c r="AO7" i="22"/>
  <c r="AO5" i="22"/>
  <c r="H14" i="83"/>
  <c r="AO47" i="22"/>
  <c r="AJ33" i="22"/>
  <c r="AH42" i="22"/>
  <c r="V33" i="83"/>
  <c r="AR81" i="22"/>
  <c r="AE26" i="83"/>
  <c r="AK10" i="22"/>
  <c r="AM25" i="22"/>
  <c r="BG15" i="22"/>
  <c r="AO26" i="22"/>
  <c r="BK78" i="83"/>
  <c r="DF78" i="22"/>
  <c r="BS78" i="83"/>
  <c r="DN78" i="22"/>
  <c r="AJ78" i="22" s="1"/>
  <c r="AL21" i="22"/>
  <c r="AG26" i="22"/>
  <c r="AI26" i="83"/>
  <c r="AR40" i="22"/>
  <c r="AR66" i="22"/>
  <c r="AF26" i="22"/>
  <c r="AJ7" i="22"/>
  <c r="AZ21" i="22"/>
  <c r="AW21" i="22"/>
  <c r="AN24" i="22"/>
  <c r="BF43" i="22"/>
  <c r="AY25" i="22"/>
  <c r="AE12" i="83"/>
  <c r="J23" i="83"/>
  <c r="AA50" i="22"/>
  <c r="AZ34" i="22"/>
  <c r="BN78" i="83"/>
  <c r="DI78" i="22"/>
  <c r="BP78" i="83"/>
  <c r="AO81" i="22"/>
  <c r="G23" i="83"/>
  <c r="DK78" i="22"/>
  <c r="U32" i="83"/>
  <c r="AT26" i="22"/>
  <c r="AM90" i="22"/>
  <c r="AO33" i="22"/>
  <c r="AZ39" i="22"/>
  <c r="AN33" i="22"/>
  <c r="AN7" i="22"/>
  <c r="E40" i="83"/>
  <c r="R26" i="83"/>
  <c r="AT31" i="22"/>
  <c r="BO78" i="83"/>
  <c r="AK42" i="22"/>
  <c r="AJ47" i="22"/>
  <c r="AY7" i="22"/>
  <c r="AY42" i="22"/>
  <c r="AG87" i="22"/>
  <c r="R32" i="22"/>
  <c r="BC7" i="22"/>
  <c r="BB25" i="22"/>
  <c r="P14" i="83"/>
  <c r="BF11" i="22"/>
  <c r="R32" i="83"/>
  <c r="AG24" i="22"/>
  <c r="S23" i="83"/>
  <c r="AM42" i="22"/>
  <c r="AK81" i="22"/>
  <c r="AY85" i="22"/>
  <c r="AP87" i="22"/>
  <c r="AQ34" i="22"/>
  <c r="AW10" i="22"/>
  <c r="AR43" i="22"/>
  <c r="AY43" i="22"/>
  <c r="BE40" i="22"/>
  <c r="AO90" i="22"/>
  <c r="AV13" i="22"/>
  <c r="AW33" i="22"/>
  <c r="AV31" i="22"/>
  <c r="AO45" i="22"/>
  <c r="AG30" i="83"/>
  <c r="BC66" i="22"/>
  <c r="AS17" i="22"/>
  <c r="AZ85" i="22"/>
  <c r="AT27" i="22"/>
  <c r="AX32" i="22"/>
  <c r="AQ21" i="22"/>
  <c r="BF26" i="22"/>
  <c r="W5" i="83"/>
  <c r="AE23" i="83"/>
  <c r="U14" i="83"/>
  <c r="AN85" i="22"/>
  <c r="BC19" i="22"/>
  <c r="AT81" i="22"/>
  <c r="AL42" i="22"/>
  <c r="AK43" i="22"/>
  <c r="BL78" i="83"/>
  <c r="DG78" i="22"/>
  <c r="S26" i="83"/>
  <c r="AJ45" i="22"/>
  <c r="AW3" i="22"/>
  <c r="AI50" i="22"/>
  <c r="AW34" i="22"/>
  <c r="AX13" i="22"/>
  <c r="AL47" i="22"/>
  <c r="AO25" i="22"/>
  <c r="AJ8" i="22"/>
  <c r="AL34" i="22"/>
  <c r="AP81" i="22"/>
  <c r="AK16" i="22"/>
  <c r="AJ43" i="22"/>
  <c r="AR89" i="22"/>
  <c r="AK24" i="22"/>
  <c r="AW43" i="22"/>
  <c r="AJ16" i="22"/>
  <c r="AX21" i="22"/>
  <c r="AP7" i="22"/>
  <c r="E23" i="83"/>
  <c r="AY34" i="22"/>
  <c r="AL8" i="22"/>
  <c r="BB13" i="22"/>
  <c r="AP10" i="22"/>
  <c r="AL43" i="22"/>
  <c r="AM7" i="22"/>
  <c r="AV5" i="22"/>
  <c r="AA26" i="22"/>
  <c r="X23" i="83"/>
  <c r="AZ25" i="22"/>
  <c r="BE78" i="22"/>
  <c r="I12" i="83"/>
  <c r="AX87" i="22"/>
  <c r="AP26" i="22"/>
  <c r="AP17" i="22"/>
  <c r="S5" i="83"/>
  <c r="DJ78" i="22"/>
  <c r="T23" i="83"/>
  <c r="W26" i="22"/>
  <c r="AS10" i="22"/>
  <c r="AR91" i="22"/>
  <c r="AQ17" i="22"/>
  <c r="S32" i="83"/>
  <c r="AN16" i="22"/>
  <c r="AQ25" i="22"/>
  <c r="AV34" i="22"/>
  <c r="AH50" i="22"/>
  <c r="AO15" i="22"/>
  <c r="BJ78" i="83"/>
  <c r="AY91" i="22"/>
  <c r="DE78" i="22"/>
  <c r="AT5" i="22"/>
  <c r="AY17" i="22"/>
  <c r="AM16" i="22"/>
  <c r="AQ85" i="22"/>
  <c r="AN87" i="22"/>
  <c r="BF88" i="22"/>
  <c r="AQ3" i="22"/>
  <c r="X14" i="83"/>
  <c r="AN42" i="22"/>
  <c r="X5" i="83"/>
  <c r="AO17" i="22"/>
  <c r="AA12" i="83"/>
  <c r="BG88" i="22"/>
  <c r="AO29" i="22"/>
  <c r="AP47" i="22"/>
  <c r="R14" i="83"/>
  <c r="I14" i="83"/>
  <c r="AS85" i="22"/>
  <c r="AP43" i="22"/>
  <c r="AM15" i="22"/>
  <c r="J14" i="83"/>
  <c r="AN15" i="22"/>
  <c r="Z12" i="83"/>
  <c r="W26" i="83"/>
  <c r="AN78" i="22"/>
  <c r="AR30" i="22"/>
  <c r="K14" i="83"/>
  <c r="AB50" i="22"/>
  <c r="AX43" i="22"/>
  <c r="AN17" i="22"/>
  <c r="X50" i="22"/>
  <c r="AM24" i="22"/>
  <c r="BB85" i="22"/>
  <c r="AR15" i="22"/>
  <c r="AR87" i="22"/>
  <c r="BB45" i="22"/>
  <c r="AJ81" i="22"/>
  <c r="AG25" i="22"/>
  <c r="AZ87" i="22"/>
  <c r="BM78" i="83"/>
  <c r="W33" i="83"/>
  <c r="AH25" i="22"/>
  <c r="DH78" i="22"/>
  <c r="BD11" i="22"/>
  <c r="AM31" i="22"/>
  <c r="Y50" i="22"/>
  <c r="AS30" i="22"/>
  <c r="AD14" i="83"/>
  <c r="AT87" i="22"/>
  <c r="AP11" i="22"/>
  <c r="AK33" i="22"/>
  <c r="AN25" i="22"/>
  <c r="G14" i="83"/>
  <c r="AX34" i="22"/>
  <c r="AJ40" i="22"/>
  <c r="V50" i="83"/>
  <c r="AJ19" i="22"/>
  <c r="BG32" i="22"/>
  <c r="BR78" i="83"/>
  <c r="AL33" i="22"/>
  <c r="DM78" i="22"/>
  <c r="X26" i="83"/>
  <c r="AW15" i="22"/>
  <c r="AY30" i="22"/>
  <c r="AJ15" i="22"/>
  <c r="AC14" i="83"/>
  <c r="BC39" i="22"/>
  <c r="AZ43" i="22"/>
  <c r="AK45" i="22"/>
  <c r="AL15" i="22"/>
  <c r="AT8" i="22"/>
  <c r="AQ19" i="22"/>
  <c r="AX31" i="22"/>
  <c r="AV8" i="22"/>
  <c r="AZ20" i="22"/>
  <c r="AR16" i="22"/>
  <c r="AK85" i="22"/>
  <c r="Z26" i="22"/>
  <c r="AS34" i="22"/>
  <c r="AO39" i="22"/>
  <c r="R23" i="83"/>
  <c r="AS40" i="22"/>
  <c r="AW40" i="22"/>
  <c r="AO24" i="22"/>
  <c r="AM78" i="22"/>
  <c r="Y23" i="83"/>
  <c r="AS42" i="22"/>
  <c r="AI15" i="22"/>
  <c r="AV27" i="22"/>
  <c r="AL24" i="22"/>
  <c r="AT47" i="22"/>
  <c r="BG81" i="22"/>
  <c r="AQ66" i="22"/>
  <c r="BD6" i="22"/>
  <c r="BB78" i="22"/>
  <c r="AX90" i="22"/>
  <c r="AS90" i="22"/>
  <c r="AW27" i="22"/>
  <c r="AF87" i="22"/>
  <c r="AR85" i="22"/>
  <c r="U33" i="83"/>
  <c r="AN39" i="22"/>
  <c r="AR21" i="22"/>
  <c r="E14" i="83"/>
  <c r="BG34" i="22"/>
  <c r="BF81" i="22"/>
  <c r="AP31" i="22"/>
  <c r="F40" i="83"/>
  <c r="AY21" i="22"/>
  <c r="BB47" i="22"/>
  <c r="AP66" i="22"/>
  <c r="AF12" i="83"/>
  <c r="AL3" i="22"/>
  <c r="AJ85" i="22"/>
  <c r="BC78" i="22"/>
  <c r="AF88" i="22"/>
  <c r="AT23" i="22"/>
  <c r="BC45" i="22"/>
  <c r="AQ87" i="22"/>
  <c r="AR34" i="22"/>
  <c r="AP78" i="22"/>
  <c r="AI26" i="22"/>
  <c r="AP14" i="22"/>
  <c r="AR17" i="22"/>
  <c r="AY90" i="22"/>
  <c r="AY78" i="22"/>
  <c r="AZ33" i="22"/>
  <c r="AZ5" i="22"/>
  <c r="AQ78" i="22"/>
  <c r="AJ24" i="22"/>
  <c r="BE10" i="22"/>
  <c r="BD3" i="22"/>
  <c r="AY47" i="22"/>
  <c r="AZ11" i="22"/>
  <c r="BF3" i="22"/>
  <c r="AX25" i="22"/>
  <c r="AV19" i="22"/>
  <c r="AZ27" i="22"/>
  <c r="BD78" i="22"/>
  <c r="BD20" i="22"/>
  <c r="BC87" i="22"/>
  <c r="AO43" i="22"/>
  <c r="AK40" i="22"/>
  <c r="AX81" i="22"/>
  <c r="AP30" i="22"/>
  <c r="AL78" i="22"/>
  <c r="AX47" i="22"/>
  <c r="T14" i="83"/>
  <c r="AR5" i="22"/>
  <c r="AV30" i="22"/>
  <c r="E33" i="83"/>
  <c r="AR90" i="22"/>
  <c r="AL91" i="22"/>
  <c r="BB16" i="22"/>
  <c r="AO87" i="22"/>
  <c r="AW39" i="22"/>
  <c r="AQ15" i="22"/>
  <c r="AO85" i="22"/>
  <c r="Z23" i="83"/>
  <c r="AY27" i="22"/>
  <c r="AV3" i="22"/>
  <c r="AN45" i="22"/>
  <c r="AO27" i="22"/>
  <c r="AK39" i="22"/>
  <c r="AS16" i="22"/>
  <c r="AT7" i="22"/>
  <c r="AS3" i="22"/>
  <c r="BC85" i="22"/>
  <c r="BB66" i="22"/>
  <c r="AT17" i="22"/>
  <c r="D14" i="83"/>
  <c r="AP15" i="22"/>
  <c r="AP85" i="22"/>
  <c r="BE47" i="22"/>
  <c r="AV91" i="22"/>
  <c r="BG31" i="22"/>
  <c r="AB14" i="83"/>
  <c r="AI12" i="83"/>
  <c r="AT10" i="22"/>
  <c r="AR45" i="22"/>
  <c r="AR32" i="22"/>
  <c r="AZ7" i="22"/>
  <c r="AS50" i="22"/>
  <c r="AY8" i="22"/>
  <c r="AX40" i="22"/>
  <c r="Q14" i="83"/>
  <c r="BD7" i="22"/>
  <c r="AW45" i="22"/>
  <c r="AX50" i="22"/>
  <c r="AZ88" i="22"/>
  <c r="AH87" i="22"/>
  <c r="AW25" i="22"/>
  <c r="BF17" i="22"/>
  <c r="BE91" i="22"/>
  <c r="AE50" i="22"/>
  <c r="BC81" i="22"/>
  <c r="BB81" i="22"/>
  <c r="AY24" i="22"/>
  <c r="AP12" i="22"/>
  <c r="CG89" i="22"/>
  <c r="BB15" i="22"/>
  <c r="AH14" i="83"/>
  <c r="AK66" i="22"/>
  <c r="BB32" i="22"/>
  <c r="AT66" i="22"/>
  <c r="AO8" i="22"/>
  <c r="BC21" i="22"/>
  <c r="BE42" i="22"/>
  <c r="AO3" i="22"/>
  <c r="AM11" i="22"/>
  <c r="BE85" i="22"/>
  <c r="AL45" i="22"/>
  <c r="AM87" i="22"/>
  <c r="AI14" i="83"/>
  <c r="AW11" i="22"/>
  <c r="AQ40" i="22"/>
  <c r="BB87" i="22"/>
  <c r="AT43" i="22"/>
  <c r="P17" i="83"/>
  <c r="AQ45" i="22"/>
  <c r="AK88" i="22"/>
  <c r="AV39" i="22"/>
  <c r="BG14" i="22"/>
  <c r="BF14" i="22"/>
  <c r="BD32" i="22"/>
  <c r="AV81" i="22"/>
  <c r="AM30" i="22"/>
  <c r="BD5" i="22"/>
  <c r="AT40" i="22"/>
  <c r="AL40" i="22"/>
  <c r="K5" i="83"/>
  <c r="H23" i="83"/>
  <c r="M23" i="83"/>
  <c r="BG47" i="22"/>
  <c r="AZ8" i="22"/>
  <c r="AT78" i="22"/>
  <c r="AN81" i="22"/>
  <c r="AF23" i="83"/>
  <c r="AM45" i="22"/>
  <c r="AT3" i="22"/>
  <c r="BE11" i="22"/>
  <c r="AH85" i="22"/>
  <c r="AM12" i="22"/>
  <c r="CG84" i="22"/>
  <c r="C84" i="22" s="1"/>
  <c r="AL50" i="22"/>
  <c r="AN50" i="22"/>
  <c r="AS24" i="22"/>
  <c r="AH10" i="22"/>
  <c r="AR42" i="22"/>
  <c r="AV17" i="22"/>
  <c r="AC50" i="83"/>
  <c r="AD50" i="83"/>
  <c r="AZ13" i="22"/>
  <c r="AN8" i="22"/>
  <c r="AN31" i="22"/>
  <c r="AX8" i="22"/>
  <c r="D40" i="83"/>
  <c r="BF66" i="22"/>
  <c r="BE50" i="22"/>
  <c r="AW16" i="22"/>
  <c r="BG20" i="22"/>
  <c r="AY10" i="22"/>
  <c r="AM91" i="22"/>
  <c r="AQ91" i="22"/>
  <c r="AX42" i="22"/>
  <c r="BE15" i="22"/>
  <c r="AR8" i="22"/>
  <c r="AZ30" i="22"/>
  <c r="BE24" i="22"/>
  <c r="BB5" i="22"/>
  <c r="AN27" i="22"/>
  <c r="AP27" i="22"/>
  <c r="J32" i="22"/>
  <c r="AG84" i="22"/>
  <c r="AN88" i="22"/>
  <c r="BD85" i="22"/>
  <c r="BG78" i="22"/>
  <c r="BD25" i="22"/>
  <c r="AV33" i="22"/>
  <c r="AP25" i="22"/>
  <c r="AI10" i="22"/>
  <c r="BC10" i="22"/>
  <c r="AW31" i="22"/>
  <c r="AN90" i="22"/>
  <c r="AY88" i="22"/>
  <c r="AW87" i="22"/>
  <c r="AQ32" i="22"/>
  <c r="AH26" i="83"/>
  <c r="F23" i="83"/>
  <c r="AM50" i="22"/>
  <c r="BD40" i="22"/>
  <c r="AV78" i="22"/>
  <c r="I23" i="83"/>
  <c r="S14" i="83"/>
  <c r="AV10" i="22"/>
  <c r="BG7" i="22"/>
  <c r="BG66" i="22"/>
  <c r="AW17" i="22"/>
  <c r="BE16" i="22"/>
  <c r="J32" i="83"/>
  <c r="AL16" i="22"/>
  <c r="AX27" i="22"/>
  <c r="BC5" i="22"/>
  <c r="AV7" i="22"/>
  <c r="BC31" i="22"/>
  <c r="AN34" i="22"/>
  <c r="H32" i="83"/>
  <c r="AT30" i="22"/>
  <c r="BG21" i="22"/>
  <c r="AJ31" i="22"/>
  <c r="P12" i="22"/>
  <c r="AW81" i="22"/>
  <c r="AO50" i="22"/>
  <c r="BB33" i="22"/>
  <c r="AV40" i="22"/>
  <c r="AJ34" i="22"/>
  <c r="BD50" i="22"/>
  <c r="BD31" i="22"/>
  <c r="AX33" i="22"/>
  <c r="AO16" i="22"/>
  <c r="BF47" i="22"/>
  <c r="BC91" i="22"/>
  <c r="AG85" i="22"/>
  <c r="AP90" i="22"/>
  <c r="AZ90" i="22"/>
  <c r="AK32" i="22"/>
  <c r="AS66" i="22"/>
  <c r="AW88" i="22"/>
  <c r="BE8" i="22"/>
  <c r="BC20" i="22"/>
  <c r="BD8" i="22"/>
  <c r="U12" i="83"/>
  <c r="BF85" i="22"/>
  <c r="AP42" i="22"/>
  <c r="AK21" i="22"/>
  <c r="AG32" i="22"/>
  <c r="AX10" i="22"/>
  <c r="BF21" i="22"/>
  <c r="AY5" i="22"/>
  <c r="AT21" i="22"/>
  <c r="AS27" i="22"/>
  <c r="AV87" i="22"/>
  <c r="AV15" i="22"/>
  <c r="AN66" i="22"/>
  <c r="AX11" i="22"/>
  <c r="AW50" i="22"/>
  <c r="AW19" i="22"/>
  <c r="BC27" i="22"/>
  <c r="AO21" i="22"/>
  <c r="AK5" i="22"/>
  <c r="AX85" i="22"/>
  <c r="BD16" i="22"/>
  <c r="BD42" i="22"/>
  <c r="AQ33" i="22"/>
  <c r="AY50" i="22"/>
  <c r="AR50" i="22"/>
  <c r="AT50" i="22"/>
  <c r="AP8" i="22"/>
  <c r="AV11" i="22"/>
  <c r="AI87" i="22"/>
  <c r="AP39" i="22"/>
  <c r="AK34" i="22"/>
  <c r="AS31" i="22"/>
  <c r="AL25" i="22"/>
  <c r="AQ42" i="22"/>
  <c r="AK26" i="22"/>
  <c r="CG92" i="22"/>
  <c r="BD45" i="22"/>
  <c r="AX30" i="22"/>
  <c r="AX15" i="22"/>
  <c r="AL5" i="22"/>
  <c r="AP33" i="22"/>
  <c r="AP45" i="22"/>
  <c r="AJ87" i="22"/>
  <c r="AI85" i="22"/>
  <c r="AQ30" i="22"/>
  <c r="BF8" i="22"/>
  <c r="AM34" i="22"/>
  <c r="AO78" i="22"/>
  <c r="AV21" i="22"/>
  <c r="BB31" i="22"/>
  <c r="BE19" i="22"/>
  <c r="BE45" i="22"/>
  <c r="BD43" i="22"/>
  <c r="AI23" i="83"/>
  <c r="AL17" i="22"/>
  <c r="BG24" i="22"/>
  <c r="AF85" i="22"/>
  <c r="AR25" i="22"/>
  <c r="AT33" i="22"/>
  <c r="BC16" i="22"/>
  <c r="AQ90" i="22"/>
  <c r="Z14" i="83"/>
  <c r="AV50" i="22"/>
  <c r="BE43" i="22"/>
  <c r="AG14" i="83"/>
  <c r="AO31" i="22"/>
  <c r="AL39" i="22"/>
  <c r="BD34" i="22"/>
  <c r="Z50" i="22"/>
  <c r="AS91" i="22"/>
  <c r="BB20" i="22"/>
  <c r="BE31" i="22"/>
  <c r="AR19" i="22"/>
  <c r="AW13" i="22"/>
  <c r="BC43" i="22"/>
  <c r="AK27" i="22"/>
  <c r="AA23" i="83"/>
  <c r="F14" i="83"/>
  <c r="AQ5" i="22"/>
  <c r="V5" i="83"/>
  <c r="AK91" i="22"/>
  <c r="AO91" i="22"/>
  <c r="AP19" i="22"/>
  <c r="AR3" i="22"/>
  <c r="AX66" i="22"/>
  <c r="AS25" i="22"/>
  <c r="AC23" i="83"/>
  <c r="AL10" i="22"/>
  <c r="AL31" i="22"/>
  <c r="AL7" i="22"/>
  <c r="Y32" i="83"/>
  <c r="BG17" i="22"/>
  <c r="BF25" i="22"/>
  <c r="AN10" i="22"/>
  <c r="BG85" i="22"/>
  <c r="AX16" i="22"/>
  <c r="H12" i="83"/>
  <c r="AO40" i="22"/>
  <c r="AS21" i="22"/>
  <c r="AN43" i="22"/>
  <c r="AS39" i="22"/>
  <c r="AT19" i="22"/>
  <c r="AY20" i="22"/>
  <c r="AJ30" i="22"/>
  <c r="BG6" i="22"/>
  <c r="BE6" i="22"/>
  <c r="BB30" i="22"/>
  <c r="AZ17" i="22"/>
  <c r="BD87" i="22"/>
  <c r="AY87" i="22"/>
  <c r="AJ50" i="22"/>
  <c r="AV43" i="22"/>
  <c r="AV24" i="22"/>
  <c r="AV45" i="22"/>
  <c r="BD81" i="22"/>
  <c r="AS81" i="22"/>
  <c r="BE34" i="22"/>
  <c r="BB27" i="22"/>
  <c r="AY19" i="22"/>
  <c r="BC8" i="22"/>
  <c r="AZ47" i="22"/>
  <c r="AY39" i="22"/>
  <c r="AA14" i="83"/>
  <c r="AS47" i="22"/>
  <c r="AP88" i="22"/>
  <c r="AR27" i="22"/>
  <c r="AQ10" i="22"/>
  <c r="AO66" i="22"/>
  <c r="AO19" i="22"/>
  <c r="BF32" i="22"/>
  <c r="AK90" i="22"/>
  <c r="AX3" i="22"/>
  <c r="AL81" i="22"/>
  <c r="AK78" i="22"/>
  <c r="T33" i="83"/>
  <c r="O5" i="83"/>
  <c r="AD23" i="83"/>
  <c r="I33" i="83"/>
  <c r="D23" i="83"/>
  <c r="AK15" i="22"/>
  <c r="AM43" i="22"/>
  <c r="AP40" i="22"/>
  <c r="AO12" i="22"/>
  <c r="AT34" i="22"/>
  <c r="AX17" i="22"/>
  <c r="BE87" i="22"/>
  <c r="BF31" i="22"/>
  <c r="AK7" i="22"/>
  <c r="CG87" i="22"/>
  <c r="AR24" i="22"/>
  <c r="AO30" i="22"/>
  <c r="BF40" i="22"/>
  <c r="BF5" i="22"/>
  <c r="G12" i="83"/>
  <c r="BC33" i="22"/>
  <c r="AY66" i="22"/>
  <c r="AF50" i="22"/>
  <c r="AW7" i="22"/>
  <c r="H33" i="83"/>
  <c r="AM10" i="22"/>
  <c r="AX19" i="22"/>
  <c r="BB8" i="22"/>
  <c r="AL90" i="22"/>
  <c r="AL30" i="22"/>
  <c r="AQ43" i="22"/>
  <c r="E39" i="83"/>
  <c r="BF78" i="22"/>
  <c r="AW90" i="22"/>
  <c r="BC15" i="22"/>
  <c r="AM8" i="22"/>
  <c r="AS43" i="22"/>
  <c r="AR31" i="22"/>
  <c r="AX88" i="22"/>
  <c r="AW8" i="22"/>
  <c r="AW66" i="22"/>
  <c r="BB19" i="22"/>
  <c r="BE3" i="22"/>
  <c r="AG32" i="83"/>
  <c r="BB91" i="22"/>
  <c r="AZ81" i="22"/>
  <c r="AP32" i="22"/>
  <c r="CG91" i="22"/>
  <c r="AK30" i="22"/>
  <c r="L12" i="83"/>
  <c r="BB7" i="22"/>
  <c r="AS7" i="22"/>
  <c r="AZ10" i="22"/>
  <c r="AK17" i="22"/>
  <c r="AW42" i="22"/>
  <c r="AP3" i="22"/>
  <c r="AO10" i="22"/>
  <c r="BE25" i="22"/>
  <c r="BD19" i="22"/>
  <c r="BG33" i="22"/>
  <c r="BE32" i="22"/>
  <c r="BE66" i="22"/>
  <c r="AT39" i="22"/>
  <c r="AZ24" i="22"/>
  <c r="AW32" i="22"/>
  <c r="AZ19" i="22"/>
  <c r="T5" i="83"/>
  <c r="AY11" i="22"/>
  <c r="AJ27" i="22"/>
  <c r="AJ10" i="22"/>
  <c r="AK31" i="22"/>
  <c r="AM39" i="22"/>
  <c r="AK50" i="22"/>
  <c r="AP91" i="22"/>
  <c r="AS32" i="22"/>
  <c r="BG50" i="22"/>
  <c r="AL32" i="22"/>
  <c r="AT24" i="22"/>
  <c r="AS8" i="22"/>
  <c r="AN3" i="22"/>
  <c r="AM3" i="22"/>
  <c r="AQ31" i="22"/>
  <c r="AS33" i="22"/>
  <c r="BD33" i="22"/>
  <c r="BG25" i="22"/>
  <c r="N5" i="83"/>
  <c r="AW85" i="22"/>
  <c r="AK25" i="22"/>
  <c r="R5" i="83"/>
  <c r="H8" i="83"/>
  <c r="AY81" i="22"/>
  <c r="AQ27" i="22"/>
  <c r="AQ81" i="22"/>
  <c r="AS26" i="22"/>
  <c r="BF42" i="22"/>
  <c r="AN91" i="22"/>
  <c r="AZ45" i="22"/>
  <c r="AP21" i="22"/>
  <c r="AK47" i="22"/>
  <c r="G39" i="83"/>
  <c r="L33" i="83"/>
  <c r="AM17" i="22"/>
  <c r="AR7" i="22"/>
  <c r="AQ7" i="22"/>
  <c r="AQ13" i="83"/>
  <c r="DP22" i="22"/>
  <c r="DX29" i="22"/>
  <c r="EE9" i="22"/>
  <c r="EG9" i="22"/>
  <c r="BC25" i="22"/>
  <c r="BE81" i="22"/>
  <c r="DY6" i="22"/>
  <c r="DV6" i="22"/>
  <c r="AW91" i="22"/>
  <c r="AX91" i="22"/>
  <c r="BB43" i="22"/>
  <c r="BC24" i="22"/>
  <c r="BB24" i="22"/>
  <c r="BB17" i="22"/>
  <c r="BC17" i="22"/>
  <c r="AN47" i="22"/>
  <c r="AM47" i="22"/>
  <c r="AM27" i="22"/>
  <c r="AL27" i="22"/>
  <c r="AO34" i="22"/>
  <c r="AP34" i="22"/>
  <c r="BF12" i="83"/>
  <c r="V12" i="83" s="1"/>
  <c r="EJ38" i="22"/>
  <c r="AZ78" i="22"/>
  <c r="AT42" i="22"/>
  <c r="AV42" i="22"/>
  <c r="AQ136" i="1"/>
  <c r="DR22" i="22"/>
  <c r="DN13" i="22"/>
  <c r="AZ13" i="83"/>
  <c r="EA38" i="22"/>
  <c r="DS6" i="22"/>
  <c r="EG29" i="22"/>
  <c r="BG16" i="22"/>
  <c r="BF24" i="22"/>
  <c r="AF14" i="83"/>
  <c r="AE14" i="83"/>
  <c r="W50" i="83"/>
  <c r="DT38" i="22"/>
  <c r="ED35" i="22"/>
  <c r="V14" i="83"/>
  <c r="W14" i="83"/>
  <c r="AP50" i="22"/>
  <c r="AQ50" i="22"/>
  <c r="AR13" i="83"/>
  <c r="AO13" i="83"/>
  <c r="CN85" i="22"/>
  <c r="Y14" i="83"/>
  <c r="AQ8" i="22"/>
  <c r="DS13" i="22"/>
  <c r="AS5" i="22"/>
  <c r="AZ32" i="22"/>
  <c r="AT90" i="22"/>
  <c r="AV90" i="22"/>
  <c r="CG90" i="22"/>
  <c r="AX45" i="22"/>
  <c r="AY45" i="22"/>
  <c r="AK11" i="22"/>
  <c r="AL11" i="22"/>
  <c r="EH22" i="22"/>
  <c r="AP16" i="22"/>
  <c r="AQ16" i="22"/>
  <c r="AS78" i="22"/>
  <c r="AR78" i="22"/>
  <c r="AQ24" i="22"/>
  <c r="AP24" i="22"/>
  <c r="AP136" i="1"/>
  <c r="EC3" i="22"/>
  <c r="AY3" i="22" s="1"/>
  <c r="ED22" i="22"/>
  <c r="EF9" i="22"/>
  <c r="DY9" i="22"/>
  <c r="BD91" i="22"/>
  <c r="AX24" i="22"/>
  <c r="AW24" i="22"/>
  <c r="AS15" i="22"/>
  <c r="AT15" i="22"/>
  <c r="AN40" i="22"/>
  <c r="AM40" i="22"/>
  <c r="BB21" i="22"/>
  <c r="AN11" i="22"/>
  <c r="AO11" i="22"/>
  <c r="AY31" i="22"/>
  <c r="AZ31" i="22"/>
  <c r="AO42" i="22"/>
  <c r="DT13" i="22"/>
  <c r="DW22" i="22"/>
  <c r="AW30" i="22"/>
  <c r="AQ39" i="22"/>
  <c r="AR39" i="22"/>
  <c r="AK87" i="22"/>
  <c r="AL87" i="22"/>
  <c r="AM66" i="22"/>
  <c r="AL66" i="22"/>
  <c r="L5" i="83"/>
  <c r="M5" i="83"/>
  <c r="AV32" i="22"/>
  <c r="AT32" i="22"/>
  <c r="BG87" i="22"/>
  <c r="BF87" i="22"/>
  <c r="AW78" i="22"/>
  <c r="AX78" i="22"/>
  <c r="AV47" i="22"/>
  <c r="AW47" i="22"/>
  <c r="P5" i="83"/>
  <c r="Q5" i="83"/>
  <c r="AV13" i="83"/>
  <c r="AV136" i="1"/>
  <c r="DM13" i="22"/>
  <c r="EB9" i="22"/>
  <c r="EG35" i="22"/>
  <c r="AZ91" i="22"/>
  <c r="AT85" i="22"/>
  <c r="AV85" i="22"/>
  <c r="AV20" i="22"/>
  <c r="AW20" i="22"/>
  <c r="BG45" i="22"/>
  <c r="BF45" i="22"/>
  <c r="AT16" i="22"/>
  <c r="AV16" i="22"/>
  <c r="AN5" i="22"/>
  <c r="AM5" i="22"/>
  <c r="AT45" i="22"/>
  <c r="AS45" i="22"/>
  <c r="P15" i="83"/>
  <c r="O15" i="83"/>
  <c r="BG10" i="22"/>
  <c r="BF10" i="22"/>
  <c r="AK19" i="22"/>
  <c r="AL19" i="22"/>
  <c r="BC50" i="22"/>
  <c r="BB50" i="22"/>
  <c r="AZ42" i="22"/>
  <c r="AN30" i="22"/>
  <c r="BC34" i="22"/>
  <c r="AR38" i="83"/>
  <c r="AR136" i="1"/>
  <c r="AM13" i="83"/>
  <c r="C13" i="83" s="1"/>
  <c r="AX13" i="83"/>
  <c r="DO38" i="22"/>
  <c r="CZ3" i="22"/>
  <c r="CV3" i="22"/>
  <c r="CP3" i="22"/>
  <c r="DD3" i="22"/>
  <c r="CO3" i="22"/>
  <c r="BH3" i="83"/>
  <c r="CN3" i="22"/>
  <c r="DE3" i="22"/>
  <c r="CH3" i="22"/>
  <c r="DW9" i="22"/>
  <c r="CR20" i="22"/>
  <c r="BH12" i="83"/>
  <c r="Y12" i="83" s="1"/>
  <c r="DY35" i="22"/>
  <c r="EB38" i="22"/>
  <c r="EJ9" i="22"/>
  <c r="Z26" i="83"/>
  <c r="AA26" i="83"/>
  <c r="BE20" i="22"/>
  <c r="BF20" i="22"/>
  <c r="BB39" i="22"/>
  <c r="AZ50" i="22"/>
  <c r="AZ16" i="22"/>
  <c r="AY16" i="22"/>
  <c r="AN19" i="22"/>
  <c r="AM19" i="22"/>
  <c r="AZ15" i="22"/>
  <c r="AY15" i="22"/>
  <c r="BB42" i="22"/>
  <c r="BC42" i="22"/>
  <c r="AY40" i="22"/>
  <c r="AZ40" i="22"/>
  <c r="AT25" i="22"/>
  <c r="AV25" i="22"/>
  <c r="AR47" i="22"/>
  <c r="AQ47" i="22"/>
  <c r="BB11" i="22"/>
  <c r="BC11" i="22"/>
  <c r="AM21" i="22"/>
  <c r="AN21" i="22"/>
  <c r="BF30" i="22"/>
  <c r="BE30" i="22"/>
  <c r="BB40" i="22"/>
  <c r="BC40" i="22"/>
  <c r="BD30" i="22"/>
  <c r="BC30" i="22"/>
  <c r="AS19" i="22"/>
  <c r="AT11" i="22"/>
  <c r="AS11" i="22"/>
  <c r="BB10" i="22"/>
  <c r="AL85" i="22"/>
  <c r="AM85" i="22"/>
  <c r="BC47" i="22"/>
  <c r="BD47" i="22"/>
  <c r="AX5" i="22"/>
  <c r="AW5" i="22"/>
  <c r="AX20" i="22"/>
  <c r="DO9" i="22"/>
  <c r="DP29" i="22"/>
  <c r="DW29" i="22"/>
  <c r="AR29" i="22" s="1"/>
  <c r="DQ29" i="22"/>
  <c r="AM81" i="22"/>
  <c r="DS38" i="22"/>
  <c r="AT12" i="83"/>
  <c r="J12" i="83" s="1"/>
  <c r="BD13" i="83"/>
  <c r="AR33" i="22"/>
  <c r="O12" i="83"/>
  <c r="DZ35" i="22"/>
  <c r="DZ29" i="22"/>
  <c r="DX22" i="22"/>
  <c r="DZ38" i="22"/>
  <c r="EA22" i="22"/>
  <c r="EB22" i="22"/>
  <c r="EE38" i="22"/>
  <c r="X50" i="83"/>
  <c r="BB34" i="22"/>
  <c r="EF35" i="22"/>
  <c r="BD15" i="22"/>
  <c r="DW6" i="22"/>
  <c r="DO6" i="22"/>
  <c r="AJ6" i="22" s="1"/>
  <c r="EB6" i="22"/>
  <c r="AY6" i="22" s="1"/>
  <c r="L32" i="83"/>
  <c r="EH35" i="22"/>
  <c r="AO32" i="22"/>
  <c r="BC32" i="22"/>
  <c r="AJ17" i="22"/>
  <c r="AG50" i="22"/>
  <c r="DO35" i="22"/>
  <c r="CS3" i="22"/>
  <c r="DN3" i="22"/>
  <c r="CU3" i="22"/>
  <c r="CX3" i="22"/>
  <c r="DI3" i="22"/>
  <c r="CW3" i="22"/>
  <c r="DA3" i="22"/>
  <c r="DF3" i="22"/>
  <c r="DG3" i="22"/>
  <c r="DP38" i="22"/>
  <c r="DS9" i="22"/>
  <c r="DV35" i="22"/>
  <c r="AN13" i="83"/>
  <c r="DW38" i="22"/>
  <c r="BM12" i="83"/>
  <c r="AD12" i="83" s="1"/>
  <c r="BC12" i="83"/>
  <c r="T12" i="83" s="1"/>
  <c r="DY29" i="22"/>
  <c r="DX38" i="22"/>
  <c r="EA9" i="22"/>
  <c r="EA35" i="22"/>
  <c r="EB29" i="22"/>
  <c r="AX39" i="22"/>
  <c r="EF3" i="22"/>
  <c r="BC3" i="22" s="1"/>
  <c r="AZ66" i="22"/>
  <c r="EE22" i="22"/>
  <c r="DZ9" i="22"/>
  <c r="DX6" i="22"/>
  <c r="EA6" i="22"/>
  <c r="DT6" i="22"/>
  <c r="AT91" i="22"/>
  <c r="BF34" i="22"/>
  <c r="EH29" i="22"/>
  <c r="BD10" i="22"/>
  <c r="BF16" i="22"/>
  <c r="BG11" i="22"/>
  <c r="CS85" i="22"/>
  <c r="F39" i="83"/>
  <c r="U5" i="83"/>
  <c r="AI24" i="83"/>
  <c r="K33" i="83"/>
  <c r="AJ25" i="22"/>
  <c r="DP9" i="22"/>
  <c r="DR35" i="22"/>
  <c r="DU22" i="22"/>
  <c r="DV38" i="22"/>
  <c r="BA13" i="83"/>
  <c r="BQ12" i="83"/>
  <c r="AG12" i="83" s="1"/>
  <c r="AX14" i="22"/>
  <c r="ED9" i="22"/>
  <c r="EE3" i="22"/>
  <c r="DQ6" i="22"/>
  <c r="DU6" i="22"/>
  <c r="M32" i="83"/>
  <c r="EI29" i="22"/>
  <c r="EC22" i="22"/>
  <c r="BD66" i="22"/>
  <c r="BF6" i="22"/>
  <c r="AI25" i="83"/>
  <c r="AH45" i="22"/>
  <c r="AJ21" i="22"/>
  <c r="DM3" i="22"/>
  <c r="DB3" i="22"/>
  <c r="CL3" i="22"/>
  <c r="DO3" i="22"/>
  <c r="AK3" i="22" s="1"/>
  <c r="BP3" i="83"/>
  <c r="AY3" i="83"/>
  <c r="AR3" i="83"/>
  <c r="CJ3" i="22"/>
  <c r="DR29" i="22"/>
  <c r="AN29" i="22" s="1"/>
  <c r="AI88" i="22"/>
  <c r="DU13" i="22"/>
  <c r="DF13" i="22"/>
  <c r="DW13" i="22"/>
  <c r="BG12" i="83"/>
  <c r="EC35" i="22"/>
  <c r="ED38" i="22"/>
  <c r="DY22" i="22"/>
  <c r="AX7" i="22"/>
  <c r="EE35" i="22"/>
  <c r="EH38" i="22"/>
  <c r="EC38" i="22"/>
  <c r="DR6" i="22"/>
  <c r="DP6" i="22"/>
  <c r="ED29" i="22"/>
  <c r="EF29" i="22"/>
  <c r="EI38" i="22"/>
  <c r="EK38" i="22"/>
  <c r="BH38" i="22" s="1"/>
  <c r="AJ32" i="22"/>
  <c r="EK22" i="22"/>
  <c r="BH22" i="22" s="1"/>
  <c r="DQ22" i="22"/>
  <c r="BD24" i="22"/>
  <c r="EJ35" i="22"/>
  <c r="BE39" i="22"/>
  <c r="CL85" i="22"/>
  <c r="AH23" i="83"/>
  <c r="DO22" i="22"/>
  <c r="DQ35" i="22"/>
  <c r="DS35" i="22"/>
  <c r="DS22" i="22"/>
  <c r="DT9" i="22"/>
  <c r="AO88" i="22"/>
  <c r="DV22" i="22"/>
  <c r="DJ13" i="22"/>
  <c r="BS11" i="83"/>
  <c r="AI11" i="83" s="1"/>
  <c r="DV11" i="22"/>
  <c r="AR11" i="22" s="1"/>
  <c r="DO13" i="22"/>
  <c r="BJ13" i="83"/>
  <c r="DW35" i="22"/>
  <c r="DO20" i="22"/>
  <c r="AK20" i="22" s="1"/>
  <c r="BL12" i="83"/>
  <c r="AB12" i="83" s="1"/>
  <c r="DU29" i="22"/>
  <c r="AP29" i="22" s="1"/>
  <c r="DN22" i="22"/>
  <c r="EA29" i="22"/>
  <c r="EC9" i="22"/>
  <c r="ED3" i="22"/>
  <c r="EF38" i="22"/>
  <c r="EH9" i="22"/>
  <c r="EF22" i="22"/>
  <c r="EI22" i="22"/>
  <c r="EI9" i="22"/>
  <c r="EH21" i="22"/>
  <c r="EE29" i="22"/>
  <c r="EI35" i="22"/>
  <c r="BF50" i="22"/>
  <c r="BG8" i="22"/>
  <c r="CJ85" i="22"/>
  <c r="BS136" i="1"/>
  <c r="AJ66" i="22"/>
  <c r="D39" i="83"/>
  <c r="DH3" i="22"/>
  <c r="AV3" i="83"/>
  <c r="BD3" i="83"/>
  <c r="DL3" i="22"/>
  <c r="DJ3" i="22"/>
  <c r="AW3" i="83"/>
  <c r="CI3" i="22"/>
  <c r="DV9" i="22"/>
  <c r="AR88" i="22"/>
  <c r="DU35" i="22"/>
  <c r="BE13" i="83"/>
  <c r="DK13" i="22"/>
  <c r="DR13" i="22"/>
  <c r="CF4" i="2"/>
  <c r="CF8" i="2" s="1"/>
  <c r="CF11" i="2" s="1"/>
  <c r="CF16" i="2" s="1"/>
  <c r="DX9" i="22"/>
  <c r="AC50" i="22"/>
  <c r="DY38" i="22"/>
  <c r="EG38" i="22"/>
  <c r="EK9" i="22"/>
  <c r="BH9" i="22" s="1"/>
  <c r="DZ6" i="22"/>
  <c r="EJ22" i="22"/>
  <c r="EK35" i="22"/>
  <c r="EK29" i="22"/>
  <c r="DT35" i="22"/>
  <c r="BE5" i="22"/>
  <c r="BD39" i="22"/>
  <c r="DZ22" i="22"/>
  <c r="BG40" i="22"/>
  <c r="BG3" i="22"/>
  <c r="L32" i="22"/>
  <c r="M32" i="22"/>
  <c r="W32" i="83"/>
  <c r="Z32" i="22"/>
  <c r="AC32" i="83"/>
  <c r="AC32" i="22"/>
  <c r="BG23" i="22"/>
  <c r="Z32" i="83"/>
  <c r="BD14" i="22"/>
  <c r="AI32" i="22"/>
  <c r="Y32" i="22"/>
  <c r="K32" i="22"/>
  <c r="W32" i="22"/>
  <c r="AB32" i="22"/>
  <c r="O32" i="22"/>
  <c r="AB32" i="83"/>
  <c r="K32" i="83"/>
  <c r="BE14" i="22"/>
  <c r="AF32" i="22"/>
  <c r="O32" i="83"/>
  <c r="AF32" i="83"/>
  <c r="AA32" i="22"/>
  <c r="N32" i="22"/>
  <c r="X32" i="22"/>
  <c r="AA32" i="83"/>
  <c r="V32" i="22"/>
  <c r="N32" i="83"/>
  <c r="X32" i="83"/>
  <c r="V32" i="83"/>
  <c r="BG4" i="22"/>
  <c r="AA4" i="83"/>
  <c r="BF23" i="22"/>
  <c r="G4" i="83"/>
  <c r="BB6" i="22"/>
  <c r="BC6" i="22"/>
  <c r="AZ6" i="22"/>
  <c r="U4" i="83"/>
  <c r="BD4" i="22"/>
  <c r="Y4" i="83"/>
  <c r="AZ4" i="22"/>
  <c r="BE4" i="22"/>
  <c r="AS4" i="22"/>
  <c r="K4" i="83"/>
  <c r="X4" i="83"/>
  <c r="H4" i="83"/>
  <c r="S4" i="83"/>
  <c r="AP5" i="15"/>
  <c r="AP8" i="15" s="1"/>
  <c r="AP10" i="15" s="1"/>
  <c r="AP14" i="15" s="1"/>
  <c r="AN136" i="1"/>
  <c r="BS4" i="83"/>
  <c r="AI4" i="83" s="1"/>
  <c r="BV136" i="1"/>
  <c r="AF5" i="15"/>
  <c r="AF8" i="15" s="1"/>
  <c r="AF10" i="15" s="1"/>
  <c r="AF12" i="15" s="1"/>
  <c r="AD136" i="1"/>
  <c r="AD4" i="83"/>
  <c r="AE4" i="83"/>
  <c r="AT4" i="22"/>
  <c r="AQ6" i="42"/>
  <c r="AQ8" i="42" s="1"/>
  <c r="AQ9" i="42" s="1"/>
  <c r="AQ14" i="42" s="1"/>
  <c r="AO136" i="1"/>
  <c r="DQ4" i="22"/>
  <c r="AL4" i="22" s="1"/>
  <c r="BY136" i="1"/>
  <c r="DU4" i="22"/>
  <c r="AQ4" i="22" s="1"/>
  <c r="CC136" i="1"/>
  <c r="T4" i="83"/>
  <c r="AK5" i="15"/>
  <c r="AK8" i="15" s="1"/>
  <c r="AK10" i="15" s="1"/>
  <c r="AK14" i="15" s="1"/>
  <c r="AI136" i="1"/>
  <c r="AL5" i="15"/>
  <c r="AL8" i="15" s="1"/>
  <c r="AL10" i="15" s="1"/>
  <c r="AL14" i="15" s="1"/>
  <c r="AJ136" i="1"/>
  <c r="CB5" i="15"/>
  <c r="CB8" i="15" s="1"/>
  <c r="CB10" i="15" s="1"/>
  <c r="CB14" i="15" s="1"/>
  <c r="BZ136" i="1"/>
  <c r="BF4" i="22"/>
  <c r="BD23" i="22"/>
  <c r="BE23" i="22"/>
  <c r="BC14" i="22"/>
  <c r="CG32" i="22"/>
  <c r="C32" i="22" s="1"/>
  <c r="BB4" i="22"/>
  <c r="BC4" i="22"/>
  <c r="BB23" i="22"/>
  <c r="BC23" i="22"/>
  <c r="BB14" i="22"/>
  <c r="AY14" i="22"/>
  <c r="AZ14" i="22"/>
  <c r="AZ23" i="22"/>
  <c r="AE50" i="83"/>
  <c r="AF50" i="83"/>
  <c r="AA50" i="83"/>
  <c r="AY4" i="22"/>
  <c r="AG50" i="83"/>
  <c r="Z50" i="83"/>
  <c r="W50" i="22"/>
  <c r="AD50" i="22"/>
  <c r="Y50" i="83"/>
  <c r="AB50" i="83"/>
  <c r="AI42" i="83"/>
  <c r="AH50" i="83"/>
  <c r="AI50" i="83"/>
  <c r="AX4" i="22"/>
  <c r="CG67" i="22"/>
  <c r="C67" i="22" s="1"/>
  <c r="CG30" i="22"/>
  <c r="C30" i="22" s="1"/>
  <c r="CG23" i="22"/>
  <c r="C23" i="22" s="1"/>
  <c r="AW14" i="22"/>
  <c r="AV4" i="22"/>
  <c r="AW4" i="22"/>
  <c r="AX23" i="22"/>
  <c r="AY23" i="22"/>
  <c r="CG83" i="22"/>
  <c r="C83" i="22" s="1"/>
  <c r="CG14" i="22"/>
  <c r="C14" i="22" s="1"/>
  <c r="CG41" i="22"/>
  <c r="C41" i="22" s="1"/>
  <c r="CG80" i="22"/>
  <c r="C80" i="22" s="1"/>
  <c r="CG39" i="22"/>
  <c r="C39" i="22" s="1"/>
  <c r="CG27" i="22"/>
  <c r="C27" i="22" s="1"/>
  <c r="CG66" i="22"/>
  <c r="CG26" i="22"/>
  <c r="AV23" i="22"/>
  <c r="AW23" i="22"/>
  <c r="CG50" i="22"/>
  <c r="CG47" i="22"/>
  <c r="C47" i="22" s="1"/>
  <c r="CG19" i="22"/>
  <c r="CG16" i="22"/>
  <c r="C16" i="22" s="1"/>
  <c r="CG43" i="22"/>
  <c r="C43" i="22" s="1"/>
  <c r="CG34" i="22"/>
  <c r="Y13" i="2"/>
  <c r="AI24" i="22"/>
  <c r="BX6" i="42"/>
  <c r="BX8" i="42" s="1"/>
  <c r="BX9" i="42" s="1"/>
  <c r="BX14" i="42" s="1"/>
  <c r="BS22" i="83"/>
  <c r="AI23" i="22"/>
  <c r="CE6" i="42"/>
  <c r="CE8" i="42" s="1"/>
  <c r="CE9" i="42" s="1"/>
  <c r="CE14" i="42" s="1"/>
  <c r="DN4" i="22"/>
  <c r="AJ4" i="22" s="1"/>
  <c r="BX5" i="15"/>
  <c r="BX8" i="15" s="1"/>
  <c r="BX10" i="15" s="1"/>
  <c r="BX14" i="15" s="1"/>
  <c r="CA5" i="15"/>
  <c r="CA8" i="15" s="1"/>
  <c r="CA10" i="15" s="1"/>
  <c r="CA14" i="15" s="1"/>
  <c r="CA6" i="42"/>
  <c r="CA8" i="42" s="1"/>
  <c r="CA9" i="42" s="1"/>
  <c r="CA14" i="42" s="1"/>
  <c r="AS14" i="22"/>
  <c r="CE5" i="15"/>
  <c r="CE8" i="15" s="1"/>
  <c r="CE10" i="15" s="1"/>
  <c r="CE14" i="15" s="1"/>
  <c r="CB6" i="42"/>
  <c r="CB8" i="42" s="1"/>
  <c r="CB9" i="42" s="1"/>
  <c r="CB14" i="42" s="1"/>
  <c r="AV14" i="22"/>
  <c r="AT14" i="22"/>
  <c r="DR4" i="22"/>
  <c r="AS23" i="22"/>
  <c r="AO23" i="22"/>
  <c r="P12" i="83"/>
  <c r="BR4" i="2"/>
  <c r="BR8" i="2" s="1"/>
  <c r="BR11" i="2" s="1"/>
  <c r="BR16" i="2" s="1"/>
  <c r="DL12" i="22"/>
  <c r="AG12" i="22" s="1"/>
  <c r="BM4" i="2"/>
  <c r="BM8" i="2" s="1"/>
  <c r="BM11" i="2" s="1"/>
  <c r="BM16" i="2" s="1"/>
  <c r="BQ4" i="2"/>
  <c r="BQ8" i="2" s="1"/>
  <c r="BQ11" i="2" s="1"/>
  <c r="BQ16" i="2" s="1"/>
  <c r="BV4" i="2"/>
  <c r="BV8" i="2" s="1"/>
  <c r="BV11" i="2" s="1"/>
  <c r="BH4" i="2"/>
  <c r="BH8" i="2" s="1"/>
  <c r="BH11" i="2" s="1"/>
  <c r="BH16" i="2" s="1"/>
  <c r="DH12" i="22"/>
  <c r="AD12" i="22" s="1"/>
  <c r="CX12" i="22"/>
  <c r="BK4" i="2"/>
  <c r="BK8" i="2" s="1"/>
  <c r="BK11" i="2" s="1"/>
  <c r="BK16" i="2" s="1"/>
  <c r="DA12" i="22"/>
  <c r="V12" i="22" s="1"/>
  <c r="BL4" i="2"/>
  <c r="BL8" i="2" s="1"/>
  <c r="BL11" i="2" s="1"/>
  <c r="BL16" i="2" s="1"/>
  <c r="DC12" i="22"/>
  <c r="Y12" i="22" s="1"/>
  <c r="AW20" i="83"/>
  <c r="DG12" i="22"/>
  <c r="AB12" i="22" s="1"/>
  <c r="DV12" i="22"/>
  <c r="M12" i="22"/>
  <c r="DB12" i="22"/>
  <c r="AL20" i="22"/>
  <c r="AQ20" i="22"/>
  <c r="AM20" i="22"/>
  <c r="AP20" i="22"/>
  <c r="AY13" i="83"/>
  <c r="CT13" i="22"/>
  <c r="AN20" i="22"/>
  <c r="AO20" i="22"/>
  <c r="I21" i="29"/>
  <c r="I18" i="29"/>
  <c r="K18" i="29"/>
  <c r="K21" i="29"/>
  <c r="AQ18" i="29"/>
  <c r="AQ21" i="29"/>
  <c r="AR20" i="22"/>
  <c r="M18" i="29"/>
  <c r="M21" i="29"/>
  <c r="AE18" i="29"/>
  <c r="AE21" i="29"/>
  <c r="AR18" i="29"/>
  <c r="AR21" i="29"/>
  <c r="AJ18" i="29"/>
  <c r="AJ21" i="29"/>
  <c r="CO12" i="22"/>
  <c r="K12" i="22" s="1"/>
  <c r="AY4" i="2"/>
  <c r="AY8" i="2" s="1"/>
  <c r="AY11" i="2" s="1"/>
  <c r="AY16" i="2" s="1"/>
  <c r="DE13" i="22"/>
  <c r="AR23" i="22"/>
  <c r="CU13" i="22"/>
  <c r="AR4" i="22"/>
  <c r="AQ14" i="22"/>
  <c r="AR14" i="22"/>
  <c r="AA12" i="22"/>
  <c r="BK13" i="83"/>
  <c r="BP13" i="83"/>
  <c r="Z13" i="2"/>
  <c r="U12" i="22"/>
  <c r="DN11" i="22"/>
  <c r="AJ11" i="22" s="1"/>
  <c r="CI13" i="22"/>
  <c r="AN12" i="22"/>
  <c r="CV13" i="22"/>
  <c r="AE12" i="22"/>
  <c r="BO13" i="83"/>
  <c r="AI12" i="22"/>
  <c r="BN13" i="83"/>
  <c r="DI13" i="22"/>
  <c r="R26" i="22"/>
  <c r="BR13" i="83"/>
  <c r="S26" i="22"/>
  <c r="Z12" i="22"/>
  <c r="CZ13" i="22"/>
  <c r="BS13" i="83"/>
  <c r="DD13" i="22"/>
  <c r="BI13" i="83"/>
  <c r="AH13" i="2"/>
  <c r="CY13" i="22"/>
  <c r="AF12" i="22"/>
  <c r="DP12" i="22"/>
  <c r="BZ4" i="2"/>
  <c r="BZ8" i="2" s="1"/>
  <c r="BZ11" i="2" s="1"/>
  <c r="BZ16" i="2" s="1"/>
  <c r="DF15" i="22"/>
  <c r="AB15" i="22" s="1"/>
  <c r="AP23" i="22"/>
  <c r="AQ23" i="22"/>
  <c r="AO14" i="22"/>
  <c r="AK4" i="22"/>
  <c r="CQ3" i="22"/>
  <c r="AN3" i="83"/>
  <c r="CR3" i="22"/>
  <c r="AO4" i="22"/>
  <c r="AN23" i="22"/>
  <c r="AN14" i="22"/>
  <c r="AM23" i="22"/>
  <c r="AM14" i="22"/>
  <c r="AT3" i="83"/>
  <c r="AM3" i="83"/>
  <c r="C3" i="83" s="1"/>
  <c r="AU3" i="83"/>
  <c r="M43" i="22"/>
  <c r="AS3" i="83"/>
  <c r="AL23" i="22"/>
  <c r="DC3" i="22"/>
  <c r="AF25" i="22"/>
  <c r="I66" i="22"/>
  <c r="AC42" i="22"/>
  <c r="AI10" i="83"/>
  <c r="AH10" i="83"/>
  <c r="R10" i="22"/>
  <c r="CY3" i="22"/>
  <c r="BO3" i="83"/>
  <c r="BM3" i="83"/>
  <c r="BQ3" i="83"/>
  <c r="V24" i="22"/>
  <c r="BE3" i="83"/>
  <c r="BI3" i="83"/>
  <c r="BJ3" i="83"/>
  <c r="CT3" i="22"/>
  <c r="AO3" i="83"/>
  <c r="CM3" i="22"/>
  <c r="BA3" i="83"/>
  <c r="DK3" i="22"/>
  <c r="AC21" i="83"/>
  <c r="AC7" i="22"/>
  <c r="AQ3" i="83"/>
  <c r="BG3" i="83"/>
  <c r="BR3" i="83"/>
  <c r="AX3" i="83"/>
  <c r="AK23" i="22"/>
  <c r="I19" i="22"/>
  <c r="AA29" i="22"/>
  <c r="D45" i="22"/>
  <c r="R80" i="83"/>
  <c r="AG34" i="22"/>
  <c r="AF25" i="83"/>
  <c r="BK3" i="83"/>
  <c r="BB3" i="83"/>
  <c r="BN3" i="83"/>
  <c r="BL3" i="83"/>
  <c r="BS3" i="83"/>
  <c r="BF3" i="83"/>
  <c r="AZ3" i="83"/>
  <c r="BC3" i="83"/>
  <c r="AK14" i="22"/>
  <c r="AL14" i="22"/>
  <c r="AG30" i="22"/>
  <c r="G32" i="22"/>
  <c r="P16" i="22"/>
  <c r="AJ14" i="22"/>
  <c r="AI42" i="22"/>
  <c r="AJ42" i="22"/>
  <c r="AJ23" i="22"/>
  <c r="G40" i="22"/>
  <c r="L10" i="22"/>
  <c r="M34" i="22"/>
  <c r="T21" i="22"/>
  <c r="K42" i="22"/>
  <c r="I40" i="22"/>
  <c r="N26" i="22"/>
  <c r="F32" i="22"/>
  <c r="J42" i="22"/>
  <c r="I42" i="22"/>
  <c r="O26" i="22"/>
  <c r="L66" i="22"/>
  <c r="N34" i="22"/>
  <c r="J19" i="22"/>
  <c r="AE24" i="22"/>
  <c r="AF20" i="22"/>
  <c r="H47" i="22"/>
  <c r="H43" i="22"/>
  <c r="Y66" i="22"/>
  <c r="AI40" i="22"/>
  <c r="AB21" i="22"/>
  <c r="AF66" i="22"/>
  <c r="AI34" i="22"/>
  <c r="T43" i="22"/>
  <c r="X11" i="22"/>
  <c r="AF34" i="22"/>
  <c r="H31" i="22"/>
  <c r="AA21" i="22"/>
  <c r="AE5" i="22"/>
  <c r="X42" i="22"/>
  <c r="AF15" i="22"/>
  <c r="D27" i="22"/>
  <c r="R16" i="22"/>
  <c r="AE15" i="22"/>
  <c r="Y42" i="22"/>
  <c r="AD42" i="22"/>
  <c r="G31" i="22"/>
  <c r="Z43" i="22"/>
  <c r="AB66" i="22"/>
  <c r="Y19" i="22"/>
  <c r="W43" i="22"/>
  <c r="T31" i="22"/>
  <c r="AD5" i="22"/>
  <c r="AI31" i="22"/>
  <c r="U43" i="22"/>
  <c r="M47" i="22"/>
  <c r="AG19" i="22"/>
  <c r="AG42" i="22"/>
  <c r="R28" i="22"/>
  <c r="AC40" i="22"/>
  <c r="J25" i="22"/>
  <c r="Y27" i="22"/>
  <c r="R66" i="83"/>
  <c r="AE8" i="22"/>
  <c r="U34" i="22"/>
  <c r="S34" i="22"/>
  <c r="AC6" i="22"/>
  <c r="U25" i="22"/>
  <c r="E25" i="22"/>
  <c r="W39" i="22"/>
  <c r="O47" i="22"/>
  <c r="AG66" i="22"/>
  <c r="K17" i="22"/>
  <c r="Y25" i="22"/>
  <c r="Y11" i="22"/>
  <c r="AF30" i="22"/>
  <c r="X43" i="22"/>
  <c r="P24" i="22"/>
  <c r="AG16" i="22"/>
  <c r="O34" i="22"/>
  <c r="AI47" i="22"/>
  <c r="K34" i="22"/>
  <c r="AD24" i="22"/>
  <c r="P50" i="22"/>
  <c r="V25" i="22"/>
  <c r="P6" i="22"/>
  <c r="L24" i="22"/>
  <c r="AB42" i="22"/>
  <c r="X19" i="22"/>
  <c r="E46" i="22"/>
  <c r="AD40" i="22"/>
  <c r="X24" i="22"/>
  <c r="T39" i="22"/>
  <c r="H66" i="22"/>
  <c r="J47" i="22"/>
  <c r="AB8" i="22"/>
  <c r="AE6" i="22"/>
  <c r="T24" i="22"/>
  <c r="Z33" i="22"/>
  <c r="S27" i="22"/>
  <c r="V39" i="22"/>
  <c r="AI81" i="22"/>
  <c r="W28" i="22"/>
  <c r="E42" i="22"/>
  <c r="G11" i="22"/>
  <c r="N11" i="22"/>
  <c r="L11" i="22"/>
  <c r="V21" i="22"/>
  <c r="Q40" i="22"/>
  <c r="AF21" i="22"/>
  <c r="P25" i="22"/>
  <c r="W20" i="83"/>
  <c r="AE27" i="22"/>
  <c r="S31" i="22"/>
  <c r="X25" i="83"/>
  <c r="E47" i="22"/>
  <c r="AA17" i="22"/>
  <c r="P10" i="22"/>
  <c r="AE21" i="22"/>
  <c r="K50" i="22"/>
  <c r="W17" i="22"/>
  <c r="E28" i="83"/>
  <c r="H24" i="22"/>
  <c r="T40" i="22"/>
  <c r="N28" i="22"/>
  <c r="AA33" i="22"/>
  <c r="AG28" i="22"/>
  <c r="M19" i="22"/>
  <c r="J39" i="22"/>
  <c r="AI8" i="83"/>
  <c r="K23" i="22"/>
  <c r="X41" i="22"/>
  <c r="U50" i="22"/>
  <c r="W20" i="22"/>
  <c r="V16" i="22"/>
  <c r="U21" i="22"/>
  <c r="G26" i="22"/>
  <c r="AD10" i="22"/>
  <c r="Y21" i="83"/>
  <c r="D32" i="22"/>
  <c r="I39" i="22"/>
  <c r="P27" i="22"/>
  <c r="L17" i="22"/>
  <c r="I32" i="22"/>
  <c r="AA24" i="22"/>
  <c r="AD20" i="83"/>
  <c r="P19" i="83"/>
  <c r="AG21" i="22"/>
  <c r="AE47" i="22"/>
  <c r="D25" i="22"/>
  <c r="J34" i="22"/>
  <c r="Z20" i="22"/>
  <c r="S6" i="22"/>
  <c r="AB24" i="22"/>
  <c r="AB10" i="22"/>
  <c r="AB6" i="22"/>
  <c r="H26" i="22"/>
  <c r="E32" i="22"/>
  <c r="G67" i="22"/>
  <c r="H16" i="22"/>
  <c r="AH5" i="22"/>
  <c r="AG7" i="22"/>
  <c r="AH27" i="22"/>
  <c r="AB39" i="22"/>
  <c r="V28" i="22"/>
  <c r="S43" i="22"/>
  <c r="G27" i="22"/>
  <c r="O19" i="22"/>
  <c r="H39" i="22"/>
  <c r="W83" i="22"/>
  <c r="S21" i="22"/>
  <c r="AE8" i="83"/>
  <c r="N43" i="22"/>
  <c r="U41" i="22"/>
  <c r="I16" i="22"/>
  <c r="M24" i="22"/>
  <c r="AC66" i="22"/>
  <c r="O50" i="22"/>
  <c r="W19" i="22"/>
  <c r="N47" i="22"/>
  <c r="O28" i="22"/>
  <c r="L42" i="22"/>
  <c r="AH43" i="22"/>
  <c r="AF81" i="22"/>
  <c r="M11" i="22"/>
  <c r="AA19" i="22"/>
  <c r="AE66" i="22"/>
  <c r="X20" i="22"/>
  <c r="U42" i="22"/>
  <c r="P42" i="22"/>
  <c r="AE27" i="83"/>
  <c r="I25" i="83"/>
  <c r="Y16" i="22"/>
  <c r="D11" i="22"/>
  <c r="O66" i="22"/>
  <c r="J67" i="22"/>
  <c r="R24" i="22"/>
  <c r="N19" i="22"/>
  <c r="I43" i="22"/>
  <c r="F42" i="22"/>
  <c r="S41" i="22"/>
  <c r="AG6" i="22"/>
  <c r="R31" i="22"/>
  <c r="U28" i="22"/>
  <c r="Z25" i="22"/>
  <c r="AF47" i="22"/>
  <c r="J41" i="22"/>
  <c r="Y24" i="22"/>
  <c r="J40" i="22"/>
  <c r="AA8" i="22"/>
  <c r="AE40" i="22"/>
  <c r="AF6" i="22"/>
  <c r="AA10" i="22"/>
  <c r="U24" i="22"/>
  <c r="S10" i="22"/>
  <c r="K10" i="22"/>
  <c r="AC8" i="22"/>
  <c r="AD30" i="22"/>
  <c r="M39" i="22"/>
  <c r="O6" i="22"/>
  <c r="Z21" i="22"/>
  <c r="X6" i="22"/>
  <c r="L14" i="22"/>
  <c r="K67" i="22"/>
  <c r="Z4" i="22"/>
  <c r="K41" i="22"/>
  <c r="M42" i="22"/>
  <c r="AI21" i="22"/>
  <c r="Z42" i="22"/>
  <c r="I25" i="22"/>
  <c r="O31" i="22"/>
  <c r="K11" i="22"/>
  <c r="O6" i="83"/>
  <c r="AG20" i="22"/>
  <c r="AG43" i="22"/>
  <c r="I27" i="22"/>
  <c r="J66" i="22"/>
  <c r="AD25" i="22"/>
  <c r="AC11" i="22"/>
  <c r="AE30" i="22"/>
  <c r="AD66" i="22"/>
  <c r="M41" i="22"/>
  <c r="AH24" i="83"/>
  <c r="AG40" i="22"/>
  <c r="AB31" i="22"/>
  <c r="N41" i="22"/>
  <c r="Y43" i="22"/>
  <c r="AB40" i="22"/>
  <c r="P25" i="83"/>
  <c r="T19" i="83"/>
  <c r="D46" i="22"/>
  <c r="F31" i="22"/>
  <c r="O17" i="22"/>
  <c r="N66" i="22"/>
  <c r="AE31" i="22"/>
  <c r="V41" i="22"/>
  <c r="Y20" i="22"/>
  <c r="P23" i="83"/>
  <c r="Q10" i="22"/>
  <c r="AH16" i="22"/>
  <c r="AD16" i="22"/>
  <c r="AC15" i="22"/>
  <c r="M27" i="22"/>
  <c r="R40" i="22"/>
  <c r="P28" i="22"/>
  <c r="AI25" i="22"/>
  <c r="I80" i="22"/>
  <c r="Q41" i="22"/>
  <c r="E41" i="22"/>
  <c r="R17" i="22"/>
  <c r="T66" i="22"/>
  <c r="Z10" i="22"/>
  <c r="U6" i="22"/>
  <c r="J27" i="22"/>
  <c r="AE19" i="22"/>
  <c r="AD11" i="22"/>
  <c r="T50" i="22"/>
  <c r="G41" i="22"/>
  <c r="Z30" i="22"/>
  <c r="Y34" i="22"/>
  <c r="T27" i="22"/>
  <c r="T30" i="22"/>
  <c r="R34" i="22"/>
  <c r="K47" i="22"/>
  <c r="K26" i="22"/>
  <c r="L41" i="22"/>
  <c r="L23" i="83"/>
  <c r="AD19" i="22"/>
  <c r="Z8" i="22"/>
  <c r="P4" i="83"/>
  <c r="AE43" i="22"/>
  <c r="S28" i="22"/>
  <c r="E16" i="22"/>
  <c r="AF27" i="22"/>
  <c r="L19" i="83"/>
  <c r="AE39" i="22"/>
  <c r="AG25" i="83"/>
  <c r="D24" i="22"/>
  <c r="E30" i="22"/>
  <c r="E19" i="22"/>
  <c r="AA27" i="22"/>
  <c r="AI6" i="22"/>
  <c r="AB7" i="22"/>
  <c r="AD25" i="83"/>
  <c r="N50" i="22"/>
  <c r="L26" i="22"/>
  <c r="P31" i="22"/>
  <c r="AG47" i="22"/>
  <c r="R66" i="22"/>
  <c r="K24" i="22"/>
  <c r="AF33" i="22"/>
  <c r="R43" i="22"/>
  <c r="O43" i="22"/>
  <c r="E46" i="83"/>
  <c r="AB27" i="83"/>
  <c r="AF24" i="22"/>
  <c r="W11" i="22"/>
  <c r="Z6" i="83"/>
  <c r="S19" i="22"/>
  <c r="AH33" i="22"/>
  <c r="AC81" i="22"/>
  <c r="AF40" i="22"/>
  <c r="U27" i="83"/>
  <c r="N10" i="22"/>
  <c r="AF42" i="22"/>
  <c r="S24" i="83"/>
  <c r="AB33" i="22"/>
  <c r="AD31" i="83"/>
  <c r="S66" i="22"/>
  <c r="Z66" i="22"/>
  <c r="I47" i="22"/>
  <c r="E24" i="22"/>
  <c r="K66" i="22"/>
  <c r="R11" i="22"/>
  <c r="W24" i="22"/>
  <c r="AB16" i="22"/>
  <c r="Y39" i="22"/>
  <c r="Z31" i="22"/>
  <c r="X34" i="22"/>
  <c r="K31" i="22"/>
  <c r="T6" i="22"/>
  <c r="Q66" i="22"/>
  <c r="P34" i="22"/>
  <c r="G47" i="22"/>
  <c r="O39" i="22"/>
  <c r="Y21" i="22"/>
  <c r="AA20" i="22"/>
  <c r="W30" i="22"/>
  <c r="U11" i="22"/>
  <c r="Q19" i="22"/>
  <c r="M30" i="22"/>
  <c r="G66" i="22"/>
  <c r="H40" i="22"/>
  <c r="AC19" i="22"/>
  <c r="AD20" i="22"/>
  <c r="W31" i="22"/>
  <c r="AA31" i="22"/>
  <c r="AI20" i="22"/>
  <c r="R39" i="22"/>
  <c r="O30" i="22"/>
  <c r="E67" i="22"/>
  <c r="Z39" i="22"/>
  <c r="Z47" i="22"/>
  <c r="W34" i="22"/>
  <c r="AC47" i="22"/>
  <c r="L27" i="22"/>
  <c r="N24" i="83"/>
  <c r="S47" i="22"/>
  <c r="AA25" i="22"/>
  <c r="T28" i="22"/>
  <c r="AB19" i="22"/>
  <c r="AE20" i="22"/>
  <c r="P66" i="22"/>
  <c r="Y17" i="83"/>
  <c r="X39" i="22"/>
  <c r="N39" i="22"/>
  <c r="K16" i="22"/>
  <c r="Q17" i="83"/>
  <c r="D36" i="22"/>
  <c r="F47" i="22"/>
  <c r="AA47" i="22"/>
  <c r="S50" i="83"/>
  <c r="N30" i="22"/>
  <c r="P19" i="22"/>
  <c r="V30" i="22"/>
  <c r="T47" i="22"/>
  <c r="L31" i="83"/>
  <c r="AF17" i="22"/>
  <c r="L50" i="83"/>
  <c r="N25" i="83"/>
  <c r="V31" i="83"/>
  <c r="V4" i="22"/>
  <c r="O30" i="83"/>
  <c r="Q26" i="83"/>
  <c r="J31" i="22"/>
  <c r="Q50" i="83"/>
  <c r="AI19" i="22"/>
  <c r="X21" i="83"/>
  <c r="K25" i="22"/>
  <c r="S47" i="83"/>
  <c r="J30" i="22"/>
  <c r="Z15" i="22"/>
  <c r="S17" i="22"/>
  <c r="Q39" i="22"/>
  <c r="P39" i="22"/>
  <c r="D28" i="22"/>
  <c r="M50" i="22"/>
  <c r="S25" i="22"/>
  <c r="X21" i="22"/>
  <c r="Y31" i="22"/>
  <c r="W27" i="22"/>
  <c r="V34" i="22"/>
  <c r="V19" i="22"/>
  <c r="O16" i="22"/>
  <c r="M66" i="22"/>
  <c r="M16" i="22"/>
  <c r="J43" i="22"/>
  <c r="AI27" i="22"/>
  <c r="Z27" i="22"/>
  <c r="AD43" i="22"/>
  <c r="T41" i="22"/>
  <c r="AC4" i="22"/>
  <c r="AC20" i="22"/>
  <c r="Q50" i="22"/>
  <c r="O25" i="22"/>
  <c r="Q17" i="22"/>
  <c r="L31" i="22"/>
  <c r="L6" i="22"/>
  <c r="P47" i="22"/>
  <c r="L40" i="22"/>
  <c r="G16" i="22"/>
  <c r="G43" i="22"/>
  <c r="AG11" i="22"/>
  <c r="X10" i="22"/>
  <c r="F16" i="22"/>
  <c r="Q6" i="22"/>
  <c r="I67" i="22"/>
  <c r="G10" i="22"/>
  <c r="F30" i="22"/>
  <c r="Q31" i="22"/>
  <c r="D67" i="22"/>
  <c r="AD17" i="22"/>
  <c r="D42" i="22"/>
  <c r="F19" i="22"/>
  <c r="K6" i="22"/>
  <c r="H27" i="22"/>
  <c r="U19" i="22"/>
  <c r="W21" i="22"/>
  <c r="V50" i="22"/>
  <c r="AA7" i="22"/>
  <c r="N80" i="22"/>
  <c r="AA39" i="22"/>
  <c r="AB20" i="22"/>
  <c r="AD27" i="22"/>
  <c r="AF39" i="22"/>
  <c r="AG15" i="22"/>
  <c r="AH6" i="22"/>
  <c r="AF5" i="22"/>
  <c r="Y17" i="22"/>
  <c r="K24" i="83"/>
  <c r="K40" i="22"/>
  <c r="L39" i="22"/>
  <c r="O14" i="22"/>
  <c r="T34" i="22"/>
  <c r="K27" i="22"/>
  <c r="X31" i="22"/>
  <c r="Y15" i="22"/>
  <c r="Q80" i="22"/>
  <c r="AD8" i="22"/>
  <c r="S50" i="22"/>
  <c r="X40" i="22"/>
  <c r="X27" i="22"/>
  <c r="J16" i="22"/>
  <c r="E28" i="22"/>
  <c r="K39" i="22"/>
  <c r="L43" i="22"/>
  <c r="N16" i="22"/>
  <c r="H67" i="22"/>
  <c r="Y80" i="22"/>
  <c r="D83" i="22"/>
  <c r="AE11" i="22"/>
  <c r="AF7" i="22"/>
  <c r="AH21" i="22"/>
  <c r="AH66" i="22"/>
  <c r="Y33" i="22"/>
  <c r="R25" i="22"/>
  <c r="S20" i="22"/>
  <c r="F10" i="22"/>
  <c r="D47" i="22"/>
  <c r="K43" i="22"/>
  <c r="L16" i="22"/>
  <c r="N14" i="22"/>
  <c r="T17" i="22"/>
  <c r="AA66" i="22"/>
  <c r="AF43" i="22"/>
  <c r="H67" i="83"/>
  <c r="K50" i="83"/>
  <c r="L50" i="22"/>
  <c r="U10" i="22"/>
  <c r="AG81" i="22"/>
  <c r="AA40" i="22"/>
  <c r="Y40" i="22"/>
  <c r="N25" i="22"/>
  <c r="AC43" i="22"/>
  <c r="AD34" i="22"/>
  <c r="V10" i="22"/>
  <c r="AB11" i="22"/>
  <c r="O27" i="83"/>
  <c r="H11" i="83"/>
  <c r="E27" i="22"/>
  <c r="AB34" i="22"/>
  <c r="Z16" i="22"/>
  <c r="Y47" i="22"/>
  <c r="M26" i="22"/>
  <c r="P30" i="83"/>
  <c r="P11" i="83"/>
  <c r="Z17" i="22"/>
  <c r="AB47" i="22"/>
  <c r="W66" i="22"/>
  <c r="J11" i="22"/>
  <c r="I30" i="22"/>
  <c r="AC10" i="22"/>
  <c r="H25" i="22"/>
  <c r="T11" i="22"/>
  <c r="K19" i="22"/>
  <c r="G24" i="22"/>
  <c r="AD7" i="22"/>
  <c r="AA30" i="22"/>
  <c r="U47" i="22"/>
  <c r="U66" i="22"/>
  <c r="V20" i="22"/>
  <c r="S30" i="22"/>
  <c r="U16" i="22"/>
  <c r="R30" i="22"/>
  <c r="Q16" i="22"/>
  <c r="H10" i="22"/>
  <c r="M10" i="22"/>
  <c r="O42" i="22"/>
  <c r="L34" i="22"/>
  <c r="I34" i="22"/>
  <c r="Q23" i="22"/>
  <c r="D16" i="22"/>
  <c r="X16" i="22"/>
  <c r="P26" i="22"/>
  <c r="M6" i="22"/>
  <c r="E45" i="22"/>
  <c r="O27" i="22"/>
  <c r="R47" i="22"/>
  <c r="L47" i="22"/>
  <c r="Q26" i="22"/>
  <c r="L67" i="22"/>
  <c r="J50" i="22"/>
  <c r="Z40" i="22"/>
  <c r="AE7" i="22"/>
  <c r="AH34" i="22"/>
  <c r="Y25" i="83"/>
  <c r="T21" i="83"/>
  <c r="L19" i="22"/>
  <c r="T10" i="22"/>
  <c r="U30" i="22"/>
  <c r="AC24" i="22"/>
  <c r="AH25" i="83"/>
  <c r="M66" i="83"/>
  <c r="N6" i="22"/>
  <c r="S40" i="22"/>
  <c r="X17" i="22"/>
  <c r="AA6" i="22"/>
  <c r="AI39" i="22"/>
  <c r="F45" i="22"/>
  <c r="O10" i="22"/>
  <c r="N42" i="22"/>
  <c r="V47" i="22"/>
  <c r="X47" i="22"/>
  <c r="F41" i="22"/>
  <c r="AD6" i="22"/>
  <c r="I19" i="83"/>
  <c r="AF30" i="83"/>
  <c r="P50" i="83"/>
  <c r="I26" i="83"/>
  <c r="O40" i="22"/>
  <c r="Z67" i="22"/>
  <c r="AE34" i="22"/>
  <c r="AF19" i="22"/>
  <c r="Q28" i="22"/>
  <c r="P6" i="83"/>
  <c r="F24" i="22"/>
  <c r="V66" i="22"/>
  <c r="T25" i="22"/>
  <c r="X25" i="22"/>
  <c r="AE25" i="22"/>
  <c r="X19" i="83"/>
  <c r="AA25" i="83"/>
  <c r="Q34" i="22"/>
  <c r="N26" i="83"/>
  <c r="AB6" i="83"/>
  <c r="U25" i="83"/>
  <c r="AH17" i="22"/>
  <c r="N6" i="83"/>
  <c r="AD81" i="22"/>
  <c r="AG8" i="22"/>
  <c r="AD39" i="22"/>
  <c r="V27" i="22"/>
  <c r="R27" i="22"/>
  <c r="Q24" i="22"/>
  <c r="H47" i="83"/>
  <c r="S24" i="22"/>
  <c r="AA42" i="22"/>
  <c r="Q42" i="22"/>
  <c r="Z19" i="22"/>
  <c r="AD21" i="22"/>
  <c r="Y10" i="22"/>
  <c r="I30" i="83"/>
  <c r="H25" i="83"/>
  <c r="L25" i="83"/>
  <c r="J50" i="83"/>
  <c r="K25" i="83"/>
  <c r="P43" i="22"/>
  <c r="F67" i="22"/>
  <c r="H26" i="83"/>
  <c r="I32" i="83"/>
  <c r="F25" i="83"/>
  <c r="O16" i="83"/>
  <c r="G16" i="83"/>
  <c r="W47" i="22"/>
  <c r="S39" i="22"/>
  <c r="U39" i="22"/>
  <c r="AF11" i="22"/>
  <c r="W40" i="22"/>
  <c r="W42" i="22"/>
  <c r="Q30" i="22"/>
  <c r="F11" i="22"/>
  <c r="R6" i="22"/>
  <c r="H11" i="22"/>
  <c r="AA34" i="22"/>
  <c r="AG31" i="22"/>
  <c r="F27" i="22"/>
  <c r="AC16" i="22"/>
  <c r="AE42" i="22"/>
  <c r="G30" i="83"/>
  <c r="E11" i="22"/>
  <c r="R19" i="22"/>
  <c r="V43" i="22"/>
  <c r="W25" i="22"/>
  <c r="W10" i="22"/>
  <c r="AE81" i="22"/>
  <c r="AF31" i="22"/>
  <c r="AH11" i="22"/>
  <c r="AH24" i="22"/>
  <c r="Z10" i="83"/>
  <c r="AE81" i="83"/>
  <c r="I11" i="22"/>
  <c r="P40" i="22"/>
  <c r="P30" i="22"/>
  <c r="U27" i="22"/>
  <c r="W16" i="22"/>
  <c r="W41" i="22"/>
  <c r="AC39" i="22"/>
  <c r="AE33" i="22"/>
  <c r="Z24" i="83"/>
  <c r="W24" i="83"/>
  <c r="O31" i="83"/>
  <c r="AF81" i="83"/>
  <c r="AD24" i="83"/>
  <c r="M27" i="83"/>
  <c r="S11" i="22"/>
  <c r="I31" i="22"/>
  <c r="Q47" i="22"/>
  <c r="N27" i="22"/>
  <c r="R42" i="22"/>
  <c r="T26" i="22"/>
  <c r="V11" i="22"/>
  <c r="X66" i="22"/>
  <c r="AC80" i="22"/>
  <c r="AI45" i="22"/>
  <c r="AD31" i="22"/>
  <c r="O50" i="83"/>
  <c r="AF47" i="83"/>
  <c r="U21" i="83"/>
  <c r="Z25" i="83"/>
  <c r="AD15" i="22"/>
  <c r="Q43" i="22"/>
  <c r="Q27" i="22"/>
  <c r="X33" i="22"/>
  <c r="V42" i="22"/>
  <c r="R50" i="22"/>
  <c r="AD47" i="22"/>
  <c r="AH47" i="22"/>
  <c r="X6" i="83"/>
  <c r="T28" i="83"/>
  <c r="AH7" i="22"/>
  <c r="AB19" i="83"/>
  <c r="AE17" i="22"/>
  <c r="AC34" i="22"/>
  <c r="AH81" i="22"/>
  <c r="AI66" i="22"/>
  <c r="U23" i="83"/>
  <c r="AG5" i="22"/>
  <c r="AC25" i="22"/>
  <c r="Z34" i="22"/>
  <c r="AF8" i="22"/>
  <c r="AE31" i="83"/>
  <c r="AD16" i="83"/>
  <c r="R28" i="83"/>
  <c r="AE30" i="83"/>
  <c r="AH31" i="22"/>
  <c r="Z20" i="83"/>
  <c r="AD30" i="83"/>
  <c r="Z24" i="22"/>
  <c r="AF15" i="83"/>
  <c r="Y11" i="83"/>
  <c r="AG5" i="83"/>
  <c r="F31" i="83"/>
  <c r="W30" i="83"/>
  <c r="M50" i="83"/>
  <c r="U19" i="83"/>
  <c r="AI81" i="83"/>
  <c r="AG11" i="83"/>
  <c r="Q30" i="83"/>
  <c r="AH4" i="83"/>
  <c r="AD27" i="83"/>
  <c r="AD8" i="83"/>
  <c r="Y6" i="83"/>
  <c r="Q11" i="22"/>
  <c r="AG21" i="83"/>
  <c r="AA11" i="22"/>
  <c r="AA16" i="22"/>
  <c r="AE16" i="83"/>
  <c r="Q25" i="22"/>
  <c r="T19" i="22"/>
  <c r="CL9" i="22"/>
  <c r="AQ9" i="83"/>
  <c r="CN20" i="22"/>
  <c r="AS20" i="83"/>
  <c r="CH19" i="22"/>
  <c r="D19" i="22" s="1"/>
  <c r="AM19" i="83"/>
  <c r="C19" i="83" s="1"/>
  <c r="AS5" i="15"/>
  <c r="AS8" i="15" s="1"/>
  <c r="AS10" i="15" s="1"/>
  <c r="AS14" i="15" s="1"/>
  <c r="AN4" i="83"/>
  <c r="CH22" i="22"/>
  <c r="AM22" i="83"/>
  <c r="C22" i="83" s="1"/>
  <c r="H30" i="22"/>
  <c r="G30" i="22"/>
  <c r="N24" i="22"/>
  <c r="O24" i="22"/>
  <c r="L30" i="22"/>
  <c r="K30" i="22"/>
  <c r="I26" i="22"/>
  <c r="J26" i="22"/>
  <c r="H19" i="22"/>
  <c r="G19" i="22"/>
  <c r="CH17" i="22"/>
  <c r="AM17" i="83"/>
  <c r="CR9" i="22"/>
  <c r="AW9" i="83"/>
  <c r="CH29" i="22"/>
  <c r="AM29" i="83"/>
  <c r="C29" i="83" s="1"/>
  <c r="CM20" i="22"/>
  <c r="AR20" i="83"/>
  <c r="CS22" i="22"/>
  <c r="AX22" i="83"/>
  <c r="DB38" i="22"/>
  <c r="BG38" i="83"/>
  <c r="L24" i="83"/>
  <c r="M24" i="83"/>
  <c r="H43" i="83"/>
  <c r="I43" i="83"/>
  <c r="CO38" i="22"/>
  <c r="AT38" i="83"/>
  <c r="CK3" i="22"/>
  <c r="AP3" i="83"/>
  <c r="CI10" i="22"/>
  <c r="AN10" i="83"/>
  <c r="CH4" i="22"/>
  <c r="AM4" i="83"/>
  <c r="C4" i="83" s="1"/>
  <c r="CO20" i="22"/>
  <c r="AT20" i="83"/>
  <c r="O11" i="22"/>
  <c r="P11" i="22"/>
  <c r="H34" i="22"/>
  <c r="G34" i="22"/>
  <c r="AH39" i="83"/>
  <c r="AI39" i="83"/>
  <c r="AH30" i="83"/>
  <c r="AI30" i="83"/>
  <c r="AH5" i="83"/>
  <c r="AI5" i="83"/>
  <c r="AB10" i="83"/>
  <c r="AC10" i="83"/>
  <c r="AE16" i="22"/>
  <c r="AF16" i="22"/>
  <c r="Z6" i="22"/>
  <c r="Y6" i="22"/>
  <c r="S40" i="83"/>
  <c r="P28" i="83"/>
  <c r="Q28" i="83"/>
  <c r="V6" i="22"/>
  <c r="W6" i="22"/>
  <c r="L25" i="22"/>
  <c r="M25" i="22"/>
  <c r="X28" i="22"/>
  <c r="Y28" i="22"/>
  <c r="T42" i="22"/>
  <c r="S42" i="22"/>
  <c r="U20" i="22"/>
  <c r="T20" i="22"/>
  <c r="L4" i="83"/>
  <c r="M4" i="83"/>
  <c r="H24" i="83"/>
  <c r="CK20" i="22"/>
  <c r="AP20" i="83"/>
  <c r="CN28" i="22"/>
  <c r="AS28" i="83"/>
  <c r="DL9" i="22"/>
  <c r="BQ9" i="83"/>
  <c r="AH33" i="83"/>
  <c r="AI33" i="83"/>
  <c r="AF24" i="83"/>
  <c r="AG24" i="83"/>
  <c r="V43" i="83"/>
  <c r="W43" i="83"/>
  <c r="T11" i="83"/>
  <c r="U11" i="83"/>
  <c r="AC27" i="22"/>
  <c r="AB27" i="22"/>
  <c r="CJ20" i="22"/>
  <c r="AO20" i="83"/>
  <c r="CJ43" i="22"/>
  <c r="F43" i="22" s="1"/>
  <c r="AO43" i="83"/>
  <c r="F43" i="83" s="1"/>
  <c r="CK38" i="22"/>
  <c r="AP38" i="83"/>
  <c r="CL20" i="22"/>
  <c r="AQ20" i="83"/>
  <c r="CM22" i="22"/>
  <c r="AR22" i="83"/>
  <c r="CK17" i="22"/>
  <c r="AP17" i="83"/>
  <c r="CN29" i="22"/>
  <c r="AS29" i="83"/>
  <c r="CO28" i="22"/>
  <c r="AT28" i="83"/>
  <c r="CR78" i="22"/>
  <c r="AW78" i="83"/>
  <c r="CY78" i="22"/>
  <c r="BD78" i="83"/>
  <c r="DD9" i="22"/>
  <c r="BI9" i="83"/>
  <c r="CW8" i="22"/>
  <c r="BB8" i="83"/>
  <c r="CX7" i="22"/>
  <c r="BC7" i="83"/>
  <c r="CH5" i="22"/>
  <c r="AM5" i="83"/>
  <c r="C5" i="83" s="1"/>
  <c r="DD78" i="22"/>
  <c r="BI78" i="83"/>
  <c r="CT8" i="22"/>
  <c r="AY8" i="83"/>
  <c r="CK5" i="22"/>
  <c r="AP5" i="83"/>
  <c r="CY7" i="22"/>
  <c r="BD7" i="83"/>
  <c r="DF35" i="22"/>
  <c r="BK35" i="83"/>
  <c r="DN35" i="22"/>
  <c r="BS35" i="83"/>
  <c r="AH15" i="83"/>
  <c r="AI15" i="83"/>
  <c r="AH11" i="83"/>
  <c r="AC80" i="83"/>
  <c r="AD80" i="83"/>
  <c r="AB42" i="83"/>
  <c r="AC42" i="83"/>
  <c r="AF66" i="83"/>
  <c r="AG66" i="83"/>
  <c r="CJ4" i="22"/>
  <c r="F4" i="22" s="1"/>
  <c r="AO4" i="83"/>
  <c r="F4" i="83" s="1"/>
  <c r="CJ26" i="22"/>
  <c r="F26" i="22" s="1"/>
  <c r="AO26" i="83"/>
  <c r="F26" i="83" s="1"/>
  <c r="CP22" i="22"/>
  <c r="AU22" i="83"/>
  <c r="CP38" i="22"/>
  <c r="AU38" i="83"/>
  <c r="CR29" i="22"/>
  <c r="AW29" i="83"/>
  <c r="CU21" i="22"/>
  <c r="AZ21" i="83"/>
  <c r="CW29" i="22"/>
  <c r="BB29" i="83"/>
  <c r="DC22" i="22"/>
  <c r="BH22" i="83"/>
  <c r="CM6" i="22"/>
  <c r="AR6" i="83"/>
  <c r="DE9" i="22"/>
  <c r="BJ9" i="83"/>
  <c r="CL81" i="22"/>
  <c r="AQ81" i="83"/>
  <c r="CP81" i="22"/>
  <c r="AU81" i="83"/>
  <c r="DE81" i="22"/>
  <c r="BJ81" i="83"/>
  <c r="DJ22" i="22"/>
  <c r="BO22" i="83"/>
  <c r="DL29" i="22"/>
  <c r="BQ29" i="83"/>
  <c r="H66" i="83"/>
  <c r="I66" i="83"/>
  <c r="H16" i="83"/>
  <c r="I16" i="83"/>
  <c r="AB34" i="83"/>
  <c r="AC34" i="83"/>
  <c r="Z40" i="83"/>
  <c r="AA40" i="83"/>
  <c r="AD34" i="83"/>
  <c r="AE34" i="83"/>
  <c r="X40" i="83"/>
  <c r="Y40" i="83"/>
  <c r="J27" i="83"/>
  <c r="K27" i="83"/>
  <c r="N14" i="83"/>
  <c r="O14" i="83"/>
  <c r="L16" i="83"/>
  <c r="J43" i="83"/>
  <c r="K43" i="83"/>
  <c r="AA66" i="83"/>
  <c r="AB66" i="83"/>
  <c r="AF34" i="83"/>
  <c r="AG34" i="83"/>
  <c r="E25" i="83"/>
  <c r="X42" i="83"/>
  <c r="Y42" i="83"/>
  <c r="R16" i="83"/>
  <c r="S16" i="83"/>
  <c r="U31" i="83"/>
  <c r="CH6" i="22"/>
  <c r="D6" i="22" s="1"/>
  <c r="AM6" i="83"/>
  <c r="C6" i="83" s="1"/>
  <c r="CJ29" i="22"/>
  <c r="AO29" i="83"/>
  <c r="CI22" i="22"/>
  <c r="AN22" i="83"/>
  <c r="CH34" i="22"/>
  <c r="AM34" i="83"/>
  <c r="C34" i="83" s="1"/>
  <c r="DA22" i="22"/>
  <c r="BF22" i="83"/>
  <c r="AC30" i="22"/>
  <c r="AB30" i="22"/>
  <c r="Y30" i="22"/>
  <c r="X30" i="22"/>
  <c r="S21" i="83"/>
  <c r="P42" i="83"/>
  <c r="Q42" i="83"/>
  <c r="AH16" i="83"/>
  <c r="AI16" i="83"/>
  <c r="AB16" i="83"/>
  <c r="AC16" i="83"/>
  <c r="V11" i="83"/>
  <c r="W11" i="83"/>
  <c r="U40" i="22"/>
  <c r="V40" i="22"/>
  <c r="T16" i="22"/>
  <c r="S16" i="22"/>
  <c r="M31" i="22"/>
  <c r="N31" i="22"/>
  <c r="E31" i="22"/>
  <c r="D31" i="22"/>
  <c r="Q47" i="83"/>
  <c r="R47" i="83"/>
  <c r="J16" i="83"/>
  <c r="K16" i="83"/>
  <c r="G43" i="83"/>
  <c r="AH45" i="83"/>
  <c r="AI45" i="83"/>
  <c r="J80" i="83"/>
  <c r="I80" i="83"/>
  <c r="DA15" i="22"/>
  <c r="BF15" i="83"/>
  <c r="CP15" i="22"/>
  <c r="AU15" i="83"/>
  <c r="CX15" i="22"/>
  <c r="BC15" i="83"/>
  <c r="DG17" i="22"/>
  <c r="AB17" i="22" s="1"/>
  <c r="BL17" i="83"/>
  <c r="DG5" i="22"/>
  <c r="AC5" i="22" s="1"/>
  <c r="BL5" i="83"/>
  <c r="AA43" i="22"/>
  <c r="AB43" i="22"/>
  <c r="AD42" i="83"/>
  <c r="AE42" i="83"/>
  <c r="AH27" i="83"/>
  <c r="AI27" i="83"/>
  <c r="AF33" i="83"/>
  <c r="AG33" i="83"/>
  <c r="AC8" i="83"/>
  <c r="X11" i="83"/>
  <c r="W25" i="83"/>
  <c r="R43" i="83"/>
  <c r="S43" i="83"/>
  <c r="CK22" i="22"/>
  <c r="AP22" i="83"/>
  <c r="CL38" i="22"/>
  <c r="AQ38" i="83"/>
  <c r="CL46" i="22"/>
  <c r="AQ46" i="83"/>
  <c r="CP20" i="22"/>
  <c r="AU20" i="83"/>
  <c r="CP28" i="22"/>
  <c r="AU28" i="83"/>
  <c r="CV22" i="22"/>
  <c r="BA22" i="83"/>
  <c r="CS20" i="22"/>
  <c r="AX20" i="83"/>
  <c r="CT21" i="22"/>
  <c r="AY21" i="83"/>
  <c r="CX38" i="22"/>
  <c r="BC38" i="83"/>
  <c r="CK21" i="22"/>
  <c r="AP21" i="83"/>
  <c r="CR21" i="22"/>
  <c r="AW21" i="83"/>
  <c r="CZ9" i="22"/>
  <c r="BE9" i="83"/>
  <c r="CM29" i="22"/>
  <c r="AR29" i="83"/>
  <c r="DB29" i="22"/>
  <c r="X29" i="22" s="1"/>
  <c r="BG29" i="83"/>
  <c r="CT33" i="22"/>
  <c r="O33" i="22" s="1"/>
  <c r="AY33" i="83"/>
  <c r="CO15" i="22"/>
  <c r="AT15" i="83"/>
  <c r="CN15" i="22"/>
  <c r="I15" i="22" s="1"/>
  <c r="AS15" i="83"/>
  <c r="I15" i="83" s="1"/>
  <c r="CN6" i="22"/>
  <c r="J6" i="22" s="1"/>
  <c r="AS6" i="83"/>
  <c r="J6" i="83" s="1"/>
  <c r="CH78" i="22"/>
  <c r="AM78" i="83"/>
  <c r="DC78" i="22"/>
  <c r="BH78" i="83"/>
  <c r="DC8" i="22"/>
  <c r="Y8" i="22" s="1"/>
  <c r="BH8" i="83"/>
  <c r="CT7" i="22"/>
  <c r="AY7" i="83"/>
  <c r="P7" i="83" s="1"/>
  <c r="CV78" i="22"/>
  <c r="BA78" i="83"/>
  <c r="CK78" i="22"/>
  <c r="AP78" i="83"/>
  <c r="CQ8" i="22"/>
  <c r="AV8" i="83"/>
  <c r="DB78" i="22"/>
  <c r="BG78" i="83"/>
  <c r="CO78" i="22"/>
  <c r="AT78" i="83"/>
  <c r="CJ7" i="22"/>
  <c r="E7" i="22" s="1"/>
  <c r="AO7" i="83"/>
  <c r="CL78" i="22"/>
  <c r="H78" i="22" s="1"/>
  <c r="AQ78" i="83"/>
  <c r="R41" i="22"/>
  <c r="DF38" i="22"/>
  <c r="BK38" i="83"/>
  <c r="DD29" i="22"/>
  <c r="Y29" i="22" s="1"/>
  <c r="BI29" i="83"/>
  <c r="CZ81" i="22"/>
  <c r="BE81" i="83"/>
  <c r="CV81" i="22"/>
  <c r="BA81" i="83"/>
  <c r="CQ81" i="22"/>
  <c r="AV81" i="83"/>
  <c r="DH22" i="22"/>
  <c r="BM22" i="83"/>
  <c r="DI22" i="22"/>
  <c r="BN22" i="83"/>
  <c r="DK35" i="22"/>
  <c r="BP35" i="83"/>
  <c r="DM29" i="22"/>
  <c r="BR29" i="83"/>
  <c r="AH4" i="22"/>
  <c r="AF10" i="83"/>
  <c r="AG10" i="83"/>
  <c r="V47" i="83"/>
  <c r="W47" i="83"/>
  <c r="AI33" i="22"/>
  <c r="N4" i="83"/>
  <c r="O4" i="83"/>
  <c r="L30" i="83"/>
  <c r="M30" i="83"/>
  <c r="J34" i="83"/>
  <c r="K34" i="83"/>
  <c r="D36" i="83"/>
  <c r="E36" i="83"/>
  <c r="F11" i="83"/>
  <c r="G11" i="83"/>
  <c r="AI16" i="22"/>
  <c r="V28" i="83"/>
  <c r="W28" i="83"/>
  <c r="T31" i="83"/>
  <c r="AI30" i="22"/>
  <c r="AH30" i="22"/>
  <c r="AI5" i="22"/>
  <c r="AF21" i="83"/>
  <c r="Y15" i="83"/>
  <c r="AG33" i="22"/>
  <c r="AI40" i="83"/>
  <c r="AH15" i="22"/>
  <c r="AI19" i="83"/>
  <c r="AB21" i="83"/>
  <c r="Z30" i="83"/>
  <c r="AA30" i="83"/>
  <c r="U66" i="83"/>
  <c r="V20" i="83"/>
  <c r="T16" i="83"/>
  <c r="O19" i="83"/>
  <c r="G26" i="83"/>
  <c r="CQ38" i="22"/>
  <c r="AV38" i="83"/>
  <c r="CI34" i="22"/>
  <c r="AN34" i="83"/>
  <c r="CP29" i="22"/>
  <c r="AU29" i="83"/>
  <c r="CQ22" i="22"/>
  <c r="AV22" i="83"/>
  <c r="CK28" i="22"/>
  <c r="AP28" i="83"/>
  <c r="CT38" i="22"/>
  <c r="AY38" i="83"/>
  <c r="CU38" i="22"/>
  <c r="AZ38" i="83"/>
  <c r="CV38" i="22"/>
  <c r="BA38" i="83"/>
  <c r="CW38" i="22"/>
  <c r="BB38" i="83"/>
  <c r="CI21" i="22"/>
  <c r="AN21" i="83"/>
  <c r="CK29" i="22"/>
  <c r="AP29" i="83"/>
  <c r="CS29" i="22"/>
  <c r="AX29" i="83"/>
  <c r="DB22" i="22"/>
  <c r="BG22" i="83"/>
  <c r="CK15" i="22"/>
  <c r="AP15" i="83"/>
  <c r="CW15" i="22"/>
  <c r="BB15" i="83"/>
  <c r="CJ6" i="22"/>
  <c r="AO6" i="83"/>
  <c r="CJ78" i="22"/>
  <c r="AO78" i="83"/>
  <c r="CU78" i="22"/>
  <c r="AZ78" i="83"/>
  <c r="DH29" i="22"/>
  <c r="BM29" i="83"/>
  <c r="CQ78" i="22"/>
  <c r="AV78" i="83"/>
  <c r="CS78" i="22"/>
  <c r="AX78" i="83"/>
  <c r="CX78" i="22"/>
  <c r="BC78" i="83"/>
  <c r="CP7" i="22"/>
  <c r="AU7" i="83"/>
  <c r="CT78" i="22"/>
  <c r="AY78" i="83"/>
  <c r="CS7" i="22"/>
  <c r="AX7" i="83"/>
  <c r="DE35" i="22"/>
  <c r="BJ35" i="83"/>
  <c r="DE38" i="22"/>
  <c r="BJ38" i="83"/>
  <c r="CO81" i="22"/>
  <c r="AT81" i="83"/>
  <c r="CR81" i="22"/>
  <c r="AW81" i="83"/>
  <c r="DB81" i="22"/>
  <c r="BG81" i="83"/>
  <c r="DG22" i="22"/>
  <c r="BL22" i="83"/>
  <c r="AB25" i="22"/>
  <c r="CR17" i="22"/>
  <c r="M17" i="22" s="1"/>
  <c r="AW17" i="83"/>
  <c r="N17" i="83" s="1"/>
  <c r="AC21" i="22"/>
  <c r="AG10" i="22"/>
  <c r="R41" i="83"/>
  <c r="S41" i="83"/>
  <c r="S31" i="83"/>
  <c r="R27" i="83"/>
  <c r="S27" i="83"/>
  <c r="L43" i="83"/>
  <c r="M43" i="83"/>
  <c r="D24" i="83"/>
  <c r="E24" i="83"/>
  <c r="F30" i="83"/>
  <c r="M6" i="83"/>
  <c r="K39" i="83"/>
  <c r="Y80" i="83"/>
  <c r="AI17" i="83"/>
  <c r="V41" i="83"/>
  <c r="W41" i="83"/>
  <c r="Z34" i="83"/>
  <c r="AA34" i="83"/>
  <c r="AF31" i="83"/>
  <c r="X33" i="83"/>
  <c r="T25" i="83"/>
  <c r="F27" i="83"/>
  <c r="R11" i="83"/>
  <c r="S11" i="83"/>
  <c r="P26" i="83"/>
  <c r="L39" i="83"/>
  <c r="AH34" i="83"/>
  <c r="AI34" i="83"/>
  <c r="AA19" i="83"/>
  <c r="W17" i="83"/>
  <c r="T10" i="83"/>
  <c r="N47" i="83"/>
  <c r="O47" i="83"/>
  <c r="L6" i="83"/>
  <c r="AD43" i="83"/>
  <c r="AE43" i="83"/>
  <c r="AA20" i="83"/>
  <c r="AB39" i="83"/>
  <c r="AC39" i="83"/>
  <c r="AF17" i="83"/>
  <c r="V4" i="83"/>
  <c r="W4" i="83"/>
  <c r="D31" i="83"/>
  <c r="C31" i="83"/>
  <c r="R6" i="83"/>
  <c r="S6" i="83"/>
  <c r="N11" i="83"/>
  <c r="O11" i="83"/>
  <c r="L47" i="83"/>
  <c r="M47" i="83"/>
  <c r="D47" i="83"/>
  <c r="E47" i="83"/>
  <c r="D42" i="83"/>
  <c r="E42" i="83"/>
  <c r="AB47" i="83"/>
  <c r="AC47" i="83"/>
  <c r="AD15" i="83"/>
  <c r="AE15" i="83"/>
  <c r="AF20" i="83"/>
  <c r="AG20" i="83"/>
  <c r="AF27" i="83"/>
  <c r="AG27" i="83"/>
  <c r="F24" i="83"/>
  <c r="X24" i="83"/>
  <c r="Y24" i="83"/>
  <c r="R42" i="83"/>
  <c r="S42" i="83"/>
  <c r="X66" i="83"/>
  <c r="Y66" i="83"/>
  <c r="S66" i="83"/>
  <c r="T66" i="83"/>
  <c r="S28" i="83"/>
  <c r="R24" i="83"/>
  <c r="K67" i="83"/>
  <c r="L67" i="83"/>
  <c r="F42" i="83"/>
  <c r="G42" i="83"/>
  <c r="O17" i="83"/>
  <c r="AI7" i="83"/>
  <c r="AI66" i="83"/>
  <c r="AE25" i="83"/>
  <c r="AC66" i="83"/>
  <c r="AD33" i="83"/>
  <c r="AE33" i="83"/>
  <c r="V19" i="83"/>
  <c r="W19" i="83"/>
  <c r="Z17" i="83"/>
  <c r="AA17" i="83"/>
  <c r="X43" i="83"/>
  <c r="Y43" i="83"/>
  <c r="R30" i="83"/>
  <c r="S30" i="83"/>
  <c r="N27" i="83"/>
  <c r="N28" i="83"/>
  <c r="O28" i="83"/>
  <c r="L42" i="83"/>
  <c r="M42" i="83"/>
  <c r="G34" i="83"/>
  <c r="C46" i="83"/>
  <c r="D46" i="83"/>
  <c r="AH19" i="22"/>
  <c r="AE5" i="83"/>
  <c r="AF5" i="83"/>
  <c r="F16" i="83"/>
  <c r="AF8" i="83"/>
  <c r="T41" i="83"/>
  <c r="U41" i="83"/>
  <c r="AB4" i="83"/>
  <c r="AC4" i="83"/>
  <c r="AB20" i="83"/>
  <c r="AC20" i="83"/>
  <c r="R50" i="83"/>
  <c r="X17" i="83"/>
  <c r="O25" i="83"/>
  <c r="W31" i="83"/>
  <c r="S20" i="83"/>
  <c r="N42" i="83"/>
  <c r="O42" i="83"/>
  <c r="L34" i="83"/>
  <c r="M34" i="83"/>
  <c r="H34" i="83"/>
  <c r="I34" i="83"/>
  <c r="F32" i="83"/>
  <c r="G32" i="83"/>
  <c r="Q23" i="83"/>
  <c r="D16" i="83"/>
  <c r="E16" i="83"/>
  <c r="CI20" i="22"/>
  <c r="AN20" i="83"/>
  <c r="CJ17" i="22"/>
  <c r="AO17" i="83"/>
  <c r="CN22" i="22"/>
  <c r="AS22" i="83"/>
  <c r="CI66" i="22"/>
  <c r="AN66" i="83"/>
  <c r="CN10" i="22"/>
  <c r="J10" i="22" s="1"/>
  <c r="AS10" i="83"/>
  <c r="J10" i="83" s="1"/>
  <c r="CQ20" i="22"/>
  <c r="AV20" i="83"/>
  <c r="CL28" i="22"/>
  <c r="AQ28" i="83"/>
  <c r="CS9" i="22"/>
  <c r="AX9" i="83"/>
  <c r="CT20" i="22"/>
  <c r="AY20" i="83"/>
  <c r="CT9" i="22"/>
  <c r="AY9" i="83"/>
  <c r="CU9" i="22"/>
  <c r="AZ9" i="83"/>
  <c r="CX9" i="22"/>
  <c r="BC9" i="83"/>
  <c r="CP21" i="22"/>
  <c r="AU21" i="83"/>
  <c r="CO21" i="22"/>
  <c r="AT21" i="83"/>
  <c r="CX29" i="22"/>
  <c r="BC29" i="83"/>
  <c r="T29" i="83" s="1"/>
  <c r="CH33" i="22"/>
  <c r="AM33" i="83"/>
  <c r="CW33" i="22"/>
  <c r="S33" i="22" s="1"/>
  <c r="BB33" i="83"/>
  <c r="CR15" i="22"/>
  <c r="N15" i="22" s="1"/>
  <c r="AW15" i="83"/>
  <c r="N15" i="83" s="1"/>
  <c r="CV15" i="22"/>
  <c r="Q15" i="22" s="1"/>
  <c r="BA15" i="83"/>
  <c r="Q15" i="83" s="1"/>
  <c r="CX8" i="22"/>
  <c r="BC8" i="83"/>
  <c r="CW78" i="22"/>
  <c r="BB78" i="83"/>
  <c r="DA8" i="22"/>
  <c r="BF8" i="83"/>
  <c r="CM7" i="22"/>
  <c r="AR7" i="83"/>
  <c r="DA78" i="22"/>
  <c r="BF78" i="83"/>
  <c r="CN78" i="22"/>
  <c r="I78" i="22" s="1"/>
  <c r="AS78" i="83"/>
  <c r="DA7" i="22"/>
  <c r="BF7" i="83"/>
  <c r="CN7" i="22"/>
  <c r="AS7" i="83"/>
  <c r="CZ78" i="22"/>
  <c r="BE78" i="83"/>
  <c r="CR7" i="22"/>
  <c r="AW7" i="83"/>
  <c r="D41" i="22"/>
  <c r="DI38" i="22"/>
  <c r="BN38" i="83"/>
  <c r="DE22" i="22"/>
  <c r="BJ22" i="83"/>
  <c r="CS81" i="22"/>
  <c r="AX81" i="83"/>
  <c r="DC81" i="22"/>
  <c r="BH81" i="83"/>
  <c r="CI81" i="22"/>
  <c r="AN81" i="83"/>
  <c r="DD81" i="22"/>
  <c r="BI81" i="83"/>
  <c r="DG35" i="22"/>
  <c r="BL35" i="83"/>
  <c r="Z11" i="22"/>
  <c r="AC31" i="22"/>
  <c r="DH35" i="22"/>
  <c r="BM35" i="83"/>
  <c r="DK22" i="22"/>
  <c r="BP22" i="83"/>
  <c r="DN29" i="22"/>
  <c r="AJ29" i="22" s="1"/>
  <c r="BS29" i="83"/>
  <c r="DM22" i="22"/>
  <c r="BR22" i="83"/>
  <c r="DM9" i="22"/>
  <c r="BR9" i="83"/>
  <c r="AI31" i="83"/>
  <c r="AF10" i="22"/>
  <c r="V39" i="83"/>
  <c r="W39" i="83"/>
  <c r="AI17" i="22"/>
  <c r="K66" i="83"/>
  <c r="L66" i="83"/>
  <c r="I47" i="83"/>
  <c r="J47" i="83"/>
  <c r="X30" i="83"/>
  <c r="Z66" i="83"/>
  <c r="P27" i="83"/>
  <c r="Q27" i="83"/>
  <c r="AG17" i="22"/>
  <c r="N50" i="83"/>
  <c r="AG27" i="22"/>
  <c r="AI7" i="22"/>
  <c r="AG47" i="83"/>
  <c r="AH47" i="83"/>
  <c r="AF19" i="83"/>
  <c r="AD11" i="83"/>
  <c r="AE11" i="83"/>
  <c r="T50" i="83"/>
  <c r="X39" i="83"/>
  <c r="Y39" i="83"/>
  <c r="C25" i="83"/>
  <c r="D25" i="83"/>
  <c r="AA31" i="83"/>
  <c r="J31" i="83"/>
  <c r="K31" i="83"/>
  <c r="Q4" i="83"/>
  <c r="R4" i="83"/>
  <c r="P16" i="83"/>
  <c r="Q16" i="83"/>
  <c r="L14" i="83"/>
  <c r="M14" i="83"/>
  <c r="J66" i="83"/>
  <c r="J40" i="83"/>
  <c r="K40" i="83"/>
  <c r="CI43" i="22"/>
  <c r="D43" i="22" s="1"/>
  <c r="AN43" i="83"/>
  <c r="CK9" i="22"/>
  <c r="AP9" i="83"/>
  <c r="CI29" i="22"/>
  <c r="AN29" i="83"/>
  <c r="CK46" i="22"/>
  <c r="AP46" i="83"/>
  <c r="CL17" i="22"/>
  <c r="AQ17" i="83"/>
  <c r="CO22" i="22"/>
  <c r="AT22" i="83"/>
  <c r="CP9" i="22"/>
  <c r="AU9" i="83"/>
  <c r="CS38" i="22"/>
  <c r="AX38" i="83"/>
  <c r="CW9" i="22"/>
  <c r="BB9" i="83"/>
  <c r="CY38" i="22"/>
  <c r="BD38" i="83"/>
  <c r="CJ21" i="22"/>
  <c r="AO21" i="83"/>
  <c r="CO29" i="22"/>
  <c r="AT29" i="83"/>
  <c r="DA38" i="22"/>
  <c r="BF38" i="83"/>
  <c r="CV33" i="22"/>
  <c r="BA33" i="83"/>
  <c r="Q33" i="83" s="1"/>
  <c r="CH15" i="22"/>
  <c r="AM15" i="83"/>
  <c r="C15" i="83" s="1"/>
  <c r="CQ15" i="22"/>
  <c r="AV15" i="83"/>
  <c r="CL6" i="22"/>
  <c r="AQ6" i="83"/>
  <c r="CK6" i="22"/>
  <c r="AP6" i="83"/>
  <c r="CP78" i="22"/>
  <c r="AU78" i="83"/>
  <c r="CQ7" i="22"/>
  <c r="AV7" i="83"/>
  <c r="DG38" i="22"/>
  <c r="BL38" i="83"/>
  <c r="CK7" i="22"/>
  <c r="AP7" i="83"/>
  <c r="CI78" i="22"/>
  <c r="AN78" i="83"/>
  <c r="CJ5" i="22"/>
  <c r="AO5" i="83"/>
  <c r="CL7" i="22"/>
  <c r="AQ7" i="83"/>
  <c r="CH8" i="22"/>
  <c r="AM8" i="83"/>
  <c r="CL5" i="22"/>
  <c r="AQ5" i="83"/>
  <c r="DC7" i="22"/>
  <c r="BH7" i="83"/>
  <c r="CM5" i="22"/>
  <c r="AR5" i="83"/>
  <c r="CY81" i="22"/>
  <c r="BD81" i="83"/>
  <c r="CK81" i="22"/>
  <c r="AP81" i="83"/>
  <c r="CT81" i="22"/>
  <c r="AY81" i="83"/>
  <c r="CH81" i="22"/>
  <c r="AM81" i="83"/>
  <c r="DD7" i="22"/>
  <c r="Z7" i="22" s="1"/>
  <c r="BI7" i="83"/>
  <c r="Z7" i="83" s="1"/>
  <c r="CN17" i="22"/>
  <c r="J17" i="22" s="1"/>
  <c r="AS17" i="83"/>
  <c r="DI35" i="22"/>
  <c r="BN35" i="83"/>
  <c r="DK4" i="22"/>
  <c r="AF4" i="22" s="1"/>
  <c r="BP4" i="83"/>
  <c r="AG4" i="83" s="1"/>
  <c r="DM38" i="22"/>
  <c r="BR38" i="83"/>
  <c r="D41" i="83"/>
  <c r="E41" i="83"/>
  <c r="Z15" i="83"/>
  <c r="AA15" i="83"/>
  <c r="T47" i="83"/>
  <c r="U47" i="83"/>
  <c r="G27" i="83"/>
  <c r="P40" i="83"/>
  <c r="L11" i="83"/>
  <c r="M11" i="83"/>
  <c r="J30" i="83"/>
  <c r="K30" i="83"/>
  <c r="E32" i="83"/>
  <c r="H39" i="83"/>
  <c r="AH8" i="83"/>
  <c r="Z11" i="83"/>
  <c r="AA11" i="83"/>
  <c r="E80" i="83"/>
  <c r="F80" i="83"/>
  <c r="AD21" i="83"/>
  <c r="AE21" i="83"/>
  <c r="AB25" i="83"/>
  <c r="AC25" i="83"/>
  <c r="F41" i="83"/>
  <c r="G41" i="83"/>
  <c r="T30" i="83"/>
  <c r="U30" i="83"/>
  <c r="AH6" i="83"/>
  <c r="AI6" i="83"/>
  <c r="AF43" i="83"/>
  <c r="AG43" i="83"/>
  <c r="X16" i="83"/>
  <c r="Z39" i="83"/>
  <c r="AA39" i="83"/>
  <c r="AG15" i="83"/>
  <c r="X10" i="83"/>
  <c r="Y10" i="83"/>
  <c r="P24" i="83"/>
  <c r="Q24" i="83"/>
  <c r="N34" i="83"/>
  <c r="O34" i="83"/>
  <c r="F45" i="83"/>
  <c r="K17" i="83"/>
  <c r="G19" i="83"/>
  <c r="D11" i="83"/>
  <c r="E11" i="83"/>
  <c r="AB11" i="83"/>
  <c r="AC11" i="83"/>
  <c r="AE17" i="83"/>
  <c r="AD39" i="83"/>
  <c r="AE39" i="83"/>
  <c r="W10" i="83"/>
  <c r="X47" i="83"/>
  <c r="T39" i="83"/>
  <c r="U39" i="83"/>
  <c r="M26" i="83"/>
  <c r="C67" i="83"/>
  <c r="D67" i="83"/>
  <c r="J19" i="83"/>
  <c r="K19" i="83"/>
  <c r="AG7" i="83"/>
  <c r="AH7" i="83"/>
  <c r="W83" i="83"/>
  <c r="X83" i="83"/>
  <c r="AA7" i="83"/>
  <c r="AE24" i="83"/>
  <c r="AA24" i="83"/>
  <c r="AB24" i="83"/>
  <c r="AC6" i="83"/>
  <c r="W16" i="83"/>
  <c r="G24" i="83"/>
  <c r="AB43" i="83"/>
  <c r="AC43" i="83"/>
  <c r="AD7" i="83"/>
  <c r="AE7" i="83"/>
  <c r="AG6" i="83"/>
  <c r="J25" i="83"/>
  <c r="X34" i="83"/>
  <c r="Y34" i="83"/>
  <c r="U28" i="83"/>
  <c r="N43" i="83"/>
  <c r="O43" i="83"/>
  <c r="L26" i="83"/>
  <c r="K47" i="83"/>
  <c r="AF28" i="83"/>
  <c r="AG28" i="83"/>
  <c r="AG23" i="83"/>
  <c r="CV9" i="22"/>
  <c r="BA9" i="83"/>
  <c r="O23" i="83"/>
  <c r="AB31" i="83"/>
  <c r="AE19" i="83"/>
  <c r="P41" i="83"/>
  <c r="Q41" i="83"/>
  <c r="AD66" i="83"/>
  <c r="AE66" i="83"/>
  <c r="U50" i="83"/>
  <c r="V21" i="83"/>
  <c r="W21" i="83"/>
  <c r="T40" i="83"/>
  <c r="U40" i="83"/>
  <c r="R34" i="83"/>
  <c r="S34" i="83"/>
  <c r="T42" i="83"/>
  <c r="U42" i="83"/>
  <c r="P34" i="83"/>
  <c r="Q34" i="83"/>
  <c r="E67" i="83"/>
  <c r="F47" i="83"/>
  <c r="G47" i="83"/>
  <c r="N40" i="83"/>
  <c r="O40" i="83"/>
  <c r="O39" i="83"/>
  <c r="K6" i="83"/>
  <c r="K10" i="83"/>
  <c r="CU22" i="22"/>
  <c r="AZ22" i="83"/>
  <c r="CV29" i="22"/>
  <c r="BA29" i="83"/>
  <c r="CN21" i="22"/>
  <c r="I21" i="22" s="1"/>
  <c r="AS21" i="83"/>
  <c r="I21" i="83" s="1"/>
  <c r="CV20" i="22"/>
  <c r="R20" i="22" s="1"/>
  <c r="BA20" i="83"/>
  <c r="R20" i="83" s="1"/>
  <c r="CZ22" i="22"/>
  <c r="BE22" i="83"/>
  <c r="CL29" i="22"/>
  <c r="AQ29" i="83"/>
  <c r="DA9" i="22"/>
  <c r="BF9" i="83"/>
  <c r="DB9" i="22"/>
  <c r="BG9" i="83"/>
  <c r="CR33" i="22"/>
  <c r="M33" i="22" s="1"/>
  <c r="AW33" i="83"/>
  <c r="CI15" i="22"/>
  <c r="AN15" i="83"/>
  <c r="CL15" i="22"/>
  <c r="H15" i="22" s="1"/>
  <c r="AQ15" i="83"/>
  <c r="H15" i="83" s="1"/>
  <c r="DK29" i="22"/>
  <c r="BP29" i="83"/>
  <c r="DB7" i="22"/>
  <c r="BG7" i="83"/>
  <c r="CH7" i="22"/>
  <c r="AM7" i="83"/>
  <c r="DG9" i="22"/>
  <c r="BL9" i="83"/>
  <c r="CK8" i="22"/>
  <c r="AP8" i="83"/>
  <c r="G8" i="83" s="1"/>
  <c r="DB8" i="22"/>
  <c r="BG8" i="83"/>
  <c r="DI29" i="22"/>
  <c r="BN29" i="83"/>
  <c r="DH9" i="22"/>
  <c r="BM9" i="83"/>
  <c r="CV8" i="22"/>
  <c r="BA8" i="83"/>
  <c r="CN8" i="22"/>
  <c r="I8" i="22" s="1"/>
  <c r="AS8" i="83"/>
  <c r="I8" i="83" s="1"/>
  <c r="CP8" i="22"/>
  <c r="AU8" i="83"/>
  <c r="DF9" i="22"/>
  <c r="BK9" i="83"/>
  <c r="CN81" i="22"/>
  <c r="AS81" i="83"/>
  <c r="CW81" i="22"/>
  <c r="BB81" i="83"/>
  <c r="CM81" i="22"/>
  <c r="AR81" i="83"/>
  <c r="DD5" i="22"/>
  <c r="Z5" i="22" s="1"/>
  <c r="BI5" i="83"/>
  <c r="Y5" i="83" s="1"/>
  <c r="DJ35" i="22"/>
  <c r="BO35" i="83"/>
  <c r="DM35" i="22"/>
  <c r="BR35" i="83"/>
  <c r="W27" i="83"/>
  <c r="AI8" i="22"/>
  <c r="J26" i="83"/>
  <c r="K26" i="83"/>
  <c r="AH20" i="22"/>
  <c r="Y47" i="83"/>
  <c r="Z47" i="83"/>
  <c r="V34" i="83"/>
  <c r="W34" i="83"/>
  <c r="T17" i="83"/>
  <c r="H27" i="83"/>
  <c r="I27" i="83"/>
  <c r="E27" i="83"/>
  <c r="AB7" i="83"/>
  <c r="AC7" i="83"/>
  <c r="CZ38" i="22"/>
  <c r="BE38" i="83"/>
  <c r="X41" i="83"/>
  <c r="Y41" i="83"/>
  <c r="L41" i="83"/>
  <c r="M41" i="83"/>
  <c r="AD10" i="83"/>
  <c r="AE10" i="83"/>
  <c r="Z4" i="83"/>
  <c r="W40" i="83"/>
  <c r="V42" i="83"/>
  <c r="W42" i="83"/>
  <c r="P66" i="83"/>
  <c r="Q66" i="83"/>
  <c r="D45" i="83"/>
  <c r="C45" i="83"/>
  <c r="AH40" i="22"/>
  <c r="CM9" i="22"/>
  <c r="AR9" i="83"/>
  <c r="CI17" i="22"/>
  <c r="AN17" i="83"/>
  <c r="CN24" i="22"/>
  <c r="I24" i="22" s="1"/>
  <c r="AS24" i="83"/>
  <c r="I24" i="83" s="1"/>
  <c r="CJ34" i="22"/>
  <c r="F34" i="22" s="1"/>
  <c r="AO34" i="83"/>
  <c r="F34" i="83" s="1"/>
  <c r="CQ29" i="22"/>
  <c r="AV29" i="83"/>
  <c r="CQ9" i="22"/>
  <c r="AV9" i="83"/>
  <c r="CQ28" i="22"/>
  <c r="M28" i="22" s="1"/>
  <c r="AV28" i="83"/>
  <c r="M28" i="83" s="1"/>
  <c r="CU29" i="22"/>
  <c r="AZ29" i="83"/>
  <c r="CU20" i="22"/>
  <c r="AZ20" i="83"/>
  <c r="CV21" i="22"/>
  <c r="R21" i="22" s="1"/>
  <c r="BA21" i="83"/>
  <c r="CY9" i="22"/>
  <c r="BD9" i="83"/>
  <c r="CH21" i="22"/>
  <c r="AM21" i="83"/>
  <c r="CW22" i="22"/>
  <c r="BB22" i="83"/>
  <c r="CX22" i="22"/>
  <c r="BC22" i="83"/>
  <c r="CZ29" i="22"/>
  <c r="BE29" i="83"/>
  <c r="U29" i="83" s="1"/>
  <c r="DA29" i="22"/>
  <c r="BF29" i="83"/>
  <c r="CK33" i="22"/>
  <c r="AP33" i="83"/>
  <c r="AX6" i="42"/>
  <c r="AX8" i="42" s="1"/>
  <c r="AX9" i="42" s="1"/>
  <c r="AS4" i="83"/>
  <c r="CJ15" i="22"/>
  <c r="AO15" i="83"/>
  <c r="DB15" i="22"/>
  <c r="X15" i="22" s="1"/>
  <c r="BG15" i="83"/>
  <c r="X15" i="83" s="1"/>
  <c r="CI5" i="22"/>
  <c r="AN5" i="83"/>
  <c r="DJ9" i="22"/>
  <c r="BO9" i="83"/>
  <c r="CJ8" i="22"/>
  <c r="E8" i="22" s="1"/>
  <c r="AO8" i="83"/>
  <c r="CY8" i="22"/>
  <c r="BD8" i="83"/>
  <c r="DH38" i="22"/>
  <c r="BM38" i="83"/>
  <c r="CU8" i="22"/>
  <c r="AZ8" i="83"/>
  <c r="CO8" i="22"/>
  <c r="AT8" i="83"/>
  <c r="CZ8" i="22"/>
  <c r="BE8" i="83"/>
  <c r="CO7" i="22"/>
  <c r="AT7" i="83"/>
  <c r="DF22" i="22"/>
  <c r="BK22" i="83"/>
  <c r="E80" i="22"/>
  <c r="DF81" i="22"/>
  <c r="AB81" i="22" s="1"/>
  <c r="BK81" i="83"/>
  <c r="CX81" i="22"/>
  <c r="BC81" i="83"/>
  <c r="CN5" i="22"/>
  <c r="J5" i="22" s="1"/>
  <c r="AS5" i="83"/>
  <c r="J5" i="83" s="1"/>
  <c r="AH8" i="22"/>
  <c r="DL22" i="22"/>
  <c r="BQ22" i="83"/>
  <c r="Y67" i="83"/>
  <c r="Z67" i="83"/>
  <c r="AA16" i="83"/>
  <c r="AD6" i="83"/>
  <c r="T26" i="83"/>
  <c r="R17" i="83"/>
  <c r="S17" i="83"/>
  <c r="D28" i="83"/>
  <c r="C28" i="83"/>
  <c r="F67" i="83"/>
  <c r="G67" i="83"/>
  <c r="I67" i="83"/>
  <c r="J67" i="83"/>
  <c r="H42" i="83"/>
  <c r="I42" i="83"/>
  <c r="D32" i="83"/>
  <c r="C32" i="83"/>
  <c r="AH21" i="83"/>
  <c r="AI21" i="83"/>
  <c r="D83" i="83"/>
  <c r="E83" i="83"/>
  <c r="Z42" i="83"/>
  <c r="AA42" i="83"/>
  <c r="Z27" i="83"/>
  <c r="AA27" i="83"/>
  <c r="V66" i="83"/>
  <c r="W66" i="83"/>
  <c r="T34" i="83"/>
  <c r="U34" i="83"/>
  <c r="R39" i="83"/>
  <c r="S39" i="83"/>
  <c r="E45" i="83"/>
  <c r="L17" i="83"/>
  <c r="Z21" i="83"/>
  <c r="AA21" i="83"/>
  <c r="AF40" i="83"/>
  <c r="G25" i="83"/>
  <c r="P39" i="83"/>
  <c r="Q39" i="83"/>
  <c r="O10" i="83"/>
  <c r="AC31" i="83"/>
  <c r="AD47" i="83"/>
  <c r="AE47" i="83"/>
  <c r="AG8" i="83"/>
  <c r="X27" i="83"/>
  <c r="Y27" i="83"/>
  <c r="V27" i="83"/>
  <c r="S19" i="83"/>
  <c r="P47" i="83"/>
  <c r="N66" i="83"/>
  <c r="O66" i="83"/>
  <c r="D30" i="83"/>
  <c r="E30" i="83"/>
  <c r="AH66" i="83"/>
  <c r="AC24" i="83"/>
  <c r="M80" i="83"/>
  <c r="N80" i="83"/>
  <c r="AB33" i="83"/>
  <c r="AC33" i="83"/>
  <c r="AF11" i="83"/>
  <c r="AD5" i="83"/>
  <c r="AF39" i="83"/>
  <c r="AG39" i="83"/>
  <c r="X31" i="83"/>
  <c r="P31" i="83"/>
  <c r="L27" i="83"/>
  <c r="T6" i="83"/>
  <c r="U6" i="83"/>
  <c r="N30" i="83"/>
  <c r="L40" i="83"/>
  <c r="M40" i="83"/>
  <c r="G66" i="83"/>
  <c r="H40" i="83"/>
  <c r="I40" i="83"/>
  <c r="AI47" i="83"/>
  <c r="AI20" i="83"/>
  <c r="AA47" i="83"/>
  <c r="AE20" i="83"/>
  <c r="N41" i="83"/>
  <c r="O41" i="83"/>
  <c r="Z43" i="83"/>
  <c r="AA43" i="83"/>
  <c r="AF16" i="83"/>
  <c r="AG16" i="83"/>
  <c r="V30" i="83"/>
  <c r="V25" i="83"/>
  <c r="T43" i="83"/>
  <c r="U43" i="83"/>
  <c r="V24" i="83"/>
  <c r="D27" i="83"/>
  <c r="C27" i="83"/>
  <c r="O26" i="83"/>
  <c r="J42" i="83"/>
  <c r="K42" i="83"/>
  <c r="AH43" i="83"/>
  <c r="AI43" i="83"/>
  <c r="AB15" i="83"/>
  <c r="AC15" i="83"/>
  <c r="J41" i="83"/>
  <c r="K41" i="83"/>
  <c r="AE10" i="22"/>
  <c r="L10" i="83"/>
  <c r="AB8" i="83"/>
  <c r="AA8" i="83"/>
  <c r="AE40" i="83"/>
  <c r="AF7" i="83"/>
  <c r="AA33" i="83"/>
  <c r="AE6" i="83"/>
  <c r="AF6" i="83"/>
  <c r="AA10" i="83"/>
  <c r="X20" i="83"/>
  <c r="Y20" i="83"/>
  <c r="T24" i="83"/>
  <c r="U24" i="83"/>
  <c r="T27" i="83"/>
  <c r="S10" i="83"/>
  <c r="I11" i="83"/>
  <c r="F10" i="83"/>
  <c r="Q6" i="83"/>
  <c r="CM17" i="22"/>
  <c r="AR17" i="83"/>
  <c r="CO9" i="22"/>
  <c r="AT9" i="83"/>
  <c r="CH66" i="22"/>
  <c r="AM66" i="83"/>
  <c r="CJ66" i="22"/>
  <c r="F66" i="22" s="1"/>
  <c r="AO66" i="83"/>
  <c r="CM28" i="22"/>
  <c r="AR28" i="83"/>
  <c r="CT22" i="22"/>
  <c r="AY22" i="83"/>
  <c r="CT29" i="22"/>
  <c r="AY29" i="83"/>
  <c r="CH10" i="22"/>
  <c r="AM10" i="83"/>
  <c r="C10" i="83" s="1"/>
  <c r="CS21" i="22"/>
  <c r="AX21" i="83"/>
  <c r="CQ21" i="22"/>
  <c r="AV21" i="83"/>
  <c r="DC38" i="22"/>
  <c r="BH38" i="83"/>
  <c r="CY15" i="22"/>
  <c r="BD15" i="83"/>
  <c r="CZ15" i="22"/>
  <c r="BE15" i="83"/>
  <c r="DC9" i="22"/>
  <c r="BH9" i="83"/>
  <c r="DD38" i="22"/>
  <c r="BI38" i="83"/>
  <c r="CZ7" i="22"/>
  <c r="BE7" i="83"/>
  <c r="DJ38" i="22"/>
  <c r="BO38" i="83"/>
  <c r="CV7" i="22"/>
  <c r="BA7" i="83"/>
  <c r="CR8" i="22"/>
  <c r="AW8" i="83"/>
  <c r="CS8" i="22"/>
  <c r="AX8" i="83"/>
  <c r="DD35" i="22"/>
  <c r="BI35" i="83"/>
  <c r="DD22" i="22"/>
  <c r="BI22" i="83"/>
  <c r="CW7" i="22"/>
  <c r="BB7" i="83"/>
  <c r="DJ29" i="22"/>
  <c r="BO29" i="83"/>
  <c r="CJ81" i="22"/>
  <c r="AO81" i="83"/>
  <c r="DA81" i="22"/>
  <c r="BF81" i="83"/>
  <c r="CU81" i="22"/>
  <c r="AZ81" i="83"/>
  <c r="DG29" i="22"/>
  <c r="AB29" i="22" s="1"/>
  <c r="BL29" i="83"/>
  <c r="CZ17" i="22"/>
  <c r="U17" i="22" s="1"/>
  <c r="BE17" i="83"/>
  <c r="U17" i="83" s="1"/>
  <c r="DF5" i="22"/>
  <c r="AA5" i="22" s="1"/>
  <c r="BK5" i="83"/>
  <c r="AA5" i="83" s="1"/>
  <c r="DI9" i="22"/>
  <c r="BN9" i="83"/>
  <c r="DL38" i="22"/>
  <c r="BQ38" i="83"/>
  <c r="AH20" i="83"/>
  <c r="V23" i="83"/>
  <c r="W23" i="83"/>
  <c r="AB30" i="83"/>
  <c r="AC30" i="83"/>
  <c r="Y30" i="83"/>
  <c r="J11" i="83"/>
  <c r="K11" i="83"/>
  <c r="H30" i="83"/>
  <c r="P10" i="83"/>
  <c r="E31" i="83"/>
  <c r="AI43" i="22"/>
  <c r="AC27" i="83"/>
  <c r="AA6" i="83"/>
  <c r="V6" i="83"/>
  <c r="W6" i="83"/>
  <c r="Q25" i="83"/>
  <c r="M25" i="83"/>
  <c r="X28" i="83"/>
  <c r="Y28" i="83"/>
  <c r="T20" i="83"/>
  <c r="U20" i="83"/>
  <c r="Q11" i="83"/>
  <c r="O24" i="83"/>
  <c r="H19" i="83"/>
  <c r="CY22" i="22"/>
  <c r="BD22" i="83"/>
  <c r="P43" i="83"/>
  <c r="Q43" i="83"/>
  <c r="AH23" i="22"/>
  <c r="AG23" i="22"/>
  <c r="AH14" i="22"/>
  <c r="BU5" i="15"/>
  <c r="BU8" i="15" s="1"/>
  <c r="BU10" i="15" s="1"/>
  <c r="BU14" i="15" s="1"/>
  <c r="AI14" i="22"/>
  <c r="AG14" i="22"/>
  <c r="BU6" i="42"/>
  <c r="BU8" i="42" s="1"/>
  <c r="BU9" i="42" s="1"/>
  <c r="BU14" i="42" s="1"/>
  <c r="H16" i="41"/>
  <c r="H13" i="41"/>
  <c r="AF14" i="22"/>
  <c r="AF23" i="22"/>
  <c r="AE23" i="22"/>
  <c r="AD4" i="22"/>
  <c r="AE4" i="22"/>
  <c r="AE14" i="22"/>
  <c r="AD23" i="22"/>
  <c r="AD14" i="22"/>
  <c r="AC14" i="22"/>
  <c r="AC23" i="22"/>
  <c r="AB14" i="22"/>
  <c r="AB23" i="22"/>
  <c r="AA4" i="22"/>
  <c r="AB4" i="22"/>
  <c r="AA23" i="22"/>
  <c r="AA14" i="22"/>
  <c r="Z14" i="22"/>
  <c r="Z23" i="22"/>
  <c r="Y23" i="22"/>
  <c r="L5" i="22"/>
  <c r="W5" i="22"/>
  <c r="V5" i="22"/>
  <c r="Y4" i="22"/>
  <c r="U5" i="22"/>
  <c r="T5" i="22"/>
  <c r="X5" i="22"/>
  <c r="R5" i="22"/>
  <c r="Q5" i="22"/>
  <c r="S5" i="22"/>
  <c r="M5" i="22"/>
  <c r="N5" i="22"/>
  <c r="P5" i="22"/>
  <c r="O5" i="22"/>
  <c r="K5" i="22"/>
  <c r="BB16" i="41"/>
  <c r="BD16" i="41"/>
  <c r="AT16" i="41"/>
  <c r="AX16" i="41"/>
  <c r="BK16" i="41"/>
  <c r="BM16" i="41"/>
  <c r="AW16" i="41"/>
  <c r="BF16" i="41"/>
  <c r="BG16" i="41"/>
  <c r="AR16" i="41"/>
  <c r="AS16" i="41"/>
  <c r="AX16" i="2"/>
  <c r="AZ16" i="2"/>
  <c r="Y14" i="22"/>
  <c r="AV16" i="41"/>
  <c r="AY16" i="41"/>
  <c r="BE16" i="41"/>
  <c r="BH16" i="41"/>
  <c r="BL16" i="41"/>
  <c r="AZ16" i="41"/>
  <c r="BC16" i="41"/>
  <c r="BJ16" i="41"/>
  <c r="AU16" i="41"/>
  <c r="BA16" i="41"/>
  <c r="BI16" i="41"/>
  <c r="X14" i="22"/>
  <c r="CS13" i="22"/>
  <c r="CQ13" i="22"/>
  <c r="BA13" i="2"/>
  <c r="X23" i="22"/>
  <c r="CN4" i="22"/>
  <c r="J4" i="22" s="1"/>
  <c r="W4" i="22"/>
  <c r="X4" i="22"/>
  <c r="AX5" i="15"/>
  <c r="AX8" i="15" s="1"/>
  <c r="AX10" i="15" s="1"/>
  <c r="AX14" i="15" s="1"/>
  <c r="P13" i="19"/>
  <c r="P16" i="19"/>
  <c r="R11" i="19"/>
  <c r="R16" i="19" s="1"/>
  <c r="S11" i="19"/>
  <c r="S16" i="19" s="1"/>
  <c r="W23" i="22"/>
  <c r="W14" i="22"/>
  <c r="W33" i="22"/>
  <c r="V23" i="22"/>
  <c r="V14" i="22"/>
  <c r="U23" i="22"/>
  <c r="U4" i="22"/>
  <c r="U14" i="22"/>
  <c r="T23" i="22"/>
  <c r="S23" i="22"/>
  <c r="T33" i="22"/>
  <c r="T14" i="22"/>
  <c r="S14" i="22"/>
  <c r="R23" i="22"/>
  <c r="R14" i="22"/>
  <c r="T4" i="22"/>
  <c r="S4" i="22"/>
  <c r="Q4" i="22"/>
  <c r="R4" i="22"/>
  <c r="P17" i="22"/>
  <c r="CU33" i="22"/>
  <c r="Q14" i="22"/>
  <c r="P14" i="22"/>
  <c r="P15" i="22"/>
  <c r="O23" i="22"/>
  <c r="P23" i="22"/>
  <c r="O4" i="22"/>
  <c r="P4" i="22"/>
  <c r="N12" i="22"/>
  <c r="O12" i="22"/>
  <c r="O15" i="22"/>
  <c r="L33" i="22"/>
  <c r="M4" i="22"/>
  <c r="N4" i="22"/>
  <c r="M14" i="22"/>
  <c r="N23" i="22"/>
  <c r="L23" i="22"/>
  <c r="M23" i="22"/>
  <c r="L12" i="22"/>
  <c r="K4" i="22"/>
  <c r="L4" i="22"/>
  <c r="J33" i="22"/>
  <c r="K14" i="22"/>
  <c r="I14" i="22"/>
  <c r="K33" i="22"/>
  <c r="E33" i="22"/>
  <c r="I33" i="22"/>
  <c r="AS16" i="48"/>
  <c r="AG13" i="48"/>
  <c r="U13" i="48"/>
  <c r="AQ16" i="48"/>
  <c r="AH13" i="48"/>
  <c r="J14" i="22"/>
  <c r="J23" i="22"/>
  <c r="H14" i="22"/>
  <c r="H8" i="22"/>
  <c r="I23" i="22"/>
  <c r="I12" i="22"/>
  <c r="G23" i="22"/>
  <c r="E39" i="22"/>
  <c r="F23" i="22"/>
  <c r="F40" i="22"/>
  <c r="G4" i="22"/>
  <c r="G14" i="22"/>
  <c r="H23" i="22"/>
  <c r="H4" i="22"/>
  <c r="D14" i="22"/>
  <c r="E14" i="22"/>
  <c r="D23" i="22"/>
  <c r="D30" i="22"/>
  <c r="E40" i="22"/>
  <c r="F39" i="22"/>
  <c r="H33" i="22"/>
  <c r="D40" i="22"/>
  <c r="D39" i="22"/>
  <c r="G39" i="22"/>
  <c r="H32" i="22"/>
  <c r="F14" i="22"/>
  <c r="E23" i="22"/>
  <c r="CM38" i="22"/>
  <c r="AX11" i="63"/>
  <c r="AX13" i="63" s="1"/>
  <c r="AX18" i="63" s="1"/>
  <c r="AY8" i="63"/>
  <c r="AX11" i="62"/>
  <c r="AU4" i="2"/>
  <c r="AU8" i="2" s="1"/>
  <c r="AU11" i="2" s="1"/>
  <c r="CJ12" i="22"/>
  <c r="CH12" i="22"/>
  <c r="CL12" i="22"/>
  <c r="H12" i="22" s="1"/>
  <c r="AN13" i="2"/>
  <c r="AE13" i="2"/>
  <c r="AF13" i="2"/>
  <c r="CM13" i="22"/>
  <c r="CJ13" i="22"/>
  <c r="CH13" i="22"/>
  <c r="CL13" i="22"/>
  <c r="AJ13" i="2"/>
  <c r="AP18" i="29"/>
  <c r="W18" i="29"/>
  <c r="AL18" i="29"/>
  <c r="V18" i="29"/>
  <c r="AD18" i="29"/>
  <c r="AR5" i="15"/>
  <c r="AR8" i="15" s="1"/>
  <c r="AR10" i="15" s="1"/>
  <c r="AR14" i="15" s="1"/>
  <c r="AF18" i="29"/>
  <c r="AT16" i="34"/>
  <c r="AQ5" i="15"/>
  <c r="AQ8" i="15" s="1"/>
  <c r="AQ10" i="15" s="1"/>
  <c r="AQ14" i="15" s="1"/>
  <c r="L18" i="29"/>
  <c r="AR6" i="42"/>
  <c r="AR8" i="42" s="1"/>
  <c r="AR9" i="42" s="1"/>
  <c r="AR14" i="42" s="1"/>
  <c r="AK6" i="42"/>
  <c r="AK8" i="42" s="1"/>
  <c r="AK9" i="42" s="1"/>
  <c r="AK14" i="42" s="1"/>
  <c r="AL6" i="42"/>
  <c r="AL8" i="42" s="1"/>
  <c r="AL9" i="42" s="1"/>
  <c r="AL11" i="42" s="1"/>
  <c r="AP6" i="42"/>
  <c r="AP8" i="42" s="1"/>
  <c r="AP9" i="42" s="1"/>
  <c r="AP14" i="42" s="1"/>
  <c r="AT6" i="42"/>
  <c r="AT8" i="42" s="1"/>
  <c r="AT9" i="42" s="1"/>
  <c r="AT14" i="42" s="1"/>
  <c r="AT5" i="15"/>
  <c r="AT8" i="15" s="1"/>
  <c r="AT10" i="15" s="1"/>
  <c r="AT14" i="15" s="1"/>
  <c r="CI4" i="22"/>
  <c r="AS6" i="42"/>
  <c r="AS8" i="42" s="1"/>
  <c r="AS9" i="42" s="1"/>
  <c r="AS14" i="42" s="1"/>
  <c r="AF6" i="42"/>
  <c r="AF8" i="42" s="1"/>
  <c r="AF9" i="42" s="1"/>
  <c r="AF14" i="42" s="1"/>
  <c r="AE15" i="51"/>
  <c r="AA15" i="51"/>
  <c r="AR15" i="51"/>
  <c r="AH15" i="51"/>
  <c r="AJ15" i="51"/>
  <c r="H11" i="34"/>
  <c r="H16" i="34" s="1"/>
  <c r="AI12" i="15"/>
  <c r="AB14" i="42"/>
  <c r="AB11" i="42"/>
  <c r="Z5" i="15"/>
  <c r="Z8" i="15" s="1"/>
  <c r="Z10" i="15" s="1"/>
  <c r="Z14" i="15" s="1"/>
  <c r="Z6" i="42"/>
  <c r="Z8" i="42" s="1"/>
  <c r="Z9" i="42" s="1"/>
  <c r="Z14" i="42" s="1"/>
  <c r="W11" i="42"/>
  <c r="AA14" i="42"/>
  <c r="AA11" i="42"/>
  <c r="X14" i="42"/>
  <c r="X11" i="42"/>
  <c r="AC11" i="42"/>
  <c r="AC14" i="42"/>
  <c r="Y5" i="15"/>
  <c r="Y8" i="15" s="1"/>
  <c r="Y10" i="15" s="1"/>
  <c r="Y14" i="15" s="1"/>
  <c r="Y6" i="42"/>
  <c r="Y8" i="42" s="1"/>
  <c r="Y9" i="42" s="1"/>
  <c r="Y14" i="42" s="1"/>
  <c r="AE5" i="15"/>
  <c r="AE8" i="15" s="1"/>
  <c r="AE10" i="15" s="1"/>
  <c r="AE14" i="15" s="1"/>
  <c r="AE6" i="42"/>
  <c r="AE8" i="42" s="1"/>
  <c r="AE9" i="42" s="1"/>
  <c r="AH11" i="42"/>
  <c r="AH14" i="42"/>
  <c r="AD5" i="15"/>
  <c r="AD8" i="15" s="1"/>
  <c r="AD10" i="15" s="1"/>
  <c r="AD14" i="15" s="1"/>
  <c r="AD6" i="42"/>
  <c r="AD8" i="42" s="1"/>
  <c r="AD9" i="42" s="1"/>
  <c r="T5" i="15"/>
  <c r="T8" i="15" s="1"/>
  <c r="T10" i="15" s="1"/>
  <c r="T14" i="15" s="1"/>
  <c r="T6" i="42"/>
  <c r="T8" i="42" s="1"/>
  <c r="T9" i="42" s="1"/>
  <c r="T14" i="42" s="1"/>
  <c r="R9" i="14"/>
  <c r="R11" i="14" s="1"/>
  <c r="R16" i="14" s="1"/>
  <c r="P136" i="1" s="1"/>
  <c r="J9" i="14"/>
  <c r="J11" i="14" s="1"/>
  <c r="J16" i="14" s="1"/>
  <c r="H136" i="1" s="1"/>
  <c r="O15" i="17"/>
  <c r="R15" i="17"/>
  <c r="N15" i="17"/>
  <c r="K15" i="17"/>
  <c r="M15" i="17"/>
  <c r="P15" i="17"/>
  <c r="L15" i="17"/>
  <c r="S15" i="17"/>
  <c r="Q15" i="17"/>
  <c r="U31" i="22" l="1"/>
  <c r="CG31" i="22"/>
  <c r="C31" i="22" s="1"/>
  <c r="F19" i="83"/>
  <c r="E10" i="22"/>
  <c r="AD33" i="22"/>
  <c r="CG42" i="22"/>
  <c r="C42" i="22" s="1"/>
  <c r="I31" i="83"/>
  <c r="AA29" i="83"/>
  <c r="Y33" i="83"/>
  <c r="AC17" i="83"/>
  <c r="G42" i="22"/>
  <c r="U33" i="22"/>
  <c r="Z29" i="83"/>
  <c r="S25" i="83"/>
  <c r="N39" i="83"/>
  <c r="T29" i="22"/>
  <c r="M19" i="83"/>
  <c r="U29" i="22"/>
  <c r="AG42" i="83"/>
  <c r="V16" i="83"/>
  <c r="AH42" i="83"/>
  <c r="G10" i="83"/>
  <c r="AG40" i="83"/>
  <c r="AD19" i="83"/>
  <c r="M10" i="83"/>
  <c r="AH17" i="83"/>
  <c r="V10" i="83"/>
  <c r="AH19" i="83"/>
  <c r="CG25" i="22"/>
  <c r="C25" i="22" s="1"/>
  <c r="G25" i="22"/>
  <c r="Y16" i="83"/>
  <c r="BS35" i="22"/>
  <c r="CA29" i="22"/>
  <c r="AG31" i="83"/>
  <c r="AW22" i="83"/>
  <c r="X29" i="83"/>
  <c r="AC81" i="83"/>
  <c r="H31" i="83"/>
  <c r="Z31" i="83"/>
  <c r="AQ22" i="83"/>
  <c r="H22" i="83" s="1"/>
  <c r="Y19" i="83"/>
  <c r="BX9" i="22"/>
  <c r="Q19" i="83"/>
  <c r="AC40" i="83"/>
  <c r="Q10" i="83"/>
  <c r="Q31" i="83"/>
  <c r="BI29" i="22"/>
  <c r="N16" i="83"/>
  <c r="I39" i="83"/>
  <c r="BV29" i="22"/>
  <c r="BT29" i="22"/>
  <c r="AW38" i="83"/>
  <c r="M38" i="83" s="1"/>
  <c r="BW29" i="22"/>
  <c r="AH81" i="83"/>
  <c r="N31" i="83"/>
  <c r="BY29" i="22"/>
  <c r="BO29" i="22"/>
  <c r="BW9" i="22"/>
  <c r="BU29" i="22"/>
  <c r="CB29" i="22"/>
  <c r="BJ29" i="22"/>
  <c r="BM29" i="22"/>
  <c r="BQ29" i="22"/>
  <c r="BZ9" i="22"/>
  <c r="BY9" i="22"/>
  <c r="BL29" i="22"/>
  <c r="BX29" i="22"/>
  <c r="BN29" i="22"/>
  <c r="BS29" i="22"/>
  <c r="BR29" i="22"/>
  <c r="CA9" i="22"/>
  <c r="CB9" i="22"/>
  <c r="BK29" i="22"/>
  <c r="BV9" i="22"/>
  <c r="BY20" i="22"/>
  <c r="AX13" i="62"/>
  <c r="AX18" i="62"/>
  <c r="BV16" i="2"/>
  <c r="DL13" i="22" s="1"/>
  <c r="AG13" i="22" s="1"/>
  <c r="BV13" i="2"/>
  <c r="BH29" i="22"/>
  <c r="DH12" i="15"/>
  <c r="DH14" i="15"/>
  <c r="EX9" i="22" s="1"/>
  <c r="BU9" i="22" s="1"/>
  <c r="BZ29" i="22"/>
  <c r="BP29" i="22"/>
  <c r="AX14" i="42"/>
  <c r="AS38" i="83" s="1"/>
  <c r="I38" i="83" s="1"/>
  <c r="AX11" i="42"/>
  <c r="CA12" i="22"/>
  <c r="CA13" i="22"/>
  <c r="BZ13" i="22"/>
  <c r="BZ12" i="22"/>
  <c r="BY12" i="22"/>
  <c r="BY13" i="22"/>
  <c r="BW13" i="22"/>
  <c r="BW12" i="22"/>
  <c r="BX12" i="22"/>
  <c r="BX13" i="22"/>
  <c r="BU12" i="22"/>
  <c r="BU13" i="22"/>
  <c r="BV12" i="22"/>
  <c r="BV13" i="22"/>
  <c r="BK9" i="22"/>
  <c r="CG40" i="22"/>
  <c r="C40" i="22" s="1"/>
  <c r="BR38" i="22"/>
  <c r="N40" i="22"/>
  <c r="BR9" i="22"/>
  <c r="BQ9" i="22"/>
  <c r="BS9" i="22"/>
  <c r="R40" i="83"/>
  <c r="BS38" i="22"/>
  <c r="BT38" i="22"/>
  <c r="BL4" i="22"/>
  <c r="BO38" i="22"/>
  <c r="BP4" i="22"/>
  <c r="BP9" i="22"/>
  <c r="BQ35" i="83"/>
  <c r="AG35" i="83" s="1"/>
  <c r="BT4" i="22"/>
  <c r="BS4" i="22"/>
  <c r="BJ35" i="22"/>
  <c r="BI35" i="22"/>
  <c r="BK35" i="22"/>
  <c r="BH35" i="22"/>
  <c r="BT12" i="22"/>
  <c r="BT13" i="22"/>
  <c r="BP12" i="22"/>
  <c r="S12" i="22"/>
  <c r="BP13" i="22"/>
  <c r="AW13" i="83"/>
  <c r="M13" i="83" s="1"/>
  <c r="R12" i="22"/>
  <c r="CW13" i="22"/>
  <c r="R13" i="22" s="1"/>
  <c r="Q12" i="22"/>
  <c r="M12" i="83"/>
  <c r="Q12" i="83"/>
  <c r="BO13" i="22"/>
  <c r="BO12" i="22"/>
  <c r="BN12" i="22"/>
  <c r="BN13" i="22"/>
  <c r="AA15" i="22"/>
  <c r="E12" i="83"/>
  <c r="BI13" i="22"/>
  <c r="AR12" i="22"/>
  <c r="AS13" i="22"/>
  <c r="BF13" i="22"/>
  <c r="BD13" i="22"/>
  <c r="AS12" i="22"/>
  <c r="BL13" i="22"/>
  <c r="BM13" i="22"/>
  <c r="BH13" i="22"/>
  <c r="BG12" i="22"/>
  <c r="BF12" i="22"/>
  <c r="BC12" i="22"/>
  <c r="BD12" i="22"/>
  <c r="BE13" i="22"/>
  <c r="BI12" i="22"/>
  <c r="BH12" i="22"/>
  <c r="BJ12" i="22"/>
  <c r="BJ13" i="22"/>
  <c r="BL12" i="22"/>
  <c r="BM12" i="22"/>
  <c r="BA9" i="22"/>
  <c r="BA35" i="22"/>
  <c r="BA22" i="22"/>
  <c r="AZ29" i="22"/>
  <c r="BA29" i="22"/>
  <c r="BA38" i="22"/>
  <c r="BE21" i="22"/>
  <c r="AR6" i="22"/>
  <c r="AD78" i="22"/>
  <c r="AW38" i="22"/>
  <c r="BF29" i="22"/>
  <c r="BG29" i="22"/>
  <c r="AG78" i="83"/>
  <c r="AH78" i="22"/>
  <c r="AB78" i="22"/>
  <c r="AF78" i="83"/>
  <c r="AC78" i="22"/>
  <c r="AI78" i="83"/>
  <c r="AI78" i="22"/>
  <c r="AE78" i="22"/>
  <c r="AE78" i="83"/>
  <c r="AA78" i="83"/>
  <c r="AB78" i="83"/>
  <c r="AH78" i="83"/>
  <c r="AA78" i="22"/>
  <c r="AF78" i="22"/>
  <c r="AG78" i="22"/>
  <c r="Z78" i="22"/>
  <c r="AC78" i="83"/>
  <c r="M3" i="83"/>
  <c r="AD78" i="83"/>
  <c r="K12" i="83"/>
  <c r="AJ35" i="22"/>
  <c r="AX38" i="22"/>
  <c r="AK35" i="22"/>
  <c r="AT6" i="22"/>
  <c r="P3" i="83"/>
  <c r="AO13" i="22"/>
  <c r="N3" i="22"/>
  <c r="AJ88" i="22"/>
  <c r="M20" i="22"/>
  <c r="AZ35" i="22"/>
  <c r="L3" i="22"/>
  <c r="AL29" i="22"/>
  <c r="D3" i="22"/>
  <c r="J3" i="22"/>
  <c r="I3" i="22"/>
  <c r="BD9" i="22"/>
  <c r="N20" i="22"/>
  <c r="AK29" i="22"/>
  <c r="W12" i="83"/>
  <c r="AV6" i="22"/>
  <c r="AY9" i="22"/>
  <c r="X12" i="83"/>
  <c r="AT29" i="22"/>
  <c r="K3" i="22"/>
  <c r="U3" i="22"/>
  <c r="AT38" i="22"/>
  <c r="AP13" i="22"/>
  <c r="V3" i="22"/>
  <c r="AK9" i="22"/>
  <c r="AS38" i="22"/>
  <c r="S3" i="22"/>
  <c r="AK22" i="22"/>
  <c r="AQ35" i="22"/>
  <c r="AY35" i="22"/>
  <c r="Q3" i="22"/>
  <c r="BD29" i="22"/>
  <c r="AJ13" i="22"/>
  <c r="AZ22" i="22"/>
  <c r="AI13" i="22"/>
  <c r="AN13" i="22"/>
  <c r="AP22" i="22"/>
  <c r="AO6" i="22"/>
  <c r="AN22" i="22"/>
  <c r="AF3" i="22"/>
  <c r="BC29" i="22"/>
  <c r="AY38" i="22"/>
  <c r="E13" i="83"/>
  <c r="BE35" i="22"/>
  <c r="U13" i="83"/>
  <c r="BB22" i="22"/>
  <c r="AF13" i="22"/>
  <c r="AK6" i="22"/>
  <c r="AX6" i="22"/>
  <c r="AX9" i="22"/>
  <c r="AS9" i="22"/>
  <c r="R3" i="22"/>
  <c r="BB9" i="22"/>
  <c r="H13" i="83"/>
  <c r="AQ22" i="22"/>
  <c r="AR38" i="22"/>
  <c r="AN6" i="22"/>
  <c r="CG88" i="22"/>
  <c r="AM22" i="22"/>
  <c r="AW29" i="22"/>
  <c r="BC9" i="22"/>
  <c r="BD21" i="22"/>
  <c r="AC3" i="22"/>
  <c r="AE3" i="22"/>
  <c r="AA3" i="22"/>
  <c r="Z3" i="22"/>
  <c r="AK38" i="22"/>
  <c r="BE38" i="22"/>
  <c r="AZ9" i="22"/>
  <c r="AB3" i="22"/>
  <c r="BF22" i="22"/>
  <c r="AJ22" i="22"/>
  <c r="E3" i="22"/>
  <c r="AP6" i="22"/>
  <c r="AD3" i="22"/>
  <c r="H3" i="83"/>
  <c r="D13" i="83"/>
  <c r="Y3" i="22"/>
  <c r="AT20" i="22"/>
  <c r="H38" i="83"/>
  <c r="U3" i="83"/>
  <c r="BG9" i="22"/>
  <c r="BF9" i="22"/>
  <c r="BC35" i="22"/>
  <c r="S12" i="83"/>
  <c r="AO9" i="22"/>
  <c r="AS22" i="22"/>
  <c r="BE22" i="22"/>
  <c r="BF38" i="22"/>
  <c r="AQ6" i="22"/>
  <c r="AT9" i="22"/>
  <c r="AI22" i="22"/>
  <c r="AJ3" i="22"/>
  <c r="I3" i="83"/>
  <c r="AE13" i="22"/>
  <c r="AL35" i="22"/>
  <c r="AT22" i="22"/>
  <c r="AP35" i="22"/>
  <c r="AH3" i="22"/>
  <c r="AV9" i="22"/>
  <c r="AX22" i="22"/>
  <c r="AW35" i="22"/>
  <c r="AO38" i="22"/>
  <c r="AC12" i="83"/>
  <c r="Q13" i="83"/>
  <c r="P13" i="83"/>
  <c r="AQ11" i="22"/>
  <c r="AT35" i="22"/>
  <c r="AA13" i="83"/>
  <c r="AV29" i="22"/>
  <c r="BE9" i="22"/>
  <c r="AL6" i="22"/>
  <c r="CG85" i="22"/>
  <c r="AI3" i="22"/>
  <c r="AG3" i="83"/>
  <c r="AV35" i="22"/>
  <c r="AF3" i="83"/>
  <c r="AS88" i="22"/>
  <c r="AW6" i="22"/>
  <c r="AZ38" i="22"/>
  <c r="AN35" i="22"/>
  <c r="AM29" i="22"/>
  <c r="AM13" i="22"/>
  <c r="BA3" i="22"/>
  <c r="AS35" i="22"/>
  <c r="AX29" i="22"/>
  <c r="AH12" i="83"/>
  <c r="BG22" i="22"/>
  <c r="AO22" i="22"/>
  <c r="AJ20" i="22"/>
  <c r="AY29" i="22"/>
  <c r="N3" i="83"/>
  <c r="AZ3" i="22"/>
  <c r="BG35" i="22"/>
  <c r="BD38" i="22"/>
  <c r="BC38" i="22"/>
  <c r="W3" i="22"/>
  <c r="AR35" i="22"/>
  <c r="AW9" i="22"/>
  <c r="BB35" i="22"/>
  <c r="AM6" i="22"/>
  <c r="X3" i="83"/>
  <c r="AM35" i="22"/>
  <c r="AR22" i="22"/>
  <c r="BD22" i="22"/>
  <c r="BG38" i="22"/>
  <c r="P3" i="22"/>
  <c r="AA13" i="22"/>
  <c r="AS29" i="22"/>
  <c r="AX35" i="22"/>
  <c r="AS6" i="22"/>
  <c r="BE29" i="22"/>
  <c r="BB3" i="22"/>
  <c r="AR9" i="22"/>
  <c r="BH13" i="83"/>
  <c r="Y13" i="83" s="1"/>
  <c r="DU38" i="22"/>
  <c r="AQ38" i="22" s="1"/>
  <c r="BB29" i="22"/>
  <c r="BF13" i="83"/>
  <c r="V13" i="83" s="1"/>
  <c r="DQ38" i="22"/>
  <c r="AL38" i="22" s="1"/>
  <c r="AV22" i="22"/>
  <c r="DH13" i="22"/>
  <c r="AD13" i="22" s="1"/>
  <c r="AQ29" i="22"/>
  <c r="AY22" i="22"/>
  <c r="BD35" i="22"/>
  <c r="DP13" i="22"/>
  <c r="AL13" i="22" s="1"/>
  <c r="DN38" i="22"/>
  <c r="AJ38" i="22" s="1"/>
  <c r="AV38" i="22"/>
  <c r="BF35" i="22"/>
  <c r="AL22" i="22"/>
  <c r="DR38" i="22"/>
  <c r="AN38" i="22" s="1"/>
  <c r="BB38" i="22"/>
  <c r="BC22" i="22"/>
  <c r="DR9" i="22"/>
  <c r="AN9" i="22" s="1"/>
  <c r="AW22" i="22"/>
  <c r="BC13" i="83"/>
  <c r="T13" i="83" s="1"/>
  <c r="DU9" i="22"/>
  <c r="AQ9" i="22" s="1"/>
  <c r="DQ9" i="22"/>
  <c r="AL9" i="22" s="1"/>
  <c r="DN9" i="22"/>
  <c r="AJ9" i="22" s="1"/>
  <c r="DV13" i="22"/>
  <c r="AO35" i="22"/>
  <c r="BG13" i="83"/>
  <c r="DG13" i="22"/>
  <c r="AB13" i="22" s="1"/>
  <c r="AF14" i="15"/>
  <c r="AP4" i="22"/>
  <c r="AM4" i="22"/>
  <c r="CG3" i="22"/>
  <c r="C3" i="22" s="1"/>
  <c r="C34" i="22"/>
  <c r="AI22" i="83"/>
  <c r="C66" i="22"/>
  <c r="CG12" i="22"/>
  <c r="C12" i="22" s="1"/>
  <c r="CG11" i="22"/>
  <c r="C11" i="22" s="1"/>
  <c r="CG8" i="22"/>
  <c r="C8" i="22" s="1"/>
  <c r="F28" i="22"/>
  <c r="CG28" i="22"/>
  <c r="C28" i="22" s="1"/>
  <c r="CG5" i="22"/>
  <c r="C5" i="22" s="1"/>
  <c r="CG20" i="22"/>
  <c r="CG4" i="22"/>
  <c r="C4" i="22" s="1"/>
  <c r="G33" i="22"/>
  <c r="CG33" i="22"/>
  <c r="C33" i="22" s="1"/>
  <c r="CG22" i="22"/>
  <c r="C22" i="22" s="1"/>
  <c r="G3" i="22"/>
  <c r="CG81" i="22"/>
  <c r="C81" i="22" s="1"/>
  <c r="CG29" i="22"/>
  <c r="C29" i="22" s="1"/>
  <c r="CG78" i="22"/>
  <c r="C78" i="22" s="1"/>
  <c r="CG10" i="22"/>
  <c r="C10" i="22" s="1"/>
  <c r="CG24" i="22"/>
  <c r="C24" i="22" s="1"/>
  <c r="CG7" i="22"/>
  <c r="C7" i="22" s="1"/>
  <c r="CG6" i="22"/>
  <c r="C6" i="22" s="1"/>
  <c r="F46" i="22"/>
  <c r="CG15" i="22"/>
  <c r="C15" i="22" s="1"/>
  <c r="CG17" i="22"/>
  <c r="C17" i="22" s="1"/>
  <c r="J12" i="22"/>
  <c r="O13" i="83"/>
  <c r="BS38" i="83"/>
  <c r="AI38" i="83" s="1"/>
  <c r="AI4" i="22"/>
  <c r="H3" i="22"/>
  <c r="BS9" i="83"/>
  <c r="AI9" i="83" s="1"/>
  <c r="AN4" i="22"/>
  <c r="AH12" i="22"/>
  <c r="BM13" i="83"/>
  <c r="AD13" i="83" s="1"/>
  <c r="CX13" i="22"/>
  <c r="T13" i="22" s="1"/>
  <c r="N20" i="83"/>
  <c r="DC13" i="22"/>
  <c r="Y13" i="22" s="1"/>
  <c r="BL13" i="83"/>
  <c r="AB13" i="83" s="1"/>
  <c r="DB13" i="22"/>
  <c r="AQ12" i="22"/>
  <c r="W12" i="22"/>
  <c r="T12" i="22"/>
  <c r="DA13" i="22"/>
  <c r="V13" i="22" s="1"/>
  <c r="X12" i="22"/>
  <c r="AC12" i="22"/>
  <c r="P13" i="22"/>
  <c r="Z13" i="22"/>
  <c r="Q13" i="22"/>
  <c r="Z13" i="83"/>
  <c r="AI11" i="22"/>
  <c r="AI13" i="83"/>
  <c r="AE13" i="83"/>
  <c r="AF13" i="83"/>
  <c r="U13" i="22"/>
  <c r="R13" i="83"/>
  <c r="AK12" i="22"/>
  <c r="AL12" i="22"/>
  <c r="M3" i="22"/>
  <c r="D3" i="83"/>
  <c r="E3" i="83"/>
  <c r="K3" i="83"/>
  <c r="L3" i="83"/>
  <c r="AC3" i="83"/>
  <c r="T3" i="22"/>
  <c r="X3" i="22"/>
  <c r="J3" i="83"/>
  <c r="AE3" i="83"/>
  <c r="O3" i="22"/>
  <c r="AA3" i="83"/>
  <c r="Z3" i="83"/>
  <c r="AG3" i="22"/>
  <c r="Q3" i="83"/>
  <c r="O3" i="83"/>
  <c r="H9" i="22"/>
  <c r="L78" i="83"/>
  <c r="AH3" i="83"/>
  <c r="Y3" i="83"/>
  <c r="V3" i="83"/>
  <c r="AD3" i="83"/>
  <c r="R3" i="83"/>
  <c r="AI3" i="83"/>
  <c r="AB3" i="83"/>
  <c r="W3" i="83"/>
  <c r="S3" i="83"/>
  <c r="T3" i="83"/>
  <c r="T8" i="22"/>
  <c r="V78" i="22"/>
  <c r="O29" i="22"/>
  <c r="Z29" i="22"/>
  <c r="C19" i="22"/>
  <c r="O9" i="22"/>
  <c r="Q33" i="22"/>
  <c r="AF22" i="22"/>
  <c r="Z9" i="22"/>
  <c r="Y9" i="22"/>
  <c r="J24" i="22"/>
  <c r="F20" i="22"/>
  <c r="P20" i="22"/>
  <c r="M9" i="22"/>
  <c r="G9" i="22"/>
  <c r="AA35" i="22"/>
  <c r="Y78" i="22"/>
  <c r="AG29" i="83"/>
  <c r="W38" i="22"/>
  <c r="O8" i="83"/>
  <c r="L81" i="22"/>
  <c r="N17" i="22"/>
  <c r="Y38" i="22"/>
  <c r="E20" i="22"/>
  <c r="I10" i="22"/>
  <c r="AC17" i="22"/>
  <c r="K20" i="83"/>
  <c r="D22" i="22"/>
  <c r="AB38" i="22"/>
  <c r="D29" i="22"/>
  <c r="S78" i="22"/>
  <c r="AC9" i="22"/>
  <c r="Y5" i="22"/>
  <c r="H81" i="83"/>
  <c r="G81" i="83"/>
  <c r="AD9" i="22"/>
  <c r="S7" i="83"/>
  <c r="N38" i="22"/>
  <c r="AB35" i="22"/>
  <c r="J81" i="22"/>
  <c r="G15" i="22"/>
  <c r="E21" i="22"/>
  <c r="O38" i="22"/>
  <c r="V9" i="22"/>
  <c r="P21" i="22"/>
  <c r="I17" i="22"/>
  <c r="W7" i="22"/>
  <c r="E81" i="22"/>
  <c r="Z35" i="22"/>
  <c r="AE38" i="22"/>
  <c r="V7" i="83"/>
  <c r="AD38" i="22"/>
  <c r="L29" i="22"/>
  <c r="AA9" i="22"/>
  <c r="M7" i="22"/>
  <c r="J29" i="22"/>
  <c r="M81" i="22"/>
  <c r="N78" i="22"/>
  <c r="P29" i="83"/>
  <c r="AI29" i="22"/>
  <c r="K81" i="22"/>
  <c r="F15" i="22"/>
  <c r="U9" i="22"/>
  <c r="F7" i="22"/>
  <c r="R33" i="22"/>
  <c r="AA38" i="22"/>
  <c r="P38" i="22"/>
  <c r="AD22" i="83"/>
  <c r="G78" i="22"/>
  <c r="I29" i="22"/>
  <c r="E17" i="83"/>
  <c r="AD35" i="22"/>
  <c r="P81" i="22"/>
  <c r="M15" i="22"/>
  <c r="E78" i="22"/>
  <c r="K78" i="22"/>
  <c r="P81" i="83"/>
  <c r="V8" i="22"/>
  <c r="P29" i="22"/>
  <c r="G38" i="22"/>
  <c r="AB9" i="22"/>
  <c r="AB17" i="83"/>
  <c r="M17" i="83"/>
  <c r="M78" i="83"/>
  <c r="U8" i="22"/>
  <c r="F3" i="22"/>
  <c r="X7" i="83"/>
  <c r="D21" i="22"/>
  <c r="M21" i="22"/>
  <c r="D66" i="22"/>
  <c r="AG35" i="22"/>
  <c r="G20" i="22"/>
  <c r="J22" i="83"/>
  <c r="H7" i="83"/>
  <c r="H5" i="22"/>
  <c r="H7" i="22"/>
  <c r="F5" i="83"/>
  <c r="G9" i="83"/>
  <c r="J21" i="22"/>
  <c r="N78" i="83"/>
  <c r="W15" i="22"/>
  <c r="G46" i="22"/>
  <c r="L20" i="22"/>
  <c r="V15" i="22"/>
  <c r="AF35" i="22"/>
  <c r="S15" i="22"/>
  <c r="N22" i="22"/>
  <c r="AF29" i="83"/>
  <c r="P9" i="22"/>
  <c r="AD22" i="22"/>
  <c r="L15" i="22"/>
  <c r="AF29" i="22"/>
  <c r="O8" i="22"/>
  <c r="T15" i="22"/>
  <c r="Q29" i="83"/>
  <c r="Q21" i="22"/>
  <c r="Q81" i="22"/>
  <c r="D33" i="22"/>
  <c r="K29" i="22"/>
  <c r="K21" i="22"/>
  <c r="U15" i="22"/>
  <c r="M21" i="83"/>
  <c r="K8" i="22"/>
  <c r="D8" i="22"/>
  <c r="AH35" i="22"/>
  <c r="R81" i="22"/>
  <c r="W8" i="22"/>
  <c r="E17" i="22"/>
  <c r="K15" i="22"/>
  <c r="D19" i="83"/>
  <c r="AE22" i="22"/>
  <c r="U9" i="83"/>
  <c r="W81" i="83"/>
  <c r="V81" i="22"/>
  <c r="R7" i="22"/>
  <c r="J24" i="83"/>
  <c r="E15" i="22"/>
  <c r="Q29" i="22"/>
  <c r="E78" i="83"/>
  <c r="N7" i="22"/>
  <c r="F78" i="22"/>
  <c r="E34" i="22"/>
  <c r="J78" i="22"/>
  <c r="R78" i="22"/>
  <c r="D6" i="83"/>
  <c r="E29" i="22"/>
  <c r="AA81" i="22"/>
  <c r="U78" i="22"/>
  <c r="G17" i="22"/>
  <c r="I20" i="22"/>
  <c r="Q21" i="83"/>
  <c r="X7" i="22"/>
  <c r="AC35" i="22"/>
  <c r="J20" i="83"/>
  <c r="T78" i="22"/>
  <c r="N21" i="22"/>
  <c r="N81" i="22"/>
  <c r="P78" i="22"/>
  <c r="L78" i="22"/>
  <c r="F6" i="22"/>
  <c r="N29" i="22"/>
  <c r="R38" i="22"/>
  <c r="M38" i="22"/>
  <c r="O7" i="22"/>
  <c r="F21" i="22"/>
  <c r="W22" i="22"/>
  <c r="X22" i="22"/>
  <c r="G5" i="22"/>
  <c r="H22" i="22"/>
  <c r="E43" i="22"/>
  <c r="U81" i="22"/>
  <c r="G7" i="22"/>
  <c r="T9" i="22"/>
  <c r="I29" i="83"/>
  <c r="K20" i="22"/>
  <c r="E4" i="22"/>
  <c r="D7" i="22"/>
  <c r="D15" i="22"/>
  <c r="D78" i="22"/>
  <c r="Q78" i="22"/>
  <c r="U7" i="22"/>
  <c r="D5" i="22"/>
  <c r="Q8" i="22"/>
  <c r="I5" i="83"/>
  <c r="Z81" i="22"/>
  <c r="AA22" i="22"/>
  <c r="L7" i="22"/>
  <c r="F29" i="22"/>
  <c r="M22" i="22"/>
  <c r="M8" i="22"/>
  <c r="S38" i="22"/>
  <c r="L28" i="22"/>
  <c r="G22" i="22"/>
  <c r="AH29" i="22"/>
  <c r="G81" i="22"/>
  <c r="K22" i="22"/>
  <c r="S8" i="22"/>
  <c r="N9" i="22"/>
  <c r="F17" i="22"/>
  <c r="W81" i="22"/>
  <c r="J8" i="22"/>
  <c r="K29" i="83"/>
  <c r="O20" i="22"/>
  <c r="X81" i="83"/>
  <c r="AE29" i="22"/>
  <c r="N33" i="22"/>
  <c r="N8" i="22"/>
  <c r="O78" i="22"/>
  <c r="F81" i="22"/>
  <c r="E66" i="83"/>
  <c r="K38" i="22"/>
  <c r="N9" i="83"/>
  <c r="N8" i="83"/>
  <c r="S81" i="22"/>
  <c r="G6" i="22"/>
  <c r="S9" i="22"/>
  <c r="L9" i="22"/>
  <c r="I7" i="22"/>
  <c r="G28" i="22"/>
  <c r="J22" i="22"/>
  <c r="AI35" i="22"/>
  <c r="K28" i="22"/>
  <c r="D17" i="22"/>
  <c r="H17" i="22"/>
  <c r="K22" i="83"/>
  <c r="P8" i="22"/>
  <c r="I28" i="22"/>
  <c r="O21" i="22"/>
  <c r="E66" i="22"/>
  <c r="I6" i="22"/>
  <c r="V7" i="22"/>
  <c r="L8" i="22"/>
  <c r="F5" i="22"/>
  <c r="O81" i="22"/>
  <c r="K9" i="83"/>
  <c r="L8" i="83"/>
  <c r="H29" i="83"/>
  <c r="R29" i="83"/>
  <c r="AB22" i="22"/>
  <c r="D10" i="22"/>
  <c r="E6" i="22"/>
  <c r="M78" i="22"/>
  <c r="I81" i="22"/>
  <c r="Z22" i="22"/>
  <c r="P22" i="22"/>
  <c r="I5" i="22"/>
  <c r="E5" i="22"/>
  <c r="S29" i="22"/>
  <c r="D34" i="22"/>
  <c r="N22" i="83"/>
  <c r="H29" i="22"/>
  <c r="D81" i="22"/>
  <c r="L22" i="22"/>
  <c r="J15" i="22"/>
  <c r="H81" i="22"/>
  <c r="K9" i="22"/>
  <c r="R9" i="83"/>
  <c r="I17" i="83"/>
  <c r="L21" i="83"/>
  <c r="I6" i="83"/>
  <c r="G29" i="22"/>
  <c r="J28" i="22"/>
  <c r="AH38" i="22"/>
  <c r="O81" i="83"/>
  <c r="H20" i="22"/>
  <c r="H28" i="22"/>
  <c r="O9" i="83"/>
  <c r="F20" i="83"/>
  <c r="I22" i="22"/>
  <c r="J20" i="22"/>
  <c r="H6" i="22"/>
  <c r="S7" i="22"/>
  <c r="AB9" i="83"/>
  <c r="K7" i="22"/>
  <c r="F8" i="22"/>
  <c r="AE9" i="83"/>
  <c r="AC29" i="22"/>
  <c r="S22" i="22"/>
  <c r="AG29" i="22"/>
  <c r="W9" i="22"/>
  <c r="S9" i="83"/>
  <c r="R29" i="22"/>
  <c r="AG4" i="22"/>
  <c r="Z38" i="22"/>
  <c r="X38" i="22"/>
  <c r="Q38" i="22"/>
  <c r="R15" i="22"/>
  <c r="T7" i="22"/>
  <c r="T81" i="22"/>
  <c r="Z22" i="83"/>
  <c r="Y7" i="22"/>
  <c r="T38" i="22"/>
  <c r="V22" i="22"/>
  <c r="AC22" i="22"/>
  <c r="AE9" i="22"/>
  <c r="AD29" i="22"/>
  <c r="Y81" i="22"/>
  <c r="W22" i="83"/>
  <c r="X8" i="22"/>
  <c r="V29" i="22"/>
  <c r="U81" i="83"/>
  <c r="U78" i="83"/>
  <c r="AE35" i="22"/>
  <c r="W9" i="83"/>
  <c r="Y29" i="83"/>
  <c r="V38" i="22"/>
  <c r="W78" i="22"/>
  <c r="R22" i="22"/>
  <c r="V17" i="22"/>
  <c r="AH22" i="83"/>
  <c r="AH22" i="22"/>
  <c r="S78" i="83"/>
  <c r="AB5" i="22"/>
  <c r="CJ35" i="22"/>
  <c r="AO35" i="83"/>
  <c r="T7" i="83"/>
  <c r="U7" i="83"/>
  <c r="F17" i="83"/>
  <c r="G17" i="83"/>
  <c r="D4" i="83"/>
  <c r="E4" i="83"/>
  <c r="L21" i="22"/>
  <c r="Q20" i="22"/>
  <c r="Q7" i="22"/>
  <c r="CP13" i="22"/>
  <c r="L13" i="22" s="1"/>
  <c r="AU13" i="83"/>
  <c r="L13" i="83" s="1"/>
  <c r="Y22" i="22"/>
  <c r="R8" i="22"/>
  <c r="F81" i="83"/>
  <c r="N21" i="83"/>
  <c r="O21" i="83"/>
  <c r="H28" i="83"/>
  <c r="I28" i="83"/>
  <c r="H17" i="83"/>
  <c r="U8" i="83"/>
  <c r="V29" i="83"/>
  <c r="W29" i="83"/>
  <c r="D21" i="83"/>
  <c r="C21" i="83"/>
  <c r="AD9" i="83"/>
  <c r="AC9" i="83"/>
  <c r="AB35" i="83"/>
  <c r="AC35" i="83"/>
  <c r="G78" i="83"/>
  <c r="H78" i="83"/>
  <c r="M8" i="83"/>
  <c r="X8" i="83"/>
  <c r="Y8" i="83"/>
  <c r="L28" i="83"/>
  <c r="AH9" i="22"/>
  <c r="CI9" i="22"/>
  <c r="AN9" i="83"/>
  <c r="R33" i="83"/>
  <c r="S33" i="83"/>
  <c r="AB22" i="83"/>
  <c r="AC22" i="83"/>
  <c r="AF35" i="83"/>
  <c r="CH9" i="22"/>
  <c r="AM9" i="83"/>
  <c r="CN9" i="22"/>
  <c r="J9" i="22" s="1"/>
  <c r="AS9" i="83"/>
  <c r="J9" i="83" s="1"/>
  <c r="X9" i="22"/>
  <c r="CP35" i="22"/>
  <c r="AU35" i="83"/>
  <c r="CN13" i="22"/>
  <c r="I13" i="22" s="1"/>
  <c r="AS13" i="83"/>
  <c r="I13" i="83" s="1"/>
  <c r="DC35" i="22"/>
  <c r="Y35" i="22" s="1"/>
  <c r="BH35" i="83"/>
  <c r="J7" i="22"/>
  <c r="X81" i="22"/>
  <c r="AC38" i="22"/>
  <c r="AA81" i="83"/>
  <c r="AB81" i="83"/>
  <c r="AH38" i="83"/>
  <c r="C8" i="83"/>
  <c r="D8" i="83"/>
  <c r="G7" i="83"/>
  <c r="G6" i="83"/>
  <c r="T38" i="83"/>
  <c r="U38" i="83"/>
  <c r="F46" i="83"/>
  <c r="G46" i="83"/>
  <c r="V78" i="83"/>
  <c r="T8" i="83"/>
  <c r="C33" i="83"/>
  <c r="D33" i="83"/>
  <c r="T9" i="83"/>
  <c r="E20" i="83"/>
  <c r="V17" i="83"/>
  <c r="Z35" i="83"/>
  <c r="AA35" i="83"/>
  <c r="T78" i="83"/>
  <c r="F15" i="83"/>
  <c r="G15" i="83"/>
  <c r="E21" i="83"/>
  <c r="V81" i="83"/>
  <c r="V22" i="83"/>
  <c r="K81" i="83"/>
  <c r="L81" i="83"/>
  <c r="X22" i="83"/>
  <c r="Y22" i="83"/>
  <c r="I22" i="83"/>
  <c r="D10" i="83"/>
  <c r="E10" i="83"/>
  <c r="H20" i="83"/>
  <c r="I20" i="83"/>
  <c r="D17" i="83"/>
  <c r="C17" i="83"/>
  <c r="L22" i="83"/>
  <c r="M22" i="83"/>
  <c r="CH38" i="22"/>
  <c r="AM38" i="83"/>
  <c r="C38" i="83" s="1"/>
  <c r="G8" i="22"/>
  <c r="CI38" i="22"/>
  <c r="AN38" i="83"/>
  <c r="F33" i="22"/>
  <c r="Q22" i="22"/>
  <c r="W29" i="22"/>
  <c r="CY35" i="22"/>
  <c r="BD35" i="83"/>
  <c r="DB35" i="22"/>
  <c r="BG35" i="83"/>
  <c r="CI35" i="22"/>
  <c r="AN35" i="83"/>
  <c r="X78" i="22"/>
  <c r="CT35" i="22"/>
  <c r="AY35" i="83"/>
  <c r="DK38" i="22"/>
  <c r="AF38" i="22" s="1"/>
  <c r="BP38" i="83"/>
  <c r="AB29" i="83"/>
  <c r="AC29" i="83"/>
  <c r="T15" i="83"/>
  <c r="U15" i="83"/>
  <c r="F66" i="83"/>
  <c r="J8" i="83"/>
  <c r="K8" i="83"/>
  <c r="F8" i="83"/>
  <c r="E8" i="83"/>
  <c r="AD29" i="83"/>
  <c r="AE29" i="83"/>
  <c r="C7" i="83"/>
  <c r="D7" i="83"/>
  <c r="D15" i="83"/>
  <c r="E15" i="83"/>
  <c r="U38" i="22"/>
  <c r="AF22" i="83"/>
  <c r="AG22" i="83"/>
  <c r="Y81" i="83"/>
  <c r="Z81" i="83"/>
  <c r="AA22" i="83"/>
  <c r="F7" i="83"/>
  <c r="E7" i="83"/>
  <c r="F78" i="83"/>
  <c r="J15" i="83"/>
  <c r="K15" i="83"/>
  <c r="V9" i="83"/>
  <c r="L38" i="22"/>
  <c r="Z5" i="83"/>
  <c r="T22" i="83"/>
  <c r="U22" i="83"/>
  <c r="S81" i="83"/>
  <c r="T81" i="83"/>
  <c r="G5" i="83"/>
  <c r="H5" i="83"/>
  <c r="O38" i="83"/>
  <c r="CH20" i="22"/>
  <c r="AM20" i="83"/>
  <c r="C20" i="83" s="1"/>
  <c r="O22" i="22"/>
  <c r="CL21" i="22"/>
  <c r="G21" i="22" s="1"/>
  <c r="AQ21" i="83"/>
  <c r="H21" i="83" s="1"/>
  <c r="CQ35" i="22"/>
  <c r="AV35" i="83"/>
  <c r="CX35" i="22"/>
  <c r="BC35" i="83"/>
  <c r="CH35" i="22"/>
  <c r="AM35" i="83"/>
  <c r="C35" i="83" s="1"/>
  <c r="CR35" i="22"/>
  <c r="AW35" i="83"/>
  <c r="J17" i="83"/>
  <c r="C81" i="83"/>
  <c r="D81" i="83"/>
  <c r="AB38" i="83"/>
  <c r="AC38" i="83"/>
  <c r="H6" i="83"/>
  <c r="V38" i="83"/>
  <c r="W38" i="83"/>
  <c r="L9" i="83"/>
  <c r="D29" i="83"/>
  <c r="E29" i="83"/>
  <c r="AG22" i="22"/>
  <c r="J7" i="83"/>
  <c r="I7" i="83"/>
  <c r="P9" i="83"/>
  <c r="Q9" i="83"/>
  <c r="N81" i="83"/>
  <c r="N7" i="83"/>
  <c r="O7" i="83"/>
  <c r="R38" i="83"/>
  <c r="S38" i="83"/>
  <c r="D34" i="83"/>
  <c r="E34" i="83"/>
  <c r="AB5" i="83"/>
  <c r="AC5" i="83"/>
  <c r="V15" i="83"/>
  <c r="W15" i="83"/>
  <c r="AH29" i="83"/>
  <c r="S29" i="83"/>
  <c r="R8" i="83"/>
  <c r="S8" i="83"/>
  <c r="K28" i="83"/>
  <c r="J28" i="83"/>
  <c r="F3" i="83"/>
  <c r="G3" i="83"/>
  <c r="CS35" i="22"/>
  <c r="AX35" i="83"/>
  <c r="D43" i="83"/>
  <c r="E43" i="83"/>
  <c r="Z38" i="83"/>
  <c r="AA38" i="83"/>
  <c r="R15" i="83"/>
  <c r="S15" i="83"/>
  <c r="P38" i="83"/>
  <c r="Q38" i="83"/>
  <c r="CJ9" i="22"/>
  <c r="F9" i="22" s="1"/>
  <c r="AO9" i="83"/>
  <c r="F9" i="83" s="1"/>
  <c r="P7" i="22"/>
  <c r="CK35" i="22"/>
  <c r="AP35" i="83"/>
  <c r="CU35" i="22"/>
  <c r="AZ35" i="83"/>
  <c r="CW35" i="22"/>
  <c r="BB35" i="83"/>
  <c r="X38" i="83"/>
  <c r="Y38" i="83"/>
  <c r="C66" i="83"/>
  <c r="D66" i="83"/>
  <c r="P8" i="83"/>
  <c r="Q8" i="83"/>
  <c r="I4" i="83"/>
  <c r="J4" i="83"/>
  <c r="M9" i="83"/>
  <c r="AI35" i="83"/>
  <c r="M33" i="83"/>
  <c r="N33" i="83"/>
  <c r="P22" i="83"/>
  <c r="Q22" i="83"/>
  <c r="R9" i="22"/>
  <c r="AH9" i="83"/>
  <c r="E81" i="83"/>
  <c r="AD38" i="83"/>
  <c r="AE38" i="83"/>
  <c r="Q9" i="22"/>
  <c r="AF4" i="83"/>
  <c r="K78" i="83"/>
  <c r="Q78" i="83"/>
  <c r="R78" i="83"/>
  <c r="D78" i="83"/>
  <c r="C78" i="83"/>
  <c r="O33" i="83"/>
  <c r="P33" i="83"/>
  <c r="O20" i="83"/>
  <c r="R21" i="83"/>
  <c r="CM35" i="22"/>
  <c r="AR35" i="83"/>
  <c r="F29" i="83"/>
  <c r="G29" i="83"/>
  <c r="Q81" i="83"/>
  <c r="R81" i="83"/>
  <c r="CM46" i="22"/>
  <c r="H46" i="22" s="1"/>
  <c r="AR46" i="83"/>
  <c r="H46" i="83" s="1"/>
  <c r="M29" i="22"/>
  <c r="CJ38" i="22"/>
  <c r="F38" i="22" s="1"/>
  <c r="AO38" i="83"/>
  <c r="F38" i="83" s="1"/>
  <c r="CL45" i="22"/>
  <c r="AQ45" i="83"/>
  <c r="G45" i="83" s="1"/>
  <c r="CO35" i="22"/>
  <c r="AT35" i="83"/>
  <c r="CV35" i="22"/>
  <c r="BA35" i="83"/>
  <c r="DA35" i="22"/>
  <c r="BF35" i="83"/>
  <c r="I10" i="83"/>
  <c r="T22" i="22"/>
  <c r="U22" i="22"/>
  <c r="AD35" i="83"/>
  <c r="AE35" i="83"/>
  <c r="Y7" i="83"/>
  <c r="L7" i="83"/>
  <c r="M7" i="83"/>
  <c r="L15" i="83"/>
  <c r="M15" i="83"/>
  <c r="W7" i="83"/>
  <c r="V8" i="83"/>
  <c r="W8" i="83"/>
  <c r="J21" i="83"/>
  <c r="K21" i="83"/>
  <c r="L20" i="83"/>
  <c r="M20" i="83"/>
  <c r="O78" i="83"/>
  <c r="P78" i="83"/>
  <c r="F6" i="83"/>
  <c r="N29" i="83"/>
  <c r="O29" i="83"/>
  <c r="F28" i="83"/>
  <c r="G28" i="83"/>
  <c r="L38" i="83"/>
  <c r="AI29" i="83"/>
  <c r="M81" i="83"/>
  <c r="E6" i="83"/>
  <c r="D22" i="83"/>
  <c r="AE22" i="83"/>
  <c r="AA9" i="83"/>
  <c r="P21" i="83"/>
  <c r="Y78" i="83"/>
  <c r="Z78" i="83"/>
  <c r="Z9" i="83"/>
  <c r="J29" i="83"/>
  <c r="G38" i="83"/>
  <c r="G20" i="83"/>
  <c r="K38" i="83"/>
  <c r="I78" i="83"/>
  <c r="J78" i="83"/>
  <c r="CJ22" i="22"/>
  <c r="F22" i="22" s="1"/>
  <c r="AO22" i="83"/>
  <c r="F22" i="83" s="1"/>
  <c r="CZ35" i="22"/>
  <c r="BE35" i="83"/>
  <c r="CL35" i="22"/>
  <c r="AQ35" i="83"/>
  <c r="CO13" i="22"/>
  <c r="AT13" i="83"/>
  <c r="CN35" i="22"/>
  <c r="AS35" i="83"/>
  <c r="DK9" i="22"/>
  <c r="AG9" i="22" s="1"/>
  <c r="BP9" i="83"/>
  <c r="R7" i="83"/>
  <c r="Q7" i="83"/>
  <c r="X9" i="83"/>
  <c r="Y9" i="83"/>
  <c r="O22" i="83"/>
  <c r="K7" i="83"/>
  <c r="D5" i="83"/>
  <c r="E5" i="83"/>
  <c r="F33" i="83"/>
  <c r="G33" i="83"/>
  <c r="S22" i="83"/>
  <c r="P20" i="83"/>
  <c r="Q20" i="83"/>
  <c r="L29" i="83"/>
  <c r="M29" i="83"/>
  <c r="H9" i="83"/>
  <c r="I81" i="83"/>
  <c r="J81" i="83"/>
  <c r="W78" i="83"/>
  <c r="X78" i="83"/>
  <c r="F21" i="83"/>
  <c r="R22" i="83"/>
  <c r="AU16" i="2"/>
  <c r="M13" i="22"/>
  <c r="N13" i="22"/>
  <c r="O13" i="22"/>
  <c r="I4" i="22"/>
  <c r="U11" i="19"/>
  <c r="U16" i="19" s="1"/>
  <c r="T11" i="19"/>
  <c r="T16" i="19" s="1"/>
  <c r="P33" i="22"/>
  <c r="AY11" i="63"/>
  <c r="AY13" i="63" s="1"/>
  <c r="AY18" i="63" s="1"/>
  <c r="AZ8" i="63"/>
  <c r="AY11" i="62"/>
  <c r="D4" i="22"/>
  <c r="D13" i="22"/>
  <c r="D12" i="22"/>
  <c r="F12" i="22"/>
  <c r="E12" i="22"/>
  <c r="H38" i="22"/>
  <c r="E13" i="22"/>
  <c r="G12" i="22"/>
  <c r="H13" i="22"/>
  <c r="AX15" i="63"/>
  <c r="AL14" i="42"/>
  <c r="AP11" i="42"/>
  <c r="AE14" i="42"/>
  <c r="AE11" i="42"/>
  <c r="J5" i="15"/>
  <c r="J8" i="15" s="1"/>
  <c r="J10" i="15" s="1"/>
  <c r="J14" i="15" s="1"/>
  <c r="J6" i="42"/>
  <c r="J8" i="42" s="1"/>
  <c r="J9" i="42" s="1"/>
  <c r="J14" i="42" s="1"/>
  <c r="R5" i="15"/>
  <c r="R8" i="15" s="1"/>
  <c r="R10" i="15" s="1"/>
  <c r="R14" i="15" s="1"/>
  <c r="R6" i="42"/>
  <c r="R8" i="42" s="1"/>
  <c r="R9" i="42" s="1"/>
  <c r="R14" i="42" s="1"/>
  <c r="AD14" i="42"/>
  <c r="AD11" i="42"/>
  <c r="M9" i="14"/>
  <c r="M11" i="14" s="1"/>
  <c r="M16" i="14" s="1"/>
  <c r="K136" i="1" s="1"/>
  <c r="L9" i="14"/>
  <c r="L11" i="14" s="1"/>
  <c r="L16" i="14" s="1"/>
  <c r="J136" i="1" s="1"/>
  <c r="N9" i="14"/>
  <c r="N11" i="14" s="1"/>
  <c r="N16" i="14" s="1"/>
  <c r="L136" i="1" s="1"/>
  <c r="O9" i="14"/>
  <c r="O11" i="14" s="1"/>
  <c r="O16" i="14" s="1"/>
  <c r="M136" i="1" s="1"/>
  <c r="I9" i="14"/>
  <c r="I11" i="14" s="1"/>
  <c r="I16" i="14" s="1"/>
  <c r="G136" i="1" s="1"/>
  <c r="K9" i="14"/>
  <c r="K11" i="14" s="1"/>
  <c r="K16" i="14" s="1"/>
  <c r="I136" i="1" s="1"/>
  <c r="P9" i="14"/>
  <c r="P11" i="14" s="1"/>
  <c r="P16" i="14" s="1"/>
  <c r="N136" i="1" s="1"/>
  <c r="Q9" i="14"/>
  <c r="Q11" i="14" s="1"/>
  <c r="Q16" i="14" s="1"/>
  <c r="O136" i="1" s="1"/>
  <c r="H9" i="14"/>
  <c r="H11" i="14" s="1"/>
  <c r="H16" i="14" s="1"/>
  <c r="F136" i="1" s="1"/>
  <c r="N38" i="83" l="1"/>
  <c r="G22" i="83"/>
  <c r="CN38" i="22"/>
  <c r="J38" i="22" s="1"/>
  <c r="BQ13" i="83"/>
  <c r="AH13" i="83" s="1"/>
  <c r="AY13" i="62"/>
  <c r="AY18" i="62"/>
  <c r="BT9" i="22"/>
  <c r="AH35" i="83"/>
  <c r="N13" i="83"/>
  <c r="AK13" i="22"/>
  <c r="W13" i="83"/>
  <c r="AM38" i="22"/>
  <c r="AP38" i="22"/>
  <c r="AI38" i="22"/>
  <c r="X13" i="83"/>
  <c r="AM9" i="22"/>
  <c r="AI9" i="22"/>
  <c r="S13" i="83"/>
  <c r="AP9" i="22"/>
  <c r="AR13" i="22"/>
  <c r="AQ13" i="22"/>
  <c r="AR45" i="83"/>
  <c r="H45" i="83" s="1"/>
  <c r="AC13" i="22"/>
  <c r="C20" i="22"/>
  <c r="CG9" i="22"/>
  <c r="C9" i="22" s="1"/>
  <c r="G45" i="22"/>
  <c r="CG35" i="22"/>
  <c r="C35" i="22" s="1"/>
  <c r="CG21" i="22"/>
  <c r="C21" i="22" s="1"/>
  <c r="P35" i="22"/>
  <c r="S13" i="22"/>
  <c r="AH13" i="22"/>
  <c r="X13" i="22"/>
  <c r="AC13" i="83"/>
  <c r="W13" i="22"/>
  <c r="X35" i="22"/>
  <c r="J38" i="83"/>
  <c r="O35" i="22"/>
  <c r="L35" i="22"/>
  <c r="V35" i="22"/>
  <c r="D9" i="22"/>
  <c r="K35" i="22"/>
  <c r="I9" i="22"/>
  <c r="AG38" i="22"/>
  <c r="R35" i="22"/>
  <c r="H21" i="22"/>
  <c r="K13" i="22"/>
  <c r="W35" i="22"/>
  <c r="G35" i="22"/>
  <c r="S35" i="22"/>
  <c r="F35" i="22"/>
  <c r="D35" i="22"/>
  <c r="I35" i="22"/>
  <c r="M35" i="22"/>
  <c r="E38" i="22"/>
  <c r="J13" i="22"/>
  <c r="I9" i="83"/>
  <c r="D20" i="83"/>
  <c r="D20" i="22"/>
  <c r="E35" i="22"/>
  <c r="G21" i="83"/>
  <c r="E22" i="22"/>
  <c r="J35" i="22"/>
  <c r="N35" i="22"/>
  <c r="D38" i="22"/>
  <c r="U35" i="22"/>
  <c r="AF9" i="22"/>
  <c r="Q35" i="22"/>
  <c r="T35" i="22"/>
  <c r="N35" i="83"/>
  <c r="O35" i="83"/>
  <c r="T35" i="83"/>
  <c r="U35" i="83"/>
  <c r="D9" i="83"/>
  <c r="C9" i="83"/>
  <c r="E9" i="83"/>
  <c r="E9" i="22"/>
  <c r="E22" i="83"/>
  <c r="P35" i="83"/>
  <c r="Q35" i="83"/>
  <c r="H35" i="22"/>
  <c r="J13" i="83"/>
  <c r="K13" i="83"/>
  <c r="F35" i="83"/>
  <c r="G35" i="83"/>
  <c r="L35" i="83"/>
  <c r="M35" i="83"/>
  <c r="CK13" i="22"/>
  <c r="AP13" i="83"/>
  <c r="V35" i="83"/>
  <c r="W35" i="83"/>
  <c r="H35" i="83"/>
  <c r="I35" i="83"/>
  <c r="D35" i="83"/>
  <c r="E35" i="83"/>
  <c r="D38" i="83"/>
  <c r="E38" i="83"/>
  <c r="CN46" i="22"/>
  <c r="I46" i="22" s="1"/>
  <c r="AS46" i="83"/>
  <c r="I46" i="83" s="1"/>
  <c r="J35" i="83"/>
  <c r="K35" i="83"/>
  <c r="AF9" i="83"/>
  <c r="AG9" i="83"/>
  <c r="R35" i="83"/>
  <c r="S35" i="83"/>
  <c r="AF38" i="83"/>
  <c r="AG38" i="83"/>
  <c r="X35" i="83"/>
  <c r="Y35" i="83"/>
  <c r="V11" i="19"/>
  <c r="W11" i="19"/>
  <c r="AZ11" i="62"/>
  <c r="AZ11" i="63"/>
  <c r="AZ13" i="63" s="1"/>
  <c r="AZ18" i="63" s="1"/>
  <c r="BA8" i="63"/>
  <c r="CM45" i="22"/>
  <c r="P5" i="15"/>
  <c r="P8" i="15" s="1"/>
  <c r="P10" i="15" s="1"/>
  <c r="P14" i="15" s="1"/>
  <c r="P6" i="42"/>
  <c r="P8" i="42" s="1"/>
  <c r="P9" i="42" s="1"/>
  <c r="P14" i="42" s="1"/>
  <c r="O5" i="15"/>
  <c r="O8" i="15" s="1"/>
  <c r="O10" i="15" s="1"/>
  <c r="O14" i="15" s="1"/>
  <c r="O6" i="42"/>
  <c r="O8" i="42" s="1"/>
  <c r="O9" i="42" s="1"/>
  <c r="O14" i="42" s="1"/>
  <c r="Q5" i="15"/>
  <c r="Q8" i="15" s="1"/>
  <c r="Q10" i="15" s="1"/>
  <c r="Q14" i="15" s="1"/>
  <c r="Q6" i="42"/>
  <c r="Q8" i="42" s="1"/>
  <c r="Q9" i="42" s="1"/>
  <c r="Q14" i="42" s="1"/>
  <c r="N5" i="15"/>
  <c r="N8" i="15" s="1"/>
  <c r="N10" i="15" s="1"/>
  <c r="N14" i="15" s="1"/>
  <c r="N6" i="42"/>
  <c r="N8" i="42" s="1"/>
  <c r="N9" i="42" s="1"/>
  <c r="N14" i="42" s="1"/>
  <c r="I5" i="15"/>
  <c r="I8" i="15" s="1"/>
  <c r="I10" i="15" s="1"/>
  <c r="I14" i="15" s="1"/>
  <c r="I6" i="42"/>
  <c r="I8" i="42" s="1"/>
  <c r="I9" i="42" s="1"/>
  <c r="I14" i="42" s="1"/>
  <c r="H5" i="15"/>
  <c r="H8" i="15" s="1"/>
  <c r="H10" i="15" s="1"/>
  <c r="H14" i="15" s="1"/>
  <c r="H6" i="42"/>
  <c r="H8" i="42" s="1"/>
  <c r="M13" i="14"/>
  <c r="K13" i="14"/>
  <c r="L13" i="14"/>
  <c r="CG38" i="22" l="1"/>
  <c r="C38" i="22" s="1"/>
  <c r="I38" i="22"/>
  <c r="AG13" i="83"/>
  <c r="AZ13" i="62"/>
  <c r="AZ18" i="62"/>
  <c r="F13" i="22"/>
  <c r="CG13" i="22"/>
  <c r="C13" i="22" s="1"/>
  <c r="G13" i="22"/>
  <c r="F13" i="83"/>
  <c r="G13" i="83"/>
  <c r="CN45" i="22"/>
  <c r="I45" i="22" s="1"/>
  <c r="AS45" i="83"/>
  <c r="CO46" i="22"/>
  <c r="J46" i="22" s="1"/>
  <c r="AT46" i="83"/>
  <c r="J46" i="83" s="1"/>
  <c r="W13" i="19"/>
  <c r="W16" i="19"/>
  <c r="V13" i="19"/>
  <c r="V16" i="19"/>
  <c r="Y11" i="19"/>
  <c r="X11" i="19"/>
  <c r="BA11" i="63"/>
  <c r="BA13" i="63" s="1"/>
  <c r="BA18" i="63" s="1"/>
  <c r="BB8" i="63"/>
  <c r="BA11" i="62"/>
  <c r="BA18" i="62" s="1"/>
  <c r="H45" i="22"/>
  <c r="H9" i="42"/>
  <c r="H14" i="42" s="1"/>
  <c r="K5" i="15"/>
  <c r="K8" i="15" s="1"/>
  <c r="K10" i="15" s="1"/>
  <c r="K14" i="15" s="1"/>
  <c r="K6" i="42"/>
  <c r="K8" i="42" s="1"/>
  <c r="K9" i="42" s="1"/>
  <c r="K14" i="42" s="1"/>
  <c r="M5" i="15"/>
  <c r="M8" i="15" s="1"/>
  <c r="M10" i="15" s="1"/>
  <c r="M14" i="15" s="1"/>
  <c r="M6" i="42"/>
  <c r="M8" i="42" s="1"/>
  <c r="M9" i="42" s="1"/>
  <c r="M14" i="42" s="1"/>
  <c r="L5" i="15"/>
  <c r="L8" i="15" s="1"/>
  <c r="L10" i="15" s="1"/>
  <c r="L14" i="15" s="1"/>
  <c r="L6" i="42"/>
  <c r="L8" i="42" s="1"/>
  <c r="L9" i="42" s="1"/>
  <c r="L14" i="42" s="1"/>
  <c r="S7" i="43"/>
  <c r="S10" i="43" s="1"/>
  <c r="S13" i="43" s="1"/>
  <c r="S18" i="43" s="1"/>
  <c r="AP7" i="43"/>
  <c r="AP10" i="43" s="1"/>
  <c r="AP13" i="43" s="1"/>
  <c r="AP18" i="43" s="1"/>
  <c r="N7" i="43"/>
  <c r="N10" i="43" s="1"/>
  <c r="N13" i="43" s="1"/>
  <c r="N18" i="43" s="1"/>
  <c r="U7" i="43"/>
  <c r="U10" i="43" s="1"/>
  <c r="U13" i="43" s="1"/>
  <c r="AT7" i="43"/>
  <c r="AT10" i="43" s="1"/>
  <c r="AT13" i="43" s="1"/>
  <c r="AQ7" i="43"/>
  <c r="AQ10" i="43" s="1"/>
  <c r="AQ13" i="43" s="1"/>
  <c r="AQ18" i="43" s="1"/>
  <c r="Y7" i="43"/>
  <c r="Y10" i="43" s="1"/>
  <c r="Y13" i="43" s="1"/>
  <c r="Y18" i="43" s="1"/>
  <c r="K7" i="43"/>
  <c r="K10" i="43" s="1"/>
  <c r="K13" i="43" s="1"/>
  <c r="K18" i="43" s="1"/>
  <c r="AR7" i="43"/>
  <c r="AR10" i="43" s="1"/>
  <c r="AR13" i="43" s="1"/>
  <c r="AR18" i="43" s="1"/>
  <c r="M7" i="43"/>
  <c r="M10" i="43" s="1"/>
  <c r="M13" i="43" s="1"/>
  <c r="M18" i="43" s="1"/>
  <c r="AB7" i="43"/>
  <c r="AB10" i="43" s="1"/>
  <c r="AB13" i="43" s="1"/>
  <c r="AB18" i="43" s="1"/>
  <c r="O7" i="43"/>
  <c r="O10" i="43" s="1"/>
  <c r="O13" i="43" s="1"/>
  <c r="O18" i="43" s="1"/>
  <c r="Z7" i="43"/>
  <c r="Z10" i="43" s="1"/>
  <c r="Z13" i="43" s="1"/>
  <c r="Z18" i="43" s="1"/>
  <c r="AG7" i="43"/>
  <c r="AG10" i="43" s="1"/>
  <c r="AG13" i="43" s="1"/>
  <c r="AG18" i="43" s="1"/>
  <c r="AA7" i="43"/>
  <c r="AA10" i="43" s="1"/>
  <c r="AA13" i="43" s="1"/>
  <c r="AA18" i="43" s="1"/>
  <c r="L7" i="43"/>
  <c r="L10" i="43" s="1"/>
  <c r="L13" i="43" s="1"/>
  <c r="L18" i="43" s="1"/>
  <c r="AO7" i="43"/>
  <c r="AO10" i="43" s="1"/>
  <c r="AO13" i="43" s="1"/>
  <c r="AO18" i="43" s="1"/>
  <c r="P7" i="43"/>
  <c r="P10" i="43" s="1"/>
  <c r="P13" i="43" s="1"/>
  <c r="P18" i="43" s="1"/>
  <c r="AS7" i="43"/>
  <c r="AS10" i="43" s="1"/>
  <c r="AS13" i="43" s="1"/>
  <c r="I10" i="43"/>
  <c r="I13" i="43" s="1"/>
  <c r="AM7" i="43"/>
  <c r="AM10" i="43" s="1"/>
  <c r="AM13" i="43" s="1"/>
  <c r="AM18" i="43" s="1"/>
  <c r="Q7" i="43"/>
  <c r="Q10" i="43" s="1"/>
  <c r="Q13" i="43" s="1"/>
  <c r="Q18" i="43" s="1"/>
  <c r="J7" i="43"/>
  <c r="J10" i="43" s="1"/>
  <c r="J13" i="43" s="1"/>
  <c r="J18" i="43" s="1"/>
  <c r="AC7" i="43"/>
  <c r="AC10" i="43" s="1"/>
  <c r="AC13" i="43" s="1"/>
  <c r="AC18" i="43" s="1"/>
  <c r="W7" i="43"/>
  <c r="W10" i="43" s="1"/>
  <c r="W13" i="43" s="1"/>
  <c r="W18" i="43" s="1"/>
  <c r="V7" i="43"/>
  <c r="V10" i="43" s="1"/>
  <c r="V13" i="43" s="1"/>
  <c r="V18" i="43" s="1"/>
  <c r="T7" i="43"/>
  <c r="T10" i="43" s="1"/>
  <c r="T13" i="43" s="1"/>
  <c r="T18" i="43" s="1"/>
  <c r="AF7" i="43"/>
  <c r="AF10" i="43" s="1"/>
  <c r="AF13" i="43" s="1"/>
  <c r="AF18" i="43" s="1"/>
  <c r="X7" i="43"/>
  <c r="X10" i="43" s="1"/>
  <c r="X13" i="43" s="1"/>
  <c r="X18" i="43" s="1"/>
  <c r="AK7" i="43"/>
  <c r="AK10" i="43" s="1"/>
  <c r="AK13" i="43" s="1"/>
  <c r="AK18" i="43" s="1"/>
  <c r="AL7" i="43"/>
  <c r="AL10" i="43" s="1"/>
  <c r="AL13" i="43" s="1"/>
  <c r="AL18" i="43" s="1"/>
  <c r="AJ7" i="43"/>
  <c r="AJ10" i="43" s="1"/>
  <c r="AJ13" i="43" s="1"/>
  <c r="AJ18" i="43" s="1"/>
  <c r="R7" i="43"/>
  <c r="R10" i="43" s="1"/>
  <c r="R13" i="43" s="1"/>
  <c r="R18" i="43" s="1"/>
  <c r="AN7" i="43"/>
  <c r="AN10" i="43" s="1"/>
  <c r="AN13" i="43" s="1"/>
  <c r="AN18" i="43" s="1"/>
  <c r="AI7" i="43"/>
  <c r="AI10" i="43" s="1"/>
  <c r="AI13" i="43" s="1"/>
  <c r="AI18" i="43" s="1"/>
  <c r="AH7" i="43"/>
  <c r="AH10" i="43" s="1"/>
  <c r="AH13" i="43" s="1"/>
  <c r="AH18" i="43" s="1"/>
  <c r="AD7" i="43"/>
  <c r="AD10" i="43" s="1"/>
  <c r="AD13" i="43" s="1"/>
  <c r="AD18" i="43" s="1"/>
  <c r="AE7" i="43"/>
  <c r="AE10" i="43" s="1"/>
  <c r="AE13" i="43" s="1"/>
  <c r="AE18" i="43" s="1"/>
  <c r="CO45" i="22" l="1"/>
  <c r="J45" i="22" s="1"/>
  <c r="AT45" i="83"/>
  <c r="CP45" i="22"/>
  <c r="AU45" i="83"/>
  <c r="I45" i="83"/>
  <c r="CP46" i="22"/>
  <c r="K46" i="22" s="1"/>
  <c r="AU46" i="83"/>
  <c r="X13" i="19"/>
  <c r="X16" i="19"/>
  <c r="Y13" i="19"/>
  <c r="Y16" i="19"/>
  <c r="Z11" i="19"/>
  <c r="AA11" i="19"/>
  <c r="AA16" i="19" s="1"/>
  <c r="BB11" i="62"/>
  <c r="BB11" i="63"/>
  <c r="BB13" i="63" s="1"/>
  <c r="BB18" i="63" s="1"/>
  <c r="BC8" i="63"/>
  <c r="BA13" i="62"/>
  <c r="AT18" i="43"/>
  <c r="I15" i="43"/>
  <c r="I18" i="43"/>
  <c r="U18" i="43"/>
  <c r="U15" i="43"/>
  <c r="AS18" i="43"/>
  <c r="AB15" i="43"/>
  <c r="AR15" i="43"/>
  <c r="AS15" i="43"/>
  <c r="AA15" i="43"/>
  <c r="O15" i="43"/>
  <c r="J15" i="43"/>
  <c r="BB13" i="62" l="1"/>
  <c r="BB18" i="62"/>
  <c r="K45" i="83"/>
  <c r="K46" i="83"/>
  <c r="J45" i="83"/>
  <c r="CH26" i="22"/>
  <c r="C26" i="22" s="1"/>
  <c r="AM26" i="83"/>
  <c r="CQ46" i="22"/>
  <c r="AV46" i="83"/>
  <c r="L46" i="83" s="1"/>
  <c r="CI26" i="22"/>
  <c r="E26" i="22" s="1"/>
  <c r="AN26" i="83"/>
  <c r="E26" i="83" s="1"/>
  <c r="K45" i="22"/>
  <c r="Z13" i="19"/>
  <c r="Z16" i="19"/>
  <c r="AC11" i="19"/>
  <c r="AC16" i="19" s="1"/>
  <c r="AB11" i="19"/>
  <c r="AB16" i="19" s="1"/>
  <c r="BD8" i="63"/>
  <c r="BC11" i="63"/>
  <c r="BC13" i="63" s="1"/>
  <c r="BC18" i="63" s="1"/>
  <c r="BC11" i="62"/>
  <c r="L7" i="65"/>
  <c r="AJ7" i="65"/>
  <c r="U7" i="65"/>
  <c r="AK7" i="65"/>
  <c r="AM7" i="65"/>
  <c r="T7" i="65"/>
  <c r="AR7" i="65"/>
  <c r="M7" i="65"/>
  <c r="AC7" i="65"/>
  <c r="AS7" i="65"/>
  <c r="N7" i="65"/>
  <c r="V7" i="65"/>
  <c r="AD7" i="65"/>
  <c r="AL7" i="65"/>
  <c r="AT7" i="65"/>
  <c r="O7" i="65"/>
  <c r="W7" i="65"/>
  <c r="AE7" i="65"/>
  <c r="P7" i="65"/>
  <c r="X7" i="65"/>
  <c r="AN7" i="65"/>
  <c r="Q7" i="65"/>
  <c r="AG7" i="65"/>
  <c r="AW7" i="65"/>
  <c r="R7" i="65"/>
  <c r="Z7" i="65"/>
  <c r="AH7" i="65"/>
  <c r="AP7" i="65"/>
  <c r="AX7" i="65"/>
  <c r="AB7" i="65"/>
  <c r="AU7" i="65"/>
  <c r="AF7" i="65"/>
  <c r="AV7" i="65"/>
  <c r="Y7" i="65"/>
  <c r="AO7" i="65"/>
  <c r="K7" i="65"/>
  <c r="S7" i="65"/>
  <c r="AA7" i="65"/>
  <c r="AI7" i="65"/>
  <c r="AQ7" i="65"/>
  <c r="BC15" i="62" l="1"/>
  <c r="BC18" i="62"/>
  <c r="L46" i="22"/>
  <c r="D26" i="22"/>
  <c r="CQ45" i="22"/>
  <c r="L45" i="22" s="1"/>
  <c r="AV45" i="83"/>
  <c r="L45" i="83" s="1"/>
  <c r="D26" i="83"/>
  <c r="C26" i="83"/>
  <c r="CR46" i="22"/>
  <c r="M46" i="22" s="1"/>
  <c r="AW46" i="83"/>
  <c r="M46" i="83" s="1"/>
  <c r="AD11" i="19"/>
  <c r="AD16" i="19" s="1"/>
  <c r="AE11" i="19"/>
  <c r="AE16" i="19" s="1"/>
  <c r="BD11" i="62"/>
  <c r="BD18" i="62" s="1"/>
  <c r="BD11" i="63"/>
  <c r="BD13" i="63" s="1"/>
  <c r="BD18" i="63" s="1"/>
  <c r="BE8" i="63"/>
  <c r="BC13" i="62"/>
  <c r="CS45" i="22" l="1"/>
  <c r="AX45" i="83"/>
  <c r="CS46" i="22"/>
  <c r="N46" i="22" s="1"/>
  <c r="AX46" i="83"/>
  <c r="CR45" i="22"/>
  <c r="AW45" i="83"/>
  <c r="AG11" i="19"/>
  <c r="AG16" i="19" s="1"/>
  <c r="AF11" i="19"/>
  <c r="AF16" i="19" s="1"/>
  <c r="BD13" i="62"/>
  <c r="BE11" i="62"/>
  <c r="BE18" i="62" s="1"/>
  <c r="BF8" i="63"/>
  <c r="BE11" i="63"/>
  <c r="BE13" i="63" s="1"/>
  <c r="BE18" i="63" s="1"/>
  <c r="N45" i="22" l="1"/>
  <c r="M45" i="22"/>
  <c r="M45" i="83"/>
  <c r="N45" i="83"/>
  <c r="CT46" i="22"/>
  <c r="O46" i="22" s="1"/>
  <c r="AY46" i="83"/>
  <c r="N46" i="83"/>
  <c r="AH11" i="19"/>
  <c r="AH16" i="19" s="1"/>
  <c r="AI11" i="19"/>
  <c r="BF11" i="63"/>
  <c r="BF13" i="63" s="1"/>
  <c r="BF18" i="63" s="1"/>
  <c r="BG8" i="63"/>
  <c r="BF11" i="62"/>
  <c r="BF18" i="62" s="1"/>
  <c r="BE13" i="62"/>
  <c r="CU46" i="22" l="1"/>
  <c r="P46" i="22" s="1"/>
  <c r="AZ46" i="83"/>
  <c r="CT45" i="22"/>
  <c r="AY45" i="83"/>
  <c r="O45" i="83" s="1"/>
  <c r="O46" i="83"/>
  <c r="CU45" i="22"/>
  <c r="AZ45" i="83"/>
  <c r="AI13" i="19"/>
  <c r="AI16" i="19"/>
  <c r="AK11" i="19"/>
  <c r="AK16" i="19" s="1"/>
  <c r="AJ11" i="19"/>
  <c r="BG11" i="62"/>
  <c r="BG11" i="63"/>
  <c r="BG13" i="63" s="1"/>
  <c r="BH8" i="63"/>
  <c r="BF13" i="62"/>
  <c r="BG13" i="62" l="1"/>
  <c r="BG18" i="62"/>
  <c r="P45" i="22"/>
  <c r="O45" i="22"/>
  <c r="P46" i="83"/>
  <c r="P45" i="83"/>
  <c r="AJ13" i="19"/>
  <c r="AJ16" i="19"/>
  <c r="AL11" i="19"/>
  <c r="AL16" i="19" s="1"/>
  <c r="AM11" i="19"/>
  <c r="BG18" i="63"/>
  <c r="BH11" i="62"/>
  <c r="BH18" i="62" s="1"/>
  <c r="BI8" i="63"/>
  <c r="BH11" i="63"/>
  <c r="BH13" i="63" s="1"/>
  <c r="CV45" i="22" l="1"/>
  <c r="Q45" i="22" s="1"/>
  <c r="BA45" i="83"/>
  <c r="CV46" i="22"/>
  <c r="Q46" i="22" s="1"/>
  <c r="BA46" i="83"/>
  <c r="AM13" i="19"/>
  <c r="AM16" i="19"/>
  <c r="AO11" i="19"/>
  <c r="AN11" i="19"/>
  <c r="BH18" i="63"/>
  <c r="BJ8" i="63"/>
  <c r="BI11" i="63"/>
  <c r="BI13" i="63" s="1"/>
  <c r="BH13" i="62"/>
  <c r="BI11" i="62"/>
  <c r="BI18" i="62" s="1"/>
  <c r="CW46" i="22" l="1"/>
  <c r="R46" i="22" s="1"/>
  <c r="BB46" i="83"/>
  <c r="R46" i="83" s="1"/>
  <c r="CW45" i="22"/>
  <c r="R45" i="22" s="1"/>
  <c r="BB45" i="83"/>
  <c r="Q46" i="83"/>
  <c r="Q45" i="83"/>
  <c r="AN13" i="19"/>
  <c r="AN16" i="19"/>
  <c r="AO13" i="19"/>
  <c r="AO16" i="19"/>
  <c r="AQ11" i="19"/>
  <c r="AQ16" i="19" s="1"/>
  <c r="AP11" i="19"/>
  <c r="BJ11" i="62"/>
  <c r="BJ18" i="62" s="1"/>
  <c r="BJ11" i="63"/>
  <c r="BJ13" i="63" s="1"/>
  <c r="BJ18" i="63" s="1"/>
  <c r="BK8" i="63"/>
  <c r="BI18" i="63"/>
  <c r="BI13" i="62"/>
  <c r="CX45" i="22" l="1"/>
  <c r="BC45" i="83"/>
  <c r="CY46" i="22"/>
  <c r="BD46" i="83"/>
  <c r="CY45" i="22"/>
  <c r="BD45" i="83"/>
  <c r="R45" i="83"/>
  <c r="CX46" i="22"/>
  <c r="S46" i="22" s="1"/>
  <c r="BC46" i="83"/>
  <c r="AP13" i="19"/>
  <c r="AP16" i="19"/>
  <c r="AR11" i="19"/>
  <c r="AR16" i="19" s="1"/>
  <c r="AS11" i="19"/>
  <c r="AS16" i="19" s="1"/>
  <c r="BJ13" i="62"/>
  <c r="BL8" i="63"/>
  <c r="BK11" i="63"/>
  <c r="BK13" i="63" s="1"/>
  <c r="BK18" i="63" s="1"/>
  <c r="BK11" i="62"/>
  <c r="BK18" i="62" s="1"/>
  <c r="T45" i="22" l="1"/>
  <c r="T46" i="22"/>
  <c r="T45" i="83"/>
  <c r="CZ46" i="22"/>
  <c r="U46" i="22" s="1"/>
  <c r="BE46" i="83"/>
  <c r="U46" i="83" s="1"/>
  <c r="S45" i="22"/>
  <c r="CI37" i="22"/>
  <c r="AN37" i="83"/>
  <c r="S46" i="83"/>
  <c r="T46" i="83"/>
  <c r="S45" i="83"/>
  <c r="CH37" i="22"/>
  <c r="AM37" i="83"/>
  <c r="C37" i="83" s="1"/>
  <c r="AU11" i="19"/>
  <c r="AU16" i="19" s="1"/>
  <c r="AT11" i="19"/>
  <c r="AT16" i="19" s="1"/>
  <c r="BM8" i="63"/>
  <c r="BL11" i="63"/>
  <c r="BL13" i="63" s="1"/>
  <c r="BL18" i="63" s="1"/>
  <c r="BL11" i="62"/>
  <c r="BL18" i="62" s="1"/>
  <c r="BK13" i="62"/>
  <c r="CK37" i="22" l="1"/>
  <c r="AP37" i="83"/>
  <c r="CJ37" i="22"/>
  <c r="E37" i="22" s="1"/>
  <c r="AO37" i="83"/>
  <c r="E37" i="83" s="1"/>
  <c r="D37" i="22"/>
  <c r="D37" i="83"/>
  <c r="CZ45" i="22"/>
  <c r="U45" i="22" s="1"/>
  <c r="BE45" i="83"/>
  <c r="DA46" i="22"/>
  <c r="V46" i="22" s="1"/>
  <c r="BF46" i="83"/>
  <c r="AW11" i="19"/>
  <c r="AW16" i="19" s="1"/>
  <c r="AV11" i="19"/>
  <c r="AV16" i="19" s="1"/>
  <c r="BN8" i="63"/>
  <c r="BM11" i="63"/>
  <c r="BM13" i="63" s="1"/>
  <c r="BM18" i="63" s="1"/>
  <c r="BM11" i="62"/>
  <c r="BM18" i="62" s="1"/>
  <c r="BL13" i="62"/>
  <c r="F37" i="22" l="1"/>
  <c r="U45" i="83"/>
  <c r="V46" i="83"/>
  <c r="CL37" i="22"/>
  <c r="G37" i="22" s="1"/>
  <c r="AQ37" i="83"/>
  <c r="G37" i="83" s="1"/>
  <c r="CM37" i="22"/>
  <c r="AR37" i="83"/>
  <c r="DA45" i="22"/>
  <c r="V45" i="22" s="1"/>
  <c r="BF45" i="83"/>
  <c r="V45" i="83" s="1"/>
  <c r="DB46" i="22"/>
  <c r="W46" i="22" s="1"/>
  <c r="BG46" i="83"/>
  <c r="W46" i="83" s="1"/>
  <c r="F37" i="83"/>
  <c r="BN11" i="63"/>
  <c r="BN13" i="63" s="1"/>
  <c r="BN18" i="63" s="1"/>
  <c r="BO8" i="63"/>
  <c r="AX11" i="19"/>
  <c r="AX16" i="19" s="1"/>
  <c r="AY11" i="19"/>
  <c r="AY16" i="19" s="1"/>
  <c r="BN11" i="62"/>
  <c r="BN18" i="62" s="1"/>
  <c r="BM13" i="62"/>
  <c r="H37" i="22" l="1"/>
  <c r="CN37" i="22"/>
  <c r="I37" i="22" s="1"/>
  <c r="AS37" i="83"/>
  <c r="I37" i="83" s="1"/>
  <c r="DB45" i="22"/>
  <c r="W45" i="22" s="1"/>
  <c r="BG45" i="83"/>
  <c r="W45" i="83" s="1"/>
  <c r="H37" i="83"/>
  <c r="DC46" i="22"/>
  <c r="X46" i="22" s="1"/>
  <c r="BH46" i="83"/>
  <c r="X46" i="83" s="1"/>
  <c r="CO37" i="22"/>
  <c r="AT37" i="83"/>
  <c r="BO11" i="62"/>
  <c r="BP8" i="63"/>
  <c r="BO11" i="63"/>
  <c r="BO13" i="63" s="1"/>
  <c r="BO18" i="63" s="1"/>
  <c r="BA11" i="19"/>
  <c r="BA16" i="19" s="1"/>
  <c r="AZ11" i="19"/>
  <c r="AZ16" i="19" s="1"/>
  <c r="BN13" i="62"/>
  <c r="BO13" i="62" l="1"/>
  <c r="BO18" i="62"/>
  <c r="J37" i="22"/>
  <c r="J37" i="83"/>
  <c r="CP37" i="22"/>
  <c r="K37" i="22" s="1"/>
  <c r="AU37" i="83"/>
  <c r="K37" i="83" s="1"/>
  <c r="CQ37" i="22"/>
  <c r="AV37" i="83"/>
  <c r="DD46" i="22"/>
  <c r="Y46" i="22" s="1"/>
  <c r="BI46" i="83"/>
  <c r="DC45" i="22"/>
  <c r="X45" i="22" s="1"/>
  <c r="BH45" i="83"/>
  <c r="BP11" i="63"/>
  <c r="BQ8" i="63"/>
  <c r="BP11" i="62"/>
  <c r="BP18" i="62" s="1"/>
  <c r="BB11" i="19"/>
  <c r="BB16" i="19" s="1"/>
  <c r="BE11" i="19"/>
  <c r="BE16" i="19" s="1"/>
  <c r="BC11" i="19"/>
  <c r="BC16" i="19" s="1"/>
  <c r="L37" i="22" l="1"/>
  <c r="L37" i="83"/>
  <c r="CU37" i="22"/>
  <c r="AZ37" i="83"/>
  <c r="DD45" i="22"/>
  <c r="Y45" i="22" s="1"/>
  <c r="BI45" i="83"/>
  <c r="CS37" i="22"/>
  <c r="AX37" i="83"/>
  <c r="X45" i="83"/>
  <c r="CR37" i="22"/>
  <c r="M37" i="22" s="1"/>
  <c r="AW37" i="83"/>
  <c r="M37" i="83" s="1"/>
  <c r="Y46" i="83"/>
  <c r="BP13" i="63"/>
  <c r="BP18" i="63" s="1"/>
  <c r="BP13" i="62"/>
  <c r="BQ11" i="62"/>
  <c r="BQ18" i="62" s="1"/>
  <c r="BQ11" i="63"/>
  <c r="BR8" i="63"/>
  <c r="BF11" i="19"/>
  <c r="BF16" i="19" s="1"/>
  <c r="BD11" i="19"/>
  <c r="BD16" i="19" s="1"/>
  <c r="N37" i="22" l="1"/>
  <c r="CV37" i="22"/>
  <c r="BA37" i="83"/>
  <c r="R37" i="83" s="1"/>
  <c r="DE46" i="22"/>
  <c r="Z46" i="22" s="1"/>
  <c r="BJ46" i="83"/>
  <c r="Z46" i="83" s="1"/>
  <c r="DE45" i="22"/>
  <c r="Z45" i="22" s="1"/>
  <c r="BJ45" i="83"/>
  <c r="Z45" i="83" s="1"/>
  <c r="Y45" i="83"/>
  <c r="CT37" i="22"/>
  <c r="P37" i="22" s="1"/>
  <c r="AY37" i="83"/>
  <c r="O37" i="83" s="1"/>
  <c r="N37" i="83"/>
  <c r="BQ13" i="63"/>
  <c r="BQ18" i="63" s="1"/>
  <c r="BQ13" i="62"/>
  <c r="BR11" i="63"/>
  <c r="BS8" i="63"/>
  <c r="BR11" i="62"/>
  <c r="BR18" i="62" s="1"/>
  <c r="R37" i="22" l="1"/>
  <c r="CG37" i="22"/>
  <c r="C37" i="22" s="1"/>
  <c r="O37" i="22"/>
  <c r="P37" i="83"/>
  <c r="Q37" i="83"/>
  <c r="DF46" i="22"/>
  <c r="AA46" i="22" s="1"/>
  <c r="BK46" i="83"/>
  <c r="DF45" i="22"/>
  <c r="AA45" i="22" s="1"/>
  <c r="BK45" i="83"/>
  <c r="AA45" i="83" s="1"/>
  <c r="Q37" i="22"/>
  <c r="BR13" i="63"/>
  <c r="BR18" i="63" s="1"/>
  <c r="BS11" i="62"/>
  <c r="BS18" i="62" s="1"/>
  <c r="BS11" i="63"/>
  <c r="BT8" i="63"/>
  <c r="BR13" i="62"/>
  <c r="DG46" i="22" l="1"/>
  <c r="AB46" i="22" s="1"/>
  <c r="BL46" i="83"/>
  <c r="AB46" i="83" s="1"/>
  <c r="DG45" i="22"/>
  <c r="AB45" i="22" s="1"/>
  <c r="BL45" i="83"/>
  <c r="AB45" i="83" s="1"/>
  <c r="AA46" i="83"/>
  <c r="BS13" i="63"/>
  <c r="BS18" i="63" s="1"/>
  <c r="BT11" i="63"/>
  <c r="BU8" i="63"/>
  <c r="BT11" i="62"/>
  <c r="BT18" i="62" s="1"/>
  <c r="BS13" i="62"/>
  <c r="DH46" i="22" l="1"/>
  <c r="AC46" i="22" s="1"/>
  <c r="BM46" i="83"/>
  <c r="AC46" i="83" s="1"/>
  <c r="DH45" i="22"/>
  <c r="AC45" i="22" s="1"/>
  <c r="BM45" i="83"/>
  <c r="BT13" i="63"/>
  <c r="BT18" i="63" s="1"/>
  <c r="BT13" i="62"/>
  <c r="BU11" i="62"/>
  <c r="BU18" i="62" s="1"/>
  <c r="BV11" i="62"/>
  <c r="BV18" i="62" s="1"/>
  <c r="BU11" i="63"/>
  <c r="BU13" i="63" s="1"/>
  <c r="BU18" i="63" s="1"/>
  <c r="BV8" i="63"/>
  <c r="DI45" i="22" l="1"/>
  <c r="AD45" i="22" s="1"/>
  <c r="BN45" i="83"/>
  <c r="DI46" i="22"/>
  <c r="AD46" i="22" s="1"/>
  <c r="BN46" i="83"/>
  <c r="AC45" i="83"/>
  <c r="DJ46" i="22"/>
  <c r="BO46" i="83"/>
  <c r="BV11" i="63"/>
  <c r="BV13" i="63" s="1"/>
  <c r="BV18" i="63" s="1"/>
  <c r="BW8" i="63"/>
  <c r="BV13" i="62"/>
  <c r="BU13" i="62"/>
  <c r="AE46" i="22" l="1"/>
  <c r="DJ45" i="22"/>
  <c r="AE45" i="22" s="1"/>
  <c r="BO45" i="83"/>
  <c r="AE45" i="83" s="1"/>
  <c r="DK45" i="22"/>
  <c r="BP45" i="83"/>
  <c r="AD45" i="83"/>
  <c r="AD46" i="83"/>
  <c r="AE46" i="83"/>
  <c r="DK46" i="22"/>
  <c r="AF46" i="22" s="1"/>
  <c r="BP46" i="83"/>
  <c r="AF46" i="83" s="1"/>
  <c r="BW11" i="63"/>
  <c r="BW13" i="63" s="1"/>
  <c r="BW18" i="63" s="1"/>
  <c r="BX8" i="63"/>
  <c r="AG45" i="22" l="1"/>
  <c r="CG45" i="22"/>
  <c r="C45" i="22" s="1"/>
  <c r="AF45" i="22"/>
  <c r="DL46" i="22"/>
  <c r="AG46" i="22" s="1"/>
  <c r="BQ46" i="83"/>
  <c r="AG46" i="83" s="1"/>
  <c r="AF45" i="83"/>
  <c r="AG45" i="83"/>
  <c r="BY8" i="63"/>
  <c r="BX11" i="63"/>
  <c r="BX13" i="63" s="1"/>
  <c r="BX18" i="63" s="1"/>
  <c r="DM46" i="22" l="1"/>
  <c r="AH46" i="22" s="1"/>
  <c r="BR46" i="83"/>
  <c r="AH46" i="83" s="1"/>
  <c r="BY11" i="63"/>
  <c r="BY13" i="63" s="1"/>
  <c r="BY18" i="63" s="1"/>
  <c r="BZ8" i="63"/>
  <c r="BZ11" i="63" l="1"/>
  <c r="BZ13" i="63" s="1"/>
  <c r="BZ18" i="63" s="1"/>
  <c r="CA8" i="63"/>
  <c r="DN46" i="22"/>
  <c r="BS46" i="83"/>
  <c r="AI46" i="83" s="1"/>
  <c r="DO46" i="22" l="1"/>
  <c r="AJ46" i="22" s="1"/>
  <c r="CB8" i="63"/>
  <c r="CA11" i="63"/>
  <c r="CA13" i="63" s="1"/>
  <c r="CA18" i="63" s="1"/>
  <c r="AI46" i="22"/>
  <c r="DP46" i="22" l="1"/>
  <c r="AK46" i="22" s="1"/>
  <c r="CC8" i="63"/>
  <c r="CB11" i="63"/>
  <c r="CB13" i="63" s="1"/>
  <c r="CB18" i="63" s="1"/>
  <c r="DQ46" i="22" l="1"/>
  <c r="AL46" i="22" s="1"/>
  <c r="CC11" i="63"/>
  <c r="CC13" i="63" s="1"/>
  <c r="CC18" i="63" s="1"/>
  <c r="CD8" i="63"/>
  <c r="DR46" i="22" l="1"/>
  <c r="AM46" i="22" s="1"/>
  <c r="CD11" i="63"/>
  <c r="CD13" i="63" s="1"/>
  <c r="CD18" i="63" s="1"/>
  <c r="CE8" i="63"/>
  <c r="DS46" i="22" l="1"/>
  <c r="AN46" i="22" s="1"/>
  <c r="CE11" i="63"/>
  <c r="CE13" i="63" s="1"/>
  <c r="CE18" i="63" s="1"/>
  <c r="CF8" i="63"/>
  <c r="DT46" i="22" l="1"/>
  <c r="AO46" i="22" s="1"/>
  <c r="CF11" i="63"/>
  <c r="CF13" i="63" s="1"/>
  <c r="CF18" i="63" s="1"/>
  <c r="CG8" i="63"/>
  <c r="DU46" i="22" l="1"/>
  <c r="AP46" i="22" s="1"/>
  <c r="CG11" i="63"/>
  <c r="CG13" i="63" s="1"/>
  <c r="CG18" i="63" s="1"/>
  <c r="CH8" i="63"/>
  <c r="DV46" i="22" l="1"/>
  <c r="AQ46" i="22" s="1"/>
  <c r="CH11" i="63"/>
  <c r="CH13" i="63" s="1"/>
  <c r="CH18" i="63" s="1"/>
  <c r="CI8" i="63"/>
  <c r="DW46" i="22" l="1"/>
  <c r="CG46" i="22" s="1"/>
  <c r="C46" i="22" s="1"/>
  <c r="CI11" i="63"/>
  <c r="CI13" i="63" s="1"/>
  <c r="CI18" i="63" s="1"/>
  <c r="CJ8" i="63"/>
  <c r="AR46" i="22" l="1"/>
  <c r="DX46" i="22"/>
  <c r="AS46" i="22" s="1"/>
  <c r="CJ11" i="63"/>
  <c r="CJ13" i="63" s="1"/>
  <c r="CJ18" i="63" s="1"/>
  <c r="CK8" i="63"/>
  <c r="DY46" i="22" l="1"/>
  <c r="AT46" i="22" s="1"/>
  <c r="CL8" i="63"/>
  <c r="CK11" i="63"/>
  <c r="CK13" i="63" s="1"/>
  <c r="CK18" i="63" s="1"/>
  <c r="DZ46" i="22" l="1"/>
  <c r="AV46" i="22" s="1"/>
  <c r="CL11" i="63"/>
  <c r="CL13" i="63" s="1"/>
  <c r="CL18" i="63" s="1"/>
  <c r="CM8" i="63"/>
  <c r="EA46" i="22" l="1"/>
  <c r="AW46" i="22" s="1"/>
  <c r="CN8" i="63"/>
  <c r="CM11" i="63"/>
  <c r="CM13" i="63" s="1"/>
  <c r="CM18" i="63" s="1"/>
  <c r="EB46" i="22" l="1"/>
  <c r="AX46" i="22" s="1"/>
  <c r="CN11" i="63"/>
  <c r="CN13" i="63" s="1"/>
  <c r="CN18" i="63" s="1"/>
  <c r="CO8" i="63"/>
  <c r="EC46" i="22" l="1"/>
  <c r="AY46" i="22" s="1"/>
  <c r="CP8" i="63"/>
  <c r="CO11" i="63"/>
  <c r="CO13" i="63" s="1"/>
  <c r="CO18" i="63" s="1"/>
  <c r="ED46" i="22" l="1"/>
  <c r="CQ8" i="63"/>
  <c r="CP11" i="63"/>
  <c r="CP13" i="63" s="1"/>
  <c r="CP18" i="63" s="1"/>
  <c r="AZ46" i="22" l="1"/>
  <c r="EE46" i="22"/>
  <c r="BA46" i="22" s="1"/>
  <c r="CQ11" i="63"/>
  <c r="CQ13" i="63" s="1"/>
  <c r="CQ18" i="63" s="1"/>
  <c r="CR8" i="63"/>
  <c r="EF46" i="22" l="1"/>
  <c r="BB46" i="22" s="1"/>
  <c r="CR11" i="63"/>
  <c r="CR13" i="63" s="1"/>
  <c r="CR18" i="63" s="1"/>
  <c r="CS8" i="63"/>
  <c r="EG46" i="22" l="1"/>
  <c r="BC46" i="22" s="1"/>
  <c r="CS11" i="63"/>
  <c r="CS13" i="63" s="1"/>
  <c r="CS18" i="63" s="1"/>
  <c r="CT8" i="63"/>
  <c r="EH46" i="22" l="1"/>
  <c r="CT11" i="63"/>
  <c r="CT13" i="63" s="1"/>
  <c r="CT18" i="63" s="1"/>
  <c r="CU8" i="63"/>
  <c r="BD46" i="22" l="1"/>
  <c r="EI46" i="22"/>
  <c r="BE46" i="22" s="1"/>
  <c r="CU11" i="63"/>
  <c r="CU13" i="63" s="1"/>
  <c r="CU18" i="63" s="1"/>
  <c r="CV8" i="63"/>
  <c r="EJ46" i="22" l="1"/>
  <c r="BF46" i="22" s="1"/>
  <c r="CW8" i="63"/>
  <c r="CV11" i="63"/>
  <c r="CV13" i="63" s="1"/>
  <c r="CV18" i="63" s="1"/>
  <c r="EK46" i="22" l="1"/>
  <c r="CX8" i="63"/>
  <c r="CW11" i="63"/>
  <c r="CW13" i="63" s="1"/>
  <c r="CW18" i="63" s="1"/>
  <c r="EL46" i="22" s="1"/>
  <c r="BG46" i="22" l="1"/>
  <c r="BH46" i="22"/>
  <c r="CY8" i="63"/>
  <c r="CX11" i="63"/>
  <c r="CX13" i="63" s="1"/>
  <c r="CX18" i="63" s="1"/>
  <c r="EM46" i="22" s="1"/>
  <c r="BI46" i="22" l="1"/>
  <c r="CZ8" i="63"/>
  <c r="CY11" i="63"/>
  <c r="CY13" i="63" s="1"/>
  <c r="CY18" i="63" s="1"/>
  <c r="EN46" i="22" s="1"/>
  <c r="BJ46" i="22" s="1"/>
  <c r="DA8" i="63" l="1"/>
  <c r="CZ11" i="63"/>
  <c r="CZ13" i="63" s="1"/>
  <c r="CZ18" i="63" s="1"/>
  <c r="EO46" i="22" s="1"/>
  <c r="BK46" i="22" l="1"/>
  <c r="DA11" i="63"/>
  <c r="DA13" i="63" s="1"/>
  <c r="DA18" i="63" s="1"/>
  <c r="EP46" i="22" s="1"/>
  <c r="DB8" i="63"/>
  <c r="BL46" i="22" l="1"/>
  <c r="DB11" i="63"/>
  <c r="DB13" i="63" s="1"/>
  <c r="DB18" i="63" s="1"/>
  <c r="EQ46" i="22" s="1"/>
  <c r="DC8" i="63"/>
  <c r="BM46" i="22" l="1"/>
  <c r="DC11" i="63"/>
  <c r="DC13" i="63" s="1"/>
  <c r="DC18" i="63" s="1"/>
  <c r="ER46" i="22" s="1"/>
  <c r="DD8" i="63"/>
  <c r="BN46" i="22" l="1"/>
  <c r="DE8" i="63"/>
  <c r="DD11" i="63"/>
  <c r="DD13" i="63" s="1"/>
  <c r="DD18" i="63" s="1"/>
  <c r="ES46" i="22" s="1"/>
  <c r="BO46" i="22" l="1"/>
  <c r="DE11" i="63"/>
  <c r="DE13" i="63" s="1"/>
  <c r="DE18" i="63" s="1"/>
  <c r="ET46" i="22" s="1"/>
  <c r="DF8" i="63"/>
  <c r="BP46" i="22" l="1"/>
  <c r="DF11" i="63"/>
  <c r="DF13" i="63" s="1"/>
  <c r="DF18" i="63" s="1"/>
  <c r="EU46" i="22" s="1"/>
  <c r="DG8" i="63"/>
  <c r="BQ46" i="22" l="1"/>
  <c r="DH8" i="63"/>
  <c r="DG11" i="63"/>
  <c r="DG13" i="63" s="1"/>
  <c r="DG18" i="63" s="1"/>
  <c r="EV46" i="22" s="1"/>
  <c r="BR46" i="22" l="1"/>
  <c r="DI8" i="63"/>
  <c r="DH11" i="63"/>
  <c r="DH13" i="63" s="1"/>
  <c r="DH18" i="63" s="1"/>
  <c r="EW46" i="22" s="1"/>
  <c r="BS46" i="22" l="1"/>
  <c r="DJ8" i="63"/>
  <c r="DI11" i="63"/>
  <c r="DI13" i="63" s="1"/>
  <c r="DI18" i="63" s="1"/>
  <c r="EX46" i="22" s="1"/>
  <c r="BT46" i="22" l="1"/>
  <c r="DK8" i="63"/>
  <c r="DJ11" i="63"/>
  <c r="DJ13" i="63" s="1"/>
  <c r="DJ18" i="63" s="1"/>
  <c r="EY46" i="22" s="1"/>
  <c r="BU46" i="22" l="1"/>
  <c r="DK11" i="63"/>
  <c r="DK13" i="63" s="1"/>
  <c r="DK18" i="63" s="1"/>
  <c r="EZ46" i="22" s="1"/>
  <c r="DL8" i="63"/>
  <c r="BV46" i="22" l="1"/>
  <c r="DL11" i="63"/>
  <c r="DL13" i="63" s="1"/>
  <c r="DL18" i="63" s="1"/>
  <c r="FA46" i="22" s="1"/>
  <c r="DM8" i="63"/>
  <c r="BW46" i="22" l="1"/>
  <c r="DN8" i="63"/>
  <c r="DM11" i="63"/>
  <c r="DM13" i="63" s="1"/>
  <c r="DM18" i="63" s="1"/>
  <c r="FB46" i="22" s="1"/>
  <c r="BX46" i="22" s="1"/>
  <c r="DN11" i="63" l="1"/>
  <c r="DN13" i="63" s="1"/>
  <c r="DN18" i="63" s="1"/>
  <c r="FC46" i="22" s="1"/>
  <c r="DO8" i="63"/>
  <c r="BY46" i="22" l="1"/>
  <c r="DP8" i="63"/>
  <c r="DO11" i="63"/>
  <c r="DO13" i="63" s="1"/>
  <c r="DO18" i="63" s="1"/>
  <c r="FD46" i="22" s="1"/>
  <c r="BZ46" i="22" l="1"/>
  <c r="DQ8" i="63"/>
  <c r="DP11" i="63"/>
  <c r="DP13" i="63" s="1"/>
  <c r="DP18" i="63" s="1"/>
  <c r="FE46" i="22" s="1"/>
  <c r="CA46" i="22" l="1"/>
  <c r="DQ11" i="63"/>
  <c r="DQ13" i="63" s="1"/>
  <c r="DQ18" i="63" s="1"/>
  <c r="FF46" i="22" s="1"/>
  <c r="DR8" i="63"/>
  <c r="CB46" i="22" l="1"/>
  <c r="DR11" i="63"/>
  <c r="DR13" i="63" s="1"/>
  <c r="DR18" i="63" s="1"/>
  <c r="FG46" i="22" s="1"/>
  <c r="DS8" i="63"/>
  <c r="CC46" i="22" l="1"/>
  <c r="DS11" i="63"/>
  <c r="DS13" i="63" s="1"/>
  <c r="DS18" i="63" s="1"/>
  <c r="FH46" i="22" s="1"/>
  <c r="CD46" i="22" s="1"/>
  <c r="DT8" i="63"/>
  <c r="DU8" i="63" l="1"/>
  <c r="DT11" i="63"/>
  <c r="DT13" i="63" s="1"/>
  <c r="DT18" i="63" s="1"/>
  <c r="DU11" i="63" l="1"/>
  <c r="DU13" i="63" s="1"/>
  <c r="DU18" i="63" s="1"/>
  <c r="DV8" i="63"/>
  <c r="DV11" i="63" s="1"/>
  <c r="DV13" i="63" s="1"/>
  <c r="DV18" i="6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F80" authorId="0" shapeId="0" xr:uid="{00000000-0006-0000-0000-000001000000}">
      <text>
        <r>
          <rPr>
            <b/>
            <sz val="9"/>
            <color indexed="81"/>
            <rFont val="Tahoma"/>
            <family val="2"/>
          </rPr>
          <t>Author:</t>
        </r>
        <r>
          <rPr>
            <sz val="9"/>
            <color indexed="81"/>
            <rFont val="Tahoma"/>
            <family val="2"/>
          </rPr>
          <t xml:space="preserve">
TECHNON DATA
</t>
        </r>
      </text>
    </comment>
    <comment ref="AG80" authorId="0" shapeId="0" xr:uid="{00000000-0006-0000-0000-000002000000}">
      <text>
        <r>
          <rPr>
            <b/>
            <sz val="9"/>
            <color indexed="81"/>
            <rFont val="Tahoma"/>
            <family val="2"/>
          </rPr>
          <t>Author:</t>
        </r>
        <r>
          <rPr>
            <sz val="9"/>
            <color indexed="81"/>
            <rFont val="Tahoma"/>
            <family val="2"/>
          </rPr>
          <t xml:space="preserve">
TECHNON</t>
        </r>
      </text>
    </comment>
    <comment ref="AH80" authorId="0" shapeId="0" xr:uid="{00000000-0006-0000-0000-000003000000}">
      <text>
        <r>
          <rPr>
            <b/>
            <sz val="9"/>
            <color indexed="81"/>
            <rFont val="Tahoma"/>
            <family val="2"/>
          </rPr>
          <t>Author:</t>
        </r>
        <r>
          <rPr>
            <sz val="9"/>
            <color indexed="81"/>
            <rFont val="Tahoma"/>
            <family val="2"/>
          </rPr>
          <t xml:space="preserve">
TECHNON
</t>
        </r>
      </text>
    </comment>
    <comment ref="AI80" authorId="0" shapeId="0" xr:uid="{00000000-0006-0000-0000-000004000000}">
      <text>
        <r>
          <rPr>
            <b/>
            <sz val="9"/>
            <color indexed="81"/>
            <rFont val="Tahoma"/>
            <family val="2"/>
          </rPr>
          <t>Author:</t>
        </r>
        <r>
          <rPr>
            <sz val="9"/>
            <color indexed="81"/>
            <rFont val="Tahoma"/>
            <family val="2"/>
          </rPr>
          <t xml:space="preserve">
TECHNON</t>
        </r>
      </text>
    </comment>
    <comment ref="AF81" authorId="0" shapeId="0" xr:uid="{00000000-0006-0000-0000-000005000000}">
      <text>
        <r>
          <rPr>
            <b/>
            <sz val="9"/>
            <color indexed="81"/>
            <rFont val="Tahoma"/>
            <family val="2"/>
          </rPr>
          <t>Author:</t>
        </r>
        <r>
          <rPr>
            <sz val="9"/>
            <color indexed="81"/>
            <rFont val="Tahoma"/>
            <family val="2"/>
          </rPr>
          <t xml:space="preserve">
TECHNON
</t>
        </r>
      </text>
    </comment>
    <comment ref="AG81" authorId="0" shapeId="0" xr:uid="{00000000-0006-0000-0000-000006000000}">
      <text>
        <r>
          <rPr>
            <b/>
            <sz val="9"/>
            <color indexed="81"/>
            <rFont val="Tahoma"/>
            <family val="2"/>
          </rPr>
          <t>Author:</t>
        </r>
        <r>
          <rPr>
            <sz val="9"/>
            <color indexed="81"/>
            <rFont val="Tahoma"/>
            <family val="2"/>
          </rPr>
          <t xml:space="preserve">
TECHNON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F80" authorId="0" shapeId="0" xr:uid="{00000000-0006-0000-0400-000001000000}">
      <text>
        <r>
          <rPr>
            <b/>
            <sz val="9"/>
            <color indexed="81"/>
            <rFont val="Tahoma"/>
            <family val="2"/>
          </rPr>
          <t>Author:</t>
        </r>
        <r>
          <rPr>
            <sz val="9"/>
            <color indexed="81"/>
            <rFont val="Tahoma"/>
            <family val="2"/>
          </rPr>
          <t xml:space="preserve">
TECHNON DATA
</t>
        </r>
      </text>
    </comment>
    <comment ref="AG80" authorId="0" shapeId="0" xr:uid="{00000000-0006-0000-0400-000002000000}">
      <text>
        <r>
          <rPr>
            <b/>
            <sz val="9"/>
            <color indexed="81"/>
            <rFont val="Tahoma"/>
            <family val="2"/>
          </rPr>
          <t>Author:</t>
        </r>
        <r>
          <rPr>
            <sz val="9"/>
            <color indexed="81"/>
            <rFont val="Tahoma"/>
            <family val="2"/>
          </rPr>
          <t xml:space="preserve">
TECHNON</t>
        </r>
      </text>
    </comment>
    <comment ref="AH80" authorId="0" shapeId="0" xr:uid="{00000000-0006-0000-0400-000003000000}">
      <text>
        <r>
          <rPr>
            <b/>
            <sz val="9"/>
            <color indexed="81"/>
            <rFont val="Tahoma"/>
            <family val="2"/>
          </rPr>
          <t>Author:</t>
        </r>
        <r>
          <rPr>
            <sz val="9"/>
            <color indexed="81"/>
            <rFont val="Tahoma"/>
            <family val="2"/>
          </rPr>
          <t xml:space="preserve">
TECHNON
</t>
        </r>
      </text>
    </comment>
    <comment ref="AI80" authorId="0" shapeId="0" xr:uid="{00000000-0006-0000-0400-000004000000}">
      <text>
        <r>
          <rPr>
            <b/>
            <sz val="9"/>
            <color indexed="81"/>
            <rFont val="Tahoma"/>
            <family val="2"/>
          </rPr>
          <t>Author:</t>
        </r>
        <r>
          <rPr>
            <sz val="9"/>
            <color indexed="81"/>
            <rFont val="Tahoma"/>
            <family val="2"/>
          </rPr>
          <t xml:space="preserve">
TECHNON</t>
        </r>
      </text>
    </comment>
    <comment ref="AF81" authorId="0" shapeId="0" xr:uid="{00000000-0006-0000-0400-000005000000}">
      <text>
        <r>
          <rPr>
            <b/>
            <sz val="9"/>
            <color indexed="81"/>
            <rFont val="Tahoma"/>
            <family val="2"/>
          </rPr>
          <t>Author:</t>
        </r>
        <r>
          <rPr>
            <sz val="9"/>
            <color indexed="81"/>
            <rFont val="Tahoma"/>
            <family val="2"/>
          </rPr>
          <t xml:space="preserve">
TECHNON
</t>
        </r>
      </text>
    </comment>
    <comment ref="AG81" authorId="0" shapeId="0" xr:uid="{00000000-0006-0000-0400-000006000000}">
      <text>
        <r>
          <rPr>
            <b/>
            <sz val="9"/>
            <color indexed="81"/>
            <rFont val="Tahoma"/>
            <family val="2"/>
          </rPr>
          <t>Author:</t>
        </r>
        <r>
          <rPr>
            <sz val="9"/>
            <color indexed="81"/>
            <rFont val="Tahoma"/>
            <family val="2"/>
          </rPr>
          <t xml:space="preserve">
TECHNON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10" authorId="0" shapeId="0" xr:uid="{00000000-0006-0000-0900-000001000000}">
      <text>
        <r>
          <rPr>
            <b/>
            <sz val="9"/>
            <color indexed="81"/>
            <rFont val="Tahoma"/>
            <family val="2"/>
          </rPr>
          <t>Author:</t>
        </r>
        <r>
          <rPr>
            <sz val="9"/>
            <color indexed="81"/>
            <rFont val="Tahoma"/>
            <family val="2"/>
          </rPr>
          <t xml:space="preserve">
As per Vendor Delight ( as per Mol wt 2.20/ kg
</t>
        </r>
      </text>
    </comment>
    <comment ref="F11" authorId="0" shapeId="0" xr:uid="{00000000-0006-0000-0900-000002000000}">
      <text>
        <r>
          <rPr>
            <b/>
            <sz val="9"/>
            <color indexed="81"/>
            <rFont val="Tahoma"/>
            <family val="2"/>
          </rPr>
          <t>Author:</t>
        </r>
        <r>
          <rPr>
            <sz val="9"/>
            <color indexed="81"/>
            <rFont val="Tahoma"/>
            <family val="2"/>
          </rPr>
          <t xml:space="preserve">
as per vendor 1.2 ( Mol wt -.83)</t>
        </r>
      </text>
    </comment>
  </commentList>
</comment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
    <bk>
      <extLst>
        <ext uri="{3e2802c4-a4d2-4d8b-9148-e3be6c30e623}">
          <xlrd:rvb i="0"/>
        </ext>
      </extLst>
    </bk>
    <bk>
      <extLst>
        <ext uri="{3e2802c4-a4d2-4d8b-9148-e3be6c30e623}">
          <xlrd:rvb i="1"/>
        </ext>
      </extLst>
    </bk>
  </futureMetadata>
  <valueMetadata count="2">
    <bk>
      <rc t="1" v="0"/>
    </bk>
    <bk>
      <rc t="1" v="1"/>
    </bk>
  </valueMetadata>
</metadata>
</file>

<file path=xl/sharedStrings.xml><?xml version="1.0" encoding="utf-8"?>
<sst xmlns="http://schemas.openxmlformats.org/spreadsheetml/2006/main" count="6396" uniqueCount="860">
  <si>
    <t>RBI reference rate archive</t>
  </si>
  <si>
    <t>Exchange rate(USD:INR)</t>
  </si>
  <si>
    <t>Index '!A1</t>
  </si>
  <si>
    <t>Exchange rate(RMB:INR)</t>
  </si>
  <si>
    <t>USD/CNY - US Dollar Chinese Yuan </t>
  </si>
  <si>
    <t>Source</t>
  </si>
  <si>
    <t>Input RM</t>
  </si>
  <si>
    <t>Curr</t>
  </si>
  <si>
    <t>UOM</t>
  </si>
  <si>
    <t>Jul wk1</t>
  </si>
  <si>
    <t>Jul wk2</t>
  </si>
  <si>
    <t>Jul wk3</t>
  </si>
  <si>
    <t>Jul wk4</t>
  </si>
  <si>
    <t>Aug-1wk</t>
  </si>
  <si>
    <t>Aug-2wk</t>
  </si>
  <si>
    <t>Aug-3wk</t>
  </si>
  <si>
    <t>Aug-4wk</t>
  </si>
  <si>
    <t>Sep-1w</t>
  </si>
  <si>
    <t>Sep-2w</t>
  </si>
  <si>
    <t>Sep-3w</t>
  </si>
  <si>
    <t>Sep-4w</t>
  </si>
  <si>
    <t>Oct-1wk</t>
  </si>
  <si>
    <t>Oct-2wk</t>
  </si>
  <si>
    <t>Oct-3wk</t>
  </si>
  <si>
    <t>Oct-4wk</t>
  </si>
  <si>
    <t>Nov-1wk</t>
  </si>
  <si>
    <t>Nov-2wk</t>
  </si>
  <si>
    <t>Nov-3wk</t>
  </si>
  <si>
    <t>Nov-4wk</t>
  </si>
  <si>
    <t>SUNSIRS</t>
  </si>
  <si>
    <t>Silicon Metal</t>
  </si>
  <si>
    <t>RMB</t>
  </si>
  <si>
    <t>MT</t>
  </si>
  <si>
    <t>USD</t>
  </si>
  <si>
    <t>KG</t>
  </si>
  <si>
    <t>Orbi Chem Methanol - South Korea Spot/Contract</t>
  </si>
  <si>
    <t>Methanol</t>
  </si>
  <si>
    <t>Orbi Chem Methanol - Methanol - Domestic China (East)</t>
  </si>
  <si>
    <t>Methanol-CHINA</t>
  </si>
  <si>
    <t>Technon-Europe Contract Monthly DDP/Kg</t>
  </si>
  <si>
    <t>Ethylene</t>
  </si>
  <si>
    <t>LOCAL</t>
  </si>
  <si>
    <t>Chlorine</t>
  </si>
  <si>
    <t>INR</t>
  </si>
  <si>
    <t>DKC</t>
  </si>
  <si>
    <t>Anhydrous Ammonia Gas</t>
  </si>
  <si>
    <t>ICIS CFR SE Asia</t>
  </si>
  <si>
    <t>Ethanolamine</t>
  </si>
  <si>
    <t>Technon-WE-Contract</t>
  </si>
  <si>
    <t>Ethylene Oxide-West Europe</t>
  </si>
  <si>
    <t>Platts</t>
  </si>
  <si>
    <t>Benzene</t>
  </si>
  <si>
    <t>Technon-NA Asia/ Platts from Nov-23</t>
  </si>
  <si>
    <t>Ethylene SE</t>
  </si>
  <si>
    <t>Technon-China Domestic Spot</t>
  </si>
  <si>
    <t xml:space="preserve">Ethylene Oxide-CHINA </t>
  </si>
  <si>
    <t>INDIA IMPORT -Volza</t>
  </si>
  <si>
    <t>Aniline</t>
  </si>
  <si>
    <t>Hydrochloric acid</t>
  </si>
  <si>
    <t>Formaldehyde</t>
  </si>
  <si>
    <t>MEA</t>
  </si>
  <si>
    <t>LME COPPER $USD/Tonne</t>
  </si>
  <si>
    <t>Copper</t>
  </si>
  <si>
    <t>Nitric Acid</t>
  </si>
  <si>
    <t>Acetone</t>
  </si>
  <si>
    <r>
      <t>Barium hydroxide</t>
    </r>
    <r>
      <rPr>
        <sz val="8"/>
        <color rgb="FF000000"/>
        <rFont val="Calibri"/>
        <family val="2"/>
        <scheme val="minor"/>
      </rPr>
      <t>  monohydrate</t>
    </r>
  </si>
  <si>
    <t>Phenol orbi chem china  Import Spot</t>
  </si>
  <si>
    <t xml:space="preserve">Phenol CHINA </t>
  </si>
  <si>
    <t>PROPYLENE TRIMER</t>
  </si>
  <si>
    <t>Bromine</t>
  </si>
  <si>
    <t>EDC</t>
  </si>
  <si>
    <t>Sodium bichromate</t>
  </si>
  <si>
    <t xml:space="preserve">Sulfuric acid </t>
  </si>
  <si>
    <t xml:space="preserve">businessanalytiq -CHINA </t>
  </si>
  <si>
    <t>ISOPHORONE</t>
  </si>
  <si>
    <t xml:space="preserve">BARIUM HYDROXIDE </t>
  </si>
  <si>
    <t>Platts-CFR SE Asia</t>
  </si>
  <si>
    <t>Butadiene</t>
  </si>
  <si>
    <t>N-Butanol</t>
  </si>
  <si>
    <t>Titanium dioxide</t>
  </si>
  <si>
    <t>China  - Domestic Orbichem</t>
  </si>
  <si>
    <t>Ethyl Acetate</t>
  </si>
  <si>
    <t>Methyl Acrylate</t>
  </si>
  <si>
    <t>METHYL CHLORIDE</t>
  </si>
  <si>
    <t>PLATSS SE</t>
  </si>
  <si>
    <t xml:space="preserve">Toluene </t>
  </si>
  <si>
    <t>Acetic acid</t>
  </si>
  <si>
    <t>CRUDE NAPHTHALENE</t>
  </si>
  <si>
    <t>INDIA EXPORT -Volza</t>
  </si>
  <si>
    <t>ODCB</t>
  </si>
  <si>
    <t>Platts,CFR Japan</t>
  </si>
  <si>
    <t>Naphatha</t>
  </si>
  <si>
    <t>Orbi Chem China Domestic</t>
  </si>
  <si>
    <t>VAM</t>
  </si>
  <si>
    <t>YELLOW PHOSPHOROUS</t>
  </si>
  <si>
    <t>DEG</t>
  </si>
  <si>
    <t>LME ZINC $USD/Tonne</t>
  </si>
  <si>
    <t>ZINC</t>
  </si>
  <si>
    <t xml:space="preserve">PROPYLENE TETRAMER </t>
  </si>
  <si>
    <t>Orbi chem-Spot (South &amp; Southeast Asia)</t>
  </si>
  <si>
    <t xml:space="preserve">Maleic Anhydride </t>
  </si>
  <si>
    <t xml:space="preserve">LIQUID BROMINE </t>
  </si>
  <si>
    <t>CYANOACETAMIDE</t>
  </si>
  <si>
    <t>Orbichem- Import East Asia (excl. VAT)</t>
  </si>
  <si>
    <t xml:space="preserve">DIETHYLENE GLYCOL </t>
  </si>
  <si>
    <t>SOYA OIL</t>
  </si>
  <si>
    <t xml:space="preserve">2EH </t>
  </si>
  <si>
    <t>Oleic Acid</t>
  </si>
  <si>
    <t>Glycerine Refined</t>
  </si>
  <si>
    <t xml:space="preserve">N-Butanol </t>
  </si>
  <si>
    <t>ICIS CFR  Asia E</t>
  </si>
  <si>
    <t>IsoButanol</t>
  </si>
  <si>
    <t>PFAD fatty acid</t>
  </si>
  <si>
    <t>Propylene (CFR SEA)</t>
  </si>
  <si>
    <t>Propylene</t>
  </si>
  <si>
    <t>propylene Oxide</t>
  </si>
  <si>
    <t>Aniline-CHINA</t>
  </si>
  <si>
    <t>MEK</t>
  </si>
  <si>
    <t>IPA</t>
  </si>
  <si>
    <t>PULG 
(Platts of unleaded Gasoline)</t>
  </si>
  <si>
    <t xml:space="preserve">PULG </t>
  </si>
  <si>
    <t>Ethylene used by clariant</t>
  </si>
  <si>
    <t>vam used by clariant</t>
  </si>
  <si>
    <t xml:space="preserve">Glycerine </t>
  </si>
  <si>
    <t>VAM SE</t>
  </si>
  <si>
    <t xml:space="preserve">Mono ethylene Glycol 
China Import spot FG CFR Orbichem
</t>
  </si>
  <si>
    <t>Mono ethylene Glycol</t>
  </si>
  <si>
    <t>Agriwatch</t>
  </si>
  <si>
    <t>Soy Oil Indore</t>
  </si>
  <si>
    <t>Technon-NA Contract Monthly DDP/Kg</t>
  </si>
  <si>
    <t>Ethylene-NA</t>
  </si>
  <si>
    <t>DEA</t>
  </si>
  <si>
    <t>TEA</t>
  </si>
  <si>
    <t xml:space="preserve">ICIS Anhydrous FOB Chicago </t>
  </si>
  <si>
    <t>Ethanol Fuel</t>
  </si>
  <si>
    <t>US gal</t>
  </si>
  <si>
    <t xml:space="preserve">ICIS FOB US </t>
  </si>
  <si>
    <t xml:space="preserve">Toluene N Grade </t>
  </si>
  <si>
    <t>ICIS FOB USG</t>
  </si>
  <si>
    <t xml:space="preserve">Xylenes </t>
  </si>
  <si>
    <t>EVA VA Content 14-20%</t>
  </si>
  <si>
    <t>2-Ethyl Hexyl Acrylate</t>
  </si>
  <si>
    <t xml:space="preserve">Acrylic Acid Glacial </t>
  </si>
  <si>
    <t xml:space="preserve">Butyl Acrylate </t>
  </si>
  <si>
    <t>Ethyl Acrylate</t>
  </si>
  <si>
    <t>C16 Palmitic Acid</t>
  </si>
  <si>
    <t>Glycerine Crude 80%</t>
  </si>
  <si>
    <t xml:space="preserve">Distilled Soya Fatty Acid </t>
  </si>
  <si>
    <t>LFA</t>
  </si>
  <si>
    <t>SOYA ACID OIL</t>
  </si>
  <si>
    <t>Technon-Europe spot US</t>
  </si>
  <si>
    <t>Ethylene- US SPOT</t>
  </si>
  <si>
    <t>VOLZA INDIA IMPORT</t>
  </si>
  <si>
    <t xml:space="preserve">PHOSPHORIC ACID </t>
  </si>
  <si>
    <t>PLATTS</t>
  </si>
  <si>
    <t xml:space="preserve">Ortho xylene </t>
  </si>
  <si>
    <t>Antimony Slab</t>
  </si>
  <si>
    <t>SEBACIC ACID</t>
  </si>
  <si>
    <t>https://sulfur-price.com/today/india</t>
  </si>
  <si>
    <t>sulfur</t>
  </si>
  <si>
    <t>Buyer</t>
  </si>
  <si>
    <t>Raw Material</t>
  </si>
  <si>
    <t>Jul-w1</t>
  </si>
  <si>
    <t>Jul-w2</t>
  </si>
  <si>
    <t>Jul-w3</t>
  </si>
  <si>
    <t>Jul-w4</t>
  </si>
  <si>
    <t>Aug-w1</t>
  </si>
  <si>
    <t>Aug-w2</t>
  </si>
  <si>
    <t>Aug-w3</t>
  </si>
  <si>
    <t>Aug-w4</t>
  </si>
  <si>
    <t>Sep-W-1</t>
  </si>
  <si>
    <t>Sep-W-2</t>
  </si>
  <si>
    <t>Sep-W-3</t>
  </si>
  <si>
    <t>Sep-W-4</t>
  </si>
  <si>
    <t>Oct-W-1</t>
  </si>
  <si>
    <t>Oct-W-2</t>
  </si>
  <si>
    <t>Oct-W-3</t>
  </si>
  <si>
    <t>Oct-W-4</t>
  </si>
  <si>
    <t>Nov-w1</t>
  </si>
  <si>
    <t>Nov-w2</t>
  </si>
  <si>
    <t>Nov-w3</t>
  </si>
  <si>
    <t>Nov-w4</t>
  </si>
  <si>
    <t>Dec-w1</t>
  </si>
  <si>
    <t>Dec-w2</t>
  </si>
  <si>
    <t>Dec-w3</t>
  </si>
  <si>
    <t>Dec-w4</t>
  </si>
  <si>
    <t>Jan-w1</t>
  </si>
  <si>
    <t>Jan-w2</t>
  </si>
  <si>
    <t>Jan-w3</t>
  </si>
  <si>
    <t>Last 12 Week</t>
  </si>
  <si>
    <t>Should be price in $/kg</t>
  </si>
  <si>
    <t xml:space="preserve">Clean sheet cost change </t>
  </si>
  <si>
    <t>Clean sheet cost change %</t>
  </si>
  <si>
    <r>
      <rPr>
        <sz val="9"/>
        <color theme="9" tint="-0.249977111117893"/>
        <rFont val="Calibri"/>
        <family val="2"/>
        <scheme val="minor"/>
      </rPr>
      <t>Green means cost reduction</t>
    </r>
    <r>
      <rPr>
        <sz val="9"/>
        <color theme="1"/>
        <rFont val="Calibri"/>
        <family val="2"/>
        <scheme val="minor"/>
      </rPr>
      <t xml:space="preserve"> and </t>
    </r>
    <r>
      <rPr>
        <sz val="9"/>
        <color rgb="FFFF0000"/>
        <rFont val="Calibri"/>
        <family val="2"/>
        <scheme val="minor"/>
      </rPr>
      <t>Red means cost increase</t>
    </r>
  </si>
  <si>
    <t>Avg cost sheet cost 2022-23 ytd dec-22</t>
  </si>
  <si>
    <t>Sep-w1</t>
  </si>
  <si>
    <t>Sep-w2</t>
  </si>
  <si>
    <t>Sep-w3</t>
  </si>
  <si>
    <t>Sep-w4</t>
  </si>
  <si>
    <t>Oct-w1</t>
  </si>
  <si>
    <t>Oct-w2</t>
  </si>
  <si>
    <t>Oct-w3</t>
  </si>
  <si>
    <t>Oct-w4</t>
  </si>
  <si>
    <t>Pankaj</t>
  </si>
  <si>
    <t>EDA EDC-Route</t>
  </si>
  <si>
    <t>EDA MEK-Route</t>
  </si>
  <si>
    <t>TEPA</t>
  </si>
  <si>
    <t>Cheryl</t>
  </si>
  <si>
    <t>Chromic acid</t>
  </si>
  <si>
    <t>CopperII</t>
  </si>
  <si>
    <t>AEEA</t>
  </si>
  <si>
    <t>Mono ethanolamine</t>
  </si>
  <si>
    <t>Anuja</t>
  </si>
  <si>
    <t>MTMS</t>
  </si>
  <si>
    <t>ISOPHORONENITRILE</t>
  </si>
  <si>
    <t>IPDA</t>
  </si>
  <si>
    <t>DIMETHYLAMINE</t>
  </si>
  <si>
    <t>NONYL PHENOL</t>
  </si>
  <si>
    <t>ETHYL BEZENE</t>
  </si>
  <si>
    <t>MELEIC ANDHYDRIDE</t>
  </si>
  <si>
    <t>MDA</t>
  </si>
  <si>
    <t>PNA</t>
  </si>
  <si>
    <t>PANA</t>
  </si>
  <si>
    <t>Hexylene Glycol</t>
  </si>
  <si>
    <t>Diacetone alcohol</t>
  </si>
  <si>
    <t>DBNPA</t>
  </si>
  <si>
    <t>DNBA</t>
  </si>
  <si>
    <t>DTBP</t>
  </si>
  <si>
    <t>Paraformaldehyde</t>
  </si>
  <si>
    <t>Manoj</t>
  </si>
  <si>
    <t>60000 CST</t>
  </si>
  <si>
    <t>CMIT</t>
  </si>
  <si>
    <t>Ethyl Acetoacetate</t>
  </si>
  <si>
    <t>Ticl4</t>
  </si>
  <si>
    <t>Benzaldehyde</t>
  </si>
  <si>
    <t>HR PIB 750</t>
  </si>
  <si>
    <t>Dimethylethanolamine</t>
  </si>
  <si>
    <t>Phosphonic Acid</t>
  </si>
  <si>
    <t>DETA-EDA</t>
  </si>
  <si>
    <t>DETA-MEA</t>
  </si>
  <si>
    <t>DIETHANOL AMINE</t>
  </si>
  <si>
    <t>P205</t>
  </si>
  <si>
    <t>Acetylacetone</t>
  </si>
  <si>
    <t>PVA</t>
  </si>
  <si>
    <t>ZINC OXIDE</t>
  </si>
  <si>
    <t>DDSA</t>
  </si>
  <si>
    <t>Copper Sulphate</t>
  </si>
  <si>
    <t>Dodiflow 57501</t>
  </si>
  <si>
    <t>Sukumar</t>
  </si>
  <si>
    <t>Refined glycerine ICIS</t>
  </si>
  <si>
    <t>ROFA</t>
  </si>
  <si>
    <t>SOFA</t>
  </si>
  <si>
    <t>oleic acid ICIS</t>
  </si>
  <si>
    <t>N butanol ICIS</t>
  </si>
  <si>
    <t>Solgad 150</t>
  </si>
  <si>
    <t>Solgad 150ND</t>
  </si>
  <si>
    <t>propylene Oxide ICIS</t>
  </si>
  <si>
    <t>2EH ICIS</t>
  </si>
  <si>
    <t>Acetone ICIS</t>
  </si>
  <si>
    <t>MEK ICIS</t>
  </si>
  <si>
    <t>VAM CFR Asia SE ICIS</t>
  </si>
  <si>
    <t>IsoButanol ICIS</t>
  </si>
  <si>
    <t>Methanol Asia SE</t>
  </si>
  <si>
    <t>Soy Oil Indore MT USD</t>
  </si>
  <si>
    <t>HR PIB 1000</t>
  </si>
  <si>
    <t>1-Decene</t>
  </si>
  <si>
    <t>N-methyl Aniline - 99%</t>
  </si>
  <si>
    <t>N butanol</t>
  </si>
  <si>
    <t>Butyl cellosolve</t>
  </si>
  <si>
    <t>Phthalic Anhydride</t>
  </si>
  <si>
    <t>Glyoxal 40</t>
  </si>
  <si>
    <t>Sr.No</t>
  </si>
  <si>
    <t>name</t>
  </si>
  <si>
    <t>buyer</t>
  </si>
  <si>
    <t>Input RM sheet'!A1</t>
  </si>
  <si>
    <t>Aniket</t>
  </si>
  <si>
    <t>tertiary butyl hydroquinone</t>
  </si>
  <si>
    <t xml:space="preserve">Dimethyl sebacate </t>
  </si>
  <si>
    <t>Butyl Acetate</t>
  </si>
  <si>
    <t>Jan-w4</t>
  </si>
  <si>
    <t>Feb-w1</t>
  </si>
  <si>
    <t>Feb-w2</t>
  </si>
  <si>
    <t>Feb-w3</t>
  </si>
  <si>
    <t>Feb-w4</t>
  </si>
  <si>
    <t>Mar-w1</t>
  </si>
  <si>
    <t>Mar-w2</t>
  </si>
  <si>
    <t>Mar-w3</t>
  </si>
  <si>
    <t>Mar-w4</t>
  </si>
  <si>
    <t>Avg cost sheet cost 2023-24</t>
  </si>
  <si>
    <t>Mine</t>
  </si>
  <si>
    <t>Propylene /PHENOL</t>
  </si>
  <si>
    <t>Phenol /Butadiene</t>
  </si>
  <si>
    <t>Acetic acid /Ethylene</t>
  </si>
  <si>
    <t>Acetone/Ethylene</t>
  </si>
  <si>
    <t>ZIC</t>
  </si>
  <si>
    <t>Ethylene/ VAM</t>
  </si>
  <si>
    <t>crude oil</t>
  </si>
  <si>
    <t>DEA ICIS</t>
  </si>
  <si>
    <t>N-Butanol /Ethylene</t>
  </si>
  <si>
    <t>Butyl acetate</t>
  </si>
  <si>
    <t>4-Dodecylphenol</t>
  </si>
  <si>
    <t>Phenol</t>
  </si>
  <si>
    <t>Methyl Carbitol</t>
  </si>
  <si>
    <t>2-Ethyl hexyl nitrate</t>
  </si>
  <si>
    <t>Butyl acrylate</t>
  </si>
  <si>
    <t>Formaldehyde 37%</t>
  </si>
  <si>
    <t>2-Ethylhexyl Amine (2EHA)</t>
  </si>
  <si>
    <t>4 HT</t>
  </si>
  <si>
    <t>Sebacic acid</t>
  </si>
  <si>
    <t>Hydroquinone</t>
  </si>
  <si>
    <t>Deha 85 %</t>
  </si>
  <si>
    <t xml:space="preserve">Linoleic Acid </t>
  </si>
  <si>
    <t>Armeen 2 HT</t>
  </si>
  <si>
    <t>Tallow</t>
  </si>
  <si>
    <t>Ethylene Oxide</t>
  </si>
  <si>
    <t>Calcium Sterate</t>
  </si>
  <si>
    <t>3 Methoxy Proplamine</t>
  </si>
  <si>
    <t>Tolune</t>
  </si>
  <si>
    <t>Bronopol</t>
  </si>
  <si>
    <t>Benzene /Propylene</t>
  </si>
  <si>
    <t>2Ethyl 13Hexanediol Octane Diol Octylene Glycol</t>
  </si>
  <si>
    <t>2eh</t>
  </si>
  <si>
    <t>2 Mercapto Ethanol</t>
  </si>
  <si>
    <t>2Ethylhexanoic Acid</t>
  </si>
  <si>
    <t>Propylene oxide</t>
  </si>
  <si>
    <t>Phosphorous Penstasulphide</t>
  </si>
  <si>
    <t>Octanethiol</t>
  </si>
  <si>
    <t>1-Octene</t>
  </si>
  <si>
    <t>Mignol</t>
  </si>
  <si>
    <t>Ethanol</t>
  </si>
  <si>
    <t>Triethylenetetramine</t>
  </si>
  <si>
    <t>Sodium Borohydride</t>
  </si>
  <si>
    <t>Camphor</t>
  </si>
  <si>
    <t>Caprolactam</t>
  </si>
  <si>
    <t>Tallow Diamine</t>
  </si>
  <si>
    <t>Baron Trifluoride Etherate</t>
  </si>
  <si>
    <t>THPS</t>
  </si>
  <si>
    <t>Di n propylamine</t>
  </si>
  <si>
    <t>Morpholine</t>
  </si>
  <si>
    <t>Nicket sulphate anhydrous</t>
  </si>
  <si>
    <t>Para tertiary amyl phenol</t>
  </si>
  <si>
    <t>N Propyl alcohol</t>
  </si>
  <si>
    <t>Tricresyl phosphate</t>
  </si>
  <si>
    <t>ZINC OXIDE WHITE -R</t>
  </si>
  <si>
    <t>ICIS CHINA  SPOT CFR</t>
  </si>
  <si>
    <t>EURO</t>
  </si>
  <si>
    <t>2-Ethylhexenal</t>
  </si>
  <si>
    <t>Nitro Methane</t>
  </si>
  <si>
    <t>Caustic lye</t>
  </si>
  <si>
    <t>Mix Xylene</t>
  </si>
  <si>
    <t>Stearic Acid</t>
  </si>
  <si>
    <t>Sunflower Oil:</t>
  </si>
  <si>
    <t>Soybean Oil</t>
  </si>
  <si>
    <t>cresol</t>
  </si>
  <si>
    <t>Nickel</t>
  </si>
  <si>
    <t>Phosphorus trichloride</t>
  </si>
  <si>
    <t>Sodium hydroxide</t>
  </si>
  <si>
    <t>Boron Trifluoride</t>
  </si>
  <si>
    <t>Diethyl Ether</t>
  </si>
  <si>
    <t>ARGUS</t>
  </si>
  <si>
    <t>Tallow Fatty Acids</t>
  </si>
  <si>
    <t>Ethylene Diamine</t>
  </si>
  <si>
    <t>Cyclohexanone</t>
  </si>
  <si>
    <t>Hydroxylamine</t>
  </si>
  <si>
    <t>Pinene</t>
  </si>
  <si>
    <t>Trimethyl Borate</t>
  </si>
  <si>
    <t>Sodium Hydride</t>
  </si>
  <si>
    <t>3-Methoxy-1-Propanol</t>
  </si>
  <si>
    <t>Tallow bleached fancy Chicago del rail weekly avg -Argus</t>
  </si>
  <si>
    <t xml:space="preserve">Mustard Oil </t>
  </si>
  <si>
    <t>Erucic Acid</t>
  </si>
  <si>
    <t xml:space="preserve">DKC- PRICE </t>
  </si>
  <si>
    <t>Lubolic 20</t>
  </si>
  <si>
    <t>VOLZA INDIA EXPORT</t>
  </si>
  <si>
    <t>ORTHO TOLUIDINE</t>
  </si>
  <si>
    <t>MTBE</t>
  </si>
  <si>
    <t xml:space="preserve">Benzene-China </t>
  </si>
  <si>
    <t xml:space="preserve">Raw Material </t>
  </si>
  <si>
    <t>Chemical Name</t>
  </si>
  <si>
    <t>moles</t>
  </si>
  <si>
    <t>molecular weight</t>
  </si>
  <si>
    <t>actual quantities</t>
  </si>
  <si>
    <t>ETHYLENE</t>
  </si>
  <si>
    <t>Ethylene Dichloride</t>
  </si>
  <si>
    <t>CH2=CH2</t>
  </si>
  <si>
    <t>CL2</t>
  </si>
  <si>
    <t>C2H4CL2</t>
  </si>
  <si>
    <t>Price $ / kg</t>
  </si>
  <si>
    <t>RM Price</t>
  </si>
  <si>
    <t>Jul-1wk</t>
  </si>
  <si>
    <t>Jul-2wk</t>
  </si>
  <si>
    <t>Jul-3wk</t>
  </si>
  <si>
    <t>Jul-4wk</t>
  </si>
  <si>
    <t>Sep w-1</t>
  </si>
  <si>
    <t>Local Price</t>
  </si>
  <si>
    <t>INPUT RM</t>
  </si>
  <si>
    <t>ton/ton</t>
  </si>
  <si>
    <t>Raw material (RM)</t>
  </si>
  <si>
    <t xml:space="preserve">Ethylene </t>
  </si>
  <si>
    <t>Consumptions perkg</t>
  </si>
  <si>
    <t>Total RMC</t>
  </si>
  <si>
    <t>Purchase price</t>
  </si>
  <si>
    <t>Volza</t>
  </si>
  <si>
    <t>wt avg</t>
  </si>
  <si>
    <t>CIF$/kg</t>
  </si>
  <si>
    <t>EDC Import Price</t>
  </si>
  <si>
    <t>Delta = Conversion cost + margin</t>
  </si>
  <si>
    <t>Should be price</t>
  </si>
  <si>
    <t>SKU</t>
  </si>
  <si>
    <t>RM</t>
  </si>
  <si>
    <t>Ratio</t>
  </si>
  <si>
    <t>AMMONIA</t>
  </si>
  <si>
    <t>Ethylenediamine</t>
  </si>
  <si>
    <t>2NH3</t>
  </si>
  <si>
    <t>C2H8N2</t>
  </si>
  <si>
    <t>2HCL</t>
  </si>
  <si>
    <t>RM price</t>
  </si>
  <si>
    <t>Jul1 wk</t>
  </si>
  <si>
    <t>Jul2 wk</t>
  </si>
  <si>
    <t>Jul3 wk</t>
  </si>
  <si>
    <t>Jul4 wk</t>
  </si>
  <si>
    <t>Sepw-1</t>
  </si>
  <si>
    <t>Sepw-2</t>
  </si>
  <si>
    <t>Sepw-3</t>
  </si>
  <si>
    <t>Sepw-4</t>
  </si>
  <si>
    <t>India Import</t>
  </si>
  <si>
    <t>DKC Purchase Price</t>
  </si>
  <si>
    <t xml:space="preserve">Ammonia </t>
  </si>
  <si>
    <t>100387-000000</t>
  </si>
  <si>
    <t xml:space="preserve">DKC -Purchase Price </t>
  </si>
  <si>
    <t>Monoethanolamine</t>
  </si>
  <si>
    <t>Jul 1wk</t>
  </si>
  <si>
    <t>Jul 2wk</t>
  </si>
  <si>
    <t>Jul 3wk</t>
  </si>
  <si>
    <t>Jul 4wk</t>
  </si>
  <si>
    <t>Octw-1</t>
  </si>
  <si>
    <t>Octw-2</t>
  </si>
  <si>
    <t>Octw-3</t>
  </si>
  <si>
    <t>Octw-4</t>
  </si>
  <si>
    <t>DKC-Purchase Price</t>
  </si>
  <si>
    <t>Tetraethylenepentamine</t>
  </si>
  <si>
    <t>5NH3</t>
  </si>
  <si>
    <t>C8H23N5</t>
  </si>
  <si>
    <t>8HCL</t>
  </si>
  <si>
    <t>Ammonia</t>
  </si>
  <si>
    <t>100393-000000</t>
  </si>
  <si>
    <t>CHROMIC ACID FLAKES</t>
  </si>
  <si>
    <t>H
2CrO
4</t>
  </si>
  <si>
    <t>sodium bichromate</t>
  </si>
  <si>
    <t xml:space="preserve">sulfuric acid </t>
  </si>
  <si>
    <t>Jul 1 wk</t>
  </si>
  <si>
    <t>Jul 2 wk</t>
  </si>
  <si>
    <t>Jul 3 wk</t>
  </si>
  <si>
    <t>Jul 4 wk</t>
  </si>
  <si>
    <t>Volza India Import CIF$/kg</t>
  </si>
  <si>
    <t>101720-000000</t>
  </si>
  <si>
    <t>Copper(II) nitrate trihydrate</t>
  </si>
  <si>
    <t>CuH6N2O9</t>
  </si>
  <si>
    <t>Sep w-2</t>
  </si>
  <si>
    <t>Sep w-3</t>
  </si>
  <si>
    <t>Sep w-4</t>
  </si>
  <si>
    <t>Oct w-1</t>
  </si>
  <si>
    <t>Oct w-2</t>
  </si>
  <si>
    <t>Oct w-3</t>
  </si>
  <si>
    <t>Oct w-4</t>
  </si>
  <si>
    <t>Index Mundi</t>
  </si>
  <si>
    <t>$/ MT</t>
  </si>
  <si>
    <t>Cu(NO₃)₂ * 3 H₂O</t>
  </si>
  <si>
    <t>Local</t>
  </si>
  <si>
    <t>$ /KG</t>
  </si>
  <si>
    <t>101976-000000</t>
  </si>
  <si>
    <t>C2H4O</t>
  </si>
  <si>
    <t>NH3</t>
  </si>
  <si>
    <t>C4H11NO2</t>
  </si>
  <si>
    <t>Orbichem</t>
  </si>
  <si>
    <t>$/kg</t>
  </si>
  <si>
    <t>100361-000000</t>
  </si>
  <si>
    <t>Method of Manufacture
Diethanolamine is produced by reacting 2 moles of ethylene
oxide with 1 mole of ammonia.6 Typically, ethylene oxide is
reacted with ammonia in a batch process to produce a crude
mixture of approximately one-third each ethanolamine, diethanolamine, and triethanolamine, which are then separated,
achieving varying degrees of single component purity</t>
  </si>
  <si>
    <t>EDA</t>
  </si>
  <si>
    <t>EO</t>
  </si>
  <si>
    <t>AMINOETILETANOLAMINA (AEEA)</t>
  </si>
  <si>
    <t>C4H12N2O</t>
  </si>
  <si>
    <t>Sepw1</t>
  </si>
  <si>
    <t>Sepw2</t>
  </si>
  <si>
    <t>Sepw3</t>
  </si>
  <si>
    <t>Sepw4</t>
  </si>
  <si>
    <t>Octw1</t>
  </si>
  <si>
    <t>Octw2</t>
  </si>
  <si>
    <t>Octw3</t>
  </si>
  <si>
    <t>Octw4</t>
  </si>
  <si>
    <t>Cost sheet Price</t>
  </si>
  <si>
    <t>West Europe-Orbi Chem</t>
  </si>
  <si>
    <t>Price $ / MT</t>
  </si>
  <si>
    <t>100380-000000</t>
  </si>
  <si>
    <t>MonoEthanolamine</t>
  </si>
  <si>
    <t>min</t>
  </si>
  <si>
    <t>C2H7NO</t>
  </si>
  <si>
    <t>(Orbichem) Ethylene Oxide,China Domestic Spot EXW($/MT)</t>
  </si>
  <si>
    <t>$.kg</t>
  </si>
  <si>
    <t>margin@10%</t>
  </si>
  <si>
    <t>100165-000000</t>
  </si>
  <si>
    <t>PO PRICE</t>
  </si>
  <si>
    <t>Sep w1</t>
  </si>
  <si>
    <t>Sep w2</t>
  </si>
  <si>
    <t>Sep w3</t>
  </si>
  <si>
    <t>Sep w4</t>
  </si>
  <si>
    <t>Oct w1</t>
  </si>
  <si>
    <t>Oct w2</t>
  </si>
  <si>
    <t>Oct w3</t>
  </si>
  <si>
    <t>Oct w4</t>
  </si>
  <si>
    <t xml:space="preserve">Sunsirs </t>
  </si>
  <si>
    <t>Hcl</t>
  </si>
  <si>
    <t>Allyl chloride</t>
  </si>
  <si>
    <t>100059-000000</t>
  </si>
  <si>
    <t>C9H14O</t>
  </si>
  <si>
    <t>ICIS</t>
  </si>
  <si>
    <t>Acetone CFR Asia SE (Mid) : USD/tonne</t>
  </si>
  <si>
    <t>acetone</t>
  </si>
  <si>
    <t>TOTAL MC</t>
  </si>
  <si>
    <t>101501-000000</t>
  </si>
  <si>
    <t>Isophorone is thus the reaction product of a condensation of three molecules of acetone with the elimination of two molecules of water.</t>
  </si>
  <si>
    <t>https://patents.justia.com/patent/8889914</t>
  </si>
  <si>
    <t>C10H15NO</t>
  </si>
  <si>
    <t>Hydrogen cyanide</t>
  </si>
  <si>
    <t>C10H22N2</t>
  </si>
  <si>
    <t>Cost Sheet Price</t>
  </si>
  <si>
    <t>Hydrogen</t>
  </si>
  <si>
    <t>100395-000000</t>
  </si>
  <si>
    <t>Phosphorous pentoxide</t>
  </si>
  <si>
    <t>O10P4</t>
  </si>
  <si>
    <t>JUL 2 WK</t>
  </si>
  <si>
    <t>JUL 3 WK</t>
  </si>
  <si>
    <t>JUL 4 WK</t>
  </si>
  <si>
    <t xml:space="preserve">CHINA </t>
  </si>
  <si>
    <t>$ /MT</t>
  </si>
  <si>
    <t>Oxygen</t>
  </si>
  <si>
    <t>Phosphorous</t>
  </si>
  <si>
    <t>100065-000000</t>
  </si>
  <si>
    <r>
      <t>(CH</t>
    </r>
    <r>
      <rPr>
        <vertAlign val="subscript"/>
        <sz val="6"/>
        <color rgb="FF202122"/>
        <rFont val="Arial"/>
        <family val="2"/>
      </rPr>
      <t>3</t>
    </r>
    <r>
      <rPr>
        <sz val="7"/>
        <color rgb="FF202122"/>
        <rFont val="Arial"/>
        <family val="2"/>
      </rPr>
      <t>)</t>
    </r>
    <r>
      <rPr>
        <vertAlign val="subscript"/>
        <sz val="6"/>
        <color rgb="FF202122"/>
        <rFont val="Arial"/>
        <family val="2"/>
      </rPr>
      <t>2</t>
    </r>
    <r>
      <rPr>
        <sz val="7"/>
        <color rgb="FF202122"/>
        <rFont val="Arial"/>
        <family val="2"/>
      </rPr>
      <t>NH.</t>
    </r>
  </si>
  <si>
    <t>2CH3OH</t>
  </si>
  <si>
    <t>C2H7N</t>
  </si>
  <si>
    <t>2H20</t>
  </si>
  <si>
    <t>$ /kg</t>
  </si>
  <si>
    <r>
      <t>C</t>
    </r>
    <r>
      <rPr>
        <vertAlign val="subscript"/>
        <sz val="9"/>
        <color rgb="FF000000"/>
        <rFont val="Arial"/>
        <family val="2"/>
      </rPr>
      <t>4</t>
    </r>
    <r>
      <rPr>
        <sz val="9"/>
        <color rgb="FF000000"/>
        <rFont val="Arial"/>
        <family val="2"/>
      </rPr>
      <t>H</t>
    </r>
    <r>
      <rPr>
        <vertAlign val="subscript"/>
        <sz val="9"/>
        <color rgb="FF000000"/>
        <rFont val="Arial"/>
        <family val="2"/>
      </rPr>
      <t>11</t>
    </r>
    <r>
      <rPr>
        <sz val="9"/>
        <color rgb="FF000000"/>
        <rFont val="Arial"/>
        <family val="2"/>
      </rPr>
      <t>NO</t>
    </r>
  </si>
  <si>
    <t>COST SHEET</t>
  </si>
  <si>
    <r>
      <t>Dimethylamine</t>
    </r>
    <r>
      <rPr>
        <sz val="9"/>
        <color rgb="FF000000"/>
        <rFont val="Verdana"/>
        <family val="2"/>
      </rPr>
      <t> </t>
    </r>
  </si>
  <si>
    <t>OrbiChem</t>
  </si>
  <si>
    <t xml:space="preserve"> $/ MT</t>
  </si>
  <si>
    <t>Ethylene oxide</t>
  </si>
  <si>
    <t>100035-000000</t>
  </si>
  <si>
    <t>Propylene trimer</t>
  </si>
  <si>
    <t>PHENOL</t>
  </si>
  <si>
    <t>C15H24O</t>
  </si>
  <si>
    <t>JUL 3WK</t>
  </si>
  <si>
    <t>JUL 4WK</t>
  </si>
  <si>
    <t>INDIA-IMPORT</t>
  </si>
  <si>
    <t>VOLZA</t>
  </si>
  <si>
    <t>$/KG</t>
  </si>
  <si>
    <t>100483-000000</t>
  </si>
  <si>
    <t>Phosphonic acid/	Phosphorous acid</t>
  </si>
  <si>
    <t>Phosphoric acid</t>
  </si>
  <si>
    <t>https://slideplayer.com/slide/10808047/</t>
  </si>
  <si>
    <t>Triethanolamine</t>
  </si>
  <si>
    <t>C6H15NO3</t>
  </si>
  <si>
    <t>$ / MT</t>
  </si>
  <si>
    <t>100083-000000</t>
  </si>
  <si>
    <t>The TEA is produced by reacting 3 moles of ethylene oxide with 1 mole of ammonia; additional ethylene oxide will continue to react to produce higher ethylene oxide adducts of TEA.7 Typically, ethylene oxide is reacted with ammonia in a batch process to produce a crude mixture of approximately one-third of each ethanolamine, diethanolamine, and TEA. The crude mixture is later separated by distillation.</t>
  </si>
  <si>
    <t>Ethylbenzene</t>
  </si>
  <si>
    <r>
      <t>C</t>
    </r>
    <r>
      <rPr>
        <sz val="10"/>
        <color rgb="FF202122"/>
        <rFont val="Arial"/>
        <family val="2"/>
      </rPr>
      <t>6H5CH2CH3</t>
    </r>
  </si>
  <si>
    <t>+</t>
  </si>
  <si>
    <t>Ethene</t>
  </si>
  <si>
    <t>C
6H
6 +</t>
  </si>
  <si>
    <t>C
2H
4</t>
  </si>
  <si>
    <t xml:space="preserve">Benzene SE </t>
  </si>
  <si>
    <t>100519-000000</t>
  </si>
  <si>
    <t>N-Methylaniline</t>
  </si>
  <si>
    <t>C4H2O3</t>
  </si>
  <si>
    <t>Naphatha,CFR Japan</t>
  </si>
  <si>
    <t>100162-000000</t>
  </si>
  <si>
    <t>4,4'-Methylenedianiline (MDA)</t>
  </si>
  <si>
    <t>CH2(C6H4NH2)2</t>
  </si>
  <si>
    <t>change aniline to china local price</t>
  </si>
  <si>
    <t>$ / kg</t>
  </si>
  <si>
    <t>Local Prie</t>
  </si>
  <si>
    <t>100644-000000</t>
  </si>
  <si>
    <t>Diethylenetriamine</t>
  </si>
  <si>
    <t>C4H13N3</t>
  </si>
  <si>
    <r>
      <t>Ethylenediamine</t>
    </r>
    <r>
      <rPr>
        <sz val="9"/>
        <color rgb="FF000000"/>
        <rFont val="Verdana"/>
        <family val="2"/>
      </rPr>
      <t> </t>
    </r>
  </si>
  <si>
    <t>Cost sheet</t>
  </si>
  <si>
    <t>100383-000000</t>
  </si>
  <si>
    <t>Ammonia, anhydrous</t>
  </si>
  <si>
    <t>Para Nitro Chloro Benzene (PNCB)</t>
  </si>
  <si>
    <t>C6H4ClNO2</t>
  </si>
  <si>
    <t>Chloro Benzene</t>
  </si>
  <si>
    <t>Nitric acid</t>
  </si>
  <si>
    <t>Sulphuric acid</t>
  </si>
  <si>
    <t>oct w-1</t>
  </si>
  <si>
    <t>oct w-2</t>
  </si>
  <si>
    <t>oct w-3</t>
  </si>
  <si>
    <t>oct w-4</t>
  </si>
  <si>
    <t/>
  </si>
  <si>
    <t>Sep  w-1</t>
  </si>
  <si>
    <t>Sep  w-2</t>
  </si>
  <si>
    <t>Sep  w-3</t>
  </si>
  <si>
    <t>Sep  w-4</t>
  </si>
  <si>
    <t>chlorine</t>
  </si>
  <si>
    <t>Para Nitro Aniline</t>
  </si>
  <si>
    <t>C6H6N2O2</t>
  </si>
  <si>
    <t>DKL WAP'!A1</t>
  </si>
  <si>
    <t>PNCB</t>
  </si>
  <si>
    <t xml:space="preserve">water </t>
  </si>
  <si>
    <t>Lime</t>
  </si>
  <si>
    <t>Salt</t>
  </si>
  <si>
    <t>100410-000000</t>
  </si>
  <si>
    <t xml:space="preserve">phenyl alpha napthylamine </t>
  </si>
  <si>
    <t>C16H13N or C10H7NHC6H5</t>
  </si>
  <si>
    <t>Alpha Naphthylamine</t>
  </si>
  <si>
    <t xml:space="preserve">Catalyst </t>
  </si>
  <si>
    <t>Aniline [Fresh]</t>
  </si>
  <si>
    <t>C10H9N</t>
  </si>
  <si>
    <t>Naphthalene</t>
  </si>
  <si>
    <t>Nitric Acid (60%)</t>
  </si>
  <si>
    <t>Soda Ash</t>
  </si>
  <si>
    <t>C6H14O2</t>
  </si>
  <si>
    <r>
      <t>Diacetone alcohol</t>
    </r>
    <r>
      <rPr>
        <sz val="9"/>
        <color rgb="FF000000"/>
        <rFont val="Verdana"/>
        <family val="2"/>
      </rPr>
      <t> </t>
    </r>
  </si>
  <si>
    <t>100324-000000</t>
  </si>
  <si>
    <t>cost sheet</t>
  </si>
  <si>
    <r>
      <t>Barium hydroxide</t>
    </r>
    <r>
      <rPr>
        <sz val="9"/>
        <color rgb="FF000000"/>
        <rFont val="Verdana"/>
        <family val="2"/>
      </rPr>
      <t>  </t>
    </r>
  </si>
  <si>
    <t xml:space="preserve">2-Cyanoacetamide            </t>
  </si>
  <si>
    <t>Sodium bromate (LIQUID BROMINE )</t>
  </si>
  <si>
    <t>C3H2Br2N2O</t>
  </si>
  <si>
    <t>volza</t>
  </si>
  <si>
    <t>FOB$/kg</t>
  </si>
  <si>
    <t>India export</t>
  </si>
  <si>
    <t xml:space="preserve">2-Cyanoacetamide       </t>
  </si>
  <si>
    <r>
      <t>Sodium bromate (</t>
    </r>
    <r>
      <rPr>
        <b/>
        <sz val="10"/>
        <color theme="1"/>
        <rFont val="Calibri"/>
        <family val="2"/>
        <scheme val="minor"/>
      </rPr>
      <t xml:space="preserve">LIQUID BROMINE </t>
    </r>
    <r>
      <rPr>
        <sz val="10"/>
        <color theme="1"/>
        <rFont val="Calibri"/>
        <family val="2"/>
        <scheme val="minor"/>
      </rPr>
      <t>)</t>
    </r>
  </si>
  <si>
    <t>101320-000000</t>
  </si>
  <si>
    <t>https://businessanalytiq.com/procurementanalytics/index/bromine-price-index/</t>
  </si>
  <si>
    <t>Di N Butyl Amine</t>
  </si>
  <si>
    <t>C8H19N</t>
  </si>
  <si>
    <t>N-Butanol CFR Asia SE (Mid)</t>
  </si>
  <si>
    <t xml:space="preserve">DKC </t>
  </si>
  <si>
    <t>100384-000000</t>
  </si>
  <si>
    <t>Purchase Price</t>
  </si>
  <si>
    <t>Isobutylene</t>
  </si>
  <si>
    <t>2,6-Ditertiary Butyl Phenol</t>
  </si>
  <si>
    <t>C14H22O</t>
  </si>
  <si>
    <t>CH3OH</t>
  </si>
  <si>
    <t>CH2O</t>
  </si>
  <si>
    <t>Orbi Chem</t>
  </si>
  <si>
    <t>South Korea Spot/Contract</t>
  </si>
  <si>
    <t>CIF$/MT</t>
  </si>
  <si>
    <t>100352-000000</t>
  </si>
  <si>
    <t>Siloxanes and silicones</t>
  </si>
  <si>
    <r>
      <t>2 CH</t>
    </r>
    <r>
      <rPr>
        <vertAlign val="subscript"/>
        <sz val="6"/>
        <color rgb="FF202122"/>
        <rFont val="Arial"/>
        <family val="2"/>
      </rPr>
      <t>3</t>
    </r>
    <r>
      <rPr>
        <sz val="7"/>
        <color rgb="FF202122"/>
        <rFont val="Arial"/>
        <family val="2"/>
      </rPr>
      <t>Cl + Si → (CH</t>
    </r>
    <r>
      <rPr>
        <vertAlign val="subscript"/>
        <sz val="6"/>
        <color rgb="FF202122"/>
        <rFont val="Arial"/>
        <family val="2"/>
      </rPr>
      <t>3</t>
    </r>
    <r>
      <rPr>
        <sz val="7"/>
        <color rgb="FF202122"/>
        <rFont val="Arial"/>
        <family val="2"/>
      </rPr>
      <t>)</t>
    </r>
    <r>
      <rPr>
        <vertAlign val="subscript"/>
        <sz val="6"/>
        <color rgb="FF202122"/>
        <rFont val="Arial"/>
        <family val="2"/>
      </rPr>
      <t>2</t>
    </r>
    <r>
      <rPr>
        <sz val="7"/>
        <color rgb="FF202122"/>
        <rFont val="Arial"/>
        <family val="2"/>
      </rPr>
      <t>SiCl</t>
    </r>
    <r>
      <rPr>
        <vertAlign val="subscript"/>
        <sz val="6"/>
        <color rgb="FF202122"/>
        <rFont val="Arial"/>
        <family val="2"/>
      </rPr>
      <t>2</t>
    </r>
  </si>
  <si>
    <t>Dichlorodimethylsilane</t>
  </si>
  <si>
    <t>100501-000000</t>
  </si>
  <si>
    <r>
      <t>2 CH</t>
    </r>
    <r>
      <rPr>
        <vertAlign val="subscript"/>
        <sz val="6"/>
        <color rgb="FF202122"/>
        <rFont val="Arial"/>
        <family val="2"/>
      </rPr>
      <t>3</t>
    </r>
    <r>
      <rPr>
        <sz val="7"/>
        <color rgb="FF202122"/>
        <rFont val="Arial"/>
        <family val="2"/>
      </rPr>
      <t>Cl</t>
    </r>
  </si>
  <si>
    <t>Si </t>
  </si>
  <si>
    <t>jul1 week</t>
  </si>
  <si>
    <t>jul 3week</t>
  </si>
  <si>
    <t>jul 4week</t>
  </si>
  <si>
    <t>sep w-1</t>
  </si>
  <si>
    <t>sep w-2</t>
  </si>
  <si>
    <t>sep w-3</t>
  </si>
  <si>
    <t>sep w-4</t>
  </si>
  <si>
    <t xml:space="preserve">India Import </t>
  </si>
  <si>
    <t>silicon</t>
  </si>
  <si>
    <t>5-chloro-2-methyl-3(2H)-Isothiazolone</t>
  </si>
  <si>
    <t>CIF$/KG</t>
  </si>
  <si>
    <t xml:space="preserve">Ethyl Acetate </t>
  </si>
  <si>
    <t>Isopropanol</t>
  </si>
  <si>
    <t>C3H8O</t>
  </si>
  <si>
    <r>
      <t>C</t>
    </r>
    <r>
      <rPr>
        <vertAlign val="subscript"/>
        <sz val="5"/>
        <color rgb="FF000000"/>
        <rFont val="Arial"/>
        <family val="2"/>
      </rPr>
      <t>6</t>
    </r>
    <r>
      <rPr>
        <sz val="6"/>
        <color rgb="FF000000"/>
        <rFont val="Arial"/>
        <family val="2"/>
      </rPr>
      <t>H</t>
    </r>
    <r>
      <rPr>
        <vertAlign val="subscript"/>
        <sz val="5"/>
        <color rgb="FF000000"/>
        <rFont val="Arial"/>
        <family val="2"/>
      </rPr>
      <t>10</t>
    </r>
    <r>
      <rPr>
        <sz val="6"/>
        <color rgb="FF000000"/>
        <rFont val="Arial"/>
        <family val="2"/>
      </rPr>
      <t>O</t>
    </r>
    <r>
      <rPr>
        <vertAlign val="subscript"/>
        <sz val="5"/>
        <color rgb="FF000000"/>
        <rFont val="Arial"/>
        <family val="2"/>
      </rPr>
      <t>3</t>
    </r>
  </si>
  <si>
    <t>Ethyl acetate</t>
  </si>
  <si>
    <t>Sodium Metal</t>
  </si>
  <si>
    <r>
      <t>Acetic acid</t>
    </r>
    <r>
      <rPr>
        <sz val="6"/>
        <color rgb="FF000000"/>
        <rFont val="Verdana"/>
        <family val="2"/>
      </rPr>
      <t> </t>
    </r>
  </si>
  <si>
    <t>100104-000000</t>
  </si>
  <si>
    <t>Sodium methoxide</t>
  </si>
  <si>
    <t>100106-000000</t>
  </si>
  <si>
    <t>Titanium Tetrachloride (TICL4)</t>
  </si>
  <si>
    <t>Cl4Ti</t>
  </si>
  <si>
    <t>CAS -7550-45-0</t>
  </si>
  <si>
    <r>
      <t>Chlorine</t>
    </r>
    <r>
      <rPr>
        <sz val="6"/>
        <color rgb="FF000000"/>
        <rFont val="Verdana"/>
        <family val="2"/>
      </rPr>
      <t> </t>
    </r>
  </si>
  <si>
    <r>
      <t>C</t>
    </r>
    <r>
      <rPr>
        <vertAlign val="subscript"/>
        <sz val="5"/>
        <color rgb="FF000000"/>
        <rFont val="Arial"/>
        <family val="2"/>
      </rPr>
      <t>7</t>
    </r>
    <r>
      <rPr>
        <sz val="6"/>
        <color rgb="FF000000"/>
        <rFont val="Arial"/>
        <family val="2"/>
      </rPr>
      <t>H</t>
    </r>
    <r>
      <rPr>
        <vertAlign val="subscript"/>
        <sz val="5"/>
        <color rgb="FF000000"/>
        <rFont val="Arial"/>
        <family val="2"/>
      </rPr>
      <t>6</t>
    </r>
    <r>
      <rPr>
        <sz val="6"/>
        <color rgb="FF000000"/>
        <rFont val="Arial"/>
        <family val="2"/>
      </rPr>
      <t>O</t>
    </r>
  </si>
  <si>
    <t>$ / KG</t>
  </si>
  <si>
    <t>Local price</t>
  </si>
  <si>
    <t>100349-000000</t>
  </si>
  <si>
    <t>Liquid phase chlorination and oxidation of toluene are the main routes.</t>
  </si>
  <si>
    <t>Zirconium tetrachloride</t>
  </si>
  <si>
    <r>
      <t>ZrCl</t>
    </r>
    <r>
      <rPr>
        <vertAlign val="subscript"/>
        <sz val="5"/>
        <color rgb="FF000000"/>
        <rFont val="Arial"/>
        <family val="2"/>
      </rPr>
      <t>4</t>
    </r>
  </si>
  <si>
    <t>CAS -10026-11-6</t>
  </si>
  <si>
    <r>
      <t>ZrO</t>
    </r>
    <r>
      <rPr>
        <vertAlign val="subscript"/>
        <sz val="6"/>
        <color rgb="FF202122"/>
        <rFont val="Arial"/>
        <family val="2"/>
      </rPr>
      <t>2</t>
    </r>
    <r>
      <rPr>
        <sz val="7"/>
        <color rgb="FF202122"/>
        <rFont val="Arial"/>
        <family val="2"/>
      </rPr>
      <t> + 2 C + 2 Cl</t>
    </r>
    <r>
      <rPr>
        <vertAlign val="subscript"/>
        <sz val="6"/>
        <color rgb="FF202122"/>
        <rFont val="Arial"/>
        <family val="2"/>
      </rPr>
      <t>2</t>
    </r>
    <r>
      <rPr>
        <sz val="7"/>
        <color rgb="FF202122"/>
        <rFont val="Arial"/>
        <family val="2"/>
      </rPr>
      <t> → ZrCl</t>
    </r>
    <r>
      <rPr>
        <vertAlign val="subscript"/>
        <sz val="6"/>
        <color rgb="FF202122"/>
        <rFont val="Arial"/>
        <family val="2"/>
      </rPr>
      <t>4</t>
    </r>
    <r>
      <rPr>
        <sz val="7"/>
        <color rgb="FF202122"/>
        <rFont val="Arial"/>
        <family val="2"/>
      </rPr>
      <t> + 2 CO</t>
    </r>
  </si>
  <si>
    <t>zirconium dioxide</t>
  </si>
  <si>
    <t>Polyisobutene</t>
  </si>
  <si>
    <r>
      <t>(C</t>
    </r>
    <r>
      <rPr>
        <vertAlign val="subscript"/>
        <sz val="5"/>
        <color rgb="FF000000"/>
        <rFont val="Arial"/>
        <family val="2"/>
      </rPr>
      <t>4</t>
    </r>
    <r>
      <rPr>
        <sz val="6"/>
        <color rgb="FF000000"/>
        <rFont val="Arial"/>
        <family val="2"/>
      </rPr>
      <t>H</t>
    </r>
    <r>
      <rPr>
        <vertAlign val="subscript"/>
        <sz val="5"/>
        <color rgb="FF000000"/>
        <rFont val="Arial"/>
        <family val="2"/>
      </rPr>
      <t>8</t>
    </r>
    <r>
      <rPr>
        <sz val="6"/>
        <color rgb="FF000000"/>
        <rFont val="Arial"/>
        <family val="2"/>
      </rPr>
      <t>)</t>
    </r>
    <r>
      <rPr>
        <vertAlign val="subscript"/>
        <sz val="5"/>
        <color rgb="FF000000"/>
        <rFont val="Arial"/>
        <family val="2"/>
      </rPr>
      <t>n</t>
    </r>
  </si>
  <si>
    <t>100487-000000</t>
  </si>
  <si>
    <t xml:space="preserve">HR PIB 1000 </t>
  </si>
  <si>
    <t xml:space="preserve">HRPIB 750 </t>
  </si>
  <si>
    <t>Polyvinyl Alcohol</t>
  </si>
  <si>
    <t>Orbichem China Domestic</t>
  </si>
  <si>
    <t>Acetic Acid CFR Asia SE (Mid)</t>
  </si>
  <si>
    <t>Benzoyl peroxide</t>
  </si>
  <si>
    <t>Polyethylene glycol</t>
  </si>
  <si>
    <t>Polyethylene glycols</t>
  </si>
  <si>
    <t>CAS -25322-68-3</t>
  </si>
  <si>
    <t>C2H6O2</t>
  </si>
  <si>
    <t>ZINC OXIDE  -  ACTIVE</t>
  </si>
  <si>
    <t>LME AVG MONTHLY</t>
  </si>
  <si>
    <t xml:space="preserve">LME $ / PMT </t>
  </si>
  <si>
    <t>Premium in $ / pmt</t>
  </si>
  <si>
    <t xml:space="preserve">Exchange Rate $ to INR </t>
  </si>
  <si>
    <t>Customs Duty @ 5.15%</t>
  </si>
  <si>
    <t>Handling Charges @ 1%</t>
  </si>
  <si>
    <t>Zinc Content  78%</t>
  </si>
  <si>
    <t>Conversion Premium in INR</t>
  </si>
  <si>
    <t>Freight Charges from Vadodara / Lote</t>
  </si>
  <si>
    <t>ZINC OXIDE  H.S.A. PRICE IN INR</t>
  </si>
  <si>
    <t xml:space="preserve"> Conversion cost </t>
  </si>
  <si>
    <t xml:space="preserve">Copper Sulphate </t>
  </si>
  <si>
    <t xml:space="preserve">LME </t>
  </si>
  <si>
    <t xml:space="preserve">Copper </t>
  </si>
  <si>
    <t xml:space="preserve">Sulphuric Acid </t>
  </si>
  <si>
    <t xml:space="preserve">VAM </t>
  </si>
  <si>
    <t>JUL 2WK</t>
  </si>
  <si>
    <t>INR/MT</t>
  </si>
  <si>
    <t>Freight of Acid Oil to plant INR/MT</t>
  </si>
  <si>
    <t>Tolling Charge</t>
  </si>
  <si>
    <t>Total Acid Oil transfer cost</t>
  </si>
  <si>
    <t>Pitch Recovery Rs//kg</t>
  </si>
  <si>
    <t>INR/KG</t>
  </si>
  <si>
    <t>Unit Price Rs/kg</t>
  </si>
  <si>
    <t>Revenue Pitch(A) Rs.</t>
  </si>
  <si>
    <t>Palmitic</t>
  </si>
  <si>
    <t>Unit price</t>
  </si>
  <si>
    <t>Revenue Palmitic(B)</t>
  </si>
  <si>
    <t>kg</t>
  </si>
  <si>
    <t>LDFA</t>
  </si>
  <si>
    <t>INR/Kg</t>
  </si>
  <si>
    <t>Revenue LDFA( C )</t>
  </si>
  <si>
    <t>75-80 crude Glyc</t>
  </si>
  <si>
    <t>INR/kg</t>
  </si>
  <si>
    <t>Revenue Glyc(D)</t>
  </si>
  <si>
    <t>Gross cost to produce DFA</t>
  </si>
  <si>
    <t xml:space="preserve">VC for the process </t>
  </si>
  <si>
    <t>Total transfer cost</t>
  </si>
  <si>
    <t>%</t>
  </si>
  <si>
    <t>DFA yield</t>
  </si>
  <si>
    <t>DFA per MT cost</t>
  </si>
  <si>
    <t>DFA transport price to DK</t>
  </si>
  <si>
    <t xml:space="preserve"> DFA cost to plant</t>
  </si>
  <si>
    <t>Pitch</t>
  </si>
  <si>
    <t xml:space="preserve"> Soya Acid Oil Dlivered Prcie</t>
  </si>
  <si>
    <t>Transport</t>
  </si>
  <si>
    <t xml:space="preserve">Sunsirs -China </t>
  </si>
  <si>
    <t>Orbichem -SE</t>
  </si>
  <si>
    <r>
      <t>Aniline</t>
    </r>
    <r>
      <rPr>
        <sz val="6"/>
        <color rgb="FF000000"/>
        <rFont val="Verdana"/>
        <family val="2"/>
      </rPr>
      <t>  </t>
    </r>
  </si>
  <si>
    <t>N Butanol</t>
  </si>
  <si>
    <t>2 EH</t>
  </si>
  <si>
    <t>Ethylene oxide-west Europe</t>
  </si>
  <si>
    <t>101594-000000</t>
  </si>
  <si>
    <t>https://www.atamanchemicals.com/butyl-cellosolve_u29300/</t>
  </si>
  <si>
    <t xml:space="preserve">ortho xylene </t>
  </si>
  <si>
    <t>DKC PO</t>
  </si>
  <si>
    <t>Delta</t>
  </si>
  <si>
    <r>
      <t>Methanol</t>
    </r>
    <r>
      <rPr>
        <sz val="6"/>
        <color rgb="FF000000"/>
        <rFont val="Verdana"/>
        <family val="2"/>
      </rPr>
      <t> </t>
    </r>
  </si>
  <si>
    <t>Nitromethane</t>
  </si>
  <si>
    <r>
      <t>Formaldehyde</t>
    </r>
    <r>
      <rPr>
        <sz val="6"/>
        <color rgb="FF000000"/>
        <rFont val="Verdana"/>
        <family val="2"/>
      </rPr>
      <t> </t>
    </r>
  </si>
  <si>
    <r>
      <t>Hydrobromic Acid</t>
    </r>
    <r>
      <rPr>
        <sz val="6"/>
        <color rgb="FF000000"/>
        <rFont val="Verdana"/>
        <family val="2"/>
      </rPr>
      <t> </t>
    </r>
  </si>
  <si>
    <r>
      <t>Bromine</t>
    </r>
    <r>
      <rPr>
        <sz val="6"/>
        <color rgb="FF000000"/>
        <rFont val="Verdana"/>
        <family val="2"/>
      </rPr>
      <t> </t>
    </r>
  </si>
  <si>
    <r>
      <t>Potassium hydroxide</t>
    </r>
    <r>
      <rPr>
        <sz val="6"/>
        <color rgb="FF000000"/>
        <rFont val="Verdana"/>
        <family val="2"/>
      </rPr>
      <t> </t>
    </r>
  </si>
  <si>
    <t>Apr-w1</t>
  </si>
  <si>
    <t>Apr-w2</t>
  </si>
  <si>
    <t>Apr-w3</t>
  </si>
  <si>
    <t>Apr-w4</t>
  </si>
  <si>
    <t>May-w1</t>
  </si>
  <si>
    <t>May-w2</t>
  </si>
  <si>
    <t>May-w3</t>
  </si>
  <si>
    <t>May-w4</t>
  </si>
  <si>
    <t>May-w5</t>
  </si>
  <si>
    <t>june-w1</t>
  </si>
  <si>
    <t>june-w2</t>
  </si>
  <si>
    <t>june-w3</t>
  </si>
  <si>
    <t>june-w4</t>
  </si>
  <si>
    <t>The invention provides a preparation method of isophorone nitrile. According to the method, addition reaction between isophorone and hydrocyanic acid is performed to produce isophorone nitrile in the presence of a basic catalyst, wherein the basic catalyst is a basic anion exchange resin. The crude product prepared by the preparation method can be directly purified, the steps of catalyst treatment for separating the product from the catalyst thereby simplifying the preparation process, reducing equipment investment, shortening material process flow and lowering material consumption, and achieving more environmentally-friendly effect.</t>
  </si>
  <si>
    <t>A process is disclosed for the continuous preparation of 3-aminomethyl-3,5,5-trimethylcyclohexylamine (isophoronediamine) in high yield and high purity from 3-cyano-3,5,5-trimethylcyclohexanone (isophoronenitrile) by aminating hydrogenation with hydrogen and ammonia in the presence of a fixed bed catalyst. The aminating hydrogenation is carried out by allowing a mixture of isophoronenitrile, ammonia and a C1 -C3 -alcohol, in the presence of hydrogen, to trickle over a trickle bed reactor provided with a Co and/or Ru fixed bed catalyst, at 3 to 8 MPa and at a temperature of 40° to 150° C., preferably 90 to 130° C., and working up the reaction mixture by distillation. Preferably, a high-boiling by-product fraction, containing a bicyclic amidine, is added to the mixture to be hydrogenated, thereby appreciably increasing the yield.</t>
  </si>
  <si>
    <t>chromic acid</t>
  </si>
  <si>
    <t>https://www.sterc.org/subs/history/apr1953c.php</t>
  </si>
  <si>
    <t>93 g (1 mole) of aniline are dissolved in 96 % alcohol and to the cooled solution with proper stirring 120 g (1 mole) of 40 % formaldehyde solution are gradually added. After the addition is completed a second molecular portion of aniline, 93 g (1 mole) of aniline are added and the reaction is continued until the odor of formaldehyde has disappeared. The complete the reaction the mixture is refluxed for 2 hours. 130 g (1 mole) of aniline hydrochloride are then added, and boiling continued for a further 12 hours. The alcohol is distilled off, the residue made alkaline with the solution of sodium hydroxide and the excess of aniline removed by distillation with superheated steam. The residual oil, which consists of 4,4′-diaminodiphenylmethane, is then purified by solution in dilute hydrochloric acid and reprecipitation with dilute alkali. The 4,4′-diaminodiphenylmethane base is filtered off, washed and dried.</t>
  </si>
  <si>
    <t>ratio</t>
  </si>
  <si>
    <t>methyl carbitol</t>
  </si>
  <si>
    <t>101821-000000</t>
  </si>
  <si>
    <t>2-Ethyl hexanol</t>
  </si>
  <si>
    <t>100551-000000</t>
  </si>
  <si>
    <t xml:space="preserve">Total RMC DEA </t>
  </si>
  <si>
    <t xml:space="preserve">Total RMC TEA </t>
  </si>
  <si>
    <t>Should be price DEA</t>
  </si>
  <si>
    <t>Should be price TEA</t>
  </si>
  <si>
    <t>4-Hydroxy-TEMPO</t>
  </si>
  <si>
    <t>RMC</t>
  </si>
  <si>
    <t xml:space="preserve">Should be price </t>
  </si>
  <si>
    <t>linoleic acid</t>
  </si>
  <si>
    <t>Sunflower Oil</t>
  </si>
  <si>
    <t>ARMEEN 2HT</t>
  </si>
  <si>
    <t>Tallow (animal fats)</t>
  </si>
  <si>
    <t>Calcium Stearate</t>
  </si>
  <si>
    <t>3 Methoxy Propylamine</t>
  </si>
  <si>
    <t>Propylene Oxide</t>
  </si>
  <si>
    <t>acetic acid</t>
  </si>
  <si>
    <t>methanol</t>
  </si>
  <si>
    <t>Carbon Monoxide</t>
  </si>
  <si>
    <t>toluene</t>
  </si>
  <si>
    <t>xylene</t>
  </si>
  <si>
    <t>BRONOPOL</t>
  </si>
  <si>
    <t>101834-000000</t>
  </si>
  <si>
    <t>2-Ethyl-1,3-hexanediol</t>
  </si>
  <si>
    <t>2-ethylhexanoic acid</t>
  </si>
  <si>
    <t>101931-000000</t>
  </si>
  <si>
    <t>propylene oxide</t>
  </si>
  <si>
    <t>101881-000000</t>
  </si>
  <si>
    <t>Phosphorus Pentasulfide</t>
  </si>
  <si>
    <t>Sodium Vinyl Sulphonate</t>
  </si>
  <si>
    <t>Triisopropanolamine</t>
  </si>
  <si>
    <t>Camphor Synthetic</t>
  </si>
  <si>
    <t>Cyclohexanone Oxime</t>
  </si>
  <si>
    <t>Boron Trifluoride Etherate</t>
  </si>
  <si>
    <t>101879-000000</t>
  </si>
  <si>
    <t>Tetrakis(hydroxymethyl)phosphonium sulfate (THPS 75)</t>
  </si>
  <si>
    <t>import volza</t>
  </si>
  <si>
    <t xml:space="preserve">cost  sheet </t>
  </si>
  <si>
    <t>Sulfuric acid</t>
  </si>
  <si>
    <t>101372-000000</t>
  </si>
  <si>
    <t>dipropylamine (DPA)</t>
  </si>
  <si>
    <t>100396-000000</t>
  </si>
  <si>
    <t>Diethanolamine</t>
  </si>
  <si>
    <t>RMC DEA</t>
  </si>
  <si>
    <t>RMC DEG</t>
  </si>
  <si>
    <t>Delta  DEA = Conversion cost + margin</t>
  </si>
  <si>
    <t>Delta  DEG = Conversion cost + margin</t>
  </si>
  <si>
    <t>Should be price DEA route</t>
  </si>
  <si>
    <t>Should be price DEG route</t>
  </si>
  <si>
    <t>Nickel Sulphate Anhydrous</t>
  </si>
  <si>
    <t>Para-tertiary amyl phenol (PTAP)</t>
  </si>
  <si>
    <t>100479-000000</t>
  </si>
  <si>
    <t>npropyl Alcohol</t>
  </si>
  <si>
    <t>100061-000000</t>
  </si>
  <si>
    <t>Phosphorus Oxychloride</t>
  </si>
  <si>
    <t xml:space="preserve">Mustard  acid Oil delivered </t>
  </si>
  <si>
    <t xml:space="preserve"> Conversion cost + margin</t>
  </si>
  <si>
    <t xml:space="preserve">Total  Conversion cost </t>
  </si>
  <si>
    <t xml:space="preserve"> DFA manufactured at toller site</t>
  </si>
  <si>
    <t>DKC PO Price</t>
  </si>
  <si>
    <t>Zinc Content  80%</t>
  </si>
  <si>
    <t>ZINC OXIDE ZINC OXIDE  -  WHITE R PRICE IN INR</t>
  </si>
  <si>
    <t>Tolytriazole (Min 99.9%)</t>
  </si>
  <si>
    <t>Salicylaldehyde</t>
  </si>
  <si>
    <t>100350-000000</t>
  </si>
  <si>
    <t>methyl chloride</t>
  </si>
  <si>
    <t>Iindia import</t>
  </si>
  <si>
    <t>delta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</si>
</sst>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0.0"/>
    <numFmt numFmtId="165" formatCode="0.000"/>
    <numFmt numFmtId="166" formatCode="0.00000000000000"/>
    <numFmt numFmtId="167" formatCode="0.00000000000"/>
    <numFmt numFmtId="168" formatCode="0.0000"/>
    <numFmt numFmtId="169" formatCode="0.000000000000000"/>
    <numFmt numFmtId="170" formatCode="###,###,###,##0.00"/>
  </numFmts>
  <fonts count="69">
    <font>
      <sz val="11"/>
      <color theme="1"/>
      <name val="Calibri"/>
      <family val="2"/>
      <scheme val="minor"/>
    </font>
    <font>
      <sz val="11"/>
      <color theme="1"/>
      <name val="Calibri"/>
      <family val="2"/>
      <scheme val="minor"/>
    </font>
    <font>
      <sz val="11"/>
      <color theme="1"/>
      <name val="Arial"/>
      <family val="2"/>
    </font>
    <font>
      <sz val="10"/>
      <name val="Arial"/>
      <family val="2"/>
    </font>
    <font>
      <u/>
      <sz val="11"/>
      <color theme="10"/>
      <name val="Calibri"/>
      <family val="2"/>
      <scheme val="minor"/>
    </font>
    <font>
      <b/>
      <sz val="11"/>
      <color theme="1"/>
      <name val="Calibri"/>
      <family val="2"/>
      <scheme val="minor"/>
    </font>
    <font>
      <sz val="11"/>
      <color rgb="FF000000"/>
      <name val="Calibri"/>
      <family val="2"/>
    </font>
    <font>
      <b/>
      <sz val="10"/>
      <color theme="1"/>
      <name val="Calibri"/>
      <family val="2"/>
      <scheme val="minor"/>
    </font>
    <font>
      <sz val="10"/>
      <color theme="1"/>
      <name val="Calibri"/>
      <family val="2"/>
      <scheme val="minor"/>
    </font>
    <font>
      <sz val="11"/>
      <color indexed="64"/>
      <name val="Calibri"/>
      <family val="2"/>
    </font>
    <font>
      <sz val="11"/>
      <color theme="0"/>
      <name val="Calibri"/>
      <family val="2"/>
      <scheme val="minor"/>
    </font>
    <font>
      <sz val="10"/>
      <color rgb="FF000000"/>
      <name val="Calibri"/>
      <family val="2"/>
    </font>
    <font>
      <sz val="10"/>
      <color theme="0"/>
      <name val="Calibri"/>
      <family val="2"/>
      <scheme val="minor"/>
    </font>
    <font>
      <sz val="9"/>
      <color theme="1"/>
      <name val="Calibri"/>
      <family val="2"/>
      <scheme val="minor"/>
    </font>
    <font>
      <sz val="9"/>
      <color rgb="FF202124"/>
      <name val="Arial"/>
      <family val="2"/>
    </font>
    <font>
      <sz val="7"/>
      <color rgb="FF202122"/>
      <name val="Arial"/>
      <family val="2"/>
    </font>
    <font>
      <sz val="8"/>
      <color theme="1"/>
      <name val="Calibri"/>
      <family val="2"/>
      <scheme val="minor"/>
    </font>
    <font>
      <sz val="6"/>
      <color rgb="FF000000"/>
      <name val="Verdana"/>
      <family val="2"/>
    </font>
    <font>
      <sz val="10"/>
      <color rgb="FF202122"/>
      <name val="Arial"/>
      <family val="2"/>
    </font>
    <font>
      <sz val="9"/>
      <color theme="0"/>
      <name val="Calibri"/>
      <family val="2"/>
      <scheme val="minor"/>
    </font>
    <font>
      <sz val="9"/>
      <color rgb="FF000000"/>
      <name val="Calibri"/>
      <family val="2"/>
    </font>
    <font>
      <sz val="9"/>
      <color rgb="FF202122"/>
      <name val="Arial"/>
      <family val="2"/>
    </font>
    <font>
      <b/>
      <sz val="9"/>
      <color theme="1"/>
      <name val="Calibri"/>
      <family val="2"/>
      <scheme val="minor"/>
    </font>
    <font>
      <sz val="9"/>
      <color rgb="FF000000"/>
      <name val="Verdana"/>
      <family val="2"/>
    </font>
    <font>
      <sz val="9"/>
      <color indexed="81"/>
      <name val="Tahoma"/>
      <family val="2"/>
    </font>
    <font>
      <b/>
      <sz val="9"/>
      <color indexed="81"/>
      <name val="Tahoma"/>
      <family val="2"/>
    </font>
    <font>
      <sz val="9"/>
      <color rgb="FF000000"/>
      <name val="Calibri"/>
      <family val="2"/>
      <scheme val="minor"/>
    </font>
    <font>
      <u/>
      <sz val="9"/>
      <color theme="10"/>
      <name val="Calibri"/>
      <family val="2"/>
      <scheme val="minor"/>
    </font>
    <font>
      <u/>
      <sz val="10"/>
      <color theme="10"/>
      <name val="Calibri"/>
      <family val="2"/>
      <scheme val="minor"/>
    </font>
    <font>
      <vertAlign val="subscript"/>
      <sz val="6"/>
      <color rgb="FF202122"/>
      <name val="Arial"/>
      <family val="2"/>
    </font>
    <font>
      <vertAlign val="subscript"/>
      <sz val="9"/>
      <color rgb="FF000000"/>
      <name val="Arial"/>
      <family val="2"/>
    </font>
    <font>
      <sz val="9"/>
      <color rgb="FF000000"/>
      <name val="Arial"/>
      <family val="2"/>
    </font>
    <font>
      <sz val="10"/>
      <color indexed="64"/>
      <name val="Calibri"/>
      <family val="2"/>
    </font>
    <font>
      <sz val="9"/>
      <name val="Calibri"/>
      <family val="2"/>
    </font>
    <font>
      <b/>
      <sz val="10"/>
      <color rgb="FF656565"/>
      <name val="Open Sans"/>
      <family val="2"/>
    </font>
    <font>
      <sz val="10"/>
      <color rgb="FFFF0000"/>
      <name val="Calibri"/>
      <family val="2"/>
      <scheme val="minor"/>
    </font>
    <font>
      <b/>
      <sz val="10"/>
      <color rgb="FFFF0000"/>
      <name val="Calibri"/>
      <family val="2"/>
      <scheme val="minor"/>
    </font>
    <font>
      <b/>
      <sz val="9"/>
      <color rgb="FF000000"/>
      <name val="Arial"/>
      <family val="2"/>
    </font>
    <font>
      <b/>
      <sz val="10"/>
      <color theme="0"/>
      <name val="Calibri"/>
      <family val="2"/>
      <scheme val="minor"/>
    </font>
    <font>
      <b/>
      <sz val="10"/>
      <color rgb="FF000000"/>
      <name val="Calibri"/>
      <family val="2"/>
    </font>
    <font>
      <sz val="8"/>
      <color theme="0"/>
      <name val="Calibri"/>
      <family val="2"/>
      <scheme val="minor"/>
    </font>
    <font>
      <sz val="8"/>
      <color rgb="FF000000"/>
      <name val="Calibri"/>
      <family val="2"/>
    </font>
    <font>
      <b/>
      <sz val="8"/>
      <color theme="1"/>
      <name val="Calibri"/>
      <family val="2"/>
      <scheme val="minor"/>
    </font>
    <font>
      <b/>
      <sz val="9"/>
      <color theme="0"/>
      <name val="Calibri"/>
      <family val="2"/>
      <scheme val="minor"/>
    </font>
    <font>
      <sz val="6"/>
      <color rgb="FF000000"/>
      <name val="Arial"/>
      <family val="2"/>
    </font>
    <font>
      <vertAlign val="subscript"/>
      <sz val="5"/>
      <color rgb="FF000000"/>
      <name val="Arial"/>
      <family val="2"/>
    </font>
    <font>
      <sz val="8"/>
      <color rgb="FF000000"/>
      <name val="Calibri"/>
      <family val="2"/>
      <scheme val="minor"/>
    </font>
    <font>
      <b/>
      <sz val="9"/>
      <color theme="1"/>
      <name val="Arial"/>
      <family val="2"/>
    </font>
    <font>
      <sz val="10"/>
      <color indexed="8"/>
      <name val="Arial"/>
      <family val="2"/>
    </font>
    <font>
      <u/>
      <sz val="8"/>
      <color theme="10"/>
      <name val="Calibri"/>
      <family val="2"/>
      <scheme val="minor"/>
    </font>
    <font>
      <sz val="8"/>
      <color rgb="FFFF0000"/>
      <name val="Calibri"/>
      <family val="2"/>
      <scheme val="minor"/>
    </font>
    <font>
      <sz val="8"/>
      <color rgb="FF0EA600"/>
      <name val="Calibri"/>
      <family val="2"/>
      <scheme val="minor"/>
    </font>
    <font>
      <sz val="8"/>
      <name val="Calibri"/>
      <family val="2"/>
      <scheme val="minor"/>
    </font>
    <font>
      <sz val="12"/>
      <color rgb="FF000000"/>
      <name val="Calibri"/>
      <family val="2"/>
      <scheme val="minor"/>
    </font>
    <font>
      <sz val="9"/>
      <color theme="9" tint="-0.249977111117893"/>
      <name val="Calibri"/>
      <family val="2"/>
      <scheme val="minor"/>
    </font>
    <font>
      <sz val="9"/>
      <color rgb="FFFF0000"/>
      <name val="Calibri"/>
      <family val="2"/>
      <scheme val="minor"/>
    </font>
    <font>
      <b/>
      <sz val="6"/>
      <color rgb="FF000000"/>
      <name val="Verdana"/>
      <family val="2"/>
    </font>
    <font>
      <sz val="7"/>
      <color rgb="FF565656"/>
      <name val="Roboto"/>
    </font>
    <font>
      <sz val="7"/>
      <color rgb="FF333333"/>
      <name val="Arial"/>
      <family val="2"/>
    </font>
    <font>
      <sz val="8"/>
      <color rgb="FF374151"/>
      <name val="Segoe UI"/>
      <family val="2"/>
    </font>
    <font>
      <b/>
      <sz val="7"/>
      <color rgb="FFE39216"/>
      <name val="Arial"/>
      <family val="2"/>
    </font>
    <font>
      <b/>
      <sz val="7"/>
      <color rgb="FF5F6368"/>
      <name val="Arial"/>
      <family val="2"/>
    </font>
    <font>
      <sz val="12"/>
      <color theme="1"/>
      <name val="Arial"/>
      <family val="2"/>
    </font>
    <font>
      <b/>
      <sz val="10"/>
      <color theme="1"/>
      <name val="Arial"/>
      <family val="2"/>
    </font>
    <font>
      <sz val="8"/>
      <color rgb="FF262627"/>
      <name val="Arial"/>
      <family val="2"/>
    </font>
    <font>
      <sz val="8"/>
      <color rgb="FF202122"/>
      <name val="Arial"/>
      <family val="2"/>
    </font>
    <font>
      <sz val="8"/>
      <color rgb="FF565656"/>
      <name val="Calibri"/>
      <family val="2"/>
      <scheme val="minor"/>
    </font>
    <font>
      <sz val="8"/>
      <color rgb="FF333333"/>
      <name val="Calibri"/>
      <family val="2"/>
      <scheme val="minor"/>
    </font>
    <font>
      <b/>
      <sz val="10"/>
      <color theme="1"/>
      <name val="Arial"/>
      <family val="2"/>
    </font>
  </fonts>
  <fills count="20">
    <fill>
      <patternFill patternType="none"/>
    </fill>
    <fill>
      <patternFill patternType="gray125"/>
    </fill>
    <fill>
      <patternFill patternType="solid">
        <fgColor theme="4"/>
        <bgColor indexed="64"/>
      </patternFill>
    </fill>
    <fill>
      <patternFill patternType="solid">
        <fgColor rgb="FFFFFF00"/>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rgb="FF00B0F0"/>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3" tint="0.79998168889431442"/>
        <bgColor indexed="64"/>
      </patternFill>
    </fill>
    <fill>
      <patternFill patternType="solid">
        <fgColor theme="0"/>
        <bgColor indexed="64"/>
      </patternFill>
    </fill>
    <fill>
      <patternFill patternType="solid">
        <fgColor theme="0" tint="-0.14999847407452621"/>
        <bgColor theme="0" tint="-0.14999847407452621"/>
      </patternFill>
    </fill>
    <fill>
      <patternFill patternType="solid">
        <fgColor theme="6" tint="0.59999389629810485"/>
        <bgColor indexed="64"/>
      </patternFill>
    </fill>
    <fill>
      <patternFill patternType="solid">
        <fgColor theme="8" tint="0.79998168889431442"/>
        <bgColor indexed="64"/>
      </patternFill>
    </fill>
    <fill>
      <patternFill patternType="solid">
        <fgColor rgb="FFEFEFEF"/>
        <bgColor indexed="64"/>
      </patternFill>
    </fill>
    <fill>
      <patternFill patternType="solid">
        <fgColor theme="4" tint="0.79998168889431442"/>
        <bgColor indexed="64"/>
      </patternFill>
    </fill>
    <fill>
      <patternFill patternType="solid">
        <fgColor rgb="FFF8F9FA"/>
        <bgColor indexed="64"/>
      </patternFill>
    </fill>
    <fill>
      <patternFill patternType="solid">
        <fgColor rgb="FFFFFFFF"/>
        <bgColor indexed="64"/>
      </patternFill>
    </fill>
    <fill>
      <patternFill patternType="solid">
        <fgColor theme="4" tint="0.79995117038483843"/>
        <bgColor theme="4" tint="0.79995117038483843"/>
      </patternFill>
    </fill>
    <fill>
      <patternFill patternType="solid">
        <fgColor theme="9" tint="0.79998168889431442"/>
        <bgColor theme="9" tint="0.79998168889431442"/>
      </patternFill>
    </fill>
  </fills>
  <borders count="34">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000000"/>
      </left>
      <right style="thin">
        <color rgb="FF000000"/>
      </right>
      <top style="thin">
        <color indexed="64"/>
      </top>
      <bottom/>
      <diagonal/>
    </border>
    <border>
      <left style="thin">
        <color rgb="FF000000"/>
      </left>
      <right style="thin">
        <color rgb="FF000000"/>
      </right>
      <top/>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theme="0" tint="-0.249977111117893"/>
      </left>
      <right style="thin">
        <color theme="0" tint="-0.249977111117893"/>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top/>
      <bottom style="thin">
        <color theme="4" tint="0.39997558519241921"/>
      </bottom>
      <diagonal/>
    </border>
    <border>
      <left style="medium">
        <color rgb="FFA2A9B1"/>
      </left>
      <right style="medium">
        <color rgb="FFA2A9B1"/>
      </right>
      <top style="medium">
        <color rgb="FFA2A9B1"/>
      </top>
      <bottom style="medium">
        <color rgb="FFA2A9B1"/>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style="thin">
        <color indexed="64"/>
      </bottom>
      <diagonal/>
    </border>
    <border>
      <left style="thin">
        <color indexed="64"/>
      </left>
      <right/>
      <top/>
      <bottom style="thin">
        <color indexed="64"/>
      </bottom>
      <diagonal/>
    </border>
    <border>
      <left style="thin">
        <color indexed="64"/>
      </left>
      <right/>
      <top/>
      <bottom/>
      <diagonal/>
    </border>
    <border>
      <left style="medium">
        <color rgb="FFDDEEEE"/>
      </left>
      <right style="medium">
        <color rgb="FFDDEEEE"/>
      </right>
      <top style="medium">
        <color rgb="FFDDEEEE"/>
      </top>
      <bottom style="medium">
        <color rgb="FFDDEEEE"/>
      </bottom>
      <diagonal/>
    </border>
    <border>
      <left/>
      <right style="thin">
        <color indexed="64"/>
      </right>
      <top style="thin">
        <color indexed="64"/>
      </top>
      <bottom style="thin">
        <color indexed="64"/>
      </bottom>
      <diagonal/>
    </border>
  </borders>
  <cellStyleXfs count="10">
    <xf numFmtId="0" fontId="0" fillId="0" borderId="0"/>
    <xf numFmtId="9" fontId="1" fillId="0" borderId="0" applyFont="0" applyFill="0" applyBorder="0" applyAlignment="0" applyProtection="0"/>
    <xf numFmtId="0" fontId="2" fillId="0" borderId="0"/>
    <xf numFmtId="0" fontId="1" fillId="0" borderId="0"/>
    <xf numFmtId="0" fontId="3" fillId="0" borderId="0"/>
    <xf numFmtId="9" fontId="2" fillId="0" borderId="0" applyFont="0" applyFill="0" applyBorder="0" applyAlignment="0" applyProtection="0"/>
    <xf numFmtId="43" fontId="2" fillId="0" borderId="0" applyFon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8" fillId="0" borderId="0"/>
  </cellStyleXfs>
  <cellXfs count="386">
    <xf numFmtId="0" fontId="0" fillId="0" borderId="0" xfId="0"/>
    <xf numFmtId="0" fontId="0" fillId="0" borderId="2" xfId="0" applyBorder="1"/>
    <xf numFmtId="2" fontId="0" fillId="0" borderId="0" xfId="0" applyNumberFormat="1"/>
    <xf numFmtId="0" fontId="0" fillId="0" borderId="0" xfId="0" applyAlignment="1">
      <alignment horizontal="center"/>
    </xf>
    <xf numFmtId="2" fontId="0" fillId="0" borderId="0" xfId="0" applyNumberFormat="1" applyAlignment="1">
      <alignment horizontal="center"/>
    </xf>
    <xf numFmtId="1" fontId="0" fillId="0" borderId="0" xfId="0" applyNumberFormat="1" applyAlignment="1">
      <alignment horizontal="center"/>
    </xf>
    <xf numFmtId="0" fontId="0" fillId="6" borderId="0" xfId="0" applyFill="1"/>
    <xf numFmtId="17" fontId="0" fillId="6" borderId="0" xfId="0" applyNumberFormat="1" applyFill="1"/>
    <xf numFmtId="0" fontId="8" fillId="0" borderId="0" xfId="0" applyFont="1"/>
    <xf numFmtId="0" fontId="0" fillId="0" borderId="2" xfId="0" applyBorder="1" applyAlignment="1">
      <alignment vertical="center"/>
    </xf>
    <xf numFmtId="0" fontId="0" fillId="3" borderId="2" xfId="0" applyFill="1" applyBorder="1" applyAlignment="1">
      <alignment vertical="center"/>
    </xf>
    <xf numFmtId="0" fontId="0" fillId="0" borderId="0" xfId="0" applyAlignment="1">
      <alignment vertical="center"/>
    </xf>
    <xf numFmtId="0" fontId="0" fillId="0" borderId="0" xfId="0" applyAlignment="1">
      <alignment horizontal="left" vertical="top" wrapText="1"/>
    </xf>
    <xf numFmtId="0" fontId="6" fillId="0" borderId="7" xfId="0" applyFont="1" applyBorder="1" applyAlignment="1">
      <alignment vertical="center" wrapText="1" readingOrder="1"/>
    </xf>
    <xf numFmtId="0" fontId="0" fillId="0" borderId="0" xfId="0" applyAlignment="1">
      <alignment wrapText="1"/>
    </xf>
    <xf numFmtId="164" fontId="0" fillId="0" borderId="0" xfId="0" applyNumberFormat="1" applyAlignment="1">
      <alignment horizontal="center"/>
    </xf>
    <xf numFmtId="0" fontId="5" fillId="0" borderId="0" xfId="0" applyFont="1" applyAlignment="1">
      <alignment horizontal="center"/>
    </xf>
    <xf numFmtId="0" fontId="5" fillId="0" borderId="0" xfId="0" applyFont="1" applyAlignment="1">
      <alignment horizontal="left"/>
    </xf>
    <xf numFmtId="0" fontId="8" fillId="0" borderId="0" xfId="0" applyFont="1" applyAlignment="1">
      <alignment horizontal="center"/>
    </xf>
    <xf numFmtId="2" fontId="8" fillId="0" borderId="0" xfId="0" applyNumberFormat="1" applyFont="1" applyAlignment="1">
      <alignment horizontal="center"/>
    </xf>
    <xf numFmtId="2" fontId="8" fillId="0" borderId="0" xfId="0" applyNumberFormat="1" applyFont="1"/>
    <xf numFmtId="0" fontId="11" fillId="0" borderId="7" xfId="0" applyFont="1" applyBorder="1" applyAlignment="1">
      <alignment vertical="center" wrapText="1" readingOrder="1"/>
    </xf>
    <xf numFmtId="0" fontId="8" fillId="0" borderId="2" xfId="0" applyFont="1" applyBorder="1" applyAlignment="1">
      <alignment vertical="center"/>
    </xf>
    <xf numFmtId="0" fontId="10" fillId="0" borderId="0" xfId="0" applyFont="1"/>
    <xf numFmtId="17" fontId="8" fillId="6" borderId="0" xfId="0" applyNumberFormat="1" applyFont="1" applyFill="1"/>
    <xf numFmtId="0" fontId="12" fillId="0" borderId="0" xfId="0" applyFont="1"/>
    <xf numFmtId="1" fontId="8" fillId="0" borderId="0" xfId="0" applyNumberFormat="1" applyFont="1" applyAlignment="1">
      <alignment horizontal="center"/>
    </xf>
    <xf numFmtId="1" fontId="0" fillId="6" borderId="0" xfId="0" applyNumberFormat="1" applyFill="1" applyAlignment="1">
      <alignment horizontal="center"/>
    </xf>
    <xf numFmtId="0" fontId="8" fillId="6" borderId="0" xfId="0" applyFont="1" applyFill="1"/>
    <xf numFmtId="2" fontId="8" fillId="6" borderId="0" xfId="0" applyNumberFormat="1" applyFont="1" applyFill="1"/>
    <xf numFmtId="0" fontId="13" fillId="0" borderId="2" xfId="0" applyFont="1" applyBorder="1"/>
    <xf numFmtId="17" fontId="8" fillId="0" borderId="0" xfId="0" applyNumberFormat="1" applyFont="1"/>
    <xf numFmtId="0" fontId="8" fillId="9" borderId="2" xfId="0" applyFont="1" applyFill="1" applyBorder="1" applyAlignment="1">
      <alignment vertical="center" wrapText="1"/>
    </xf>
    <xf numFmtId="0" fontId="8" fillId="5" borderId="2" xfId="0" applyFont="1" applyFill="1" applyBorder="1" applyAlignment="1">
      <alignment vertical="center" wrapText="1"/>
    </xf>
    <xf numFmtId="17" fontId="8" fillId="5" borderId="2" xfId="0" applyNumberFormat="1" applyFont="1" applyFill="1" applyBorder="1" applyAlignment="1">
      <alignment vertical="center" wrapText="1"/>
    </xf>
    <xf numFmtId="0" fontId="8" fillId="0" borderId="2" xfId="0" applyFont="1" applyBorder="1"/>
    <xf numFmtId="0" fontId="14" fillId="0" borderId="0" xfId="0" applyFont="1"/>
    <xf numFmtId="0" fontId="15" fillId="0" borderId="0" xfId="0" applyFont="1"/>
    <xf numFmtId="0" fontId="6" fillId="6" borderId="7" xfId="0" applyFont="1" applyFill="1" applyBorder="1" applyAlignment="1">
      <alignment vertical="center" wrapText="1" readingOrder="1"/>
    </xf>
    <xf numFmtId="0" fontId="0" fillId="6" borderId="0" xfId="0" applyFill="1" applyAlignment="1">
      <alignment horizontal="center"/>
    </xf>
    <xf numFmtId="2" fontId="0" fillId="6" borderId="0" xfId="0" applyNumberFormat="1" applyFill="1"/>
    <xf numFmtId="17" fontId="7" fillId="9" borderId="2" xfId="0" applyNumberFormat="1" applyFont="1" applyFill="1" applyBorder="1" applyAlignment="1">
      <alignment horizontal="center" vertical="center"/>
    </xf>
    <xf numFmtId="164" fontId="8" fillId="3" borderId="0" xfId="0" applyNumberFormat="1" applyFont="1" applyFill="1" applyAlignment="1">
      <alignment horizontal="center"/>
    </xf>
    <xf numFmtId="0" fontId="0" fillId="3" borderId="0" xfId="0" applyFill="1"/>
    <xf numFmtId="0" fontId="16" fillId="0" borderId="0" xfId="0" applyFont="1"/>
    <xf numFmtId="0" fontId="4" fillId="0" borderId="0" xfId="8"/>
    <xf numFmtId="1" fontId="13" fillId="0" borderId="2" xfId="0" applyNumberFormat="1" applyFont="1" applyBorder="1" applyAlignment="1">
      <alignment horizontal="center"/>
    </xf>
    <xf numFmtId="1" fontId="8" fillId="0" borderId="0" xfId="0" applyNumberFormat="1" applyFont="1"/>
    <xf numFmtId="0" fontId="8" fillId="3" borderId="0" xfId="0" applyFont="1" applyFill="1"/>
    <xf numFmtId="0" fontId="0" fillId="3" borderId="0" xfId="0" applyFill="1" applyAlignment="1">
      <alignment horizontal="center"/>
    </xf>
    <xf numFmtId="0" fontId="4" fillId="0" borderId="0" xfId="8" quotePrefix="1"/>
    <xf numFmtId="0" fontId="0" fillId="0" borderId="0" xfId="0" applyAlignment="1">
      <alignment horizontal="left" wrapText="1"/>
    </xf>
    <xf numFmtId="0" fontId="11" fillId="0" borderId="0" xfId="0" applyFont="1" applyAlignment="1">
      <alignment vertical="center" readingOrder="1"/>
    </xf>
    <xf numFmtId="0" fontId="11" fillId="0" borderId="0" xfId="0" applyFont="1" applyAlignment="1">
      <alignment vertical="center" wrapText="1" readingOrder="1"/>
    </xf>
    <xf numFmtId="0" fontId="11" fillId="0" borderId="5" xfId="0" applyFont="1" applyBorder="1" applyAlignment="1">
      <alignment vertical="center" wrapText="1" readingOrder="1"/>
    </xf>
    <xf numFmtId="0" fontId="11" fillId="0" borderId="0" xfId="0" applyFont="1" applyAlignment="1">
      <alignment horizontal="left" vertical="center" wrapText="1" readingOrder="1"/>
    </xf>
    <xf numFmtId="0" fontId="18" fillId="0" borderId="0" xfId="0" applyFont="1"/>
    <xf numFmtId="17" fontId="7" fillId="6" borderId="0" xfId="0" applyNumberFormat="1" applyFont="1" applyFill="1"/>
    <xf numFmtId="0" fontId="8" fillId="0" borderId="0" xfId="0" applyFont="1" applyAlignment="1">
      <alignment vertical="center"/>
    </xf>
    <xf numFmtId="17" fontId="13" fillId="6" borderId="0" xfId="0" applyNumberFormat="1" applyFont="1" applyFill="1"/>
    <xf numFmtId="0" fontId="13" fillId="0" borderId="0" xfId="0" applyFont="1"/>
    <xf numFmtId="0" fontId="19" fillId="0" borderId="0" xfId="0" applyFont="1"/>
    <xf numFmtId="0" fontId="20" fillId="0" borderId="0" xfId="0" applyFont="1" applyAlignment="1">
      <alignment vertical="center" readingOrder="1"/>
    </xf>
    <xf numFmtId="0" fontId="20" fillId="0" borderId="0" xfId="0" applyFont="1" applyAlignment="1">
      <alignment vertical="center" wrapText="1" readingOrder="1"/>
    </xf>
    <xf numFmtId="0" fontId="13" fillId="0" borderId="0" xfId="0" applyFont="1" applyAlignment="1">
      <alignment horizontal="center"/>
    </xf>
    <xf numFmtId="2" fontId="13" fillId="0" borderId="0" xfId="0" applyNumberFormat="1" applyFont="1"/>
    <xf numFmtId="0" fontId="20" fillId="0" borderId="5" xfId="0" applyFont="1" applyBorder="1" applyAlignment="1">
      <alignment vertical="center" wrapText="1" readingOrder="1"/>
    </xf>
    <xf numFmtId="0" fontId="20" fillId="0" borderId="0" xfId="0" applyFont="1" applyAlignment="1">
      <alignment horizontal="left" vertical="center" wrapText="1" readingOrder="1"/>
    </xf>
    <xf numFmtId="0" fontId="21" fillId="0" borderId="0" xfId="0" applyFont="1"/>
    <xf numFmtId="17" fontId="22" fillId="6" borderId="0" xfId="0" applyNumberFormat="1" applyFont="1" applyFill="1"/>
    <xf numFmtId="1" fontId="13" fillId="0" borderId="0" xfId="0" applyNumberFormat="1" applyFont="1" applyAlignment="1">
      <alignment horizontal="center"/>
    </xf>
    <xf numFmtId="1" fontId="13" fillId="6" borderId="0" xfId="0" applyNumberFormat="1" applyFont="1" applyFill="1" applyAlignment="1">
      <alignment horizontal="center"/>
    </xf>
    <xf numFmtId="0" fontId="13" fillId="0" borderId="2" xfId="0" applyFont="1" applyBorder="1" applyAlignment="1">
      <alignment vertical="center"/>
    </xf>
    <xf numFmtId="0" fontId="13" fillId="6" borderId="0" xfId="0" applyFont="1" applyFill="1"/>
    <xf numFmtId="2" fontId="13" fillId="0" borderId="0" xfId="0" applyNumberFormat="1" applyFont="1" applyAlignment="1">
      <alignment horizontal="center"/>
    </xf>
    <xf numFmtId="0" fontId="13" fillId="6" borderId="2" xfId="0" applyFont="1" applyFill="1" applyBorder="1"/>
    <xf numFmtId="0" fontId="13" fillId="3" borderId="2" xfId="0" applyFont="1" applyFill="1" applyBorder="1" applyAlignment="1">
      <alignment vertical="center"/>
    </xf>
    <xf numFmtId="164" fontId="13" fillId="0" borderId="0" xfId="0" applyNumberFormat="1" applyFont="1"/>
    <xf numFmtId="1" fontId="13" fillId="0" borderId="0" xfId="0" applyNumberFormat="1" applyFont="1"/>
    <xf numFmtId="0" fontId="7" fillId="0" borderId="0" xfId="0" applyFont="1"/>
    <xf numFmtId="0" fontId="8" fillId="2" borderId="0" xfId="0" applyFont="1" applyFill="1"/>
    <xf numFmtId="2" fontId="8" fillId="3" borderId="0" xfId="0" applyNumberFormat="1" applyFont="1" applyFill="1"/>
    <xf numFmtId="2" fontId="0" fillId="6" borderId="0" xfId="0" applyNumberFormat="1" applyFill="1" applyAlignment="1">
      <alignment horizontal="center"/>
    </xf>
    <xf numFmtId="164" fontId="0" fillId="3" borderId="0" xfId="0" applyNumberFormat="1" applyFill="1" applyAlignment="1">
      <alignment horizontal="center"/>
    </xf>
    <xf numFmtId="17" fontId="13" fillId="0" borderId="0" xfId="0" applyNumberFormat="1" applyFont="1"/>
    <xf numFmtId="165" fontId="13" fillId="0" borderId="0" xfId="0" applyNumberFormat="1" applyFont="1" applyAlignment="1">
      <alignment horizontal="center"/>
    </xf>
    <xf numFmtId="17" fontId="22" fillId="0" borderId="0" xfId="0" applyNumberFormat="1" applyFont="1"/>
    <xf numFmtId="2" fontId="0" fillId="3" borderId="0" xfId="0" applyNumberFormat="1" applyFill="1"/>
    <xf numFmtId="17" fontId="0" fillId="0" borderId="0" xfId="0" applyNumberFormat="1"/>
    <xf numFmtId="2" fontId="8" fillId="6" borderId="0" xfId="0" applyNumberFormat="1" applyFont="1" applyFill="1" applyAlignment="1">
      <alignment horizontal="center"/>
    </xf>
    <xf numFmtId="2" fontId="9" fillId="0" borderId="0" xfId="0" applyNumberFormat="1" applyFont="1" applyAlignment="1">
      <alignment horizontal="center"/>
    </xf>
    <xf numFmtId="1" fontId="13" fillId="0" borderId="2" xfId="0" applyNumberFormat="1" applyFont="1" applyBorder="1"/>
    <xf numFmtId="0" fontId="13" fillId="6" borderId="0" xfId="0" applyFont="1" applyFill="1" applyAlignment="1">
      <alignment horizontal="center"/>
    </xf>
    <xf numFmtId="2" fontId="13" fillId="6" borderId="0" xfId="0" applyNumberFormat="1" applyFont="1" applyFill="1"/>
    <xf numFmtId="2" fontId="13" fillId="6" borderId="0" xfId="0" applyNumberFormat="1" applyFont="1" applyFill="1" applyAlignment="1">
      <alignment horizontal="center"/>
    </xf>
    <xf numFmtId="0" fontId="13" fillId="0" borderId="13" xfId="0" applyFont="1" applyBorder="1"/>
    <xf numFmtId="17" fontId="13" fillId="10" borderId="2" xfId="0" applyNumberFormat="1" applyFont="1" applyFill="1" applyBorder="1"/>
    <xf numFmtId="2" fontId="13" fillId="0" borderId="2" xfId="0" applyNumberFormat="1" applyFont="1" applyBorder="1" applyAlignment="1">
      <alignment horizontal="center"/>
    </xf>
    <xf numFmtId="17" fontId="13" fillId="6" borderId="0" xfId="0" applyNumberFormat="1" applyFont="1" applyFill="1" applyAlignment="1">
      <alignment wrapText="1"/>
    </xf>
    <xf numFmtId="0" fontId="19" fillId="10" borderId="0" xfId="0" applyFont="1" applyFill="1"/>
    <xf numFmtId="0" fontId="13" fillId="0" borderId="0" xfId="0" applyFont="1" applyAlignment="1">
      <alignment wrapText="1"/>
    </xf>
    <xf numFmtId="0" fontId="22" fillId="0" borderId="0" xfId="0" applyFont="1"/>
    <xf numFmtId="0" fontId="27" fillId="0" borderId="0" xfId="8" quotePrefix="1" applyFont="1"/>
    <xf numFmtId="2" fontId="13" fillId="3" borderId="0" xfId="0" applyNumberFormat="1" applyFont="1" applyFill="1"/>
    <xf numFmtId="0" fontId="13" fillId="2" borderId="0" xfId="0" applyFont="1" applyFill="1"/>
    <xf numFmtId="2" fontId="13" fillId="2" borderId="0" xfId="0" applyNumberFormat="1" applyFont="1" applyFill="1" applyAlignment="1">
      <alignment horizontal="center"/>
    </xf>
    <xf numFmtId="0" fontId="13" fillId="0" borderId="8" xfId="0" applyFont="1" applyBorder="1"/>
    <xf numFmtId="0" fontId="20" fillId="0" borderId="7" xfId="0" applyFont="1" applyBorder="1" applyAlignment="1">
      <alignment horizontal="left" vertical="center" wrapText="1" readingOrder="1"/>
    </xf>
    <xf numFmtId="2" fontId="13" fillId="3" borderId="0" xfId="0" applyNumberFormat="1" applyFont="1" applyFill="1" applyAlignment="1">
      <alignment horizontal="center"/>
    </xf>
    <xf numFmtId="2" fontId="13" fillId="0" borderId="9" xfId="0" applyNumberFormat="1" applyFont="1" applyBorder="1" applyAlignment="1">
      <alignment horizontal="center"/>
    </xf>
    <xf numFmtId="17" fontId="13" fillId="6" borderId="0" xfId="0" applyNumberFormat="1" applyFont="1" applyFill="1" applyAlignment="1">
      <alignment horizontal="center"/>
    </xf>
    <xf numFmtId="0" fontId="13" fillId="4" borderId="0" xfId="0" applyFont="1" applyFill="1"/>
    <xf numFmtId="0" fontId="17" fillId="0" borderId="0" xfId="0" applyFont="1"/>
    <xf numFmtId="2" fontId="8" fillId="3" borderId="0" xfId="0" applyNumberFormat="1" applyFont="1" applyFill="1" applyAlignment="1">
      <alignment horizontal="center"/>
    </xf>
    <xf numFmtId="0" fontId="13" fillId="0" borderId="0" xfId="0" applyFont="1" applyAlignment="1">
      <alignment horizontal="left"/>
    </xf>
    <xf numFmtId="2" fontId="13" fillId="0" borderId="0" xfId="0" applyNumberFormat="1" applyFont="1" applyAlignment="1">
      <alignment horizontal="left"/>
    </xf>
    <xf numFmtId="17" fontId="19" fillId="0" borderId="0" xfId="0" applyNumberFormat="1" applyFont="1"/>
    <xf numFmtId="0" fontId="12" fillId="10" borderId="0" xfId="0" applyFont="1" applyFill="1"/>
    <xf numFmtId="0" fontId="7" fillId="0" borderId="0" xfId="0" applyFont="1" applyAlignment="1">
      <alignment horizontal="left"/>
    </xf>
    <xf numFmtId="0" fontId="28" fillId="0" borderId="0" xfId="8" quotePrefix="1" applyFont="1"/>
    <xf numFmtId="17" fontId="12" fillId="0" borderId="0" xfId="0" applyNumberFormat="1" applyFont="1"/>
    <xf numFmtId="2" fontId="8" fillId="2" borderId="0" xfId="0" applyNumberFormat="1" applyFont="1" applyFill="1" applyAlignment="1">
      <alignment horizontal="center"/>
    </xf>
    <xf numFmtId="0" fontId="22" fillId="0" borderId="0" xfId="0" applyFont="1" applyAlignment="1">
      <alignment horizontal="left"/>
    </xf>
    <xf numFmtId="0" fontId="22" fillId="0" borderId="0" xfId="0" applyFont="1" applyAlignment="1">
      <alignment horizontal="center"/>
    </xf>
    <xf numFmtId="0" fontId="20" fillId="0" borderId="7" xfId="0" applyFont="1" applyBorder="1" applyAlignment="1">
      <alignment vertical="center" wrapText="1" readingOrder="1"/>
    </xf>
    <xf numFmtId="0" fontId="13" fillId="6" borderId="0" xfId="0" applyFont="1" applyFill="1" applyAlignment="1">
      <alignment vertical="center"/>
    </xf>
    <xf numFmtId="0" fontId="11" fillId="0" borderId="5" xfId="0" applyFont="1" applyBorder="1" applyAlignment="1">
      <alignment vertical="center" readingOrder="1"/>
    </xf>
    <xf numFmtId="0" fontId="11" fillId="0" borderId="0" xfId="0" applyFont="1" applyAlignment="1">
      <alignment horizontal="left" vertical="center" readingOrder="1"/>
    </xf>
    <xf numFmtId="1" fontId="32" fillId="0" borderId="0" xfId="0" applyNumberFormat="1" applyFont="1" applyAlignment="1">
      <alignment horizontal="center"/>
    </xf>
    <xf numFmtId="17" fontId="7" fillId="0" borderId="0" xfId="0" applyNumberFormat="1" applyFont="1"/>
    <xf numFmtId="2" fontId="32" fillId="0" borderId="0" xfId="0" applyNumberFormat="1" applyFont="1" applyAlignment="1">
      <alignment horizontal="center"/>
    </xf>
    <xf numFmtId="17" fontId="8" fillId="6" borderId="0" xfId="0" applyNumberFormat="1" applyFont="1" applyFill="1" applyAlignment="1">
      <alignment wrapText="1"/>
    </xf>
    <xf numFmtId="0" fontId="8" fillId="0" borderId="0" xfId="0" applyFont="1" applyAlignment="1">
      <alignment wrapText="1"/>
    </xf>
    <xf numFmtId="166" fontId="8" fillId="0" borderId="0" xfId="0" applyNumberFormat="1" applyFont="1"/>
    <xf numFmtId="1" fontId="13" fillId="2" borderId="0" xfId="0" applyNumberFormat="1" applyFont="1" applyFill="1" applyAlignment="1">
      <alignment horizontal="center"/>
    </xf>
    <xf numFmtId="164" fontId="13" fillId="2" borderId="0" xfId="0" applyNumberFormat="1" applyFont="1" applyFill="1" applyAlignment="1">
      <alignment horizontal="center"/>
    </xf>
    <xf numFmtId="165" fontId="13" fillId="2" borderId="0" xfId="0" applyNumberFormat="1" applyFont="1" applyFill="1" applyAlignment="1">
      <alignment horizontal="center"/>
    </xf>
    <xf numFmtId="0" fontId="13" fillId="3" borderId="0" xfId="0" applyFont="1" applyFill="1"/>
    <xf numFmtId="1" fontId="13" fillId="3" borderId="0" xfId="0" applyNumberFormat="1" applyFont="1" applyFill="1" applyAlignment="1">
      <alignment horizontal="center"/>
    </xf>
    <xf numFmtId="164" fontId="13" fillId="3" borderId="0" xfId="0" applyNumberFormat="1" applyFont="1" applyFill="1"/>
    <xf numFmtId="166" fontId="13" fillId="0" borderId="0" xfId="0" applyNumberFormat="1" applyFont="1"/>
    <xf numFmtId="0" fontId="33" fillId="0" borderId="0" xfId="0" applyFont="1"/>
    <xf numFmtId="169" fontId="13" fillId="0" borderId="0" xfId="0" applyNumberFormat="1" applyFont="1"/>
    <xf numFmtId="0" fontId="8" fillId="3" borderId="2" xfId="0" applyFont="1" applyFill="1" applyBorder="1" applyAlignment="1">
      <alignment vertical="center"/>
    </xf>
    <xf numFmtId="17" fontId="13" fillId="6" borderId="0" xfId="0" applyNumberFormat="1" applyFont="1" applyFill="1" applyAlignment="1">
      <alignment vertical="center"/>
    </xf>
    <xf numFmtId="0" fontId="34" fillId="0" borderId="0" xfId="0" applyFont="1"/>
    <xf numFmtId="2" fontId="35" fillId="3" borderId="0" xfId="0" applyNumberFormat="1" applyFont="1" applyFill="1" applyAlignment="1">
      <alignment horizontal="center"/>
    </xf>
    <xf numFmtId="164" fontId="35" fillId="0" borderId="0" xfId="0" applyNumberFormat="1" applyFont="1" applyAlignment="1">
      <alignment horizontal="center"/>
    </xf>
    <xf numFmtId="2" fontId="36" fillId="3" borderId="0" xfId="0" applyNumberFormat="1" applyFont="1" applyFill="1" applyAlignment="1">
      <alignment horizontal="center"/>
    </xf>
    <xf numFmtId="167" fontId="8" fillId="6" borderId="0" xfId="0" applyNumberFormat="1" applyFont="1" applyFill="1"/>
    <xf numFmtId="0" fontId="8" fillId="0" borderId="8" xfId="0" applyFont="1" applyBorder="1"/>
    <xf numFmtId="2" fontId="8" fillId="0" borderId="9" xfId="0" applyNumberFormat="1" applyFont="1" applyBorder="1"/>
    <xf numFmtId="2" fontId="8" fillId="0" borderId="10" xfId="0" applyNumberFormat="1" applyFont="1" applyBorder="1"/>
    <xf numFmtId="164" fontId="13" fillId="0" borderId="2" xfId="0" applyNumberFormat="1" applyFont="1" applyBorder="1" applyAlignment="1">
      <alignment horizontal="center"/>
    </xf>
    <xf numFmtId="0" fontId="5" fillId="13" borderId="8" xfId="0" applyFont="1" applyFill="1" applyBorder="1"/>
    <xf numFmtId="2" fontId="5" fillId="13" borderId="0" xfId="0" applyNumberFormat="1" applyFont="1" applyFill="1"/>
    <xf numFmtId="0" fontId="5" fillId="13" borderId="0" xfId="0" applyFont="1" applyFill="1"/>
    <xf numFmtId="0" fontId="7" fillId="13" borderId="0" xfId="0" applyFont="1" applyFill="1"/>
    <xf numFmtId="2" fontId="7" fillId="13" borderId="0" xfId="0" applyNumberFormat="1" applyFont="1" applyFill="1"/>
    <xf numFmtId="2" fontId="7" fillId="13" borderId="0" xfId="0" applyNumberFormat="1" applyFont="1" applyFill="1" applyAlignment="1">
      <alignment horizontal="center"/>
    </xf>
    <xf numFmtId="0" fontId="13" fillId="6" borderId="2" xfId="0" applyFont="1" applyFill="1" applyBorder="1" applyAlignment="1">
      <alignment vertical="center"/>
    </xf>
    <xf numFmtId="0" fontId="22" fillId="13" borderId="0" xfId="0" applyFont="1" applyFill="1"/>
    <xf numFmtId="2" fontId="22" fillId="13" borderId="0" xfId="0" applyNumberFormat="1" applyFont="1" applyFill="1" applyAlignment="1">
      <alignment horizontal="center"/>
    </xf>
    <xf numFmtId="2" fontId="22" fillId="13" borderId="0" xfId="0" applyNumberFormat="1" applyFont="1" applyFill="1"/>
    <xf numFmtId="2" fontId="5" fillId="13" borderId="0" xfId="0" applyNumberFormat="1" applyFont="1" applyFill="1" applyAlignment="1">
      <alignment horizontal="center"/>
    </xf>
    <xf numFmtId="0" fontId="22" fillId="13" borderId="13" xfId="0" applyFont="1" applyFill="1" applyBorder="1"/>
    <xf numFmtId="0" fontId="37" fillId="13" borderId="0" xfId="0" applyFont="1" applyFill="1" applyAlignment="1">
      <alignment horizontal="left" vertical="center" wrapText="1"/>
    </xf>
    <xf numFmtId="17" fontId="38" fillId="0" borderId="0" xfId="0" applyNumberFormat="1" applyFont="1"/>
    <xf numFmtId="0" fontId="39" fillId="13" borderId="0" xfId="0" applyFont="1" applyFill="1" applyAlignment="1">
      <alignment vertical="center" wrapText="1" readingOrder="1"/>
    </xf>
    <xf numFmtId="0" fontId="22" fillId="13" borderId="2" xfId="0" applyFont="1" applyFill="1" applyBorder="1"/>
    <xf numFmtId="17" fontId="16" fillId="6" borderId="0" xfId="0" applyNumberFormat="1" applyFont="1" applyFill="1"/>
    <xf numFmtId="0" fontId="40" fillId="0" borderId="0" xfId="0" applyFont="1"/>
    <xf numFmtId="0" fontId="41" fillId="0" borderId="0" xfId="0" applyFont="1" applyAlignment="1">
      <alignment vertical="center" readingOrder="1"/>
    </xf>
    <xf numFmtId="0" fontId="41" fillId="0" borderId="0" xfId="0" applyFont="1" applyAlignment="1">
      <alignment vertical="center" wrapText="1" readingOrder="1"/>
    </xf>
    <xf numFmtId="0" fontId="16" fillId="0" borderId="0" xfId="0" applyFont="1" applyAlignment="1">
      <alignment horizontal="center"/>
    </xf>
    <xf numFmtId="2" fontId="16" fillId="0" borderId="0" xfId="0" applyNumberFormat="1" applyFont="1"/>
    <xf numFmtId="0" fontId="41" fillId="0" borderId="5" xfId="0" applyFont="1" applyBorder="1" applyAlignment="1">
      <alignment vertical="center" wrapText="1" readingOrder="1"/>
    </xf>
    <xf numFmtId="17" fontId="16" fillId="6" borderId="0" xfId="0" applyNumberFormat="1" applyFont="1" applyFill="1" applyAlignment="1">
      <alignment horizontal="center"/>
    </xf>
    <xf numFmtId="0" fontId="16" fillId="0" borderId="2" xfId="0" applyFont="1" applyBorder="1"/>
    <xf numFmtId="2" fontId="16" fillId="0" borderId="0" xfId="0" applyNumberFormat="1" applyFont="1" applyAlignment="1">
      <alignment horizontal="center"/>
    </xf>
    <xf numFmtId="17" fontId="42" fillId="6" borderId="0" xfId="0" applyNumberFormat="1" applyFont="1" applyFill="1"/>
    <xf numFmtId="17" fontId="42" fillId="0" borderId="0" xfId="0" applyNumberFormat="1" applyFont="1"/>
    <xf numFmtId="2" fontId="16" fillId="6" borderId="0" xfId="0" applyNumberFormat="1" applyFont="1" applyFill="1" applyAlignment="1">
      <alignment horizontal="center"/>
    </xf>
    <xf numFmtId="0" fontId="16" fillId="0" borderId="2" xfId="0" applyFont="1" applyBorder="1" applyAlignment="1">
      <alignment vertical="center"/>
    </xf>
    <xf numFmtId="1" fontId="16" fillId="0" borderId="0" xfId="0" applyNumberFormat="1" applyFont="1" applyAlignment="1">
      <alignment horizontal="center"/>
    </xf>
    <xf numFmtId="0" fontId="42" fillId="13" borderId="0" xfId="0" applyFont="1" applyFill="1"/>
    <xf numFmtId="0" fontId="42" fillId="13" borderId="2" xfId="0" applyFont="1" applyFill="1" applyBorder="1"/>
    <xf numFmtId="2" fontId="42" fillId="13" borderId="0" xfId="0" applyNumberFormat="1" applyFont="1" applyFill="1"/>
    <xf numFmtId="0" fontId="41" fillId="0" borderId="0" xfId="0" applyFont="1" applyAlignment="1">
      <alignment horizontal="left" vertical="center" wrapText="1" readingOrder="1"/>
    </xf>
    <xf numFmtId="0" fontId="41" fillId="0" borderId="7" xfId="0" applyFont="1" applyBorder="1" applyAlignment="1">
      <alignment vertical="center" wrapText="1" readingOrder="1"/>
    </xf>
    <xf numFmtId="0" fontId="18" fillId="0" borderId="0" xfId="0" quotePrefix="1" applyFont="1"/>
    <xf numFmtId="17" fontId="27" fillId="6" borderId="0" xfId="8" applyNumberFormat="1" applyFont="1" applyFill="1"/>
    <xf numFmtId="2" fontId="19" fillId="0" borderId="0" xfId="0" applyNumberFormat="1" applyFont="1"/>
    <xf numFmtId="0" fontId="22" fillId="13" borderId="8" xfId="0" applyFont="1" applyFill="1" applyBorder="1"/>
    <xf numFmtId="0" fontId="20" fillId="6" borderId="7" xfId="0" applyFont="1" applyFill="1" applyBorder="1" applyAlignment="1">
      <alignment vertical="center" wrapText="1" readingOrder="1"/>
    </xf>
    <xf numFmtId="9" fontId="13" fillId="0" borderId="0" xfId="1" applyFont="1"/>
    <xf numFmtId="0" fontId="13" fillId="0" borderId="4" xfId="0" applyFont="1" applyBorder="1" applyAlignment="1">
      <alignment vertical="center"/>
    </xf>
    <xf numFmtId="0" fontId="13" fillId="7" borderId="4" xfId="0" applyFont="1" applyFill="1" applyBorder="1" applyAlignment="1">
      <alignment horizontal="center"/>
    </xf>
    <xf numFmtId="0" fontId="13" fillId="10" borderId="2" xfId="0" applyFont="1" applyFill="1" applyBorder="1"/>
    <xf numFmtId="17" fontId="13" fillId="6" borderId="2" xfId="0" applyNumberFormat="1" applyFont="1" applyFill="1" applyBorder="1"/>
    <xf numFmtId="0" fontId="19" fillId="10" borderId="2" xfId="0" applyFont="1" applyFill="1" applyBorder="1"/>
    <xf numFmtId="17" fontId="19" fillId="10" borderId="2" xfId="0" applyNumberFormat="1" applyFont="1" applyFill="1" applyBorder="1"/>
    <xf numFmtId="9" fontId="26" fillId="0" borderId="2" xfId="0" applyNumberFormat="1" applyFont="1" applyBorder="1" applyAlignment="1">
      <alignment horizontal="center" wrapText="1" readingOrder="1"/>
    </xf>
    <xf numFmtId="0" fontId="26" fillId="0" borderId="2" xfId="0" applyFont="1" applyBorder="1" applyAlignment="1">
      <alignment horizontal="left" wrapText="1" readingOrder="1"/>
    </xf>
    <xf numFmtId="0" fontId="20" fillId="0" borderId="2" xfId="0" applyFont="1" applyBorder="1" applyAlignment="1">
      <alignment horizontal="left" wrapText="1" readingOrder="1"/>
    </xf>
    <xf numFmtId="2" fontId="13" fillId="6" borderId="2" xfId="0" applyNumberFormat="1" applyFont="1" applyFill="1" applyBorder="1"/>
    <xf numFmtId="2" fontId="22" fillId="13" borderId="13" xfId="0" applyNumberFormat="1" applyFont="1" applyFill="1" applyBorder="1"/>
    <xf numFmtId="17" fontId="43" fillId="0" borderId="0" xfId="0" applyNumberFormat="1" applyFont="1"/>
    <xf numFmtId="2" fontId="22" fillId="0" borderId="0" xfId="0" applyNumberFormat="1" applyFont="1"/>
    <xf numFmtId="2" fontId="42" fillId="13" borderId="2" xfId="0" applyNumberFormat="1" applyFont="1" applyFill="1" applyBorder="1"/>
    <xf numFmtId="0" fontId="13" fillId="15" borderId="0" xfId="0" applyFont="1" applyFill="1"/>
    <xf numFmtId="0" fontId="13" fillId="15" borderId="0" xfId="0" applyFont="1" applyFill="1" applyAlignment="1">
      <alignment horizontal="left"/>
    </xf>
    <xf numFmtId="2" fontId="13" fillId="15" borderId="0" xfId="0" applyNumberFormat="1" applyFont="1" applyFill="1" applyAlignment="1">
      <alignment horizontal="center"/>
    </xf>
    <xf numFmtId="165" fontId="16" fillId="0" borderId="0" xfId="0" applyNumberFormat="1" applyFont="1"/>
    <xf numFmtId="0" fontId="16" fillId="0" borderId="2" xfId="0" applyFont="1" applyBorder="1" applyAlignment="1">
      <alignment horizontal="center"/>
    </xf>
    <xf numFmtId="1" fontId="16" fillId="0" borderId="2" xfId="0" applyNumberFormat="1" applyFont="1" applyBorder="1" applyAlignment="1">
      <alignment horizontal="center"/>
    </xf>
    <xf numFmtId="2" fontId="16" fillId="0" borderId="2" xfId="0" applyNumberFormat="1" applyFont="1" applyBorder="1" applyAlignment="1">
      <alignment horizontal="center"/>
    </xf>
    <xf numFmtId="4" fontId="16" fillId="0" borderId="2" xfId="0" applyNumberFormat="1" applyFont="1" applyBorder="1" applyAlignment="1">
      <alignment horizontal="center"/>
    </xf>
    <xf numFmtId="3" fontId="16" fillId="0" borderId="2" xfId="0" applyNumberFormat="1" applyFont="1" applyBorder="1" applyAlignment="1">
      <alignment horizontal="center"/>
    </xf>
    <xf numFmtId="2" fontId="16" fillId="3" borderId="2" xfId="0" applyNumberFormat="1" applyFont="1" applyFill="1" applyBorder="1" applyAlignment="1">
      <alignment horizontal="center"/>
    </xf>
    <xf numFmtId="17" fontId="13" fillId="3" borderId="0" xfId="0" applyNumberFormat="1" applyFont="1" applyFill="1"/>
    <xf numFmtId="0" fontId="44" fillId="0" borderId="0" xfId="0" applyFont="1"/>
    <xf numFmtId="0" fontId="47" fillId="11" borderId="15" xfId="0" applyFont="1" applyFill="1" applyBorder="1"/>
    <xf numFmtId="0" fontId="0" fillId="0" borderId="0" xfId="0" applyAlignment="1">
      <alignment horizontal="left"/>
    </xf>
    <xf numFmtId="168" fontId="9" fillId="0" borderId="0" xfId="0" applyNumberFormat="1" applyFont="1" applyAlignment="1">
      <alignment horizontal="center"/>
    </xf>
    <xf numFmtId="2" fontId="0" fillId="11" borderId="11" xfId="0" applyNumberFormat="1" applyFill="1" applyBorder="1" applyAlignment="1">
      <alignment horizontal="center"/>
    </xf>
    <xf numFmtId="2" fontId="0" fillId="0" borderId="12" xfId="0" applyNumberFormat="1" applyBorder="1"/>
    <xf numFmtId="0" fontId="0" fillId="6" borderId="2" xfId="0" applyFill="1" applyBorder="1" applyAlignment="1">
      <alignment vertical="center"/>
    </xf>
    <xf numFmtId="0" fontId="5" fillId="13" borderId="2" xfId="0" applyFont="1" applyFill="1" applyBorder="1" applyAlignment="1">
      <alignment vertical="center"/>
    </xf>
    <xf numFmtId="17" fontId="19" fillId="6" borderId="0" xfId="0" applyNumberFormat="1" applyFont="1" applyFill="1"/>
    <xf numFmtId="0" fontId="13" fillId="0" borderId="2" xfId="0" applyFont="1" applyBorder="1" applyAlignment="1">
      <alignment horizontal="center" vertical="center"/>
    </xf>
    <xf numFmtId="0" fontId="27" fillId="0" borderId="0" xfId="8" applyFont="1"/>
    <xf numFmtId="0" fontId="16" fillId="3" borderId="2" xfId="0" applyFont="1" applyFill="1" applyBorder="1" applyAlignment="1">
      <alignment horizontal="center"/>
    </xf>
    <xf numFmtId="0" fontId="16" fillId="0" borderId="4" xfId="0" applyFont="1" applyBorder="1"/>
    <xf numFmtId="0" fontId="16" fillId="8" borderId="4" xfId="0" applyFont="1" applyFill="1" applyBorder="1"/>
    <xf numFmtId="0" fontId="49" fillId="0" borderId="0" xfId="8" quotePrefix="1" applyFont="1"/>
    <xf numFmtId="0" fontId="16" fillId="0" borderId="14" xfId="0" applyFont="1" applyBorder="1"/>
    <xf numFmtId="0" fontId="16" fillId="8" borderId="14" xfId="0" applyFont="1" applyFill="1" applyBorder="1"/>
    <xf numFmtId="164" fontId="16" fillId="3" borderId="0" xfId="0" applyNumberFormat="1" applyFont="1" applyFill="1" applyAlignment="1">
      <alignment horizontal="center"/>
    </xf>
    <xf numFmtId="2" fontId="51" fillId="0" borderId="0" xfId="0" applyNumberFormat="1" applyFont="1" applyAlignment="1">
      <alignment horizontal="right" vertical="center"/>
    </xf>
    <xf numFmtId="2" fontId="50" fillId="0" borderId="0" xfId="0" applyNumberFormat="1" applyFont="1" applyAlignment="1">
      <alignment horizontal="right" vertical="center"/>
    </xf>
    <xf numFmtId="0" fontId="42" fillId="6" borderId="2" xfId="0" applyFont="1" applyFill="1" applyBorder="1"/>
    <xf numFmtId="17" fontId="42" fillId="6" borderId="2" xfId="0" applyNumberFormat="1" applyFont="1" applyFill="1" applyBorder="1"/>
    <xf numFmtId="0" fontId="42" fillId="0" borderId="0" xfId="0" applyFont="1"/>
    <xf numFmtId="0" fontId="44" fillId="16" borderId="16" xfId="0" applyFont="1" applyFill="1" applyBorder="1" applyAlignment="1">
      <alignment horizontal="left" vertical="top" wrapText="1"/>
    </xf>
    <xf numFmtId="9" fontId="0" fillId="0" borderId="0" xfId="1" applyFont="1"/>
    <xf numFmtId="17" fontId="13" fillId="0" borderId="0" xfId="0" applyNumberFormat="1" applyFont="1" applyAlignment="1">
      <alignment wrapText="1"/>
    </xf>
    <xf numFmtId="164" fontId="13" fillId="0" borderId="0" xfId="0" applyNumberFormat="1" applyFont="1" applyAlignment="1">
      <alignment horizontal="center"/>
    </xf>
    <xf numFmtId="2" fontId="13" fillId="0" borderId="17" xfId="0" applyNumberFormat="1" applyFont="1" applyBorder="1" applyAlignment="1">
      <alignment horizontal="center"/>
    </xf>
    <xf numFmtId="2" fontId="13" fillId="0" borderId="8" xfId="0" applyNumberFormat="1" applyFont="1" applyBorder="1" applyAlignment="1">
      <alignment horizontal="center"/>
    </xf>
    <xf numFmtId="2" fontId="13" fillId="0" borderId="18" xfId="0" applyNumberFormat="1" applyFont="1" applyBorder="1"/>
    <xf numFmtId="1" fontId="16" fillId="12" borderId="2" xfId="0" applyNumberFormat="1" applyFont="1" applyFill="1" applyBorder="1" applyAlignment="1">
      <alignment horizontal="center" vertical="center"/>
    </xf>
    <xf numFmtId="0" fontId="16" fillId="0" borderId="2" xfId="1" applyNumberFormat="1" applyFont="1" applyBorder="1" applyAlignment="1">
      <alignment horizontal="center"/>
    </xf>
    <xf numFmtId="165" fontId="16" fillId="0" borderId="2" xfId="0" applyNumberFormat="1" applyFont="1" applyBorder="1" applyAlignment="1">
      <alignment horizontal="center"/>
    </xf>
    <xf numFmtId="0" fontId="46" fillId="0" borderId="2" xfId="0" applyFont="1" applyBorder="1"/>
    <xf numFmtId="165" fontId="16" fillId="3" borderId="2" xfId="0" applyNumberFormat="1" applyFont="1" applyFill="1" applyBorder="1" applyAlignment="1">
      <alignment horizontal="center"/>
    </xf>
    <xf numFmtId="170" fontId="16" fillId="0" borderId="2" xfId="0" applyNumberFormat="1" applyFont="1" applyBorder="1" applyAlignment="1">
      <alignment horizontal="center"/>
    </xf>
    <xf numFmtId="0" fontId="13" fillId="6" borderId="8" xfId="0" applyFont="1" applyFill="1" applyBorder="1"/>
    <xf numFmtId="2" fontId="13" fillId="6" borderId="9" xfId="0" applyNumberFormat="1" applyFont="1" applyFill="1" applyBorder="1" applyAlignment="1">
      <alignment horizontal="center"/>
    </xf>
    <xf numFmtId="168" fontId="13" fillId="0" borderId="0" xfId="0" applyNumberFormat="1" applyFont="1"/>
    <xf numFmtId="0" fontId="5" fillId="0" borderId="0" xfId="0" applyFont="1" applyAlignment="1">
      <alignment vertical="center"/>
    </xf>
    <xf numFmtId="165" fontId="8" fillId="0" borderId="0" xfId="0" applyNumberFormat="1" applyFont="1"/>
    <xf numFmtId="1" fontId="16" fillId="0" borderId="2" xfId="0" applyNumberFormat="1" applyFont="1" applyBorder="1"/>
    <xf numFmtId="0" fontId="28" fillId="0" borderId="0" xfId="8" applyFont="1"/>
    <xf numFmtId="0" fontId="28" fillId="0" borderId="0" xfId="8" applyFont="1" applyAlignment="1">
      <alignment wrapText="1"/>
    </xf>
    <xf numFmtId="0" fontId="53" fillId="0" borderId="0" xfId="0" applyFont="1"/>
    <xf numFmtId="2" fontId="16" fillId="0" borderId="2" xfId="0" applyNumberFormat="1" applyFont="1" applyBorder="1"/>
    <xf numFmtId="3" fontId="16" fillId="0" borderId="2" xfId="0" applyNumberFormat="1" applyFont="1" applyBorder="1"/>
    <xf numFmtId="0" fontId="33" fillId="0" borderId="0" xfId="0" applyFont="1" applyAlignment="1">
      <alignment horizontal="center"/>
    </xf>
    <xf numFmtId="17" fontId="42" fillId="6" borderId="2" xfId="0" applyNumberFormat="1" applyFont="1" applyFill="1" applyBorder="1" applyAlignment="1">
      <alignment horizontal="center"/>
    </xf>
    <xf numFmtId="165" fontId="16" fillId="0" borderId="0" xfId="0" applyNumberFormat="1" applyFont="1" applyAlignment="1">
      <alignment horizontal="center"/>
    </xf>
    <xf numFmtId="3" fontId="16" fillId="14" borderId="2" xfId="0" applyNumberFormat="1" applyFont="1" applyFill="1" applyBorder="1" applyAlignment="1">
      <alignment horizontal="center" wrapText="1"/>
    </xf>
    <xf numFmtId="3" fontId="16" fillId="0" borderId="2" xfId="0" applyNumberFormat="1" applyFont="1" applyBorder="1" applyAlignment="1">
      <alignment horizontal="center" wrapText="1"/>
    </xf>
    <xf numFmtId="0" fontId="16" fillId="0" borderId="2" xfId="0" applyFont="1" applyBorder="1" applyAlignment="1">
      <alignment wrapText="1"/>
    </xf>
    <xf numFmtId="0" fontId="52" fillId="0" borderId="2" xfId="0" applyFont="1" applyBorder="1" applyAlignment="1">
      <alignment horizontal="center"/>
    </xf>
    <xf numFmtId="1" fontId="52" fillId="0" borderId="2" xfId="0" applyNumberFormat="1" applyFont="1" applyBorder="1" applyAlignment="1">
      <alignment horizontal="center"/>
    </xf>
    <xf numFmtId="1" fontId="16" fillId="3" borderId="2" xfId="0" applyNumberFormat="1" applyFont="1" applyFill="1" applyBorder="1"/>
    <xf numFmtId="0" fontId="16" fillId="3" borderId="2" xfId="0" applyFont="1" applyFill="1" applyBorder="1"/>
    <xf numFmtId="164" fontId="16" fillId="0" borderId="2" xfId="0" applyNumberFormat="1" applyFont="1" applyBorder="1"/>
    <xf numFmtId="164" fontId="16" fillId="0" borderId="2" xfId="0" applyNumberFormat="1" applyFont="1" applyBorder="1" applyAlignment="1">
      <alignment horizontal="center"/>
    </xf>
    <xf numFmtId="0" fontId="56" fillId="0" borderId="0" xfId="0" applyFont="1"/>
    <xf numFmtId="17" fontId="42" fillId="6" borderId="3" xfId="0" applyNumberFormat="1" applyFont="1" applyFill="1" applyBorder="1" applyAlignment="1">
      <alignment horizontal="center"/>
    </xf>
    <xf numFmtId="0" fontId="17" fillId="17" borderId="0" xfId="0" applyFont="1" applyFill="1" applyAlignment="1">
      <alignment vertical="center" wrapText="1"/>
    </xf>
    <xf numFmtId="165" fontId="17" fillId="17" borderId="0" xfId="0" applyNumberFormat="1" applyFont="1" applyFill="1" applyAlignment="1">
      <alignment vertical="center" wrapText="1"/>
    </xf>
    <xf numFmtId="165" fontId="17" fillId="0" borderId="0" xfId="0" applyNumberFormat="1" applyFont="1"/>
    <xf numFmtId="0" fontId="17" fillId="0" borderId="2" xfId="0" applyFont="1" applyBorder="1"/>
    <xf numFmtId="2" fontId="17" fillId="0" borderId="2" xfId="0" applyNumberFormat="1" applyFont="1" applyBorder="1"/>
    <xf numFmtId="0" fontId="17" fillId="0" borderId="19" xfId="0" applyFont="1" applyBorder="1"/>
    <xf numFmtId="0" fontId="17" fillId="0" borderId="20" xfId="0" applyFont="1" applyBorder="1" applyAlignment="1">
      <alignment horizontal="center"/>
    </xf>
    <xf numFmtId="0" fontId="0" fillId="0" borderId="20" xfId="0" applyBorder="1"/>
    <xf numFmtId="0" fontId="0" fillId="0" borderId="21" xfId="0" applyBorder="1"/>
    <xf numFmtId="0" fontId="56" fillId="0" borderId="22" xfId="0" applyFont="1" applyBorder="1"/>
    <xf numFmtId="0" fontId="0" fillId="0" borderId="23" xfId="0" applyBorder="1"/>
    <xf numFmtId="0" fontId="17" fillId="0" borderId="22" xfId="0" applyFont="1" applyBorder="1"/>
    <xf numFmtId="0" fontId="0" fillId="0" borderId="24" xfId="0" applyBorder="1"/>
    <xf numFmtId="1" fontId="0" fillId="0" borderId="0" xfId="0" applyNumberFormat="1"/>
    <xf numFmtId="0" fontId="0" fillId="0" borderId="25" xfId="0" applyBorder="1"/>
    <xf numFmtId="0" fontId="0" fillId="0" borderId="26" xfId="0" applyBorder="1"/>
    <xf numFmtId="0" fontId="0" fillId="0" borderId="27" xfId="0" applyBorder="1"/>
    <xf numFmtId="0" fontId="57" fillId="0" borderId="0" xfId="0" applyFont="1"/>
    <xf numFmtId="0" fontId="16" fillId="0" borderId="13" xfId="0" applyFont="1" applyBorder="1" applyAlignment="1">
      <alignment horizontal="center"/>
    </xf>
    <xf numFmtId="2" fontId="16" fillId="0" borderId="13" xfId="0" applyNumberFormat="1" applyFont="1" applyBorder="1" applyAlignment="1">
      <alignment horizontal="center"/>
    </xf>
    <xf numFmtId="0" fontId="16" fillId="0" borderId="13" xfId="0" applyFont="1" applyBorder="1"/>
    <xf numFmtId="0" fontId="16" fillId="3" borderId="13" xfId="0" applyFont="1" applyFill="1" applyBorder="1" applyAlignment="1">
      <alignment horizontal="center"/>
    </xf>
    <xf numFmtId="1" fontId="16" fillId="0" borderId="13" xfId="0" applyNumberFormat="1" applyFont="1" applyBorder="1" applyAlignment="1">
      <alignment horizontal="center"/>
    </xf>
    <xf numFmtId="1" fontId="52" fillId="0" borderId="13" xfId="0" applyNumberFormat="1" applyFont="1" applyBorder="1" applyAlignment="1">
      <alignment horizontal="center"/>
    </xf>
    <xf numFmtId="164" fontId="16" fillId="0" borderId="13" xfId="0" applyNumberFormat="1" applyFont="1" applyBorder="1" applyAlignment="1">
      <alignment horizontal="center"/>
    </xf>
    <xf numFmtId="2" fontId="16" fillId="0" borderId="7" xfId="0" applyNumberFormat="1" applyFont="1" applyBorder="1" applyAlignment="1">
      <alignment horizontal="center"/>
    </xf>
    <xf numFmtId="0" fontId="16" fillId="0" borderId="1" xfId="0" applyFont="1" applyBorder="1" applyAlignment="1">
      <alignment horizontal="center"/>
    </xf>
    <xf numFmtId="0" fontId="16" fillId="0" borderId="28" xfId="0" applyFont="1" applyBorder="1" applyAlignment="1">
      <alignment horizontal="center"/>
    </xf>
    <xf numFmtId="0" fontId="16" fillId="0" borderId="29" xfId="0" applyFont="1" applyBorder="1" applyAlignment="1">
      <alignment horizontal="center"/>
    </xf>
    <xf numFmtId="2" fontId="16" fillId="0" borderId="29" xfId="0" applyNumberFormat="1" applyFont="1" applyBorder="1" applyAlignment="1">
      <alignment horizontal="center"/>
    </xf>
    <xf numFmtId="2" fontId="16" fillId="0" borderId="30" xfId="0" applyNumberFormat="1" applyFont="1" applyBorder="1" applyAlignment="1">
      <alignment horizontal="center"/>
    </xf>
    <xf numFmtId="0" fontId="16" fillId="0" borderId="30" xfId="0" applyFont="1" applyBorder="1" applyAlignment="1">
      <alignment horizontal="center"/>
    </xf>
    <xf numFmtId="164" fontId="16" fillId="0" borderId="29" xfId="0" applyNumberFormat="1" applyFont="1" applyBorder="1" applyAlignment="1">
      <alignment horizontal="center"/>
    </xf>
    <xf numFmtId="164" fontId="16" fillId="0" borderId="7" xfId="0" applyNumberFormat="1" applyFont="1" applyBorder="1" applyAlignment="1">
      <alignment horizontal="center"/>
    </xf>
    <xf numFmtId="0" fontId="16" fillId="0" borderId="31" xfId="0" applyFont="1" applyBorder="1" applyAlignment="1">
      <alignment horizontal="center"/>
    </xf>
    <xf numFmtId="0" fontId="16" fillId="3" borderId="1" xfId="0" applyFont="1" applyFill="1" applyBorder="1" applyAlignment="1">
      <alignment horizontal="center"/>
    </xf>
    <xf numFmtId="2" fontId="16" fillId="0" borderId="1" xfId="0" applyNumberFormat="1" applyFont="1" applyBorder="1" applyAlignment="1">
      <alignment horizontal="center"/>
    </xf>
    <xf numFmtId="0" fontId="16" fillId="3" borderId="30" xfId="0" applyFont="1" applyFill="1" applyBorder="1" applyAlignment="1">
      <alignment horizontal="center"/>
    </xf>
    <xf numFmtId="1" fontId="16" fillId="0" borderId="30" xfId="0" applyNumberFormat="1" applyFont="1" applyBorder="1" applyAlignment="1">
      <alignment horizontal="center"/>
    </xf>
    <xf numFmtId="0" fontId="58" fillId="0" borderId="32" xfId="0" applyFont="1" applyBorder="1" applyAlignment="1">
      <alignment horizontal="center" vertical="top" wrapText="1"/>
    </xf>
    <xf numFmtId="0" fontId="58" fillId="17" borderId="32" xfId="0" applyFont="1" applyFill="1" applyBorder="1" applyAlignment="1">
      <alignment horizontal="center" vertical="top" wrapText="1"/>
    </xf>
    <xf numFmtId="168" fontId="8" fillId="0" borderId="0" xfId="0" applyNumberFormat="1" applyFont="1"/>
    <xf numFmtId="164" fontId="8" fillId="0" borderId="0" xfId="0" applyNumberFormat="1" applyFont="1" applyAlignment="1">
      <alignment horizontal="center"/>
    </xf>
    <xf numFmtId="0" fontId="59" fillId="0" borderId="0" xfId="0" applyFont="1"/>
    <xf numFmtId="1" fontId="16" fillId="0" borderId="1" xfId="0" applyNumberFormat="1" applyFont="1" applyBorder="1" applyAlignment="1">
      <alignment horizontal="center"/>
    </xf>
    <xf numFmtId="0" fontId="60" fillId="0" borderId="0" xfId="0" applyFont="1"/>
    <xf numFmtId="165" fontId="13" fillId="0" borderId="0" xfId="0" applyNumberFormat="1" applyFont="1"/>
    <xf numFmtId="0" fontId="61" fillId="0" borderId="0" xfId="0" applyFont="1"/>
    <xf numFmtId="0" fontId="62" fillId="0" borderId="0" xfId="0" applyFont="1" applyAlignment="1">
      <alignment vertical="center"/>
    </xf>
    <xf numFmtId="0" fontId="63" fillId="11" borderId="0" xfId="0" applyFont="1" applyFill="1"/>
    <xf numFmtId="0" fontId="0" fillId="6" borderId="2" xfId="0" applyFill="1" applyBorder="1"/>
    <xf numFmtId="9" fontId="13" fillId="6" borderId="0" xfId="0" applyNumberFormat="1" applyFont="1" applyFill="1"/>
    <xf numFmtId="0" fontId="64" fillId="0" borderId="0" xfId="0" applyFont="1"/>
    <xf numFmtId="0" fontId="65" fillId="0" borderId="0" xfId="0" applyFont="1"/>
    <xf numFmtId="0" fontId="8" fillId="9" borderId="3" xfId="0" applyFont="1" applyFill="1" applyBorder="1" applyAlignment="1">
      <alignment vertical="center" wrapText="1"/>
    </xf>
    <xf numFmtId="1" fontId="33" fillId="0" borderId="0" xfId="0" applyNumberFormat="1" applyFont="1"/>
    <xf numFmtId="2" fontId="20" fillId="0" borderId="0" xfId="0" applyNumberFormat="1" applyFont="1" applyAlignment="1">
      <alignment horizontal="left" vertical="center" wrapText="1" readingOrder="1"/>
    </xf>
    <xf numFmtId="4" fontId="16" fillId="0" borderId="2" xfId="0" applyNumberFormat="1" applyFont="1" applyBorder="1"/>
    <xf numFmtId="0" fontId="66" fillId="0" borderId="2" xfId="0" applyFont="1" applyBorder="1"/>
    <xf numFmtId="0" fontId="49" fillId="0" borderId="2" xfId="8" applyFont="1" applyBorder="1"/>
    <xf numFmtId="0" fontId="67" fillId="0" borderId="2" xfId="0" applyFont="1" applyBorder="1" applyAlignment="1">
      <alignment horizontal="center" vertical="top" wrapText="1"/>
    </xf>
    <xf numFmtId="0" fontId="67" fillId="17" borderId="2" xfId="0" applyFont="1" applyFill="1" applyBorder="1" applyAlignment="1">
      <alignment horizontal="center" vertical="top" wrapText="1"/>
    </xf>
    <xf numFmtId="165" fontId="20" fillId="0" borderId="7" xfId="0" applyNumberFormat="1" applyFont="1" applyBorder="1" applyAlignment="1">
      <alignment horizontal="left" vertical="center" wrapText="1" readingOrder="1"/>
    </xf>
    <xf numFmtId="2" fontId="20" fillId="0" borderId="7" xfId="0" applyNumberFormat="1" applyFont="1" applyBorder="1" applyAlignment="1">
      <alignment horizontal="left" vertical="center" wrapText="1" readingOrder="1"/>
    </xf>
    <xf numFmtId="2" fontId="16" fillId="0" borderId="33" xfId="0" applyNumberFormat="1" applyFont="1" applyBorder="1" applyAlignment="1">
      <alignment horizontal="center"/>
    </xf>
    <xf numFmtId="14" fontId="0" fillId="0" borderId="0" xfId="0" applyNumberFormat="1"/>
    <xf numFmtId="14" fontId="11" fillId="0" borderId="0" xfId="0" applyNumberFormat="1" applyFont="1" applyAlignment="1">
      <alignment horizontal="left" vertical="center" readingOrder="1"/>
    </xf>
    <xf numFmtId="14" fontId="11" fillId="0" borderId="5" xfId="0" applyNumberFormat="1" applyFont="1" applyBorder="1" applyAlignment="1">
      <alignment vertical="center" wrapText="1" readingOrder="1"/>
    </xf>
    <xf numFmtId="14" fontId="8" fillId="0" borderId="0" xfId="0" applyNumberFormat="1" applyFont="1" applyAlignment="1">
      <alignment horizontal="center"/>
    </xf>
    <xf numFmtId="14" fontId="8" fillId="0" borderId="0" xfId="0" applyNumberFormat="1" applyFont="1"/>
    <xf numFmtId="0" fontId="20" fillId="0" borderId="7" xfId="0" applyFont="1" applyBorder="1" applyAlignment="1">
      <alignment horizontal="left" vertical="center" readingOrder="1"/>
    </xf>
    <xf numFmtId="4" fontId="0" fillId="0" borderId="2" xfId="0" applyNumberFormat="1" applyBorder="1"/>
    <xf numFmtId="170" fontId="16" fillId="0" borderId="2" xfId="0" applyNumberFormat="1" applyFont="1" applyBorder="1"/>
    <xf numFmtId="2" fontId="16" fillId="18" borderId="2" xfId="0" applyNumberFormat="1" applyFont="1" applyFill="1" applyBorder="1"/>
    <xf numFmtId="0" fontId="7" fillId="0" borderId="0" xfId="0" applyFont="1" applyAlignment="1">
      <alignment horizontal="center"/>
    </xf>
    <xf numFmtId="0" fontId="16" fillId="0" borderId="3" xfId="0" applyFont="1" applyBorder="1" applyAlignment="1">
      <alignment horizontal="center"/>
    </xf>
    <xf numFmtId="0" fontId="63" fillId="19" borderId="0" xfId="0" applyFont="1" applyFill="1"/>
    <xf numFmtId="0" fontId="63" fillId="19" borderId="11" xfId="0" applyFont="1" applyFill="1" applyBorder="1"/>
    <xf numFmtId="0" fontId="68" fillId="11" borderId="0" xfId="0" applyFont="1" applyFill="1"/>
    <xf numFmtId="1" fontId="16" fillId="0" borderId="0" xfId="0" applyNumberFormat="1" applyFont="1"/>
    <xf numFmtId="0" fontId="8" fillId="9" borderId="3" xfId="0" applyFont="1" applyFill="1" applyBorder="1" applyAlignment="1">
      <alignment horizontal="center" vertical="center" wrapText="1"/>
    </xf>
    <xf numFmtId="0" fontId="8" fillId="9" borderId="4" xfId="0" applyFont="1" applyFill="1" applyBorder="1" applyAlignment="1">
      <alignment horizontal="center" vertical="center" wrapText="1"/>
    </xf>
    <xf numFmtId="0" fontId="7" fillId="0" borderId="1" xfId="0" applyFont="1" applyBorder="1" applyAlignment="1">
      <alignment horizontal="center"/>
    </xf>
    <xf numFmtId="0" fontId="20" fillId="0" borderId="7" xfId="0" applyFont="1" applyBorder="1" applyAlignment="1">
      <alignment horizontal="center" vertical="center" wrapText="1" readingOrder="1"/>
    </xf>
    <xf numFmtId="0" fontId="20" fillId="0" borderId="1" xfId="0" applyFont="1" applyBorder="1" applyAlignment="1">
      <alignment horizontal="center" vertical="center" wrapText="1" readingOrder="1"/>
    </xf>
    <xf numFmtId="0" fontId="13" fillId="0" borderId="0" xfId="0" applyFont="1" applyAlignment="1">
      <alignment horizontal="center" vertical="center"/>
    </xf>
    <xf numFmtId="0" fontId="6" fillId="0" borderId="7" xfId="0" applyFont="1" applyBorder="1" applyAlignment="1">
      <alignment horizontal="center" vertical="center" wrapText="1" readingOrder="1"/>
    </xf>
    <xf numFmtId="0" fontId="6" fillId="0" borderId="1" xfId="0" applyFont="1" applyBorder="1" applyAlignment="1">
      <alignment horizontal="center" vertical="center" wrapText="1" readingOrder="1"/>
    </xf>
    <xf numFmtId="0" fontId="20" fillId="0" borderId="7" xfId="0" applyFont="1" applyBorder="1" applyAlignment="1">
      <alignment horizontal="center" vertical="center" readingOrder="1"/>
    </xf>
    <xf numFmtId="0" fontId="20" fillId="0" borderId="1" xfId="0" applyFont="1" applyBorder="1" applyAlignment="1">
      <alignment horizontal="center" vertical="center" readingOrder="1"/>
    </xf>
    <xf numFmtId="0" fontId="13" fillId="0" borderId="0" xfId="0" applyFont="1" applyAlignment="1">
      <alignment horizontal="center"/>
    </xf>
    <xf numFmtId="0" fontId="13" fillId="0" borderId="1" xfId="0" applyFont="1" applyBorder="1" applyAlignment="1">
      <alignment horizontal="center"/>
    </xf>
    <xf numFmtId="0" fontId="20" fillId="0" borderId="2" xfId="0" applyFont="1" applyBorder="1" applyAlignment="1">
      <alignment horizontal="center" vertical="center" wrapText="1" readingOrder="1"/>
    </xf>
    <xf numFmtId="0" fontId="20" fillId="0" borderId="5" xfId="0" applyFont="1" applyBorder="1" applyAlignment="1">
      <alignment horizontal="center" vertical="center" wrapText="1" readingOrder="1"/>
    </xf>
    <xf numFmtId="0" fontId="20" fillId="0" borderId="6" xfId="0" applyFont="1" applyBorder="1" applyAlignment="1">
      <alignment horizontal="center" vertical="center" wrapText="1" readingOrder="1"/>
    </xf>
    <xf numFmtId="0" fontId="20" fillId="0" borderId="5" xfId="0" applyFont="1" applyBorder="1" applyAlignment="1">
      <alignment horizontal="left" vertical="center" readingOrder="1"/>
    </xf>
    <xf numFmtId="0" fontId="20" fillId="0" borderId="6" xfId="0" applyFont="1" applyBorder="1" applyAlignment="1">
      <alignment horizontal="left" vertical="center" readingOrder="1"/>
    </xf>
    <xf numFmtId="0" fontId="11" fillId="0" borderId="7" xfId="0" applyFont="1" applyBorder="1" applyAlignment="1">
      <alignment horizontal="center" vertical="center" wrapText="1" readingOrder="1"/>
    </xf>
    <xf numFmtId="0" fontId="11" fillId="0" borderId="1" xfId="0" applyFont="1" applyBorder="1" applyAlignment="1">
      <alignment horizontal="center" vertical="center" wrapText="1" readingOrder="1"/>
    </xf>
    <xf numFmtId="0" fontId="20" fillId="0" borderId="0" xfId="0" applyFont="1" applyAlignment="1">
      <alignment horizontal="center" vertical="center" wrapText="1" readingOrder="1"/>
    </xf>
    <xf numFmtId="0" fontId="11" fillId="0" borderId="7" xfId="0" applyFont="1" applyBorder="1" applyAlignment="1">
      <alignment horizontal="left" vertical="center" wrapText="1" readingOrder="1"/>
    </xf>
    <xf numFmtId="0" fontId="11" fillId="0" borderId="1" xfId="0" applyFont="1" applyBorder="1" applyAlignment="1">
      <alignment horizontal="left" vertical="center" wrapText="1" readingOrder="1"/>
    </xf>
    <xf numFmtId="0" fontId="20" fillId="0" borderId="7" xfId="0" applyFont="1" applyBorder="1" applyAlignment="1">
      <alignment horizontal="left" vertical="center" wrapText="1" readingOrder="1"/>
    </xf>
    <xf numFmtId="0" fontId="20" fillId="0" borderId="1" xfId="0" applyFont="1" applyBorder="1" applyAlignment="1">
      <alignment horizontal="left" vertical="center" wrapText="1" readingOrder="1"/>
    </xf>
  </cellXfs>
  <cellStyles count="10">
    <cellStyle name="Comma 2" xfId="6" xr:uid="{00000000-0005-0000-0000-000000000000}"/>
    <cellStyle name="Hyperlink" xfId="8" builtinId="8"/>
    <cellStyle name="Hyperlink 2" xfId="7" xr:uid="{00000000-0005-0000-0000-000002000000}"/>
    <cellStyle name="Normal" xfId="0" builtinId="0"/>
    <cellStyle name="Normal 2" xfId="2" xr:uid="{00000000-0005-0000-0000-000004000000}"/>
    <cellStyle name="Normal 2 2" xfId="4" xr:uid="{00000000-0005-0000-0000-000005000000}"/>
    <cellStyle name="Normal 3" xfId="9" xr:uid="{00000000-0005-0000-0000-000006000000}"/>
    <cellStyle name="Normal 4" xfId="3" xr:uid="{00000000-0005-0000-0000-000007000000}"/>
    <cellStyle name="Per cent" xfId="1" builtinId="5"/>
    <cellStyle name="Percent 2" xfId="5" xr:uid="{00000000-0005-0000-0000-000009000000}"/>
  </cellStyles>
  <dxfs count="35">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externalLink" Target="externalLinks/externalLink7.xml"/><Relationship Id="rId128" Type="http://schemas.openxmlformats.org/officeDocument/2006/relationships/sharedStrings" Target="sharedString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externalLink" Target="externalLinks/externalLink2.xml"/><Relationship Id="rId134" Type="http://schemas.openxmlformats.org/officeDocument/2006/relationships/customXml" Target="../customXml/item1.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externalLink" Target="externalLinks/externalLink8.xml"/><Relationship Id="rId129" Type="http://schemas.openxmlformats.org/officeDocument/2006/relationships/sheetMetadata" Target="metadata.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externalLink" Target="externalLinks/externalLink3.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microsoft.com/office/2017/06/relationships/rdRichValue" Target="richData/rdrichvalue.xml"/><Relationship Id="rId135" Type="http://schemas.openxmlformats.org/officeDocument/2006/relationships/customXml" Target="../customXml/item2.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externalLink" Target="externalLinks/externalLink4.xml"/><Relationship Id="rId125" Type="http://schemas.openxmlformats.org/officeDocument/2006/relationships/externalLink" Target="externalLinks/externalLink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microsoft.com/office/2017/06/relationships/rdRichValueStructure" Target="richData/rdrichvaluestructure.xml"/><Relationship Id="rId136" Type="http://schemas.openxmlformats.org/officeDocument/2006/relationships/customXml" Target="../customXml/item3.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externalLink" Target="externalLinks/externalLink5.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microsoft.com/office/2017/06/relationships/rdRichValueTypes" Target="richData/rdRichValueTypes.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calcChain" Target="calcChain.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8D0FE45D-6F5A-4077-8A7E-0421082BF343}" type="doc">
      <dgm:prSet loTypeId="urn:microsoft.com/office/officeart/2005/8/layout/hierarchy1" loCatId="hierarchy" qsTypeId="urn:microsoft.com/office/officeart/2005/8/quickstyle/simple1" qsCatId="simple" csTypeId="urn:microsoft.com/office/officeart/2005/8/colors/accent1_2" csCatId="accent1" phldr="1"/>
      <dgm:spPr/>
      <dgm:t>
        <a:bodyPr/>
        <a:lstStyle/>
        <a:p>
          <a:endParaRPr lang="en-US"/>
        </a:p>
      </dgm:t>
    </dgm:pt>
    <dgm:pt modelId="{4397B95E-8D91-4DD9-9E67-FC43E16D6224}">
      <dgm:prSet phldrT="[Text]"/>
      <dgm:spPr/>
      <dgm:t>
        <a:bodyPr/>
        <a:lstStyle/>
        <a:p>
          <a:r>
            <a:rPr lang="en-US"/>
            <a:t>Toluene + Chlorine (chlorination)</a:t>
          </a:r>
        </a:p>
      </dgm:t>
    </dgm:pt>
    <dgm:pt modelId="{E4FAE424-C075-4A6F-81F4-87BCF52FB51A}" type="parTrans" cxnId="{5E1D70CA-4E6D-49AF-8729-55F7A8B29462}">
      <dgm:prSet/>
      <dgm:spPr/>
      <dgm:t>
        <a:bodyPr/>
        <a:lstStyle/>
        <a:p>
          <a:endParaRPr lang="en-US"/>
        </a:p>
      </dgm:t>
    </dgm:pt>
    <dgm:pt modelId="{EC586E23-56AD-48D9-A78F-23C8E8499B36}" type="sibTrans" cxnId="{5E1D70CA-4E6D-49AF-8729-55F7A8B29462}">
      <dgm:prSet/>
      <dgm:spPr/>
      <dgm:t>
        <a:bodyPr/>
        <a:lstStyle/>
        <a:p>
          <a:endParaRPr lang="en-US"/>
        </a:p>
      </dgm:t>
    </dgm:pt>
    <dgm:pt modelId="{A16D8620-F623-46E3-9A6C-FC88B626A85B}">
      <dgm:prSet phldrT="[Text]"/>
      <dgm:spPr/>
      <dgm:t>
        <a:bodyPr/>
        <a:lstStyle/>
        <a:p>
          <a:r>
            <a:rPr lang="en-US"/>
            <a:t>Benzyl Chloride   </a:t>
          </a:r>
        </a:p>
      </dgm:t>
    </dgm:pt>
    <dgm:pt modelId="{21A3294B-669B-4444-914C-1037D3EE809B}" type="parTrans" cxnId="{07B2C837-965F-4256-A5A4-DE9B68FFA292}">
      <dgm:prSet/>
      <dgm:spPr/>
      <dgm:t>
        <a:bodyPr/>
        <a:lstStyle/>
        <a:p>
          <a:endParaRPr lang="en-US"/>
        </a:p>
      </dgm:t>
    </dgm:pt>
    <dgm:pt modelId="{AE0B6236-3E43-4444-8E9E-1C9F992C628C}" type="sibTrans" cxnId="{07B2C837-965F-4256-A5A4-DE9B68FFA292}">
      <dgm:prSet/>
      <dgm:spPr/>
      <dgm:t>
        <a:bodyPr/>
        <a:lstStyle/>
        <a:p>
          <a:endParaRPr lang="en-US"/>
        </a:p>
      </dgm:t>
    </dgm:pt>
    <dgm:pt modelId="{DBFF3226-2581-4E81-A4CC-89D27FABF555}">
      <dgm:prSet phldrT="[Text]"/>
      <dgm:spPr/>
      <dgm:t>
        <a:bodyPr/>
        <a:lstStyle/>
        <a:p>
          <a:r>
            <a:rPr lang="en-US"/>
            <a:t>Benzal Chloride </a:t>
          </a:r>
        </a:p>
      </dgm:t>
    </dgm:pt>
    <dgm:pt modelId="{8B459DC9-77D0-43D2-A90E-4A088E8F2BD7}" type="parTrans" cxnId="{0E04E3E6-BB6D-408A-9120-4D2C3BF6F6BB}">
      <dgm:prSet/>
      <dgm:spPr/>
      <dgm:t>
        <a:bodyPr/>
        <a:lstStyle/>
        <a:p>
          <a:endParaRPr lang="en-US"/>
        </a:p>
      </dgm:t>
    </dgm:pt>
    <dgm:pt modelId="{3D71AD36-DF42-4D0D-8B7C-53B6739EE2E8}" type="sibTrans" cxnId="{0E04E3E6-BB6D-408A-9120-4D2C3BF6F6BB}">
      <dgm:prSet/>
      <dgm:spPr/>
      <dgm:t>
        <a:bodyPr/>
        <a:lstStyle/>
        <a:p>
          <a:endParaRPr lang="en-US"/>
        </a:p>
      </dgm:t>
    </dgm:pt>
    <dgm:pt modelId="{159BC78F-3DF7-4A20-AE16-3CA8E59F42DF}">
      <dgm:prSet phldrT="[Text]"/>
      <dgm:spPr/>
      <dgm:t>
        <a:bodyPr/>
        <a:lstStyle/>
        <a:p>
          <a:r>
            <a:rPr lang="en-US"/>
            <a:t>Hydrolysis &amp; removing of Benzyl Chloride </a:t>
          </a:r>
        </a:p>
      </dgm:t>
    </dgm:pt>
    <dgm:pt modelId="{9D17A66A-79FB-422C-A013-29473346A580}" type="sibTrans" cxnId="{78EF5DD5-6211-4158-A17F-115A503ABED9}">
      <dgm:prSet/>
      <dgm:spPr/>
      <dgm:t>
        <a:bodyPr/>
        <a:lstStyle/>
        <a:p>
          <a:endParaRPr lang="en-US"/>
        </a:p>
      </dgm:t>
    </dgm:pt>
    <dgm:pt modelId="{CFEA2D60-E4F9-4AAF-A782-73A592CEE55F}" type="parTrans" cxnId="{78EF5DD5-6211-4158-A17F-115A503ABED9}">
      <dgm:prSet/>
      <dgm:spPr/>
      <dgm:t>
        <a:bodyPr/>
        <a:lstStyle/>
        <a:p>
          <a:endParaRPr lang="en-US"/>
        </a:p>
      </dgm:t>
    </dgm:pt>
    <dgm:pt modelId="{311C0970-7589-45B2-9960-63E5C1D5906F}" type="pres">
      <dgm:prSet presAssocID="{8D0FE45D-6F5A-4077-8A7E-0421082BF343}" presName="hierChild1" presStyleCnt="0">
        <dgm:presLayoutVars>
          <dgm:chPref val="1"/>
          <dgm:dir/>
          <dgm:animOne val="branch"/>
          <dgm:animLvl val="lvl"/>
          <dgm:resizeHandles/>
        </dgm:presLayoutVars>
      </dgm:prSet>
      <dgm:spPr/>
    </dgm:pt>
    <dgm:pt modelId="{A4EF4B24-E84B-4429-8398-3D1F5081CD99}" type="pres">
      <dgm:prSet presAssocID="{4397B95E-8D91-4DD9-9E67-FC43E16D6224}" presName="hierRoot1" presStyleCnt="0"/>
      <dgm:spPr/>
    </dgm:pt>
    <dgm:pt modelId="{D6A3CB9C-0A30-41B4-BEEF-7AED8866326A}" type="pres">
      <dgm:prSet presAssocID="{4397B95E-8D91-4DD9-9E67-FC43E16D6224}" presName="composite" presStyleCnt="0"/>
      <dgm:spPr/>
    </dgm:pt>
    <dgm:pt modelId="{5952D1FF-738E-4E01-BF86-E3FD2D902526}" type="pres">
      <dgm:prSet presAssocID="{4397B95E-8D91-4DD9-9E67-FC43E16D6224}" presName="background" presStyleLbl="node0" presStyleIdx="0" presStyleCnt="1"/>
      <dgm:spPr/>
    </dgm:pt>
    <dgm:pt modelId="{1E2F396A-877E-413E-99CC-D905020AC2E0}" type="pres">
      <dgm:prSet presAssocID="{4397B95E-8D91-4DD9-9E67-FC43E16D6224}" presName="text" presStyleLbl="fgAcc0" presStyleIdx="0" presStyleCnt="1">
        <dgm:presLayoutVars>
          <dgm:chPref val="3"/>
        </dgm:presLayoutVars>
      </dgm:prSet>
      <dgm:spPr/>
    </dgm:pt>
    <dgm:pt modelId="{DFA534B2-3713-45EA-9D78-7B26BBD85E68}" type="pres">
      <dgm:prSet presAssocID="{4397B95E-8D91-4DD9-9E67-FC43E16D6224}" presName="hierChild2" presStyleCnt="0"/>
      <dgm:spPr/>
    </dgm:pt>
    <dgm:pt modelId="{50BB1F35-E31E-4B81-8AF4-F74CA2500D05}" type="pres">
      <dgm:prSet presAssocID="{21A3294B-669B-4444-914C-1037D3EE809B}" presName="Name10" presStyleLbl="parChTrans1D2" presStyleIdx="0" presStyleCnt="2"/>
      <dgm:spPr/>
    </dgm:pt>
    <dgm:pt modelId="{BB5F051D-99CF-4796-9590-BB2E83CF36F3}" type="pres">
      <dgm:prSet presAssocID="{A16D8620-F623-46E3-9A6C-FC88B626A85B}" presName="hierRoot2" presStyleCnt="0"/>
      <dgm:spPr/>
    </dgm:pt>
    <dgm:pt modelId="{E1BE970E-7C79-4067-92D0-92A383E69CC7}" type="pres">
      <dgm:prSet presAssocID="{A16D8620-F623-46E3-9A6C-FC88B626A85B}" presName="composite2" presStyleCnt="0"/>
      <dgm:spPr/>
    </dgm:pt>
    <dgm:pt modelId="{47ACED51-969C-4EA7-A179-C0C08001E6D9}" type="pres">
      <dgm:prSet presAssocID="{A16D8620-F623-46E3-9A6C-FC88B626A85B}" presName="background2" presStyleLbl="node2" presStyleIdx="0" presStyleCnt="2"/>
      <dgm:spPr/>
    </dgm:pt>
    <dgm:pt modelId="{918F1CFA-D498-4808-AB44-9402FB146AE2}" type="pres">
      <dgm:prSet presAssocID="{A16D8620-F623-46E3-9A6C-FC88B626A85B}" presName="text2" presStyleLbl="fgAcc2" presStyleIdx="0" presStyleCnt="2">
        <dgm:presLayoutVars>
          <dgm:chPref val="3"/>
        </dgm:presLayoutVars>
      </dgm:prSet>
      <dgm:spPr/>
    </dgm:pt>
    <dgm:pt modelId="{FE668754-7CA8-40BF-B4AD-37AC2657332B}" type="pres">
      <dgm:prSet presAssocID="{A16D8620-F623-46E3-9A6C-FC88B626A85B}" presName="hierChild3" presStyleCnt="0"/>
      <dgm:spPr/>
    </dgm:pt>
    <dgm:pt modelId="{BFF65B80-9360-49E9-8B8B-01BB521DE8AE}" type="pres">
      <dgm:prSet presAssocID="{8B459DC9-77D0-43D2-A90E-4A088E8F2BD7}" presName="Name10" presStyleLbl="parChTrans1D2" presStyleIdx="1" presStyleCnt="2"/>
      <dgm:spPr/>
    </dgm:pt>
    <dgm:pt modelId="{6A823387-693E-4DA0-8879-FA2A1D7B13D9}" type="pres">
      <dgm:prSet presAssocID="{DBFF3226-2581-4E81-A4CC-89D27FABF555}" presName="hierRoot2" presStyleCnt="0"/>
      <dgm:spPr/>
    </dgm:pt>
    <dgm:pt modelId="{EFA25FC5-F0FC-4EE8-8C4F-7A58EA858C70}" type="pres">
      <dgm:prSet presAssocID="{DBFF3226-2581-4E81-A4CC-89D27FABF555}" presName="composite2" presStyleCnt="0"/>
      <dgm:spPr/>
    </dgm:pt>
    <dgm:pt modelId="{33B13623-DC34-42A6-AD52-18B444E3EABB}" type="pres">
      <dgm:prSet presAssocID="{DBFF3226-2581-4E81-A4CC-89D27FABF555}" presName="background2" presStyleLbl="node2" presStyleIdx="1" presStyleCnt="2"/>
      <dgm:spPr/>
    </dgm:pt>
    <dgm:pt modelId="{3B48C60C-7901-4CE6-8977-EBD44DC9D964}" type="pres">
      <dgm:prSet presAssocID="{DBFF3226-2581-4E81-A4CC-89D27FABF555}" presName="text2" presStyleLbl="fgAcc2" presStyleIdx="1" presStyleCnt="2">
        <dgm:presLayoutVars>
          <dgm:chPref val="3"/>
        </dgm:presLayoutVars>
      </dgm:prSet>
      <dgm:spPr/>
    </dgm:pt>
    <dgm:pt modelId="{5180BB5B-A9CC-4DEA-A21C-70D583F26494}" type="pres">
      <dgm:prSet presAssocID="{DBFF3226-2581-4E81-A4CC-89D27FABF555}" presName="hierChild3" presStyleCnt="0"/>
      <dgm:spPr/>
    </dgm:pt>
    <dgm:pt modelId="{48616BBD-866E-4617-AC91-6CA9D654456F}" type="pres">
      <dgm:prSet presAssocID="{CFEA2D60-E4F9-4AAF-A782-73A592CEE55F}" presName="Name17" presStyleLbl="parChTrans1D3" presStyleIdx="0" presStyleCnt="1"/>
      <dgm:spPr/>
    </dgm:pt>
    <dgm:pt modelId="{C57F3643-792F-4803-98F8-D02505B9064E}" type="pres">
      <dgm:prSet presAssocID="{159BC78F-3DF7-4A20-AE16-3CA8E59F42DF}" presName="hierRoot3" presStyleCnt="0"/>
      <dgm:spPr/>
    </dgm:pt>
    <dgm:pt modelId="{530774B5-587A-4420-B120-A97B036C4725}" type="pres">
      <dgm:prSet presAssocID="{159BC78F-3DF7-4A20-AE16-3CA8E59F42DF}" presName="composite3" presStyleCnt="0"/>
      <dgm:spPr/>
    </dgm:pt>
    <dgm:pt modelId="{9D19B17F-BFF0-4550-A126-4044B4A9DD7F}" type="pres">
      <dgm:prSet presAssocID="{159BC78F-3DF7-4A20-AE16-3CA8E59F42DF}" presName="background3" presStyleLbl="node3" presStyleIdx="0" presStyleCnt="1"/>
      <dgm:spPr/>
    </dgm:pt>
    <dgm:pt modelId="{085AA417-59BD-4FE0-AFBD-5FE0F34099F4}" type="pres">
      <dgm:prSet presAssocID="{159BC78F-3DF7-4A20-AE16-3CA8E59F42DF}" presName="text3" presStyleLbl="fgAcc3" presStyleIdx="0" presStyleCnt="1">
        <dgm:presLayoutVars>
          <dgm:chPref val="3"/>
        </dgm:presLayoutVars>
      </dgm:prSet>
      <dgm:spPr/>
    </dgm:pt>
    <dgm:pt modelId="{2A42AE9A-04A0-4CF0-A678-A311685E59B4}" type="pres">
      <dgm:prSet presAssocID="{159BC78F-3DF7-4A20-AE16-3CA8E59F42DF}" presName="hierChild4" presStyleCnt="0"/>
      <dgm:spPr/>
    </dgm:pt>
  </dgm:ptLst>
  <dgm:cxnLst>
    <dgm:cxn modelId="{ABA01610-C02D-494E-A0FE-773B796A281B}" type="presOf" srcId="{4397B95E-8D91-4DD9-9E67-FC43E16D6224}" destId="{1E2F396A-877E-413E-99CC-D905020AC2E0}" srcOrd="0" destOrd="0" presId="urn:microsoft.com/office/officeart/2005/8/layout/hierarchy1"/>
    <dgm:cxn modelId="{436D2516-243F-4557-9848-AA9D652A66A8}" type="presOf" srcId="{DBFF3226-2581-4E81-A4CC-89D27FABF555}" destId="{3B48C60C-7901-4CE6-8977-EBD44DC9D964}" srcOrd="0" destOrd="0" presId="urn:microsoft.com/office/officeart/2005/8/layout/hierarchy1"/>
    <dgm:cxn modelId="{4A79D716-74D5-4F4D-979C-88210E6979C0}" type="presOf" srcId="{8D0FE45D-6F5A-4077-8A7E-0421082BF343}" destId="{311C0970-7589-45B2-9960-63E5C1D5906F}" srcOrd="0" destOrd="0" presId="urn:microsoft.com/office/officeart/2005/8/layout/hierarchy1"/>
    <dgm:cxn modelId="{07B2C837-965F-4256-A5A4-DE9B68FFA292}" srcId="{4397B95E-8D91-4DD9-9E67-FC43E16D6224}" destId="{A16D8620-F623-46E3-9A6C-FC88B626A85B}" srcOrd="0" destOrd="0" parTransId="{21A3294B-669B-4444-914C-1037D3EE809B}" sibTransId="{AE0B6236-3E43-4444-8E9E-1C9F992C628C}"/>
    <dgm:cxn modelId="{9BAE5368-B5C0-42C0-9547-449C6C5CF219}" type="presOf" srcId="{159BC78F-3DF7-4A20-AE16-3CA8E59F42DF}" destId="{085AA417-59BD-4FE0-AFBD-5FE0F34099F4}" srcOrd="0" destOrd="0" presId="urn:microsoft.com/office/officeart/2005/8/layout/hierarchy1"/>
    <dgm:cxn modelId="{C40DA0AC-E887-425A-9184-C8837D09BA54}" type="presOf" srcId="{A16D8620-F623-46E3-9A6C-FC88B626A85B}" destId="{918F1CFA-D498-4808-AB44-9402FB146AE2}" srcOrd="0" destOrd="0" presId="urn:microsoft.com/office/officeart/2005/8/layout/hierarchy1"/>
    <dgm:cxn modelId="{9C1CD1B6-8BA2-41FD-992A-E2951B3C322F}" type="presOf" srcId="{CFEA2D60-E4F9-4AAF-A782-73A592CEE55F}" destId="{48616BBD-866E-4617-AC91-6CA9D654456F}" srcOrd="0" destOrd="0" presId="urn:microsoft.com/office/officeart/2005/8/layout/hierarchy1"/>
    <dgm:cxn modelId="{5E1D70CA-4E6D-49AF-8729-55F7A8B29462}" srcId="{8D0FE45D-6F5A-4077-8A7E-0421082BF343}" destId="{4397B95E-8D91-4DD9-9E67-FC43E16D6224}" srcOrd="0" destOrd="0" parTransId="{E4FAE424-C075-4A6F-81F4-87BCF52FB51A}" sibTransId="{EC586E23-56AD-48D9-A78F-23C8E8499B36}"/>
    <dgm:cxn modelId="{5401D8D2-1AD2-48C6-A2D3-83F30BBE6840}" type="presOf" srcId="{21A3294B-669B-4444-914C-1037D3EE809B}" destId="{50BB1F35-E31E-4B81-8AF4-F74CA2500D05}" srcOrd="0" destOrd="0" presId="urn:microsoft.com/office/officeart/2005/8/layout/hierarchy1"/>
    <dgm:cxn modelId="{78EF5DD5-6211-4158-A17F-115A503ABED9}" srcId="{DBFF3226-2581-4E81-A4CC-89D27FABF555}" destId="{159BC78F-3DF7-4A20-AE16-3CA8E59F42DF}" srcOrd="0" destOrd="0" parTransId="{CFEA2D60-E4F9-4AAF-A782-73A592CEE55F}" sibTransId="{9D17A66A-79FB-422C-A013-29473346A580}"/>
    <dgm:cxn modelId="{3F496CE6-7A40-43F4-AB29-33F62FD1C6E1}" type="presOf" srcId="{8B459DC9-77D0-43D2-A90E-4A088E8F2BD7}" destId="{BFF65B80-9360-49E9-8B8B-01BB521DE8AE}" srcOrd="0" destOrd="0" presId="urn:microsoft.com/office/officeart/2005/8/layout/hierarchy1"/>
    <dgm:cxn modelId="{0E04E3E6-BB6D-408A-9120-4D2C3BF6F6BB}" srcId="{4397B95E-8D91-4DD9-9E67-FC43E16D6224}" destId="{DBFF3226-2581-4E81-A4CC-89D27FABF555}" srcOrd="1" destOrd="0" parTransId="{8B459DC9-77D0-43D2-A90E-4A088E8F2BD7}" sibTransId="{3D71AD36-DF42-4D0D-8B7C-53B6739EE2E8}"/>
    <dgm:cxn modelId="{78C0B952-FDFC-41EA-A26B-7D0705D8E819}" type="presParOf" srcId="{311C0970-7589-45B2-9960-63E5C1D5906F}" destId="{A4EF4B24-E84B-4429-8398-3D1F5081CD99}" srcOrd="0" destOrd="0" presId="urn:microsoft.com/office/officeart/2005/8/layout/hierarchy1"/>
    <dgm:cxn modelId="{80F8EEC0-CAB9-4B22-A6D3-D1C4E8D69C96}" type="presParOf" srcId="{A4EF4B24-E84B-4429-8398-3D1F5081CD99}" destId="{D6A3CB9C-0A30-41B4-BEEF-7AED8866326A}" srcOrd="0" destOrd="0" presId="urn:microsoft.com/office/officeart/2005/8/layout/hierarchy1"/>
    <dgm:cxn modelId="{021CFD0D-24E2-4FCF-87D2-7EDC1E23670B}" type="presParOf" srcId="{D6A3CB9C-0A30-41B4-BEEF-7AED8866326A}" destId="{5952D1FF-738E-4E01-BF86-E3FD2D902526}" srcOrd="0" destOrd="0" presId="urn:microsoft.com/office/officeart/2005/8/layout/hierarchy1"/>
    <dgm:cxn modelId="{72E9A818-41C1-4B1B-875A-6B691224BB2B}" type="presParOf" srcId="{D6A3CB9C-0A30-41B4-BEEF-7AED8866326A}" destId="{1E2F396A-877E-413E-99CC-D905020AC2E0}" srcOrd="1" destOrd="0" presId="urn:microsoft.com/office/officeart/2005/8/layout/hierarchy1"/>
    <dgm:cxn modelId="{3E0E033F-20E8-45CA-8C30-75C7ADD852D3}" type="presParOf" srcId="{A4EF4B24-E84B-4429-8398-3D1F5081CD99}" destId="{DFA534B2-3713-45EA-9D78-7B26BBD85E68}" srcOrd="1" destOrd="0" presId="urn:microsoft.com/office/officeart/2005/8/layout/hierarchy1"/>
    <dgm:cxn modelId="{1B86BEE7-E792-4B4D-9D56-E1ECDF038479}" type="presParOf" srcId="{DFA534B2-3713-45EA-9D78-7B26BBD85E68}" destId="{50BB1F35-E31E-4B81-8AF4-F74CA2500D05}" srcOrd="0" destOrd="0" presId="urn:microsoft.com/office/officeart/2005/8/layout/hierarchy1"/>
    <dgm:cxn modelId="{241F4E14-013B-4102-AF2C-E3F00CA1CCAD}" type="presParOf" srcId="{DFA534B2-3713-45EA-9D78-7B26BBD85E68}" destId="{BB5F051D-99CF-4796-9590-BB2E83CF36F3}" srcOrd="1" destOrd="0" presId="urn:microsoft.com/office/officeart/2005/8/layout/hierarchy1"/>
    <dgm:cxn modelId="{DF4EDF35-E512-4720-873A-6F9052CD0E44}" type="presParOf" srcId="{BB5F051D-99CF-4796-9590-BB2E83CF36F3}" destId="{E1BE970E-7C79-4067-92D0-92A383E69CC7}" srcOrd="0" destOrd="0" presId="urn:microsoft.com/office/officeart/2005/8/layout/hierarchy1"/>
    <dgm:cxn modelId="{9E8EDB3D-88BD-4AA9-8696-4AF811BCF18A}" type="presParOf" srcId="{E1BE970E-7C79-4067-92D0-92A383E69CC7}" destId="{47ACED51-969C-4EA7-A179-C0C08001E6D9}" srcOrd="0" destOrd="0" presId="urn:microsoft.com/office/officeart/2005/8/layout/hierarchy1"/>
    <dgm:cxn modelId="{78DB3ECF-B2E0-4189-9492-2239BC4D1D68}" type="presParOf" srcId="{E1BE970E-7C79-4067-92D0-92A383E69CC7}" destId="{918F1CFA-D498-4808-AB44-9402FB146AE2}" srcOrd="1" destOrd="0" presId="urn:microsoft.com/office/officeart/2005/8/layout/hierarchy1"/>
    <dgm:cxn modelId="{F82C78D7-5C21-4208-8C7C-0883B550EF00}" type="presParOf" srcId="{BB5F051D-99CF-4796-9590-BB2E83CF36F3}" destId="{FE668754-7CA8-40BF-B4AD-37AC2657332B}" srcOrd="1" destOrd="0" presId="urn:microsoft.com/office/officeart/2005/8/layout/hierarchy1"/>
    <dgm:cxn modelId="{CC04C13E-5070-4820-A607-1296677F3FBF}" type="presParOf" srcId="{DFA534B2-3713-45EA-9D78-7B26BBD85E68}" destId="{BFF65B80-9360-49E9-8B8B-01BB521DE8AE}" srcOrd="2" destOrd="0" presId="urn:microsoft.com/office/officeart/2005/8/layout/hierarchy1"/>
    <dgm:cxn modelId="{FA0C0622-220D-4593-AA26-A7CFF34BB898}" type="presParOf" srcId="{DFA534B2-3713-45EA-9D78-7B26BBD85E68}" destId="{6A823387-693E-4DA0-8879-FA2A1D7B13D9}" srcOrd="3" destOrd="0" presId="urn:microsoft.com/office/officeart/2005/8/layout/hierarchy1"/>
    <dgm:cxn modelId="{A480DD4F-6928-496F-A42B-3C3ADB4D73F4}" type="presParOf" srcId="{6A823387-693E-4DA0-8879-FA2A1D7B13D9}" destId="{EFA25FC5-F0FC-4EE8-8C4F-7A58EA858C70}" srcOrd="0" destOrd="0" presId="urn:microsoft.com/office/officeart/2005/8/layout/hierarchy1"/>
    <dgm:cxn modelId="{C532CE36-13CD-4396-9279-A974AD4FE7CA}" type="presParOf" srcId="{EFA25FC5-F0FC-4EE8-8C4F-7A58EA858C70}" destId="{33B13623-DC34-42A6-AD52-18B444E3EABB}" srcOrd="0" destOrd="0" presId="urn:microsoft.com/office/officeart/2005/8/layout/hierarchy1"/>
    <dgm:cxn modelId="{7E9AE0EB-ECA8-4FBF-AACA-AB0FCC7D4B2B}" type="presParOf" srcId="{EFA25FC5-F0FC-4EE8-8C4F-7A58EA858C70}" destId="{3B48C60C-7901-4CE6-8977-EBD44DC9D964}" srcOrd="1" destOrd="0" presId="urn:microsoft.com/office/officeart/2005/8/layout/hierarchy1"/>
    <dgm:cxn modelId="{78261B1A-4EC1-4298-8441-AD750AE58BF2}" type="presParOf" srcId="{6A823387-693E-4DA0-8879-FA2A1D7B13D9}" destId="{5180BB5B-A9CC-4DEA-A21C-70D583F26494}" srcOrd="1" destOrd="0" presId="urn:microsoft.com/office/officeart/2005/8/layout/hierarchy1"/>
    <dgm:cxn modelId="{EDD89ECC-3B02-4263-BC70-24CE3529BA2F}" type="presParOf" srcId="{5180BB5B-A9CC-4DEA-A21C-70D583F26494}" destId="{48616BBD-866E-4617-AC91-6CA9D654456F}" srcOrd="0" destOrd="0" presId="urn:microsoft.com/office/officeart/2005/8/layout/hierarchy1"/>
    <dgm:cxn modelId="{7F20C6DF-3899-40C0-BDFA-BFD0F1505392}" type="presParOf" srcId="{5180BB5B-A9CC-4DEA-A21C-70D583F26494}" destId="{C57F3643-792F-4803-98F8-D02505B9064E}" srcOrd="1" destOrd="0" presId="urn:microsoft.com/office/officeart/2005/8/layout/hierarchy1"/>
    <dgm:cxn modelId="{ED0727EE-6BC3-42FC-B090-2F751C18BB33}" type="presParOf" srcId="{C57F3643-792F-4803-98F8-D02505B9064E}" destId="{530774B5-587A-4420-B120-A97B036C4725}" srcOrd="0" destOrd="0" presId="urn:microsoft.com/office/officeart/2005/8/layout/hierarchy1"/>
    <dgm:cxn modelId="{9D7B9902-BFDC-47BE-AF50-E2A150DFD92E}" type="presParOf" srcId="{530774B5-587A-4420-B120-A97B036C4725}" destId="{9D19B17F-BFF0-4550-A126-4044B4A9DD7F}" srcOrd="0" destOrd="0" presId="urn:microsoft.com/office/officeart/2005/8/layout/hierarchy1"/>
    <dgm:cxn modelId="{722B8B8B-BA50-4962-88A7-ECFC1E65D59D}" type="presParOf" srcId="{530774B5-587A-4420-B120-A97B036C4725}" destId="{085AA417-59BD-4FE0-AFBD-5FE0F34099F4}" srcOrd="1" destOrd="0" presId="urn:microsoft.com/office/officeart/2005/8/layout/hierarchy1"/>
    <dgm:cxn modelId="{AC41FCCE-3B32-4A84-AB3D-BEF8DAB48CB5}" type="presParOf" srcId="{C57F3643-792F-4803-98F8-D02505B9064E}" destId="{2A42AE9A-04A0-4CF0-A678-A311685E59B4}" srcOrd="1" destOrd="0" presId="urn:microsoft.com/office/officeart/2005/8/layout/hierarchy1"/>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48616BBD-866E-4617-AC91-6CA9D654456F}">
      <dsp:nvSpPr>
        <dsp:cNvPr id="0" name=""/>
        <dsp:cNvSpPr/>
      </dsp:nvSpPr>
      <dsp:spPr>
        <a:xfrm>
          <a:off x="2684462" y="1651332"/>
          <a:ext cx="91440" cy="307324"/>
        </a:xfrm>
        <a:custGeom>
          <a:avLst/>
          <a:gdLst/>
          <a:ahLst/>
          <a:cxnLst/>
          <a:rect l="0" t="0" r="0" b="0"/>
          <a:pathLst>
            <a:path>
              <a:moveTo>
                <a:pt x="45720" y="0"/>
              </a:moveTo>
              <a:lnTo>
                <a:pt x="45720" y="30732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BFF65B80-9360-49E9-8B8B-01BB521DE8AE}">
      <dsp:nvSpPr>
        <dsp:cNvPr id="0" name=""/>
        <dsp:cNvSpPr/>
      </dsp:nvSpPr>
      <dsp:spPr>
        <a:xfrm>
          <a:off x="2084419" y="673001"/>
          <a:ext cx="645762" cy="307324"/>
        </a:xfrm>
        <a:custGeom>
          <a:avLst/>
          <a:gdLst/>
          <a:ahLst/>
          <a:cxnLst/>
          <a:rect l="0" t="0" r="0" b="0"/>
          <a:pathLst>
            <a:path>
              <a:moveTo>
                <a:pt x="0" y="0"/>
              </a:moveTo>
              <a:lnTo>
                <a:pt x="0" y="209432"/>
              </a:lnTo>
              <a:lnTo>
                <a:pt x="645762" y="209432"/>
              </a:lnTo>
              <a:lnTo>
                <a:pt x="645762" y="307324"/>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50BB1F35-E31E-4B81-8AF4-F74CA2500D05}">
      <dsp:nvSpPr>
        <dsp:cNvPr id="0" name=""/>
        <dsp:cNvSpPr/>
      </dsp:nvSpPr>
      <dsp:spPr>
        <a:xfrm>
          <a:off x="1438656" y="673001"/>
          <a:ext cx="645762" cy="307324"/>
        </a:xfrm>
        <a:custGeom>
          <a:avLst/>
          <a:gdLst/>
          <a:ahLst/>
          <a:cxnLst/>
          <a:rect l="0" t="0" r="0" b="0"/>
          <a:pathLst>
            <a:path>
              <a:moveTo>
                <a:pt x="645762" y="0"/>
              </a:moveTo>
              <a:lnTo>
                <a:pt x="645762" y="209432"/>
              </a:lnTo>
              <a:lnTo>
                <a:pt x="0" y="209432"/>
              </a:lnTo>
              <a:lnTo>
                <a:pt x="0" y="307324"/>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5952D1FF-738E-4E01-BF86-E3FD2D902526}">
      <dsp:nvSpPr>
        <dsp:cNvPr id="0" name=""/>
        <dsp:cNvSpPr/>
      </dsp:nvSpPr>
      <dsp:spPr>
        <a:xfrm>
          <a:off x="1556067" y="1995"/>
          <a:ext cx="1056702" cy="671006"/>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sp>
    <dsp:sp modelId="{1E2F396A-877E-413E-99CC-D905020AC2E0}">
      <dsp:nvSpPr>
        <dsp:cNvPr id="0" name=""/>
        <dsp:cNvSpPr/>
      </dsp:nvSpPr>
      <dsp:spPr>
        <a:xfrm>
          <a:off x="1673479" y="113536"/>
          <a:ext cx="1056702" cy="671006"/>
        </a:xfrm>
        <a:prstGeom prst="roundRect">
          <a:avLst>
            <a:gd name="adj" fmla="val 10000"/>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910" tIns="41910" rIns="41910" bIns="41910" numCol="1" spcCol="1270" anchor="ctr" anchorCtr="0">
          <a:noAutofit/>
        </a:bodyPr>
        <a:lstStyle/>
        <a:p>
          <a:pPr marL="0" lvl="0" indent="0" algn="ctr" defTabSz="488950">
            <a:lnSpc>
              <a:spcPct val="90000"/>
            </a:lnSpc>
            <a:spcBef>
              <a:spcPct val="0"/>
            </a:spcBef>
            <a:spcAft>
              <a:spcPct val="35000"/>
            </a:spcAft>
            <a:buNone/>
          </a:pPr>
          <a:r>
            <a:rPr lang="en-US" sz="1100" kern="1200"/>
            <a:t>Toluene + Chlorine (chlorination)</a:t>
          </a:r>
        </a:p>
      </dsp:txBody>
      <dsp:txXfrm>
        <a:off x="1693132" y="133189"/>
        <a:ext cx="1017396" cy="631700"/>
      </dsp:txXfrm>
    </dsp:sp>
    <dsp:sp modelId="{47ACED51-969C-4EA7-A179-C0C08001E6D9}">
      <dsp:nvSpPr>
        <dsp:cNvPr id="0" name=""/>
        <dsp:cNvSpPr/>
      </dsp:nvSpPr>
      <dsp:spPr>
        <a:xfrm>
          <a:off x="910304" y="980326"/>
          <a:ext cx="1056702" cy="671006"/>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sp>
    <dsp:sp modelId="{918F1CFA-D498-4808-AB44-9402FB146AE2}">
      <dsp:nvSpPr>
        <dsp:cNvPr id="0" name=""/>
        <dsp:cNvSpPr/>
      </dsp:nvSpPr>
      <dsp:spPr>
        <a:xfrm>
          <a:off x="1027716" y="1091867"/>
          <a:ext cx="1056702" cy="671006"/>
        </a:xfrm>
        <a:prstGeom prst="roundRect">
          <a:avLst>
            <a:gd name="adj" fmla="val 10000"/>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910" tIns="41910" rIns="41910" bIns="41910" numCol="1" spcCol="1270" anchor="ctr" anchorCtr="0">
          <a:noAutofit/>
        </a:bodyPr>
        <a:lstStyle/>
        <a:p>
          <a:pPr marL="0" lvl="0" indent="0" algn="ctr" defTabSz="488950">
            <a:lnSpc>
              <a:spcPct val="90000"/>
            </a:lnSpc>
            <a:spcBef>
              <a:spcPct val="0"/>
            </a:spcBef>
            <a:spcAft>
              <a:spcPct val="35000"/>
            </a:spcAft>
            <a:buNone/>
          </a:pPr>
          <a:r>
            <a:rPr lang="en-US" sz="1100" kern="1200"/>
            <a:t>Benzyl Chloride   </a:t>
          </a:r>
        </a:p>
      </dsp:txBody>
      <dsp:txXfrm>
        <a:off x="1047369" y="1111520"/>
        <a:ext cx="1017396" cy="631700"/>
      </dsp:txXfrm>
    </dsp:sp>
    <dsp:sp modelId="{33B13623-DC34-42A6-AD52-18B444E3EABB}">
      <dsp:nvSpPr>
        <dsp:cNvPr id="0" name=""/>
        <dsp:cNvSpPr/>
      </dsp:nvSpPr>
      <dsp:spPr>
        <a:xfrm>
          <a:off x="2201830" y="980326"/>
          <a:ext cx="1056702" cy="671006"/>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sp>
    <dsp:sp modelId="{3B48C60C-7901-4CE6-8977-EBD44DC9D964}">
      <dsp:nvSpPr>
        <dsp:cNvPr id="0" name=""/>
        <dsp:cNvSpPr/>
      </dsp:nvSpPr>
      <dsp:spPr>
        <a:xfrm>
          <a:off x="2319242" y="1091867"/>
          <a:ext cx="1056702" cy="671006"/>
        </a:xfrm>
        <a:prstGeom prst="roundRect">
          <a:avLst>
            <a:gd name="adj" fmla="val 10000"/>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910" tIns="41910" rIns="41910" bIns="41910" numCol="1" spcCol="1270" anchor="ctr" anchorCtr="0">
          <a:noAutofit/>
        </a:bodyPr>
        <a:lstStyle/>
        <a:p>
          <a:pPr marL="0" lvl="0" indent="0" algn="ctr" defTabSz="488950">
            <a:lnSpc>
              <a:spcPct val="90000"/>
            </a:lnSpc>
            <a:spcBef>
              <a:spcPct val="0"/>
            </a:spcBef>
            <a:spcAft>
              <a:spcPct val="35000"/>
            </a:spcAft>
            <a:buNone/>
          </a:pPr>
          <a:r>
            <a:rPr lang="en-US" sz="1100" kern="1200"/>
            <a:t>Benzal Chloride </a:t>
          </a:r>
        </a:p>
      </dsp:txBody>
      <dsp:txXfrm>
        <a:off x="2338895" y="1111520"/>
        <a:ext cx="1017396" cy="631700"/>
      </dsp:txXfrm>
    </dsp:sp>
    <dsp:sp modelId="{9D19B17F-BFF0-4550-A126-4044B4A9DD7F}">
      <dsp:nvSpPr>
        <dsp:cNvPr id="0" name=""/>
        <dsp:cNvSpPr/>
      </dsp:nvSpPr>
      <dsp:spPr>
        <a:xfrm>
          <a:off x="2201830" y="1958657"/>
          <a:ext cx="1056702" cy="671006"/>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sp>
    <dsp:sp modelId="{085AA417-59BD-4FE0-AFBD-5FE0F34099F4}">
      <dsp:nvSpPr>
        <dsp:cNvPr id="0" name=""/>
        <dsp:cNvSpPr/>
      </dsp:nvSpPr>
      <dsp:spPr>
        <a:xfrm>
          <a:off x="2319242" y="2070198"/>
          <a:ext cx="1056702" cy="671006"/>
        </a:xfrm>
        <a:prstGeom prst="roundRect">
          <a:avLst>
            <a:gd name="adj" fmla="val 10000"/>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910" tIns="41910" rIns="41910" bIns="41910" numCol="1" spcCol="1270" anchor="ctr" anchorCtr="0">
          <a:noAutofit/>
        </a:bodyPr>
        <a:lstStyle/>
        <a:p>
          <a:pPr marL="0" lvl="0" indent="0" algn="ctr" defTabSz="488950">
            <a:lnSpc>
              <a:spcPct val="90000"/>
            </a:lnSpc>
            <a:spcBef>
              <a:spcPct val="0"/>
            </a:spcBef>
            <a:spcAft>
              <a:spcPct val="35000"/>
            </a:spcAft>
            <a:buNone/>
          </a:pPr>
          <a:r>
            <a:rPr lang="en-US" sz="1100" kern="1200"/>
            <a:t>Hydrolysis &amp; removing of Benzyl Chloride </a:t>
          </a:r>
        </a:p>
      </dsp:txBody>
      <dsp:txXfrm>
        <a:off x="2338895" y="2089851"/>
        <a:ext cx="1017396" cy="631700"/>
      </dsp:txXfrm>
    </dsp:sp>
  </dsp:spTree>
</dsp:drawing>
</file>

<file path=xl/diagrams/layout1.xml><?xml version="1.0" encoding="utf-8"?>
<dgm:layoutDef xmlns:dgm="http://schemas.openxmlformats.org/drawingml/2006/diagram" xmlns:a="http://schemas.openxmlformats.org/drawingml/2006/main" uniqueId="urn:microsoft.com/office/officeart/2005/8/layout/hierarchy1">
  <dgm:title val=""/>
  <dgm:desc val=""/>
  <dgm:catLst>
    <dgm:cat type="hierarchy" pri="2000"/>
  </dgm:catLst>
  <dgm:sampData>
    <dgm:dataModel>
      <dgm:ptLst>
        <dgm:pt modelId="0" type="doc"/>
        <dgm:pt modelId="1">
          <dgm:prSet phldr="1"/>
        </dgm:pt>
        <dgm:pt modelId="2">
          <dgm:prSet phldr="1"/>
        </dgm:pt>
        <dgm:pt modelId="21">
          <dgm:prSet phldr="1"/>
        </dgm:pt>
        <dgm:pt modelId="22">
          <dgm:prSet phldr="1"/>
        </dgm:pt>
        <dgm:pt modelId="3">
          <dgm:prSet phldr="1"/>
        </dgm:pt>
        <dgm:pt modelId="31">
          <dgm:prSet phldr="1"/>
        </dgm:pt>
      </dgm:ptLst>
      <dgm:cxnLst>
        <dgm:cxn modelId="4" srcId="0" destId="1" srcOrd="0" destOrd="0"/>
        <dgm:cxn modelId="5" srcId="1" destId="2" srcOrd="0" destOrd="0"/>
        <dgm:cxn modelId="6" srcId="1" destId="3" srcOrd="1" destOrd="0"/>
        <dgm:cxn modelId="23" srcId="2" destId="21" srcOrd="0" destOrd="0"/>
        <dgm:cxn modelId="24" srcId="2" destId="22" srcOrd="1" destOrd="0"/>
        <dgm:cxn modelId="33" srcId="3" destId="31" srcOrd="0" destOrd="0"/>
      </dgm:cxnLst>
      <dgm:bg/>
      <dgm:whole/>
    </dgm:dataModel>
  </dgm:sampData>
  <dgm:styleData>
    <dgm:dataModel>
      <dgm:ptLst>
        <dgm:pt modelId="0" type="doc"/>
        <dgm:pt modelId="1"/>
        <dgm:pt modelId="11"/>
        <dgm:pt modelId="12"/>
      </dgm:ptLst>
      <dgm:cxnLst>
        <dgm:cxn modelId="2" srcId="0" destId="1" srcOrd="0" destOrd="0"/>
        <dgm:cxn modelId="13" srcId="1" destId="11" srcOrd="0" destOrd="0"/>
        <dgm:cxn modelId="14" srcId="1" destId="12" srcOrd="1" destOrd="0"/>
      </dgm:cxnLst>
      <dgm:bg/>
      <dgm:whole/>
    </dgm:dataModel>
  </dgm:styleData>
  <dgm:clrData>
    <dgm:dataModel>
      <dgm:ptLst>
        <dgm:pt modelId="0" type="doc"/>
        <dgm:pt modelId="1"/>
        <dgm:pt modelId="2"/>
        <dgm:pt modelId="21"/>
        <dgm:pt modelId="211"/>
        <dgm:pt modelId="3"/>
        <dgm:pt modelId="31"/>
        <dgm:pt modelId="311"/>
      </dgm:ptLst>
      <dgm:cxnLst>
        <dgm:cxn modelId="4" srcId="0" destId="1" srcOrd="0" destOrd="0"/>
        <dgm:cxn modelId="5" srcId="1" destId="2" srcOrd="0" destOrd="0"/>
        <dgm:cxn modelId="6" srcId="1" destId="3" srcOrd="1" destOrd="0"/>
        <dgm:cxn modelId="23" srcId="2" destId="21" srcOrd="0" destOrd="0"/>
        <dgm:cxn modelId="24" srcId="21" destId="211" srcOrd="0" destOrd="0"/>
        <dgm:cxn modelId="33" srcId="3" destId="31" srcOrd="0" destOrd="0"/>
        <dgm:cxn modelId="34" srcId="31" destId="311" srcOrd="0" destOrd="0"/>
      </dgm:cxnLst>
      <dgm:bg/>
      <dgm:whole/>
    </dgm:dataModel>
  </dgm:clrData>
  <dgm:layoutNode name="hierChild1">
    <dgm:varLst>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primFontSz" for="des" ptType="node" op="equ" val="65"/>
      <dgm:constr type="w" for="des" forName="composite" refType="w"/>
      <dgm:constr type="h" for="des" forName="composite" refType="w" refFor="des" refForName="composite" fact="0.667"/>
      <dgm:constr type="w" for="des" forName="composite2" refType="w" refFor="des" refForName="composite"/>
      <dgm:constr type="h" for="des" forName="composite2" refType="h" refFor="des" refForName="composite"/>
      <dgm:constr type="w" for="des" forName="composite3" refType="w" refFor="des" refForName="composite"/>
      <dgm:constr type="h" for="des" forName="composite3" refType="h" refFor="des" refForName="composite"/>
      <dgm:constr type="w" for="des" forName="composite4" refType="w" refFor="des" refForName="composite"/>
      <dgm:constr type="h" for="des" forName="composite4" refType="h" refFor="des" refForName="composite"/>
      <dgm:constr type="w" for="des" forName="composite5" refType="w" refFor="des" refForName="composite"/>
      <dgm:constr type="h" for="des" forName="composite5" refType="h" refFor="des" refForName="composite"/>
      <dgm:constr type="sibSp" refType="w" refFor="des" refForName="composite" fact="0.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p" for="des" forName="hierRoot1" refType="h" refFor="des" refForName="composite" fact="0.25"/>
      <dgm:constr type="sp" for="des" forName="hierRoot2" refType="sp" refFor="des" refForName="hierRoot1"/>
      <dgm:constr type="sp" for="des" forName="hierRoot3" refType="sp" refFor="des" refForName="hierRoot1"/>
      <dgm:constr type="sp" for="des" forName="hierRoot4" refType="sp" refFor="des" refForName="hierRoot1"/>
      <dgm:constr type="sp" for="des" forName="hierRoot5" refType="sp" refFor="des" refForName="hierRoot1"/>
    </dgm:constrLst>
    <dgm:ruleLst/>
    <dgm:forEach name="Name3" axis="ch">
      <dgm:forEach name="Name4" axis="self" ptType="node">
        <dgm:layoutNode name="hierRoot1">
          <dgm:alg type="hierRoot"/>
          <dgm:shape xmlns:r="http://schemas.openxmlformats.org/officeDocument/2006/relationships" r:blip="">
            <dgm:adjLst/>
          </dgm:shape>
          <dgm:presOf/>
          <dgm:constrLst>
            <dgm:constr type="bendDist" for="des" ptType="parTrans" refType="sp" fact="0.5"/>
          </dgm:constrLst>
          <dgm:ruleLst/>
          <dgm:layoutNode name="composite">
            <dgm:alg type="composite"/>
            <dgm:shape xmlns:r="http://schemas.openxmlformats.org/officeDocument/2006/relationships" r:blip="">
              <dgm:adjLst/>
            </dgm:shape>
            <dgm:presOf/>
            <dgm:constrLst>
              <dgm:constr type="w" for="ch" forName="background" refType="w" fact="0.9"/>
              <dgm:constr type="h" for="ch" forName="background" refType="w" refFor="ch" refForName="background" fact="0.635"/>
              <dgm:constr type="t" for="ch" forName="background"/>
              <dgm:constr type="l" for="ch" forName="background"/>
              <dgm:constr type="w" for="ch" forName="text" refType="w" fact="0.9"/>
              <dgm:constr type="h" for="ch" forName="text" refType="w" refFor="ch" refForName="text" fact="0.635"/>
              <dgm:constr type="t" for="ch" forName="text" refType="w" fact="0.095"/>
              <dgm:constr type="l" for="ch" forName="text" refType="w" fact="0.1"/>
            </dgm:constrLst>
            <dgm:ruleLst/>
            <dgm:layoutNode name="background" styleLbl="node0" moveWith="text">
              <dgm:alg type="sp"/>
              <dgm:shape xmlns:r="http://schemas.openxmlformats.org/officeDocument/2006/relationships" type="roundRect" r:blip="">
                <dgm:adjLst>
                  <dgm:adj idx="1" val="0.1"/>
                </dgm:adjLst>
              </dgm:shape>
              <dgm:presOf/>
              <dgm:constrLst/>
              <dgm:ruleLst/>
            </dgm:layoutNode>
            <dgm:layoutNode name="text" styleLbl="fgAcc0">
              <dgm:varLst>
                <dgm:chPref val="3"/>
              </dgm:varLst>
              <dgm:alg type="tx"/>
              <dgm:shape xmlns:r="http://schemas.openxmlformats.org/officeDocument/2006/relationships" type="roundRect" r:blip="">
                <dgm:adjLst>
                  <dgm:adj idx="1" val="0.1"/>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layoutNode name="hierChild2">
            <dgm:choose name="Name5">
              <dgm:if name="Name6" func="var" arg="dir" op="equ" val="norm">
                <dgm:alg type="hierChild">
                  <dgm:param type="linDir" val="fromL"/>
                </dgm:alg>
              </dgm:if>
              <dgm:else name="Name7">
                <dgm:alg type="hierChild">
                  <dgm:param type="linDir" val="fromR"/>
                </dgm:alg>
              </dgm:else>
            </dgm:choose>
            <dgm:shape xmlns:r="http://schemas.openxmlformats.org/officeDocument/2006/relationships" r:blip="">
              <dgm:adjLst/>
            </dgm:shape>
            <dgm:presOf/>
            <dgm:constrLst/>
            <dgm:ruleLst/>
            <dgm:forEach name="Name8" axis="ch">
              <dgm:forEach name="Name9" axis="self" ptType="parTrans" cnt="1">
                <dgm:layoutNode name="Name10">
                  <dgm:alg type="conn">
                    <dgm:param type="dim" val="1D"/>
                    <dgm:param type="endSty" val="noArr"/>
                    <dgm:param type="connRout" val="bend"/>
                    <dgm:param type="bendPt" val="end"/>
                    <dgm:param type="begPts" val="bCtr"/>
                    <dgm:param type="endPts" val="tCtr"/>
                    <dgm:param type="srcNode" val="background"/>
                    <dgm:param type="dstNode" val="background2"/>
                  </dgm:alg>
                  <dgm:shape xmlns:r="http://schemas.openxmlformats.org/officeDocument/2006/relationships" type="conn" r:blip="" zOrderOff="-999">
                    <dgm:adjLst/>
                  </dgm:shape>
                  <dgm:presOf axis="self"/>
                  <dgm:constrLst>
                    <dgm:constr type="begPad"/>
                    <dgm:constr type="endPad"/>
                  </dgm:constrLst>
                  <dgm:ruleLst/>
                </dgm:layoutNode>
              </dgm:forEach>
              <dgm:forEach name="Name11" axis="self" ptType="node">
                <dgm:layoutNode name="hierRoot2">
                  <dgm:alg type="hierRoot"/>
                  <dgm:shape xmlns:r="http://schemas.openxmlformats.org/officeDocument/2006/relationships" r:blip="">
                    <dgm:adjLst/>
                  </dgm:shape>
                  <dgm:presOf/>
                  <dgm:constrLst>
                    <dgm:constr type="bendDist" for="des" ptType="parTrans" refType="sp" fact="0.5"/>
                  </dgm:constrLst>
                  <dgm:ruleLst/>
                  <dgm:layoutNode name="composite2">
                    <dgm:alg type="composite"/>
                    <dgm:shape xmlns:r="http://schemas.openxmlformats.org/officeDocument/2006/relationships" r:blip="">
                      <dgm:adjLst/>
                    </dgm:shape>
                    <dgm:presOf/>
                    <dgm:constrLst>
                      <dgm:constr type="w" for="ch" forName="background2" refType="w" fact="0.9"/>
                      <dgm:constr type="h" for="ch" forName="background2" refType="w" refFor="ch" refForName="background2" fact="0.635"/>
                      <dgm:constr type="t" for="ch" forName="background2"/>
                      <dgm:constr type="l" for="ch" forName="background2"/>
                      <dgm:constr type="w" for="ch" forName="text2" refType="w" fact="0.9"/>
                      <dgm:constr type="h" for="ch" forName="text2" refType="w" refFor="ch" refForName="text2" fact="0.635"/>
                      <dgm:constr type="t" for="ch" forName="text2" refType="w" fact="0.095"/>
                      <dgm:constr type="l" for="ch" forName="text2" refType="w" fact="0.1"/>
                    </dgm:constrLst>
                    <dgm:ruleLst/>
                    <dgm:layoutNode name="background2" moveWith="text2">
                      <dgm:alg type="sp"/>
                      <dgm:shape xmlns:r="http://schemas.openxmlformats.org/officeDocument/2006/relationships" type="roundRect" r:blip="">
                        <dgm:adjLst>
                          <dgm:adj idx="1" val="0.1"/>
                        </dgm:adjLst>
                      </dgm:shape>
                      <dgm:presOf/>
                      <dgm:constrLst/>
                      <dgm:ruleLst/>
                    </dgm:layoutNode>
                    <dgm:layoutNode name="text2" styleLbl="fgAcc2">
                      <dgm:varLst>
                        <dgm:chPref val="3"/>
                      </dgm:varLst>
                      <dgm:alg type="tx"/>
                      <dgm:shape xmlns:r="http://schemas.openxmlformats.org/officeDocument/2006/relationships" type="roundRect" r:blip="">
                        <dgm:adjLst>
                          <dgm:adj idx="1" val="0.1"/>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layoutNode name="hierChild3">
                    <dgm:choose name="Name12">
                      <dgm:if name="Name13" func="var" arg="dir" op="equ" val="norm">
                        <dgm:alg type="hierChild">
                          <dgm:param type="linDir" val="fromL"/>
                        </dgm:alg>
                      </dgm:if>
                      <dgm:else name="Name14">
                        <dgm:alg type="hierChild">
                          <dgm:param type="linDir" val="fromR"/>
                        </dgm:alg>
                      </dgm:else>
                    </dgm:choose>
                    <dgm:shape xmlns:r="http://schemas.openxmlformats.org/officeDocument/2006/relationships" r:blip="">
                      <dgm:adjLst/>
                    </dgm:shape>
                    <dgm:presOf/>
                    <dgm:constrLst/>
                    <dgm:ruleLst/>
                    <dgm:forEach name="Name15" axis="ch">
                      <dgm:forEach name="Name16" axis="self" ptType="parTrans" cnt="1">
                        <dgm:layoutNode name="Name17">
                          <dgm:alg type="conn">
                            <dgm:param type="dim" val="1D"/>
                            <dgm:param type="endSty" val="noArr"/>
                            <dgm:param type="connRout" val="bend"/>
                            <dgm:param type="bendPt" val="end"/>
                            <dgm:param type="begPts" val="bCtr"/>
                            <dgm:param type="endPts" val="tCtr"/>
                            <dgm:param type="srcNode" val="background2"/>
                            <dgm:param type="dstNode" val="background3"/>
                          </dgm:alg>
                          <dgm:shape xmlns:r="http://schemas.openxmlformats.org/officeDocument/2006/relationships" type="conn" r:blip="" zOrderOff="-999">
                            <dgm:adjLst/>
                          </dgm:shape>
                          <dgm:presOf axis="self"/>
                          <dgm:constrLst>
                            <dgm:constr type="begPad"/>
                            <dgm:constr type="endPad"/>
                          </dgm:constrLst>
                          <dgm:ruleLst/>
                        </dgm:layoutNode>
                      </dgm:forEach>
                      <dgm:forEach name="Name18" axis="self" ptType="node">
                        <dgm:layoutNode name="hierRoot3">
                          <dgm:alg type="hierRoot"/>
                          <dgm:shape xmlns:r="http://schemas.openxmlformats.org/officeDocument/2006/relationships" r:blip="">
                            <dgm:adjLst/>
                          </dgm:shape>
                          <dgm:presOf/>
                          <dgm:constrLst>
                            <dgm:constr type="bendDist" for="des" ptType="parTrans" refType="sp" fact="0.5"/>
                          </dgm:constrLst>
                          <dgm:ruleLst/>
                          <dgm:layoutNode name="composite3">
                            <dgm:alg type="composite"/>
                            <dgm:shape xmlns:r="http://schemas.openxmlformats.org/officeDocument/2006/relationships" r:blip="">
                              <dgm:adjLst/>
                            </dgm:shape>
                            <dgm:presOf/>
                            <dgm:constrLst>
                              <dgm:constr type="w" for="ch" forName="background3" refType="w" fact="0.9"/>
                              <dgm:constr type="h" for="ch" forName="background3" refType="w" refFor="ch" refForName="background3" fact="0.635"/>
                              <dgm:constr type="t" for="ch" forName="background3"/>
                              <dgm:constr type="l" for="ch" forName="background3"/>
                              <dgm:constr type="w" for="ch" forName="text3" refType="w" fact="0.9"/>
                              <dgm:constr type="h" for="ch" forName="text3" refType="w" refFor="ch" refForName="text3" fact="0.635"/>
                              <dgm:constr type="t" for="ch" forName="text3" refType="w" fact="0.095"/>
                              <dgm:constr type="l" for="ch" forName="text3" refType="w" fact="0.1"/>
                            </dgm:constrLst>
                            <dgm:ruleLst/>
                            <dgm:layoutNode name="background3" moveWith="text3">
                              <dgm:alg type="sp"/>
                              <dgm:shape xmlns:r="http://schemas.openxmlformats.org/officeDocument/2006/relationships" type="roundRect" r:blip="">
                                <dgm:adjLst>
                                  <dgm:adj idx="1" val="0.1"/>
                                </dgm:adjLst>
                              </dgm:shape>
                              <dgm:presOf/>
                              <dgm:constrLst/>
                              <dgm:ruleLst/>
                            </dgm:layoutNode>
                            <dgm:layoutNode name="text3" styleLbl="fgAcc3">
                              <dgm:varLst>
                                <dgm:chPref val="3"/>
                              </dgm:varLst>
                              <dgm:alg type="tx"/>
                              <dgm:shape xmlns:r="http://schemas.openxmlformats.org/officeDocument/2006/relationships" type="roundRect" r:blip="">
                                <dgm:adjLst>
                                  <dgm:adj idx="1" val="0.1"/>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layoutNode name="hierChild4">
                            <dgm:choose name="Name19">
                              <dgm:if name="Name20" func="var" arg="dir" op="equ" val="norm">
                                <dgm:alg type="hierChild">
                                  <dgm:param type="linDir" val="fromL"/>
                                </dgm:alg>
                              </dgm:if>
                              <dgm:else name="Name21">
                                <dgm:alg type="hierChild">
                                  <dgm:param type="linDir" val="fromR"/>
                                </dgm:alg>
                              </dgm:else>
                            </dgm:choose>
                            <dgm:shape xmlns:r="http://schemas.openxmlformats.org/officeDocument/2006/relationships" r:blip="">
                              <dgm:adjLst/>
                            </dgm:shape>
                            <dgm:presOf/>
                            <dgm:constrLst/>
                            <dgm:ruleLst/>
                            <dgm:forEach name="repeat" axis="ch">
                              <dgm:forEach name="Name22" axis="self" ptType="parTrans" cnt="1">
                                <dgm:layoutNode name="Name23">
                                  <dgm:choose name="Name24">
                                    <dgm:if name="Name25" axis="self" func="depth" op="lte" val="4">
                                      <dgm:alg type="conn">
                                        <dgm:param type="dim" val="1D"/>
                                        <dgm:param type="endSty" val="noArr"/>
                                        <dgm:param type="connRout" val="bend"/>
                                        <dgm:param type="bendPt" val="end"/>
                                        <dgm:param type="begPts" val="bCtr"/>
                                        <dgm:param type="endPts" val="tCtr"/>
                                        <dgm:param type="srcNode" val="background3"/>
                                        <dgm:param type="dstNode" val="background4"/>
                                      </dgm:alg>
                                    </dgm:if>
                                    <dgm:else name="Name26">
                                      <dgm:alg type="conn">
                                        <dgm:param type="dim" val="1D"/>
                                        <dgm:param type="endSty" val="noArr"/>
                                        <dgm:param type="connRout" val="bend"/>
                                        <dgm:param type="bendPt" val="end"/>
                                        <dgm:param type="begPts" val="bCtr"/>
                                        <dgm:param type="endPts" val="tCtr"/>
                                        <dgm:param type="srcNode" val="background4"/>
                                        <dgm:param type="dstNode" val="background4"/>
                                      </dgm:alg>
                                    </dgm:else>
                                  </dgm:choose>
                                  <dgm:shape xmlns:r="http://schemas.openxmlformats.org/officeDocument/2006/relationships" type="conn" r:blip="" zOrderOff="-999">
                                    <dgm:adjLst/>
                                  </dgm:shape>
                                  <dgm:presOf axis="self"/>
                                  <dgm:constrLst>
                                    <dgm:constr type="begPad"/>
                                    <dgm:constr type="endPad"/>
                                  </dgm:constrLst>
                                  <dgm:ruleLst/>
                                </dgm:layoutNode>
                              </dgm:forEach>
                              <dgm:forEach name="Name27" axis="self" ptType="node">
                                <dgm:layoutNode name="hierRoot4">
                                  <dgm:alg type="hierRoot"/>
                                  <dgm:shape xmlns:r="http://schemas.openxmlformats.org/officeDocument/2006/relationships" r:blip="">
                                    <dgm:adjLst/>
                                  </dgm:shape>
                                  <dgm:presOf/>
                                  <dgm:constrLst>
                                    <dgm:constr type="bendDist" for="des" ptType="parTrans" refType="sp" fact="0.5"/>
                                  </dgm:constrLst>
                                  <dgm:ruleLst/>
                                  <dgm:layoutNode name="composite4">
                                    <dgm:alg type="composite"/>
                                    <dgm:shape xmlns:r="http://schemas.openxmlformats.org/officeDocument/2006/relationships" r:blip="">
                                      <dgm:adjLst/>
                                    </dgm:shape>
                                    <dgm:presOf/>
                                    <dgm:constrLst>
                                      <dgm:constr type="w" for="ch" forName="background4" refType="w" fact="0.9"/>
                                      <dgm:constr type="h" for="ch" forName="background4" refType="w" refFor="ch" refForName="background4" fact="0.635"/>
                                      <dgm:constr type="t" for="ch" forName="background4"/>
                                      <dgm:constr type="l" for="ch" forName="background4"/>
                                      <dgm:constr type="w" for="ch" forName="text4" refType="w" fact="0.9"/>
                                      <dgm:constr type="h" for="ch" forName="text4" refType="w" refFor="ch" refForName="text4" fact="0.635"/>
                                      <dgm:constr type="t" for="ch" forName="text4" refType="w" fact="0.095"/>
                                      <dgm:constr type="l" for="ch" forName="text4" refType="w" fact="0.1"/>
                                    </dgm:constrLst>
                                    <dgm:ruleLst/>
                                    <dgm:layoutNode name="background4" moveWith="text4">
                                      <dgm:alg type="sp"/>
                                      <dgm:shape xmlns:r="http://schemas.openxmlformats.org/officeDocument/2006/relationships" type="roundRect" r:blip="">
                                        <dgm:adjLst>
                                          <dgm:adj idx="1" val="0.1"/>
                                        </dgm:adjLst>
                                      </dgm:shape>
                                      <dgm:presOf/>
                                      <dgm:constrLst/>
                                      <dgm:ruleLst/>
                                    </dgm:layoutNode>
                                    <dgm:layoutNode name="text4" styleLbl="fgAcc4">
                                      <dgm:varLst>
                                        <dgm:chPref val="3"/>
                                      </dgm:varLst>
                                      <dgm:alg type="tx"/>
                                      <dgm:shape xmlns:r="http://schemas.openxmlformats.org/officeDocument/2006/relationships" type="roundRect" r:blip="">
                                        <dgm:adjLst>
                                          <dgm:adj idx="1" val="0.1"/>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layoutNode name="hierChild5">
                                    <dgm:choose name="Name28">
                                      <dgm:if name="Name29" func="var" arg="dir" op="equ" val="norm">
                                        <dgm:alg type="hierChild">
                                          <dgm:param type="linDir" val="fromL"/>
                                        </dgm:alg>
                                      </dgm:if>
                                      <dgm:else name="Name30">
                                        <dgm:alg type="hierChild">
                                          <dgm:param type="linDir" val="fromR"/>
                                        </dgm:alg>
                                      </dgm:else>
                                    </dgm:choose>
                                    <dgm:shape xmlns:r="http://schemas.openxmlformats.org/officeDocument/2006/relationships" r:blip="">
                                      <dgm:adjLst/>
                                    </dgm:shape>
                                    <dgm:presOf/>
                                    <dgm:constrLst/>
                                    <dgm:ruleLst/>
                                    <dgm:forEach name="Name31" ref="repeat"/>
                                  </dgm:layoutNode>
                                </dgm:layoutNode>
                              </dgm:forEach>
                            </dgm:forEach>
                          </dgm:layoutNode>
                        </dgm:layoutNode>
                      </dgm:forEach>
                    </dgm:forEach>
                  </dgm:layoutNode>
                </dgm:layoutNode>
              </dgm:forEach>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2.xml.rels><?xml version="1.0" encoding="UTF-8" standalone="yes"?>
<Relationships xmlns="http://schemas.openxmlformats.org/package/2006/relationships"><Relationship Id="rId1" Type="http://schemas.openxmlformats.org/officeDocument/2006/relationships/hyperlink" Target="#'Index '!A1"/></Relationships>
</file>

<file path=xl/drawings/_rels/drawing3.xml.rels><?xml version="1.0" encoding="UTF-8" standalone="yes"?>
<Relationships xmlns="http://schemas.openxmlformats.org/package/2006/relationships"><Relationship Id="rId1" Type="http://schemas.openxmlformats.org/officeDocument/2006/relationships/hyperlink" Target="#'Index '!A1"/></Relationships>
</file>

<file path=xl/drawings/_rels/drawing4.xml.rels><?xml version="1.0" encoding="UTF-8" standalone="yes"?>
<Relationships xmlns="http://schemas.openxmlformats.org/package/2006/relationships"><Relationship Id="rId1" Type="http://schemas.openxmlformats.org/officeDocument/2006/relationships/hyperlink" Target="#'Index '!A1"/></Relationships>
</file>

<file path=xl/drawings/_rels/drawing5.xml.rels><?xml version="1.0" encoding="UTF-8" standalone="yes"?>
<Relationships xmlns="http://schemas.openxmlformats.org/package/2006/relationships"><Relationship Id="rId1" Type="http://schemas.openxmlformats.org/officeDocument/2006/relationships/hyperlink" Target="#'Index '!A1"/></Relationships>
</file>

<file path=xl/drawings/_rels/drawing6.xml.rels><?xml version="1.0" encoding="UTF-8" standalone="yes"?>
<Relationships xmlns="http://schemas.openxmlformats.org/package/2006/relationships"><Relationship Id="rId1" Type="http://schemas.openxmlformats.org/officeDocument/2006/relationships/hyperlink" Target="#'Index '!A1"/></Relationships>
</file>

<file path=xl/drawings/_rels/drawing7.xml.rels><?xml version="1.0" encoding="UTF-8" standalone="yes"?>
<Relationships xmlns="http://schemas.openxmlformats.org/package/2006/relationships"><Relationship Id="rId1" Type="http://schemas.openxmlformats.org/officeDocument/2006/relationships/hyperlink" Target="#'Index '!A1"/></Relationships>
</file>

<file path=xl/drawings/_rels/drawing8.xml.rels><?xml version="1.0" encoding="UTF-8" standalone="yes"?>
<Relationships xmlns="http://schemas.openxmlformats.org/package/2006/relationships"><Relationship Id="rId1" Type="http://schemas.openxmlformats.org/officeDocument/2006/relationships/hyperlink" Target="#'Index '!A1"/></Relationships>
</file>

<file path=xl/drawings/_rels/drawing9.xml.rels><?xml version="1.0" encoding="UTF-8" standalone="yes"?>
<Relationships xmlns="http://schemas.openxmlformats.org/package/2006/relationships"><Relationship Id="rId1" Type="http://schemas.openxmlformats.org/officeDocument/2006/relationships/hyperlink" Target="#'Index '!A1"/></Relationships>
</file>

<file path=xl/drawings/_rels/drawing10.xml.rels><?xml version="1.0" encoding="UTF-8" standalone="yes"?>
<Relationships xmlns="http://schemas.openxmlformats.org/package/2006/relationships"><Relationship Id="rId1" Type="http://schemas.openxmlformats.org/officeDocument/2006/relationships/hyperlink" Target="#'Index '!A1"/></Relationships>
</file>

<file path=xl/drawings/_rels/drawing11.xml.rels><?xml version="1.0" encoding="UTF-8" standalone="yes"?>
<Relationships xmlns="http://schemas.openxmlformats.org/package/2006/relationships"><Relationship Id="rId1" Type="http://schemas.openxmlformats.org/officeDocument/2006/relationships/hyperlink" Target="#'Index '!A1"/></Relationships>
</file>

<file path=xl/drawings/_rels/drawing12.xml.rels><?xml version="1.0" encoding="UTF-8" standalone="yes"?>
<Relationships xmlns="http://schemas.openxmlformats.org/package/2006/relationships"><Relationship Id="rId1" Type="http://schemas.openxmlformats.org/officeDocument/2006/relationships/hyperlink" Target="#'Index '!A1"/></Relationships>
</file>

<file path=xl/drawings/_rels/drawing13.xml.rels><?xml version="1.0" encoding="UTF-8" standalone="yes"?>
<Relationships xmlns="http://schemas.openxmlformats.org/package/2006/relationships"><Relationship Id="rId1" Type="http://schemas.openxmlformats.org/officeDocument/2006/relationships/hyperlink" Target="#'Index '!A1"/></Relationships>
</file>

<file path=xl/drawings/_rels/drawing14.xml.rels><?xml version="1.0" encoding="UTF-8" standalone="yes"?>
<Relationships xmlns="http://schemas.openxmlformats.org/package/2006/relationships"><Relationship Id="rId1" Type="http://schemas.openxmlformats.org/officeDocument/2006/relationships/hyperlink" Target="#'Index '!A1"/></Relationships>
</file>

<file path=xl/drawings/_rels/drawing15.xml.rels><?xml version="1.0" encoding="UTF-8" standalone="yes"?>
<Relationships xmlns="http://schemas.openxmlformats.org/package/2006/relationships"><Relationship Id="rId1" Type="http://schemas.openxmlformats.org/officeDocument/2006/relationships/hyperlink" Target="#'Index '!A1"/></Relationships>
</file>

<file path=xl/drawings/_rels/drawing16.xml.rels><?xml version="1.0" encoding="UTF-8" standalone="yes"?>
<Relationships xmlns="http://schemas.openxmlformats.org/package/2006/relationships"><Relationship Id="rId1" Type="http://schemas.openxmlformats.org/officeDocument/2006/relationships/hyperlink" Target="#'Index '!A1"/></Relationships>
</file>

<file path=xl/drawings/_rels/drawing17.xml.rels><?xml version="1.0" encoding="UTF-8" standalone="yes"?>
<Relationships xmlns="http://schemas.openxmlformats.org/package/2006/relationships"><Relationship Id="rId1" Type="http://schemas.openxmlformats.org/officeDocument/2006/relationships/hyperlink" Target="#'Index '!A1"/></Relationships>
</file>

<file path=xl/drawings/_rels/drawing18.xml.rels><?xml version="1.0" encoding="UTF-8" standalone="yes"?>
<Relationships xmlns="http://schemas.openxmlformats.org/package/2006/relationships"><Relationship Id="rId1" Type="http://schemas.openxmlformats.org/officeDocument/2006/relationships/hyperlink" Target="#'Index '!A1"/></Relationships>
</file>

<file path=xl/drawings/_rels/drawing19.xml.rels><?xml version="1.0" encoding="UTF-8" standalone="yes"?>
<Relationships xmlns="http://schemas.openxmlformats.org/package/2006/relationships"><Relationship Id="rId1" Type="http://schemas.openxmlformats.org/officeDocument/2006/relationships/hyperlink" Target="#'Index '!A1"/></Relationships>
</file>

<file path=xl/drawings/_rels/drawing20.xml.rels><?xml version="1.0" encoding="UTF-8" standalone="yes"?>
<Relationships xmlns="http://schemas.openxmlformats.org/package/2006/relationships"><Relationship Id="rId2" Type="http://schemas.openxmlformats.org/officeDocument/2006/relationships/hyperlink" Target="#'Input RM sheet'!A1"/><Relationship Id="rId1" Type="http://schemas.openxmlformats.org/officeDocument/2006/relationships/hyperlink" Target="#'Index '!A1"/></Relationships>
</file>

<file path=xl/drawings/_rels/drawing21.xml.rels><?xml version="1.0" encoding="UTF-8" standalone="yes"?>
<Relationships xmlns="http://schemas.openxmlformats.org/package/2006/relationships"><Relationship Id="rId1" Type="http://schemas.openxmlformats.org/officeDocument/2006/relationships/hyperlink" Target="#'Index '!A1"/></Relationships>
</file>

<file path=xl/drawings/_rels/drawing22.xml.rels><?xml version="1.0" encoding="UTF-8" standalone="yes"?>
<Relationships xmlns="http://schemas.openxmlformats.org/package/2006/relationships"><Relationship Id="rId1" Type="http://schemas.openxmlformats.org/officeDocument/2006/relationships/hyperlink" Target="#'Index '!A1"/></Relationships>
</file>

<file path=xl/drawings/_rels/drawing23.xml.rels><?xml version="1.0" encoding="UTF-8" standalone="yes"?>
<Relationships xmlns="http://schemas.openxmlformats.org/package/2006/relationships"><Relationship Id="rId1" Type="http://schemas.openxmlformats.org/officeDocument/2006/relationships/hyperlink" Target="#'Index '!A1"/></Relationships>
</file>

<file path=xl/drawings/_rels/drawing24.xml.rels><?xml version="1.0" encoding="UTF-8" standalone="yes"?>
<Relationships xmlns="http://schemas.openxmlformats.org/package/2006/relationships"><Relationship Id="rId1" Type="http://schemas.openxmlformats.org/officeDocument/2006/relationships/hyperlink" Target="#'Index '!A1"/></Relationships>
</file>

<file path=xl/drawings/_rels/drawing25.xml.rels><?xml version="1.0" encoding="UTF-8" standalone="yes"?>
<Relationships xmlns="http://schemas.openxmlformats.org/package/2006/relationships"><Relationship Id="rId1" Type="http://schemas.openxmlformats.org/officeDocument/2006/relationships/hyperlink" Target="#'Index '!A1"/></Relationships>
</file>

<file path=xl/drawings/_rels/drawing26.xml.rels><?xml version="1.0" encoding="UTF-8" standalone="yes"?>
<Relationships xmlns="http://schemas.openxmlformats.org/package/2006/relationships"><Relationship Id="rId2" Type="http://schemas.openxmlformats.org/officeDocument/2006/relationships/hyperlink" Target="#'Index '!A1"/><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hyperlink" Target="#'Index '!A1"/></Relationships>
</file>

<file path=xl/drawings/_rels/drawing28.xml.rels><?xml version="1.0" encoding="UTF-8" standalone="yes"?>
<Relationships xmlns="http://schemas.openxmlformats.org/package/2006/relationships"><Relationship Id="rId1" Type="http://schemas.openxmlformats.org/officeDocument/2006/relationships/hyperlink" Target="#'Index '!A1"/></Relationships>
</file>

<file path=xl/drawings/_rels/drawing29.xml.rels><?xml version="1.0" encoding="UTF-8" standalone="yes"?>
<Relationships xmlns="http://schemas.openxmlformats.org/package/2006/relationships"><Relationship Id="rId1" Type="http://schemas.openxmlformats.org/officeDocument/2006/relationships/hyperlink" Target="#'Index '!A1"/></Relationships>
</file>

<file path=xl/drawings/_rels/drawing30.xml.rels><?xml version="1.0" encoding="UTF-8" standalone="yes"?>
<Relationships xmlns="http://schemas.openxmlformats.org/package/2006/relationships"><Relationship Id="rId1" Type="http://schemas.openxmlformats.org/officeDocument/2006/relationships/hyperlink" Target="#'Index '!A1"/></Relationships>
</file>

<file path=xl/drawings/_rels/drawing31.xml.rels><?xml version="1.0" encoding="UTF-8" standalone="yes"?>
<Relationships xmlns="http://schemas.openxmlformats.org/package/2006/relationships"><Relationship Id="rId1" Type="http://schemas.openxmlformats.org/officeDocument/2006/relationships/hyperlink" Target="#'Index '!A1"/></Relationships>
</file>

<file path=xl/drawings/_rels/drawing32.xml.rels><?xml version="1.0" encoding="UTF-8" standalone="yes"?>
<Relationships xmlns="http://schemas.openxmlformats.org/package/2006/relationships"><Relationship Id="rId1" Type="http://schemas.openxmlformats.org/officeDocument/2006/relationships/hyperlink" Target="#'Index '!A1"/></Relationships>
</file>

<file path=xl/drawings/_rels/drawing33.xml.rels><?xml version="1.0" encoding="UTF-8" standalone="yes"?>
<Relationships xmlns="http://schemas.openxmlformats.org/package/2006/relationships"><Relationship Id="rId1" Type="http://schemas.openxmlformats.org/officeDocument/2006/relationships/hyperlink" Target="#'Index '!A1"/></Relationships>
</file>

<file path=xl/drawings/_rels/drawing34.xml.rels><?xml version="1.0" encoding="UTF-8" standalone="yes"?>
<Relationships xmlns="http://schemas.openxmlformats.org/package/2006/relationships"><Relationship Id="rId1" Type="http://schemas.openxmlformats.org/officeDocument/2006/relationships/hyperlink" Target="#'Index '!A1"/></Relationships>
</file>

<file path=xl/drawings/_rels/drawing35.xml.rels><?xml version="1.0" encoding="UTF-8" standalone="yes"?>
<Relationships xmlns="http://schemas.openxmlformats.org/package/2006/relationships"><Relationship Id="rId1" Type="http://schemas.openxmlformats.org/officeDocument/2006/relationships/hyperlink" Target="#'Index '!A1"/></Relationships>
</file>

<file path=xl/drawings/_rels/drawing36.xml.rels><?xml version="1.0" encoding="UTF-8" standalone="yes"?>
<Relationships xmlns="http://schemas.openxmlformats.org/package/2006/relationships"><Relationship Id="rId1" Type="http://schemas.openxmlformats.org/officeDocument/2006/relationships/hyperlink" Target="#'Index '!A1"/></Relationships>
</file>

<file path=xl/drawings/_rels/drawing37.xml.rels><?xml version="1.0" encoding="UTF-8" standalone="yes"?>
<Relationships xmlns="http://schemas.openxmlformats.org/package/2006/relationships"><Relationship Id="rId1" Type="http://schemas.openxmlformats.org/officeDocument/2006/relationships/hyperlink" Target="#'Index '!A1"/></Relationships>
</file>

<file path=xl/drawings/_rels/drawing38.xml.rels><?xml version="1.0" encoding="UTF-8" standalone="yes"?>
<Relationships xmlns="http://schemas.openxmlformats.org/package/2006/relationships"><Relationship Id="rId1" Type="http://schemas.openxmlformats.org/officeDocument/2006/relationships/hyperlink" Target="#'Index '!A1"/></Relationships>
</file>

<file path=xl/drawings/_rels/drawing39.xml.rels><?xml version="1.0" encoding="UTF-8" standalone="yes"?>
<Relationships xmlns="http://schemas.openxmlformats.org/package/2006/relationships"><Relationship Id="rId1" Type="http://schemas.openxmlformats.org/officeDocument/2006/relationships/hyperlink" Target="#'Index '!A1"/></Relationships>
</file>

<file path=xl/drawings/_rels/drawing40.xml.rels><?xml version="1.0" encoding="UTF-8" standalone="yes"?>
<Relationships xmlns="http://schemas.openxmlformats.org/package/2006/relationships"><Relationship Id="rId1" Type="http://schemas.openxmlformats.org/officeDocument/2006/relationships/hyperlink" Target="#'Index '!A1"/></Relationships>
</file>

<file path=xl/drawings/_rels/drawing41.xml.rels><?xml version="1.0" encoding="UTF-8" standalone="yes"?>
<Relationships xmlns="http://schemas.openxmlformats.org/package/2006/relationships"><Relationship Id="rId1" Type="http://schemas.openxmlformats.org/officeDocument/2006/relationships/hyperlink" Target="#'Index '!A1"/></Relationships>
</file>

<file path=xl/drawings/_rels/drawing42.xml.rels><?xml version="1.0" encoding="UTF-8" standalone="yes"?>
<Relationships xmlns="http://schemas.openxmlformats.org/package/2006/relationships"><Relationship Id="rId1" Type="http://schemas.openxmlformats.org/officeDocument/2006/relationships/hyperlink" Target="#'Index '!A1"/></Relationships>
</file>

<file path=xl/drawings/_rels/drawing43.xml.rels><?xml version="1.0" encoding="UTF-8" standalone="yes"?>
<Relationships xmlns="http://schemas.openxmlformats.org/package/2006/relationships"><Relationship Id="rId1" Type="http://schemas.openxmlformats.org/officeDocument/2006/relationships/hyperlink" Target="#'Index '!A1"/></Relationships>
</file>

<file path=xl/drawings/_rels/drawing44.xml.rels><?xml version="1.0" encoding="UTF-8" standalone="yes"?>
<Relationships xmlns="http://schemas.openxmlformats.org/package/2006/relationships"><Relationship Id="rId1" Type="http://schemas.openxmlformats.org/officeDocument/2006/relationships/hyperlink" Target="#'Index '!A1"/></Relationships>
</file>

<file path=xl/drawings/_rels/drawing45.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6" Type="http://schemas.openxmlformats.org/officeDocument/2006/relationships/hyperlink" Target="#'Index '!A1"/><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46.xml.rels><?xml version="1.0" encoding="UTF-8" standalone="yes"?>
<Relationships xmlns="http://schemas.openxmlformats.org/package/2006/relationships"><Relationship Id="rId1" Type="http://schemas.openxmlformats.org/officeDocument/2006/relationships/hyperlink" Target="#'Index '!A1"/></Relationships>
</file>

<file path=xl/drawings/_rels/drawing47.xml.rels><?xml version="1.0" encoding="UTF-8" standalone="yes"?>
<Relationships xmlns="http://schemas.openxmlformats.org/package/2006/relationships"><Relationship Id="rId1" Type="http://schemas.openxmlformats.org/officeDocument/2006/relationships/hyperlink" Target="#'Index '!A1"/></Relationships>
</file>

<file path=xl/drawings/_rels/drawing48.xml.rels><?xml version="1.0" encoding="UTF-8" standalone="yes"?>
<Relationships xmlns="http://schemas.openxmlformats.org/package/2006/relationships"><Relationship Id="rId1" Type="http://schemas.openxmlformats.org/officeDocument/2006/relationships/hyperlink" Target="#'Index '!A1"/></Relationships>
</file>

<file path=xl/drawings/_rels/drawing49.xml.rels><?xml version="1.0" encoding="UTF-8" standalone="yes"?>
<Relationships xmlns="http://schemas.openxmlformats.org/package/2006/relationships"><Relationship Id="rId1" Type="http://schemas.openxmlformats.org/officeDocument/2006/relationships/hyperlink" Target="#'Index '!A1"/></Relationships>
</file>

<file path=xl/drawings/_rels/drawing50.xml.rels><?xml version="1.0" encoding="UTF-8" standalone="yes"?>
<Relationships xmlns="http://schemas.openxmlformats.org/package/2006/relationships"><Relationship Id="rId1" Type="http://schemas.openxmlformats.org/officeDocument/2006/relationships/hyperlink" Target="#'Index '!A1"/></Relationships>
</file>

<file path=xl/drawings/_rels/drawing51.xml.rels><?xml version="1.0" encoding="UTF-8" standalone="yes"?>
<Relationships xmlns="http://schemas.openxmlformats.org/package/2006/relationships"><Relationship Id="rId1" Type="http://schemas.openxmlformats.org/officeDocument/2006/relationships/hyperlink" Target="#'Index '!A1"/></Relationships>
</file>

<file path=xl/drawings/_rels/drawing52.xml.rels><?xml version="1.0" encoding="UTF-8" standalone="yes"?>
<Relationships xmlns="http://schemas.openxmlformats.org/package/2006/relationships"><Relationship Id="rId1" Type="http://schemas.openxmlformats.org/officeDocument/2006/relationships/hyperlink" Target="#'Index '!A1"/></Relationships>
</file>

<file path=xl/drawings/_rels/drawing53.xml.rels><?xml version="1.0" encoding="UTF-8" standalone="yes"?>
<Relationships xmlns="http://schemas.openxmlformats.org/package/2006/relationships"><Relationship Id="rId1" Type="http://schemas.openxmlformats.org/officeDocument/2006/relationships/hyperlink" Target="#'Index '!A1"/></Relationships>
</file>

<file path=xl/drawings/_rels/drawing54.xml.rels><?xml version="1.0" encoding="UTF-8" standalone="yes"?>
<Relationships xmlns="http://schemas.openxmlformats.org/package/2006/relationships"><Relationship Id="rId1" Type="http://schemas.openxmlformats.org/officeDocument/2006/relationships/hyperlink" Target="#'Index '!A1"/></Relationships>
</file>

<file path=xl/drawings/_rels/drawing55.xml.rels><?xml version="1.0" encoding="UTF-8" standalone="yes"?>
<Relationships xmlns="http://schemas.openxmlformats.org/package/2006/relationships"><Relationship Id="rId1" Type="http://schemas.openxmlformats.org/officeDocument/2006/relationships/hyperlink" Target="#'Index '!A1"/></Relationships>
</file>

<file path=xl/drawings/_rels/drawing56.xml.rels><?xml version="1.0" encoding="UTF-8" standalone="yes"?>
<Relationships xmlns="http://schemas.openxmlformats.org/package/2006/relationships"><Relationship Id="rId1" Type="http://schemas.openxmlformats.org/officeDocument/2006/relationships/hyperlink" Target="#'Index '!A1"/></Relationships>
</file>

<file path=xl/drawings/_rels/drawing57.xml.rels><?xml version="1.0" encoding="UTF-8" standalone="yes"?>
<Relationships xmlns="http://schemas.openxmlformats.org/package/2006/relationships"><Relationship Id="rId1" Type="http://schemas.openxmlformats.org/officeDocument/2006/relationships/hyperlink" Target="#'Index '!A1"/></Relationships>
</file>

<file path=xl/drawings/_rels/drawing58.xml.rels><?xml version="1.0" encoding="UTF-8" standalone="yes"?>
<Relationships xmlns="http://schemas.openxmlformats.org/package/2006/relationships"><Relationship Id="rId1" Type="http://schemas.openxmlformats.org/officeDocument/2006/relationships/hyperlink" Target="#'Index '!A1"/></Relationships>
</file>

<file path=xl/drawings/_rels/drawing59.xml.rels><?xml version="1.0" encoding="UTF-8" standalone="yes"?>
<Relationships xmlns="http://schemas.openxmlformats.org/package/2006/relationships"><Relationship Id="rId1" Type="http://schemas.openxmlformats.org/officeDocument/2006/relationships/hyperlink" Target="#'Index '!A1"/></Relationships>
</file>

<file path=xl/drawings/_rels/drawing60.xml.rels><?xml version="1.0" encoding="UTF-8" standalone="yes"?>
<Relationships xmlns="http://schemas.openxmlformats.org/package/2006/relationships"><Relationship Id="rId1" Type="http://schemas.openxmlformats.org/officeDocument/2006/relationships/hyperlink" Target="#'Index '!A1"/></Relationships>
</file>

<file path=xl/drawings/_rels/drawing61.xml.rels><?xml version="1.0" encoding="UTF-8" standalone="yes"?>
<Relationships xmlns="http://schemas.openxmlformats.org/package/2006/relationships"><Relationship Id="rId1" Type="http://schemas.openxmlformats.org/officeDocument/2006/relationships/hyperlink" Target="#'Index '!A1"/></Relationships>
</file>

<file path=xl/drawings/_rels/drawing62.xml.rels><?xml version="1.0" encoding="UTF-8" standalone="yes"?>
<Relationships xmlns="http://schemas.openxmlformats.org/package/2006/relationships"><Relationship Id="rId1" Type="http://schemas.openxmlformats.org/officeDocument/2006/relationships/hyperlink" Target="#'Index '!A1"/></Relationships>
</file>

<file path=xl/drawings/_rels/drawing63.xml.rels><?xml version="1.0" encoding="UTF-8" standalone="yes"?>
<Relationships xmlns="http://schemas.openxmlformats.org/package/2006/relationships"><Relationship Id="rId1" Type="http://schemas.openxmlformats.org/officeDocument/2006/relationships/hyperlink" Target="#'Index '!A1"/></Relationships>
</file>

<file path=xl/drawings/_rels/drawing64.xml.rels><?xml version="1.0" encoding="UTF-8" standalone="yes"?>
<Relationships xmlns="http://schemas.openxmlformats.org/package/2006/relationships"><Relationship Id="rId1" Type="http://schemas.openxmlformats.org/officeDocument/2006/relationships/hyperlink" Target="#'Index '!A1"/></Relationships>
</file>

<file path=xl/drawings/_rels/drawing65.xml.rels><?xml version="1.0" encoding="UTF-8" standalone="yes"?>
<Relationships xmlns="http://schemas.openxmlformats.org/package/2006/relationships"><Relationship Id="rId1" Type="http://schemas.openxmlformats.org/officeDocument/2006/relationships/hyperlink" Target="#'Index '!A1"/></Relationships>
</file>

<file path=xl/drawings/_rels/drawing66.xml.rels><?xml version="1.0" encoding="UTF-8" standalone="yes"?>
<Relationships xmlns="http://schemas.openxmlformats.org/package/2006/relationships"><Relationship Id="rId1" Type="http://schemas.openxmlformats.org/officeDocument/2006/relationships/hyperlink" Target="#'Index '!A1"/></Relationships>
</file>

<file path=xl/drawings/_rels/drawing67.xml.rels><?xml version="1.0" encoding="UTF-8" standalone="yes"?>
<Relationships xmlns="http://schemas.openxmlformats.org/package/2006/relationships"><Relationship Id="rId1" Type="http://schemas.openxmlformats.org/officeDocument/2006/relationships/hyperlink" Target="#'Index '!A1"/></Relationships>
</file>

<file path=xl/drawings/_rels/drawing68.xml.rels><?xml version="1.0" encoding="UTF-8" standalone="yes"?>
<Relationships xmlns="http://schemas.openxmlformats.org/package/2006/relationships"><Relationship Id="rId1" Type="http://schemas.openxmlformats.org/officeDocument/2006/relationships/hyperlink" Target="#'Index '!A1"/></Relationships>
</file>

<file path=xl/drawings/_rels/drawing69.xml.rels><?xml version="1.0" encoding="UTF-8" standalone="yes"?>
<Relationships xmlns="http://schemas.openxmlformats.org/package/2006/relationships"><Relationship Id="rId1" Type="http://schemas.openxmlformats.org/officeDocument/2006/relationships/hyperlink" Target="#'Index '!A1"/></Relationships>
</file>

<file path=xl/drawings/_rels/drawing70.xml.rels><?xml version="1.0" encoding="UTF-8" standalone="yes"?>
<Relationships xmlns="http://schemas.openxmlformats.org/package/2006/relationships"><Relationship Id="rId1" Type="http://schemas.openxmlformats.org/officeDocument/2006/relationships/hyperlink" Target="#'Index '!A1"/></Relationships>
</file>

<file path=xl/drawings/_rels/drawing71.xml.rels><?xml version="1.0" encoding="UTF-8" standalone="yes"?>
<Relationships xmlns="http://schemas.openxmlformats.org/package/2006/relationships"><Relationship Id="rId1" Type="http://schemas.openxmlformats.org/officeDocument/2006/relationships/hyperlink" Target="#'Index '!A1"/></Relationships>
</file>

<file path=xl/drawings/_rels/drawing72.xml.rels><?xml version="1.0" encoding="UTF-8" standalone="yes"?>
<Relationships xmlns="http://schemas.openxmlformats.org/package/2006/relationships"><Relationship Id="rId1" Type="http://schemas.openxmlformats.org/officeDocument/2006/relationships/hyperlink" Target="#'Index '!A1"/></Relationships>
</file>

<file path=xl/drawings/_rels/drawing73.xml.rels><?xml version="1.0" encoding="UTF-8" standalone="yes"?>
<Relationships xmlns="http://schemas.openxmlformats.org/package/2006/relationships"><Relationship Id="rId1" Type="http://schemas.openxmlformats.org/officeDocument/2006/relationships/hyperlink" Target="#'Index '!A1"/></Relationships>
</file>

<file path=xl/drawings/_rels/drawing74.xml.rels><?xml version="1.0" encoding="UTF-8" standalone="yes"?>
<Relationships xmlns="http://schemas.openxmlformats.org/package/2006/relationships"><Relationship Id="rId1" Type="http://schemas.openxmlformats.org/officeDocument/2006/relationships/hyperlink" Target="#'Index '!A1"/></Relationships>
</file>

<file path=xl/drawings/_rels/drawing75.xml.rels><?xml version="1.0" encoding="UTF-8" standalone="yes"?>
<Relationships xmlns="http://schemas.openxmlformats.org/package/2006/relationships"><Relationship Id="rId1" Type="http://schemas.openxmlformats.org/officeDocument/2006/relationships/hyperlink" Target="#'Index '!A1"/></Relationships>
</file>

<file path=xl/drawings/_rels/drawing76.xml.rels><?xml version="1.0" encoding="UTF-8" standalone="yes"?>
<Relationships xmlns="http://schemas.openxmlformats.org/package/2006/relationships"><Relationship Id="rId1" Type="http://schemas.openxmlformats.org/officeDocument/2006/relationships/hyperlink" Target="#'Index '!A1"/></Relationships>
</file>

<file path=xl/drawings/_rels/drawing77.xml.rels><?xml version="1.0" encoding="UTF-8" standalone="yes"?>
<Relationships xmlns="http://schemas.openxmlformats.org/package/2006/relationships"><Relationship Id="rId1" Type="http://schemas.openxmlformats.org/officeDocument/2006/relationships/hyperlink" Target="#'Index '!A1"/></Relationships>
</file>

<file path=xl/drawings/_rels/drawing78.xml.rels><?xml version="1.0" encoding="UTF-8" standalone="yes"?>
<Relationships xmlns="http://schemas.openxmlformats.org/package/2006/relationships"><Relationship Id="rId1" Type="http://schemas.openxmlformats.org/officeDocument/2006/relationships/hyperlink" Target="#'Index '!A1"/></Relationships>
</file>

<file path=xl/drawings/_rels/drawing79.xml.rels><?xml version="1.0" encoding="UTF-8" standalone="yes"?>
<Relationships xmlns="http://schemas.openxmlformats.org/package/2006/relationships"><Relationship Id="rId1" Type="http://schemas.openxmlformats.org/officeDocument/2006/relationships/hyperlink" Target="#'Index '!A1"/></Relationships>
</file>

<file path=xl/drawings/_rels/drawing80.xml.rels><?xml version="1.0" encoding="UTF-8" standalone="yes"?>
<Relationships xmlns="http://schemas.openxmlformats.org/package/2006/relationships"><Relationship Id="rId1" Type="http://schemas.openxmlformats.org/officeDocument/2006/relationships/hyperlink" Target="#'Index '!A1"/></Relationships>
</file>

<file path=xl/drawings/_rels/drawing81.xml.rels><?xml version="1.0" encoding="UTF-8" standalone="yes"?>
<Relationships xmlns="http://schemas.openxmlformats.org/package/2006/relationships"><Relationship Id="rId1" Type="http://schemas.openxmlformats.org/officeDocument/2006/relationships/hyperlink" Target="#'Index '!A1"/></Relationships>
</file>

<file path=xl/drawings/_rels/drawing82.xml.rels><?xml version="1.0" encoding="UTF-8" standalone="yes"?>
<Relationships xmlns="http://schemas.openxmlformats.org/package/2006/relationships"><Relationship Id="rId1" Type="http://schemas.openxmlformats.org/officeDocument/2006/relationships/hyperlink" Target="#'Index '!A1"/></Relationships>
</file>

<file path=xl/drawings/_rels/drawing83.xml.rels><?xml version="1.0" encoding="UTF-8" standalone="yes"?>
<Relationships xmlns="http://schemas.openxmlformats.org/package/2006/relationships"><Relationship Id="rId1" Type="http://schemas.openxmlformats.org/officeDocument/2006/relationships/hyperlink" Target="#'Index '!A1"/></Relationships>
</file>

<file path=xl/drawings/_rels/drawing84.xml.rels><?xml version="1.0" encoding="UTF-8" standalone="yes"?>
<Relationships xmlns="http://schemas.openxmlformats.org/package/2006/relationships"><Relationship Id="rId1" Type="http://schemas.openxmlformats.org/officeDocument/2006/relationships/hyperlink" Target="#'Index '!A1"/></Relationships>
</file>

<file path=xl/drawings/_rels/drawing85.xml.rels><?xml version="1.0" encoding="UTF-8" standalone="yes"?>
<Relationships xmlns="http://schemas.openxmlformats.org/package/2006/relationships"><Relationship Id="rId1" Type="http://schemas.openxmlformats.org/officeDocument/2006/relationships/hyperlink" Target="#'Index '!A1"/></Relationships>
</file>

<file path=xl/drawings/_rels/drawing86.xml.rels><?xml version="1.0" encoding="UTF-8" standalone="yes"?>
<Relationships xmlns="http://schemas.openxmlformats.org/package/2006/relationships"><Relationship Id="rId1" Type="http://schemas.openxmlformats.org/officeDocument/2006/relationships/hyperlink" Target="#'Index '!A1"/></Relationships>
</file>

<file path=xl/drawings/_rels/drawing87.xml.rels><?xml version="1.0" encoding="UTF-8" standalone="yes"?>
<Relationships xmlns="http://schemas.openxmlformats.org/package/2006/relationships"><Relationship Id="rId1" Type="http://schemas.openxmlformats.org/officeDocument/2006/relationships/hyperlink" Target="#'Index '!A1"/></Relationships>
</file>

<file path=xl/drawings/_rels/drawing88.xml.rels><?xml version="1.0" encoding="UTF-8" standalone="yes"?>
<Relationships xmlns="http://schemas.openxmlformats.org/package/2006/relationships"><Relationship Id="rId1" Type="http://schemas.openxmlformats.org/officeDocument/2006/relationships/hyperlink" Target="#'Index '!A1"/></Relationships>
</file>

<file path=xl/drawings/_rels/drawing89.xml.rels><?xml version="1.0" encoding="UTF-8" standalone="yes"?>
<Relationships xmlns="http://schemas.openxmlformats.org/package/2006/relationships"><Relationship Id="rId1" Type="http://schemas.openxmlformats.org/officeDocument/2006/relationships/hyperlink" Target="#'Index '!A1"/></Relationships>
</file>

<file path=xl/drawings/_rels/drawing90.xml.rels><?xml version="1.0" encoding="UTF-8" standalone="yes"?>
<Relationships xmlns="http://schemas.openxmlformats.org/package/2006/relationships"><Relationship Id="rId1" Type="http://schemas.openxmlformats.org/officeDocument/2006/relationships/hyperlink" Target="#'Index '!A1"/></Relationships>
</file>

<file path=xl/drawings/_rels/drawing91.xml.rels><?xml version="1.0" encoding="UTF-8" standalone="yes"?>
<Relationships xmlns="http://schemas.openxmlformats.org/package/2006/relationships"><Relationship Id="rId1" Type="http://schemas.openxmlformats.org/officeDocument/2006/relationships/hyperlink" Target="#'Index '!A1"/></Relationships>
</file>

<file path=xl/drawings/_rels/drawing92.xml.rels><?xml version="1.0" encoding="UTF-8" standalone="yes"?>
<Relationships xmlns="http://schemas.openxmlformats.org/package/2006/relationships"><Relationship Id="rId1" Type="http://schemas.openxmlformats.org/officeDocument/2006/relationships/hyperlink" Target="#'Index '!A1"/></Relationships>
</file>

<file path=xl/drawings/_rels/drawing93.xml.rels><?xml version="1.0" encoding="UTF-8" standalone="yes"?>
<Relationships xmlns="http://schemas.openxmlformats.org/package/2006/relationships"><Relationship Id="rId1" Type="http://schemas.openxmlformats.org/officeDocument/2006/relationships/hyperlink" Target="#'Index '!A1"/></Relationships>
</file>

<file path=xl/drawings/_rels/drawing94.xml.rels><?xml version="1.0" encoding="UTF-8" standalone="yes"?>
<Relationships xmlns="http://schemas.openxmlformats.org/package/2006/relationships"><Relationship Id="rId1" Type="http://schemas.openxmlformats.org/officeDocument/2006/relationships/hyperlink" Target="#'Index '!A1"/></Relationships>
</file>

<file path=xl/drawings/_rels/drawing95.xml.rels><?xml version="1.0" encoding="UTF-8" standalone="yes"?>
<Relationships xmlns="http://schemas.openxmlformats.org/package/2006/relationships"><Relationship Id="rId1" Type="http://schemas.openxmlformats.org/officeDocument/2006/relationships/hyperlink" Target="#'Index '!A1"/></Relationships>
</file>

<file path=xl/drawings/_rels/drawing96.xml.rels><?xml version="1.0" encoding="UTF-8" standalone="yes"?>
<Relationships xmlns="http://schemas.openxmlformats.org/package/2006/relationships"><Relationship Id="rId1" Type="http://schemas.openxmlformats.org/officeDocument/2006/relationships/hyperlink" Target="#'Index '!A1"/></Relationships>
</file>

<file path=xl/drawings/_rels/drawing97.xml.rels><?xml version="1.0" encoding="UTF-8" standalone="yes"?>
<Relationships xmlns="http://schemas.openxmlformats.org/package/2006/relationships"><Relationship Id="rId1" Type="http://schemas.openxmlformats.org/officeDocument/2006/relationships/hyperlink" Target="#'Index '!A1"/></Relationships>
</file>

<file path=xl/drawings/_rels/drawing98.xml.rels><?xml version="1.0" encoding="UTF-8" standalone="yes"?>
<Relationships xmlns="http://schemas.openxmlformats.org/package/2006/relationships"><Relationship Id="rId1" Type="http://schemas.openxmlformats.org/officeDocument/2006/relationships/hyperlink" Target="#'Index '!A1"/></Relationships>
</file>

<file path=xl/drawings/_rels/drawing99.xml.rels><?xml version="1.0" encoding="UTF-8" standalone="yes"?>
<Relationships xmlns="http://schemas.openxmlformats.org/package/2006/relationships"><Relationship Id="rId1" Type="http://schemas.openxmlformats.org/officeDocument/2006/relationships/hyperlink" Target="#'Index '!A1"/></Relationships>
</file>

<file path=xl/drawings/_rels/drawing100.xml.rels><?xml version="1.0" encoding="UTF-8" standalone="yes"?>
<Relationships xmlns="http://schemas.openxmlformats.org/package/2006/relationships"><Relationship Id="rId1" Type="http://schemas.openxmlformats.org/officeDocument/2006/relationships/hyperlink" Target="#'Index '!A1"/></Relationships>
</file>

<file path=xl/drawings/_rels/drawing101.xml.rels><?xml version="1.0" encoding="UTF-8" standalone="yes"?>
<Relationships xmlns="http://schemas.openxmlformats.org/package/2006/relationships"><Relationship Id="rId1" Type="http://schemas.openxmlformats.org/officeDocument/2006/relationships/hyperlink" Target="#'Index '!A1"/></Relationships>
</file>

<file path=xl/drawings/_rels/drawing102.xml.rels><?xml version="1.0" encoding="UTF-8" standalone="yes"?>
<Relationships xmlns="http://schemas.openxmlformats.org/package/2006/relationships"><Relationship Id="rId1" Type="http://schemas.openxmlformats.org/officeDocument/2006/relationships/hyperlink" Target="#'Index '!A1"/></Relationships>
</file>

<file path=xl/drawings/_rels/drawing103.xml.rels><?xml version="1.0" encoding="UTF-8" standalone="yes"?>
<Relationships xmlns="http://schemas.openxmlformats.org/package/2006/relationships"><Relationship Id="rId1" Type="http://schemas.openxmlformats.org/officeDocument/2006/relationships/hyperlink" Target="#'Index '!A1"/></Relationships>
</file>

<file path=xl/drawings/_rels/drawing104.xml.rels><?xml version="1.0" encoding="UTF-8" standalone="yes"?>
<Relationships xmlns="http://schemas.openxmlformats.org/package/2006/relationships"><Relationship Id="rId1" Type="http://schemas.openxmlformats.org/officeDocument/2006/relationships/hyperlink" Target="#'Index '!A1"/></Relationships>
</file>

<file path=xl/drawings/_rels/drawing105.xml.rels><?xml version="1.0" encoding="UTF-8" standalone="yes"?>
<Relationships xmlns="http://schemas.openxmlformats.org/package/2006/relationships"><Relationship Id="rId1" Type="http://schemas.openxmlformats.org/officeDocument/2006/relationships/hyperlink" Target="#'Index '!A1"/></Relationships>
</file>

<file path=xl/drawings/_rels/drawing106.xml.rels><?xml version="1.0" encoding="UTF-8" standalone="yes"?>
<Relationships xmlns="http://schemas.openxmlformats.org/package/2006/relationships"><Relationship Id="rId1" Type="http://schemas.openxmlformats.org/officeDocument/2006/relationships/hyperlink" Target="#'Index '!A1"/></Relationships>
</file>

<file path=xl/drawings/_rels/drawing107.xml.rels><?xml version="1.0" encoding="UTF-8" standalone="yes"?>
<Relationships xmlns="http://schemas.openxmlformats.org/package/2006/relationships"><Relationship Id="rId1" Type="http://schemas.openxmlformats.org/officeDocument/2006/relationships/hyperlink" Target="#'Index '!A1"/></Relationships>
</file>

<file path=xl/drawings/_rels/drawing108.xml.rels><?xml version="1.0" encoding="UTF-8" standalone="yes"?>
<Relationships xmlns="http://schemas.openxmlformats.org/package/2006/relationships"><Relationship Id="rId1" Type="http://schemas.openxmlformats.org/officeDocument/2006/relationships/hyperlink" Target="#'Index '!A1"/></Relationships>
</file>

<file path=xl/drawings/_rels/drawing109.xml.rels><?xml version="1.0" encoding="UTF-8" standalone="yes"?>
<Relationships xmlns="http://schemas.openxmlformats.org/package/2006/relationships"><Relationship Id="rId1" Type="http://schemas.openxmlformats.org/officeDocument/2006/relationships/hyperlink" Target="#'Index '!A1"/></Relationships>
</file>

<file path=xl/drawings/drawing1.xml><?xml version="1.0" encoding="utf-8"?>
<xdr:wsDr xmlns:xdr="http://schemas.openxmlformats.org/drawingml/2006/spreadsheetDrawing" xmlns:a="http://schemas.openxmlformats.org/drawingml/2006/main">
  <xdr:twoCellAnchor>
    <xdr:from>
      <xdr:col>1</xdr:col>
      <xdr:colOff>49389</xdr:colOff>
      <xdr:row>90</xdr:row>
      <xdr:rowOff>28574</xdr:rowOff>
    </xdr:from>
    <xdr:to>
      <xdr:col>1</xdr:col>
      <xdr:colOff>1</xdr:colOff>
      <xdr:row>90</xdr:row>
      <xdr:rowOff>127000</xdr:rowOff>
    </xdr:to>
    <xdr:sp macro="" textlink="">
      <xdr:nvSpPr>
        <xdr:cNvPr id="2" name="Right Arrow 3">
          <a:extLst>
            <a:ext uri="{FF2B5EF4-FFF2-40B4-BE49-F238E27FC236}">
              <a16:creationId xmlns:a16="http://schemas.microsoft.com/office/drawing/2014/main" id="{938A23D3-9043-4971-BA81-4B0777CC228D}"/>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49389</xdr:colOff>
      <xdr:row>90</xdr:row>
      <xdr:rowOff>28574</xdr:rowOff>
    </xdr:from>
    <xdr:to>
      <xdr:col>1</xdr:col>
      <xdr:colOff>1</xdr:colOff>
      <xdr:row>90</xdr:row>
      <xdr:rowOff>127000</xdr:rowOff>
    </xdr:to>
    <xdr:sp macro="" textlink="">
      <xdr:nvSpPr>
        <xdr:cNvPr id="3" name="Right Arrow 8">
          <a:extLst>
            <a:ext uri="{FF2B5EF4-FFF2-40B4-BE49-F238E27FC236}">
              <a16:creationId xmlns:a16="http://schemas.microsoft.com/office/drawing/2014/main" id="{A257AD2C-9130-47D1-9AAE-D9A930D57088}"/>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49389</xdr:colOff>
      <xdr:row>94</xdr:row>
      <xdr:rowOff>28574</xdr:rowOff>
    </xdr:from>
    <xdr:to>
      <xdr:col>1</xdr:col>
      <xdr:colOff>1</xdr:colOff>
      <xdr:row>94</xdr:row>
      <xdr:rowOff>127000</xdr:rowOff>
    </xdr:to>
    <xdr:sp macro="" textlink="">
      <xdr:nvSpPr>
        <xdr:cNvPr id="4" name="Right Arrow 3">
          <a:extLst>
            <a:ext uri="{FF2B5EF4-FFF2-40B4-BE49-F238E27FC236}">
              <a16:creationId xmlns:a16="http://schemas.microsoft.com/office/drawing/2014/main" id="{0819F983-90D0-405D-B881-203718EE8E54}"/>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49389</xdr:colOff>
      <xdr:row>94</xdr:row>
      <xdr:rowOff>28574</xdr:rowOff>
    </xdr:from>
    <xdr:to>
      <xdr:col>1</xdr:col>
      <xdr:colOff>1</xdr:colOff>
      <xdr:row>94</xdr:row>
      <xdr:rowOff>127000</xdr:rowOff>
    </xdr:to>
    <xdr:sp macro="" textlink="">
      <xdr:nvSpPr>
        <xdr:cNvPr id="5" name="Right Arrow 8">
          <a:extLst>
            <a:ext uri="{FF2B5EF4-FFF2-40B4-BE49-F238E27FC236}">
              <a16:creationId xmlns:a16="http://schemas.microsoft.com/office/drawing/2014/main" id="{C4B63677-3D73-464C-BBBF-872A2AE5DD20}"/>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00000000-0008-0000-0300-000002000000}"/>
            </a:ext>
          </a:extLst>
        </xdr:cNvPr>
        <xdr:cNvSpPr/>
      </xdr:nvSpPr>
      <xdr:spPr>
        <a:xfrm rot="10800000" flipH="1">
          <a:off x="2673350" y="4683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105833</xdr:colOff>
      <xdr:row>2</xdr:row>
      <xdr:rowOff>84666</xdr:rowOff>
    </xdr:from>
    <xdr:to>
      <xdr:col>2</xdr:col>
      <xdr:colOff>420158</xdr:colOff>
      <xdr:row>2</xdr:row>
      <xdr:rowOff>130385</xdr:rowOff>
    </xdr:to>
    <xdr:sp macro="" textlink="">
      <xdr:nvSpPr>
        <xdr:cNvPr id="3" name="Right Arrow 2">
          <a:extLst>
            <a:ext uri="{FF2B5EF4-FFF2-40B4-BE49-F238E27FC236}">
              <a16:creationId xmlns:a16="http://schemas.microsoft.com/office/drawing/2014/main" id="{00000000-0008-0000-0300-000003000000}"/>
            </a:ext>
          </a:extLst>
        </xdr:cNvPr>
        <xdr:cNvSpPr/>
      </xdr:nvSpPr>
      <xdr:spPr>
        <a:xfrm rot="10800000" flipH="1">
          <a:off x="2169583" y="452966"/>
          <a:ext cx="31432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0</xdr:colOff>
      <xdr:row>2</xdr:row>
      <xdr:rowOff>0</xdr:rowOff>
    </xdr:from>
    <xdr:to>
      <xdr:col>10</xdr:col>
      <xdr:colOff>197555</xdr:colOff>
      <xdr:row>3</xdr:row>
      <xdr:rowOff>173744</xdr:rowOff>
    </xdr:to>
    <xdr:sp macro="" textlink="">
      <xdr:nvSpPr>
        <xdr:cNvPr id="4" name="Rounded Rectangle 3">
          <a:hlinkClick xmlns:r="http://schemas.openxmlformats.org/officeDocument/2006/relationships" r:id="rId1"/>
          <a:extLst>
            <a:ext uri="{FF2B5EF4-FFF2-40B4-BE49-F238E27FC236}">
              <a16:creationId xmlns:a16="http://schemas.microsoft.com/office/drawing/2014/main" id="{00000000-0008-0000-0300-000004000000}"/>
            </a:ext>
          </a:extLst>
        </xdr:cNvPr>
        <xdr:cNvSpPr/>
      </xdr:nvSpPr>
      <xdr:spPr>
        <a:xfrm>
          <a:off x="7549444" y="366889"/>
          <a:ext cx="1143000" cy="35718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00000000-0008-0000-0400-000002000000}"/>
            </a:ext>
          </a:extLst>
        </xdr:cNvPr>
        <xdr:cNvSpPr/>
      </xdr:nvSpPr>
      <xdr:spPr>
        <a:xfrm rot="10800000" flipH="1">
          <a:off x="4318000" y="4683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2</xdr:row>
      <xdr:rowOff>101600</xdr:rowOff>
    </xdr:from>
    <xdr:to>
      <xdr:col>2</xdr:col>
      <xdr:colOff>403225</xdr:colOff>
      <xdr:row>2</xdr:row>
      <xdr:rowOff>147319</xdr:rowOff>
    </xdr:to>
    <xdr:sp macro="" textlink="">
      <xdr:nvSpPr>
        <xdr:cNvPr id="4" name="Right Arrow 3">
          <a:extLst>
            <a:ext uri="{FF2B5EF4-FFF2-40B4-BE49-F238E27FC236}">
              <a16:creationId xmlns:a16="http://schemas.microsoft.com/office/drawing/2014/main" id="{00000000-0008-0000-0400-000004000000}"/>
            </a:ext>
          </a:extLst>
        </xdr:cNvPr>
        <xdr:cNvSpPr/>
      </xdr:nvSpPr>
      <xdr:spPr>
        <a:xfrm>
          <a:off x="1308100" y="469900"/>
          <a:ext cx="31432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6350</xdr:colOff>
      <xdr:row>0</xdr:row>
      <xdr:rowOff>44450</xdr:rowOff>
    </xdr:from>
    <xdr:to>
      <xdr:col>8</xdr:col>
      <xdr:colOff>539750</xdr:colOff>
      <xdr:row>2</xdr:row>
      <xdr:rowOff>71438</xdr:rowOff>
    </xdr:to>
    <xdr:sp macro="" textlink="">
      <xdr:nvSpPr>
        <xdr:cNvPr id="5" name="Rounded Rectangle 4">
          <a:hlinkClick xmlns:r="http://schemas.openxmlformats.org/officeDocument/2006/relationships" r:id="rId1"/>
          <a:extLst>
            <a:ext uri="{FF2B5EF4-FFF2-40B4-BE49-F238E27FC236}">
              <a16:creationId xmlns:a16="http://schemas.microsoft.com/office/drawing/2014/main" id="{00000000-0008-0000-0400-000005000000}"/>
            </a:ext>
          </a:extLst>
        </xdr:cNvPr>
        <xdr:cNvSpPr/>
      </xdr:nvSpPr>
      <xdr:spPr>
        <a:xfrm>
          <a:off x="5651500" y="44450"/>
          <a:ext cx="1143000" cy="35718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00000000-0008-0000-0500-000002000000}"/>
            </a:ext>
          </a:extLst>
        </xdr:cNvPr>
        <xdr:cNvSpPr/>
      </xdr:nvSpPr>
      <xdr:spPr>
        <a:xfrm rot="10800000" flipH="1">
          <a:off x="2838450" y="430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2</xdr:row>
      <xdr:rowOff>101600</xdr:rowOff>
    </xdr:from>
    <xdr:to>
      <xdr:col>2</xdr:col>
      <xdr:colOff>403225</xdr:colOff>
      <xdr:row>2</xdr:row>
      <xdr:rowOff>147319</xdr:rowOff>
    </xdr:to>
    <xdr:sp macro="" textlink="">
      <xdr:nvSpPr>
        <xdr:cNvPr id="3" name="Right Arrow 2">
          <a:extLst>
            <a:ext uri="{FF2B5EF4-FFF2-40B4-BE49-F238E27FC236}">
              <a16:creationId xmlns:a16="http://schemas.microsoft.com/office/drawing/2014/main" id="{00000000-0008-0000-0500-000003000000}"/>
            </a:ext>
          </a:extLst>
        </xdr:cNvPr>
        <xdr:cNvSpPr/>
      </xdr:nvSpPr>
      <xdr:spPr>
        <a:xfrm>
          <a:off x="2317750" y="431800"/>
          <a:ext cx="31432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444500</xdr:colOff>
      <xdr:row>0</xdr:row>
      <xdr:rowOff>44450</xdr:rowOff>
    </xdr:from>
    <xdr:to>
      <xdr:col>8</xdr:col>
      <xdr:colOff>368300</xdr:colOff>
      <xdr:row>2</xdr:row>
      <xdr:rowOff>71438</xdr:rowOff>
    </xdr:to>
    <xdr:sp macro="" textlink="">
      <xdr:nvSpPr>
        <xdr:cNvPr id="4" name="Rounded Rectangle 3">
          <a:hlinkClick xmlns:r="http://schemas.openxmlformats.org/officeDocument/2006/relationships" r:id="rId1"/>
          <a:extLst>
            <a:ext uri="{FF2B5EF4-FFF2-40B4-BE49-F238E27FC236}">
              <a16:creationId xmlns:a16="http://schemas.microsoft.com/office/drawing/2014/main" id="{00000000-0008-0000-0500-000004000000}"/>
            </a:ext>
          </a:extLst>
        </xdr:cNvPr>
        <xdr:cNvSpPr/>
      </xdr:nvSpPr>
      <xdr:spPr>
        <a:xfrm>
          <a:off x="5480050" y="44450"/>
          <a:ext cx="1143000" cy="35718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00000000-0008-0000-0600-000002000000}"/>
            </a:ext>
          </a:extLst>
        </xdr:cNvPr>
        <xdr:cNvSpPr/>
      </xdr:nvSpPr>
      <xdr:spPr>
        <a:xfrm rot="10800000" flipH="1">
          <a:off x="3587750" y="468313"/>
          <a:ext cx="31432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105833</xdr:colOff>
      <xdr:row>2</xdr:row>
      <xdr:rowOff>84666</xdr:rowOff>
    </xdr:from>
    <xdr:to>
      <xdr:col>2</xdr:col>
      <xdr:colOff>420158</xdr:colOff>
      <xdr:row>2</xdr:row>
      <xdr:rowOff>130385</xdr:rowOff>
    </xdr:to>
    <xdr:sp macro="" textlink="">
      <xdr:nvSpPr>
        <xdr:cNvPr id="3" name="Right Arrow 2">
          <a:extLst>
            <a:ext uri="{FF2B5EF4-FFF2-40B4-BE49-F238E27FC236}">
              <a16:creationId xmlns:a16="http://schemas.microsoft.com/office/drawing/2014/main" id="{00000000-0008-0000-0600-000003000000}"/>
            </a:ext>
          </a:extLst>
        </xdr:cNvPr>
        <xdr:cNvSpPr/>
      </xdr:nvSpPr>
      <xdr:spPr>
        <a:xfrm rot="10800000" flipH="1">
          <a:off x="1319389" y="451555"/>
          <a:ext cx="31432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1</xdr:row>
      <xdr:rowOff>0</xdr:rowOff>
    </xdr:from>
    <xdr:to>
      <xdr:col>9</xdr:col>
      <xdr:colOff>246062</xdr:colOff>
      <xdr:row>2</xdr:row>
      <xdr:rowOff>174626</xdr:rowOff>
    </xdr:to>
    <xdr:sp macro="" textlink="">
      <xdr:nvSpPr>
        <xdr:cNvPr id="4" name="Rounded Rectangle 3">
          <a:hlinkClick xmlns:r="http://schemas.openxmlformats.org/officeDocument/2006/relationships" r:id="rId1"/>
          <a:extLst>
            <a:ext uri="{FF2B5EF4-FFF2-40B4-BE49-F238E27FC236}">
              <a16:creationId xmlns:a16="http://schemas.microsoft.com/office/drawing/2014/main" id="{00000000-0008-0000-0600-000004000000}"/>
            </a:ext>
          </a:extLst>
        </xdr:cNvPr>
        <xdr:cNvSpPr/>
      </xdr:nvSpPr>
      <xdr:spPr>
        <a:xfrm>
          <a:off x="8175625" y="182563"/>
          <a:ext cx="1143000" cy="35718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00000000-0008-0000-0700-000002000000}"/>
            </a:ext>
          </a:extLst>
        </xdr:cNvPr>
        <xdr:cNvSpPr/>
      </xdr:nvSpPr>
      <xdr:spPr>
        <a:xfrm rot="10800000" flipH="1">
          <a:off x="3943350" y="4683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105833</xdr:colOff>
      <xdr:row>2</xdr:row>
      <xdr:rowOff>84666</xdr:rowOff>
    </xdr:from>
    <xdr:to>
      <xdr:col>2</xdr:col>
      <xdr:colOff>420158</xdr:colOff>
      <xdr:row>2</xdr:row>
      <xdr:rowOff>130385</xdr:rowOff>
    </xdr:to>
    <xdr:sp macro="" textlink="">
      <xdr:nvSpPr>
        <xdr:cNvPr id="3" name="Right Arrow 2">
          <a:extLst>
            <a:ext uri="{FF2B5EF4-FFF2-40B4-BE49-F238E27FC236}">
              <a16:creationId xmlns:a16="http://schemas.microsoft.com/office/drawing/2014/main" id="{00000000-0008-0000-0700-000003000000}"/>
            </a:ext>
          </a:extLst>
        </xdr:cNvPr>
        <xdr:cNvSpPr/>
      </xdr:nvSpPr>
      <xdr:spPr>
        <a:xfrm rot="10800000" flipH="1">
          <a:off x="3636433" y="452966"/>
          <a:ext cx="3079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0</xdr:colOff>
      <xdr:row>1</xdr:row>
      <xdr:rowOff>0</xdr:rowOff>
    </xdr:from>
    <xdr:to>
      <xdr:col>9</xdr:col>
      <xdr:colOff>536223</xdr:colOff>
      <xdr:row>2</xdr:row>
      <xdr:rowOff>173743</xdr:rowOff>
    </xdr:to>
    <xdr:sp macro="" textlink="">
      <xdr:nvSpPr>
        <xdr:cNvPr id="4" name="Rounded Rectangle 3">
          <a:hlinkClick xmlns:r="http://schemas.openxmlformats.org/officeDocument/2006/relationships" r:id="rId1"/>
          <a:extLst>
            <a:ext uri="{FF2B5EF4-FFF2-40B4-BE49-F238E27FC236}">
              <a16:creationId xmlns:a16="http://schemas.microsoft.com/office/drawing/2014/main" id="{00000000-0008-0000-0700-000004000000}"/>
            </a:ext>
          </a:extLst>
        </xdr:cNvPr>
        <xdr:cNvSpPr/>
      </xdr:nvSpPr>
      <xdr:spPr>
        <a:xfrm>
          <a:off x="6039556" y="183444"/>
          <a:ext cx="1143000" cy="35718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00000000-0008-0000-0800-000002000000}"/>
            </a:ext>
          </a:extLst>
        </xdr:cNvPr>
        <xdr:cNvSpPr/>
      </xdr:nvSpPr>
      <xdr:spPr>
        <a:xfrm rot="10800000" flipH="1">
          <a:off x="1828800" y="4683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105833</xdr:colOff>
      <xdr:row>2</xdr:row>
      <xdr:rowOff>84666</xdr:rowOff>
    </xdr:from>
    <xdr:to>
      <xdr:col>2</xdr:col>
      <xdr:colOff>420158</xdr:colOff>
      <xdr:row>2</xdr:row>
      <xdr:rowOff>130385</xdr:rowOff>
    </xdr:to>
    <xdr:sp macro="" textlink="">
      <xdr:nvSpPr>
        <xdr:cNvPr id="3" name="Right Arrow 2">
          <a:extLst>
            <a:ext uri="{FF2B5EF4-FFF2-40B4-BE49-F238E27FC236}">
              <a16:creationId xmlns:a16="http://schemas.microsoft.com/office/drawing/2014/main" id="{00000000-0008-0000-0800-000003000000}"/>
            </a:ext>
          </a:extLst>
        </xdr:cNvPr>
        <xdr:cNvSpPr/>
      </xdr:nvSpPr>
      <xdr:spPr>
        <a:xfrm rot="10800000" flipH="1">
          <a:off x="1325033" y="452966"/>
          <a:ext cx="31432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197555</xdr:colOff>
      <xdr:row>0</xdr:row>
      <xdr:rowOff>176389</xdr:rowOff>
    </xdr:from>
    <xdr:to>
      <xdr:col>8</xdr:col>
      <xdr:colOff>465667</xdr:colOff>
      <xdr:row>2</xdr:row>
      <xdr:rowOff>166688</xdr:rowOff>
    </xdr:to>
    <xdr:sp macro="" textlink="">
      <xdr:nvSpPr>
        <xdr:cNvPr id="4" name="Rounded Rectangle 3">
          <a:hlinkClick xmlns:r="http://schemas.openxmlformats.org/officeDocument/2006/relationships" r:id="rId1"/>
          <a:extLst>
            <a:ext uri="{FF2B5EF4-FFF2-40B4-BE49-F238E27FC236}">
              <a16:creationId xmlns:a16="http://schemas.microsoft.com/office/drawing/2014/main" id="{00000000-0008-0000-0800-000004000000}"/>
            </a:ext>
          </a:extLst>
        </xdr:cNvPr>
        <xdr:cNvSpPr/>
      </xdr:nvSpPr>
      <xdr:spPr>
        <a:xfrm>
          <a:off x="6364111" y="176389"/>
          <a:ext cx="1143000" cy="35718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00000000-0008-0000-0900-000002000000}"/>
            </a:ext>
          </a:extLst>
        </xdr:cNvPr>
        <xdr:cNvSpPr/>
      </xdr:nvSpPr>
      <xdr:spPr>
        <a:xfrm rot="10800000" flipH="1">
          <a:off x="2673350" y="4683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105833</xdr:colOff>
      <xdr:row>2</xdr:row>
      <xdr:rowOff>84666</xdr:rowOff>
    </xdr:from>
    <xdr:to>
      <xdr:col>2</xdr:col>
      <xdr:colOff>420158</xdr:colOff>
      <xdr:row>2</xdr:row>
      <xdr:rowOff>130385</xdr:rowOff>
    </xdr:to>
    <xdr:sp macro="" textlink="">
      <xdr:nvSpPr>
        <xdr:cNvPr id="3" name="Right Arrow 2">
          <a:extLst>
            <a:ext uri="{FF2B5EF4-FFF2-40B4-BE49-F238E27FC236}">
              <a16:creationId xmlns:a16="http://schemas.microsoft.com/office/drawing/2014/main" id="{00000000-0008-0000-0900-000003000000}"/>
            </a:ext>
          </a:extLst>
        </xdr:cNvPr>
        <xdr:cNvSpPr/>
      </xdr:nvSpPr>
      <xdr:spPr>
        <a:xfrm rot="10800000" flipH="1">
          <a:off x="2169583" y="452966"/>
          <a:ext cx="31432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0</xdr:colOff>
      <xdr:row>2</xdr:row>
      <xdr:rowOff>0</xdr:rowOff>
    </xdr:from>
    <xdr:to>
      <xdr:col>9</xdr:col>
      <xdr:colOff>531812</xdr:colOff>
      <xdr:row>3</xdr:row>
      <xdr:rowOff>174625</xdr:rowOff>
    </xdr:to>
    <xdr:sp macro="" textlink="">
      <xdr:nvSpPr>
        <xdr:cNvPr id="4" name="Rounded Rectangle 3">
          <a:hlinkClick xmlns:r="http://schemas.openxmlformats.org/officeDocument/2006/relationships" r:id="rId1"/>
          <a:extLst>
            <a:ext uri="{FF2B5EF4-FFF2-40B4-BE49-F238E27FC236}">
              <a16:creationId xmlns:a16="http://schemas.microsoft.com/office/drawing/2014/main" id="{00000000-0008-0000-0900-000004000000}"/>
            </a:ext>
          </a:extLst>
        </xdr:cNvPr>
        <xdr:cNvSpPr/>
      </xdr:nvSpPr>
      <xdr:spPr>
        <a:xfrm>
          <a:off x="7080250" y="365125"/>
          <a:ext cx="1143000" cy="35718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00000000-0008-0000-0A00-000002000000}"/>
            </a:ext>
          </a:extLst>
        </xdr:cNvPr>
        <xdr:cNvSpPr/>
      </xdr:nvSpPr>
      <xdr:spPr>
        <a:xfrm rot="10800000" flipH="1">
          <a:off x="1828800" y="4683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2</xdr:row>
      <xdr:rowOff>101600</xdr:rowOff>
    </xdr:from>
    <xdr:to>
      <xdr:col>2</xdr:col>
      <xdr:colOff>403225</xdr:colOff>
      <xdr:row>2</xdr:row>
      <xdr:rowOff>147319</xdr:rowOff>
    </xdr:to>
    <xdr:sp macro="" textlink="">
      <xdr:nvSpPr>
        <xdr:cNvPr id="3" name="Right Arrow 2">
          <a:extLst>
            <a:ext uri="{FF2B5EF4-FFF2-40B4-BE49-F238E27FC236}">
              <a16:creationId xmlns:a16="http://schemas.microsoft.com/office/drawing/2014/main" id="{00000000-0008-0000-0A00-000003000000}"/>
            </a:ext>
          </a:extLst>
        </xdr:cNvPr>
        <xdr:cNvSpPr/>
      </xdr:nvSpPr>
      <xdr:spPr>
        <a:xfrm>
          <a:off x="1308100" y="469900"/>
          <a:ext cx="31432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0</xdr:colOff>
      <xdr:row>1</xdr:row>
      <xdr:rowOff>0</xdr:rowOff>
    </xdr:from>
    <xdr:to>
      <xdr:col>7</xdr:col>
      <xdr:colOff>533400</xdr:colOff>
      <xdr:row>2</xdr:row>
      <xdr:rowOff>173038</xdr:rowOff>
    </xdr:to>
    <xdr:sp macro="" textlink="">
      <xdr:nvSpPr>
        <xdr:cNvPr id="4" name="Rounded Rectangle 3">
          <a:hlinkClick xmlns:r="http://schemas.openxmlformats.org/officeDocument/2006/relationships" r:id="rId1"/>
          <a:extLst>
            <a:ext uri="{FF2B5EF4-FFF2-40B4-BE49-F238E27FC236}">
              <a16:creationId xmlns:a16="http://schemas.microsoft.com/office/drawing/2014/main" id="{00000000-0008-0000-0A00-000004000000}"/>
            </a:ext>
          </a:extLst>
        </xdr:cNvPr>
        <xdr:cNvSpPr/>
      </xdr:nvSpPr>
      <xdr:spPr>
        <a:xfrm>
          <a:off x="4679950" y="184150"/>
          <a:ext cx="1143000" cy="35718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00000000-0008-0000-0B00-000002000000}"/>
            </a:ext>
          </a:extLst>
        </xdr:cNvPr>
        <xdr:cNvSpPr/>
      </xdr:nvSpPr>
      <xdr:spPr>
        <a:xfrm rot="10800000" flipH="1">
          <a:off x="1828800" y="4683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2</xdr:row>
      <xdr:rowOff>101600</xdr:rowOff>
    </xdr:from>
    <xdr:to>
      <xdr:col>2</xdr:col>
      <xdr:colOff>403225</xdr:colOff>
      <xdr:row>2</xdr:row>
      <xdr:rowOff>147319</xdr:rowOff>
    </xdr:to>
    <xdr:sp macro="" textlink="">
      <xdr:nvSpPr>
        <xdr:cNvPr id="3" name="Right Arrow 2">
          <a:extLst>
            <a:ext uri="{FF2B5EF4-FFF2-40B4-BE49-F238E27FC236}">
              <a16:creationId xmlns:a16="http://schemas.microsoft.com/office/drawing/2014/main" id="{00000000-0008-0000-0B00-000003000000}"/>
            </a:ext>
          </a:extLst>
        </xdr:cNvPr>
        <xdr:cNvSpPr/>
      </xdr:nvSpPr>
      <xdr:spPr>
        <a:xfrm>
          <a:off x="1308100" y="469900"/>
          <a:ext cx="31432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95251</xdr:colOff>
      <xdr:row>1</xdr:row>
      <xdr:rowOff>28574</xdr:rowOff>
    </xdr:from>
    <xdr:to>
      <xdr:col>3</xdr:col>
      <xdr:colOff>1</xdr:colOff>
      <xdr:row>1</xdr:row>
      <xdr:rowOff>114299</xdr:rowOff>
    </xdr:to>
    <xdr:sp macro="" textlink="">
      <xdr:nvSpPr>
        <xdr:cNvPr id="4" name="Right Arrow 3">
          <a:extLst>
            <a:ext uri="{FF2B5EF4-FFF2-40B4-BE49-F238E27FC236}">
              <a16:creationId xmlns:a16="http://schemas.microsoft.com/office/drawing/2014/main" id="{00000000-0008-0000-0B00-000004000000}"/>
            </a:ext>
          </a:extLst>
        </xdr:cNvPr>
        <xdr:cNvSpPr/>
      </xdr:nvSpPr>
      <xdr:spPr>
        <a:xfrm>
          <a:off x="1314451" y="212724"/>
          <a:ext cx="311150" cy="857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5" name="Right Arrow 4">
          <a:extLst>
            <a:ext uri="{FF2B5EF4-FFF2-40B4-BE49-F238E27FC236}">
              <a16:creationId xmlns:a16="http://schemas.microsoft.com/office/drawing/2014/main" id="{00000000-0008-0000-0B00-000005000000}"/>
            </a:ext>
          </a:extLst>
        </xdr:cNvPr>
        <xdr:cNvSpPr/>
      </xdr:nvSpPr>
      <xdr:spPr>
        <a:xfrm>
          <a:off x="2981325" y="212724"/>
          <a:ext cx="485775" cy="1428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1</xdr:row>
      <xdr:rowOff>0</xdr:rowOff>
    </xdr:from>
    <xdr:to>
      <xdr:col>8</xdr:col>
      <xdr:colOff>536222</xdr:colOff>
      <xdr:row>2</xdr:row>
      <xdr:rowOff>173743</xdr:rowOff>
    </xdr:to>
    <xdr:sp macro="" textlink="">
      <xdr:nvSpPr>
        <xdr:cNvPr id="6" name="Rounded Rectangle 5">
          <a:hlinkClick xmlns:r="http://schemas.openxmlformats.org/officeDocument/2006/relationships" r:id="rId1"/>
          <a:extLst>
            <a:ext uri="{FF2B5EF4-FFF2-40B4-BE49-F238E27FC236}">
              <a16:creationId xmlns:a16="http://schemas.microsoft.com/office/drawing/2014/main" id="{00000000-0008-0000-0B00-000006000000}"/>
            </a:ext>
          </a:extLst>
        </xdr:cNvPr>
        <xdr:cNvSpPr/>
      </xdr:nvSpPr>
      <xdr:spPr>
        <a:xfrm>
          <a:off x="6314722" y="183444"/>
          <a:ext cx="1143000" cy="35718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7</xdr:col>
      <xdr:colOff>0</xdr:colOff>
      <xdr:row>1</xdr:row>
      <xdr:rowOff>0</xdr:rowOff>
    </xdr:from>
    <xdr:to>
      <xdr:col>10</xdr:col>
      <xdr:colOff>31750</xdr:colOff>
      <xdr:row>2</xdr:row>
      <xdr:rowOff>50800</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C00-000003000000}"/>
            </a:ext>
          </a:extLst>
        </xdr:cNvPr>
        <xdr:cNvSpPr/>
      </xdr:nvSpPr>
      <xdr:spPr>
        <a:xfrm>
          <a:off x="5149850" y="165100"/>
          <a:ext cx="1397000" cy="215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7</xdr:col>
      <xdr:colOff>38100</xdr:colOff>
      <xdr:row>0</xdr:row>
      <xdr:rowOff>31750</xdr:rowOff>
    </xdr:from>
    <xdr:to>
      <xdr:col>9</xdr:col>
      <xdr:colOff>184150</xdr:colOff>
      <xdr:row>1</xdr:row>
      <xdr:rowOff>76200</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D00-000003000000}"/>
            </a:ext>
          </a:extLst>
        </xdr:cNvPr>
        <xdr:cNvSpPr/>
      </xdr:nvSpPr>
      <xdr:spPr>
        <a:xfrm>
          <a:off x="5664200" y="31750"/>
          <a:ext cx="1143000"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twoCellAnchor>
    <xdr:from>
      <xdr:col>6</xdr:col>
      <xdr:colOff>203200</xdr:colOff>
      <xdr:row>1</xdr:row>
      <xdr:rowOff>19050</xdr:rowOff>
    </xdr:from>
    <xdr:to>
      <xdr:col>6</xdr:col>
      <xdr:colOff>1176867</xdr:colOff>
      <xdr:row>3</xdr:row>
      <xdr:rowOff>24167</xdr:rowOff>
    </xdr:to>
    <xdr:sp macro="" textlink="">
      <xdr:nvSpPr>
        <xdr:cNvPr id="4" name="Rounded Rectangle 3">
          <a:hlinkClick xmlns:r="http://schemas.openxmlformats.org/officeDocument/2006/relationships" r:id="rId1"/>
          <a:extLst>
            <a:ext uri="{FF2B5EF4-FFF2-40B4-BE49-F238E27FC236}">
              <a16:creationId xmlns:a16="http://schemas.microsoft.com/office/drawing/2014/main" id="{00000000-0008-0000-0D00-000004000000}"/>
            </a:ext>
          </a:extLst>
        </xdr:cNvPr>
        <xdr:cNvSpPr/>
      </xdr:nvSpPr>
      <xdr:spPr>
        <a:xfrm>
          <a:off x="3841750" y="171450"/>
          <a:ext cx="973667" cy="3099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6</xdr:col>
      <xdr:colOff>336550</xdr:colOff>
      <xdr:row>0</xdr:row>
      <xdr:rowOff>88900</xdr:rowOff>
    </xdr:from>
    <xdr:to>
      <xdr:col>6</xdr:col>
      <xdr:colOff>1295400</xdr:colOff>
      <xdr:row>2</xdr:row>
      <xdr:rowOff>115888</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E00-000002000000}"/>
            </a:ext>
          </a:extLst>
        </xdr:cNvPr>
        <xdr:cNvSpPr/>
      </xdr:nvSpPr>
      <xdr:spPr>
        <a:xfrm>
          <a:off x="5194300" y="88900"/>
          <a:ext cx="958850" cy="33178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6</xdr:col>
      <xdr:colOff>393700</xdr:colOff>
      <xdr:row>0</xdr:row>
      <xdr:rowOff>6350</xdr:rowOff>
    </xdr:from>
    <xdr:to>
      <xdr:col>7</xdr:col>
      <xdr:colOff>76200</xdr:colOff>
      <xdr:row>1</xdr:row>
      <xdr:rowOff>107950</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F00-000002000000}"/>
            </a:ext>
          </a:extLst>
        </xdr:cNvPr>
        <xdr:cNvSpPr/>
      </xdr:nvSpPr>
      <xdr:spPr>
        <a:xfrm>
          <a:off x="4826000" y="6350"/>
          <a:ext cx="749300" cy="254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6</xdr:col>
      <xdr:colOff>101600</xdr:colOff>
      <xdr:row>0</xdr:row>
      <xdr:rowOff>31750</xdr:rowOff>
    </xdr:from>
    <xdr:to>
      <xdr:col>6</xdr:col>
      <xdr:colOff>1028700</xdr:colOff>
      <xdr:row>1</xdr:row>
      <xdr:rowOff>107950</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1000-000002000000}"/>
            </a:ext>
          </a:extLst>
        </xdr:cNvPr>
        <xdr:cNvSpPr/>
      </xdr:nvSpPr>
      <xdr:spPr>
        <a:xfrm>
          <a:off x="4762500" y="31750"/>
          <a:ext cx="927100" cy="2286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2</xdr:col>
      <xdr:colOff>66675</xdr:colOff>
      <xdr:row>2</xdr:row>
      <xdr:rowOff>114300</xdr:rowOff>
    </xdr:from>
    <xdr:to>
      <xdr:col>2</xdr:col>
      <xdr:colOff>514350</xdr:colOff>
      <xdr:row>2</xdr:row>
      <xdr:rowOff>114301</xdr:rowOff>
    </xdr:to>
    <xdr:cxnSp macro="">
      <xdr:nvCxnSpPr>
        <xdr:cNvPr id="2" name="Straight Arrow Connector 1">
          <a:extLst>
            <a:ext uri="{FF2B5EF4-FFF2-40B4-BE49-F238E27FC236}">
              <a16:creationId xmlns:a16="http://schemas.microsoft.com/office/drawing/2014/main" id="{00000000-0008-0000-1100-000002000000}"/>
            </a:ext>
          </a:extLst>
        </xdr:cNvPr>
        <xdr:cNvCxnSpPr/>
      </xdr:nvCxnSpPr>
      <xdr:spPr>
        <a:xfrm flipV="1">
          <a:off x="3851275" y="298450"/>
          <a:ext cx="447675"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1</xdr:row>
      <xdr:rowOff>0</xdr:rowOff>
    </xdr:from>
    <xdr:to>
      <xdr:col>8</xdr:col>
      <xdr:colOff>533400</xdr:colOff>
      <xdr:row>2</xdr:row>
      <xdr:rowOff>173038</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1100-000003000000}"/>
            </a:ext>
          </a:extLst>
        </xdr:cNvPr>
        <xdr:cNvSpPr/>
      </xdr:nvSpPr>
      <xdr:spPr>
        <a:xfrm>
          <a:off x="6673850" y="184150"/>
          <a:ext cx="1143000" cy="35718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2</xdr:col>
      <xdr:colOff>66675</xdr:colOff>
      <xdr:row>2</xdr:row>
      <xdr:rowOff>114300</xdr:rowOff>
    </xdr:from>
    <xdr:to>
      <xdr:col>2</xdr:col>
      <xdr:colOff>514350</xdr:colOff>
      <xdr:row>2</xdr:row>
      <xdr:rowOff>114301</xdr:rowOff>
    </xdr:to>
    <xdr:cxnSp macro="">
      <xdr:nvCxnSpPr>
        <xdr:cNvPr id="2" name="Straight Arrow Connector 1">
          <a:extLst>
            <a:ext uri="{FF2B5EF4-FFF2-40B4-BE49-F238E27FC236}">
              <a16:creationId xmlns:a16="http://schemas.microsoft.com/office/drawing/2014/main" id="{00000000-0008-0000-1200-000002000000}"/>
            </a:ext>
          </a:extLst>
        </xdr:cNvPr>
        <xdr:cNvCxnSpPr/>
      </xdr:nvCxnSpPr>
      <xdr:spPr>
        <a:xfrm flipV="1">
          <a:off x="1603375" y="419100"/>
          <a:ext cx="447675"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1</xdr:row>
      <xdr:rowOff>0</xdr:rowOff>
    </xdr:from>
    <xdr:to>
      <xdr:col>8</xdr:col>
      <xdr:colOff>533400</xdr:colOff>
      <xdr:row>2</xdr:row>
      <xdr:rowOff>173038</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1200-000003000000}"/>
            </a:ext>
          </a:extLst>
        </xdr:cNvPr>
        <xdr:cNvSpPr/>
      </xdr:nvSpPr>
      <xdr:spPr>
        <a:xfrm>
          <a:off x="5200650" y="152400"/>
          <a:ext cx="1143000" cy="30638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00000000-0008-0000-1300-000002000000}"/>
            </a:ext>
          </a:extLst>
        </xdr:cNvPr>
        <xdr:cNvSpPr/>
      </xdr:nvSpPr>
      <xdr:spPr>
        <a:xfrm rot="10800000" flipH="1">
          <a:off x="1625600" y="4683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2</xdr:row>
      <xdr:rowOff>101600</xdr:rowOff>
    </xdr:from>
    <xdr:to>
      <xdr:col>2</xdr:col>
      <xdr:colOff>403225</xdr:colOff>
      <xdr:row>2</xdr:row>
      <xdr:rowOff>147319</xdr:rowOff>
    </xdr:to>
    <xdr:sp macro="" textlink="">
      <xdr:nvSpPr>
        <xdr:cNvPr id="3" name="Right Arrow 2">
          <a:extLst>
            <a:ext uri="{FF2B5EF4-FFF2-40B4-BE49-F238E27FC236}">
              <a16:creationId xmlns:a16="http://schemas.microsoft.com/office/drawing/2014/main" id="{00000000-0008-0000-1300-000003000000}"/>
            </a:ext>
          </a:extLst>
        </xdr:cNvPr>
        <xdr:cNvSpPr/>
      </xdr:nvSpPr>
      <xdr:spPr>
        <a:xfrm>
          <a:off x="1308100" y="469900"/>
          <a:ext cx="31432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95251</xdr:colOff>
      <xdr:row>1</xdr:row>
      <xdr:rowOff>28574</xdr:rowOff>
    </xdr:from>
    <xdr:to>
      <xdr:col>3</xdr:col>
      <xdr:colOff>1</xdr:colOff>
      <xdr:row>1</xdr:row>
      <xdr:rowOff>114299</xdr:rowOff>
    </xdr:to>
    <xdr:sp macro="" textlink="">
      <xdr:nvSpPr>
        <xdr:cNvPr id="4" name="Right Arrow 3">
          <a:extLst>
            <a:ext uri="{FF2B5EF4-FFF2-40B4-BE49-F238E27FC236}">
              <a16:creationId xmlns:a16="http://schemas.microsoft.com/office/drawing/2014/main" id="{00000000-0008-0000-1300-000004000000}"/>
            </a:ext>
          </a:extLst>
        </xdr:cNvPr>
        <xdr:cNvSpPr/>
      </xdr:nvSpPr>
      <xdr:spPr>
        <a:xfrm>
          <a:off x="1139473" y="190852"/>
          <a:ext cx="426861" cy="857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5" name="Right Arrow 4">
          <a:extLst>
            <a:ext uri="{FF2B5EF4-FFF2-40B4-BE49-F238E27FC236}">
              <a16:creationId xmlns:a16="http://schemas.microsoft.com/office/drawing/2014/main" id="{00000000-0008-0000-1300-000005000000}"/>
            </a:ext>
          </a:extLst>
        </xdr:cNvPr>
        <xdr:cNvSpPr/>
      </xdr:nvSpPr>
      <xdr:spPr>
        <a:xfrm>
          <a:off x="1533525" y="396874"/>
          <a:ext cx="92075" cy="1428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2</xdr:row>
      <xdr:rowOff>19049</xdr:rowOff>
    </xdr:from>
    <xdr:to>
      <xdr:col>2</xdr:col>
      <xdr:colOff>1057275</xdr:colOff>
      <xdr:row>2</xdr:row>
      <xdr:rowOff>180974</xdr:rowOff>
    </xdr:to>
    <xdr:sp macro="" textlink="">
      <xdr:nvSpPr>
        <xdr:cNvPr id="6" name="Right Arrow 5">
          <a:extLst>
            <a:ext uri="{FF2B5EF4-FFF2-40B4-BE49-F238E27FC236}">
              <a16:creationId xmlns:a16="http://schemas.microsoft.com/office/drawing/2014/main" id="{00000000-0008-0000-1300-000006000000}"/>
            </a:ext>
          </a:extLst>
        </xdr:cNvPr>
        <xdr:cNvSpPr/>
      </xdr:nvSpPr>
      <xdr:spPr>
        <a:xfrm>
          <a:off x="7486650" y="203199"/>
          <a:ext cx="1000125" cy="1619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7056</xdr:colOff>
      <xdr:row>2</xdr:row>
      <xdr:rowOff>21167</xdr:rowOff>
    </xdr:from>
    <xdr:to>
      <xdr:col>9</xdr:col>
      <xdr:colOff>543278</xdr:colOff>
      <xdr:row>4</xdr:row>
      <xdr:rowOff>35278</xdr:rowOff>
    </xdr:to>
    <xdr:sp macro="" textlink="">
      <xdr:nvSpPr>
        <xdr:cNvPr id="7" name="Rounded Rectangle 6">
          <a:hlinkClick xmlns:r="http://schemas.openxmlformats.org/officeDocument/2006/relationships" r:id="rId1"/>
          <a:extLst>
            <a:ext uri="{FF2B5EF4-FFF2-40B4-BE49-F238E27FC236}">
              <a16:creationId xmlns:a16="http://schemas.microsoft.com/office/drawing/2014/main" id="{00000000-0008-0000-1300-000007000000}"/>
            </a:ext>
          </a:extLst>
        </xdr:cNvPr>
        <xdr:cNvSpPr/>
      </xdr:nvSpPr>
      <xdr:spPr>
        <a:xfrm>
          <a:off x="6745112" y="388056"/>
          <a:ext cx="1142999" cy="381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00000000-0008-0000-1400-000002000000}"/>
            </a:ext>
          </a:extLst>
        </xdr:cNvPr>
        <xdr:cNvSpPr/>
      </xdr:nvSpPr>
      <xdr:spPr>
        <a:xfrm rot="10800000" flipH="1">
          <a:off x="1828800" y="4683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95251</xdr:colOff>
      <xdr:row>1</xdr:row>
      <xdr:rowOff>28574</xdr:rowOff>
    </xdr:from>
    <xdr:to>
      <xdr:col>3</xdr:col>
      <xdr:colOff>1</xdr:colOff>
      <xdr:row>1</xdr:row>
      <xdr:rowOff>114299</xdr:rowOff>
    </xdr:to>
    <xdr:sp macro="" textlink="">
      <xdr:nvSpPr>
        <xdr:cNvPr id="4" name="Right Arrow 3">
          <a:extLst>
            <a:ext uri="{FF2B5EF4-FFF2-40B4-BE49-F238E27FC236}">
              <a16:creationId xmlns:a16="http://schemas.microsoft.com/office/drawing/2014/main" id="{00000000-0008-0000-1400-000004000000}"/>
            </a:ext>
          </a:extLst>
        </xdr:cNvPr>
        <xdr:cNvSpPr/>
      </xdr:nvSpPr>
      <xdr:spPr>
        <a:xfrm>
          <a:off x="1314451" y="212724"/>
          <a:ext cx="514350" cy="857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12700</xdr:colOff>
      <xdr:row>2</xdr:row>
      <xdr:rowOff>50799</xdr:rowOff>
    </xdr:from>
    <xdr:to>
      <xdr:col>2</xdr:col>
      <xdr:colOff>561975</xdr:colOff>
      <xdr:row>3</xdr:row>
      <xdr:rowOff>34924</xdr:rowOff>
    </xdr:to>
    <xdr:sp macro="" textlink="">
      <xdr:nvSpPr>
        <xdr:cNvPr id="6" name="Right Arrow 5">
          <a:extLst>
            <a:ext uri="{FF2B5EF4-FFF2-40B4-BE49-F238E27FC236}">
              <a16:creationId xmlns:a16="http://schemas.microsoft.com/office/drawing/2014/main" id="{00000000-0008-0000-1400-000006000000}"/>
            </a:ext>
          </a:extLst>
        </xdr:cNvPr>
        <xdr:cNvSpPr/>
      </xdr:nvSpPr>
      <xdr:spPr>
        <a:xfrm>
          <a:off x="1790700" y="355599"/>
          <a:ext cx="54927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1</xdr:row>
      <xdr:rowOff>50800</xdr:rowOff>
    </xdr:from>
    <xdr:to>
      <xdr:col>8</xdr:col>
      <xdr:colOff>533400</xdr:colOff>
      <xdr:row>3</xdr:row>
      <xdr:rowOff>52388</xdr:rowOff>
    </xdr:to>
    <xdr:sp macro="" textlink="">
      <xdr:nvSpPr>
        <xdr:cNvPr id="7" name="Rounded Rectangle 6">
          <a:hlinkClick xmlns:r="http://schemas.openxmlformats.org/officeDocument/2006/relationships" r:id="rId1"/>
          <a:extLst>
            <a:ext uri="{FF2B5EF4-FFF2-40B4-BE49-F238E27FC236}">
              <a16:creationId xmlns:a16="http://schemas.microsoft.com/office/drawing/2014/main" id="{00000000-0008-0000-1400-000007000000}"/>
            </a:ext>
          </a:extLst>
        </xdr:cNvPr>
        <xdr:cNvSpPr/>
      </xdr:nvSpPr>
      <xdr:spPr>
        <a:xfrm>
          <a:off x="5372100" y="203200"/>
          <a:ext cx="1143000" cy="30638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2</xdr:col>
      <xdr:colOff>933450</xdr:colOff>
      <xdr:row>3</xdr:row>
      <xdr:rowOff>100013</xdr:rowOff>
    </xdr:from>
    <xdr:to>
      <xdr:col>2</xdr:col>
      <xdr:colOff>1247775</xdr:colOff>
      <xdr:row>3</xdr:row>
      <xdr:rowOff>145732</xdr:rowOff>
    </xdr:to>
    <xdr:sp macro="" textlink="">
      <xdr:nvSpPr>
        <xdr:cNvPr id="2" name="Right Arrow 1">
          <a:extLst>
            <a:ext uri="{FF2B5EF4-FFF2-40B4-BE49-F238E27FC236}">
              <a16:creationId xmlns:a16="http://schemas.microsoft.com/office/drawing/2014/main" id="{00000000-0008-0000-1500-000002000000}"/>
            </a:ext>
          </a:extLst>
        </xdr:cNvPr>
        <xdr:cNvSpPr/>
      </xdr:nvSpPr>
      <xdr:spPr>
        <a:xfrm rot="10800000" flipH="1">
          <a:off x="1828800" y="4683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768350</xdr:colOff>
      <xdr:row>3</xdr:row>
      <xdr:rowOff>19050</xdr:rowOff>
    </xdr:from>
    <xdr:to>
      <xdr:col>2</xdr:col>
      <xdr:colOff>333375</xdr:colOff>
      <xdr:row>3</xdr:row>
      <xdr:rowOff>147319</xdr:rowOff>
    </xdr:to>
    <xdr:sp macro="" textlink="">
      <xdr:nvSpPr>
        <xdr:cNvPr id="3" name="Right Arrow 2">
          <a:extLst>
            <a:ext uri="{FF2B5EF4-FFF2-40B4-BE49-F238E27FC236}">
              <a16:creationId xmlns:a16="http://schemas.microsoft.com/office/drawing/2014/main" id="{00000000-0008-0000-1500-000003000000}"/>
            </a:ext>
          </a:extLst>
        </xdr:cNvPr>
        <xdr:cNvSpPr/>
      </xdr:nvSpPr>
      <xdr:spPr>
        <a:xfrm>
          <a:off x="3302000" y="476250"/>
          <a:ext cx="352425" cy="12826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6351</xdr:colOff>
      <xdr:row>1</xdr:row>
      <xdr:rowOff>165100</xdr:rowOff>
    </xdr:from>
    <xdr:to>
      <xdr:col>2</xdr:col>
      <xdr:colOff>520701</xdr:colOff>
      <xdr:row>2</xdr:row>
      <xdr:rowOff>158749</xdr:rowOff>
    </xdr:to>
    <xdr:sp macro="" textlink="">
      <xdr:nvSpPr>
        <xdr:cNvPr id="4" name="Right Arrow 3">
          <a:extLst>
            <a:ext uri="{FF2B5EF4-FFF2-40B4-BE49-F238E27FC236}">
              <a16:creationId xmlns:a16="http://schemas.microsoft.com/office/drawing/2014/main" id="{00000000-0008-0000-1500-000004000000}"/>
            </a:ext>
          </a:extLst>
        </xdr:cNvPr>
        <xdr:cNvSpPr/>
      </xdr:nvSpPr>
      <xdr:spPr>
        <a:xfrm>
          <a:off x="2921001" y="349250"/>
          <a:ext cx="514350" cy="17779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0</xdr:colOff>
      <xdr:row>1</xdr:row>
      <xdr:rowOff>0</xdr:rowOff>
    </xdr:from>
    <xdr:to>
      <xdr:col>7</xdr:col>
      <xdr:colOff>171450</xdr:colOff>
      <xdr:row>3</xdr:row>
      <xdr:rowOff>26988</xdr:rowOff>
    </xdr:to>
    <xdr:sp macro="" textlink="">
      <xdr:nvSpPr>
        <xdr:cNvPr id="7" name="Rounded Rectangle 6">
          <a:hlinkClick xmlns:r="http://schemas.openxmlformats.org/officeDocument/2006/relationships" r:id="rId1"/>
          <a:extLst>
            <a:ext uri="{FF2B5EF4-FFF2-40B4-BE49-F238E27FC236}">
              <a16:creationId xmlns:a16="http://schemas.microsoft.com/office/drawing/2014/main" id="{00000000-0008-0000-1500-000007000000}"/>
            </a:ext>
          </a:extLst>
        </xdr:cNvPr>
        <xdr:cNvSpPr/>
      </xdr:nvSpPr>
      <xdr:spPr>
        <a:xfrm>
          <a:off x="5384800" y="165100"/>
          <a:ext cx="1143000" cy="35718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twoCellAnchor>
    <xdr:from>
      <xdr:col>7</xdr:col>
      <xdr:colOff>457200</xdr:colOff>
      <xdr:row>1</xdr:row>
      <xdr:rowOff>31750</xdr:rowOff>
    </xdr:from>
    <xdr:to>
      <xdr:col>8</xdr:col>
      <xdr:colOff>628650</xdr:colOff>
      <xdr:row>3</xdr:row>
      <xdr:rowOff>58738</xdr:rowOff>
    </xdr:to>
    <xdr:sp macro="" textlink="">
      <xdr:nvSpPr>
        <xdr:cNvPr id="8" name="Rounded Rectangle 7">
          <a:hlinkClick xmlns:r="http://schemas.openxmlformats.org/officeDocument/2006/relationships" r:id="rId2"/>
          <a:extLst>
            <a:ext uri="{FF2B5EF4-FFF2-40B4-BE49-F238E27FC236}">
              <a16:creationId xmlns:a16="http://schemas.microsoft.com/office/drawing/2014/main" id="{00000000-0008-0000-1500-000008000000}"/>
            </a:ext>
          </a:extLst>
        </xdr:cNvPr>
        <xdr:cNvSpPr/>
      </xdr:nvSpPr>
      <xdr:spPr>
        <a:xfrm>
          <a:off x="6813550" y="196850"/>
          <a:ext cx="1143000" cy="35718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INPUT</a:t>
          </a:r>
          <a:r>
            <a:rPr lang="en-IN" sz="1100" baseline="0"/>
            <a:t> RM</a:t>
          </a:r>
          <a:endParaRPr lang="en-IN" sz="1100"/>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9</xdr:col>
      <xdr:colOff>206375</xdr:colOff>
      <xdr:row>1</xdr:row>
      <xdr:rowOff>55562</xdr:rowOff>
    </xdr:from>
    <xdr:to>
      <xdr:col>11</xdr:col>
      <xdr:colOff>365125</xdr:colOff>
      <xdr:row>3</xdr:row>
      <xdr:rowOff>47625</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1600-000002000000}"/>
            </a:ext>
          </a:extLst>
        </xdr:cNvPr>
        <xdr:cNvSpPr/>
      </xdr:nvSpPr>
      <xdr:spPr>
        <a:xfrm>
          <a:off x="7953375" y="238125"/>
          <a:ext cx="1143000" cy="35718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twoCellAnchor>
    <xdr:from>
      <xdr:col>45</xdr:col>
      <xdr:colOff>0</xdr:colOff>
      <xdr:row>1</xdr:row>
      <xdr:rowOff>0</xdr:rowOff>
    </xdr:from>
    <xdr:to>
      <xdr:col>47</xdr:col>
      <xdr:colOff>174625</xdr:colOff>
      <xdr:row>2</xdr:row>
      <xdr:rowOff>165101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1600-000003000000}"/>
            </a:ext>
          </a:extLst>
        </xdr:cNvPr>
        <xdr:cNvSpPr/>
      </xdr:nvSpPr>
      <xdr:spPr>
        <a:xfrm>
          <a:off x="28749625" y="166688"/>
          <a:ext cx="1397000" cy="33178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6</xdr:col>
      <xdr:colOff>84667</xdr:colOff>
      <xdr:row>0</xdr:row>
      <xdr:rowOff>77611</xdr:rowOff>
    </xdr:from>
    <xdr:to>
      <xdr:col>7</xdr:col>
      <xdr:colOff>324556</xdr:colOff>
      <xdr:row>2</xdr:row>
      <xdr:rowOff>84843</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1800-000002000000}"/>
            </a:ext>
          </a:extLst>
        </xdr:cNvPr>
        <xdr:cNvSpPr/>
      </xdr:nvSpPr>
      <xdr:spPr>
        <a:xfrm>
          <a:off x="4953000" y="77611"/>
          <a:ext cx="1397000" cy="33178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6</xdr:col>
      <xdr:colOff>141111</xdr:colOff>
      <xdr:row>1</xdr:row>
      <xdr:rowOff>14111</xdr:rowOff>
    </xdr:from>
    <xdr:to>
      <xdr:col>6</xdr:col>
      <xdr:colOff>1538111</xdr:colOff>
      <xdr:row>3</xdr:row>
      <xdr:rowOff>21344</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1900-000002000000}"/>
            </a:ext>
          </a:extLst>
        </xdr:cNvPr>
        <xdr:cNvSpPr/>
      </xdr:nvSpPr>
      <xdr:spPr>
        <a:xfrm>
          <a:off x="6357055" y="176389"/>
          <a:ext cx="1397000" cy="33178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6</xdr:col>
      <xdr:colOff>0</xdr:colOff>
      <xdr:row>1</xdr:row>
      <xdr:rowOff>0</xdr:rowOff>
    </xdr:from>
    <xdr:to>
      <xdr:col>6</xdr:col>
      <xdr:colOff>1397000</xdr:colOff>
      <xdr:row>2</xdr:row>
      <xdr:rowOff>147638</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1A00-000002000000}"/>
            </a:ext>
          </a:extLst>
        </xdr:cNvPr>
        <xdr:cNvSpPr/>
      </xdr:nvSpPr>
      <xdr:spPr>
        <a:xfrm>
          <a:off x="4356100" y="184150"/>
          <a:ext cx="1397000" cy="33178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6</xdr:col>
      <xdr:colOff>0</xdr:colOff>
      <xdr:row>1</xdr:row>
      <xdr:rowOff>0</xdr:rowOff>
    </xdr:from>
    <xdr:to>
      <xdr:col>7</xdr:col>
      <xdr:colOff>171450</xdr:colOff>
      <xdr:row>3</xdr:row>
      <xdr:rowOff>26988</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1B00-000002000000}"/>
            </a:ext>
          </a:extLst>
        </xdr:cNvPr>
        <xdr:cNvSpPr/>
      </xdr:nvSpPr>
      <xdr:spPr>
        <a:xfrm>
          <a:off x="4610100" y="152400"/>
          <a:ext cx="1397000" cy="33178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381000</xdr:colOff>
      <xdr:row>25</xdr:row>
      <xdr:rowOff>23812</xdr:rowOff>
    </xdr:from>
    <xdr:to>
      <xdr:col>3</xdr:col>
      <xdr:colOff>555624</xdr:colOff>
      <xdr:row>34</xdr:row>
      <xdr:rowOff>117</xdr:rowOff>
    </xdr:to>
    <xdr:pic>
      <xdr:nvPicPr>
        <xdr:cNvPr id="2" name="Picture 1">
          <a:extLst>
            <a:ext uri="{FF2B5EF4-FFF2-40B4-BE49-F238E27FC236}">
              <a16:creationId xmlns:a16="http://schemas.microsoft.com/office/drawing/2014/main" id="{00000000-0008-0000-1C00-000002000000}"/>
            </a:ext>
          </a:extLst>
        </xdr:cNvPr>
        <xdr:cNvPicPr>
          <a:picLocks noChangeAspect="1"/>
        </xdr:cNvPicPr>
      </xdr:nvPicPr>
      <xdr:blipFill>
        <a:blip xmlns:r="http://schemas.openxmlformats.org/officeDocument/2006/relationships" r:embed="rId1"/>
        <a:stretch>
          <a:fillRect/>
        </a:stretch>
      </xdr:blipFill>
      <xdr:spPr>
        <a:xfrm>
          <a:off x="381000" y="4191000"/>
          <a:ext cx="3786188" cy="1476492"/>
        </a:xfrm>
        <a:prstGeom prst="rect">
          <a:avLst/>
        </a:prstGeom>
      </xdr:spPr>
    </xdr:pic>
    <xdr:clientData/>
  </xdr:twoCellAnchor>
  <xdr:twoCellAnchor>
    <xdr:from>
      <xdr:col>6</xdr:col>
      <xdr:colOff>0</xdr:colOff>
      <xdr:row>1</xdr:row>
      <xdr:rowOff>0</xdr:rowOff>
    </xdr:from>
    <xdr:to>
      <xdr:col>7</xdr:col>
      <xdr:colOff>174625</xdr:colOff>
      <xdr:row>2</xdr:row>
      <xdr:rowOff>149226</xdr:rowOff>
    </xdr:to>
    <xdr:sp macro="" textlink="">
      <xdr:nvSpPr>
        <xdr:cNvPr id="3" name="Rounded Rectangle 2">
          <a:hlinkClick xmlns:r="http://schemas.openxmlformats.org/officeDocument/2006/relationships" r:id="rId2"/>
          <a:extLst>
            <a:ext uri="{FF2B5EF4-FFF2-40B4-BE49-F238E27FC236}">
              <a16:creationId xmlns:a16="http://schemas.microsoft.com/office/drawing/2014/main" id="{00000000-0008-0000-1C00-000003000000}"/>
            </a:ext>
          </a:extLst>
        </xdr:cNvPr>
        <xdr:cNvSpPr/>
      </xdr:nvSpPr>
      <xdr:spPr>
        <a:xfrm>
          <a:off x="6183313" y="182563"/>
          <a:ext cx="1397000" cy="33178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6</xdr:col>
      <xdr:colOff>0</xdr:colOff>
      <xdr:row>1</xdr:row>
      <xdr:rowOff>0</xdr:rowOff>
    </xdr:from>
    <xdr:to>
      <xdr:col>7</xdr:col>
      <xdr:colOff>174625</xdr:colOff>
      <xdr:row>2</xdr:row>
      <xdr:rowOff>149226</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1D00-000003000000}"/>
            </a:ext>
          </a:extLst>
        </xdr:cNvPr>
        <xdr:cNvSpPr/>
      </xdr:nvSpPr>
      <xdr:spPr>
        <a:xfrm>
          <a:off x="6184900" y="165100"/>
          <a:ext cx="1330325" cy="3143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6</xdr:col>
      <xdr:colOff>0</xdr:colOff>
      <xdr:row>3</xdr:row>
      <xdr:rowOff>0</xdr:rowOff>
    </xdr:from>
    <xdr:to>
      <xdr:col>8</xdr:col>
      <xdr:colOff>0</xdr:colOff>
      <xdr:row>5</xdr:row>
      <xdr:rowOff>7232</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1E00-000002000000}"/>
            </a:ext>
          </a:extLst>
        </xdr:cNvPr>
        <xdr:cNvSpPr/>
      </xdr:nvSpPr>
      <xdr:spPr>
        <a:xfrm>
          <a:off x="5376333" y="508000"/>
          <a:ext cx="1397000" cy="33178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6</xdr:col>
      <xdr:colOff>88900</xdr:colOff>
      <xdr:row>0</xdr:row>
      <xdr:rowOff>88900</xdr:rowOff>
    </xdr:from>
    <xdr:to>
      <xdr:col>6</xdr:col>
      <xdr:colOff>1062567</xdr:colOff>
      <xdr:row>2</xdr:row>
      <xdr:rowOff>94017</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1F00-000002000000}"/>
            </a:ext>
          </a:extLst>
        </xdr:cNvPr>
        <xdr:cNvSpPr/>
      </xdr:nvSpPr>
      <xdr:spPr>
        <a:xfrm>
          <a:off x="5638800" y="88900"/>
          <a:ext cx="973667" cy="3099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6</xdr:col>
      <xdr:colOff>88900</xdr:colOff>
      <xdr:row>0</xdr:row>
      <xdr:rowOff>25400</xdr:rowOff>
    </xdr:from>
    <xdr:to>
      <xdr:col>6</xdr:col>
      <xdr:colOff>1062567</xdr:colOff>
      <xdr:row>2</xdr:row>
      <xdr:rowOff>30517</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2000-000002000000}"/>
            </a:ext>
          </a:extLst>
        </xdr:cNvPr>
        <xdr:cNvSpPr/>
      </xdr:nvSpPr>
      <xdr:spPr>
        <a:xfrm>
          <a:off x="4616450" y="25400"/>
          <a:ext cx="973667" cy="3099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6</xdr:col>
      <xdr:colOff>0</xdr:colOff>
      <xdr:row>1</xdr:row>
      <xdr:rowOff>0</xdr:rowOff>
    </xdr:from>
    <xdr:to>
      <xdr:col>6</xdr:col>
      <xdr:colOff>973667</xdr:colOff>
      <xdr:row>3</xdr:row>
      <xdr:rowOff>5117</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2100-000002000000}"/>
            </a:ext>
          </a:extLst>
        </xdr:cNvPr>
        <xdr:cNvSpPr/>
      </xdr:nvSpPr>
      <xdr:spPr>
        <a:xfrm>
          <a:off x="4686300" y="152400"/>
          <a:ext cx="973667" cy="3099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6</xdr:col>
      <xdr:colOff>0</xdr:colOff>
      <xdr:row>1</xdr:row>
      <xdr:rowOff>0</xdr:rowOff>
    </xdr:from>
    <xdr:to>
      <xdr:col>6</xdr:col>
      <xdr:colOff>973667</xdr:colOff>
      <xdr:row>2</xdr:row>
      <xdr:rowOff>154695</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2200-000002000000}"/>
            </a:ext>
          </a:extLst>
        </xdr:cNvPr>
        <xdr:cNvSpPr/>
      </xdr:nvSpPr>
      <xdr:spPr>
        <a:xfrm>
          <a:off x="4684889" y="155222"/>
          <a:ext cx="973667" cy="3099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6</xdr:col>
      <xdr:colOff>0</xdr:colOff>
      <xdr:row>1</xdr:row>
      <xdr:rowOff>0</xdr:rowOff>
    </xdr:from>
    <xdr:to>
      <xdr:col>6</xdr:col>
      <xdr:colOff>973667</xdr:colOff>
      <xdr:row>3</xdr:row>
      <xdr:rowOff>5117</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2300-000002000000}"/>
            </a:ext>
          </a:extLst>
        </xdr:cNvPr>
        <xdr:cNvSpPr/>
      </xdr:nvSpPr>
      <xdr:spPr>
        <a:xfrm>
          <a:off x="5130800" y="152400"/>
          <a:ext cx="973667" cy="3099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00000000-0008-0000-2400-000002000000}"/>
            </a:ext>
          </a:extLst>
        </xdr:cNvPr>
        <xdr:cNvSpPr/>
      </xdr:nvSpPr>
      <xdr:spPr>
        <a:xfrm rot="10800000" flipH="1">
          <a:off x="3321050" y="10207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2</xdr:row>
      <xdr:rowOff>101600</xdr:rowOff>
    </xdr:from>
    <xdr:to>
      <xdr:col>2</xdr:col>
      <xdr:colOff>403225</xdr:colOff>
      <xdr:row>2</xdr:row>
      <xdr:rowOff>147319</xdr:rowOff>
    </xdr:to>
    <xdr:sp macro="" textlink="">
      <xdr:nvSpPr>
        <xdr:cNvPr id="3" name="Right Arrow 2">
          <a:extLst>
            <a:ext uri="{FF2B5EF4-FFF2-40B4-BE49-F238E27FC236}">
              <a16:creationId xmlns:a16="http://schemas.microsoft.com/office/drawing/2014/main" id="{00000000-0008-0000-2400-000003000000}"/>
            </a:ext>
          </a:extLst>
        </xdr:cNvPr>
        <xdr:cNvSpPr/>
      </xdr:nvSpPr>
      <xdr:spPr>
        <a:xfrm>
          <a:off x="2997200" y="1022350"/>
          <a:ext cx="31432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49389</xdr:colOff>
      <xdr:row>1</xdr:row>
      <xdr:rowOff>28574</xdr:rowOff>
    </xdr:from>
    <xdr:to>
      <xdr:col>3</xdr:col>
      <xdr:colOff>1</xdr:colOff>
      <xdr:row>1</xdr:row>
      <xdr:rowOff>127000</xdr:rowOff>
    </xdr:to>
    <xdr:sp macro="" textlink="">
      <xdr:nvSpPr>
        <xdr:cNvPr id="4" name="Right Arrow 3">
          <a:extLst>
            <a:ext uri="{FF2B5EF4-FFF2-40B4-BE49-F238E27FC236}">
              <a16:creationId xmlns:a16="http://schemas.microsoft.com/office/drawing/2014/main" id="{00000000-0008-0000-2400-000004000000}"/>
            </a:ext>
          </a:extLst>
        </xdr:cNvPr>
        <xdr:cNvSpPr/>
      </xdr:nvSpPr>
      <xdr:spPr>
        <a:xfrm>
          <a:off x="2957689" y="581024"/>
          <a:ext cx="363362"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5" name="Right Arrow 4">
          <a:extLst>
            <a:ext uri="{FF2B5EF4-FFF2-40B4-BE49-F238E27FC236}">
              <a16:creationId xmlns:a16="http://schemas.microsoft.com/office/drawing/2014/main" id="{00000000-0008-0000-2400-000005000000}"/>
            </a:ext>
          </a:extLst>
        </xdr:cNvPr>
        <xdr:cNvSpPr/>
      </xdr:nvSpPr>
      <xdr:spPr>
        <a:xfrm>
          <a:off x="3222625" y="949324"/>
          <a:ext cx="98425" cy="1428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2</xdr:row>
      <xdr:rowOff>19049</xdr:rowOff>
    </xdr:from>
    <xdr:to>
      <xdr:col>2</xdr:col>
      <xdr:colOff>1057275</xdr:colOff>
      <xdr:row>2</xdr:row>
      <xdr:rowOff>180974</xdr:rowOff>
    </xdr:to>
    <xdr:sp macro="" textlink="">
      <xdr:nvSpPr>
        <xdr:cNvPr id="6" name="Right Arrow 5">
          <a:extLst>
            <a:ext uri="{FF2B5EF4-FFF2-40B4-BE49-F238E27FC236}">
              <a16:creationId xmlns:a16="http://schemas.microsoft.com/office/drawing/2014/main" id="{00000000-0008-0000-2400-000006000000}"/>
            </a:ext>
          </a:extLst>
        </xdr:cNvPr>
        <xdr:cNvSpPr/>
      </xdr:nvSpPr>
      <xdr:spPr>
        <a:xfrm>
          <a:off x="2965450" y="939799"/>
          <a:ext cx="352425" cy="1619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1</xdr:row>
      <xdr:rowOff>0</xdr:rowOff>
    </xdr:from>
    <xdr:to>
      <xdr:col>7</xdr:col>
      <xdr:colOff>973667</xdr:colOff>
      <xdr:row>1</xdr:row>
      <xdr:rowOff>309917</xdr:rowOff>
    </xdr:to>
    <xdr:sp macro="" textlink="">
      <xdr:nvSpPr>
        <xdr:cNvPr id="7" name="Rounded Rectangle 6">
          <a:hlinkClick xmlns:r="http://schemas.openxmlformats.org/officeDocument/2006/relationships" r:id="rId1"/>
          <a:extLst>
            <a:ext uri="{FF2B5EF4-FFF2-40B4-BE49-F238E27FC236}">
              <a16:creationId xmlns:a16="http://schemas.microsoft.com/office/drawing/2014/main" id="{00000000-0008-0000-2400-000007000000}"/>
            </a:ext>
          </a:extLst>
        </xdr:cNvPr>
        <xdr:cNvSpPr/>
      </xdr:nvSpPr>
      <xdr:spPr>
        <a:xfrm>
          <a:off x="5889625" y="333375"/>
          <a:ext cx="973667" cy="3099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00000000-0008-0000-2500-000002000000}"/>
            </a:ext>
          </a:extLst>
        </xdr:cNvPr>
        <xdr:cNvSpPr/>
      </xdr:nvSpPr>
      <xdr:spPr>
        <a:xfrm rot="10800000" flipH="1">
          <a:off x="2673350" y="7604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44450</xdr:colOff>
      <xdr:row>2</xdr:row>
      <xdr:rowOff>31749</xdr:rowOff>
    </xdr:from>
    <xdr:to>
      <xdr:col>2</xdr:col>
      <xdr:colOff>358775</xdr:colOff>
      <xdr:row>3</xdr:row>
      <xdr:rowOff>15874</xdr:rowOff>
    </xdr:to>
    <xdr:sp macro="" textlink="">
      <xdr:nvSpPr>
        <xdr:cNvPr id="3" name="Right Arrow 2">
          <a:extLst>
            <a:ext uri="{FF2B5EF4-FFF2-40B4-BE49-F238E27FC236}">
              <a16:creationId xmlns:a16="http://schemas.microsoft.com/office/drawing/2014/main" id="{00000000-0008-0000-2500-000003000000}"/>
            </a:ext>
          </a:extLst>
        </xdr:cNvPr>
        <xdr:cNvSpPr/>
      </xdr:nvSpPr>
      <xdr:spPr>
        <a:xfrm>
          <a:off x="2343150" y="692149"/>
          <a:ext cx="314325" cy="1492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0</xdr:row>
      <xdr:rowOff>0</xdr:rowOff>
    </xdr:from>
    <xdr:to>
      <xdr:col>7</xdr:col>
      <xdr:colOff>973667</xdr:colOff>
      <xdr:row>1</xdr:row>
      <xdr:rowOff>5117</xdr:rowOff>
    </xdr:to>
    <xdr:sp macro="" textlink="">
      <xdr:nvSpPr>
        <xdr:cNvPr id="4" name="Rounded Rectangle 3">
          <a:hlinkClick xmlns:r="http://schemas.openxmlformats.org/officeDocument/2006/relationships" r:id="rId1"/>
          <a:extLst>
            <a:ext uri="{FF2B5EF4-FFF2-40B4-BE49-F238E27FC236}">
              <a16:creationId xmlns:a16="http://schemas.microsoft.com/office/drawing/2014/main" id="{00000000-0008-0000-2500-000004000000}"/>
            </a:ext>
          </a:extLst>
        </xdr:cNvPr>
        <xdr:cNvSpPr/>
      </xdr:nvSpPr>
      <xdr:spPr>
        <a:xfrm>
          <a:off x="4756150" y="0"/>
          <a:ext cx="973667" cy="3099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2</xdr:col>
      <xdr:colOff>933450</xdr:colOff>
      <xdr:row>3</xdr:row>
      <xdr:rowOff>100013</xdr:rowOff>
    </xdr:from>
    <xdr:to>
      <xdr:col>2</xdr:col>
      <xdr:colOff>1247775</xdr:colOff>
      <xdr:row>3</xdr:row>
      <xdr:rowOff>145732</xdr:rowOff>
    </xdr:to>
    <xdr:sp macro="" textlink="">
      <xdr:nvSpPr>
        <xdr:cNvPr id="2" name="Right Arrow 1">
          <a:extLst>
            <a:ext uri="{FF2B5EF4-FFF2-40B4-BE49-F238E27FC236}">
              <a16:creationId xmlns:a16="http://schemas.microsoft.com/office/drawing/2014/main" id="{00000000-0008-0000-2600-000002000000}"/>
            </a:ext>
          </a:extLst>
        </xdr:cNvPr>
        <xdr:cNvSpPr/>
      </xdr:nvSpPr>
      <xdr:spPr>
        <a:xfrm rot="10800000" flipH="1">
          <a:off x="3321050" y="8366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3" name="Right Arrow 2">
          <a:extLst>
            <a:ext uri="{FF2B5EF4-FFF2-40B4-BE49-F238E27FC236}">
              <a16:creationId xmlns:a16="http://schemas.microsoft.com/office/drawing/2014/main" id="{00000000-0008-0000-2600-000003000000}"/>
            </a:ext>
          </a:extLst>
        </xdr:cNvPr>
        <xdr:cNvSpPr/>
      </xdr:nvSpPr>
      <xdr:spPr>
        <a:xfrm>
          <a:off x="2997200" y="838200"/>
          <a:ext cx="31432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49389</xdr:colOff>
      <xdr:row>2</xdr:row>
      <xdr:rowOff>28574</xdr:rowOff>
    </xdr:from>
    <xdr:to>
      <xdr:col>3</xdr:col>
      <xdr:colOff>1</xdr:colOff>
      <xdr:row>2</xdr:row>
      <xdr:rowOff>127000</xdr:rowOff>
    </xdr:to>
    <xdr:sp macro="" textlink="">
      <xdr:nvSpPr>
        <xdr:cNvPr id="4" name="Right Arrow 3">
          <a:extLst>
            <a:ext uri="{FF2B5EF4-FFF2-40B4-BE49-F238E27FC236}">
              <a16:creationId xmlns:a16="http://schemas.microsoft.com/office/drawing/2014/main" id="{00000000-0008-0000-2600-000004000000}"/>
            </a:ext>
          </a:extLst>
        </xdr:cNvPr>
        <xdr:cNvSpPr/>
      </xdr:nvSpPr>
      <xdr:spPr>
        <a:xfrm>
          <a:off x="2957689" y="581024"/>
          <a:ext cx="363362"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5" name="Right Arrow 4">
          <a:extLst>
            <a:ext uri="{FF2B5EF4-FFF2-40B4-BE49-F238E27FC236}">
              <a16:creationId xmlns:a16="http://schemas.microsoft.com/office/drawing/2014/main" id="{00000000-0008-0000-2600-000005000000}"/>
            </a:ext>
          </a:extLst>
        </xdr:cNvPr>
        <xdr:cNvSpPr/>
      </xdr:nvSpPr>
      <xdr:spPr>
        <a:xfrm>
          <a:off x="3222625" y="765174"/>
          <a:ext cx="98425" cy="1428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6" name="Right Arrow 5">
          <a:extLst>
            <a:ext uri="{FF2B5EF4-FFF2-40B4-BE49-F238E27FC236}">
              <a16:creationId xmlns:a16="http://schemas.microsoft.com/office/drawing/2014/main" id="{00000000-0008-0000-2600-000006000000}"/>
            </a:ext>
          </a:extLst>
        </xdr:cNvPr>
        <xdr:cNvSpPr/>
      </xdr:nvSpPr>
      <xdr:spPr>
        <a:xfrm>
          <a:off x="2965450" y="755649"/>
          <a:ext cx="352425" cy="1619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2</xdr:row>
      <xdr:rowOff>57150</xdr:rowOff>
    </xdr:from>
    <xdr:to>
      <xdr:col>7</xdr:col>
      <xdr:colOff>973667</xdr:colOff>
      <xdr:row>3</xdr:row>
      <xdr:rowOff>95249</xdr:rowOff>
    </xdr:to>
    <xdr:sp macro="" textlink="">
      <xdr:nvSpPr>
        <xdr:cNvPr id="7" name="Rounded Rectangle 6">
          <a:hlinkClick xmlns:r="http://schemas.openxmlformats.org/officeDocument/2006/relationships" r:id="rId1"/>
          <a:extLst>
            <a:ext uri="{FF2B5EF4-FFF2-40B4-BE49-F238E27FC236}">
              <a16:creationId xmlns:a16="http://schemas.microsoft.com/office/drawing/2014/main" id="{00000000-0008-0000-2600-000007000000}"/>
            </a:ext>
          </a:extLst>
        </xdr:cNvPr>
        <xdr:cNvSpPr/>
      </xdr:nvSpPr>
      <xdr:spPr>
        <a:xfrm>
          <a:off x="4972050" y="361950"/>
          <a:ext cx="973667" cy="19049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00000000-0008-0000-2700-000002000000}"/>
            </a:ext>
          </a:extLst>
        </xdr:cNvPr>
        <xdr:cNvSpPr/>
      </xdr:nvSpPr>
      <xdr:spPr>
        <a:xfrm rot="10800000" flipH="1">
          <a:off x="3321050" y="8366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2</xdr:row>
      <xdr:rowOff>101600</xdr:rowOff>
    </xdr:from>
    <xdr:to>
      <xdr:col>2</xdr:col>
      <xdr:colOff>403225</xdr:colOff>
      <xdr:row>2</xdr:row>
      <xdr:rowOff>147319</xdr:rowOff>
    </xdr:to>
    <xdr:sp macro="" textlink="">
      <xdr:nvSpPr>
        <xdr:cNvPr id="3" name="Right Arrow 2">
          <a:extLst>
            <a:ext uri="{FF2B5EF4-FFF2-40B4-BE49-F238E27FC236}">
              <a16:creationId xmlns:a16="http://schemas.microsoft.com/office/drawing/2014/main" id="{00000000-0008-0000-2700-000003000000}"/>
            </a:ext>
          </a:extLst>
        </xdr:cNvPr>
        <xdr:cNvSpPr/>
      </xdr:nvSpPr>
      <xdr:spPr>
        <a:xfrm>
          <a:off x="2997200" y="838200"/>
          <a:ext cx="31432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49389</xdr:colOff>
      <xdr:row>1</xdr:row>
      <xdr:rowOff>28574</xdr:rowOff>
    </xdr:from>
    <xdr:to>
      <xdr:col>3</xdr:col>
      <xdr:colOff>1</xdr:colOff>
      <xdr:row>1</xdr:row>
      <xdr:rowOff>127000</xdr:rowOff>
    </xdr:to>
    <xdr:sp macro="" textlink="">
      <xdr:nvSpPr>
        <xdr:cNvPr id="4" name="Right Arrow 3">
          <a:extLst>
            <a:ext uri="{FF2B5EF4-FFF2-40B4-BE49-F238E27FC236}">
              <a16:creationId xmlns:a16="http://schemas.microsoft.com/office/drawing/2014/main" id="{00000000-0008-0000-2700-000004000000}"/>
            </a:ext>
          </a:extLst>
        </xdr:cNvPr>
        <xdr:cNvSpPr/>
      </xdr:nvSpPr>
      <xdr:spPr>
        <a:xfrm>
          <a:off x="2957689" y="396874"/>
          <a:ext cx="363362"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5" name="Right Arrow 4">
          <a:extLst>
            <a:ext uri="{FF2B5EF4-FFF2-40B4-BE49-F238E27FC236}">
              <a16:creationId xmlns:a16="http://schemas.microsoft.com/office/drawing/2014/main" id="{00000000-0008-0000-2700-000005000000}"/>
            </a:ext>
          </a:extLst>
        </xdr:cNvPr>
        <xdr:cNvSpPr/>
      </xdr:nvSpPr>
      <xdr:spPr>
        <a:xfrm>
          <a:off x="3222625" y="765174"/>
          <a:ext cx="98425" cy="1428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2</xdr:row>
      <xdr:rowOff>19049</xdr:rowOff>
    </xdr:from>
    <xdr:to>
      <xdr:col>2</xdr:col>
      <xdr:colOff>1057275</xdr:colOff>
      <xdr:row>2</xdr:row>
      <xdr:rowOff>180974</xdr:rowOff>
    </xdr:to>
    <xdr:sp macro="" textlink="">
      <xdr:nvSpPr>
        <xdr:cNvPr id="6" name="Right Arrow 5">
          <a:extLst>
            <a:ext uri="{FF2B5EF4-FFF2-40B4-BE49-F238E27FC236}">
              <a16:creationId xmlns:a16="http://schemas.microsoft.com/office/drawing/2014/main" id="{00000000-0008-0000-2700-000006000000}"/>
            </a:ext>
          </a:extLst>
        </xdr:cNvPr>
        <xdr:cNvSpPr/>
      </xdr:nvSpPr>
      <xdr:spPr>
        <a:xfrm>
          <a:off x="2965450" y="755649"/>
          <a:ext cx="352425" cy="1619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2</xdr:row>
      <xdr:rowOff>100013</xdr:rowOff>
    </xdr:from>
    <xdr:to>
      <xdr:col>2</xdr:col>
      <xdr:colOff>1247775</xdr:colOff>
      <xdr:row>2</xdr:row>
      <xdr:rowOff>145732</xdr:rowOff>
    </xdr:to>
    <xdr:sp macro="" textlink="">
      <xdr:nvSpPr>
        <xdr:cNvPr id="7" name="Right Arrow 6">
          <a:extLst>
            <a:ext uri="{FF2B5EF4-FFF2-40B4-BE49-F238E27FC236}">
              <a16:creationId xmlns:a16="http://schemas.microsoft.com/office/drawing/2014/main" id="{00000000-0008-0000-2700-000007000000}"/>
            </a:ext>
          </a:extLst>
        </xdr:cNvPr>
        <xdr:cNvSpPr/>
      </xdr:nvSpPr>
      <xdr:spPr>
        <a:xfrm rot="10800000" flipH="1">
          <a:off x="3321050" y="8366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2</xdr:row>
      <xdr:rowOff>101600</xdr:rowOff>
    </xdr:from>
    <xdr:to>
      <xdr:col>2</xdr:col>
      <xdr:colOff>403225</xdr:colOff>
      <xdr:row>2</xdr:row>
      <xdr:rowOff>147319</xdr:rowOff>
    </xdr:to>
    <xdr:sp macro="" textlink="">
      <xdr:nvSpPr>
        <xdr:cNvPr id="8" name="Right Arrow 7">
          <a:extLst>
            <a:ext uri="{FF2B5EF4-FFF2-40B4-BE49-F238E27FC236}">
              <a16:creationId xmlns:a16="http://schemas.microsoft.com/office/drawing/2014/main" id="{00000000-0008-0000-2700-000008000000}"/>
            </a:ext>
          </a:extLst>
        </xdr:cNvPr>
        <xdr:cNvSpPr/>
      </xdr:nvSpPr>
      <xdr:spPr>
        <a:xfrm>
          <a:off x="2997200" y="838200"/>
          <a:ext cx="31432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49389</xdr:colOff>
      <xdr:row>1</xdr:row>
      <xdr:rowOff>28574</xdr:rowOff>
    </xdr:from>
    <xdr:to>
      <xdr:col>3</xdr:col>
      <xdr:colOff>1</xdr:colOff>
      <xdr:row>1</xdr:row>
      <xdr:rowOff>127000</xdr:rowOff>
    </xdr:to>
    <xdr:sp macro="" textlink="">
      <xdr:nvSpPr>
        <xdr:cNvPr id="9" name="Right Arrow 8">
          <a:extLst>
            <a:ext uri="{FF2B5EF4-FFF2-40B4-BE49-F238E27FC236}">
              <a16:creationId xmlns:a16="http://schemas.microsoft.com/office/drawing/2014/main" id="{00000000-0008-0000-2700-000009000000}"/>
            </a:ext>
          </a:extLst>
        </xdr:cNvPr>
        <xdr:cNvSpPr/>
      </xdr:nvSpPr>
      <xdr:spPr>
        <a:xfrm>
          <a:off x="2957689" y="396874"/>
          <a:ext cx="363362"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10" name="Right Arrow 9">
          <a:extLst>
            <a:ext uri="{FF2B5EF4-FFF2-40B4-BE49-F238E27FC236}">
              <a16:creationId xmlns:a16="http://schemas.microsoft.com/office/drawing/2014/main" id="{00000000-0008-0000-2700-00000A000000}"/>
            </a:ext>
          </a:extLst>
        </xdr:cNvPr>
        <xdr:cNvSpPr/>
      </xdr:nvSpPr>
      <xdr:spPr>
        <a:xfrm>
          <a:off x="3222625" y="765174"/>
          <a:ext cx="98425" cy="1428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2</xdr:row>
      <xdr:rowOff>19049</xdr:rowOff>
    </xdr:from>
    <xdr:to>
      <xdr:col>2</xdr:col>
      <xdr:colOff>1057275</xdr:colOff>
      <xdr:row>2</xdr:row>
      <xdr:rowOff>180974</xdr:rowOff>
    </xdr:to>
    <xdr:sp macro="" textlink="">
      <xdr:nvSpPr>
        <xdr:cNvPr id="11" name="Right Arrow 10">
          <a:extLst>
            <a:ext uri="{FF2B5EF4-FFF2-40B4-BE49-F238E27FC236}">
              <a16:creationId xmlns:a16="http://schemas.microsoft.com/office/drawing/2014/main" id="{00000000-0008-0000-2700-00000B000000}"/>
            </a:ext>
          </a:extLst>
        </xdr:cNvPr>
        <xdr:cNvSpPr/>
      </xdr:nvSpPr>
      <xdr:spPr>
        <a:xfrm>
          <a:off x="2965450" y="755649"/>
          <a:ext cx="352425" cy="1619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1</xdr:row>
      <xdr:rowOff>0</xdr:rowOff>
    </xdr:from>
    <xdr:to>
      <xdr:col>7</xdr:col>
      <xdr:colOff>973667</xdr:colOff>
      <xdr:row>3</xdr:row>
      <xdr:rowOff>5117</xdr:rowOff>
    </xdr:to>
    <xdr:sp macro="" textlink="">
      <xdr:nvSpPr>
        <xdr:cNvPr id="12" name="Rounded Rectangle 11">
          <a:hlinkClick xmlns:r="http://schemas.openxmlformats.org/officeDocument/2006/relationships" r:id="rId1"/>
          <a:extLst>
            <a:ext uri="{FF2B5EF4-FFF2-40B4-BE49-F238E27FC236}">
              <a16:creationId xmlns:a16="http://schemas.microsoft.com/office/drawing/2014/main" id="{00000000-0008-0000-2700-00000C000000}"/>
            </a:ext>
          </a:extLst>
        </xdr:cNvPr>
        <xdr:cNvSpPr/>
      </xdr:nvSpPr>
      <xdr:spPr>
        <a:xfrm>
          <a:off x="5327650" y="304800"/>
          <a:ext cx="973667" cy="3099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00000000-0008-0000-2800-000002000000}"/>
            </a:ext>
          </a:extLst>
        </xdr:cNvPr>
        <xdr:cNvSpPr/>
      </xdr:nvSpPr>
      <xdr:spPr>
        <a:xfrm rot="10800000" flipH="1">
          <a:off x="256540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2</xdr:row>
      <xdr:rowOff>19050</xdr:rowOff>
    </xdr:from>
    <xdr:to>
      <xdr:col>2</xdr:col>
      <xdr:colOff>352425</xdr:colOff>
      <xdr:row>2</xdr:row>
      <xdr:rowOff>147319</xdr:rowOff>
    </xdr:to>
    <xdr:sp macro="" textlink="">
      <xdr:nvSpPr>
        <xdr:cNvPr id="3" name="Right Arrow 2">
          <a:extLst>
            <a:ext uri="{FF2B5EF4-FFF2-40B4-BE49-F238E27FC236}">
              <a16:creationId xmlns:a16="http://schemas.microsoft.com/office/drawing/2014/main" id="{00000000-0008-0000-2800-000003000000}"/>
            </a:ext>
          </a:extLst>
        </xdr:cNvPr>
        <xdr:cNvSpPr/>
      </xdr:nvSpPr>
      <xdr:spPr>
        <a:xfrm>
          <a:off x="2298700" y="476250"/>
          <a:ext cx="263525" cy="12826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49389</xdr:colOff>
      <xdr:row>1</xdr:row>
      <xdr:rowOff>28574</xdr:rowOff>
    </xdr:from>
    <xdr:to>
      <xdr:col>3</xdr:col>
      <xdr:colOff>1</xdr:colOff>
      <xdr:row>1</xdr:row>
      <xdr:rowOff>127000</xdr:rowOff>
    </xdr:to>
    <xdr:sp macro="" textlink="">
      <xdr:nvSpPr>
        <xdr:cNvPr id="4" name="Right Arrow 3">
          <a:extLst>
            <a:ext uri="{FF2B5EF4-FFF2-40B4-BE49-F238E27FC236}">
              <a16:creationId xmlns:a16="http://schemas.microsoft.com/office/drawing/2014/main" id="{00000000-0008-0000-2800-000004000000}"/>
            </a:ext>
          </a:extLst>
        </xdr:cNvPr>
        <xdr:cNvSpPr/>
      </xdr:nvSpPr>
      <xdr:spPr>
        <a:xfrm>
          <a:off x="2259189" y="333374"/>
          <a:ext cx="306212"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5" name="Right Arrow 4">
          <a:extLst>
            <a:ext uri="{FF2B5EF4-FFF2-40B4-BE49-F238E27FC236}">
              <a16:creationId xmlns:a16="http://schemas.microsoft.com/office/drawing/2014/main" id="{00000000-0008-0000-2800-000005000000}"/>
            </a:ext>
          </a:extLst>
        </xdr:cNvPr>
        <xdr:cNvSpPr/>
      </xdr:nvSpPr>
      <xdr:spPr>
        <a:xfrm>
          <a:off x="2524125" y="485774"/>
          <a:ext cx="4127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2</xdr:row>
      <xdr:rowOff>100013</xdr:rowOff>
    </xdr:from>
    <xdr:to>
      <xdr:col>2</xdr:col>
      <xdr:colOff>1247775</xdr:colOff>
      <xdr:row>2</xdr:row>
      <xdr:rowOff>145732</xdr:rowOff>
    </xdr:to>
    <xdr:sp macro="" textlink="">
      <xdr:nvSpPr>
        <xdr:cNvPr id="6" name="Right Arrow 5">
          <a:extLst>
            <a:ext uri="{FF2B5EF4-FFF2-40B4-BE49-F238E27FC236}">
              <a16:creationId xmlns:a16="http://schemas.microsoft.com/office/drawing/2014/main" id="{00000000-0008-0000-2800-000006000000}"/>
            </a:ext>
          </a:extLst>
        </xdr:cNvPr>
        <xdr:cNvSpPr/>
      </xdr:nvSpPr>
      <xdr:spPr>
        <a:xfrm rot="10800000" flipH="1">
          <a:off x="256540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49389</xdr:colOff>
      <xdr:row>1</xdr:row>
      <xdr:rowOff>28574</xdr:rowOff>
    </xdr:from>
    <xdr:to>
      <xdr:col>3</xdr:col>
      <xdr:colOff>1</xdr:colOff>
      <xdr:row>1</xdr:row>
      <xdr:rowOff>127000</xdr:rowOff>
    </xdr:to>
    <xdr:sp macro="" textlink="">
      <xdr:nvSpPr>
        <xdr:cNvPr id="7" name="Right Arrow 6">
          <a:extLst>
            <a:ext uri="{FF2B5EF4-FFF2-40B4-BE49-F238E27FC236}">
              <a16:creationId xmlns:a16="http://schemas.microsoft.com/office/drawing/2014/main" id="{00000000-0008-0000-2800-000007000000}"/>
            </a:ext>
          </a:extLst>
        </xdr:cNvPr>
        <xdr:cNvSpPr/>
      </xdr:nvSpPr>
      <xdr:spPr>
        <a:xfrm>
          <a:off x="2259189" y="333374"/>
          <a:ext cx="306212"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8" name="Right Arrow 7">
          <a:extLst>
            <a:ext uri="{FF2B5EF4-FFF2-40B4-BE49-F238E27FC236}">
              <a16:creationId xmlns:a16="http://schemas.microsoft.com/office/drawing/2014/main" id="{00000000-0008-0000-2800-000008000000}"/>
            </a:ext>
          </a:extLst>
        </xdr:cNvPr>
        <xdr:cNvSpPr/>
      </xdr:nvSpPr>
      <xdr:spPr>
        <a:xfrm>
          <a:off x="2524125" y="485774"/>
          <a:ext cx="4127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69850</xdr:colOff>
      <xdr:row>3</xdr:row>
      <xdr:rowOff>25399</xdr:rowOff>
    </xdr:from>
    <xdr:to>
      <xdr:col>3</xdr:col>
      <xdr:colOff>9525</xdr:colOff>
      <xdr:row>4</xdr:row>
      <xdr:rowOff>9524</xdr:rowOff>
    </xdr:to>
    <xdr:sp macro="" textlink="">
      <xdr:nvSpPr>
        <xdr:cNvPr id="9" name="Right Arrow 8">
          <a:extLst>
            <a:ext uri="{FF2B5EF4-FFF2-40B4-BE49-F238E27FC236}">
              <a16:creationId xmlns:a16="http://schemas.microsoft.com/office/drawing/2014/main" id="{00000000-0008-0000-2800-000009000000}"/>
            </a:ext>
          </a:extLst>
        </xdr:cNvPr>
        <xdr:cNvSpPr/>
      </xdr:nvSpPr>
      <xdr:spPr>
        <a:xfrm>
          <a:off x="2279650" y="634999"/>
          <a:ext cx="29527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1371600</xdr:colOff>
      <xdr:row>0</xdr:row>
      <xdr:rowOff>171450</xdr:rowOff>
    </xdr:from>
    <xdr:to>
      <xdr:col>9</xdr:col>
      <xdr:colOff>402167</xdr:colOff>
      <xdr:row>2</xdr:row>
      <xdr:rowOff>24167</xdr:rowOff>
    </xdr:to>
    <xdr:sp macro="" textlink="">
      <xdr:nvSpPr>
        <xdr:cNvPr id="10" name="Rounded Rectangle 9">
          <a:hlinkClick xmlns:r="http://schemas.openxmlformats.org/officeDocument/2006/relationships" r:id="rId1"/>
          <a:extLst>
            <a:ext uri="{FF2B5EF4-FFF2-40B4-BE49-F238E27FC236}">
              <a16:creationId xmlns:a16="http://schemas.microsoft.com/office/drawing/2014/main" id="{00000000-0008-0000-2800-00000A000000}"/>
            </a:ext>
          </a:extLst>
        </xdr:cNvPr>
        <xdr:cNvSpPr/>
      </xdr:nvSpPr>
      <xdr:spPr>
        <a:xfrm>
          <a:off x="7245350" y="171450"/>
          <a:ext cx="973667" cy="3099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00000000-0008-0000-2900-000002000000}"/>
            </a:ext>
          </a:extLst>
        </xdr:cNvPr>
        <xdr:cNvSpPr/>
      </xdr:nvSpPr>
      <xdr:spPr>
        <a:xfrm rot="10800000" flipH="1">
          <a:off x="256540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2</xdr:row>
      <xdr:rowOff>19050</xdr:rowOff>
    </xdr:from>
    <xdr:to>
      <xdr:col>2</xdr:col>
      <xdr:colOff>352425</xdr:colOff>
      <xdr:row>2</xdr:row>
      <xdr:rowOff>147319</xdr:rowOff>
    </xdr:to>
    <xdr:sp macro="" textlink="">
      <xdr:nvSpPr>
        <xdr:cNvPr id="3" name="Right Arrow 2">
          <a:extLst>
            <a:ext uri="{FF2B5EF4-FFF2-40B4-BE49-F238E27FC236}">
              <a16:creationId xmlns:a16="http://schemas.microsoft.com/office/drawing/2014/main" id="{00000000-0008-0000-2900-000003000000}"/>
            </a:ext>
          </a:extLst>
        </xdr:cNvPr>
        <xdr:cNvSpPr/>
      </xdr:nvSpPr>
      <xdr:spPr>
        <a:xfrm>
          <a:off x="2298700" y="476250"/>
          <a:ext cx="263525" cy="12826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49389</xdr:colOff>
      <xdr:row>1</xdr:row>
      <xdr:rowOff>28574</xdr:rowOff>
    </xdr:from>
    <xdr:to>
      <xdr:col>3</xdr:col>
      <xdr:colOff>1</xdr:colOff>
      <xdr:row>1</xdr:row>
      <xdr:rowOff>127000</xdr:rowOff>
    </xdr:to>
    <xdr:sp macro="" textlink="">
      <xdr:nvSpPr>
        <xdr:cNvPr id="4" name="Right Arrow 3">
          <a:extLst>
            <a:ext uri="{FF2B5EF4-FFF2-40B4-BE49-F238E27FC236}">
              <a16:creationId xmlns:a16="http://schemas.microsoft.com/office/drawing/2014/main" id="{00000000-0008-0000-2900-000004000000}"/>
            </a:ext>
          </a:extLst>
        </xdr:cNvPr>
        <xdr:cNvSpPr/>
      </xdr:nvSpPr>
      <xdr:spPr>
        <a:xfrm>
          <a:off x="2259189" y="333374"/>
          <a:ext cx="306212"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5" name="Right Arrow 4">
          <a:extLst>
            <a:ext uri="{FF2B5EF4-FFF2-40B4-BE49-F238E27FC236}">
              <a16:creationId xmlns:a16="http://schemas.microsoft.com/office/drawing/2014/main" id="{00000000-0008-0000-2900-000005000000}"/>
            </a:ext>
          </a:extLst>
        </xdr:cNvPr>
        <xdr:cNvSpPr/>
      </xdr:nvSpPr>
      <xdr:spPr>
        <a:xfrm>
          <a:off x="2524125" y="485774"/>
          <a:ext cx="4127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2</xdr:row>
      <xdr:rowOff>100013</xdr:rowOff>
    </xdr:from>
    <xdr:to>
      <xdr:col>2</xdr:col>
      <xdr:colOff>1247775</xdr:colOff>
      <xdr:row>2</xdr:row>
      <xdr:rowOff>145732</xdr:rowOff>
    </xdr:to>
    <xdr:sp macro="" textlink="">
      <xdr:nvSpPr>
        <xdr:cNvPr id="7" name="Right Arrow 6">
          <a:extLst>
            <a:ext uri="{FF2B5EF4-FFF2-40B4-BE49-F238E27FC236}">
              <a16:creationId xmlns:a16="http://schemas.microsoft.com/office/drawing/2014/main" id="{00000000-0008-0000-2900-000007000000}"/>
            </a:ext>
          </a:extLst>
        </xdr:cNvPr>
        <xdr:cNvSpPr/>
      </xdr:nvSpPr>
      <xdr:spPr>
        <a:xfrm rot="10800000" flipH="1">
          <a:off x="256540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49389</xdr:colOff>
      <xdr:row>1</xdr:row>
      <xdr:rowOff>28574</xdr:rowOff>
    </xdr:from>
    <xdr:to>
      <xdr:col>3</xdr:col>
      <xdr:colOff>1</xdr:colOff>
      <xdr:row>1</xdr:row>
      <xdr:rowOff>127000</xdr:rowOff>
    </xdr:to>
    <xdr:sp macro="" textlink="">
      <xdr:nvSpPr>
        <xdr:cNvPr id="9" name="Right Arrow 8">
          <a:extLst>
            <a:ext uri="{FF2B5EF4-FFF2-40B4-BE49-F238E27FC236}">
              <a16:creationId xmlns:a16="http://schemas.microsoft.com/office/drawing/2014/main" id="{00000000-0008-0000-2900-000009000000}"/>
            </a:ext>
          </a:extLst>
        </xdr:cNvPr>
        <xdr:cNvSpPr/>
      </xdr:nvSpPr>
      <xdr:spPr>
        <a:xfrm>
          <a:off x="2259189" y="333374"/>
          <a:ext cx="306212"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10" name="Right Arrow 9">
          <a:extLst>
            <a:ext uri="{FF2B5EF4-FFF2-40B4-BE49-F238E27FC236}">
              <a16:creationId xmlns:a16="http://schemas.microsoft.com/office/drawing/2014/main" id="{00000000-0008-0000-2900-00000A000000}"/>
            </a:ext>
          </a:extLst>
        </xdr:cNvPr>
        <xdr:cNvSpPr/>
      </xdr:nvSpPr>
      <xdr:spPr>
        <a:xfrm>
          <a:off x="2524125" y="485774"/>
          <a:ext cx="4127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69850</xdr:colOff>
      <xdr:row>3</xdr:row>
      <xdr:rowOff>25399</xdr:rowOff>
    </xdr:from>
    <xdr:to>
      <xdr:col>3</xdr:col>
      <xdr:colOff>9525</xdr:colOff>
      <xdr:row>4</xdr:row>
      <xdr:rowOff>9524</xdr:rowOff>
    </xdr:to>
    <xdr:sp macro="" textlink="">
      <xdr:nvSpPr>
        <xdr:cNvPr id="11" name="Right Arrow 10">
          <a:extLst>
            <a:ext uri="{FF2B5EF4-FFF2-40B4-BE49-F238E27FC236}">
              <a16:creationId xmlns:a16="http://schemas.microsoft.com/office/drawing/2014/main" id="{00000000-0008-0000-2900-00000B000000}"/>
            </a:ext>
          </a:extLst>
        </xdr:cNvPr>
        <xdr:cNvSpPr/>
      </xdr:nvSpPr>
      <xdr:spPr>
        <a:xfrm>
          <a:off x="2279650" y="634999"/>
          <a:ext cx="29527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273050</xdr:colOff>
      <xdr:row>0</xdr:row>
      <xdr:rowOff>139700</xdr:rowOff>
    </xdr:from>
    <xdr:to>
      <xdr:col>7</xdr:col>
      <xdr:colOff>960967</xdr:colOff>
      <xdr:row>1</xdr:row>
      <xdr:rowOff>144817</xdr:rowOff>
    </xdr:to>
    <xdr:sp macro="" textlink="">
      <xdr:nvSpPr>
        <xdr:cNvPr id="12" name="Rounded Rectangle 11">
          <a:hlinkClick xmlns:r="http://schemas.openxmlformats.org/officeDocument/2006/relationships" r:id="rId1"/>
          <a:extLst>
            <a:ext uri="{FF2B5EF4-FFF2-40B4-BE49-F238E27FC236}">
              <a16:creationId xmlns:a16="http://schemas.microsoft.com/office/drawing/2014/main" id="{00000000-0008-0000-2900-00000C000000}"/>
            </a:ext>
          </a:extLst>
        </xdr:cNvPr>
        <xdr:cNvSpPr/>
      </xdr:nvSpPr>
      <xdr:spPr>
        <a:xfrm>
          <a:off x="5314950" y="139700"/>
          <a:ext cx="973667" cy="3099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00000000-0008-0000-2A00-000002000000}"/>
            </a:ext>
          </a:extLst>
        </xdr:cNvPr>
        <xdr:cNvSpPr/>
      </xdr:nvSpPr>
      <xdr:spPr>
        <a:xfrm rot="10800000" flipH="1">
          <a:off x="256540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2</xdr:row>
      <xdr:rowOff>101600</xdr:rowOff>
    </xdr:from>
    <xdr:to>
      <xdr:col>2</xdr:col>
      <xdr:colOff>403225</xdr:colOff>
      <xdr:row>2</xdr:row>
      <xdr:rowOff>147319</xdr:rowOff>
    </xdr:to>
    <xdr:sp macro="" textlink="">
      <xdr:nvSpPr>
        <xdr:cNvPr id="3" name="Right Arrow 2">
          <a:extLst>
            <a:ext uri="{FF2B5EF4-FFF2-40B4-BE49-F238E27FC236}">
              <a16:creationId xmlns:a16="http://schemas.microsoft.com/office/drawing/2014/main" id="{00000000-0008-0000-2A00-000003000000}"/>
            </a:ext>
          </a:extLst>
        </xdr:cNvPr>
        <xdr:cNvSpPr/>
      </xdr:nvSpPr>
      <xdr:spPr>
        <a:xfrm>
          <a:off x="2298700" y="558800"/>
          <a:ext cx="26352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49389</xdr:colOff>
      <xdr:row>1</xdr:row>
      <xdr:rowOff>28574</xdr:rowOff>
    </xdr:from>
    <xdr:to>
      <xdr:col>3</xdr:col>
      <xdr:colOff>1</xdr:colOff>
      <xdr:row>1</xdr:row>
      <xdr:rowOff>127000</xdr:rowOff>
    </xdr:to>
    <xdr:sp macro="" textlink="">
      <xdr:nvSpPr>
        <xdr:cNvPr id="4" name="Right Arrow 3">
          <a:extLst>
            <a:ext uri="{FF2B5EF4-FFF2-40B4-BE49-F238E27FC236}">
              <a16:creationId xmlns:a16="http://schemas.microsoft.com/office/drawing/2014/main" id="{00000000-0008-0000-2A00-000004000000}"/>
            </a:ext>
          </a:extLst>
        </xdr:cNvPr>
        <xdr:cNvSpPr/>
      </xdr:nvSpPr>
      <xdr:spPr>
        <a:xfrm>
          <a:off x="2259189" y="333374"/>
          <a:ext cx="306212"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5" name="Right Arrow 4">
          <a:extLst>
            <a:ext uri="{FF2B5EF4-FFF2-40B4-BE49-F238E27FC236}">
              <a16:creationId xmlns:a16="http://schemas.microsoft.com/office/drawing/2014/main" id="{00000000-0008-0000-2A00-000005000000}"/>
            </a:ext>
          </a:extLst>
        </xdr:cNvPr>
        <xdr:cNvSpPr/>
      </xdr:nvSpPr>
      <xdr:spPr>
        <a:xfrm>
          <a:off x="2524125" y="485774"/>
          <a:ext cx="4127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2</xdr:row>
      <xdr:rowOff>19049</xdr:rowOff>
    </xdr:from>
    <xdr:to>
      <xdr:col>2</xdr:col>
      <xdr:colOff>1057275</xdr:colOff>
      <xdr:row>2</xdr:row>
      <xdr:rowOff>180974</xdr:rowOff>
    </xdr:to>
    <xdr:sp macro="" textlink="">
      <xdr:nvSpPr>
        <xdr:cNvPr id="6" name="Right Arrow 5">
          <a:extLst>
            <a:ext uri="{FF2B5EF4-FFF2-40B4-BE49-F238E27FC236}">
              <a16:creationId xmlns:a16="http://schemas.microsoft.com/office/drawing/2014/main" id="{00000000-0008-0000-2A00-000006000000}"/>
            </a:ext>
          </a:extLst>
        </xdr:cNvPr>
        <xdr:cNvSpPr/>
      </xdr:nvSpPr>
      <xdr:spPr>
        <a:xfrm>
          <a:off x="2266950" y="476249"/>
          <a:ext cx="29527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2</xdr:row>
      <xdr:rowOff>100013</xdr:rowOff>
    </xdr:from>
    <xdr:to>
      <xdr:col>2</xdr:col>
      <xdr:colOff>1247775</xdr:colOff>
      <xdr:row>2</xdr:row>
      <xdr:rowOff>145732</xdr:rowOff>
    </xdr:to>
    <xdr:sp macro="" textlink="">
      <xdr:nvSpPr>
        <xdr:cNvPr id="7" name="Right Arrow 6">
          <a:extLst>
            <a:ext uri="{FF2B5EF4-FFF2-40B4-BE49-F238E27FC236}">
              <a16:creationId xmlns:a16="http://schemas.microsoft.com/office/drawing/2014/main" id="{00000000-0008-0000-2A00-000007000000}"/>
            </a:ext>
          </a:extLst>
        </xdr:cNvPr>
        <xdr:cNvSpPr/>
      </xdr:nvSpPr>
      <xdr:spPr>
        <a:xfrm rot="10800000" flipH="1">
          <a:off x="256540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2</xdr:row>
      <xdr:rowOff>101600</xdr:rowOff>
    </xdr:from>
    <xdr:to>
      <xdr:col>2</xdr:col>
      <xdr:colOff>403225</xdr:colOff>
      <xdr:row>2</xdr:row>
      <xdr:rowOff>147319</xdr:rowOff>
    </xdr:to>
    <xdr:sp macro="" textlink="">
      <xdr:nvSpPr>
        <xdr:cNvPr id="8" name="Right Arrow 7">
          <a:extLst>
            <a:ext uri="{FF2B5EF4-FFF2-40B4-BE49-F238E27FC236}">
              <a16:creationId xmlns:a16="http://schemas.microsoft.com/office/drawing/2014/main" id="{00000000-0008-0000-2A00-000008000000}"/>
            </a:ext>
          </a:extLst>
        </xdr:cNvPr>
        <xdr:cNvSpPr/>
      </xdr:nvSpPr>
      <xdr:spPr>
        <a:xfrm>
          <a:off x="2298700" y="558800"/>
          <a:ext cx="26352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49389</xdr:colOff>
      <xdr:row>1</xdr:row>
      <xdr:rowOff>28574</xdr:rowOff>
    </xdr:from>
    <xdr:to>
      <xdr:col>3</xdr:col>
      <xdr:colOff>1</xdr:colOff>
      <xdr:row>1</xdr:row>
      <xdr:rowOff>127000</xdr:rowOff>
    </xdr:to>
    <xdr:sp macro="" textlink="">
      <xdr:nvSpPr>
        <xdr:cNvPr id="9" name="Right Arrow 8">
          <a:extLst>
            <a:ext uri="{FF2B5EF4-FFF2-40B4-BE49-F238E27FC236}">
              <a16:creationId xmlns:a16="http://schemas.microsoft.com/office/drawing/2014/main" id="{00000000-0008-0000-2A00-000009000000}"/>
            </a:ext>
          </a:extLst>
        </xdr:cNvPr>
        <xdr:cNvSpPr/>
      </xdr:nvSpPr>
      <xdr:spPr>
        <a:xfrm>
          <a:off x="2259189" y="333374"/>
          <a:ext cx="306212"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10" name="Right Arrow 9">
          <a:extLst>
            <a:ext uri="{FF2B5EF4-FFF2-40B4-BE49-F238E27FC236}">
              <a16:creationId xmlns:a16="http://schemas.microsoft.com/office/drawing/2014/main" id="{00000000-0008-0000-2A00-00000A000000}"/>
            </a:ext>
          </a:extLst>
        </xdr:cNvPr>
        <xdr:cNvSpPr/>
      </xdr:nvSpPr>
      <xdr:spPr>
        <a:xfrm>
          <a:off x="2524125" y="485774"/>
          <a:ext cx="4127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2</xdr:row>
      <xdr:rowOff>19049</xdr:rowOff>
    </xdr:from>
    <xdr:to>
      <xdr:col>2</xdr:col>
      <xdr:colOff>1057275</xdr:colOff>
      <xdr:row>2</xdr:row>
      <xdr:rowOff>180974</xdr:rowOff>
    </xdr:to>
    <xdr:sp macro="" textlink="">
      <xdr:nvSpPr>
        <xdr:cNvPr id="11" name="Right Arrow 10">
          <a:extLst>
            <a:ext uri="{FF2B5EF4-FFF2-40B4-BE49-F238E27FC236}">
              <a16:creationId xmlns:a16="http://schemas.microsoft.com/office/drawing/2014/main" id="{00000000-0008-0000-2A00-00000B000000}"/>
            </a:ext>
          </a:extLst>
        </xdr:cNvPr>
        <xdr:cNvSpPr/>
      </xdr:nvSpPr>
      <xdr:spPr>
        <a:xfrm>
          <a:off x="2266950" y="476249"/>
          <a:ext cx="29527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273050</xdr:colOff>
      <xdr:row>0</xdr:row>
      <xdr:rowOff>152400</xdr:rowOff>
    </xdr:from>
    <xdr:to>
      <xdr:col>7</xdr:col>
      <xdr:colOff>960967</xdr:colOff>
      <xdr:row>2</xdr:row>
      <xdr:rowOff>5117</xdr:rowOff>
    </xdr:to>
    <xdr:sp macro="" textlink="">
      <xdr:nvSpPr>
        <xdr:cNvPr id="12" name="Rounded Rectangle 11">
          <a:hlinkClick xmlns:r="http://schemas.openxmlformats.org/officeDocument/2006/relationships" r:id="rId1"/>
          <a:extLst>
            <a:ext uri="{FF2B5EF4-FFF2-40B4-BE49-F238E27FC236}">
              <a16:creationId xmlns:a16="http://schemas.microsoft.com/office/drawing/2014/main" id="{00000000-0008-0000-2A00-00000C000000}"/>
            </a:ext>
          </a:extLst>
        </xdr:cNvPr>
        <xdr:cNvSpPr/>
      </xdr:nvSpPr>
      <xdr:spPr>
        <a:xfrm>
          <a:off x="5556250" y="152400"/>
          <a:ext cx="973667" cy="3099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00000000-0008-0000-2B00-000002000000}"/>
            </a:ext>
          </a:extLst>
        </xdr:cNvPr>
        <xdr:cNvSpPr/>
      </xdr:nvSpPr>
      <xdr:spPr>
        <a:xfrm rot="10800000" flipH="1">
          <a:off x="256540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2</xdr:row>
      <xdr:rowOff>101600</xdr:rowOff>
    </xdr:from>
    <xdr:to>
      <xdr:col>2</xdr:col>
      <xdr:colOff>403225</xdr:colOff>
      <xdr:row>2</xdr:row>
      <xdr:rowOff>147319</xdr:rowOff>
    </xdr:to>
    <xdr:sp macro="" textlink="">
      <xdr:nvSpPr>
        <xdr:cNvPr id="3" name="Right Arrow 2">
          <a:extLst>
            <a:ext uri="{FF2B5EF4-FFF2-40B4-BE49-F238E27FC236}">
              <a16:creationId xmlns:a16="http://schemas.microsoft.com/office/drawing/2014/main" id="{00000000-0008-0000-2B00-000003000000}"/>
            </a:ext>
          </a:extLst>
        </xdr:cNvPr>
        <xdr:cNvSpPr/>
      </xdr:nvSpPr>
      <xdr:spPr>
        <a:xfrm>
          <a:off x="2298700" y="558800"/>
          <a:ext cx="26352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5" name="Right Arrow 4">
          <a:extLst>
            <a:ext uri="{FF2B5EF4-FFF2-40B4-BE49-F238E27FC236}">
              <a16:creationId xmlns:a16="http://schemas.microsoft.com/office/drawing/2014/main" id="{00000000-0008-0000-2B00-000005000000}"/>
            </a:ext>
          </a:extLst>
        </xdr:cNvPr>
        <xdr:cNvSpPr/>
      </xdr:nvSpPr>
      <xdr:spPr>
        <a:xfrm>
          <a:off x="2524125" y="485774"/>
          <a:ext cx="4127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2</xdr:row>
      <xdr:rowOff>100013</xdr:rowOff>
    </xdr:from>
    <xdr:to>
      <xdr:col>2</xdr:col>
      <xdr:colOff>1247775</xdr:colOff>
      <xdr:row>2</xdr:row>
      <xdr:rowOff>145732</xdr:rowOff>
    </xdr:to>
    <xdr:sp macro="" textlink="">
      <xdr:nvSpPr>
        <xdr:cNvPr id="7" name="Right Arrow 6">
          <a:extLst>
            <a:ext uri="{FF2B5EF4-FFF2-40B4-BE49-F238E27FC236}">
              <a16:creationId xmlns:a16="http://schemas.microsoft.com/office/drawing/2014/main" id="{00000000-0008-0000-2B00-000007000000}"/>
            </a:ext>
          </a:extLst>
        </xdr:cNvPr>
        <xdr:cNvSpPr/>
      </xdr:nvSpPr>
      <xdr:spPr>
        <a:xfrm rot="10800000" flipH="1">
          <a:off x="256540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10" name="Right Arrow 9">
          <a:extLst>
            <a:ext uri="{FF2B5EF4-FFF2-40B4-BE49-F238E27FC236}">
              <a16:creationId xmlns:a16="http://schemas.microsoft.com/office/drawing/2014/main" id="{00000000-0008-0000-2B00-00000A000000}"/>
            </a:ext>
          </a:extLst>
        </xdr:cNvPr>
        <xdr:cNvSpPr/>
      </xdr:nvSpPr>
      <xdr:spPr>
        <a:xfrm>
          <a:off x="2524125" y="485774"/>
          <a:ext cx="4127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57150</xdr:colOff>
      <xdr:row>0</xdr:row>
      <xdr:rowOff>234950</xdr:rowOff>
    </xdr:from>
    <xdr:to>
      <xdr:col>7</xdr:col>
      <xdr:colOff>1030817</xdr:colOff>
      <xdr:row>1</xdr:row>
      <xdr:rowOff>87667</xdr:rowOff>
    </xdr:to>
    <xdr:sp macro="" textlink="">
      <xdr:nvSpPr>
        <xdr:cNvPr id="8" name="Rounded Rectangle 7">
          <a:hlinkClick xmlns:r="http://schemas.openxmlformats.org/officeDocument/2006/relationships" r:id="rId1"/>
          <a:extLst>
            <a:ext uri="{FF2B5EF4-FFF2-40B4-BE49-F238E27FC236}">
              <a16:creationId xmlns:a16="http://schemas.microsoft.com/office/drawing/2014/main" id="{00000000-0008-0000-2B00-000008000000}"/>
            </a:ext>
          </a:extLst>
        </xdr:cNvPr>
        <xdr:cNvSpPr/>
      </xdr:nvSpPr>
      <xdr:spPr>
        <a:xfrm>
          <a:off x="3911600" y="234950"/>
          <a:ext cx="973667" cy="3099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00000000-0008-0000-2C00-000002000000}"/>
            </a:ext>
          </a:extLst>
        </xdr:cNvPr>
        <xdr:cNvSpPr/>
      </xdr:nvSpPr>
      <xdr:spPr>
        <a:xfrm rot="10800000" flipH="1">
          <a:off x="1765300" y="7096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2</xdr:row>
      <xdr:rowOff>101600</xdr:rowOff>
    </xdr:from>
    <xdr:to>
      <xdr:col>2</xdr:col>
      <xdr:colOff>403225</xdr:colOff>
      <xdr:row>2</xdr:row>
      <xdr:rowOff>147319</xdr:rowOff>
    </xdr:to>
    <xdr:sp macro="" textlink="">
      <xdr:nvSpPr>
        <xdr:cNvPr id="3" name="Right Arrow 2">
          <a:extLst>
            <a:ext uri="{FF2B5EF4-FFF2-40B4-BE49-F238E27FC236}">
              <a16:creationId xmlns:a16="http://schemas.microsoft.com/office/drawing/2014/main" id="{00000000-0008-0000-2C00-000003000000}"/>
            </a:ext>
          </a:extLst>
        </xdr:cNvPr>
        <xdr:cNvSpPr/>
      </xdr:nvSpPr>
      <xdr:spPr>
        <a:xfrm>
          <a:off x="1530350" y="711200"/>
          <a:ext cx="2317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4" name="Right Arrow 3">
          <a:extLst>
            <a:ext uri="{FF2B5EF4-FFF2-40B4-BE49-F238E27FC236}">
              <a16:creationId xmlns:a16="http://schemas.microsoft.com/office/drawing/2014/main" id="{00000000-0008-0000-2C00-000004000000}"/>
            </a:ext>
          </a:extLst>
        </xdr:cNvPr>
        <xdr:cNvSpPr/>
      </xdr:nvSpPr>
      <xdr:spPr>
        <a:xfrm>
          <a:off x="1755775" y="638174"/>
          <a:ext cx="95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2</xdr:row>
      <xdr:rowOff>100013</xdr:rowOff>
    </xdr:from>
    <xdr:to>
      <xdr:col>2</xdr:col>
      <xdr:colOff>1247775</xdr:colOff>
      <xdr:row>2</xdr:row>
      <xdr:rowOff>145732</xdr:rowOff>
    </xdr:to>
    <xdr:sp macro="" textlink="">
      <xdr:nvSpPr>
        <xdr:cNvPr id="5" name="Right Arrow 4">
          <a:extLst>
            <a:ext uri="{FF2B5EF4-FFF2-40B4-BE49-F238E27FC236}">
              <a16:creationId xmlns:a16="http://schemas.microsoft.com/office/drawing/2014/main" id="{00000000-0008-0000-2C00-000005000000}"/>
            </a:ext>
          </a:extLst>
        </xdr:cNvPr>
        <xdr:cNvSpPr/>
      </xdr:nvSpPr>
      <xdr:spPr>
        <a:xfrm rot="10800000" flipH="1">
          <a:off x="1765300" y="7096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6" name="Right Arrow 5">
          <a:extLst>
            <a:ext uri="{FF2B5EF4-FFF2-40B4-BE49-F238E27FC236}">
              <a16:creationId xmlns:a16="http://schemas.microsoft.com/office/drawing/2014/main" id="{00000000-0008-0000-2C00-000006000000}"/>
            </a:ext>
          </a:extLst>
        </xdr:cNvPr>
        <xdr:cNvSpPr/>
      </xdr:nvSpPr>
      <xdr:spPr>
        <a:xfrm>
          <a:off x="1755775" y="638174"/>
          <a:ext cx="95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114300</xdr:colOff>
      <xdr:row>0</xdr:row>
      <xdr:rowOff>254000</xdr:rowOff>
    </xdr:from>
    <xdr:to>
      <xdr:col>7</xdr:col>
      <xdr:colOff>1087967</xdr:colOff>
      <xdr:row>1</xdr:row>
      <xdr:rowOff>106717</xdr:rowOff>
    </xdr:to>
    <xdr:sp macro="" textlink="">
      <xdr:nvSpPr>
        <xdr:cNvPr id="7" name="Rounded Rectangle 6">
          <a:hlinkClick xmlns:r="http://schemas.openxmlformats.org/officeDocument/2006/relationships" r:id="rId1"/>
          <a:extLst>
            <a:ext uri="{FF2B5EF4-FFF2-40B4-BE49-F238E27FC236}">
              <a16:creationId xmlns:a16="http://schemas.microsoft.com/office/drawing/2014/main" id="{00000000-0008-0000-2C00-000007000000}"/>
            </a:ext>
          </a:extLst>
        </xdr:cNvPr>
        <xdr:cNvSpPr/>
      </xdr:nvSpPr>
      <xdr:spPr>
        <a:xfrm>
          <a:off x="3968750" y="254000"/>
          <a:ext cx="973667" cy="3099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00000000-0008-0000-2D00-000002000000}"/>
            </a:ext>
          </a:extLst>
        </xdr:cNvPr>
        <xdr:cNvSpPr/>
      </xdr:nvSpPr>
      <xdr:spPr>
        <a:xfrm rot="10800000" flipH="1">
          <a:off x="1765300" y="7096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2</xdr:row>
      <xdr:rowOff>101600</xdr:rowOff>
    </xdr:from>
    <xdr:to>
      <xdr:col>2</xdr:col>
      <xdr:colOff>403225</xdr:colOff>
      <xdr:row>2</xdr:row>
      <xdr:rowOff>147319</xdr:rowOff>
    </xdr:to>
    <xdr:sp macro="" textlink="">
      <xdr:nvSpPr>
        <xdr:cNvPr id="3" name="Right Arrow 2">
          <a:extLst>
            <a:ext uri="{FF2B5EF4-FFF2-40B4-BE49-F238E27FC236}">
              <a16:creationId xmlns:a16="http://schemas.microsoft.com/office/drawing/2014/main" id="{00000000-0008-0000-2D00-000003000000}"/>
            </a:ext>
          </a:extLst>
        </xdr:cNvPr>
        <xdr:cNvSpPr/>
      </xdr:nvSpPr>
      <xdr:spPr>
        <a:xfrm>
          <a:off x="1530350" y="711200"/>
          <a:ext cx="2317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4" name="Right Arrow 3">
          <a:extLst>
            <a:ext uri="{FF2B5EF4-FFF2-40B4-BE49-F238E27FC236}">
              <a16:creationId xmlns:a16="http://schemas.microsoft.com/office/drawing/2014/main" id="{00000000-0008-0000-2D00-000004000000}"/>
            </a:ext>
          </a:extLst>
        </xdr:cNvPr>
        <xdr:cNvSpPr/>
      </xdr:nvSpPr>
      <xdr:spPr>
        <a:xfrm>
          <a:off x="1755775" y="638174"/>
          <a:ext cx="95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2</xdr:row>
      <xdr:rowOff>100013</xdr:rowOff>
    </xdr:from>
    <xdr:to>
      <xdr:col>2</xdr:col>
      <xdr:colOff>1247775</xdr:colOff>
      <xdr:row>2</xdr:row>
      <xdr:rowOff>145732</xdr:rowOff>
    </xdr:to>
    <xdr:sp macro="" textlink="">
      <xdr:nvSpPr>
        <xdr:cNvPr id="5" name="Right Arrow 4">
          <a:extLst>
            <a:ext uri="{FF2B5EF4-FFF2-40B4-BE49-F238E27FC236}">
              <a16:creationId xmlns:a16="http://schemas.microsoft.com/office/drawing/2014/main" id="{00000000-0008-0000-2D00-000005000000}"/>
            </a:ext>
          </a:extLst>
        </xdr:cNvPr>
        <xdr:cNvSpPr/>
      </xdr:nvSpPr>
      <xdr:spPr>
        <a:xfrm rot="10800000" flipH="1">
          <a:off x="1765300" y="7096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6" name="Right Arrow 5">
          <a:extLst>
            <a:ext uri="{FF2B5EF4-FFF2-40B4-BE49-F238E27FC236}">
              <a16:creationId xmlns:a16="http://schemas.microsoft.com/office/drawing/2014/main" id="{00000000-0008-0000-2D00-000006000000}"/>
            </a:ext>
          </a:extLst>
        </xdr:cNvPr>
        <xdr:cNvSpPr/>
      </xdr:nvSpPr>
      <xdr:spPr>
        <a:xfrm>
          <a:off x="1755775" y="638174"/>
          <a:ext cx="95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63500</xdr:colOff>
      <xdr:row>0</xdr:row>
      <xdr:rowOff>285750</xdr:rowOff>
    </xdr:from>
    <xdr:to>
      <xdr:col>7</xdr:col>
      <xdr:colOff>1037167</xdr:colOff>
      <xdr:row>1</xdr:row>
      <xdr:rowOff>138467</xdr:rowOff>
    </xdr:to>
    <xdr:sp macro="" textlink="">
      <xdr:nvSpPr>
        <xdr:cNvPr id="7" name="Rounded Rectangle 6">
          <a:hlinkClick xmlns:r="http://schemas.openxmlformats.org/officeDocument/2006/relationships" r:id="rId1"/>
          <a:extLst>
            <a:ext uri="{FF2B5EF4-FFF2-40B4-BE49-F238E27FC236}">
              <a16:creationId xmlns:a16="http://schemas.microsoft.com/office/drawing/2014/main" id="{00000000-0008-0000-2D00-000007000000}"/>
            </a:ext>
          </a:extLst>
        </xdr:cNvPr>
        <xdr:cNvSpPr/>
      </xdr:nvSpPr>
      <xdr:spPr>
        <a:xfrm>
          <a:off x="4635500" y="285750"/>
          <a:ext cx="973667" cy="3099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44.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00000000-0008-0000-2E00-000002000000}"/>
            </a:ext>
          </a:extLst>
        </xdr:cNvPr>
        <xdr:cNvSpPr/>
      </xdr:nvSpPr>
      <xdr:spPr>
        <a:xfrm rot="10800000" flipH="1">
          <a:off x="256540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2</xdr:row>
      <xdr:rowOff>101600</xdr:rowOff>
    </xdr:from>
    <xdr:to>
      <xdr:col>2</xdr:col>
      <xdr:colOff>403225</xdr:colOff>
      <xdr:row>2</xdr:row>
      <xdr:rowOff>147319</xdr:rowOff>
    </xdr:to>
    <xdr:sp macro="" textlink="">
      <xdr:nvSpPr>
        <xdr:cNvPr id="3" name="Right Arrow 2">
          <a:extLst>
            <a:ext uri="{FF2B5EF4-FFF2-40B4-BE49-F238E27FC236}">
              <a16:creationId xmlns:a16="http://schemas.microsoft.com/office/drawing/2014/main" id="{00000000-0008-0000-2E00-000003000000}"/>
            </a:ext>
          </a:extLst>
        </xdr:cNvPr>
        <xdr:cNvSpPr/>
      </xdr:nvSpPr>
      <xdr:spPr>
        <a:xfrm>
          <a:off x="2298700" y="558800"/>
          <a:ext cx="26352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4" name="Right Arrow 3">
          <a:extLst>
            <a:ext uri="{FF2B5EF4-FFF2-40B4-BE49-F238E27FC236}">
              <a16:creationId xmlns:a16="http://schemas.microsoft.com/office/drawing/2014/main" id="{00000000-0008-0000-2E00-000004000000}"/>
            </a:ext>
          </a:extLst>
        </xdr:cNvPr>
        <xdr:cNvSpPr/>
      </xdr:nvSpPr>
      <xdr:spPr>
        <a:xfrm>
          <a:off x="2524125" y="485774"/>
          <a:ext cx="4127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2</xdr:row>
      <xdr:rowOff>100013</xdr:rowOff>
    </xdr:from>
    <xdr:to>
      <xdr:col>2</xdr:col>
      <xdr:colOff>1247775</xdr:colOff>
      <xdr:row>2</xdr:row>
      <xdr:rowOff>145732</xdr:rowOff>
    </xdr:to>
    <xdr:sp macro="" textlink="">
      <xdr:nvSpPr>
        <xdr:cNvPr id="5" name="Right Arrow 4">
          <a:extLst>
            <a:ext uri="{FF2B5EF4-FFF2-40B4-BE49-F238E27FC236}">
              <a16:creationId xmlns:a16="http://schemas.microsoft.com/office/drawing/2014/main" id="{00000000-0008-0000-2E00-000005000000}"/>
            </a:ext>
          </a:extLst>
        </xdr:cNvPr>
        <xdr:cNvSpPr/>
      </xdr:nvSpPr>
      <xdr:spPr>
        <a:xfrm rot="10800000" flipH="1">
          <a:off x="256540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6" name="Right Arrow 5">
          <a:extLst>
            <a:ext uri="{FF2B5EF4-FFF2-40B4-BE49-F238E27FC236}">
              <a16:creationId xmlns:a16="http://schemas.microsoft.com/office/drawing/2014/main" id="{00000000-0008-0000-2E00-000006000000}"/>
            </a:ext>
          </a:extLst>
        </xdr:cNvPr>
        <xdr:cNvSpPr/>
      </xdr:nvSpPr>
      <xdr:spPr>
        <a:xfrm>
          <a:off x="2524125" y="485774"/>
          <a:ext cx="4127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1</xdr:row>
      <xdr:rowOff>0</xdr:rowOff>
    </xdr:from>
    <xdr:to>
      <xdr:col>7</xdr:col>
      <xdr:colOff>973667</xdr:colOff>
      <xdr:row>3</xdr:row>
      <xdr:rowOff>5117</xdr:rowOff>
    </xdr:to>
    <xdr:sp macro="" textlink="">
      <xdr:nvSpPr>
        <xdr:cNvPr id="7" name="Rounded Rectangle 6">
          <a:hlinkClick xmlns:r="http://schemas.openxmlformats.org/officeDocument/2006/relationships" r:id="rId1"/>
          <a:extLst>
            <a:ext uri="{FF2B5EF4-FFF2-40B4-BE49-F238E27FC236}">
              <a16:creationId xmlns:a16="http://schemas.microsoft.com/office/drawing/2014/main" id="{00000000-0008-0000-2E00-000007000000}"/>
            </a:ext>
          </a:extLst>
        </xdr:cNvPr>
        <xdr:cNvSpPr/>
      </xdr:nvSpPr>
      <xdr:spPr>
        <a:xfrm>
          <a:off x="4718050" y="304800"/>
          <a:ext cx="973667" cy="3099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00000000-0008-0000-2F00-000002000000}"/>
            </a:ext>
          </a:extLst>
        </xdr:cNvPr>
        <xdr:cNvSpPr/>
      </xdr:nvSpPr>
      <xdr:spPr>
        <a:xfrm rot="10800000" flipH="1">
          <a:off x="256540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49389</xdr:colOff>
      <xdr:row>1</xdr:row>
      <xdr:rowOff>28574</xdr:rowOff>
    </xdr:from>
    <xdr:to>
      <xdr:col>3</xdr:col>
      <xdr:colOff>1</xdr:colOff>
      <xdr:row>1</xdr:row>
      <xdr:rowOff>127000</xdr:rowOff>
    </xdr:to>
    <xdr:sp macro="" textlink="">
      <xdr:nvSpPr>
        <xdr:cNvPr id="4" name="Right Arrow 3">
          <a:extLst>
            <a:ext uri="{FF2B5EF4-FFF2-40B4-BE49-F238E27FC236}">
              <a16:creationId xmlns:a16="http://schemas.microsoft.com/office/drawing/2014/main" id="{00000000-0008-0000-2F00-000004000000}"/>
            </a:ext>
          </a:extLst>
        </xdr:cNvPr>
        <xdr:cNvSpPr/>
      </xdr:nvSpPr>
      <xdr:spPr>
        <a:xfrm>
          <a:off x="2259189" y="333374"/>
          <a:ext cx="306212"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5" name="Right Arrow 4">
          <a:extLst>
            <a:ext uri="{FF2B5EF4-FFF2-40B4-BE49-F238E27FC236}">
              <a16:creationId xmlns:a16="http://schemas.microsoft.com/office/drawing/2014/main" id="{00000000-0008-0000-2F00-000005000000}"/>
            </a:ext>
          </a:extLst>
        </xdr:cNvPr>
        <xdr:cNvSpPr/>
      </xdr:nvSpPr>
      <xdr:spPr>
        <a:xfrm>
          <a:off x="2524125" y="485774"/>
          <a:ext cx="4127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2</xdr:row>
      <xdr:rowOff>100013</xdr:rowOff>
    </xdr:from>
    <xdr:to>
      <xdr:col>2</xdr:col>
      <xdr:colOff>1247775</xdr:colOff>
      <xdr:row>2</xdr:row>
      <xdr:rowOff>145732</xdr:rowOff>
    </xdr:to>
    <xdr:sp macro="" textlink="">
      <xdr:nvSpPr>
        <xdr:cNvPr id="6" name="Right Arrow 5">
          <a:extLst>
            <a:ext uri="{FF2B5EF4-FFF2-40B4-BE49-F238E27FC236}">
              <a16:creationId xmlns:a16="http://schemas.microsoft.com/office/drawing/2014/main" id="{00000000-0008-0000-2F00-000006000000}"/>
            </a:ext>
          </a:extLst>
        </xdr:cNvPr>
        <xdr:cNvSpPr/>
      </xdr:nvSpPr>
      <xdr:spPr>
        <a:xfrm rot="10800000" flipH="1">
          <a:off x="256540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49389</xdr:colOff>
      <xdr:row>1</xdr:row>
      <xdr:rowOff>28574</xdr:rowOff>
    </xdr:from>
    <xdr:to>
      <xdr:col>3</xdr:col>
      <xdr:colOff>1</xdr:colOff>
      <xdr:row>1</xdr:row>
      <xdr:rowOff>127000</xdr:rowOff>
    </xdr:to>
    <xdr:sp macro="" textlink="">
      <xdr:nvSpPr>
        <xdr:cNvPr id="7" name="Right Arrow 6">
          <a:extLst>
            <a:ext uri="{FF2B5EF4-FFF2-40B4-BE49-F238E27FC236}">
              <a16:creationId xmlns:a16="http://schemas.microsoft.com/office/drawing/2014/main" id="{00000000-0008-0000-2F00-000007000000}"/>
            </a:ext>
          </a:extLst>
        </xdr:cNvPr>
        <xdr:cNvSpPr/>
      </xdr:nvSpPr>
      <xdr:spPr>
        <a:xfrm>
          <a:off x="2259189" y="333374"/>
          <a:ext cx="306212"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92075</xdr:colOff>
      <xdr:row>21</xdr:row>
      <xdr:rowOff>88900</xdr:rowOff>
    </xdr:from>
    <xdr:to>
      <xdr:col>8</xdr:col>
      <xdr:colOff>142875</xdr:colOff>
      <xdr:row>39</xdr:row>
      <xdr:rowOff>88900</xdr:rowOff>
    </xdr:to>
    <xdr:graphicFrame macro="">
      <xdr:nvGraphicFramePr>
        <xdr:cNvPr id="3" name="Diagram 2">
          <a:extLst>
            <a:ext uri="{FF2B5EF4-FFF2-40B4-BE49-F238E27FC236}">
              <a16:creationId xmlns:a16="http://schemas.microsoft.com/office/drawing/2014/main" id="{00000000-0008-0000-2F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5</xdr:col>
      <xdr:colOff>463550</xdr:colOff>
      <xdr:row>40</xdr:row>
      <xdr:rowOff>107950</xdr:rowOff>
    </xdr:from>
    <xdr:to>
      <xdr:col>7</xdr:col>
      <xdr:colOff>447228</xdr:colOff>
      <xdr:row>45</xdr:row>
      <xdr:rowOff>17036</xdr:rowOff>
    </xdr:to>
    <xdr:grpSp>
      <xdr:nvGrpSpPr>
        <xdr:cNvPr id="8" name="Group 7">
          <a:extLst>
            <a:ext uri="{FF2B5EF4-FFF2-40B4-BE49-F238E27FC236}">
              <a16:creationId xmlns:a16="http://schemas.microsoft.com/office/drawing/2014/main" id="{00000000-0008-0000-2F00-000008000000}"/>
            </a:ext>
          </a:extLst>
        </xdr:cNvPr>
        <xdr:cNvGrpSpPr/>
      </xdr:nvGrpSpPr>
      <xdr:grpSpPr>
        <a:xfrm>
          <a:off x="6546850" y="6623050"/>
          <a:ext cx="1367978" cy="671086"/>
          <a:chOff x="1170458" y="2070281"/>
          <a:chExt cx="1056828" cy="671086"/>
        </a:xfrm>
      </xdr:grpSpPr>
      <xdr:sp macro="" textlink="">
        <xdr:nvSpPr>
          <xdr:cNvPr id="9" name="Rounded Rectangle 8">
            <a:extLst>
              <a:ext uri="{FF2B5EF4-FFF2-40B4-BE49-F238E27FC236}">
                <a16:creationId xmlns:a16="http://schemas.microsoft.com/office/drawing/2014/main" id="{00000000-0008-0000-2F00-000009000000}"/>
              </a:ext>
            </a:extLst>
          </xdr:cNvPr>
          <xdr:cNvSpPr/>
        </xdr:nvSpPr>
        <xdr:spPr>
          <a:xfrm>
            <a:off x="1170458" y="2070281"/>
            <a:ext cx="1056828" cy="671086"/>
          </a:xfrm>
          <a:prstGeom prst="roundRect">
            <a:avLst>
              <a:gd name="adj" fmla="val 10000"/>
            </a:avLst>
          </a:prstGeom>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sp>
      <xdr:sp macro="" textlink="">
        <xdr:nvSpPr>
          <xdr:cNvPr id="10" name="Rounded Rectangle 4">
            <a:extLst>
              <a:ext uri="{FF2B5EF4-FFF2-40B4-BE49-F238E27FC236}">
                <a16:creationId xmlns:a16="http://schemas.microsoft.com/office/drawing/2014/main" id="{00000000-0008-0000-2F00-00000A000000}"/>
              </a:ext>
            </a:extLst>
          </xdr:cNvPr>
          <xdr:cNvSpPr txBox="1"/>
        </xdr:nvSpPr>
        <xdr:spPr>
          <a:xfrm>
            <a:off x="1177413" y="2096286"/>
            <a:ext cx="1017518" cy="631776"/>
          </a:xfrm>
          <a:prstGeom prst="rect">
            <a:avLst/>
          </a:prstGeom>
        </xdr:spPr>
        <xdr:style>
          <a:lnRef idx="0">
            <a:scrgbClr r="0" g="0" b="0"/>
          </a:lnRef>
          <a:fillRef idx="0">
            <a:scrgbClr r="0" g="0" b="0"/>
          </a:fillRef>
          <a:effectRef idx="0">
            <a:scrgbClr r="0" g="0" b="0"/>
          </a:effectRef>
          <a:fontRef idx="minor">
            <a:schemeClr val="dk1">
              <a:hueOff val="0"/>
              <a:satOff val="0"/>
              <a:lumOff val="0"/>
              <a:alphaOff val="0"/>
            </a:schemeClr>
          </a:fontRef>
        </xdr:style>
        <xdr:txBody>
          <a:bodyPr spcFirstLastPara="0" vert="horz" wrap="square" lIns="41910" tIns="41910" rIns="41910" bIns="41910" numCol="1" spcCol="1270" anchor="ctr" anchorCtr="0">
            <a:noAutofit/>
          </a:bodyPr>
          <a:lstStyle/>
          <a:p>
            <a:pPr algn="ctr"/>
            <a:r>
              <a:rPr lang="en-US" sz="1100">
                <a:solidFill>
                  <a:schemeClr val="dk1">
                    <a:hueOff val="0"/>
                    <a:satOff val="0"/>
                    <a:lumOff val="0"/>
                    <a:alphaOff val="0"/>
                  </a:schemeClr>
                </a:solidFill>
                <a:effectLst/>
                <a:latin typeface="+mn-lt"/>
                <a:ea typeface="+mn-ea"/>
                <a:cs typeface="+mn-cs"/>
              </a:rPr>
              <a:t>Crude Benzaldehyde-Distillation</a:t>
            </a:r>
            <a:endParaRPr lang="en-IN" sz="1100">
              <a:solidFill>
                <a:schemeClr val="dk1">
                  <a:hueOff val="0"/>
                  <a:satOff val="0"/>
                  <a:lumOff val="0"/>
                  <a:alphaOff val="0"/>
                </a:schemeClr>
              </a:solidFill>
              <a:effectLst/>
              <a:latin typeface="+mn-lt"/>
              <a:ea typeface="+mn-ea"/>
              <a:cs typeface="+mn-cs"/>
            </a:endParaRPr>
          </a:p>
        </xdr:txBody>
      </xdr:sp>
    </xdr:grpSp>
    <xdr:clientData/>
  </xdr:twoCellAnchor>
  <xdr:twoCellAnchor>
    <xdr:from>
      <xdr:col>4</xdr:col>
      <xdr:colOff>476250</xdr:colOff>
      <xdr:row>46</xdr:row>
      <xdr:rowOff>127000</xdr:rowOff>
    </xdr:from>
    <xdr:to>
      <xdr:col>6</xdr:col>
      <xdr:colOff>2728</xdr:colOff>
      <xdr:row>51</xdr:row>
      <xdr:rowOff>36086</xdr:rowOff>
    </xdr:to>
    <xdr:grpSp>
      <xdr:nvGrpSpPr>
        <xdr:cNvPr id="11" name="Group 10">
          <a:extLst>
            <a:ext uri="{FF2B5EF4-FFF2-40B4-BE49-F238E27FC236}">
              <a16:creationId xmlns:a16="http://schemas.microsoft.com/office/drawing/2014/main" id="{00000000-0008-0000-2F00-00000B000000}"/>
            </a:ext>
          </a:extLst>
        </xdr:cNvPr>
        <xdr:cNvGrpSpPr/>
      </xdr:nvGrpSpPr>
      <xdr:grpSpPr>
        <a:xfrm>
          <a:off x="5988050" y="7556500"/>
          <a:ext cx="1113978" cy="671086"/>
          <a:chOff x="1170458" y="2070281"/>
          <a:chExt cx="1056828" cy="671086"/>
        </a:xfrm>
      </xdr:grpSpPr>
      <xdr:sp macro="" textlink="">
        <xdr:nvSpPr>
          <xdr:cNvPr id="12" name="Rounded Rectangle 11">
            <a:extLst>
              <a:ext uri="{FF2B5EF4-FFF2-40B4-BE49-F238E27FC236}">
                <a16:creationId xmlns:a16="http://schemas.microsoft.com/office/drawing/2014/main" id="{00000000-0008-0000-2F00-00000C000000}"/>
              </a:ext>
            </a:extLst>
          </xdr:cNvPr>
          <xdr:cNvSpPr/>
        </xdr:nvSpPr>
        <xdr:spPr>
          <a:xfrm>
            <a:off x="1170458" y="2070281"/>
            <a:ext cx="1056828" cy="671086"/>
          </a:xfrm>
          <a:prstGeom prst="roundRect">
            <a:avLst>
              <a:gd name="adj" fmla="val 10000"/>
            </a:avLst>
          </a:prstGeom>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sp>
      <xdr:sp macro="" textlink="">
        <xdr:nvSpPr>
          <xdr:cNvPr id="13" name="Rounded Rectangle 4">
            <a:extLst>
              <a:ext uri="{FF2B5EF4-FFF2-40B4-BE49-F238E27FC236}">
                <a16:creationId xmlns:a16="http://schemas.microsoft.com/office/drawing/2014/main" id="{00000000-0008-0000-2F00-00000D000000}"/>
              </a:ext>
            </a:extLst>
          </xdr:cNvPr>
          <xdr:cNvSpPr txBox="1"/>
        </xdr:nvSpPr>
        <xdr:spPr>
          <a:xfrm>
            <a:off x="1190113" y="2089936"/>
            <a:ext cx="1017518" cy="631776"/>
          </a:xfrm>
          <a:prstGeom prst="rect">
            <a:avLst/>
          </a:prstGeom>
        </xdr:spPr>
        <xdr:style>
          <a:lnRef idx="0">
            <a:scrgbClr r="0" g="0" b="0"/>
          </a:lnRef>
          <a:fillRef idx="0">
            <a:scrgbClr r="0" g="0" b="0"/>
          </a:fillRef>
          <a:effectRef idx="0">
            <a:scrgbClr r="0" g="0" b="0"/>
          </a:effectRef>
          <a:fontRef idx="minor">
            <a:schemeClr val="dk1">
              <a:hueOff val="0"/>
              <a:satOff val="0"/>
              <a:lumOff val="0"/>
              <a:alphaOff val="0"/>
            </a:schemeClr>
          </a:fontRef>
        </xdr:style>
        <xdr:txBody>
          <a:bodyPr spcFirstLastPara="0" vert="horz" wrap="square" lIns="41910" tIns="41910" rIns="41910" bIns="41910" numCol="1" spcCol="1270" anchor="ctr" anchorCtr="0">
            <a:noAutofit/>
          </a:bodyPr>
          <a:lstStyle/>
          <a:p>
            <a:pPr lvl="0" algn="ctr" defTabSz="488950">
              <a:lnSpc>
                <a:spcPct val="90000"/>
              </a:lnSpc>
              <a:spcBef>
                <a:spcPct val="0"/>
              </a:spcBef>
              <a:spcAft>
                <a:spcPct val="35000"/>
              </a:spcAft>
            </a:pPr>
            <a:r>
              <a:rPr lang="en-US" sz="1100">
                <a:solidFill>
                  <a:schemeClr val="dk1">
                    <a:hueOff val="0"/>
                    <a:satOff val="0"/>
                    <a:lumOff val="0"/>
                    <a:alphaOff val="0"/>
                  </a:schemeClr>
                </a:solidFill>
                <a:effectLst/>
                <a:latin typeface="+mn-lt"/>
                <a:ea typeface="+mn-ea"/>
                <a:cs typeface="+mn-cs"/>
              </a:rPr>
              <a:t>Benzal Alcohol </a:t>
            </a:r>
            <a:endParaRPr lang="en-US" sz="1100" kern="1200"/>
          </a:p>
        </xdr:txBody>
      </xdr:sp>
    </xdr:grpSp>
    <xdr:clientData/>
  </xdr:twoCellAnchor>
  <xdr:twoCellAnchor>
    <xdr:from>
      <xdr:col>7</xdr:col>
      <xdr:colOff>152400</xdr:colOff>
      <xdr:row>46</xdr:row>
      <xdr:rowOff>146050</xdr:rowOff>
    </xdr:from>
    <xdr:to>
      <xdr:col>7</xdr:col>
      <xdr:colOff>1297523</xdr:colOff>
      <xdr:row>51</xdr:row>
      <xdr:rowOff>60881</xdr:rowOff>
    </xdr:to>
    <xdr:grpSp>
      <xdr:nvGrpSpPr>
        <xdr:cNvPr id="14" name="Group 13">
          <a:extLst>
            <a:ext uri="{FF2B5EF4-FFF2-40B4-BE49-F238E27FC236}">
              <a16:creationId xmlns:a16="http://schemas.microsoft.com/office/drawing/2014/main" id="{00000000-0008-0000-2F00-00000E000000}"/>
            </a:ext>
          </a:extLst>
        </xdr:cNvPr>
        <xdr:cNvGrpSpPr/>
      </xdr:nvGrpSpPr>
      <xdr:grpSpPr>
        <a:xfrm>
          <a:off x="7620000" y="7575550"/>
          <a:ext cx="1145123" cy="676831"/>
          <a:chOff x="1170458" y="2070281"/>
          <a:chExt cx="1145123" cy="676831"/>
        </a:xfrm>
      </xdr:grpSpPr>
      <xdr:sp macro="" textlink="">
        <xdr:nvSpPr>
          <xdr:cNvPr id="15" name="Rounded Rectangle 14">
            <a:extLst>
              <a:ext uri="{FF2B5EF4-FFF2-40B4-BE49-F238E27FC236}">
                <a16:creationId xmlns:a16="http://schemas.microsoft.com/office/drawing/2014/main" id="{00000000-0008-0000-2F00-00000F000000}"/>
              </a:ext>
            </a:extLst>
          </xdr:cNvPr>
          <xdr:cNvSpPr/>
        </xdr:nvSpPr>
        <xdr:spPr>
          <a:xfrm>
            <a:off x="1170458" y="2070281"/>
            <a:ext cx="1056828" cy="671086"/>
          </a:xfrm>
          <a:prstGeom prst="roundRect">
            <a:avLst>
              <a:gd name="adj" fmla="val 10000"/>
            </a:avLst>
          </a:prstGeom>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sp>
      <xdr:sp macro="" textlink="">
        <xdr:nvSpPr>
          <xdr:cNvPr id="16" name="Rounded Rectangle 4">
            <a:extLst>
              <a:ext uri="{FF2B5EF4-FFF2-40B4-BE49-F238E27FC236}">
                <a16:creationId xmlns:a16="http://schemas.microsoft.com/office/drawing/2014/main" id="{00000000-0008-0000-2F00-000010000000}"/>
              </a:ext>
            </a:extLst>
          </xdr:cNvPr>
          <xdr:cNvSpPr txBox="1"/>
        </xdr:nvSpPr>
        <xdr:spPr>
          <a:xfrm>
            <a:off x="1298063" y="2115336"/>
            <a:ext cx="1017518" cy="631776"/>
          </a:xfrm>
          <a:prstGeom prst="rect">
            <a:avLst/>
          </a:prstGeom>
        </xdr:spPr>
        <xdr:style>
          <a:lnRef idx="0">
            <a:scrgbClr r="0" g="0" b="0"/>
          </a:lnRef>
          <a:fillRef idx="0">
            <a:scrgbClr r="0" g="0" b="0"/>
          </a:fillRef>
          <a:effectRef idx="0">
            <a:scrgbClr r="0" g="0" b="0"/>
          </a:effectRef>
          <a:fontRef idx="minor">
            <a:schemeClr val="dk1">
              <a:hueOff val="0"/>
              <a:satOff val="0"/>
              <a:lumOff val="0"/>
              <a:alphaOff val="0"/>
            </a:schemeClr>
          </a:fontRef>
        </xdr:style>
        <xdr:txBody>
          <a:bodyPr spcFirstLastPara="0" vert="horz" wrap="square" lIns="41910" tIns="41910" rIns="41910" bIns="41910" numCol="1" spcCol="1270" anchor="ctr" anchorCtr="0">
            <a:noAutofit/>
          </a:bodyPr>
          <a:lstStyle/>
          <a:p>
            <a:pPr lvl="0" algn="l" defTabSz="488950">
              <a:lnSpc>
                <a:spcPct val="90000"/>
              </a:lnSpc>
              <a:spcBef>
                <a:spcPct val="0"/>
              </a:spcBef>
              <a:spcAft>
                <a:spcPct val="35000"/>
              </a:spcAft>
            </a:pPr>
            <a:r>
              <a:rPr lang="en-US" sz="1100">
                <a:solidFill>
                  <a:schemeClr val="dk1">
                    <a:hueOff val="0"/>
                    <a:satOff val="0"/>
                    <a:lumOff val="0"/>
                    <a:alphaOff val="0"/>
                  </a:schemeClr>
                </a:solidFill>
                <a:effectLst/>
                <a:latin typeface="+mn-lt"/>
                <a:ea typeface="+mn-ea"/>
                <a:cs typeface="+mn-cs"/>
              </a:rPr>
              <a:t>Pure of Benzaldehyde</a:t>
            </a:r>
            <a:endParaRPr lang="en-US" sz="1100" kern="1200"/>
          </a:p>
        </xdr:txBody>
      </xdr:sp>
    </xdr:grpSp>
    <xdr:clientData/>
  </xdr:twoCellAnchor>
  <xdr:twoCellAnchor>
    <xdr:from>
      <xdr:col>6</xdr:col>
      <xdr:colOff>203200</xdr:colOff>
      <xdr:row>39</xdr:row>
      <xdr:rowOff>76200</xdr:rowOff>
    </xdr:from>
    <xdr:to>
      <xdr:col>6</xdr:col>
      <xdr:colOff>204564</xdr:colOff>
      <xdr:row>40</xdr:row>
      <xdr:rowOff>107950</xdr:rowOff>
    </xdr:to>
    <xdr:cxnSp macro="">
      <xdr:nvCxnSpPr>
        <xdr:cNvPr id="19" name="Straight Connector 18">
          <a:extLst>
            <a:ext uri="{FF2B5EF4-FFF2-40B4-BE49-F238E27FC236}">
              <a16:creationId xmlns:a16="http://schemas.microsoft.com/office/drawing/2014/main" id="{00000000-0008-0000-2F00-000013000000}"/>
            </a:ext>
          </a:extLst>
        </xdr:cNvPr>
        <xdr:cNvCxnSpPr>
          <a:endCxn id="9" idx="0"/>
        </xdr:cNvCxnSpPr>
      </xdr:nvCxnSpPr>
      <xdr:spPr>
        <a:xfrm>
          <a:off x="4483100" y="6642100"/>
          <a:ext cx="1364" cy="1841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447647</xdr:colOff>
      <xdr:row>45</xdr:row>
      <xdr:rowOff>49705</xdr:rowOff>
    </xdr:from>
    <xdr:to>
      <xdr:col>6</xdr:col>
      <xdr:colOff>20008</xdr:colOff>
      <xdr:row>46</xdr:row>
      <xdr:rowOff>59256</xdr:rowOff>
    </xdr:to>
    <xdr:sp macro="" textlink="">
      <xdr:nvSpPr>
        <xdr:cNvPr id="22" name="Right Arrow 21">
          <a:extLst>
            <a:ext uri="{FF2B5EF4-FFF2-40B4-BE49-F238E27FC236}">
              <a16:creationId xmlns:a16="http://schemas.microsoft.com/office/drawing/2014/main" id="{00000000-0008-0000-2F00-000016000000}"/>
            </a:ext>
          </a:extLst>
        </xdr:cNvPr>
        <xdr:cNvSpPr/>
      </xdr:nvSpPr>
      <xdr:spPr>
        <a:xfrm rot="8238741">
          <a:off x="3940147" y="7530005"/>
          <a:ext cx="359761" cy="16195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110796</xdr:colOff>
      <xdr:row>44</xdr:row>
      <xdr:rowOff>125105</xdr:rowOff>
    </xdr:from>
    <xdr:to>
      <xdr:col>7</xdr:col>
      <xdr:colOff>316359</xdr:colOff>
      <xdr:row>46</xdr:row>
      <xdr:rowOff>118544</xdr:rowOff>
    </xdr:to>
    <xdr:sp macro="" textlink="">
      <xdr:nvSpPr>
        <xdr:cNvPr id="23" name="Right Arrow 22">
          <a:extLst>
            <a:ext uri="{FF2B5EF4-FFF2-40B4-BE49-F238E27FC236}">
              <a16:creationId xmlns:a16="http://schemas.microsoft.com/office/drawing/2014/main" id="{00000000-0008-0000-2F00-000017000000}"/>
            </a:ext>
          </a:extLst>
        </xdr:cNvPr>
        <xdr:cNvSpPr/>
      </xdr:nvSpPr>
      <xdr:spPr>
        <a:xfrm rot="3853673">
          <a:off x="4630108" y="7499343"/>
          <a:ext cx="298239" cy="20556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133349</xdr:colOff>
      <xdr:row>39</xdr:row>
      <xdr:rowOff>82551</xdr:rowOff>
    </xdr:from>
    <xdr:to>
      <xdr:col>7</xdr:col>
      <xdr:colOff>76199</xdr:colOff>
      <xdr:row>41</xdr:row>
      <xdr:rowOff>19051</xdr:rowOff>
    </xdr:to>
    <xdr:sp macro="" textlink="">
      <xdr:nvSpPr>
        <xdr:cNvPr id="24" name="Right Arrow 23">
          <a:extLst>
            <a:ext uri="{FF2B5EF4-FFF2-40B4-BE49-F238E27FC236}">
              <a16:creationId xmlns:a16="http://schemas.microsoft.com/office/drawing/2014/main" id="{00000000-0008-0000-2F00-000018000000}"/>
            </a:ext>
          </a:extLst>
        </xdr:cNvPr>
        <xdr:cNvSpPr/>
      </xdr:nvSpPr>
      <xdr:spPr>
        <a:xfrm rot="5400000">
          <a:off x="4406899" y="6654801"/>
          <a:ext cx="241300" cy="2286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749300</xdr:colOff>
      <xdr:row>29</xdr:row>
      <xdr:rowOff>69850</xdr:rowOff>
    </xdr:from>
    <xdr:to>
      <xdr:col>9</xdr:col>
      <xdr:colOff>95250</xdr:colOff>
      <xdr:row>32</xdr:row>
      <xdr:rowOff>120650</xdr:rowOff>
    </xdr:to>
    <xdr:sp macro="" textlink="">
      <xdr:nvSpPr>
        <xdr:cNvPr id="25" name="TextBox 24">
          <a:extLst>
            <a:ext uri="{FF2B5EF4-FFF2-40B4-BE49-F238E27FC236}">
              <a16:creationId xmlns:a16="http://schemas.microsoft.com/office/drawing/2014/main" id="{00000000-0008-0000-2F00-000019000000}"/>
            </a:ext>
          </a:extLst>
        </xdr:cNvPr>
        <xdr:cNvSpPr txBox="1"/>
      </xdr:nvSpPr>
      <xdr:spPr>
        <a:xfrm>
          <a:off x="5314950" y="5111750"/>
          <a:ext cx="1289050" cy="508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Bi-Product 2 Moles of HCL</a:t>
          </a:r>
          <a:endParaRPr lang="en-IN" sz="1100">
            <a:solidFill>
              <a:schemeClr val="dk1"/>
            </a:solidFill>
            <a:effectLst/>
            <a:latin typeface="+mn-lt"/>
            <a:ea typeface="+mn-ea"/>
            <a:cs typeface="+mn-cs"/>
          </a:endParaRPr>
        </a:p>
        <a:p>
          <a:endParaRPr lang="en-IN" sz="1100"/>
        </a:p>
      </xdr:txBody>
    </xdr:sp>
    <xdr:clientData/>
  </xdr:twoCellAnchor>
  <xdr:twoCellAnchor>
    <xdr:from>
      <xdr:col>2</xdr:col>
      <xdr:colOff>92075</xdr:colOff>
      <xdr:row>21</xdr:row>
      <xdr:rowOff>88900</xdr:rowOff>
    </xdr:from>
    <xdr:to>
      <xdr:col>2</xdr:col>
      <xdr:colOff>320675</xdr:colOff>
      <xdr:row>23</xdr:row>
      <xdr:rowOff>25400</xdr:rowOff>
    </xdr:to>
    <xdr:sp macro="" textlink="">
      <xdr:nvSpPr>
        <xdr:cNvPr id="26" name="Right Arrow 25">
          <a:extLst>
            <a:ext uri="{FF2B5EF4-FFF2-40B4-BE49-F238E27FC236}">
              <a16:creationId xmlns:a16="http://schemas.microsoft.com/office/drawing/2014/main" id="{00000000-0008-0000-2F00-00001A000000}"/>
            </a:ext>
          </a:extLst>
        </xdr:cNvPr>
        <xdr:cNvSpPr/>
      </xdr:nvSpPr>
      <xdr:spPr>
        <a:xfrm rot="5400000">
          <a:off x="1533525" y="3917950"/>
          <a:ext cx="241300" cy="2286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527050</xdr:colOff>
      <xdr:row>30</xdr:row>
      <xdr:rowOff>38100</xdr:rowOff>
    </xdr:from>
    <xdr:to>
      <xdr:col>7</xdr:col>
      <xdr:colOff>768350</xdr:colOff>
      <xdr:row>31</xdr:row>
      <xdr:rowOff>57150</xdr:rowOff>
    </xdr:to>
    <xdr:sp macro="" textlink="">
      <xdr:nvSpPr>
        <xdr:cNvPr id="28" name="Right Arrow 27">
          <a:extLst>
            <a:ext uri="{FF2B5EF4-FFF2-40B4-BE49-F238E27FC236}">
              <a16:creationId xmlns:a16="http://schemas.microsoft.com/office/drawing/2014/main" id="{00000000-0008-0000-2F00-00001C000000}"/>
            </a:ext>
          </a:extLst>
        </xdr:cNvPr>
        <xdr:cNvSpPr/>
      </xdr:nvSpPr>
      <xdr:spPr>
        <a:xfrm flipV="1">
          <a:off x="5092700" y="5232400"/>
          <a:ext cx="241300" cy="1714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539750</xdr:colOff>
      <xdr:row>42</xdr:row>
      <xdr:rowOff>6350</xdr:rowOff>
    </xdr:from>
    <xdr:to>
      <xdr:col>7</xdr:col>
      <xdr:colOff>939800</xdr:colOff>
      <xdr:row>43</xdr:row>
      <xdr:rowOff>69850</xdr:rowOff>
    </xdr:to>
    <xdr:sp macro="" textlink="">
      <xdr:nvSpPr>
        <xdr:cNvPr id="29" name="Right Arrow 28">
          <a:extLst>
            <a:ext uri="{FF2B5EF4-FFF2-40B4-BE49-F238E27FC236}">
              <a16:creationId xmlns:a16="http://schemas.microsoft.com/office/drawing/2014/main" id="{00000000-0008-0000-2F00-00001D000000}"/>
            </a:ext>
          </a:extLst>
        </xdr:cNvPr>
        <xdr:cNvSpPr/>
      </xdr:nvSpPr>
      <xdr:spPr>
        <a:xfrm flipV="1">
          <a:off x="5105400" y="7029450"/>
          <a:ext cx="400050" cy="2159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1035050</xdr:colOff>
      <xdr:row>41</xdr:row>
      <xdr:rowOff>50800</xdr:rowOff>
    </xdr:from>
    <xdr:to>
      <xdr:col>9</xdr:col>
      <xdr:colOff>381000</xdr:colOff>
      <xdr:row>44</xdr:row>
      <xdr:rowOff>101600</xdr:rowOff>
    </xdr:to>
    <xdr:sp macro="" textlink="">
      <xdr:nvSpPr>
        <xdr:cNvPr id="30" name="TextBox 29">
          <a:extLst>
            <a:ext uri="{FF2B5EF4-FFF2-40B4-BE49-F238E27FC236}">
              <a16:creationId xmlns:a16="http://schemas.microsoft.com/office/drawing/2014/main" id="{00000000-0008-0000-2F00-00001E000000}"/>
            </a:ext>
          </a:extLst>
        </xdr:cNvPr>
        <xdr:cNvSpPr txBox="1"/>
      </xdr:nvSpPr>
      <xdr:spPr>
        <a:xfrm>
          <a:off x="5600700" y="6921500"/>
          <a:ext cx="1289050" cy="508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Bi-Product 2 Moles of HCL</a:t>
          </a:r>
          <a:endParaRPr lang="en-IN" sz="1100">
            <a:solidFill>
              <a:schemeClr val="dk1"/>
            </a:solidFill>
            <a:effectLst/>
            <a:latin typeface="+mn-lt"/>
            <a:ea typeface="+mn-ea"/>
            <a:cs typeface="+mn-cs"/>
          </a:endParaRPr>
        </a:p>
        <a:p>
          <a:endParaRPr lang="en-IN" sz="1100"/>
        </a:p>
      </xdr:txBody>
    </xdr:sp>
    <xdr:clientData/>
  </xdr:twoCellAnchor>
  <xdr:twoCellAnchor>
    <xdr:from>
      <xdr:col>7</xdr:col>
      <xdr:colOff>0</xdr:colOff>
      <xdr:row>1</xdr:row>
      <xdr:rowOff>0</xdr:rowOff>
    </xdr:from>
    <xdr:to>
      <xdr:col>7</xdr:col>
      <xdr:colOff>973667</xdr:colOff>
      <xdr:row>3</xdr:row>
      <xdr:rowOff>5117</xdr:rowOff>
    </xdr:to>
    <xdr:sp macro="" textlink="">
      <xdr:nvSpPr>
        <xdr:cNvPr id="27" name="Rounded Rectangle 26">
          <a:hlinkClick xmlns:r="http://schemas.openxmlformats.org/officeDocument/2006/relationships" r:id="rId6"/>
          <a:extLst>
            <a:ext uri="{FF2B5EF4-FFF2-40B4-BE49-F238E27FC236}">
              <a16:creationId xmlns:a16="http://schemas.microsoft.com/office/drawing/2014/main" id="{00000000-0008-0000-2F00-00001B000000}"/>
            </a:ext>
          </a:extLst>
        </xdr:cNvPr>
        <xdr:cNvSpPr/>
      </xdr:nvSpPr>
      <xdr:spPr>
        <a:xfrm>
          <a:off x="4565650" y="304800"/>
          <a:ext cx="973667" cy="3099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00000000-0008-0000-3100-000002000000}"/>
            </a:ext>
          </a:extLst>
        </xdr:cNvPr>
        <xdr:cNvSpPr/>
      </xdr:nvSpPr>
      <xdr:spPr>
        <a:xfrm rot="10800000" flipH="1">
          <a:off x="256540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2</xdr:row>
      <xdr:rowOff>101600</xdr:rowOff>
    </xdr:from>
    <xdr:to>
      <xdr:col>2</xdr:col>
      <xdr:colOff>403225</xdr:colOff>
      <xdr:row>2</xdr:row>
      <xdr:rowOff>147319</xdr:rowOff>
    </xdr:to>
    <xdr:sp macro="" textlink="">
      <xdr:nvSpPr>
        <xdr:cNvPr id="3" name="Right Arrow 2">
          <a:extLst>
            <a:ext uri="{FF2B5EF4-FFF2-40B4-BE49-F238E27FC236}">
              <a16:creationId xmlns:a16="http://schemas.microsoft.com/office/drawing/2014/main" id="{00000000-0008-0000-3100-000003000000}"/>
            </a:ext>
          </a:extLst>
        </xdr:cNvPr>
        <xdr:cNvSpPr/>
      </xdr:nvSpPr>
      <xdr:spPr>
        <a:xfrm>
          <a:off x="2298700" y="558800"/>
          <a:ext cx="26352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4" name="Right Arrow 3">
          <a:extLst>
            <a:ext uri="{FF2B5EF4-FFF2-40B4-BE49-F238E27FC236}">
              <a16:creationId xmlns:a16="http://schemas.microsoft.com/office/drawing/2014/main" id="{00000000-0008-0000-3100-000004000000}"/>
            </a:ext>
          </a:extLst>
        </xdr:cNvPr>
        <xdr:cNvSpPr/>
      </xdr:nvSpPr>
      <xdr:spPr>
        <a:xfrm>
          <a:off x="2524125" y="485774"/>
          <a:ext cx="4127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2</xdr:row>
      <xdr:rowOff>100013</xdr:rowOff>
    </xdr:from>
    <xdr:to>
      <xdr:col>2</xdr:col>
      <xdr:colOff>1247775</xdr:colOff>
      <xdr:row>2</xdr:row>
      <xdr:rowOff>145732</xdr:rowOff>
    </xdr:to>
    <xdr:sp macro="" textlink="">
      <xdr:nvSpPr>
        <xdr:cNvPr id="5" name="Right Arrow 4">
          <a:extLst>
            <a:ext uri="{FF2B5EF4-FFF2-40B4-BE49-F238E27FC236}">
              <a16:creationId xmlns:a16="http://schemas.microsoft.com/office/drawing/2014/main" id="{00000000-0008-0000-3100-000005000000}"/>
            </a:ext>
          </a:extLst>
        </xdr:cNvPr>
        <xdr:cNvSpPr/>
      </xdr:nvSpPr>
      <xdr:spPr>
        <a:xfrm rot="10800000" flipH="1">
          <a:off x="256540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6" name="Right Arrow 5">
          <a:extLst>
            <a:ext uri="{FF2B5EF4-FFF2-40B4-BE49-F238E27FC236}">
              <a16:creationId xmlns:a16="http://schemas.microsoft.com/office/drawing/2014/main" id="{00000000-0008-0000-3100-000006000000}"/>
            </a:ext>
          </a:extLst>
        </xdr:cNvPr>
        <xdr:cNvSpPr/>
      </xdr:nvSpPr>
      <xdr:spPr>
        <a:xfrm>
          <a:off x="2524125" y="485774"/>
          <a:ext cx="4127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1</xdr:row>
      <xdr:rowOff>0</xdr:rowOff>
    </xdr:from>
    <xdr:to>
      <xdr:col>8</xdr:col>
      <xdr:colOff>364067</xdr:colOff>
      <xdr:row>1</xdr:row>
      <xdr:rowOff>309917</xdr:rowOff>
    </xdr:to>
    <xdr:sp macro="" textlink="">
      <xdr:nvSpPr>
        <xdr:cNvPr id="7" name="Rounded Rectangle 6">
          <a:hlinkClick xmlns:r="http://schemas.openxmlformats.org/officeDocument/2006/relationships" r:id="rId1"/>
          <a:extLst>
            <a:ext uri="{FF2B5EF4-FFF2-40B4-BE49-F238E27FC236}">
              <a16:creationId xmlns:a16="http://schemas.microsoft.com/office/drawing/2014/main" id="{00000000-0008-0000-3100-000007000000}"/>
            </a:ext>
          </a:extLst>
        </xdr:cNvPr>
        <xdr:cNvSpPr/>
      </xdr:nvSpPr>
      <xdr:spPr>
        <a:xfrm>
          <a:off x="4267200" y="317500"/>
          <a:ext cx="973667" cy="3099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47.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00000000-0008-0000-3000-000002000000}"/>
            </a:ext>
          </a:extLst>
        </xdr:cNvPr>
        <xdr:cNvSpPr/>
      </xdr:nvSpPr>
      <xdr:spPr>
        <a:xfrm rot="10800000" flipH="1">
          <a:off x="256540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2</xdr:row>
      <xdr:rowOff>101600</xdr:rowOff>
    </xdr:from>
    <xdr:to>
      <xdr:col>2</xdr:col>
      <xdr:colOff>403225</xdr:colOff>
      <xdr:row>2</xdr:row>
      <xdr:rowOff>147319</xdr:rowOff>
    </xdr:to>
    <xdr:sp macro="" textlink="">
      <xdr:nvSpPr>
        <xdr:cNvPr id="3" name="Right Arrow 2">
          <a:extLst>
            <a:ext uri="{FF2B5EF4-FFF2-40B4-BE49-F238E27FC236}">
              <a16:creationId xmlns:a16="http://schemas.microsoft.com/office/drawing/2014/main" id="{00000000-0008-0000-3000-000003000000}"/>
            </a:ext>
          </a:extLst>
        </xdr:cNvPr>
        <xdr:cNvSpPr/>
      </xdr:nvSpPr>
      <xdr:spPr>
        <a:xfrm>
          <a:off x="2298700" y="558800"/>
          <a:ext cx="26352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4" name="Right Arrow 3">
          <a:extLst>
            <a:ext uri="{FF2B5EF4-FFF2-40B4-BE49-F238E27FC236}">
              <a16:creationId xmlns:a16="http://schemas.microsoft.com/office/drawing/2014/main" id="{00000000-0008-0000-3000-000004000000}"/>
            </a:ext>
          </a:extLst>
        </xdr:cNvPr>
        <xdr:cNvSpPr/>
      </xdr:nvSpPr>
      <xdr:spPr>
        <a:xfrm>
          <a:off x="2524125" y="485774"/>
          <a:ext cx="4127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2</xdr:row>
      <xdr:rowOff>100013</xdr:rowOff>
    </xdr:from>
    <xdr:to>
      <xdr:col>2</xdr:col>
      <xdr:colOff>1247775</xdr:colOff>
      <xdr:row>2</xdr:row>
      <xdr:rowOff>145732</xdr:rowOff>
    </xdr:to>
    <xdr:sp macro="" textlink="">
      <xdr:nvSpPr>
        <xdr:cNvPr id="5" name="Right Arrow 4">
          <a:extLst>
            <a:ext uri="{FF2B5EF4-FFF2-40B4-BE49-F238E27FC236}">
              <a16:creationId xmlns:a16="http://schemas.microsoft.com/office/drawing/2014/main" id="{00000000-0008-0000-3000-000005000000}"/>
            </a:ext>
          </a:extLst>
        </xdr:cNvPr>
        <xdr:cNvSpPr/>
      </xdr:nvSpPr>
      <xdr:spPr>
        <a:xfrm rot="10800000" flipH="1">
          <a:off x="256540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6" name="Right Arrow 5">
          <a:extLst>
            <a:ext uri="{FF2B5EF4-FFF2-40B4-BE49-F238E27FC236}">
              <a16:creationId xmlns:a16="http://schemas.microsoft.com/office/drawing/2014/main" id="{00000000-0008-0000-3000-000006000000}"/>
            </a:ext>
          </a:extLst>
        </xdr:cNvPr>
        <xdr:cNvSpPr/>
      </xdr:nvSpPr>
      <xdr:spPr>
        <a:xfrm>
          <a:off x="2524125" y="485774"/>
          <a:ext cx="4127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1</xdr:row>
      <xdr:rowOff>0</xdr:rowOff>
    </xdr:from>
    <xdr:to>
      <xdr:col>7</xdr:col>
      <xdr:colOff>973667</xdr:colOff>
      <xdr:row>3</xdr:row>
      <xdr:rowOff>5117</xdr:rowOff>
    </xdr:to>
    <xdr:sp macro="" textlink="">
      <xdr:nvSpPr>
        <xdr:cNvPr id="7" name="Rounded Rectangle 6">
          <a:hlinkClick xmlns:r="http://schemas.openxmlformats.org/officeDocument/2006/relationships" r:id="rId1"/>
          <a:extLst>
            <a:ext uri="{FF2B5EF4-FFF2-40B4-BE49-F238E27FC236}">
              <a16:creationId xmlns:a16="http://schemas.microsoft.com/office/drawing/2014/main" id="{00000000-0008-0000-3000-000007000000}"/>
            </a:ext>
          </a:extLst>
        </xdr:cNvPr>
        <xdr:cNvSpPr/>
      </xdr:nvSpPr>
      <xdr:spPr>
        <a:xfrm>
          <a:off x="5708650" y="304800"/>
          <a:ext cx="973667" cy="3099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48.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00000000-0008-0000-3200-000002000000}"/>
            </a:ext>
          </a:extLst>
        </xdr:cNvPr>
        <xdr:cNvSpPr/>
      </xdr:nvSpPr>
      <xdr:spPr>
        <a:xfrm rot="10800000" flipH="1">
          <a:off x="260350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4" name="Right Arrow 3">
          <a:extLst>
            <a:ext uri="{FF2B5EF4-FFF2-40B4-BE49-F238E27FC236}">
              <a16:creationId xmlns:a16="http://schemas.microsoft.com/office/drawing/2014/main" id="{00000000-0008-0000-3200-000004000000}"/>
            </a:ext>
          </a:extLst>
        </xdr:cNvPr>
        <xdr:cNvSpPr/>
      </xdr:nvSpPr>
      <xdr:spPr>
        <a:xfrm>
          <a:off x="2581275" y="48577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2</xdr:row>
      <xdr:rowOff>100013</xdr:rowOff>
    </xdr:from>
    <xdr:to>
      <xdr:col>2</xdr:col>
      <xdr:colOff>1247775</xdr:colOff>
      <xdr:row>2</xdr:row>
      <xdr:rowOff>145732</xdr:rowOff>
    </xdr:to>
    <xdr:sp macro="" textlink="">
      <xdr:nvSpPr>
        <xdr:cNvPr id="5" name="Right Arrow 4">
          <a:extLst>
            <a:ext uri="{FF2B5EF4-FFF2-40B4-BE49-F238E27FC236}">
              <a16:creationId xmlns:a16="http://schemas.microsoft.com/office/drawing/2014/main" id="{00000000-0008-0000-3200-000005000000}"/>
            </a:ext>
          </a:extLst>
        </xdr:cNvPr>
        <xdr:cNvSpPr/>
      </xdr:nvSpPr>
      <xdr:spPr>
        <a:xfrm rot="10800000" flipH="1">
          <a:off x="260350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1</xdr:row>
      <xdr:rowOff>0</xdr:rowOff>
    </xdr:from>
    <xdr:to>
      <xdr:col>7</xdr:col>
      <xdr:colOff>973667</xdr:colOff>
      <xdr:row>3</xdr:row>
      <xdr:rowOff>5117</xdr:rowOff>
    </xdr:to>
    <xdr:sp macro="" textlink="">
      <xdr:nvSpPr>
        <xdr:cNvPr id="7" name="Rounded Rectangle 6">
          <a:hlinkClick xmlns:r="http://schemas.openxmlformats.org/officeDocument/2006/relationships" r:id="rId1"/>
          <a:extLst>
            <a:ext uri="{FF2B5EF4-FFF2-40B4-BE49-F238E27FC236}">
              <a16:creationId xmlns:a16="http://schemas.microsoft.com/office/drawing/2014/main" id="{00000000-0008-0000-3200-000007000000}"/>
            </a:ext>
          </a:extLst>
        </xdr:cNvPr>
        <xdr:cNvSpPr/>
      </xdr:nvSpPr>
      <xdr:spPr>
        <a:xfrm>
          <a:off x="4718050" y="304800"/>
          <a:ext cx="973667" cy="3099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49.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00000000-0008-0000-3300-000002000000}"/>
            </a:ext>
          </a:extLst>
        </xdr:cNvPr>
        <xdr:cNvSpPr/>
      </xdr:nvSpPr>
      <xdr:spPr>
        <a:xfrm rot="10800000" flipH="1">
          <a:off x="294640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2</xdr:row>
      <xdr:rowOff>101600</xdr:rowOff>
    </xdr:from>
    <xdr:to>
      <xdr:col>2</xdr:col>
      <xdr:colOff>403225</xdr:colOff>
      <xdr:row>2</xdr:row>
      <xdr:rowOff>147319</xdr:rowOff>
    </xdr:to>
    <xdr:sp macro="" textlink="">
      <xdr:nvSpPr>
        <xdr:cNvPr id="3" name="Right Arrow 2">
          <a:extLst>
            <a:ext uri="{FF2B5EF4-FFF2-40B4-BE49-F238E27FC236}">
              <a16:creationId xmlns:a16="http://schemas.microsoft.com/office/drawing/2014/main" id="{00000000-0008-0000-3300-000003000000}"/>
            </a:ext>
          </a:extLst>
        </xdr:cNvPr>
        <xdr:cNvSpPr/>
      </xdr:nvSpPr>
      <xdr:spPr>
        <a:xfrm>
          <a:off x="2679700" y="558800"/>
          <a:ext cx="26352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4" name="Right Arrow 3">
          <a:extLst>
            <a:ext uri="{FF2B5EF4-FFF2-40B4-BE49-F238E27FC236}">
              <a16:creationId xmlns:a16="http://schemas.microsoft.com/office/drawing/2014/main" id="{00000000-0008-0000-3300-000004000000}"/>
            </a:ext>
          </a:extLst>
        </xdr:cNvPr>
        <xdr:cNvSpPr/>
      </xdr:nvSpPr>
      <xdr:spPr>
        <a:xfrm>
          <a:off x="2905125" y="485774"/>
          <a:ext cx="4127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2</xdr:row>
      <xdr:rowOff>100013</xdr:rowOff>
    </xdr:from>
    <xdr:to>
      <xdr:col>2</xdr:col>
      <xdr:colOff>1247775</xdr:colOff>
      <xdr:row>2</xdr:row>
      <xdr:rowOff>145732</xdr:rowOff>
    </xdr:to>
    <xdr:sp macro="" textlink="">
      <xdr:nvSpPr>
        <xdr:cNvPr id="5" name="Right Arrow 4">
          <a:extLst>
            <a:ext uri="{FF2B5EF4-FFF2-40B4-BE49-F238E27FC236}">
              <a16:creationId xmlns:a16="http://schemas.microsoft.com/office/drawing/2014/main" id="{00000000-0008-0000-3300-000005000000}"/>
            </a:ext>
          </a:extLst>
        </xdr:cNvPr>
        <xdr:cNvSpPr/>
      </xdr:nvSpPr>
      <xdr:spPr>
        <a:xfrm rot="10800000" flipH="1">
          <a:off x="294640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6" name="Right Arrow 5">
          <a:extLst>
            <a:ext uri="{FF2B5EF4-FFF2-40B4-BE49-F238E27FC236}">
              <a16:creationId xmlns:a16="http://schemas.microsoft.com/office/drawing/2014/main" id="{00000000-0008-0000-3300-000006000000}"/>
            </a:ext>
          </a:extLst>
        </xdr:cNvPr>
        <xdr:cNvSpPr/>
      </xdr:nvSpPr>
      <xdr:spPr>
        <a:xfrm>
          <a:off x="2905125" y="485774"/>
          <a:ext cx="4127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1</xdr:row>
      <xdr:rowOff>0</xdr:rowOff>
    </xdr:from>
    <xdr:to>
      <xdr:col>7</xdr:col>
      <xdr:colOff>973667</xdr:colOff>
      <xdr:row>3</xdr:row>
      <xdr:rowOff>5117</xdr:rowOff>
    </xdr:to>
    <xdr:sp macro="" textlink="">
      <xdr:nvSpPr>
        <xdr:cNvPr id="7" name="Rounded Rectangle 6">
          <a:hlinkClick xmlns:r="http://schemas.openxmlformats.org/officeDocument/2006/relationships" r:id="rId1"/>
          <a:extLst>
            <a:ext uri="{FF2B5EF4-FFF2-40B4-BE49-F238E27FC236}">
              <a16:creationId xmlns:a16="http://schemas.microsoft.com/office/drawing/2014/main" id="{00000000-0008-0000-3300-000007000000}"/>
            </a:ext>
          </a:extLst>
        </xdr:cNvPr>
        <xdr:cNvSpPr/>
      </xdr:nvSpPr>
      <xdr:spPr>
        <a:xfrm>
          <a:off x="5708650" y="304800"/>
          <a:ext cx="973667" cy="3099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50.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00000000-0008-0000-3400-000002000000}"/>
            </a:ext>
          </a:extLst>
        </xdr:cNvPr>
        <xdr:cNvSpPr/>
      </xdr:nvSpPr>
      <xdr:spPr>
        <a:xfrm rot="10800000" flipH="1">
          <a:off x="2946400" y="7096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2</xdr:row>
      <xdr:rowOff>101600</xdr:rowOff>
    </xdr:from>
    <xdr:to>
      <xdr:col>2</xdr:col>
      <xdr:colOff>403225</xdr:colOff>
      <xdr:row>2</xdr:row>
      <xdr:rowOff>147319</xdr:rowOff>
    </xdr:to>
    <xdr:sp macro="" textlink="">
      <xdr:nvSpPr>
        <xdr:cNvPr id="3" name="Right Arrow 2">
          <a:extLst>
            <a:ext uri="{FF2B5EF4-FFF2-40B4-BE49-F238E27FC236}">
              <a16:creationId xmlns:a16="http://schemas.microsoft.com/office/drawing/2014/main" id="{00000000-0008-0000-3400-000003000000}"/>
            </a:ext>
          </a:extLst>
        </xdr:cNvPr>
        <xdr:cNvSpPr/>
      </xdr:nvSpPr>
      <xdr:spPr>
        <a:xfrm>
          <a:off x="2679700" y="711200"/>
          <a:ext cx="26352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4" name="Right Arrow 3">
          <a:extLst>
            <a:ext uri="{FF2B5EF4-FFF2-40B4-BE49-F238E27FC236}">
              <a16:creationId xmlns:a16="http://schemas.microsoft.com/office/drawing/2014/main" id="{00000000-0008-0000-3400-000004000000}"/>
            </a:ext>
          </a:extLst>
        </xdr:cNvPr>
        <xdr:cNvSpPr/>
      </xdr:nvSpPr>
      <xdr:spPr>
        <a:xfrm>
          <a:off x="2905125" y="638174"/>
          <a:ext cx="4127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2</xdr:row>
      <xdr:rowOff>100013</xdr:rowOff>
    </xdr:from>
    <xdr:to>
      <xdr:col>2</xdr:col>
      <xdr:colOff>1247775</xdr:colOff>
      <xdr:row>2</xdr:row>
      <xdr:rowOff>145732</xdr:rowOff>
    </xdr:to>
    <xdr:sp macro="" textlink="">
      <xdr:nvSpPr>
        <xdr:cNvPr id="5" name="Right Arrow 4">
          <a:extLst>
            <a:ext uri="{FF2B5EF4-FFF2-40B4-BE49-F238E27FC236}">
              <a16:creationId xmlns:a16="http://schemas.microsoft.com/office/drawing/2014/main" id="{00000000-0008-0000-3400-000005000000}"/>
            </a:ext>
          </a:extLst>
        </xdr:cNvPr>
        <xdr:cNvSpPr/>
      </xdr:nvSpPr>
      <xdr:spPr>
        <a:xfrm rot="10800000" flipH="1">
          <a:off x="2946400" y="7096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6" name="Right Arrow 5">
          <a:extLst>
            <a:ext uri="{FF2B5EF4-FFF2-40B4-BE49-F238E27FC236}">
              <a16:creationId xmlns:a16="http://schemas.microsoft.com/office/drawing/2014/main" id="{00000000-0008-0000-3400-000006000000}"/>
            </a:ext>
          </a:extLst>
        </xdr:cNvPr>
        <xdr:cNvSpPr/>
      </xdr:nvSpPr>
      <xdr:spPr>
        <a:xfrm>
          <a:off x="2905125" y="638174"/>
          <a:ext cx="4127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1</xdr:row>
      <xdr:rowOff>0</xdr:rowOff>
    </xdr:from>
    <xdr:to>
      <xdr:col>7</xdr:col>
      <xdr:colOff>973667</xdr:colOff>
      <xdr:row>3</xdr:row>
      <xdr:rowOff>5117</xdr:rowOff>
    </xdr:to>
    <xdr:sp macro="" textlink="">
      <xdr:nvSpPr>
        <xdr:cNvPr id="7" name="Rounded Rectangle 6">
          <a:hlinkClick xmlns:r="http://schemas.openxmlformats.org/officeDocument/2006/relationships" r:id="rId1"/>
          <a:extLst>
            <a:ext uri="{FF2B5EF4-FFF2-40B4-BE49-F238E27FC236}">
              <a16:creationId xmlns:a16="http://schemas.microsoft.com/office/drawing/2014/main" id="{00000000-0008-0000-3400-000007000000}"/>
            </a:ext>
          </a:extLst>
        </xdr:cNvPr>
        <xdr:cNvSpPr/>
      </xdr:nvSpPr>
      <xdr:spPr>
        <a:xfrm>
          <a:off x="5708650" y="304800"/>
          <a:ext cx="973667" cy="4623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51.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00000000-0008-0000-3500-000002000000}"/>
            </a:ext>
          </a:extLst>
        </xdr:cNvPr>
        <xdr:cNvSpPr/>
      </xdr:nvSpPr>
      <xdr:spPr>
        <a:xfrm rot="10800000" flipH="1">
          <a:off x="211455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3" name="Right Arrow 2">
          <a:extLst>
            <a:ext uri="{FF2B5EF4-FFF2-40B4-BE49-F238E27FC236}">
              <a16:creationId xmlns:a16="http://schemas.microsoft.com/office/drawing/2014/main" id="{00000000-0008-0000-3500-000003000000}"/>
            </a:ext>
          </a:extLst>
        </xdr:cNvPr>
        <xdr:cNvSpPr/>
      </xdr:nvSpPr>
      <xdr:spPr>
        <a:xfrm>
          <a:off x="2092325" y="48577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2</xdr:row>
      <xdr:rowOff>100013</xdr:rowOff>
    </xdr:from>
    <xdr:to>
      <xdr:col>2</xdr:col>
      <xdr:colOff>1247775</xdr:colOff>
      <xdr:row>2</xdr:row>
      <xdr:rowOff>145732</xdr:rowOff>
    </xdr:to>
    <xdr:sp macro="" textlink="">
      <xdr:nvSpPr>
        <xdr:cNvPr id="4" name="Right Arrow 3">
          <a:extLst>
            <a:ext uri="{FF2B5EF4-FFF2-40B4-BE49-F238E27FC236}">
              <a16:creationId xmlns:a16="http://schemas.microsoft.com/office/drawing/2014/main" id="{00000000-0008-0000-3500-000004000000}"/>
            </a:ext>
          </a:extLst>
        </xdr:cNvPr>
        <xdr:cNvSpPr/>
      </xdr:nvSpPr>
      <xdr:spPr>
        <a:xfrm rot="10800000" flipH="1">
          <a:off x="211455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1</xdr:row>
      <xdr:rowOff>0</xdr:rowOff>
    </xdr:from>
    <xdr:to>
      <xdr:col>7</xdr:col>
      <xdr:colOff>973667</xdr:colOff>
      <xdr:row>3</xdr:row>
      <xdr:rowOff>5117</xdr:rowOff>
    </xdr:to>
    <xdr:sp macro="" textlink="">
      <xdr:nvSpPr>
        <xdr:cNvPr id="5" name="Rounded Rectangle 4">
          <a:hlinkClick xmlns:r="http://schemas.openxmlformats.org/officeDocument/2006/relationships" r:id="rId1"/>
          <a:extLst>
            <a:ext uri="{FF2B5EF4-FFF2-40B4-BE49-F238E27FC236}">
              <a16:creationId xmlns:a16="http://schemas.microsoft.com/office/drawing/2014/main" id="{00000000-0008-0000-3500-000005000000}"/>
            </a:ext>
          </a:extLst>
        </xdr:cNvPr>
        <xdr:cNvSpPr/>
      </xdr:nvSpPr>
      <xdr:spPr>
        <a:xfrm>
          <a:off x="4171950" y="304800"/>
          <a:ext cx="973667" cy="3099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52.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EABDDDEA-7BD3-4F1C-85FC-A143C2D102D5}"/>
            </a:ext>
          </a:extLst>
        </xdr:cNvPr>
        <xdr:cNvSpPr/>
      </xdr:nvSpPr>
      <xdr:spPr>
        <a:xfrm rot="10800000" flipH="1">
          <a:off x="211455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3" name="Right Arrow 2">
          <a:extLst>
            <a:ext uri="{FF2B5EF4-FFF2-40B4-BE49-F238E27FC236}">
              <a16:creationId xmlns:a16="http://schemas.microsoft.com/office/drawing/2014/main" id="{E7BDFE30-5E51-440B-BCAF-90EE02C3B1FF}"/>
            </a:ext>
          </a:extLst>
        </xdr:cNvPr>
        <xdr:cNvSpPr/>
      </xdr:nvSpPr>
      <xdr:spPr>
        <a:xfrm>
          <a:off x="2092325" y="48577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2</xdr:row>
      <xdr:rowOff>100013</xdr:rowOff>
    </xdr:from>
    <xdr:to>
      <xdr:col>2</xdr:col>
      <xdr:colOff>1247775</xdr:colOff>
      <xdr:row>2</xdr:row>
      <xdr:rowOff>145732</xdr:rowOff>
    </xdr:to>
    <xdr:sp macro="" textlink="">
      <xdr:nvSpPr>
        <xdr:cNvPr id="4" name="Right Arrow 3">
          <a:extLst>
            <a:ext uri="{FF2B5EF4-FFF2-40B4-BE49-F238E27FC236}">
              <a16:creationId xmlns:a16="http://schemas.microsoft.com/office/drawing/2014/main" id="{09F9EA51-07D9-4EFB-A141-F905FA35CF6E}"/>
            </a:ext>
          </a:extLst>
        </xdr:cNvPr>
        <xdr:cNvSpPr/>
      </xdr:nvSpPr>
      <xdr:spPr>
        <a:xfrm rot="10800000" flipH="1">
          <a:off x="211455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1</xdr:row>
      <xdr:rowOff>0</xdr:rowOff>
    </xdr:from>
    <xdr:to>
      <xdr:col>7</xdr:col>
      <xdr:colOff>973667</xdr:colOff>
      <xdr:row>3</xdr:row>
      <xdr:rowOff>5117</xdr:rowOff>
    </xdr:to>
    <xdr:sp macro="" textlink="">
      <xdr:nvSpPr>
        <xdr:cNvPr id="5" name="Rounded Rectangle 4">
          <a:hlinkClick xmlns:r="http://schemas.openxmlformats.org/officeDocument/2006/relationships" r:id="rId1"/>
          <a:extLst>
            <a:ext uri="{FF2B5EF4-FFF2-40B4-BE49-F238E27FC236}">
              <a16:creationId xmlns:a16="http://schemas.microsoft.com/office/drawing/2014/main" id="{E98A13B4-7AB4-409E-B2C1-AE08B5776B62}"/>
            </a:ext>
          </a:extLst>
        </xdr:cNvPr>
        <xdr:cNvSpPr/>
      </xdr:nvSpPr>
      <xdr:spPr>
        <a:xfrm>
          <a:off x="4171950" y="304800"/>
          <a:ext cx="973667" cy="3099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53.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A901A774-A35E-46E8-B457-8D5C48F4F544}"/>
            </a:ext>
          </a:extLst>
        </xdr:cNvPr>
        <xdr:cNvSpPr/>
      </xdr:nvSpPr>
      <xdr:spPr>
        <a:xfrm rot="10800000" flipH="1">
          <a:off x="205105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3" name="Right Arrow 2">
          <a:extLst>
            <a:ext uri="{FF2B5EF4-FFF2-40B4-BE49-F238E27FC236}">
              <a16:creationId xmlns:a16="http://schemas.microsoft.com/office/drawing/2014/main" id="{360827B8-628D-48B0-8DC3-CC0BA5D0E555}"/>
            </a:ext>
          </a:extLst>
        </xdr:cNvPr>
        <xdr:cNvSpPr/>
      </xdr:nvSpPr>
      <xdr:spPr>
        <a:xfrm>
          <a:off x="2028825" y="48577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2</xdr:row>
      <xdr:rowOff>100013</xdr:rowOff>
    </xdr:from>
    <xdr:to>
      <xdr:col>2</xdr:col>
      <xdr:colOff>1247775</xdr:colOff>
      <xdr:row>2</xdr:row>
      <xdr:rowOff>145732</xdr:rowOff>
    </xdr:to>
    <xdr:sp macro="" textlink="">
      <xdr:nvSpPr>
        <xdr:cNvPr id="4" name="Right Arrow 3">
          <a:extLst>
            <a:ext uri="{FF2B5EF4-FFF2-40B4-BE49-F238E27FC236}">
              <a16:creationId xmlns:a16="http://schemas.microsoft.com/office/drawing/2014/main" id="{19396161-4D7A-40F3-8895-31C5DAFD64F8}"/>
            </a:ext>
          </a:extLst>
        </xdr:cNvPr>
        <xdr:cNvSpPr/>
      </xdr:nvSpPr>
      <xdr:spPr>
        <a:xfrm rot="10800000" flipH="1">
          <a:off x="205105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1</xdr:row>
      <xdr:rowOff>0</xdr:rowOff>
    </xdr:from>
    <xdr:to>
      <xdr:col>7</xdr:col>
      <xdr:colOff>973667</xdr:colOff>
      <xdr:row>3</xdr:row>
      <xdr:rowOff>5117</xdr:rowOff>
    </xdr:to>
    <xdr:sp macro="" textlink="">
      <xdr:nvSpPr>
        <xdr:cNvPr id="5" name="Rounded Rectangle 4">
          <a:hlinkClick xmlns:r="http://schemas.openxmlformats.org/officeDocument/2006/relationships" r:id="rId1"/>
          <a:extLst>
            <a:ext uri="{FF2B5EF4-FFF2-40B4-BE49-F238E27FC236}">
              <a16:creationId xmlns:a16="http://schemas.microsoft.com/office/drawing/2014/main" id="{310C7755-55D9-4157-8E03-7E8FB982F055}"/>
            </a:ext>
          </a:extLst>
        </xdr:cNvPr>
        <xdr:cNvSpPr/>
      </xdr:nvSpPr>
      <xdr:spPr>
        <a:xfrm>
          <a:off x="4235450" y="304800"/>
          <a:ext cx="973667" cy="3099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54.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4E85D9A8-6E8E-4B1A-B609-3593AD530262}"/>
            </a:ext>
          </a:extLst>
        </xdr:cNvPr>
        <xdr:cNvSpPr/>
      </xdr:nvSpPr>
      <xdr:spPr>
        <a:xfrm rot="10800000" flipH="1">
          <a:off x="20510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3" name="Right Arrow 2">
          <a:extLst>
            <a:ext uri="{FF2B5EF4-FFF2-40B4-BE49-F238E27FC236}">
              <a16:creationId xmlns:a16="http://schemas.microsoft.com/office/drawing/2014/main" id="{1FC04599-6387-4EDF-930B-24F3027B24D2}"/>
            </a:ext>
          </a:extLst>
        </xdr:cNvPr>
        <xdr:cNvSpPr/>
      </xdr:nvSpPr>
      <xdr:spPr>
        <a:xfrm>
          <a:off x="202882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2</xdr:row>
      <xdr:rowOff>100013</xdr:rowOff>
    </xdr:from>
    <xdr:to>
      <xdr:col>2</xdr:col>
      <xdr:colOff>1247775</xdr:colOff>
      <xdr:row>2</xdr:row>
      <xdr:rowOff>145732</xdr:rowOff>
    </xdr:to>
    <xdr:sp macro="" textlink="">
      <xdr:nvSpPr>
        <xdr:cNvPr id="4" name="Right Arrow 3">
          <a:extLst>
            <a:ext uri="{FF2B5EF4-FFF2-40B4-BE49-F238E27FC236}">
              <a16:creationId xmlns:a16="http://schemas.microsoft.com/office/drawing/2014/main" id="{B34BF2DA-A45E-4A00-9C72-BDAC3D289CC8}"/>
            </a:ext>
          </a:extLst>
        </xdr:cNvPr>
        <xdr:cNvSpPr/>
      </xdr:nvSpPr>
      <xdr:spPr>
        <a:xfrm rot="10800000" flipH="1">
          <a:off x="20510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1</xdr:row>
      <xdr:rowOff>0</xdr:rowOff>
    </xdr:from>
    <xdr:to>
      <xdr:col>7</xdr:col>
      <xdr:colOff>973667</xdr:colOff>
      <xdr:row>3</xdr:row>
      <xdr:rowOff>5117</xdr:rowOff>
    </xdr:to>
    <xdr:sp macro="" textlink="">
      <xdr:nvSpPr>
        <xdr:cNvPr id="5" name="Rounded Rectangle 4">
          <a:hlinkClick xmlns:r="http://schemas.openxmlformats.org/officeDocument/2006/relationships" r:id="rId1"/>
          <a:extLst>
            <a:ext uri="{FF2B5EF4-FFF2-40B4-BE49-F238E27FC236}">
              <a16:creationId xmlns:a16="http://schemas.microsoft.com/office/drawing/2014/main" id="{C121277B-C293-4139-A2E0-2EB38FABF35D}"/>
            </a:ext>
          </a:extLst>
        </xdr:cNvPr>
        <xdr:cNvSpPr/>
      </xdr:nvSpPr>
      <xdr:spPr>
        <a:xfrm>
          <a:off x="4235450" y="304800"/>
          <a:ext cx="973667" cy="34166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55.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BDFDFA94-C63E-415B-97E4-DD93400D3DC6}"/>
            </a:ext>
          </a:extLst>
        </xdr:cNvPr>
        <xdr:cNvSpPr/>
      </xdr:nvSpPr>
      <xdr:spPr>
        <a:xfrm rot="10800000" flipH="1">
          <a:off x="2076450" y="7096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2</xdr:row>
      <xdr:rowOff>101600</xdr:rowOff>
    </xdr:from>
    <xdr:to>
      <xdr:col>2</xdr:col>
      <xdr:colOff>403225</xdr:colOff>
      <xdr:row>2</xdr:row>
      <xdr:rowOff>147319</xdr:rowOff>
    </xdr:to>
    <xdr:sp macro="" textlink="">
      <xdr:nvSpPr>
        <xdr:cNvPr id="3" name="Right Arrow 2">
          <a:extLst>
            <a:ext uri="{FF2B5EF4-FFF2-40B4-BE49-F238E27FC236}">
              <a16:creationId xmlns:a16="http://schemas.microsoft.com/office/drawing/2014/main" id="{8C3A8908-3FE9-4474-85FE-A8A7EC210CEB}"/>
            </a:ext>
          </a:extLst>
        </xdr:cNvPr>
        <xdr:cNvSpPr/>
      </xdr:nvSpPr>
      <xdr:spPr>
        <a:xfrm>
          <a:off x="1828800" y="71120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4" name="Right Arrow 3">
          <a:extLst>
            <a:ext uri="{FF2B5EF4-FFF2-40B4-BE49-F238E27FC236}">
              <a16:creationId xmlns:a16="http://schemas.microsoft.com/office/drawing/2014/main" id="{326AFDAF-4B25-4FA2-9437-6E61969CD89D}"/>
            </a:ext>
          </a:extLst>
        </xdr:cNvPr>
        <xdr:cNvSpPr/>
      </xdr:nvSpPr>
      <xdr:spPr>
        <a:xfrm>
          <a:off x="2054225" y="63817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2</xdr:row>
      <xdr:rowOff>100013</xdr:rowOff>
    </xdr:from>
    <xdr:to>
      <xdr:col>2</xdr:col>
      <xdr:colOff>1247775</xdr:colOff>
      <xdr:row>2</xdr:row>
      <xdr:rowOff>145732</xdr:rowOff>
    </xdr:to>
    <xdr:sp macro="" textlink="">
      <xdr:nvSpPr>
        <xdr:cNvPr id="5" name="Right Arrow 4">
          <a:extLst>
            <a:ext uri="{FF2B5EF4-FFF2-40B4-BE49-F238E27FC236}">
              <a16:creationId xmlns:a16="http://schemas.microsoft.com/office/drawing/2014/main" id="{B77EAC4E-C031-4F72-9A73-8C05AB3E81ED}"/>
            </a:ext>
          </a:extLst>
        </xdr:cNvPr>
        <xdr:cNvSpPr/>
      </xdr:nvSpPr>
      <xdr:spPr>
        <a:xfrm rot="10800000" flipH="1">
          <a:off x="2076450" y="7096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6" name="Right Arrow 5">
          <a:extLst>
            <a:ext uri="{FF2B5EF4-FFF2-40B4-BE49-F238E27FC236}">
              <a16:creationId xmlns:a16="http://schemas.microsoft.com/office/drawing/2014/main" id="{8C0C71B7-676A-44AA-A282-D919D50812A7}"/>
            </a:ext>
          </a:extLst>
        </xdr:cNvPr>
        <xdr:cNvSpPr/>
      </xdr:nvSpPr>
      <xdr:spPr>
        <a:xfrm>
          <a:off x="2054225" y="63817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1</xdr:row>
      <xdr:rowOff>0</xdr:rowOff>
    </xdr:from>
    <xdr:to>
      <xdr:col>7</xdr:col>
      <xdr:colOff>973667</xdr:colOff>
      <xdr:row>3</xdr:row>
      <xdr:rowOff>5117</xdr:rowOff>
    </xdr:to>
    <xdr:sp macro="" textlink="">
      <xdr:nvSpPr>
        <xdr:cNvPr id="7" name="Rounded Rectangle 6">
          <a:hlinkClick xmlns:r="http://schemas.openxmlformats.org/officeDocument/2006/relationships" r:id="rId1"/>
          <a:extLst>
            <a:ext uri="{FF2B5EF4-FFF2-40B4-BE49-F238E27FC236}">
              <a16:creationId xmlns:a16="http://schemas.microsoft.com/office/drawing/2014/main" id="{AB5D1EAC-81F9-4491-8952-23B7A617672F}"/>
            </a:ext>
          </a:extLst>
        </xdr:cNvPr>
        <xdr:cNvSpPr/>
      </xdr:nvSpPr>
      <xdr:spPr>
        <a:xfrm>
          <a:off x="4178300" y="304800"/>
          <a:ext cx="973667" cy="4623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56.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5D26A5CD-A37E-483F-BF87-478D0B5C0B17}"/>
            </a:ext>
          </a:extLst>
        </xdr:cNvPr>
        <xdr:cNvSpPr/>
      </xdr:nvSpPr>
      <xdr:spPr>
        <a:xfrm rot="10800000" flipH="1">
          <a:off x="20510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219075</xdr:colOff>
      <xdr:row>2</xdr:row>
      <xdr:rowOff>15874</xdr:rowOff>
    </xdr:from>
    <xdr:to>
      <xdr:col>2</xdr:col>
      <xdr:colOff>241300</xdr:colOff>
      <xdr:row>2</xdr:row>
      <xdr:rowOff>139699</xdr:rowOff>
    </xdr:to>
    <xdr:sp macro="" textlink="">
      <xdr:nvSpPr>
        <xdr:cNvPr id="3" name="Right Arrow 2">
          <a:extLst>
            <a:ext uri="{FF2B5EF4-FFF2-40B4-BE49-F238E27FC236}">
              <a16:creationId xmlns:a16="http://schemas.microsoft.com/office/drawing/2014/main" id="{DF156020-F773-4684-BB1E-0EB57E6A2B6E}"/>
            </a:ext>
          </a:extLst>
        </xdr:cNvPr>
        <xdr:cNvSpPr/>
      </xdr:nvSpPr>
      <xdr:spPr>
        <a:xfrm>
          <a:off x="1933575" y="5048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2</xdr:row>
      <xdr:rowOff>100013</xdr:rowOff>
    </xdr:from>
    <xdr:to>
      <xdr:col>2</xdr:col>
      <xdr:colOff>1247775</xdr:colOff>
      <xdr:row>2</xdr:row>
      <xdr:rowOff>145732</xdr:rowOff>
    </xdr:to>
    <xdr:sp macro="" textlink="">
      <xdr:nvSpPr>
        <xdr:cNvPr id="4" name="Right Arrow 3">
          <a:extLst>
            <a:ext uri="{FF2B5EF4-FFF2-40B4-BE49-F238E27FC236}">
              <a16:creationId xmlns:a16="http://schemas.microsoft.com/office/drawing/2014/main" id="{3DCFE205-C7F4-40D4-9330-E314FAD639EC}"/>
            </a:ext>
          </a:extLst>
        </xdr:cNvPr>
        <xdr:cNvSpPr/>
      </xdr:nvSpPr>
      <xdr:spPr>
        <a:xfrm rot="10800000" flipH="1">
          <a:off x="20510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1</xdr:row>
      <xdr:rowOff>0</xdr:rowOff>
    </xdr:from>
    <xdr:to>
      <xdr:col>7</xdr:col>
      <xdr:colOff>973667</xdr:colOff>
      <xdr:row>3</xdr:row>
      <xdr:rowOff>5117</xdr:rowOff>
    </xdr:to>
    <xdr:sp macro="" textlink="">
      <xdr:nvSpPr>
        <xdr:cNvPr id="5" name="Rounded Rectangle 4">
          <a:hlinkClick xmlns:r="http://schemas.openxmlformats.org/officeDocument/2006/relationships" r:id="rId1"/>
          <a:extLst>
            <a:ext uri="{FF2B5EF4-FFF2-40B4-BE49-F238E27FC236}">
              <a16:creationId xmlns:a16="http://schemas.microsoft.com/office/drawing/2014/main" id="{009028D5-9068-4C8D-B434-6614BB1B0925}"/>
            </a:ext>
          </a:extLst>
        </xdr:cNvPr>
        <xdr:cNvSpPr/>
      </xdr:nvSpPr>
      <xdr:spPr>
        <a:xfrm>
          <a:off x="4235450" y="304800"/>
          <a:ext cx="973667" cy="34166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57.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10A29EE8-50C8-4C78-8CA2-8AA4EC5CEE4D}"/>
            </a:ext>
          </a:extLst>
        </xdr:cNvPr>
        <xdr:cNvSpPr/>
      </xdr:nvSpPr>
      <xdr:spPr>
        <a:xfrm rot="10800000" flipH="1">
          <a:off x="20510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3" name="Right Arrow 2">
          <a:extLst>
            <a:ext uri="{FF2B5EF4-FFF2-40B4-BE49-F238E27FC236}">
              <a16:creationId xmlns:a16="http://schemas.microsoft.com/office/drawing/2014/main" id="{1627683C-27BE-4D5A-BB8D-CD00A16215C2}"/>
            </a:ext>
          </a:extLst>
        </xdr:cNvPr>
        <xdr:cNvSpPr/>
      </xdr:nvSpPr>
      <xdr:spPr>
        <a:xfrm>
          <a:off x="202882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2</xdr:row>
      <xdr:rowOff>100013</xdr:rowOff>
    </xdr:from>
    <xdr:to>
      <xdr:col>2</xdr:col>
      <xdr:colOff>1247775</xdr:colOff>
      <xdr:row>2</xdr:row>
      <xdr:rowOff>145732</xdr:rowOff>
    </xdr:to>
    <xdr:sp macro="" textlink="">
      <xdr:nvSpPr>
        <xdr:cNvPr id="4" name="Right Arrow 3">
          <a:extLst>
            <a:ext uri="{FF2B5EF4-FFF2-40B4-BE49-F238E27FC236}">
              <a16:creationId xmlns:a16="http://schemas.microsoft.com/office/drawing/2014/main" id="{39F406CC-93A6-4DD1-8E9A-F1216931167D}"/>
            </a:ext>
          </a:extLst>
        </xdr:cNvPr>
        <xdr:cNvSpPr/>
      </xdr:nvSpPr>
      <xdr:spPr>
        <a:xfrm rot="10800000" flipH="1">
          <a:off x="20510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1</xdr:row>
      <xdr:rowOff>0</xdr:rowOff>
    </xdr:from>
    <xdr:to>
      <xdr:col>7</xdr:col>
      <xdr:colOff>973667</xdr:colOff>
      <xdr:row>3</xdr:row>
      <xdr:rowOff>5117</xdr:rowOff>
    </xdr:to>
    <xdr:sp macro="" textlink="">
      <xdr:nvSpPr>
        <xdr:cNvPr id="5" name="Rounded Rectangle 4">
          <a:hlinkClick xmlns:r="http://schemas.openxmlformats.org/officeDocument/2006/relationships" r:id="rId1"/>
          <a:extLst>
            <a:ext uri="{FF2B5EF4-FFF2-40B4-BE49-F238E27FC236}">
              <a16:creationId xmlns:a16="http://schemas.microsoft.com/office/drawing/2014/main" id="{1488315A-8C4B-45D1-88A0-ACC80BC39B1D}"/>
            </a:ext>
          </a:extLst>
        </xdr:cNvPr>
        <xdr:cNvSpPr/>
      </xdr:nvSpPr>
      <xdr:spPr>
        <a:xfrm>
          <a:off x="4235450" y="304800"/>
          <a:ext cx="973667" cy="34166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58.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27B81629-84EE-4E65-982F-E266E4796C30}"/>
            </a:ext>
          </a:extLst>
        </xdr:cNvPr>
        <xdr:cNvSpPr/>
      </xdr:nvSpPr>
      <xdr:spPr>
        <a:xfrm rot="10800000" flipH="1">
          <a:off x="211455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3" name="Right Arrow 2">
          <a:extLst>
            <a:ext uri="{FF2B5EF4-FFF2-40B4-BE49-F238E27FC236}">
              <a16:creationId xmlns:a16="http://schemas.microsoft.com/office/drawing/2014/main" id="{35B09285-F0D8-4005-A3A3-CA990D0E7ECC}"/>
            </a:ext>
          </a:extLst>
        </xdr:cNvPr>
        <xdr:cNvSpPr/>
      </xdr:nvSpPr>
      <xdr:spPr>
        <a:xfrm>
          <a:off x="2092325" y="48577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2</xdr:row>
      <xdr:rowOff>100013</xdr:rowOff>
    </xdr:from>
    <xdr:to>
      <xdr:col>2</xdr:col>
      <xdr:colOff>1247775</xdr:colOff>
      <xdr:row>2</xdr:row>
      <xdr:rowOff>145732</xdr:rowOff>
    </xdr:to>
    <xdr:sp macro="" textlink="">
      <xdr:nvSpPr>
        <xdr:cNvPr id="4" name="Right Arrow 3">
          <a:extLst>
            <a:ext uri="{FF2B5EF4-FFF2-40B4-BE49-F238E27FC236}">
              <a16:creationId xmlns:a16="http://schemas.microsoft.com/office/drawing/2014/main" id="{3CE76789-855F-4786-9C3C-A2F365683EC7}"/>
            </a:ext>
          </a:extLst>
        </xdr:cNvPr>
        <xdr:cNvSpPr/>
      </xdr:nvSpPr>
      <xdr:spPr>
        <a:xfrm rot="10800000" flipH="1">
          <a:off x="211455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1</xdr:row>
      <xdr:rowOff>0</xdr:rowOff>
    </xdr:from>
    <xdr:to>
      <xdr:col>7</xdr:col>
      <xdr:colOff>973667</xdr:colOff>
      <xdr:row>3</xdr:row>
      <xdr:rowOff>5117</xdr:rowOff>
    </xdr:to>
    <xdr:sp macro="" textlink="">
      <xdr:nvSpPr>
        <xdr:cNvPr id="5" name="Rounded Rectangle 4">
          <a:hlinkClick xmlns:r="http://schemas.openxmlformats.org/officeDocument/2006/relationships" r:id="rId1"/>
          <a:extLst>
            <a:ext uri="{FF2B5EF4-FFF2-40B4-BE49-F238E27FC236}">
              <a16:creationId xmlns:a16="http://schemas.microsoft.com/office/drawing/2014/main" id="{85882B4E-2D37-4A2B-840B-969DCAF74408}"/>
            </a:ext>
          </a:extLst>
        </xdr:cNvPr>
        <xdr:cNvSpPr/>
      </xdr:nvSpPr>
      <xdr:spPr>
        <a:xfrm>
          <a:off x="4229100" y="304800"/>
          <a:ext cx="973667" cy="3099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59.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6B58628D-BB47-45BF-9D5F-DF1B88938350}"/>
            </a:ext>
          </a:extLst>
        </xdr:cNvPr>
        <xdr:cNvSpPr/>
      </xdr:nvSpPr>
      <xdr:spPr>
        <a:xfrm rot="10800000" flipH="1">
          <a:off x="211455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3" name="Right Arrow 2">
          <a:extLst>
            <a:ext uri="{FF2B5EF4-FFF2-40B4-BE49-F238E27FC236}">
              <a16:creationId xmlns:a16="http://schemas.microsoft.com/office/drawing/2014/main" id="{FB5332EE-F6D2-4051-9479-04EC0E1904F6}"/>
            </a:ext>
          </a:extLst>
        </xdr:cNvPr>
        <xdr:cNvSpPr/>
      </xdr:nvSpPr>
      <xdr:spPr>
        <a:xfrm>
          <a:off x="2092325" y="48577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2</xdr:row>
      <xdr:rowOff>100013</xdr:rowOff>
    </xdr:from>
    <xdr:to>
      <xdr:col>2</xdr:col>
      <xdr:colOff>1247775</xdr:colOff>
      <xdr:row>2</xdr:row>
      <xdr:rowOff>145732</xdr:rowOff>
    </xdr:to>
    <xdr:sp macro="" textlink="">
      <xdr:nvSpPr>
        <xdr:cNvPr id="4" name="Right Arrow 3">
          <a:extLst>
            <a:ext uri="{FF2B5EF4-FFF2-40B4-BE49-F238E27FC236}">
              <a16:creationId xmlns:a16="http://schemas.microsoft.com/office/drawing/2014/main" id="{C3E4F326-456C-49DC-93A1-0CD1AEBD5855}"/>
            </a:ext>
          </a:extLst>
        </xdr:cNvPr>
        <xdr:cNvSpPr/>
      </xdr:nvSpPr>
      <xdr:spPr>
        <a:xfrm rot="10800000" flipH="1">
          <a:off x="211455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1</xdr:row>
      <xdr:rowOff>0</xdr:rowOff>
    </xdr:from>
    <xdr:to>
      <xdr:col>7</xdr:col>
      <xdr:colOff>973667</xdr:colOff>
      <xdr:row>3</xdr:row>
      <xdr:rowOff>5117</xdr:rowOff>
    </xdr:to>
    <xdr:sp macro="" textlink="">
      <xdr:nvSpPr>
        <xdr:cNvPr id="5" name="Rounded Rectangle 4">
          <a:hlinkClick xmlns:r="http://schemas.openxmlformats.org/officeDocument/2006/relationships" r:id="rId1"/>
          <a:extLst>
            <a:ext uri="{FF2B5EF4-FFF2-40B4-BE49-F238E27FC236}">
              <a16:creationId xmlns:a16="http://schemas.microsoft.com/office/drawing/2014/main" id="{D1A4E17B-764C-44A5-B66F-40DC981D03E0}"/>
            </a:ext>
          </a:extLst>
        </xdr:cNvPr>
        <xdr:cNvSpPr/>
      </xdr:nvSpPr>
      <xdr:spPr>
        <a:xfrm>
          <a:off x="4229100" y="304800"/>
          <a:ext cx="973667" cy="3099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60.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DECA5852-65A9-44F6-92BC-3B61249408C9}"/>
            </a:ext>
          </a:extLst>
        </xdr:cNvPr>
        <xdr:cNvSpPr/>
      </xdr:nvSpPr>
      <xdr:spPr>
        <a:xfrm rot="10800000" flipH="1">
          <a:off x="211455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3" name="Right Arrow 2">
          <a:extLst>
            <a:ext uri="{FF2B5EF4-FFF2-40B4-BE49-F238E27FC236}">
              <a16:creationId xmlns:a16="http://schemas.microsoft.com/office/drawing/2014/main" id="{4F3DB7FA-D0E8-4C6E-9916-7564914903C7}"/>
            </a:ext>
          </a:extLst>
        </xdr:cNvPr>
        <xdr:cNvSpPr/>
      </xdr:nvSpPr>
      <xdr:spPr>
        <a:xfrm>
          <a:off x="2092325" y="48577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2</xdr:row>
      <xdr:rowOff>100013</xdr:rowOff>
    </xdr:from>
    <xdr:to>
      <xdr:col>2</xdr:col>
      <xdr:colOff>1247775</xdr:colOff>
      <xdr:row>2</xdr:row>
      <xdr:rowOff>145732</xdr:rowOff>
    </xdr:to>
    <xdr:sp macro="" textlink="">
      <xdr:nvSpPr>
        <xdr:cNvPr id="4" name="Right Arrow 3">
          <a:extLst>
            <a:ext uri="{FF2B5EF4-FFF2-40B4-BE49-F238E27FC236}">
              <a16:creationId xmlns:a16="http://schemas.microsoft.com/office/drawing/2014/main" id="{C8C1E888-B48B-4BBC-85B0-2B1DD49250D9}"/>
            </a:ext>
          </a:extLst>
        </xdr:cNvPr>
        <xdr:cNvSpPr/>
      </xdr:nvSpPr>
      <xdr:spPr>
        <a:xfrm rot="10800000" flipH="1">
          <a:off x="211455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1</xdr:row>
      <xdr:rowOff>0</xdr:rowOff>
    </xdr:from>
    <xdr:to>
      <xdr:col>7</xdr:col>
      <xdr:colOff>973667</xdr:colOff>
      <xdr:row>3</xdr:row>
      <xdr:rowOff>5117</xdr:rowOff>
    </xdr:to>
    <xdr:sp macro="" textlink="">
      <xdr:nvSpPr>
        <xdr:cNvPr id="5" name="Rounded Rectangle 4">
          <a:hlinkClick xmlns:r="http://schemas.openxmlformats.org/officeDocument/2006/relationships" r:id="rId1"/>
          <a:extLst>
            <a:ext uri="{FF2B5EF4-FFF2-40B4-BE49-F238E27FC236}">
              <a16:creationId xmlns:a16="http://schemas.microsoft.com/office/drawing/2014/main" id="{4CF6FCE8-8D88-4194-A39F-3A5CF2E2850B}"/>
            </a:ext>
          </a:extLst>
        </xdr:cNvPr>
        <xdr:cNvSpPr/>
      </xdr:nvSpPr>
      <xdr:spPr>
        <a:xfrm>
          <a:off x="4229100" y="304800"/>
          <a:ext cx="973667" cy="3099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61.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D1ED22B4-9787-4643-95CF-827785F3C4E8}"/>
            </a:ext>
          </a:extLst>
        </xdr:cNvPr>
        <xdr:cNvSpPr/>
      </xdr:nvSpPr>
      <xdr:spPr>
        <a:xfrm rot="10800000" flipH="1">
          <a:off x="205105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3" name="Right Arrow 2">
          <a:extLst>
            <a:ext uri="{FF2B5EF4-FFF2-40B4-BE49-F238E27FC236}">
              <a16:creationId xmlns:a16="http://schemas.microsoft.com/office/drawing/2014/main" id="{40CF883A-9AA8-4C95-AF14-327C0965C7BA}"/>
            </a:ext>
          </a:extLst>
        </xdr:cNvPr>
        <xdr:cNvSpPr/>
      </xdr:nvSpPr>
      <xdr:spPr>
        <a:xfrm>
          <a:off x="2028825" y="48577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2</xdr:row>
      <xdr:rowOff>100013</xdr:rowOff>
    </xdr:from>
    <xdr:to>
      <xdr:col>2</xdr:col>
      <xdr:colOff>1247775</xdr:colOff>
      <xdr:row>2</xdr:row>
      <xdr:rowOff>145732</xdr:rowOff>
    </xdr:to>
    <xdr:sp macro="" textlink="">
      <xdr:nvSpPr>
        <xdr:cNvPr id="4" name="Right Arrow 3">
          <a:extLst>
            <a:ext uri="{FF2B5EF4-FFF2-40B4-BE49-F238E27FC236}">
              <a16:creationId xmlns:a16="http://schemas.microsoft.com/office/drawing/2014/main" id="{AA4A8510-AF5E-42CC-A732-B6591C171281}"/>
            </a:ext>
          </a:extLst>
        </xdr:cNvPr>
        <xdr:cNvSpPr/>
      </xdr:nvSpPr>
      <xdr:spPr>
        <a:xfrm rot="10800000" flipH="1">
          <a:off x="205105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1</xdr:row>
      <xdr:rowOff>0</xdr:rowOff>
    </xdr:from>
    <xdr:to>
      <xdr:col>7</xdr:col>
      <xdr:colOff>973667</xdr:colOff>
      <xdr:row>3</xdr:row>
      <xdr:rowOff>5117</xdr:rowOff>
    </xdr:to>
    <xdr:sp macro="" textlink="">
      <xdr:nvSpPr>
        <xdr:cNvPr id="5" name="Rounded Rectangle 4">
          <a:hlinkClick xmlns:r="http://schemas.openxmlformats.org/officeDocument/2006/relationships" r:id="rId1"/>
          <a:extLst>
            <a:ext uri="{FF2B5EF4-FFF2-40B4-BE49-F238E27FC236}">
              <a16:creationId xmlns:a16="http://schemas.microsoft.com/office/drawing/2014/main" id="{D7AC3E60-60D9-437C-8D73-27C069BCF47E}"/>
            </a:ext>
          </a:extLst>
        </xdr:cNvPr>
        <xdr:cNvSpPr/>
      </xdr:nvSpPr>
      <xdr:spPr>
        <a:xfrm>
          <a:off x="4108450" y="304800"/>
          <a:ext cx="973667" cy="3099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62.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703DAAB1-AA18-4E88-8F6A-C4085538E879}"/>
            </a:ext>
          </a:extLst>
        </xdr:cNvPr>
        <xdr:cNvSpPr/>
      </xdr:nvSpPr>
      <xdr:spPr>
        <a:xfrm rot="10800000" flipH="1">
          <a:off x="205105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3" name="Right Arrow 2">
          <a:extLst>
            <a:ext uri="{FF2B5EF4-FFF2-40B4-BE49-F238E27FC236}">
              <a16:creationId xmlns:a16="http://schemas.microsoft.com/office/drawing/2014/main" id="{3E61F210-22CA-4BAC-B3B0-B01B6FED53FF}"/>
            </a:ext>
          </a:extLst>
        </xdr:cNvPr>
        <xdr:cNvSpPr/>
      </xdr:nvSpPr>
      <xdr:spPr>
        <a:xfrm>
          <a:off x="2028825" y="48577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2</xdr:row>
      <xdr:rowOff>100013</xdr:rowOff>
    </xdr:from>
    <xdr:to>
      <xdr:col>2</xdr:col>
      <xdr:colOff>1247775</xdr:colOff>
      <xdr:row>2</xdr:row>
      <xdr:rowOff>145732</xdr:rowOff>
    </xdr:to>
    <xdr:sp macro="" textlink="">
      <xdr:nvSpPr>
        <xdr:cNvPr id="4" name="Right Arrow 3">
          <a:extLst>
            <a:ext uri="{FF2B5EF4-FFF2-40B4-BE49-F238E27FC236}">
              <a16:creationId xmlns:a16="http://schemas.microsoft.com/office/drawing/2014/main" id="{BF58CFB2-9B4C-42AD-B4B0-EE60C861111A}"/>
            </a:ext>
          </a:extLst>
        </xdr:cNvPr>
        <xdr:cNvSpPr/>
      </xdr:nvSpPr>
      <xdr:spPr>
        <a:xfrm rot="10800000" flipH="1">
          <a:off x="205105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1</xdr:row>
      <xdr:rowOff>0</xdr:rowOff>
    </xdr:from>
    <xdr:to>
      <xdr:col>7</xdr:col>
      <xdr:colOff>973667</xdr:colOff>
      <xdr:row>3</xdr:row>
      <xdr:rowOff>5117</xdr:rowOff>
    </xdr:to>
    <xdr:sp macro="" textlink="">
      <xdr:nvSpPr>
        <xdr:cNvPr id="5" name="Rounded Rectangle 4">
          <a:hlinkClick xmlns:r="http://schemas.openxmlformats.org/officeDocument/2006/relationships" r:id="rId1"/>
          <a:extLst>
            <a:ext uri="{FF2B5EF4-FFF2-40B4-BE49-F238E27FC236}">
              <a16:creationId xmlns:a16="http://schemas.microsoft.com/office/drawing/2014/main" id="{80C55812-282C-4A54-A2F8-C3327CB7AE9A}"/>
            </a:ext>
          </a:extLst>
        </xdr:cNvPr>
        <xdr:cNvSpPr/>
      </xdr:nvSpPr>
      <xdr:spPr>
        <a:xfrm>
          <a:off x="4108450" y="304800"/>
          <a:ext cx="973667" cy="3099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63.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7472C693-8382-49F0-B9A1-F9417A901B2B}"/>
            </a:ext>
          </a:extLst>
        </xdr:cNvPr>
        <xdr:cNvSpPr/>
      </xdr:nvSpPr>
      <xdr:spPr>
        <a:xfrm rot="10800000" flipH="1">
          <a:off x="205105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3" name="Right Arrow 2">
          <a:extLst>
            <a:ext uri="{FF2B5EF4-FFF2-40B4-BE49-F238E27FC236}">
              <a16:creationId xmlns:a16="http://schemas.microsoft.com/office/drawing/2014/main" id="{AA34F694-B1E2-432E-8CB2-37C5CBA2E9E5}"/>
            </a:ext>
          </a:extLst>
        </xdr:cNvPr>
        <xdr:cNvSpPr/>
      </xdr:nvSpPr>
      <xdr:spPr>
        <a:xfrm>
          <a:off x="2028825" y="48577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2</xdr:row>
      <xdr:rowOff>100013</xdr:rowOff>
    </xdr:from>
    <xdr:to>
      <xdr:col>2</xdr:col>
      <xdr:colOff>1247775</xdr:colOff>
      <xdr:row>2</xdr:row>
      <xdr:rowOff>145732</xdr:rowOff>
    </xdr:to>
    <xdr:sp macro="" textlink="">
      <xdr:nvSpPr>
        <xdr:cNvPr id="4" name="Right Arrow 3">
          <a:extLst>
            <a:ext uri="{FF2B5EF4-FFF2-40B4-BE49-F238E27FC236}">
              <a16:creationId xmlns:a16="http://schemas.microsoft.com/office/drawing/2014/main" id="{4DE9E7B4-80A3-4E16-8BBA-5A1EFB308CD5}"/>
            </a:ext>
          </a:extLst>
        </xdr:cNvPr>
        <xdr:cNvSpPr/>
      </xdr:nvSpPr>
      <xdr:spPr>
        <a:xfrm rot="10800000" flipH="1">
          <a:off x="205105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1</xdr:row>
      <xdr:rowOff>0</xdr:rowOff>
    </xdr:from>
    <xdr:to>
      <xdr:col>7</xdr:col>
      <xdr:colOff>973667</xdr:colOff>
      <xdr:row>3</xdr:row>
      <xdr:rowOff>5117</xdr:rowOff>
    </xdr:to>
    <xdr:sp macro="" textlink="">
      <xdr:nvSpPr>
        <xdr:cNvPr id="5" name="Rounded Rectangle 4">
          <a:hlinkClick xmlns:r="http://schemas.openxmlformats.org/officeDocument/2006/relationships" r:id="rId1"/>
          <a:extLst>
            <a:ext uri="{FF2B5EF4-FFF2-40B4-BE49-F238E27FC236}">
              <a16:creationId xmlns:a16="http://schemas.microsoft.com/office/drawing/2014/main" id="{B46BC577-4E50-4672-A492-8E735893BCEC}"/>
            </a:ext>
          </a:extLst>
        </xdr:cNvPr>
        <xdr:cNvSpPr/>
      </xdr:nvSpPr>
      <xdr:spPr>
        <a:xfrm>
          <a:off x="4108450" y="304800"/>
          <a:ext cx="973667" cy="3099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64.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7F61C9A6-48C6-49C3-B566-FB70EE8D1826}"/>
            </a:ext>
          </a:extLst>
        </xdr:cNvPr>
        <xdr:cNvSpPr/>
      </xdr:nvSpPr>
      <xdr:spPr>
        <a:xfrm rot="10800000" flipH="1">
          <a:off x="205105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3" name="Right Arrow 2">
          <a:extLst>
            <a:ext uri="{FF2B5EF4-FFF2-40B4-BE49-F238E27FC236}">
              <a16:creationId xmlns:a16="http://schemas.microsoft.com/office/drawing/2014/main" id="{624A0C36-6E17-4FB8-A196-AE37C704D399}"/>
            </a:ext>
          </a:extLst>
        </xdr:cNvPr>
        <xdr:cNvSpPr/>
      </xdr:nvSpPr>
      <xdr:spPr>
        <a:xfrm>
          <a:off x="2028825" y="48577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2</xdr:row>
      <xdr:rowOff>100013</xdr:rowOff>
    </xdr:from>
    <xdr:to>
      <xdr:col>2</xdr:col>
      <xdr:colOff>1247775</xdr:colOff>
      <xdr:row>2</xdr:row>
      <xdr:rowOff>145732</xdr:rowOff>
    </xdr:to>
    <xdr:sp macro="" textlink="">
      <xdr:nvSpPr>
        <xdr:cNvPr id="4" name="Right Arrow 3">
          <a:extLst>
            <a:ext uri="{FF2B5EF4-FFF2-40B4-BE49-F238E27FC236}">
              <a16:creationId xmlns:a16="http://schemas.microsoft.com/office/drawing/2014/main" id="{B388D07D-AFAD-47F6-844C-E33B8306456D}"/>
            </a:ext>
          </a:extLst>
        </xdr:cNvPr>
        <xdr:cNvSpPr/>
      </xdr:nvSpPr>
      <xdr:spPr>
        <a:xfrm rot="10800000" flipH="1">
          <a:off x="205105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1</xdr:row>
      <xdr:rowOff>0</xdr:rowOff>
    </xdr:from>
    <xdr:to>
      <xdr:col>7</xdr:col>
      <xdr:colOff>973667</xdr:colOff>
      <xdr:row>3</xdr:row>
      <xdr:rowOff>5117</xdr:rowOff>
    </xdr:to>
    <xdr:sp macro="" textlink="">
      <xdr:nvSpPr>
        <xdr:cNvPr id="5" name="Rounded Rectangle 4">
          <a:hlinkClick xmlns:r="http://schemas.openxmlformats.org/officeDocument/2006/relationships" r:id="rId1"/>
          <a:extLst>
            <a:ext uri="{FF2B5EF4-FFF2-40B4-BE49-F238E27FC236}">
              <a16:creationId xmlns:a16="http://schemas.microsoft.com/office/drawing/2014/main" id="{41D441DF-EDE7-4796-96AD-2AFF6FA58517}"/>
            </a:ext>
          </a:extLst>
        </xdr:cNvPr>
        <xdr:cNvSpPr/>
      </xdr:nvSpPr>
      <xdr:spPr>
        <a:xfrm>
          <a:off x="4108450" y="304800"/>
          <a:ext cx="973667" cy="3099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65.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4B33361B-9F56-4053-B0BA-0A935369790D}"/>
            </a:ext>
          </a:extLst>
        </xdr:cNvPr>
        <xdr:cNvSpPr/>
      </xdr:nvSpPr>
      <xdr:spPr>
        <a:xfrm rot="10800000" flipH="1">
          <a:off x="205105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3" name="Right Arrow 2">
          <a:extLst>
            <a:ext uri="{FF2B5EF4-FFF2-40B4-BE49-F238E27FC236}">
              <a16:creationId xmlns:a16="http://schemas.microsoft.com/office/drawing/2014/main" id="{D6A2666D-112F-4093-A97B-12A4CC4FDB17}"/>
            </a:ext>
          </a:extLst>
        </xdr:cNvPr>
        <xdr:cNvSpPr/>
      </xdr:nvSpPr>
      <xdr:spPr>
        <a:xfrm>
          <a:off x="2028825" y="48577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2</xdr:row>
      <xdr:rowOff>100013</xdr:rowOff>
    </xdr:from>
    <xdr:to>
      <xdr:col>2</xdr:col>
      <xdr:colOff>1247775</xdr:colOff>
      <xdr:row>2</xdr:row>
      <xdr:rowOff>145732</xdr:rowOff>
    </xdr:to>
    <xdr:sp macro="" textlink="">
      <xdr:nvSpPr>
        <xdr:cNvPr id="4" name="Right Arrow 3">
          <a:extLst>
            <a:ext uri="{FF2B5EF4-FFF2-40B4-BE49-F238E27FC236}">
              <a16:creationId xmlns:a16="http://schemas.microsoft.com/office/drawing/2014/main" id="{B84F2FF1-7CA6-4AA6-A03A-E8BDF9C0AE27}"/>
            </a:ext>
          </a:extLst>
        </xdr:cNvPr>
        <xdr:cNvSpPr/>
      </xdr:nvSpPr>
      <xdr:spPr>
        <a:xfrm rot="10800000" flipH="1">
          <a:off x="205105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1</xdr:row>
      <xdr:rowOff>0</xdr:rowOff>
    </xdr:from>
    <xdr:to>
      <xdr:col>7</xdr:col>
      <xdr:colOff>973667</xdr:colOff>
      <xdr:row>3</xdr:row>
      <xdr:rowOff>5117</xdr:rowOff>
    </xdr:to>
    <xdr:sp macro="" textlink="">
      <xdr:nvSpPr>
        <xdr:cNvPr id="5" name="Rounded Rectangle 4">
          <a:hlinkClick xmlns:r="http://schemas.openxmlformats.org/officeDocument/2006/relationships" r:id="rId1"/>
          <a:extLst>
            <a:ext uri="{FF2B5EF4-FFF2-40B4-BE49-F238E27FC236}">
              <a16:creationId xmlns:a16="http://schemas.microsoft.com/office/drawing/2014/main" id="{FB81439F-7640-4911-A3CE-6A555C8A2993}"/>
            </a:ext>
          </a:extLst>
        </xdr:cNvPr>
        <xdr:cNvSpPr/>
      </xdr:nvSpPr>
      <xdr:spPr>
        <a:xfrm>
          <a:off x="4114800" y="304800"/>
          <a:ext cx="973667" cy="3099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66.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15779D34-D8FE-4676-AD2C-1D95F183D0B2}"/>
            </a:ext>
          </a:extLst>
        </xdr:cNvPr>
        <xdr:cNvSpPr/>
      </xdr:nvSpPr>
      <xdr:spPr>
        <a:xfrm rot="10800000" flipH="1">
          <a:off x="205105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3" name="Right Arrow 2">
          <a:extLst>
            <a:ext uri="{FF2B5EF4-FFF2-40B4-BE49-F238E27FC236}">
              <a16:creationId xmlns:a16="http://schemas.microsoft.com/office/drawing/2014/main" id="{7D82D683-DD4B-4311-8ED6-B88E1EA402B0}"/>
            </a:ext>
          </a:extLst>
        </xdr:cNvPr>
        <xdr:cNvSpPr/>
      </xdr:nvSpPr>
      <xdr:spPr>
        <a:xfrm>
          <a:off x="2028825" y="48577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2</xdr:row>
      <xdr:rowOff>100013</xdr:rowOff>
    </xdr:from>
    <xdr:to>
      <xdr:col>2</xdr:col>
      <xdr:colOff>1247775</xdr:colOff>
      <xdr:row>2</xdr:row>
      <xdr:rowOff>145732</xdr:rowOff>
    </xdr:to>
    <xdr:sp macro="" textlink="">
      <xdr:nvSpPr>
        <xdr:cNvPr id="4" name="Right Arrow 3">
          <a:extLst>
            <a:ext uri="{FF2B5EF4-FFF2-40B4-BE49-F238E27FC236}">
              <a16:creationId xmlns:a16="http://schemas.microsoft.com/office/drawing/2014/main" id="{CB3F9984-3304-4E3E-BA91-3CD39A466403}"/>
            </a:ext>
          </a:extLst>
        </xdr:cNvPr>
        <xdr:cNvSpPr/>
      </xdr:nvSpPr>
      <xdr:spPr>
        <a:xfrm rot="10800000" flipH="1">
          <a:off x="205105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1</xdr:row>
      <xdr:rowOff>0</xdr:rowOff>
    </xdr:from>
    <xdr:to>
      <xdr:col>7</xdr:col>
      <xdr:colOff>973667</xdr:colOff>
      <xdr:row>3</xdr:row>
      <xdr:rowOff>5117</xdr:rowOff>
    </xdr:to>
    <xdr:sp macro="" textlink="">
      <xdr:nvSpPr>
        <xdr:cNvPr id="5" name="Rounded Rectangle 4">
          <a:hlinkClick xmlns:r="http://schemas.openxmlformats.org/officeDocument/2006/relationships" r:id="rId1"/>
          <a:extLst>
            <a:ext uri="{FF2B5EF4-FFF2-40B4-BE49-F238E27FC236}">
              <a16:creationId xmlns:a16="http://schemas.microsoft.com/office/drawing/2014/main" id="{81FC1591-5FCE-4D24-AC01-F15191BD595F}"/>
            </a:ext>
          </a:extLst>
        </xdr:cNvPr>
        <xdr:cNvSpPr/>
      </xdr:nvSpPr>
      <xdr:spPr>
        <a:xfrm>
          <a:off x="4114800" y="304800"/>
          <a:ext cx="973667" cy="3099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67.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EA26F3C2-8B70-4BB0-ABCD-37A8E90E6CC7}"/>
            </a:ext>
          </a:extLst>
        </xdr:cNvPr>
        <xdr:cNvSpPr/>
      </xdr:nvSpPr>
      <xdr:spPr>
        <a:xfrm rot="10800000" flipH="1">
          <a:off x="205105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3" name="Right Arrow 2">
          <a:extLst>
            <a:ext uri="{FF2B5EF4-FFF2-40B4-BE49-F238E27FC236}">
              <a16:creationId xmlns:a16="http://schemas.microsoft.com/office/drawing/2014/main" id="{D13609FC-1048-49AF-97C3-A5F52D39A290}"/>
            </a:ext>
          </a:extLst>
        </xdr:cNvPr>
        <xdr:cNvSpPr/>
      </xdr:nvSpPr>
      <xdr:spPr>
        <a:xfrm>
          <a:off x="2028825" y="48577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2</xdr:row>
      <xdr:rowOff>100013</xdr:rowOff>
    </xdr:from>
    <xdr:to>
      <xdr:col>2</xdr:col>
      <xdr:colOff>1247775</xdr:colOff>
      <xdr:row>2</xdr:row>
      <xdr:rowOff>145732</xdr:rowOff>
    </xdr:to>
    <xdr:sp macro="" textlink="">
      <xdr:nvSpPr>
        <xdr:cNvPr id="4" name="Right Arrow 3">
          <a:extLst>
            <a:ext uri="{FF2B5EF4-FFF2-40B4-BE49-F238E27FC236}">
              <a16:creationId xmlns:a16="http://schemas.microsoft.com/office/drawing/2014/main" id="{12F964F6-87F7-45FB-AAEE-3DEAEB38CCA8}"/>
            </a:ext>
          </a:extLst>
        </xdr:cNvPr>
        <xdr:cNvSpPr/>
      </xdr:nvSpPr>
      <xdr:spPr>
        <a:xfrm rot="10800000" flipH="1">
          <a:off x="205105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1</xdr:row>
      <xdr:rowOff>0</xdr:rowOff>
    </xdr:from>
    <xdr:to>
      <xdr:col>7</xdr:col>
      <xdr:colOff>973667</xdr:colOff>
      <xdr:row>3</xdr:row>
      <xdr:rowOff>5117</xdr:rowOff>
    </xdr:to>
    <xdr:sp macro="" textlink="">
      <xdr:nvSpPr>
        <xdr:cNvPr id="5" name="Rounded Rectangle 4">
          <a:hlinkClick xmlns:r="http://schemas.openxmlformats.org/officeDocument/2006/relationships" r:id="rId1"/>
          <a:extLst>
            <a:ext uri="{FF2B5EF4-FFF2-40B4-BE49-F238E27FC236}">
              <a16:creationId xmlns:a16="http://schemas.microsoft.com/office/drawing/2014/main" id="{807A8235-1D4C-457F-86BB-A92339816B1E}"/>
            </a:ext>
          </a:extLst>
        </xdr:cNvPr>
        <xdr:cNvSpPr/>
      </xdr:nvSpPr>
      <xdr:spPr>
        <a:xfrm>
          <a:off x="4108450" y="304800"/>
          <a:ext cx="973667" cy="3099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68.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F2C51C9C-0D1D-4FDB-BF4D-C0984EA10AE2}"/>
            </a:ext>
          </a:extLst>
        </xdr:cNvPr>
        <xdr:cNvSpPr/>
      </xdr:nvSpPr>
      <xdr:spPr>
        <a:xfrm rot="10800000" flipH="1">
          <a:off x="224155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3" name="Right Arrow 2">
          <a:extLst>
            <a:ext uri="{FF2B5EF4-FFF2-40B4-BE49-F238E27FC236}">
              <a16:creationId xmlns:a16="http://schemas.microsoft.com/office/drawing/2014/main" id="{5B2C8F47-D743-4B77-BBFC-DAED0B425135}"/>
            </a:ext>
          </a:extLst>
        </xdr:cNvPr>
        <xdr:cNvSpPr/>
      </xdr:nvSpPr>
      <xdr:spPr>
        <a:xfrm>
          <a:off x="2219325" y="48577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2</xdr:row>
      <xdr:rowOff>100013</xdr:rowOff>
    </xdr:from>
    <xdr:to>
      <xdr:col>2</xdr:col>
      <xdr:colOff>1247775</xdr:colOff>
      <xdr:row>2</xdr:row>
      <xdr:rowOff>145732</xdr:rowOff>
    </xdr:to>
    <xdr:sp macro="" textlink="">
      <xdr:nvSpPr>
        <xdr:cNvPr id="4" name="Right Arrow 3">
          <a:extLst>
            <a:ext uri="{FF2B5EF4-FFF2-40B4-BE49-F238E27FC236}">
              <a16:creationId xmlns:a16="http://schemas.microsoft.com/office/drawing/2014/main" id="{AEC0D6D7-B7FE-48A0-9E48-6E6F9E23167D}"/>
            </a:ext>
          </a:extLst>
        </xdr:cNvPr>
        <xdr:cNvSpPr/>
      </xdr:nvSpPr>
      <xdr:spPr>
        <a:xfrm rot="10800000" flipH="1">
          <a:off x="224155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1</xdr:row>
      <xdr:rowOff>0</xdr:rowOff>
    </xdr:from>
    <xdr:to>
      <xdr:col>7</xdr:col>
      <xdr:colOff>973667</xdr:colOff>
      <xdr:row>3</xdr:row>
      <xdr:rowOff>5117</xdr:rowOff>
    </xdr:to>
    <xdr:sp macro="" textlink="">
      <xdr:nvSpPr>
        <xdr:cNvPr id="5" name="Rounded Rectangle 4">
          <a:hlinkClick xmlns:r="http://schemas.openxmlformats.org/officeDocument/2006/relationships" r:id="rId1"/>
          <a:extLst>
            <a:ext uri="{FF2B5EF4-FFF2-40B4-BE49-F238E27FC236}">
              <a16:creationId xmlns:a16="http://schemas.microsoft.com/office/drawing/2014/main" id="{098AB33B-9207-48A2-8628-B01634B5F634}"/>
            </a:ext>
          </a:extLst>
        </xdr:cNvPr>
        <xdr:cNvSpPr/>
      </xdr:nvSpPr>
      <xdr:spPr>
        <a:xfrm>
          <a:off x="4298950" y="304800"/>
          <a:ext cx="973667" cy="3099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69.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F29991D9-2975-44EF-97B8-19CE45811DF8}"/>
            </a:ext>
          </a:extLst>
        </xdr:cNvPr>
        <xdr:cNvSpPr/>
      </xdr:nvSpPr>
      <xdr:spPr>
        <a:xfrm rot="10800000" flipH="1">
          <a:off x="205105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3" name="Right Arrow 2">
          <a:extLst>
            <a:ext uri="{FF2B5EF4-FFF2-40B4-BE49-F238E27FC236}">
              <a16:creationId xmlns:a16="http://schemas.microsoft.com/office/drawing/2014/main" id="{CFAE85BD-B8FE-4F87-BE16-95D6079954E5}"/>
            </a:ext>
          </a:extLst>
        </xdr:cNvPr>
        <xdr:cNvSpPr/>
      </xdr:nvSpPr>
      <xdr:spPr>
        <a:xfrm>
          <a:off x="2028825" y="48577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2</xdr:row>
      <xdr:rowOff>100013</xdr:rowOff>
    </xdr:from>
    <xdr:to>
      <xdr:col>2</xdr:col>
      <xdr:colOff>1247775</xdr:colOff>
      <xdr:row>2</xdr:row>
      <xdr:rowOff>145732</xdr:rowOff>
    </xdr:to>
    <xdr:sp macro="" textlink="">
      <xdr:nvSpPr>
        <xdr:cNvPr id="4" name="Right Arrow 3">
          <a:extLst>
            <a:ext uri="{FF2B5EF4-FFF2-40B4-BE49-F238E27FC236}">
              <a16:creationId xmlns:a16="http://schemas.microsoft.com/office/drawing/2014/main" id="{723EDC49-4A25-4A71-AD60-7EA629996B77}"/>
            </a:ext>
          </a:extLst>
        </xdr:cNvPr>
        <xdr:cNvSpPr/>
      </xdr:nvSpPr>
      <xdr:spPr>
        <a:xfrm rot="10800000" flipH="1">
          <a:off x="205105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1</xdr:row>
      <xdr:rowOff>0</xdr:rowOff>
    </xdr:from>
    <xdr:to>
      <xdr:col>7</xdr:col>
      <xdr:colOff>973667</xdr:colOff>
      <xdr:row>3</xdr:row>
      <xdr:rowOff>5117</xdr:rowOff>
    </xdr:to>
    <xdr:sp macro="" textlink="">
      <xdr:nvSpPr>
        <xdr:cNvPr id="5" name="Rounded Rectangle 4">
          <a:hlinkClick xmlns:r="http://schemas.openxmlformats.org/officeDocument/2006/relationships" r:id="rId1"/>
          <a:extLst>
            <a:ext uri="{FF2B5EF4-FFF2-40B4-BE49-F238E27FC236}">
              <a16:creationId xmlns:a16="http://schemas.microsoft.com/office/drawing/2014/main" id="{10FB9CAB-DDEF-4454-AE05-45A8CD08273B}"/>
            </a:ext>
          </a:extLst>
        </xdr:cNvPr>
        <xdr:cNvSpPr/>
      </xdr:nvSpPr>
      <xdr:spPr>
        <a:xfrm>
          <a:off x="4108450" y="304800"/>
          <a:ext cx="973667" cy="3099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70.xml><?xml version="1.0" encoding="utf-8"?>
<xdr:wsDr xmlns:xdr="http://schemas.openxmlformats.org/drawingml/2006/spreadsheetDrawing" xmlns:a="http://schemas.openxmlformats.org/drawingml/2006/main">
  <xdr:twoCellAnchor>
    <xdr:from>
      <xdr:col>2</xdr:col>
      <xdr:colOff>933450</xdr:colOff>
      <xdr:row>3</xdr:row>
      <xdr:rowOff>100013</xdr:rowOff>
    </xdr:from>
    <xdr:to>
      <xdr:col>2</xdr:col>
      <xdr:colOff>1247775</xdr:colOff>
      <xdr:row>3</xdr:row>
      <xdr:rowOff>145732</xdr:rowOff>
    </xdr:to>
    <xdr:sp macro="" textlink="">
      <xdr:nvSpPr>
        <xdr:cNvPr id="2" name="Right Arrow 1">
          <a:extLst>
            <a:ext uri="{FF2B5EF4-FFF2-40B4-BE49-F238E27FC236}">
              <a16:creationId xmlns:a16="http://schemas.microsoft.com/office/drawing/2014/main" id="{DC65C26A-A7FD-4A5B-9BC0-243971FCFAD2}"/>
            </a:ext>
          </a:extLst>
        </xdr:cNvPr>
        <xdr:cNvSpPr/>
      </xdr:nvSpPr>
      <xdr:spPr>
        <a:xfrm rot="10800000" flipH="1">
          <a:off x="2051050" y="4048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3" name="Right Arrow 2">
          <a:extLst>
            <a:ext uri="{FF2B5EF4-FFF2-40B4-BE49-F238E27FC236}">
              <a16:creationId xmlns:a16="http://schemas.microsoft.com/office/drawing/2014/main" id="{71149A36-4EB8-412F-8585-A823A1392219}"/>
            </a:ext>
          </a:extLst>
        </xdr:cNvPr>
        <xdr:cNvSpPr/>
      </xdr:nvSpPr>
      <xdr:spPr>
        <a:xfrm>
          <a:off x="1803400" y="40640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4" name="Right Arrow 3">
          <a:extLst>
            <a:ext uri="{FF2B5EF4-FFF2-40B4-BE49-F238E27FC236}">
              <a16:creationId xmlns:a16="http://schemas.microsoft.com/office/drawing/2014/main" id="{94D6D347-D99B-4244-B09F-40FD64D49452}"/>
            </a:ext>
          </a:extLst>
        </xdr:cNvPr>
        <xdr:cNvSpPr/>
      </xdr:nvSpPr>
      <xdr:spPr>
        <a:xfrm>
          <a:off x="1763889" y="180974"/>
          <a:ext cx="287162"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5" name="Right Arrow 4">
          <a:extLst>
            <a:ext uri="{FF2B5EF4-FFF2-40B4-BE49-F238E27FC236}">
              <a16:creationId xmlns:a16="http://schemas.microsoft.com/office/drawing/2014/main" id="{B7F4EBF8-EB12-4DE9-AD1A-E1668549751B}"/>
            </a:ext>
          </a:extLst>
        </xdr:cNvPr>
        <xdr:cNvSpPr/>
      </xdr:nvSpPr>
      <xdr:spPr>
        <a:xfrm>
          <a:off x="2028825" y="33337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6" name="Right Arrow 5">
          <a:extLst>
            <a:ext uri="{FF2B5EF4-FFF2-40B4-BE49-F238E27FC236}">
              <a16:creationId xmlns:a16="http://schemas.microsoft.com/office/drawing/2014/main" id="{A74BB1F3-2C40-4AE5-BA34-27C3E261E5E0}"/>
            </a:ext>
          </a:extLst>
        </xdr:cNvPr>
        <xdr:cNvSpPr/>
      </xdr:nvSpPr>
      <xdr:spPr>
        <a:xfrm>
          <a:off x="1771650" y="32384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3</xdr:row>
      <xdr:rowOff>100013</xdr:rowOff>
    </xdr:from>
    <xdr:to>
      <xdr:col>2</xdr:col>
      <xdr:colOff>1247775</xdr:colOff>
      <xdr:row>3</xdr:row>
      <xdr:rowOff>145732</xdr:rowOff>
    </xdr:to>
    <xdr:sp macro="" textlink="">
      <xdr:nvSpPr>
        <xdr:cNvPr id="7" name="Right Arrow 6">
          <a:extLst>
            <a:ext uri="{FF2B5EF4-FFF2-40B4-BE49-F238E27FC236}">
              <a16:creationId xmlns:a16="http://schemas.microsoft.com/office/drawing/2014/main" id="{1AC80001-F82F-4D29-8426-54D1B5F063C9}"/>
            </a:ext>
          </a:extLst>
        </xdr:cNvPr>
        <xdr:cNvSpPr/>
      </xdr:nvSpPr>
      <xdr:spPr>
        <a:xfrm rot="10800000" flipH="1">
          <a:off x="2051050" y="4048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8" name="Right Arrow 7">
          <a:extLst>
            <a:ext uri="{FF2B5EF4-FFF2-40B4-BE49-F238E27FC236}">
              <a16:creationId xmlns:a16="http://schemas.microsoft.com/office/drawing/2014/main" id="{15A73CE5-07B2-4C60-A480-6E92E83DF1D6}"/>
            </a:ext>
          </a:extLst>
        </xdr:cNvPr>
        <xdr:cNvSpPr/>
      </xdr:nvSpPr>
      <xdr:spPr>
        <a:xfrm>
          <a:off x="1803400" y="40640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9" name="Right Arrow 8">
          <a:extLst>
            <a:ext uri="{FF2B5EF4-FFF2-40B4-BE49-F238E27FC236}">
              <a16:creationId xmlns:a16="http://schemas.microsoft.com/office/drawing/2014/main" id="{681E5EBC-1365-4445-8440-8C1A3579DC0D}"/>
            </a:ext>
          </a:extLst>
        </xdr:cNvPr>
        <xdr:cNvSpPr/>
      </xdr:nvSpPr>
      <xdr:spPr>
        <a:xfrm>
          <a:off x="1763889" y="180974"/>
          <a:ext cx="287162"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10" name="Right Arrow 9">
          <a:extLst>
            <a:ext uri="{FF2B5EF4-FFF2-40B4-BE49-F238E27FC236}">
              <a16:creationId xmlns:a16="http://schemas.microsoft.com/office/drawing/2014/main" id="{2C01C2AD-5231-4B49-8CB8-8EAA433137F4}"/>
            </a:ext>
          </a:extLst>
        </xdr:cNvPr>
        <xdr:cNvSpPr/>
      </xdr:nvSpPr>
      <xdr:spPr>
        <a:xfrm>
          <a:off x="2028825" y="33337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11" name="Right Arrow 10">
          <a:extLst>
            <a:ext uri="{FF2B5EF4-FFF2-40B4-BE49-F238E27FC236}">
              <a16:creationId xmlns:a16="http://schemas.microsoft.com/office/drawing/2014/main" id="{027162A0-B07F-4F6E-9779-3EA68C61BD9A}"/>
            </a:ext>
          </a:extLst>
        </xdr:cNvPr>
        <xdr:cNvSpPr/>
      </xdr:nvSpPr>
      <xdr:spPr>
        <a:xfrm>
          <a:off x="1771650" y="32384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2</xdr:row>
      <xdr:rowOff>0</xdr:rowOff>
    </xdr:from>
    <xdr:to>
      <xdr:col>7</xdr:col>
      <xdr:colOff>973667</xdr:colOff>
      <xdr:row>4</xdr:row>
      <xdr:rowOff>5117</xdr:rowOff>
    </xdr:to>
    <xdr:sp macro="" textlink="">
      <xdr:nvSpPr>
        <xdr:cNvPr id="12" name="Rounded Rectangle 11">
          <a:hlinkClick xmlns:r="http://schemas.openxmlformats.org/officeDocument/2006/relationships" r:id="rId1"/>
          <a:extLst>
            <a:ext uri="{FF2B5EF4-FFF2-40B4-BE49-F238E27FC236}">
              <a16:creationId xmlns:a16="http://schemas.microsoft.com/office/drawing/2014/main" id="{9535C782-3241-4B3A-AEE9-703243AFA9E2}"/>
            </a:ext>
          </a:extLst>
        </xdr:cNvPr>
        <xdr:cNvSpPr/>
      </xdr:nvSpPr>
      <xdr:spPr>
        <a:xfrm>
          <a:off x="5035550" y="152400"/>
          <a:ext cx="973667" cy="3099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71.xml><?xml version="1.0" encoding="utf-8"?>
<xdr:wsDr xmlns:xdr="http://schemas.openxmlformats.org/drawingml/2006/spreadsheetDrawing" xmlns:a="http://schemas.openxmlformats.org/drawingml/2006/main">
  <xdr:twoCellAnchor>
    <xdr:from>
      <xdr:col>2</xdr:col>
      <xdr:colOff>933450</xdr:colOff>
      <xdr:row>3</xdr:row>
      <xdr:rowOff>100013</xdr:rowOff>
    </xdr:from>
    <xdr:to>
      <xdr:col>2</xdr:col>
      <xdr:colOff>1247775</xdr:colOff>
      <xdr:row>3</xdr:row>
      <xdr:rowOff>145732</xdr:rowOff>
    </xdr:to>
    <xdr:sp macro="" textlink="">
      <xdr:nvSpPr>
        <xdr:cNvPr id="2" name="Right Arrow 1">
          <a:extLst>
            <a:ext uri="{FF2B5EF4-FFF2-40B4-BE49-F238E27FC236}">
              <a16:creationId xmlns:a16="http://schemas.microsoft.com/office/drawing/2014/main" id="{DC6DFF39-BC25-4458-BC59-741C37DD73D5}"/>
            </a:ext>
          </a:extLst>
        </xdr:cNvPr>
        <xdr:cNvSpPr/>
      </xdr:nvSpPr>
      <xdr:spPr>
        <a:xfrm rot="10800000" flipH="1">
          <a:off x="2051050" y="7096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3" name="Right Arrow 2">
          <a:extLst>
            <a:ext uri="{FF2B5EF4-FFF2-40B4-BE49-F238E27FC236}">
              <a16:creationId xmlns:a16="http://schemas.microsoft.com/office/drawing/2014/main" id="{605C93DD-80DB-43C2-BCAC-3EB590E941F3}"/>
            </a:ext>
          </a:extLst>
        </xdr:cNvPr>
        <xdr:cNvSpPr/>
      </xdr:nvSpPr>
      <xdr:spPr>
        <a:xfrm>
          <a:off x="1803400" y="71120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4" name="Right Arrow 3">
          <a:extLst>
            <a:ext uri="{FF2B5EF4-FFF2-40B4-BE49-F238E27FC236}">
              <a16:creationId xmlns:a16="http://schemas.microsoft.com/office/drawing/2014/main" id="{6922A90B-9F29-4DF3-AE47-F2E54051A00F}"/>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5" name="Right Arrow 4">
          <a:extLst>
            <a:ext uri="{FF2B5EF4-FFF2-40B4-BE49-F238E27FC236}">
              <a16:creationId xmlns:a16="http://schemas.microsoft.com/office/drawing/2014/main" id="{B3650506-8DD5-4AEF-A12B-9D94E6CE5913}"/>
            </a:ext>
          </a:extLst>
        </xdr:cNvPr>
        <xdr:cNvSpPr/>
      </xdr:nvSpPr>
      <xdr:spPr>
        <a:xfrm>
          <a:off x="2028825" y="63817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6" name="Right Arrow 5">
          <a:extLst>
            <a:ext uri="{FF2B5EF4-FFF2-40B4-BE49-F238E27FC236}">
              <a16:creationId xmlns:a16="http://schemas.microsoft.com/office/drawing/2014/main" id="{3C5F52BF-A66C-4155-B6F2-FA18BA8477AE}"/>
            </a:ext>
          </a:extLst>
        </xdr:cNvPr>
        <xdr:cNvSpPr/>
      </xdr:nvSpPr>
      <xdr:spPr>
        <a:xfrm>
          <a:off x="1771650" y="62864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3</xdr:row>
      <xdr:rowOff>100013</xdr:rowOff>
    </xdr:from>
    <xdr:to>
      <xdr:col>2</xdr:col>
      <xdr:colOff>1247775</xdr:colOff>
      <xdr:row>3</xdr:row>
      <xdr:rowOff>145732</xdr:rowOff>
    </xdr:to>
    <xdr:sp macro="" textlink="">
      <xdr:nvSpPr>
        <xdr:cNvPr id="7" name="Right Arrow 6">
          <a:extLst>
            <a:ext uri="{FF2B5EF4-FFF2-40B4-BE49-F238E27FC236}">
              <a16:creationId xmlns:a16="http://schemas.microsoft.com/office/drawing/2014/main" id="{DFAF60D9-D8DA-427F-810C-7DF8320B1559}"/>
            </a:ext>
          </a:extLst>
        </xdr:cNvPr>
        <xdr:cNvSpPr/>
      </xdr:nvSpPr>
      <xdr:spPr>
        <a:xfrm rot="10800000" flipH="1">
          <a:off x="2051050" y="7096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8" name="Right Arrow 7">
          <a:extLst>
            <a:ext uri="{FF2B5EF4-FFF2-40B4-BE49-F238E27FC236}">
              <a16:creationId xmlns:a16="http://schemas.microsoft.com/office/drawing/2014/main" id="{1D506D8F-6D9C-41B1-82E1-FFAA86A69A4A}"/>
            </a:ext>
          </a:extLst>
        </xdr:cNvPr>
        <xdr:cNvSpPr/>
      </xdr:nvSpPr>
      <xdr:spPr>
        <a:xfrm>
          <a:off x="1803400" y="71120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9" name="Right Arrow 8">
          <a:extLst>
            <a:ext uri="{FF2B5EF4-FFF2-40B4-BE49-F238E27FC236}">
              <a16:creationId xmlns:a16="http://schemas.microsoft.com/office/drawing/2014/main" id="{10DCDAAB-B03C-407C-8153-79699DCA009F}"/>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10" name="Right Arrow 9">
          <a:extLst>
            <a:ext uri="{FF2B5EF4-FFF2-40B4-BE49-F238E27FC236}">
              <a16:creationId xmlns:a16="http://schemas.microsoft.com/office/drawing/2014/main" id="{E79F9944-0223-498F-990E-5CC4FC7CDE39}"/>
            </a:ext>
          </a:extLst>
        </xdr:cNvPr>
        <xdr:cNvSpPr/>
      </xdr:nvSpPr>
      <xdr:spPr>
        <a:xfrm>
          <a:off x="2028825" y="63817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11" name="Right Arrow 10">
          <a:extLst>
            <a:ext uri="{FF2B5EF4-FFF2-40B4-BE49-F238E27FC236}">
              <a16:creationId xmlns:a16="http://schemas.microsoft.com/office/drawing/2014/main" id="{512EF47D-E393-47B4-8A3C-BF95249C3E28}"/>
            </a:ext>
          </a:extLst>
        </xdr:cNvPr>
        <xdr:cNvSpPr/>
      </xdr:nvSpPr>
      <xdr:spPr>
        <a:xfrm>
          <a:off x="1771650" y="62864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2</xdr:row>
      <xdr:rowOff>0</xdr:rowOff>
    </xdr:from>
    <xdr:to>
      <xdr:col>7</xdr:col>
      <xdr:colOff>973667</xdr:colOff>
      <xdr:row>4</xdr:row>
      <xdr:rowOff>5117</xdr:rowOff>
    </xdr:to>
    <xdr:sp macro="" textlink="">
      <xdr:nvSpPr>
        <xdr:cNvPr id="12" name="Rounded Rectangle 11">
          <a:hlinkClick xmlns:r="http://schemas.openxmlformats.org/officeDocument/2006/relationships" r:id="rId1"/>
          <a:extLst>
            <a:ext uri="{FF2B5EF4-FFF2-40B4-BE49-F238E27FC236}">
              <a16:creationId xmlns:a16="http://schemas.microsoft.com/office/drawing/2014/main" id="{743F10A3-041E-4F50-B1EF-F5011F9EC2CF}"/>
            </a:ext>
          </a:extLst>
        </xdr:cNvPr>
        <xdr:cNvSpPr/>
      </xdr:nvSpPr>
      <xdr:spPr>
        <a:xfrm>
          <a:off x="4978400" y="304800"/>
          <a:ext cx="973667" cy="4623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72.xml><?xml version="1.0" encoding="utf-8"?>
<xdr:wsDr xmlns:xdr="http://schemas.openxmlformats.org/drawingml/2006/spreadsheetDrawing" xmlns:a="http://schemas.openxmlformats.org/drawingml/2006/main">
  <xdr:twoCellAnchor>
    <xdr:from>
      <xdr:col>2</xdr:col>
      <xdr:colOff>933450</xdr:colOff>
      <xdr:row>3</xdr:row>
      <xdr:rowOff>100013</xdr:rowOff>
    </xdr:from>
    <xdr:to>
      <xdr:col>2</xdr:col>
      <xdr:colOff>1247775</xdr:colOff>
      <xdr:row>3</xdr:row>
      <xdr:rowOff>145732</xdr:rowOff>
    </xdr:to>
    <xdr:sp macro="" textlink="">
      <xdr:nvSpPr>
        <xdr:cNvPr id="2" name="Right Arrow 1">
          <a:extLst>
            <a:ext uri="{FF2B5EF4-FFF2-40B4-BE49-F238E27FC236}">
              <a16:creationId xmlns:a16="http://schemas.microsoft.com/office/drawing/2014/main" id="{C2BDE3B4-70FB-40E4-A78D-A09E4F06DD43}"/>
            </a:ext>
          </a:extLst>
        </xdr:cNvPr>
        <xdr:cNvSpPr/>
      </xdr:nvSpPr>
      <xdr:spPr>
        <a:xfrm rot="10800000" flipH="1">
          <a:off x="20510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3" name="Right Arrow 2">
          <a:extLst>
            <a:ext uri="{FF2B5EF4-FFF2-40B4-BE49-F238E27FC236}">
              <a16:creationId xmlns:a16="http://schemas.microsoft.com/office/drawing/2014/main" id="{E465AC9E-E56C-4588-8A47-9AECDA3B6ED4}"/>
            </a:ext>
          </a:extLst>
        </xdr:cNvPr>
        <xdr:cNvSpPr/>
      </xdr:nvSpPr>
      <xdr:spPr>
        <a:xfrm>
          <a:off x="180340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4" name="Right Arrow 3">
          <a:extLst>
            <a:ext uri="{FF2B5EF4-FFF2-40B4-BE49-F238E27FC236}">
              <a16:creationId xmlns:a16="http://schemas.microsoft.com/office/drawing/2014/main" id="{905C5584-EA83-46BA-B45C-F2B1BDB9E576}"/>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5" name="Right Arrow 4">
          <a:extLst>
            <a:ext uri="{FF2B5EF4-FFF2-40B4-BE49-F238E27FC236}">
              <a16:creationId xmlns:a16="http://schemas.microsoft.com/office/drawing/2014/main" id="{AF867016-DFC1-40C9-B367-A39BA644070C}"/>
            </a:ext>
          </a:extLst>
        </xdr:cNvPr>
        <xdr:cNvSpPr/>
      </xdr:nvSpPr>
      <xdr:spPr>
        <a:xfrm>
          <a:off x="202882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6" name="Right Arrow 5">
          <a:extLst>
            <a:ext uri="{FF2B5EF4-FFF2-40B4-BE49-F238E27FC236}">
              <a16:creationId xmlns:a16="http://schemas.microsoft.com/office/drawing/2014/main" id="{4F1822D4-B2FC-4F3A-9DA1-F23A1A71989F}"/>
            </a:ext>
          </a:extLst>
        </xdr:cNvPr>
        <xdr:cNvSpPr/>
      </xdr:nvSpPr>
      <xdr:spPr>
        <a:xfrm>
          <a:off x="177165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3</xdr:row>
      <xdr:rowOff>100013</xdr:rowOff>
    </xdr:from>
    <xdr:to>
      <xdr:col>2</xdr:col>
      <xdr:colOff>1247775</xdr:colOff>
      <xdr:row>3</xdr:row>
      <xdr:rowOff>145732</xdr:rowOff>
    </xdr:to>
    <xdr:sp macro="" textlink="">
      <xdr:nvSpPr>
        <xdr:cNvPr id="7" name="Right Arrow 6">
          <a:extLst>
            <a:ext uri="{FF2B5EF4-FFF2-40B4-BE49-F238E27FC236}">
              <a16:creationId xmlns:a16="http://schemas.microsoft.com/office/drawing/2014/main" id="{630DE26C-7B39-4F12-808B-D7CC21B7AA25}"/>
            </a:ext>
          </a:extLst>
        </xdr:cNvPr>
        <xdr:cNvSpPr/>
      </xdr:nvSpPr>
      <xdr:spPr>
        <a:xfrm rot="10800000" flipH="1">
          <a:off x="20510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8" name="Right Arrow 7">
          <a:extLst>
            <a:ext uri="{FF2B5EF4-FFF2-40B4-BE49-F238E27FC236}">
              <a16:creationId xmlns:a16="http://schemas.microsoft.com/office/drawing/2014/main" id="{036F5869-04BB-4994-A48C-55656EFFDA6D}"/>
            </a:ext>
          </a:extLst>
        </xdr:cNvPr>
        <xdr:cNvSpPr/>
      </xdr:nvSpPr>
      <xdr:spPr>
        <a:xfrm>
          <a:off x="180340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9" name="Right Arrow 8">
          <a:extLst>
            <a:ext uri="{FF2B5EF4-FFF2-40B4-BE49-F238E27FC236}">
              <a16:creationId xmlns:a16="http://schemas.microsoft.com/office/drawing/2014/main" id="{CE1240D0-BDD1-4B4A-8CD0-1F6632C6536E}"/>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10" name="Right Arrow 9">
          <a:extLst>
            <a:ext uri="{FF2B5EF4-FFF2-40B4-BE49-F238E27FC236}">
              <a16:creationId xmlns:a16="http://schemas.microsoft.com/office/drawing/2014/main" id="{B097AF85-038A-4C3D-9956-391BF4E9BCBA}"/>
            </a:ext>
          </a:extLst>
        </xdr:cNvPr>
        <xdr:cNvSpPr/>
      </xdr:nvSpPr>
      <xdr:spPr>
        <a:xfrm>
          <a:off x="202882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11" name="Right Arrow 10">
          <a:extLst>
            <a:ext uri="{FF2B5EF4-FFF2-40B4-BE49-F238E27FC236}">
              <a16:creationId xmlns:a16="http://schemas.microsoft.com/office/drawing/2014/main" id="{AFA08A94-7870-44E4-AE68-9B0024CB4488}"/>
            </a:ext>
          </a:extLst>
        </xdr:cNvPr>
        <xdr:cNvSpPr/>
      </xdr:nvSpPr>
      <xdr:spPr>
        <a:xfrm>
          <a:off x="177165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2</xdr:row>
      <xdr:rowOff>0</xdr:rowOff>
    </xdr:from>
    <xdr:to>
      <xdr:col>7</xdr:col>
      <xdr:colOff>973667</xdr:colOff>
      <xdr:row>4</xdr:row>
      <xdr:rowOff>5117</xdr:rowOff>
    </xdr:to>
    <xdr:sp macro="" textlink="">
      <xdr:nvSpPr>
        <xdr:cNvPr id="12" name="Rounded Rectangle 11">
          <a:hlinkClick xmlns:r="http://schemas.openxmlformats.org/officeDocument/2006/relationships" r:id="rId1"/>
          <a:extLst>
            <a:ext uri="{FF2B5EF4-FFF2-40B4-BE49-F238E27FC236}">
              <a16:creationId xmlns:a16="http://schemas.microsoft.com/office/drawing/2014/main" id="{9154B814-716A-4FAC-85EB-36C99E104405}"/>
            </a:ext>
          </a:extLst>
        </xdr:cNvPr>
        <xdr:cNvSpPr/>
      </xdr:nvSpPr>
      <xdr:spPr>
        <a:xfrm>
          <a:off x="4978400" y="304800"/>
          <a:ext cx="973667" cy="34166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73.xml><?xml version="1.0" encoding="utf-8"?>
<xdr:wsDr xmlns:xdr="http://schemas.openxmlformats.org/drawingml/2006/spreadsheetDrawing" xmlns:a="http://schemas.openxmlformats.org/drawingml/2006/main">
  <xdr:twoCellAnchor>
    <xdr:from>
      <xdr:col>2</xdr:col>
      <xdr:colOff>933450</xdr:colOff>
      <xdr:row>3</xdr:row>
      <xdr:rowOff>100013</xdr:rowOff>
    </xdr:from>
    <xdr:to>
      <xdr:col>2</xdr:col>
      <xdr:colOff>1247775</xdr:colOff>
      <xdr:row>3</xdr:row>
      <xdr:rowOff>145732</xdr:rowOff>
    </xdr:to>
    <xdr:sp macro="" textlink="">
      <xdr:nvSpPr>
        <xdr:cNvPr id="2" name="Right Arrow 1">
          <a:extLst>
            <a:ext uri="{FF2B5EF4-FFF2-40B4-BE49-F238E27FC236}">
              <a16:creationId xmlns:a16="http://schemas.microsoft.com/office/drawing/2014/main" id="{8BB16DAB-E266-4F03-BBA2-5F0B646E1F4F}"/>
            </a:ext>
          </a:extLst>
        </xdr:cNvPr>
        <xdr:cNvSpPr/>
      </xdr:nvSpPr>
      <xdr:spPr>
        <a:xfrm rot="10800000" flipH="1">
          <a:off x="20510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3" name="Right Arrow 2">
          <a:extLst>
            <a:ext uri="{FF2B5EF4-FFF2-40B4-BE49-F238E27FC236}">
              <a16:creationId xmlns:a16="http://schemas.microsoft.com/office/drawing/2014/main" id="{C2B5A4BD-E106-4458-9D91-793C02A1444C}"/>
            </a:ext>
          </a:extLst>
        </xdr:cNvPr>
        <xdr:cNvSpPr/>
      </xdr:nvSpPr>
      <xdr:spPr>
        <a:xfrm>
          <a:off x="180340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4" name="Right Arrow 3">
          <a:extLst>
            <a:ext uri="{FF2B5EF4-FFF2-40B4-BE49-F238E27FC236}">
              <a16:creationId xmlns:a16="http://schemas.microsoft.com/office/drawing/2014/main" id="{AB71934D-29A5-4684-A284-7A467F9A5831}"/>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5" name="Right Arrow 4">
          <a:extLst>
            <a:ext uri="{FF2B5EF4-FFF2-40B4-BE49-F238E27FC236}">
              <a16:creationId xmlns:a16="http://schemas.microsoft.com/office/drawing/2014/main" id="{78BE8E24-11A6-4A5F-AAEB-C47697460E5A}"/>
            </a:ext>
          </a:extLst>
        </xdr:cNvPr>
        <xdr:cNvSpPr/>
      </xdr:nvSpPr>
      <xdr:spPr>
        <a:xfrm>
          <a:off x="202882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6" name="Right Arrow 5">
          <a:extLst>
            <a:ext uri="{FF2B5EF4-FFF2-40B4-BE49-F238E27FC236}">
              <a16:creationId xmlns:a16="http://schemas.microsoft.com/office/drawing/2014/main" id="{3BBD181E-9230-4F0F-980A-4F22C706A06A}"/>
            </a:ext>
          </a:extLst>
        </xdr:cNvPr>
        <xdr:cNvSpPr/>
      </xdr:nvSpPr>
      <xdr:spPr>
        <a:xfrm>
          <a:off x="177165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3</xdr:row>
      <xdr:rowOff>100013</xdr:rowOff>
    </xdr:from>
    <xdr:to>
      <xdr:col>2</xdr:col>
      <xdr:colOff>1247775</xdr:colOff>
      <xdr:row>3</xdr:row>
      <xdr:rowOff>145732</xdr:rowOff>
    </xdr:to>
    <xdr:sp macro="" textlink="">
      <xdr:nvSpPr>
        <xdr:cNvPr id="7" name="Right Arrow 6">
          <a:extLst>
            <a:ext uri="{FF2B5EF4-FFF2-40B4-BE49-F238E27FC236}">
              <a16:creationId xmlns:a16="http://schemas.microsoft.com/office/drawing/2014/main" id="{6A5E818D-D5F3-409C-A357-5A0172CA6068}"/>
            </a:ext>
          </a:extLst>
        </xdr:cNvPr>
        <xdr:cNvSpPr/>
      </xdr:nvSpPr>
      <xdr:spPr>
        <a:xfrm rot="10800000" flipH="1">
          <a:off x="20510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8" name="Right Arrow 7">
          <a:extLst>
            <a:ext uri="{FF2B5EF4-FFF2-40B4-BE49-F238E27FC236}">
              <a16:creationId xmlns:a16="http://schemas.microsoft.com/office/drawing/2014/main" id="{4AAE1AE2-D2B6-4EEE-B160-051D2CED6ED1}"/>
            </a:ext>
          </a:extLst>
        </xdr:cNvPr>
        <xdr:cNvSpPr/>
      </xdr:nvSpPr>
      <xdr:spPr>
        <a:xfrm>
          <a:off x="180340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9" name="Right Arrow 8">
          <a:extLst>
            <a:ext uri="{FF2B5EF4-FFF2-40B4-BE49-F238E27FC236}">
              <a16:creationId xmlns:a16="http://schemas.microsoft.com/office/drawing/2014/main" id="{9227208B-920D-45B2-9457-13C0F59CCD0F}"/>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10" name="Right Arrow 9">
          <a:extLst>
            <a:ext uri="{FF2B5EF4-FFF2-40B4-BE49-F238E27FC236}">
              <a16:creationId xmlns:a16="http://schemas.microsoft.com/office/drawing/2014/main" id="{1D61CC70-19D8-47DA-B4FE-54DA5388A0FB}"/>
            </a:ext>
          </a:extLst>
        </xdr:cNvPr>
        <xdr:cNvSpPr/>
      </xdr:nvSpPr>
      <xdr:spPr>
        <a:xfrm>
          <a:off x="202882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11" name="Right Arrow 10">
          <a:extLst>
            <a:ext uri="{FF2B5EF4-FFF2-40B4-BE49-F238E27FC236}">
              <a16:creationId xmlns:a16="http://schemas.microsoft.com/office/drawing/2014/main" id="{63FF72A5-927B-4AD6-9FE3-88C54B003644}"/>
            </a:ext>
          </a:extLst>
        </xdr:cNvPr>
        <xdr:cNvSpPr/>
      </xdr:nvSpPr>
      <xdr:spPr>
        <a:xfrm>
          <a:off x="177165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2</xdr:row>
      <xdr:rowOff>0</xdr:rowOff>
    </xdr:from>
    <xdr:to>
      <xdr:col>7</xdr:col>
      <xdr:colOff>973667</xdr:colOff>
      <xdr:row>4</xdr:row>
      <xdr:rowOff>5117</xdr:rowOff>
    </xdr:to>
    <xdr:sp macro="" textlink="">
      <xdr:nvSpPr>
        <xdr:cNvPr id="12" name="Rounded Rectangle 11">
          <a:hlinkClick xmlns:r="http://schemas.openxmlformats.org/officeDocument/2006/relationships" r:id="rId1"/>
          <a:extLst>
            <a:ext uri="{FF2B5EF4-FFF2-40B4-BE49-F238E27FC236}">
              <a16:creationId xmlns:a16="http://schemas.microsoft.com/office/drawing/2014/main" id="{A3CDE52A-3CE3-473B-BEFE-BF9D04DF27F3}"/>
            </a:ext>
          </a:extLst>
        </xdr:cNvPr>
        <xdr:cNvSpPr/>
      </xdr:nvSpPr>
      <xdr:spPr>
        <a:xfrm>
          <a:off x="4978400" y="304800"/>
          <a:ext cx="973667" cy="34166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74.xml><?xml version="1.0" encoding="utf-8"?>
<xdr:wsDr xmlns:xdr="http://schemas.openxmlformats.org/drawingml/2006/spreadsheetDrawing" xmlns:a="http://schemas.openxmlformats.org/drawingml/2006/main">
  <xdr:twoCellAnchor>
    <xdr:from>
      <xdr:col>2</xdr:col>
      <xdr:colOff>933450</xdr:colOff>
      <xdr:row>3</xdr:row>
      <xdr:rowOff>100013</xdr:rowOff>
    </xdr:from>
    <xdr:to>
      <xdr:col>2</xdr:col>
      <xdr:colOff>1247775</xdr:colOff>
      <xdr:row>3</xdr:row>
      <xdr:rowOff>145732</xdr:rowOff>
    </xdr:to>
    <xdr:sp macro="" textlink="">
      <xdr:nvSpPr>
        <xdr:cNvPr id="2" name="Right Arrow 1">
          <a:extLst>
            <a:ext uri="{FF2B5EF4-FFF2-40B4-BE49-F238E27FC236}">
              <a16:creationId xmlns:a16="http://schemas.microsoft.com/office/drawing/2014/main" id="{F1FD6246-AFF3-4E9B-AA41-A68FFBFEDCC2}"/>
            </a:ext>
          </a:extLst>
        </xdr:cNvPr>
        <xdr:cNvSpPr/>
      </xdr:nvSpPr>
      <xdr:spPr>
        <a:xfrm rot="10800000" flipH="1">
          <a:off x="22542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3" name="Right Arrow 2">
          <a:extLst>
            <a:ext uri="{FF2B5EF4-FFF2-40B4-BE49-F238E27FC236}">
              <a16:creationId xmlns:a16="http://schemas.microsoft.com/office/drawing/2014/main" id="{D840323B-66DF-4BA7-9FEB-58E13258590D}"/>
            </a:ext>
          </a:extLst>
        </xdr:cNvPr>
        <xdr:cNvSpPr/>
      </xdr:nvSpPr>
      <xdr:spPr>
        <a:xfrm>
          <a:off x="200660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4" name="Right Arrow 3">
          <a:extLst>
            <a:ext uri="{FF2B5EF4-FFF2-40B4-BE49-F238E27FC236}">
              <a16:creationId xmlns:a16="http://schemas.microsoft.com/office/drawing/2014/main" id="{A048CB64-3C5D-42E0-99B5-0EA2CE90CDDB}"/>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5" name="Right Arrow 4">
          <a:extLst>
            <a:ext uri="{FF2B5EF4-FFF2-40B4-BE49-F238E27FC236}">
              <a16:creationId xmlns:a16="http://schemas.microsoft.com/office/drawing/2014/main" id="{BBA01DC4-8584-494B-9ACE-CFA3A7FB2B7E}"/>
            </a:ext>
          </a:extLst>
        </xdr:cNvPr>
        <xdr:cNvSpPr/>
      </xdr:nvSpPr>
      <xdr:spPr>
        <a:xfrm>
          <a:off x="223202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6" name="Right Arrow 5">
          <a:extLst>
            <a:ext uri="{FF2B5EF4-FFF2-40B4-BE49-F238E27FC236}">
              <a16:creationId xmlns:a16="http://schemas.microsoft.com/office/drawing/2014/main" id="{3FBA8B9B-D7AC-40AA-A8E3-21A72FCAEA07}"/>
            </a:ext>
          </a:extLst>
        </xdr:cNvPr>
        <xdr:cNvSpPr/>
      </xdr:nvSpPr>
      <xdr:spPr>
        <a:xfrm>
          <a:off x="197485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3</xdr:row>
      <xdr:rowOff>100013</xdr:rowOff>
    </xdr:from>
    <xdr:to>
      <xdr:col>2</xdr:col>
      <xdr:colOff>1247775</xdr:colOff>
      <xdr:row>3</xdr:row>
      <xdr:rowOff>145732</xdr:rowOff>
    </xdr:to>
    <xdr:sp macro="" textlink="">
      <xdr:nvSpPr>
        <xdr:cNvPr id="7" name="Right Arrow 6">
          <a:extLst>
            <a:ext uri="{FF2B5EF4-FFF2-40B4-BE49-F238E27FC236}">
              <a16:creationId xmlns:a16="http://schemas.microsoft.com/office/drawing/2014/main" id="{C9BF3271-F7BA-4F6F-A396-98A7FE8E9EE5}"/>
            </a:ext>
          </a:extLst>
        </xdr:cNvPr>
        <xdr:cNvSpPr/>
      </xdr:nvSpPr>
      <xdr:spPr>
        <a:xfrm rot="10800000" flipH="1">
          <a:off x="22542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8" name="Right Arrow 7">
          <a:extLst>
            <a:ext uri="{FF2B5EF4-FFF2-40B4-BE49-F238E27FC236}">
              <a16:creationId xmlns:a16="http://schemas.microsoft.com/office/drawing/2014/main" id="{64673B32-28EA-4676-AAFE-7059B47E9A60}"/>
            </a:ext>
          </a:extLst>
        </xdr:cNvPr>
        <xdr:cNvSpPr/>
      </xdr:nvSpPr>
      <xdr:spPr>
        <a:xfrm>
          <a:off x="200660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9" name="Right Arrow 8">
          <a:extLst>
            <a:ext uri="{FF2B5EF4-FFF2-40B4-BE49-F238E27FC236}">
              <a16:creationId xmlns:a16="http://schemas.microsoft.com/office/drawing/2014/main" id="{3286D51E-65A4-49DE-BF31-BDEA507A19E2}"/>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10" name="Right Arrow 9">
          <a:extLst>
            <a:ext uri="{FF2B5EF4-FFF2-40B4-BE49-F238E27FC236}">
              <a16:creationId xmlns:a16="http://schemas.microsoft.com/office/drawing/2014/main" id="{1E352532-9F56-4FD5-A75E-AA1337E41819}"/>
            </a:ext>
          </a:extLst>
        </xdr:cNvPr>
        <xdr:cNvSpPr/>
      </xdr:nvSpPr>
      <xdr:spPr>
        <a:xfrm>
          <a:off x="223202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11" name="Right Arrow 10">
          <a:extLst>
            <a:ext uri="{FF2B5EF4-FFF2-40B4-BE49-F238E27FC236}">
              <a16:creationId xmlns:a16="http://schemas.microsoft.com/office/drawing/2014/main" id="{1B0CD9EB-F454-4221-9269-70B9ECD5C8CD}"/>
            </a:ext>
          </a:extLst>
        </xdr:cNvPr>
        <xdr:cNvSpPr/>
      </xdr:nvSpPr>
      <xdr:spPr>
        <a:xfrm>
          <a:off x="197485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2</xdr:row>
      <xdr:rowOff>0</xdr:rowOff>
    </xdr:from>
    <xdr:to>
      <xdr:col>7</xdr:col>
      <xdr:colOff>973667</xdr:colOff>
      <xdr:row>4</xdr:row>
      <xdr:rowOff>5117</xdr:rowOff>
    </xdr:to>
    <xdr:sp macro="" textlink="">
      <xdr:nvSpPr>
        <xdr:cNvPr id="12" name="Rounded Rectangle 11">
          <a:hlinkClick xmlns:r="http://schemas.openxmlformats.org/officeDocument/2006/relationships" r:id="rId1"/>
          <a:extLst>
            <a:ext uri="{FF2B5EF4-FFF2-40B4-BE49-F238E27FC236}">
              <a16:creationId xmlns:a16="http://schemas.microsoft.com/office/drawing/2014/main" id="{04AF4B2A-FDDD-43D4-9524-D905A2656554}"/>
            </a:ext>
          </a:extLst>
        </xdr:cNvPr>
        <xdr:cNvSpPr/>
      </xdr:nvSpPr>
      <xdr:spPr>
        <a:xfrm>
          <a:off x="5181600" y="304800"/>
          <a:ext cx="973667" cy="34166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75.xml><?xml version="1.0" encoding="utf-8"?>
<xdr:wsDr xmlns:xdr="http://schemas.openxmlformats.org/drawingml/2006/spreadsheetDrawing" xmlns:a="http://schemas.openxmlformats.org/drawingml/2006/main">
  <xdr:twoCellAnchor>
    <xdr:from>
      <xdr:col>2</xdr:col>
      <xdr:colOff>933450</xdr:colOff>
      <xdr:row>3</xdr:row>
      <xdr:rowOff>100013</xdr:rowOff>
    </xdr:from>
    <xdr:to>
      <xdr:col>2</xdr:col>
      <xdr:colOff>1247775</xdr:colOff>
      <xdr:row>3</xdr:row>
      <xdr:rowOff>145732</xdr:rowOff>
    </xdr:to>
    <xdr:sp macro="" textlink="">
      <xdr:nvSpPr>
        <xdr:cNvPr id="2" name="Right Arrow 1">
          <a:extLst>
            <a:ext uri="{FF2B5EF4-FFF2-40B4-BE49-F238E27FC236}">
              <a16:creationId xmlns:a16="http://schemas.microsoft.com/office/drawing/2014/main" id="{2891B8A4-9D69-4553-91D0-BE0B73D7848B}"/>
            </a:ext>
          </a:extLst>
        </xdr:cNvPr>
        <xdr:cNvSpPr/>
      </xdr:nvSpPr>
      <xdr:spPr>
        <a:xfrm rot="10800000" flipH="1">
          <a:off x="22542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3" name="Right Arrow 2">
          <a:extLst>
            <a:ext uri="{FF2B5EF4-FFF2-40B4-BE49-F238E27FC236}">
              <a16:creationId xmlns:a16="http://schemas.microsoft.com/office/drawing/2014/main" id="{1A975FBB-BAD3-4110-A640-EB7884D4E308}"/>
            </a:ext>
          </a:extLst>
        </xdr:cNvPr>
        <xdr:cNvSpPr/>
      </xdr:nvSpPr>
      <xdr:spPr>
        <a:xfrm>
          <a:off x="200660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4" name="Right Arrow 3">
          <a:extLst>
            <a:ext uri="{FF2B5EF4-FFF2-40B4-BE49-F238E27FC236}">
              <a16:creationId xmlns:a16="http://schemas.microsoft.com/office/drawing/2014/main" id="{5A86BD6F-0018-416D-B5D7-067421890D64}"/>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5" name="Right Arrow 4">
          <a:extLst>
            <a:ext uri="{FF2B5EF4-FFF2-40B4-BE49-F238E27FC236}">
              <a16:creationId xmlns:a16="http://schemas.microsoft.com/office/drawing/2014/main" id="{0F508C6F-2C71-47F5-94B6-26874486CC42}"/>
            </a:ext>
          </a:extLst>
        </xdr:cNvPr>
        <xdr:cNvSpPr/>
      </xdr:nvSpPr>
      <xdr:spPr>
        <a:xfrm>
          <a:off x="223202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6" name="Right Arrow 5">
          <a:extLst>
            <a:ext uri="{FF2B5EF4-FFF2-40B4-BE49-F238E27FC236}">
              <a16:creationId xmlns:a16="http://schemas.microsoft.com/office/drawing/2014/main" id="{CF4BAF8E-F347-4463-AE79-38150E86B0C6}"/>
            </a:ext>
          </a:extLst>
        </xdr:cNvPr>
        <xdr:cNvSpPr/>
      </xdr:nvSpPr>
      <xdr:spPr>
        <a:xfrm>
          <a:off x="197485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3</xdr:row>
      <xdr:rowOff>100013</xdr:rowOff>
    </xdr:from>
    <xdr:to>
      <xdr:col>2</xdr:col>
      <xdr:colOff>1247775</xdr:colOff>
      <xdr:row>3</xdr:row>
      <xdr:rowOff>145732</xdr:rowOff>
    </xdr:to>
    <xdr:sp macro="" textlink="">
      <xdr:nvSpPr>
        <xdr:cNvPr id="7" name="Right Arrow 6">
          <a:extLst>
            <a:ext uri="{FF2B5EF4-FFF2-40B4-BE49-F238E27FC236}">
              <a16:creationId xmlns:a16="http://schemas.microsoft.com/office/drawing/2014/main" id="{C97A0257-47F4-4491-A28E-D5A26D3B01E6}"/>
            </a:ext>
          </a:extLst>
        </xdr:cNvPr>
        <xdr:cNvSpPr/>
      </xdr:nvSpPr>
      <xdr:spPr>
        <a:xfrm rot="10800000" flipH="1">
          <a:off x="22542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8" name="Right Arrow 7">
          <a:extLst>
            <a:ext uri="{FF2B5EF4-FFF2-40B4-BE49-F238E27FC236}">
              <a16:creationId xmlns:a16="http://schemas.microsoft.com/office/drawing/2014/main" id="{8A617CFD-E1CA-4060-8374-273E3BD1A8EF}"/>
            </a:ext>
          </a:extLst>
        </xdr:cNvPr>
        <xdr:cNvSpPr/>
      </xdr:nvSpPr>
      <xdr:spPr>
        <a:xfrm>
          <a:off x="200660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9" name="Right Arrow 8">
          <a:extLst>
            <a:ext uri="{FF2B5EF4-FFF2-40B4-BE49-F238E27FC236}">
              <a16:creationId xmlns:a16="http://schemas.microsoft.com/office/drawing/2014/main" id="{D7FF376A-9DDB-4697-84DF-0D5025EE12F0}"/>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10" name="Right Arrow 9">
          <a:extLst>
            <a:ext uri="{FF2B5EF4-FFF2-40B4-BE49-F238E27FC236}">
              <a16:creationId xmlns:a16="http://schemas.microsoft.com/office/drawing/2014/main" id="{A967BD05-E50D-4FC9-9350-C13F9363D9BD}"/>
            </a:ext>
          </a:extLst>
        </xdr:cNvPr>
        <xdr:cNvSpPr/>
      </xdr:nvSpPr>
      <xdr:spPr>
        <a:xfrm>
          <a:off x="223202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11" name="Right Arrow 10">
          <a:extLst>
            <a:ext uri="{FF2B5EF4-FFF2-40B4-BE49-F238E27FC236}">
              <a16:creationId xmlns:a16="http://schemas.microsoft.com/office/drawing/2014/main" id="{5519DB0B-10DC-4E50-8BF1-2C50427A6ADA}"/>
            </a:ext>
          </a:extLst>
        </xdr:cNvPr>
        <xdr:cNvSpPr/>
      </xdr:nvSpPr>
      <xdr:spPr>
        <a:xfrm>
          <a:off x="197485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2</xdr:row>
      <xdr:rowOff>0</xdr:rowOff>
    </xdr:from>
    <xdr:to>
      <xdr:col>7</xdr:col>
      <xdr:colOff>973667</xdr:colOff>
      <xdr:row>4</xdr:row>
      <xdr:rowOff>5117</xdr:rowOff>
    </xdr:to>
    <xdr:sp macro="" textlink="">
      <xdr:nvSpPr>
        <xdr:cNvPr id="12" name="Rounded Rectangle 11">
          <a:hlinkClick xmlns:r="http://schemas.openxmlformats.org/officeDocument/2006/relationships" r:id="rId1"/>
          <a:extLst>
            <a:ext uri="{FF2B5EF4-FFF2-40B4-BE49-F238E27FC236}">
              <a16:creationId xmlns:a16="http://schemas.microsoft.com/office/drawing/2014/main" id="{9E035976-12F0-4ED8-89F2-71E81FBF37D4}"/>
            </a:ext>
          </a:extLst>
        </xdr:cNvPr>
        <xdr:cNvSpPr/>
      </xdr:nvSpPr>
      <xdr:spPr>
        <a:xfrm>
          <a:off x="5181600" y="304800"/>
          <a:ext cx="973667" cy="34166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76.xml><?xml version="1.0" encoding="utf-8"?>
<xdr:wsDr xmlns:xdr="http://schemas.openxmlformats.org/drawingml/2006/spreadsheetDrawing" xmlns:a="http://schemas.openxmlformats.org/drawingml/2006/main">
  <xdr:twoCellAnchor>
    <xdr:from>
      <xdr:col>2</xdr:col>
      <xdr:colOff>933450</xdr:colOff>
      <xdr:row>3</xdr:row>
      <xdr:rowOff>100013</xdr:rowOff>
    </xdr:from>
    <xdr:to>
      <xdr:col>2</xdr:col>
      <xdr:colOff>1247775</xdr:colOff>
      <xdr:row>3</xdr:row>
      <xdr:rowOff>145732</xdr:rowOff>
    </xdr:to>
    <xdr:sp macro="" textlink="">
      <xdr:nvSpPr>
        <xdr:cNvPr id="2" name="Right Arrow 1">
          <a:extLst>
            <a:ext uri="{FF2B5EF4-FFF2-40B4-BE49-F238E27FC236}">
              <a16:creationId xmlns:a16="http://schemas.microsoft.com/office/drawing/2014/main" id="{29CF9685-D316-4678-A68F-43309ABC2777}"/>
            </a:ext>
          </a:extLst>
        </xdr:cNvPr>
        <xdr:cNvSpPr/>
      </xdr:nvSpPr>
      <xdr:spPr>
        <a:xfrm rot="10800000" flipH="1">
          <a:off x="22542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3" name="Right Arrow 2">
          <a:extLst>
            <a:ext uri="{FF2B5EF4-FFF2-40B4-BE49-F238E27FC236}">
              <a16:creationId xmlns:a16="http://schemas.microsoft.com/office/drawing/2014/main" id="{CEF89A88-8558-4096-9C51-528C80190ADB}"/>
            </a:ext>
          </a:extLst>
        </xdr:cNvPr>
        <xdr:cNvSpPr/>
      </xdr:nvSpPr>
      <xdr:spPr>
        <a:xfrm>
          <a:off x="200660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4" name="Right Arrow 3">
          <a:extLst>
            <a:ext uri="{FF2B5EF4-FFF2-40B4-BE49-F238E27FC236}">
              <a16:creationId xmlns:a16="http://schemas.microsoft.com/office/drawing/2014/main" id="{D9136FD0-5C65-4C03-8AE6-6996D7373AF3}"/>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5" name="Right Arrow 4">
          <a:extLst>
            <a:ext uri="{FF2B5EF4-FFF2-40B4-BE49-F238E27FC236}">
              <a16:creationId xmlns:a16="http://schemas.microsoft.com/office/drawing/2014/main" id="{7883166A-D9A1-455C-91FC-8E1BAE238732}"/>
            </a:ext>
          </a:extLst>
        </xdr:cNvPr>
        <xdr:cNvSpPr/>
      </xdr:nvSpPr>
      <xdr:spPr>
        <a:xfrm>
          <a:off x="223202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6" name="Right Arrow 5">
          <a:extLst>
            <a:ext uri="{FF2B5EF4-FFF2-40B4-BE49-F238E27FC236}">
              <a16:creationId xmlns:a16="http://schemas.microsoft.com/office/drawing/2014/main" id="{2DFD1AC4-D6AD-45F3-9A7D-A667820098BE}"/>
            </a:ext>
          </a:extLst>
        </xdr:cNvPr>
        <xdr:cNvSpPr/>
      </xdr:nvSpPr>
      <xdr:spPr>
        <a:xfrm>
          <a:off x="197485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3</xdr:row>
      <xdr:rowOff>100013</xdr:rowOff>
    </xdr:from>
    <xdr:to>
      <xdr:col>2</xdr:col>
      <xdr:colOff>1247775</xdr:colOff>
      <xdr:row>3</xdr:row>
      <xdr:rowOff>145732</xdr:rowOff>
    </xdr:to>
    <xdr:sp macro="" textlink="">
      <xdr:nvSpPr>
        <xdr:cNvPr id="7" name="Right Arrow 6">
          <a:extLst>
            <a:ext uri="{FF2B5EF4-FFF2-40B4-BE49-F238E27FC236}">
              <a16:creationId xmlns:a16="http://schemas.microsoft.com/office/drawing/2014/main" id="{2EBCDBB4-E3D3-4797-817D-0B9089DB0721}"/>
            </a:ext>
          </a:extLst>
        </xdr:cNvPr>
        <xdr:cNvSpPr/>
      </xdr:nvSpPr>
      <xdr:spPr>
        <a:xfrm rot="10800000" flipH="1">
          <a:off x="22542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8" name="Right Arrow 7">
          <a:extLst>
            <a:ext uri="{FF2B5EF4-FFF2-40B4-BE49-F238E27FC236}">
              <a16:creationId xmlns:a16="http://schemas.microsoft.com/office/drawing/2014/main" id="{289ADF6F-3DF2-4E54-A352-5133D1C4D569}"/>
            </a:ext>
          </a:extLst>
        </xdr:cNvPr>
        <xdr:cNvSpPr/>
      </xdr:nvSpPr>
      <xdr:spPr>
        <a:xfrm>
          <a:off x="200660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9" name="Right Arrow 8">
          <a:extLst>
            <a:ext uri="{FF2B5EF4-FFF2-40B4-BE49-F238E27FC236}">
              <a16:creationId xmlns:a16="http://schemas.microsoft.com/office/drawing/2014/main" id="{92EF523D-9190-454D-9D06-04307AC5CD9D}"/>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10" name="Right Arrow 9">
          <a:extLst>
            <a:ext uri="{FF2B5EF4-FFF2-40B4-BE49-F238E27FC236}">
              <a16:creationId xmlns:a16="http://schemas.microsoft.com/office/drawing/2014/main" id="{6C9A1C3B-7FE3-4CF8-863C-DC59BE7FE1B2}"/>
            </a:ext>
          </a:extLst>
        </xdr:cNvPr>
        <xdr:cNvSpPr/>
      </xdr:nvSpPr>
      <xdr:spPr>
        <a:xfrm>
          <a:off x="223202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11" name="Right Arrow 10">
          <a:extLst>
            <a:ext uri="{FF2B5EF4-FFF2-40B4-BE49-F238E27FC236}">
              <a16:creationId xmlns:a16="http://schemas.microsoft.com/office/drawing/2014/main" id="{16C81D23-8BC5-4BCC-9F35-DC3158CC05FE}"/>
            </a:ext>
          </a:extLst>
        </xdr:cNvPr>
        <xdr:cNvSpPr/>
      </xdr:nvSpPr>
      <xdr:spPr>
        <a:xfrm>
          <a:off x="197485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2</xdr:row>
      <xdr:rowOff>0</xdr:rowOff>
    </xdr:from>
    <xdr:to>
      <xdr:col>7</xdr:col>
      <xdr:colOff>973667</xdr:colOff>
      <xdr:row>4</xdr:row>
      <xdr:rowOff>5117</xdr:rowOff>
    </xdr:to>
    <xdr:sp macro="" textlink="">
      <xdr:nvSpPr>
        <xdr:cNvPr id="12" name="Rounded Rectangle 11">
          <a:hlinkClick xmlns:r="http://schemas.openxmlformats.org/officeDocument/2006/relationships" r:id="rId1"/>
          <a:extLst>
            <a:ext uri="{FF2B5EF4-FFF2-40B4-BE49-F238E27FC236}">
              <a16:creationId xmlns:a16="http://schemas.microsoft.com/office/drawing/2014/main" id="{80E554AC-295A-4B6D-A73F-363E8FAC8849}"/>
            </a:ext>
          </a:extLst>
        </xdr:cNvPr>
        <xdr:cNvSpPr/>
      </xdr:nvSpPr>
      <xdr:spPr>
        <a:xfrm>
          <a:off x="5181600" y="304800"/>
          <a:ext cx="973667" cy="34166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77.xml><?xml version="1.0" encoding="utf-8"?>
<xdr:wsDr xmlns:xdr="http://schemas.openxmlformats.org/drawingml/2006/spreadsheetDrawing" xmlns:a="http://schemas.openxmlformats.org/drawingml/2006/main">
  <xdr:twoCellAnchor>
    <xdr:from>
      <xdr:col>2</xdr:col>
      <xdr:colOff>933450</xdr:colOff>
      <xdr:row>3</xdr:row>
      <xdr:rowOff>100013</xdr:rowOff>
    </xdr:from>
    <xdr:to>
      <xdr:col>2</xdr:col>
      <xdr:colOff>1247775</xdr:colOff>
      <xdr:row>3</xdr:row>
      <xdr:rowOff>145732</xdr:rowOff>
    </xdr:to>
    <xdr:sp macro="" textlink="">
      <xdr:nvSpPr>
        <xdr:cNvPr id="2" name="Right Arrow 1">
          <a:extLst>
            <a:ext uri="{FF2B5EF4-FFF2-40B4-BE49-F238E27FC236}">
              <a16:creationId xmlns:a16="http://schemas.microsoft.com/office/drawing/2014/main" id="{CFCA496C-86CF-4C4D-B388-91417E8C8DFC}"/>
            </a:ext>
          </a:extLst>
        </xdr:cNvPr>
        <xdr:cNvSpPr/>
      </xdr:nvSpPr>
      <xdr:spPr>
        <a:xfrm rot="10800000" flipH="1">
          <a:off x="22542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3" name="Right Arrow 2">
          <a:extLst>
            <a:ext uri="{FF2B5EF4-FFF2-40B4-BE49-F238E27FC236}">
              <a16:creationId xmlns:a16="http://schemas.microsoft.com/office/drawing/2014/main" id="{7359774D-718C-4E09-8FAD-E6A549BFA610}"/>
            </a:ext>
          </a:extLst>
        </xdr:cNvPr>
        <xdr:cNvSpPr/>
      </xdr:nvSpPr>
      <xdr:spPr>
        <a:xfrm>
          <a:off x="200660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4" name="Right Arrow 3">
          <a:extLst>
            <a:ext uri="{FF2B5EF4-FFF2-40B4-BE49-F238E27FC236}">
              <a16:creationId xmlns:a16="http://schemas.microsoft.com/office/drawing/2014/main" id="{F4C5C55D-EC99-47E1-922E-D68CC712DE66}"/>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5" name="Right Arrow 4">
          <a:extLst>
            <a:ext uri="{FF2B5EF4-FFF2-40B4-BE49-F238E27FC236}">
              <a16:creationId xmlns:a16="http://schemas.microsoft.com/office/drawing/2014/main" id="{5992F2AF-C188-41F9-B8C8-C660CB7252F2}"/>
            </a:ext>
          </a:extLst>
        </xdr:cNvPr>
        <xdr:cNvSpPr/>
      </xdr:nvSpPr>
      <xdr:spPr>
        <a:xfrm>
          <a:off x="223202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6" name="Right Arrow 5">
          <a:extLst>
            <a:ext uri="{FF2B5EF4-FFF2-40B4-BE49-F238E27FC236}">
              <a16:creationId xmlns:a16="http://schemas.microsoft.com/office/drawing/2014/main" id="{FE17E1FB-BDFF-4215-A30A-712CFE55D296}"/>
            </a:ext>
          </a:extLst>
        </xdr:cNvPr>
        <xdr:cNvSpPr/>
      </xdr:nvSpPr>
      <xdr:spPr>
        <a:xfrm>
          <a:off x="197485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3</xdr:row>
      <xdr:rowOff>100013</xdr:rowOff>
    </xdr:from>
    <xdr:to>
      <xdr:col>2</xdr:col>
      <xdr:colOff>1247775</xdr:colOff>
      <xdr:row>3</xdr:row>
      <xdr:rowOff>145732</xdr:rowOff>
    </xdr:to>
    <xdr:sp macro="" textlink="">
      <xdr:nvSpPr>
        <xdr:cNvPr id="7" name="Right Arrow 6">
          <a:extLst>
            <a:ext uri="{FF2B5EF4-FFF2-40B4-BE49-F238E27FC236}">
              <a16:creationId xmlns:a16="http://schemas.microsoft.com/office/drawing/2014/main" id="{F27E1823-443E-45D6-8518-C3EDB5D81864}"/>
            </a:ext>
          </a:extLst>
        </xdr:cNvPr>
        <xdr:cNvSpPr/>
      </xdr:nvSpPr>
      <xdr:spPr>
        <a:xfrm rot="10800000" flipH="1">
          <a:off x="22542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8" name="Right Arrow 7">
          <a:extLst>
            <a:ext uri="{FF2B5EF4-FFF2-40B4-BE49-F238E27FC236}">
              <a16:creationId xmlns:a16="http://schemas.microsoft.com/office/drawing/2014/main" id="{D73B0E45-9270-450E-851B-C33FC41826A2}"/>
            </a:ext>
          </a:extLst>
        </xdr:cNvPr>
        <xdr:cNvSpPr/>
      </xdr:nvSpPr>
      <xdr:spPr>
        <a:xfrm>
          <a:off x="200660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9" name="Right Arrow 8">
          <a:extLst>
            <a:ext uri="{FF2B5EF4-FFF2-40B4-BE49-F238E27FC236}">
              <a16:creationId xmlns:a16="http://schemas.microsoft.com/office/drawing/2014/main" id="{780A4B9D-C1DE-463F-8F80-5E76C7417BCF}"/>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10" name="Right Arrow 9">
          <a:extLst>
            <a:ext uri="{FF2B5EF4-FFF2-40B4-BE49-F238E27FC236}">
              <a16:creationId xmlns:a16="http://schemas.microsoft.com/office/drawing/2014/main" id="{F07A8CE7-4A8A-492B-BA4C-E30862186F14}"/>
            </a:ext>
          </a:extLst>
        </xdr:cNvPr>
        <xdr:cNvSpPr/>
      </xdr:nvSpPr>
      <xdr:spPr>
        <a:xfrm>
          <a:off x="223202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11" name="Right Arrow 10">
          <a:extLst>
            <a:ext uri="{FF2B5EF4-FFF2-40B4-BE49-F238E27FC236}">
              <a16:creationId xmlns:a16="http://schemas.microsoft.com/office/drawing/2014/main" id="{FE71D3BE-F287-4423-BBAB-EB2D8CC5CDE7}"/>
            </a:ext>
          </a:extLst>
        </xdr:cNvPr>
        <xdr:cNvSpPr/>
      </xdr:nvSpPr>
      <xdr:spPr>
        <a:xfrm>
          <a:off x="197485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2</xdr:row>
      <xdr:rowOff>0</xdr:rowOff>
    </xdr:from>
    <xdr:to>
      <xdr:col>7</xdr:col>
      <xdr:colOff>973667</xdr:colOff>
      <xdr:row>4</xdr:row>
      <xdr:rowOff>5117</xdr:rowOff>
    </xdr:to>
    <xdr:sp macro="" textlink="">
      <xdr:nvSpPr>
        <xdr:cNvPr id="12" name="Rounded Rectangle 11">
          <a:hlinkClick xmlns:r="http://schemas.openxmlformats.org/officeDocument/2006/relationships" r:id="rId1"/>
          <a:extLst>
            <a:ext uri="{FF2B5EF4-FFF2-40B4-BE49-F238E27FC236}">
              <a16:creationId xmlns:a16="http://schemas.microsoft.com/office/drawing/2014/main" id="{82CF06AD-8DAF-46BD-8BCC-36EBABE059A0}"/>
            </a:ext>
          </a:extLst>
        </xdr:cNvPr>
        <xdr:cNvSpPr/>
      </xdr:nvSpPr>
      <xdr:spPr>
        <a:xfrm>
          <a:off x="5181600" y="304800"/>
          <a:ext cx="973667" cy="34166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78.xml><?xml version="1.0" encoding="utf-8"?>
<xdr:wsDr xmlns:xdr="http://schemas.openxmlformats.org/drawingml/2006/spreadsheetDrawing" xmlns:a="http://schemas.openxmlformats.org/drawingml/2006/main">
  <xdr:twoCellAnchor>
    <xdr:from>
      <xdr:col>2</xdr:col>
      <xdr:colOff>933450</xdr:colOff>
      <xdr:row>3</xdr:row>
      <xdr:rowOff>100013</xdr:rowOff>
    </xdr:from>
    <xdr:to>
      <xdr:col>2</xdr:col>
      <xdr:colOff>1247775</xdr:colOff>
      <xdr:row>3</xdr:row>
      <xdr:rowOff>145732</xdr:rowOff>
    </xdr:to>
    <xdr:sp macro="" textlink="">
      <xdr:nvSpPr>
        <xdr:cNvPr id="2" name="Right Arrow 1">
          <a:extLst>
            <a:ext uri="{FF2B5EF4-FFF2-40B4-BE49-F238E27FC236}">
              <a16:creationId xmlns:a16="http://schemas.microsoft.com/office/drawing/2014/main" id="{A574F5CA-9EA7-4EA2-B71B-983CF833DC80}"/>
            </a:ext>
          </a:extLst>
        </xdr:cNvPr>
        <xdr:cNvSpPr/>
      </xdr:nvSpPr>
      <xdr:spPr>
        <a:xfrm rot="10800000" flipH="1">
          <a:off x="22542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3" name="Right Arrow 2">
          <a:extLst>
            <a:ext uri="{FF2B5EF4-FFF2-40B4-BE49-F238E27FC236}">
              <a16:creationId xmlns:a16="http://schemas.microsoft.com/office/drawing/2014/main" id="{E35B807C-5510-4DD4-AD1F-59848E83096E}"/>
            </a:ext>
          </a:extLst>
        </xdr:cNvPr>
        <xdr:cNvSpPr/>
      </xdr:nvSpPr>
      <xdr:spPr>
        <a:xfrm>
          <a:off x="200660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5" name="Right Arrow 4">
          <a:extLst>
            <a:ext uri="{FF2B5EF4-FFF2-40B4-BE49-F238E27FC236}">
              <a16:creationId xmlns:a16="http://schemas.microsoft.com/office/drawing/2014/main" id="{8E251748-CF95-4AC9-BC59-2862A50744D3}"/>
            </a:ext>
          </a:extLst>
        </xdr:cNvPr>
        <xdr:cNvSpPr/>
      </xdr:nvSpPr>
      <xdr:spPr>
        <a:xfrm>
          <a:off x="223202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6" name="Right Arrow 5">
          <a:extLst>
            <a:ext uri="{FF2B5EF4-FFF2-40B4-BE49-F238E27FC236}">
              <a16:creationId xmlns:a16="http://schemas.microsoft.com/office/drawing/2014/main" id="{41597CB6-E4A0-43E6-B01F-C74E9BDBC9D9}"/>
            </a:ext>
          </a:extLst>
        </xdr:cNvPr>
        <xdr:cNvSpPr/>
      </xdr:nvSpPr>
      <xdr:spPr>
        <a:xfrm>
          <a:off x="197485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3</xdr:row>
      <xdr:rowOff>100013</xdr:rowOff>
    </xdr:from>
    <xdr:to>
      <xdr:col>2</xdr:col>
      <xdr:colOff>1247775</xdr:colOff>
      <xdr:row>3</xdr:row>
      <xdr:rowOff>145732</xdr:rowOff>
    </xdr:to>
    <xdr:sp macro="" textlink="">
      <xdr:nvSpPr>
        <xdr:cNvPr id="7" name="Right Arrow 6">
          <a:extLst>
            <a:ext uri="{FF2B5EF4-FFF2-40B4-BE49-F238E27FC236}">
              <a16:creationId xmlns:a16="http://schemas.microsoft.com/office/drawing/2014/main" id="{169D69F4-CB90-4238-A437-278B001B6FAB}"/>
            </a:ext>
          </a:extLst>
        </xdr:cNvPr>
        <xdr:cNvSpPr/>
      </xdr:nvSpPr>
      <xdr:spPr>
        <a:xfrm rot="10800000" flipH="1">
          <a:off x="22542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8" name="Right Arrow 7">
          <a:extLst>
            <a:ext uri="{FF2B5EF4-FFF2-40B4-BE49-F238E27FC236}">
              <a16:creationId xmlns:a16="http://schemas.microsoft.com/office/drawing/2014/main" id="{E5899378-EF60-49F9-BB2A-48B37E3D83BD}"/>
            </a:ext>
          </a:extLst>
        </xdr:cNvPr>
        <xdr:cNvSpPr/>
      </xdr:nvSpPr>
      <xdr:spPr>
        <a:xfrm>
          <a:off x="200660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10" name="Right Arrow 9">
          <a:extLst>
            <a:ext uri="{FF2B5EF4-FFF2-40B4-BE49-F238E27FC236}">
              <a16:creationId xmlns:a16="http://schemas.microsoft.com/office/drawing/2014/main" id="{DF9FA107-6879-4A15-99F6-243773554094}"/>
            </a:ext>
          </a:extLst>
        </xdr:cNvPr>
        <xdr:cNvSpPr/>
      </xdr:nvSpPr>
      <xdr:spPr>
        <a:xfrm>
          <a:off x="223202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11" name="Right Arrow 10">
          <a:extLst>
            <a:ext uri="{FF2B5EF4-FFF2-40B4-BE49-F238E27FC236}">
              <a16:creationId xmlns:a16="http://schemas.microsoft.com/office/drawing/2014/main" id="{D7838C48-94D0-43B5-8791-AB877F7CDB64}"/>
            </a:ext>
          </a:extLst>
        </xdr:cNvPr>
        <xdr:cNvSpPr/>
      </xdr:nvSpPr>
      <xdr:spPr>
        <a:xfrm>
          <a:off x="197485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2</xdr:row>
      <xdr:rowOff>0</xdr:rowOff>
    </xdr:from>
    <xdr:to>
      <xdr:col>7</xdr:col>
      <xdr:colOff>973667</xdr:colOff>
      <xdr:row>4</xdr:row>
      <xdr:rowOff>5117</xdr:rowOff>
    </xdr:to>
    <xdr:sp macro="" textlink="">
      <xdr:nvSpPr>
        <xdr:cNvPr id="12" name="Rounded Rectangle 11">
          <a:hlinkClick xmlns:r="http://schemas.openxmlformats.org/officeDocument/2006/relationships" r:id="rId1"/>
          <a:extLst>
            <a:ext uri="{FF2B5EF4-FFF2-40B4-BE49-F238E27FC236}">
              <a16:creationId xmlns:a16="http://schemas.microsoft.com/office/drawing/2014/main" id="{0E4C9BE0-FC78-426C-9502-A3ABCAAC597D}"/>
            </a:ext>
          </a:extLst>
        </xdr:cNvPr>
        <xdr:cNvSpPr/>
      </xdr:nvSpPr>
      <xdr:spPr>
        <a:xfrm>
          <a:off x="5181600" y="304800"/>
          <a:ext cx="973667" cy="34166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79.xml><?xml version="1.0" encoding="utf-8"?>
<xdr:wsDr xmlns:xdr="http://schemas.openxmlformats.org/drawingml/2006/spreadsheetDrawing" xmlns:a="http://schemas.openxmlformats.org/drawingml/2006/main">
  <xdr:twoCellAnchor>
    <xdr:from>
      <xdr:col>2</xdr:col>
      <xdr:colOff>933450</xdr:colOff>
      <xdr:row>3</xdr:row>
      <xdr:rowOff>100013</xdr:rowOff>
    </xdr:from>
    <xdr:to>
      <xdr:col>2</xdr:col>
      <xdr:colOff>1247775</xdr:colOff>
      <xdr:row>3</xdr:row>
      <xdr:rowOff>145732</xdr:rowOff>
    </xdr:to>
    <xdr:sp macro="" textlink="">
      <xdr:nvSpPr>
        <xdr:cNvPr id="2" name="Right Arrow 1">
          <a:extLst>
            <a:ext uri="{FF2B5EF4-FFF2-40B4-BE49-F238E27FC236}">
              <a16:creationId xmlns:a16="http://schemas.microsoft.com/office/drawing/2014/main" id="{110CACFB-AF89-4D24-AB01-A366C30D59BE}"/>
            </a:ext>
          </a:extLst>
        </xdr:cNvPr>
        <xdr:cNvSpPr/>
      </xdr:nvSpPr>
      <xdr:spPr>
        <a:xfrm rot="10800000" flipH="1">
          <a:off x="22542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3" name="Right Arrow 2">
          <a:extLst>
            <a:ext uri="{FF2B5EF4-FFF2-40B4-BE49-F238E27FC236}">
              <a16:creationId xmlns:a16="http://schemas.microsoft.com/office/drawing/2014/main" id="{E609CE80-6FF2-47E3-B3F4-202DBBCE0141}"/>
            </a:ext>
          </a:extLst>
        </xdr:cNvPr>
        <xdr:cNvSpPr/>
      </xdr:nvSpPr>
      <xdr:spPr>
        <a:xfrm>
          <a:off x="200660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4" name="Right Arrow 3">
          <a:extLst>
            <a:ext uri="{FF2B5EF4-FFF2-40B4-BE49-F238E27FC236}">
              <a16:creationId xmlns:a16="http://schemas.microsoft.com/office/drawing/2014/main" id="{96D13F97-A324-4A6A-9E74-C193C389FE27}"/>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5" name="Right Arrow 4">
          <a:extLst>
            <a:ext uri="{FF2B5EF4-FFF2-40B4-BE49-F238E27FC236}">
              <a16:creationId xmlns:a16="http://schemas.microsoft.com/office/drawing/2014/main" id="{84955CCE-44F7-4177-AE9B-3A1C1A055C5B}"/>
            </a:ext>
          </a:extLst>
        </xdr:cNvPr>
        <xdr:cNvSpPr/>
      </xdr:nvSpPr>
      <xdr:spPr>
        <a:xfrm>
          <a:off x="223202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6" name="Right Arrow 5">
          <a:extLst>
            <a:ext uri="{FF2B5EF4-FFF2-40B4-BE49-F238E27FC236}">
              <a16:creationId xmlns:a16="http://schemas.microsoft.com/office/drawing/2014/main" id="{8B8FF946-3B4E-4AEC-8B6F-30D31905BE2D}"/>
            </a:ext>
          </a:extLst>
        </xdr:cNvPr>
        <xdr:cNvSpPr/>
      </xdr:nvSpPr>
      <xdr:spPr>
        <a:xfrm>
          <a:off x="197485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3</xdr:row>
      <xdr:rowOff>100013</xdr:rowOff>
    </xdr:from>
    <xdr:to>
      <xdr:col>2</xdr:col>
      <xdr:colOff>1247775</xdr:colOff>
      <xdr:row>3</xdr:row>
      <xdr:rowOff>145732</xdr:rowOff>
    </xdr:to>
    <xdr:sp macro="" textlink="">
      <xdr:nvSpPr>
        <xdr:cNvPr id="7" name="Right Arrow 6">
          <a:extLst>
            <a:ext uri="{FF2B5EF4-FFF2-40B4-BE49-F238E27FC236}">
              <a16:creationId xmlns:a16="http://schemas.microsoft.com/office/drawing/2014/main" id="{9B822547-760F-4DED-9B99-20879A7CC0F4}"/>
            </a:ext>
          </a:extLst>
        </xdr:cNvPr>
        <xdr:cNvSpPr/>
      </xdr:nvSpPr>
      <xdr:spPr>
        <a:xfrm rot="10800000" flipH="1">
          <a:off x="22542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8" name="Right Arrow 7">
          <a:extLst>
            <a:ext uri="{FF2B5EF4-FFF2-40B4-BE49-F238E27FC236}">
              <a16:creationId xmlns:a16="http://schemas.microsoft.com/office/drawing/2014/main" id="{CE8AF673-060F-48DE-A8A4-A517D4451E8C}"/>
            </a:ext>
          </a:extLst>
        </xdr:cNvPr>
        <xdr:cNvSpPr/>
      </xdr:nvSpPr>
      <xdr:spPr>
        <a:xfrm>
          <a:off x="200660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9" name="Right Arrow 8">
          <a:extLst>
            <a:ext uri="{FF2B5EF4-FFF2-40B4-BE49-F238E27FC236}">
              <a16:creationId xmlns:a16="http://schemas.microsoft.com/office/drawing/2014/main" id="{4264B222-8383-41EA-9BFB-6E4852101D51}"/>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10" name="Right Arrow 9">
          <a:extLst>
            <a:ext uri="{FF2B5EF4-FFF2-40B4-BE49-F238E27FC236}">
              <a16:creationId xmlns:a16="http://schemas.microsoft.com/office/drawing/2014/main" id="{D9143D79-86D0-4393-BBD3-08A8971FE0CF}"/>
            </a:ext>
          </a:extLst>
        </xdr:cNvPr>
        <xdr:cNvSpPr/>
      </xdr:nvSpPr>
      <xdr:spPr>
        <a:xfrm>
          <a:off x="223202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11" name="Right Arrow 10">
          <a:extLst>
            <a:ext uri="{FF2B5EF4-FFF2-40B4-BE49-F238E27FC236}">
              <a16:creationId xmlns:a16="http://schemas.microsoft.com/office/drawing/2014/main" id="{D722F17C-AAE2-4D8B-B641-B1DA6F619466}"/>
            </a:ext>
          </a:extLst>
        </xdr:cNvPr>
        <xdr:cNvSpPr/>
      </xdr:nvSpPr>
      <xdr:spPr>
        <a:xfrm>
          <a:off x="197485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2</xdr:row>
      <xdr:rowOff>0</xdr:rowOff>
    </xdr:from>
    <xdr:to>
      <xdr:col>7</xdr:col>
      <xdr:colOff>973667</xdr:colOff>
      <xdr:row>4</xdr:row>
      <xdr:rowOff>5117</xdr:rowOff>
    </xdr:to>
    <xdr:sp macro="" textlink="">
      <xdr:nvSpPr>
        <xdr:cNvPr id="12" name="Rounded Rectangle 11">
          <a:hlinkClick xmlns:r="http://schemas.openxmlformats.org/officeDocument/2006/relationships" r:id="rId1"/>
          <a:extLst>
            <a:ext uri="{FF2B5EF4-FFF2-40B4-BE49-F238E27FC236}">
              <a16:creationId xmlns:a16="http://schemas.microsoft.com/office/drawing/2014/main" id="{78520935-4333-4759-9BBB-FB591586C834}"/>
            </a:ext>
          </a:extLst>
        </xdr:cNvPr>
        <xdr:cNvSpPr/>
      </xdr:nvSpPr>
      <xdr:spPr>
        <a:xfrm>
          <a:off x="5181600" y="304800"/>
          <a:ext cx="973667" cy="34166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80.xml><?xml version="1.0" encoding="utf-8"?>
<xdr:wsDr xmlns:xdr="http://schemas.openxmlformats.org/drawingml/2006/spreadsheetDrawing" xmlns:a="http://schemas.openxmlformats.org/drawingml/2006/main">
  <xdr:twoCellAnchor>
    <xdr:from>
      <xdr:col>2</xdr:col>
      <xdr:colOff>933450</xdr:colOff>
      <xdr:row>3</xdr:row>
      <xdr:rowOff>100013</xdr:rowOff>
    </xdr:from>
    <xdr:to>
      <xdr:col>2</xdr:col>
      <xdr:colOff>1247775</xdr:colOff>
      <xdr:row>3</xdr:row>
      <xdr:rowOff>145732</xdr:rowOff>
    </xdr:to>
    <xdr:sp macro="" textlink="">
      <xdr:nvSpPr>
        <xdr:cNvPr id="2" name="Right Arrow 1">
          <a:extLst>
            <a:ext uri="{FF2B5EF4-FFF2-40B4-BE49-F238E27FC236}">
              <a16:creationId xmlns:a16="http://schemas.microsoft.com/office/drawing/2014/main" id="{B63277CF-A469-4CCF-B9A1-59B590FFD8A9}"/>
            </a:ext>
          </a:extLst>
        </xdr:cNvPr>
        <xdr:cNvSpPr/>
      </xdr:nvSpPr>
      <xdr:spPr>
        <a:xfrm rot="10800000" flipH="1">
          <a:off x="225425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3" name="Right Arrow 2">
          <a:extLst>
            <a:ext uri="{FF2B5EF4-FFF2-40B4-BE49-F238E27FC236}">
              <a16:creationId xmlns:a16="http://schemas.microsoft.com/office/drawing/2014/main" id="{6E0B42B2-34F4-43BE-99EB-1AA63E226D9D}"/>
            </a:ext>
          </a:extLst>
        </xdr:cNvPr>
        <xdr:cNvSpPr/>
      </xdr:nvSpPr>
      <xdr:spPr>
        <a:xfrm>
          <a:off x="2006600" y="55880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4" name="Right Arrow 3">
          <a:extLst>
            <a:ext uri="{FF2B5EF4-FFF2-40B4-BE49-F238E27FC236}">
              <a16:creationId xmlns:a16="http://schemas.microsoft.com/office/drawing/2014/main" id="{75F5736B-CA3E-4385-ABF3-C75D3FB2B875}"/>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5" name="Right Arrow 4">
          <a:extLst>
            <a:ext uri="{FF2B5EF4-FFF2-40B4-BE49-F238E27FC236}">
              <a16:creationId xmlns:a16="http://schemas.microsoft.com/office/drawing/2014/main" id="{15CC7E9C-05D6-4468-AB82-C6C40AA62660}"/>
            </a:ext>
          </a:extLst>
        </xdr:cNvPr>
        <xdr:cNvSpPr/>
      </xdr:nvSpPr>
      <xdr:spPr>
        <a:xfrm>
          <a:off x="2232025" y="48577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6" name="Right Arrow 5">
          <a:extLst>
            <a:ext uri="{FF2B5EF4-FFF2-40B4-BE49-F238E27FC236}">
              <a16:creationId xmlns:a16="http://schemas.microsoft.com/office/drawing/2014/main" id="{C17A34A3-A6A0-406C-A851-FBB93D1206E6}"/>
            </a:ext>
          </a:extLst>
        </xdr:cNvPr>
        <xdr:cNvSpPr/>
      </xdr:nvSpPr>
      <xdr:spPr>
        <a:xfrm>
          <a:off x="1974850" y="47624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3</xdr:row>
      <xdr:rowOff>100013</xdr:rowOff>
    </xdr:from>
    <xdr:to>
      <xdr:col>2</xdr:col>
      <xdr:colOff>1247775</xdr:colOff>
      <xdr:row>3</xdr:row>
      <xdr:rowOff>145732</xdr:rowOff>
    </xdr:to>
    <xdr:sp macro="" textlink="">
      <xdr:nvSpPr>
        <xdr:cNvPr id="7" name="Right Arrow 6">
          <a:extLst>
            <a:ext uri="{FF2B5EF4-FFF2-40B4-BE49-F238E27FC236}">
              <a16:creationId xmlns:a16="http://schemas.microsoft.com/office/drawing/2014/main" id="{6AB67BBB-42E0-44FF-95CA-5AE9E2929AB4}"/>
            </a:ext>
          </a:extLst>
        </xdr:cNvPr>
        <xdr:cNvSpPr/>
      </xdr:nvSpPr>
      <xdr:spPr>
        <a:xfrm rot="10800000" flipH="1">
          <a:off x="225425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8" name="Right Arrow 7">
          <a:extLst>
            <a:ext uri="{FF2B5EF4-FFF2-40B4-BE49-F238E27FC236}">
              <a16:creationId xmlns:a16="http://schemas.microsoft.com/office/drawing/2014/main" id="{34DFD2D1-EC4E-4C5C-90D1-C801F8A5410F}"/>
            </a:ext>
          </a:extLst>
        </xdr:cNvPr>
        <xdr:cNvSpPr/>
      </xdr:nvSpPr>
      <xdr:spPr>
        <a:xfrm>
          <a:off x="2006600" y="55880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9" name="Right Arrow 8">
          <a:extLst>
            <a:ext uri="{FF2B5EF4-FFF2-40B4-BE49-F238E27FC236}">
              <a16:creationId xmlns:a16="http://schemas.microsoft.com/office/drawing/2014/main" id="{E558D030-7E1F-416D-B37D-EFD898A7E655}"/>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10" name="Right Arrow 9">
          <a:extLst>
            <a:ext uri="{FF2B5EF4-FFF2-40B4-BE49-F238E27FC236}">
              <a16:creationId xmlns:a16="http://schemas.microsoft.com/office/drawing/2014/main" id="{ACB02AD5-0F82-4F21-93C9-E37978590AD5}"/>
            </a:ext>
          </a:extLst>
        </xdr:cNvPr>
        <xdr:cNvSpPr/>
      </xdr:nvSpPr>
      <xdr:spPr>
        <a:xfrm>
          <a:off x="2232025" y="48577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11" name="Right Arrow 10">
          <a:extLst>
            <a:ext uri="{FF2B5EF4-FFF2-40B4-BE49-F238E27FC236}">
              <a16:creationId xmlns:a16="http://schemas.microsoft.com/office/drawing/2014/main" id="{34CE0600-49A0-42B7-94FC-88633294462C}"/>
            </a:ext>
          </a:extLst>
        </xdr:cNvPr>
        <xdr:cNvSpPr/>
      </xdr:nvSpPr>
      <xdr:spPr>
        <a:xfrm>
          <a:off x="1974850" y="47624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2</xdr:row>
      <xdr:rowOff>0</xdr:rowOff>
    </xdr:from>
    <xdr:to>
      <xdr:col>7</xdr:col>
      <xdr:colOff>973667</xdr:colOff>
      <xdr:row>4</xdr:row>
      <xdr:rowOff>5117</xdr:rowOff>
    </xdr:to>
    <xdr:sp macro="" textlink="">
      <xdr:nvSpPr>
        <xdr:cNvPr id="12" name="Rounded Rectangle 11">
          <a:hlinkClick xmlns:r="http://schemas.openxmlformats.org/officeDocument/2006/relationships" r:id="rId1"/>
          <a:extLst>
            <a:ext uri="{FF2B5EF4-FFF2-40B4-BE49-F238E27FC236}">
              <a16:creationId xmlns:a16="http://schemas.microsoft.com/office/drawing/2014/main" id="{F2670F74-04B0-4CD3-B7AE-CCE535F4E63F}"/>
            </a:ext>
          </a:extLst>
        </xdr:cNvPr>
        <xdr:cNvSpPr/>
      </xdr:nvSpPr>
      <xdr:spPr>
        <a:xfrm>
          <a:off x="5181600" y="304800"/>
          <a:ext cx="973667" cy="3099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81.xml><?xml version="1.0" encoding="utf-8"?>
<xdr:wsDr xmlns:xdr="http://schemas.openxmlformats.org/drawingml/2006/spreadsheetDrawing" xmlns:a="http://schemas.openxmlformats.org/drawingml/2006/main">
  <xdr:twoCellAnchor>
    <xdr:from>
      <xdr:col>2</xdr:col>
      <xdr:colOff>933450</xdr:colOff>
      <xdr:row>3</xdr:row>
      <xdr:rowOff>100013</xdr:rowOff>
    </xdr:from>
    <xdr:to>
      <xdr:col>2</xdr:col>
      <xdr:colOff>1247775</xdr:colOff>
      <xdr:row>3</xdr:row>
      <xdr:rowOff>145732</xdr:rowOff>
    </xdr:to>
    <xdr:sp macro="" textlink="">
      <xdr:nvSpPr>
        <xdr:cNvPr id="2" name="Right Arrow 1">
          <a:extLst>
            <a:ext uri="{FF2B5EF4-FFF2-40B4-BE49-F238E27FC236}">
              <a16:creationId xmlns:a16="http://schemas.microsoft.com/office/drawing/2014/main" id="{87574685-2F08-4CA3-9CD2-309C8A93A9F9}"/>
            </a:ext>
          </a:extLst>
        </xdr:cNvPr>
        <xdr:cNvSpPr/>
      </xdr:nvSpPr>
      <xdr:spPr>
        <a:xfrm rot="10800000" flipH="1">
          <a:off x="225425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3" name="Right Arrow 2">
          <a:extLst>
            <a:ext uri="{FF2B5EF4-FFF2-40B4-BE49-F238E27FC236}">
              <a16:creationId xmlns:a16="http://schemas.microsoft.com/office/drawing/2014/main" id="{6F7DBDC8-4740-412A-9499-C659468D1C97}"/>
            </a:ext>
          </a:extLst>
        </xdr:cNvPr>
        <xdr:cNvSpPr/>
      </xdr:nvSpPr>
      <xdr:spPr>
        <a:xfrm>
          <a:off x="2006600" y="55880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4" name="Right Arrow 3">
          <a:extLst>
            <a:ext uri="{FF2B5EF4-FFF2-40B4-BE49-F238E27FC236}">
              <a16:creationId xmlns:a16="http://schemas.microsoft.com/office/drawing/2014/main" id="{E8653FE9-1861-4552-89EF-FFDA9C1A14F8}"/>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5" name="Right Arrow 4">
          <a:extLst>
            <a:ext uri="{FF2B5EF4-FFF2-40B4-BE49-F238E27FC236}">
              <a16:creationId xmlns:a16="http://schemas.microsoft.com/office/drawing/2014/main" id="{28D45528-9B29-4D63-BC42-82E62B2EBA07}"/>
            </a:ext>
          </a:extLst>
        </xdr:cNvPr>
        <xdr:cNvSpPr/>
      </xdr:nvSpPr>
      <xdr:spPr>
        <a:xfrm>
          <a:off x="2232025" y="48577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6" name="Right Arrow 5">
          <a:extLst>
            <a:ext uri="{FF2B5EF4-FFF2-40B4-BE49-F238E27FC236}">
              <a16:creationId xmlns:a16="http://schemas.microsoft.com/office/drawing/2014/main" id="{42D5BDA9-DE71-406F-BD97-1BE1833EEAE3}"/>
            </a:ext>
          </a:extLst>
        </xdr:cNvPr>
        <xdr:cNvSpPr/>
      </xdr:nvSpPr>
      <xdr:spPr>
        <a:xfrm>
          <a:off x="1974850" y="47624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3</xdr:row>
      <xdr:rowOff>100013</xdr:rowOff>
    </xdr:from>
    <xdr:to>
      <xdr:col>2</xdr:col>
      <xdr:colOff>1247775</xdr:colOff>
      <xdr:row>3</xdr:row>
      <xdr:rowOff>145732</xdr:rowOff>
    </xdr:to>
    <xdr:sp macro="" textlink="">
      <xdr:nvSpPr>
        <xdr:cNvPr id="7" name="Right Arrow 6">
          <a:extLst>
            <a:ext uri="{FF2B5EF4-FFF2-40B4-BE49-F238E27FC236}">
              <a16:creationId xmlns:a16="http://schemas.microsoft.com/office/drawing/2014/main" id="{50BE9BFD-F120-423A-8FAC-C5280DB55D77}"/>
            </a:ext>
          </a:extLst>
        </xdr:cNvPr>
        <xdr:cNvSpPr/>
      </xdr:nvSpPr>
      <xdr:spPr>
        <a:xfrm rot="10800000" flipH="1">
          <a:off x="225425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8" name="Right Arrow 7">
          <a:extLst>
            <a:ext uri="{FF2B5EF4-FFF2-40B4-BE49-F238E27FC236}">
              <a16:creationId xmlns:a16="http://schemas.microsoft.com/office/drawing/2014/main" id="{972F8570-D34D-4AE9-A3BE-9EB4EF12CA7A}"/>
            </a:ext>
          </a:extLst>
        </xdr:cNvPr>
        <xdr:cNvSpPr/>
      </xdr:nvSpPr>
      <xdr:spPr>
        <a:xfrm>
          <a:off x="2006600" y="55880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9" name="Right Arrow 8">
          <a:extLst>
            <a:ext uri="{FF2B5EF4-FFF2-40B4-BE49-F238E27FC236}">
              <a16:creationId xmlns:a16="http://schemas.microsoft.com/office/drawing/2014/main" id="{083B146C-2428-4441-BFED-EB434AE003F8}"/>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10" name="Right Arrow 9">
          <a:extLst>
            <a:ext uri="{FF2B5EF4-FFF2-40B4-BE49-F238E27FC236}">
              <a16:creationId xmlns:a16="http://schemas.microsoft.com/office/drawing/2014/main" id="{A2403587-BA6A-4F4C-90A2-643C48D3AADD}"/>
            </a:ext>
          </a:extLst>
        </xdr:cNvPr>
        <xdr:cNvSpPr/>
      </xdr:nvSpPr>
      <xdr:spPr>
        <a:xfrm>
          <a:off x="2232025" y="48577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11" name="Right Arrow 10">
          <a:extLst>
            <a:ext uri="{FF2B5EF4-FFF2-40B4-BE49-F238E27FC236}">
              <a16:creationId xmlns:a16="http://schemas.microsoft.com/office/drawing/2014/main" id="{B2496F67-B402-4E77-BEC2-7B8000B594D0}"/>
            </a:ext>
          </a:extLst>
        </xdr:cNvPr>
        <xdr:cNvSpPr/>
      </xdr:nvSpPr>
      <xdr:spPr>
        <a:xfrm>
          <a:off x="1974850" y="47624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2</xdr:row>
      <xdr:rowOff>0</xdr:rowOff>
    </xdr:from>
    <xdr:to>
      <xdr:col>7</xdr:col>
      <xdr:colOff>973667</xdr:colOff>
      <xdr:row>4</xdr:row>
      <xdr:rowOff>5117</xdr:rowOff>
    </xdr:to>
    <xdr:sp macro="" textlink="">
      <xdr:nvSpPr>
        <xdr:cNvPr id="12" name="Rounded Rectangle 11">
          <a:hlinkClick xmlns:r="http://schemas.openxmlformats.org/officeDocument/2006/relationships" r:id="rId1"/>
          <a:extLst>
            <a:ext uri="{FF2B5EF4-FFF2-40B4-BE49-F238E27FC236}">
              <a16:creationId xmlns:a16="http://schemas.microsoft.com/office/drawing/2014/main" id="{A8FCC9C2-423F-4630-AE60-3FD82CF1B077}"/>
            </a:ext>
          </a:extLst>
        </xdr:cNvPr>
        <xdr:cNvSpPr/>
      </xdr:nvSpPr>
      <xdr:spPr>
        <a:xfrm>
          <a:off x="5181600" y="304800"/>
          <a:ext cx="973667" cy="3099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82.xml><?xml version="1.0" encoding="utf-8"?>
<xdr:wsDr xmlns:xdr="http://schemas.openxmlformats.org/drawingml/2006/spreadsheetDrawing" xmlns:a="http://schemas.openxmlformats.org/drawingml/2006/main">
  <xdr:twoCellAnchor>
    <xdr:from>
      <xdr:col>2</xdr:col>
      <xdr:colOff>933450</xdr:colOff>
      <xdr:row>3</xdr:row>
      <xdr:rowOff>100013</xdr:rowOff>
    </xdr:from>
    <xdr:to>
      <xdr:col>2</xdr:col>
      <xdr:colOff>1247775</xdr:colOff>
      <xdr:row>3</xdr:row>
      <xdr:rowOff>145732</xdr:rowOff>
    </xdr:to>
    <xdr:sp macro="" textlink="">
      <xdr:nvSpPr>
        <xdr:cNvPr id="2" name="Right Arrow 1">
          <a:extLst>
            <a:ext uri="{FF2B5EF4-FFF2-40B4-BE49-F238E27FC236}">
              <a16:creationId xmlns:a16="http://schemas.microsoft.com/office/drawing/2014/main" id="{E32B7825-2007-4A5B-955F-22AF8831231D}"/>
            </a:ext>
          </a:extLst>
        </xdr:cNvPr>
        <xdr:cNvSpPr/>
      </xdr:nvSpPr>
      <xdr:spPr>
        <a:xfrm rot="10800000" flipH="1">
          <a:off x="23812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3" name="Right Arrow 2">
          <a:extLst>
            <a:ext uri="{FF2B5EF4-FFF2-40B4-BE49-F238E27FC236}">
              <a16:creationId xmlns:a16="http://schemas.microsoft.com/office/drawing/2014/main" id="{16AD483E-10FE-4A98-9E30-7590B8FF8D4E}"/>
            </a:ext>
          </a:extLst>
        </xdr:cNvPr>
        <xdr:cNvSpPr/>
      </xdr:nvSpPr>
      <xdr:spPr>
        <a:xfrm>
          <a:off x="213360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4" name="Right Arrow 3">
          <a:extLst>
            <a:ext uri="{FF2B5EF4-FFF2-40B4-BE49-F238E27FC236}">
              <a16:creationId xmlns:a16="http://schemas.microsoft.com/office/drawing/2014/main" id="{C04E6BD7-0CEF-4848-A6DC-9B6820E502D7}"/>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5" name="Right Arrow 4">
          <a:extLst>
            <a:ext uri="{FF2B5EF4-FFF2-40B4-BE49-F238E27FC236}">
              <a16:creationId xmlns:a16="http://schemas.microsoft.com/office/drawing/2014/main" id="{E8BC10D0-53FF-417B-9E7C-0C9196FB7FDD}"/>
            </a:ext>
          </a:extLst>
        </xdr:cNvPr>
        <xdr:cNvSpPr/>
      </xdr:nvSpPr>
      <xdr:spPr>
        <a:xfrm>
          <a:off x="235902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6" name="Right Arrow 5">
          <a:extLst>
            <a:ext uri="{FF2B5EF4-FFF2-40B4-BE49-F238E27FC236}">
              <a16:creationId xmlns:a16="http://schemas.microsoft.com/office/drawing/2014/main" id="{A0962355-DF24-4C26-8A9A-308774B0E276}"/>
            </a:ext>
          </a:extLst>
        </xdr:cNvPr>
        <xdr:cNvSpPr/>
      </xdr:nvSpPr>
      <xdr:spPr>
        <a:xfrm>
          <a:off x="210185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3</xdr:row>
      <xdr:rowOff>100013</xdr:rowOff>
    </xdr:from>
    <xdr:to>
      <xdr:col>2</xdr:col>
      <xdr:colOff>1247775</xdr:colOff>
      <xdr:row>3</xdr:row>
      <xdr:rowOff>145732</xdr:rowOff>
    </xdr:to>
    <xdr:sp macro="" textlink="">
      <xdr:nvSpPr>
        <xdr:cNvPr id="7" name="Right Arrow 6">
          <a:extLst>
            <a:ext uri="{FF2B5EF4-FFF2-40B4-BE49-F238E27FC236}">
              <a16:creationId xmlns:a16="http://schemas.microsoft.com/office/drawing/2014/main" id="{4C2EFCFD-45BF-4C11-AC1A-B2728C5B973C}"/>
            </a:ext>
          </a:extLst>
        </xdr:cNvPr>
        <xdr:cNvSpPr/>
      </xdr:nvSpPr>
      <xdr:spPr>
        <a:xfrm rot="10800000" flipH="1">
          <a:off x="23812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8" name="Right Arrow 7">
          <a:extLst>
            <a:ext uri="{FF2B5EF4-FFF2-40B4-BE49-F238E27FC236}">
              <a16:creationId xmlns:a16="http://schemas.microsoft.com/office/drawing/2014/main" id="{74D5495E-101D-4FCC-BF6A-5C4E2A7B2C96}"/>
            </a:ext>
          </a:extLst>
        </xdr:cNvPr>
        <xdr:cNvSpPr/>
      </xdr:nvSpPr>
      <xdr:spPr>
        <a:xfrm>
          <a:off x="213360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9" name="Right Arrow 8">
          <a:extLst>
            <a:ext uri="{FF2B5EF4-FFF2-40B4-BE49-F238E27FC236}">
              <a16:creationId xmlns:a16="http://schemas.microsoft.com/office/drawing/2014/main" id="{6539D687-F62B-49FC-BCE9-CE92CC343C09}"/>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10" name="Right Arrow 9">
          <a:extLst>
            <a:ext uri="{FF2B5EF4-FFF2-40B4-BE49-F238E27FC236}">
              <a16:creationId xmlns:a16="http://schemas.microsoft.com/office/drawing/2014/main" id="{CB0AD993-CD3F-41C1-8208-A726D95D8209}"/>
            </a:ext>
          </a:extLst>
        </xdr:cNvPr>
        <xdr:cNvSpPr/>
      </xdr:nvSpPr>
      <xdr:spPr>
        <a:xfrm>
          <a:off x="235902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11" name="Right Arrow 10">
          <a:extLst>
            <a:ext uri="{FF2B5EF4-FFF2-40B4-BE49-F238E27FC236}">
              <a16:creationId xmlns:a16="http://schemas.microsoft.com/office/drawing/2014/main" id="{91440540-6C89-42ED-A91C-6311EC660D5F}"/>
            </a:ext>
          </a:extLst>
        </xdr:cNvPr>
        <xdr:cNvSpPr/>
      </xdr:nvSpPr>
      <xdr:spPr>
        <a:xfrm>
          <a:off x="210185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2</xdr:row>
      <xdr:rowOff>0</xdr:rowOff>
    </xdr:from>
    <xdr:to>
      <xdr:col>7</xdr:col>
      <xdr:colOff>973667</xdr:colOff>
      <xdr:row>4</xdr:row>
      <xdr:rowOff>5117</xdr:rowOff>
    </xdr:to>
    <xdr:sp macro="" textlink="">
      <xdr:nvSpPr>
        <xdr:cNvPr id="12" name="Rounded Rectangle 11">
          <a:hlinkClick xmlns:r="http://schemas.openxmlformats.org/officeDocument/2006/relationships" r:id="rId1"/>
          <a:extLst>
            <a:ext uri="{FF2B5EF4-FFF2-40B4-BE49-F238E27FC236}">
              <a16:creationId xmlns:a16="http://schemas.microsoft.com/office/drawing/2014/main" id="{E575FFDE-A989-4E43-819A-BD0CE42E72FD}"/>
            </a:ext>
          </a:extLst>
        </xdr:cNvPr>
        <xdr:cNvSpPr/>
      </xdr:nvSpPr>
      <xdr:spPr>
        <a:xfrm>
          <a:off x="5308600" y="304800"/>
          <a:ext cx="973667" cy="34166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83.xml><?xml version="1.0" encoding="utf-8"?>
<xdr:wsDr xmlns:xdr="http://schemas.openxmlformats.org/drawingml/2006/spreadsheetDrawing" xmlns:a="http://schemas.openxmlformats.org/drawingml/2006/main">
  <xdr:twoCellAnchor>
    <xdr:from>
      <xdr:col>2</xdr:col>
      <xdr:colOff>933450</xdr:colOff>
      <xdr:row>3</xdr:row>
      <xdr:rowOff>100013</xdr:rowOff>
    </xdr:from>
    <xdr:to>
      <xdr:col>2</xdr:col>
      <xdr:colOff>1247775</xdr:colOff>
      <xdr:row>3</xdr:row>
      <xdr:rowOff>145732</xdr:rowOff>
    </xdr:to>
    <xdr:sp macro="" textlink="">
      <xdr:nvSpPr>
        <xdr:cNvPr id="2" name="Right Arrow 1">
          <a:extLst>
            <a:ext uri="{FF2B5EF4-FFF2-40B4-BE49-F238E27FC236}">
              <a16:creationId xmlns:a16="http://schemas.microsoft.com/office/drawing/2014/main" id="{2291DEF3-F6D9-4845-90D9-51C9E51B7A6A}"/>
            </a:ext>
          </a:extLst>
        </xdr:cNvPr>
        <xdr:cNvSpPr/>
      </xdr:nvSpPr>
      <xdr:spPr>
        <a:xfrm rot="10800000" flipH="1">
          <a:off x="23812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3" name="Right Arrow 2">
          <a:extLst>
            <a:ext uri="{FF2B5EF4-FFF2-40B4-BE49-F238E27FC236}">
              <a16:creationId xmlns:a16="http://schemas.microsoft.com/office/drawing/2014/main" id="{4C11FDA7-D863-492F-8D24-A86AE986843E}"/>
            </a:ext>
          </a:extLst>
        </xdr:cNvPr>
        <xdr:cNvSpPr/>
      </xdr:nvSpPr>
      <xdr:spPr>
        <a:xfrm>
          <a:off x="213360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468489</xdr:colOff>
      <xdr:row>3</xdr:row>
      <xdr:rowOff>111124</xdr:rowOff>
    </xdr:from>
    <xdr:to>
      <xdr:col>0</xdr:col>
      <xdr:colOff>468489</xdr:colOff>
      <xdr:row>4</xdr:row>
      <xdr:rowOff>57150</xdr:rowOff>
    </xdr:to>
    <xdr:sp macro="" textlink="">
      <xdr:nvSpPr>
        <xdr:cNvPr id="4" name="Right Arrow 3">
          <a:extLst>
            <a:ext uri="{FF2B5EF4-FFF2-40B4-BE49-F238E27FC236}">
              <a16:creationId xmlns:a16="http://schemas.microsoft.com/office/drawing/2014/main" id="{CD22E596-D1B7-4DF9-AD64-2D54E8F6395C}"/>
            </a:ext>
          </a:extLst>
        </xdr:cNvPr>
        <xdr:cNvSpPr/>
      </xdr:nvSpPr>
      <xdr:spPr>
        <a:xfrm>
          <a:off x="468489" y="6000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5" name="Right Arrow 4">
          <a:extLst>
            <a:ext uri="{FF2B5EF4-FFF2-40B4-BE49-F238E27FC236}">
              <a16:creationId xmlns:a16="http://schemas.microsoft.com/office/drawing/2014/main" id="{7FD524CA-C198-434A-ADFC-F482390C6B7A}"/>
            </a:ext>
          </a:extLst>
        </xdr:cNvPr>
        <xdr:cNvSpPr/>
      </xdr:nvSpPr>
      <xdr:spPr>
        <a:xfrm>
          <a:off x="235902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6" name="Right Arrow 5">
          <a:extLst>
            <a:ext uri="{FF2B5EF4-FFF2-40B4-BE49-F238E27FC236}">
              <a16:creationId xmlns:a16="http://schemas.microsoft.com/office/drawing/2014/main" id="{126CA1FC-331A-47ED-89E3-76CA0367A10E}"/>
            </a:ext>
          </a:extLst>
        </xdr:cNvPr>
        <xdr:cNvSpPr/>
      </xdr:nvSpPr>
      <xdr:spPr>
        <a:xfrm>
          <a:off x="210185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3</xdr:row>
      <xdr:rowOff>100013</xdr:rowOff>
    </xdr:from>
    <xdr:to>
      <xdr:col>2</xdr:col>
      <xdr:colOff>1247775</xdr:colOff>
      <xdr:row>3</xdr:row>
      <xdr:rowOff>145732</xdr:rowOff>
    </xdr:to>
    <xdr:sp macro="" textlink="">
      <xdr:nvSpPr>
        <xdr:cNvPr id="7" name="Right Arrow 6">
          <a:extLst>
            <a:ext uri="{FF2B5EF4-FFF2-40B4-BE49-F238E27FC236}">
              <a16:creationId xmlns:a16="http://schemas.microsoft.com/office/drawing/2014/main" id="{47B80B2B-AFC3-4AB6-9CD5-CAA0515680A6}"/>
            </a:ext>
          </a:extLst>
        </xdr:cNvPr>
        <xdr:cNvSpPr/>
      </xdr:nvSpPr>
      <xdr:spPr>
        <a:xfrm rot="10800000" flipH="1">
          <a:off x="23812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8" name="Right Arrow 7">
          <a:extLst>
            <a:ext uri="{FF2B5EF4-FFF2-40B4-BE49-F238E27FC236}">
              <a16:creationId xmlns:a16="http://schemas.microsoft.com/office/drawing/2014/main" id="{8CD04C6E-2BA7-4A8B-BD20-449097CA677B}"/>
            </a:ext>
          </a:extLst>
        </xdr:cNvPr>
        <xdr:cNvSpPr/>
      </xdr:nvSpPr>
      <xdr:spPr>
        <a:xfrm>
          <a:off x="213360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481189</xdr:colOff>
      <xdr:row>3</xdr:row>
      <xdr:rowOff>22224</xdr:rowOff>
    </xdr:from>
    <xdr:to>
      <xdr:col>0</xdr:col>
      <xdr:colOff>481189</xdr:colOff>
      <xdr:row>3</xdr:row>
      <xdr:rowOff>120650</xdr:rowOff>
    </xdr:to>
    <xdr:sp macro="" textlink="">
      <xdr:nvSpPr>
        <xdr:cNvPr id="9" name="Right Arrow 8">
          <a:extLst>
            <a:ext uri="{FF2B5EF4-FFF2-40B4-BE49-F238E27FC236}">
              <a16:creationId xmlns:a16="http://schemas.microsoft.com/office/drawing/2014/main" id="{6DB13514-BA2C-4462-AAFB-CA8D80048390}"/>
            </a:ext>
          </a:extLst>
        </xdr:cNvPr>
        <xdr:cNvSpPr/>
      </xdr:nvSpPr>
      <xdr:spPr>
        <a:xfrm>
          <a:off x="481189" y="5111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10" name="Right Arrow 9">
          <a:extLst>
            <a:ext uri="{FF2B5EF4-FFF2-40B4-BE49-F238E27FC236}">
              <a16:creationId xmlns:a16="http://schemas.microsoft.com/office/drawing/2014/main" id="{DECF6C82-FE2B-4CB4-9DDB-47937EA874D6}"/>
            </a:ext>
          </a:extLst>
        </xdr:cNvPr>
        <xdr:cNvSpPr/>
      </xdr:nvSpPr>
      <xdr:spPr>
        <a:xfrm>
          <a:off x="235902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11" name="Right Arrow 10">
          <a:extLst>
            <a:ext uri="{FF2B5EF4-FFF2-40B4-BE49-F238E27FC236}">
              <a16:creationId xmlns:a16="http://schemas.microsoft.com/office/drawing/2014/main" id="{8482E26C-09DF-44AD-A4EC-48EF54EDA278}"/>
            </a:ext>
          </a:extLst>
        </xdr:cNvPr>
        <xdr:cNvSpPr/>
      </xdr:nvSpPr>
      <xdr:spPr>
        <a:xfrm>
          <a:off x="210185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2</xdr:row>
      <xdr:rowOff>0</xdr:rowOff>
    </xdr:from>
    <xdr:to>
      <xdr:col>7</xdr:col>
      <xdr:colOff>973667</xdr:colOff>
      <xdr:row>4</xdr:row>
      <xdr:rowOff>5117</xdr:rowOff>
    </xdr:to>
    <xdr:sp macro="" textlink="">
      <xdr:nvSpPr>
        <xdr:cNvPr id="12" name="Rounded Rectangle 11">
          <a:hlinkClick xmlns:r="http://schemas.openxmlformats.org/officeDocument/2006/relationships" r:id="rId1"/>
          <a:extLst>
            <a:ext uri="{FF2B5EF4-FFF2-40B4-BE49-F238E27FC236}">
              <a16:creationId xmlns:a16="http://schemas.microsoft.com/office/drawing/2014/main" id="{8F50C4A6-7F51-4F29-AE64-A8877687EE28}"/>
            </a:ext>
          </a:extLst>
        </xdr:cNvPr>
        <xdr:cNvSpPr/>
      </xdr:nvSpPr>
      <xdr:spPr>
        <a:xfrm>
          <a:off x="5308600" y="304800"/>
          <a:ext cx="973667" cy="34166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twoCellAnchor>
    <xdr:from>
      <xdr:col>0</xdr:col>
      <xdr:colOff>328789</xdr:colOff>
      <xdr:row>3</xdr:row>
      <xdr:rowOff>130174</xdr:rowOff>
    </xdr:from>
    <xdr:to>
      <xdr:col>0</xdr:col>
      <xdr:colOff>328789</xdr:colOff>
      <xdr:row>4</xdr:row>
      <xdr:rowOff>76200</xdr:rowOff>
    </xdr:to>
    <xdr:sp macro="" textlink="">
      <xdr:nvSpPr>
        <xdr:cNvPr id="14" name="Right Arrow 8">
          <a:extLst>
            <a:ext uri="{FF2B5EF4-FFF2-40B4-BE49-F238E27FC236}">
              <a16:creationId xmlns:a16="http://schemas.microsoft.com/office/drawing/2014/main" id="{7DB75B6E-219E-4995-943E-B73647B4F4F8}"/>
            </a:ext>
          </a:extLst>
        </xdr:cNvPr>
        <xdr:cNvSpPr/>
      </xdr:nvSpPr>
      <xdr:spPr>
        <a:xfrm>
          <a:off x="328789" y="61912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84.xml><?xml version="1.0" encoding="utf-8"?>
<xdr:wsDr xmlns:xdr="http://schemas.openxmlformats.org/drawingml/2006/spreadsheetDrawing" xmlns:a="http://schemas.openxmlformats.org/drawingml/2006/main">
  <xdr:twoCellAnchor>
    <xdr:from>
      <xdr:col>2</xdr:col>
      <xdr:colOff>933450</xdr:colOff>
      <xdr:row>3</xdr:row>
      <xdr:rowOff>100013</xdr:rowOff>
    </xdr:from>
    <xdr:to>
      <xdr:col>2</xdr:col>
      <xdr:colOff>1247775</xdr:colOff>
      <xdr:row>3</xdr:row>
      <xdr:rowOff>145732</xdr:rowOff>
    </xdr:to>
    <xdr:sp macro="" textlink="">
      <xdr:nvSpPr>
        <xdr:cNvPr id="2" name="Right Arrow 1">
          <a:extLst>
            <a:ext uri="{FF2B5EF4-FFF2-40B4-BE49-F238E27FC236}">
              <a16:creationId xmlns:a16="http://schemas.microsoft.com/office/drawing/2014/main" id="{9FDD7088-5381-4AF2-8561-D5C29C938F7C}"/>
            </a:ext>
          </a:extLst>
        </xdr:cNvPr>
        <xdr:cNvSpPr/>
      </xdr:nvSpPr>
      <xdr:spPr>
        <a:xfrm rot="10800000" flipH="1">
          <a:off x="23812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3" name="Right Arrow 2">
          <a:extLst>
            <a:ext uri="{FF2B5EF4-FFF2-40B4-BE49-F238E27FC236}">
              <a16:creationId xmlns:a16="http://schemas.microsoft.com/office/drawing/2014/main" id="{84697A08-EFD2-44D1-9F09-5AD185B31EC3}"/>
            </a:ext>
          </a:extLst>
        </xdr:cNvPr>
        <xdr:cNvSpPr/>
      </xdr:nvSpPr>
      <xdr:spPr>
        <a:xfrm>
          <a:off x="213360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468489</xdr:colOff>
      <xdr:row>3</xdr:row>
      <xdr:rowOff>111124</xdr:rowOff>
    </xdr:from>
    <xdr:to>
      <xdr:col>0</xdr:col>
      <xdr:colOff>468489</xdr:colOff>
      <xdr:row>4</xdr:row>
      <xdr:rowOff>57150</xdr:rowOff>
    </xdr:to>
    <xdr:sp macro="" textlink="">
      <xdr:nvSpPr>
        <xdr:cNvPr id="4" name="Right Arrow 3">
          <a:extLst>
            <a:ext uri="{FF2B5EF4-FFF2-40B4-BE49-F238E27FC236}">
              <a16:creationId xmlns:a16="http://schemas.microsoft.com/office/drawing/2014/main" id="{BE533B5C-0983-44CA-8547-E6437BBBD986}"/>
            </a:ext>
          </a:extLst>
        </xdr:cNvPr>
        <xdr:cNvSpPr/>
      </xdr:nvSpPr>
      <xdr:spPr>
        <a:xfrm>
          <a:off x="468489" y="6000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5" name="Right Arrow 4">
          <a:extLst>
            <a:ext uri="{FF2B5EF4-FFF2-40B4-BE49-F238E27FC236}">
              <a16:creationId xmlns:a16="http://schemas.microsoft.com/office/drawing/2014/main" id="{B75B01C8-60E1-4482-85AD-958464035F7A}"/>
            </a:ext>
          </a:extLst>
        </xdr:cNvPr>
        <xdr:cNvSpPr/>
      </xdr:nvSpPr>
      <xdr:spPr>
        <a:xfrm>
          <a:off x="235902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6" name="Right Arrow 5">
          <a:extLst>
            <a:ext uri="{FF2B5EF4-FFF2-40B4-BE49-F238E27FC236}">
              <a16:creationId xmlns:a16="http://schemas.microsoft.com/office/drawing/2014/main" id="{71408A81-0B5B-4C04-BFA9-2AA7B44F3558}"/>
            </a:ext>
          </a:extLst>
        </xdr:cNvPr>
        <xdr:cNvSpPr/>
      </xdr:nvSpPr>
      <xdr:spPr>
        <a:xfrm>
          <a:off x="210185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3</xdr:row>
      <xdr:rowOff>100013</xdr:rowOff>
    </xdr:from>
    <xdr:to>
      <xdr:col>2</xdr:col>
      <xdr:colOff>1247775</xdr:colOff>
      <xdr:row>3</xdr:row>
      <xdr:rowOff>145732</xdr:rowOff>
    </xdr:to>
    <xdr:sp macro="" textlink="">
      <xdr:nvSpPr>
        <xdr:cNvPr id="7" name="Right Arrow 6">
          <a:extLst>
            <a:ext uri="{FF2B5EF4-FFF2-40B4-BE49-F238E27FC236}">
              <a16:creationId xmlns:a16="http://schemas.microsoft.com/office/drawing/2014/main" id="{026E7463-FF9D-4F79-844D-D09039367F29}"/>
            </a:ext>
          </a:extLst>
        </xdr:cNvPr>
        <xdr:cNvSpPr/>
      </xdr:nvSpPr>
      <xdr:spPr>
        <a:xfrm rot="10800000" flipH="1">
          <a:off x="23812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8" name="Right Arrow 7">
          <a:extLst>
            <a:ext uri="{FF2B5EF4-FFF2-40B4-BE49-F238E27FC236}">
              <a16:creationId xmlns:a16="http://schemas.microsoft.com/office/drawing/2014/main" id="{E52849C2-D4D0-431F-A952-9ACCB70DD666}"/>
            </a:ext>
          </a:extLst>
        </xdr:cNvPr>
        <xdr:cNvSpPr/>
      </xdr:nvSpPr>
      <xdr:spPr>
        <a:xfrm>
          <a:off x="213360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481189</xdr:colOff>
      <xdr:row>3</xdr:row>
      <xdr:rowOff>22224</xdr:rowOff>
    </xdr:from>
    <xdr:to>
      <xdr:col>0</xdr:col>
      <xdr:colOff>481189</xdr:colOff>
      <xdr:row>3</xdr:row>
      <xdr:rowOff>120650</xdr:rowOff>
    </xdr:to>
    <xdr:sp macro="" textlink="">
      <xdr:nvSpPr>
        <xdr:cNvPr id="9" name="Right Arrow 8">
          <a:extLst>
            <a:ext uri="{FF2B5EF4-FFF2-40B4-BE49-F238E27FC236}">
              <a16:creationId xmlns:a16="http://schemas.microsoft.com/office/drawing/2014/main" id="{61F738BB-77B7-425A-A30A-FBD905FE2467}"/>
            </a:ext>
          </a:extLst>
        </xdr:cNvPr>
        <xdr:cNvSpPr/>
      </xdr:nvSpPr>
      <xdr:spPr>
        <a:xfrm>
          <a:off x="481189" y="5111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10" name="Right Arrow 9">
          <a:extLst>
            <a:ext uri="{FF2B5EF4-FFF2-40B4-BE49-F238E27FC236}">
              <a16:creationId xmlns:a16="http://schemas.microsoft.com/office/drawing/2014/main" id="{8C22AFB3-0C5F-4FC3-A098-BE698ECD8763}"/>
            </a:ext>
          </a:extLst>
        </xdr:cNvPr>
        <xdr:cNvSpPr/>
      </xdr:nvSpPr>
      <xdr:spPr>
        <a:xfrm>
          <a:off x="235902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11" name="Right Arrow 10">
          <a:extLst>
            <a:ext uri="{FF2B5EF4-FFF2-40B4-BE49-F238E27FC236}">
              <a16:creationId xmlns:a16="http://schemas.microsoft.com/office/drawing/2014/main" id="{890B9E87-7167-4214-A29C-8F3F4F3AA726}"/>
            </a:ext>
          </a:extLst>
        </xdr:cNvPr>
        <xdr:cNvSpPr/>
      </xdr:nvSpPr>
      <xdr:spPr>
        <a:xfrm>
          <a:off x="210185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2</xdr:row>
      <xdr:rowOff>0</xdr:rowOff>
    </xdr:from>
    <xdr:to>
      <xdr:col>7</xdr:col>
      <xdr:colOff>973667</xdr:colOff>
      <xdr:row>4</xdr:row>
      <xdr:rowOff>5117</xdr:rowOff>
    </xdr:to>
    <xdr:sp macro="" textlink="">
      <xdr:nvSpPr>
        <xdr:cNvPr id="12" name="Rounded Rectangle 11">
          <a:hlinkClick xmlns:r="http://schemas.openxmlformats.org/officeDocument/2006/relationships" r:id="rId1"/>
          <a:extLst>
            <a:ext uri="{FF2B5EF4-FFF2-40B4-BE49-F238E27FC236}">
              <a16:creationId xmlns:a16="http://schemas.microsoft.com/office/drawing/2014/main" id="{DDA7A203-ABAF-4951-B71E-6420482DE49D}"/>
            </a:ext>
          </a:extLst>
        </xdr:cNvPr>
        <xdr:cNvSpPr/>
      </xdr:nvSpPr>
      <xdr:spPr>
        <a:xfrm>
          <a:off x="5308600" y="304800"/>
          <a:ext cx="973667" cy="34166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twoCellAnchor>
    <xdr:from>
      <xdr:col>0</xdr:col>
      <xdr:colOff>328789</xdr:colOff>
      <xdr:row>3</xdr:row>
      <xdr:rowOff>130174</xdr:rowOff>
    </xdr:from>
    <xdr:to>
      <xdr:col>0</xdr:col>
      <xdr:colOff>328789</xdr:colOff>
      <xdr:row>4</xdr:row>
      <xdr:rowOff>76200</xdr:rowOff>
    </xdr:to>
    <xdr:sp macro="" textlink="">
      <xdr:nvSpPr>
        <xdr:cNvPr id="13" name="Right Arrow 8">
          <a:extLst>
            <a:ext uri="{FF2B5EF4-FFF2-40B4-BE49-F238E27FC236}">
              <a16:creationId xmlns:a16="http://schemas.microsoft.com/office/drawing/2014/main" id="{A8D12BCA-4680-4F2E-A04B-B03F69633EAA}"/>
            </a:ext>
          </a:extLst>
        </xdr:cNvPr>
        <xdr:cNvSpPr/>
      </xdr:nvSpPr>
      <xdr:spPr>
        <a:xfrm>
          <a:off x="328789" y="61912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85.xml><?xml version="1.0" encoding="utf-8"?>
<xdr:wsDr xmlns:xdr="http://schemas.openxmlformats.org/drawingml/2006/spreadsheetDrawing" xmlns:a="http://schemas.openxmlformats.org/drawingml/2006/main">
  <xdr:twoCellAnchor>
    <xdr:from>
      <xdr:col>2</xdr:col>
      <xdr:colOff>933450</xdr:colOff>
      <xdr:row>3</xdr:row>
      <xdr:rowOff>100013</xdr:rowOff>
    </xdr:from>
    <xdr:to>
      <xdr:col>2</xdr:col>
      <xdr:colOff>1247775</xdr:colOff>
      <xdr:row>3</xdr:row>
      <xdr:rowOff>145732</xdr:rowOff>
    </xdr:to>
    <xdr:sp macro="" textlink="">
      <xdr:nvSpPr>
        <xdr:cNvPr id="2" name="Right Arrow 1">
          <a:extLst>
            <a:ext uri="{FF2B5EF4-FFF2-40B4-BE49-F238E27FC236}">
              <a16:creationId xmlns:a16="http://schemas.microsoft.com/office/drawing/2014/main" id="{01831F34-1212-418C-9761-E207B600C3C7}"/>
            </a:ext>
          </a:extLst>
        </xdr:cNvPr>
        <xdr:cNvSpPr/>
      </xdr:nvSpPr>
      <xdr:spPr>
        <a:xfrm rot="10800000" flipH="1">
          <a:off x="23812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3" name="Right Arrow 2">
          <a:extLst>
            <a:ext uri="{FF2B5EF4-FFF2-40B4-BE49-F238E27FC236}">
              <a16:creationId xmlns:a16="http://schemas.microsoft.com/office/drawing/2014/main" id="{58721B99-703C-4F72-9BB9-B2A0EC0A11BD}"/>
            </a:ext>
          </a:extLst>
        </xdr:cNvPr>
        <xdr:cNvSpPr/>
      </xdr:nvSpPr>
      <xdr:spPr>
        <a:xfrm>
          <a:off x="213360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468489</xdr:colOff>
      <xdr:row>3</xdr:row>
      <xdr:rowOff>111124</xdr:rowOff>
    </xdr:from>
    <xdr:to>
      <xdr:col>0</xdr:col>
      <xdr:colOff>468489</xdr:colOff>
      <xdr:row>4</xdr:row>
      <xdr:rowOff>57150</xdr:rowOff>
    </xdr:to>
    <xdr:sp macro="" textlink="">
      <xdr:nvSpPr>
        <xdr:cNvPr id="4" name="Right Arrow 3">
          <a:extLst>
            <a:ext uri="{FF2B5EF4-FFF2-40B4-BE49-F238E27FC236}">
              <a16:creationId xmlns:a16="http://schemas.microsoft.com/office/drawing/2014/main" id="{117ADDAA-EC75-4CCE-825A-868077B24396}"/>
            </a:ext>
          </a:extLst>
        </xdr:cNvPr>
        <xdr:cNvSpPr/>
      </xdr:nvSpPr>
      <xdr:spPr>
        <a:xfrm>
          <a:off x="468489" y="6000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5" name="Right Arrow 4">
          <a:extLst>
            <a:ext uri="{FF2B5EF4-FFF2-40B4-BE49-F238E27FC236}">
              <a16:creationId xmlns:a16="http://schemas.microsoft.com/office/drawing/2014/main" id="{FE2D6FF7-5C36-4E94-B456-7B95BCBCC2EB}"/>
            </a:ext>
          </a:extLst>
        </xdr:cNvPr>
        <xdr:cNvSpPr/>
      </xdr:nvSpPr>
      <xdr:spPr>
        <a:xfrm>
          <a:off x="235902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6" name="Right Arrow 5">
          <a:extLst>
            <a:ext uri="{FF2B5EF4-FFF2-40B4-BE49-F238E27FC236}">
              <a16:creationId xmlns:a16="http://schemas.microsoft.com/office/drawing/2014/main" id="{7FDAE0D3-0796-4F71-B2B2-0778A917A279}"/>
            </a:ext>
          </a:extLst>
        </xdr:cNvPr>
        <xdr:cNvSpPr/>
      </xdr:nvSpPr>
      <xdr:spPr>
        <a:xfrm>
          <a:off x="210185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3</xdr:row>
      <xdr:rowOff>100013</xdr:rowOff>
    </xdr:from>
    <xdr:to>
      <xdr:col>2</xdr:col>
      <xdr:colOff>1247775</xdr:colOff>
      <xdr:row>3</xdr:row>
      <xdr:rowOff>145732</xdr:rowOff>
    </xdr:to>
    <xdr:sp macro="" textlink="">
      <xdr:nvSpPr>
        <xdr:cNvPr id="7" name="Right Arrow 6">
          <a:extLst>
            <a:ext uri="{FF2B5EF4-FFF2-40B4-BE49-F238E27FC236}">
              <a16:creationId xmlns:a16="http://schemas.microsoft.com/office/drawing/2014/main" id="{9707AE27-F3C5-4706-B8C5-8FDAF3270810}"/>
            </a:ext>
          </a:extLst>
        </xdr:cNvPr>
        <xdr:cNvSpPr/>
      </xdr:nvSpPr>
      <xdr:spPr>
        <a:xfrm rot="10800000" flipH="1">
          <a:off x="23812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8" name="Right Arrow 7">
          <a:extLst>
            <a:ext uri="{FF2B5EF4-FFF2-40B4-BE49-F238E27FC236}">
              <a16:creationId xmlns:a16="http://schemas.microsoft.com/office/drawing/2014/main" id="{0D29E9B1-2BD0-43C4-8FEB-5FE9794C27B3}"/>
            </a:ext>
          </a:extLst>
        </xdr:cNvPr>
        <xdr:cNvSpPr/>
      </xdr:nvSpPr>
      <xdr:spPr>
        <a:xfrm>
          <a:off x="213360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481189</xdr:colOff>
      <xdr:row>3</xdr:row>
      <xdr:rowOff>22224</xdr:rowOff>
    </xdr:from>
    <xdr:to>
      <xdr:col>0</xdr:col>
      <xdr:colOff>481189</xdr:colOff>
      <xdr:row>3</xdr:row>
      <xdr:rowOff>120650</xdr:rowOff>
    </xdr:to>
    <xdr:sp macro="" textlink="">
      <xdr:nvSpPr>
        <xdr:cNvPr id="9" name="Right Arrow 8">
          <a:extLst>
            <a:ext uri="{FF2B5EF4-FFF2-40B4-BE49-F238E27FC236}">
              <a16:creationId xmlns:a16="http://schemas.microsoft.com/office/drawing/2014/main" id="{96A6B290-8704-4062-ADB4-C00ED6998429}"/>
            </a:ext>
          </a:extLst>
        </xdr:cNvPr>
        <xdr:cNvSpPr/>
      </xdr:nvSpPr>
      <xdr:spPr>
        <a:xfrm>
          <a:off x="481189" y="5111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10" name="Right Arrow 9">
          <a:extLst>
            <a:ext uri="{FF2B5EF4-FFF2-40B4-BE49-F238E27FC236}">
              <a16:creationId xmlns:a16="http://schemas.microsoft.com/office/drawing/2014/main" id="{B61AD17E-FBC2-473D-8159-14FA7CDC984D}"/>
            </a:ext>
          </a:extLst>
        </xdr:cNvPr>
        <xdr:cNvSpPr/>
      </xdr:nvSpPr>
      <xdr:spPr>
        <a:xfrm>
          <a:off x="235902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11" name="Right Arrow 10">
          <a:extLst>
            <a:ext uri="{FF2B5EF4-FFF2-40B4-BE49-F238E27FC236}">
              <a16:creationId xmlns:a16="http://schemas.microsoft.com/office/drawing/2014/main" id="{4378CF3D-7707-42B9-B971-9D6CD8FDF08E}"/>
            </a:ext>
          </a:extLst>
        </xdr:cNvPr>
        <xdr:cNvSpPr/>
      </xdr:nvSpPr>
      <xdr:spPr>
        <a:xfrm>
          <a:off x="210185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2</xdr:row>
      <xdr:rowOff>0</xdr:rowOff>
    </xdr:from>
    <xdr:to>
      <xdr:col>7</xdr:col>
      <xdr:colOff>973667</xdr:colOff>
      <xdr:row>4</xdr:row>
      <xdr:rowOff>5117</xdr:rowOff>
    </xdr:to>
    <xdr:sp macro="" textlink="">
      <xdr:nvSpPr>
        <xdr:cNvPr id="12" name="Rounded Rectangle 11">
          <a:hlinkClick xmlns:r="http://schemas.openxmlformats.org/officeDocument/2006/relationships" r:id="rId1"/>
          <a:extLst>
            <a:ext uri="{FF2B5EF4-FFF2-40B4-BE49-F238E27FC236}">
              <a16:creationId xmlns:a16="http://schemas.microsoft.com/office/drawing/2014/main" id="{AC4E49A9-E2B0-498E-85F7-7E7EC74342A5}"/>
            </a:ext>
          </a:extLst>
        </xdr:cNvPr>
        <xdr:cNvSpPr/>
      </xdr:nvSpPr>
      <xdr:spPr>
        <a:xfrm>
          <a:off x="5308600" y="304800"/>
          <a:ext cx="973667" cy="34166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twoCellAnchor>
    <xdr:from>
      <xdr:col>0</xdr:col>
      <xdr:colOff>328789</xdr:colOff>
      <xdr:row>3</xdr:row>
      <xdr:rowOff>130174</xdr:rowOff>
    </xdr:from>
    <xdr:to>
      <xdr:col>0</xdr:col>
      <xdr:colOff>328789</xdr:colOff>
      <xdr:row>4</xdr:row>
      <xdr:rowOff>76200</xdr:rowOff>
    </xdr:to>
    <xdr:sp macro="" textlink="">
      <xdr:nvSpPr>
        <xdr:cNvPr id="13" name="Right Arrow 8">
          <a:extLst>
            <a:ext uri="{FF2B5EF4-FFF2-40B4-BE49-F238E27FC236}">
              <a16:creationId xmlns:a16="http://schemas.microsoft.com/office/drawing/2014/main" id="{80CC6108-FCD4-4984-9D87-7902D6486A52}"/>
            </a:ext>
          </a:extLst>
        </xdr:cNvPr>
        <xdr:cNvSpPr/>
      </xdr:nvSpPr>
      <xdr:spPr>
        <a:xfrm>
          <a:off x="328789" y="61912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86.xml><?xml version="1.0" encoding="utf-8"?>
<xdr:wsDr xmlns:xdr="http://schemas.openxmlformats.org/drawingml/2006/spreadsheetDrawing" xmlns:a="http://schemas.openxmlformats.org/drawingml/2006/main">
  <xdr:twoCellAnchor>
    <xdr:from>
      <xdr:col>2</xdr:col>
      <xdr:colOff>933450</xdr:colOff>
      <xdr:row>3</xdr:row>
      <xdr:rowOff>100013</xdr:rowOff>
    </xdr:from>
    <xdr:to>
      <xdr:col>2</xdr:col>
      <xdr:colOff>1247775</xdr:colOff>
      <xdr:row>3</xdr:row>
      <xdr:rowOff>145732</xdr:rowOff>
    </xdr:to>
    <xdr:sp macro="" textlink="">
      <xdr:nvSpPr>
        <xdr:cNvPr id="2" name="Right Arrow 1">
          <a:extLst>
            <a:ext uri="{FF2B5EF4-FFF2-40B4-BE49-F238E27FC236}">
              <a16:creationId xmlns:a16="http://schemas.microsoft.com/office/drawing/2014/main" id="{6F257681-3502-406D-AF35-6C7F89F9127C}"/>
            </a:ext>
          </a:extLst>
        </xdr:cNvPr>
        <xdr:cNvSpPr/>
      </xdr:nvSpPr>
      <xdr:spPr>
        <a:xfrm rot="10800000" flipH="1">
          <a:off x="23812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3" name="Right Arrow 2">
          <a:extLst>
            <a:ext uri="{FF2B5EF4-FFF2-40B4-BE49-F238E27FC236}">
              <a16:creationId xmlns:a16="http://schemas.microsoft.com/office/drawing/2014/main" id="{17F46EF8-C776-42CB-B45E-D75988F036FE}"/>
            </a:ext>
          </a:extLst>
        </xdr:cNvPr>
        <xdr:cNvSpPr/>
      </xdr:nvSpPr>
      <xdr:spPr>
        <a:xfrm>
          <a:off x="213360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4" name="Right Arrow 3">
          <a:extLst>
            <a:ext uri="{FF2B5EF4-FFF2-40B4-BE49-F238E27FC236}">
              <a16:creationId xmlns:a16="http://schemas.microsoft.com/office/drawing/2014/main" id="{FC2A31BD-D03B-4990-A860-CF55C167714B}"/>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5" name="Right Arrow 4">
          <a:extLst>
            <a:ext uri="{FF2B5EF4-FFF2-40B4-BE49-F238E27FC236}">
              <a16:creationId xmlns:a16="http://schemas.microsoft.com/office/drawing/2014/main" id="{E9D99B7D-CB00-474C-A70D-51A2DBE38D83}"/>
            </a:ext>
          </a:extLst>
        </xdr:cNvPr>
        <xdr:cNvSpPr/>
      </xdr:nvSpPr>
      <xdr:spPr>
        <a:xfrm>
          <a:off x="235902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6" name="Right Arrow 5">
          <a:extLst>
            <a:ext uri="{FF2B5EF4-FFF2-40B4-BE49-F238E27FC236}">
              <a16:creationId xmlns:a16="http://schemas.microsoft.com/office/drawing/2014/main" id="{CAA44407-DAAD-4814-A759-190D2D1EF1C7}"/>
            </a:ext>
          </a:extLst>
        </xdr:cNvPr>
        <xdr:cNvSpPr/>
      </xdr:nvSpPr>
      <xdr:spPr>
        <a:xfrm>
          <a:off x="210185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3</xdr:row>
      <xdr:rowOff>100013</xdr:rowOff>
    </xdr:from>
    <xdr:to>
      <xdr:col>2</xdr:col>
      <xdr:colOff>1247775</xdr:colOff>
      <xdr:row>3</xdr:row>
      <xdr:rowOff>145732</xdr:rowOff>
    </xdr:to>
    <xdr:sp macro="" textlink="">
      <xdr:nvSpPr>
        <xdr:cNvPr id="7" name="Right Arrow 6">
          <a:extLst>
            <a:ext uri="{FF2B5EF4-FFF2-40B4-BE49-F238E27FC236}">
              <a16:creationId xmlns:a16="http://schemas.microsoft.com/office/drawing/2014/main" id="{C1D89371-7F76-45C9-91A6-9E3C9B715408}"/>
            </a:ext>
          </a:extLst>
        </xdr:cNvPr>
        <xdr:cNvSpPr/>
      </xdr:nvSpPr>
      <xdr:spPr>
        <a:xfrm rot="10800000" flipH="1">
          <a:off x="23812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8" name="Right Arrow 7">
          <a:extLst>
            <a:ext uri="{FF2B5EF4-FFF2-40B4-BE49-F238E27FC236}">
              <a16:creationId xmlns:a16="http://schemas.microsoft.com/office/drawing/2014/main" id="{E33D48AD-E2FD-4F14-A6DF-8AA1E066DB0B}"/>
            </a:ext>
          </a:extLst>
        </xdr:cNvPr>
        <xdr:cNvSpPr/>
      </xdr:nvSpPr>
      <xdr:spPr>
        <a:xfrm>
          <a:off x="213360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9" name="Right Arrow 8">
          <a:extLst>
            <a:ext uri="{FF2B5EF4-FFF2-40B4-BE49-F238E27FC236}">
              <a16:creationId xmlns:a16="http://schemas.microsoft.com/office/drawing/2014/main" id="{5FEA29D5-B837-4DDA-A103-E62C877B916A}"/>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10" name="Right Arrow 9">
          <a:extLst>
            <a:ext uri="{FF2B5EF4-FFF2-40B4-BE49-F238E27FC236}">
              <a16:creationId xmlns:a16="http://schemas.microsoft.com/office/drawing/2014/main" id="{7E7381DD-CFAC-4EE5-893D-C36BE5D94C7A}"/>
            </a:ext>
          </a:extLst>
        </xdr:cNvPr>
        <xdr:cNvSpPr/>
      </xdr:nvSpPr>
      <xdr:spPr>
        <a:xfrm>
          <a:off x="235902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11" name="Right Arrow 10">
          <a:extLst>
            <a:ext uri="{FF2B5EF4-FFF2-40B4-BE49-F238E27FC236}">
              <a16:creationId xmlns:a16="http://schemas.microsoft.com/office/drawing/2014/main" id="{5E65932B-88EB-48CF-9563-09C8DA557D28}"/>
            </a:ext>
          </a:extLst>
        </xdr:cNvPr>
        <xdr:cNvSpPr/>
      </xdr:nvSpPr>
      <xdr:spPr>
        <a:xfrm>
          <a:off x="210185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2</xdr:row>
      <xdr:rowOff>0</xdr:rowOff>
    </xdr:from>
    <xdr:to>
      <xdr:col>7</xdr:col>
      <xdr:colOff>973667</xdr:colOff>
      <xdr:row>4</xdr:row>
      <xdr:rowOff>5117</xdr:rowOff>
    </xdr:to>
    <xdr:sp macro="" textlink="">
      <xdr:nvSpPr>
        <xdr:cNvPr id="12" name="Rounded Rectangle 11">
          <a:hlinkClick xmlns:r="http://schemas.openxmlformats.org/officeDocument/2006/relationships" r:id="rId1"/>
          <a:extLst>
            <a:ext uri="{FF2B5EF4-FFF2-40B4-BE49-F238E27FC236}">
              <a16:creationId xmlns:a16="http://schemas.microsoft.com/office/drawing/2014/main" id="{6F8B5814-B513-4A3D-A54D-B88719760AA0}"/>
            </a:ext>
          </a:extLst>
        </xdr:cNvPr>
        <xdr:cNvSpPr/>
      </xdr:nvSpPr>
      <xdr:spPr>
        <a:xfrm>
          <a:off x="5308600" y="304800"/>
          <a:ext cx="973667" cy="34166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87.xml><?xml version="1.0" encoding="utf-8"?>
<xdr:wsDr xmlns:xdr="http://schemas.openxmlformats.org/drawingml/2006/spreadsheetDrawing" xmlns:a="http://schemas.openxmlformats.org/drawingml/2006/main">
  <xdr:twoCellAnchor>
    <xdr:from>
      <xdr:col>2</xdr:col>
      <xdr:colOff>933450</xdr:colOff>
      <xdr:row>3</xdr:row>
      <xdr:rowOff>100013</xdr:rowOff>
    </xdr:from>
    <xdr:to>
      <xdr:col>2</xdr:col>
      <xdr:colOff>1247775</xdr:colOff>
      <xdr:row>3</xdr:row>
      <xdr:rowOff>145732</xdr:rowOff>
    </xdr:to>
    <xdr:sp macro="" textlink="">
      <xdr:nvSpPr>
        <xdr:cNvPr id="2" name="Right Arrow 1">
          <a:extLst>
            <a:ext uri="{FF2B5EF4-FFF2-40B4-BE49-F238E27FC236}">
              <a16:creationId xmlns:a16="http://schemas.microsoft.com/office/drawing/2014/main" id="{18B0636F-5398-483E-9F55-493629DEE44D}"/>
            </a:ext>
          </a:extLst>
        </xdr:cNvPr>
        <xdr:cNvSpPr/>
      </xdr:nvSpPr>
      <xdr:spPr>
        <a:xfrm rot="10800000" flipH="1">
          <a:off x="23812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3" name="Right Arrow 2">
          <a:extLst>
            <a:ext uri="{FF2B5EF4-FFF2-40B4-BE49-F238E27FC236}">
              <a16:creationId xmlns:a16="http://schemas.microsoft.com/office/drawing/2014/main" id="{079290B5-FE70-4772-9B12-64A87779F6B0}"/>
            </a:ext>
          </a:extLst>
        </xdr:cNvPr>
        <xdr:cNvSpPr/>
      </xdr:nvSpPr>
      <xdr:spPr>
        <a:xfrm>
          <a:off x="213360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4" name="Right Arrow 3">
          <a:extLst>
            <a:ext uri="{FF2B5EF4-FFF2-40B4-BE49-F238E27FC236}">
              <a16:creationId xmlns:a16="http://schemas.microsoft.com/office/drawing/2014/main" id="{DD41BDE2-A7F4-4D7E-A3A4-1582C9B7F0B4}"/>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5" name="Right Arrow 4">
          <a:extLst>
            <a:ext uri="{FF2B5EF4-FFF2-40B4-BE49-F238E27FC236}">
              <a16:creationId xmlns:a16="http://schemas.microsoft.com/office/drawing/2014/main" id="{E802DE08-608E-4207-AFAF-6A735BD2AA75}"/>
            </a:ext>
          </a:extLst>
        </xdr:cNvPr>
        <xdr:cNvSpPr/>
      </xdr:nvSpPr>
      <xdr:spPr>
        <a:xfrm>
          <a:off x="235902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6" name="Right Arrow 5">
          <a:extLst>
            <a:ext uri="{FF2B5EF4-FFF2-40B4-BE49-F238E27FC236}">
              <a16:creationId xmlns:a16="http://schemas.microsoft.com/office/drawing/2014/main" id="{1003F711-00B3-4D05-A4B4-2DD315CBC96E}"/>
            </a:ext>
          </a:extLst>
        </xdr:cNvPr>
        <xdr:cNvSpPr/>
      </xdr:nvSpPr>
      <xdr:spPr>
        <a:xfrm>
          <a:off x="210185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3</xdr:row>
      <xdr:rowOff>100013</xdr:rowOff>
    </xdr:from>
    <xdr:to>
      <xdr:col>2</xdr:col>
      <xdr:colOff>1247775</xdr:colOff>
      <xdr:row>3</xdr:row>
      <xdr:rowOff>145732</xdr:rowOff>
    </xdr:to>
    <xdr:sp macro="" textlink="">
      <xdr:nvSpPr>
        <xdr:cNvPr id="7" name="Right Arrow 6">
          <a:extLst>
            <a:ext uri="{FF2B5EF4-FFF2-40B4-BE49-F238E27FC236}">
              <a16:creationId xmlns:a16="http://schemas.microsoft.com/office/drawing/2014/main" id="{244E8028-713A-4D62-BAF3-69B16A573B68}"/>
            </a:ext>
          </a:extLst>
        </xdr:cNvPr>
        <xdr:cNvSpPr/>
      </xdr:nvSpPr>
      <xdr:spPr>
        <a:xfrm rot="10800000" flipH="1">
          <a:off x="23812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8" name="Right Arrow 7">
          <a:extLst>
            <a:ext uri="{FF2B5EF4-FFF2-40B4-BE49-F238E27FC236}">
              <a16:creationId xmlns:a16="http://schemas.microsoft.com/office/drawing/2014/main" id="{42FC530F-2BF9-4132-A192-BC0FC3864E5F}"/>
            </a:ext>
          </a:extLst>
        </xdr:cNvPr>
        <xdr:cNvSpPr/>
      </xdr:nvSpPr>
      <xdr:spPr>
        <a:xfrm>
          <a:off x="213360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9" name="Right Arrow 8">
          <a:extLst>
            <a:ext uri="{FF2B5EF4-FFF2-40B4-BE49-F238E27FC236}">
              <a16:creationId xmlns:a16="http://schemas.microsoft.com/office/drawing/2014/main" id="{7EEC068F-A217-4CA6-A415-E15DA82E4345}"/>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10" name="Right Arrow 9">
          <a:extLst>
            <a:ext uri="{FF2B5EF4-FFF2-40B4-BE49-F238E27FC236}">
              <a16:creationId xmlns:a16="http://schemas.microsoft.com/office/drawing/2014/main" id="{ABD5237F-F9EE-44D6-AF4B-35096BD8C7D9}"/>
            </a:ext>
          </a:extLst>
        </xdr:cNvPr>
        <xdr:cNvSpPr/>
      </xdr:nvSpPr>
      <xdr:spPr>
        <a:xfrm>
          <a:off x="235902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11" name="Right Arrow 10">
          <a:extLst>
            <a:ext uri="{FF2B5EF4-FFF2-40B4-BE49-F238E27FC236}">
              <a16:creationId xmlns:a16="http://schemas.microsoft.com/office/drawing/2014/main" id="{D2A2729B-200B-4B53-ADF6-5E7E4CCC4DF2}"/>
            </a:ext>
          </a:extLst>
        </xdr:cNvPr>
        <xdr:cNvSpPr/>
      </xdr:nvSpPr>
      <xdr:spPr>
        <a:xfrm>
          <a:off x="210185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2</xdr:row>
      <xdr:rowOff>0</xdr:rowOff>
    </xdr:from>
    <xdr:to>
      <xdr:col>7</xdr:col>
      <xdr:colOff>973667</xdr:colOff>
      <xdr:row>4</xdr:row>
      <xdr:rowOff>5117</xdr:rowOff>
    </xdr:to>
    <xdr:sp macro="" textlink="">
      <xdr:nvSpPr>
        <xdr:cNvPr id="12" name="Rounded Rectangle 11">
          <a:hlinkClick xmlns:r="http://schemas.openxmlformats.org/officeDocument/2006/relationships" r:id="rId1"/>
          <a:extLst>
            <a:ext uri="{FF2B5EF4-FFF2-40B4-BE49-F238E27FC236}">
              <a16:creationId xmlns:a16="http://schemas.microsoft.com/office/drawing/2014/main" id="{7DA1F3B5-29A7-45EA-95B2-5CA7BD9DE740}"/>
            </a:ext>
          </a:extLst>
        </xdr:cNvPr>
        <xdr:cNvSpPr/>
      </xdr:nvSpPr>
      <xdr:spPr>
        <a:xfrm>
          <a:off x="5308600" y="304800"/>
          <a:ext cx="973667" cy="34166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88.xml><?xml version="1.0" encoding="utf-8"?>
<xdr:wsDr xmlns:xdr="http://schemas.openxmlformats.org/drawingml/2006/spreadsheetDrawing" xmlns:a="http://schemas.openxmlformats.org/drawingml/2006/main">
  <xdr:twoCellAnchor>
    <xdr:from>
      <xdr:col>2</xdr:col>
      <xdr:colOff>933450</xdr:colOff>
      <xdr:row>3</xdr:row>
      <xdr:rowOff>100013</xdr:rowOff>
    </xdr:from>
    <xdr:to>
      <xdr:col>2</xdr:col>
      <xdr:colOff>1247775</xdr:colOff>
      <xdr:row>3</xdr:row>
      <xdr:rowOff>145732</xdr:rowOff>
    </xdr:to>
    <xdr:sp macro="" textlink="">
      <xdr:nvSpPr>
        <xdr:cNvPr id="2" name="Right Arrow 1">
          <a:extLst>
            <a:ext uri="{FF2B5EF4-FFF2-40B4-BE49-F238E27FC236}">
              <a16:creationId xmlns:a16="http://schemas.microsoft.com/office/drawing/2014/main" id="{9E2A8C14-783C-4D3C-91AA-111B382A2865}"/>
            </a:ext>
          </a:extLst>
        </xdr:cNvPr>
        <xdr:cNvSpPr/>
      </xdr:nvSpPr>
      <xdr:spPr>
        <a:xfrm rot="10800000" flipH="1">
          <a:off x="23812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3" name="Right Arrow 2">
          <a:extLst>
            <a:ext uri="{FF2B5EF4-FFF2-40B4-BE49-F238E27FC236}">
              <a16:creationId xmlns:a16="http://schemas.microsoft.com/office/drawing/2014/main" id="{D0FD8A7E-9BA7-4DF9-912D-27C28CF2B293}"/>
            </a:ext>
          </a:extLst>
        </xdr:cNvPr>
        <xdr:cNvSpPr/>
      </xdr:nvSpPr>
      <xdr:spPr>
        <a:xfrm>
          <a:off x="213360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4" name="Right Arrow 3">
          <a:extLst>
            <a:ext uri="{FF2B5EF4-FFF2-40B4-BE49-F238E27FC236}">
              <a16:creationId xmlns:a16="http://schemas.microsoft.com/office/drawing/2014/main" id="{F6037369-2DB9-4660-897E-5551D440AF47}"/>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5" name="Right Arrow 4">
          <a:extLst>
            <a:ext uri="{FF2B5EF4-FFF2-40B4-BE49-F238E27FC236}">
              <a16:creationId xmlns:a16="http://schemas.microsoft.com/office/drawing/2014/main" id="{9A33B45D-BE24-4814-942C-50F3059140A4}"/>
            </a:ext>
          </a:extLst>
        </xdr:cNvPr>
        <xdr:cNvSpPr/>
      </xdr:nvSpPr>
      <xdr:spPr>
        <a:xfrm>
          <a:off x="235902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6" name="Right Arrow 5">
          <a:extLst>
            <a:ext uri="{FF2B5EF4-FFF2-40B4-BE49-F238E27FC236}">
              <a16:creationId xmlns:a16="http://schemas.microsoft.com/office/drawing/2014/main" id="{25015AB5-98BD-4C34-9C13-9CA7494379CD}"/>
            </a:ext>
          </a:extLst>
        </xdr:cNvPr>
        <xdr:cNvSpPr/>
      </xdr:nvSpPr>
      <xdr:spPr>
        <a:xfrm>
          <a:off x="210185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3</xdr:row>
      <xdr:rowOff>100013</xdr:rowOff>
    </xdr:from>
    <xdr:to>
      <xdr:col>2</xdr:col>
      <xdr:colOff>1247775</xdr:colOff>
      <xdr:row>3</xdr:row>
      <xdr:rowOff>145732</xdr:rowOff>
    </xdr:to>
    <xdr:sp macro="" textlink="">
      <xdr:nvSpPr>
        <xdr:cNvPr id="7" name="Right Arrow 6">
          <a:extLst>
            <a:ext uri="{FF2B5EF4-FFF2-40B4-BE49-F238E27FC236}">
              <a16:creationId xmlns:a16="http://schemas.microsoft.com/office/drawing/2014/main" id="{8E1CC4B0-E309-42A6-ACFC-E9A18721A28F}"/>
            </a:ext>
          </a:extLst>
        </xdr:cNvPr>
        <xdr:cNvSpPr/>
      </xdr:nvSpPr>
      <xdr:spPr>
        <a:xfrm rot="10800000" flipH="1">
          <a:off x="23812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8" name="Right Arrow 7">
          <a:extLst>
            <a:ext uri="{FF2B5EF4-FFF2-40B4-BE49-F238E27FC236}">
              <a16:creationId xmlns:a16="http://schemas.microsoft.com/office/drawing/2014/main" id="{920A6447-D54F-41E3-9165-DCAB6B5D49B0}"/>
            </a:ext>
          </a:extLst>
        </xdr:cNvPr>
        <xdr:cNvSpPr/>
      </xdr:nvSpPr>
      <xdr:spPr>
        <a:xfrm>
          <a:off x="213360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9" name="Right Arrow 8">
          <a:extLst>
            <a:ext uri="{FF2B5EF4-FFF2-40B4-BE49-F238E27FC236}">
              <a16:creationId xmlns:a16="http://schemas.microsoft.com/office/drawing/2014/main" id="{FAE24905-BC30-4D92-9B15-DF3118FB7DE7}"/>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10" name="Right Arrow 9">
          <a:extLst>
            <a:ext uri="{FF2B5EF4-FFF2-40B4-BE49-F238E27FC236}">
              <a16:creationId xmlns:a16="http://schemas.microsoft.com/office/drawing/2014/main" id="{FD3BB79D-880C-44AB-A35D-BE86BD3F67CE}"/>
            </a:ext>
          </a:extLst>
        </xdr:cNvPr>
        <xdr:cNvSpPr/>
      </xdr:nvSpPr>
      <xdr:spPr>
        <a:xfrm>
          <a:off x="235902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11" name="Right Arrow 10">
          <a:extLst>
            <a:ext uri="{FF2B5EF4-FFF2-40B4-BE49-F238E27FC236}">
              <a16:creationId xmlns:a16="http://schemas.microsoft.com/office/drawing/2014/main" id="{68A0D164-C653-490A-97A0-17ADF6226BA1}"/>
            </a:ext>
          </a:extLst>
        </xdr:cNvPr>
        <xdr:cNvSpPr/>
      </xdr:nvSpPr>
      <xdr:spPr>
        <a:xfrm>
          <a:off x="210185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2</xdr:row>
      <xdr:rowOff>0</xdr:rowOff>
    </xdr:from>
    <xdr:to>
      <xdr:col>7</xdr:col>
      <xdr:colOff>973667</xdr:colOff>
      <xdr:row>4</xdr:row>
      <xdr:rowOff>5117</xdr:rowOff>
    </xdr:to>
    <xdr:sp macro="" textlink="">
      <xdr:nvSpPr>
        <xdr:cNvPr id="12" name="Rounded Rectangle 11">
          <a:hlinkClick xmlns:r="http://schemas.openxmlformats.org/officeDocument/2006/relationships" r:id="rId1"/>
          <a:extLst>
            <a:ext uri="{FF2B5EF4-FFF2-40B4-BE49-F238E27FC236}">
              <a16:creationId xmlns:a16="http://schemas.microsoft.com/office/drawing/2014/main" id="{F7E63DE2-AFD2-4BAE-9C54-4059457DE230}"/>
            </a:ext>
          </a:extLst>
        </xdr:cNvPr>
        <xdr:cNvSpPr/>
      </xdr:nvSpPr>
      <xdr:spPr>
        <a:xfrm>
          <a:off x="5308600" y="304800"/>
          <a:ext cx="973667" cy="34166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89.xml><?xml version="1.0" encoding="utf-8"?>
<xdr:wsDr xmlns:xdr="http://schemas.openxmlformats.org/drawingml/2006/spreadsheetDrawing" xmlns:a="http://schemas.openxmlformats.org/drawingml/2006/main">
  <xdr:twoCellAnchor>
    <xdr:from>
      <xdr:col>2</xdr:col>
      <xdr:colOff>933450</xdr:colOff>
      <xdr:row>3</xdr:row>
      <xdr:rowOff>100013</xdr:rowOff>
    </xdr:from>
    <xdr:to>
      <xdr:col>2</xdr:col>
      <xdr:colOff>1247775</xdr:colOff>
      <xdr:row>3</xdr:row>
      <xdr:rowOff>145732</xdr:rowOff>
    </xdr:to>
    <xdr:sp macro="" textlink="">
      <xdr:nvSpPr>
        <xdr:cNvPr id="2" name="Right Arrow 1">
          <a:extLst>
            <a:ext uri="{FF2B5EF4-FFF2-40B4-BE49-F238E27FC236}">
              <a16:creationId xmlns:a16="http://schemas.microsoft.com/office/drawing/2014/main" id="{57E65119-F970-4156-9B4D-7E83DAC4C5D6}"/>
            </a:ext>
          </a:extLst>
        </xdr:cNvPr>
        <xdr:cNvSpPr/>
      </xdr:nvSpPr>
      <xdr:spPr>
        <a:xfrm rot="10800000" flipH="1">
          <a:off x="2381250" y="7096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3" name="Right Arrow 2">
          <a:extLst>
            <a:ext uri="{FF2B5EF4-FFF2-40B4-BE49-F238E27FC236}">
              <a16:creationId xmlns:a16="http://schemas.microsoft.com/office/drawing/2014/main" id="{26545E0A-6D97-49A9-8AA0-77E00230D108}"/>
            </a:ext>
          </a:extLst>
        </xdr:cNvPr>
        <xdr:cNvSpPr/>
      </xdr:nvSpPr>
      <xdr:spPr>
        <a:xfrm>
          <a:off x="2133600" y="71120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4" name="Right Arrow 3">
          <a:extLst>
            <a:ext uri="{FF2B5EF4-FFF2-40B4-BE49-F238E27FC236}">
              <a16:creationId xmlns:a16="http://schemas.microsoft.com/office/drawing/2014/main" id="{90DFA8A0-BBEE-4E21-A0FE-8A52B053B3A7}"/>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5" name="Right Arrow 4">
          <a:extLst>
            <a:ext uri="{FF2B5EF4-FFF2-40B4-BE49-F238E27FC236}">
              <a16:creationId xmlns:a16="http://schemas.microsoft.com/office/drawing/2014/main" id="{2B147D8D-F2D2-477D-AB93-371E6C633789}"/>
            </a:ext>
          </a:extLst>
        </xdr:cNvPr>
        <xdr:cNvSpPr/>
      </xdr:nvSpPr>
      <xdr:spPr>
        <a:xfrm>
          <a:off x="2359025" y="63817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6" name="Right Arrow 5">
          <a:extLst>
            <a:ext uri="{FF2B5EF4-FFF2-40B4-BE49-F238E27FC236}">
              <a16:creationId xmlns:a16="http://schemas.microsoft.com/office/drawing/2014/main" id="{4148324D-CDD7-47DC-ADEF-9F3448B68F44}"/>
            </a:ext>
          </a:extLst>
        </xdr:cNvPr>
        <xdr:cNvSpPr/>
      </xdr:nvSpPr>
      <xdr:spPr>
        <a:xfrm>
          <a:off x="2101850" y="62864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3</xdr:row>
      <xdr:rowOff>100013</xdr:rowOff>
    </xdr:from>
    <xdr:to>
      <xdr:col>2</xdr:col>
      <xdr:colOff>1247775</xdr:colOff>
      <xdr:row>3</xdr:row>
      <xdr:rowOff>145732</xdr:rowOff>
    </xdr:to>
    <xdr:sp macro="" textlink="">
      <xdr:nvSpPr>
        <xdr:cNvPr id="7" name="Right Arrow 6">
          <a:extLst>
            <a:ext uri="{FF2B5EF4-FFF2-40B4-BE49-F238E27FC236}">
              <a16:creationId xmlns:a16="http://schemas.microsoft.com/office/drawing/2014/main" id="{ED38BE3E-47E4-43CA-854A-6242FCED9758}"/>
            </a:ext>
          </a:extLst>
        </xdr:cNvPr>
        <xdr:cNvSpPr/>
      </xdr:nvSpPr>
      <xdr:spPr>
        <a:xfrm rot="10800000" flipH="1">
          <a:off x="2381250" y="7096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8" name="Right Arrow 7">
          <a:extLst>
            <a:ext uri="{FF2B5EF4-FFF2-40B4-BE49-F238E27FC236}">
              <a16:creationId xmlns:a16="http://schemas.microsoft.com/office/drawing/2014/main" id="{F927CA95-9B99-4CE7-A189-DB9842CFFAB0}"/>
            </a:ext>
          </a:extLst>
        </xdr:cNvPr>
        <xdr:cNvSpPr/>
      </xdr:nvSpPr>
      <xdr:spPr>
        <a:xfrm>
          <a:off x="2133600" y="71120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9" name="Right Arrow 8">
          <a:extLst>
            <a:ext uri="{FF2B5EF4-FFF2-40B4-BE49-F238E27FC236}">
              <a16:creationId xmlns:a16="http://schemas.microsoft.com/office/drawing/2014/main" id="{123D1008-B771-4DDB-948D-49D0580A12C1}"/>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10" name="Right Arrow 9">
          <a:extLst>
            <a:ext uri="{FF2B5EF4-FFF2-40B4-BE49-F238E27FC236}">
              <a16:creationId xmlns:a16="http://schemas.microsoft.com/office/drawing/2014/main" id="{1FF32C18-0799-43AC-8DC8-8D807D13C76F}"/>
            </a:ext>
          </a:extLst>
        </xdr:cNvPr>
        <xdr:cNvSpPr/>
      </xdr:nvSpPr>
      <xdr:spPr>
        <a:xfrm>
          <a:off x="2359025" y="63817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11" name="Right Arrow 10">
          <a:extLst>
            <a:ext uri="{FF2B5EF4-FFF2-40B4-BE49-F238E27FC236}">
              <a16:creationId xmlns:a16="http://schemas.microsoft.com/office/drawing/2014/main" id="{369DFEA9-6E18-4DB3-8A64-EE082DC26BF5}"/>
            </a:ext>
          </a:extLst>
        </xdr:cNvPr>
        <xdr:cNvSpPr/>
      </xdr:nvSpPr>
      <xdr:spPr>
        <a:xfrm>
          <a:off x="2101850" y="62864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2</xdr:row>
      <xdr:rowOff>0</xdr:rowOff>
    </xdr:from>
    <xdr:to>
      <xdr:col>7</xdr:col>
      <xdr:colOff>973667</xdr:colOff>
      <xdr:row>4</xdr:row>
      <xdr:rowOff>5117</xdr:rowOff>
    </xdr:to>
    <xdr:sp macro="" textlink="">
      <xdr:nvSpPr>
        <xdr:cNvPr id="12" name="Rounded Rectangle 11">
          <a:hlinkClick xmlns:r="http://schemas.openxmlformats.org/officeDocument/2006/relationships" r:id="rId1"/>
          <a:extLst>
            <a:ext uri="{FF2B5EF4-FFF2-40B4-BE49-F238E27FC236}">
              <a16:creationId xmlns:a16="http://schemas.microsoft.com/office/drawing/2014/main" id="{F14A05A4-EF8E-4AFB-B7A5-EEF2525CD8D0}"/>
            </a:ext>
          </a:extLst>
        </xdr:cNvPr>
        <xdr:cNvSpPr/>
      </xdr:nvSpPr>
      <xdr:spPr>
        <a:xfrm>
          <a:off x="5308600" y="304800"/>
          <a:ext cx="973667" cy="4623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90.xml><?xml version="1.0" encoding="utf-8"?>
<xdr:wsDr xmlns:xdr="http://schemas.openxmlformats.org/drawingml/2006/spreadsheetDrawing" xmlns:a="http://schemas.openxmlformats.org/drawingml/2006/main">
  <xdr:twoCellAnchor>
    <xdr:from>
      <xdr:col>2</xdr:col>
      <xdr:colOff>933450</xdr:colOff>
      <xdr:row>3</xdr:row>
      <xdr:rowOff>100013</xdr:rowOff>
    </xdr:from>
    <xdr:to>
      <xdr:col>2</xdr:col>
      <xdr:colOff>1247775</xdr:colOff>
      <xdr:row>3</xdr:row>
      <xdr:rowOff>145732</xdr:rowOff>
    </xdr:to>
    <xdr:sp macro="" textlink="">
      <xdr:nvSpPr>
        <xdr:cNvPr id="2" name="Right Arrow 1">
          <a:extLst>
            <a:ext uri="{FF2B5EF4-FFF2-40B4-BE49-F238E27FC236}">
              <a16:creationId xmlns:a16="http://schemas.microsoft.com/office/drawing/2014/main" id="{56AB1797-F803-4168-B1DE-9DD7CB2BA5B5}"/>
            </a:ext>
          </a:extLst>
        </xdr:cNvPr>
        <xdr:cNvSpPr/>
      </xdr:nvSpPr>
      <xdr:spPr>
        <a:xfrm rot="10800000" flipH="1">
          <a:off x="238125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3" name="Right Arrow 2">
          <a:extLst>
            <a:ext uri="{FF2B5EF4-FFF2-40B4-BE49-F238E27FC236}">
              <a16:creationId xmlns:a16="http://schemas.microsoft.com/office/drawing/2014/main" id="{311815F9-3723-48B5-95B8-6B70B1892015}"/>
            </a:ext>
          </a:extLst>
        </xdr:cNvPr>
        <xdr:cNvSpPr/>
      </xdr:nvSpPr>
      <xdr:spPr>
        <a:xfrm>
          <a:off x="2133600" y="55880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5" name="Right Arrow 4">
          <a:extLst>
            <a:ext uri="{FF2B5EF4-FFF2-40B4-BE49-F238E27FC236}">
              <a16:creationId xmlns:a16="http://schemas.microsoft.com/office/drawing/2014/main" id="{A763738C-655F-4782-B86C-56E8E726EAC5}"/>
            </a:ext>
          </a:extLst>
        </xdr:cNvPr>
        <xdr:cNvSpPr/>
      </xdr:nvSpPr>
      <xdr:spPr>
        <a:xfrm>
          <a:off x="2359025" y="48577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6" name="Right Arrow 5">
          <a:extLst>
            <a:ext uri="{FF2B5EF4-FFF2-40B4-BE49-F238E27FC236}">
              <a16:creationId xmlns:a16="http://schemas.microsoft.com/office/drawing/2014/main" id="{69852240-9BCA-4E38-A9F8-C10EE6249005}"/>
            </a:ext>
          </a:extLst>
        </xdr:cNvPr>
        <xdr:cNvSpPr/>
      </xdr:nvSpPr>
      <xdr:spPr>
        <a:xfrm>
          <a:off x="2101850" y="47624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3</xdr:row>
      <xdr:rowOff>100013</xdr:rowOff>
    </xdr:from>
    <xdr:to>
      <xdr:col>2</xdr:col>
      <xdr:colOff>1247775</xdr:colOff>
      <xdr:row>3</xdr:row>
      <xdr:rowOff>145732</xdr:rowOff>
    </xdr:to>
    <xdr:sp macro="" textlink="">
      <xdr:nvSpPr>
        <xdr:cNvPr id="7" name="Right Arrow 6">
          <a:extLst>
            <a:ext uri="{FF2B5EF4-FFF2-40B4-BE49-F238E27FC236}">
              <a16:creationId xmlns:a16="http://schemas.microsoft.com/office/drawing/2014/main" id="{11B7D79F-66AC-43DC-A4AF-8953164815D6}"/>
            </a:ext>
          </a:extLst>
        </xdr:cNvPr>
        <xdr:cNvSpPr/>
      </xdr:nvSpPr>
      <xdr:spPr>
        <a:xfrm rot="10800000" flipH="1">
          <a:off x="238125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8" name="Right Arrow 7">
          <a:extLst>
            <a:ext uri="{FF2B5EF4-FFF2-40B4-BE49-F238E27FC236}">
              <a16:creationId xmlns:a16="http://schemas.microsoft.com/office/drawing/2014/main" id="{3BBA964C-D726-40D3-AE16-828990CC7BC8}"/>
            </a:ext>
          </a:extLst>
        </xdr:cNvPr>
        <xdr:cNvSpPr/>
      </xdr:nvSpPr>
      <xdr:spPr>
        <a:xfrm>
          <a:off x="2133600" y="55880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10" name="Right Arrow 9">
          <a:extLst>
            <a:ext uri="{FF2B5EF4-FFF2-40B4-BE49-F238E27FC236}">
              <a16:creationId xmlns:a16="http://schemas.microsoft.com/office/drawing/2014/main" id="{99B67856-CB29-4B7C-9AC1-8C9745CF42ED}"/>
            </a:ext>
          </a:extLst>
        </xdr:cNvPr>
        <xdr:cNvSpPr/>
      </xdr:nvSpPr>
      <xdr:spPr>
        <a:xfrm>
          <a:off x="2359025" y="48577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11" name="Right Arrow 10">
          <a:extLst>
            <a:ext uri="{FF2B5EF4-FFF2-40B4-BE49-F238E27FC236}">
              <a16:creationId xmlns:a16="http://schemas.microsoft.com/office/drawing/2014/main" id="{E5BCDCB5-05E2-4854-A918-2D9BD26E1DEC}"/>
            </a:ext>
          </a:extLst>
        </xdr:cNvPr>
        <xdr:cNvSpPr/>
      </xdr:nvSpPr>
      <xdr:spPr>
        <a:xfrm>
          <a:off x="2101850" y="47624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2</xdr:row>
      <xdr:rowOff>0</xdr:rowOff>
    </xdr:from>
    <xdr:to>
      <xdr:col>7</xdr:col>
      <xdr:colOff>973667</xdr:colOff>
      <xdr:row>4</xdr:row>
      <xdr:rowOff>5117</xdr:rowOff>
    </xdr:to>
    <xdr:sp macro="" textlink="">
      <xdr:nvSpPr>
        <xdr:cNvPr id="12" name="Rounded Rectangle 11">
          <a:hlinkClick xmlns:r="http://schemas.openxmlformats.org/officeDocument/2006/relationships" r:id="rId1"/>
          <a:extLst>
            <a:ext uri="{FF2B5EF4-FFF2-40B4-BE49-F238E27FC236}">
              <a16:creationId xmlns:a16="http://schemas.microsoft.com/office/drawing/2014/main" id="{B272929A-20CB-4D35-AE26-F04596D5D5D0}"/>
            </a:ext>
          </a:extLst>
        </xdr:cNvPr>
        <xdr:cNvSpPr/>
      </xdr:nvSpPr>
      <xdr:spPr>
        <a:xfrm>
          <a:off x="5308600" y="304800"/>
          <a:ext cx="973667" cy="3099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91.xml><?xml version="1.0" encoding="utf-8"?>
<xdr:wsDr xmlns:xdr="http://schemas.openxmlformats.org/drawingml/2006/spreadsheetDrawing" xmlns:a="http://schemas.openxmlformats.org/drawingml/2006/main">
  <xdr:twoCellAnchor>
    <xdr:from>
      <xdr:col>2</xdr:col>
      <xdr:colOff>933450</xdr:colOff>
      <xdr:row>3</xdr:row>
      <xdr:rowOff>100013</xdr:rowOff>
    </xdr:from>
    <xdr:to>
      <xdr:col>2</xdr:col>
      <xdr:colOff>1247775</xdr:colOff>
      <xdr:row>3</xdr:row>
      <xdr:rowOff>145732</xdr:rowOff>
    </xdr:to>
    <xdr:sp macro="" textlink="">
      <xdr:nvSpPr>
        <xdr:cNvPr id="2" name="Right Arrow 1">
          <a:extLst>
            <a:ext uri="{FF2B5EF4-FFF2-40B4-BE49-F238E27FC236}">
              <a16:creationId xmlns:a16="http://schemas.microsoft.com/office/drawing/2014/main" id="{23716DF4-4D27-4AD3-9501-64C27C088C1D}"/>
            </a:ext>
          </a:extLst>
        </xdr:cNvPr>
        <xdr:cNvSpPr/>
      </xdr:nvSpPr>
      <xdr:spPr>
        <a:xfrm rot="10800000" flipH="1">
          <a:off x="238125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3" name="Right Arrow 2">
          <a:extLst>
            <a:ext uri="{FF2B5EF4-FFF2-40B4-BE49-F238E27FC236}">
              <a16:creationId xmlns:a16="http://schemas.microsoft.com/office/drawing/2014/main" id="{FC5E4786-BD49-4B8D-90B2-665857120C2F}"/>
            </a:ext>
          </a:extLst>
        </xdr:cNvPr>
        <xdr:cNvSpPr/>
      </xdr:nvSpPr>
      <xdr:spPr>
        <a:xfrm>
          <a:off x="2133600" y="55880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4" name="Right Arrow 3">
          <a:extLst>
            <a:ext uri="{FF2B5EF4-FFF2-40B4-BE49-F238E27FC236}">
              <a16:creationId xmlns:a16="http://schemas.microsoft.com/office/drawing/2014/main" id="{567E451F-BE26-42A9-8A9A-01A08BEA72A6}"/>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5" name="Right Arrow 4">
          <a:extLst>
            <a:ext uri="{FF2B5EF4-FFF2-40B4-BE49-F238E27FC236}">
              <a16:creationId xmlns:a16="http://schemas.microsoft.com/office/drawing/2014/main" id="{D496CA30-66C3-48CA-B151-553825203005}"/>
            </a:ext>
          </a:extLst>
        </xdr:cNvPr>
        <xdr:cNvSpPr/>
      </xdr:nvSpPr>
      <xdr:spPr>
        <a:xfrm>
          <a:off x="2359025" y="48577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6" name="Right Arrow 5">
          <a:extLst>
            <a:ext uri="{FF2B5EF4-FFF2-40B4-BE49-F238E27FC236}">
              <a16:creationId xmlns:a16="http://schemas.microsoft.com/office/drawing/2014/main" id="{42180403-6D9D-4D96-9738-DC8D4047B0A6}"/>
            </a:ext>
          </a:extLst>
        </xdr:cNvPr>
        <xdr:cNvSpPr/>
      </xdr:nvSpPr>
      <xdr:spPr>
        <a:xfrm>
          <a:off x="2101850" y="47624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3</xdr:row>
      <xdr:rowOff>100013</xdr:rowOff>
    </xdr:from>
    <xdr:to>
      <xdr:col>2</xdr:col>
      <xdr:colOff>1247775</xdr:colOff>
      <xdr:row>3</xdr:row>
      <xdr:rowOff>145732</xdr:rowOff>
    </xdr:to>
    <xdr:sp macro="" textlink="">
      <xdr:nvSpPr>
        <xdr:cNvPr id="7" name="Right Arrow 6">
          <a:extLst>
            <a:ext uri="{FF2B5EF4-FFF2-40B4-BE49-F238E27FC236}">
              <a16:creationId xmlns:a16="http://schemas.microsoft.com/office/drawing/2014/main" id="{6958BF77-AF66-4983-BBE5-6B80329C77D5}"/>
            </a:ext>
          </a:extLst>
        </xdr:cNvPr>
        <xdr:cNvSpPr/>
      </xdr:nvSpPr>
      <xdr:spPr>
        <a:xfrm rot="10800000" flipH="1">
          <a:off x="238125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8" name="Right Arrow 7">
          <a:extLst>
            <a:ext uri="{FF2B5EF4-FFF2-40B4-BE49-F238E27FC236}">
              <a16:creationId xmlns:a16="http://schemas.microsoft.com/office/drawing/2014/main" id="{EC0EDB8C-8796-4E35-81F6-35237C4ECC86}"/>
            </a:ext>
          </a:extLst>
        </xdr:cNvPr>
        <xdr:cNvSpPr/>
      </xdr:nvSpPr>
      <xdr:spPr>
        <a:xfrm>
          <a:off x="2133600" y="55880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9" name="Right Arrow 8">
          <a:extLst>
            <a:ext uri="{FF2B5EF4-FFF2-40B4-BE49-F238E27FC236}">
              <a16:creationId xmlns:a16="http://schemas.microsoft.com/office/drawing/2014/main" id="{A0D2AF6B-3B3C-4F99-838A-92DF4FD06553}"/>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10" name="Right Arrow 9">
          <a:extLst>
            <a:ext uri="{FF2B5EF4-FFF2-40B4-BE49-F238E27FC236}">
              <a16:creationId xmlns:a16="http://schemas.microsoft.com/office/drawing/2014/main" id="{C50A52E8-5DF8-4C72-A325-84B760B9C3E8}"/>
            </a:ext>
          </a:extLst>
        </xdr:cNvPr>
        <xdr:cNvSpPr/>
      </xdr:nvSpPr>
      <xdr:spPr>
        <a:xfrm>
          <a:off x="2359025" y="48577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11" name="Right Arrow 10">
          <a:extLst>
            <a:ext uri="{FF2B5EF4-FFF2-40B4-BE49-F238E27FC236}">
              <a16:creationId xmlns:a16="http://schemas.microsoft.com/office/drawing/2014/main" id="{63113A1F-4293-46E0-B3C3-856E156BCEFA}"/>
            </a:ext>
          </a:extLst>
        </xdr:cNvPr>
        <xdr:cNvSpPr/>
      </xdr:nvSpPr>
      <xdr:spPr>
        <a:xfrm>
          <a:off x="2101850" y="47624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2</xdr:row>
      <xdr:rowOff>0</xdr:rowOff>
    </xdr:from>
    <xdr:to>
      <xdr:col>7</xdr:col>
      <xdr:colOff>973667</xdr:colOff>
      <xdr:row>4</xdr:row>
      <xdr:rowOff>5117</xdr:rowOff>
    </xdr:to>
    <xdr:sp macro="" textlink="">
      <xdr:nvSpPr>
        <xdr:cNvPr id="12" name="Rounded Rectangle 11">
          <a:hlinkClick xmlns:r="http://schemas.openxmlformats.org/officeDocument/2006/relationships" r:id="rId1"/>
          <a:extLst>
            <a:ext uri="{FF2B5EF4-FFF2-40B4-BE49-F238E27FC236}">
              <a16:creationId xmlns:a16="http://schemas.microsoft.com/office/drawing/2014/main" id="{A4EF80DD-E861-4455-9C23-F9939D9C1BA9}"/>
            </a:ext>
          </a:extLst>
        </xdr:cNvPr>
        <xdr:cNvSpPr/>
      </xdr:nvSpPr>
      <xdr:spPr>
        <a:xfrm>
          <a:off x="5308600" y="304800"/>
          <a:ext cx="973667" cy="3099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92.xml><?xml version="1.0" encoding="utf-8"?>
<xdr:wsDr xmlns:xdr="http://schemas.openxmlformats.org/drawingml/2006/spreadsheetDrawing" xmlns:a="http://schemas.openxmlformats.org/drawingml/2006/main">
  <xdr:twoCellAnchor>
    <xdr:from>
      <xdr:col>2</xdr:col>
      <xdr:colOff>933450</xdr:colOff>
      <xdr:row>3</xdr:row>
      <xdr:rowOff>100013</xdr:rowOff>
    </xdr:from>
    <xdr:to>
      <xdr:col>2</xdr:col>
      <xdr:colOff>1247775</xdr:colOff>
      <xdr:row>3</xdr:row>
      <xdr:rowOff>145732</xdr:rowOff>
    </xdr:to>
    <xdr:sp macro="" textlink="">
      <xdr:nvSpPr>
        <xdr:cNvPr id="2" name="Right Arrow 1">
          <a:extLst>
            <a:ext uri="{FF2B5EF4-FFF2-40B4-BE49-F238E27FC236}">
              <a16:creationId xmlns:a16="http://schemas.microsoft.com/office/drawing/2014/main" id="{472DF1D3-119A-46ED-8BB2-DC1FFC0A4A7C}"/>
            </a:ext>
          </a:extLst>
        </xdr:cNvPr>
        <xdr:cNvSpPr/>
      </xdr:nvSpPr>
      <xdr:spPr>
        <a:xfrm rot="10800000" flipH="1">
          <a:off x="23812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3" name="Right Arrow 2">
          <a:extLst>
            <a:ext uri="{FF2B5EF4-FFF2-40B4-BE49-F238E27FC236}">
              <a16:creationId xmlns:a16="http://schemas.microsoft.com/office/drawing/2014/main" id="{8E9CAC61-357D-4DA0-A05E-CECBC209BCAC}"/>
            </a:ext>
          </a:extLst>
        </xdr:cNvPr>
        <xdr:cNvSpPr/>
      </xdr:nvSpPr>
      <xdr:spPr>
        <a:xfrm>
          <a:off x="213360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4" name="Right Arrow 3">
          <a:extLst>
            <a:ext uri="{FF2B5EF4-FFF2-40B4-BE49-F238E27FC236}">
              <a16:creationId xmlns:a16="http://schemas.microsoft.com/office/drawing/2014/main" id="{2AC333B9-8F30-4897-8FEF-7F54C8D6A910}"/>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5" name="Right Arrow 4">
          <a:extLst>
            <a:ext uri="{FF2B5EF4-FFF2-40B4-BE49-F238E27FC236}">
              <a16:creationId xmlns:a16="http://schemas.microsoft.com/office/drawing/2014/main" id="{874ACB70-D94C-4DB2-A292-271066B5B7CD}"/>
            </a:ext>
          </a:extLst>
        </xdr:cNvPr>
        <xdr:cNvSpPr/>
      </xdr:nvSpPr>
      <xdr:spPr>
        <a:xfrm>
          <a:off x="235902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6" name="Right Arrow 5">
          <a:extLst>
            <a:ext uri="{FF2B5EF4-FFF2-40B4-BE49-F238E27FC236}">
              <a16:creationId xmlns:a16="http://schemas.microsoft.com/office/drawing/2014/main" id="{A8A9684D-BBAA-4E1D-B9B3-1D6F820E9596}"/>
            </a:ext>
          </a:extLst>
        </xdr:cNvPr>
        <xdr:cNvSpPr/>
      </xdr:nvSpPr>
      <xdr:spPr>
        <a:xfrm>
          <a:off x="210185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3</xdr:row>
      <xdr:rowOff>100013</xdr:rowOff>
    </xdr:from>
    <xdr:to>
      <xdr:col>2</xdr:col>
      <xdr:colOff>1247775</xdr:colOff>
      <xdr:row>3</xdr:row>
      <xdr:rowOff>145732</xdr:rowOff>
    </xdr:to>
    <xdr:sp macro="" textlink="">
      <xdr:nvSpPr>
        <xdr:cNvPr id="7" name="Right Arrow 6">
          <a:extLst>
            <a:ext uri="{FF2B5EF4-FFF2-40B4-BE49-F238E27FC236}">
              <a16:creationId xmlns:a16="http://schemas.microsoft.com/office/drawing/2014/main" id="{D4815E51-8229-4C91-8425-F77F33BFD54C}"/>
            </a:ext>
          </a:extLst>
        </xdr:cNvPr>
        <xdr:cNvSpPr/>
      </xdr:nvSpPr>
      <xdr:spPr>
        <a:xfrm rot="10800000" flipH="1">
          <a:off x="23812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8" name="Right Arrow 7">
          <a:extLst>
            <a:ext uri="{FF2B5EF4-FFF2-40B4-BE49-F238E27FC236}">
              <a16:creationId xmlns:a16="http://schemas.microsoft.com/office/drawing/2014/main" id="{DC7429E8-A002-4295-A28D-C5D4D259CCCC}"/>
            </a:ext>
          </a:extLst>
        </xdr:cNvPr>
        <xdr:cNvSpPr/>
      </xdr:nvSpPr>
      <xdr:spPr>
        <a:xfrm>
          <a:off x="213360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9" name="Right Arrow 8">
          <a:extLst>
            <a:ext uri="{FF2B5EF4-FFF2-40B4-BE49-F238E27FC236}">
              <a16:creationId xmlns:a16="http://schemas.microsoft.com/office/drawing/2014/main" id="{AD2C1B56-97C6-46B4-8D7A-E560B9FF19A1}"/>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10" name="Right Arrow 9">
          <a:extLst>
            <a:ext uri="{FF2B5EF4-FFF2-40B4-BE49-F238E27FC236}">
              <a16:creationId xmlns:a16="http://schemas.microsoft.com/office/drawing/2014/main" id="{C22D5F02-9DD9-4B86-8E06-C043B25F4B9D}"/>
            </a:ext>
          </a:extLst>
        </xdr:cNvPr>
        <xdr:cNvSpPr/>
      </xdr:nvSpPr>
      <xdr:spPr>
        <a:xfrm>
          <a:off x="235902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11" name="Right Arrow 10">
          <a:extLst>
            <a:ext uri="{FF2B5EF4-FFF2-40B4-BE49-F238E27FC236}">
              <a16:creationId xmlns:a16="http://schemas.microsoft.com/office/drawing/2014/main" id="{B567D2A9-1C3C-43D2-8C7C-F5969A6E1205}"/>
            </a:ext>
          </a:extLst>
        </xdr:cNvPr>
        <xdr:cNvSpPr/>
      </xdr:nvSpPr>
      <xdr:spPr>
        <a:xfrm>
          <a:off x="210185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2</xdr:row>
      <xdr:rowOff>0</xdr:rowOff>
    </xdr:from>
    <xdr:to>
      <xdr:col>7</xdr:col>
      <xdr:colOff>973667</xdr:colOff>
      <xdr:row>4</xdr:row>
      <xdr:rowOff>5117</xdr:rowOff>
    </xdr:to>
    <xdr:sp macro="" textlink="">
      <xdr:nvSpPr>
        <xdr:cNvPr id="12" name="Rounded Rectangle 11">
          <a:hlinkClick xmlns:r="http://schemas.openxmlformats.org/officeDocument/2006/relationships" r:id="rId1"/>
          <a:extLst>
            <a:ext uri="{FF2B5EF4-FFF2-40B4-BE49-F238E27FC236}">
              <a16:creationId xmlns:a16="http://schemas.microsoft.com/office/drawing/2014/main" id="{0E74BCB0-DBE6-4CE7-88B3-A97B38F8BE91}"/>
            </a:ext>
          </a:extLst>
        </xdr:cNvPr>
        <xdr:cNvSpPr/>
      </xdr:nvSpPr>
      <xdr:spPr>
        <a:xfrm>
          <a:off x="5308600" y="304800"/>
          <a:ext cx="973667" cy="34166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93.xml><?xml version="1.0" encoding="utf-8"?>
<xdr:wsDr xmlns:xdr="http://schemas.openxmlformats.org/drawingml/2006/spreadsheetDrawing" xmlns:a="http://schemas.openxmlformats.org/drawingml/2006/main">
  <xdr:twoCellAnchor>
    <xdr:from>
      <xdr:col>2</xdr:col>
      <xdr:colOff>933450</xdr:colOff>
      <xdr:row>3</xdr:row>
      <xdr:rowOff>100013</xdr:rowOff>
    </xdr:from>
    <xdr:to>
      <xdr:col>2</xdr:col>
      <xdr:colOff>1247775</xdr:colOff>
      <xdr:row>3</xdr:row>
      <xdr:rowOff>145732</xdr:rowOff>
    </xdr:to>
    <xdr:sp macro="" textlink="">
      <xdr:nvSpPr>
        <xdr:cNvPr id="2" name="Right Arrow 1">
          <a:extLst>
            <a:ext uri="{FF2B5EF4-FFF2-40B4-BE49-F238E27FC236}">
              <a16:creationId xmlns:a16="http://schemas.microsoft.com/office/drawing/2014/main" id="{59F974E3-291C-4C0F-9387-BBE03098CDE5}"/>
            </a:ext>
          </a:extLst>
        </xdr:cNvPr>
        <xdr:cNvSpPr/>
      </xdr:nvSpPr>
      <xdr:spPr>
        <a:xfrm rot="10800000" flipH="1">
          <a:off x="23812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3" name="Right Arrow 2">
          <a:extLst>
            <a:ext uri="{FF2B5EF4-FFF2-40B4-BE49-F238E27FC236}">
              <a16:creationId xmlns:a16="http://schemas.microsoft.com/office/drawing/2014/main" id="{0CCD66C0-3606-4EEB-B78E-EC836196ED29}"/>
            </a:ext>
          </a:extLst>
        </xdr:cNvPr>
        <xdr:cNvSpPr/>
      </xdr:nvSpPr>
      <xdr:spPr>
        <a:xfrm>
          <a:off x="213360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4" name="Right Arrow 3">
          <a:extLst>
            <a:ext uri="{FF2B5EF4-FFF2-40B4-BE49-F238E27FC236}">
              <a16:creationId xmlns:a16="http://schemas.microsoft.com/office/drawing/2014/main" id="{CCFDD027-4018-46CF-B242-D0F204354150}"/>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5" name="Right Arrow 4">
          <a:extLst>
            <a:ext uri="{FF2B5EF4-FFF2-40B4-BE49-F238E27FC236}">
              <a16:creationId xmlns:a16="http://schemas.microsoft.com/office/drawing/2014/main" id="{E182B7B9-4CED-4B29-8C4A-C249DD5A92A2}"/>
            </a:ext>
          </a:extLst>
        </xdr:cNvPr>
        <xdr:cNvSpPr/>
      </xdr:nvSpPr>
      <xdr:spPr>
        <a:xfrm>
          <a:off x="235902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6" name="Right Arrow 5">
          <a:extLst>
            <a:ext uri="{FF2B5EF4-FFF2-40B4-BE49-F238E27FC236}">
              <a16:creationId xmlns:a16="http://schemas.microsoft.com/office/drawing/2014/main" id="{0556BA78-D4DB-46F9-829F-03D6652929FE}"/>
            </a:ext>
          </a:extLst>
        </xdr:cNvPr>
        <xdr:cNvSpPr/>
      </xdr:nvSpPr>
      <xdr:spPr>
        <a:xfrm>
          <a:off x="210185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3</xdr:row>
      <xdr:rowOff>100013</xdr:rowOff>
    </xdr:from>
    <xdr:to>
      <xdr:col>2</xdr:col>
      <xdr:colOff>1247775</xdr:colOff>
      <xdr:row>3</xdr:row>
      <xdr:rowOff>145732</xdr:rowOff>
    </xdr:to>
    <xdr:sp macro="" textlink="">
      <xdr:nvSpPr>
        <xdr:cNvPr id="7" name="Right Arrow 6">
          <a:extLst>
            <a:ext uri="{FF2B5EF4-FFF2-40B4-BE49-F238E27FC236}">
              <a16:creationId xmlns:a16="http://schemas.microsoft.com/office/drawing/2014/main" id="{30FDA6B7-7961-4544-9ADD-DA2B5622751A}"/>
            </a:ext>
          </a:extLst>
        </xdr:cNvPr>
        <xdr:cNvSpPr/>
      </xdr:nvSpPr>
      <xdr:spPr>
        <a:xfrm rot="10800000" flipH="1">
          <a:off x="23812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8" name="Right Arrow 7">
          <a:extLst>
            <a:ext uri="{FF2B5EF4-FFF2-40B4-BE49-F238E27FC236}">
              <a16:creationId xmlns:a16="http://schemas.microsoft.com/office/drawing/2014/main" id="{66E81E5C-AAEF-4066-93A6-4211AB506CF7}"/>
            </a:ext>
          </a:extLst>
        </xdr:cNvPr>
        <xdr:cNvSpPr/>
      </xdr:nvSpPr>
      <xdr:spPr>
        <a:xfrm>
          <a:off x="213360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9" name="Right Arrow 8">
          <a:extLst>
            <a:ext uri="{FF2B5EF4-FFF2-40B4-BE49-F238E27FC236}">
              <a16:creationId xmlns:a16="http://schemas.microsoft.com/office/drawing/2014/main" id="{E9A83FBC-0561-4E01-8975-358682BE2B68}"/>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10" name="Right Arrow 9">
          <a:extLst>
            <a:ext uri="{FF2B5EF4-FFF2-40B4-BE49-F238E27FC236}">
              <a16:creationId xmlns:a16="http://schemas.microsoft.com/office/drawing/2014/main" id="{18C7A17C-E3C0-4734-8F8F-76FCC5D2B8DB}"/>
            </a:ext>
          </a:extLst>
        </xdr:cNvPr>
        <xdr:cNvSpPr/>
      </xdr:nvSpPr>
      <xdr:spPr>
        <a:xfrm>
          <a:off x="235902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11" name="Right Arrow 10">
          <a:extLst>
            <a:ext uri="{FF2B5EF4-FFF2-40B4-BE49-F238E27FC236}">
              <a16:creationId xmlns:a16="http://schemas.microsoft.com/office/drawing/2014/main" id="{2C5BEDA2-B7E7-4A79-AA26-D024A3DDB195}"/>
            </a:ext>
          </a:extLst>
        </xdr:cNvPr>
        <xdr:cNvSpPr/>
      </xdr:nvSpPr>
      <xdr:spPr>
        <a:xfrm>
          <a:off x="210185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2</xdr:row>
      <xdr:rowOff>0</xdr:rowOff>
    </xdr:from>
    <xdr:to>
      <xdr:col>7</xdr:col>
      <xdr:colOff>973667</xdr:colOff>
      <xdr:row>4</xdr:row>
      <xdr:rowOff>5117</xdr:rowOff>
    </xdr:to>
    <xdr:sp macro="" textlink="">
      <xdr:nvSpPr>
        <xdr:cNvPr id="12" name="Rounded Rectangle 11">
          <a:hlinkClick xmlns:r="http://schemas.openxmlformats.org/officeDocument/2006/relationships" r:id="rId1"/>
          <a:extLst>
            <a:ext uri="{FF2B5EF4-FFF2-40B4-BE49-F238E27FC236}">
              <a16:creationId xmlns:a16="http://schemas.microsoft.com/office/drawing/2014/main" id="{4B9A7AAB-86E8-47CA-AA18-05F0F52FFC1F}"/>
            </a:ext>
          </a:extLst>
        </xdr:cNvPr>
        <xdr:cNvSpPr/>
      </xdr:nvSpPr>
      <xdr:spPr>
        <a:xfrm>
          <a:off x="5308600" y="304800"/>
          <a:ext cx="973667" cy="34166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94.xml><?xml version="1.0" encoding="utf-8"?>
<xdr:wsDr xmlns:xdr="http://schemas.openxmlformats.org/drawingml/2006/spreadsheetDrawing" xmlns:a="http://schemas.openxmlformats.org/drawingml/2006/main">
  <xdr:twoCellAnchor>
    <xdr:from>
      <xdr:col>2</xdr:col>
      <xdr:colOff>933450</xdr:colOff>
      <xdr:row>3</xdr:row>
      <xdr:rowOff>100013</xdr:rowOff>
    </xdr:from>
    <xdr:to>
      <xdr:col>2</xdr:col>
      <xdr:colOff>1247775</xdr:colOff>
      <xdr:row>3</xdr:row>
      <xdr:rowOff>145732</xdr:rowOff>
    </xdr:to>
    <xdr:sp macro="" textlink="">
      <xdr:nvSpPr>
        <xdr:cNvPr id="2" name="Right Arrow 1">
          <a:extLst>
            <a:ext uri="{FF2B5EF4-FFF2-40B4-BE49-F238E27FC236}">
              <a16:creationId xmlns:a16="http://schemas.microsoft.com/office/drawing/2014/main" id="{EBC721AE-BB58-4152-9D1D-07F8DB60B677}"/>
            </a:ext>
          </a:extLst>
        </xdr:cNvPr>
        <xdr:cNvSpPr/>
      </xdr:nvSpPr>
      <xdr:spPr>
        <a:xfrm rot="10800000" flipH="1">
          <a:off x="23812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3" name="Right Arrow 2">
          <a:extLst>
            <a:ext uri="{FF2B5EF4-FFF2-40B4-BE49-F238E27FC236}">
              <a16:creationId xmlns:a16="http://schemas.microsoft.com/office/drawing/2014/main" id="{8607C5DB-F720-435D-8389-BA2E7173D916}"/>
            </a:ext>
          </a:extLst>
        </xdr:cNvPr>
        <xdr:cNvSpPr/>
      </xdr:nvSpPr>
      <xdr:spPr>
        <a:xfrm>
          <a:off x="213360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4" name="Right Arrow 3">
          <a:extLst>
            <a:ext uri="{FF2B5EF4-FFF2-40B4-BE49-F238E27FC236}">
              <a16:creationId xmlns:a16="http://schemas.microsoft.com/office/drawing/2014/main" id="{F2D47AB2-1425-4658-8846-5334B1A047A8}"/>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5" name="Right Arrow 4">
          <a:extLst>
            <a:ext uri="{FF2B5EF4-FFF2-40B4-BE49-F238E27FC236}">
              <a16:creationId xmlns:a16="http://schemas.microsoft.com/office/drawing/2014/main" id="{AF8325DF-7D90-4223-AB06-08297040F71D}"/>
            </a:ext>
          </a:extLst>
        </xdr:cNvPr>
        <xdr:cNvSpPr/>
      </xdr:nvSpPr>
      <xdr:spPr>
        <a:xfrm>
          <a:off x="235902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6" name="Right Arrow 5">
          <a:extLst>
            <a:ext uri="{FF2B5EF4-FFF2-40B4-BE49-F238E27FC236}">
              <a16:creationId xmlns:a16="http://schemas.microsoft.com/office/drawing/2014/main" id="{0581AE9F-BC6B-403A-BE68-63E4317C7F07}"/>
            </a:ext>
          </a:extLst>
        </xdr:cNvPr>
        <xdr:cNvSpPr/>
      </xdr:nvSpPr>
      <xdr:spPr>
        <a:xfrm>
          <a:off x="210185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3</xdr:row>
      <xdr:rowOff>100013</xdr:rowOff>
    </xdr:from>
    <xdr:to>
      <xdr:col>2</xdr:col>
      <xdr:colOff>1247775</xdr:colOff>
      <xdr:row>3</xdr:row>
      <xdr:rowOff>145732</xdr:rowOff>
    </xdr:to>
    <xdr:sp macro="" textlink="">
      <xdr:nvSpPr>
        <xdr:cNvPr id="7" name="Right Arrow 6">
          <a:extLst>
            <a:ext uri="{FF2B5EF4-FFF2-40B4-BE49-F238E27FC236}">
              <a16:creationId xmlns:a16="http://schemas.microsoft.com/office/drawing/2014/main" id="{B328B928-26C3-4D1C-AB23-DBD6FB63EC52}"/>
            </a:ext>
          </a:extLst>
        </xdr:cNvPr>
        <xdr:cNvSpPr/>
      </xdr:nvSpPr>
      <xdr:spPr>
        <a:xfrm rot="10800000" flipH="1">
          <a:off x="23812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8" name="Right Arrow 7">
          <a:extLst>
            <a:ext uri="{FF2B5EF4-FFF2-40B4-BE49-F238E27FC236}">
              <a16:creationId xmlns:a16="http://schemas.microsoft.com/office/drawing/2014/main" id="{78A58085-0C23-46D4-984F-CD3C7A8AA836}"/>
            </a:ext>
          </a:extLst>
        </xdr:cNvPr>
        <xdr:cNvSpPr/>
      </xdr:nvSpPr>
      <xdr:spPr>
        <a:xfrm>
          <a:off x="213360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9" name="Right Arrow 8">
          <a:extLst>
            <a:ext uri="{FF2B5EF4-FFF2-40B4-BE49-F238E27FC236}">
              <a16:creationId xmlns:a16="http://schemas.microsoft.com/office/drawing/2014/main" id="{25D85A47-2089-4976-9E95-1F3975C3245A}"/>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10" name="Right Arrow 9">
          <a:extLst>
            <a:ext uri="{FF2B5EF4-FFF2-40B4-BE49-F238E27FC236}">
              <a16:creationId xmlns:a16="http://schemas.microsoft.com/office/drawing/2014/main" id="{A9E5102D-B151-4B9F-9149-EEC7FC03C062}"/>
            </a:ext>
          </a:extLst>
        </xdr:cNvPr>
        <xdr:cNvSpPr/>
      </xdr:nvSpPr>
      <xdr:spPr>
        <a:xfrm>
          <a:off x="235902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11" name="Right Arrow 10">
          <a:extLst>
            <a:ext uri="{FF2B5EF4-FFF2-40B4-BE49-F238E27FC236}">
              <a16:creationId xmlns:a16="http://schemas.microsoft.com/office/drawing/2014/main" id="{067644A8-0EA7-4136-B556-05F17F20E35C}"/>
            </a:ext>
          </a:extLst>
        </xdr:cNvPr>
        <xdr:cNvSpPr/>
      </xdr:nvSpPr>
      <xdr:spPr>
        <a:xfrm>
          <a:off x="210185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2</xdr:row>
      <xdr:rowOff>0</xdr:rowOff>
    </xdr:from>
    <xdr:to>
      <xdr:col>7</xdr:col>
      <xdr:colOff>973667</xdr:colOff>
      <xdr:row>4</xdr:row>
      <xdr:rowOff>5117</xdr:rowOff>
    </xdr:to>
    <xdr:sp macro="" textlink="">
      <xdr:nvSpPr>
        <xdr:cNvPr id="12" name="Rounded Rectangle 11">
          <a:hlinkClick xmlns:r="http://schemas.openxmlformats.org/officeDocument/2006/relationships" r:id="rId1"/>
          <a:extLst>
            <a:ext uri="{FF2B5EF4-FFF2-40B4-BE49-F238E27FC236}">
              <a16:creationId xmlns:a16="http://schemas.microsoft.com/office/drawing/2014/main" id="{FB72D806-2F54-462A-B32A-257D722B7D5E}"/>
            </a:ext>
          </a:extLst>
        </xdr:cNvPr>
        <xdr:cNvSpPr/>
      </xdr:nvSpPr>
      <xdr:spPr>
        <a:xfrm>
          <a:off x="5308600" y="304800"/>
          <a:ext cx="973667" cy="34166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95.xml><?xml version="1.0" encoding="utf-8"?>
<xdr:wsDr xmlns:xdr="http://schemas.openxmlformats.org/drawingml/2006/spreadsheetDrawing" xmlns:a="http://schemas.openxmlformats.org/drawingml/2006/main">
  <xdr:twoCellAnchor>
    <xdr:from>
      <xdr:col>2</xdr:col>
      <xdr:colOff>933450</xdr:colOff>
      <xdr:row>3</xdr:row>
      <xdr:rowOff>100013</xdr:rowOff>
    </xdr:from>
    <xdr:to>
      <xdr:col>2</xdr:col>
      <xdr:colOff>1247775</xdr:colOff>
      <xdr:row>3</xdr:row>
      <xdr:rowOff>145732</xdr:rowOff>
    </xdr:to>
    <xdr:sp macro="" textlink="">
      <xdr:nvSpPr>
        <xdr:cNvPr id="2" name="Right Arrow 1">
          <a:extLst>
            <a:ext uri="{FF2B5EF4-FFF2-40B4-BE49-F238E27FC236}">
              <a16:creationId xmlns:a16="http://schemas.microsoft.com/office/drawing/2014/main" id="{88F0CC43-A07B-4E7C-A555-A30F1454F1A2}"/>
            </a:ext>
          </a:extLst>
        </xdr:cNvPr>
        <xdr:cNvSpPr/>
      </xdr:nvSpPr>
      <xdr:spPr>
        <a:xfrm rot="10800000" flipH="1">
          <a:off x="23812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3" name="Right Arrow 2">
          <a:extLst>
            <a:ext uri="{FF2B5EF4-FFF2-40B4-BE49-F238E27FC236}">
              <a16:creationId xmlns:a16="http://schemas.microsoft.com/office/drawing/2014/main" id="{0303DF23-6AF9-40D4-8E87-B5ECD862E8BE}"/>
            </a:ext>
          </a:extLst>
        </xdr:cNvPr>
        <xdr:cNvSpPr/>
      </xdr:nvSpPr>
      <xdr:spPr>
        <a:xfrm>
          <a:off x="213360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4" name="Right Arrow 3">
          <a:extLst>
            <a:ext uri="{FF2B5EF4-FFF2-40B4-BE49-F238E27FC236}">
              <a16:creationId xmlns:a16="http://schemas.microsoft.com/office/drawing/2014/main" id="{F6BA75FE-61FE-474F-AB37-8854E645BD80}"/>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5" name="Right Arrow 4">
          <a:extLst>
            <a:ext uri="{FF2B5EF4-FFF2-40B4-BE49-F238E27FC236}">
              <a16:creationId xmlns:a16="http://schemas.microsoft.com/office/drawing/2014/main" id="{266947BE-2220-41F5-B21A-563DF66A98F9}"/>
            </a:ext>
          </a:extLst>
        </xdr:cNvPr>
        <xdr:cNvSpPr/>
      </xdr:nvSpPr>
      <xdr:spPr>
        <a:xfrm>
          <a:off x="235902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6" name="Right Arrow 5">
          <a:extLst>
            <a:ext uri="{FF2B5EF4-FFF2-40B4-BE49-F238E27FC236}">
              <a16:creationId xmlns:a16="http://schemas.microsoft.com/office/drawing/2014/main" id="{B10200CB-0C6E-4817-B831-3B21197C87DC}"/>
            </a:ext>
          </a:extLst>
        </xdr:cNvPr>
        <xdr:cNvSpPr/>
      </xdr:nvSpPr>
      <xdr:spPr>
        <a:xfrm>
          <a:off x="210185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3</xdr:row>
      <xdr:rowOff>100013</xdr:rowOff>
    </xdr:from>
    <xdr:to>
      <xdr:col>2</xdr:col>
      <xdr:colOff>1247775</xdr:colOff>
      <xdr:row>3</xdr:row>
      <xdr:rowOff>145732</xdr:rowOff>
    </xdr:to>
    <xdr:sp macro="" textlink="">
      <xdr:nvSpPr>
        <xdr:cNvPr id="7" name="Right Arrow 6">
          <a:extLst>
            <a:ext uri="{FF2B5EF4-FFF2-40B4-BE49-F238E27FC236}">
              <a16:creationId xmlns:a16="http://schemas.microsoft.com/office/drawing/2014/main" id="{1D5C461D-CB44-4554-87BF-3AAB05232610}"/>
            </a:ext>
          </a:extLst>
        </xdr:cNvPr>
        <xdr:cNvSpPr/>
      </xdr:nvSpPr>
      <xdr:spPr>
        <a:xfrm rot="10800000" flipH="1">
          <a:off x="23812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8" name="Right Arrow 7">
          <a:extLst>
            <a:ext uri="{FF2B5EF4-FFF2-40B4-BE49-F238E27FC236}">
              <a16:creationId xmlns:a16="http://schemas.microsoft.com/office/drawing/2014/main" id="{E002E915-34F3-4828-AA10-72FB6F4CDEE4}"/>
            </a:ext>
          </a:extLst>
        </xdr:cNvPr>
        <xdr:cNvSpPr/>
      </xdr:nvSpPr>
      <xdr:spPr>
        <a:xfrm>
          <a:off x="213360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9" name="Right Arrow 8">
          <a:extLst>
            <a:ext uri="{FF2B5EF4-FFF2-40B4-BE49-F238E27FC236}">
              <a16:creationId xmlns:a16="http://schemas.microsoft.com/office/drawing/2014/main" id="{4AC340F4-BF64-481C-9212-EDC351788B0B}"/>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10" name="Right Arrow 9">
          <a:extLst>
            <a:ext uri="{FF2B5EF4-FFF2-40B4-BE49-F238E27FC236}">
              <a16:creationId xmlns:a16="http://schemas.microsoft.com/office/drawing/2014/main" id="{0D8B659F-7469-4FBC-8F3B-F7FAA286C616}"/>
            </a:ext>
          </a:extLst>
        </xdr:cNvPr>
        <xdr:cNvSpPr/>
      </xdr:nvSpPr>
      <xdr:spPr>
        <a:xfrm>
          <a:off x="235902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11" name="Right Arrow 10">
          <a:extLst>
            <a:ext uri="{FF2B5EF4-FFF2-40B4-BE49-F238E27FC236}">
              <a16:creationId xmlns:a16="http://schemas.microsoft.com/office/drawing/2014/main" id="{F4C6CAF1-472F-4D21-A1EC-341D05284049}"/>
            </a:ext>
          </a:extLst>
        </xdr:cNvPr>
        <xdr:cNvSpPr/>
      </xdr:nvSpPr>
      <xdr:spPr>
        <a:xfrm>
          <a:off x="210185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2</xdr:row>
      <xdr:rowOff>0</xdr:rowOff>
    </xdr:from>
    <xdr:to>
      <xdr:col>7</xdr:col>
      <xdr:colOff>973667</xdr:colOff>
      <xdr:row>4</xdr:row>
      <xdr:rowOff>5117</xdr:rowOff>
    </xdr:to>
    <xdr:sp macro="" textlink="">
      <xdr:nvSpPr>
        <xdr:cNvPr id="12" name="Rounded Rectangle 11">
          <a:hlinkClick xmlns:r="http://schemas.openxmlformats.org/officeDocument/2006/relationships" r:id="rId1"/>
          <a:extLst>
            <a:ext uri="{FF2B5EF4-FFF2-40B4-BE49-F238E27FC236}">
              <a16:creationId xmlns:a16="http://schemas.microsoft.com/office/drawing/2014/main" id="{A3E31E9C-BAC2-4E5D-8979-1862936E0C65}"/>
            </a:ext>
          </a:extLst>
        </xdr:cNvPr>
        <xdr:cNvSpPr/>
      </xdr:nvSpPr>
      <xdr:spPr>
        <a:xfrm>
          <a:off x="5308600" y="304800"/>
          <a:ext cx="973667" cy="34166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96.xml><?xml version="1.0" encoding="utf-8"?>
<xdr:wsDr xmlns:xdr="http://schemas.openxmlformats.org/drawingml/2006/spreadsheetDrawing" xmlns:a="http://schemas.openxmlformats.org/drawingml/2006/main">
  <xdr:twoCellAnchor>
    <xdr:from>
      <xdr:col>2</xdr:col>
      <xdr:colOff>933450</xdr:colOff>
      <xdr:row>3</xdr:row>
      <xdr:rowOff>100013</xdr:rowOff>
    </xdr:from>
    <xdr:to>
      <xdr:col>2</xdr:col>
      <xdr:colOff>1247775</xdr:colOff>
      <xdr:row>3</xdr:row>
      <xdr:rowOff>145732</xdr:rowOff>
    </xdr:to>
    <xdr:sp macro="" textlink="">
      <xdr:nvSpPr>
        <xdr:cNvPr id="2" name="Right Arrow 1">
          <a:extLst>
            <a:ext uri="{FF2B5EF4-FFF2-40B4-BE49-F238E27FC236}">
              <a16:creationId xmlns:a16="http://schemas.microsoft.com/office/drawing/2014/main" id="{74A0DE8B-D9B1-453B-8C71-8E01D8FB3E0D}"/>
            </a:ext>
          </a:extLst>
        </xdr:cNvPr>
        <xdr:cNvSpPr/>
      </xdr:nvSpPr>
      <xdr:spPr>
        <a:xfrm rot="10800000" flipH="1">
          <a:off x="23812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3" name="Right Arrow 2">
          <a:extLst>
            <a:ext uri="{FF2B5EF4-FFF2-40B4-BE49-F238E27FC236}">
              <a16:creationId xmlns:a16="http://schemas.microsoft.com/office/drawing/2014/main" id="{13A6F993-17B8-4302-9417-54A3E2B7C813}"/>
            </a:ext>
          </a:extLst>
        </xdr:cNvPr>
        <xdr:cNvSpPr/>
      </xdr:nvSpPr>
      <xdr:spPr>
        <a:xfrm>
          <a:off x="213360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4" name="Right Arrow 3">
          <a:extLst>
            <a:ext uri="{FF2B5EF4-FFF2-40B4-BE49-F238E27FC236}">
              <a16:creationId xmlns:a16="http://schemas.microsoft.com/office/drawing/2014/main" id="{4894984C-BEC2-4C2D-B71B-640D85234825}"/>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5" name="Right Arrow 4">
          <a:extLst>
            <a:ext uri="{FF2B5EF4-FFF2-40B4-BE49-F238E27FC236}">
              <a16:creationId xmlns:a16="http://schemas.microsoft.com/office/drawing/2014/main" id="{3368C54E-CDB8-44B9-A712-33ADED5BE7BF}"/>
            </a:ext>
          </a:extLst>
        </xdr:cNvPr>
        <xdr:cNvSpPr/>
      </xdr:nvSpPr>
      <xdr:spPr>
        <a:xfrm>
          <a:off x="235902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6" name="Right Arrow 5">
          <a:extLst>
            <a:ext uri="{FF2B5EF4-FFF2-40B4-BE49-F238E27FC236}">
              <a16:creationId xmlns:a16="http://schemas.microsoft.com/office/drawing/2014/main" id="{94D8C9DD-AD85-4EFE-ADDD-7EDB27C2E2C6}"/>
            </a:ext>
          </a:extLst>
        </xdr:cNvPr>
        <xdr:cNvSpPr/>
      </xdr:nvSpPr>
      <xdr:spPr>
        <a:xfrm>
          <a:off x="210185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3</xdr:row>
      <xdr:rowOff>100013</xdr:rowOff>
    </xdr:from>
    <xdr:to>
      <xdr:col>2</xdr:col>
      <xdr:colOff>1247775</xdr:colOff>
      <xdr:row>3</xdr:row>
      <xdr:rowOff>145732</xdr:rowOff>
    </xdr:to>
    <xdr:sp macro="" textlink="">
      <xdr:nvSpPr>
        <xdr:cNvPr id="7" name="Right Arrow 6">
          <a:extLst>
            <a:ext uri="{FF2B5EF4-FFF2-40B4-BE49-F238E27FC236}">
              <a16:creationId xmlns:a16="http://schemas.microsoft.com/office/drawing/2014/main" id="{48518EE1-9251-4D0F-8B3A-F8D6DD929761}"/>
            </a:ext>
          </a:extLst>
        </xdr:cNvPr>
        <xdr:cNvSpPr/>
      </xdr:nvSpPr>
      <xdr:spPr>
        <a:xfrm rot="10800000" flipH="1">
          <a:off x="23812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8" name="Right Arrow 7">
          <a:extLst>
            <a:ext uri="{FF2B5EF4-FFF2-40B4-BE49-F238E27FC236}">
              <a16:creationId xmlns:a16="http://schemas.microsoft.com/office/drawing/2014/main" id="{2E08EE67-DB13-4325-8C32-7664F8228EDB}"/>
            </a:ext>
          </a:extLst>
        </xdr:cNvPr>
        <xdr:cNvSpPr/>
      </xdr:nvSpPr>
      <xdr:spPr>
        <a:xfrm>
          <a:off x="213360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9" name="Right Arrow 8">
          <a:extLst>
            <a:ext uri="{FF2B5EF4-FFF2-40B4-BE49-F238E27FC236}">
              <a16:creationId xmlns:a16="http://schemas.microsoft.com/office/drawing/2014/main" id="{E1185832-9744-4226-89DC-EB5B69410852}"/>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10" name="Right Arrow 9">
          <a:extLst>
            <a:ext uri="{FF2B5EF4-FFF2-40B4-BE49-F238E27FC236}">
              <a16:creationId xmlns:a16="http://schemas.microsoft.com/office/drawing/2014/main" id="{9DFB8320-92C6-4E0B-B8A1-220320EAD5A0}"/>
            </a:ext>
          </a:extLst>
        </xdr:cNvPr>
        <xdr:cNvSpPr/>
      </xdr:nvSpPr>
      <xdr:spPr>
        <a:xfrm>
          <a:off x="235902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11" name="Right Arrow 10">
          <a:extLst>
            <a:ext uri="{FF2B5EF4-FFF2-40B4-BE49-F238E27FC236}">
              <a16:creationId xmlns:a16="http://schemas.microsoft.com/office/drawing/2014/main" id="{258C1007-3DCC-439C-8535-8D47ACA134A3}"/>
            </a:ext>
          </a:extLst>
        </xdr:cNvPr>
        <xdr:cNvSpPr/>
      </xdr:nvSpPr>
      <xdr:spPr>
        <a:xfrm>
          <a:off x="210185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2</xdr:row>
      <xdr:rowOff>0</xdr:rowOff>
    </xdr:from>
    <xdr:to>
      <xdr:col>7</xdr:col>
      <xdr:colOff>973667</xdr:colOff>
      <xdr:row>4</xdr:row>
      <xdr:rowOff>5117</xdr:rowOff>
    </xdr:to>
    <xdr:sp macro="" textlink="">
      <xdr:nvSpPr>
        <xdr:cNvPr id="12" name="Rounded Rectangle 11">
          <a:hlinkClick xmlns:r="http://schemas.openxmlformats.org/officeDocument/2006/relationships" r:id="rId1"/>
          <a:extLst>
            <a:ext uri="{FF2B5EF4-FFF2-40B4-BE49-F238E27FC236}">
              <a16:creationId xmlns:a16="http://schemas.microsoft.com/office/drawing/2014/main" id="{450663F7-9DF4-41F5-9AA7-0CBBEC21D266}"/>
            </a:ext>
          </a:extLst>
        </xdr:cNvPr>
        <xdr:cNvSpPr/>
      </xdr:nvSpPr>
      <xdr:spPr>
        <a:xfrm>
          <a:off x="5308600" y="304800"/>
          <a:ext cx="973667" cy="34166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97.xml><?xml version="1.0" encoding="utf-8"?>
<xdr:wsDr xmlns:xdr="http://schemas.openxmlformats.org/drawingml/2006/spreadsheetDrawing" xmlns:a="http://schemas.openxmlformats.org/drawingml/2006/main">
  <xdr:twoCellAnchor>
    <xdr:from>
      <xdr:col>2</xdr:col>
      <xdr:colOff>933450</xdr:colOff>
      <xdr:row>3</xdr:row>
      <xdr:rowOff>100013</xdr:rowOff>
    </xdr:from>
    <xdr:to>
      <xdr:col>2</xdr:col>
      <xdr:colOff>1247775</xdr:colOff>
      <xdr:row>3</xdr:row>
      <xdr:rowOff>145732</xdr:rowOff>
    </xdr:to>
    <xdr:sp macro="" textlink="">
      <xdr:nvSpPr>
        <xdr:cNvPr id="2" name="Right Arrow 1">
          <a:extLst>
            <a:ext uri="{FF2B5EF4-FFF2-40B4-BE49-F238E27FC236}">
              <a16:creationId xmlns:a16="http://schemas.microsoft.com/office/drawing/2014/main" id="{69B8AB88-BB29-411C-9884-903E3D4E048A}"/>
            </a:ext>
          </a:extLst>
        </xdr:cNvPr>
        <xdr:cNvSpPr/>
      </xdr:nvSpPr>
      <xdr:spPr>
        <a:xfrm rot="10800000" flipH="1">
          <a:off x="23812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3" name="Right Arrow 2">
          <a:extLst>
            <a:ext uri="{FF2B5EF4-FFF2-40B4-BE49-F238E27FC236}">
              <a16:creationId xmlns:a16="http://schemas.microsoft.com/office/drawing/2014/main" id="{E622770E-42FD-45ED-BA4C-78AD12C0C45B}"/>
            </a:ext>
          </a:extLst>
        </xdr:cNvPr>
        <xdr:cNvSpPr/>
      </xdr:nvSpPr>
      <xdr:spPr>
        <a:xfrm>
          <a:off x="213360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4" name="Right Arrow 3">
          <a:extLst>
            <a:ext uri="{FF2B5EF4-FFF2-40B4-BE49-F238E27FC236}">
              <a16:creationId xmlns:a16="http://schemas.microsoft.com/office/drawing/2014/main" id="{8E193893-95DA-41AD-9FA6-16E4E0AF52ED}"/>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5" name="Right Arrow 4">
          <a:extLst>
            <a:ext uri="{FF2B5EF4-FFF2-40B4-BE49-F238E27FC236}">
              <a16:creationId xmlns:a16="http://schemas.microsoft.com/office/drawing/2014/main" id="{65EB7C11-CC69-461F-B403-438F58E36634}"/>
            </a:ext>
          </a:extLst>
        </xdr:cNvPr>
        <xdr:cNvSpPr/>
      </xdr:nvSpPr>
      <xdr:spPr>
        <a:xfrm>
          <a:off x="235902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6" name="Right Arrow 5">
          <a:extLst>
            <a:ext uri="{FF2B5EF4-FFF2-40B4-BE49-F238E27FC236}">
              <a16:creationId xmlns:a16="http://schemas.microsoft.com/office/drawing/2014/main" id="{CD4F4DDE-1341-43B2-9CFC-E68C96DFFEBE}"/>
            </a:ext>
          </a:extLst>
        </xdr:cNvPr>
        <xdr:cNvSpPr/>
      </xdr:nvSpPr>
      <xdr:spPr>
        <a:xfrm>
          <a:off x="210185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3</xdr:row>
      <xdr:rowOff>100013</xdr:rowOff>
    </xdr:from>
    <xdr:to>
      <xdr:col>2</xdr:col>
      <xdr:colOff>1247775</xdr:colOff>
      <xdr:row>3</xdr:row>
      <xdr:rowOff>145732</xdr:rowOff>
    </xdr:to>
    <xdr:sp macro="" textlink="">
      <xdr:nvSpPr>
        <xdr:cNvPr id="7" name="Right Arrow 6">
          <a:extLst>
            <a:ext uri="{FF2B5EF4-FFF2-40B4-BE49-F238E27FC236}">
              <a16:creationId xmlns:a16="http://schemas.microsoft.com/office/drawing/2014/main" id="{CB08B4A2-C305-450F-B20B-B7D164D13E33}"/>
            </a:ext>
          </a:extLst>
        </xdr:cNvPr>
        <xdr:cNvSpPr/>
      </xdr:nvSpPr>
      <xdr:spPr>
        <a:xfrm rot="10800000" flipH="1">
          <a:off x="23812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8" name="Right Arrow 7">
          <a:extLst>
            <a:ext uri="{FF2B5EF4-FFF2-40B4-BE49-F238E27FC236}">
              <a16:creationId xmlns:a16="http://schemas.microsoft.com/office/drawing/2014/main" id="{A5936350-5417-4DAC-83A8-C43CCD675B40}"/>
            </a:ext>
          </a:extLst>
        </xdr:cNvPr>
        <xdr:cNvSpPr/>
      </xdr:nvSpPr>
      <xdr:spPr>
        <a:xfrm>
          <a:off x="213360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9" name="Right Arrow 8">
          <a:extLst>
            <a:ext uri="{FF2B5EF4-FFF2-40B4-BE49-F238E27FC236}">
              <a16:creationId xmlns:a16="http://schemas.microsoft.com/office/drawing/2014/main" id="{815C9CEF-F22D-4419-9064-E3673FC60591}"/>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10" name="Right Arrow 9">
          <a:extLst>
            <a:ext uri="{FF2B5EF4-FFF2-40B4-BE49-F238E27FC236}">
              <a16:creationId xmlns:a16="http://schemas.microsoft.com/office/drawing/2014/main" id="{6DD764FB-909A-4959-99DC-DD0B431D3C27}"/>
            </a:ext>
          </a:extLst>
        </xdr:cNvPr>
        <xdr:cNvSpPr/>
      </xdr:nvSpPr>
      <xdr:spPr>
        <a:xfrm>
          <a:off x="235902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11" name="Right Arrow 10">
          <a:extLst>
            <a:ext uri="{FF2B5EF4-FFF2-40B4-BE49-F238E27FC236}">
              <a16:creationId xmlns:a16="http://schemas.microsoft.com/office/drawing/2014/main" id="{2B356BE7-6FF9-4E8E-9060-CACDD46900F8}"/>
            </a:ext>
          </a:extLst>
        </xdr:cNvPr>
        <xdr:cNvSpPr/>
      </xdr:nvSpPr>
      <xdr:spPr>
        <a:xfrm>
          <a:off x="210185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2</xdr:row>
      <xdr:rowOff>0</xdr:rowOff>
    </xdr:from>
    <xdr:to>
      <xdr:col>7</xdr:col>
      <xdr:colOff>973667</xdr:colOff>
      <xdr:row>4</xdr:row>
      <xdr:rowOff>5117</xdr:rowOff>
    </xdr:to>
    <xdr:sp macro="" textlink="">
      <xdr:nvSpPr>
        <xdr:cNvPr id="12" name="Rounded Rectangle 11">
          <a:hlinkClick xmlns:r="http://schemas.openxmlformats.org/officeDocument/2006/relationships" r:id="rId1"/>
          <a:extLst>
            <a:ext uri="{FF2B5EF4-FFF2-40B4-BE49-F238E27FC236}">
              <a16:creationId xmlns:a16="http://schemas.microsoft.com/office/drawing/2014/main" id="{6D60D280-7DF6-459C-9B9F-BE49AFE64AB3}"/>
            </a:ext>
          </a:extLst>
        </xdr:cNvPr>
        <xdr:cNvSpPr/>
      </xdr:nvSpPr>
      <xdr:spPr>
        <a:xfrm>
          <a:off x="5308600" y="304800"/>
          <a:ext cx="973667" cy="34166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98.xml><?xml version="1.0" encoding="utf-8"?>
<xdr:wsDr xmlns:xdr="http://schemas.openxmlformats.org/drawingml/2006/spreadsheetDrawing" xmlns:a="http://schemas.openxmlformats.org/drawingml/2006/main">
  <xdr:twoCellAnchor>
    <xdr:from>
      <xdr:col>2</xdr:col>
      <xdr:colOff>933450</xdr:colOff>
      <xdr:row>3</xdr:row>
      <xdr:rowOff>100013</xdr:rowOff>
    </xdr:from>
    <xdr:to>
      <xdr:col>2</xdr:col>
      <xdr:colOff>1247775</xdr:colOff>
      <xdr:row>3</xdr:row>
      <xdr:rowOff>145732</xdr:rowOff>
    </xdr:to>
    <xdr:sp macro="" textlink="">
      <xdr:nvSpPr>
        <xdr:cNvPr id="2" name="Right Arrow 1">
          <a:extLst>
            <a:ext uri="{FF2B5EF4-FFF2-40B4-BE49-F238E27FC236}">
              <a16:creationId xmlns:a16="http://schemas.microsoft.com/office/drawing/2014/main" id="{336383F1-12BD-4338-8C03-B63CC5271FC5}"/>
            </a:ext>
          </a:extLst>
        </xdr:cNvPr>
        <xdr:cNvSpPr/>
      </xdr:nvSpPr>
      <xdr:spPr>
        <a:xfrm rot="10800000" flipH="1">
          <a:off x="234950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3" name="Right Arrow 2">
          <a:extLst>
            <a:ext uri="{FF2B5EF4-FFF2-40B4-BE49-F238E27FC236}">
              <a16:creationId xmlns:a16="http://schemas.microsoft.com/office/drawing/2014/main" id="{B033DE78-82BE-445E-8321-723ACD36E6B7}"/>
            </a:ext>
          </a:extLst>
        </xdr:cNvPr>
        <xdr:cNvSpPr/>
      </xdr:nvSpPr>
      <xdr:spPr>
        <a:xfrm>
          <a:off x="210185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4" name="Right Arrow 3">
          <a:extLst>
            <a:ext uri="{FF2B5EF4-FFF2-40B4-BE49-F238E27FC236}">
              <a16:creationId xmlns:a16="http://schemas.microsoft.com/office/drawing/2014/main" id="{A9F95E87-B98D-4115-9A0B-54DED4E594E0}"/>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5" name="Right Arrow 4">
          <a:extLst>
            <a:ext uri="{FF2B5EF4-FFF2-40B4-BE49-F238E27FC236}">
              <a16:creationId xmlns:a16="http://schemas.microsoft.com/office/drawing/2014/main" id="{0E527FB5-009C-4D7A-9246-86E4B8559B7D}"/>
            </a:ext>
          </a:extLst>
        </xdr:cNvPr>
        <xdr:cNvSpPr/>
      </xdr:nvSpPr>
      <xdr:spPr>
        <a:xfrm>
          <a:off x="232727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6" name="Right Arrow 5">
          <a:extLst>
            <a:ext uri="{FF2B5EF4-FFF2-40B4-BE49-F238E27FC236}">
              <a16:creationId xmlns:a16="http://schemas.microsoft.com/office/drawing/2014/main" id="{E1D5744B-C82A-422D-A6CD-7BE86116275E}"/>
            </a:ext>
          </a:extLst>
        </xdr:cNvPr>
        <xdr:cNvSpPr/>
      </xdr:nvSpPr>
      <xdr:spPr>
        <a:xfrm>
          <a:off x="207010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3</xdr:row>
      <xdr:rowOff>100013</xdr:rowOff>
    </xdr:from>
    <xdr:to>
      <xdr:col>2</xdr:col>
      <xdr:colOff>1247775</xdr:colOff>
      <xdr:row>3</xdr:row>
      <xdr:rowOff>145732</xdr:rowOff>
    </xdr:to>
    <xdr:sp macro="" textlink="">
      <xdr:nvSpPr>
        <xdr:cNvPr id="7" name="Right Arrow 6">
          <a:extLst>
            <a:ext uri="{FF2B5EF4-FFF2-40B4-BE49-F238E27FC236}">
              <a16:creationId xmlns:a16="http://schemas.microsoft.com/office/drawing/2014/main" id="{399D7C5D-A336-46B5-82A3-A54923F89406}"/>
            </a:ext>
          </a:extLst>
        </xdr:cNvPr>
        <xdr:cNvSpPr/>
      </xdr:nvSpPr>
      <xdr:spPr>
        <a:xfrm rot="10800000" flipH="1">
          <a:off x="234950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8" name="Right Arrow 7">
          <a:extLst>
            <a:ext uri="{FF2B5EF4-FFF2-40B4-BE49-F238E27FC236}">
              <a16:creationId xmlns:a16="http://schemas.microsoft.com/office/drawing/2014/main" id="{D4738BC3-642D-4A58-8523-652ACBE360D2}"/>
            </a:ext>
          </a:extLst>
        </xdr:cNvPr>
        <xdr:cNvSpPr/>
      </xdr:nvSpPr>
      <xdr:spPr>
        <a:xfrm>
          <a:off x="210185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9" name="Right Arrow 8">
          <a:extLst>
            <a:ext uri="{FF2B5EF4-FFF2-40B4-BE49-F238E27FC236}">
              <a16:creationId xmlns:a16="http://schemas.microsoft.com/office/drawing/2014/main" id="{AAF9FC13-BD41-4BB3-A86E-F9EAFE159228}"/>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10" name="Right Arrow 9">
          <a:extLst>
            <a:ext uri="{FF2B5EF4-FFF2-40B4-BE49-F238E27FC236}">
              <a16:creationId xmlns:a16="http://schemas.microsoft.com/office/drawing/2014/main" id="{98CC7743-9904-48CC-A8CB-A45423717110}"/>
            </a:ext>
          </a:extLst>
        </xdr:cNvPr>
        <xdr:cNvSpPr/>
      </xdr:nvSpPr>
      <xdr:spPr>
        <a:xfrm>
          <a:off x="232727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11" name="Right Arrow 10">
          <a:extLst>
            <a:ext uri="{FF2B5EF4-FFF2-40B4-BE49-F238E27FC236}">
              <a16:creationId xmlns:a16="http://schemas.microsoft.com/office/drawing/2014/main" id="{352B2307-A1BD-4A98-84C9-804F5ADF8DD4}"/>
            </a:ext>
          </a:extLst>
        </xdr:cNvPr>
        <xdr:cNvSpPr/>
      </xdr:nvSpPr>
      <xdr:spPr>
        <a:xfrm>
          <a:off x="207010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2</xdr:row>
      <xdr:rowOff>0</xdr:rowOff>
    </xdr:from>
    <xdr:to>
      <xdr:col>7</xdr:col>
      <xdr:colOff>973667</xdr:colOff>
      <xdr:row>4</xdr:row>
      <xdr:rowOff>5117</xdr:rowOff>
    </xdr:to>
    <xdr:sp macro="" textlink="">
      <xdr:nvSpPr>
        <xdr:cNvPr id="12" name="Rounded Rectangle 11">
          <a:hlinkClick xmlns:r="http://schemas.openxmlformats.org/officeDocument/2006/relationships" r:id="rId1"/>
          <a:extLst>
            <a:ext uri="{FF2B5EF4-FFF2-40B4-BE49-F238E27FC236}">
              <a16:creationId xmlns:a16="http://schemas.microsoft.com/office/drawing/2014/main" id="{7602302F-AE6B-4833-85E8-526EE29DB7F0}"/>
            </a:ext>
          </a:extLst>
        </xdr:cNvPr>
        <xdr:cNvSpPr/>
      </xdr:nvSpPr>
      <xdr:spPr>
        <a:xfrm>
          <a:off x="5276850" y="304800"/>
          <a:ext cx="973667" cy="34166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99.xml><?xml version="1.0" encoding="utf-8"?>
<xdr:wsDr xmlns:xdr="http://schemas.openxmlformats.org/drawingml/2006/spreadsheetDrawing" xmlns:a="http://schemas.openxmlformats.org/drawingml/2006/main">
  <xdr:twoCellAnchor>
    <xdr:from>
      <xdr:col>2</xdr:col>
      <xdr:colOff>933450</xdr:colOff>
      <xdr:row>3</xdr:row>
      <xdr:rowOff>100013</xdr:rowOff>
    </xdr:from>
    <xdr:to>
      <xdr:col>2</xdr:col>
      <xdr:colOff>1247775</xdr:colOff>
      <xdr:row>3</xdr:row>
      <xdr:rowOff>145732</xdr:rowOff>
    </xdr:to>
    <xdr:sp macro="" textlink="">
      <xdr:nvSpPr>
        <xdr:cNvPr id="2" name="Right Arrow 1">
          <a:extLst>
            <a:ext uri="{FF2B5EF4-FFF2-40B4-BE49-F238E27FC236}">
              <a16:creationId xmlns:a16="http://schemas.microsoft.com/office/drawing/2014/main" id="{BDE87560-A60B-4FF5-AA4C-1B417386FA48}"/>
            </a:ext>
          </a:extLst>
        </xdr:cNvPr>
        <xdr:cNvSpPr/>
      </xdr:nvSpPr>
      <xdr:spPr>
        <a:xfrm rot="10800000" flipH="1">
          <a:off x="234950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3" name="Right Arrow 2">
          <a:extLst>
            <a:ext uri="{FF2B5EF4-FFF2-40B4-BE49-F238E27FC236}">
              <a16:creationId xmlns:a16="http://schemas.microsoft.com/office/drawing/2014/main" id="{29802A41-A606-4448-8D85-0369075C6F6F}"/>
            </a:ext>
          </a:extLst>
        </xdr:cNvPr>
        <xdr:cNvSpPr/>
      </xdr:nvSpPr>
      <xdr:spPr>
        <a:xfrm>
          <a:off x="210185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4" name="Right Arrow 3">
          <a:extLst>
            <a:ext uri="{FF2B5EF4-FFF2-40B4-BE49-F238E27FC236}">
              <a16:creationId xmlns:a16="http://schemas.microsoft.com/office/drawing/2014/main" id="{A116EBDB-F3BE-4354-AD92-002FDAA8618F}"/>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5" name="Right Arrow 4">
          <a:extLst>
            <a:ext uri="{FF2B5EF4-FFF2-40B4-BE49-F238E27FC236}">
              <a16:creationId xmlns:a16="http://schemas.microsoft.com/office/drawing/2014/main" id="{0FC4B48B-0130-44F8-90B8-9B4A824EB873}"/>
            </a:ext>
          </a:extLst>
        </xdr:cNvPr>
        <xdr:cNvSpPr/>
      </xdr:nvSpPr>
      <xdr:spPr>
        <a:xfrm>
          <a:off x="232727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6" name="Right Arrow 5">
          <a:extLst>
            <a:ext uri="{FF2B5EF4-FFF2-40B4-BE49-F238E27FC236}">
              <a16:creationId xmlns:a16="http://schemas.microsoft.com/office/drawing/2014/main" id="{90146866-4195-41DE-9A3E-EA84121CC452}"/>
            </a:ext>
          </a:extLst>
        </xdr:cNvPr>
        <xdr:cNvSpPr/>
      </xdr:nvSpPr>
      <xdr:spPr>
        <a:xfrm>
          <a:off x="207010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3</xdr:row>
      <xdr:rowOff>100013</xdr:rowOff>
    </xdr:from>
    <xdr:to>
      <xdr:col>2</xdr:col>
      <xdr:colOff>1247775</xdr:colOff>
      <xdr:row>3</xdr:row>
      <xdr:rowOff>145732</xdr:rowOff>
    </xdr:to>
    <xdr:sp macro="" textlink="">
      <xdr:nvSpPr>
        <xdr:cNvPr id="7" name="Right Arrow 6">
          <a:extLst>
            <a:ext uri="{FF2B5EF4-FFF2-40B4-BE49-F238E27FC236}">
              <a16:creationId xmlns:a16="http://schemas.microsoft.com/office/drawing/2014/main" id="{14E67AD4-68C8-4E17-B0D1-32587ED43444}"/>
            </a:ext>
          </a:extLst>
        </xdr:cNvPr>
        <xdr:cNvSpPr/>
      </xdr:nvSpPr>
      <xdr:spPr>
        <a:xfrm rot="10800000" flipH="1">
          <a:off x="234950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8" name="Right Arrow 7">
          <a:extLst>
            <a:ext uri="{FF2B5EF4-FFF2-40B4-BE49-F238E27FC236}">
              <a16:creationId xmlns:a16="http://schemas.microsoft.com/office/drawing/2014/main" id="{B7ED44A2-E192-42DE-BE99-A1063F75D098}"/>
            </a:ext>
          </a:extLst>
        </xdr:cNvPr>
        <xdr:cNvSpPr/>
      </xdr:nvSpPr>
      <xdr:spPr>
        <a:xfrm>
          <a:off x="210185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9" name="Right Arrow 8">
          <a:extLst>
            <a:ext uri="{FF2B5EF4-FFF2-40B4-BE49-F238E27FC236}">
              <a16:creationId xmlns:a16="http://schemas.microsoft.com/office/drawing/2014/main" id="{60BB22A0-9AB5-4E5C-971E-0982A09167F9}"/>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10" name="Right Arrow 9">
          <a:extLst>
            <a:ext uri="{FF2B5EF4-FFF2-40B4-BE49-F238E27FC236}">
              <a16:creationId xmlns:a16="http://schemas.microsoft.com/office/drawing/2014/main" id="{2419E27F-956C-495F-A5E4-903E4C5D78D4}"/>
            </a:ext>
          </a:extLst>
        </xdr:cNvPr>
        <xdr:cNvSpPr/>
      </xdr:nvSpPr>
      <xdr:spPr>
        <a:xfrm>
          <a:off x="232727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11" name="Right Arrow 10">
          <a:extLst>
            <a:ext uri="{FF2B5EF4-FFF2-40B4-BE49-F238E27FC236}">
              <a16:creationId xmlns:a16="http://schemas.microsoft.com/office/drawing/2014/main" id="{BF9981D1-1B26-49B1-B6AC-3587A1112820}"/>
            </a:ext>
          </a:extLst>
        </xdr:cNvPr>
        <xdr:cNvSpPr/>
      </xdr:nvSpPr>
      <xdr:spPr>
        <a:xfrm>
          <a:off x="207010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2</xdr:row>
      <xdr:rowOff>0</xdr:rowOff>
    </xdr:from>
    <xdr:to>
      <xdr:col>7</xdr:col>
      <xdr:colOff>973667</xdr:colOff>
      <xdr:row>4</xdr:row>
      <xdr:rowOff>5117</xdr:rowOff>
    </xdr:to>
    <xdr:sp macro="" textlink="">
      <xdr:nvSpPr>
        <xdr:cNvPr id="12" name="Rounded Rectangle 11">
          <a:hlinkClick xmlns:r="http://schemas.openxmlformats.org/officeDocument/2006/relationships" r:id="rId1"/>
          <a:extLst>
            <a:ext uri="{FF2B5EF4-FFF2-40B4-BE49-F238E27FC236}">
              <a16:creationId xmlns:a16="http://schemas.microsoft.com/office/drawing/2014/main" id="{CA737A26-10A0-488E-832D-7F312F5DF525}"/>
            </a:ext>
          </a:extLst>
        </xdr:cNvPr>
        <xdr:cNvSpPr/>
      </xdr:nvSpPr>
      <xdr:spPr>
        <a:xfrm>
          <a:off x="5276850" y="304800"/>
          <a:ext cx="973667" cy="34166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100.xml><?xml version="1.0" encoding="utf-8"?>
<xdr:wsDr xmlns:xdr="http://schemas.openxmlformats.org/drawingml/2006/spreadsheetDrawing" xmlns:a="http://schemas.openxmlformats.org/drawingml/2006/main">
  <xdr:twoCellAnchor>
    <xdr:from>
      <xdr:col>2</xdr:col>
      <xdr:colOff>933450</xdr:colOff>
      <xdr:row>3</xdr:row>
      <xdr:rowOff>100013</xdr:rowOff>
    </xdr:from>
    <xdr:to>
      <xdr:col>2</xdr:col>
      <xdr:colOff>1247775</xdr:colOff>
      <xdr:row>3</xdr:row>
      <xdr:rowOff>145732</xdr:rowOff>
    </xdr:to>
    <xdr:sp macro="" textlink="">
      <xdr:nvSpPr>
        <xdr:cNvPr id="2" name="Right Arrow 1">
          <a:extLst>
            <a:ext uri="{FF2B5EF4-FFF2-40B4-BE49-F238E27FC236}">
              <a16:creationId xmlns:a16="http://schemas.microsoft.com/office/drawing/2014/main" id="{49728C00-214A-4152-9E10-F3CA398D4DBC}"/>
            </a:ext>
          </a:extLst>
        </xdr:cNvPr>
        <xdr:cNvSpPr/>
      </xdr:nvSpPr>
      <xdr:spPr>
        <a:xfrm rot="10800000" flipH="1">
          <a:off x="234950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3" name="Right Arrow 2">
          <a:extLst>
            <a:ext uri="{FF2B5EF4-FFF2-40B4-BE49-F238E27FC236}">
              <a16:creationId xmlns:a16="http://schemas.microsoft.com/office/drawing/2014/main" id="{A5F73884-B10D-44FE-95BE-CEBF2DA2E200}"/>
            </a:ext>
          </a:extLst>
        </xdr:cNvPr>
        <xdr:cNvSpPr/>
      </xdr:nvSpPr>
      <xdr:spPr>
        <a:xfrm>
          <a:off x="210185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4" name="Right Arrow 3">
          <a:extLst>
            <a:ext uri="{FF2B5EF4-FFF2-40B4-BE49-F238E27FC236}">
              <a16:creationId xmlns:a16="http://schemas.microsoft.com/office/drawing/2014/main" id="{6E6B95BF-E229-47ED-85CE-C4BADE81E418}"/>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5" name="Right Arrow 4">
          <a:extLst>
            <a:ext uri="{FF2B5EF4-FFF2-40B4-BE49-F238E27FC236}">
              <a16:creationId xmlns:a16="http://schemas.microsoft.com/office/drawing/2014/main" id="{6D7A6165-2796-4797-B8B8-531EA8613E90}"/>
            </a:ext>
          </a:extLst>
        </xdr:cNvPr>
        <xdr:cNvSpPr/>
      </xdr:nvSpPr>
      <xdr:spPr>
        <a:xfrm>
          <a:off x="232727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6" name="Right Arrow 5">
          <a:extLst>
            <a:ext uri="{FF2B5EF4-FFF2-40B4-BE49-F238E27FC236}">
              <a16:creationId xmlns:a16="http://schemas.microsoft.com/office/drawing/2014/main" id="{30A8E7EF-9183-4582-ADEF-A4CF5DA577AC}"/>
            </a:ext>
          </a:extLst>
        </xdr:cNvPr>
        <xdr:cNvSpPr/>
      </xdr:nvSpPr>
      <xdr:spPr>
        <a:xfrm>
          <a:off x="207010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3</xdr:row>
      <xdr:rowOff>100013</xdr:rowOff>
    </xdr:from>
    <xdr:to>
      <xdr:col>2</xdr:col>
      <xdr:colOff>1247775</xdr:colOff>
      <xdr:row>3</xdr:row>
      <xdr:rowOff>145732</xdr:rowOff>
    </xdr:to>
    <xdr:sp macro="" textlink="">
      <xdr:nvSpPr>
        <xdr:cNvPr id="7" name="Right Arrow 6">
          <a:extLst>
            <a:ext uri="{FF2B5EF4-FFF2-40B4-BE49-F238E27FC236}">
              <a16:creationId xmlns:a16="http://schemas.microsoft.com/office/drawing/2014/main" id="{C89FB90C-602A-4673-B314-CAB84E7063A3}"/>
            </a:ext>
          </a:extLst>
        </xdr:cNvPr>
        <xdr:cNvSpPr/>
      </xdr:nvSpPr>
      <xdr:spPr>
        <a:xfrm rot="10800000" flipH="1">
          <a:off x="234950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8" name="Right Arrow 7">
          <a:extLst>
            <a:ext uri="{FF2B5EF4-FFF2-40B4-BE49-F238E27FC236}">
              <a16:creationId xmlns:a16="http://schemas.microsoft.com/office/drawing/2014/main" id="{0E056F14-DD0A-407B-8A78-B29AAC9BF684}"/>
            </a:ext>
          </a:extLst>
        </xdr:cNvPr>
        <xdr:cNvSpPr/>
      </xdr:nvSpPr>
      <xdr:spPr>
        <a:xfrm>
          <a:off x="2101850" y="59055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9" name="Right Arrow 8">
          <a:extLst>
            <a:ext uri="{FF2B5EF4-FFF2-40B4-BE49-F238E27FC236}">
              <a16:creationId xmlns:a16="http://schemas.microsoft.com/office/drawing/2014/main" id="{6FFDDB9F-3827-4CAE-B8BF-E8D202347764}"/>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10" name="Right Arrow 9">
          <a:extLst>
            <a:ext uri="{FF2B5EF4-FFF2-40B4-BE49-F238E27FC236}">
              <a16:creationId xmlns:a16="http://schemas.microsoft.com/office/drawing/2014/main" id="{C05C88E8-59B8-4939-B748-A27501919D89}"/>
            </a:ext>
          </a:extLst>
        </xdr:cNvPr>
        <xdr:cNvSpPr/>
      </xdr:nvSpPr>
      <xdr:spPr>
        <a:xfrm>
          <a:off x="2327275" y="5175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11" name="Right Arrow 10">
          <a:extLst>
            <a:ext uri="{FF2B5EF4-FFF2-40B4-BE49-F238E27FC236}">
              <a16:creationId xmlns:a16="http://schemas.microsoft.com/office/drawing/2014/main" id="{95CE03F8-4C15-40CA-AB23-9AAA7F65ECA4}"/>
            </a:ext>
          </a:extLst>
        </xdr:cNvPr>
        <xdr:cNvSpPr/>
      </xdr:nvSpPr>
      <xdr:spPr>
        <a:xfrm>
          <a:off x="2070100" y="50799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2</xdr:row>
      <xdr:rowOff>0</xdr:rowOff>
    </xdr:from>
    <xdr:to>
      <xdr:col>7</xdr:col>
      <xdr:colOff>973667</xdr:colOff>
      <xdr:row>4</xdr:row>
      <xdr:rowOff>5117</xdr:rowOff>
    </xdr:to>
    <xdr:sp macro="" textlink="">
      <xdr:nvSpPr>
        <xdr:cNvPr id="12" name="Rounded Rectangle 11">
          <a:hlinkClick xmlns:r="http://schemas.openxmlformats.org/officeDocument/2006/relationships" r:id="rId1"/>
          <a:extLst>
            <a:ext uri="{FF2B5EF4-FFF2-40B4-BE49-F238E27FC236}">
              <a16:creationId xmlns:a16="http://schemas.microsoft.com/office/drawing/2014/main" id="{F712D839-55BF-4716-8E80-65DB9DD30B60}"/>
            </a:ext>
          </a:extLst>
        </xdr:cNvPr>
        <xdr:cNvSpPr/>
      </xdr:nvSpPr>
      <xdr:spPr>
        <a:xfrm>
          <a:off x="5276850" y="304800"/>
          <a:ext cx="973667" cy="34166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101.xml><?xml version="1.0" encoding="utf-8"?>
<xdr:wsDr xmlns:xdr="http://schemas.openxmlformats.org/drawingml/2006/spreadsheetDrawing" xmlns:a="http://schemas.openxmlformats.org/drawingml/2006/main">
  <xdr:twoCellAnchor>
    <xdr:from>
      <xdr:col>2</xdr:col>
      <xdr:colOff>933450</xdr:colOff>
      <xdr:row>3</xdr:row>
      <xdr:rowOff>100013</xdr:rowOff>
    </xdr:from>
    <xdr:to>
      <xdr:col>2</xdr:col>
      <xdr:colOff>1247775</xdr:colOff>
      <xdr:row>3</xdr:row>
      <xdr:rowOff>145732</xdr:rowOff>
    </xdr:to>
    <xdr:sp macro="" textlink="">
      <xdr:nvSpPr>
        <xdr:cNvPr id="2" name="Right Arrow 1">
          <a:extLst>
            <a:ext uri="{FF2B5EF4-FFF2-40B4-BE49-F238E27FC236}">
              <a16:creationId xmlns:a16="http://schemas.microsoft.com/office/drawing/2014/main" id="{7B3947E8-B5BB-4E91-8603-AD23B7A7FC12}"/>
            </a:ext>
          </a:extLst>
        </xdr:cNvPr>
        <xdr:cNvSpPr/>
      </xdr:nvSpPr>
      <xdr:spPr>
        <a:xfrm rot="10800000" flipH="1">
          <a:off x="2349500" y="7096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3" name="Right Arrow 2">
          <a:extLst>
            <a:ext uri="{FF2B5EF4-FFF2-40B4-BE49-F238E27FC236}">
              <a16:creationId xmlns:a16="http://schemas.microsoft.com/office/drawing/2014/main" id="{0F1F61BB-3EF9-43E2-AE87-A8D75415308A}"/>
            </a:ext>
          </a:extLst>
        </xdr:cNvPr>
        <xdr:cNvSpPr/>
      </xdr:nvSpPr>
      <xdr:spPr>
        <a:xfrm>
          <a:off x="2101850" y="71120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4" name="Right Arrow 3">
          <a:extLst>
            <a:ext uri="{FF2B5EF4-FFF2-40B4-BE49-F238E27FC236}">
              <a16:creationId xmlns:a16="http://schemas.microsoft.com/office/drawing/2014/main" id="{5C17F548-9828-479C-8D68-A378F162C887}"/>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5" name="Right Arrow 4">
          <a:extLst>
            <a:ext uri="{FF2B5EF4-FFF2-40B4-BE49-F238E27FC236}">
              <a16:creationId xmlns:a16="http://schemas.microsoft.com/office/drawing/2014/main" id="{C3156F50-D210-40A1-8654-407EDE5C8D69}"/>
            </a:ext>
          </a:extLst>
        </xdr:cNvPr>
        <xdr:cNvSpPr/>
      </xdr:nvSpPr>
      <xdr:spPr>
        <a:xfrm>
          <a:off x="2327275" y="63817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6" name="Right Arrow 5">
          <a:extLst>
            <a:ext uri="{FF2B5EF4-FFF2-40B4-BE49-F238E27FC236}">
              <a16:creationId xmlns:a16="http://schemas.microsoft.com/office/drawing/2014/main" id="{E5D95C36-57A7-44BF-A4F0-4E25F2B0B56D}"/>
            </a:ext>
          </a:extLst>
        </xdr:cNvPr>
        <xdr:cNvSpPr/>
      </xdr:nvSpPr>
      <xdr:spPr>
        <a:xfrm>
          <a:off x="2070100" y="62864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3</xdr:row>
      <xdr:rowOff>100013</xdr:rowOff>
    </xdr:from>
    <xdr:to>
      <xdr:col>2</xdr:col>
      <xdr:colOff>1247775</xdr:colOff>
      <xdr:row>3</xdr:row>
      <xdr:rowOff>145732</xdr:rowOff>
    </xdr:to>
    <xdr:sp macro="" textlink="">
      <xdr:nvSpPr>
        <xdr:cNvPr id="7" name="Right Arrow 6">
          <a:extLst>
            <a:ext uri="{FF2B5EF4-FFF2-40B4-BE49-F238E27FC236}">
              <a16:creationId xmlns:a16="http://schemas.microsoft.com/office/drawing/2014/main" id="{DE17E03C-6C26-4F56-BC9F-171A746391A3}"/>
            </a:ext>
          </a:extLst>
        </xdr:cNvPr>
        <xdr:cNvSpPr/>
      </xdr:nvSpPr>
      <xdr:spPr>
        <a:xfrm rot="10800000" flipH="1">
          <a:off x="2349500" y="7096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8" name="Right Arrow 7">
          <a:extLst>
            <a:ext uri="{FF2B5EF4-FFF2-40B4-BE49-F238E27FC236}">
              <a16:creationId xmlns:a16="http://schemas.microsoft.com/office/drawing/2014/main" id="{546C4CE9-F3CF-4C1B-A331-4A0D914FD90A}"/>
            </a:ext>
          </a:extLst>
        </xdr:cNvPr>
        <xdr:cNvSpPr/>
      </xdr:nvSpPr>
      <xdr:spPr>
        <a:xfrm>
          <a:off x="2101850" y="71120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9" name="Right Arrow 8">
          <a:extLst>
            <a:ext uri="{FF2B5EF4-FFF2-40B4-BE49-F238E27FC236}">
              <a16:creationId xmlns:a16="http://schemas.microsoft.com/office/drawing/2014/main" id="{F238DBEA-ADCC-416C-A383-832C0A4A377F}"/>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10" name="Right Arrow 9">
          <a:extLst>
            <a:ext uri="{FF2B5EF4-FFF2-40B4-BE49-F238E27FC236}">
              <a16:creationId xmlns:a16="http://schemas.microsoft.com/office/drawing/2014/main" id="{E987A772-6E98-4950-9023-538C8D0DBE92}"/>
            </a:ext>
          </a:extLst>
        </xdr:cNvPr>
        <xdr:cNvSpPr/>
      </xdr:nvSpPr>
      <xdr:spPr>
        <a:xfrm>
          <a:off x="2327275" y="63817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11" name="Right Arrow 10">
          <a:extLst>
            <a:ext uri="{FF2B5EF4-FFF2-40B4-BE49-F238E27FC236}">
              <a16:creationId xmlns:a16="http://schemas.microsoft.com/office/drawing/2014/main" id="{3194CFA7-31C6-4546-9B20-CA71FEAC6C83}"/>
            </a:ext>
          </a:extLst>
        </xdr:cNvPr>
        <xdr:cNvSpPr/>
      </xdr:nvSpPr>
      <xdr:spPr>
        <a:xfrm>
          <a:off x="2070100" y="62864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2</xdr:row>
      <xdr:rowOff>0</xdr:rowOff>
    </xdr:from>
    <xdr:to>
      <xdr:col>7</xdr:col>
      <xdr:colOff>973667</xdr:colOff>
      <xdr:row>4</xdr:row>
      <xdr:rowOff>5117</xdr:rowOff>
    </xdr:to>
    <xdr:sp macro="" textlink="">
      <xdr:nvSpPr>
        <xdr:cNvPr id="12" name="Rounded Rectangle 11">
          <a:hlinkClick xmlns:r="http://schemas.openxmlformats.org/officeDocument/2006/relationships" r:id="rId1"/>
          <a:extLst>
            <a:ext uri="{FF2B5EF4-FFF2-40B4-BE49-F238E27FC236}">
              <a16:creationId xmlns:a16="http://schemas.microsoft.com/office/drawing/2014/main" id="{E335CED7-8990-4910-BD1B-B0B02983061F}"/>
            </a:ext>
          </a:extLst>
        </xdr:cNvPr>
        <xdr:cNvSpPr/>
      </xdr:nvSpPr>
      <xdr:spPr>
        <a:xfrm>
          <a:off x="5276850" y="304800"/>
          <a:ext cx="973667" cy="4623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102.xml><?xml version="1.0" encoding="utf-8"?>
<xdr:wsDr xmlns:xdr="http://schemas.openxmlformats.org/drawingml/2006/spreadsheetDrawing" xmlns:a="http://schemas.openxmlformats.org/drawingml/2006/main">
  <xdr:twoCellAnchor>
    <xdr:from>
      <xdr:col>2</xdr:col>
      <xdr:colOff>933450</xdr:colOff>
      <xdr:row>3</xdr:row>
      <xdr:rowOff>100013</xdr:rowOff>
    </xdr:from>
    <xdr:to>
      <xdr:col>2</xdr:col>
      <xdr:colOff>1247775</xdr:colOff>
      <xdr:row>3</xdr:row>
      <xdr:rowOff>145732</xdr:rowOff>
    </xdr:to>
    <xdr:sp macro="" textlink="">
      <xdr:nvSpPr>
        <xdr:cNvPr id="2" name="Right Arrow 1">
          <a:extLst>
            <a:ext uri="{FF2B5EF4-FFF2-40B4-BE49-F238E27FC236}">
              <a16:creationId xmlns:a16="http://schemas.microsoft.com/office/drawing/2014/main" id="{BE29A9AB-4623-4BBC-9618-64CCFB077A28}"/>
            </a:ext>
          </a:extLst>
        </xdr:cNvPr>
        <xdr:cNvSpPr/>
      </xdr:nvSpPr>
      <xdr:spPr>
        <a:xfrm rot="10800000" flipH="1">
          <a:off x="2349500" y="7096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3" name="Right Arrow 2">
          <a:extLst>
            <a:ext uri="{FF2B5EF4-FFF2-40B4-BE49-F238E27FC236}">
              <a16:creationId xmlns:a16="http://schemas.microsoft.com/office/drawing/2014/main" id="{E317287F-1B93-471F-9BEF-8CC74AFAE741}"/>
            </a:ext>
          </a:extLst>
        </xdr:cNvPr>
        <xdr:cNvSpPr/>
      </xdr:nvSpPr>
      <xdr:spPr>
        <a:xfrm>
          <a:off x="2101850" y="71120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5" name="Right Arrow 4">
          <a:extLst>
            <a:ext uri="{FF2B5EF4-FFF2-40B4-BE49-F238E27FC236}">
              <a16:creationId xmlns:a16="http://schemas.microsoft.com/office/drawing/2014/main" id="{37B9E89D-D32D-4451-8F00-73E6A5CF6F81}"/>
            </a:ext>
          </a:extLst>
        </xdr:cNvPr>
        <xdr:cNvSpPr/>
      </xdr:nvSpPr>
      <xdr:spPr>
        <a:xfrm>
          <a:off x="2327275" y="63817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6" name="Right Arrow 5">
          <a:extLst>
            <a:ext uri="{FF2B5EF4-FFF2-40B4-BE49-F238E27FC236}">
              <a16:creationId xmlns:a16="http://schemas.microsoft.com/office/drawing/2014/main" id="{B4BD0F43-A4E5-47F0-BCFE-5DA058F3FE62}"/>
            </a:ext>
          </a:extLst>
        </xdr:cNvPr>
        <xdr:cNvSpPr/>
      </xdr:nvSpPr>
      <xdr:spPr>
        <a:xfrm>
          <a:off x="2070100" y="62864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3</xdr:row>
      <xdr:rowOff>100013</xdr:rowOff>
    </xdr:from>
    <xdr:to>
      <xdr:col>2</xdr:col>
      <xdr:colOff>1247775</xdr:colOff>
      <xdr:row>3</xdr:row>
      <xdr:rowOff>145732</xdr:rowOff>
    </xdr:to>
    <xdr:sp macro="" textlink="">
      <xdr:nvSpPr>
        <xdr:cNvPr id="7" name="Right Arrow 6">
          <a:extLst>
            <a:ext uri="{FF2B5EF4-FFF2-40B4-BE49-F238E27FC236}">
              <a16:creationId xmlns:a16="http://schemas.microsoft.com/office/drawing/2014/main" id="{2B7FC247-4427-447A-92B8-DE4C3ECD5011}"/>
            </a:ext>
          </a:extLst>
        </xdr:cNvPr>
        <xdr:cNvSpPr/>
      </xdr:nvSpPr>
      <xdr:spPr>
        <a:xfrm rot="10800000" flipH="1">
          <a:off x="2349500" y="7096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8" name="Right Arrow 7">
          <a:extLst>
            <a:ext uri="{FF2B5EF4-FFF2-40B4-BE49-F238E27FC236}">
              <a16:creationId xmlns:a16="http://schemas.microsoft.com/office/drawing/2014/main" id="{049EEE99-945B-48CD-8798-9CB89AF72FE9}"/>
            </a:ext>
          </a:extLst>
        </xdr:cNvPr>
        <xdr:cNvSpPr/>
      </xdr:nvSpPr>
      <xdr:spPr>
        <a:xfrm>
          <a:off x="2101850" y="71120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10" name="Right Arrow 9">
          <a:extLst>
            <a:ext uri="{FF2B5EF4-FFF2-40B4-BE49-F238E27FC236}">
              <a16:creationId xmlns:a16="http://schemas.microsoft.com/office/drawing/2014/main" id="{DD8C77DA-676F-4B85-A85B-350787711F71}"/>
            </a:ext>
          </a:extLst>
        </xdr:cNvPr>
        <xdr:cNvSpPr/>
      </xdr:nvSpPr>
      <xdr:spPr>
        <a:xfrm>
          <a:off x="2327275" y="63817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11" name="Right Arrow 10">
          <a:extLst>
            <a:ext uri="{FF2B5EF4-FFF2-40B4-BE49-F238E27FC236}">
              <a16:creationId xmlns:a16="http://schemas.microsoft.com/office/drawing/2014/main" id="{E195C8AC-D9DB-4189-90DE-1826503A7263}"/>
            </a:ext>
          </a:extLst>
        </xdr:cNvPr>
        <xdr:cNvSpPr/>
      </xdr:nvSpPr>
      <xdr:spPr>
        <a:xfrm>
          <a:off x="2070100" y="62864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2</xdr:row>
      <xdr:rowOff>0</xdr:rowOff>
    </xdr:from>
    <xdr:to>
      <xdr:col>7</xdr:col>
      <xdr:colOff>973667</xdr:colOff>
      <xdr:row>4</xdr:row>
      <xdr:rowOff>5117</xdr:rowOff>
    </xdr:to>
    <xdr:sp macro="" textlink="">
      <xdr:nvSpPr>
        <xdr:cNvPr id="12" name="Rounded Rectangle 11">
          <a:hlinkClick xmlns:r="http://schemas.openxmlformats.org/officeDocument/2006/relationships" r:id="rId1"/>
          <a:extLst>
            <a:ext uri="{FF2B5EF4-FFF2-40B4-BE49-F238E27FC236}">
              <a16:creationId xmlns:a16="http://schemas.microsoft.com/office/drawing/2014/main" id="{E949AE5A-C964-4B7E-A7AF-FDD90A10BBA7}"/>
            </a:ext>
          </a:extLst>
        </xdr:cNvPr>
        <xdr:cNvSpPr/>
      </xdr:nvSpPr>
      <xdr:spPr>
        <a:xfrm>
          <a:off x="5276850" y="304800"/>
          <a:ext cx="973667" cy="4623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103.xml><?xml version="1.0" encoding="utf-8"?>
<xdr:wsDr xmlns:xdr="http://schemas.openxmlformats.org/drawingml/2006/spreadsheetDrawing" xmlns:a="http://schemas.openxmlformats.org/drawingml/2006/main">
  <xdr:twoCellAnchor>
    <xdr:from>
      <xdr:col>2</xdr:col>
      <xdr:colOff>933450</xdr:colOff>
      <xdr:row>3</xdr:row>
      <xdr:rowOff>100013</xdr:rowOff>
    </xdr:from>
    <xdr:to>
      <xdr:col>2</xdr:col>
      <xdr:colOff>1247775</xdr:colOff>
      <xdr:row>3</xdr:row>
      <xdr:rowOff>145732</xdr:rowOff>
    </xdr:to>
    <xdr:sp macro="" textlink="">
      <xdr:nvSpPr>
        <xdr:cNvPr id="2" name="Right Arrow 1">
          <a:extLst>
            <a:ext uri="{FF2B5EF4-FFF2-40B4-BE49-F238E27FC236}">
              <a16:creationId xmlns:a16="http://schemas.microsoft.com/office/drawing/2014/main" id="{03154FF1-2BC5-49F8-B270-048387C48EA8}"/>
            </a:ext>
          </a:extLst>
        </xdr:cNvPr>
        <xdr:cNvSpPr/>
      </xdr:nvSpPr>
      <xdr:spPr>
        <a:xfrm rot="10800000" flipH="1">
          <a:off x="234950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3" name="Right Arrow 2">
          <a:extLst>
            <a:ext uri="{FF2B5EF4-FFF2-40B4-BE49-F238E27FC236}">
              <a16:creationId xmlns:a16="http://schemas.microsoft.com/office/drawing/2014/main" id="{3E2E5E2E-1043-4218-9CE2-4C5FA8F51BE6}"/>
            </a:ext>
          </a:extLst>
        </xdr:cNvPr>
        <xdr:cNvSpPr/>
      </xdr:nvSpPr>
      <xdr:spPr>
        <a:xfrm>
          <a:off x="2101850" y="55880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4" name="Right Arrow 4">
          <a:extLst>
            <a:ext uri="{FF2B5EF4-FFF2-40B4-BE49-F238E27FC236}">
              <a16:creationId xmlns:a16="http://schemas.microsoft.com/office/drawing/2014/main" id="{50C325C0-E8F1-4DF8-9925-08F35F56AB9C}"/>
            </a:ext>
          </a:extLst>
        </xdr:cNvPr>
        <xdr:cNvSpPr/>
      </xdr:nvSpPr>
      <xdr:spPr>
        <a:xfrm>
          <a:off x="2327275" y="48577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5" name="Right Arrow 5">
          <a:extLst>
            <a:ext uri="{FF2B5EF4-FFF2-40B4-BE49-F238E27FC236}">
              <a16:creationId xmlns:a16="http://schemas.microsoft.com/office/drawing/2014/main" id="{098CAC04-2FE6-4048-85B2-4A480D36DCF7}"/>
            </a:ext>
          </a:extLst>
        </xdr:cNvPr>
        <xdr:cNvSpPr/>
      </xdr:nvSpPr>
      <xdr:spPr>
        <a:xfrm>
          <a:off x="2070100" y="47624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3</xdr:row>
      <xdr:rowOff>100013</xdr:rowOff>
    </xdr:from>
    <xdr:to>
      <xdr:col>2</xdr:col>
      <xdr:colOff>1247775</xdr:colOff>
      <xdr:row>3</xdr:row>
      <xdr:rowOff>145732</xdr:rowOff>
    </xdr:to>
    <xdr:sp macro="" textlink="">
      <xdr:nvSpPr>
        <xdr:cNvPr id="6" name="Right Arrow 6">
          <a:extLst>
            <a:ext uri="{FF2B5EF4-FFF2-40B4-BE49-F238E27FC236}">
              <a16:creationId xmlns:a16="http://schemas.microsoft.com/office/drawing/2014/main" id="{310D86CB-F43D-4DF9-8686-3314990EDF7E}"/>
            </a:ext>
          </a:extLst>
        </xdr:cNvPr>
        <xdr:cNvSpPr/>
      </xdr:nvSpPr>
      <xdr:spPr>
        <a:xfrm rot="10800000" flipH="1">
          <a:off x="234950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7" name="Right Arrow 7">
          <a:extLst>
            <a:ext uri="{FF2B5EF4-FFF2-40B4-BE49-F238E27FC236}">
              <a16:creationId xmlns:a16="http://schemas.microsoft.com/office/drawing/2014/main" id="{96887286-A756-4EE3-BF4B-9D9A1B600BB4}"/>
            </a:ext>
          </a:extLst>
        </xdr:cNvPr>
        <xdr:cNvSpPr/>
      </xdr:nvSpPr>
      <xdr:spPr>
        <a:xfrm>
          <a:off x="2101850" y="55880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8" name="Right Arrow 9">
          <a:extLst>
            <a:ext uri="{FF2B5EF4-FFF2-40B4-BE49-F238E27FC236}">
              <a16:creationId xmlns:a16="http://schemas.microsoft.com/office/drawing/2014/main" id="{55F2FC01-DECC-424A-9577-78646D2B7C7F}"/>
            </a:ext>
          </a:extLst>
        </xdr:cNvPr>
        <xdr:cNvSpPr/>
      </xdr:nvSpPr>
      <xdr:spPr>
        <a:xfrm>
          <a:off x="2327275" y="48577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9" name="Right Arrow 10">
          <a:extLst>
            <a:ext uri="{FF2B5EF4-FFF2-40B4-BE49-F238E27FC236}">
              <a16:creationId xmlns:a16="http://schemas.microsoft.com/office/drawing/2014/main" id="{4747DEF8-7752-4B45-BBBF-9B0DD4051BC8}"/>
            </a:ext>
          </a:extLst>
        </xdr:cNvPr>
        <xdr:cNvSpPr/>
      </xdr:nvSpPr>
      <xdr:spPr>
        <a:xfrm>
          <a:off x="2070100" y="47624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2</xdr:row>
      <xdr:rowOff>0</xdr:rowOff>
    </xdr:from>
    <xdr:to>
      <xdr:col>7</xdr:col>
      <xdr:colOff>973667</xdr:colOff>
      <xdr:row>4</xdr:row>
      <xdr:rowOff>5117</xdr:rowOff>
    </xdr:to>
    <xdr:sp macro="" textlink="">
      <xdr:nvSpPr>
        <xdr:cNvPr id="10" name="Rounded Rectangle 11">
          <a:hlinkClick xmlns:r="http://schemas.openxmlformats.org/officeDocument/2006/relationships" r:id="rId1"/>
          <a:extLst>
            <a:ext uri="{FF2B5EF4-FFF2-40B4-BE49-F238E27FC236}">
              <a16:creationId xmlns:a16="http://schemas.microsoft.com/office/drawing/2014/main" id="{2723A79F-85A6-462E-9CCD-FF6D981C638C}"/>
            </a:ext>
          </a:extLst>
        </xdr:cNvPr>
        <xdr:cNvSpPr/>
      </xdr:nvSpPr>
      <xdr:spPr>
        <a:xfrm>
          <a:off x="5276850" y="304800"/>
          <a:ext cx="973667" cy="3099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104.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64B142C4-4988-4BCF-BA94-A774B728742C}"/>
            </a:ext>
          </a:extLst>
        </xdr:cNvPr>
        <xdr:cNvSpPr/>
      </xdr:nvSpPr>
      <xdr:spPr>
        <a:xfrm rot="10800000" flipH="1">
          <a:off x="23431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219075</xdr:colOff>
      <xdr:row>2</xdr:row>
      <xdr:rowOff>15874</xdr:rowOff>
    </xdr:from>
    <xdr:to>
      <xdr:col>2</xdr:col>
      <xdr:colOff>241300</xdr:colOff>
      <xdr:row>2</xdr:row>
      <xdr:rowOff>139699</xdr:rowOff>
    </xdr:to>
    <xdr:sp macro="" textlink="">
      <xdr:nvSpPr>
        <xdr:cNvPr id="3" name="Right Arrow 2">
          <a:extLst>
            <a:ext uri="{FF2B5EF4-FFF2-40B4-BE49-F238E27FC236}">
              <a16:creationId xmlns:a16="http://schemas.microsoft.com/office/drawing/2014/main" id="{CF55A0B6-2C37-4B79-87BC-D6C35E596E54}"/>
            </a:ext>
          </a:extLst>
        </xdr:cNvPr>
        <xdr:cNvSpPr/>
      </xdr:nvSpPr>
      <xdr:spPr>
        <a:xfrm>
          <a:off x="2225675" y="50482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2</xdr:row>
      <xdr:rowOff>100013</xdr:rowOff>
    </xdr:from>
    <xdr:to>
      <xdr:col>2</xdr:col>
      <xdr:colOff>1247775</xdr:colOff>
      <xdr:row>2</xdr:row>
      <xdr:rowOff>145732</xdr:rowOff>
    </xdr:to>
    <xdr:sp macro="" textlink="">
      <xdr:nvSpPr>
        <xdr:cNvPr id="4" name="Right Arrow 3">
          <a:extLst>
            <a:ext uri="{FF2B5EF4-FFF2-40B4-BE49-F238E27FC236}">
              <a16:creationId xmlns:a16="http://schemas.microsoft.com/office/drawing/2014/main" id="{AEE922B3-1B4C-478D-B5D3-D690C120759A}"/>
            </a:ext>
          </a:extLst>
        </xdr:cNvPr>
        <xdr:cNvSpPr/>
      </xdr:nvSpPr>
      <xdr:spPr>
        <a:xfrm rot="10800000" flipH="1">
          <a:off x="2343150" y="58896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1</xdr:row>
      <xdr:rowOff>0</xdr:rowOff>
    </xdr:from>
    <xdr:to>
      <xdr:col>7</xdr:col>
      <xdr:colOff>973667</xdr:colOff>
      <xdr:row>3</xdr:row>
      <xdr:rowOff>5117</xdr:rowOff>
    </xdr:to>
    <xdr:sp macro="" textlink="">
      <xdr:nvSpPr>
        <xdr:cNvPr id="5" name="Rounded Rectangle 4">
          <a:hlinkClick xmlns:r="http://schemas.openxmlformats.org/officeDocument/2006/relationships" r:id="rId1"/>
          <a:extLst>
            <a:ext uri="{FF2B5EF4-FFF2-40B4-BE49-F238E27FC236}">
              <a16:creationId xmlns:a16="http://schemas.microsoft.com/office/drawing/2014/main" id="{BF9B9331-63BB-4893-B701-8B8844D31C6B}"/>
            </a:ext>
          </a:extLst>
        </xdr:cNvPr>
        <xdr:cNvSpPr/>
      </xdr:nvSpPr>
      <xdr:spPr>
        <a:xfrm>
          <a:off x="4425950" y="304800"/>
          <a:ext cx="973667" cy="34166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105.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1AAD0D0D-B142-4A8C-B0E3-4CE2E1A8E97E}"/>
            </a:ext>
          </a:extLst>
        </xdr:cNvPr>
        <xdr:cNvSpPr/>
      </xdr:nvSpPr>
      <xdr:spPr>
        <a:xfrm rot="10800000" flipH="1">
          <a:off x="2051050" y="7096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2</xdr:row>
      <xdr:rowOff>101600</xdr:rowOff>
    </xdr:from>
    <xdr:to>
      <xdr:col>2</xdr:col>
      <xdr:colOff>403225</xdr:colOff>
      <xdr:row>2</xdr:row>
      <xdr:rowOff>147319</xdr:rowOff>
    </xdr:to>
    <xdr:sp macro="" textlink="">
      <xdr:nvSpPr>
        <xdr:cNvPr id="3" name="Right Arrow 2">
          <a:extLst>
            <a:ext uri="{FF2B5EF4-FFF2-40B4-BE49-F238E27FC236}">
              <a16:creationId xmlns:a16="http://schemas.microsoft.com/office/drawing/2014/main" id="{D7D5E38C-0E48-44D4-99D2-0E03F9F2AA7B}"/>
            </a:ext>
          </a:extLst>
        </xdr:cNvPr>
        <xdr:cNvSpPr/>
      </xdr:nvSpPr>
      <xdr:spPr>
        <a:xfrm>
          <a:off x="1803400" y="71120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4" name="Right Arrow 3">
          <a:extLst>
            <a:ext uri="{FF2B5EF4-FFF2-40B4-BE49-F238E27FC236}">
              <a16:creationId xmlns:a16="http://schemas.microsoft.com/office/drawing/2014/main" id="{CD0C2E18-22FA-4311-9EE2-48DC36DBB0D9}"/>
            </a:ext>
          </a:extLst>
        </xdr:cNvPr>
        <xdr:cNvSpPr/>
      </xdr:nvSpPr>
      <xdr:spPr>
        <a:xfrm>
          <a:off x="2028825" y="63817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2</xdr:row>
      <xdr:rowOff>100013</xdr:rowOff>
    </xdr:from>
    <xdr:to>
      <xdr:col>2</xdr:col>
      <xdr:colOff>1247775</xdr:colOff>
      <xdr:row>2</xdr:row>
      <xdr:rowOff>145732</xdr:rowOff>
    </xdr:to>
    <xdr:sp macro="" textlink="">
      <xdr:nvSpPr>
        <xdr:cNvPr id="5" name="Right Arrow 4">
          <a:extLst>
            <a:ext uri="{FF2B5EF4-FFF2-40B4-BE49-F238E27FC236}">
              <a16:creationId xmlns:a16="http://schemas.microsoft.com/office/drawing/2014/main" id="{5386AB41-0AC8-4937-B1BB-B30ECCED5EA8}"/>
            </a:ext>
          </a:extLst>
        </xdr:cNvPr>
        <xdr:cNvSpPr/>
      </xdr:nvSpPr>
      <xdr:spPr>
        <a:xfrm rot="10800000" flipH="1">
          <a:off x="2051050" y="7096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6" name="Right Arrow 5">
          <a:extLst>
            <a:ext uri="{FF2B5EF4-FFF2-40B4-BE49-F238E27FC236}">
              <a16:creationId xmlns:a16="http://schemas.microsoft.com/office/drawing/2014/main" id="{58ED9BE2-A2A9-4465-8097-FC0236D2959B}"/>
            </a:ext>
          </a:extLst>
        </xdr:cNvPr>
        <xdr:cNvSpPr/>
      </xdr:nvSpPr>
      <xdr:spPr>
        <a:xfrm>
          <a:off x="2028825" y="63817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1</xdr:row>
      <xdr:rowOff>0</xdr:rowOff>
    </xdr:from>
    <xdr:to>
      <xdr:col>7</xdr:col>
      <xdr:colOff>973667</xdr:colOff>
      <xdr:row>3</xdr:row>
      <xdr:rowOff>5117</xdr:rowOff>
    </xdr:to>
    <xdr:sp macro="" textlink="">
      <xdr:nvSpPr>
        <xdr:cNvPr id="7" name="Rounded Rectangle 6">
          <a:hlinkClick xmlns:r="http://schemas.openxmlformats.org/officeDocument/2006/relationships" r:id="rId1"/>
          <a:extLst>
            <a:ext uri="{FF2B5EF4-FFF2-40B4-BE49-F238E27FC236}">
              <a16:creationId xmlns:a16="http://schemas.microsoft.com/office/drawing/2014/main" id="{313D4CDA-E821-4DAE-BB61-D4CF55A7DDA9}"/>
            </a:ext>
          </a:extLst>
        </xdr:cNvPr>
        <xdr:cNvSpPr/>
      </xdr:nvSpPr>
      <xdr:spPr>
        <a:xfrm>
          <a:off x="4159250" y="304800"/>
          <a:ext cx="973667" cy="4623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106.xml><?xml version="1.0" encoding="utf-8"?>
<xdr:wsDr xmlns:xdr="http://schemas.openxmlformats.org/drawingml/2006/spreadsheetDrawing" xmlns:a="http://schemas.openxmlformats.org/drawingml/2006/main">
  <xdr:twoCellAnchor>
    <xdr:from>
      <xdr:col>2</xdr:col>
      <xdr:colOff>933450</xdr:colOff>
      <xdr:row>3</xdr:row>
      <xdr:rowOff>100013</xdr:rowOff>
    </xdr:from>
    <xdr:to>
      <xdr:col>2</xdr:col>
      <xdr:colOff>1247775</xdr:colOff>
      <xdr:row>3</xdr:row>
      <xdr:rowOff>145732</xdr:rowOff>
    </xdr:to>
    <xdr:sp macro="" textlink="">
      <xdr:nvSpPr>
        <xdr:cNvPr id="2" name="Right Arrow 1">
          <a:extLst>
            <a:ext uri="{FF2B5EF4-FFF2-40B4-BE49-F238E27FC236}">
              <a16:creationId xmlns:a16="http://schemas.microsoft.com/office/drawing/2014/main" id="{95AD241A-9FF4-45E2-B4F7-940A7BA5CE1D}"/>
            </a:ext>
          </a:extLst>
        </xdr:cNvPr>
        <xdr:cNvSpPr/>
      </xdr:nvSpPr>
      <xdr:spPr>
        <a:xfrm rot="10800000" flipH="1">
          <a:off x="208915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3" name="Right Arrow 2">
          <a:extLst>
            <a:ext uri="{FF2B5EF4-FFF2-40B4-BE49-F238E27FC236}">
              <a16:creationId xmlns:a16="http://schemas.microsoft.com/office/drawing/2014/main" id="{4706B077-837E-4900-95E6-D94779AD582B}"/>
            </a:ext>
          </a:extLst>
        </xdr:cNvPr>
        <xdr:cNvSpPr/>
      </xdr:nvSpPr>
      <xdr:spPr>
        <a:xfrm>
          <a:off x="1841500" y="55880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4" name="Right Arrow 4">
          <a:extLst>
            <a:ext uri="{FF2B5EF4-FFF2-40B4-BE49-F238E27FC236}">
              <a16:creationId xmlns:a16="http://schemas.microsoft.com/office/drawing/2014/main" id="{09B5D306-F418-4D5A-831E-DC953012F4F8}"/>
            </a:ext>
          </a:extLst>
        </xdr:cNvPr>
        <xdr:cNvSpPr/>
      </xdr:nvSpPr>
      <xdr:spPr>
        <a:xfrm>
          <a:off x="2066925" y="48577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5" name="Right Arrow 5">
          <a:extLst>
            <a:ext uri="{FF2B5EF4-FFF2-40B4-BE49-F238E27FC236}">
              <a16:creationId xmlns:a16="http://schemas.microsoft.com/office/drawing/2014/main" id="{E5E302A8-7E88-4098-B22A-DAAFCEB4FE2C}"/>
            </a:ext>
          </a:extLst>
        </xdr:cNvPr>
        <xdr:cNvSpPr/>
      </xdr:nvSpPr>
      <xdr:spPr>
        <a:xfrm>
          <a:off x="1809750" y="47624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3</xdr:row>
      <xdr:rowOff>100013</xdr:rowOff>
    </xdr:from>
    <xdr:to>
      <xdr:col>2</xdr:col>
      <xdr:colOff>1247775</xdr:colOff>
      <xdr:row>3</xdr:row>
      <xdr:rowOff>145732</xdr:rowOff>
    </xdr:to>
    <xdr:sp macro="" textlink="">
      <xdr:nvSpPr>
        <xdr:cNvPr id="6" name="Right Arrow 6">
          <a:extLst>
            <a:ext uri="{FF2B5EF4-FFF2-40B4-BE49-F238E27FC236}">
              <a16:creationId xmlns:a16="http://schemas.microsoft.com/office/drawing/2014/main" id="{1C8A501F-C499-47F5-A551-9B74BE16A264}"/>
            </a:ext>
          </a:extLst>
        </xdr:cNvPr>
        <xdr:cNvSpPr/>
      </xdr:nvSpPr>
      <xdr:spPr>
        <a:xfrm rot="10800000" flipH="1">
          <a:off x="208915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7" name="Right Arrow 7">
          <a:extLst>
            <a:ext uri="{FF2B5EF4-FFF2-40B4-BE49-F238E27FC236}">
              <a16:creationId xmlns:a16="http://schemas.microsoft.com/office/drawing/2014/main" id="{D52AF721-DDA1-4EA9-9AE0-B89C1FF26E38}"/>
            </a:ext>
          </a:extLst>
        </xdr:cNvPr>
        <xdr:cNvSpPr/>
      </xdr:nvSpPr>
      <xdr:spPr>
        <a:xfrm>
          <a:off x="1841500" y="55880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8" name="Right Arrow 9">
          <a:extLst>
            <a:ext uri="{FF2B5EF4-FFF2-40B4-BE49-F238E27FC236}">
              <a16:creationId xmlns:a16="http://schemas.microsoft.com/office/drawing/2014/main" id="{24EAF4C3-59C7-4914-B3DC-F179DFAC7B68}"/>
            </a:ext>
          </a:extLst>
        </xdr:cNvPr>
        <xdr:cNvSpPr/>
      </xdr:nvSpPr>
      <xdr:spPr>
        <a:xfrm>
          <a:off x="2066925" y="48577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9" name="Right Arrow 10">
          <a:extLst>
            <a:ext uri="{FF2B5EF4-FFF2-40B4-BE49-F238E27FC236}">
              <a16:creationId xmlns:a16="http://schemas.microsoft.com/office/drawing/2014/main" id="{D05F44B6-EEBB-47EB-8919-2A7F93D34964}"/>
            </a:ext>
          </a:extLst>
        </xdr:cNvPr>
        <xdr:cNvSpPr/>
      </xdr:nvSpPr>
      <xdr:spPr>
        <a:xfrm>
          <a:off x="1809750" y="47624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2</xdr:row>
      <xdr:rowOff>0</xdr:rowOff>
    </xdr:from>
    <xdr:to>
      <xdr:col>7</xdr:col>
      <xdr:colOff>973667</xdr:colOff>
      <xdr:row>4</xdr:row>
      <xdr:rowOff>5117</xdr:rowOff>
    </xdr:to>
    <xdr:sp macro="" textlink="">
      <xdr:nvSpPr>
        <xdr:cNvPr id="10" name="Rounded Rectangle 11">
          <a:hlinkClick xmlns:r="http://schemas.openxmlformats.org/officeDocument/2006/relationships" r:id="rId1"/>
          <a:extLst>
            <a:ext uri="{FF2B5EF4-FFF2-40B4-BE49-F238E27FC236}">
              <a16:creationId xmlns:a16="http://schemas.microsoft.com/office/drawing/2014/main" id="{EF4AFFA0-FF2B-4C0B-B388-CB53DCEB58AE}"/>
            </a:ext>
          </a:extLst>
        </xdr:cNvPr>
        <xdr:cNvSpPr/>
      </xdr:nvSpPr>
      <xdr:spPr>
        <a:xfrm>
          <a:off x="4610100" y="304800"/>
          <a:ext cx="973667" cy="3099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107.xml><?xml version="1.0" encoding="utf-8"?>
<xdr:wsDr xmlns:xdr="http://schemas.openxmlformats.org/drawingml/2006/spreadsheetDrawing" xmlns:a="http://schemas.openxmlformats.org/drawingml/2006/main">
  <xdr:twoCellAnchor>
    <xdr:from>
      <xdr:col>2</xdr:col>
      <xdr:colOff>933450</xdr:colOff>
      <xdr:row>3</xdr:row>
      <xdr:rowOff>100013</xdr:rowOff>
    </xdr:from>
    <xdr:to>
      <xdr:col>2</xdr:col>
      <xdr:colOff>1247775</xdr:colOff>
      <xdr:row>3</xdr:row>
      <xdr:rowOff>145732</xdr:rowOff>
    </xdr:to>
    <xdr:sp macro="" textlink="">
      <xdr:nvSpPr>
        <xdr:cNvPr id="2" name="Right Arrow 1">
          <a:extLst>
            <a:ext uri="{FF2B5EF4-FFF2-40B4-BE49-F238E27FC236}">
              <a16:creationId xmlns:a16="http://schemas.microsoft.com/office/drawing/2014/main" id="{547E1A82-B144-4222-B330-16A5F8FFF432}"/>
            </a:ext>
          </a:extLst>
        </xdr:cNvPr>
        <xdr:cNvSpPr/>
      </xdr:nvSpPr>
      <xdr:spPr>
        <a:xfrm rot="10800000" flipH="1">
          <a:off x="2070100" y="7096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3" name="Right Arrow 2">
          <a:extLst>
            <a:ext uri="{FF2B5EF4-FFF2-40B4-BE49-F238E27FC236}">
              <a16:creationId xmlns:a16="http://schemas.microsoft.com/office/drawing/2014/main" id="{B28FDE79-58D6-4AA0-A043-6DDE996CB430}"/>
            </a:ext>
          </a:extLst>
        </xdr:cNvPr>
        <xdr:cNvSpPr/>
      </xdr:nvSpPr>
      <xdr:spPr>
        <a:xfrm>
          <a:off x="1822450" y="71120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4" name="Right Arrow 3">
          <a:extLst>
            <a:ext uri="{FF2B5EF4-FFF2-40B4-BE49-F238E27FC236}">
              <a16:creationId xmlns:a16="http://schemas.microsoft.com/office/drawing/2014/main" id="{F9B01892-A9B0-42D0-B671-F8ED90C15533}"/>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5" name="Right Arrow 4">
          <a:extLst>
            <a:ext uri="{FF2B5EF4-FFF2-40B4-BE49-F238E27FC236}">
              <a16:creationId xmlns:a16="http://schemas.microsoft.com/office/drawing/2014/main" id="{A3928EF2-A8CA-4C85-A381-9D44FDBC03D0}"/>
            </a:ext>
          </a:extLst>
        </xdr:cNvPr>
        <xdr:cNvSpPr/>
      </xdr:nvSpPr>
      <xdr:spPr>
        <a:xfrm>
          <a:off x="2047875" y="63817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6" name="Right Arrow 5">
          <a:extLst>
            <a:ext uri="{FF2B5EF4-FFF2-40B4-BE49-F238E27FC236}">
              <a16:creationId xmlns:a16="http://schemas.microsoft.com/office/drawing/2014/main" id="{B974CED7-F26C-4A47-9044-FE1E2AAB8279}"/>
            </a:ext>
          </a:extLst>
        </xdr:cNvPr>
        <xdr:cNvSpPr/>
      </xdr:nvSpPr>
      <xdr:spPr>
        <a:xfrm>
          <a:off x="1790700" y="62864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3</xdr:row>
      <xdr:rowOff>100013</xdr:rowOff>
    </xdr:from>
    <xdr:to>
      <xdr:col>2</xdr:col>
      <xdr:colOff>1247775</xdr:colOff>
      <xdr:row>3</xdr:row>
      <xdr:rowOff>145732</xdr:rowOff>
    </xdr:to>
    <xdr:sp macro="" textlink="">
      <xdr:nvSpPr>
        <xdr:cNvPr id="7" name="Right Arrow 6">
          <a:extLst>
            <a:ext uri="{FF2B5EF4-FFF2-40B4-BE49-F238E27FC236}">
              <a16:creationId xmlns:a16="http://schemas.microsoft.com/office/drawing/2014/main" id="{E6AD8E59-9AA8-4FDF-96D9-0E8D35CB04A7}"/>
            </a:ext>
          </a:extLst>
        </xdr:cNvPr>
        <xdr:cNvSpPr/>
      </xdr:nvSpPr>
      <xdr:spPr>
        <a:xfrm rot="10800000" flipH="1">
          <a:off x="2070100" y="7096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3</xdr:row>
      <xdr:rowOff>101600</xdr:rowOff>
    </xdr:from>
    <xdr:to>
      <xdr:col>2</xdr:col>
      <xdr:colOff>403225</xdr:colOff>
      <xdr:row>3</xdr:row>
      <xdr:rowOff>147319</xdr:rowOff>
    </xdr:to>
    <xdr:sp macro="" textlink="">
      <xdr:nvSpPr>
        <xdr:cNvPr id="8" name="Right Arrow 7">
          <a:extLst>
            <a:ext uri="{FF2B5EF4-FFF2-40B4-BE49-F238E27FC236}">
              <a16:creationId xmlns:a16="http://schemas.microsoft.com/office/drawing/2014/main" id="{B0A1854F-0868-4674-88BE-5AD742FE000F}"/>
            </a:ext>
          </a:extLst>
        </xdr:cNvPr>
        <xdr:cNvSpPr/>
      </xdr:nvSpPr>
      <xdr:spPr>
        <a:xfrm>
          <a:off x="1822450" y="711200"/>
          <a:ext cx="2444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49389</xdr:colOff>
      <xdr:row>2</xdr:row>
      <xdr:rowOff>28574</xdr:rowOff>
    </xdr:from>
    <xdr:to>
      <xdr:col>0</xdr:col>
      <xdr:colOff>1</xdr:colOff>
      <xdr:row>2</xdr:row>
      <xdr:rowOff>127000</xdr:rowOff>
    </xdr:to>
    <xdr:sp macro="" textlink="">
      <xdr:nvSpPr>
        <xdr:cNvPr id="9" name="Right Arrow 8">
          <a:extLst>
            <a:ext uri="{FF2B5EF4-FFF2-40B4-BE49-F238E27FC236}">
              <a16:creationId xmlns:a16="http://schemas.microsoft.com/office/drawing/2014/main" id="{3612B56B-1AD7-43D7-90FC-74C0405E9963}"/>
            </a:ext>
          </a:extLst>
        </xdr:cNvPr>
        <xdr:cNvSpPr/>
      </xdr:nvSpPr>
      <xdr:spPr>
        <a:xfrm>
          <a:off x="49389" y="333374"/>
          <a:ext cx="0" cy="98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3</xdr:row>
      <xdr:rowOff>28574</xdr:rowOff>
    </xdr:from>
    <xdr:to>
      <xdr:col>2</xdr:col>
      <xdr:colOff>800100</xdr:colOff>
      <xdr:row>3</xdr:row>
      <xdr:rowOff>171449</xdr:rowOff>
    </xdr:to>
    <xdr:sp macro="" textlink="">
      <xdr:nvSpPr>
        <xdr:cNvPr id="10" name="Right Arrow 9">
          <a:extLst>
            <a:ext uri="{FF2B5EF4-FFF2-40B4-BE49-F238E27FC236}">
              <a16:creationId xmlns:a16="http://schemas.microsoft.com/office/drawing/2014/main" id="{2E4CA77C-633E-4CF7-AA34-AA2275296512}"/>
            </a:ext>
          </a:extLst>
        </xdr:cNvPr>
        <xdr:cNvSpPr/>
      </xdr:nvSpPr>
      <xdr:spPr>
        <a:xfrm>
          <a:off x="2047875" y="63817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xdr:row>
      <xdr:rowOff>19049</xdr:rowOff>
    </xdr:from>
    <xdr:to>
      <xdr:col>2</xdr:col>
      <xdr:colOff>1057275</xdr:colOff>
      <xdr:row>3</xdr:row>
      <xdr:rowOff>180974</xdr:rowOff>
    </xdr:to>
    <xdr:sp macro="" textlink="">
      <xdr:nvSpPr>
        <xdr:cNvPr id="11" name="Right Arrow 10">
          <a:extLst>
            <a:ext uri="{FF2B5EF4-FFF2-40B4-BE49-F238E27FC236}">
              <a16:creationId xmlns:a16="http://schemas.microsoft.com/office/drawing/2014/main" id="{20521F28-28DE-45B4-AD2C-C72DA5F3A6BF}"/>
            </a:ext>
          </a:extLst>
        </xdr:cNvPr>
        <xdr:cNvSpPr/>
      </xdr:nvSpPr>
      <xdr:spPr>
        <a:xfrm>
          <a:off x="1790700" y="628649"/>
          <a:ext cx="276225" cy="136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2</xdr:row>
      <xdr:rowOff>0</xdr:rowOff>
    </xdr:from>
    <xdr:to>
      <xdr:col>7</xdr:col>
      <xdr:colOff>973667</xdr:colOff>
      <xdr:row>4</xdr:row>
      <xdr:rowOff>5117</xdr:rowOff>
    </xdr:to>
    <xdr:sp macro="" textlink="">
      <xdr:nvSpPr>
        <xdr:cNvPr id="12" name="Rounded Rectangle 11">
          <a:hlinkClick xmlns:r="http://schemas.openxmlformats.org/officeDocument/2006/relationships" r:id="rId1"/>
          <a:extLst>
            <a:ext uri="{FF2B5EF4-FFF2-40B4-BE49-F238E27FC236}">
              <a16:creationId xmlns:a16="http://schemas.microsoft.com/office/drawing/2014/main" id="{D42CE02B-6062-4F84-9574-E46B2F2EE59C}"/>
            </a:ext>
          </a:extLst>
        </xdr:cNvPr>
        <xdr:cNvSpPr/>
      </xdr:nvSpPr>
      <xdr:spPr>
        <a:xfrm>
          <a:off x="4464050" y="304800"/>
          <a:ext cx="973667" cy="4623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108.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85A6BBAB-8E5C-4016-8E3D-551C1F3005C0}"/>
            </a:ext>
          </a:extLst>
        </xdr:cNvPr>
        <xdr:cNvSpPr/>
      </xdr:nvSpPr>
      <xdr:spPr>
        <a:xfrm rot="10800000" flipH="1">
          <a:off x="205105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3" name="Right Arrow 2">
          <a:extLst>
            <a:ext uri="{FF2B5EF4-FFF2-40B4-BE49-F238E27FC236}">
              <a16:creationId xmlns:a16="http://schemas.microsoft.com/office/drawing/2014/main" id="{B27FA128-5B71-413A-ADB0-4B9A03B6AD27}"/>
            </a:ext>
          </a:extLst>
        </xdr:cNvPr>
        <xdr:cNvSpPr/>
      </xdr:nvSpPr>
      <xdr:spPr>
        <a:xfrm>
          <a:off x="2028825" y="48577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2</xdr:row>
      <xdr:rowOff>100013</xdr:rowOff>
    </xdr:from>
    <xdr:to>
      <xdr:col>2</xdr:col>
      <xdr:colOff>1247775</xdr:colOff>
      <xdr:row>2</xdr:row>
      <xdr:rowOff>145732</xdr:rowOff>
    </xdr:to>
    <xdr:sp macro="" textlink="">
      <xdr:nvSpPr>
        <xdr:cNvPr id="4" name="Right Arrow 3">
          <a:extLst>
            <a:ext uri="{FF2B5EF4-FFF2-40B4-BE49-F238E27FC236}">
              <a16:creationId xmlns:a16="http://schemas.microsoft.com/office/drawing/2014/main" id="{5FFC5DA9-B3BA-43A6-B18F-FE9B6F86F9E2}"/>
            </a:ext>
          </a:extLst>
        </xdr:cNvPr>
        <xdr:cNvSpPr/>
      </xdr:nvSpPr>
      <xdr:spPr>
        <a:xfrm rot="10800000" flipH="1">
          <a:off x="205105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1</xdr:row>
      <xdr:rowOff>0</xdr:rowOff>
    </xdr:from>
    <xdr:to>
      <xdr:col>7</xdr:col>
      <xdr:colOff>973667</xdr:colOff>
      <xdr:row>3</xdr:row>
      <xdr:rowOff>5117</xdr:rowOff>
    </xdr:to>
    <xdr:sp macro="" textlink="">
      <xdr:nvSpPr>
        <xdr:cNvPr id="5" name="Rounded Rectangle 4">
          <a:hlinkClick xmlns:r="http://schemas.openxmlformats.org/officeDocument/2006/relationships" r:id="rId1"/>
          <a:extLst>
            <a:ext uri="{FF2B5EF4-FFF2-40B4-BE49-F238E27FC236}">
              <a16:creationId xmlns:a16="http://schemas.microsoft.com/office/drawing/2014/main" id="{CD730920-91F8-44C9-8756-CCBDEB06F863}"/>
            </a:ext>
          </a:extLst>
        </xdr:cNvPr>
        <xdr:cNvSpPr/>
      </xdr:nvSpPr>
      <xdr:spPr>
        <a:xfrm>
          <a:off x="4108450" y="304800"/>
          <a:ext cx="973667" cy="3099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drawings/drawing109.xml><?xml version="1.0" encoding="utf-8"?>
<xdr:wsDr xmlns:xdr="http://schemas.openxmlformats.org/drawingml/2006/spreadsheetDrawing" xmlns:a="http://schemas.openxmlformats.org/drawingml/2006/main">
  <xdr:twoCellAnchor>
    <xdr:from>
      <xdr:col>2</xdr:col>
      <xdr:colOff>933450</xdr:colOff>
      <xdr:row>2</xdr:row>
      <xdr:rowOff>100013</xdr:rowOff>
    </xdr:from>
    <xdr:to>
      <xdr:col>2</xdr:col>
      <xdr:colOff>1247775</xdr:colOff>
      <xdr:row>2</xdr:row>
      <xdr:rowOff>145732</xdr:rowOff>
    </xdr:to>
    <xdr:sp macro="" textlink="">
      <xdr:nvSpPr>
        <xdr:cNvPr id="2" name="Right Arrow 1">
          <a:extLst>
            <a:ext uri="{FF2B5EF4-FFF2-40B4-BE49-F238E27FC236}">
              <a16:creationId xmlns:a16="http://schemas.microsoft.com/office/drawing/2014/main" id="{6586BD34-24F1-472F-86F3-EDB1CA8637EA}"/>
            </a:ext>
          </a:extLst>
        </xdr:cNvPr>
        <xdr:cNvSpPr/>
      </xdr:nvSpPr>
      <xdr:spPr>
        <a:xfrm rot="10800000" flipH="1">
          <a:off x="205105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2</xdr:row>
      <xdr:rowOff>28574</xdr:rowOff>
    </xdr:from>
    <xdr:to>
      <xdr:col>2</xdr:col>
      <xdr:colOff>800100</xdr:colOff>
      <xdr:row>2</xdr:row>
      <xdr:rowOff>171449</xdr:rowOff>
    </xdr:to>
    <xdr:sp macro="" textlink="">
      <xdr:nvSpPr>
        <xdr:cNvPr id="3" name="Right Arrow 2">
          <a:extLst>
            <a:ext uri="{FF2B5EF4-FFF2-40B4-BE49-F238E27FC236}">
              <a16:creationId xmlns:a16="http://schemas.microsoft.com/office/drawing/2014/main" id="{D8996553-7382-4E73-A280-0B2FE17C8E43}"/>
            </a:ext>
          </a:extLst>
        </xdr:cNvPr>
        <xdr:cNvSpPr/>
      </xdr:nvSpPr>
      <xdr:spPr>
        <a:xfrm>
          <a:off x="2028825" y="485774"/>
          <a:ext cx="222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933450</xdr:colOff>
      <xdr:row>2</xdr:row>
      <xdr:rowOff>100013</xdr:rowOff>
    </xdr:from>
    <xdr:to>
      <xdr:col>2</xdr:col>
      <xdr:colOff>1247775</xdr:colOff>
      <xdr:row>2</xdr:row>
      <xdr:rowOff>145732</xdr:rowOff>
    </xdr:to>
    <xdr:sp macro="" textlink="">
      <xdr:nvSpPr>
        <xdr:cNvPr id="4" name="Right Arrow 3">
          <a:extLst>
            <a:ext uri="{FF2B5EF4-FFF2-40B4-BE49-F238E27FC236}">
              <a16:creationId xmlns:a16="http://schemas.microsoft.com/office/drawing/2014/main" id="{E5384F3E-0829-47E1-B628-CCC076013574}"/>
            </a:ext>
          </a:extLst>
        </xdr:cNvPr>
        <xdr:cNvSpPr/>
      </xdr:nvSpPr>
      <xdr:spPr>
        <a:xfrm rot="10800000" flipH="1">
          <a:off x="2051050" y="557213"/>
          <a:ext cx="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1</xdr:row>
      <xdr:rowOff>0</xdr:rowOff>
    </xdr:from>
    <xdr:to>
      <xdr:col>7</xdr:col>
      <xdr:colOff>973667</xdr:colOff>
      <xdr:row>3</xdr:row>
      <xdr:rowOff>5117</xdr:rowOff>
    </xdr:to>
    <xdr:sp macro="" textlink="">
      <xdr:nvSpPr>
        <xdr:cNvPr id="5" name="Rounded Rectangle 4">
          <a:hlinkClick xmlns:r="http://schemas.openxmlformats.org/officeDocument/2006/relationships" r:id="rId1"/>
          <a:extLst>
            <a:ext uri="{FF2B5EF4-FFF2-40B4-BE49-F238E27FC236}">
              <a16:creationId xmlns:a16="http://schemas.microsoft.com/office/drawing/2014/main" id="{5055F5EE-F839-46C5-B5A6-8B0C013F4C89}"/>
            </a:ext>
          </a:extLst>
        </xdr:cNvPr>
        <xdr:cNvSpPr/>
      </xdr:nvSpPr>
      <xdr:spPr>
        <a:xfrm>
          <a:off x="4108450" y="304800"/>
          <a:ext cx="973667" cy="3099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index</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costing%20&amp;%20mis/costing/FY2017-18/PM%20Sir/COST-180226-020-1%20OG%20products%20(Cairns%20Tende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Cost%20Reduction/Data/2013/MAC%20HPS%20Tracker/HPS_Project%20Tracker_McPherson_7-9-1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Users/10002266/AppData/Local/Microsoft/Windows/INetCache/Content.Outlook/F32AUCS0/Technical%20Services%20-%20Bathinda%2020-21%20(Rev-3)-chemical%20norm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Users/10160403/AppData/Local/Microsoft/Windows/Temporary%20Internet%20Files/Content.Outlook/ADHKHZM8/Copy%20of%20McP%202015%20Capital%20Budget%20Prioritized%204-29-14.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Users/10000430/AppData/Local/Microsoft/Windows/INetCache/Content.Outlook/BK16DG45/yyyyyyy/DCU%20Important%20parameters.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10002047.old/Documents/2.%20working/Monitoring/CDU%20Key%20parameters_PHD%20-%20mail.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10002047.old/Documents/2.%20working/Monitoring/CDU%20yield%20fetching%20phd.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10002047.old/Documents/2.%20working/Monitoring/Wetting%20rate%20Monitoring%20sheet%20-%205m%20avg.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Z:/ADITYA%20VERMA/Cost%20Sheet/Cost%20Sheet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P-Pricing template-DK India"/>
      <sheetName val="Summary"/>
      <sheetName val="OG-5125= VH0645"/>
      <sheetName val="Mundra-DL 466"/>
      <sheetName val="OG-5204"/>
      <sheetName val="OG-5211(SS-0151)"/>
      <sheetName val="OG-5305"/>
      <sheetName val="OG-5304"/>
      <sheetName val="OG-5605"/>
      <sheetName val="OG-5803"/>
      <sheetName val="Imported rate"/>
      <sheetName val="Email 2"/>
      <sheetName val="Rate email"/>
      <sheetName val="frt"/>
      <sheetName val="Duty rate"/>
      <sheetName val="Mat"/>
      <sheetName val="email"/>
      <sheetName val="OG-5305 BOM"/>
      <sheetName val="BOM 5204"/>
      <sheetName val="Email-1"/>
      <sheetName val="BOM 5125"/>
      <sheetName val="BOM OG-5605"/>
      <sheetName val="BOM OG-5803"/>
      <sheetName val="TP-Pricing_template-DK_India3"/>
      <sheetName val="OG-5125=_VH06453"/>
      <sheetName val="Mundra-DL_4663"/>
      <sheetName val="Imported_rate3"/>
      <sheetName val="Email_23"/>
      <sheetName val="Rate_email3"/>
      <sheetName val="Duty_rate3"/>
      <sheetName val="OG-5305_BOM3"/>
      <sheetName val="BOM_52043"/>
      <sheetName val="BOM_51253"/>
      <sheetName val="BOM_OG-56053"/>
      <sheetName val="BOM_OG-58033"/>
      <sheetName val="TP-Pricing_template-DK_India"/>
      <sheetName val="OG-5125=_VH0645"/>
      <sheetName val="Mundra-DL_466"/>
      <sheetName val="Imported_rate"/>
      <sheetName val="Email_2"/>
      <sheetName val="Rate_email"/>
      <sheetName val="Duty_rate"/>
      <sheetName val="OG-5305_BOM"/>
      <sheetName val="BOM_5204"/>
      <sheetName val="BOM_5125"/>
      <sheetName val="BOM_OG-5605"/>
      <sheetName val="BOM_OG-5803"/>
      <sheetName val="TP-Pricing_template-DK_India1"/>
      <sheetName val="OG-5125=_VH06451"/>
      <sheetName val="Mundra-DL_4661"/>
      <sheetName val="Imported_rate1"/>
      <sheetName val="Email_21"/>
      <sheetName val="Rate_email1"/>
      <sheetName val="Duty_rate1"/>
      <sheetName val="OG-5305_BOM1"/>
      <sheetName val="BOM_52041"/>
      <sheetName val="BOM_51251"/>
      <sheetName val="BOM_OG-56051"/>
      <sheetName val="BOM_OG-58031"/>
      <sheetName val="TP-Pricing_template-DK_India2"/>
      <sheetName val="OG-5125=_VH06452"/>
      <sheetName val="Mundra-DL_4662"/>
      <sheetName val="Imported_rate2"/>
      <sheetName val="Email_22"/>
      <sheetName val="Rate_email2"/>
      <sheetName val="Duty_rate2"/>
      <sheetName val="OG-5305_BOM2"/>
      <sheetName val="BOM_52042"/>
      <sheetName val="BOM_51252"/>
      <sheetName val="BOM_OG-56052"/>
      <sheetName val="BOM_OG-58032"/>
      <sheetName val="TP-Pricing_template-DK_India11"/>
      <sheetName val="OG-5125=_VH064511"/>
      <sheetName val="Mundra-DL_46611"/>
      <sheetName val="Imported_rate11"/>
      <sheetName val="Email_211"/>
      <sheetName val="Rate_email11"/>
      <sheetName val="Duty_rate11"/>
      <sheetName val="OG-5305_BOM11"/>
      <sheetName val="BOM_520411"/>
      <sheetName val="BOM_512511"/>
      <sheetName val="BOM_OG-560511"/>
      <sheetName val="BOM_OG-580311"/>
      <sheetName val="TP-Pricing_template-DK_India5"/>
      <sheetName val="OG-5125=_VH06455"/>
      <sheetName val="Mundra-DL_4665"/>
      <sheetName val="Imported_rate5"/>
      <sheetName val="Email_25"/>
      <sheetName val="Rate_email5"/>
      <sheetName val="Duty_rate5"/>
      <sheetName val="OG-5305_BOM5"/>
      <sheetName val="BOM_52045"/>
      <sheetName val="BOM_51255"/>
      <sheetName val="BOM_OG-56055"/>
      <sheetName val="BOM_OG-58035"/>
      <sheetName val="TP-Pricing_template-DK_India4"/>
      <sheetName val="OG-5125=_VH06454"/>
      <sheetName val="Mundra-DL_4664"/>
      <sheetName val="Imported_rate4"/>
      <sheetName val="Email_24"/>
      <sheetName val="Rate_email4"/>
      <sheetName val="Duty_rate4"/>
      <sheetName val="OG-5305_BOM4"/>
      <sheetName val="BOM_52044"/>
      <sheetName val="BOM_51254"/>
      <sheetName val="BOM_OG-56054"/>
      <sheetName val="BOM_OG-58034"/>
      <sheetName val="TP-Pricing_template-DK_India6"/>
      <sheetName val="OG-5125=_VH06456"/>
      <sheetName val="Mundra-DL_4666"/>
      <sheetName val="Imported_rate6"/>
      <sheetName val="Email_26"/>
      <sheetName val="Rate_email6"/>
      <sheetName val="Duty_rate6"/>
      <sheetName val="OG-5305_BOM6"/>
      <sheetName val="BOM_52046"/>
      <sheetName val="BOM_51256"/>
      <sheetName val="BOM_OG-56056"/>
      <sheetName val="BOM_OG-58036"/>
      <sheetName val="TP-Pricing_template-DK_India7"/>
      <sheetName val="OG-5125=_VH06457"/>
      <sheetName val="Mundra-DL_4667"/>
      <sheetName val="Imported_rate7"/>
      <sheetName val="Email_27"/>
      <sheetName val="Rate_email7"/>
      <sheetName val="Duty_rate7"/>
      <sheetName val="OG-5305_BOM7"/>
      <sheetName val="BOM_52047"/>
      <sheetName val="BOM_51257"/>
      <sheetName val="BOM_OG-56057"/>
      <sheetName val="BOM_OG-58037"/>
      <sheetName val="TP-Pricing_template-DK_India8"/>
      <sheetName val="OG-5125=_VH06458"/>
      <sheetName val="Mundra-DL_4668"/>
      <sheetName val="Imported_rate8"/>
      <sheetName val="Email_28"/>
      <sheetName val="Rate_email8"/>
      <sheetName val="Duty_rate8"/>
      <sheetName val="OG-5305_BOM8"/>
      <sheetName val="BOM_52048"/>
      <sheetName val="BOM_51258"/>
      <sheetName val="BOM_OG-56058"/>
      <sheetName val="BOM_OG-58038"/>
      <sheetName val="TP-Pricing_template-DK_India9"/>
      <sheetName val="OG-5125=_VH06459"/>
      <sheetName val="Mundra-DL_4669"/>
      <sheetName val="Imported_rate9"/>
      <sheetName val="Email_29"/>
      <sheetName val="Rate_email9"/>
      <sheetName val="Duty_rate9"/>
      <sheetName val="OG-5305_BOM9"/>
      <sheetName val="BOM_52049"/>
      <sheetName val="BOM_51259"/>
      <sheetName val="BOM_OG-56059"/>
      <sheetName val="BOM_OG-58039"/>
      <sheetName val="TP-Pricing_template-DK_India10"/>
      <sheetName val="OG-5125=_VH064510"/>
      <sheetName val="Mundra-DL_46610"/>
      <sheetName val="Imported_rate10"/>
      <sheetName val="Email_210"/>
      <sheetName val="Rate_email10"/>
      <sheetName val="Duty_rate10"/>
      <sheetName val="OG-5305_BOM10"/>
      <sheetName val="BOM_520410"/>
      <sheetName val="BOM_512510"/>
      <sheetName val="BOM_OG-560510"/>
      <sheetName val="BOM_OG-58031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PS Tracking Matrix"/>
      <sheetName val="LookupTable"/>
      <sheetName val="Belts"/>
      <sheetName val="Dashboard"/>
      <sheetName val="Planned Savings"/>
      <sheetName val="Actual Savings"/>
      <sheetName val="Planned Aviodance"/>
      <sheetName val="Actual Avoidance"/>
    </sheetNames>
    <sheetDataSet>
      <sheetData sheetId="0"/>
      <sheetData sheetId="1"/>
      <sheetData sheetId="2"/>
      <sheetData sheetId="3"/>
      <sheetData sheetId="4"/>
      <sheetData sheetId="5"/>
      <sheetData sheetId="6"/>
      <sheetData sheetId="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
      <sheetName val="Instructions"/>
      <sheetName val="Dept Matrix"/>
      <sheetName val="Input B 19-20"/>
      <sheetName val="Input F 19-20"/>
      <sheetName val="Input B 20-21"/>
      <sheetName val="Bridge - 1"/>
      <sheetName val="Bridge - 2"/>
      <sheetName val="Summary"/>
      <sheetName val="Summary PPT"/>
      <sheetName val="Variance Budget to Forecast "/>
      <sheetName val="Final Variance"/>
      <sheetName val="Chemicals"/>
      <sheetName val="Variance Chemial &amp; catalyst "/>
      <sheetName val="Variance Env, RnM, Stores"/>
      <sheetName val="Catalyst"/>
      <sheetName val="PP &amp; FCC Catalyst"/>
      <sheetName val="Consultancy"/>
      <sheetName val="Sheet3"/>
      <sheetName val="Environmental Exp"/>
      <sheetName val="Chemical- PPT"/>
      <sheetName val="Catalyst PPT "/>
      <sheetName val="Sheet1"/>
      <sheetName val="R&amp;M"/>
      <sheetName val="Sheet4"/>
      <sheetName val="Sheet2"/>
      <sheetName val="Stores &amp; Spares"/>
      <sheetName val="Others"/>
      <sheetName val="Travel"/>
      <sheetName val="Training"/>
      <sheetName val="GL Codes"/>
      <sheetName val="Fund Centre"/>
      <sheetName val="Assumptions"/>
      <sheetName val="Scheme"/>
      <sheetName val="PPT (Chemicals)"/>
      <sheetName val="PPT (Consultancy)"/>
      <sheetName val="PPT (Environment)"/>
      <sheetName val="PPT (Stores &amp; Spares)"/>
      <sheetName val="PPT (R&amp;M)"/>
      <sheetName val="F 16-17  to B 17-18"/>
      <sheetName val="B 16-17 to F 16-1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Prioritization"/>
      <sheetName val=" Summary"/>
      <sheetName val="Quality"/>
      <sheetName val="Engineering"/>
      <sheetName val="MS&amp;T"/>
      <sheetName val="HDT"/>
      <sheetName val="R&amp;D"/>
      <sheetName val="MM"/>
      <sheetName val="Validation"/>
      <sheetName val="IT"/>
      <sheetName val="Manufacturing"/>
      <sheetName val="EHS"/>
      <sheetName val="Ranks"/>
      <sheetName val="Lists"/>
      <sheetName val="Next Prioritie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Material Balance"/>
      <sheetName val="Daily Skin TIs - F001A"/>
      <sheetName val="Daily Skin TIs - F001B"/>
      <sheetName val="Daily Report"/>
      <sheetName val="Daily Report (2)"/>
      <sheetName val="Charts"/>
      <sheetName val="Sheet4"/>
      <sheetName val="Sheet6"/>
      <sheetName val="Sheet7"/>
      <sheetName val="Sheet10"/>
      <sheetName val="Coke drum wall"/>
      <sheetName val="Sheet8"/>
      <sheetName val="Sheet9"/>
      <sheetName val="Material Balance (2)"/>
      <sheetName val="Absorber"/>
      <sheetName val="508PV4101C"/>
      <sheetName val="508PV2801B"/>
      <sheetName val="508TV4005"/>
      <sheetName val="508PV3601A"/>
      <sheetName val="508FV3602"/>
      <sheetName val="508FV3601"/>
      <sheetName val="508FV3403"/>
      <sheetName val="508FV3404"/>
      <sheetName val="508LV5201"/>
      <sheetName val="508LV3601"/>
      <sheetName val="CBD"/>
      <sheetName val="Sheet1"/>
      <sheetName val="Sheet2"/>
      <sheetName val="Coke drum Skin Temp"/>
      <sheetName val="Sheet3"/>
      <sheetName val="Sheet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U parameters"/>
      <sheetName val="Desalter chemical"/>
      <sheetName val="Main APC"/>
      <sheetName val="APC tags"/>
      <sheetName val="HAC monitoring"/>
      <sheetName val="passivation dosage rates"/>
      <sheetName val="Normal Dosage Rates"/>
      <sheetName val="Pump capacities"/>
      <sheetName val="Sheet2"/>
      <sheetName val="Sheet1"/>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1"/>
      <sheetName val="Sheet1"/>
    </sheetNames>
    <sheetDataSet>
      <sheetData sheetId="0" refreshError="1"/>
      <sheetData sheetId="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Sheet4"/>
    </sheetNames>
    <sheetDataSet>
      <sheetData sheetId="0"/>
      <sheetData sheetId="1"/>
      <sheetData sheetId="2"/>
      <sheetData sheetId="3"/>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RM sheet (2)"/>
      <sheetName val="Clean sheet dashboard (2)"/>
      <sheetName val="Index "/>
      <sheetName val="Clean sheet dashboard"/>
      <sheetName val="Input RM sheet"/>
      <sheetName val="EDC"/>
      <sheetName val="EDA"/>
      <sheetName val="EDA (2)"/>
      <sheetName val="TEPA"/>
      <sheetName val="CHROMIC ACID FLAKES"/>
      <sheetName val="Copper II Nitrate trihydrate"/>
      <sheetName val="DIETHANOL AMINE"/>
      <sheetName val="AEEA"/>
      <sheetName val="MonoEthanolamine"/>
      <sheetName val="MTMS"/>
      <sheetName val="ISOPHORONE"/>
      <sheetName val="ISOPHORONENITRILE"/>
      <sheetName val="IPDA"/>
      <sheetName val="P2O5"/>
      <sheetName val="DIMETHYLAMINE"/>
      <sheetName val="Dimethylethanolamine"/>
      <sheetName val="Nonyl phenol"/>
      <sheetName val="Phosphonic acid"/>
      <sheetName val="TEA"/>
      <sheetName val="Ethyl benzene"/>
      <sheetName val="Sheet1"/>
      <sheetName val="Maleic Anhydride"/>
      <sheetName val="MDA"/>
      <sheetName val="DETA EDA"/>
      <sheetName val="DETA"/>
      <sheetName val="PNCB"/>
      <sheetName val="Chloro Benzene"/>
      <sheetName val="PNA"/>
      <sheetName val="PANA"/>
      <sheetName val="Alpha Naphthylamine"/>
      <sheetName val="Hexylene Glycol-vendor"/>
      <sheetName val="Hexylene Glycol"/>
      <sheetName val="Diacetone alcohol "/>
      <sheetName val="DBNPA"/>
      <sheetName val="DNBA"/>
      <sheetName val="DTBP"/>
      <sheetName val="Paraformaldehyde"/>
      <sheetName val="60000CST"/>
      <sheetName val="Dichlorodimethylsilane"/>
      <sheetName val="CMIT"/>
      <sheetName val="IPA"/>
      <sheetName val="Ethyl Acetoacetate"/>
      <sheetName val="Acetylacetone"/>
      <sheetName val="TICL4"/>
      <sheetName val="Benzaldehyde"/>
      <sheetName val="Zirconium tetrachloride"/>
      <sheetName val="PIB"/>
      <sheetName val="PVA"/>
      <sheetName val="PEG"/>
      <sheetName val="ZINC OXIDE  -  ACTIVE"/>
      <sheetName val="DDSA TPSA"/>
      <sheetName val="Copper Sulphate "/>
      <sheetName val="Dodiflow 57501"/>
      <sheetName val="1-Decene"/>
      <sheetName val="Sheet4"/>
      <sheetName val="SOFA"/>
      <sheetName val="n-methylaniline"/>
      <sheetName val="N butanol"/>
      <sheetName val="2EH"/>
      <sheetName val="Butyl cellosolve"/>
      <sheetName val="Phthalic Anhydride"/>
      <sheetName val="Dimethyl sebacate "/>
      <sheetName val="Sheet8"/>
      <sheetName val="Sheet6"/>
      <sheetName val="tertiary butyl hydroquinone"/>
      <sheetName val="Butyl Acetate"/>
      <sheetName val="Glyoxal 40"/>
      <sheetName val="4-Dodecylphenol"/>
      <sheetName val="Methyl Carbitol"/>
      <sheetName val="2-Ethyl hexyl nitrate"/>
      <sheetName val="Butyl acrylate"/>
      <sheetName val="Butyl cellosolve (3)"/>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ow r="15">
          <cell r="A15" t="str">
            <v>Mar-w1</v>
          </cell>
        </row>
      </sheetData>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2</v>
    <v>1</v>
  </rv>
  <rv s="1">
    <v>2</v>
    <v>1</v>
  </rv>
</rvData>
</file>

<file path=xl/richData/rdrichvaluestructure.xml><?xml version="1.0" encoding="utf-8"?>
<rvStructures xmlns="http://schemas.microsoft.com/office/spreadsheetml/2017/richdata" count="2">
  <s t="_error">
    <k n="errorType" t="i"/>
    <k n="subType" t="i"/>
  </s>
  <s t="_error">
    <k n="errorType" t="i"/>
    <k n="propagated" t="b"/>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4.bin"/><Relationship Id="rId1" Type="http://schemas.openxmlformats.org/officeDocument/2006/relationships/hyperlink" Target="https://sulfur-price.com/today/india" TargetMode="External"/><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9.bin"/><Relationship Id="rId1" Type="http://schemas.openxmlformats.org/officeDocument/2006/relationships/hyperlink" Target="mailto:margin@10%25"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1.bin"/><Relationship Id="rId1" Type="http://schemas.openxmlformats.org/officeDocument/2006/relationships/hyperlink" Target="https://patents.justia.com/patent/8889914"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3.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5.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17.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18.bin"/></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19.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0.bin"/></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21.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2.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23.bin"/></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24.bin"/></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25.bin"/></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26.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27.bin"/></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28.bin"/></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29.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30.bin"/></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31.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32.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33.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34.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35.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36.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37.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39.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40.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41.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42.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43.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44.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45.bin"/></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11.xml.rels><?xml version="1.0" encoding="UTF-8" standalone="yes"?>
<Relationships xmlns="http://schemas.openxmlformats.org/package/2006/relationships"><Relationship Id="rId2" Type="http://schemas.openxmlformats.org/officeDocument/2006/relationships/drawing" Target="../drawings/drawing104.xml"/><Relationship Id="rId1" Type="http://schemas.openxmlformats.org/officeDocument/2006/relationships/printerSettings" Target="../printerSettings/printerSettings46.bin"/></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15.xml.rels><?xml version="1.0" encoding="UTF-8" standalone="yes"?>
<Relationships xmlns="http://schemas.openxmlformats.org/package/2006/relationships"><Relationship Id="rId2" Type="http://schemas.openxmlformats.org/officeDocument/2006/relationships/drawing" Target="../drawings/drawing108.xml"/><Relationship Id="rId1" Type="http://schemas.openxmlformats.org/officeDocument/2006/relationships/printerSettings" Target="../printerSettings/printerSettings47.bin"/></Relationships>
</file>

<file path=xl/worksheets/_rels/sheet116.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18"/>
  <sheetViews>
    <sheetView zoomScaleNormal="100" workbookViewId="0">
      <pane xSplit="4" ySplit="8" topLeftCell="BR9" activePane="bottomRight" state="frozen"/>
      <selection pane="topRight" activeCell="E1" sqref="E1"/>
      <selection pane="bottomLeft" activeCell="A8" sqref="A8"/>
      <selection pane="bottomRight" activeCell="BR4" sqref="BR4"/>
    </sheetView>
  </sheetViews>
  <sheetFormatPr baseColWidth="10" defaultColWidth="8.6640625" defaultRowHeight="11"/>
  <cols>
    <col min="1" max="1" width="20.5" style="44" bestFit="1" customWidth="1"/>
    <col min="2" max="2" width="38.5" style="44" customWidth="1"/>
    <col min="3" max="3" width="17.5" style="44" bestFit="1" customWidth="1"/>
    <col min="4" max="4" width="4.83203125" style="44" customWidth="1"/>
    <col min="5" max="5" width="7" style="44" bestFit="1" customWidth="1"/>
    <col min="6" max="29" width="7" style="44" customWidth="1"/>
    <col min="30" max="40" width="9.5" style="44" bestFit="1" customWidth="1"/>
    <col min="41" max="41" width="7.83203125" style="44" bestFit="1" customWidth="1"/>
    <col min="42" max="44" width="8.83203125" style="44" bestFit="1" customWidth="1"/>
    <col min="45" max="52" width="8.6640625" style="44"/>
    <col min="53" max="53" width="8.5" style="44" bestFit="1" customWidth="1"/>
    <col min="54" max="59" width="8.6640625" style="44"/>
    <col min="60" max="60" width="8.6640625" style="174"/>
    <col min="61" max="66" width="8.6640625" style="44"/>
    <col min="67" max="67" width="10.6640625" style="44" bestFit="1" customWidth="1"/>
    <col min="68" max="69" width="9.5" style="44" bestFit="1" customWidth="1"/>
    <col min="70" max="70" width="8.6640625" style="174"/>
    <col min="71" max="16384" width="8.6640625" style="44"/>
  </cols>
  <sheetData>
    <row r="1" spans="1:75" ht="16.5" customHeight="1">
      <c r="A1" s="233" t="s">
        <v>0</v>
      </c>
      <c r="B1" s="234" t="s">
        <v>1</v>
      </c>
      <c r="C1" s="235" t="s">
        <v>2</v>
      </c>
      <c r="F1" s="184">
        <v>71.288635483870962</v>
      </c>
      <c r="G1" s="184">
        <v>71.551458620689672</v>
      </c>
      <c r="H1" s="184">
        <v>74.453006451612936</v>
      </c>
      <c r="I1" s="184">
        <v>76.251620000000003</v>
      </c>
      <c r="J1" s="184">
        <v>75.626248387096766</v>
      </c>
      <c r="K1" s="184">
        <v>75.745880000000014</v>
      </c>
      <c r="L1" s="184">
        <v>74.924238709677397</v>
      </c>
      <c r="M1" s="184">
        <v>74.586893548387096</v>
      </c>
      <c r="N1" s="184">
        <v>73.533860000000018</v>
      </c>
      <c r="O1" s="184">
        <v>73.517161290322591</v>
      </c>
      <c r="P1" s="184">
        <v>74.232196666666638</v>
      </c>
      <c r="Q1" s="184">
        <v>73.731764285714277</v>
      </c>
      <c r="R1" s="184">
        <v>73.13</v>
      </c>
      <c r="S1" s="184">
        <v>72.8</v>
      </c>
      <c r="T1" s="184">
        <v>72.8</v>
      </c>
      <c r="U1" s="184">
        <v>74.45</v>
      </c>
      <c r="V1" s="184">
        <v>73.25</v>
      </c>
      <c r="W1" s="184">
        <v>73.540000000000006</v>
      </c>
      <c r="X1" s="184">
        <v>74.53</v>
      </c>
      <c r="Y1" s="184">
        <v>74.16</v>
      </c>
      <c r="Z1" s="184">
        <v>73.55</v>
      </c>
      <c r="AA1" s="184">
        <v>74.91</v>
      </c>
      <c r="AB1" s="184">
        <v>74.47</v>
      </c>
      <c r="AC1" s="184">
        <v>75.42</v>
      </c>
      <c r="AD1" s="184">
        <v>74.45</v>
      </c>
      <c r="AE1" s="184">
        <v>74.959999999999994</v>
      </c>
      <c r="AF1" s="184">
        <v>76.209999999999994</v>
      </c>
      <c r="AG1" s="184">
        <v>76.410525000000007</v>
      </c>
      <c r="AH1" s="184">
        <v>77.31927499999999</v>
      </c>
      <c r="AI1" s="184">
        <v>78.074577272727254</v>
      </c>
      <c r="AJ1" s="184">
        <v>79.60155238095237</v>
      </c>
      <c r="AK1" s="184">
        <v>79.546933333333328</v>
      </c>
      <c r="AL1" s="184">
        <v>80.231554545454557</v>
      </c>
      <c r="AM1" s="184">
        <v>82.340116666666688</v>
      </c>
      <c r="AN1" s="184">
        <v>81.810519047619053</v>
      </c>
      <c r="AO1" s="184">
        <v>82.464213636363624</v>
      </c>
      <c r="AP1" s="184">
        <v>81.899590476190468</v>
      </c>
      <c r="AQ1" s="184">
        <v>82.121650000000002</v>
      </c>
      <c r="AR1" s="184">
        <v>82.121650000000002</v>
      </c>
      <c r="AS1" s="184">
        <v>82.121650000000002</v>
      </c>
      <c r="AT1" s="184">
        <v>82.121650000000002</v>
      </c>
      <c r="AU1" s="213">
        <v>82.5</v>
      </c>
      <c r="AV1" s="213">
        <v>82.44</v>
      </c>
      <c r="AW1" s="213">
        <v>82.18</v>
      </c>
      <c r="AX1" s="213">
        <v>81.92</v>
      </c>
      <c r="AY1" s="213">
        <v>82.26</v>
      </c>
      <c r="AZ1" s="213">
        <v>82.83</v>
      </c>
      <c r="BA1" s="213">
        <v>83.25</v>
      </c>
      <c r="BB1" s="213">
        <v>83.25</v>
      </c>
      <c r="BC1" s="213">
        <v>82.65</v>
      </c>
      <c r="BD1" s="213">
        <v>83.05</v>
      </c>
      <c r="BE1" s="213">
        <v>82.94</v>
      </c>
      <c r="BF1" s="213">
        <v>82.93</v>
      </c>
      <c r="BG1" s="213">
        <v>83.26</v>
      </c>
      <c r="BH1" s="270">
        <v>83.22</v>
      </c>
      <c r="BI1" s="213">
        <v>83.25</v>
      </c>
      <c r="BJ1" s="213">
        <v>83.12</v>
      </c>
      <c r="BK1" s="213">
        <v>83.26</v>
      </c>
      <c r="BL1" s="213">
        <v>83.22</v>
      </c>
      <c r="BM1" s="213">
        <v>83.19</v>
      </c>
      <c r="BN1" s="213">
        <v>83.19</v>
      </c>
      <c r="BO1" s="213">
        <v>83.33</v>
      </c>
      <c r="BP1" s="213">
        <v>83.4</v>
      </c>
      <c r="BQ1" s="213">
        <v>83.36</v>
      </c>
      <c r="BR1" s="270">
        <v>83.24</v>
      </c>
      <c r="BS1" s="213">
        <v>83.32</v>
      </c>
      <c r="BT1" s="44">
        <v>83.14</v>
      </c>
      <c r="BU1" s="44">
        <v>83.15</v>
      </c>
      <c r="BV1" s="44">
        <v>83.25</v>
      </c>
    </row>
    <row r="2" spans="1:75" ht="17.25" customHeight="1">
      <c r="A2" s="236" t="s">
        <v>0</v>
      </c>
      <c r="B2" s="237" t="s">
        <v>3</v>
      </c>
      <c r="AD2" s="238">
        <v>11.5</v>
      </c>
      <c r="AE2" s="238">
        <v>11.5</v>
      </c>
      <c r="AF2" s="238">
        <v>11.5</v>
      </c>
      <c r="AG2" s="238">
        <v>11.5</v>
      </c>
      <c r="AH2" s="238">
        <v>11.5</v>
      </c>
      <c r="AI2" s="175">
        <v>11.660071428571428</v>
      </c>
      <c r="AJ2" s="175">
        <v>11.807161290322579</v>
      </c>
      <c r="AK2" s="175">
        <v>11.692709677419355</v>
      </c>
      <c r="AL2" s="175">
        <v>11.438966666666666</v>
      </c>
      <c r="AM2" s="175">
        <v>11.442064516129033</v>
      </c>
      <c r="AN2" s="175">
        <v>11.363931034482757</v>
      </c>
    </row>
    <row r="3" spans="1:75" ht="17.25" customHeight="1">
      <c r="A3" s="236"/>
      <c r="B3" s="237" t="s">
        <v>4</v>
      </c>
      <c r="F3" s="240">
        <v>6.9367000000000001</v>
      </c>
      <c r="G3" s="239">
        <v>6.9919000000000002</v>
      </c>
      <c r="H3" s="239">
        <v>7.0824999999999996</v>
      </c>
      <c r="I3" s="240">
        <v>7.0621999999999998</v>
      </c>
      <c r="J3" s="239">
        <v>7.1372</v>
      </c>
      <c r="K3" s="240">
        <v>7.0655000000000001</v>
      </c>
      <c r="L3" s="240">
        <v>6.9752000000000001</v>
      </c>
      <c r="M3" s="240">
        <v>6.8483999999999998</v>
      </c>
      <c r="N3" s="240">
        <v>6.7907999999999999</v>
      </c>
      <c r="O3" s="240">
        <v>6.6927000000000003</v>
      </c>
      <c r="P3" s="240">
        <v>6.5789</v>
      </c>
      <c r="Q3" s="240">
        <v>6.5266999999999999</v>
      </c>
      <c r="R3" s="240">
        <v>6.4276999999999997</v>
      </c>
      <c r="S3" s="239">
        <v>6.4751000000000003</v>
      </c>
      <c r="T3" s="239">
        <v>6.5526</v>
      </c>
      <c r="U3" s="240">
        <v>6.4734999999999996</v>
      </c>
      <c r="V3" s="240">
        <v>6.37</v>
      </c>
      <c r="W3" s="239">
        <v>6.4572000000000003</v>
      </c>
      <c r="X3" s="239">
        <v>6.4614000000000003</v>
      </c>
      <c r="Y3" s="240">
        <v>6.4607000000000001</v>
      </c>
      <c r="Z3" s="240">
        <v>6.4466000000000001</v>
      </c>
      <c r="AA3" s="240">
        <v>6.4058000000000002</v>
      </c>
      <c r="AB3" s="240">
        <v>6.3643000000000001</v>
      </c>
      <c r="AC3" s="240">
        <v>6.3560999999999996</v>
      </c>
      <c r="AD3" s="239">
        <v>6.3609999999999998</v>
      </c>
      <c r="AE3" s="240">
        <v>6.3093000000000004</v>
      </c>
      <c r="AF3" s="239">
        <v>6.34</v>
      </c>
      <c r="AG3" s="239">
        <v>6.6085000000000003</v>
      </c>
      <c r="AH3" s="239">
        <v>6.6719999999999997</v>
      </c>
      <c r="AI3" s="239">
        <v>6.6993</v>
      </c>
      <c r="AJ3" s="239">
        <v>6.7442000000000002</v>
      </c>
      <c r="AK3" s="239">
        <v>6.8903999999999996</v>
      </c>
      <c r="AL3" s="239">
        <v>7.1135000000000002</v>
      </c>
      <c r="AM3" s="239">
        <v>7.3014999999999999</v>
      </c>
      <c r="AN3" s="240">
        <v>7.0879000000000003</v>
      </c>
      <c r="AO3" s="240">
        <v>6.8971999999999998</v>
      </c>
      <c r="AP3" s="240">
        <v>6.7546999999999997</v>
      </c>
      <c r="AQ3" s="239">
        <v>6.9333999999999998</v>
      </c>
      <c r="AR3" s="239">
        <v>6.9668000000000001</v>
      </c>
      <c r="AS3" s="239">
        <v>6.89</v>
      </c>
      <c r="AT3" s="239">
        <v>7.03</v>
      </c>
      <c r="AU3" s="44">
        <v>7.14</v>
      </c>
      <c r="AV3" s="44">
        <v>7.25</v>
      </c>
      <c r="AW3" s="44">
        <v>7.25</v>
      </c>
      <c r="AX3" s="44">
        <v>7.2</v>
      </c>
      <c r="AY3" s="44">
        <v>7.15</v>
      </c>
      <c r="AZ3" s="44">
        <v>7.23</v>
      </c>
      <c r="BA3" s="44">
        <v>7.27</v>
      </c>
      <c r="BB3" s="44">
        <v>7.29</v>
      </c>
      <c r="BC3" s="44">
        <v>7.29</v>
      </c>
      <c r="BD3" s="44">
        <v>7.31</v>
      </c>
      <c r="BE3" s="44">
        <v>7.29</v>
      </c>
      <c r="BF3" s="44">
        <v>7.3</v>
      </c>
      <c r="BG3" s="44">
        <v>7.3</v>
      </c>
      <c r="BH3" s="44">
        <v>7.3</v>
      </c>
      <c r="BI3" s="44">
        <v>7.2</v>
      </c>
      <c r="BJ3" s="44">
        <v>7.31</v>
      </c>
      <c r="BK3" s="44">
        <v>7.32</v>
      </c>
      <c r="BL3" s="44">
        <v>7.27</v>
      </c>
      <c r="BM3" s="44">
        <v>7.26</v>
      </c>
      <c r="BN3" s="44">
        <v>7.26</v>
      </c>
      <c r="BO3" s="44">
        <v>7.1</v>
      </c>
      <c r="BP3" s="44">
        <v>7.14</v>
      </c>
      <c r="BQ3" s="44">
        <v>7.09</v>
      </c>
      <c r="BR3" s="174">
        <v>7.15</v>
      </c>
      <c r="BS3" s="44">
        <v>7.09</v>
      </c>
      <c r="BT3" s="44">
        <v>7.1</v>
      </c>
      <c r="BU3" s="44">
        <v>7.1</v>
      </c>
      <c r="BV3" s="44">
        <v>7.12</v>
      </c>
    </row>
    <row r="4" spans="1:75" s="243" customFormat="1">
      <c r="A4" s="241" t="s">
        <v>5</v>
      </c>
      <c r="B4" s="241" t="s">
        <v>5</v>
      </c>
      <c r="C4" s="241" t="s">
        <v>6</v>
      </c>
      <c r="D4" s="241" t="s">
        <v>7</v>
      </c>
      <c r="E4" s="241" t="s">
        <v>8</v>
      </c>
      <c r="F4" s="242">
        <v>43831</v>
      </c>
      <c r="G4" s="242">
        <v>43862</v>
      </c>
      <c r="H4" s="242">
        <v>43891</v>
      </c>
      <c r="I4" s="242">
        <v>43922</v>
      </c>
      <c r="J4" s="242">
        <v>43952</v>
      </c>
      <c r="K4" s="242">
        <v>43983</v>
      </c>
      <c r="L4" s="242">
        <v>44013</v>
      </c>
      <c r="M4" s="242">
        <v>44044</v>
      </c>
      <c r="N4" s="242">
        <v>44075</v>
      </c>
      <c r="O4" s="242">
        <v>44105</v>
      </c>
      <c r="P4" s="242">
        <v>44136</v>
      </c>
      <c r="Q4" s="242">
        <v>44166</v>
      </c>
      <c r="R4" s="242">
        <v>44197</v>
      </c>
      <c r="S4" s="242">
        <v>44228</v>
      </c>
      <c r="T4" s="242">
        <v>44256</v>
      </c>
      <c r="U4" s="242">
        <v>44287</v>
      </c>
      <c r="V4" s="242">
        <v>44317</v>
      </c>
      <c r="W4" s="242">
        <v>44348</v>
      </c>
      <c r="X4" s="242">
        <v>44378</v>
      </c>
      <c r="Y4" s="242">
        <v>44409</v>
      </c>
      <c r="Z4" s="242">
        <v>44440</v>
      </c>
      <c r="AA4" s="242">
        <v>44470</v>
      </c>
      <c r="AB4" s="242">
        <v>44501</v>
      </c>
      <c r="AC4" s="242">
        <v>44531</v>
      </c>
      <c r="AD4" s="242">
        <v>44562</v>
      </c>
      <c r="AE4" s="242">
        <v>44593</v>
      </c>
      <c r="AF4" s="242">
        <v>44621</v>
      </c>
      <c r="AG4" s="242">
        <v>44652</v>
      </c>
      <c r="AH4" s="242">
        <v>44682</v>
      </c>
      <c r="AI4" s="242">
        <v>44713</v>
      </c>
      <c r="AJ4" s="242">
        <v>44743</v>
      </c>
      <c r="AK4" s="242">
        <v>44774</v>
      </c>
      <c r="AL4" s="242">
        <v>44805</v>
      </c>
      <c r="AM4" s="242">
        <v>44835</v>
      </c>
      <c r="AN4" s="242">
        <v>44866</v>
      </c>
      <c r="AO4" s="242">
        <v>44896</v>
      </c>
      <c r="AP4" s="242">
        <v>44927</v>
      </c>
      <c r="AQ4" s="242">
        <v>44958</v>
      </c>
      <c r="AR4" s="242">
        <v>44986</v>
      </c>
      <c r="AS4" s="242">
        <v>45017</v>
      </c>
      <c r="AT4" s="242">
        <v>45047</v>
      </c>
      <c r="AU4" s="242">
        <v>45078</v>
      </c>
      <c r="AV4" s="242" t="s">
        <v>9</v>
      </c>
      <c r="AW4" s="242" t="s">
        <v>10</v>
      </c>
      <c r="AX4" s="242" t="s">
        <v>11</v>
      </c>
      <c r="AY4" s="242" t="s">
        <v>12</v>
      </c>
      <c r="AZ4" s="242" t="s">
        <v>13</v>
      </c>
      <c r="BA4" s="242" t="s">
        <v>14</v>
      </c>
      <c r="BB4" s="242" t="s">
        <v>15</v>
      </c>
      <c r="BC4" s="242" t="s">
        <v>16</v>
      </c>
      <c r="BD4" s="242" t="s">
        <v>17</v>
      </c>
      <c r="BE4" s="242" t="s">
        <v>18</v>
      </c>
      <c r="BF4" s="269" t="s">
        <v>19</v>
      </c>
      <c r="BG4" s="269" t="s">
        <v>20</v>
      </c>
      <c r="BH4" s="269" t="s">
        <v>21</v>
      </c>
      <c r="BI4" s="269" t="s">
        <v>22</v>
      </c>
      <c r="BJ4" s="281" t="s">
        <v>23</v>
      </c>
      <c r="BK4" s="269" t="s">
        <v>24</v>
      </c>
      <c r="BL4" s="269" t="s">
        <v>25</v>
      </c>
      <c r="BM4" s="269" t="s">
        <v>26</v>
      </c>
      <c r="BN4" s="269" t="s">
        <v>27</v>
      </c>
      <c r="BO4" s="269" t="s">
        <v>28</v>
      </c>
      <c r="BP4" s="269">
        <v>37226</v>
      </c>
      <c r="BQ4" s="269">
        <v>37591</v>
      </c>
      <c r="BR4" s="269">
        <v>37956</v>
      </c>
      <c r="BS4" s="269">
        <v>38322</v>
      </c>
      <c r="BT4" s="269">
        <v>36892</v>
      </c>
      <c r="BU4" s="269">
        <v>37257</v>
      </c>
      <c r="BV4" s="269">
        <v>37622</v>
      </c>
      <c r="BW4" s="269">
        <v>37987</v>
      </c>
    </row>
    <row r="5" spans="1:75">
      <c r="A5" s="178" t="str">
        <f t="shared" ref="A5:A50" si="0">CONCATENATE(C5,D5)</f>
        <v>Silicon MetalRMB</v>
      </c>
      <c r="B5" s="178" t="s">
        <v>29</v>
      </c>
      <c r="C5" s="178" t="s">
        <v>30</v>
      </c>
      <c r="D5" s="178" t="s">
        <v>31</v>
      </c>
      <c r="E5" s="178" t="s">
        <v>32</v>
      </c>
      <c r="F5" s="214"/>
      <c r="G5" s="214"/>
      <c r="H5" s="214"/>
      <c r="I5" s="214"/>
      <c r="J5" s="214"/>
      <c r="K5" s="214"/>
      <c r="L5" s="214"/>
      <c r="M5" s="214"/>
      <c r="N5" s="214"/>
      <c r="O5" s="214"/>
      <c r="P5" s="214"/>
      <c r="Q5" s="214"/>
      <c r="R5" s="214">
        <v>13530</v>
      </c>
      <c r="S5" s="214">
        <v>13663</v>
      </c>
      <c r="T5" s="214">
        <v>13810</v>
      </c>
      <c r="U5" s="214">
        <v>13218</v>
      </c>
      <c r="V5" s="214">
        <v>13586</v>
      </c>
      <c r="W5" s="214">
        <v>14143</v>
      </c>
      <c r="X5" s="214">
        <v>14560</v>
      </c>
      <c r="Y5" s="214">
        <v>19197</v>
      </c>
      <c r="Z5" s="214">
        <v>36220</v>
      </c>
      <c r="AA5" s="214">
        <v>52534.226071428573</v>
      </c>
      <c r="AB5" s="214">
        <v>30622.559642857141</v>
      </c>
      <c r="AC5" s="214">
        <v>23048</v>
      </c>
      <c r="AD5" s="215">
        <v>20875.714285714286</v>
      </c>
      <c r="AE5" s="215">
        <v>21182.142857142859</v>
      </c>
      <c r="AF5" s="215">
        <v>23195.714285714283</v>
      </c>
      <c r="AG5" s="215">
        <v>21068.785714285717</v>
      </c>
      <c r="AH5" s="215">
        <v>19756.547619047618</v>
      </c>
      <c r="AI5" s="215">
        <v>18003.142857142855</v>
      </c>
      <c r="AJ5" s="215">
        <v>17969.642857142855</v>
      </c>
      <c r="AK5" s="215">
        <v>20006.071428571428</v>
      </c>
      <c r="AL5" s="215">
        <v>20600.571428571428</v>
      </c>
      <c r="AM5" s="215">
        <v>21531.785714285714</v>
      </c>
      <c r="AN5" s="215">
        <v>21017.857142857145</v>
      </c>
      <c r="AO5" s="215">
        <v>19713.428571428572</v>
      </c>
      <c r="AP5" s="215">
        <v>18632.142857142855</v>
      </c>
      <c r="AQ5" s="215">
        <v>17953.928571428572</v>
      </c>
      <c r="AR5" s="215">
        <v>17638.607843137255</v>
      </c>
      <c r="AS5" s="214">
        <v>16140</v>
      </c>
      <c r="AT5" s="214">
        <v>15680</v>
      </c>
      <c r="AU5" s="214">
        <v>13610</v>
      </c>
      <c r="AV5" s="214">
        <v>13740</v>
      </c>
      <c r="AW5" s="214">
        <v>13740</v>
      </c>
      <c r="AX5" s="214">
        <v>13630</v>
      </c>
      <c r="AY5" s="214">
        <v>13630</v>
      </c>
      <c r="AZ5" s="214">
        <v>13630</v>
      </c>
      <c r="BA5" s="214">
        <v>13630</v>
      </c>
      <c r="BB5" s="214">
        <v>14050</v>
      </c>
      <c r="BC5" s="214">
        <v>14410</v>
      </c>
      <c r="BD5" s="214">
        <v>14410</v>
      </c>
      <c r="BE5" s="214">
        <v>15270</v>
      </c>
      <c r="BF5" s="214">
        <v>15480</v>
      </c>
      <c r="BG5" s="214">
        <v>15270</v>
      </c>
      <c r="BH5" s="214">
        <v>15840</v>
      </c>
      <c r="BI5" s="214">
        <v>15800</v>
      </c>
      <c r="BJ5" s="214">
        <v>15650</v>
      </c>
      <c r="BK5" s="214">
        <v>15500</v>
      </c>
      <c r="BL5" s="214">
        <v>15420</v>
      </c>
      <c r="BM5" s="214">
        <v>15180</v>
      </c>
      <c r="BN5" s="214">
        <v>15180</v>
      </c>
      <c r="BO5" s="300">
        <v>15180</v>
      </c>
      <c r="BP5" s="214">
        <v>15210</v>
      </c>
      <c r="BQ5" s="214">
        <v>15260</v>
      </c>
      <c r="BR5" s="214">
        <v>15260</v>
      </c>
      <c r="BS5" s="300">
        <v>15620</v>
      </c>
      <c r="BT5" s="300">
        <v>15610</v>
      </c>
      <c r="BU5" s="214">
        <v>15560</v>
      </c>
      <c r="BV5" s="214">
        <v>15390</v>
      </c>
      <c r="BW5" s="178"/>
    </row>
    <row r="6" spans="1:75">
      <c r="A6" s="178" t="str">
        <f t="shared" si="0"/>
        <v>Silicon MetalUSD</v>
      </c>
      <c r="B6" s="178" t="s">
        <v>29</v>
      </c>
      <c r="C6" s="178" t="s">
        <v>30</v>
      </c>
      <c r="D6" s="178" t="s">
        <v>33</v>
      </c>
      <c r="E6" s="178" t="s">
        <v>34</v>
      </c>
      <c r="F6" s="216">
        <f>(F5/1000)/F3</f>
        <v>0</v>
      </c>
      <c r="G6" s="216">
        <f t="shared" ref="G6:Q6" si="1">(G5/1000)/G3</f>
        <v>0</v>
      </c>
      <c r="H6" s="216">
        <f t="shared" si="1"/>
        <v>0</v>
      </c>
      <c r="I6" s="216">
        <f t="shared" si="1"/>
        <v>0</v>
      </c>
      <c r="J6" s="216">
        <f t="shared" si="1"/>
        <v>0</v>
      </c>
      <c r="K6" s="216">
        <f t="shared" si="1"/>
        <v>0</v>
      </c>
      <c r="L6" s="216">
        <f t="shared" si="1"/>
        <v>0</v>
      </c>
      <c r="M6" s="216">
        <f t="shared" si="1"/>
        <v>0</v>
      </c>
      <c r="N6" s="216">
        <f t="shared" si="1"/>
        <v>0</v>
      </c>
      <c r="O6" s="216">
        <f t="shared" si="1"/>
        <v>0</v>
      </c>
      <c r="P6" s="216">
        <f t="shared" si="1"/>
        <v>0</v>
      </c>
      <c r="Q6" s="216">
        <f t="shared" si="1"/>
        <v>0</v>
      </c>
      <c r="R6" s="216">
        <f>(((R5/1.13)/R3)/1000)</f>
        <v>1.8627893846062558</v>
      </c>
      <c r="S6" s="216">
        <f t="shared" ref="S6:BM6" si="2">(((S5/1.13)/S3)/1000)</f>
        <v>1.8673303026173924</v>
      </c>
      <c r="T6" s="216">
        <f t="shared" si="2"/>
        <v>1.8650976616996457</v>
      </c>
      <c r="U6" s="216">
        <f t="shared" si="2"/>
        <v>1.8069583892397256</v>
      </c>
      <c r="V6" s="216">
        <f t="shared" si="2"/>
        <v>1.8874425195537712</v>
      </c>
      <c r="W6" s="216">
        <f t="shared" si="2"/>
        <v>1.9382904670042471</v>
      </c>
      <c r="X6" s="216">
        <f t="shared" si="2"/>
        <v>1.9941430266215356</v>
      </c>
      <c r="Y6" s="216">
        <f t="shared" si="2"/>
        <v>2.629513144894708</v>
      </c>
      <c r="Z6" s="216">
        <f t="shared" si="2"/>
        <v>4.972093405071317</v>
      </c>
      <c r="AA6" s="216">
        <f t="shared" si="2"/>
        <v>7.2575580801674722</v>
      </c>
      <c r="AB6" s="216">
        <f t="shared" si="2"/>
        <v>4.2580661350680202</v>
      </c>
      <c r="AC6" s="216">
        <f t="shared" si="2"/>
        <v>3.2089583513461331</v>
      </c>
      <c r="AD6" s="216">
        <f t="shared" si="2"/>
        <v>2.904273453652761</v>
      </c>
      <c r="AE6" s="216">
        <f t="shared" si="2"/>
        <v>2.9710521239461034</v>
      </c>
      <c r="AF6" s="216">
        <f t="shared" si="2"/>
        <v>3.2377256756810651</v>
      </c>
      <c r="AG6" s="216">
        <f t="shared" si="2"/>
        <v>2.8213578134201951</v>
      </c>
      <c r="AH6" s="216">
        <f t="shared" si="2"/>
        <v>2.6204542055356983</v>
      </c>
      <c r="AI6" s="216">
        <f t="shared" si="2"/>
        <v>2.3781566476094458</v>
      </c>
      <c r="AJ6" s="216">
        <f t="shared" si="2"/>
        <v>2.3579281177353648</v>
      </c>
      <c r="AK6" s="216">
        <f t="shared" si="2"/>
        <v>2.5694427014231715</v>
      </c>
      <c r="AL6" s="216">
        <f t="shared" si="2"/>
        <v>2.5628163610847663</v>
      </c>
      <c r="AM6" s="216">
        <f t="shared" si="2"/>
        <v>2.6096935730003006</v>
      </c>
      <c r="AN6" s="216">
        <f t="shared" si="2"/>
        <v>2.6241726855274043</v>
      </c>
      <c r="AO6" s="216">
        <f t="shared" si="2"/>
        <v>2.5293614814872392</v>
      </c>
      <c r="AP6" s="216">
        <f t="shared" si="2"/>
        <v>2.4410591140200979</v>
      </c>
      <c r="AQ6" s="216">
        <f t="shared" si="2"/>
        <v>2.2915787873332105</v>
      </c>
      <c r="AR6" s="216">
        <f t="shared" si="2"/>
        <v>2.2405390526214162</v>
      </c>
      <c r="AS6" s="216">
        <f t="shared" si="2"/>
        <v>2.073031326662985</v>
      </c>
      <c r="AT6" s="216">
        <f t="shared" si="2"/>
        <v>1.973841563967321</v>
      </c>
      <c r="AU6" s="216">
        <f t="shared" si="2"/>
        <v>1.6868694380407032</v>
      </c>
      <c r="AV6" s="216">
        <f t="shared" si="2"/>
        <v>1.6771437290204458</v>
      </c>
      <c r="AW6" s="216">
        <f t="shared" si="2"/>
        <v>1.6771437290204458</v>
      </c>
      <c r="AX6" s="216">
        <f t="shared" si="2"/>
        <v>1.6752704031465095</v>
      </c>
      <c r="AY6" s="216">
        <f t="shared" si="2"/>
        <v>1.6869855807908907</v>
      </c>
      <c r="AZ6" s="216">
        <f t="shared" si="2"/>
        <v>1.6683190736728726</v>
      </c>
      <c r="BA6" s="216">
        <f t="shared" si="2"/>
        <v>1.6591398765687579</v>
      </c>
      <c r="BB6" s="216">
        <f t="shared" si="2"/>
        <v>1.7055731575561139</v>
      </c>
      <c r="BC6" s="216">
        <f t="shared" si="2"/>
        <v>1.7492746761838864</v>
      </c>
      <c r="BD6" s="216">
        <f t="shared" si="2"/>
        <v>1.7444886989576653</v>
      </c>
      <c r="BE6" s="216">
        <f t="shared" si="2"/>
        <v>1.8536727484613427</v>
      </c>
      <c r="BF6" s="216">
        <f t="shared" si="2"/>
        <v>1.8765911019517518</v>
      </c>
      <c r="BG6" s="216">
        <f t="shared" si="2"/>
        <v>1.8511334707237246</v>
      </c>
      <c r="BH6" s="216">
        <f t="shared" si="2"/>
        <v>1.9202327554855136</v>
      </c>
      <c r="BI6" s="216">
        <f t="shared" si="2"/>
        <v>1.9419862340216323</v>
      </c>
      <c r="BJ6" s="216">
        <f t="shared" si="2"/>
        <v>1.8946043121920515</v>
      </c>
      <c r="BK6" s="216">
        <f t="shared" si="2"/>
        <v>1.8738817157502781</v>
      </c>
      <c r="BL6" s="216">
        <f>(((BL5/1.13)/BL3)/1000)</f>
        <v>1.877031320373459</v>
      </c>
      <c r="BM6" s="216">
        <f t="shared" si="2"/>
        <v>1.8503620273531778</v>
      </c>
      <c r="BN6" s="216">
        <f>(((BN5/1.13)/BN3)/1000)</f>
        <v>1.8503620273531778</v>
      </c>
      <c r="BO6" s="301">
        <f>(((BO5/1.13)/BO3)/1000)</f>
        <v>1.8920603265611369</v>
      </c>
      <c r="BP6" s="216">
        <f t="shared" ref="BP6:BW6" si="3">(((BP5/1.13)/BP3)/1000)</f>
        <v>1.8851788503011826</v>
      </c>
      <c r="BQ6" s="216">
        <f t="shared" si="3"/>
        <v>1.9047143552554391</v>
      </c>
      <c r="BR6" s="179">
        <f>(((BR5/1.13)/BR3)/1000)</f>
        <v>1.8887307382882608</v>
      </c>
      <c r="BS6" s="312">
        <f t="shared" si="3"/>
        <v>1.9496486388656593</v>
      </c>
      <c r="BT6" s="301">
        <f t="shared" si="3"/>
        <v>1.945656238314845</v>
      </c>
      <c r="BU6" s="216">
        <f t="shared" si="3"/>
        <v>1.9394241555527858</v>
      </c>
      <c r="BV6" s="216">
        <f t="shared" si="3"/>
        <v>1.9128467733916674</v>
      </c>
      <c r="BW6" s="216" t="e">
        <f t="shared" si="3"/>
        <v>#DIV/0!</v>
      </c>
    </row>
    <row r="7" spans="1:75">
      <c r="A7" s="178" t="str">
        <f t="shared" si="0"/>
        <v>MethanolUSD</v>
      </c>
      <c r="B7" s="178" t="s">
        <v>35</v>
      </c>
      <c r="C7" s="178" t="s">
        <v>36</v>
      </c>
      <c r="D7" s="178" t="s">
        <v>33</v>
      </c>
      <c r="E7" s="178" t="s">
        <v>32</v>
      </c>
      <c r="F7" s="214">
        <v>262.5</v>
      </c>
      <c r="G7" s="214">
        <v>322.5</v>
      </c>
      <c r="H7" s="215">
        <v>285</v>
      </c>
      <c r="I7" s="215">
        <v>210</v>
      </c>
      <c r="J7" s="215">
        <v>175</v>
      </c>
      <c r="K7" s="214">
        <v>167.5</v>
      </c>
      <c r="L7" s="215">
        <v>180</v>
      </c>
      <c r="M7" s="215">
        <v>220</v>
      </c>
      <c r="N7" s="215">
        <v>230</v>
      </c>
      <c r="O7" s="215">
        <v>240</v>
      </c>
      <c r="P7" s="215">
        <v>270</v>
      </c>
      <c r="Q7" s="215">
        <v>300</v>
      </c>
      <c r="R7" s="215">
        <v>360</v>
      </c>
      <c r="S7" s="215">
        <v>365</v>
      </c>
      <c r="T7" s="215">
        <v>355</v>
      </c>
      <c r="U7" s="215">
        <v>340</v>
      </c>
      <c r="V7" s="214">
        <v>347.5</v>
      </c>
      <c r="W7" s="214">
        <v>357.5</v>
      </c>
      <c r="X7" s="215">
        <v>360</v>
      </c>
      <c r="Y7" s="215">
        <v>370</v>
      </c>
      <c r="Z7" s="215">
        <v>390</v>
      </c>
      <c r="AA7" s="214">
        <v>467.5</v>
      </c>
      <c r="AB7" s="214">
        <v>392.5</v>
      </c>
      <c r="AC7" s="215">
        <v>340</v>
      </c>
      <c r="AD7" s="215">
        <v>310</v>
      </c>
      <c r="AE7" s="215">
        <v>390</v>
      </c>
      <c r="AF7" s="215">
        <v>430</v>
      </c>
      <c r="AG7" s="215">
        <v>390</v>
      </c>
      <c r="AH7" s="215">
        <v>350</v>
      </c>
      <c r="AI7" s="215">
        <v>340</v>
      </c>
      <c r="AJ7" s="215">
        <v>315</v>
      </c>
      <c r="AK7" s="215">
        <v>315</v>
      </c>
      <c r="AL7" s="215">
        <v>315</v>
      </c>
      <c r="AM7" s="215">
        <v>325</v>
      </c>
      <c r="AN7" s="215">
        <v>325</v>
      </c>
      <c r="AO7" s="215">
        <v>315</v>
      </c>
      <c r="AP7" s="215">
        <v>325</v>
      </c>
      <c r="AQ7" s="214">
        <v>347.5</v>
      </c>
      <c r="AR7" s="214">
        <v>362.5</v>
      </c>
      <c r="AS7" s="214">
        <v>335</v>
      </c>
      <c r="AT7" s="214">
        <v>310</v>
      </c>
      <c r="AU7" s="214">
        <v>300</v>
      </c>
      <c r="AV7" s="214">
        <v>300</v>
      </c>
      <c r="AW7" s="214">
        <v>290</v>
      </c>
      <c r="AX7" s="214">
        <v>290</v>
      </c>
      <c r="AY7" s="214">
        <v>290</v>
      </c>
      <c r="AZ7" s="214">
        <v>290</v>
      </c>
      <c r="BA7" s="214">
        <v>310</v>
      </c>
      <c r="BB7" s="214">
        <v>310</v>
      </c>
      <c r="BC7" s="214">
        <v>310</v>
      </c>
      <c r="BD7" s="214">
        <v>310</v>
      </c>
      <c r="BE7" s="214">
        <v>310</v>
      </c>
      <c r="BF7" s="214">
        <v>330</v>
      </c>
      <c r="BG7" s="214">
        <v>330</v>
      </c>
      <c r="BH7" s="214">
        <v>330</v>
      </c>
      <c r="BI7" s="214">
        <v>330</v>
      </c>
      <c r="BJ7" s="214">
        <v>330</v>
      </c>
      <c r="BK7" s="214">
        <v>330</v>
      </c>
      <c r="BL7" s="214">
        <v>330</v>
      </c>
      <c r="BM7" s="214">
        <v>315</v>
      </c>
      <c r="BN7" s="214">
        <v>315</v>
      </c>
      <c r="BO7" s="300">
        <v>315</v>
      </c>
      <c r="BP7" s="214">
        <v>315</v>
      </c>
      <c r="BQ7" s="214">
        <v>335</v>
      </c>
      <c r="BR7" s="300">
        <v>335</v>
      </c>
      <c r="BS7" s="300">
        <v>335</v>
      </c>
      <c r="BT7" s="300">
        <v>337.5</v>
      </c>
      <c r="BU7" s="300">
        <v>337.5</v>
      </c>
      <c r="BV7" s="300">
        <v>337.5</v>
      </c>
      <c r="BW7" s="178"/>
    </row>
    <row r="8" spans="1:75">
      <c r="A8" s="178" t="str">
        <f t="shared" si="0"/>
        <v>Methanol-CHINAUSD</v>
      </c>
      <c r="B8" s="178" t="s">
        <v>37</v>
      </c>
      <c r="C8" s="178" t="s">
        <v>38</v>
      </c>
      <c r="D8" s="178" t="s">
        <v>33</v>
      </c>
      <c r="E8" s="178" t="s">
        <v>32</v>
      </c>
      <c r="F8" s="216">
        <v>336.49</v>
      </c>
      <c r="G8" s="216">
        <v>307.32</v>
      </c>
      <c r="H8" s="216">
        <v>286.76</v>
      </c>
      <c r="I8" s="216">
        <v>226.27</v>
      </c>
      <c r="J8" s="216">
        <v>244.95</v>
      </c>
      <c r="K8" s="216">
        <v>216.04</v>
      </c>
      <c r="L8" s="216">
        <v>230.37</v>
      </c>
      <c r="M8" s="216">
        <v>236.64</v>
      </c>
      <c r="N8" s="216">
        <v>275.17</v>
      </c>
      <c r="O8" s="216">
        <v>284.07</v>
      </c>
      <c r="P8" s="216">
        <v>297.61</v>
      </c>
      <c r="Q8" s="216">
        <v>343.26</v>
      </c>
      <c r="R8" s="214">
        <v>394.6</v>
      </c>
      <c r="S8" s="216">
        <v>369.69</v>
      </c>
      <c r="T8" s="216">
        <v>395.41</v>
      </c>
      <c r="U8" s="214">
        <v>367.9</v>
      </c>
      <c r="V8" s="214">
        <v>393.5</v>
      </c>
      <c r="W8" s="216">
        <v>435.74</v>
      </c>
      <c r="X8" s="216">
        <v>409.18</v>
      </c>
      <c r="Y8" s="216">
        <v>424.48</v>
      </c>
      <c r="Z8" s="216">
        <v>424.32</v>
      </c>
      <c r="AA8" s="216">
        <v>467.98</v>
      </c>
      <c r="AB8" s="216">
        <v>449.94</v>
      </c>
      <c r="AC8" s="216">
        <v>439.55</v>
      </c>
      <c r="AD8" s="216">
        <v>416.18</v>
      </c>
      <c r="AE8" s="216">
        <v>449.35</v>
      </c>
      <c r="AF8" s="214">
        <v>516.9</v>
      </c>
      <c r="AG8" s="216">
        <v>482.16</v>
      </c>
      <c r="AH8" s="216">
        <v>421.71</v>
      </c>
      <c r="AI8" s="216">
        <v>427.14</v>
      </c>
      <c r="AJ8" s="216">
        <v>377.24</v>
      </c>
      <c r="AK8" s="216">
        <v>374.18</v>
      </c>
      <c r="AL8" s="216">
        <v>373.62</v>
      </c>
      <c r="AM8" s="216">
        <v>397.78</v>
      </c>
      <c r="AN8" s="216">
        <v>396.14</v>
      </c>
      <c r="AO8" s="216">
        <v>392.04</v>
      </c>
      <c r="AP8" s="216">
        <v>392.33</v>
      </c>
      <c r="AQ8" s="216">
        <v>398.09</v>
      </c>
      <c r="AR8" s="214">
        <v>392.27</v>
      </c>
      <c r="AS8" s="214">
        <v>369.57</v>
      </c>
      <c r="AT8" s="214">
        <v>353.05</v>
      </c>
      <c r="AU8" s="214">
        <v>308.77999999999997</v>
      </c>
      <c r="AV8" s="214">
        <v>308.77999999999997</v>
      </c>
      <c r="AW8" s="214">
        <v>303.72000000000003</v>
      </c>
      <c r="AX8" s="214">
        <v>304.04000000000002</v>
      </c>
      <c r="AY8" s="214">
        <v>304.52</v>
      </c>
      <c r="AZ8" s="214">
        <v>305.58999999999997</v>
      </c>
      <c r="BA8" s="214">
        <v>326.83</v>
      </c>
      <c r="BB8" s="214">
        <v>325.62</v>
      </c>
      <c r="BC8" s="214">
        <v>325.24</v>
      </c>
      <c r="BD8" s="214">
        <v>325.11</v>
      </c>
      <c r="BE8" s="214">
        <v>325.11</v>
      </c>
      <c r="BF8" s="214">
        <v>350.84</v>
      </c>
      <c r="BG8" s="214">
        <v>350.84</v>
      </c>
      <c r="BH8" s="214">
        <v>350.84</v>
      </c>
      <c r="BI8" s="214">
        <v>351.01</v>
      </c>
      <c r="BJ8" s="214">
        <v>350.1</v>
      </c>
      <c r="BK8" s="214">
        <v>349.64</v>
      </c>
      <c r="BL8" s="214">
        <v>349.58</v>
      </c>
      <c r="BM8" s="214">
        <v>340.82</v>
      </c>
      <c r="BN8" s="214">
        <v>340.82</v>
      </c>
      <c r="BO8" s="300">
        <v>343.48</v>
      </c>
      <c r="BP8" s="214">
        <v>344.44</v>
      </c>
      <c r="BQ8" s="214">
        <v>349.73</v>
      </c>
      <c r="BR8" s="300">
        <v>349.54</v>
      </c>
      <c r="BS8" s="300">
        <v>349.54</v>
      </c>
      <c r="BT8" s="300">
        <v>352.51</v>
      </c>
      <c r="BU8" s="214">
        <v>352.16</v>
      </c>
      <c r="BV8" s="214">
        <v>352.16</v>
      </c>
      <c r="BW8" s="178"/>
    </row>
    <row r="9" spans="1:75">
      <c r="A9" s="178" t="str">
        <f t="shared" si="0"/>
        <v>EthyleneUSD</v>
      </c>
      <c r="B9" s="178" t="s">
        <v>39</v>
      </c>
      <c r="C9" s="178" t="s">
        <v>40</v>
      </c>
      <c r="D9" s="178" t="s">
        <v>33</v>
      </c>
      <c r="E9" s="178" t="s">
        <v>32</v>
      </c>
      <c r="F9" s="216">
        <v>1077</v>
      </c>
      <c r="G9" s="216">
        <v>1059</v>
      </c>
      <c r="H9" s="216">
        <v>1019</v>
      </c>
      <c r="I9" s="216">
        <v>782.44</v>
      </c>
      <c r="J9" s="216">
        <v>677.6</v>
      </c>
      <c r="K9" s="216">
        <v>765.27</v>
      </c>
      <c r="L9" s="216">
        <v>875.28</v>
      </c>
      <c r="M9" s="216">
        <v>928.66</v>
      </c>
      <c r="N9" s="216">
        <v>925.21</v>
      </c>
      <c r="O9" s="216">
        <v>911.97</v>
      </c>
      <c r="P9" s="216">
        <v>918.08</v>
      </c>
      <c r="Q9" s="216">
        <v>967.72</v>
      </c>
      <c r="R9" s="216">
        <v>1046</v>
      </c>
      <c r="S9" s="216">
        <v>1125</v>
      </c>
      <c r="T9" s="216">
        <v>1196</v>
      </c>
      <c r="U9" s="216">
        <v>1250</v>
      </c>
      <c r="V9" s="216">
        <v>1275</v>
      </c>
      <c r="W9" s="216">
        <v>1300</v>
      </c>
      <c r="X9" s="216">
        <v>1325</v>
      </c>
      <c r="Y9" s="216">
        <v>1381</v>
      </c>
      <c r="Z9" s="216">
        <v>1371</v>
      </c>
      <c r="AA9" s="216">
        <v>1380</v>
      </c>
      <c r="AB9" s="216">
        <v>1462</v>
      </c>
      <c r="AC9" s="216">
        <v>1439</v>
      </c>
      <c r="AD9" s="216">
        <v>1441</v>
      </c>
      <c r="AE9" s="216">
        <v>1520</v>
      </c>
      <c r="AF9" s="216">
        <v>1579</v>
      </c>
      <c r="AG9" s="216">
        <v>1800</v>
      </c>
      <c r="AH9" s="216">
        <v>1687</v>
      </c>
      <c r="AI9" s="216">
        <v>1685</v>
      </c>
      <c r="AJ9" s="216">
        <v>1524</v>
      </c>
      <c r="AK9" s="216">
        <v>1442</v>
      </c>
      <c r="AL9" s="216">
        <v>1295</v>
      </c>
      <c r="AM9" s="216">
        <v>1239</v>
      </c>
      <c r="AN9" s="216">
        <v>1322</v>
      </c>
      <c r="AO9" s="216">
        <v>1345</v>
      </c>
      <c r="AP9" s="216">
        <v>1267</v>
      </c>
      <c r="AQ9" s="216">
        <v>1348</v>
      </c>
      <c r="AR9" s="214">
        <v>1381</v>
      </c>
      <c r="AS9" s="214">
        <v>1374</v>
      </c>
      <c r="AT9" s="214">
        <v>1349</v>
      </c>
      <c r="AU9" s="214">
        <v>1254</v>
      </c>
      <c r="AV9" s="214">
        <v>1254</v>
      </c>
      <c r="AW9" s="214">
        <v>1232</v>
      </c>
      <c r="AX9" s="214">
        <v>1239</v>
      </c>
      <c r="AY9" s="214">
        <v>1238</v>
      </c>
      <c r="AZ9" s="214">
        <v>1232</v>
      </c>
      <c r="BA9" s="214">
        <v>1229</v>
      </c>
      <c r="BB9" s="214">
        <v>1225</v>
      </c>
      <c r="BC9" s="214">
        <v>1223</v>
      </c>
      <c r="BD9" s="214">
        <v>1222</v>
      </c>
      <c r="BE9" s="214">
        <v>1287</v>
      </c>
      <c r="BF9" s="214">
        <v>1277</v>
      </c>
      <c r="BG9" s="214">
        <v>1277</v>
      </c>
      <c r="BH9" s="214">
        <v>1277</v>
      </c>
      <c r="BI9" s="214">
        <v>1330</v>
      </c>
      <c r="BJ9" s="214">
        <v>1331</v>
      </c>
      <c r="BK9" s="214">
        <v>1331</v>
      </c>
      <c r="BL9" s="214">
        <v>1332</v>
      </c>
      <c r="BM9" s="214">
        <v>1299</v>
      </c>
      <c r="BN9" s="214">
        <v>1299</v>
      </c>
      <c r="BO9" s="300">
        <v>1310</v>
      </c>
      <c r="BP9" s="214">
        <v>1293</v>
      </c>
      <c r="BQ9" s="214">
        <v>1286</v>
      </c>
      <c r="BR9" s="300">
        <v>1289</v>
      </c>
      <c r="BS9" s="300">
        <v>1294</v>
      </c>
      <c r="BT9" s="300">
        <v>1304</v>
      </c>
      <c r="BU9" s="214">
        <v>1296</v>
      </c>
      <c r="BV9" s="214">
        <v>1296</v>
      </c>
      <c r="BW9" s="178"/>
    </row>
    <row r="10" spans="1:75">
      <c r="A10" s="178" t="str">
        <f t="shared" si="0"/>
        <v>EthyleneUSD</v>
      </c>
      <c r="B10" s="178" t="s">
        <v>39</v>
      </c>
      <c r="C10" s="178" t="s">
        <v>40</v>
      </c>
      <c r="D10" s="178" t="s">
        <v>33</v>
      </c>
      <c r="E10" s="178" t="s">
        <v>34</v>
      </c>
      <c r="F10" s="216">
        <f>F9/1000</f>
        <v>1.077</v>
      </c>
      <c r="G10" s="216">
        <f t="shared" ref="G10:BR10" si="4">G9/1000</f>
        <v>1.0589999999999999</v>
      </c>
      <c r="H10" s="216">
        <f t="shared" si="4"/>
        <v>1.0189999999999999</v>
      </c>
      <c r="I10" s="216">
        <f t="shared" si="4"/>
        <v>0.78244000000000002</v>
      </c>
      <c r="J10" s="216">
        <f t="shared" si="4"/>
        <v>0.67759999999999998</v>
      </c>
      <c r="K10" s="216">
        <f t="shared" si="4"/>
        <v>0.76527000000000001</v>
      </c>
      <c r="L10" s="216">
        <f t="shared" si="4"/>
        <v>0.87527999999999995</v>
      </c>
      <c r="M10" s="216">
        <f t="shared" si="4"/>
        <v>0.92865999999999993</v>
      </c>
      <c r="N10" s="216">
        <f t="shared" si="4"/>
        <v>0.92521000000000009</v>
      </c>
      <c r="O10" s="216">
        <f t="shared" si="4"/>
        <v>0.91197000000000006</v>
      </c>
      <c r="P10" s="216">
        <f t="shared" si="4"/>
        <v>0.91808000000000001</v>
      </c>
      <c r="Q10" s="216">
        <f t="shared" si="4"/>
        <v>0.96772000000000002</v>
      </c>
      <c r="R10" s="216">
        <f t="shared" si="4"/>
        <v>1.046</v>
      </c>
      <c r="S10" s="216">
        <f t="shared" si="4"/>
        <v>1.125</v>
      </c>
      <c r="T10" s="216">
        <f t="shared" si="4"/>
        <v>1.196</v>
      </c>
      <c r="U10" s="216">
        <f t="shared" si="4"/>
        <v>1.25</v>
      </c>
      <c r="V10" s="216">
        <f t="shared" si="4"/>
        <v>1.2749999999999999</v>
      </c>
      <c r="W10" s="216">
        <f t="shared" si="4"/>
        <v>1.3</v>
      </c>
      <c r="X10" s="216">
        <f t="shared" si="4"/>
        <v>1.325</v>
      </c>
      <c r="Y10" s="216">
        <f t="shared" si="4"/>
        <v>1.381</v>
      </c>
      <c r="Z10" s="216">
        <f t="shared" si="4"/>
        <v>1.371</v>
      </c>
      <c r="AA10" s="216">
        <f t="shared" si="4"/>
        <v>1.38</v>
      </c>
      <c r="AB10" s="216">
        <f t="shared" si="4"/>
        <v>1.462</v>
      </c>
      <c r="AC10" s="216">
        <f t="shared" si="4"/>
        <v>1.4390000000000001</v>
      </c>
      <c r="AD10" s="216">
        <f t="shared" si="4"/>
        <v>1.4410000000000001</v>
      </c>
      <c r="AE10" s="216">
        <f t="shared" si="4"/>
        <v>1.52</v>
      </c>
      <c r="AF10" s="216">
        <f t="shared" si="4"/>
        <v>1.579</v>
      </c>
      <c r="AG10" s="216">
        <f t="shared" si="4"/>
        <v>1.8</v>
      </c>
      <c r="AH10" s="216">
        <f t="shared" si="4"/>
        <v>1.6870000000000001</v>
      </c>
      <c r="AI10" s="216">
        <f t="shared" si="4"/>
        <v>1.6850000000000001</v>
      </c>
      <c r="AJ10" s="216">
        <f t="shared" si="4"/>
        <v>1.524</v>
      </c>
      <c r="AK10" s="216">
        <f t="shared" si="4"/>
        <v>1.4419999999999999</v>
      </c>
      <c r="AL10" s="216">
        <f t="shared" si="4"/>
        <v>1.2949999999999999</v>
      </c>
      <c r="AM10" s="216">
        <f t="shared" si="4"/>
        <v>1.2390000000000001</v>
      </c>
      <c r="AN10" s="216">
        <f t="shared" si="4"/>
        <v>1.3220000000000001</v>
      </c>
      <c r="AO10" s="216">
        <f t="shared" si="4"/>
        <v>1.345</v>
      </c>
      <c r="AP10" s="216">
        <f t="shared" si="4"/>
        <v>1.2669999999999999</v>
      </c>
      <c r="AQ10" s="216">
        <f t="shared" si="4"/>
        <v>1.3480000000000001</v>
      </c>
      <c r="AR10" s="216">
        <f t="shared" si="4"/>
        <v>1.381</v>
      </c>
      <c r="AS10" s="216">
        <f t="shared" si="4"/>
        <v>1.3740000000000001</v>
      </c>
      <c r="AT10" s="216">
        <f t="shared" si="4"/>
        <v>1.349</v>
      </c>
      <c r="AU10" s="216">
        <f t="shared" si="4"/>
        <v>1.254</v>
      </c>
      <c r="AV10" s="216">
        <f t="shared" si="4"/>
        <v>1.254</v>
      </c>
      <c r="AW10" s="216">
        <f t="shared" si="4"/>
        <v>1.232</v>
      </c>
      <c r="AX10" s="216">
        <f t="shared" si="4"/>
        <v>1.2390000000000001</v>
      </c>
      <c r="AY10" s="216">
        <f t="shared" si="4"/>
        <v>1.238</v>
      </c>
      <c r="AZ10" s="216">
        <f t="shared" si="4"/>
        <v>1.232</v>
      </c>
      <c r="BA10" s="216">
        <f t="shared" si="4"/>
        <v>1.2290000000000001</v>
      </c>
      <c r="BB10" s="216">
        <f t="shared" si="4"/>
        <v>1.2250000000000001</v>
      </c>
      <c r="BC10" s="216">
        <f t="shared" si="4"/>
        <v>1.2230000000000001</v>
      </c>
      <c r="BD10" s="216">
        <f t="shared" si="4"/>
        <v>1.222</v>
      </c>
      <c r="BE10" s="216">
        <f t="shared" si="4"/>
        <v>1.2869999999999999</v>
      </c>
      <c r="BF10" s="216">
        <f t="shared" si="4"/>
        <v>1.2769999999999999</v>
      </c>
      <c r="BG10" s="216">
        <f t="shared" si="4"/>
        <v>1.2769999999999999</v>
      </c>
      <c r="BH10" s="216">
        <f t="shared" si="4"/>
        <v>1.2769999999999999</v>
      </c>
      <c r="BI10" s="216">
        <f t="shared" si="4"/>
        <v>1.33</v>
      </c>
      <c r="BJ10" s="216">
        <f t="shared" si="4"/>
        <v>1.331</v>
      </c>
      <c r="BK10" s="216">
        <f t="shared" si="4"/>
        <v>1.331</v>
      </c>
      <c r="BL10" s="216">
        <f t="shared" si="4"/>
        <v>1.3320000000000001</v>
      </c>
      <c r="BM10" s="216">
        <f t="shared" si="4"/>
        <v>1.2989999999999999</v>
      </c>
      <c r="BN10" s="216">
        <f t="shared" si="4"/>
        <v>1.2989999999999999</v>
      </c>
      <c r="BO10" s="301">
        <f t="shared" si="4"/>
        <v>1.31</v>
      </c>
      <c r="BP10" s="216">
        <f t="shared" si="4"/>
        <v>1.2929999999999999</v>
      </c>
      <c r="BQ10" s="216">
        <f t="shared" si="4"/>
        <v>1.286</v>
      </c>
      <c r="BR10" s="301">
        <f t="shared" si="4"/>
        <v>1.2889999999999999</v>
      </c>
      <c r="BS10" s="301">
        <f>BS9/1000</f>
        <v>1.294</v>
      </c>
      <c r="BT10" s="301">
        <f>BT9/1000</f>
        <v>1.304</v>
      </c>
      <c r="BU10" s="216">
        <f>BU9/1000</f>
        <v>1.296</v>
      </c>
      <c r="BV10" s="216">
        <f>BV9/1000</f>
        <v>1.296</v>
      </c>
      <c r="BW10" s="216">
        <f>BW9/1000</f>
        <v>0</v>
      </c>
    </row>
    <row r="11" spans="1:75">
      <c r="A11" s="178" t="str">
        <f t="shared" si="0"/>
        <v>ChlorineINR</v>
      </c>
      <c r="B11" s="178" t="s">
        <v>41</v>
      </c>
      <c r="C11" s="178" t="s">
        <v>42</v>
      </c>
      <c r="D11" s="178" t="s">
        <v>43</v>
      </c>
      <c r="E11" s="178" t="s">
        <v>34</v>
      </c>
      <c r="F11" s="214">
        <v>4</v>
      </c>
      <c r="G11" s="214">
        <v>4</v>
      </c>
      <c r="H11" s="214">
        <v>4</v>
      </c>
      <c r="I11" s="214">
        <v>4</v>
      </c>
      <c r="J11" s="214">
        <v>4</v>
      </c>
      <c r="K11" s="214">
        <v>4</v>
      </c>
      <c r="L11" s="214">
        <v>4</v>
      </c>
      <c r="M11" s="214">
        <v>4</v>
      </c>
      <c r="N11" s="214">
        <v>4</v>
      </c>
      <c r="O11" s="214">
        <v>4</v>
      </c>
      <c r="P11" s="214">
        <v>4</v>
      </c>
      <c r="Q11" s="214">
        <v>4</v>
      </c>
      <c r="R11" s="214">
        <v>4</v>
      </c>
      <c r="S11" s="214">
        <v>4</v>
      </c>
      <c r="T11" s="214">
        <v>4</v>
      </c>
      <c r="U11" s="214">
        <v>4</v>
      </c>
      <c r="V11" s="214">
        <v>4</v>
      </c>
      <c r="W11" s="214">
        <v>4</v>
      </c>
      <c r="X11" s="214">
        <v>4</v>
      </c>
      <c r="Y11" s="214">
        <v>4</v>
      </c>
      <c r="Z11" s="214">
        <v>4</v>
      </c>
      <c r="AA11" s="214">
        <v>4</v>
      </c>
      <c r="AB11" s="214">
        <v>4</v>
      </c>
      <c r="AC11" s="214">
        <v>4</v>
      </c>
      <c r="AD11" s="214">
        <v>4</v>
      </c>
      <c r="AE11" s="214">
        <v>4</v>
      </c>
      <c r="AF11" s="214">
        <v>4</v>
      </c>
      <c r="AG11" s="214">
        <v>4</v>
      </c>
      <c r="AH11" s="214">
        <v>4</v>
      </c>
      <c r="AI11" s="214">
        <v>4</v>
      </c>
      <c r="AJ11" s="214">
        <v>4</v>
      </c>
      <c r="AK11" s="214">
        <v>4</v>
      </c>
      <c r="AL11" s="214">
        <v>4</v>
      </c>
      <c r="AM11" s="214">
        <v>4</v>
      </c>
      <c r="AN11" s="214">
        <v>4</v>
      </c>
      <c r="AO11" s="214">
        <v>4</v>
      </c>
      <c r="AP11" s="214">
        <v>4</v>
      </c>
      <c r="AQ11" s="214">
        <v>4</v>
      </c>
      <c r="AR11" s="214">
        <v>4</v>
      </c>
      <c r="AS11" s="214">
        <v>4</v>
      </c>
      <c r="AT11" s="214">
        <v>4</v>
      </c>
      <c r="AU11" s="214">
        <v>4</v>
      </c>
      <c r="AV11" s="214">
        <v>4</v>
      </c>
      <c r="AW11" s="214">
        <v>4</v>
      </c>
      <c r="AX11" s="214">
        <v>4</v>
      </c>
      <c r="AY11" s="214">
        <v>4</v>
      </c>
      <c r="AZ11" s="214">
        <v>4</v>
      </c>
      <c r="BA11" s="214">
        <v>4</v>
      </c>
      <c r="BB11" s="214">
        <v>4</v>
      </c>
      <c r="BC11" s="214">
        <v>4</v>
      </c>
      <c r="BD11" s="214">
        <v>4</v>
      </c>
      <c r="BE11" s="214">
        <v>4</v>
      </c>
      <c r="BF11" s="214">
        <v>4</v>
      </c>
      <c r="BG11" s="214">
        <v>4</v>
      </c>
      <c r="BH11" s="214">
        <v>4</v>
      </c>
      <c r="BI11" s="214">
        <v>4</v>
      </c>
      <c r="BJ11" s="214">
        <v>4</v>
      </c>
      <c r="BK11" s="214">
        <v>4</v>
      </c>
      <c r="BL11" s="214">
        <v>4</v>
      </c>
      <c r="BM11" s="214">
        <v>4</v>
      </c>
      <c r="BN11" s="214">
        <v>4</v>
      </c>
      <c r="BO11" s="300">
        <v>4</v>
      </c>
      <c r="BP11" s="214">
        <v>4</v>
      </c>
      <c r="BQ11" s="214">
        <v>4</v>
      </c>
      <c r="BR11" s="308">
        <v>4</v>
      </c>
      <c r="BS11" s="300">
        <v>4</v>
      </c>
      <c r="BT11" s="300">
        <v>4</v>
      </c>
      <c r="BU11" s="214">
        <v>4</v>
      </c>
      <c r="BV11" s="214">
        <v>4</v>
      </c>
      <c r="BW11" s="214">
        <v>4</v>
      </c>
    </row>
    <row r="12" spans="1:75">
      <c r="A12" s="178" t="str">
        <f t="shared" si="0"/>
        <v>Anhydrous Ammonia GasINR</v>
      </c>
      <c r="B12" s="178" t="s">
        <v>44</v>
      </c>
      <c r="C12" s="178" t="s">
        <v>45</v>
      </c>
      <c r="D12" s="178" t="s">
        <v>43</v>
      </c>
      <c r="E12" s="178" t="s">
        <v>34</v>
      </c>
      <c r="F12" s="216">
        <v>36.089920948616601</v>
      </c>
      <c r="G12" s="216">
        <v>36.208653846153844</v>
      </c>
      <c r="H12" s="216">
        <v>36.158999999999999</v>
      </c>
      <c r="I12" s="216">
        <v>35.536999999999999</v>
      </c>
      <c r="J12" s="216">
        <v>35.760909090909088</v>
      </c>
      <c r="K12" s="216">
        <v>33.440360739348137</v>
      </c>
      <c r="L12" s="216">
        <v>32.536999999999999</v>
      </c>
      <c r="M12" s="216">
        <v>31.726461538461539</v>
      </c>
      <c r="N12" s="216">
        <v>31.791438916547715</v>
      </c>
      <c r="O12" s="216">
        <v>31.536999999999999</v>
      </c>
      <c r="P12" s="216">
        <v>31.536999999999999</v>
      </c>
      <c r="Q12" s="216">
        <v>33.235294117647058</v>
      </c>
      <c r="R12" s="216">
        <v>34.833333333333336</v>
      </c>
      <c r="S12" s="216">
        <v>37</v>
      </c>
      <c r="T12" s="216">
        <v>37</v>
      </c>
      <c r="U12" s="216">
        <v>39.724675324675324</v>
      </c>
      <c r="V12" s="216">
        <v>43.5</v>
      </c>
      <c r="W12" s="216">
        <v>46.647798742138363</v>
      </c>
      <c r="X12" s="216">
        <v>54.102564102564102</v>
      </c>
      <c r="Y12" s="216">
        <v>54.054820415879014</v>
      </c>
      <c r="Z12" s="216">
        <v>55.061728395061728</v>
      </c>
      <c r="AA12" s="216">
        <v>59.305134352523588</v>
      </c>
      <c r="AB12" s="216">
        <v>61.130434782608695</v>
      </c>
      <c r="AC12" s="216">
        <v>63.816326530612244</v>
      </c>
      <c r="AD12" s="216">
        <v>78.654843832715727</v>
      </c>
      <c r="AE12" s="216">
        <v>90.390287608637223</v>
      </c>
      <c r="AF12" s="216">
        <v>101.21875</v>
      </c>
      <c r="AG12" s="216">
        <v>96.321766561514195</v>
      </c>
      <c r="AH12" s="216">
        <v>86.92307692307692</v>
      </c>
      <c r="AI12" s="216">
        <v>87.285714285714292</v>
      </c>
      <c r="AJ12" s="216">
        <v>86.203087885985752</v>
      </c>
      <c r="AK12" s="216">
        <v>86.348341232227483</v>
      </c>
      <c r="AL12" s="216">
        <v>84.642857142857139</v>
      </c>
      <c r="AM12" s="216">
        <v>88.433333333333337</v>
      </c>
      <c r="AN12" s="216">
        <v>93.142857142857139</v>
      </c>
      <c r="AO12" s="216">
        <v>89.2</v>
      </c>
      <c r="AP12" s="216">
        <v>81.7</v>
      </c>
      <c r="AQ12" s="216">
        <v>76</v>
      </c>
      <c r="AR12" s="216">
        <v>74</v>
      </c>
      <c r="AS12" s="216">
        <v>61.4</v>
      </c>
      <c r="AT12" s="216">
        <v>58</v>
      </c>
      <c r="AU12" s="216">
        <v>51</v>
      </c>
      <c r="AV12" s="216">
        <v>51</v>
      </c>
      <c r="AW12" s="216">
        <v>51</v>
      </c>
      <c r="AX12" s="216">
        <v>51</v>
      </c>
      <c r="AY12" s="216">
        <v>49</v>
      </c>
      <c r="AZ12" s="216">
        <v>49</v>
      </c>
      <c r="BA12" s="216">
        <v>49</v>
      </c>
      <c r="BB12" s="216">
        <v>49</v>
      </c>
      <c r="BC12" s="216">
        <v>49</v>
      </c>
      <c r="BD12" s="216">
        <v>49</v>
      </c>
      <c r="BE12" s="216">
        <v>47</v>
      </c>
      <c r="BF12" s="214">
        <v>49</v>
      </c>
      <c r="BG12" s="214">
        <v>49</v>
      </c>
      <c r="BH12" s="214">
        <v>57</v>
      </c>
      <c r="BI12" s="214">
        <v>57</v>
      </c>
      <c r="BJ12" s="214">
        <v>55</v>
      </c>
      <c r="BK12" s="214">
        <v>58</v>
      </c>
      <c r="BL12" s="214">
        <v>58</v>
      </c>
      <c r="BM12" s="214">
        <v>58</v>
      </c>
      <c r="BN12" s="214">
        <v>58</v>
      </c>
      <c r="BO12" s="300">
        <v>58</v>
      </c>
      <c r="BP12" s="214">
        <v>58</v>
      </c>
      <c r="BQ12" s="214">
        <v>53</v>
      </c>
      <c r="BR12" s="214">
        <v>54</v>
      </c>
      <c r="BS12" s="300">
        <v>54</v>
      </c>
      <c r="BT12" s="300">
        <v>52.5</v>
      </c>
      <c r="BU12" s="214">
        <v>55</v>
      </c>
      <c r="BV12" s="214">
        <v>55</v>
      </c>
      <c r="BW12" s="178"/>
    </row>
    <row r="13" spans="1:75">
      <c r="A13" s="178" t="str">
        <f t="shared" si="0"/>
        <v>EthanolamineUSD</v>
      </c>
      <c r="B13" s="178" t="s">
        <v>46</v>
      </c>
      <c r="C13" s="178" t="s">
        <v>47</v>
      </c>
      <c r="D13" s="178" t="s">
        <v>33</v>
      </c>
      <c r="E13" s="178" t="s">
        <v>32</v>
      </c>
      <c r="F13" s="215">
        <v>976.875</v>
      </c>
      <c r="G13" s="215">
        <v>965</v>
      </c>
      <c r="H13" s="215">
        <v>931.25</v>
      </c>
      <c r="I13" s="215">
        <v>870</v>
      </c>
      <c r="J13" s="215">
        <v>893.75</v>
      </c>
      <c r="K13" s="215">
        <v>932.5</v>
      </c>
      <c r="L13" s="215">
        <v>895</v>
      </c>
      <c r="M13" s="215">
        <v>855</v>
      </c>
      <c r="N13" s="215">
        <v>876</v>
      </c>
      <c r="O13" s="215">
        <v>1011.25</v>
      </c>
      <c r="P13" s="215">
        <v>1066.25</v>
      </c>
      <c r="Q13" s="215">
        <v>1050</v>
      </c>
      <c r="R13" s="215">
        <v>1090</v>
      </c>
      <c r="S13" s="215">
        <v>1151</v>
      </c>
      <c r="T13" s="215">
        <v>1255</v>
      </c>
      <c r="U13" s="215">
        <v>1310</v>
      </c>
      <c r="V13" s="215">
        <v>1325</v>
      </c>
      <c r="W13" s="215">
        <v>1331.5</v>
      </c>
      <c r="X13" s="215">
        <v>1327.5</v>
      </c>
      <c r="Y13" s="215">
        <v>1336</v>
      </c>
      <c r="Z13" s="215">
        <v>1381</v>
      </c>
      <c r="AA13" s="215">
        <v>1478.75</v>
      </c>
      <c r="AB13" s="215">
        <v>1565</v>
      </c>
      <c r="AC13" s="215">
        <v>1508.75</v>
      </c>
      <c r="AD13" s="215">
        <v>1550</v>
      </c>
      <c r="AE13" s="215">
        <v>1656.6669999999999</v>
      </c>
      <c r="AF13" s="215">
        <v>1870</v>
      </c>
      <c r="AG13" s="215">
        <v>2000</v>
      </c>
      <c r="AH13" s="215">
        <v>2087.5</v>
      </c>
      <c r="AI13" s="215">
        <v>1975</v>
      </c>
      <c r="AJ13" s="215">
        <v>1856.25</v>
      </c>
      <c r="AK13" s="215">
        <v>1645</v>
      </c>
      <c r="AL13" s="215">
        <v>1468.75</v>
      </c>
      <c r="AM13" s="215">
        <v>1341.66</v>
      </c>
      <c r="AN13" s="214">
        <v>1325</v>
      </c>
      <c r="AO13" s="214">
        <v>950</v>
      </c>
      <c r="AP13" s="215">
        <v>1250</v>
      </c>
      <c r="AQ13" s="215">
        <v>1318.75</v>
      </c>
      <c r="AR13" s="215">
        <v>1400</v>
      </c>
      <c r="AS13" s="214">
        <v>1400</v>
      </c>
      <c r="AT13" s="214">
        <v>1400</v>
      </c>
      <c r="AU13" s="214">
        <v>1350</v>
      </c>
      <c r="AV13" s="214">
        <v>1350</v>
      </c>
      <c r="AW13" s="214">
        <v>1300</v>
      </c>
      <c r="AX13" s="214">
        <v>1300</v>
      </c>
      <c r="AY13" s="215">
        <f>AY21</f>
        <v>1300</v>
      </c>
      <c r="AZ13" s="215">
        <v>1325</v>
      </c>
      <c r="BA13" s="215">
        <v>1350</v>
      </c>
      <c r="BB13" s="215">
        <v>1350</v>
      </c>
      <c r="BC13" s="214">
        <v>1475</v>
      </c>
      <c r="BD13" s="214">
        <v>1500</v>
      </c>
      <c r="BE13" s="214">
        <v>1550</v>
      </c>
      <c r="BF13" s="214">
        <v>1500</v>
      </c>
      <c r="BG13" s="214">
        <v>1550</v>
      </c>
      <c r="BH13" s="214">
        <v>1500</v>
      </c>
      <c r="BI13" s="214">
        <v>1500</v>
      </c>
      <c r="BJ13" s="214">
        <v>1500</v>
      </c>
      <c r="BK13" s="214">
        <v>1500</v>
      </c>
      <c r="BL13" s="214">
        <v>1500</v>
      </c>
      <c r="BM13" s="214">
        <v>1450</v>
      </c>
      <c r="BN13" s="214">
        <v>1450</v>
      </c>
      <c r="BO13" s="300">
        <v>1400</v>
      </c>
      <c r="BP13" s="214">
        <v>1350</v>
      </c>
      <c r="BQ13" s="214">
        <v>1350</v>
      </c>
      <c r="BR13" s="316">
        <v>1325</v>
      </c>
      <c r="BS13" s="313">
        <v>1325</v>
      </c>
      <c r="BT13" s="300">
        <v>1325</v>
      </c>
      <c r="BU13" s="214">
        <v>1325</v>
      </c>
      <c r="BV13" s="214">
        <v>1325</v>
      </c>
      <c r="BW13" s="178"/>
    </row>
    <row r="14" spans="1:75">
      <c r="A14" s="178" t="str">
        <f t="shared" si="0"/>
        <v>Ethylene Oxide-West EuropeUSD</v>
      </c>
      <c r="B14" s="178" t="s">
        <v>48</v>
      </c>
      <c r="C14" s="178" t="s">
        <v>49</v>
      </c>
      <c r="D14" s="178" t="s">
        <v>33</v>
      </c>
      <c r="E14" s="178" t="s">
        <v>32</v>
      </c>
      <c r="F14" s="218">
        <v>1317</v>
      </c>
      <c r="G14" s="218">
        <v>1295</v>
      </c>
      <c r="H14" s="218">
        <v>1269</v>
      </c>
      <c r="I14" s="218">
        <v>1072</v>
      </c>
      <c r="J14" s="216">
        <v>990.17</v>
      </c>
      <c r="K14" s="218">
        <v>1074</v>
      </c>
      <c r="L14" s="218">
        <v>1170</v>
      </c>
      <c r="M14" s="218">
        <v>1228</v>
      </c>
      <c r="N14" s="218">
        <v>1223</v>
      </c>
      <c r="O14" s="218">
        <v>1212</v>
      </c>
      <c r="P14" s="218">
        <v>1220</v>
      </c>
      <c r="Q14" s="218">
        <v>1273</v>
      </c>
      <c r="R14" s="218">
        <v>1312</v>
      </c>
      <c r="S14" s="218">
        <v>1371</v>
      </c>
      <c r="T14" s="218">
        <v>1421</v>
      </c>
      <c r="U14" s="218">
        <v>1466</v>
      </c>
      <c r="V14" s="218">
        <v>1494</v>
      </c>
      <c r="W14" s="218">
        <v>1509</v>
      </c>
      <c r="X14" s="218">
        <v>1521</v>
      </c>
      <c r="Y14" s="218">
        <v>1563</v>
      </c>
      <c r="Z14" s="218">
        <v>1556</v>
      </c>
      <c r="AA14" s="218">
        <v>1556</v>
      </c>
      <c r="AB14" s="218">
        <v>1615</v>
      </c>
      <c r="AC14" s="218">
        <v>1592</v>
      </c>
      <c r="AD14" s="218">
        <v>1594</v>
      </c>
      <c r="AE14" s="218">
        <v>1658</v>
      </c>
      <c r="AF14" s="218">
        <v>1693</v>
      </c>
      <c r="AG14" s="218">
        <v>1916</v>
      </c>
      <c r="AH14" s="218">
        <v>1815</v>
      </c>
      <c r="AI14" s="218">
        <v>1813</v>
      </c>
      <c r="AJ14" s="218">
        <v>1668</v>
      </c>
      <c r="AK14" s="218">
        <v>1599</v>
      </c>
      <c r="AL14" s="218">
        <v>1472</v>
      </c>
      <c r="AM14" s="218">
        <v>1423</v>
      </c>
      <c r="AN14" s="218">
        <v>1507</v>
      </c>
      <c r="AO14" s="218">
        <v>1542</v>
      </c>
      <c r="AP14" s="218">
        <v>1488</v>
      </c>
      <c r="AQ14" s="218">
        <v>1549</v>
      </c>
      <c r="AR14" s="214">
        <v>1574</v>
      </c>
      <c r="AS14" s="214">
        <v>1561</v>
      </c>
      <c r="AT14" s="214">
        <v>1537</v>
      </c>
      <c r="AU14" s="214">
        <v>1460</v>
      </c>
      <c r="AV14" s="214">
        <v>1460</v>
      </c>
      <c r="AW14" s="214">
        <v>1460</v>
      </c>
      <c r="AX14" s="214">
        <v>1460</v>
      </c>
      <c r="AY14" s="214">
        <v>1433</v>
      </c>
      <c r="AZ14" s="214">
        <v>1433</v>
      </c>
      <c r="BA14" s="214">
        <v>1433</v>
      </c>
      <c r="BB14" s="214">
        <v>1433</v>
      </c>
      <c r="BC14" s="214">
        <v>1433</v>
      </c>
      <c r="BD14" s="214">
        <v>1414</v>
      </c>
      <c r="BE14" s="214">
        <v>1414</v>
      </c>
      <c r="BF14" s="214">
        <v>1449</v>
      </c>
      <c r="BG14" s="214">
        <v>1449</v>
      </c>
      <c r="BH14" s="214">
        <v>1449</v>
      </c>
      <c r="BI14" s="214">
        <v>1449</v>
      </c>
      <c r="BJ14" s="214">
        <v>1449</v>
      </c>
      <c r="BK14" s="214">
        <v>1488</v>
      </c>
      <c r="BL14" s="214">
        <v>1488</v>
      </c>
      <c r="BM14" s="214">
        <v>1488</v>
      </c>
      <c r="BN14" s="214">
        <v>1488</v>
      </c>
      <c r="BO14" s="300">
        <v>1488</v>
      </c>
      <c r="BP14" s="214">
        <v>1470</v>
      </c>
      <c r="BQ14" s="214">
        <v>1463</v>
      </c>
      <c r="BR14" s="300">
        <v>1466</v>
      </c>
      <c r="BS14" s="300">
        <v>1472</v>
      </c>
      <c r="BT14" s="300">
        <v>1472</v>
      </c>
      <c r="BU14" s="214">
        <v>1472</v>
      </c>
      <c r="BV14" s="214">
        <v>1472</v>
      </c>
      <c r="BW14" s="178"/>
    </row>
    <row r="15" spans="1:75">
      <c r="A15" s="178" t="str">
        <f t="shared" si="0"/>
        <v>BenzeneUSD</v>
      </c>
      <c r="B15" s="178" t="s">
        <v>50</v>
      </c>
      <c r="C15" s="178" t="s">
        <v>51</v>
      </c>
      <c r="D15" s="178" t="s">
        <v>33</v>
      </c>
      <c r="E15" s="178" t="s">
        <v>32</v>
      </c>
      <c r="F15" s="251">
        <v>551.47500000000002</v>
      </c>
      <c r="G15" s="215">
        <v>477.74342105263156</v>
      </c>
      <c r="H15" s="215">
        <v>290.25568181818181</v>
      </c>
      <c r="I15" s="215">
        <v>194.2202380952381</v>
      </c>
      <c r="J15" s="215">
        <v>267.16666666666669</v>
      </c>
      <c r="K15" s="214">
        <v>363</v>
      </c>
      <c r="L15" s="214">
        <v>391</v>
      </c>
      <c r="M15" s="214">
        <v>400</v>
      </c>
      <c r="N15" s="214">
        <v>401</v>
      </c>
      <c r="O15" s="214">
        <v>388</v>
      </c>
      <c r="P15" s="214">
        <v>382</v>
      </c>
      <c r="Q15" s="214">
        <v>448.5</v>
      </c>
      <c r="R15" s="214">
        <v>515</v>
      </c>
      <c r="S15" s="214">
        <v>547</v>
      </c>
      <c r="T15" s="214">
        <v>560</v>
      </c>
      <c r="U15" s="214">
        <v>574</v>
      </c>
      <c r="V15" s="214">
        <v>596</v>
      </c>
      <c r="W15" s="214">
        <v>644</v>
      </c>
      <c r="X15" s="214">
        <v>684.875</v>
      </c>
      <c r="Y15" s="214">
        <v>674.5</v>
      </c>
      <c r="Z15" s="214">
        <v>662.5</v>
      </c>
      <c r="AA15" s="214">
        <v>767.55</v>
      </c>
      <c r="AB15" s="214">
        <v>755.84</v>
      </c>
      <c r="AC15" s="252">
        <v>693.2</v>
      </c>
      <c r="AD15" s="214">
        <v>775.4</v>
      </c>
      <c r="AE15" s="214">
        <v>860</v>
      </c>
      <c r="AF15" s="214">
        <v>1011</v>
      </c>
      <c r="AG15" s="214">
        <v>903</v>
      </c>
      <c r="AH15" s="214">
        <v>904</v>
      </c>
      <c r="AI15" s="214">
        <v>828</v>
      </c>
      <c r="AJ15" s="214">
        <v>791</v>
      </c>
      <c r="AK15" s="214">
        <v>701</v>
      </c>
      <c r="AL15" s="214">
        <v>661</v>
      </c>
      <c r="AM15" s="214">
        <v>683</v>
      </c>
      <c r="AN15" s="214">
        <v>693</v>
      </c>
      <c r="AO15" s="214">
        <v>625.5</v>
      </c>
      <c r="AP15" s="214">
        <v>710</v>
      </c>
      <c r="AQ15" s="214">
        <v>720</v>
      </c>
      <c r="AR15" s="214">
        <v>840</v>
      </c>
      <c r="AS15" s="214">
        <v>975</v>
      </c>
      <c r="AT15" s="214">
        <v>835</v>
      </c>
      <c r="AU15" s="214">
        <v>670</v>
      </c>
      <c r="AV15" s="214">
        <v>712.5</v>
      </c>
      <c r="AW15" s="214">
        <v>780</v>
      </c>
      <c r="AX15" s="214">
        <v>804</v>
      </c>
      <c r="AY15" s="214">
        <v>842</v>
      </c>
      <c r="AZ15" s="214">
        <v>873</v>
      </c>
      <c r="BA15" s="214">
        <v>863</v>
      </c>
      <c r="BB15" s="214">
        <v>876</v>
      </c>
      <c r="BC15" s="214">
        <v>876</v>
      </c>
      <c r="BD15" s="214">
        <v>865</v>
      </c>
      <c r="BE15" s="214">
        <v>930</v>
      </c>
      <c r="BF15" s="214">
        <v>1010</v>
      </c>
      <c r="BG15" s="214">
        <v>950</v>
      </c>
      <c r="BH15" s="214">
        <v>888</v>
      </c>
      <c r="BI15" s="214">
        <v>901</v>
      </c>
      <c r="BJ15" s="214">
        <v>882</v>
      </c>
      <c r="BK15" s="214">
        <v>882</v>
      </c>
      <c r="BL15" s="214">
        <v>882</v>
      </c>
      <c r="BM15" s="214">
        <v>843</v>
      </c>
      <c r="BN15" s="214">
        <v>867</v>
      </c>
      <c r="BO15" s="300">
        <v>846</v>
      </c>
      <c r="BP15" s="214">
        <v>826</v>
      </c>
      <c r="BQ15" s="214">
        <v>815</v>
      </c>
      <c r="BR15" s="214">
        <v>863</v>
      </c>
      <c r="BS15" s="300">
        <v>855</v>
      </c>
      <c r="BT15" s="300">
        <v>872</v>
      </c>
      <c r="BU15" s="214">
        <v>920</v>
      </c>
      <c r="BV15" s="214">
        <v>922</v>
      </c>
      <c r="BW15" s="178"/>
    </row>
    <row r="16" spans="1:75">
      <c r="A16" s="178" t="str">
        <f t="shared" si="0"/>
        <v>Ethylene SEUSD</v>
      </c>
      <c r="B16" s="178" t="s">
        <v>52</v>
      </c>
      <c r="C16" s="178" t="s">
        <v>53</v>
      </c>
      <c r="D16" s="178" t="s">
        <v>33</v>
      </c>
      <c r="E16" s="178" t="s">
        <v>32</v>
      </c>
      <c r="F16" s="215">
        <v>845</v>
      </c>
      <c r="G16" s="215">
        <v>695</v>
      </c>
      <c r="H16" s="215">
        <f>G16</f>
        <v>695</v>
      </c>
      <c r="I16" s="215">
        <v>385</v>
      </c>
      <c r="J16" s="215">
        <v>685</v>
      </c>
      <c r="K16" s="215">
        <v>845</v>
      </c>
      <c r="L16" s="215">
        <v>810</v>
      </c>
      <c r="M16" s="215">
        <v>725</v>
      </c>
      <c r="N16" s="215">
        <v>870</v>
      </c>
      <c r="O16" s="215">
        <v>800</v>
      </c>
      <c r="P16" s="215">
        <v>990</v>
      </c>
      <c r="Q16" s="218">
        <v>1000</v>
      </c>
      <c r="R16" s="215">
        <v>925</v>
      </c>
      <c r="S16" s="215">
        <v>980</v>
      </c>
      <c r="T16" s="218">
        <v>1050</v>
      </c>
      <c r="U16" s="218">
        <v>1110</v>
      </c>
      <c r="V16" s="218">
        <v>1058</v>
      </c>
      <c r="W16" s="215">
        <v>870</v>
      </c>
      <c r="X16" s="218">
        <v>1005</v>
      </c>
      <c r="Y16" s="215">
        <v>960</v>
      </c>
      <c r="Z16" s="218">
        <v>1140</v>
      </c>
      <c r="AA16" s="218">
        <v>1200</v>
      </c>
      <c r="AB16" s="218">
        <v>1130</v>
      </c>
      <c r="AC16" s="218">
        <v>1055</v>
      </c>
      <c r="AD16" s="215">
        <v>920</v>
      </c>
      <c r="AE16" s="218">
        <v>1220</v>
      </c>
      <c r="AF16" s="218">
        <v>1360</v>
      </c>
      <c r="AG16" s="218">
        <v>1300</v>
      </c>
      <c r="AH16" s="218">
        <v>1090</v>
      </c>
      <c r="AI16" s="215">
        <v>980</v>
      </c>
      <c r="AJ16" s="215">
        <v>900</v>
      </c>
      <c r="AK16" s="215">
        <v>830</v>
      </c>
      <c r="AL16" s="215">
        <v>970</v>
      </c>
      <c r="AM16" s="215">
        <v>880</v>
      </c>
      <c r="AN16" s="215">
        <v>880</v>
      </c>
      <c r="AO16" s="215">
        <v>880</v>
      </c>
      <c r="AP16" s="215">
        <v>780</v>
      </c>
      <c r="AQ16" s="215">
        <v>940</v>
      </c>
      <c r="AR16" s="214">
        <v>950</v>
      </c>
      <c r="AS16" s="214">
        <v>920</v>
      </c>
      <c r="AT16" s="214">
        <v>840</v>
      </c>
      <c r="AU16" s="214">
        <v>715</v>
      </c>
      <c r="AV16" s="214">
        <v>715</v>
      </c>
      <c r="AW16" s="214">
        <v>715</v>
      </c>
      <c r="AX16" s="214">
        <v>710</v>
      </c>
      <c r="AY16" s="214">
        <v>710</v>
      </c>
      <c r="AZ16" s="214">
        <v>770</v>
      </c>
      <c r="BA16" s="214">
        <v>770</v>
      </c>
      <c r="BB16" s="214">
        <v>860</v>
      </c>
      <c r="BC16" s="214">
        <v>860</v>
      </c>
      <c r="BD16" s="214">
        <v>830</v>
      </c>
      <c r="BE16" s="214">
        <v>850</v>
      </c>
      <c r="BF16" s="214">
        <v>865</v>
      </c>
      <c r="BG16" s="214">
        <v>898</v>
      </c>
      <c r="BH16" s="214">
        <v>898</v>
      </c>
      <c r="BI16" s="214">
        <v>890</v>
      </c>
      <c r="BJ16" s="214">
        <v>890</v>
      </c>
      <c r="BK16" s="214">
        <v>880</v>
      </c>
      <c r="BL16" s="214">
        <v>944</v>
      </c>
      <c r="BM16" s="214">
        <v>938</v>
      </c>
      <c r="BN16" s="214">
        <v>938</v>
      </c>
      <c r="BO16" s="300">
        <v>938</v>
      </c>
      <c r="BP16" s="214">
        <v>938</v>
      </c>
      <c r="BQ16" s="214">
        <v>889</v>
      </c>
      <c r="BR16" s="313">
        <v>850</v>
      </c>
      <c r="BS16" s="313">
        <v>849</v>
      </c>
      <c r="BT16" s="313">
        <v>849</v>
      </c>
      <c r="BU16" s="214">
        <v>870</v>
      </c>
      <c r="BV16" s="214">
        <v>888</v>
      </c>
      <c r="BW16" s="178"/>
    </row>
    <row r="17" spans="1:76 16384:16384">
      <c r="A17" s="178" t="str">
        <f t="shared" si="0"/>
        <v>Ethylene Oxide-CHINA USD</v>
      </c>
      <c r="B17" s="178" t="s">
        <v>54</v>
      </c>
      <c r="C17" s="178" t="s">
        <v>55</v>
      </c>
      <c r="D17" s="178" t="s">
        <v>33</v>
      </c>
      <c r="E17" s="178" t="s">
        <v>32</v>
      </c>
      <c r="F17" s="215">
        <v>1119</v>
      </c>
      <c r="G17" s="215">
        <v>1101</v>
      </c>
      <c r="H17" s="215">
        <v>1096</v>
      </c>
      <c r="I17" s="215">
        <v>848.53</v>
      </c>
      <c r="J17" s="215">
        <v>953.75</v>
      </c>
      <c r="K17" s="215">
        <v>1059</v>
      </c>
      <c r="L17" s="215">
        <v>1013</v>
      </c>
      <c r="M17" s="215">
        <v>995.61</v>
      </c>
      <c r="N17" s="215">
        <v>1071</v>
      </c>
      <c r="O17" s="215">
        <v>1086</v>
      </c>
      <c r="P17" s="215">
        <v>1121</v>
      </c>
      <c r="Q17" s="215">
        <v>1154</v>
      </c>
      <c r="R17" s="215">
        <v>1154</v>
      </c>
      <c r="S17" s="215">
        <v>1106</v>
      </c>
      <c r="T17" s="215">
        <v>1305</v>
      </c>
      <c r="U17" s="215">
        <v>1295</v>
      </c>
      <c r="V17" s="215">
        <v>1198</v>
      </c>
      <c r="W17" s="215">
        <v>1074</v>
      </c>
      <c r="X17" s="215">
        <v>1112</v>
      </c>
      <c r="Y17" s="215">
        <v>1189</v>
      </c>
      <c r="Z17" s="215">
        <v>1200</v>
      </c>
      <c r="AA17" s="215">
        <v>1534</v>
      </c>
      <c r="AB17" s="215">
        <v>1189</v>
      </c>
      <c r="AC17" s="215">
        <v>1177</v>
      </c>
      <c r="AD17" s="215">
        <v>1094</v>
      </c>
      <c r="AE17" s="215">
        <v>1317</v>
      </c>
      <c r="AF17" s="215">
        <v>1292</v>
      </c>
      <c r="AG17" s="215">
        <v>1291</v>
      </c>
      <c r="AH17" s="215">
        <v>1239</v>
      </c>
      <c r="AI17" s="215">
        <v>1128</v>
      </c>
      <c r="AJ17" s="215">
        <v>972.8</v>
      </c>
      <c r="AK17" s="215">
        <v>955.68</v>
      </c>
      <c r="AL17" s="215">
        <v>1070</v>
      </c>
      <c r="AM17" s="215">
        <v>1015</v>
      </c>
      <c r="AN17" s="215">
        <v>941.53</v>
      </c>
      <c r="AO17" s="215">
        <v>960.4</v>
      </c>
      <c r="AP17" s="215">
        <v>898.02</v>
      </c>
      <c r="AQ17" s="215">
        <v>993.41</v>
      </c>
      <c r="AR17" s="214">
        <v>1044</v>
      </c>
      <c r="AS17" s="214">
        <v>1016</v>
      </c>
      <c r="AT17" s="214">
        <v>905.25</v>
      </c>
      <c r="AU17" s="214">
        <v>838.5</v>
      </c>
      <c r="AV17" s="214">
        <v>838.5</v>
      </c>
      <c r="AW17" s="214">
        <v>838.5</v>
      </c>
      <c r="AX17" s="214">
        <v>838.5</v>
      </c>
      <c r="AY17" s="214">
        <v>848.21</v>
      </c>
      <c r="AZ17" s="214">
        <v>848.39</v>
      </c>
      <c r="BA17" s="214">
        <v>848.39</v>
      </c>
      <c r="BB17" s="214">
        <v>848.39</v>
      </c>
      <c r="BC17" s="214">
        <v>848.39</v>
      </c>
      <c r="BD17" s="214">
        <v>890.42</v>
      </c>
      <c r="BE17" s="214">
        <v>890.42</v>
      </c>
      <c r="BF17" s="214">
        <v>911.35</v>
      </c>
      <c r="BG17" s="214">
        <v>911.35</v>
      </c>
      <c r="BH17" s="214">
        <v>911.35</v>
      </c>
      <c r="BI17" s="214">
        <v>911.35</v>
      </c>
      <c r="BJ17" s="214">
        <v>911.35</v>
      </c>
      <c r="BK17" s="214">
        <v>947.5</v>
      </c>
      <c r="BL17" s="214">
        <v>920.31</v>
      </c>
      <c r="BM17" s="214">
        <v>920.31</v>
      </c>
      <c r="BN17" s="214">
        <v>920.31</v>
      </c>
      <c r="BO17" s="300">
        <v>920.31</v>
      </c>
      <c r="BP17" s="214">
        <v>883.61</v>
      </c>
      <c r="BQ17" s="214">
        <v>883.61</v>
      </c>
      <c r="BR17" s="300">
        <v>907.02</v>
      </c>
      <c r="BS17" s="300">
        <v>907.19</v>
      </c>
      <c r="BT17" s="300">
        <v>907.19</v>
      </c>
      <c r="BU17" s="300">
        <v>907.19</v>
      </c>
      <c r="BV17" s="300">
        <v>907.19</v>
      </c>
      <c r="BW17" s="178"/>
      <c r="XFD17" s="214"/>
    </row>
    <row r="18" spans="1:76 16384:16384">
      <c r="A18" s="178" t="str">
        <f t="shared" si="0"/>
        <v>AnilineUSD</v>
      </c>
      <c r="B18" s="178" t="s">
        <v>56</v>
      </c>
      <c r="C18" s="178" t="s">
        <v>57</v>
      </c>
      <c r="D18" s="178" t="s">
        <v>33</v>
      </c>
      <c r="E18" s="178" t="s">
        <v>34</v>
      </c>
      <c r="F18" s="216">
        <v>0.92178271510933274</v>
      </c>
      <c r="G18" s="216">
        <v>0.95931866717527914</v>
      </c>
      <c r="H18" s="216">
        <v>0.95326509868345721</v>
      </c>
      <c r="I18" s="216">
        <v>1.0224820664230916</v>
      </c>
      <c r="J18" s="216">
        <v>0.98181206179681413</v>
      </c>
      <c r="K18" s="216">
        <v>0.80404211067412312</v>
      </c>
      <c r="L18" s="216">
        <v>0.65121762781711667</v>
      </c>
      <c r="M18" s="216">
        <v>0.6761596108044321</v>
      </c>
      <c r="N18" s="216">
        <v>0.65382571212475105</v>
      </c>
      <c r="O18" s="216">
        <v>0.65729661043609333</v>
      </c>
      <c r="P18" s="216">
        <v>0.78526989905989963</v>
      </c>
      <c r="Q18" s="216">
        <v>1.0134085204518186</v>
      </c>
      <c r="R18" s="216">
        <v>1.0872173544926353</v>
      </c>
      <c r="S18" s="216">
        <v>1.1080024228093335</v>
      </c>
      <c r="T18" s="216">
        <v>1.2078886947716043</v>
      </c>
      <c r="U18" s="216">
        <v>1.3714985056378002</v>
      </c>
      <c r="V18" s="216">
        <v>1.9372114837462757</v>
      </c>
      <c r="W18" s="216">
        <v>1.7697928882572753</v>
      </c>
      <c r="X18" s="216">
        <v>1.7108388190975701</v>
      </c>
      <c r="Y18" s="216">
        <v>1.5826042121198884</v>
      </c>
      <c r="Z18" s="216">
        <v>1.5842223806851947</v>
      </c>
      <c r="AA18" s="216">
        <v>1.5665444023784547</v>
      </c>
      <c r="AB18" s="216">
        <v>1.6034705390102322</v>
      </c>
      <c r="AC18" s="216">
        <v>2.0415001045668446</v>
      </c>
      <c r="AD18" s="217">
        <v>2.3165744297268467</v>
      </c>
      <c r="AE18" s="217">
        <v>1.7170105777455711</v>
      </c>
      <c r="AF18" s="217">
        <v>1.5401003434881704</v>
      </c>
      <c r="AG18" s="217">
        <v>1.568448886948326</v>
      </c>
      <c r="AH18" s="217">
        <v>1.9286704283631253</v>
      </c>
      <c r="AI18" s="217">
        <v>1.8057056062440915</v>
      </c>
      <c r="AJ18" s="217">
        <v>1.6513560270801291</v>
      </c>
      <c r="AK18" s="217">
        <v>1.6590997465395767</v>
      </c>
      <c r="AL18" s="217">
        <v>1.7546887044829991</v>
      </c>
      <c r="AM18" s="217">
        <v>1.6147874872722088</v>
      </c>
      <c r="AN18" s="217">
        <v>1.5466004248653711</v>
      </c>
      <c r="AO18" s="217">
        <v>1.6903416267397982</v>
      </c>
      <c r="AP18" s="216">
        <v>1.7930980101402811</v>
      </c>
      <c r="AQ18" s="216">
        <v>1.5471773815476264</v>
      </c>
      <c r="AR18" s="214">
        <v>1.69</v>
      </c>
      <c r="AS18" s="214">
        <v>1.51</v>
      </c>
      <c r="AT18" s="214">
        <v>1.75</v>
      </c>
      <c r="AU18" s="214">
        <v>1.64</v>
      </c>
      <c r="AV18" s="214">
        <v>1.64</v>
      </c>
      <c r="AW18" s="214">
        <v>1.64</v>
      </c>
      <c r="AX18" s="214">
        <v>1.64</v>
      </c>
      <c r="AY18" s="214">
        <v>1.64</v>
      </c>
      <c r="AZ18" s="214">
        <v>1.64</v>
      </c>
      <c r="BA18" s="214">
        <v>1.64</v>
      </c>
      <c r="BB18" s="214">
        <v>1.64</v>
      </c>
      <c r="BC18" s="214">
        <v>1.64</v>
      </c>
      <c r="BD18" s="214">
        <v>1.64</v>
      </c>
      <c r="BE18" s="214">
        <v>1.64</v>
      </c>
      <c r="BF18" s="214">
        <v>1.25</v>
      </c>
      <c r="BG18" s="214">
        <v>1.4</v>
      </c>
      <c r="BH18" s="214">
        <v>1.4</v>
      </c>
      <c r="BI18" s="214">
        <v>1.36</v>
      </c>
      <c r="BJ18" s="214">
        <v>1.4</v>
      </c>
      <c r="BK18" s="214">
        <v>1.38</v>
      </c>
      <c r="BL18" s="214">
        <v>1.4</v>
      </c>
      <c r="BM18" s="214">
        <v>1.4</v>
      </c>
      <c r="BN18" s="214">
        <v>1.4</v>
      </c>
      <c r="BO18" s="300">
        <v>1.4</v>
      </c>
      <c r="BP18" s="214">
        <v>1.4</v>
      </c>
      <c r="BQ18" s="214">
        <v>1.4</v>
      </c>
      <c r="BR18" s="214">
        <v>1.53</v>
      </c>
      <c r="BS18" s="300">
        <v>1.53</v>
      </c>
      <c r="BT18" s="300">
        <v>1.53</v>
      </c>
      <c r="BU18" s="300">
        <v>1.53</v>
      </c>
      <c r="BV18" s="300">
        <v>1.53</v>
      </c>
      <c r="BW18" s="178"/>
    </row>
    <row r="19" spans="1:76 16384:16384">
      <c r="A19" s="178" t="str">
        <f t="shared" si="0"/>
        <v>Hydrochloric acidINR</v>
      </c>
      <c r="B19" s="178" t="s">
        <v>41</v>
      </c>
      <c r="C19" s="178" t="s">
        <v>58</v>
      </c>
      <c r="D19" s="178" t="s">
        <v>43</v>
      </c>
      <c r="E19" s="178" t="s">
        <v>34</v>
      </c>
      <c r="F19" s="214">
        <v>3</v>
      </c>
      <c r="G19" s="214">
        <v>3</v>
      </c>
      <c r="H19" s="214">
        <v>3</v>
      </c>
      <c r="I19" s="214">
        <v>3</v>
      </c>
      <c r="J19" s="214">
        <v>3</v>
      </c>
      <c r="K19" s="214">
        <v>3</v>
      </c>
      <c r="L19" s="214">
        <v>3</v>
      </c>
      <c r="M19" s="214">
        <v>3</v>
      </c>
      <c r="N19" s="214">
        <v>3</v>
      </c>
      <c r="O19" s="214">
        <v>3</v>
      </c>
      <c r="P19" s="214">
        <v>3</v>
      </c>
      <c r="Q19" s="214">
        <v>3</v>
      </c>
      <c r="R19" s="214">
        <v>3</v>
      </c>
      <c r="S19" s="214">
        <v>3</v>
      </c>
      <c r="T19" s="214">
        <v>3</v>
      </c>
      <c r="U19" s="214">
        <v>3</v>
      </c>
      <c r="V19" s="214">
        <v>3</v>
      </c>
      <c r="W19" s="214">
        <v>3</v>
      </c>
      <c r="X19" s="214">
        <v>3</v>
      </c>
      <c r="Y19" s="214">
        <v>3</v>
      </c>
      <c r="Z19" s="214">
        <v>3</v>
      </c>
      <c r="AA19" s="214">
        <v>3</v>
      </c>
      <c r="AB19" s="214">
        <v>3</v>
      </c>
      <c r="AC19" s="214">
        <v>3</v>
      </c>
      <c r="AD19" s="214">
        <v>3</v>
      </c>
      <c r="AE19" s="214">
        <v>3</v>
      </c>
      <c r="AF19" s="214">
        <v>3</v>
      </c>
      <c r="AG19" s="214">
        <v>3</v>
      </c>
      <c r="AH19" s="214">
        <v>3</v>
      </c>
      <c r="AI19" s="214">
        <v>3</v>
      </c>
      <c r="AJ19" s="214">
        <v>3</v>
      </c>
      <c r="AK19" s="214">
        <v>3</v>
      </c>
      <c r="AL19" s="214">
        <v>3</v>
      </c>
      <c r="AM19" s="214">
        <v>3</v>
      </c>
      <c r="AN19" s="214">
        <v>3</v>
      </c>
      <c r="AO19" s="214">
        <v>3</v>
      </c>
      <c r="AP19" s="214">
        <v>3</v>
      </c>
      <c r="AQ19" s="214">
        <v>3</v>
      </c>
      <c r="AR19" s="214">
        <v>3</v>
      </c>
      <c r="AS19" s="214">
        <v>3</v>
      </c>
      <c r="AT19" s="214">
        <v>3</v>
      </c>
      <c r="AU19" s="214">
        <v>3</v>
      </c>
      <c r="AV19" s="214">
        <v>3</v>
      </c>
      <c r="AW19" s="214">
        <v>3</v>
      </c>
      <c r="AX19" s="214">
        <v>3</v>
      </c>
      <c r="AY19" s="214">
        <v>3</v>
      </c>
      <c r="AZ19" s="214">
        <v>3</v>
      </c>
      <c r="BA19" s="214">
        <v>3</v>
      </c>
      <c r="BB19" s="214">
        <v>3</v>
      </c>
      <c r="BC19" s="214">
        <v>3</v>
      </c>
      <c r="BD19" s="214">
        <v>3</v>
      </c>
      <c r="BE19" s="214">
        <v>3</v>
      </c>
      <c r="BF19" s="214">
        <v>3</v>
      </c>
      <c r="BG19" s="214">
        <v>3</v>
      </c>
      <c r="BH19" s="214">
        <v>3</v>
      </c>
      <c r="BI19" s="214">
        <v>3</v>
      </c>
      <c r="BJ19" s="214">
        <v>3</v>
      </c>
      <c r="BK19" s="214">
        <v>3</v>
      </c>
      <c r="BL19" s="214">
        <v>3</v>
      </c>
      <c r="BM19" s="214">
        <v>3</v>
      </c>
      <c r="BN19" s="214">
        <v>3</v>
      </c>
      <c r="BO19" s="300">
        <v>3</v>
      </c>
      <c r="BP19" s="214">
        <v>3</v>
      </c>
      <c r="BQ19" s="214">
        <v>3</v>
      </c>
      <c r="BR19" s="308">
        <v>3</v>
      </c>
      <c r="BS19" s="313">
        <v>3</v>
      </c>
      <c r="BT19" s="313">
        <v>3</v>
      </c>
      <c r="BU19" s="214">
        <v>3</v>
      </c>
      <c r="BV19" s="214">
        <v>3</v>
      </c>
      <c r="BW19" s="214">
        <v>3</v>
      </c>
    </row>
    <row r="20" spans="1:76 16384:16384">
      <c r="A20" s="178" t="str">
        <f t="shared" si="0"/>
        <v>FormaldehydeINR</v>
      </c>
      <c r="B20" s="178" t="s">
        <v>44</v>
      </c>
      <c r="C20" s="178" t="s">
        <v>59</v>
      </c>
      <c r="D20" s="178" t="s">
        <v>43</v>
      </c>
      <c r="E20" s="178" t="s">
        <v>34</v>
      </c>
      <c r="F20" s="214"/>
      <c r="G20" s="214"/>
      <c r="H20" s="214"/>
      <c r="I20" s="214"/>
      <c r="J20" s="214"/>
      <c r="K20" s="214"/>
      <c r="L20" s="214"/>
      <c r="M20" s="214"/>
      <c r="N20" s="214"/>
      <c r="O20" s="214"/>
      <c r="P20" s="214"/>
      <c r="Q20" s="214"/>
      <c r="R20" s="214"/>
      <c r="S20" s="214"/>
      <c r="T20" s="214"/>
      <c r="U20" s="214"/>
      <c r="V20" s="214"/>
      <c r="W20" s="214"/>
      <c r="X20" s="214"/>
      <c r="Y20" s="214"/>
      <c r="Z20" s="214"/>
      <c r="AA20" s="214"/>
      <c r="AB20" s="214"/>
      <c r="AC20" s="214"/>
      <c r="AD20" s="218">
        <v>1128</v>
      </c>
      <c r="AE20" s="215"/>
      <c r="AF20" s="215"/>
      <c r="AG20" s="215">
        <v>81</v>
      </c>
      <c r="AH20" s="215">
        <v>80.705882352941174</v>
      </c>
      <c r="AI20" s="215"/>
      <c r="AJ20" s="215"/>
      <c r="AK20" s="215">
        <v>82</v>
      </c>
      <c r="AL20" s="215"/>
      <c r="AM20" s="215">
        <v>80</v>
      </c>
      <c r="AN20" s="215"/>
      <c r="AO20" s="215"/>
      <c r="AP20" s="214"/>
      <c r="AQ20" s="214"/>
      <c r="AR20" s="214"/>
      <c r="AS20" s="214"/>
      <c r="AT20" s="214"/>
      <c r="AU20" s="214"/>
      <c r="AV20" s="214"/>
      <c r="AW20" s="214"/>
      <c r="AX20" s="178"/>
      <c r="AY20" s="214"/>
      <c r="AZ20" s="214"/>
      <c r="BA20" s="214"/>
      <c r="BB20" s="214"/>
      <c r="BC20" s="214"/>
      <c r="BD20" s="214"/>
      <c r="BE20" s="214"/>
      <c r="BF20" s="214"/>
      <c r="BG20" s="214"/>
      <c r="BH20" s="214"/>
      <c r="BI20" s="214"/>
      <c r="BJ20" s="214"/>
      <c r="BK20" s="214"/>
      <c r="BL20" s="214"/>
      <c r="BM20" s="214"/>
      <c r="BN20" s="214"/>
      <c r="BO20" s="302"/>
      <c r="BP20" s="214"/>
      <c r="BQ20" s="214"/>
      <c r="BR20" s="214"/>
      <c r="BS20" s="300"/>
      <c r="BT20" s="300"/>
      <c r="BU20" s="214"/>
      <c r="BV20" s="214"/>
      <c r="BW20" s="178"/>
    </row>
    <row r="21" spans="1:76 16384:16384">
      <c r="A21" s="178" t="str">
        <f t="shared" si="0"/>
        <v>MEAUSD</v>
      </c>
      <c r="B21" s="178" t="s">
        <v>46</v>
      </c>
      <c r="C21" s="178" t="s">
        <v>60</v>
      </c>
      <c r="D21" s="178" t="s">
        <v>33</v>
      </c>
      <c r="E21" s="178" t="s">
        <v>32</v>
      </c>
      <c r="F21" s="215">
        <v>1117</v>
      </c>
      <c r="G21" s="215">
        <v>1098.125</v>
      </c>
      <c r="H21" s="215">
        <v>1021.875</v>
      </c>
      <c r="I21" s="215">
        <v>885</v>
      </c>
      <c r="J21" s="215">
        <v>818.5</v>
      </c>
      <c r="K21" s="215">
        <v>868.125</v>
      </c>
      <c r="L21" s="215">
        <v>844</v>
      </c>
      <c r="M21" s="215">
        <v>810</v>
      </c>
      <c r="N21" s="215">
        <v>827.5</v>
      </c>
      <c r="O21" s="215">
        <v>855</v>
      </c>
      <c r="P21" s="215">
        <v>986.25</v>
      </c>
      <c r="Q21" s="215">
        <v>1127.5</v>
      </c>
      <c r="R21" s="215">
        <v>1078.75</v>
      </c>
      <c r="S21" s="215">
        <v>1089</v>
      </c>
      <c r="T21" s="215">
        <v>1223</v>
      </c>
      <c r="U21" s="215">
        <v>1208</v>
      </c>
      <c r="V21" s="215">
        <v>1232.5</v>
      </c>
      <c r="W21" s="215">
        <v>1167.5</v>
      </c>
      <c r="X21" s="215">
        <v>1254</v>
      </c>
      <c r="Y21" s="215">
        <v>1325</v>
      </c>
      <c r="Z21" s="215">
        <v>1311.25</v>
      </c>
      <c r="AA21" s="215">
        <v>1455</v>
      </c>
      <c r="AB21" s="215">
        <v>1600</v>
      </c>
      <c r="AC21" s="215">
        <v>1657.5</v>
      </c>
      <c r="AD21" s="215">
        <v>1790</v>
      </c>
      <c r="AE21" s="215">
        <v>1895</v>
      </c>
      <c r="AF21" s="215">
        <v>2007.5</v>
      </c>
      <c r="AG21" s="215">
        <v>2162</v>
      </c>
      <c r="AH21" s="215">
        <v>1917.5</v>
      </c>
      <c r="AI21" s="215">
        <v>1706.25</v>
      </c>
      <c r="AJ21" s="215">
        <v>1489</v>
      </c>
      <c r="AK21" s="215">
        <v>1226.875</v>
      </c>
      <c r="AL21" s="215">
        <v>1279</v>
      </c>
      <c r="AM21" s="215">
        <v>1240</v>
      </c>
      <c r="AN21" s="215">
        <v>1163.75</v>
      </c>
      <c r="AO21" s="215">
        <v>1140</v>
      </c>
      <c r="AP21" s="215">
        <v>1125</v>
      </c>
      <c r="AQ21" s="215">
        <v>1234.375</v>
      </c>
      <c r="AR21" s="215">
        <v>1400</v>
      </c>
      <c r="AS21" s="215">
        <v>1400</v>
      </c>
      <c r="AT21" s="214">
        <v>1400</v>
      </c>
      <c r="AU21" s="215">
        <v>1350</v>
      </c>
      <c r="AV21" s="214">
        <v>1350</v>
      </c>
      <c r="AW21" s="215">
        <v>1300</v>
      </c>
      <c r="AX21" s="215">
        <v>1300</v>
      </c>
      <c r="AY21" s="215">
        <v>1300</v>
      </c>
      <c r="AZ21" s="215">
        <v>1325</v>
      </c>
      <c r="BA21" s="215">
        <v>1350</v>
      </c>
      <c r="BB21" s="215">
        <v>1350</v>
      </c>
      <c r="BC21" s="214">
        <v>1475</v>
      </c>
      <c r="BD21" s="214">
        <v>1500</v>
      </c>
      <c r="BE21" s="214">
        <v>1550</v>
      </c>
      <c r="BF21" s="214">
        <v>1550</v>
      </c>
      <c r="BG21" s="214">
        <f t="shared" ref="BG21:BW21" si="5">BG13</f>
        <v>1550</v>
      </c>
      <c r="BH21" s="214">
        <f t="shared" si="5"/>
        <v>1500</v>
      </c>
      <c r="BI21" s="214">
        <f t="shared" si="5"/>
        <v>1500</v>
      </c>
      <c r="BJ21" s="214">
        <f t="shared" si="5"/>
        <v>1500</v>
      </c>
      <c r="BK21" s="214">
        <f t="shared" si="5"/>
        <v>1500</v>
      </c>
      <c r="BL21" s="214">
        <f t="shared" si="5"/>
        <v>1500</v>
      </c>
      <c r="BM21" s="214">
        <f t="shared" si="5"/>
        <v>1450</v>
      </c>
      <c r="BN21" s="214">
        <f t="shared" si="5"/>
        <v>1450</v>
      </c>
      <c r="BO21" s="300">
        <f t="shared" si="5"/>
        <v>1400</v>
      </c>
      <c r="BP21" s="214">
        <f t="shared" si="5"/>
        <v>1350</v>
      </c>
      <c r="BQ21" s="214">
        <f t="shared" si="5"/>
        <v>1350</v>
      </c>
      <c r="BR21" s="313">
        <f t="shared" si="5"/>
        <v>1325</v>
      </c>
      <c r="BS21" s="313">
        <f t="shared" si="5"/>
        <v>1325</v>
      </c>
      <c r="BT21" s="300">
        <f t="shared" si="5"/>
        <v>1325</v>
      </c>
      <c r="BU21" s="214">
        <f t="shared" si="5"/>
        <v>1325</v>
      </c>
      <c r="BV21" s="214">
        <f t="shared" si="5"/>
        <v>1325</v>
      </c>
      <c r="BW21" s="214">
        <f t="shared" si="5"/>
        <v>0</v>
      </c>
    </row>
    <row r="22" spans="1:76 16384:16384">
      <c r="A22" s="178" t="str">
        <f t="shared" si="0"/>
        <v>CopperUSD</v>
      </c>
      <c r="B22" s="178" t="s">
        <v>61</v>
      </c>
      <c r="C22" s="178" t="s">
        <v>62</v>
      </c>
      <c r="D22" s="178" t="s">
        <v>33</v>
      </c>
      <c r="E22" s="178" t="s">
        <v>32</v>
      </c>
      <c r="F22" s="271">
        <v>6031.21</v>
      </c>
      <c r="G22" s="272">
        <v>5687.75</v>
      </c>
      <c r="H22" s="271">
        <v>5182.63</v>
      </c>
      <c r="I22" s="272">
        <v>5057.97</v>
      </c>
      <c r="J22" s="271">
        <v>5239.83</v>
      </c>
      <c r="K22" s="272">
        <v>5754.6</v>
      </c>
      <c r="L22" s="271">
        <v>6372.46</v>
      </c>
      <c r="M22" s="272">
        <v>6498.94</v>
      </c>
      <c r="N22" s="271">
        <v>6704.9</v>
      </c>
      <c r="O22" s="272">
        <v>6713.81</v>
      </c>
      <c r="P22" s="271">
        <v>7068.91</v>
      </c>
      <c r="Q22" s="272">
        <v>7772.24</v>
      </c>
      <c r="R22" s="271">
        <v>7972.15</v>
      </c>
      <c r="S22" s="272">
        <v>8470.94</v>
      </c>
      <c r="T22" s="271">
        <v>8988.25</v>
      </c>
      <c r="U22" s="272">
        <v>9324.82</v>
      </c>
      <c r="V22" s="271">
        <v>10161.969999999999</v>
      </c>
      <c r="W22" s="272">
        <v>9631.5</v>
      </c>
      <c r="X22" s="271">
        <v>9450.82</v>
      </c>
      <c r="Y22" s="272">
        <v>9370.14</v>
      </c>
      <c r="Z22" s="271">
        <v>9324.7099999999991</v>
      </c>
      <c r="AA22" s="272">
        <v>9829.2199999999993</v>
      </c>
      <c r="AB22" s="271">
        <v>9728.9</v>
      </c>
      <c r="AC22" s="272">
        <v>9551.18</v>
      </c>
      <c r="AD22" s="271">
        <v>9782.34</v>
      </c>
      <c r="AE22" s="272">
        <v>9943.17</v>
      </c>
      <c r="AF22" s="271">
        <v>10230.89</v>
      </c>
      <c r="AG22" s="272">
        <v>10181</v>
      </c>
      <c r="AH22" s="271">
        <v>9377.15</v>
      </c>
      <c r="AI22" s="272">
        <v>9024.4599999999991</v>
      </c>
      <c r="AJ22" s="271">
        <v>7544.81</v>
      </c>
      <c r="AK22" s="272">
        <v>7981.84</v>
      </c>
      <c r="AL22" s="271">
        <v>7746.01</v>
      </c>
      <c r="AM22" s="272">
        <v>7651.08</v>
      </c>
      <c r="AN22" s="271">
        <v>8049.86</v>
      </c>
      <c r="AO22" s="272">
        <v>8375.4</v>
      </c>
      <c r="AP22" s="214">
        <v>8999</v>
      </c>
      <c r="AQ22" s="214">
        <v>8954</v>
      </c>
      <c r="AR22" s="214">
        <v>8834</v>
      </c>
      <c r="AS22" s="214">
        <v>8812</v>
      </c>
      <c r="AT22" s="214">
        <v>8493.5</v>
      </c>
      <c r="AU22" s="214">
        <v>8367</v>
      </c>
      <c r="AV22" s="214">
        <v>8251</v>
      </c>
      <c r="AW22" s="214">
        <v>8651</v>
      </c>
      <c r="AX22" s="214">
        <v>8429</v>
      </c>
      <c r="AY22" s="214">
        <v>8591</v>
      </c>
      <c r="AZ22" s="214">
        <v>8423</v>
      </c>
      <c r="BA22" s="214">
        <v>8126</v>
      </c>
      <c r="BB22" s="214">
        <v>8359</v>
      </c>
      <c r="BC22" s="214">
        <v>8359</v>
      </c>
      <c r="BD22" s="214">
        <v>8487</v>
      </c>
      <c r="BE22" s="214">
        <v>8275</v>
      </c>
      <c r="BF22" s="214">
        <v>8187</v>
      </c>
      <c r="BG22" s="214">
        <v>8111</v>
      </c>
      <c r="BH22" s="214">
        <v>8046</v>
      </c>
      <c r="BI22" s="214">
        <v>7991</v>
      </c>
      <c r="BJ22" s="214">
        <v>8051.5</v>
      </c>
      <c r="BK22" s="214">
        <v>8099</v>
      </c>
      <c r="BL22" s="214">
        <v>8175.5</v>
      </c>
      <c r="BM22" s="214">
        <v>8235</v>
      </c>
      <c r="BN22" s="214">
        <v>8235</v>
      </c>
      <c r="BO22" s="304">
        <v>8409.5</v>
      </c>
      <c r="BP22" s="214">
        <v>8334</v>
      </c>
      <c r="BQ22" s="214">
        <v>8330</v>
      </c>
      <c r="BR22" s="214">
        <v>8595.5</v>
      </c>
      <c r="BS22" s="300">
        <v>8559</v>
      </c>
      <c r="BT22" s="300">
        <v>8463</v>
      </c>
      <c r="BU22" s="214">
        <v>8351</v>
      </c>
      <c r="BV22" s="214">
        <v>8351</v>
      </c>
      <c r="BW22" s="178"/>
    </row>
    <row r="23" spans="1:76 16384:16384">
      <c r="A23" s="178" t="str">
        <f t="shared" si="0"/>
        <v>Nitric AcidINR</v>
      </c>
      <c r="B23" s="178" t="s">
        <v>41</v>
      </c>
      <c r="C23" s="178" t="s">
        <v>63</v>
      </c>
      <c r="D23" s="178" t="s">
        <v>43</v>
      </c>
      <c r="E23" s="178" t="s">
        <v>34</v>
      </c>
      <c r="F23" s="214"/>
      <c r="G23" s="214"/>
      <c r="H23" s="214"/>
      <c r="I23" s="214"/>
      <c r="J23" s="214"/>
      <c r="K23" s="214"/>
      <c r="L23" s="214"/>
      <c r="M23" s="214"/>
      <c r="N23" s="214"/>
      <c r="O23" s="214"/>
      <c r="P23" s="214"/>
      <c r="Q23" s="214"/>
      <c r="R23" s="214"/>
      <c r="S23" s="214"/>
      <c r="T23" s="214"/>
      <c r="U23" s="214"/>
      <c r="V23" s="214"/>
      <c r="W23" s="214"/>
      <c r="X23" s="214"/>
      <c r="Y23" s="214"/>
      <c r="Z23" s="214"/>
      <c r="AA23" s="214"/>
      <c r="AB23" s="214"/>
      <c r="AC23" s="214"/>
      <c r="AD23" s="219">
        <v>941.53</v>
      </c>
      <c r="AE23" s="232">
        <v>40</v>
      </c>
      <c r="AF23" s="232">
        <v>40</v>
      </c>
      <c r="AG23" s="232">
        <v>40</v>
      </c>
      <c r="AH23" s="232">
        <v>40</v>
      </c>
      <c r="AI23" s="232">
        <v>40</v>
      </c>
      <c r="AJ23" s="232">
        <v>40</v>
      </c>
      <c r="AK23" s="232">
        <v>40</v>
      </c>
      <c r="AL23" s="232">
        <v>40</v>
      </c>
      <c r="AM23" s="232">
        <v>40</v>
      </c>
      <c r="AN23" s="232">
        <v>40</v>
      </c>
      <c r="AO23" s="232">
        <v>40</v>
      </c>
      <c r="AP23" s="232">
        <v>40</v>
      </c>
      <c r="AQ23" s="232">
        <v>40</v>
      </c>
      <c r="AR23" s="232">
        <v>40</v>
      </c>
      <c r="AS23" s="232">
        <v>40</v>
      </c>
      <c r="AT23" s="232">
        <v>40</v>
      </c>
      <c r="AU23" s="232">
        <v>40</v>
      </c>
      <c r="AV23" s="232">
        <v>40</v>
      </c>
      <c r="AW23" s="232">
        <v>40</v>
      </c>
      <c r="AX23" s="232">
        <v>40</v>
      </c>
      <c r="AY23" s="232">
        <v>40</v>
      </c>
      <c r="AZ23" s="232">
        <v>40</v>
      </c>
      <c r="BA23" s="232">
        <v>40</v>
      </c>
      <c r="BB23" s="232">
        <v>40</v>
      </c>
      <c r="BC23" s="232">
        <v>40</v>
      </c>
      <c r="BD23" s="232">
        <v>40</v>
      </c>
      <c r="BE23" s="232">
        <v>40</v>
      </c>
      <c r="BF23" s="232">
        <v>40</v>
      </c>
      <c r="BG23" s="232">
        <v>40</v>
      </c>
      <c r="BH23" s="232">
        <v>40</v>
      </c>
      <c r="BI23" s="232">
        <v>40</v>
      </c>
      <c r="BJ23" s="232">
        <v>40</v>
      </c>
      <c r="BK23" s="232">
        <v>40</v>
      </c>
      <c r="BL23" s="232">
        <v>40</v>
      </c>
      <c r="BM23" s="232">
        <v>40</v>
      </c>
      <c r="BN23" s="232">
        <v>40</v>
      </c>
      <c r="BO23" s="303">
        <v>40</v>
      </c>
      <c r="BP23" s="232">
        <v>40</v>
      </c>
      <c r="BQ23" s="232">
        <v>40</v>
      </c>
      <c r="BR23" s="317">
        <v>40</v>
      </c>
      <c r="BS23" s="319">
        <v>40</v>
      </c>
      <c r="BT23" s="319">
        <v>40</v>
      </c>
      <c r="BU23" s="232">
        <v>40</v>
      </c>
      <c r="BV23" s="232">
        <v>40</v>
      </c>
      <c r="BW23" s="232">
        <v>40</v>
      </c>
    </row>
    <row r="24" spans="1:76 16384:16384">
      <c r="A24" s="178" t="str">
        <f t="shared" si="0"/>
        <v>AcetoneUSD</v>
      </c>
      <c r="B24" s="178" t="s">
        <v>46</v>
      </c>
      <c r="C24" s="178" t="s">
        <v>64</v>
      </c>
      <c r="D24" s="178" t="s">
        <v>33</v>
      </c>
      <c r="E24" s="178" t="s">
        <v>32</v>
      </c>
      <c r="F24" s="215">
        <v>684</v>
      </c>
      <c r="G24" s="215">
        <v>706.3</v>
      </c>
      <c r="H24" s="215">
        <v>643.79999999999995</v>
      </c>
      <c r="I24" s="215">
        <v>590</v>
      </c>
      <c r="J24" s="215">
        <v>784</v>
      </c>
      <c r="K24" s="215">
        <v>928.8</v>
      </c>
      <c r="L24" s="215">
        <v>953.5</v>
      </c>
      <c r="M24" s="215">
        <v>892.5</v>
      </c>
      <c r="N24" s="215">
        <v>885</v>
      </c>
      <c r="O24" s="215">
        <v>908</v>
      </c>
      <c r="P24" s="215">
        <v>963.8</v>
      </c>
      <c r="Q24" s="215">
        <v>1053.8</v>
      </c>
      <c r="R24" s="215">
        <v>992.5</v>
      </c>
      <c r="S24" s="215">
        <v>1085</v>
      </c>
      <c r="T24" s="215">
        <v>1280</v>
      </c>
      <c r="U24" s="215">
        <v>1305</v>
      </c>
      <c r="V24" s="215">
        <v>1237.5</v>
      </c>
      <c r="W24" s="215">
        <v>1028.8</v>
      </c>
      <c r="X24" s="215">
        <v>864</v>
      </c>
      <c r="Y24" s="215">
        <v>822.5</v>
      </c>
      <c r="Z24" s="215">
        <v>839</v>
      </c>
      <c r="AA24" s="215">
        <v>902</v>
      </c>
      <c r="AB24" s="215">
        <v>893.8</v>
      </c>
      <c r="AC24" s="215">
        <v>835</v>
      </c>
      <c r="AD24" s="215">
        <v>822.5</v>
      </c>
      <c r="AE24" s="215">
        <v>875</v>
      </c>
      <c r="AF24" s="215">
        <v>986.3</v>
      </c>
      <c r="AG24" s="215">
        <v>962</v>
      </c>
      <c r="AH24" s="215">
        <v>955</v>
      </c>
      <c r="AI24" s="215">
        <v>960</v>
      </c>
      <c r="AJ24" s="215">
        <v>952</v>
      </c>
      <c r="AK24" s="215">
        <v>875</v>
      </c>
      <c r="AL24" s="215">
        <v>837.5</v>
      </c>
      <c r="AM24" s="215">
        <v>818.8</v>
      </c>
      <c r="AN24" s="214">
        <v>785</v>
      </c>
      <c r="AO24" s="214">
        <v>790</v>
      </c>
      <c r="AP24" s="215">
        <v>790</v>
      </c>
      <c r="AQ24" s="215">
        <v>833.8</v>
      </c>
      <c r="AR24" s="214">
        <v>915</v>
      </c>
      <c r="AS24" s="214">
        <v>915</v>
      </c>
      <c r="AT24" s="214">
        <v>932.5</v>
      </c>
      <c r="AU24" s="214">
        <v>922.5</v>
      </c>
      <c r="AV24" s="214">
        <v>800</v>
      </c>
      <c r="AW24" s="214">
        <v>815</v>
      </c>
      <c r="AX24" s="214">
        <v>815</v>
      </c>
      <c r="AY24" s="214">
        <v>825</v>
      </c>
      <c r="AZ24" s="214">
        <v>845</v>
      </c>
      <c r="BA24" s="214">
        <v>860</v>
      </c>
      <c r="BB24" s="214">
        <v>865</v>
      </c>
      <c r="BC24" s="214">
        <v>865</v>
      </c>
      <c r="BD24" s="214">
        <v>865</v>
      </c>
      <c r="BE24" s="214">
        <v>875</v>
      </c>
      <c r="BF24" s="214">
        <v>875</v>
      </c>
      <c r="BG24" s="214">
        <v>925</v>
      </c>
      <c r="BH24" s="214">
        <v>940</v>
      </c>
      <c r="BI24" s="214">
        <v>950</v>
      </c>
      <c r="BJ24" s="214">
        <v>920</v>
      </c>
      <c r="BK24" s="214">
        <v>920</v>
      </c>
      <c r="BL24" s="214">
        <v>920</v>
      </c>
      <c r="BM24" s="214">
        <v>930</v>
      </c>
      <c r="BN24" s="214">
        <v>930</v>
      </c>
      <c r="BO24" s="300">
        <v>930</v>
      </c>
      <c r="BP24" s="214">
        <v>905</v>
      </c>
      <c r="BQ24" s="214">
        <v>905</v>
      </c>
      <c r="BR24" s="300">
        <v>905</v>
      </c>
      <c r="BS24" s="300">
        <v>905</v>
      </c>
      <c r="BT24" s="300">
        <v>930</v>
      </c>
      <c r="BU24" s="214">
        <v>925</v>
      </c>
      <c r="BV24" s="214">
        <v>925</v>
      </c>
      <c r="BW24" s="178"/>
    </row>
    <row r="25" spans="1:76 16384:16384">
      <c r="A25" s="178" t="str">
        <f t="shared" si="0"/>
        <v>AcetoneINR</v>
      </c>
      <c r="B25" s="178" t="s">
        <v>46</v>
      </c>
      <c r="C25" s="178" t="s">
        <v>64</v>
      </c>
      <c r="D25" s="178" t="s">
        <v>43</v>
      </c>
      <c r="E25" s="178" t="s">
        <v>34</v>
      </c>
      <c r="F25" s="214"/>
      <c r="G25" s="214"/>
      <c r="H25" s="214"/>
      <c r="I25" s="214"/>
      <c r="J25" s="214"/>
      <c r="K25" s="214"/>
      <c r="L25" s="214"/>
      <c r="M25" s="214"/>
      <c r="N25" s="214"/>
      <c r="O25" s="214"/>
      <c r="P25" s="214"/>
      <c r="Q25" s="214"/>
      <c r="R25" s="214"/>
      <c r="S25" s="214"/>
      <c r="T25" s="214"/>
      <c r="U25" s="214"/>
      <c r="V25" s="214"/>
      <c r="W25" s="214"/>
      <c r="X25" s="214"/>
      <c r="Y25" s="214"/>
      <c r="Z25" s="214"/>
      <c r="AA25" s="214"/>
      <c r="AB25" s="214"/>
      <c r="AC25" s="214"/>
      <c r="AD25" s="215">
        <f t="shared" ref="AD25:BW25" si="6">(AD24/1000)*AD1</f>
        <v>61.235125000000004</v>
      </c>
      <c r="AE25" s="215">
        <f t="shared" si="6"/>
        <v>65.589999999999989</v>
      </c>
      <c r="AF25" s="215">
        <f t="shared" si="6"/>
        <v>75.165922999999992</v>
      </c>
      <c r="AG25" s="215">
        <f t="shared" si="6"/>
        <v>73.506925050000007</v>
      </c>
      <c r="AH25" s="215">
        <f t="shared" si="6"/>
        <v>73.839907624999981</v>
      </c>
      <c r="AI25" s="215">
        <f t="shared" si="6"/>
        <v>74.951594181818166</v>
      </c>
      <c r="AJ25" s="215">
        <f t="shared" si="6"/>
        <v>75.78067786666665</v>
      </c>
      <c r="AK25" s="215">
        <f t="shared" si="6"/>
        <v>69.603566666666666</v>
      </c>
      <c r="AL25" s="215">
        <f t="shared" si="6"/>
        <v>67.193926931818197</v>
      </c>
      <c r="AM25" s="215">
        <f t="shared" si="6"/>
        <v>67.420087526666677</v>
      </c>
      <c r="AN25" s="215">
        <f t="shared" si="6"/>
        <v>64.221257452380954</v>
      </c>
      <c r="AO25" s="215">
        <f t="shared" si="6"/>
        <v>65.146728772727272</v>
      </c>
      <c r="AP25" s="215">
        <f t="shared" si="6"/>
        <v>64.700676476190466</v>
      </c>
      <c r="AQ25" s="215">
        <f t="shared" si="6"/>
        <v>68.473031770000006</v>
      </c>
      <c r="AR25" s="215">
        <f t="shared" si="6"/>
        <v>75.141309750000005</v>
      </c>
      <c r="AS25" s="215">
        <f t="shared" si="6"/>
        <v>75.141309750000005</v>
      </c>
      <c r="AT25" s="215">
        <f t="shared" si="6"/>
        <v>76.578438625000004</v>
      </c>
      <c r="AU25" s="215">
        <f t="shared" si="6"/>
        <v>76.106250000000003</v>
      </c>
      <c r="AV25" s="215">
        <f t="shared" si="6"/>
        <v>65.951999999999998</v>
      </c>
      <c r="AW25" s="215">
        <f t="shared" si="6"/>
        <v>66.976700000000008</v>
      </c>
      <c r="AX25" s="215">
        <f t="shared" si="6"/>
        <v>66.764799999999994</v>
      </c>
      <c r="AY25" s="215">
        <f t="shared" si="6"/>
        <v>67.864500000000007</v>
      </c>
      <c r="AZ25" s="215">
        <f t="shared" si="6"/>
        <v>69.991349999999997</v>
      </c>
      <c r="BA25" s="215">
        <f t="shared" si="6"/>
        <v>71.594999999999999</v>
      </c>
      <c r="BB25" s="215">
        <f t="shared" si="6"/>
        <v>72.011250000000004</v>
      </c>
      <c r="BC25" s="215">
        <f t="shared" si="6"/>
        <v>71.492249999999999</v>
      </c>
      <c r="BD25" s="215">
        <f t="shared" si="6"/>
        <v>71.838250000000002</v>
      </c>
      <c r="BE25" s="215">
        <f t="shared" si="6"/>
        <v>72.572499999999991</v>
      </c>
      <c r="BF25" s="215">
        <f t="shared" si="6"/>
        <v>72.563749999999999</v>
      </c>
      <c r="BG25" s="215">
        <f t="shared" si="6"/>
        <v>77.015500000000003</v>
      </c>
      <c r="BH25" s="215">
        <f t="shared" si="6"/>
        <v>78.226799999999997</v>
      </c>
      <c r="BI25" s="215">
        <f t="shared" si="6"/>
        <v>79.087499999999991</v>
      </c>
      <c r="BJ25" s="215">
        <f t="shared" si="6"/>
        <v>76.470400000000012</v>
      </c>
      <c r="BK25" s="215">
        <f t="shared" si="6"/>
        <v>76.59920000000001</v>
      </c>
      <c r="BL25" s="215">
        <f t="shared" si="6"/>
        <v>76.562399999999997</v>
      </c>
      <c r="BM25" s="215">
        <f t="shared" si="6"/>
        <v>77.366700000000009</v>
      </c>
      <c r="BN25" s="215">
        <f t="shared" si="6"/>
        <v>77.366700000000009</v>
      </c>
      <c r="BO25" s="304">
        <f t="shared" si="6"/>
        <v>77.496899999999997</v>
      </c>
      <c r="BP25" s="215">
        <f t="shared" si="6"/>
        <v>75.477000000000004</v>
      </c>
      <c r="BQ25" s="215">
        <f t="shared" si="6"/>
        <v>75.440799999999996</v>
      </c>
      <c r="BR25" s="304">
        <f t="shared" si="6"/>
        <v>75.3322</v>
      </c>
      <c r="BS25" s="304">
        <f t="shared" si="6"/>
        <v>75.404600000000002</v>
      </c>
      <c r="BT25" s="304">
        <f t="shared" si="6"/>
        <v>77.3202</v>
      </c>
      <c r="BU25" s="215">
        <f t="shared" si="6"/>
        <v>76.913750000000007</v>
      </c>
      <c r="BV25" s="215">
        <f t="shared" si="6"/>
        <v>77.006250000000009</v>
      </c>
      <c r="BW25" s="215">
        <f t="shared" si="6"/>
        <v>0</v>
      </c>
    </row>
    <row r="26" spans="1:76 16384:16384">
      <c r="A26" s="178" t="str">
        <f t="shared" si="0"/>
        <v>Barium hydroxide  monohydrateINR</v>
      </c>
      <c r="B26" s="178" t="s">
        <v>41</v>
      </c>
      <c r="C26" s="178" t="s">
        <v>65</v>
      </c>
      <c r="D26" s="178" t="s">
        <v>43</v>
      </c>
      <c r="E26" s="178" t="s">
        <v>34</v>
      </c>
      <c r="F26" s="214"/>
      <c r="G26" s="214"/>
      <c r="H26" s="214"/>
      <c r="I26" s="214"/>
      <c r="J26" s="214"/>
      <c r="K26" s="214"/>
      <c r="L26" s="214"/>
      <c r="M26" s="214"/>
      <c r="N26" s="214"/>
      <c r="O26" s="214"/>
      <c r="P26" s="214"/>
      <c r="Q26" s="214"/>
      <c r="R26" s="214"/>
      <c r="S26" s="214"/>
      <c r="T26" s="214"/>
      <c r="U26" s="214"/>
      <c r="V26" s="214"/>
      <c r="W26" s="214"/>
      <c r="X26" s="214"/>
      <c r="Y26" s="214"/>
      <c r="Z26" s="214"/>
      <c r="AA26" s="214"/>
      <c r="AB26" s="214"/>
      <c r="AC26" s="214"/>
      <c r="AD26" s="232">
        <v>130</v>
      </c>
      <c r="AE26" s="232">
        <v>130</v>
      </c>
      <c r="AF26" s="232">
        <v>130</v>
      </c>
      <c r="AG26" s="232">
        <v>130</v>
      </c>
      <c r="AH26" s="232">
        <v>130</v>
      </c>
      <c r="AI26" s="232">
        <v>130</v>
      </c>
      <c r="AJ26" s="232">
        <v>130</v>
      </c>
      <c r="AK26" s="232">
        <v>130</v>
      </c>
      <c r="AL26" s="232">
        <v>130</v>
      </c>
      <c r="AM26" s="232">
        <v>130</v>
      </c>
      <c r="AN26" s="232">
        <v>130</v>
      </c>
      <c r="AO26" s="214"/>
      <c r="AP26" s="214"/>
      <c r="AQ26" s="214"/>
      <c r="AR26" s="214"/>
      <c r="AS26" s="214"/>
      <c r="AT26" s="214"/>
      <c r="AU26" s="214"/>
      <c r="AV26" s="214"/>
      <c r="AW26" s="214"/>
      <c r="AX26" s="178"/>
      <c r="AY26" s="214"/>
      <c r="AZ26" s="214"/>
      <c r="BA26" s="214"/>
      <c r="BB26" s="214"/>
      <c r="BC26" s="214"/>
      <c r="BD26" s="214"/>
      <c r="BE26" s="214"/>
      <c r="BF26" s="214"/>
      <c r="BG26" s="214"/>
      <c r="BH26" s="214"/>
      <c r="BI26" s="214"/>
      <c r="BJ26" s="214"/>
      <c r="BK26" s="214"/>
      <c r="BL26" s="214"/>
      <c r="BM26" s="214"/>
      <c r="BN26" s="214"/>
      <c r="BO26" s="302"/>
      <c r="BP26" s="214"/>
      <c r="BQ26" s="214"/>
      <c r="BR26" s="214"/>
      <c r="BS26" s="300"/>
      <c r="BT26" s="300"/>
      <c r="BU26" s="214"/>
      <c r="BV26" s="214"/>
      <c r="BW26" s="178"/>
    </row>
    <row r="27" spans="1:76 16384:16384">
      <c r="A27" s="178" t="str">
        <f t="shared" si="0"/>
        <v>Phenol CHINA USD</v>
      </c>
      <c r="B27" s="178" t="s">
        <v>66</v>
      </c>
      <c r="C27" s="178" t="s">
        <v>67</v>
      </c>
      <c r="D27" s="178" t="s">
        <v>33</v>
      </c>
      <c r="E27" s="178" t="s">
        <v>32</v>
      </c>
      <c r="F27" s="214">
        <v>865</v>
      </c>
      <c r="G27" s="214">
        <v>920</v>
      </c>
      <c r="H27" s="214">
        <v>795</v>
      </c>
      <c r="I27" s="214">
        <v>665</v>
      </c>
      <c r="J27" s="214">
        <v>700</v>
      </c>
      <c r="K27" s="214">
        <v>840</v>
      </c>
      <c r="L27" s="214">
        <v>630</v>
      </c>
      <c r="M27" s="214">
        <v>625</v>
      </c>
      <c r="N27" s="214">
        <v>625</v>
      </c>
      <c r="O27" s="214">
        <v>645</v>
      </c>
      <c r="P27" s="214">
        <v>750</v>
      </c>
      <c r="Q27" s="214">
        <v>850</v>
      </c>
      <c r="R27" s="214">
        <v>875</v>
      </c>
      <c r="S27" s="214">
        <v>925</v>
      </c>
      <c r="T27" s="214">
        <v>1150</v>
      </c>
      <c r="U27" s="214">
        <v>1200</v>
      </c>
      <c r="V27" s="214">
        <v>1300</v>
      </c>
      <c r="W27" s="214">
        <v>1150</v>
      </c>
      <c r="X27" s="214">
        <v>1230</v>
      </c>
      <c r="Y27" s="214">
        <v>1215</v>
      </c>
      <c r="Z27" s="214">
        <v>1425</v>
      </c>
      <c r="AA27" s="214">
        <v>1375</v>
      </c>
      <c r="AB27" s="214">
        <v>1250</v>
      </c>
      <c r="AC27" s="214">
        <v>1225</v>
      </c>
      <c r="AD27" s="214">
        <v>1475</v>
      </c>
      <c r="AE27" s="214">
        <v>1495</v>
      </c>
      <c r="AF27" s="214">
        <v>1555</v>
      </c>
      <c r="AG27" s="214">
        <v>1455</v>
      </c>
      <c r="AH27" s="214">
        <v>1425</v>
      </c>
      <c r="AI27" s="214">
        <v>1475</v>
      </c>
      <c r="AJ27" s="214">
        <v>1225</v>
      </c>
      <c r="AK27" s="214">
        <v>1180</v>
      </c>
      <c r="AL27" s="214">
        <v>1240</v>
      </c>
      <c r="AM27" s="214">
        <v>1190</v>
      </c>
      <c r="AN27" s="214">
        <v>1075</v>
      </c>
      <c r="AO27" s="214">
        <v>955</v>
      </c>
      <c r="AP27" s="214">
        <v>910</v>
      </c>
      <c r="AQ27" s="214">
        <v>1000</v>
      </c>
      <c r="AR27" s="214">
        <v>940</v>
      </c>
      <c r="AS27" s="214">
        <v>900</v>
      </c>
      <c r="AT27" s="214">
        <v>880</v>
      </c>
      <c r="AU27" s="214">
        <v>725</v>
      </c>
      <c r="AV27" s="214">
        <v>725</v>
      </c>
      <c r="AW27" s="214">
        <v>725</v>
      </c>
      <c r="AX27" s="214">
        <v>725</v>
      </c>
      <c r="AY27" s="214">
        <v>825</v>
      </c>
      <c r="AZ27" s="214">
        <v>825</v>
      </c>
      <c r="BA27" s="214">
        <v>977.04</v>
      </c>
      <c r="BB27" s="214">
        <v>925</v>
      </c>
      <c r="BC27" s="214">
        <v>925</v>
      </c>
      <c r="BD27" s="214">
        <v>925</v>
      </c>
      <c r="BE27" s="214">
        <v>1050</v>
      </c>
      <c r="BF27" s="214">
        <v>1050</v>
      </c>
      <c r="BG27" s="214">
        <v>1050</v>
      </c>
      <c r="BH27" s="214">
        <v>1075</v>
      </c>
      <c r="BI27" s="214">
        <v>1075</v>
      </c>
      <c r="BJ27" s="214">
        <v>1075</v>
      </c>
      <c r="BK27" s="214">
        <v>975</v>
      </c>
      <c r="BL27" s="214">
        <v>925</v>
      </c>
      <c r="BM27" s="214">
        <v>925</v>
      </c>
      <c r="BN27" s="214">
        <v>925</v>
      </c>
      <c r="BO27" s="300">
        <v>925</v>
      </c>
      <c r="BP27" s="214">
        <v>925</v>
      </c>
      <c r="BQ27" s="214">
        <v>925</v>
      </c>
      <c r="BR27" s="313">
        <v>905</v>
      </c>
      <c r="BS27" s="313">
        <v>905</v>
      </c>
      <c r="BT27" s="313">
        <v>905</v>
      </c>
      <c r="BU27" s="313">
        <v>905</v>
      </c>
      <c r="BV27" s="313">
        <v>905</v>
      </c>
      <c r="BW27" s="178"/>
    </row>
    <row r="28" spans="1:76 16384:16384">
      <c r="A28" s="178" t="str">
        <f t="shared" si="0"/>
        <v>PROPYLENE TRIMERUSD</v>
      </c>
      <c r="B28" s="178" t="s">
        <v>56</v>
      </c>
      <c r="C28" s="178" t="s">
        <v>68</v>
      </c>
      <c r="D28" s="178" t="s">
        <v>33</v>
      </c>
      <c r="E28" s="178" t="s">
        <v>34</v>
      </c>
      <c r="F28" s="216">
        <v>1.1784076038003739</v>
      </c>
      <c r="G28" s="216">
        <v>1.1581715799493948</v>
      </c>
      <c r="H28" s="216">
        <v>1.1163584398313084</v>
      </c>
      <c r="I28" s="216">
        <v>0.94952529268093733</v>
      </c>
      <c r="J28" s="216">
        <v>1.2051355188756561</v>
      </c>
      <c r="K28" s="216">
        <v>1.1097750932571715</v>
      </c>
      <c r="L28" s="216">
        <v>0.90714941123433701</v>
      </c>
      <c r="M28" s="216">
        <v>1.0272154658542818</v>
      </c>
      <c r="N28" s="216">
        <v>0.88309234588671048</v>
      </c>
      <c r="O28" s="216">
        <v>0.81422544168833244</v>
      </c>
      <c r="P28" s="216">
        <v>0.81402518300498761</v>
      </c>
      <c r="Q28" s="216">
        <v>0.80551253333582085</v>
      </c>
      <c r="R28" s="216">
        <v>0.88693569611730594</v>
      </c>
      <c r="S28" s="216">
        <v>0.87395210935680478</v>
      </c>
      <c r="T28" s="216">
        <v>1.000993544882022</v>
      </c>
      <c r="U28" s="216">
        <v>1.1519594179357699</v>
      </c>
      <c r="V28" s="216">
        <v>1.9833783027638483</v>
      </c>
      <c r="W28" s="216">
        <v>1.3818268376736904</v>
      </c>
      <c r="X28" s="216">
        <v>1.3608739991321743</v>
      </c>
      <c r="Y28" s="216">
        <v>1.4707497216721062</v>
      </c>
      <c r="Z28" s="216">
        <v>1.4269011373687563</v>
      </c>
      <c r="AA28" s="216">
        <v>1.4286897826495313</v>
      </c>
      <c r="AB28" s="216">
        <v>1.6629754668583374</v>
      </c>
      <c r="AC28" s="216">
        <v>1.4152031714317914</v>
      </c>
      <c r="AD28" s="216">
        <v>1.5029287931089226</v>
      </c>
      <c r="AE28" s="216">
        <v>1.6588430958368658</v>
      </c>
      <c r="AF28" s="216">
        <v>1.6455392733640721</v>
      </c>
      <c r="AG28" s="216">
        <v>1.6880191762117951</v>
      </c>
      <c r="AH28" s="216">
        <v>1.8986910789321898</v>
      </c>
      <c r="AI28" s="216">
        <v>1.939705005661905</v>
      </c>
      <c r="AJ28" s="216">
        <v>2.0180120544072109</v>
      </c>
      <c r="AK28" s="216">
        <v>1.7776820383768484</v>
      </c>
      <c r="AL28" s="216">
        <v>1.9188085430709374</v>
      </c>
      <c r="AM28" s="216">
        <v>1.6464950247078409</v>
      </c>
      <c r="AN28" s="216">
        <v>2.0833182912040624</v>
      </c>
      <c r="AO28" s="216">
        <v>2.0088489010989012</v>
      </c>
      <c r="AP28" s="216">
        <v>1.8546604719447131</v>
      </c>
      <c r="AQ28" s="216">
        <v>1.4344275607746728</v>
      </c>
      <c r="AR28" s="216">
        <v>1.3644331809525261</v>
      </c>
      <c r="AS28" s="214">
        <v>1.41</v>
      </c>
      <c r="AT28" s="214">
        <v>1.56</v>
      </c>
      <c r="AU28" s="214">
        <v>1.6</v>
      </c>
      <c r="AV28" s="214">
        <v>1.6</v>
      </c>
      <c r="AW28" s="214">
        <v>1.6</v>
      </c>
      <c r="AX28" s="214">
        <v>1.6</v>
      </c>
      <c r="AY28" s="214">
        <v>1.64</v>
      </c>
      <c r="AZ28" s="214">
        <v>1.6</v>
      </c>
      <c r="BA28" s="214">
        <v>1.6</v>
      </c>
      <c r="BB28" s="214">
        <v>1.58</v>
      </c>
      <c r="BC28" s="214">
        <v>1.58</v>
      </c>
      <c r="BD28" s="214">
        <v>1.58</v>
      </c>
      <c r="BE28" s="214">
        <v>1.58</v>
      </c>
      <c r="BF28" s="214">
        <v>1.58</v>
      </c>
      <c r="BG28" s="214">
        <v>1.58</v>
      </c>
      <c r="BH28" s="214">
        <v>1.58</v>
      </c>
      <c r="BI28" s="214">
        <v>1.58</v>
      </c>
      <c r="BJ28" s="214">
        <v>1.47</v>
      </c>
      <c r="BK28" s="214">
        <v>1.2</v>
      </c>
      <c r="BL28" s="214">
        <v>1.3</v>
      </c>
      <c r="BM28" s="214">
        <v>1.4</v>
      </c>
      <c r="BN28" s="214">
        <v>1.4</v>
      </c>
      <c r="BO28" s="300">
        <v>1.4</v>
      </c>
      <c r="BP28" s="214">
        <v>1.4</v>
      </c>
      <c r="BQ28" s="214">
        <v>1.4</v>
      </c>
      <c r="BR28" s="214">
        <v>1.21</v>
      </c>
      <c r="BS28" s="300">
        <v>1.21</v>
      </c>
      <c r="BT28" s="300">
        <v>1.21</v>
      </c>
      <c r="BU28" s="300">
        <v>1.21</v>
      </c>
      <c r="BV28" s="300">
        <v>1.21</v>
      </c>
      <c r="BW28" s="178"/>
    </row>
    <row r="29" spans="1:76 16384:16384">
      <c r="A29" s="178" t="str">
        <f t="shared" si="0"/>
        <v>PROPYLENE TRIMERINR</v>
      </c>
      <c r="B29" s="178" t="s">
        <v>56</v>
      </c>
      <c r="C29" s="178" t="s">
        <v>68</v>
      </c>
      <c r="D29" s="178" t="s">
        <v>43</v>
      </c>
      <c r="E29" s="178" t="s">
        <v>34</v>
      </c>
      <c r="F29" s="214"/>
      <c r="G29" s="214"/>
      <c r="H29" s="214"/>
      <c r="I29" s="214"/>
      <c r="J29" s="214"/>
      <c r="K29" s="214"/>
      <c r="L29" s="214"/>
      <c r="M29" s="214"/>
      <c r="N29" s="214"/>
      <c r="O29" s="214"/>
      <c r="P29" s="214"/>
      <c r="Q29" s="214"/>
      <c r="R29" s="214"/>
      <c r="S29" s="214"/>
      <c r="T29" s="214"/>
      <c r="U29" s="214"/>
      <c r="V29" s="214"/>
      <c r="W29" s="214"/>
      <c r="X29" s="214"/>
      <c r="Y29" s="214"/>
      <c r="Z29" s="214"/>
      <c r="AA29" s="214"/>
      <c r="AB29" s="214"/>
      <c r="AC29" s="214"/>
      <c r="AD29" s="215">
        <f t="shared" ref="AD29:AQ29" si="7">AD28*AD1</f>
        <v>111.89304864695929</v>
      </c>
      <c r="AE29" s="215">
        <f t="shared" si="7"/>
        <v>124.34687846393145</v>
      </c>
      <c r="AF29" s="215">
        <f t="shared" si="7"/>
        <v>125.40654802307593</v>
      </c>
      <c r="AG29" s="215">
        <f t="shared" si="7"/>
        <v>128.98243146441078</v>
      </c>
      <c r="AH29" s="215">
        <f t="shared" si="7"/>
        <v>146.80541767200467</v>
      </c>
      <c r="AI29" s="215">
        <f t="shared" si="7"/>
        <v>151.44164835084626</v>
      </c>
      <c r="AJ29" s="215">
        <f t="shared" si="7"/>
        <v>160.63689225428891</v>
      </c>
      <c r="AK29" s="215">
        <f t="shared" si="7"/>
        <v>141.40915459462727</v>
      </c>
      <c r="AL29" s="215">
        <f t="shared" si="7"/>
        <v>153.94899228568011</v>
      </c>
      <c r="AM29" s="215">
        <f t="shared" si="7"/>
        <v>135.57259242552988</v>
      </c>
      <c r="AN29" s="215">
        <f t="shared" si="7"/>
        <v>170.43735074480313</v>
      </c>
      <c r="AO29" s="215">
        <f t="shared" si="7"/>
        <v>165.65814494339409</v>
      </c>
      <c r="AP29" s="215">
        <f t="shared" si="7"/>
        <v>151.89593312465013</v>
      </c>
      <c r="AQ29" s="215">
        <f t="shared" si="7"/>
        <v>117.79755809629141</v>
      </c>
      <c r="AR29" s="215">
        <f>AR28*AR1</f>
        <v>112.04950413457001</v>
      </c>
      <c r="AS29" s="215">
        <f t="shared" ref="AS29:BX29" si="8">AS28*AS1</f>
        <v>115.7915265</v>
      </c>
      <c r="AT29" s="215">
        <f t="shared" si="8"/>
        <v>128.10977400000002</v>
      </c>
      <c r="AU29" s="215">
        <f t="shared" si="8"/>
        <v>132</v>
      </c>
      <c r="AV29" s="215">
        <f t="shared" si="8"/>
        <v>131.904</v>
      </c>
      <c r="AW29" s="215">
        <f t="shared" si="8"/>
        <v>131.48800000000003</v>
      </c>
      <c r="AX29" s="215">
        <f t="shared" si="8"/>
        <v>131.072</v>
      </c>
      <c r="AY29" s="215">
        <f t="shared" si="8"/>
        <v>134.90639999999999</v>
      </c>
      <c r="AZ29" s="215">
        <f t="shared" si="8"/>
        <v>132.52799999999999</v>
      </c>
      <c r="BA29" s="215">
        <f t="shared" si="8"/>
        <v>133.20000000000002</v>
      </c>
      <c r="BB29" s="215">
        <f t="shared" si="8"/>
        <v>131.535</v>
      </c>
      <c r="BC29" s="215">
        <f t="shared" si="8"/>
        <v>130.58700000000002</v>
      </c>
      <c r="BD29" s="215">
        <f t="shared" si="8"/>
        <v>131.21899999999999</v>
      </c>
      <c r="BE29" s="215">
        <f t="shared" si="8"/>
        <v>131.04519999999999</v>
      </c>
      <c r="BF29" s="215">
        <f t="shared" si="8"/>
        <v>131.02940000000001</v>
      </c>
      <c r="BG29" s="215">
        <f t="shared" si="8"/>
        <v>131.55080000000001</v>
      </c>
      <c r="BH29" s="215">
        <f t="shared" si="8"/>
        <v>131.48760000000001</v>
      </c>
      <c r="BI29" s="215">
        <f t="shared" si="8"/>
        <v>131.535</v>
      </c>
      <c r="BJ29" s="215">
        <f t="shared" si="8"/>
        <v>122.18640000000001</v>
      </c>
      <c r="BK29" s="215">
        <f t="shared" si="8"/>
        <v>99.912000000000006</v>
      </c>
      <c r="BL29" s="215">
        <f t="shared" si="8"/>
        <v>108.18600000000001</v>
      </c>
      <c r="BM29" s="215">
        <f t="shared" si="8"/>
        <v>116.46599999999999</v>
      </c>
      <c r="BN29" s="215">
        <f t="shared" si="8"/>
        <v>116.46599999999999</v>
      </c>
      <c r="BO29" s="304">
        <f t="shared" si="8"/>
        <v>116.66199999999999</v>
      </c>
      <c r="BP29" s="215">
        <f t="shared" si="8"/>
        <v>116.76</v>
      </c>
      <c r="BQ29" s="215">
        <f t="shared" si="8"/>
        <v>116.70399999999999</v>
      </c>
      <c r="BR29" s="184">
        <f t="shared" si="8"/>
        <v>100.7204</v>
      </c>
      <c r="BS29" s="320">
        <f t="shared" si="8"/>
        <v>100.81719999999999</v>
      </c>
      <c r="BT29" s="320">
        <f t="shared" si="8"/>
        <v>100.5994</v>
      </c>
      <c r="BU29" s="215">
        <f t="shared" si="8"/>
        <v>100.61150000000001</v>
      </c>
      <c r="BV29" s="215">
        <f t="shared" si="8"/>
        <v>100.7325</v>
      </c>
      <c r="BW29" s="215">
        <f t="shared" si="8"/>
        <v>0</v>
      </c>
      <c r="BX29" s="326">
        <f t="shared" si="8"/>
        <v>0</v>
      </c>
    </row>
    <row r="30" spans="1:76 16384:16384">
      <c r="A30" s="178" t="str">
        <f t="shared" si="0"/>
        <v>Phenol CHINA USD</v>
      </c>
      <c r="B30" s="178" t="s">
        <v>66</v>
      </c>
      <c r="C30" s="178" t="s">
        <v>67</v>
      </c>
      <c r="D30" s="178" t="s">
        <v>33</v>
      </c>
      <c r="E30" s="178" t="s">
        <v>34</v>
      </c>
      <c r="F30" s="216">
        <f>F27/1000</f>
        <v>0.86499999999999999</v>
      </c>
      <c r="G30" s="216">
        <f t="shared" ref="G30:BR30" si="9">G27/1000</f>
        <v>0.92</v>
      </c>
      <c r="H30" s="216">
        <f t="shared" si="9"/>
        <v>0.79500000000000004</v>
      </c>
      <c r="I30" s="216">
        <f t="shared" si="9"/>
        <v>0.66500000000000004</v>
      </c>
      <c r="J30" s="216">
        <f t="shared" si="9"/>
        <v>0.7</v>
      </c>
      <c r="K30" s="216">
        <f t="shared" si="9"/>
        <v>0.84</v>
      </c>
      <c r="L30" s="216">
        <f t="shared" si="9"/>
        <v>0.63</v>
      </c>
      <c r="M30" s="216">
        <f t="shared" si="9"/>
        <v>0.625</v>
      </c>
      <c r="N30" s="216">
        <f t="shared" si="9"/>
        <v>0.625</v>
      </c>
      <c r="O30" s="216">
        <f t="shared" si="9"/>
        <v>0.64500000000000002</v>
      </c>
      <c r="P30" s="216">
        <f t="shared" si="9"/>
        <v>0.75</v>
      </c>
      <c r="Q30" s="216">
        <f t="shared" si="9"/>
        <v>0.85</v>
      </c>
      <c r="R30" s="216">
        <f t="shared" si="9"/>
        <v>0.875</v>
      </c>
      <c r="S30" s="216">
        <f t="shared" si="9"/>
        <v>0.92500000000000004</v>
      </c>
      <c r="T30" s="216">
        <f t="shared" si="9"/>
        <v>1.1499999999999999</v>
      </c>
      <c r="U30" s="216">
        <f t="shared" si="9"/>
        <v>1.2</v>
      </c>
      <c r="V30" s="216">
        <f t="shared" si="9"/>
        <v>1.3</v>
      </c>
      <c r="W30" s="216">
        <f t="shared" si="9"/>
        <v>1.1499999999999999</v>
      </c>
      <c r="X30" s="216">
        <f t="shared" si="9"/>
        <v>1.23</v>
      </c>
      <c r="Y30" s="216">
        <f t="shared" si="9"/>
        <v>1.2150000000000001</v>
      </c>
      <c r="Z30" s="216">
        <f t="shared" si="9"/>
        <v>1.425</v>
      </c>
      <c r="AA30" s="216">
        <f t="shared" si="9"/>
        <v>1.375</v>
      </c>
      <c r="AB30" s="216">
        <f t="shared" si="9"/>
        <v>1.25</v>
      </c>
      <c r="AC30" s="216">
        <f t="shared" si="9"/>
        <v>1.2250000000000001</v>
      </c>
      <c r="AD30" s="216">
        <f t="shared" si="9"/>
        <v>1.4750000000000001</v>
      </c>
      <c r="AE30" s="216">
        <f t="shared" si="9"/>
        <v>1.4950000000000001</v>
      </c>
      <c r="AF30" s="216">
        <f t="shared" si="9"/>
        <v>1.5549999999999999</v>
      </c>
      <c r="AG30" s="216">
        <f t="shared" si="9"/>
        <v>1.4550000000000001</v>
      </c>
      <c r="AH30" s="216">
        <f t="shared" si="9"/>
        <v>1.425</v>
      </c>
      <c r="AI30" s="216">
        <f t="shared" si="9"/>
        <v>1.4750000000000001</v>
      </c>
      <c r="AJ30" s="216">
        <f t="shared" si="9"/>
        <v>1.2250000000000001</v>
      </c>
      <c r="AK30" s="216">
        <f t="shared" si="9"/>
        <v>1.18</v>
      </c>
      <c r="AL30" s="216">
        <f t="shared" si="9"/>
        <v>1.24</v>
      </c>
      <c r="AM30" s="216">
        <f t="shared" si="9"/>
        <v>1.19</v>
      </c>
      <c r="AN30" s="216">
        <f t="shared" si="9"/>
        <v>1.075</v>
      </c>
      <c r="AO30" s="216">
        <f t="shared" si="9"/>
        <v>0.95499999999999996</v>
      </c>
      <c r="AP30" s="216">
        <f t="shared" si="9"/>
        <v>0.91</v>
      </c>
      <c r="AQ30" s="216">
        <f t="shared" si="9"/>
        <v>1</v>
      </c>
      <c r="AR30" s="216">
        <f t="shared" si="9"/>
        <v>0.94</v>
      </c>
      <c r="AS30" s="216">
        <f t="shared" si="9"/>
        <v>0.9</v>
      </c>
      <c r="AT30" s="216">
        <f t="shared" si="9"/>
        <v>0.88</v>
      </c>
      <c r="AU30" s="216">
        <f t="shared" si="9"/>
        <v>0.72499999999999998</v>
      </c>
      <c r="AV30" s="216">
        <f t="shared" si="9"/>
        <v>0.72499999999999998</v>
      </c>
      <c r="AW30" s="216">
        <f t="shared" si="9"/>
        <v>0.72499999999999998</v>
      </c>
      <c r="AX30" s="216">
        <f t="shared" si="9"/>
        <v>0.72499999999999998</v>
      </c>
      <c r="AY30" s="216">
        <f t="shared" si="9"/>
        <v>0.82499999999999996</v>
      </c>
      <c r="AZ30" s="216">
        <f t="shared" si="9"/>
        <v>0.82499999999999996</v>
      </c>
      <c r="BA30" s="216">
        <f t="shared" si="9"/>
        <v>0.97703999999999991</v>
      </c>
      <c r="BB30" s="216">
        <f t="shared" si="9"/>
        <v>0.92500000000000004</v>
      </c>
      <c r="BC30" s="216">
        <f t="shared" si="9"/>
        <v>0.92500000000000004</v>
      </c>
      <c r="BD30" s="216">
        <f t="shared" si="9"/>
        <v>0.92500000000000004</v>
      </c>
      <c r="BE30" s="216">
        <f t="shared" si="9"/>
        <v>1.05</v>
      </c>
      <c r="BF30" s="216">
        <f t="shared" si="9"/>
        <v>1.05</v>
      </c>
      <c r="BG30" s="216">
        <f t="shared" si="9"/>
        <v>1.05</v>
      </c>
      <c r="BH30" s="216">
        <f t="shared" si="9"/>
        <v>1.075</v>
      </c>
      <c r="BI30" s="216">
        <f t="shared" si="9"/>
        <v>1.075</v>
      </c>
      <c r="BJ30" s="216">
        <f t="shared" si="9"/>
        <v>1.075</v>
      </c>
      <c r="BK30" s="216">
        <f t="shared" si="9"/>
        <v>0.97499999999999998</v>
      </c>
      <c r="BL30" s="216">
        <f t="shared" si="9"/>
        <v>0.92500000000000004</v>
      </c>
      <c r="BM30" s="216">
        <f t="shared" si="9"/>
        <v>0.92500000000000004</v>
      </c>
      <c r="BN30" s="216">
        <f t="shared" si="9"/>
        <v>0.92500000000000004</v>
      </c>
      <c r="BO30" s="301">
        <f t="shared" si="9"/>
        <v>0.92500000000000004</v>
      </c>
      <c r="BP30" s="216">
        <f t="shared" si="9"/>
        <v>0.92500000000000004</v>
      </c>
      <c r="BQ30" s="216">
        <f t="shared" si="9"/>
        <v>0.92500000000000004</v>
      </c>
      <c r="BR30" s="301">
        <f t="shared" si="9"/>
        <v>0.90500000000000003</v>
      </c>
      <c r="BS30" s="301">
        <f>BS27/1000</f>
        <v>0.90500000000000003</v>
      </c>
      <c r="BT30" s="301">
        <f>BT27/1000</f>
        <v>0.90500000000000003</v>
      </c>
      <c r="BU30" s="216">
        <f>BU27/1000</f>
        <v>0.90500000000000003</v>
      </c>
      <c r="BV30" s="216">
        <f>BV27/1000</f>
        <v>0.90500000000000003</v>
      </c>
      <c r="BW30" s="216">
        <f>BW27/1000</f>
        <v>0</v>
      </c>
    </row>
    <row r="31" spans="1:76 16384:16384">
      <c r="A31" s="178" t="str">
        <f t="shared" si="0"/>
        <v>BromineRMB</v>
      </c>
      <c r="B31" s="178" t="s">
        <v>29</v>
      </c>
      <c r="C31" s="178" t="s">
        <v>69</v>
      </c>
      <c r="D31" s="178" t="s">
        <v>31</v>
      </c>
      <c r="E31" s="178" t="s">
        <v>32</v>
      </c>
      <c r="F31" s="214"/>
      <c r="G31" s="214"/>
      <c r="H31" s="214"/>
      <c r="I31" s="214"/>
      <c r="J31" s="214"/>
      <c r="K31" s="214"/>
      <c r="L31" s="214"/>
      <c r="M31" s="214"/>
      <c r="N31" s="214"/>
      <c r="O31" s="214"/>
      <c r="P31" s="214"/>
      <c r="Q31" s="214"/>
      <c r="R31" s="214"/>
      <c r="S31" s="214"/>
      <c r="T31" s="214"/>
      <c r="U31" s="214"/>
      <c r="V31" s="214"/>
      <c r="W31" s="214"/>
      <c r="X31" s="214"/>
      <c r="Y31" s="214"/>
      <c r="Z31" s="214"/>
      <c r="AA31" s="214"/>
      <c r="AB31" s="214"/>
      <c r="AC31" s="214"/>
      <c r="AD31" s="214"/>
      <c r="AE31" s="214"/>
      <c r="AF31" s="214">
        <v>55916</v>
      </c>
      <c r="AG31" s="214">
        <v>55600</v>
      </c>
      <c r="AH31" s="214">
        <v>55400</v>
      </c>
      <c r="AI31" s="214">
        <v>58000</v>
      </c>
      <c r="AJ31" s="214">
        <v>58400</v>
      </c>
      <c r="AK31" s="214">
        <v>58000</v>
      </c>
      <c r="AL31" s="214">
        <v>45200</v>
      </c>
      <c r="AM31" s="214">
        <v>42600</v>
      </c>
      <c r="AN31" s="214">
        <v>49800</v>
      </c>
      <c r="AO31" s="214">
        <v>46800</v>
      </c>
      <c r="AP31" s="214">
        <v>44600</v>
      </c>
      <c r="AQ31" s="214">
        <v>40000</v>
      </c>
      <c r="AR31" s="214">
        <v>28100</v>
      </c>
      <c r="AS31" s="214">
        <v>25500</v>
      </c>
      <c r="AT31" s="214">
        <v>25200</v>
      </c>
      <c r="AU31" s="214">
        <v>18000</v>
      </c>
      <c r="AV31" s="214">
        <v>18000</v>
      </c>
      <c r="AW31" s="214">
        <v>18500</v>
      </c>
      <c r="AX31" s="214">
        <v>19400</v>
      </c>
      <c r="AY31" s="214">
        <v>20200</v>
      </c>
      <c r="AZ31" s="214">
        <v>24400</v>
      </c>
      <c r="BA31" s="214">
        <v>24600</v>
      </c>
      <c r="BB31" s="214">
        <v>24600</v>
      </c>
      <c r="BC31" s="214">
        <v>24700</v>
      </c>
      <c r="BD31" s="214">
        <v>24500</v>
      </c>
      <c r="BE31" s="214">
        <v>24220</v>
      </c>
      <c r="BF31" s="214">
        <v>24220</v>
      </c>
      <c r="BG31" s="214">
        <v>24200</v>
      </c>
      <c r="BH31" s="214">
        <v>24100</v>
      </c>
      <c r="BI31" s="214">
        <v>24000</v>
      </c>
      <c r="BJ31" s="214">
        <v>24300</v>
      </c>
      <c r="BK31" s="214">
        <v>24300</v>
      </c>
      <c r="BL31" s="214">
        <v>24400</v>
      </c>
      <c r="BM31" s="214">
        <v>25000</v>
      </c>
      <c r="BN31" s="214">
        <v>25200</v>
      </c>
      <c r="BO31" s="300">
        <v>25200</v>
      </c>
      <c r="BP31" s="214">
        <v>25300</v>
      </c>
      <c r="BQ31" s="214">
        <v>25300</v>
      </c>
      <c r="BR31" s="214">
        <v>25000</v>
      </c>
      <c r="BS31" s="300">
        <v>24600</v>
      </c>
      <c r="BT31" s="300">
        <v>24400</v>
      </c>
      <c r="BU31" s="214">
        <v>23300</v>
      </c>
      <c r="BV31" s="214">
        <v>22800</v>
      </c>
      <c r="BW31" s="178"/>
    </row>
    <row r="32" spans="1:76 16384:16384">
      <c r="A32" s="178" t="str">
        <f t="shared" si="0"/>
        <v>EDCUSD</v>
      </c>
      <c r="B32" s="178" t="s">
        <v>56</v>
      </c>
      <c r="C32" s="178" t="s">
        <v>70</v>
      </c>
      <c r="D32" s="178" t="s">
        <v>33</v>
      </c>
      <c r="E32" s="178" t="s">
        <v>34</v>
      </c>
      <c r="F32" s="216">
        <v>0.30483022407281657</v>
      </c>
      <c r="G32" s="216">
        <v>0.34286427537166547</v>
      </c>
      <c r="H32" s="216">
        <v>0.33696703937170702</v>
      </c>
      <c r="I32" s="216">
        <v>0.32918290899642011</v>
      </c>
      <c r="J32" s="216">
        <v>0.29562625382070207</v>
      </c>
      <c r="K32" s="216">
        <v>0.28466634277280467</v>
      </c>
      <c r="L32" s="216">
        <v>0.20653801563255636</v>
      </c>
      <c r="M32" s="216">
        <v>0.25027237704948618</v>
      </c>
      <c r="N32" s="216">
        <v>0.29482717983849482</v>
      </c>
      <c r="O32" s="216">
        <v>0.26112492603652376</v>
      </c>
      <c r="P32" s="216">
        <v>0.37172456889708289</v>
      </c>
      <c r="Q32" s="216">
        <v>0.37556517659587235</v>
      </c>
      <c r="R32" s="216">
        <v>0.37644550007000283</v>
      </c>
      <c r="S32" s="216">
        <v>0.47173077782891726</v>
      </c>
      <c r="T32" s="216">
        <v>0.55483712536000929</v>
      </c>
      <c r="U32" s="216">
        <v>0.63937652810505008</v>
      </c>
      <c r="V32" s="216">
        <v>0.70249744979967632</v>
      </c>
      <c r="W32" s="216">
        <v>0.70253354554770719</v>
      </c>
      <c r="X32" s="216">
        <v>0.67458824267374151</v>
      </c>
      <c r="Y32" s="216">
        <v>0.67758749868113066</v>
      </c>
      <c r="Z32" s="216">
        <v>0.69029584997989535</v>
      </c>
      <c r="AA32" s="216">
        <v>0.74505126870339788</v>
      </c>
      <c r="AB32" s="216">
        <v>0.8477068626947446</v>
      </c>
      <c r="AC32" s="216">
        <v>0.74416923739711949</v>
      </c>
      <c r="AD32" s="216">
        <v>0.84546574776946926</v>
      </c>
      <c r="AE32" s="216">
        <v>0.81157036933012439</v>
      </c>
      <c r="AF32" s="216">
        <v>0.74221287798726343</v>
      </c>
      <c r="AG32" s="216">
        <v>0.82460206677585413</v>
      </c>
      <c r="AH32" s="216">
        <v>0.8671847901063201</v>
      </c>
      <c r="AI32" s="216">
        <v>0.84340071104150371</v>
      </c>
      <c r="AJ32" s="216">
        <v>0.6877680056485691</v>
      </c>
      <c r="AK32" s="216">
        <v>0.68293490663365997</v>
      </c>
      <c r="AL32" s="216">
        <v>0.43909968737964511</v>
      </c>
      <c r="AM32" s="216">
        <v>0.34716607162870206</v>
      </c>
      <c r="AN32" s="216">
        <v>0.35857951344010464</v>
      </c>
      <c r="AO32" s="216">
        <v>0.29459801775419026</v>
      </c>
      <c r="AP32" s="216">
        <v>0.82403514720880189</v>
      </c>
      <c r="AQ32" s="216">
        <v>0.36841456422240715</v>
      </c>
      <c r="AR32" s="216">
        <v>0.34897572690144207</v>
      </c>
      <c r="AS32" s="214">
        <v>0.37</v>
      </c>
      <c r="AT32" s="214">
        <v>0.4</v>
      </c>
      <c r="AU32" s="214">
        <v>0.25</v>
      </c>
      <c r="AV32" s="214">
        <v>0.25</v>
      </c>
      <c r="AW32" s="214">
        <v>0.25</v>
      </c>
      <c r="AX32" s="214">
        <v>0.24</v>
      </c>
      <c r="AY32" s="214">
        <v>0.21</v>
      </c>
      <c r="AZ32" s="214">
        <v>0.28999999999999998</v>
      </c>
      <c r="BA32" s="214">
        <v>0.28999999999999998</v>
      </c>
      <c r="BB32" s="214">
        <v>0.28999999999999998</v>
      </c>
      <c r="BC32" s="214">
        <v>0.28999999999999998</v>
      </c>
      <c r="BD32" s="214">
        <v>0.28999999999999998</v>
      </c>
      <c r="BE32" s="214">
        <v>0.22</v>
      </c>
      <c r="BF32" s="214">
        <v>0.22</v>
      </c>
      <c r="BG32" s="214">
        <v>0.22</v>
      </c>
      <c r="BH32" s="214">
        <v>0.22</v>
      </c>
      <c r="BI32" s="214">
        <v>0.22</v>
      </c>
      <c r="BJ32" s="214">
        <v>0.22</v>
      </c>
      <c r="BK32" s="214">
        <v>0.23</v>
      </c>
      <c r="BL32" s="214">
        <v>0.23</v>
      </c>
      <c r="BM32" s="214">
        <v>0.23</v>
      </c>
      <c r="BN32" s="214">
        <v>0.23</v>
      </c>
      <c r="BO32" s="300">
        <v>0.25</v>
      </c>
      <c r="BP32" s="214">
        <v>0.25</v>
      </c>
      <c r="BQ32" s="214">
        <v>0.25</v>
      </c>
      <c r="BR32" s="214">
        <v>0.25</v>
      </c>
      <c r="BS32" s="300">
        <v>0.25</v>
      </c>
      <c r="BT32" s="300">
        <v>0.25</v>
      </c>
      <c r="BU32" s="214">
        <v>0.25</v>
      </c>
      <c r="BV32" s="214">
        <v>0.25</v>
      </c>
      <c r="BW32" s="214">
        <v>0.25</v>
      </c>
    </row>
    <row r="33" spans="1:75 16384:16384">
      <c r="A33" s="178" t="str">
        <f t="shared" si="0"/>
        <v>ChlorineUSD</v>
      </c>
      <c r="B33" s="178" t="s">
        <v>41</v>
      </c>
      <c r="C33" s="178" t="s">
        <v>42</v>
      </c>
      <c r="D33" s="178" t="s">
        <v>33</v>
      </c>
      <c r="E33" s="178" t="s">
        <v>34</v>
      </c>
      <c r="F33" s="216">
        <f t="shared" ref="F33:BD33" si="10">F11/F1</f>
        <v>5.6109925135332389E-2</v>
      </c>
      <c r="G33" s="216">
        <f t="shared" si="10"/>
        <v>5.5903821908158395E-2</v>
      </c>
      <c r="H33" s="216">
        <f t="shared" si="10"/>
        <v>5.3725164243026279E-2</v>
      </c>
      <c r="I33" s="216">
        <f t="shared" si="10"/>
        <v>5.2457901878019117E-2</v>
      </c>
      <c r="J33" s="216">
        <f t="shared" si="10"/>
        <v>5.2891688868735076E-2</v>
      </c>
      <c r="K33" s="216">
        <f t="shared" si="10"/>
        <v>5.280815273385165E-2</v>
      </c>
      <c r="L33" s="216">
        <f t="shared" si="10"/>
        <v>5.3387262505255863E-2</v>
      </c>
      <c r="M33" s="216">
        <f t="shared" si="10"/>
        <v>5.362872496365681E-2</v>
      </c>
      <c r="N33" s="216">
        <f t="shared" si="10"/>
        <v>5.4396709216679211E-2</v>
      </c>
      <c r="O33" s="216">
        <f t="shared" si="10"/>
        <v>5.4409064901238764E-2</v>
      </c>
      <c r="P33" s="216">
        <f t="shared" si="10"/>
        <v>5.3884974170462174E-2</v>
      </c>
      <c r="Q33" s="216">
        <f t="shared" si="10"/>
        <v>5.4250702377062344E-2</v>
      </c>
      <c r="R33" s="216">
        <f t="shared" si="10"/>
        <v>5.4697114727198147E-2</v>
      </c>
      <c r="S33" s="216">
        <f t="shared" si="10"/>
        <v>5.4945054945054944E-2</v>
      </c>
      <c r="T33" s="216">
        <f t="shared" si="10"/>
        <v>5.4945054945054944E-2</v>
      </c>
      <c r="U33" s="216">
        <f t="shared" si="10"/>
        <v>5.3727333781061114E-2</v>
      </c>
      <c r="V33" s="216">
        <f t="shared" si="10"/>
        <v>5.4607508532423209E-2</v>
      </c>
      <c r="W33" s="216">
        <f t="shared" si="10"/>
        <v>5.4392167527875984E-2</v>
      </c>
      <c r="X33" s="216">
        <f t="shared" si="10"/>
        <v>5.3669663222863276E-2</v>
      </c>
      <c r="Y33" s="216">
        <f t="shared" si="10"/>
        <v>5.3937432578209279E-2</v>
      </c>
      <c r="Z33" s="216">
        <f t="shared" si="10"/>
        <v>5.4384772263766146E-2</v>
      </c>
      <c r="AA33" s="216">
        <f t="shared" si="10"/>
        <v>5.3397410225604063E-2</v>
      </c>
      <c r="AB33" s="216">
        <f t="shared" si="10"/>
        <v>5.3712904525312209E-2</v>
      </c>
      <c r="AC33" s="216">
        <f t="shared" si="10"/>
        <v>5.3036329885971886E-2</v>
      </c>
      <c r="AD33" s="216">
        <f t="shared" si="10"/>
        <v>5.3727333781061114E-2</v>
      </c>
      <c r="AE33" s="216">
        <f t="shared" si="10"/>
        <v>5.3361792956243333E-2</v>
      </c>
      <c r="AF33" s="216">
        <f t="shared" si="10"/>
        <v>5.2486550321480127E-2</v>
      </c>
      <c r="AG33" s="216">
        <f t="shared" si="10"/>
        <v>5.2348809277255978E-2</v>
      </c>
      <c r="AH33" s="216">
        <f t="shared" si="10"/>
        <v>5.1733542509290222E-2</v>
      </c>
      <c r="AI33" s="216">
        <f t="shared" si="10"/>
        <v>5.123306637994781E-2</v>
      </c>
      <c r="AJ33" s="216">
        <f t="shared" si="10"/>
        <v>5.0250276286786945E-2</v>
      </c>
      <c r="AK33" s="216">
        <f t="shared" si="10"/>
        <v>5.0284779467718851E-2</v>
      </c>
      <c r="AL33" s="216">
        <f t="shared" si="10"/>
        <v>4.9855696086928386E-2</v>
      </c>
      <c r="AM33" s="216">
        <f t="shared" si="10"/>
        <v>4.8578993593037967E-2</v>
      </c>
      <c r="AN33" s="216">
        <f t="shared" si="10"/>
        <v>4.889346805967261E-2</v>
      </c>
      <c r="AO33" s="216">
        <f t="shared" si="10"/>
        <v>4.8505889083457529E-2</v>
      </c>
      <c r="AP33" s="216">
        <f t="shared" si="10"/>
        <v>4.8840293055712705E-2</v>
      </c>
      <c r="AQ33" s="216">
        <f t="shared" si="10"/>
        <v>4.870822736756994E-2</v>
      </c>
      <c r="AR33" s="216">
        <f t="shared" si="10"/>
        <v>4.870822736756994E-2</v>
      </c>
      <c r="AS33" s="216">
        <f t="shared" si="10"/>
        <v>4.870822736756994E-2</v>
      </c>
      <c r="AT33" s="216">
        <f t="shared" si="10"/>
        <v>4.870822736756994E-2</v>
      </c>
      <c r="AU33" s="216">
        <f t="shared" si="10"/>
        <v>4.8484848484848485E-2</v>
      </c>
      <c r="AV33" s="216">
        <f t="shared" si="10"/>
        <v>4.8520135856380396E-2</v>
      </c>
      <c r="AW33" s="216">
        <f t="shared" si="10"/>
        <v>4.8673643222195175E-2</v>
      </c>
      <c r="AX33" s="216">
        <f t="shared" si="10"/>
        <v>4.8828125E-2</v>
      </c>
      <c r="AY33" s="216">
        <f t="shared" si="10"/>
        <v>4.8626306831996105E-2</v>
      </c>
      <c r="AZ33" s="216">
        <f t="shared" si="10"/>
        <v>4.8291681757817215E-2</v>
      </c>
      <c r="BA33" s="216">
        <f t="shared" si="10"/>
        <v>4.8048048048048048E-2</v>
      </c>
      <c r="BB33" s="216">
        <f t="shared" si="10"/>
        <v>4.8048048048048048E-2</v>
      </c>
      <c r="BC33" s="216">
        <f t="shared" si="10"/>
        <v>4.8396854204476702E-2</v>
      </c>
      <c r="BD33" s="216">
        <f t="shared" si="10"/>
        <v>4.8163756773028296E-2</v>
      </c>
      <c r="BE33" s="216">
        <f>BE11/BE1</f>
        <v>4.8227634434530986E-2</v>
      </c>
      <c r="BF33" s="216">
        <f>BF11/BF1</f>
        <v>4.8233449897503916E-2</v>
      </c>
      <c r="BG33" s="216">
        <f>BG11/BG1</f>
        <v>4.8042277203939464E-2</v>
      </c>
      <c r="BH33" s="216">
        <f>BI11/BH1</f>
        <v>4.8065368901706318E-2</v>
      </c>
      <c r="BI33" s="216">
        <f>BJ11/BI1</f>
        <v>4.8048048048048048E-2</v>
      </c>
      <c r="BJ33" s="216">
        <f>BK11/BJ1</f>
        <v>4.8123195380173241E-2</v>
      </c>
      <c r="BK33" s="216">
        <f>BL11/BK1</f>
        <v>4.8042277203939464E-2</v>
      </c>
      <c r="BL33" s="216">
        <f>BM11/BL1</f>
        <v>4.8065368901706318E-2</v>
      </c>
      <c r="BM33" s="216">
        <f t="shared" ref="BM33:BW33" si="11">BN11/BM1</f>
        <v>4.808270224786633E-2</v>
      </c>
      <c r="BN33" s="216">
        <f t="shared" si="11"/>
        <v>4.808270224786633E-2</v>
      </c>
      <c r="BO33" s="301">
        <f t="shared" si="11"/>
        <v>4.8001920076803074E-2</v>
      </c>
      <c r="BP33" s="216">
        <f t="shared" si="11"/>
        <v>4.7961630695443645E-2</v>
      </c>
      <c r="BQ33" s="216">
        <f t="shared" si="11"/>
        <v>4.7984644913627639E-2</v>
      </c>
      <c r="BR33" s="318">
        <f t="shared" si="11"/>
        <v>4.8053820278712162E-2</v>
      </c>
      <c r="BS33" s="318">
        <f t="shared" si="11"/>
        <v>4.8007681228996645E-2</v>
      </c>
      <c r="BT33" s="318">
        <f t="shared" si="11"/>
        <v>4.8111618955977868E-2</v>
      </c>
      <c r="BU33" s="216">
        <f t="shared" si="11"/>
        <v>4.8105832832230903E-2</v>
      </c>
      <c r="BV33" s="216">
        <f t="shared" si="11"/>
        <v>4.8048048048048048E-2</v>
      </c>
      <c r="BW33" s="216" t="e">
        <f t="shared" si="11"/>
        <v>#DIV/0!</v>
      </c>
    </row>
    <row r="34" spans="1:75 16384:16384">
      <c r="A34" s="178" t="str">
        <f t="shared" si="0"/>
        <v>Anhydrous Ammonia GasUSD</v>
      </c>
      <c r="B34" s="178" t="s">
        <v>44</v>
      </c>
      <c r="C34" s="178" t="s">
        <v>45</v>
      </c>
      <c r="D34" s="178" t="s">
        <v>33</v>
      </c>
      <c r="E34" s="178" t="s">
        <v>34</v>
      </c>
      <c r="F34" s="216">
        <f t="shared" ref="F34:BQ34" si="12">F12/F1</f>
        <v>0.50625069064173545</v>
      </c>
      <c r="G34" s="216">
        <f t="shared" si="12"/>
        <v>0.50605053403738476</v>
      </c>
      <c r="H34" s="216">
        <f t="shared" si="12"/>
        <v>0.48566205346589675</v>
      </c>
      <c r="I34" s="216">
        <f t="shared" si="12"/>
        <v>0.46604911475979133</v>
      </c>
      <c r="J34" s="216">
        <f t="shared" si="12"/>
        <v>0.47286371932487081</v>
      </c>
      <c r="K34" s="216">
        <f t="shared" si="12"/>
        <v>0.44148091934964817</v>
      </c>
      <c r="L34" s="216">
        <f t="shared" si="12"/>
        <v>0.43426534003337747</v>
      </c>
      <c r="M34" s="216">
        <f t="shared" si="12"/>
        <v>0.4253624199790475</v>
      </c>
      <c r="N34" s="216">
        <f t="shared" si="12"/>
        <v>0.43233741458081631</v>
      </c>
      <c r="O34" s="216">
        <f t="shared" si="12"/>
        <v>0.4289746699475917</v>
      </c>
      <c r="P34" s="216">
        <f t="shared" si="12"/>
        <v>0.42484260760346637</v>
      </c>
      <c r="Q34" s="216">
        <f t="shared" si="12"/>
        <v>0.45075951239765033</v>
      </c>
      <c r="R34" s="216">
        <f t="shared" si="12"/>
        <v>0.47632070741601718</v>
      </c>
      <c r="S34" s="216">
        <f t="shared" si="12"/>
        <v>0.50824175824175821</v>
      </c>
      <c r="T34" s="216">
        <f t="shared" si="12"/>
        <v>0.50824175824175821</v>
      </c>
      <c r="U34" s="216">
        <f t="shared" si="12"/>
        <v>0.53357522262827839</v>
      </c>
      <c r="V34" s="216">
        <f t="shared" si="12"/>
        <v>0.59385665529010234</v>
      </c>
      <c r="W34" s="216">
        <f t="shared" si="12"/>
        <v>0.63431872099725806</v>
      </c>
      <c r="X34" s="216">
        <f t="shared" si="12"/>
        <v>0.72591659871949687</v>
      </c>
      <c r="Y34" s="216">
        <f t="shared" si="12"/>
        <v>0.72889455792717117</v>
      </c>
      <c r="Z34" s="216">
        <f t="shared" si="12"/>
        <v>0.74862988980369449</v>
      </c>
      <c r="AA34" s="216">
        <f t="shared" si="12"/>
        <v>0.79168514687656644</v>
      </c>
      <c r="AB34" s="216">
        <f t="shared" si="12"/>
        <v>0.82087330176727136</v>
      </c>
      <c r="AC34" s="216">
        <f t="shared" si="12"/>
        <v>0.84614593649711278</v>
      </c>
      <c r="AD34" s="216">
        <f t="shared" si="12"/>
        <v>1.0564787620243885</v>
      </c>
      <c r="AE34" s="216">
        <f t="shared" si="12"/>
        <v>1.2058469531568468</v>
      </c>
      <c r="AF34" s="216">
        <f t="shared" si="12"/>
        <v>1.328155753838079</v>
      </c>
      <c r="AG34" s="216">
        <f t="shared" si="12"/>
        <v>1.2605824467442697</v>
      </c>
      <c r="AH34" s="216">
        <f t="shared" si="12"/>
        <v>1.1242096737595759</v>
      </c>
      <c r="AI34" s="216">
        <f t="shared" si="12"/>
        <v>1.1179786985052897</v>
      </c>
      <c r="AJ34" s="216">
        <f t="shared" si="12"/>
        <v>1.0829322457612403</v>
      </c>
      <c r="AK34" s="216">
        <f t="shared" si="12"/>
        <v>1.0855018240664733</v>
      </c>
      <c r="AL34" s="216">
        <f t="shared" si="12"/>
        <v>1.0549821404108952</v>
      </c>
      <c r="AM34" s="216">
        <f t="shared" si="12"/>
        <v>1.0740005833527477</v>
      </c>
      <c r="AN34" s="216">
        <f t="shared" si="12"/>
        <v>1.1385193276752337</v>
      </c>
      <c r="AO34" s="216">
        <f t="shared" si="12"/>
        <v>1.0816813265611029</v>
      </c>
      <c r="AP34" s="216">
        <f t="shared" si="12"/>
        <v>0.99756298566293211</v>
      </c>
      <c r="AQ34" s="216">
        <f t="shared" si="12"/>
        <v>0.92545631998382882</v>
      </c>
      <c r="AR34" s="216">
        <f t="shared" si="12"/>
        <v>0.9011022063000439</v>
      </c>
      <c r="AS34" s="216">
        <f t="shared" si="12"/>
        <v>0.74767129009219857</v>
      </c>
      <c r="AT34" s="216">
        <f t="shared" si="12"/>
        <v>0.70626929682976414</v>
      </c>
      <c r="AU34" s="216">
        <f t="shared" si="12"/>
        <v>0.61818181818181817</v>
      </c>
      <c r="AV34" s="216">
        <f t="shared" si="12"/>
        <v>0.61863173216885003</v>
      </c>
      <c r="AW34" s="216">
        <f t="shared" si="12"/>
        <v>0.6205889510829885</v>
      </c>
      <c r="AX34" s="216">
        <f t="shared" si="12"/>
        <v>0.62255859375</v>
      </c>
      <c r="AY34" s="216">
        <f t="shared" si="12"/>
        <v>0.59567225869195228</v>
      </c>
      <c r="AZ34" s="216">
        <f t="shared" si="12"/>
        <v>0.59157310153326093</v>
      </c>
      <c r="BA34" s="216">
        <f t="shared" si="12"/>
        <v>0.58858858858858853</v>
      </c>
      <c r="BB34" s="216">
        <f t="shared" si="12"/>
        <v>0.58858858858858853</v>
      </c>
      <c r="BC34" s="216">
        <f t="shared" si="12"/>
        <v>0.59286146400483963</v>
      </c>
      <c r="BD34" s="216">
        <f t="shared" si="12"/>
        <v>0.5900060204695966</v>
      </c>
      <c r="BE34" s="216">
        <f t="shared" si="12"/>
        <v>0.5666747046057391</v>
      </c>
      <c r="BF34" s="216">
        <f t="shared" si="12"/>
        <v>0.59085976124442297</v>
      </c>
      <c r="BG34" s="216">
        <f t="shared" si="12"/>
        <v>0.58851789574825841</v>
      </c>
      <c r="BH34" s="216">
        <f t="shared" si="12"/>
        <v>0.68493150684931503</v>
      </c>
      <c r="BI34" s="216">
        <f t="shared" si="12"/>
        <v>0.68468468468468469</v>
      </c>
      <c r="BJ34" s="216">
        <f t="shared" si="12"/>
        <v>0.66169393647738206</v>
      </c>
      <c r="BK34" s="216">
        <f t="shared" si="12"/>
        <v>0.69661301945712217</v>
      </c>
      <c r="BL34" s="216">
        <f t="shared" si="12"/>
        <v>0.69694784907474161</v>
      </c>
      <c r="BM34" s="216">
        <f t="shared" si="12"/>
        <v>0.69719918259406177</v>
      </c>
      <c r="BN34" s="216">
        <f t="shared" si="12"/>
        <v>0.69719918259406177</v>
      </c>
      <c r="BO34" s="301">
        <f t="shared" si="12"/>
        <v>0.69602784111364457</v>
      </c>
      <c r="BP34" s="216">
        <f t="shared" si="12"/>
        <v>0.69544364508393286</v>
      </c>
      <c r="BQ34" s="216">
        <f t="shared" si="12"/>
        <v>0.63579654510556627</v>
      </c>
      <c r="BR34" s="311">
        <f t="shared" ref="BR34:BW34" si="13">BR12/BR1</f>
        <v>0.64872657376261422</v>
      </c>
      <c r="BS34" s="301">
        <f t="shared" si="13"/>
        <v>0.64810369659145473</v>
      </c>
      <c r="BT34" s="301">
        <f t="shared" si="13"/>
        <v>0.63146499879720952</v>
      </c>
      <c r="BU34" s="216">
        <f t="shared" si="13"/>
        <v>0.66145520144317493</v>
      </c>
      <c r="BV34" s="216">
        <f t="shared" si="13"/>
        <v>0.66066066066066065</v>
      </c>
      <c r="BW34" s="216" t="e">
        <f t="shared" si="13"/>
        <v>#DIV/0!</v>
      </c>
    </row>
    <row r="35" spans="1:75 16384:16384">
      <c r="A35" s="178" t="str">
        <f t="shared" si="0"/>
        <v>Sodium bichromateUSD</v>
      </c>
      <c r="B35" s="178" t="s">
        <v>56</v>
      </c>
      <c r="C35" s="178" t="s">
        <v>71</v>
      </c>
      <c r="D35" s="178" t="s">
        <v>33</v>
      </c>
      <c r="E35" s="178" t="s">
        <v>34</v>
      </c>
      <c r="F35" s="216">
        <v>1.1958182154977375</v>
      </c>
      <c r="G35" s="216">
        <v>1.1782289215686275</v>
      </c>
      <c r="H35" s="216">
        <v>1.1214241430700447</v>
      </c>
      <c r="I35" s="216">
        <v>1.1434329592439456</v>
      </c>
      <c r="J35" s="216">
        <v>1.1374396166134186</v>
      </c>
      <c r="K35" s="216">
        <v>1.1342139303482588</v>
      </c>
      <c r="L35" s="216">
        <v>1.0985214854111407</v>
      </c>
      <c r="M35" s="216">
        <v>1.0813389380530973</v>
      </c>
      <c r="N35" s="216">
        <v>1.0416426257459506</v>
      </c>
      <c r="O35" s="216">
        <v>1.0516280672715885</v>
      </c>
      <c r="P35" s="216">
        <v>1.0347949350356589</v>
      </c>
      <c r="Q35" s="216">
        <v>1.0019336793893132</v>
      </c>
      <c r="R35" s="216">
        <v>1.0028085390260173</v>
      </c>
      <c r="S35" s="216">
        <v>1.028866545123063</v>
      </c>
      <c r="T35" s="216">
        <v>0.98535087369850594</v>
      </c>
      <c r="U35" s="216">
        <v>1.0603701250919795</v>
      </c>
      <c r="V35" s="216">
        <v>1.0789007130124777</v>
      </c>
      <c r="W35" s="216">
        <v>1.1000000000000001</v>
      </c>
      <c r="X35" s="216">
        <v>1.0811212618296531</v>
      </c>
      <c r="Y35" s="216">
        <v>1.1741664499349804</v>
      </c>
      <c r="Z35" s="216">
        <v>1.2064816753926701</v>
      </c>
      <c r="AA35" s="216">
        <v>1.1257328385899814</v>
      </c>
      <c r="AB35" s="216">
        <v>1.0829144981412639</v>
      </c>
      <c r="AC35" s="216">
        <v>1.5244516129032257</v>
      </c>
      <c r="AD35" s="216">
        <v>1.5333477641429549</v>
      </c>
      <c r="AE35" s="216">
        <v>1.2257713414634146</v>
      </c>
      <c r="AF35" s="216">
        <v>2.117777777777778</v>
      </c>
      <c r="AG35" s="216">
        <v>1.9393203883495145</v>
      </c>
      <c r="AH35" s="216">
        <v>2.0893333333333333</v>
      </c>
      <c r="AI35" s="216">
        <v>2.1293522267206479</v>
      </c>
      <c r="AJ35" s="216">
        <v>2.5428571428571427</v>
      </c>
      <c r="AK35" s="216">
        <v>2.5499999999999998</v>
      </c>
      <c r="AL35" s="216">
        <v>1.8934666666666666</v>
      </c>
      <c r="AM35" s="216">
        <v>2.2182514285714285</v>
      </c>
      <c r="AN35" s="216">
        <v>1.9939299228558462</v>
      </c>
      <c r="AO35" s="216">
        <v>1.8900502891933029</v>
      </c>
      <c r="AP35" s="216">
        <v>1.7887940504648077</v>
      </c>
      <c r="AQ35" s="216">
        <v>1.6064459261730279</v>
      </c>
      <c r="AR35" s="216">
        <v>1.7015576842105262</v>
      </c>
      <c r="AS35" s="214">
        <v>1.61</v>
      </c>
      <c r="AT35" s="214">
        <v>1.71</v>
      </c>
      <c r="AU35" s="214">
        <v>1.71</v>
      </c>
      <c r="AV35" s="214">
        <v>1.71</v>
      </c>
      <c r="AW35" s="214">
        <v>1.4</v>
      </c>
      <c r="AX35" s="214">
        <v>1.35</v>
      </c>
      <c r="AY35" s="214">
        <v>1.35</v>
      </c>
      <c r="AZ35" s="214">
        <v>1.35</v>
      </c>
      <c r="BA35" s="214">
        <v>1.35</v>
      </c>
      <c r="BB35" s="214">
        <v>1.35</v>
      </c>
      <c r="BC35" s="214">
        <v>1.35</v>
      </c>
      <c r="BD35" s="214">
        <v>1.35</v>
      </c>
      <c r="BE35" s="214">
        <v>1.35</v>
      </c>
      <c r="BF35" s="214">
        <v>1.35</v>
      </c>
      <c r="BG35" s="214">
        <v>1.35</v>
      </c>
      <c r="BH35" s="214">
        <v>1.35</v>
      </c>
      <c r="BI35" s="214">
        <v>1.35</v>
      </c>
      <c r="BJ35" s="214">
        <v>1.32</v>
      </c>
      <c r="BK35" s="214">
        <v>1.32</v>
      </c>
      <c r="BL35" s="214">
        <v>1.32</v>
      </c>
      <c r="BM35" s="214">
        <v>1.32</v>
      </c>
      <c r="BN35" s="214">
        <v>1.32</v>
      </c>
      <c r="BO35" s="300">
        <v>1.32</v>
      </c>
      <c r="BP35" s="214">
        <v>1.33</v>
      </c>
      <c r="BQ35" s="214">
        <v>1.33</v>
      </c>
      <c r="BR35" s="214">
        <v>1.06</v>
      </c>
      <c r="BS35" s="300">
        <v>1.06</v>
      </c>
      <c r="BT35" s="300">
        <v>1.35</v>
      </c>
      <c r="BU35" s="300">
        <v>1.35</v>
      </c>
      <c r="BV35" s="300">
        <v>1.35</v>
      </c>
      <c r="BW35" s="178"/>
    </row>
    <row r="36" spans="1:75 16384:16384">
      <c r="A36" s="178" t="str">
        <f t="shared" si="0"/>
        <v>Sulfuric acid INR</v>
      </c>
      <c r="B36" s="178" t="s">
        <v>41</v>
      </c>
      <c r="C36" s="178" t="s">
        <v>72</v>
      </c>
      <c r="D36" s="178" t="s">
        <v>43</v>
      </c>
      <c r="E36" s="178" t="s">
        <v>34</v>
      </c>
      <c r="F36" s="214">
        <v>5</v>
      </c>
      <c r="G36" s="214">
        <v>5</v>
      </c>
      <c r="H36" s="214">
        <v>5</v>
      </c>
      <c r="I36" s="214">
        <v>5</v>
      </c>
      <c r="J36" s="214">
        <v>5</v>
      </c>
      <c r="K36" s="214">
        <v>5</v>
      </c>
      <c r="L36" s="214">
        <v>5</v>
      </c>
      <c r="M36" s="214">
        <v>5</v>
      </c>
      <c r="N36" s="214">
        <v>5</v>
      </c>
      <c r="O36" s="214">
        <v>5</v>
      </c>
      <c r="P36" s="214">
        <v>5</v>
      </c>
      <c r="Q36" s="214">
        <v>5</v>
      </c>
      <c r="R36" s="214">
        <v>5</v>
      </c>
      <c r="S36" s="214">
        <v>5</v>
      </c>
      <c r="T36" s="214">
        <v>5</v>
      </c>
      <c r="U36" s="214">
        <v>5</v>
      </c>
      <c r="V36" s="214">
        <v>5</v>
      </c>
      <c r="W36" s="214">
        <v>5</v>
      </c>
      <c r="X36" s="214">
        <v>5</v>
      </c>
      <c r="Y36" s="214">
        <v>5</v>
      </c>
      <c r="Z36" s="214">
        <v>5</v>
      </c>
      <c r="AA36" s="214">
        <v>5</v>
      </c>
      <c r="AB36" s="214">
        <v>5</v>
      </c>
      <c r="AC36" s="214">
        <v>5</v>
      </c>
      <c r="AD36" s="214">
        <v>5</v>
      </c>
      <c r="AE36" s="214">
        <v>5</v>
      </c>
      <c r="AF36" s="214">
        <v>5</v>
      </c>
      <c r="AG36" s="214">
        <v>5</v>
      </c>
      <c r="AH36" s="214">
        <v>5</v>
      </c>
      <c r="AI36" s="214">
        <v>5</v>
      </c>
      <c r="AJ36" s="214">
        <v>5</v>
      </c>
      <c r="AK36" s="214">
        <v>5</v>
      </c>
      <c r="AL36" s="214">
        <v>5</v>
      </c>
      <c r="AM36" s="214">
        <v>5</v>
      </c>
      <c r="AN36" s="214">
        <v>5</v>
      </c>
      <c r="AO36" s="214">
        <v>5</v>
      </c>
      <c r="AP36" s="214">
        <v>5</v>
      </c>
      <c r="AQ36" s="214">
        <v>5</v>
      </c>
      <c r="AR36" s="214">
        <v>5</v>
      </c>
      <c r="AS36" s="214">
        <v>6.8</v>
      </c>
      <c r="AT36" s="214">
        <v>6.8</v>
      </c>
      <c r="AU36" s="214">
        <v>7</v>
      </c>
      <c r="AV36" s="214">
        <v>7</v>
      </c>
      <c r="AW36" s="214">
        <v>7</v>
      </c>
      <c r="AX36" s="214">
        <v>7</v>
      </c>
      <c r="AY36" s="214">
        <v>7</v>
      </c>
      <c r="AZ36" s="214">
        <v>7</v>
      </c>
      <c r="BA36" s="214">
        <v>7</v>
      </c>
      <c r="BB36" s="214">
        <v>7</v>
      </c>
      <c r="BC36" s="214">
        <v>7</v>
      </c>
      <c r="BD36" s="214">
        <v>7</v>
      </c>
      <c r="BE36" s="214">
        <v>7</v>
      </c>
      <c r="BF36" s="214">
        <v>7</v>
      </c>
      <c r="BG36" s="214">
        <v>7</v>
      </c>
      <c r="BH36" s="214">
        <v>7</v>
      </c>
      <c r="BI36" s="214">
        <v>7</v>
      </c>
      <c r="BJ36" s="214">
        <v>7</v>
      </c>
      <c r="BK36" s="214">
        <v>7</v>
      </c>
      <c r="BL36" s="214">
        <v>7</v>
      </c>
      <c r="BM36" s="214">
        <v>7</v>
      </c>
      <c r="BN36" s="214">
        <v>7</v>
      </c>
      <c r="BO36" s="300">
        <v>7</v>
      </c>
      <c r="BP36" s="214">
        <v>7</v>
      </c>
      <c r="BQ36" s="214">
        <v>7</v>
      </c>
      <c r="BR36" s="308">
        <v>7</v>
      </c>
      <c r="BS36" s="313">
        <v>7</v>
      </c>
      <c r="BT36" s="313">
        <v>7</v>
      </c>
      <c r="BU36" s="214">
        <v>7</v>
      </c>
      <c r="BV36" s="214">
        <v>7</v>
      </c>
      <c r="BW36" s="214">
        <v>7</v>
      </c>
    </row>
    <row r="37" spans="1:75 16384:16384">
      <c r="A37" s="178" t="str">
        <f t="shared" si="0"/>
        <v>Sulfuric acid USD</v>
      </c>
      <c r="B37" s="178" t="s">
        <v>73</v>
      </c>
      <c r="C37" s="178" t="s">
        <v>72</v>
      </c>
      <c r="D37" s="178" t="s">
        <v>33</v>
      </c>
      <c r="E37" s="178" t="s">
        <v>34</v>
      </c>
      <c r="F37" s="253"/>
      <c r="G37" s="253"/>
      <c r="H37" s="253"/>
      <c r="I37" s="253"/>
      <c r="J37" s="253"/>
      <c r="K37" s="253"/>
      <c r="L37" s="253"/>
      <c r="M37" s="253"/>
      <c r="N37" s="253"/>
      <c r="O37" s="253"/>
      <c r="P37" s="253"/>
      <c r="Q37" s="253"/>
      <c r="R37" s="253"/>
      <c r="S37" s="253"/>
      <c r="T37" s="253"/>
      <c r="U37" s="253"/>
      <c r="V37" s="253"/>
      <c r="W37" s="253"/>
      <c r="X37" s="253"/>
      <c r="Y37" s="253"/>
      <c r="Z37" s="253"/>
      <c r="AA37" s="253"/>
      <c r="AB37" s="253"/>
      <c r="AC37" s="253"/>
      <c r="AD37" s="253">
        <v>0.11</v>
      </c>
      <c r="AE37" s="253">
        <v>0.12</v>
      </c>
      <c r="AF37" s="253">
        <v>0.15</v>
      </c>
      <c r="AG37" s="253">
        <v>0.17</v>
      </c>
      <c r="AH37" s="253">
        <v>0.16</v>
      </c>
      <c r="AI37" s="253">
        <v>0.14000000000000001</v>
      </c>
      <c r="AJ37" s="253">
        <v>0.12</v>
      </c>
      <c r="AK37" s="253">
        <v>0.08</v>
      </c>
      <c r="AL37" s="253">
        <v>0.04</v>
      </c>
      <c r="AM37" s="253">
        <v>0.05</v>
      </c>
      <c r="AN37" s="253">
        <v>0.05</v>
      </c>
      <c r="AO37" s="253">
        <v>0.05</v>
      </c>
      <c r="AP37" s="253">
        <v>0.04</v>
      </c>
      <c r="AQ37" s="253">
        <v>0.04</v>
      </c>
      <c r="AR37" s="253">
        <v>0.04</v>
      </c>
      <c r="AS37" s="253">
        <v>0.04</v>
      </c>
      <c r="AT37" s="253">
        <v>0.04</v>
      </c>
      <c r="AU37" s="214">
        <v>0.03</v>
      </c>
      <c r="AV37" s="214">
        <v>0.03</v>
      </c>
      <c r="AW37" s="214">
        <v>0.03</v>
      </c>
      <c r="AX37" s="214">
        <v>0.03</v>
      </c>
      <c r="AY37" s="214">
        <v>0.03</v>
      </c>
      <c r="AZ37" s="214">
        <v>0.03</v>
      </c>
      <c r="BA37" s="214">
        <v>0.03</v>
      </c>
      <c r="BB37" s="214">
        <v>0.03</v>
      </c>
      <c r="BC37" s="214">
        <v>0.03</v>
      </c>
      <c r="BD37" s="214">
        <v>0.03</v>
      </c>
      <c r="BE37" s="214">
        <v>0.03</v>
      </c>
      <c r="BF37" s="214">
        <v>0.03</v>
      </c>
      <c r="BG37" s="214">
        <v>0.03</v>
      </c>
      <c r="BH37" s="214">
        <v>0.03</v>
      </c>
      <c r="BI37" s="214">
        <v>0.03</v>
      </c>
      <c r="BJ37" s="214">
        <v>0.03</v>
      </c>
      <c r="BK37" s="214">
        <v>0.03</v>
      </c>
      <c r="BL37" s="214">
        <v>0.03</v>
      </c>
      <c r="BM37" s="214">
        <v>0.03</v>
      </c>
      <c r="BN37" s="214">
        <v>0.03</v>
      </c>
      <c r="BO37" s="300">
        <v>0.03</v>
      </c>
      <c r="BP37" s="214">
        <v>0.03</v>
      </c>
      <c r="BQ37" s="214">
        <v>0.03</v>
      </c>
      <c r="BR37" s="214">
        <v>0.03</v>
      </c>
      <c r="BS37" s="300">
        <v>0.03</v>
      </c>
      <c r="BT37" s="300">
        <v>0.03</v>
      </c>
      <c r="BU37" s="214">
        <v>0.03</v>
      </c>
      <c r="BV37" s="214">
        <v>0.03</v>
      </c>
      <c r="BW37" s="214">
        <v>0.03</v>
      </c>
      <c r="XFD37" s="214"/>
    </row>
    <row r="38" spans="1:75 16384:16384">
      <c r="A38" s="178" t="str">
        <f t="shared" si="0"/>
        <v>Nitric AcidINR</v>
      </c>
      <c r="B38" s="178" t="s">
        <v>41</v>
      </c>
      <c r="C38" s="178" t="s">
        <v>63</v>
      </c>
      <c r="D38" s="178" t="s">
        <v>43</v>
      </c>
      <c r="E38" s="178" t="s">
        <v>34</v>
      </c>
      <c r="F38" s="214">
        <v>25</v>
      </c>
      <c r="G38" s="214">
        <v>25</v>
      </c>
      <c r="H38" s="214">
        <v>25</v>
      </c>
      <c r="I38" s="214">
        <v>25</v>
      </c>
      <c r="J38" s="214">
        <v>25</v>
      </c>
      <c r="K38" s="214">
        <v>25</v>
      </c>
      <c r="L38" s="214">
        <v>25</v>
      </c>
      <c r="M38" s="214">
        <v>25</v>
      </c>
      <c r="N38" s="214">
        <v>25</v>
      </c>
      <c r="O38" s="214">
        <v>25</v>
      </c>
      <c r="P38" s="214">
        <v>25</v>
      </c>
      <c r="Q38" s="214">
        <v>25</v>
      </c>
      <c r="R38" s="214">
        <v>25</v>
      </c>
      <c r="S38" s="214">
        <v>25</v>
      </c>
      <c r="T38" s="214">
        <v>25</v>
      </c>
      <c r="U38" s="214">
        <v>25</v>
      </c>
      <c r="V38" s="214">
        <v>25</v>
      </c>
      <c r="W38" s="214">
        <v>25</v>
      </c>
      <c r="X38" s="214">
        <v>25</v>
      </c>
      <c r="Y38" s="214">
        <v>25</v>
      </c>
      <c r="Z38" s="214">
        <v>25</v>
      </c>
      <c r="AA38" s="214">
        <v>25</v>
      </c>
      <c r="AB38" s="214">
        <v>25</v>
      </c>
      <c r="AC38" s="214">
        <v>25</v>
      </c>
      <c r="AD38" s="214">
        <v>25</v>
      </c>
      <c r="AE38" s="214">
        <v>25</v>
      </c>
      <c r="AF38" s="214">
        <v>25</v>
      </c>
      <c r="AG38" s="214">
        <v>25</v>
      </c>
      <c r="AH38" s="214">
        <v>25</v>
      </c>
      <c r="AI38" s="214">
        <v>25</v>
      </c>
      <c r="AJ38" s="214">
        <v>25</v>
      </c>
      <c r="AK38" s="214">
        <v>25</v>
      </c>
      <c r="AL38" s="214">
        <v>25</v>
      </c>
      <c r="AM38" s="214">
        <v>25</v>
      </c>
      <c r="AN38" s="214">
        <v>25</v>
      </c>
      <c r="AO38" s="214">
        <v>25</v>
      </c>
      <c r="AP38" s="214">
        <v>25</v>
      </c>
      <c r="AQ38" s="214">
        <v>25</v>
      </c>
      <c r="AR38" s="214">
        <v>25</v>
      </c>
      <c r="AS38" s="214">
        <v>25</v>
      </c>
      <c r="AT38" s="214">
        <v>25</v>
      </c>
      <c r="AU38" s="214">
        <v>25</v>
      </c>
      <c r="AV38" s="214">
        <v>25</v>
      </c>
      <c r="AW38" s="214">
        <v>25</v>
      </c>
      <c r="AX38" s="214">
        <v>25</v>
      </c>
      <c r="AY38" s="214">
        <v>25</v>
      </c>
      <c r="AZ38" s="214">
        <v>25</v>
      </c>
      <c r="BA38" s="214">
        <v>25</v>
      </c>
      <c r="BB38" s="214">
        <v>25</v>
      </c>
      <c r="BC38" s="214">
        <v>25</v>
      </c>
      <c r="BD38" s="214">
        <v>25</v>
      </c>
      <c r="BE38" s="214">
        <v>25</v>
      </c>
      <c r="BF38" s="214">
        <v>25</v>
      </c>
      <c r="BG38" s="214">
        <v>25</v>
      </c>
      <c r="BH38" s="214">
        <v>25</v>
      </c>
      <c r="BI38" s="214">
        <v>25</v>
      </c>
      <c r="BJ38" s="214">
        <v>25</v>
      </c>
      <c r="BK38" s="214">
        <v>25</v>
      </c>
      <c r="BL38" s="214">
        <v>25</v>
      </c>
      <c r="BM38" s="214">
        <v>25</v>
      </c>
      <c r="BN38" s="214">
        <v>25</v>
      </c>
      <c r="BO38" s="300">
        <v>25</v>
      </c>
      <c r="BP38" s="214">
        <v>25</v>
      </c>
      <c r="BQ38" s="214">
        <v>25</v>
      </c>
      <c r="BR38" s="308">
        <v>25</v>
      </c>
      <c r="BS38" s="313">
        <v>25</v>
      </c>
      <c r="BT38" s="313">
        <v>25</v>
      </c>
      <c r="BU38" s="214">
        <v>25</v>
      </c>
      <c r="BV38" s="214">
        <v>25</v>
      </c>
      <c r="BW38" s="214">
        <v>25</v>
      </c>
    </row>
    <row r="39" spans="1:75 16384:16384">
      <c r="A39" s="178" t="str">
        <f t="shared" si="0"/>
        <v>Nitric AcidUSD</v>
      </c>
      <c r="B39" s="178" t="s">
        <v>73</v>
      </c>
      <c r="C39" s="178" t="s">
        <v>63</v>
      </c>
      <c r="D39" s="178" t="s">
        <v>33</v>
      </c>
      <c r="E39" s="178" t="s">
        <v>34</v>
      </c>
      <c r="F39" s="216">
        <v>0.21</v>
      </c>
      <c r="G39" s="216">
        <v>0.21</v>
      </c>
      <c r="H39" s="216">
        <v>0.21</v>
      </c>
      <c r="I39" s="216">
        <v>0.2</v>
      </c>
      <c r="J39" s="216">
        <v>0.19</v>
      </c>
      <c r="K39" s="216">
        <v>0.2</v>
      </c>
      <c r="L39" s="216">
        <v>0.2</v>
      </c>
      <c r="M39" s="216">
        <v>0.2</v>
      </c>
      <c r="N39" s="216">
        <v>0.21</v>
      </c>
      <c r="O39" s="216">
        <v>0.22</v>
      </c>
      <c r="P39" s="216">
        <v>0.24</v>
      </c>
      <c r="Q39" s="216">
        <v>0.28000000000000003</v>
      </c>
      <c r="R39" s="216">
        <v>0.28000000000000003</v>
      </c>
      <c r="S39" s="216">
        <v>0.28000000000000003</v>
      </c>
      <c r="T39" s="216">
        <v>0.28000000000000003</v>
      </c>
      <c r="U39" s="216">
        <v>0.3</v>
      </c>
      <c r="V39" s="216">
        <v>0.31</v>
      </c>
      <c r="W39" s="216">
        <v>0.32</v>
      </c>
      <c r="X39" s="216">
        <v>0.36</v>
      </c>
      <c r="Y39" s="216">
        <v>0.4</v>
      </c>
      <c r="Z39" s="216">
        <v>0.44</v>
      </c>
      <c r="AA39" s="216">
        <v>0.45</v>
      </c>
      <c r="AB39" s="216">
        <v>0.41</v>
      </c>
      <c r="AC39" s="216">
        <v>0.32</v>
      </c>
      <c r="AD39" s="216">
        <v>0.31</v>
      </c>
      <c r="AE39" s="216">
        <v>0.4</v>
      </c>
      <c r="AF39" s="216">
        <v>0.31</v>
      </c>
      <c r="AG39" s="216">
        <v>0.33</v>
      </c>
      <c r="AH39" s="216">
        <v>0.36</v>
      </c>
      <c r="AI39" s="216">
        <v>0.38</v>
      </c>
      <c r="AJ39" s="216">
        <v>0.39</v>
      </c>
      <c r="AK39" s="216">
        <v>0.34</v>
      </c>
      <c r="AL39" s="216">
        <v>0.3</v>
      </c>
      <c r="AM39" s="216">
        <v>0.3</v>
      </c>
      <c r="AN39" s="216">
        <v>0.33</v>
      </c>
      <c r="AO39" s="216">
        <v>0.35</v>
      </c>
      <c r="AP39" s="216">
        <v>0.34</v>
      </c>
      <c r="AQ39" s="216">
        <v>0.32</v>
      </c>
      <c r="AR39" s="216">
        <v>0.34</v>
      </c>
      <c r="AS39" s="216">
        <v>0.32</v>
      </c>
      <c r="AT39" s="216">
        <v>0.3</v>
      </c>
      <c r="AU39" s="216">
        <v>0.26</v>
      </c>
      <c r="AV39" s="216">
        <v>0.25</v>
      </c>
      <c r="AW39" s="216">
        <v>0.25</v>
      </c>
      <c r="AX39" s="216">
        <v>0.25</v>
      </c>
      <c r="AY39" s="216">
        <v>0.25</v>
      </c>
      <c r="AZ39" s="216">
        <v>0.25</v>
      </c>
      <c r="BA39" s="216">
        <v>0.25</v>
      </c>
      <c r="BB39" s="216">
        <v>0.25</v>
      </c>
      <c r="BC39" s="216">
        <v>0.25</v>
      </c>
      <c r="BD39" s="216">
        <v>0.25</v>
      </c>
      <c r="BE39" s="216">
        <v>0.25</v>
      </c>
      <c r="BF39" s="216">
        <v>0.25</v>
      </c>
      <c r="BG39" s="216">
        <v>0.25</v>
      </c>
      <c r="BH39" s="216">
        <v>0.25</v>
      </c>
      <c r="BI39" s="214">
        <v>0.28999999999999998</v>
      </c>
      <c r="BJ39" s="214">
        <v>0.28999999999999998</v>
      </c>
      <c r="BK39" s="214">
        <v>0.28999999999999998</v>
      </c>
      <c r="BL39" s="214">
        <v>0.28999999999999998</v>
      </c>
      <c r="BM39" s="214">
        <v>0.28999999999999998</v>
      </c>
      <c r="BN39" s="214">
        <v>0.28999999999999998</v>
      </c>
      <c r="BO39" s="300">
        <v>0.28999999999999998</v>
      </c>
      <c r="BP39" s="214">
        <v>0.28999999999999998</v>
      </c>
      <c r="BQ39" s="214">
        <v>0.28999999999999998</v>
      </c>
      <c r="BR39" s="214">
        <v>0.28999999999999998</v>
      </c>
      <c r="BS39" s="300">
        <v>0.28999999999999998</v>
      </c>
      <c r="BT39" s="300">
        <v>0.28999999999999998</v>
      </c>
      <c r="BU39" s="214">
        <v>0.28999999999999998</v>
      </c>
      <c r="BV39" s="214">
        <v>0.28999999999999998</v>
      </c>
      <c r="BW39" s="214">
        <v>0.28999999999999998</v>
      </c>
    </row>
    <row r="40" spans="1:75 16384:16384">
      <c r="A40" s="178" t="str">
        <f t="shared" si="0"/>
        <v>ISOPHORONEUSD</v>
      </c>
      <c r="B40" s="178" t="s">
        <v>56</v>
      </c>
      <c r="C40" s="178" t="s">
        <v>74</v>
      </c>
      <c r="D40" s="178" t="s">
        <v>33</v>
      </c>
      <c r="E40" s="178" t="s">
        <v>34</v>
      </c>
      <c r="F40" s="216">
        <v>1.5696622152738924</v>
      </c>
      <c r="G40" s="216">
        <v>1.4924384935776835</v>
      </c>
      <c r="H40" s="216">
        <v>1.5864575476499325</v>
      </c>
      <c r="I40" s="216">
        <v>1.475604654554391</v>
      </c>
      <c r="J40" s="219">
        <f>I40</f>
        <v>1.475604654554391</v>
      </c>
      <c r="K40" s="219">
        <f>J40</f>
        <v>1.475604654554391</v>
      </c>
      <c r="L40" s="216">
        <v>1.8300307430856999</v>
      </c>
      <c r="M40" s="216">
        <v>1.8209225143307441</v>
      </c>
      <c r="N40" s="216">
        <v>1.7136455321954815</v>
      </c>
      <c r="O40" s="216">
        <v>1.7483818762900381</v>
      </c>
      <c r="P40" s="216">
        <v>1.6827534974421228</v>
      </c>
      <c r="Q40" s="216">
        <v>1.2148342343729142</v>
      </c>
      <c r="R40" s="219">
        <f>Q40</f>
        <v>1.2148342343729142</v>
      </c>
      <c r="S40" s="216">
        <v>1.8713520002533717</v>
      </c>
      <c r="T40" s="216">
        <v>1.8704753770124447</v>
      </c>
      <c r="U40" s="216">
        <v>1.8300404585300065</v>
      </c>
      <c r="V40" s="216">
        <v>2.2768573260742846</v>
      </c>
      <c r="W40" s="219">
        <f>V40</f>
        <v>2.2768573260742846</v>
      </c>
      <c r="X40" s="219">
        <f>W40</f>
        <v>2.2768573260742846</v>
      </c>
      <c r="Y40" s="216">
        <v>1.9015957446808509</v>
      </c>
      <c r="Z40" s="216">
        <v>1.8864097363083163</v>
      </c>
      <c r="AA40" s="216">
        <v>1.7597027741083222</v>
      </c>
      <c r="AB40" s="219">
        <f>AA40</f>
        <v>1.7597027741083222</v>
      </c>
      <c r="AC40" s="219">
        <f>AB40</f>
        <v>1.7597027741083222</v>
      </c>
      <c r="AD40" s="216">
        <v>1.7853391262355092</v>
      </c>
      <c r="AE40" s="216">
        <v>1.7855620205349352</v>
      </c>
      <c r="AF40" s="219">
        <f>AE40</f>
        <v>1.7855620205349352</v>
      </c>
      <c r="AG40" s="219">
        <f>AF40</f>
        <v>1.7855620205349352</v>
      </c>
      <c r="AH40" s="219">
        <f>AG40</f>
        <v>1.7855620205349352</v>
      </c>
      <c r="AI40" s="214">
        <v>1.84</v>
      </c>
      <c r="AJ40" s="214">
        <v>1.8400000000000003</v>
      </c>
      <c r="AK40" s="232">
        <f>AJ40</f>
        <v>1.8400000000000003</v>
      </c>
      <c r="AL40" s="232">
        <f>AK40</f>
        <v>1.8400000000000003</v>
      </c>
      <c r="AM40" s="214">
        <v>1.59</v>
      </c>
      <c r="AN40" s="216">
        <v>1.5633333333333332</v>
      </c>
      <c r="AO40" s="216">
        <v>1.608716447368421</v>
      </c>
      <c r="AP40" s="216">
        <v>1.5922413907284769</v>
      </c>
      <c r="AQ40" s="216">
        <v>1.5169598684210528</v>
      </c>
      <c r="AR40" s="216">
        <v>1.5236133771929823</v>
      </c>
      <c r="AS40" s="214">
        <v>1.55</v>
      </c>
      <c r="AT40" s="214">
        <v>1.62</v>
      </c>
      <c r="AU40" s="214">
        <v>1.52</v>
      </c>
      <c r="AV40" s="214">
        <v>1.52</v>
      </c>
      <c r="AW40" s="214">
        <v>1.52</v>
      </c>
      <c r="AX40" s="214">
        <v>1.52</v>
      </c>
      <c r="AY40" s="214">
        <v>1.52</v>
      </c>
      <c r="AZ40" s="214">
        <v>1.54</v>
      </c>
      <c r="BA40" s="214">
        <v>1.54</v>
      </c>
      <c r="BB40" s="214">
        <v>1.54</v>
      </c>
      <c r="BC40" s="214">
        <v>1.54</v>
      </c>
      <c r="BD40" s="214">
        <v>1.46</v>
      </c>
      <c r="BE40" s="214">
        <v>1.46</v>
      </c>
      <c r="BF40" s="214">
        <v>1.46</v>
      </c>
      <c r="BG40" s="214">
        <v>1.46</v>
      </c>
      <c r="BH40" s="214">
        <v>1.46</v>
      </c>
      <c r="BI40" s="214">
        <v>1.46</v>
      </c>
      <c r="BJ40" s="214">
        <v>1.45</v>
      </c>
      <c r="BK40" s="214">
        <v>1.55</v>
      </c>
      <c r="BL40" s="214">
        <v>1.55</v>
      </c>
      <c r="BM40" s="214">
        <v>1.55</v>
      </c>
      <c r="BN40" s="214">
        <v>1.55</v>
      </c>
      <c r="BO40" s="300">
        <v>1.45</v>
      </c>
      <c r="BP40" s="214">
        <v>1.45</v>
      </c>
      <c r="BQ40" s="214">
        <v>1.45</v>
      </c>
      <c r="BR40" s="214">
        <v>1.45</v>
      </c>
      <c r="BS40" s="300">
        <v>1.45</v>
      </c>
      <c r="BT40" s="300">
        <v>1.5</v>
      </c>
      <c r="BU40" s="300">
        <v>1.5</v>
      </c>
      <c r="BV40" s="300">
        <v>1.5</v>
      </c>
      <c r="BW40" s="178"/>
    </row>
    <row r="41" spans="1:75 16384:16384">
      <c r="A41" s="178" t="str">
        <f t="shared" si="0"/>
        <v>Hydrochloric acidUSD</v>
      </c>
      <c r="B41" s="178" t="s">
        <v>41</v>
      </c>
      <c r="C41" s="178" t="s">
        <v>58</v>
      </c>
      <c r="D41" s="178" t="s">
        <v>33</v>
      </c>
      <c r="E41" s="178" t="s">
        <v>34</v>
      </c>
      <c r="F41" s="216">
        <f t="shared" ref="F41:BQ41" si="14">F19/F1</f>
        <v>4.2082443851499292E-2</v>
      </c>
      <c r="G41" s="216">
        <f t="shared" si="14"/>
        <v>4.1927866431118795E-2</v>
      </c>
      <c r="H41" s="216">
        <f t="shared" si="14"/>
        <v>4.0293873182269707E-2</v>
      </c>
      <c r="I41" s="216">
        <f t="shared" si="14"/>
        <v>3.9343426408514334E-2</v>
      </c>
      <c r="J41" s="216">
        <f t="shared" si="14"/>
        <v>3.9668766651551307E-2</v>
      </c>
      <c r="K41" s="216">
        <f t="shared" si="14"/>
        <v>3.9606114550388739E-2</v>
      </c>
      <c r="L41" s="216">
        <f t="shared" si="14"/>
        <v>4.0040446878941899E-2</v>
      </c>
      <c r="M41" s="216">
        <f t="shared" si="14"/>
        <v>4.0221543722742607E-2</v>
      </c>
      <c r="N41" s="216">
        <f t="shared" si="14"/>
        <v>4.0797531912509413E-2</v>
      </c>
      <c r="O41" s="216">
        <f t="shared" si="14"/>
        <v>4.0806798675929075E-2</v>
      </c>
      <c r="P41" s="216">
        <f t="shared" si="14"/>
        <v>4.0413730627846631E-2</v>
      </c>
      <c r="Q41" s="216">
        <f t="shared" si="14"/>
        <v>4.068802678279676E-2</v>
      </c>
      <c r="R41" s="216">
        <f t="shared" si="14"/>
        <v>4.1022836045398609E-2</v>
      </c>
      <c r="S41" s="216">
        <f t="shared" si="14"/>
        <v>4.1208791208791208E-2</v>
      </c>
      <c r="T41" s="216">
        <f t="shared" si="14"/>
        <v>4.1208791208791208E-2</v>
      </c>
      <c r="U41" s="216">
        <f t="shared" si="14"/>
        <v>4.0295500335795834E-2</v>
      </c>
      <c r="V41" s="216">
        <f t="shared" si="14"/>
        <v>4.0955631399317405E-2</v>
      </c>
      <c r="W41" s="216">
        <f t="shared" si="14"/>
        <v>4.0794125645906988E-2</v>
      </c>
      <c r="X41" s="216">
        <f t="shared" si="14"/>
        <v>4.0252247417147453E-2</v>
      </c>
      <c r="Y41" s="216">
        <f t="shared" si="14"/>
        <v>4.0453074433656963E-2</v>
      </c>
      <c r="Z41" s="216">
        <f t="shared" si="14"/>
        <v>4.0788579197824609E-2</v>
      </c>
      <c r="AA41" s="216">
        <f t="shared" si="14"/>
        <v>4.0048057669203045E-2</v>
      </c>
      <c r="AB41" s="216">
        <f t="shared" si="14"/>
        <v>4.0284678393984155E-2</v>
      </c>
      <c r="AC41" s="216">
        <f t="shared" si="14"/>
        <v>3.9777247414478918E-2</v>
      </c>
      <c r="AD41" s="216">
        <f t="shared" si="14"/>
        <v>4.0295500335795834E-2</v>
      </c>
      <c r="AE41" s="216">
        <f t="shared" si="14"/>
        <v>4.0021344717182501E-2</v>
      </c>
      <c r="AF41" s="216">
        <f t="shared" si="14"/>
        <v>3.9364912741110092E-2</v>
      </c>
      <c r="AG41" s="216">
        <f t="shared" si="14"/>
        <v>3.926160695794198E-2</v>
      </c>
      <c r="AH41" s="216">
        <f t="shared" si="14"/>
        <v>3.8800156881967661E-2</v>
      </c>
      <c r="AI41" s="216">
        <f t="shared" si="14"/>
        <v>3.8424799784960856E-2</v>
      </c>
      <c r="AJ41" s="216">
        <f t="shared" si="14"/>
        <v>3.768770721509021E-2</v>
      </c>
      <c r="AK41" s="216">
        <f t="shared" si="14"/>
        <v>3.7713584600789135E-2</v>
      </c>
      <c r="AL41" s="216">
        <f t="shared" si="14"/>
        <v>3.739177206519629E-2</v>
      </c>
      <c r="AM41" s="216">
        <f t="shared" si="14"/>
        <v>3.6434245194778475E-2</v>
      </c>
      <c r="AN41" s="216">
        <f t="shared" si="14"/>
        <v>3.6670101044754461E-2</v>
      </c>
      <c r="AO41" s="216">
        <f t="shared" si="14"/>
        <v>3.637941681259315E-2</v>
      </c>
      <c r="AP41" s="216">
        <f t="shared" si="14"/>
        <v>3.6630219791784532E-2</v>
      </c>
      <c r="AQ41" s="216">
        <f t="shared" si="14"/>
        <v>3.6531170525677455E-2</v>
      </c>
      <c r="AR41" s="216">
        <f t="shared" si="14"/>
        <v>3.6531170525677455E-2</v>
      </c>
      <c r="AS41" s="216">
        <f t="shared" si="14"/>
        <v>3.6531170525677455E-2</v>
      </c>
      <c r="AT41" s="216">
        <f t="shared" si="14"/>
        <v>3.6531170525677455E-2</v>
      </c>
      <c r="AU41" s="216">
        <f t="shared" si="14"/>
        <v>3.6363636363636362E-2</v>
      </c>
      <c r="AV41" s="216">
        <f t="shared" si="14"/>
        <v>3.6390101892285302E-2</v>
      </c>
      <c r="AW41" s="216">
        <f t="shared" si="14"/>
        <v>3.6505232416646383E-2</v>
      </c>
      <c r="AX41" s="216">
        <f t="shared" si="14"/>
        <v>3.662109375E-2</v>
      </c>
      <c r="AY41" s="216">
        <f t="shared" si="14"/>
        <v>3.6469730123997082E-2</v>
      </c>
      <c r="AZ41" s="216">
        <f t="shared" si="14"/>
        <v>3.6218761318362915E-2</v>
      </c>
      <c r="BA41" s="216">
        <f t="shared" si="14"/>
        <v>3.6036036036036036E-2</v>
      </c>
      <c r="BB41" s="216">
        <f t="shared" si="14"/>
        <v>3.6036036036036036E-2</v>
      </c>
      <c r="BC41" s="216">
        <f t="shared" si="14"/>
        <v>3.6297640653357527E-2</v>
      </c>
      <c r="BD41" s="216">
        <f t="shared" si="14"/>
        <v>3.6122817579771226E-2</v>
      </c>
      <c r="BE41" s="216">
        <f t="shared" si="14"/>
        <v>3.6170725825898239E-2</v>
      </c>
      <c r="BF41" s="216">
        <f t="shared" si="14"/>
        <v>3.6175087423127937E-2</v>
      </c>
      <c r="BG41" s="216">
        <f t="shared" si="14"/>
        <v>3.6031707902954596E-2</v>
      </c>
      <c r="BH41" s="216">
        <f t="shared" si="14"/>
        <v>3.6049026676279738E-2</v>
      </c>
      <c r="BI41" s="216">
        <f t="shared" si="14"/>
        <v>3.6036036036036036E-2</v>
      </c>
      <c r="BJ41" s="216">
        <f t="shared" si="14"/>
        <v>3.6092396535129932E-2</v>
      </c>
      <c r="BK41" s="216">
        <f t="shared" si="14"/>
        <v>3.6031707902954596E-2</v>
      </c>
      <c r="BL41" s="216">
        <f t="shared" si="14"/>
        <v>3.6049026676279738E-2</v>
      </c>
      <c r="BM41" s="216">
        <f t="shared" si="14"/>
        <v>3.6062026685899751E-2</v>
      </c>
      <c r="BN41" s="216">
        <f t="shared" si="14"/>
        <v>3.6062026685899751E-2</v>
      </c>
      <c r="BO41" s="301">
        <f t="shared" si="14"/>
        <v>3.6001440057602307E-2</v>
      </c>
      <c r="BP41" s="216">
        <f t="shared" si="14"/>
        <v>3.5971223021582732E-2</v>
      </c>
      <c r="BQ41" s="216">
        <f t="shared" si="14"/>
        <v>3.5988483685220729E-2</v>
      </c>
      <c r="BR41" s="318">
        <f t="shared" ref="BR41:BW41" si="15">BR19/BR1</f>
        <v>3.6040365209034121E-2</v>
      </c>
      <c r="BS41" s="312">
        <f t="shared" si="15"/>
        <v>3.6005760921747482E-2</v>
      </c>
      <c r="BT41" s="312">
        <f t="shared" si="15"/>
        <v>3.6083714216983399E-2</v>
      </c>
      <c r="BU41" s="216">
        <f t="shared" si="15"/>
        <v>3.6079374624173176E-2</v>
      </c>
      <c r="BV41" s="216">
        <f t="shared" si="15"/>
        <v>3.6036036036036036E-2</v>
      </c>
      <c r="BW41" s="216" t="e">
        <f t="shared" si="15"/>
        <v>#DIV/0!</v>
      </c>
    </row>
    <row r="42" spans="1:75 16384:16384">
      <c r="A42" s="178" t="str">
        <f t="shared" si="0"/>
        <v>BARIUM HYDROXIDE USD</v>
      </c>
      <c r="B42" s="178" t="s">
        <v>56</v>
      </c>
      <c r="C42" s="178" t="s">
        <v>75</v>
      </c>
      <c r="D42" s="178" t="s">
        <v>33</v>
      </c>
      <c r="E42" s="178" t="s">
        <v>34</v>
      </c>
      <c r="F42" s="216">
        <v>1.3258295268223861</v>
      </c>
      <c r="G42" s="216">
        <v>0.8980356447585468</v>
      </c>
      <c r="H42" s="216">
        <f>G42</f>
        <v>0.8980356447585468</v>
      </c>
      <c r="I42" s="216">
        <v>1.2007061613044094</v>
      </c>
      <c r="J42" s="216">
        <v>1.3665422078198071</v>
      </c>
      <c r="K42" s="216">
        <v>0.9341097406689971</v>
      </c>
      <c r="L42" s="216">
        <f>K42</f>
        <v>0.9341097406689971</v>
      </c>
      <c r="M42" s="216">
        <f>L42</f>
        <v>0.9341097406689971</v>
      </c>
      <c r="N42" s="216">
        <v>0.90596743771546751</v>
      </c>
      <c r="O42" s="216">
        <v>1.0686235654101559</v>
      </c>
      <c r="P42" s="216">
        <v>1.2645829874780437</v>
      </c>
      <c r="Q42" s="216">
        <v>1.5350103725494681</v>
      </c>
      <c r="R42" s="216">
        <v>1.5188086045228903</v>
      </c>
      <c r="S42" s="216">
        <v>1.6590987052092743</v>
      </c>
      <c r="T42" s="216">
        <v>1.5053900412208738</v>
      </c>
      <c r="U42" s="216">
        <v>1.0326923076923076</v>
      </c>
      <c r="V42" s="216">
        <v>2.2770819184982991</v>
      </c>
      <c r="W42" s="216">
        <v>3.4136045159847974</v>
      </c>
      <c r="X42" s="216">
        <v>1.8079052836273952</v>
      </c>
      <c r="Y42" s="216">
        <v>6.662234042553191</v>
      </c>
      <c r="Z42" s="216">
        <v>6.841982234689107</v>
      </c>
      <c r="AA42" s="216">
        <f>Z42</f>
        <v>6.841982234689107</v>
      </c>
      <c r="AB42" s="216">
        <v>1.9895856049039715</v>
      </c>
      <c r="AC42" s="216">
        <v>3.9092686429512513</v>
      </c>
      <c r="AD42" s="216">
        <v>2.9185750320421997</v>
      </c>
      <c r="AE42" s="216">
        <v>5.9753004555389841</v>
      </c>
      <c r="AF42" s="216">
        <v>2.0443297008235293</v>
      </c>
      <c r="AG42" s="216">
        <f>AF42</f>
        <v>2.0443297008235293</v>
      </c>
      <c r="AH42" s="216">
        <v>3.5169099337748344</v>
      </c>
      <c r="AI42" s="216">
        <v>1.7459268874172182</v>
      </c>
      <c r="AJ42" s="216">
        <v>5.5940907216494846</v>
      </c>
      <c r="AK42" s="216">
        <v>3.8175414814814812</v>
      </c>
      <c r="AL42" s="216">
        <v>1.48</v>
      </c>
      <c r="AM42" s="216">
        <v>1.4531782347428193</v>
      </c>
      <c r="AN42" s="216">
        <v>1.4138798305084745</v>
      </c>
      <c r="AO42" s="216">
        <v>5.6951200000000002</v>
      </c>
      <c r="AP42" s="216">
        <v>1.0877919298245613</v>
      </c>
      <c r="AQ42" s="216">
        <v>1.2935606741573034</v>
      </c>
      <c r="AR42" s="216">
        <v>1.2963307142857143</v>
      </c>
      <c r="AS42" s="214">
        <v>0.84</v>
      </c>
      <c r="AT42" s="214">
        <v>0.84</v>
      </c>
      <c r="AU42" s="214">
        <v>0.84</v>
      </c>
      <c r="AV42" s="214">
        <v>0.84</v>
      </c>
      <c r="AW42" s="214">
        <v>0.84</v>
      </c>
      <c r="AX42" s="214">
        <v>0.84</v>
      </c>
      <c r="AY42" s="214">
        <v>0.84</v>
      </c>
      <c r="AZ42" s="214">
        <v>0.84</v>
      </c>
      <c r="BA42" s="214">
        <v>0.84</v>
      </c>
      <c r="BB42" s="214">
        <v>0.84</v>
      </c>
      <c r="BC42" s="214">
        <v>0.84</v>
      </c>
      <c r="BD42" s="214">
        <v>0.84</v>
      </c>
      <c r="BE42" s="214">
        <v>0.84</v>
      </c>
      <c r="BF42" s="214">
        <v>0.84</v>
      </c>
      <c r="BG42" s="214">
        <v>0.84</v>
      </c>
      <c r="BH42" s="214">
        <v>0.84</v>
      </c>
      <c r="BI42" s="214">
        <v>0.84</v>
      </c>
      <c r="BJ42" s="214">
        <v>0.84</v>
      </c>
      <c r="BK42" s="214">
        <v>0.84</v>
      </c>
      <c r="BL42" s="214">
        <v>0.84</v>
      </c>
      <c r="BM42" s="214">
        <v>0.84</v>
      </c>
      <c r="BN42" s="214">
        <v>0.84</v>
      </c>
      <c r="BO42" s="300">
        <v>0.84</v>
      </c>
      <c r="BP42" s="214">
        <v>0.84</v>
      </c>
      <c r="BQ42" s="214">
        <v>0.84</v>
      </c>
      <c r="BR42" s="214">
        <v>0.84</v>
      </c>
      <c r="BS42" s="300">
        <v>0.84</v>
      </c>
      <c r="BT42" s="300">
        <v>0.84</v>
      </c>
      <c r="BU42" s="214">
        <v>0.84</v>
      </c>
      <c r="BV42" s="214">
        <v>0.84</v>
      </c>
      <c r="BW42" s="214">
        <v>0.84</v>
      </c>
    </row>
    <row r="43" spans="1:75 16384:16384">
      <c r="A43" s="178" t="str">
        <f t="shared" si="0"/>
        <v>ButadieneUSD</v>
      </c>
      <c r="B43" s="178" t="s">
        <v>76</v>
      </c>
      <c r="C43" s="178" t="s">
        <v>77</v>
      </c>
      <c r="D43" s="178" t="s">
        <v>33</v>
      </c>
      <c r="E43" s="178" t="s">
        <v>32</v>
      </c>
      <c r="F43" s="214">
        <v>897</v>
      </c>
      <c r="G43" s="214">
        <v>850</v>
      </c>
      <c r="H43" s="214">
        <v>700</v>
      </c>
      <c r="I43" s="214">
        <v>300</v>
      </c>
      <c r="J43" s="214">
        <v>250</v>
      </c>
      <c r="K43" s="214">
        <v>278</v>
      </c>
      <c r="L43" s="214">
        <v>350</v>
      </c>
      <c r="M43" s="214">
        <v>530</v>
      </c>
      <c r="N43" s="214">
        <v>680</v>
      </c>
      <c r="O43" s="214">
        <v>825</v>
      </c>
      <c r="P43" s="214">
        <v>1230</v>
      </c>
      <c r="Q43" s="214">
        <v>1150</v>
      </c>
      <c r="R43" s="214">
        <v>740</v>
      </c>
      <c r="S43" s="214">
        <v>750</v>
      </c>
      <c r="T43" s="214">
        <v>1050</v>
      </c>
      <c r="U43" s="214">
        <v>950</v>
      </c>
      <c r="V43" s="214">
        <v>950</v>
      </c>
      <c r="W43" s="214">
        <v>1150</v>
      </c>
      <c r="X43" s="214">
        <v>1350</v>
      </c>
      <c r="Y43" s="214">
        <v>1550</v>
      </c>
      <c r="Z43" s="214">
        <v>920</v>
      </c>
      <c r="AA43" s="214">
        <v>750</v>
      </c>
      <c r="AB43" s="214">
        <v>740</v>
      </c>
      <c r="AC43" s="214">
        <v>600</v>
      </c>
      <c r="AD43" s="214">
        <v>750</v>
      </c>
      <c r="AE43" s="215">
        <v>983.33333333333337</v>
      </c>
      <c r="AF43" s="215">
        <v>1300</v>
      </c>
      <c r="AG43" s="215">
        <v>1384</v>
      </c>
      <c r="AH43" s="215">
        <v>1335</v>
      </c>
      <c r="AI43" s="215">
        <v>1466.6666666666667</v>
      </c>
      <c r="AJ43" s="215">
        <v>1272.5</v>
      </c>
      <c r="AK43" s="215">
        <v>946.66666666666663</v>
      </c>
      <c r="AL43" s="215">
        <v>802.5</v>
      </c>
      <c r="AM43" s="215">
        <v>720</v>
      </c>
      <c r="AN43" s="215">
        <v>680</v>
      </c>
      <c r="AO43" s="214">
        <v>730</v>
      </c>
      <c r="AP43" s="214">
        <v>850</v>
      </c>
      <c r="AQ43" s="214">
        <v>1130</v>
      </c>
      <c r="AR43" s="214">
        <v>1100</v>
      </c>
      <c r="AS43" s="214">
        <v>1000</v>
      </c>
      <c r="AT43" s="214">
        <v>890</v>
      </c>
      <c r="AU43" s="214">
        <v>560</v>
      </c>
      <c r="AV43" s="214">
        <v>558</v>
      </c>
      <c r="AW43" s="214">
        <v>620</v>
      </c>
      <c r="AX43" s="214">
        <v>630</v>
      </c>
      <c r="AY43" s="214">
        <v>630</v>
      </c>
      <c r="AZ43" s="214">
        <v>660</v>
      </c>
      <c r="BA43" s="214">
        <v>710</v>
      </c>
      <c r="BB43" s="214">
        <v>760</v>
      </c>
      <c r="BC43" s="214">
        <v>800</v>
      </c>
      <c r="BD43" s="214">
        <v>840</v>
      </c>
      <c r="BE43" s="214">
        <v>930</v>
      </c>
      <c r="BF43" s="214">
        <v>1000</v>
      </c>
      <c r="BG43" s="214">
        <v>1010</v>
      </c>
      <c r="BH43" s="214">
        <v>1010</v>
      </c>
      <c r="BI43" s="214">
        <v>1010</v>
      </c>
      <c r="BJ43" s="214">
        <v>1010</v>
      </c>
      <c r="BK43" s="214">
        <v>988</v>
      </c>
      <c r="BL43" s="214">
        <v>988</v>
      </c>
      <c r="BM43" s="214">
        <v>975</v>
      </c>
      <c r="BN43" s="214">
        <v>968</v>
      </c>
      <c r="BO43" s="300">
        <v>920</v>
      </c>
      <c r="BP43" s="214">
        <v>914</v>
      </c>
      <c r="BQ43" s="214">
        <v>888</v>
      </c>
      <c r="BR43" s="214">
        <v>879</v>
      </c>
      <c r="BS43" s="300">
        <v>879</v>
      </c>
      <c r="BT43" s="300">
        <v>928</v>
      </c>
      <c r="BU43" s="214">
        <v>1010</v>
      </c>
      <c r="BV43" s="214">
        <v>1025</v>
      </c>
      <c r="BW43" s="178"/>
    </row>
    <row r="44" spans="1:75 16384:16384">
      <c r="A44" s="178" t="str">
        <f t="shared" si="0"/>
        <v>N-ButanolUSD</v>
      </c>
      <c r="B44" s="178" t="s">
        <v>46</v>
      </c>
      <c r="C44" s="178" t="s">
        <v>78</v>
      </c>
      <c r="D44" s="178" t="s">
        <v>33</v>
      </c>
      <c r="E44" s="178" t="s">
        <v>32</v>
      </c>
      <c r="F44" s="215">
        <v>691.5</v>
      </c>
      <c r="G44" s="215">
        <v>666.25</v>
      </c>
      <c r="H44" s="215">
        <v>650</v>
      </c>
      <c r="I44" s="215">
        <v>603</v>
      </c>
      <c r="J44" s="215">
        <v>602.5</v>
      </c>
      <c r="K44" s="215">
        <v>612.5</v>
      </c>
      <c r="L44" s="215">
        <v>627</v>
      </c>
      <c r="M44" s="215">
        <v>617.5</v>
      </c>
      <c r="N44" s="215">
        <v>638.75</v>
      </c>
      <c r="O44" s="215">
        <v>696</v>
      </c>
      <c r="P44" s="215">
        <v>933.75</v>
      </c>
      <c r="Q44" s="215">
        <v>1078.75</v>
      </c>
      <c r="R44" s="215">
        <v>1238.75</v>
      </c>
      <c r="S44" s="215">
        <v>1370</v>
      </c>
      <c r="T44" s="215">
        <v>1862.5</v>
      </c>
      <c r="U44" s="215">
        <v>1655</v>
      </c>
      <c r="V44" s="215">
        <v>1793.75</v>
      </c>
      <c r="W44" s="215">
        <v>1843.75</v>
      </c>
      <c r="X44" s="215">
        <v>1880</v>
      </c>
      <c r="Y44" s="215">
        <v>1950</v>
      </c>
      <c r="Z44" s="215">
        <v>1940</v>
      </c>
      <c r="AA44" s="215">
        <v>1750</v>
      </c>
      <c r="AB44" s="215">
        <v>1662.5</v>
      </c>
      <c r="AC44" s="215">
        <v>1371.25</v>
      </c>
      <c r="AD44" s="215">
        <v>1275</v>
      </c>
      <c r="AE44" s="215">
        <v>1362.5</v>
      </c>
      <c r="AF44" s="215">
        <v>1470</v>
      </c>
      <c r="AG44" s="215">
        <v>1462.5</v>
      </c>
      <c r="AH44" s="215">
        <v>1487.5</v>
      </c>
      <c r="AI44" s="215">
        <v>1418</v>
      </c>
      <c r="AJ44" s="215">
        <v>1118.75</v>
      </c>
      <c r="AK44" s="215">
        <v>962.5</v>
      </c>
      <c r="AL44" s="215">
        <v>934</v>
      </c>
      <c r="AM44" s="215">
        <v>950</v>
      </c>
      <c r="AN44" s="214">
        <v>950</v>
      </c>
      <c r="AO44" s="214">
        <v>935</v>
      </c>
      <c r="AP44" s="215">
        <v>975</v>
      </c>
      <c r="AQ44" s="215">
        <v>1005</v>
      </c>
      <c r="AR44" s="215">
        <v>975</v>
      </c>
      <c r="AS44" s="214">
        <v>980</v>
      </c>
      <c r="AT44" s="214">
        <v>975</v>
      </c>
      <c r="AU44" s="214">
        <v>900</v>
      </c>
      <c r="AV44" s="214">
        <v>880</v>
      </c>
      <c r="AW44" s="214">
        <v>870</v>
      </c>
      <c r="AX44" s="214">
        <v>870</v>
      </c>
      <c r="AY44" s="214">
        <v>870</v>
      </c>
      <c r="AZ44" s="214">
        <v>890</v>
      </c>
      <c r="BA44" s="214">
        <v>900</v>
      </c>
      <c r="BB44" s="214">
        <v>900</v>
      </c>
      <c r="BC44" s="214">
        <v>900</v>
      </c>
      <c r="BD44" s="214">
        <v>1050</v>
      </c>
      <c r="BE44" s="214">
        <v>1050</v>
      </c>
      <c r="BF44" s="214">
        <v>1050</v>
      </c>
      <c r="BG44" s="214">
        <v>1050</v>
      </c>
      <c r="BH44" s="214">
        <v>1050</v>
      </c>
      <c r="BI44" s="214">
        <v>1075</v>
      </c>
      <c r="BJ44" s="214">
        <v>1050</v>
      </c>
      <c r="BK44" s="214">
        <v>1000</v>
      </c>
      <c r="BL44" s="214">
        <v>975</v>
      </c>
      <c r="BM44" s="214">
        <v>975</v>
      </c>
      <c r="BN44" s="214">
        <v>975</v>
      </c>
      <c r="BO44" s="300">
        <v>975</v>
      </c>
      <c r="BP44" s="214">
        <v>975</v>
      </c>
      <c r="BQ44" s="214">
        <v>975</v>
      </c>
      <c r="BR44" s="313">
        <v>1000</v>
      </c>
      <c r="BS44" s="313">
        <v>1000</v>
      </c>
      <c r="BT44" s="300">
        <v>1065</v>
      </c>
      <c r="BU44" s="214">
        <v>1085</v>
      </c>
      <c r="BV44" s="214">
        <v>1085</v>
      </c>
      <c r="BW44" s="178">
        <v>1085</v>
      </c>
    </row>
    <row r="45" spans="1:75 16384:16384" ht="12">
      <c r="A45" s="178" t="str">
        <f t="shared" si="0"/>
        <v>Titanium dioxideUSD</v>
      </c>
      <c r="B45" s="178" t="s">
        <v>56</v>
      </c>
      <c r="C45" s="273" t="s">
        <v>79</v>
      </c>
      <c r="D45" s="178" t="s">
        <v>33</v>
      </c>
      <c r="E45" s="178" t="s">
        <v>34</v>
      </c>
      <c r="F45" s="216">
        <v>2.5230209867466553</v>
      </c>
      <c r="G45" s="216">
        <v>2.5111390914826441</v>
      </c>
      <c r="H45" s="216">
        <v>2.4063918941798477</v>
      </c>
      <c r="I45" s="216">
        <v>2.5219003272078249</v>
      </c>
      <c r="J45" s="216">
        <v>2.5126431676562762</v>
      </c>
      <c r="K45" s="216">
        <v>2.4238994741421087</v>
      </c>
      <c r="L45" s="216">
        <v>2.3824547647009697</v>
      </c>
      <c r="M45" s="216">
        <v>2.3486377773652305</v>
      </c>
      <c r="N45" s="216">
        <v>2.2356267269606165</v>
      </c>
      <c r="O45" s="216">
        <v>2.2918030191428396</v>
      </c>
      <c r="P45" s="216">
        <v>2.3702676931449913</v>
      </c>
      <c r="Q45" s="216">
        <v>2.4283729903491791</v>
      </c>
      <c r="R45" s="216">
        <v>2.4597391082893587</v>
      </c>
      <c r="S45" s="216">
        <v>2.6209824250846956</v>
      </c>
      <c r="T45" s="216">
        <v>2.6957836424532506</v>
      </c>
      <c r="U45" s="216">
        <v>2.7636021202062349</v>
      </c>
      <c r="V45" s="216">
        <v>2.9446454871114525</v>
      </c>
      <c r="W45" s="216">
        <v>3.0288350046782808</v>
      </c>
      <c r="X45" s="216">
        <v>3.0472665117791649</v>
      </c>
      <c r="Y45" s="216">
        <v>3.1515692029023556</v>
      </c>
      <c r="Z45" s="216">
        <v>3.1562004736049403</v>
      </c>
      <c r="AA45" s="216">
        <v>3.1504628282651432</v>
      </c>
      <c r="AB45" s="216">
        <v>3.2539809680155418</v>
      </c>
      <c r="AC45" s="216">
        <v>3.3365735650041453</v>
      </c>
      <c r="AD45" s="216">
        <v>3.4106098079369156</v>
      </c>
      <c r="AE45" s="216">
        <v>3.4290156935463152</v>
      </c>
      <c r="AF45" s="216">
        <v>3.4197688897508653</v>
      </c>
      <c r="AG45" s="216">
        <v>3.4138437643261761</v>
      </c>
      <c r="AH45" s="216">
        <v>3.5135786527027331</v>
      </c>
      <c r="AI45" s="216">
        <v>3.5479052104425635</v>
      </c>
      <c r="AJ45" s="216">
        <v>3.3298494746592708</v>
      </c>
      <c r="AK45" s="216">
        <v>3.2718088403908077</v>
      </c>
      <c r="AL45" s="216">
        <v>3.1564311991291429</v>
      </c>
      <c r="AM45" s="216">
        <v>2.8645432233292776</v>
      </c>
      <c r="AN45" s="216">
        <v>2.6326033717294304</v>
      </c>
      <c r="AO45" s="216">
        <v>2.6344553120334053</v>
      </c>
      <c r="AP45" s="216">
        <v>2.5822031526607323</v>
      </c>
      <c r="AQ45" s="216">
        <v>2.4503540662046892</v>
      </c>
      <c r="AR45" s="216">
        <v>2.4858139567904036</v>
      </c>
      <c r="AS45" s="214">
        <v>2.81</v>
      </c>
      <c r="AT45" s="214">
        <v>2.81</v>
      </c>
      <c r="AU45" s="214">
        <v>2.81</v>
      </c>
      <c r="AV45" s="214">
        <v>2.81</v>
      </c>
      <c r="AW45" s="214">
        <v>2.81</v>
      </c>
      <c r="AX45" s="214">
        <v>2.81</v>
      </c>
      <c r="AY45" s="214">
        <v>2.81</v>
      </c>
      <c r="AZ45" s="214"/>
      <c r="BA45" s="214"/>
      <c r="BB45" s="214"/>
      <c r="BC45" s="214"/>
      <c r="BD45" s="214"/>
      <c r="BE45" s="214"/>
      <c r="BF45" s="214"/>
      <c r="BG45" s="214"/>
      <c r="BH45" s="214"/>
      <c r="BI45" s="214"/>
      <c r="BJ45" s="214"/>
      <c r="BK45" s="214"/>
      <c r="BL45" s="214"/>
      <c r="BM45" s="214"/>
      <c r="BN45" s="214"/>
      <c r="BO45" s="300"/>
      <c r="BP45" s="214"/>
      <c r="BQ45" s="214"/>
      <c r="BR45" s="214"/>
      <c r="BS45" s="300"/>
      <c r="BT45" s="300"/>
      <c r="BU45" s="214"/>
      <c r="BV45" s="214"/>
      <c r="BW45" s="178"/>
    </row>
    <row r="46" spans="1:75 16384:16384">
      <c r="A46" s="178" t="str">
        <f t="shared" si="0"/>
        <v>Ethyl AcetateUSD</v>
      </c>
      <c r="B46" s="178" t="s">
        <v>80</v>
      </c>
      <c r="C46" s="178" t="s">
        <v>81</v>
      </c>
      <c r="D46" s="178" t="s">
        <v>33</v>
      </c>
      <c r="E46" s="178" t="s">
        <v>32</v>
      </c>
      <c r="F46" s="215">
        <v>823.17</v>
      </c>
      <c r="G46" s="215">
        <v>807.62</v>
      </c>
      <c r="H46" s="215">
        <v>674.56</v>
      </c>
      <c r="I46" s="215">
        <v>745.99</v>
      </c>
      <c r="J46" s="215">
        <v>721.47</v>
      </c>
      <c r="K46" s="215">
        <v>776.61</v>
      </c>
      <c r="L46" s="215">
        <v>777.4</v>
      </c>
      <c r="M46" s="215">
        <v>797.21</v>
      </c>
      <c r="N46" s="215">
        <v>840.17</v>
      </c>
      <c r="O46" s="215">
        <v>970.45</v>
      </c>
      <c r="P46" s="215">
        <v>1019</v>
      </c>
      <c r="Q46" s="215">
        <v>1017</v>
      </c>
      <c r="R46" s="215">
        <v>1189</v>
      </c>
      <c r="S46" s="215">
        <v>1357</v>
      </c>
      <c r="T46" s="215">
        <v>1290</v>
      </c>
      <c r="U46" s="215">
        <v>1498</v>
      </c>
      <c r="V46" s="215">
        <v>1429</v>
      </c>
      <c r="W46" s="215">
        <v>1412</v>
      </c>
      <c r="X46" s="215">
        <v>1328</v>
      </c>
      <c r="Y46" s="215">
        <v>1293</v>
      </c>
      <c r="Z46" s="215">
        <v>1607</v>
      </c>
      <c r="AA46" s="215">
        <v>1460</v>
      </c>
      <c r="AB46" s="215">
        <v>1420</v>
      </c>
      <c r="AC46" s="215">
        <v>1334</v>
      </c>
      <c r="AD46" s="215">
        <v>1298</v>
      </c>
      <c r="AE46" s="215">
        <v>1108</v>
      </c>
      <c r="AF46" s="215">
        <v>1288</v>
      </c>
      <c r="AG46" s="215">
        <v>1369</v>
      </c>
      <c r="AH46" s="215">
        <v>1250</v>
      </c>
      <c r="AI46" s="215">
        <v>1027</v>
      </c>
      <c r="AJ46" s="215">
        <v>976.52</v>
      </c>
      <c r="AK46" s="215">
        <v>974.06</v>
      </c>
      <c r="AL46" s="214">
        <v>973.26</v>
      </c>
      <c r="AM46" s="215">
        <v>917.96</v>
      </c>
      <c r="AN46" s="215">
        <v>887.13</v>
      </c>
      <c r="AO46" s="215">
        <v>920.98</v>
      </c>
      <c r="AP46" s="215">
        <v>938.51</v>
      </c>
      <c r="AQ46" s="215">
        <v>945.93</v>
      </c>
      <c r="AR46" s="215">
        <v>917.22</v>
      </c>
      <c r="AS46" s="214">
        <v>943.88</v>
      </c>
      <c r="AT46" s="214">
        <v>898.09</v>
      </c>
      <c r="AU46" s="214">
        <v>876.94</v>
      </c>
      <c r="AV46" s="214">
        <v>876.94</v>
      </c>
      <c r="AW46" s="214">
        <v>848.99</v>
      </c>
      <c r="AX46" s="214">
        <v>848.99</v>
      </c>
      <c r="AY46" s="214">
        <v>848.99</v>
      </c>
      <c r="AZ46" s="214">
        <v>844.91</v>
      </c>
      <c r="BA46" s="214">
        <v>904.02</v>
      </c>
      <c r="BB46" s="214">
        <v>904.02</v>
      </c>
      <c r="BC46" s="214">
        <v>904.02</v>
      </c>
      <c r="BD46" s="214">
        <v>897.33</v>
      </c>
      <c r="BE46" s="214">
        <v>897.33</v>
      </c>
      <c r="BF46" s="214">
        <v>962.74</v>
      </c>
      <c r="BG46" s="214">
        <v>962.74</v>
      </c>
      <c r="BH46" s="214">
        <v>962.74</v>
      </c>
      <c r="BI46" s="214">
        <v>1024</v>
      </c>
      <c r="BJ46" s="214">
        <v>1024</v>
      </c>
      <c r="BK46" s="214">
        <v>1024</v>
      </c>
      <c r="BL46" s="214">
        <v>889.4</v>
      </c>
      <c r="BM46" s="214">
        <v>889.4</v>
      </c>
      <c r="BN46" s="214">
        <v>889.4</v>
      </c>
      <c r="BO46" s="300">
        <v>889.4</v>
      </c>
      <c r="BP46" s="214">
        <v>897.47</v>
      </c>
      <c r="BQ46" s="214">
        <v>932.12</v>
      </c>
      <c r="BR46" s="313">
        <v>932.12</v>
      </c>
      <c r="BS46" s="313">
        <v>932.12</v>
      </c>
      <c r="BT46" s="300">
        <v>945.86</v>
      </c>
      <c r="BU46" s="214">
        <v>896.64</v>
      </c>
      <c r="BV46" s="214">
        <v>896.64</v>
      </c>
      <c r="BW46" s="214">
        <v>896.64</v>
      </c>
    </row>
    <row r="47" spans="1:75 16384:16384">
      <c r="A47" s="178" t="str">
        <f t="shared" si="0"/>
        <v>Methyl AcrylateUSD</v>
      </c>
      <c r="B47" s="178" t="s">
        <v>46</v>
      </c>
      <c r="C47" s="178" t="s">
        <v>82</v>
      </c>
      <c r="D47" s="178" t="s">
        <v>33</v>
      </c>
      <c r="E47" s="178" t="s">
        <v>34</v>
      </c>
      <c r="F47" s="216">
        <v>1.2824739842750807</v>
      </c>
      <c r="G47" s="216">
        <v>1.2450999956775965</v>
      </c>
      <c r="H47" s="216">
        <v>1.2459440191248849</v>
      </c>
      <c r="I47" s="216">
        <v>1.309036680053137</v>
      </c>
      <c r="J47" s="216">
        <v>1.2178214765089475</v>
      </c>
      <c r="K47" s="216">
        <v>1.2730592736131654</v>
      </c>
      <c r="L47" s="216">
        <v>1.2898030053706282</v>
      </c>
      <c r="M47" s="216">
        <v>1.3059319441469961</v>
      </c>
      <c r="N47" s="216">
        <v>1.2980994327163309</v>
      </c>
      <c r="O47" s="216">
        <v>1.3320853166469768</v>
      </c>
      <c r="P47" s="216">
        <v>1.3315140897605529</v>
      </c>
      <c r="Q47" s="216">
        <v>1.4720316509842615</v>
      </c>
      <c r="R47" s="216">
        <v>1.4945621081219287</v>
      </c>
      <c r="S47" s="216">
        <v>1.507861424319906</v>
      </c>
      <c r="T47" s="216">
        <v>1.6080367326235177</v>
      </c>
      <c r="U47" s="216">
        <v>2.2481367870717111</v>
      </c>
      <c r="V47" s="216">
        <v>2.4143226786489316</v>
      </c>
      <c r="W47" s="216">
        <v>2.1609437150977886</v>
      </c>
      <c r="X47" s="216">
        <v>2.3329886976033829</v>
      </c>
      <c r="Y47" s="216">
        <v>2.8589680335389476</v>
      </c>
      <c r="Z47" s="216">
        <v>2.903848761723717</v>
      </c>
      <c r="AA47" s="216">
        <f>AA101/1000</f>
        <v>2.9350000000000001</v>
      </c>
      <c r="AB47" s="216">
        <f>AB101/1000</f>
        <v>2.9224999999999999</v>
      </c>
      <c r="AC47" s="216">
        <f>AC101/1000</f>
        <v>2.88375</v>
      </c>
      <c r="AD47" s="216">
        <f>AD101/1000</f>
        <v>2.76</v>
      </c>
      <c r="AE47" s="216">
        <f t="shared" ref="AE47:BW47" si="16">AE101/1000</f>
        <v>2.7749999999999999</v>
      </c>
      <c r="AF47" s="216">
        <f t="shared" si="16"/>
        <v>2.7949999999999999</v>
      </c>
      <c r="AG47" s="216">
        <f t="shared" si="16"/>
        <v>2.8</v>
      </c>
      <c r="AH47" s="216">
        <f t="shared" si="16"/>
        <v>2.7524999999999999</v>
      </c>
      <c r="AI47" s="216">
        <f t="shared" si="16"/>
        <v>2.6459999999999999</v>
      </c>
      <c r="AJ47" s="216">
        <f t="shared" si="16"/>
        <v>2.4975000000000001</v>
      </c>
      <c r="AK47" s="216">
        <f t="shared" si="16"/>
        <v>2.1349999999999998</v>
      </c>
      <c r="AL47" s="216">
        <f t="shared" si="16"/>
        <v>1.8062499999999999</v>
      </c>
      <c r="AM47" s="216">
        <f t="shared" si="16"/>
        <v>1.78</v>
      </c>
      <c r="AN47" s="216">
        <f t="shared" si="16"/>
        <v>1.677</v>
      </c>
      <c r="AO47" s="216">
        <f t="shared" si="16"/>
        <v>1.585</v>
      </c>
      <c r="AP47" s="216">
        <f t="shared" si="16"/>
        <v>1.5925</v>
      </c>
      <c r="AQ47" s="216">
        <f t="shared" si="16"/>
        <v>1.6</v>
      </c>
      <c r="AR47" s="216">
        <f t="shared" si="16"/>
        <v>1.5920000000000001</v>
      </c>
      <c r="AS47" s="216">
        <f t="shared" si="16"/>
        <v>1.51875</v>
      </c>
      <c r="AT47" s="216">
        <f t="shared" si="16"/>
        <v>1.5149999999999999</v>
      </c>
      <c r="AU47" s="216">
        <f t="shared" si="16"/>
        <v>1.4750000000000001</v>
      </c>
      <c r="AV47" s="216">
        <f t="shared" si="16"/>
        <v>1.4750000000000001</v>
      </c>
      <c r="AW47" s="216">
        <f t="shared" si="16"/>
        <v>1.4</v>
      </c>
      <c r="AX47" s="216">
        <f t="shared" si="16"/>
        <v>1.4</v>
      </c>
      <c r="AY47" s="216">
        <f t="shared" si="16"/>
        <v>1.375</v>
      </c>
      <c r="AZ47" s="216">
        <f t="shared" si="16"/>
        <v>1.375</v>
      </c>
      <c r="BA47" s="216">
        <f t="shared" si="16"/>
        <v>1.375</v>
      </c>
      <c r="BB47" s="216">
        <f t="shared" si="16"/>
        <v>1.375</v>
      </c>
      <c r="BC47" s="216">
        <f t="shared" si="16"/>
        <v>1.375</v>
      </c>
      <c r="BD47" s="216">
        <f t="shared" si="16"/>
        <v>1.425</v>
      </c>
      <c r="BE47" s="216">
        <f t="shared" si="16"/>
        <v>1.425</v>
      </c>
      <c r="BF47" s="216">
        <f t="shared" si="16"/>
        <v>1.425</v>
      </c>
      <c r="BG47" s="216">
        <f t="shared" si="16"/>
        <v>1.425</v>
      </c>
      <c r="BH47" s="216">
        <f t="shared" si="16"/>
        <v>1.425</v>
      </c>
      <c r="BI47" s="216">
        <f t="shared" si="16"/>
        <v>1.425</v>
      </c>
      <c r="BJ47" s="216">
        <f t="shared" si="16"/>
        <v>1.425</v>
      </c>
      <c r="BK47" s="216">
        <f t="shared" si="16"/>
        <v>1.425</v>
      </c>
      <c r="BL47" s="216">
        <f t="shared" si="16"/>
        <v>1.425</v>
      </c>
      <c r="BM47" s="216">
        <f t="shared" si="16"/>
        <v>1.415</v>
      </c>
      <c r="BN47" s="216">
        <f t="shared" si="16"/>
        <v>1.415</v>
      </c>
      <c r="BO47" s="301">
        <f t="shared" si="16"/>
        <v>1.415</v>
      </c>
      <c r="BP47" s="216">
        <f t="shared" si="16"/>
        <v>1.415</v>
      </c>
      <c r="BQ47" s="216">
        <f t="shared" si="16"/>
        <v>1.415</v>
      </c>
      <c r="BR47" s="312">
        <f t="shared" si="16"/>
        <v>1.415</v>
      </c>
      <c r="BS47" s="301">
        <f t="shared" si="16"/>
        <v>1.415</v>
      </c>
      <c r="BT47" s="301">
        <f t="shared" si="16"/>
        <v>1.415</v>
      </c>
      <c r="BU47" s="216">
        <f t="shared" si="16"/>
        <v>1.415</v>
      </c>
      <c r="BV47" s="216">
        <f t="shared" si="16"/>
        <v>1.415</v>
      </c>
      <c r="BW47" s="216">
        <f t="shared" si="16"/>
        <v>0</v>
      </c>
    </row>
    <row r="48" spans="1:75 16384:16384">
      <c r="A48" s="178" t="str">
        <f t="shared" si="0"/>
        <v>METHYL CHLORIDEUSD</v>
      </c>
      <c r="B48" s="178" t="s">
        <v>56</v>
      </c>
      <c r="C48" s="254" t="s">
        <v>83</v>
      </c>
      <c r="D48" s="178" t="s">
        <v>33</v>
      </c>
      <c r="E48" s="178" t="s">
        <v>34</v>
      </c>
      <c r="F48" s="216">
        <v>0.68821676650557051</v>
      </c>
      <c r="G48" s="216">
        <v>0.6994048522807863</v>
      </c>
      <c r="H48" s="216">
        <v>0.69</v>
      </c>
      <c r="I48" s="216">
        <v>0.69771031241003967</v>
      </c>
      <c r="J48" s="255">
        <f>I48</f>
        <v>0.69771031241003967</v>
      </c>
      <c r="K48" s="216">
        <v>0.6859109258879732</v>
      </c>
      <c r="L48" s="216">
        <v>0.67197719289671209</v>
      </c>
      <c r="M48" s="216">
        <v>1.771843537054951</v>
      </c>
      <c r="N48" s="216">
        <v>0.67714992232092897</v>
      </c>
      <c r="O48" s="219">
        <f>N48</f>
        <v>0.67714992232092897</v>
      </c>
      <c r="P48" s="216">
        <v>0.71218871723084853</v>
      </c>
      <c r="Q48" s="219">
        <f>P48</f>
        <v>0.71218871723084853</v>
      </c>
      <c r="R48" s="216">
        <v>0.80199999986103954</v>
      </c>
      <c r="S48" s="216">
        <v>0.80590650498462912</v>
      </c>
      <c r="T48" s="216">
        <v>0.8069999991695842</v>
      </c>
      <c r="U48" s="219">
        <f>T48</f>
        <v>0.8069999991695842</v>
      </c>
      <c r="V48" s="219">
        <f>U48</f>
        <v>0.8069999991695842</v>
      </c>
      <c r="W48" s="216">
        <v>0.82000000000000006</v>
      </c>
      <c r="X48" s="216">
        <v>0.81183266932270914</v>
      </c>
      <c r="Y48" s="219">
        <f>X48</f>
        <v>0.81183266932270914</v>
      </c>
      <c r="Z48" s="216">
        <v>0.87</v>
      </c>
      <c r="AA48" s="216">
        <v>0.87</v>
      </c>
      <c r="AB48" s="216">
        <v>1.0786181244456514</v>
      </c>
      <c r="AC48" s="216">
        <v>1.1733242931724184</v>
      </c>
      <c r="AD48" s="216">
        <v>1.2072081637342122</v>
      </c>
      <c r="AE48" s="219">
        <f>AD48</f>
        <v>1.2072081637342122</v>
      </c>
      <c r="AF48" s="219">
        <f>AE48</f>
        <v>1.2072081637342122</v>
      </c>
      <c r="AG48" s="214">
        <v>1.1200000000000001</v>
      </c>
      <c r="AH48" s="214">
        <v>1.1199999999999999</v>
      </c>
      <c r="AI48" s="214">
        <v>1.18</v>
      </c>
      <c r="AJ48" s="214">
        <v>1.22</v>
      </c>
      <c r="AK48" s="253">
        <v>1.198615374168138</v>
      </c>
      <c r="AL48" s="253">
        <v>1.2499999999999998</v>
      </c>
      <c r="AM48" s="253">
        <v>1.0999999999999999</v>
      </c>
      <c r="AN48" s="253">
        <v>1.0012407082038113</v>
      </c>
      <c r="AO48" s="253">
        <v>0.87</v>
      </c>
      <c r="AP48" s="255">
        <f>AO48</f>
        <v>0.87</v>
      </c>
      <c r="AQ48" s="255">
        <f t="shared" ref="AQ48:BR48" si="17">AP48</f>
        <v>0.87</v>
      </c>
      <c r="AR48" s="255">
        <f t="shared" si="17"/>
        <v>0.87</v>
      </c>
      <c r="AS48" s="255">
        <f t="shared" si="17"/>
        <v>0.87</v>
      </c>
      <c r="AT48" s="255">
        <f t="shared" si="17"/>
        <v>0.87</v>
      </c>
      <c r="AU48" s="255">
        <f t="shared" si="17"/>
        <v>0.87</v>
      </c>
      <c r="AV48" s="255">
        <f t="shared" si="17"/>
        <v>0.87</v>
      </c>
      <c r="AW48" s="255">
        <f t="shared" si="17"/>
        <v>0.87</v>
      </c>
      <c r="AX48" s="214">
        <f t="shared" si="17"/>
        <v>0.87</v>
      </c>
      <c r="AY48" s="214">
        <f t="shared" si="17"/>
        <v>0.87</v>
      </c>
      <c r="AZ48" s="214">
        <f t="shared" si="17"/>
        <v>0.87</v>
      </c>
      <c r="BA48" s="214">
        <f t="shared" si="17"/>
        <v>0.87</v>
      </c>
      <c r="BB48" s="214">
        <f t="shared" si="17"/>
        <v>0.87</v>
      </c>
      <c r="BC48" s="214">
        <f t="shared" si="17"/>
        <v>0.87</v>
      </c>
      <c r="BD48" s="214">
        <f t="shared" si="17"/>
        <v>0.87</v>
      </c>
      <c r="BE48" s="214">
        <f t="shared" si="17"/>
        <v>0.87</v>
      </c>
      <c r="BF48" s="214">
        <f t="shared" si="17"/>
        <v>0.87</v>
      </c>
      <c r="BG48" s="214">
        <f t="shared" si="17"/>
        <v>0.87</v>
      </c>
      <c r="BH48" s="214">
        <f t="shared" si="17"/>
        <v>0.87</v>
      </c>
      <c r="BI48" s="214">
        <f t="shared" si="17"/>
        <v>0.87</v>
      </c>
      <c r="BJ48" s="214">
        <f t="shared" si="17"/>
        <v>0.87</v>
      </c>
      <c r="BK48" s="214">
        <f t="shared" si="17"/>
        <v>0.87</v>
      </c>
      <c r="BL48" s="214">
        <f t="shared" si="17"/>
        <v>0.87</v>
      </c>
      <c r="BM48" s="214">
        <f t="shared" si="17"/>
        <v>0.87</v>
      </c>
      <c r="BN48" s="214">
        <f t="shared" si="17"/>
        <v>0.87</v>
      </c>
      <c r="BO48" s="300">
        <f t="shared" si="17"/>
        <v>0.87</v>
      </c>
      <c r="BP48" s="214">
        <f t="shared" si="17"/>
        <v>0.87</v>
      </c>
      <c r="BQ48" s="214">
        <f t="shared" si="17"/>
        <v>0.87</v>
      </c>
      <c r="BR48" s="310">
        <f t="shared" si="17"/>
        <v>0.87</v>
      </c>
      <c r="BS48" s="310">
        <f>BR48</f>
        <v>0.87</v>
      </c>
      <c r="BT48" s="310">
        <f>BS48</f>
        <v>0.87</v>
      </c>
      <c r="BU48" s="214">
        <f>BT48</f>
        <v>0.87</v>
      </c>
      <c r="BV48" s="214">
        <f>BU48</f>
        <v>0.87</v>
      </c>
      <c r="BW48" s="214">
        <f>BV48</f>
        <v>0.87</v>
      </c>
    </row>
    <row r="49" spans="1:75 16384:16384">
      <c r="A49" s="178" t="str">
        <f t="shared" si="0"/>
        <v>Toluene USD</v>
      </c>
      <c r="B49" s="178" t="s">
        <v>84</v>
      </c>
      <c r="C49" s="254" t="s">
        <v>85</v>
      </c>
      <c r="D49" s="178" t="s">
        <v>33</v>
      </c>
      <c r="E49" s="178" t="s">
        <v>34</v>
      </c>
      <c r="F49" s="216">
        <v>0.73926447204193557</v>
      </c>
      <c r="G49" s="216">
        <v>0.73257958453993366</v>
      </c>
      <c r="H49" s="216">
        <v>0.66954397982009572</v>
      </c>
      <c r="I49" s="216">
        <v>0.53868738158688978</v>
      </c>
      <c r="J49" s="216">
        <v>0.44985920502596355</v>
      </c>
      <c r="K49" s="216">
        <v>0.46057684515600761</v>
      </c>
      <c r="L49" s="216">
        <v>0.47005029737607462</v>
      </c>
      <c r="M49" s="216">
        <v>0.48746923541239773</v>
      </c>
      <c r="N49" s="216">
        <v>0.4800307164341554</v>
      </c>
      <c r="O49" s="216">
        <v>0.48010908663308233</v>
      </c>
      <c r="P49" s="216">
        <v>0.4769385490946641</v>
      </c>
      <c r="Q49" s="216">
        <v>0.51666339808275996</v>
      </c>
      <c r="R49" s="216">
        <v>0.5625311446201936</v>
      </c>
      <c r="S49" s="216">
        <v>0.62201794967262725</v>
      </c>
      <c r="T49" s="216">
        <v>0.72408483009557645</v>
      </c>
      <c r="U49" s="216">
        <v>0.75727693704973797</v>
      </c>
      <c r="V49" s="216">
        <v>0.77862083962579187</v>
      </c>
      <c r="W49" s="216">
        <v>0.80406958435891696</v>
      </c>
      <c r="X49" s="216">
        <v>0.81103315941211229</v>
      </c>
      <c r="Y49" s="216">
        <v>0.81745158576130617</v>
      </c>
      <c r="Z49" s="216">
        <v>0.83497916516964132</v>
      </c>
      <c r="AA49" s="216">
        <v>0.85324918027475305</v>
      </c>
      <c r="AB49" s="216">
        <v>0.89349876797068284</v>
      </c>
      <c r="AC49" s="216">
        <v>0.90130056498071764</v>
      </c>
      <c r="AD49" s="216">
        <v>0.84232425107368802</v>
      </c>
      <c r="AE49" s="216">
        <v>0.8458153333045445</v>
      </c>
      <c r="AF49" s="216">
        <v>0.91770311827330309</v>
      </c>
      <c r="AG49" s="216">
        <v>1.1046654536902492</v>
      </c>
      <c r="AH49" s="216">
        <v>1.1279342214259058</v>
      </c>
      <c r="AI49" s="216">
        <v>1.2064047548263157</v>
      </c>
      <c r="AJ49" s="216">
        <v>1.26656900626903</v>
      </c>
      <c r="AK49" s="216">
        <v>1.21448634024517</v>
      </c>
      <c r="AL49" s="216">
        <v>1.0975975399758016</v>
      </c>
      <c r="AM49" s="216">
        <v>1.0780184537897088</v>
      </c>
      <c r="AN49" s="216">
        <v>1.0840225128740291</v>
      </c>
      <c r="AO49" s="216">
        <v>1.0509643861842928</v>
      </c>
      <c r="AP49" s="216">
        <v>0.93720626739160129</v>
      </c>
      <c r="AQ49" s="216">
        <v>0.96781536534366197</v>
      </c>
      <c r="AR49" s="216">
        <v>0.98864844558136955</v>
      </c>
      <c r="AS49" s="214">
        <v>1.02</v>
      </c>
      <c r="AT49" s="214">
        <v>1.03</v>
      </c>
      <c r="AU49" s="214">
        <v>0.96</v>
      </c>
      <c r="AV49" s="214">
        <v>0.96</v>
      </c>
      <c r="AW49" s="214">
        <v>0.96</v>
      </c>
      <c r="AX49" s="214">
        <v>0.96</v>
      </c>
      <c r="AY49" s="214">
        <v>1.028</v>
      </c>
      <c r="AZ49" s="214">
        <v>1</v>
      </c>
      <c r="BA49" s="214">
        <v>1</v>
      </c>
      <c r="BB49" s="214">
        <v>1.02</v>
      </c>
      <c r="BC49" s="214">
        <v>1.02</v>
      </c>
      <c r="BD49" s="214">
        <v>0.99</v>
      </c>
      <c r="BE49" s="214">
        <v>1.052</v>
      </c>
      <c r="BF49" s="214">
        <v>1.093</v>
      </c>
      <c r="BG49" s="214">
        <v>1.05</v>
      </c>
      <c r="BH49" s="216">
        <v>0.91800000000000004</v>
      </c>
      <c r="BI49" s="214">
        <v>0.94</v>
      </c>
      <c r="BJ49" s="216">
        <v>0.93400000000000005</v>
      </c>
      <c r="BK49" s="214">
        <v>0.91800000000000004</v>
      </c>
      <c r="BL49" s="214">
        <v>0.91800000000000004</v>
      </c>
      <c r="BM49" s="214">
        <v>0.91800000000000004</v>
      </c>
      <c r="BN49" s="214">
        <v>0.91800000000000004</v>
      </c>
      <c r="BO49" s="300">
        <v>0.88200000000000001</v>
      </c>
      <c r="BP49" s="214">
        <v>0.875</v>
      </c>
      <c r="BQ49" s="214">
        <v>0.89800000000000002</v>
      </c>
      <c r="BR49" s="214">
        <v>0.84399999999999997</v>
      </c>
      <c r="BS49" s="300">
        <v>0.91</v>
      </c>
      <c r="BT49" s="301">
        <v>0.90500000000000003</v>
      </c>
      <c r="BU49" s="214">
        <v>0.92</v>
      </c>
      <c r="BV49" s="214">
        <v>0.92800000000000005</v>
      </c>
      <c r="BW49" s="178"/>
    </row>
    <row r="50" spans="1:75 16384:16384">
      <c r="A50" s="178" t="str">
        <f t="shared" si="0"/>
        <v>Acetic acidUSD</v>
      </c>
      <c r="B50" s="178" t="s">
        <v>46</v>
      </c>
      <c r="C50" s="178" t="s">
        <v>86</v>
      </c>
      <c r="D50" s="178" t="s">
        <v>33</v>
      </c>
      <c r="E50" s="178" t="s">
        <v>32</v>
      </c>
      <c r="F50" s="215">
        <v>374.5</v>
      </c>
      <c r="G50" s="215">
        <v>375.625</v>
      </c>
      <c r="H50" s="215">
        <v>340</v>
      </c>
      <c r="I50" s="215">
        <v>313.75</v>
      </c>
      <c r="J50" s="215">
        <v>326</v>
      </c>
      <c r="K50" s="215">
        <v>315</v>
      </c>
      <c r="L50" s="215">
        <v>337.5</v>
      </c>
      <c r="M50" s="215">
        <v>337.5</v>
      </c>
      <c r="N50" s="215">
        <v>361.25</v>
      </c>
      <c r="O50" s="215">
        <v>386.5</v>
      </c>
      <c r="P50" s="215">
        <v>426.25</v>
      </c>
      <c r="Q50" s="215">
        <v>673.75</v>
      </c>
      <c r="R50" s="215">
        <v>645.625</v>
      </c>
      <c r="S50" s="215">
        <v>812.5</v>
      </c>
      <c r="T50" s="215">
        <v>973</v>
      </c>
      <c r="U50" s="215">
        <v>997</v>
      </c>
      <c r="V50" s="215">
        <v>1040</v>
      </c>
      <c r="W50" s="215">
        <v>1018.75</v>
      </c>
      <c r="X50" s="215">
        <v>897</v>
      </c>
      <c r="Y50" s="215">
        <v>861.25</v>
      </c>
      <c r="Z50" s="215">
        <v>973.75</v>
      </c>
      <c r="AA50" s="215">
        <v>1227</v>
      </c>
      <c r="AB50" s="215">
        <v>1052.5</v>
      </c>
      <c r="AC50" s="215">
        <v>885.625</v>
      </c>
      <c r="AD50" s="215">
        <v>801.25</v>
      </c>
      <c r="AE50" s="215">
        <v>705.625</v>
      </c>
      <c r="AF50" s="215">
        <v>701.875</v>
      </c>
      <c r="AG50" s="215">
        <v>784</v>
      </c>
      <c r="AH50" s="215">
        <v>730</v>
      </c>
      <c r="AI50" s="215">
        <v>703.75</v>
      </c>
      <c r="AJ50" s="215">
        <v>581</v>
      </c>
      <c r="AK50" s="215">
        <v>531.25</v>
      </c>
      <c r="AL50" s="215">
        <v>495.5</v>
      </c>
      <c r="AM50" s="215">
        <v>476.25</v>
      </c>
      <c r="AN50" s="214">
        <v>475</v>
      </c>
      <c r="AO50" s="214">
        <v>440</v>
      </c>
      <c r="AP50" s="215">
        <v>440</v>
      </c>
      <c r="AQ50" s="215">
        <v>445</v>
      </c>
      <c r="AR50" s="215">
        <v>452</v>
      </c>
      <c r="AS50" s="214">
        <v>447.5</v>
      </c>
      <c r="AT50" s="214">
        <v>455</v>
      </c>
      <c r="AU50" s="214">
        <v>460</v>
      </c>
      <c r="AV50" s="214">
        <v>415</v>
      </c>
      <c r="AW50" s="214">
        <v>435</v>
      </c>
      <c r="AX50" s="214">
        <v>445</v>
      </c>
      <c r="AY50" s="214">
        <v>425</v>
      </c>
      <c r="AZ50" s="214">
        <v>425</v>
      </c>
      <c r="BA50" s="214">
        <v>440</v>
      </c>
      <c r="BB50" s="214">
        <v>465</v>
      </c>
      <c r="BC50" s="214">
        <v>480</v>
      </c>
      <c r="BD50" s="214">
        <v>510</v>
      </c>
      <c r="BE50" s="214">
        <v>522.5</v>
      </c>
      <c r="BF50" s="214">
        <v>582.5</v>
      </c>
      <c r="BG50" s="214">
        <v>612.5</v>
      </c>
      <c r="BH50" s="214">
        <v>592.5</v>
      </c>
      <c r="BI50" s="214">
        <v>564</v>
      </c>
      <c r="BJ50" s="214">
        <v>510</v>
      </c>
      <c r="BK50" s="214">
        <v>475</v>
      </c>
      <c r="BL50" s="214">
        <v>455</v>
      </c>
      <c r="BM50" s="214">
        <v>435</v>
      </c>
      <c r="BN50" s="214">
        <v>435</v>
      </c>
      <c r="BO50" s="300">
        <v>435</v>
      </c>
      <c r="BP50" s="214">
        <v>435</v>
      </c>
      <c r="BQ50" s="214">
        <v>480</v>
      </c>
      <c r="BR50" s="313">
        <v>450</v>
      </c>
      <c r="BS50" s="313">
        <v>452.5</v>
      </c>
      <c r="BT50" s="300">
        <v>450</v>
      </c>
      <c r="BU50" s="214">
        <v>445</v>
      </c>
      <c r="BV50" s="214">
        <v>445</v>
      </c>
      <c r="BW50" s="178">
        <v>455</v>
      </c>
    </row>
    <row r="51" spans="1:75 16384:16384">
      <c r="A51" s="178" t="str">
        <f>CONCATENATE(C51,D51)</f>
        <v>CRUDE NAPHTHALENEUSD</v>
      </c>
      <c r="B51" s="178" t="s">
        <v>56</v>
      </c>
      <c r="C51" s="178" t="s">
        <v>87</v>
      </c>
      <c r="D51" s="178" t="s">
        <v>33</v>
      </c>
      <c r="E51" s="178" t="s">
        <v>34</v>
      </c>
      <c r="F51" s="216">
        <v>0.56998312620807201</v>
      </c>
      <c r="G51" s="216">
        <v>0.59121073208170472</v>
      </c>
      <c r="H51" s="216">
        <v>0.58622607532656246</v>
      </c>
      <c r="I51" s="216">
        <v>0.61453884161169792</v>
      </c>
      <c r="J51" s="216">
        <v>0.55963594642841941</v>
      </c>
      <c r="K51" s="216">
        <v>0.53943246925582156</v>
      </c>
      <c r="L51" s="216">
        <v>0.53897666466049809</v>
      </c>
      <c r="M51" s="216">
        <v>0.48993228114808474</v>
      </c>
      <c r="N51" s="216">
        <v>0.54843546543005162</v>
      </c>
      <c r="O51" s="216">
        <v>0.5875206557450755</v>
      </c>
      <c r="P51" s="216">
        <v>0.53379788183505095</v>
      </c>
      <c r="Q51" s="216">
        <v>0.51662325941883824</v>
      </c>
      <c r="R51" s="216">
        <v>0.54909801919251666</v>
      </c>
      <c r="S51" s="216">
        <v>0.6301582784239399</v>
      </c>
      <c r="T51" s="216">
        <v>0.66500382340638975</v>
      </c>
      <c r="U51" s="216">
        <v>0.71638009701499605</v>
      </c>
      <c r="V51" s="216">
        <v>0.76506863326602914</v>
      </c>
      <c r="W51" s="216">
        <v>0.81552637761213986</v>
      </c>
      <c r="X51" s="216">
        <v>0.79669128751853679</v>
      </c>
      <c r="Y51" s="216">
        <v>0.80482136926502679</v>
      </c>
      <c r="Z51" s="216">
        <v>0.78612220742713423</v>
      </c>
      <c r="AA51" s="216">
        <v>0.91526742472307765</v>
      </c>
      <c r="AB51" s="216">
        <v>0.8832738116588762</v>
      </c>
      <c r="AC51" s="216">
        <v>1.0631600925093152</v>
      </c>
      <c r="AD51" s="216">
        <v>1.0076964221548521</v>
      </c>
      <c r="AE51" s="216">
        <v>1.0527002119683169</v>
      </c>
      <c r="AF51" s="216">
        <v>1.0489733506738959</v>
      </c>
      <c r="AG51" s="216">
        <v>0.82908082408874806</v>
      </c>
      <c r="AH51" s="216">
        <v>0.86919572107765453</v>
      </c>
      <c r="AI51" s="216">
        <v>0.88815126050420168</v>
      </c>
      <c r="AJ51" s="216">
        <f>AI51</f>
        <v>0.88815126050420168</v>
      </c>
      <c r="AK51" s="216">
        <v>0.86</v>
      </c>
      <c r="AL51" s="216">
        <v>0.82</v>
      </c>
      <c r="AM51" s="216">
        <f>AL51</f>
        <v>0.82</v>
      </c>
      <c r="AN51" s="216">
        <v>0.81555555555555559</v>
      </c>
      <c r="AO51" s="216">
        <v>0.82</v>
      </c>
      <c r="AP51" s="216">
        <v>1.0977999999999999</v>
      </c>
      <c r="AQ51" s="216">
        <v>0.94809999999999994</v>
      </c>
      <c r="AR51" s="216">
        <v>0.85</v>
      </c>
      <c r="AS51" s="214">
        <v>0.79</v>
      </c>
      <c r="AT51" s="214">
        <v>0.79</v>
      </c>
      <c r="AU51" s="214">
        <v>0.82</v>
      </c>
      <c r="AV51" s="214">
        <v>0.82</v>
      </c>
      <c r="AW51" s="214">
        <v>0.82</v>
      </c>
      <c r="AX51" s="214">
        <v>0.99</v>
      </c>
      <c r="AY51" s="214">
        <v>0.99</v>
      </c>
      <c r="AZ51" s="214">
        <v>0.99</v>
      </c>
      <c r="BA51" s="214">
        <v>0.79</v>
      </c>
      <c r="BB51" s="214">
        <v>0.79</v>
      </c>
      <c r="BC51" s="214">
        <v>0.79</v>
      </c>
      <c r="BD51" s="214">
        <v>0.79</v>
      </c>
      <c r="BE51" s="214">
        <v>0.85</v>
      </c>
      <c r="BF51" s="214">
        <v>0.85</v>
      </c>
      <c r="BG51" s="214">
        <v>0.75</v>
      </c>
      <c r="BH51" s="214">
        <v>0.75</v>
      </c>
      <c r="BI51" s="214">
        <v>0.75</v>
      </c>
      <c r="BJ51" s="214">
        <v>0.75</v>
      </c>
      <c r="BK51" s="214">
        <v>0.8</v>
      </c>
      <c r="BL51" s="214">
        <v>0.8</v>
      </c>
      <c r="BM51" s="214">
        <v>0.75</v>
      </c>
      <c r="BN51" s="214">
        <v>0.75</v>
      </c>
      <c r="BO51" s="300">
        <v>0.75</v>
      </c>
      <c r="BP51" s="214">
        <v>0.75</v>
      </c>
      <c r="BQ51" s="214">
        <v>0.75</v>
      </c>
      <c r="BR51" s="214">
        <v>0.76</v>
      </c>
      <c r="BS51" s="300">
        <v>0.76</v>
      </c>
      <c r="BT51" s="300">
        <v>0.76</v>
      </c>
      <c r="BU51" s="300">
        <v>0.76</v>
      </c>
      <c r="BV51" s="300">
        <v>0.76</v>
      </c>
      <c r="BW51" s="178"/>
    </row>
    <row r="52" spans="1:75 16384:16384">
      <c r="A52" s="178" t="str">
        <f>CONCATENATE(C52,D52)</f>
        <v>ODCBUSD</v>
      </c>
      <c r="B52" s="178" t="s">
        <v>88</v>
      </c>
      <c r="C52" s="178" t="s">
        <v>89</v>
      </c>
      <c r="D52" s="178" t="s">
        <v>33</v>
      </c>
      <c r="E52" s="178" t="s">
        <v>34</v>
      </c>
      <c r="F52" s="216">
        <v>0.9909338505123767</v>
      </c>
      <c r="G52" s="216">
        <v>0.9682681766063479</v>
      </c>
      <c r="H52" s="216">
        <f>G52</f>
        <v>0.9682681766063479</v>
      </c>
      <c r="I52" s="256">
        <v>0.83908728638676178</v>
      </c>
      <c r="J52" s="256">
        <v>0.95250665215011177</v>
      </c>
      <c r="K52" s="256">
        <f>J52</f>
        <v>0.95250665215011177</v>
      </c>
      <c r="L52" s="256">
        <f>K52</f>
        <v>0.95250665215011177</v>
      </c>
      <c r="M52" s="256">
        <f>L52</f>
        <v>0.95250665215011177</v>
      </c>
      <c r="N52" s="256">
        <v>0.83706538080933135</v>
      </c>
      <c r="O52" s="256">
        <v>0.98617263245202047</v>
      </c>
      <c r="P52" s="256">
        <v>1.1410185755028048</v>
      </c>
      <c r="Q52" s="256">
        <v>1.150783576752211</v>
      </c>
      <c r="R52" s="256">
        <v>1.9862542955326459</v>
      </c>
      <c r="S52" s="256">
        <f>R52</f>
        <v>1.9862542955326459</v>
      </c>
      <c r="T52" s="256">
        <f>S52</f>
        <v>1.9862542955326459</v>
      </c>
      <c r="U52" s="256">
        <v>0.76868179986568164</v>
      </c>
      <c r="V52" s="256">
        <v>0.9018200166842103</v>
      </c>
      <c r="W52" s="256">
        <v>0.96085805938859958</v>
      </c>
      <c r="X52" s="256">
        <v>0.74996042095630289</v>
      </c>
      <c r="Y52" s="256">
        <f>X52</f>
        <v>0.74996042095630289</v>
      </c>
      <c r="Z52" s="256">
        <f>Y52</f>
        <v>0.74996042095630289</v>
      </c>
      <c r="AA52" s="256">
        <v>1.1378378378378378</v>
      </c>
      <c r="AB52" s="256">
        <f>AA52</f>
        <v>1.1378378378378378</v>
      </c>
      <c r="AC52" s="256">
        <f>AB52</f>
        <v>1.1378378378378378</v>
      </c>
      <c r="AD52" s="256">
        <v>1.5782851382342185</v>
      </c>
      <c r="AE52" s="256">
        <f>AD52</f>
        <v>1.5782851382342185</v>
      </c>
      <c r="AF52" s="256">
        <v>1.3022790625455145</v>
      </c>
      <c r="AG52" s="256">
        <v>1.311015</v>
      </c>
      <c r="AH52" s="256">
        <v>1.5689135135135135</v>
      </c>
      <c r="AI52" s="256">
        <f>AH52</f>
        <v>1.5689135135135135</v>
      </c>
      <c r="AJ52" s="256">
        <v>1.7508420833333334</v>
      </c>
      <c r="AK52" s="256">
        <v>1.6302877777777778</v>
      </c>
      <c r="AL52" s="256">
        <v>1.3829733163913596</v>
      </c>
      <c r="AM52" s="256">
        <v>1.4076415368168556</v>
      </c>
      <c r="AN52" s="256">
        <v>1.3916962116439324</v>
      </c>
      <c r="AO52" s="256">
        <v>1.4075701714285713</v>
      </c>
      <c r="AP52" s="256">
        <v>1.3134433055091814</v>
      </c>
      <c r="AQ52" s="256">
        <v>1.0548964000000001</v>
      </c>
      <c r="AR52" s="256">
        <v>1.0507960000000001</v>
      </c>
      <c r="AS52" s="214">
        <v>1.02</v>
      </c>
      <c r="AT52" s="214">
        <v>1.02</v>
      </c>
      <c r="AU52" s="214">
        <v>1.02</v>
      </c>
      <c r="AV52" s="214">
        <v>1.02</v>
      </c>
      <c r="AW52" s="214">
        <v>1.02</v>
      </c>
      <c r="AX52" s="214">
        <v>1.02</v>
      </c>
      <c r="AY52" s="214">
        <v>1.02</v>
      </c>
      <c r="AZ52" s="214">
        <v>1.02</v>
      </c>
      <c r="BA52" s="214">
        <v>1.02</v>
      </c>
      <c r="BB52" s="214">
        <v>1.02</v>
      </c>
      <c r="BC52" s="214">
        <v>1.02</v>
      </c>
      <c r="BD52" s="214">
        <v>1.02</v>
      </c>
      <c r="BE52" s="214">
        <v>1.02</v>
      </c>
      <c r="BF52" s="214">
        <v>1.02</v>
      </c>
      <c r="BG52" s="214">
        <v>1.02</v>
      </c>
      <c r="BH52" s="214">
        <v>1.02</v>
      </c>
      <c r="BI52" s="214">
        <v>1.02</v>
      </c>
      <c r="BJ52" s="214">
        <v>1.02</v>
      </c>
      <c r="BK52" s="214">
        <v>1.04</v>
      </c>
      <c r="BL52" s="214">
        <v>1.04</v>
      </c>
      <c r="BM52" s="214">
        <v>1.04</v>
      </c>
      <c r="BN52" s="214">
        <v>1.04</v>
      </c>
      <c r="BO52" s="300">
        <v>1.04</v>
      </c>
      <c r="BP52" s="214">
        <v>1.04</v>
      </c>
      <c r="BQ52" s="214">
        <v>1.04</v>
      </c>
      <c r="BR52" s="214">
        <v>1.04</v>
      </c>
      <c r="BS52" s="300">
        <v>1.04</v>
      </c>
      <c r="BT52" s="300">
        <v>1.04</v>
      </c>
      <c r="BU52" s="300">
        <v>1.04</v>
      </c>
      <c r="BV52" s="300">
        <v>1.04</v>
      </c>
      <c r="BW52" s="178"/>
    </row>
    <row r="53" spans="1:75 16384:16384">
      <c r="A53" s="178" t="str">
        <f>CONCATENATE(C53,D53)</f>
        <v>NaphathaUSD</v>
      </c>
      <c r="B53" s="178" t="s">
        <v>90</v>
      </c>
      <c r="C53" s="178" t="s">
        <v>91</v>
      </c>
      <c r="D53" s="178" t="s">
        <v>33</v>
      </c>
      <c r="E53" s="178" t="s">
        <v>32</v>
      </c>
      <c r="F53" s="251">
        <v>551.47500000000002</v>
      </c>
      <c r="G53" s="215">
        <v>477.74342105263156</v>
      </c>
      <c r="H53" s="215">
        <v>290.25568181818181</v>
      </c>
      <c r="I53" s="215">
        <v>194.2202380952381</v>
      </c>
      <c r="J53" s="215">
        <v>267.16666666666669</v>
      </c>
      <c r="K53" s="214">
        <v>363</v>
      </c>
      <c r="L53" s="214">
        <v>391</v>
      </c>
      <c r="M53" s="214">
        <v>400</v>
      </c>
      <c r="N53" s="214">
        <v>401</v>
      </c>
      <c r="O53" s="214">
        <v>388</v>
      </c>
      <c r="P53" s="214">
        <v>382</v>
      </c>
      <c r="Q53" s="214">
        <v>448.5</v>
      </c>
      <c r="R53" s="214">
        <v>515</v>
      </c>
      <c r="S53" s="214">
        <v>547</v>
      </c>
      <c r="T53" s="214">
        <v>560</v>
      </c>
      <c r="U53" s="214">
        <v>574</v>
      </c>
      <c r="V53" s="214">
        <v>596</v>
      </c>
      <c r="W53" s="214">
        <v>644</v>
      </c>
      <c r="X53" s="214">
        <v>684.875</v>
      </c>
      <c r="Y53" s="214">
        <v>674.5</v>
      </c>
      <c r="Z53" s="214">
        <v>662.5</v>
      </c>
      <c r="AA53" s="214">
        <v>767.55</v>
      </c>
      <c r="AB53" s="214">
        <v>755.84</v>
      </c>
      <c r="AC53" s="252">
        <v>693.2</v>
      </c>
      <c r="AD53" s="214">
        <v>775.4</v>
      </c>
      <c r="AE53" s="214">
        <v>860</v>
      </c>
      <c r="AF53" s="214">
        <v>1011</v>
      </c>
      <c r="AG53" s="214">
        <v>903</v>
      </c>
      <c r="AH53" s="214">
        <v>904</v>
      </c>
      <c r="AI53" s="214">
        <v>828</v>
      </c>
      <c r="AJ53" s="214">
        <v>791</v>
      </c>
      <c r="AK53" s="214">
        <v>701</v>
      </c>
      <c r="AL53" s="214">
        <v>661</v>
      </c>
      <c r="AM53" s="214">
        <v>683</v>
      </c>
      <c r="AN53" s="214">
        <v>693</v>
      </c>
      <c r="AO53" s="214">
        <v>625.5</v>
      </c>
      <c r="AP53" s="214">
        <v>710</v>
      </c>
      <c r="AQ53" s="214">
        <v>720</v>
      </c>
      <c r="AR53" s="214">
        <v>590</v>
      </c>
      <c r="AS53" s="214">
        <v>695</v>
      </c>
      <c r="AT53" s="214">
        <v>583</v>
      </c>
      <c r="AU53" s="214">
        <v>550</v>
      </c>
      <c r="AV53" s="214">
        <v>529</v>
      </c>
      <c r="AW53" s="214">
        <v>625</v>
      </c>
      <c r="AX53" s="214">
        <v>627</v>
      </c>
      <c r="AY53" s="214">
        <v>638</v>
      </c>
      <c r="AZ53" s="214">
        <v>677</v>
      </c>
      <c r="BA53" s="214">
        <v>640</v>
      </c>
      <c r="BB53" s="214">
        <v>645</v>
      </c>
      <c r="BC53" s="214">
        <v>665</v>
      </c>
      <c r="BD53" s="214">
        <v>665</v>
      </c>
      <c r="BE53" s="214">
        <v>705</v>
      </c>
      <c r="BF53" s="214">
        <v>705</v>
      </c>
      <c r="BG53" s="214">
        <v>700</v>
      </c>
      <c r="BH53" s="214">
        <v>645</v>
      </c>
      <c r="BI53" s="214">
        <v>657</v>
      </c>
      <c r="BJ53" s="214">
        <v>679</v>
      </c>
      <c r="BK53" s="214">
        <v>657</v>
      </c>
      <c r="BL53" s="214">
        <v>657</v>
      </c>
      <c r="BM53" s="214">
        <v>650</v>
      </c>
      <c r="BN53" s="214">
        <v>650</v>
      </c>
      <c r="BO53" s="300">
        <v>653</v>
      </c>
      <c r="BP53" s="214">
        <v>650</v>
      </c>
      <c r="BQ53" s="214">
        <v>638.5</v>
      </c>
      <c r="BR53" s="214">
        <v>691</v>
      </c>
      <c r="BS53" s="300">
        <v>672</v>
      </c>
      <c r="BT53" s="300">
        <v>640</v>
      </c>
      <c r="BU53" s="214">
        <v>658</v>
      </c>
      <c r="BV53" s="214">
        <v>664</v>
      </c>
      <c r="BW53" s="178"/>
    </row>
    <row r="54" spans="1:75 16384:16384">
      <c r="A54" s="178" t="str">
        <f>CONCATENATE(C54,D54)</f>
        <v>VAMUSD</v>
      </c>
      <c r="B54" s="178" t="s">
        <v>92</v>
      </c>
      <c r="C54" s="178" t="s">
        <v>93</v>
      </c>
      <c r="D54" s="178" t="s">
        <v>33</v>
      </c>
      <c r="E54" s="178" t="s">
        <v>32</v>
      </c>
      <c r="F54" s="215">
        <v>862.89</v>
      </c>
      <c r="G54" s="215">
        <v>854.07</v>
      </c>
      <c r="H54" s="215">
        <v>740.02</v>
      </c>
      <c r="I54" s="215">
        <v>700.03</v>
      </c>
      <c r="J54" s="215">
        <v>707.39</v>
      </c>
      <c r="K54" s="215">
        <v>755.43</v>
      </c>
      <c r="L54" s="215">
        <v>784.53</v>
      </c>
      <c r="M54" s="215">
        <v>786.39</v>
      </c>
      <c r="N54" s="215">
        <v>847.51</v>
      </c>
      <c r="O54" s="215">
        <v>855.18</v>
      </c>
      <c r="P54" s="215">
        <v>1060</v>
      </c>
      <c r="Q54" s="215">
        <v>1437</v>
      </c>
      <c r="R54" s="215">
        <v>1398</v>
      </c>
      <c r="S54" s="215">
        <v>1771</v>
      </c>
      <c r="T54" s="215">
        <v>2019</v>
      </c>
      <c r="U54" s="214">
        <v>2062</v>
      </c>
      <c r="V54" s="214">
        <v>2022</v>
      </c>
      <c r="W54" s="214">
        <v>1891</v>
      </c>
      <c r="X54" s="214">
        <v>1629</v>
      </c>
      <c r="Y54" s="214">
        <v>1899</v>
      </c>
      <c r="Z54" s="214">
        <v>2168</v>
      </c>
      <c r="AA54" s="214">
        <v>2764</v>
      </c>
      <c r="AB54" s="214">
        <v>2645</v>
      </c>
      <c r="AC54" s="214">
        <v>1954</v>
      </c>
      <c r="AD54" s="214">
        <v>1983</v>
      </c>
      <c r="AE54" s="214">
        <v>2247</v>
      </c>
      <c r="AF54" s="214">
        <v>2388</v>
      </c>
      <c r="AG54" s="214">
        <v>2356</v>
      </c>
      <c r="AH54" s="214">
        <v>2359</v>
      </c>
      <c r="AI54" s="214">
        <v>2352</v>
      </c>
      <c r="AJ54" s="214">
        <v>1782</v>
      </c>
      <c r="AK54" s="214">
        <v>1404</v>
      </c>
      <c r="AL54" s="214">
        <v>1141</v>
      </c>
      <c r="AM54" s="214">
        <v>1140</v>
      </c>
      <c r="AN54" s="214">
        <v>1088</v>
      </c>
      <c r="AO54" s="214">
        <v>1089</v>
      </c>
      <c r="AP54" s="214">
        <v>1119</v>
      </c>
      <c r="AQ54" s="214">
        <v>1129</v>
      </c>
      <c r="AR54" s="214">
        <v>1117</v>
      </c>
      <c r="AS54" s="214">
        <v>915</v>
      </c>
      <c r="AT54" s="214">
        <v>880.2</v>
      </c>
      <c r="AU54" s="214">
        <v>859.47</v>
      </c>
      <c r="AV54" s="214">
        <v>859.47</v>
      </c>
      <c r="AW54" s="214">
        <v>803.57</v>
      </c>
      <c r="AX54" s="214">
        <v>803.57</v>
      </c>
      <c r="AY54" s="214">
        <v>803.57</v>
      </c>
      <c r="AZ54" s="214">
        <v>799.71</v>
      </c>
      <c r="BA54" s="214">
        <v>910.98</v>
      </c>
      <c r="BB54" s="214">
        <v>910.98</v>
      </c>
      <c r="BC54" s="214">
        <v>910.98</v>
      </c>
      <c r="BD54" s="214">
        <v>904.23</v>
      </c>
      <c r="BE54" s="214">
        <v>904.23</v>
      </c>
      <c r="BF54" s="214">
        <v>904.23</v>
      </c>
      <c r="BG54" s="214">
        <v>904.23</v>
      </c>
      <c r="BH54" s="214">
        <v>904.5</v>
      </c>
      <c r="BI54" s="214">
        <v>1042</v>
      </c>
      <c r="BJ54" s="214">
        <v>1042</v>
      </c>
      <c r="BK54" s="214">
        <v>1075</v>
      </c>
      <c r="BL54" s="214">
        <v>879.1</v>
      </c>
      <c r="BM54" s="214">
        <v>810.42</v>
      </c>
      <c r="BN54" s="214">
        <v>810.42</v>
      </c>
      <c r="BO54" s="300">
        <v>810.42</v>
      </c>
      <c r="BP54" s="214">
        <v>817.77</v>
      </c>
      <c r="BQ54" s="214">
        <v>824.7</v>
      </c>
      <c r="BR54" s="313">
        <v>824.7</v>
      </c>
      <c r="BS54" s="313">
        <v>824.7</v>
      </c>
      <c r="BT54" s="300">
        <v>907.19</v>
      </c>
      <c r="BU54" s="214">
        <v>1006</v>
      </c>
      <c r="BV54" s="214">
        <v>1006</v>
      </c>
      <c r="BW54" s="214">
        <v>1006</v>
      </c>
    </row>
    <row r="55" spans="1:75 16384:16384">
      <c r="A55" s="178" t="str">
        <f t="shared" ref="A55:A118" si="18">CONCATENATE(C55,D55)</f>
        <v>YELLOW PHOSPHOROUSRMB</v>
      </c>
      <c r="B55" s="178" t="s">
        <v>29</v>
      </c>
      <c r="C55" s="178" t="s">
        <v>94</v>
      </c>
      <c r="D55" s="178" t="s">
        <v>31</v>
      </c>
      <c r="E55" s="178" t="s">
        <v>32</v>
      </c>
      <c r="F55" s="216">
        <v>17600</v>
      </c>
      <c r="G55" s="216">
        <v>16800</v>
      </c>
      <c r="H55" s="216">
        <v>17700</v>
      </c>
      <c r="I55" s="216">
        <v>16400</v>
      </c>
      <c r="J55" s="216">
        <v>17900</v>
      </c>
      <c r="K55" s="216">
        <v>16433.330000000002</v>
      </c>
      <c r="L55" s="216">
        <v>14450</v>
      </c>
      <c r="M55" s="216">
        <v>15400</v>
      </c>
      <c r="N55" s="216">
        <v>15300</v>
      </c>
      <c r="O55" s="216">
        <v>15650</v>
      </c>
      <c r="P55" s="216">
        <v>16320</v>
      </c>
      <c r="Q55" s="216">
        <v>15653.75</v>
      </c>
      <c r="R55" s="216">
        <v>16700.692916666667</v>
      </c>
      <c r="S55" s="216">
        <v>16790.000500000002</v>
      </c>
      <c r="T55" s="216">
        <v>17335.904000000002</v>
      </c>
      <c r="U55" s="216">
        <v>17374.999166666668</v>
      </c>
      <c r="V55" s="216">
        <v>19534.522214285716</v>
      </c>
      <c r="W55" s="216">
        <v>21806.190476190477</v>
      </c>
      <c r="X55" s="216">
        <v>24260.12</v>
      </c>
      <c r="Y55" s="216">
        <v>25690.478928571421</v>
      </c>
      <c r="Z55" s="216">
        <f>Y55</f>
        <v>25690.478928571421</v>
      </c>
      <c r="AA55" s="216">
        <v>52520.834642857146</v>
      </c>
      <c r="AB55" s="216">
        <v>38011.906071428566</v>
      </c>
      <c r="AC55" s="216">
        <v>41250.001142857138</v>
      </c>
      <c r="AD55" s="216">
        <v>33517.856785714284</v>
      </c>
      <c r="AE55" s="216">
        <v>33187.500357142853</v>
      </c>
      <c r="AF55" s="216">
        <v>36276.18971428572</v>
      </c>
      <c r="AG55" s="216">
        <v>36719.644785714278</v>
      </c>
      <c r="AH55" s="216">
        <v>38448.4105952381</v>
      </c>
      <c r="AI55" s="216">
        <v>38392.572857142848</v>
      </c>
      <c r="AJ55" s="216">
        <v>32983.035714285717</v>
      </c>
      <c r="AK55" s="216">
        <v>29062.5</v>
      </c>
      <c r="AL55" s="216">
        <v>34910.71428571429</v>
      </c>
      <c r="AM55" s="216">
        <v>37120.53571428571</v>
      </c>
      <c r="AN55" s="216">
        <v>32358.63</v>
      </c>
      <c r="AO55" s="216">
        <v>33153.571428571435</v>
      </c>
      <c r="AP55" s="216">
        <v>33151.785714285717</v>
      </c>
      <c r="AQ55" s="216">
        <v>31609.821428571431</v>
      </c>
      <c r="AR55" s="216">
        <v>30593.424908424906</v>
      </c>
      <c r="AS55" s="216">
        <v>27620.168067226892</v>
      </c>
      <c r="AT55" s="214">
        <v>20000</v>
      </c>
      <c r="AU55" s="214">
        <v>23350</v>
      </c>
      <c r="AV55" s="214">
        <v>22900</v>
      </c>
      <c r="AW55" s="214">
        <v>23400</v>
      </c>
      <c r="AX55" s="214">
        <v>23600</v>
      </c>
      <c r="AY55" s="214">
        <v>23600</v>
      </c>
      <c r="AZ55" s="214">
        <v>24100</v>
      </c>
      <c r="BA55" s="214">
        <v>24400</v>
      </c>
      <c r="BB55" s="214">
        <v>24400</v>
      </c>
      <c r="BC55" s="214">
        <v>26293</v>
      </c>
      <c r="BD55" s="214">
        <v>26400</v>
      </c>
      <c r="BE55" s="214">
        <v>25955</v>
      </c>
      <c r="BF55" s="214">
        <v>25562.77</v>
      </c>
      <c r="BG55" s="214">
        <v>25562.77</v>
      </c>
      <c r="BH55" s="214">
        <v>25562.77</v>
      </c>
      <c r="BI55" s="214">
        <v>25797</v>
      </c>
      <c r="BJ55" s="214">
        <v>26126</v>
      </c>
      <c r="BK55" s="214">
        <v>25960</v>
      </c>
      <c r="BL55" s="214">
        <v>25960</v>
      </c>
      <c r="BM55" s="214">
        <v>26293</v>
      </c>
      <c r="BN55" s="214">
        <v>26293</v>
      </c>
      <c r="BO55" s="302">
        <v>25826.67</v>
      </c>
      <c r="BP55" s="214">
        <v>25729</v>
      </c>
      <c r="BQ55" s="214">
        <v>24766.67</v>
      </c>
      <c r="BR55" s="214">
        <v>23496</v>
      </c>
      <c r="BS55" s="300">
        <v>22962.67</v>
      </c>
      <c r="BT55" s="300">
        <v>22962.67</v>
      </c>
      <c r="BU55" s="214">
        <v>23862</v>
      </c>
      <c r="BV55" s="214">
        <v>23996</v>
      </c>
      <c r="BW55" s="178"/>
    </row>
    <row r="56" spans="1:75 16384:16384">
      <c r="A56" s="178" t="str">
        <f t="shared" si="18"/>
        <v>YELLOW PHOSPHOROUSUSD</v>
      </c>
      <c r="B56" s="178" t="s">
        <v>29</v>
      </c>
      <c r="C56" s="178" t="s">
        <v>94</v>
      </c>
      <c r="D56" s="178" t="s">
        <v>33</v>
      </c>
      <c r="E56" s="178" t="s">
        <v>34</v>
      </c>
      <c r="F56" s="216">
        <f>(((F55/1.13)/F3)/1000)</f>
        <v>2.2453358569547559</v>
      </c>
      <c r="G56" s="216">
        <f t="shared" ref="G56:BR56" si="19">(((G55/1.13)/G3)/1000)</f>
        <v>2.1263543010008927</v>
      </c>
      <c r="H56" s="216">
        <f t="shared" si="19"/>
        <v>2.2116084453454703</v>
      </c>
      <c r="I56" s="216">
        <f t="shared" si="19"/>
        <v>2.0550641919349761</v>
      </c>
      <c r="J56" s="216">
        <f t="shared" si="19"/>
        <v>2.2194569249287914</v>
      </c>
      <c r="K56" s="216">
        <f t="shared" si="19"/>
        <v>2.0582789486242201</v>
      </c>
      <c r="L56" s="216">
        <f t="shared" si="19"/>
        <v>1.8332966251102516</v>
      </c>
      <c r="M56" s="216">
        <f t="shared" si="19"/>
        <v>1.990000377324747</v>
      </c>
      <c r="N56" s="216">
        <f t="shared" si="19"/>
        <v>1.9938480015387818</v>
      </c>
      <c r="O56" s="216">
        <f t="shared" si="19"/>
        <v>2.0693528056126671</v>
      </c>
      <c r="P56" s="216">
        <f t="shared" si="19"/>
        <v>2.1952724431297326</v>
      </c>
      <c r="Q56" s="216">
        <f t="shared" si="19"/>
        <v>2.1224931598196166</v>
      </c>
      <c r="R56" s="216">
        <f t="shared" si="19"/>
        <v>2.2993254605126054</v>
      </c>
      <c r="S56" s="216">
        <f t="shared" si="19"/>
        <v>2.2946993130799367</v>
      </c>
      <c r="T56" s="216">
        <f t="shared" si="19"/>
        <v>2.3412855911549268</v>
      </c>
      <c r="U56" s="216">
        <f t="shared" si="19"/>
        <v>2.3752383497686171</v>
      </c>
      <c r="V56" s="216">
        <f t="shared" si="19"/>
        <v>2.713844238658218</v>
      </c>
      <c r="W56" s="216">
        <f t="shared" si="19"/>
        <v>2.9885265588403307</v>
      </c>
      <c r="X56" s="216">
        <f t="shared" si="19"/>
        <v>3.3226750771292335</v>
      </c>
      <c r="Y56" s="216">
        <f t="shared" si="19"/>
        <v>3.5189587977975245</v>
      </c>
      <c r="Z56" s="216">
        <f t="shared" si="19"/>
        <v>3.5266554625586299</v>
      </c>
      <c r="AA56" s="216">
        <f t="shared" si="19"/>
        <v>7.2557080658453534</v>
      </c>
      <c r="AB56" s="216">
        <f t="shared" si="19"/>
        <v>5.2855545669543798</v>
      </c>
      <c r="AC56" s="216">
        <f t="shared" si="19"/>
        <v>5.7432113702017071</v>
      </c>
      <c r="AD56" s="216">
        <f t="shared" si="19"/>
        <v>4.663075014046365</v>
      </c>
      <c r="AE56" s="216">
        <f t="shared" si="19"/>
        <v>4.654948939280791</v>
      </c>
      <c r="AF56" s="216">
        <f t="shared" si="19"/>
        <v>5.0635367123036383</v>
      </c>
      <c r="AG56" s="216">
        <f t="shared" si="19"/>
        <v>4.9171916277995793</v>
      </c>
      <c r="AH56" s="216">
        <f t="shared" si="19"/>
        <v>5.0996915647002004</v>
      </c>
      <c r="AI56" s="216">
        <f t="shared" si="19"/>
        <v>5.071534069553806</v>
      </c>
      <c r="AJ56" s="216">
        <f t="shared" si="19"/>
        <v>4.3279450758850295</v>
      </c>
      <c r="AK56" s="216">
        <f t="shared" si="19"/>
        <v>3.7325883183374797</v>
      </c>
      <c r="AL56" s="216">
        <f t="shared" si="19"/>
        <v>4.3430712618241518</v>
      </c>
      <c r="AM56" s="216">
        <f t="shared" si="19"/>
        <v>4.4990798610645184</v>
      </c>
      <c r="AN56" s="216">
        <f t="shared" si="19"/>
        <v>4.040118476870779</v>
      </c>
      <c r="AO56" s="216">
        <f t="shared" si="19"/>
        <v>4.253819483572844</v>
      </c>
      <c r="AP56" s="216">
        <f t="shared" si="19"/>
        <v>4.3433259010717968</v>
      </c>
      <c r="AQ56" s="216">
        <f t="shared" si="19"/>
        <v>4.0345708165720628</v>
      </c>
      <c r="AR56" s="216">
        <f t="shared" si="19"/>
        <v>3.8861209382483226</v>
      </c>
      <c r="AS56" s="216">
        <f t="shared" si="19"/>
        <v>3.5475510316640628</v>
      </c>
      <c r="AT56" s="216">
        <f t="shared" si="19"/>
        <v>2.5176550560807662</v>
      </c>
      <c r="AU56" s="216">
        <f t="shared" si="19"/>
        <v>2.8940779851763718</v>
      </c>
      <c r="AV56" s="216">
        <f t="shared" si="19"/>
        <v>2.7952395483674093</v>
      </c>
      <c r="AW56" s="216">
        <f t="shared" si="19"/>
        <v>2.8562709795544707</v>
      </c>
      <c r="AX56" s="216">
        <f t="shared" si="19"/>
        <v>2.9006882989183875</v>
      </c>
      <c r="AY56" s="216">
        <f t="shared" si="19"/>
        <v>2.9209728324772573</v>
      </c>
      <c r="AZ56" s="216">
        <f t="shared" si="19"/>
        <v>2.9498525073746316</v>
      </c>
      <c r="BA56" s="216">
        <f t="shared" si="19"/>
        <v>2.9701403513043059</v>
      </c>
      <c r="BB56" s="216">
        <f t="shared" si="19"/>
        <v>2.9619918181045684</v>
      </c>
      <c r="BC56" s="216">
        <f t="shared" si="19"/>
        <v>3.1917889702222713</v>
      </c>
      <c r="BD56" s="216">
        <f t="shared" si="19"/>
        <v>3.1960098301514477</v>
      </c>
      <c r="BE56" s="216">
        <f t="shared" si="19"/>
        <v>3.1507580999550853</v>
      </c>
      <c r="BF56" s="216">
        <f t="shared" si="19"/>
        <v>3.0988931991756581</v>
      </c>
      <c r="BG56" s="216">
        <f t="shared" si="19"/>
        <v>3.0988931991756581</v>
      </c>
      <c r="BH56" s="216">
        <f t="shared" si="19"/>
        <v>3.0988931991756581</v>
      </c>
      <c r="BI56" s="216">
        <f t="shared" si="19"/>
        <v>3.1707227138643068</v>
      </c>
      <c r="BJ56" s="216">
        <f t="shared" si="19"/>
        <v>3.162839122065785</v>
      </c>
      <c r="BK56" s="216">
        <f t="shared" si="19"/>
        <v>3.1384496348953048</v>
      </c>
      <c r="BL56" s="216">
        <f t="shared" si="19"/>
        <v>3.1600345704860571</v>
      </c>
      <c r="BM56" s="216">
        <f t="shared" si="19"/>
        <v>3.2049781808430242</v>
      </c>
      <c r="BN56" s="216">
        <f t="shared" si="19"/>
        <v>3.2049781808430242</v>
      </c>
      <c r="BO56" s="301">
        <f t="shared" si="19"/>
        <v>3.2190788981677678</v>
      </c>
      <c r="BP56" s="216">
        <f t="shared" si="19"/>
        <v>3.1889392925311721</v>
      </c>
      <c r="BQ56" s="216">
        <f t="shared" si="19"/>
        <v>3.0913127051686913</v>
      </c>
      <c r="BR56" s="318">
        <f t="shared" si="19"/>
        <v>2.9081007488087134</v>
      </c>
      <c r="BS56" s="312">
        <f>(((BS55/1.13)/BS3)/1000)</f>
        <v>2.8661420172996994</v>
      </c>
      <c r="BT56" s="301">
        <f>(((BT55/1.13)/BT3)/1000)</f>
        <v>2.8621051975570242</v>
      </c>
      <c r="BU56" s="216">
        <f>(((BU55/1.13)/BU3)/1000)</f>
        <v>2.9741991773650756</v>
      </c>
      <c r="BV56" s="216">
        <f>(((BV55/1.13)/BV3)/1000)</f>
        <v>2.9824997514169236</v>
      </c>
      <c r="BW56" s="216" t="e">
        <f>(((BW55/1.13)/BW3)/1000)</f>
        <v>#DIV/0!</v>
      </c>
    </row>
    <row r="57" spans="1:75 16384:16384">
      <c r="A57" s="178" t="str">
        <f t="shared" si="18"/>
        <v>DEGUSD</v>
      </c>
      <c r="B57" s="178" t="s">
        <v>56</v>
      </c>
      <c r="C57" s="178" t="s">
        <v>95</v>
      </c>
      <c r="D57" s="178" t="s">
        <v>33</v>
      </c>
      <c r="E57" s="178" t="s">
        <v>34</v>
      </c>
      <c r="F57" s="214"/>
      <c r="G57" s="214"/>
      <c r="H57" s="214"/>
      <c r="I57" s="214"/>
      <c r="J57" s="214"/>
      <c r="K57" s="214"/>
      <c r="L57" s="214"/>
      <c r="M57" s="214"/>
      <c r="N57" s="214"/>
      <c r="O57" s="214"/>
      <c r="P57" s="214"/>
      <c r="Q57" s="214"/>
      <c r="R57" s="214"/>
      <c r="S57" s="214"/>
      <c r="T57" s="214"/>
      <c r="U57" s="214"/>
      <c r="V57" s="214"/>
      <c r="W57" s="214"/>
      <c r="X57" s="214"/>
      <c r="Y57" s="214"/>
      <c r="Z57" s="214"/>
      <c r="AA57" s="214"/>
      <c r="AB57" s="214"/>
      <c r="AC57" s="214"/>
      <c r="AD57" s="216">
        <v>0.71826401684923735</v>
      </c>
      <c r="AE57" s="216">
        <v>0.62754309868024927</v>
      </c>
      <c r="AF57" s="216">
        <v>0.59810064024711396</v>
      </c>
      <c r="AG57" s="216">
        <v>0.66076440523786273</v>
      </c>
      <c r="AH57" s="216">
        <v>0.67975742375930026</v>
      </c>
      <c r="AI57" s="216">
        <v>0.62314132986159076</v>
      </c>
      <c r="AJ57" s="216">
        <v>0.66826566510008012</v>
      </c>
      <c r="AK57" s="216">
        <v>0.69838668883179689</v>
      </c>
      <c r="AL57" s="216">
        <v>0.67839118199248039</v>
      </c>
      <c r="AM57" s="216">
        <v>0.64995588909748325</v>
      </c>
      <c r="AN57" s="216">
        <v>0.6467439684485834</v>
      </c>
      <c r="AO57" s="216">
        <v>0.61880865603209168</v>
      </c>
      <c r="AP57" s="216">
        <v>0.65632293065998315</v>
      </c>
      <c r="AQ57" s="216">
        <v>0.64117021010710895</v>
      </c>
      <c r="AR57" s="216">
        <v>0.66803238053011516</v>
      </c>
      <c r="AS57" s="216">
        <v>0.78164645063512239</v>
      </c>
      <c r="AT57" s="216">
        <v>0.8926183241609178</v>
      </c>
      <c r="AU57" s="216">
        <v>0.8926183241609178</v>
      </c>
      <c r="AV57" s="216">
        <v>0.8926183241609178</v>
      </c>
      <c r="AW57" s="216">
        <v>0.8926183241609178</v>
      </c>
      <c r="AX57" s="216">
        <v>0.8926183241609178</v>
      </c>
      <c r="AY57" s="216">
        <v>0.8926183241609178</v>
      </c>
      <c r="AZ57" s="216">
        <v>0.8926183241609178</v>
      </c>
      <c r="BA57" s="216">
        <v>0.8926183241609178</v>
      </c>
      <c r="BB57" s="216">
        <v>0.8926183241609178</v>
      </c>
      <c r="BC57" s="216">
        <v>0.8926183241609178</v>
      </c>
      <c r="BD57" s="216">
        <v>0.8926183241609178</v>
      </c>
      <c r="BE57" s="214">
        <v>0.73</v>
      </c>
      <c r="BF57" s="214">
        <v>0.73</v>
      </c>
      <c r="BG57" s="214">
        <v>0.73</v>
      </c>
      <c r="BH57" s="214">
        <v>0.73</v>
      </c>
      <c r="BI57" s="214">
        <v>0.73</v>
      </c>
      <c r="BJ57" s="214">
        <v>0.73</v>
      </c>
      <c r="BK57" s="214">
        <v>0.71</v>
      </c>
      <c r="BL57" s="214">
        <v>0.71</v>
      </c>
      <c r="BM57" s="214">
        <v>0.71</v>
      </c>
      <c r="BN57" s="214">
        <v>0.71</v>
      </c>
      <c r="BO57" s="300">
        <v>0.64</v>
      </c>
      <c r="BP57" s="214">
        <v>0.64</v>
      </c>
      <c r="BQ57" s="214">
        <v>0.64</v>
      </c>
      <c r="BR57" s="214">
        <v>0.79</v>
      </c>
      <c r="BS57" s="300">
        <v>0.79</v>
      </c>
      <c r="BT57" s="300">
        <v>0.79</v>
      </c>
      <c r="BU57" s="300">
        <v>0.79</v>
      </c>
      <c r="BV57" s="300">
        <v>0.79</v>
      </c>
      <c r="BW57" s="178"/>
    </row>
    <row r="58" spans="1:75 16384:16384">
      <c r="A58" s="178" t="str">
        <f t="shared" si="18"/>
        <v>ZINCUSD</v>
      </c>
      <c r="B58" s="178" t="s">
        <v>96</v>
      </c>
      <c r="C58" s="178" t="s">
        <v>97</v>
      </c>
      <c r="D58" s="178" t="s">
        <v>33</v>
      </c>
      <c r="E58" s="178" t="s">
        <v>32</v>
      </c>
      <c r="F58" s="214">
        <v>2357.27</v>
      </c>
      <c r="G58" s="214">
        <v>2120.48</v>
      </c>
      <c r="H58" s="214">
        <v>1905.61</v>
      </c>
      <c r="I58" s="214">
        <v>1894.08</v>
      </c>
      <c r="J58" s="214">
        <v>1963.39</v>
      </c>
      <c r="K58" s="214">
        <v>2020.61</v>
      </c>
      <c r="L58" s="214">
        <v>2162.2399999999998</v>
      </c>
      <c r="M58" s="214">
        <v>2406.83</v>
      </c>
      <c r="N58" s="214">
        <v>2450.5</v>
      </c>
      <c r="O58" s="214">
        <v>2441.5500000000002</v>
      </c>
      <c r="P58" s="214">
        <v>2669.69</v>
      </c>
      <c r="Q58" s="214">
        <v>2782.36</v>
      </c>
      <c r="R58" s="214">
        <v>2707.7</v>
      </c>
      <c r="S58" s="214">
        <v>2730.47</v>
      </c>
      <c r="T58" s="214">
        <v>2791.65</v>
      </c>
      <c r="U58" s="214">
        <v>2827.35</v>
      </c>
      <c r="V58" s="214">
        <v>2970.29</v>
      </c>
      <c r="W58" s="214">
        <v>2950.07</v>
      </c>
      <c r="X58" s="232">
        <v>2950.07</v>
      </c>
      <c r="Y58" s="232">
        <v>2950.07</v>
      </c>
      <c r="Z58" s="232">
        <v>2950.07</v>
      </c>
      <c r="AA58" s="232">
        <v>2950.07</v>
      </c>
      <c r="AB58" s="232">
        <v>2950.07</v>
      </c>
      <c r="AC58" s="214">
        <v>3153</v>
      </c>
      <c r="AD58" s="214">
        <v>3609.95</v>
      </c>
      <c r="AE58" s="214">
        <v>3643</v>
      </c>
      <c r="AF58" s="214">
        <v>3974.3</v>
      </c>
      <c r="AG58" s="214">
        <v>4371.03</v>
      </c>
      <c r="AH58" s="214">
        <v>3759.45</v>
      </c>
      <c r="AI58" s="214">
        <v>3543.95</v>
      </c>
      <c r="AJ58" s="214">
        <v>3097.21</v>
      </c>
      <c r="AK58" s="214">
        <v>3572.91</v>
      </c>
      <c r="AL58" s="214">
        <v>3136.43</v>
      </c>
      <c r="AM58" s="214">
        <v>2959.05</v>
      </c>
      <c r="AN58" s="214">
        <v>3144</v>
      </c>
      <c r="AO58" s="214">
        <v>2685</v>
      </c>
      <c r="AP58" s="214">
        <v>3287</v>
      </c>
      <c r="AQ58" s="214">
        <v>3142</v>
      </c>
      <c r="AR58" s="214">
        <v>2924</v>
      </c>
      <c r="AS58" s="214">
        <v>2771.31</v>
      </c>
      <c r="AT58" s="214">
        <v>2230</v>
      </c>
      <c r="AU58" s="214">
        <v>2346</v>
      </c>
      <c r="AV58" s="214">
        <v>2355</v>
      </c>
      <c r="AW58" s="214">
        <v>2412</v>
      </c>
      <c r="AX58" s="214">
        <v>2366</v>
      </c>
      <c r="AY58" s="214">
        <v>2484.5</v>
      </c>
      <c r="AZ58" s="214">
        <v>2498</v>
      </c>
      <c r="BA58" s="214">
        <v>2311</v>
      </c>
      <c r="BB58" s="214">
        <v>2394</v>
      </c>
      <c r="BC58" s="214">
        <v>2394</v>
      </c>
      <c r="BD58" s="214">
        <v>2472.5</v>
      </c>
      <c r="BE58" s="214">
        <v>2511.5</v>
      </c>
      <c r="BF58" s="214">
        <v>2508</v>
      </c>
      <c r="BG58" s="214">
        <v>2640</v>
      </c>
      <c r="BH58" s="214">
        <v>2509</v>
      </c>
      <c r="BI58" s="214">
        <v>2446</v>
      </c>
      <c r="BJ58" s="214">
        <v>2442.5</v>
      </c>
      <c r="BK58" s="214">
        <v>2465.5</v>
      </c>
      <c r="BL58" s="214">
        <v>2524.5</v>
      </c>
      <c r="BM58" s="214">
        <v>2600</v>
      </c>
      <c r="BN58" s="214">
        <v>2600</v>
      </c>
      <c r="BO58" s="302">
        <v>2537.5</v>
      </c>
      <c r="BP58" s="214">
        <v>2421.5</v>
      </c>
      <c r="BQ58" s="214">
        <v>2426.5</v>
      </c>
      <c r="BR58" s="214">
        <v>2547</v>
      </c>
      <c r="BS58" s="300">
        <v>2658</v>
      </c>
      <c r="BT58" s="300">
        <v>2562.5</v>
      </c>
      <c r="BU58" s="214">
        <v>2462</v>
      </c>
      <c r="BV58" s="214">
        <v>2462</v>
      </c>
      <c r="BW58" s="178"/>
    </row>
    <row r="59" spans="1:75 16384:16384">
      <c r="A59" s="178" t="str">
        <f t="shared" si="18"/>
        <v>PROPYLENE TETRAMER USD</v>
      </c>
      <c r="B59" s="178" t="s">
        <v>56</v>
      </c>
      <c r="C59" s="178" t="s">
        <v>98</v>
      </c>
      <c r="D59" s="178" t="s">
        <v>33</v>
      </c>
      <c r="E59" s="178" t="s">
        <v>34</v>
      </c>
      <c r="F59" s="214"/>
      <c r="G59" s="214"/>
      <c r="H59" s="214"/>
      <c r="I59" s="214"/>
      <c r="J59" s="217">
        <v>1.0920000025601984</v>
      </c>
      <c r="K59" s="217">
        <v>1.0905842954971925</v>
      </c>
      <c r="L59" s="214"/>
      <c r="M59" s="214"/>
      <c r="N59" s="214"/>
      <c r="O59" s="214"/>
      <c r="P59" s="214"/>
      <c r="Q59" s="217">
        <v>1.0905842954971925</v>
      </c>
      <c r="R59" s="217">
        <v>1.0905842954971925</v>
      </c>
      <c r="S59" s="217">
        <v>1.1381409405829821</v>
      </c>
      <c r="T59" s="217">
        <v>14.694181326116373</v>
      </c>
      <c r="U59" s="217">
        <v>1.836960791412461</v>
      </c>
      <c r="V59" s="217">
        <v>2.0940000032547395</v>
      </c>
      <c r="W59" s="217">
        <v>1.9290002492063254</v>
      </c>
      <c r="X59" s="217">
        <v>1.9998310058375999</v>
      </c>
      <c r="Y59" s="217">
        <v>1.9998310058375999</v>
      </c>
      <c r="Z59" s="217">
        <v>1.9998310058375999</v>
      </c>
      <c r="AA59" s="217">
        <v>1.4830000038286875</v>
      </c>
      <c r="AB59" s="217">
        <v>1.8180000005110908</v>
      </c>
      <c r="AC59" s="217">
        <v>1.7682882426876838</v>
      </c>
      <c r="AD59" s="217">
        <v>1.7990906822034507</v>
      </c>
      <c r="AE59" s="217">
        <v>1.7016247596976968</v>
      </c>
      <c r="AF59" s="217">
        <v>1.8179272530753936</v>
      </c>
      <c r="AG59" s="217">
        <v>1.8286988186271556</v>
      </c>
      <c r="AH59" s="217">
        <v>1.6631252965480365</v>
      </c>
      <c r="AI59" s="217">
        <v>1.8787364330844873</v>
      </c>
      <c r="AJ59" s="217">
        <v>2.2113383828400139</v>
      </c>
      <c r="AK59" s="214"/>
      <c r="AL59" s="217">
        <v>2.2098986587183309</v>
      </c>
      <c r="AM59" s="217">
        <v>1.9939996661404074</v>
      </c>
      <c r="AN59" s="217">
        <v>1.9655205456110783</v>
      </c>
      <c r="AO59" s="217">
        <v>1.9002081868604017</v>
      </c>
      <c r="AP59" s="217">
        <v>1.9900114165868426</v>
      </c>
      <c r="AQ59" s="217">
        <v>1.9900115388724593</v>
      </c>
      <c r="AR59" s="217">
        <v>1.9900115201473325</v>
      </c>
      <c r="AS59" s="217">
        <v>1.9900111530872486</v>
      </c>
      <c r="AT59" s="217">
        <v>2.1875999999999998</v>
      </c>
      <c r="AU59" s="214">
        <v>1.99</v>
      </c>
      <c r="AV59" s="214">
        <v>1.99</v>
      </c>
      <c r="AW59" s="214">
        <v>1.99</v>
      </c>
      <c r="AX59" s="214">
        <v>1.99</v>
      </c>
      <c r="AY59" s="214">
        <v>1.99</v>
      </c>
      <c r="AZ59" s="214">
        <v>1.99</v>
      </c>
      <c r="BA59" s="214">
        <v>1.99</v>
      </c>
      <c r="BB59" s="214">
        <v>1.99</v>
      </c>
      <c r="BC59" s="214">
        <v>1.99</v>
      </c>
      <c r="BD59" s="214">
        <v>1.99</v>
      </c>
      <c r="BE59" s="214">
        <v>1.99</v>
      </c>
      <c r="BF59" s="214">
        <v>1.99</v>
      </c>
      <c r="BG59" s="214">
        <v>1.99</v>
      </c>
      <c r="BH59" s="214">
        <v>1.99</v>
      </c>
      <c r="BI59" s="214">
        <v>1.99</v>
      </c>
      <c r="BJ59" s="214">
        <v>1.99</v>
      </c>
      <c r="BK59" s="214">
        <v>1.99</v>
      </c>
      <c r="BL59" s="214">
        <v>1.99</v>
      </c>
      <c r="BM59" s="214">
        <v>1.99</v>
      </c>
      <c r="BN59" s="214">
        <v>1.99</v>
      </c>
      <c r="BO59" s="300">
        <v>1.99</v>
      </c>
      <c r="BP59" s="214">
        <v>1.99</v>
      </c>
      <c r="BQ59" s="214">
        <v>1.99</v>
      </c>
      <c r="BR59" s="214">
        <v>1.99</v>
      </c>
      <c r="BS59" s="300">
        <v>1.99</v>
      </c>
      <c r="BT59" s="300">
        <v>1.99</v>
      </c>
      <c r="BU59" s="300">
        <v>1.99</v>
      </c>
      <c r="BV59" s="300">
        <v>1.99</v>
      </c>
      <c r="BW59" s="178"/>
    </row>
    <row r="60" spans="1:75 16384:16384">
      <c r="A60" s="178" t="str">
        <f t="shared" si="18"/>
        <v>Maleic Anhydride USD</v>
      </c>
      <c r="B60" s="178" t="s">
        <v>99</v>
      </c>
      <c r="C60" s="178" t="s">
        <v>100</v>
      </c>
      <c r="D60" s="178" t="s">
        <v>33</v>
      </c>
      <c r="E60" s="178" t="s">
        <v>32</v>
      </c>
      <c r="F60" s="214"/>
      <c r="G60" s="214"/>
      <c r="H60" s="214"/>
      <c r="I60" s="214"/>
      <c r="J60" s="214"/>
      <c r="K60" s="214"/>
      <c r="L60" s="214"/>
      <c r="M60" s="214"/>
      <c r="N60" s="214"/>
      <c r="O60" s="214"/>
      <c r="P60" s="214"/>
      <c r="Q60" s="214"/>
      <c r="R60" s="214"/>
      <c r="S60" s="214"/>
      <c r="T60" s="214"/>
      <c r="U60" s="214"/>
      <c r="V60" s="214"/>
      <c r="W60" s="217">
        <v>1575</v>
      </c>
      <c r="X60" s="217">
        <v>1650</v>
      </c>
      <c r="Y60" s="217">
        <v>1730</v>
      </c>
      <c r="Z60" s="217">
        <v>1975</v>
      </c>
      <c r="AA60" s="217">
        <v>2550</v>
      </c>
      <c r="AB60" s="217">
        <v>2875</v>
      </c>
      <c r="AC60" s="217">
        <v>2425</v>
      </c>
      <c r="AD60" s="217">
        <v>2100</v>
      </c>
      <c r="AE60" s="217">
        <v>2425</v>
      </c>
      <c r="AF60" s="217">
        <v>2300</v>
      </c>
      <c r="AG60" s="217">
        <v>1925</v>
      </c>
      <c r="AH60" s="217">
        <v>1600</v>
      </c>
      <c r="AI60" s="217">
        <v>1575</v>
      </c>
      <c r="AJ60" s="217">
        <v>1425</v>
      </c>
      <c r="AK60" s="217">
        <v>1100</v>
      </c>
      <c r="AL60" s="217">
        <v>1167.5</v>
      </c>
      <c r="AM60" s="217">
        <v>1025</v>
      </c>
      <c r="AN60" s="217">
        <v>995</v>
      </c>
      <c r="AO60" s="217">
        <v>955</v>
      </c>
      <c r="AP60" s="217">
        <v>970</v>
      </c>
      <c r="AQ60" s="217">
        <v>1060</v>
      </c>
      <c r="AR60" s="217">
        <v>995</v>
      </c>
      <c r="AS60" s="217">
        <v>1005</v>
      </c>
      <c r="AT60" s="217">
        <v>915</v>
      </c>
      <c r="AU60" s="214">
        <v>855</v>
      </c>
      <c r="AV60" s="214">
        <v>855</v>
      </c>
      <c r="AW60" s="214">
        <v>855</v>
      </c>
      <c r="AX60" s="214">
        <v>855</v>
      </c>
      <c r="AY60" s="214">
        <v>855</v>
      </c>
      <c r="AZ60" s="214">
        <v>825</v>
      </c>
      <c r="BA60" s="214">
        <v>825</v>
      </c>
      <c r="BB60" s="214">
        <v>825</v>
      </c>
      <c r="BC60" s="214">
        <v>825</v>
      </c>
      <c r="BD60" s="214">
        <v>825</v>
      </c>
      <c r="BE60" s="214">
        <v>1030</v>
      </c>
      <c r="BF60" s="214">
        <v>1030</v>
      </c>
      <c r="BG60" s="214">
        <v>1030</v>
      </c>
      <c r="BH60" s="214">
        <v>1030</v>
      </c>
      <c r="BI60" s="214">
        <v>1030</v>
      </c>
      <c r="BJ60" s="214">
        <v>1030</v>
      </c>
      <c r="BK60" s="214">
        <v>1030</v>
      </c>
      <c r="BL60" s="214">
        <v>1030</v>
      </c>
      <c r="BM60" s="214">
        <v>1030</v>
      </c>
      <c r="BN60" s="214">
        <v>1030</v>
      </c>
      <c r="BO60" s="300">
        <v>1030</v>
      </c>
      <c r="BP60" s="214">
        <v>970</v>
      </c>
      <c r="BQ60" s="214">
        <v>1040</v>
      </c>
      <c r="BR60" s="313">
        <v>970</v>
      </c>
      <c r="BS60" s="313">
        <v>1000</v>
      </c>
      <c r="BT60" s="313">
        <v>1000</v>
      </c>
      <c r="BU60" s="313">
        <v>1000</v>
      </c>
      <c r="BV60" s="313">
        <v>1000</v>
      </c>
      <c r="BW60" s="178"/>
      <c r="XFD60" s="214"/>
    </row>
    <row r="61" spans="1:75 16384:16384">
      <c r="A61" s="178" t="str">
        <f t="shared" si="18"/>
        <v>LIQUID BROMINE USD</v>
      </c>
      <c r="B61" s="178" t="s">
        <v>56</v>
      </c>
      <c r="C61" s="178" t="s">
        <v>101</v>
      </c>
      <c r="D61" s="178" t="s">
        <v>33</v>
      </c>
      <c r="E61" s="178" t="s">
        <v>34</v>
      </c>
      <c r="F61" s="216">
        <v>3.437657148745096</v>
      </c>
      <c r="G61" s="216">
        <v>3.6504767491504015</v>
      </c>
      <c r="H61" s="216">
        <v>3.6376615793029541</v>
      </c>
      <c r="I61" s="216">
        <v>3.6764010659341144</v>
      </c>
      <c r="J61" s="216">
        <v>3.8026447262828107</v>
      </c>
      <c r="K61" s="216">
        <v>3.8248805396352576</v>
      </c>
      <c r="L61" s="216">
        <v>3.8721625885847621</v>
      </c>
      <c r="M61" s="216">
        <v>3.8430681277946968</v>
      </c>
      <c r="N61" s="216">
        <v>3.8780402793670787</v>
      </c>
      <c r="O61" s="216">
        <v>3.8043619567759612</v>
      </c>
      <c r="P61" s="216">
        <v>3.8554919147975388</v>
      </c>
      <c r="Q61" s="216">
        <v>3.8325781970658754</v>
      </c>
      <c r="R61" s="216">
        <v>3.8023622373348833</v>
      </c>
      <c r="S61" s="216">
        <v>3.8183314487426521</v>
      </c>
      <c r="T61" s="216">
        <v>3.8136432113917813</v>
      </c>
      <c r="U61" s="216">
        <v>3.843947116906985</v>
      </c>
      <c r="V61" s="216">
        <v>3.840042867422123</v>
      </c>
      <c r="W61" s="216">
        <v>3.8336805480355101</v>
      </c>
      <c r="X61" s="216">
        <v>3.8294841100571313</v>
      </c>
      <c r="Y61" s="216">
        <v>3.8812197137205766</v>
      </c>
      <c r="Z61" s="216">
        <v>3.9168831250708678</v>
      </c>
      <c r="AA61" s="216">
        <v>4.0829158332767541</v>
      </c>
      <c r="AB61" s="216">
        <v>4.3685605569339403</v>
      </c>
      <c r="AC61" s="216">
        <v>4.20307561313136</v>
      </c>
      <c r="AD61" s="216">
        <v>4.828941227228368</v>
      </c>
      <c r="AE61" s="216">
        <v>4.8781820440908605</v>
      </c>
      <c r="AF61" s="216">
        <v>5.1431011069842238</v>
      </c>
      <c r="AG61" s="216">
        <v>5.6057447243486358</v>
      </c>
      <c r="AH61" s="216">
        <v>5.8840952994204763</v>
      </c>
      <c r="AI61" s="216">
        <v>6.0218438754597274</v>
      </c>
      <c r="AJ61" s="216">
        <v>6.0321849202801374</v>
      </c>
      <c r="AK61" s="216">
        <v>6.0989541938572405</v>
      </c>
      <c r="AL61" s="216">
        <v>6.2236622530109695</v>
      </c>
      <c r="AM61" s="216">
        <v>5.7323824318599073</v>
      </c>
      <c r="AN61" s="216">
        <v>5.4868904638800942</v>
      </c>
      <c r="AO61" s="216">
        <v>5.9492305426699064</v>
      </c>
      <c r="AP61" s="216">
        <v>5.625580816098859</v>
      </c>
      <c r="AQ61" s="216">
        <v>6.06951668064207</v>
      </c>
      <c r="AR61" s="216">
        <v>6.06</v>
      </c>
      <c r="AS61" s="216">
        <v>5.67</v>
      </c>
      <c r="AT61" s="216">
        <v>5.22</v>
      </c>
      <c r="AU61" s="216">
        <v>4.95</v>
      </c>
      <c r="AV61" s="216">
        <v>4.95</v>
      </c>
      <c r="AW61" s="216">
        <v>4.95</v>
      </c>
      <c r="AX61" s="214">
        <v>4.76</v>
      </c>
      <c r="AY61" s="214">
        <v>4</v>
      </c>
      <c r="AZ61" s="214">
        <v>2.74</v>
      </c>
      <c r="BA61" s="214">
        <v>2.74</v>
      </c>
      <c r="BB61" s="214">
        <v>2.74</v>
      </c>
      <c r="BC61" s="214">
        <v>2.6</v>
      </c>
      <c r="BD61" s="214">
        <v>2.6</v>
      </c>
      <c r="BE61" s="214">
        <v>2.6</v>
      </c>
      <c r="BF61" s="214">
        <v>2.79</v>
      </c>
      <c r="BG61" s="214">
        <v>2.6</v>
      </c>
      <c r="BH61" s="214">
        <v>2.6</v>
      </c>
      <c r="BI61" s="214">
        <v>2.6</v>
      </c>
      <c r="BJ61" s="214">
        <v>2.74</v>
      </c>
      <c r="BK61" s="214">
        <v>2.74</v>
      </c>
      <c r="BL61" s="214">
        <v>2.74</v>
      </c>
      <c r="BM61" s="214">
        <v>2.74</v>
      </c>
      <c r="BN61" s="214">
        <v>2.74</v>
      </c>
      <c r="BO61" s="300">
        <v>2.74</v>
      </c>
      <c r="BP61" s="214">
        <v>2.2999999999999998</v>
      </c>
      <c r="BQ61" s="214">
        <v>2.2999999999999998</v>
      </c>
      <c r="BR61" s="214">
        <v>2.8</v>
      </c>
      <c r="BS61" s="300">
        <v>2.8</v>
      </c>
      <c r="BT61" s="300">
        <v>2.75</v>
      </c>
      <c r="BU61" s="300">
        <v>2.75</v>
      </c>
      <c r="BV61" s="300">
        <v>2.75</v>
      </c>
      <c r="BW61" s="178"/>
    </row>
    <row r="62" spans="1:75 16384:16384">
      <c r="A62" s="178" t="str">
        <f t="shared" si="18"/>
        <v>CYANOACETAMIDEUSD</v>
      </c>
      <c r="B62" s="178" t="s">
        <v>56</v>
      </c>
      <c r="C62" s="178" t="s">
        <v>102</v>
      </c>
      <c r="D62" s="178" t="s">
        <v>33</v>
      </c>
      <c r="E62" s="178" t="s">
        <v>34</v>
      </c>
      <c r="F62" s="216">
        <v>3.3722677740973346</v>
      </c>
      <c r="G62" s="216">
        <v>3.5884490664929807</v>
      </c>
      <c r="H62" s="216">
        <v>3.3010375884295726</v>
      </c>
      <c r="I62" s="216">
        <v>3.2761440126618488</v>
      </c>
      <c r="J62" s="216">
        <v>3.3313918893164898</v>
      </c>
      <c r="K62" s="216">
        <v>3.2126032639307116</v>
      </c>
      <c r="L62" s="216">
        <v>3.305640263333288</v>
      </c>
      <c r="M62" s="216">
        <v>3.2428482174215421</v>
      </c>
      <c r="N62" s="216">
        <v>3.0558305817010916</v>
      </c>
      <c r="O62" s="216">
        <v>3.1187400447713336</v>
      </c>
      <c r="P62" s="216">
        <v>2.9643536344731332</v>
      </c>
      <c r="Q62" s="216">
        <v>3.0743580036551674</v>
      </c>
      <c r="R62" s="216">
        <v>3.1440983976529004</v>
      </c>
      <c r="S62" s="216">
        <v>3.6417121216368651</v>
      </c>
      <c r="T62" s="216">
        <v>4.060230072669893</v>
      </c>
      <c r="U62" s="216">
        <v>3.8836327345461683</v>
      </c>
      <c r="V62" s="216">
        <v>3.7884508075864156</v>
      </c>
      <c r="W62" s="216">
        <v>3.837401992491376</v>
      </c>
      <c r="X62" s="216">
        <v>3.9030382165072637</v>
      </c>
      <c r="Y62" s="216">
        <v>3.8081991962597312</v>
      </c>
      <c r="Z62" s="216">
        <v>3.9842480228824653</v>
      </c>
      <c r="AA62" s="216">
        <v>4.0671955678400016</v>
      </c>
      <c r="AB62" s="216">
        <v>5.8482673702726471</v>
      </c>
      <c r="AC62" s="216">
        <v>6.6775339200281429</v>
      </c>
      <c r="AD62" s="216">
        <v>7.2166196928556987</v>
      </c>
      <c r="AE62" s="216">
        <v>7.7366156412070888</v>
      </c>
      <c r="AF62" s="216">
        <v>7.6217441905288466</v>
      </c>
      <c r="AG62" s="216">
        <v>7.2166896551724138</v>
      </c>
      <c r="AH62" s="216">
        <v>6.9105245786163518</v>
      </c>
      <c r="AI62" s="216">
        <v>6.9259629864253398</v>
      </c>
      <c r="AJ62" s="216">
        <v>6.0260156630265209</v>
      </c>
      <c r="AK62" s="216">
        <v>5.6731331527093598</v>
      </c>
      <c r="AL62" s="216">
        <v>5.6208484848484845</v>
      </c>
      <c r="AM62" s="216">
        <v>5.31386815920398</v>
      </c>
      <c r="AN62" s="216">
        <v>5.1623768446601934</v>
      </c>
      <c r="AO62" s="216">
        <v>4.5309395098039218</v>
      </c>
      <c r="AP62" s="216">
        <v>4.4188660650336624</v>
      </c>
      <c r="AQ62" s="216">
        <v>4.4813940838476274</v>
      </c>
      <c r="AR62" s="216">
        <v>4.2824249470770237</v>
      </c>
      <c r="AS62" s="216">
        <v>4.008818696263873</v>
      </c>
      <c r="AT62" s="216">
        <v>3.9972925836058657</v>
      </c>
      <c r="AU62" s="216">
        <v>3.7949300431832205</v>
      </c>
      <c r="AV62" s="216">
        <v>3.7949300431832205</v>
      </c>
      <c r="AW62" s="214">
        <v>3.5</v>
      </c>
      <c r="AX62" s="214">
        <v>3.5</v>
      </c>
      <c r="AY62" s="214">
        <v>3.5</v>
      </c>
      <c r="AZ62" s="214">
        <v>3.5</v>
      </c>
      <c r="BA62" s="214">
        <v>3.5</v>
      </c>
      <c r="BB62" s="214">
        <v>3.5</v>
      </c>
      <c r="BC62" s="214">
        <v>3.69</v>
      </c>
      <c r="BD62" s="214">
        <v>3.47</v>
      </c>
      <c r="BE62" s="214">
        <v>3.47</v>
      </c>
      <c r="BF62" s="214">
        <v>3.47</v>
      </c>
      <c r="BG62" s="214">
        <v>3.47</v>
      </c>
      <c r="BH62" s="214">
        <v>3.47</v>
      </c>
      <c r="BI62" s="214">
        <v>3.47</v>
      </c>
      <c r="BJ62" s="214">
        <v>3.43</v>
      </c>
      <c r="BK62" s="214">
        <v>3.49</v>
      </c>
      <c r="BL62" s="214">
        <v>3.49</v>
      </c>
      <c r="BM62" s="214">
        <v>3.35</v>
      </c>
      <c r="BN62" s="214">
        <v>3.35</v>
      </c>
      <c r="BO62" s="300">
        <v>3.35</v>
      </c>
      <c r="BP62" s="214">
        <v>3.19</v>
      </c>
      <c r="BQ62" s="214">
        <v>3.19</v>
      </c>
      <c r="BR62" s="214">
        <v>3.19</v>
      </c>
      <c r="BS62" s="300">
        <v>3.19</v>
      </c>
      <c r="BT62" s="300">
        <v>3.19</v>
      </c>
      <c r="BU62" s="300">
        <v>3.19</v>
      </c>
      <c r="BV62" s="300">
        <v>3.19</v>
      </c>
      <c r="BW62" s="178"/>
    </row>
    <row r="63" spans="1:75 16384:16384">
      <c r="A63" s="178" t="str">
        <f t="shared" si="18"/>
        <v/>
      </c>
      <c r="B63" s="178"/>
      <c r="C63" s="178"/>
      <c r="D63" s="178"/>
      <c r="E63" s="178"/>
      <c r="F63" s="178"/>
      <c r="G63" s="178"/>
      <c r="H63" s="178"/>
      <c r="I63" s="178"/>
      <c r="J63" s="178"/>
      <c r="K63" s="178"/>
      <c r="L63" s="178"/>
      <c r="M63" s="178"/>
      <c r="N63" s="178"/>
      <c r="O63" s="178"/>
      <c r="P63" s="178"/>
      <c r="Q63" s="178"/>
      <c r="R63" s="178"/>
      <c r="S63" s="178"/>
      <c r="T63" s="178"/>
      <c r="U63" s="178"/>
      <c r="V63" s="178"/>
      <c r="W63" s="178"/>
      <c r="X63" s="178"/>
      <c r="Y63" s="178"/>
      <c r="Z63" s="178"/>
      <c r="AA63" s="178"/>
      <c r="AB63" s="178"/>
      <c r="AC63" s="178"/>
      <c r="AD63" s="178"/>
      <c r="AE63" s="178"/>
      <c r="AF63" s="178"/>
      <c r="AG63" s="178"/>
      <c r="AH63" s="178"/>
      <c r="AI63" s="178"/>
      <c r="AJ63" s="178"/>
      <c r="AK63" s="178"/>
      <c r="AL63" s="178"/>
      <c r="AM63" s="178"/>
      <c r="AN63" s="178"/>
      <c r="AO63" s="178"/>
      <c r="AP63" s="178"/>
      <c r="AQ63" s="178"/>
      <c r="AR63" s="178"/>
      <c r="AS63" s="178"/>
      <c r="AT63" s="178"/>
      <c r="AU63" s="178"/>
      <c r="AV63" s="178"/>
      <c r="AW63" s="178"/>
      <c r="AX63" s="178"/>
      <c r="AY63" s="214"/>
      <c r="AZ63" s="214"/>
      <c r="BA63" s="214"/>
      <c r="BB63" s="178"/>
      <c r="BC63" s="214"/>
      <c r="BD63" s="214"/>
      <c r="BE63" s="214"/>
      <c r="BF63" s="214"/>
      <c r="BG63" s="214"/>
      <c r="BH63" s="214"/>
      <c r="BI63" s="214"/>
      <c r="BJ63" s="214"/>
      <c r="BK63" s="214"/>
      <c r="BL63" s="214"/>
      <c r="BM63" s="214"/>
      <c r="BN63" s="214"/>
      <c r="BO63" s="302"/>
      <c r="BP63" s="214"/>
      <c r="BQ63" s="214"/>
      <c r="BR63" s="214"/>
      <c r="BS63" s="300"/>
      <c r="BT63" s="300"/>
      <c r="BU63" s="214"/>
      <c r="BV63" s="214"/>
      <c r="BW63" s="178"/>
    </row>
    <row r="64" spans="1:75 16384:16384">
      <c r="A64" s="178" t="str">
        <f t="shared" si="18"/>
        <v>DIETHYLENE GLYCOL USD</v>
      </c>
      <c r="B64" s="178" t="s">
        <v>103</v>
      </c>
      <c r="C64" s="178" t="s">
        <v>104</v>
      </c>
      <c r="D64" s="178" t="s">
        <v>33</v>
      </c>
      <c r="E64" s="178" t="s">
        <v>32</v>
      </c>
      <c r="F64" s="216">
        <v>635</v>
      </c>
      <c r="G64" s="216">
        <v>500</v>
      </c>
      <c r="H64" s="216">
        <v>425</v>
      </c>
      <c r="I64" s="216">
        <v>385</v>
      </c>
      <c r="J64" s="216">
        <v>395</v>
      </c>
      <c r="K64" s="216">
        <v>380</v>
      </c>
      <c r="L64" s="216">
        <v>370</v>
      </c>
      <c r="M64" s="216">
        <v>402.5</v>
      </c>
      <c r="N64" s="216">
        <v>397.5</v>
      </c>
      <c r="O64" s="216">
        <v>412.5</v>
      </c>
      <c r="P64" s="216">
        <v>530</v>
      </c>
      <c r="Q64" s="216">
        <v>540</v>
      </c>
      <c r="R64" s="216">
        <v>570</v>
      </c>
      <c r="S64" s="216">
        <v>700</v>
      </c>
      <c r="T64" s="216">
        <v>800</v>
      </c>
      <c r="U64" s="216">
        <v>900</v>
      </c>
      <c r="V64" s="216">
        <v>850</v>
      </c>
      <c r="W64" s="216">
        <v>765</v>
      </c>
      <c r="X64" s="216">
        <v>765</v>
      </c>
      <c r="Y64" s="216">
        <v>765</v>
      </c>
      <c r="Z64" s="216">
        <v>822.5</v>
      </c>
      <c r="AA64" s="216">
        <v>940</v>
      </c>
      <c r="AB64" s="216">
        <v>820</v>
      </c>
      <c r="AC64" s="216">
        <v>700</v>
      </c>
      <c r="AD64" s="216">
        <v>660</v>
      </c>
      <c r="AE64" s="216">
        <v>645</v>
      </c>
      <c r="AF64" s="216">
        <v>645</v>
      </c>
      <c r="AG64" s="216">
        <v>655</v>
      </c>
      <c r="AH64" s="216">
        <v>645</v>
      </c>
      <c r="AI64" s="216">
        <v>685</v>
      </c>
      <c r="AJ64" s="216">
        <v>685</v>
      </c>
      <c r="AK64" s="216">
        <v>640</v>
      </c>
      <c r="AL64" s="216">
        <v>602.5</v>
      </c>
      <c r="AM64" s="216">
        <v>630</v>
      </c>
      <c r="AN64" s="216">
        <v>680</v>
      </c>
      <c r="AO64" s="216">
        <v>695</v>
      </c>
      <c r="AP64" s="216">
        <v>655</v>
      </c>
      <c r="AQ64" s="216">
        <v>665</v>
      </c>
      <c r="AR64" s="216">
        <v>745</v>
      </c>
      <c r="AS64" s="216">
        <v>922.5</v>
      </c>
      <c r="AT64" s="216">
        <v>805</v>
      </c>
      <c r="AU64" s="216">
        <v>550</v>
      </c>
      <c r="AV64" s="214">
        <v>550</v>
      </c>
      <c r="AW64" s="214">
        <v>550</v>
      </c>
      <c r="AX64" s="214">
        <v>550</v>
      </c>
      <c r="AY64" s="214">
        <v>610</v>
      </c>
      <c r="AZ64" s="214">
        <v>610</v>
      </c>
      <c r="BA64" s="214">
        <v>610</v>
      </c>
      <c r="BB64" s="214">
        <v>610</v>
      </c>
      <c r="BC64" s="214">
        <v>610</v>
      </c>
      <c r="BD64" s="214">
        <v>615</v>
      </c>
      <c r="BE64" s="214">
        <v>615</v>
      </c>
      <c r="BF64" s="214">
        <v>665</v>
      </c>
      <c r="BG64" s="214">
        <v>665</v>
      </c>
      <c r="BH64" s="214">
        <v>665</v>
      </c>
      <c r="BI64" s="214">
        <v>665</v>
      </c>
      <c r="BJ64" s="214">
        <v>665</v>
      </c>
      <c r="BK64" s="214">
        <v>645</v>
      </c>
      <c r="BL64" s="174">
        <v>625</v>
      </c>
      <c r="BM64" s="174">
        <v>625</v>
      </c>
      <c r="BN64" s="174">
        <v>625</v>
      </c>
      <c r="BO64" s="174">
        <v>625</v>
      </c>
      <c r="BP64" s="214">
        <v>625</v>
      </c>
      <c r="BQ64" s="214">
        <v>625</v>
      </c>
      <c r="BR64" s="313">
        <v>650</v>
      </c>
      <c r="BS64" s="313">
        <v>650</v>
      </c>
      <c r="BT64" s="313">
        <v>650</v>
      </c>
      <c r="BU64" s="313">
        <v>650</v>
      </c>
      <c r="BV64" s="313">
        <v>650</v>
      </c>
      <c r="BW64" s="178"/>
    </row>
    <row r="65" spans="1:75 16384:16384">
      <c r="A65" s="178" t="str">
        <f t="shared" si="18"/>
        <v>SOYA OILINR</v>
      </c>
      <c r="B65" s="178"/>
      <c r="C65" s="178" t="s">
        <v>105</v>
      </c>
      <c r="D65" s="178" t="s">
        <v>43</v>
      </c>
      <c r="E65" s="178" t="s">
        <v>34</v>
      </c>
      <c r="F65" s="216"/>
      <c r="G65" s="216"/>
      <c r="H65" s="216"/>
      <c r="I65" s="216"/>
      <c r="J65" s="216"/>
      <c r="K65" s="216"/>
      <c r="L65" s="216"/>
      <c r="M65" s="216"/>
      <c r="N65" s="216"/>
      <c r="O65" s="216"/>
      <c r="P65" s="216"/>
      <c r="Q65" s="216"/>
      <c r="R65" s="216"/>
      <c r="S65" s="216"/>
      <c r="T65" s="216"/>
      <c r="U65" s="216"/>
      <c r="V65" s="216"/>
      <c r="W65" s="216"/>
      <c r="X65" s="216"/>
      <c r="Y65" s="216"/>
      <c r="Z65" s="216"/>
      <c r="AA65" s="216"/>
      <c r="AB65" s="216"/>
      <c r="AC65" s="216"/>
      <c r="AD65" s="216"/>
      <c r="AE65" s="216"/>
      <c r="AF65" s="216"/>
      <c r="AG65" s="216"/>
      <c r="AH65" s="216"/>
      <c r="AI65" s="216">
        <v>133.75</v>
      </c>
      <c r="AJ65" s="216">
        <v>122.92307692307692</v>
      </c>
      <c r="AK65" s="216">
        <v>123.34090909090909</v>
      </c>
      <c r="AL65" s="216">
        <v>113.95454545454545</v>
      </c>
      <c r="AM65" s="216">
        <v>128.69999999999999</v>
      </c>
      <c r="AN65" s="216">
        <v>136.93478260869566</v>
      </c>
      <c r="AO65" s="216">
        <v>125.21428571428571</v>
      </c>
      <c r="AP65" s="216">
        <v>124.65625</v>
      </c>
      <c r="AQ65" s="216">
        <v>116.47916666666667</v>
      </c>
      <c r="AR65" s="216">
        <v>107.9047619047619</v>
      </c>
      <c r="AS65" s="216">
        <v>106.5</v>
      </c>
      <c r="AT65" s="216">
        <v>93.543478260869563</v>
      </c>
      <c r="AU65" s="216">
        <v>92.424999999999997</v>
      </c>
      <c r="AV65" s="216">
        <v>98</v>
      </c>
      <c r="AW65" s="216">
        <v>93.5</v>
      </c>
      <c r="AX65" s="216">
        <v>95</v>
      </c>
      <c r="AY65" s="216">
        <v>97</v>
      </c>
      <c r="AZ65" s="216">
        <v>97</v>
      </c>
      <c r="BA65" s="216">
        <v>97</v>
      </c>
      <c r="BB65" s="178">
        <v>95</v>
      </c>
      <c r="BC65" s="214">
        <v>93</v>
      </c>
      <c r="BD65" s="214">
        <v>93</v>
      </c>
      <c r="BE65" s="214">
        <v>88</v>
      </c>
      <c r="BF65" s="214">
        <v>87</v>
      </c>
      <c r="BG65" s="214">
        <v>88.5</v>
      </c>
      <c r="BH65" s="214">
        <v>86</v>
      </c>
      <c r="BI65" s="214">
        <v>92</v>
      </c>
      <c r="BJ65" s="214">
        <v>88.5</v>
      </c>
      <c r="BK65" s="214">
        <v>88.5</v>
      </c>
      <c r="BL65" s="214">
        <v>91</v>
      </c>
      <c r="BM65" s="214">
        <v>93</v>
      </c>
      <c r="BN65" s="214">
        <v>93</v>
      </c>
      <c r="BO65" s="300">
        <v>96</v>
      </c>
      <c r="BP65" s="214">
        <v>92</v>
      </c>
      <c r="BQ65" s="214">
        <v>92</v>
      </c>
      <c r="BR65" s="214">
        <v>88.5</v>
      </c>
      <c r="BS65" s="300">
        <v>88</v>
      </c>
      <c r="BT65" s="300"/>
      <c r="BU65" s="214"/>
      <c r="BV65" s="214"/>
      <c r="BW65" s="178"/>
    </row>
    <row r="66" spans="1:75 16384:16384">
      <c r="A66" s="178" t="str">
        <f t="shared" si="18"/>
        <v>SOYA OILUSD</v>
      </c>
      <c r="B66" s="178"/>
      <c r="C66" s="178" t="s">
        <v>105</v>
      </c>
      <c r="D66" s="178" t="s">
        <v>33</v>
      </c>
      <c r="E66" s="178" t="s">
        <v>34</v>
      </c>
      <c r="F66" s="216"/>
      <c r="G66" s="216"/>
      <c r="H66" s="216"/>
      <c r="I66" s="216"/>
      <c r="J66" s="216"/>
      <c r="K66" s="216"/>
      <c r="L66" s="216"/>
      <c r="M66" s="216"/>
      <c r="N66" s="216"/>
      <c r="O66" s="216"/>
      <c r="P66" s="216"/>
      <c r="Q66" s="216"/>
      <c r="R66" s="216"/>
      <c r="S66" s="216"/>
      <c r="T66" s="216"/>
      <c r="U66" s="216"/>
      <c r="V66" s="216"/>
      <c r="W66" s="216"/>
      <c r="X66" s="216"/>
      <c r="Y66" s="216"/>
      <c r="Z66" s="216"/>
      <c r="AA66" s="216"/>
      <c r="AB66" s="216"/>
      <c r="AC66" s="216"/>
      <c r="AD66" s="216"/>
      <c r="AE66" s="216"/>
      <c r="AF66" s="216"/>
      <c r="AG66" s="216"/>
      <c r="AH66" s="216"/>
      <c r="AI66" s="216">
        <f>AI65/AI1</f>
        <v>1.7131056570795049</v>
      </c>
      <c r="AJ66" s="216">
        <f t="shared" ref="AJ66:AX66" si="20">AJ65/AJ1</f>
        <v>1.544229644351645</v>
      </c>
      <c r="AK66" s="216">
        <f t="shared" si="20"/>
        <v>1.5505426032460807</v>
      </c>
      <c r="AL66" s="216">
        <f t="shared" si="20"/>
        <v>1.420320796476471</v>
      </c>
      <c r="AM66" s="216">
        <f t="shared" si="20"/>
        <v>1.5630291188559966</v>
      </c>
      <c r="AN66" s="216">
        <f t="shared" si="20"/>
        <v>1.6738041049341184</v>
      </c>
      <c r="AO66" s="216">
        <f t="shared" si="20"/>
        <v>1.5184075636303758</v>
      </c>
      <c r="AP66" s="216">
        <f t="shared" si="20"/>
        <v>1.5220619453065469</v>
      </c>
      <c r="AQ66" s="216">
        <f t="shared" si="20"/>
        <v>1.4183734333962685</v>
      </c>
      <c r="AR66" s="216">
        <f t="shared" si="20"/>
        <v>1.3139624192251604</v>
      </c>
      <c r="AS66" s="216">
        <f t="shared" si="20"/>
        <v>1.2968565536615497</v>
      </c>
      <c r="AT66" s="216">
        <f t="shared" si="20"/>
        <v>1.1390842519709425</v>
      </c>
      <c r="AU66" s="216">
        <f t="shared" si="20"/>
        <v>1.1203030303030304</v>
      </c>
      <c r="AV66" s="216">
        <f t="shared" si="20"/>
        <v>1.1887433284813198</v>
      </c>
      <c r="AW66" s="216">
        <f t="shared" si="20"/>
        <v>1.1377464103188122</v>
      </c>
      <c r="AX66" s="216">
        <f t="shared" si="20"/>
        <v>1.15966796875</v>
      </c>
      <c r="AY66" s="216">
        <f>AY65/AY1</f>
        <v>1.1791879406759056</v>
      </c>
      <c r="AZ66" s="216">
        <f t="shared" ref="AZ66:BW66" si="21">AZ65/AZ1</f>
        <v>1.1710732826270676</v>
      </c>
      <c r="BA66" s="216">
        <f t="shared" si="21"/>
        <v>1.1651651651651651</v>
      </c>
      <c r="BB66" s="216">
        <f t="shared" si="21"/>
        <v>1.1411411411411412</v>
      </c>
      <c r="BC66" s="216">
        <f t="shared" si="21"/>
        <v>1.1252268602540834</v>
      </c>
      <c r="BD66" s="216">
        <f t="shared" si="21"/>
        <v>1.119807344972908</v>
      </c>
      <c r="BE66" s="216">
        <f t="shared" si="21"/>
        <v>1.0610079575596818</v>
      </c>
      <c r="BF66" s="216">
        <f t="shared" si="21"/>
        <v>1.0490775352707102</v>
      </c>
      <c r="BG66" s="216">
        <f t="shared" si="21"/>
        <v>1.0629353831371606</v>
      </c>
      <c r="BH66" s="216">
        <f t="shared" si="21"/>
        <v>1.0334054313866858</v>
      </c>
      <c r="BI66" s="216">
        <f t="shared" si="21"/>
        <v>1.1051051051051051</v>
      </c>
      <c r="BJ66" s="216">
        <f t="shared" si="21"/>
        <v>1.0647256977863329</v>
      </c>
      <c r="BK66" s="216">
        <f t="shared" si="21"/>
        <v>1.0629353831371606</v>
      </c>
      <c r="BL66" s="216">
        <f t="shared" si="21"/>
        <v>1.0934871425138188</v>
      </c>
      <c r="BM66" s="216">
        <f t="shared" si="21"/>
        <v>1.1179228272628923</v>
      </c>
      <c r="BN66" s="216">
        <f t="shared" si="21"/>
        <v>1.1179228272628923</v>
      </c>
      <c r="BO66" s="301">
        <f t="shared" si="21"/>
        <v>1.1520460818432738</v>
      </c>
      <c r="BP66" s="216">
        <f t="shared" si="21"/>
        <v>1.1031175059952039</v>
      </c>
      <c r="BQ66" s="216">
        <f t="shared" si="21"/>
        <v>1.1036468330134357</v>
      </c>
      <c r="BR66" s="318">
        <f t="shared" si="21"/>
        <v>1.0631907736665065</v>
      </c>
      <c r="BS66" s="312">
        <f t="shared" si="21"/>
        <v>1.0561689870379261</v>
      </c>
      <c r="BT66" s="312">
        <f t="shared" si="21"/>
        <v>0</v>
      </c>
      <c r="BU66" s="216">
        <f t="shared" si="21"/>
        <v>0</v>
      </c>
      <c r="BV66" s="216">
        <f t="shared" si="21"/>
        <v>0</v>
      </c>
      <c r="BW66" s="216" t="e">
        <f t="shared" si="21"/>
        <v>#DIV/0!</v>
      </c>
    </row>
    <row r="67" spans="1:75 16384:16384">
      <c r="A67" s="178" t="str">
        <f t="shared" si="18"/>
        <v>BromineUSD</v>
      </c>
      <c r="B67" s="178" t="s">
        <v>29</v>
      </c>
      <c r="C67" s="178" t="s">
        <v>69</v>
      </c>
      <c r="D67" s="178" t="s">
        <v>33</v>
      </c>
      <c r="E67" s="178" t="s">
        <v>32</v>
      </c>
      <c r="F67" s="216"/>
      <c r="G67" s="216"/>
      <c r="H67" s="216"/>
      <c r="I67" s="216"/>
      <c r="J67" s="216"/>
      <c r="K67" s="216"/>
      <c r="L67" s="216"/>
      <c r="M67" s="216"/>
      <c r="N67" s="216"/>
      <c r="O67" s="216"/>
      <c r="P67" s="216"/>
      <c r="Q67" s="216"/>
      <c r="R67" s="216"/>
      <c r="S67" s="216"/>
      <c r="T67" s="216"/>
      <c r="U67" s="216"/>
      <c r="V67" s="216"/>
      <c r="W67" s="216"/>
      <c r="X67" s="216"/>
      <c r="Y67" s="216"/>
      <c r="Z67" s="216"/>
      <c r="AA67" s="216"/>
      <c r="AB67" s="216"/>
      <c r="AC67" s="216"/>
      <c r="AD67" s="216"/>
      <c r="AE67" s="216"/>
      <c r="AF67" s="216">
        <f>(((AF31/1.13)/AF3))</f>
        <v>7804.9189023198696</v>
      </c>
      <c r="AG67" s="216">
        <f t="shared" ref="AG67:BW67" si="22">(((AG31/1.13)/AG3))</f>
        <v>7445.4928989950595</v>
      </c>
      <c r="AH67" s="216">
        <f t="shared" si="22"/>
        <v>7348.1038178306926</v>
      </c>
      <c r="AI67" s="216">
        <f t="shared" si="22"/>
        <v>7661.6114561698369</v>
      </c>
      <c r="AJ67" s="216">
        <f t="shared" si="22"/>
        <v>7663.0906451771216</v>
      </c>
      <c r="AK67" s="216">
        <f t="shared" si="22"/>
        <v>7449.1224933702824</v>
      </c>
      <c r="AL67" s="216">
        <f t="shared" si="22"/>
        <v>5623.1109861530904</v>
      </c>
      <c r="AM67" s="216">
        <f t="shared" si="22"/>
        <v>5163.2014030333203</v>
      </c>
      <c r="AN67" s="216">
        <f t="shared" si="22"/>
        <v>6217.7508796931379</v>
      </c>
      <c r="AO67" s="216">
        <f t="shared" si="22"/>
        <v>6004.7452884561599</v>
      </c>
      <c r="AP67" s="216">
        <f t="shared" si="22"/>
        <v>5843.1945976390616</v>
      </c>
      <c r="AQ67" s="216">
        <f t="shared" si="22"/>
        <v>5105.4648640631694</v>
      </c>
      <c r="AR67" s="216">
        <f t="shared" si="22"/>
        <v>3569.3943614239165</v>
      </c>
      <c r="AS67" s="216">
        <f t="shared" si="22"/>
        <v>3275.2353674043443</v>
      </c>
      <c r="AT67" s="216">
        <f t="shared" si="22"/>
        <v>3172.2453706617657</v>
      </c>
      <c r="AU67" s="216">
        <f t="shared" si="22"/>
        <v>2230.9808879303937</v>
      </c>
      <c r="AV67" s="216">
        <f t="shared" si="22"/>
        <v>2197.1315227342084</v>
      </c>
      <c r="AW67" s="216">
        <f t="shared" si="22"/>
        <v>2258.1629539212695</v>
      </c>
      <c r="AX67" s="216">
        <f t="shared" si="22"/>
        <v>2384.4641101278271</v>
      </c>
      <c r="AY67" s="216">
        <f t="shared" si="22"/>
        <v>2500.1547125440929</v>
      </c>
      <c r="AZ67" s="216">
        <f t="shared" si="22"/>
        <v>2986.5726630680915</v>
      </c>
      <c r="BA67" s="216">
        <f t="shared" si="22"/>
        <v>2994.4857640199152</v>
      </c>
      <c r="BB67" s="216">
        <f t="shared" si="22"/>
        <v>2986.2704395644419</v>
      </c>
      <c r="BC67" s="216">
        <f t="shared" si="22"/>
        <v>2998.4097502943782</v>
      </c>
      <c r="BD67" s="216">
        <f t="shared" si="22"/>
        <v>2965.9939711632751</v>
      </c>
      <c r="BE67" s="216">
        <f t="shared" si="22"/>
        <v>2940.1410587906821</v>
      </c>
      <c r="BF67" s="216">
        <f t="shared" si="22"/>
        <v>2936.1134682991883</v>
      </c>
      <c r="BG67" s="216">
        <f t="shared" si="22"/>
        <v>2933.6889319917568</v>
      </c>
      <c r="BH67" s="216">
        <f t="shared" si="22"/>
        <v>2921.5662504546012</v>
      </c>
      <c r="BI67" s="216">
        <f t="shared" si="22"/>
        <v>2949.8525073746314</v>
      </c>
      <c r="BJ67" s="216">
        <f t="shared" si="22"/>
        <v>2941.78177548031</v>
      </c>
      <c r="BK67" s="216">
        <f t="shared" si="22"/>
        <v>2937.7629479181783</v>
      </c>
      <c r="BL67" s="216">
        <f t="shared" si="22"/>
        <v>2970.140351304306</v>
      </c>
      <c r="BM67" s="216">
        <f t="shared" si="22"/>
        <v>3047.3682927423883</v>
      </c>
      <c r="BN67" s="216">
        <f t="shared" si="22"/>
        <v>3071.7472390843272</v>
      </c>
      <c r="BO67" s="301">
        <f t="shared" si="22"/>
        <v>3140.9697120777769</v>
      </c>
      <c r="BP67" s="216">
        <f t="shared" si="22"/>
        <v>3135.7675813688311</v>
      </c>
      <c r="BQ67" s="216">
        <f t="shared" si="22"/>
        <v>3157.8815981626872</v>
      </c>
      <c r="BR67" s="311">
        <f t="shared" si="22"/>
        <v>3094.2508818615015</v>
      </c>
      <c r="BS67" s="301">
        <f t="shared" si="22"/>
        <v>3070.509380031704</v>
      </c>
      <c r="BT67" s="301">
        <f t="shared" si="22"/>
        <v>3041.2563878848314</v>
      </c>
      <c r="BU67" s="216">
        <f t="shared" si="22"/>
        <v>2904.1505671195318</v>
      </c>
      <c r="BV67" s="216">
        <f t="shared" si="22"/>
        <v>2833.8470716913594</v>
      </c>
      <c r="BW67" s="216" t="e">
        <f t="shared" si="22"/>
        <v>#DIV/0!</v>
      </c>
    </row>
    <row r="68" spans="1:75 16384:16384">
      <c r="A68" s="178" t="str">
        <f t="shared" si="18"/>
        <v>2EH USD</v>
      </c>
      <c r="B68" s="178" t="s">
        <v>46</v>
      </c>
      <c r="C68" s="178" t="s">
        <v>106</v>
      </c>
      <c r="D68" s="178" t="s">
        <v>33</v>
      </c>
      <c r="E68" s="178" t="s">
        <v>32</v>
      </c>
      <c r="F68" s="216">
        <v>858</v>
      </c>
      <c r="G68" s="216">
        <v>866.875</v>
      </c>
      <c r="H68" s="216">
        <v>815.625</v>
      </c>
      <c r="I68" s="216">
        <v>680</v>
      </c>
      <c r="J68" s="216">
        <v>719.375</v>
      </c>
      <c r="K68" s="216">
        <v>762.5</v>
      </c>
      <c r="L68" s="216">
        <v>821</v>
      </c>
      <c r="M68" s="216">
        <v>825.625</v>
      </c>
      <c r="N68" s="216">
        <v>843.125</v>
      </c>
      <c r="O68" s="216">
        <v>867.5</v>
      </c>
      <c r="P68" s="216">
        <v>1078.75</v>
      </c>
      <c r="Q68" s="216">
        <v>1266.25</v>
      </c>
      <c r="R68" s="216">
        <v>1347.5</v>
      </c>
      <c r="S68" s="216">
        <v>1542</v>
      </c>
      <c r="T68" s="216">
        <v>1886</v>
      </c>
      <c r="U68" s="216">
        <v>1673</v>
      </c>
      <c r="V68" s="216">
        <v>1893.75</v>
      </c>
      <c r="W68" s="216">
        <v>1911.25</v>
      </c>
      <c r="X68" s="216">
        <v>1999</v>
      </c>
      <c r="Y68" s="216">
        <v>2094</v>
      </c>
      <c r="Z68" s="216">
        <v>1984</v>
      </c>
      <c r="AA68" s="216">
        <v>1753.75</v>
      </c>
      <c r="AB68" s="216">
        <v>1732.5</v>
      </c>
      <c r="AC68" s="216">
        <v>1550</v>
      </c>
      <c r="AD68" s="216">
        <v>1487.5</v>
      </c>
      <c r="AE68" s="216">
        <v>1678.75</v>
      </c>
      <c r="AF68" s="216">
        <v>1756</v>
      </c>
      <c r="AG68" s="216">
        <v>1750</v>
      </c>
      <c r="AH68" s="216">
        <v>1718.75</v>
      </c>
      <c r="AI68" s="216">
        <v>1490</v>
      </c>
      <c r="AJ68" s="216">
        <v>1145</v>
      </c>
      <c r="AK68" s="216">
        <v>1105</v>
      </c>
      <c r="AL68" s="216">
        <v>1149.5</v>
      </c>
      <c r="AM68" s="216">
        <v>1160</v>
      </c>
      <c r="AN68" s="216">
        <v>1150</v>
      </c>
      <c r="AO68" s="216">
        <v>1130</v>
      </c>
      <c r="AP68" s="216">
        <v>1210</v>
      </c>
      <c r="AQ68" s="216">
        <v>1238.75</v>
      </c>
      <c r="AR68" s="216">
        <v>1185</v>
      </c>
      <c r="AS68" s="216">
        <v>1175</v>
      </c>
      <c r="AT68" s="216">
        <v>1200</v>
      </c>
      <c r="AU68" s="216">
        <v>1240</v>
      </c>
      <c r="AV68" s="216">
        <v>1110</v>
      </c>
      <c r="AW68" s="216">
        <v>1110</v>
      </c>
      <c r="AX68" s="216">
        <v>1120</v>
      </c>
      <c r="AY68" s="214">
        <v>1150</v>
      </c>
      <c r="AZ68" s="214">
        <v>1240</v>
      </c>
      <c r="BA68" s="214">
        <v>1305</v>
      </c>
      <c r="BB68" s="214">
        <v>1345</v>
      </c>
      <c r="BC68" s="214">
        <v>1350</v>
      </c>
      <c r="BD68" s="214">
        <v>1435</v>
      </c>
      <c r="BE68" s="214">
        <v>1435</v>
      </c>
      <c r="BF68" s="214">
        <v>1340</v>
      </c>
      <c r="BG68" s="214">
        <v>1404</v>
      </c>
      <c r="BH68" s="214">
        <v>1385</v>
      </c>
      <c r="BI68" s="214">
        <v>1340</v>
      </c>
      <c r="BJ68" s="214">
        <v>1330</v>
      </c>
      <c r="BK68" s="214">
        <v>1290</v>
      </c>
      <c r="BL68" s="214">
        <v>1290</v>
      </c>
      <c r="BM68" s="214">
        <v>1290</v>
      </c>
      <c r="BN68" s="214">
        <v>1290</v>
      </c>
      <c r="BO68" s="300">
        <v>1270</v>
      </c>
      <c r="BP68" s="214">
        <v>1270</v>
      </c>
      <c r="BQ68" s="214">
        <v>1285</v>
      </c>
      <c r="BR68" s="300">
        <v>1340</v>
      </c>
      <c r="BS68" s="300">
        <v>1340</v>
      </c>
      <c r="BT68" s="300">
        <v>1465</v>
      </c>
      <c r="BU68" s="214">
        <v>1515</v>
      </c>
      <c r="BV68" s="214">
        <v>1515</v>
      </c>
      <c r="BW68" s="178"/>
    </row>
    <row r="69" spans="1:75 16384:16384">
      <c r="A69" s="178" t="str">
        <f t="shared" si="18"/>
        <v>Oleic AcidUSD</v>
      </c>
      <c r="B69" s="178" t="s">
        <v>46</v>
      </c>
      <c r="C69" s="178" t="s">
        <v>107</v>
      </c>
      <c r="D69" s="178" t="s">
        <v>33</v>
      </c>
      <c r="E69" s="178" t="s">
        <v>32</v>
      </c>
      <c r="F69" s="216">
        <v>1125</v>
      </c>
      <c r="G69" s="216">
        <v>1068.75</v>
      </c>
      <c r="H69" s="216">
        <v>991.25</v>
      </c>
      <c r="I69" s="216">
        <v>997</v>
      </c>
      <c r="J69" s="216">
        <v>992.5</v>
      </c>
      <c r="K69" s="216">
        <v>1037.5</v>
      </c>
      <c r="L69" s="216">
        <v>960</v>
      </c>
      <c r="M69" s="216">
        <v>995</v>
      </c>
      <c r="N69" s="216">
        <v>1027</v>
      </c>
      <c r="O69" s="216">
        <v>1110</v>
      </c>
      <c r="P69" s="216">
        <v>1231.25</v>
      </c>
      <c r="Q69" s="216">
        <v>1455</v>
      </c>
      <c r="R69" s="216">
        <v>1525</v>
      </c>
      <c r="S69" s="216">
        <v>1500</v>
      </c>
      <c r="T69" s="216">
        <v>1645</v>
      </c>
      <c r="U69" s="216">
        <v>1796</v>
      </c>
      <c r="V69" s="216">
        <v>1850</v>
      </c>
      <c r="W69" s="216">
        <v>1935</v>
      </c>
      <c r="X69" s="216">
        <v>1992.5</v>
      </c>
      <c r="Y69" s="216">
        <v>2001.25</v>
      </c>
      <c r="Z69" s="216">
        <v>2078</v>
      </c>
      <c r="AA69" s="216">
        <v>2160</v>
      </c>
      <c r="AB69" s="216">
        <v>2206.25</v>
      </c>
      <c r="AC69" s="216">
        <v>2218.75</v>
      </c>
      <c r="AD69" s="216">
        <v>2150</v>
      </c>
      <c r="AE69" s="216">
        <v>2183.3330000000001</v>
      </c>
      <c r="AF69" s="216">
        <v>2320</v>
      </c>
      <c r="AG69" s="216">
        <v>2187.5</v>
      </c>
      <c r="AH69" s="216">
        <v>2043.75</v>
      </c>
      <c r="AI69" s="216">
        <v>1815</v>
      </c>
      <c r="AJ69" s="216">
        <v>1350</v>
      </c>
      <c r="AK69" s="216">
        <v>1205</v>
      </c>
      <c r="AL69" s="216">
        <v>1243.75</v>
      </c>
      <c r="AM69" s="216">
        <v>1132.5</v>
      </c>
      <c r="AN69" s="216">
        <v>1125</v>
      </c>
      <c r="AO69" s="216">
        <v>1125</v>
      </c>
      <c r="AP69" s="216">
        <v>1115</v>
      </c>
      <c r="AQ69" s="216">
        <v>1146.25</v>
      </c>
      <c r="AR69" s="216">
        <v>1200</v>
      </c>
      <c r="AS69" s="216">
        <v>1190</v>
      </c>
      <c r="AT69" s="216">
        <v>1215</v>
      </c>
      <c r="AU69" s="216">
        <v>1175</v>
      </c>
      <c r="AV69" s="216">
        <v>1185</v>
      </c>
      <c r="AW69" s="216">
        <v>1185</v>
      </c>
      <c r="AX69" s="216">
        <v>1185</v>
      </c>
      <c r="AY69" s="214">
        <v>1200</v>
      </c>
      <c r="AZ69" s="214">
        <v>1250</v>
      </c>
      <c r="BA69" s="214">
        <v>1250</v>
      </c>
      <c r="BB69" s="214">
        <v>1250</v>
      </c>
      <c r="BC69" s="214">
        <v>1250</v>
      </c>
      <c r="BD69" s="214">
        <v>1250</v>
      </c>
      <c r="BE69" s="214">
        <v>1250</v>
      </c>
      <c r="BF69" s="214">
        <v>1250</v>
      </c>
      <c r="BG69" s="214">
        <v>1350</v>
      </c>
      <c r="BH69" s="214">
        <v>1350</v>
      </c>
      <c r="BI69" s="214">
        <v>1350</v>
      </c>
      <c r="BJ69" s="214">
        <v>1375</v>
      </c>
      <c r="BK69" s="214">
        <v>1375</v>
      </c>
      <c r="BL69" s="214">
        <v>1375</v>
      </c>
      <c r="BM69" s="214">
        <v>1400</v>
      </c>
      <c r="BN69" s="214">
        <v>1400</v>
      </c>
      <c r="BO69" s="300">
        <v>1400</v>
      </c>
      <c r="BP69" s="214">
        <v>1350</v>
      </c>
      <c r="BQ69" s="214">
        <v>1350</v>
      </c>
      <c r="BR69" s="300">
        <v>1375</v>
      </c>
      <c r="BS69" s="300">
        <v>1375</v>
      </c>
      <c r="BT69" s="300">
        <v>1375</v>
      </c>
      <c r="BU69" s="214">
        <v>1335</v>
      </c>
      <c r="BV69" s="214">
        <v>1335</v>
      </c>
      <c r="BW69" s="178"/>
    </row>
    <row r="70" spans="1:75 16384:16384">
      <c r="A70" s="178" t="str">
        <f t="shared" si="18"/>
        <v>Glycerine RefinedUSD</v>
      </c>
      <c r="B70" s="178" t="s">
        <v>46</v>
      </c>
      <c r="C70" s="178" t="s">
        <v>108</v>
      </c>
      <c r="D70" s="178" t="s">
        <v>33</v>
      </c>
      <c r="E70" s="178" t="s">
        <v>32</v>
      </c>
      <c r="F70" s="216">
        <v>515</v>
      </c>
      <c r="G70" s="216">
        <v>532.5</v>
      </c>
      <c r="H70" s="216">
        <v>548.79999999999995</v>
      </c>
      <c r="I70" s="216">
        <v>875</v>
      </c>
      <c r="J70" s="216">
        <v>1001.3</v>
      </c>
      <c r="K70" s="216">
        <v>823.8</v>
      </c>
      <c r="L70" s="216">
        <v>607</v>
      </c>
      <c r="M70" s="216">
        <v>610</v>
      </c>
      <c r="N70" s="216">
        <v>642.5</v>
      </c>
      <c r="O70" s="216">
        <v>667</v>
      </c>
      <c r="P70" s="216">
        <v>707.5</v>
      </c>
      <c r="Q70" s="216">
        <v>732.5</v>
      </c>
      <c r="R70" s="216">
        <v>743.8</v>
      </c>
      <c r="S70" s="216">
        <v>756</v>
      </c>
      <c r="T70" s="216">
        <v>854</v>
      </c>
      <c r="U70" s="216">
        <v>1040</v>
      </c>
      <c r="V70" s="216">
        <v>1120</v>
      </c>
      <c r="W70" s="216">
        <v>1110</v>
      </c>
      <c r="X70" s="216">
        <v>1064</v>
      </c>
      <c r="Y70" s="216">
        <v>1189</v>
      </c>
      <c r="Z70" s="216">
        <v>1382</v>
      </c>
      <c r="AA70" s="216">
        <v>1736.3</v>
      </c>
      <c r="AB70" s="216">
        <v>1948.8</v>
      </c>
      <c r="AC70" s="216">
        <f>(1890+1820+1790+1715)/4</f>
        <v>1803.75</v>
      </c>
      <c r="AD70" s="216">
        <v>1631.3</v>
      </c>
      <c r="AE70" s="216">
        <v>1725</v>
      </c>
      <c r="AF70" s="216">
        <v>1961</v>
      </c>
      <c r="AG70" s="216">
        <v>1812.5</v>
      </c>
      <c r="AH70" s="216">
        <v>1965</v>
      </c>
      <c r="AI70" s="216">
        <v>1730</v>
      </c>
      <c r="AJ70" s="216">
        <v>1077.5</v>
      </c>
      <c r="AK70" s="216">
        <v>908.8</v>
      </c>
      <c r="AL70" s="216">
        <v>927</v>
      </c>
      <c r="AM70" s="216">
        <v>755</v>
      </c>
      <c r="AN70" s="216">
        <v>625</v>
      </c>
      <c r="AO70" s="216">
        <v>650</v>
      </c>
      <c r="AP70" s="216">
        <v>700</v>
      </c>
      <c r="AQ70" s="216">
        <v>710</v>
      </c>
      <c r="AR70" s="216">
        <v>640</v>
      </c>
      <c r="AS70" s="216">
        <v>650</v>
      </c>
      <c r="AT70" s="216">
        <v>660</v>
      </c>
      <c r="AU70" s="216">
        <v>630</v>
      </c>
      <c r="AV70" s="216">
        <v>590</v>
      </c>
      <c r="AW70" s="216">
        <v>600</v>
      </c>
      <c r="AX70" s="216">
        <v>615</v>
      </c>
      <c r="AY70" s="214">
        <v>640</v>
      </c>
      <c r="AZ70" s="214">
        <v>645</v>
      </c>
      <c r="BA70" s="214">
        <v>645</v>
      </c>
      <c r="BB70" s="214">
        <v>640</v>
      </c>
      <c r="BC70" s="214">
        <v>625</v>
      </c>
      <c r="BD70" s="214">
        <v>640</v>
      </c>
      <c r="BE70" s="214">
        <v>620</v>
      </c>
      <c r="BF70" s="214">
        <v>615</v>
      </c>
      <c r="BG70" s="214">
        <v>615</v>
      </c>
      <c r="BH70" s="214">
        <v>615</v>
      </c>
      <c r="BI70" s="214">
        <v>605</v>
      </c>
      <c r="BJ70" s="214">
        <v>605</v>
      </c>
      <c r="BK70" s="214">
        <v>590</v>
      </c>
      <c r="BL70" s="214">
        <v>580</v>
      </c>
      <c r="BM70" s="214">
        <v>570</v>
      </c>
      <c r="BN70" s="214">
        <v>570</v>
      </c>
      <c r="BO70" s="300">
        <v>570</v>
      </c>
      <c r="BP70" s="214">
        <v>570</v>
      </c>
      <c r="BQ70" s="214">
        <v>570</v>
      </c>
      <c r="BR70" s="300">
        <v>545</v>
      </c>
      <c r="BS70" s="300">
        <v>545</v>
      </c>
      <c r="BT70" s="300">
        <v>545</v>
      </c>
      <c r="BU70" s="214">
        <v>545</v>
      </c>
      <c r="BV70" s="214">
        <v>545</v>
      </c>
      <c r="BW70" s="178"/>
    </row>
    <row r="71" spans="1:75 16384:16384">
      <c r="A71" s="178" t="str">
        <f t="shared" si="18"/>
        <v>N-Butanol USD</v>
      </c>
      <c r="B71" s="178" t="s">
        <v>46</v>
      </c>
      <c r="C71" s="178" t="s">
        <v>109</v>
      </c>
      <c r="D71" s="178" t="s">
        <v>33</v>
      </c>
      <c r="E71" s="178" t="s">
        <v>32</v>
      </c>
      <c r="F71" s="216">
        <v>691.5</v>
      </c>
      <c r="G71" s="216">
        <v>666.25</v>
      </c>
      <c r="H71" s="216">
        <v>650</v>
      </c>
      <c r="I71" s="216">
        <v>603</v>
      </c>
      <c r="J71" s="216">
        <v>602.5</v>
      </c>
      <c r="K71" s="216">
        <v>612.5</v>
      </c>
      <c r="L71" s="216">
        <v>627</v>
      </c>
      <c r="M71" s="216">
        <v>617.5</v>
      </c>
      <c r="N71" s="216">
        <v>638.75</v>
      </c>
      <c r="O71" s="216">
        <v>696</v>
      </c>
      <c r="P71" s="216">
        <v>933.75</v>
      </c>
      <c r="Q71" s="216">
        <v>1078.75</v>
      </c>
      <c r="R71" s="216">
        <v>1238.75</v>
      </c>
      <c r="S71" s="216">
        <v>1370</v>
      </c>
      <c r="T71" s="216">
        <v>1862.5</v>
      </c>
      <c r="U71" s="216">
        <v>1655</v>
      </c>
      <c r="V71" s="216">
        <v>1793.75</v>
      </c>
      <c r="W71" s="216">
        <v>1843.75</v>
      </c>
      <c r="X71" s="216">
        <v>1880</v>
      </c>
      <c r="Y71" s="216">
        <v>1950</v>
      </c>
      <c r="Z71" s="216">
        <v>1940</v>
      </c>
      <c r="AA71" s="216">
        <v>1750</v>
      </c>
      <c r="AB71" s="216">
        <v>1662.5</v>
      </c>
      <c r="AC71" s="216">
        <v>1371.25</v>
      </c>
      <c r="AD71" s="216">
        <v>1275</v>
      </c>
      <c r="AE71" s="216">
        <v>1362.5</v>
      </c>
      <c r="AF71" s="216">
        <v>1470</v>
      </c>
      <c r="AG71" s="216">
        <v>1462.5</v>
      </c>
      <c r="AH71" s="216">
        <v>1487.5</v>
      </c>
      <c r="AI71" s="216">
        <v>1418</v>
      </c>
      <c r="AJ71" s="216">
        <v>1118.75</v>
      </c>
      <c r="AK71" s="216">
        <v>962.5</v>
      </c>
      <c r="AL71" s="216">
        <v>934</v>
      </c>
      <c r="AM71" s="216">
        <v>950</v>
      </c>
      <c r="AN71" s="216">
        <v>950</v>
      </c>
      <c r="AO71" s="216">
        <v>935</v>
      </c>
      <c r="AP71" s="216">
        <v>975</v>
      </c>
      <c r="AQ71" s="216">
        <v>1005</v>
      </c>
      <c r="AR71" s="216">
        <v>975</v>
      </c>
      <c r="AS71" s="216">
        <v>980</v>
      </c>
      <c r="AT71" s="216">
        <v>975</v>
      </c>
      <c r="AU71" s="216">
        <v>990</v>
      </c>
      <c r="AV71" s="216">
        <v>870</v>
      </c>
      <c r="AW71" s="216">
        <v>870</v>
      </c>
      <c r="AX71" s="216">
        <v>870</v>
      </c>
      <c r="AY71" s="214">
        <f>AY44</f>
        <v>870</v>
      </c>
      <c r="AZ71" s="214">
        <f>AZ44</f>
        <v>890</v>
      </c>
      <c r="BA71" s="214">
        <f>BA44</f>
        <v>900</v>
      </c>
      <c r="BB71" s="214">
        <f t="shared" ref="BB71:BW71" si="23">BB44</f>
        <v>900</v>
      </c>
      <c r="BC71" s="214">
        <v>960</v>
      </c>
      <c r="BD71" s="214">
        <f t="shared" si="23"/>
        <v>1050</v>
      </c>
      <c r="BE71" s="214">
        <f t="shared" si="23"/>
        <v>1050</v>
      </c>
      <c r="BF71" s="214">
        <f t="shared" si="23"/>
        <v>1050</v>
      </c>
      <c r="BG71" s="214">
        <f t="shared" si="23"/>
        <v>1050</v>
      </c>
      <c r="BH71" s="214">
        <f t="shared" si="23"/>
        <v>1050</v>
      </c>
      <c r="BI71" s="214">
        <f t="shared" si="23"/>
        <v>1075</v>
      </c>
      <c r="BJ71" s="214">
        <f t="shared" si="23"/>
        <v>1050</v>
      </c>
      <c r="BK71" s="214">
        <f t="shared" si="23"/>
        <v>1000</v>
      </c>
      <c r="BL71" s="214">
        <f t="shared" si="23"/>
        <v>975</v>
      </c>
      <c r="BM71" s="214">
        <f t="shared" si="23"/>
        <v>975</v>
      </c>
      <c r="BN71" s="214">
        <f t="shared" si="23"/>
        <v>975</v>
      </c>
      <c r="BO71" s="300">
        <f t="shared" si="23"/>
        <v>975</v>
      </c>
      <c r="BP71" s="214">
        <f t="shared" si="23"/>
        <v>975</v>
      </c>
      <c r="BQ71" s="214">
        <f t="shared" si="23"/>
        <v>975</v>
      </c>
      <c r="BR71" s="300">
        <f>BR44</f>
        <v>1000</v>
      </c>
      <c r="BS71" s="300">
        <f t="shared" si="23"/>
        <v>1000</v>
      </c>
      <c r="BT71" s="300">
        <f t="shared" si="23"/>
        <v>1065</v>
      </c>
      <c r="BU71" s="214">
        <f t="shared" si="23"/>
        <v>1085</v>
      </c>
      <c r="BV71" s="214">
        <f t="shared" si="23"/>
        <v>1085</v>
      </c>
      <c r="BW71" s="214">
        <f t="shared" si="23"/>
        <v>1085</v>
      </c>
    </row>
    <row r="72" spans="1:75 16384:16384">
      <c r="A72" s="178" t="str">
        <f t="shared" si="18"/>
        <v>IsoButanolUSD</v>
      </c>
      <c r="B72" s="178" t="s">
        <v>110</v>
      </c>
      <c r="C72" s="178" t="s">
        <v>111</v>
      </c>
      <c r="D72" s="178" t="s">
        <v>33</v>
      </c>
      <c r="E72" s="178" t="s">
        <v>32</v>
      </c>
      <c r="F72" s="216">
        <v>639</v>
      </c>
      <c r="G72" s="216">
        <v>642.5</v>
      </c>
      <c r="H72" s="216">
        <v>625</v>
      </c>
      <c r="I72" s="216">
        <v>561</v>
      </c>
      <c r="J72" s="216">
        <v>578.75</v>
      </c>
      <c r="K72" s="216">
        <v>601.25</v>
      </c>
      <c r="L72" s="216">
        <v>650</v>
      </c>
      <c r="M72" s="216">
        <v>637.5</v>
      </c>
      <c r="N72" s="216">
        <v>615</v>
      </c>
      <c r="O72" s="216">
        <v>639</v>
      </c>
      <c r="P72" s="216">
        <v>765</v>
      </c>
      <c r="Q72" s="216">
        <v>936.25</v>
      </c>
      <c r="R72" s="216">
        <v>1041.25</v>
      </c>
      <c r="S72" s="216">
        <v>1142.5</v>
      </c>
      <c r="T72" s="216">
        <v>1405</v>
      </c>
      <c r="U72" s="216">
        <v>1323</v>
      </c>
      <c r="V72" s="216">
        <v>1617.5</v>
      </c>
      <c r="W72" s="216">
        <v>1718.75</v>
      </c>
      <c r="X72" s="216">
        <v>1773</v>
      </c>
      <c r="Y72" s="216">
        <v>1765</v>
      </c>
      <c r="Z72" s="216">
        <v>1423</v>
      </c>
      <c r="AA72" s="216">
        <v>1332.5</v>
      </c>
      <c r="AB72" s="216">
        <v>1307.5</v>
      </c>
      <c r="AC72" s="216">
        <v>1072.5</v>
      </c>
      <c r="AD72" s="216">
        <v>1052.5</v>
      </c>
      <c r="AE72" s="216">
        <v>1181.25</v>
      </c>
      <c r="AF72" s="216">
        <v>1163</v>
      </c>
      <c r="AG72" s="216">
        <v>1142.5</v>
      </c>
      <c r="AH72" s="216">
        <v>1098.75</v>
      </c>
      <c r="AI72" s="216">
        <v>1050</v>
      </c>
      <c r="AJ72" s="216">
        <v>900</v>
      </c>
      <c r="AK72" s="216">
        <v>845</v>
      </c>
      <c r="AL72" s="216">
        <v>859</v>
      </c>
      <c r="AM72" s="216">
        <v>875</v>
      </c>
      <c r="AN72" s="216">
        <v>875</v>
      </c>
      <c r="AO72" s="216">
        <v>930</v>
      </c>
      <c r="AP72" s="216">
        <v>930</v>
      </c>
      <c r="AQ72" s="216">
        <v>950</v>
      </c>
      <c r="AR72" s="216">
        <v>970</v>
      </c>
      <c r="AS72" s="216">
        <v>975</v>
      </c>
      <c r="AT72" s="216">
        <v>980</v>
      </c>
      <c r="AU72" s="216">
        <v>930</v>
      </c>
      <c r="AV72" s="216">
        <v>810</v>
      </c>
      <c r="AW72" s="216">
        <v>810</v>
      </c>
      <c r="AX72" s="216">
        <v>810</v>
      </c>
      <c r="AY72" s="214">
        <v>860</v>
      </c>
      <c r="AZ72" s="214">
        <v>900</v>
      </c>
      <c r="BA72" s="214">
        <v>970</v>
      </c>
      <c r="BB72" s="214">
        <v>970</v>
      </c>
      <c r="BC72" s="214">
        <v>1000</v>
      </c>
      <c r="BD72" s="214">
        <v>1060</v>
      </c>
      <c r="BE72" s="214">
        <v>1095</v>
      </c>
      <c r="BF72" s="214">
        <v>1125</v>
      </c>
      <c r="BG72" s="214">
        <v>1065</v>
      </c>
      <c r="BH72" s="214">
        <v>1065</v>
      </c>
      <c r="BI72" s="214">
        <v>1052.5</v>
      </c>
      <c r="BJ72" s="214">
        <v>1035</v>
      </c>
      <c r="BK72" s="214">
        <v>980</v>
      </c>
      <c r="BL72" s="214">
        <v>980</v>
      </c>
      <c r="BM72" s="214">
        <v>960</v>
      </c>
      <c r="BN72" s="214">
        <v>960</v>
      </c>
      <c r="BO72" s="300">
        <v>960</v>
      </c>
      <c r="BP72" s="214">
        <v>960</v>
      </c>
      <c r="BQ72" s="214">
        <v>970</v>
      </c>
      <c r="BR72" s="300">
        <v>970</v>
      </c>
      <c r="BS72" s="300">
        <v>970</v>
      </c>
      <c r="BT72" s="300">
        <v>1020</v>
      </c>
      <c r="BU72" s="214">
        <v>1020</v>
      </c>
      <c r="BV72" s="214">
        <v>1010</v>
      </c>
      <c r="BW72" s="178"/>
    </row>
    <row r="73" spans="1:75 16384:16384">
      <c r="A73" s="178" t="str">
        <f t="shared" si="18"/>
        <v>PFAD fatty acidUSD</v>
      </c>
      <c r="B73" s="178" t="s">
        <v>112</v>
      </c>
      <c r="C73" s="178" t="s">
        <v>112</v>
      </c>
      <c r="D73" s="178" t="s">
        <v>33</v>
      </c>
      <c r="E73" s="178"/>
      <c r="F73" s="274"/>
      <c r="G73" s="274"/>
      <c r="H73" s="274"/>
      <c r="I73" s="274"/>
      <c r="J73" s="274"/>
      <c r="K73" s="274">
        <v>516</v>
      </c>
      <c r="L73" s="274">
        <v>521</v>
      </c>
      <c r="M73" s="274">
        <v>605</v>
      </c>
      <c r="N73" s="274">
        <v>622</v>
      </c>
      <c r="O73" s="274">
        <v>682</v>
      </c>
      <c r="P73" s="274">
        <v>733</v>
      </c>
      <c r="Q73" s="274">
        <v>785</v>
      </c>
      <c r="R73" s="274">
        <v>875</v>
      </c>
      <c r="S73" s="274">
        <v>907</v>
      </c>
      <c r="T73" s="274">
        <v>939</v>
      </c>
      <c r="U73" s="274">
        <v>947</v>
      </c>
      <c r="V73" s="274">
        <v>1038</v>
      </c>
      <c r="W73" s="275">
        <v>933</v>
      </c>
      <c r="X73" s="275">
        <v>973</v>
      </c>
      <c r="Y73" s="275">
        <v>1032</v>
      </c>
      <c r="Z73" s="275">
        <v>1013</v>
      </c>
      <c r="AA73" s="275">
        <v>1131</v>
      </c>
      <c r="AB73" s="275">
        <v>1201</v>
      </c>
      <c r="AC73" s="275">
        <v>1169</v>
      </c>
      <c r="AD73" s="275">
        <v>1259</v>
      </c>
      <c r="AE73" s="275">
        <v>1360</v>
      </c>
      <c r="AF73" s="275">
        <v>1674</v>
      </c>
      <c r="AG73" s="275">
        <v>1454</v>
      </c>
      <c r="AH73" s="275">
        <v>1409</v>
      </c>
      <c r="AI73" s="275">
        <v>1223</v>
      </c>
      <c r="AJ73" s="275">
        <v>787</v>
      </c>
      <c r="AK73" s="275">
        <v>719</v>
      </c>
      <c r="AL73" s="275">
        <v>666</v>
      </c>
      <c r="AM73" s="275">
        <v>715</v>
      </c>
      <c r="AN73" s="275">
        <v>759</v>
      </c>
      <c r="AO73" s="275">
        <v>753</v>
      </c>
      <c r="AP73" s="275">
        <v>675</v>
      </c>
      <c r="AQ73" s="275">
        <v>711</v>
      </c>
      <c r="AR73" s="275">
        <v>726</v>
      </c>
      <c r="AS73" s="275">
        <v>772</v>
      </c>
      <c r="AT73" s="275">
        <v>766</v>
      </c>
      <c r="AU73" s="275">
        <v>708</v>
      </c>
      <c r="AV73" s="275">
        <v>812</v>
      </c>
      <c r="AW73" s="275">
        <v>812</v>
      </c>
      <c r="AX73" s="214">
        <v>812</v>
      </c>
      <c r="AY73" s="214">
        <v>839</v>
      </c>
      <c r="AZ73" s="275">
        <v>856</v>
      </c>
      <c r="BA73" s="275">
        <v>826</v>
      </c>
      <c r="BB73" s="275">
        <v>828</v>
      </c>
      <c r="BC73" s="275">
        <v>833</v>
      </c>
      <c r="BD73" s="275">
        <v>805</v>
      </c>
      <c r="BE73" s="275">
        <v>790</v>
      </c>
      <c r="BF73" s="275">
        <v>762</v>
      </c>
      <c r="BG73" s="275">
        <v>762</v>
      </c>
      <c r="BH73" s="275">
        <v>766</v>
      </c>
      <c r="BI73" s="275">
        <v>754</v>
      </c>
      <c r="BJ73" s="275">
        <v>748</v>
      </c>
      <c r="BK73" s="275">
        <v>745</v>
      </c>
      <c r="BL73" s="275">
        <v>738</v>
      </c>
      <c r="BM73" s="275">
        <v>754</v>
      </c>
      <c r="BN73" s="275">
        <v>754</v>
      </c>
      <c r="BO73" s="305">
        <v>754</v>
      </c>
      <c r="BP73" s="275">
        <v>745</v>
      </c>
      <c r="BQ73" s="275">
        <v>724</v>
      </c>
      <c r="BR73" s="275">
        <v>707</v>
      </c>
      <c r="BS73" s="305">
        <v>702</v>
      </c>
      <c r="BT73" s="305">
        <v>700</v>
      </c>
      <c r="BU73" s="214">
        <v>708</v>
      </c>
      <c r="BV73" s="214">
        <v>711</v>
      </c>
      <c r="BW73" s="178"/>
    </row>
    <row r="74" spans="1:75 16384:16384">
      <c r="A74" s="178" t="str">
        <f t="shared" si="18"/>
        <v>PropyleneUSD</v>
      </c>
      <c r="B74" s="178" t="s">
        <v>113</v>
      </c>
      <c r="C74" s="178" t="s">
        <v>114</v>
      </c>
      <c r="D74" s="178" t="s">
        <v>33</v>
      </c>
      <c r="E74" s="178"/>
      <c r="F74" s="216">
        <v>950</v>
      </c>
      <c r="G74" s="216">
        <v>810</v>
      </c>
      <c r="H74" s="216">
        <v>780</v>
      </c>
      <c r="I74" s="216">
        <v>560</v>
      </c>
      <c r="J74" s="216">
        <v>680</v>
      </c>
      <c r="K74" s="216">
        <v>720</v>
      </c>
      <c r="L74" s="216">
        <v>780</v>
      </c>
      <c r="M74" s="216">
        <v>780</v>
      </c>
      <c r="N74" s="216">
        <v>850</v>
      </c>
      <c r="O74" s="216">
        <v>860</v>
      </c>
      <c r="P74" s="216">
        <v>850</v>
      </c>
      <c r="Q74" s="216">
        <v>940</v>
      </c>
      <c r="R74" s="216">
        <v>920</v>
      </c>
      <c r="S74" s="216">
        <v>930</v>
      </c>
      <c r="T74" s="216">
        <v>1150</v>
      </c>
      <c r="U74" s="216">
        <v>1060</v>
      </c>
      <c r="V74" s="216">
        <v>1090</v>
      </c>
      <c r="W74" s="216">
        <v>920</v>
      </c>
      <c r="X74" s="216">
        <v>940</v>
      </c>
      <c r="Y74" s="216">
        <v>940</v>
      </c>
      <c r="Z74" s="216">
        <v>940</v>
      </c>
      <c r="AA74" s="216">
        <v>1020</v>
      </c>
      <c r="AB74" s="216">
        <v>960</v>
      </c>
      <c r="AC74" s="216">
        <v>900</v>
      </c>
      <c r="AD74" s="216">
        <v>950</v>
      </c>
      <c r="AE74" s="216">
        <v>1200</v>
      </c>
      <c r="AF74" s="216">
        <v>1320</v>
      </c>
      <c r="AG74" s="216">
        <v>1290</v>
      </c>
      <c r="AH74" s="216">
        <v>1200</v>
      </c>
      <c r="AI74" s="216">
        <v>1040</v>
      </c>
      <c r="AJ74" s="216">
        <v>950</v>
      </c>
      <c r="AK74" s="216">
        <v>890</v>
      </c>
      <c r="AL74" s="216">
        <v>890</v>
      </c>
      <c r="AM74" s="216">
        <v>890</v>
      </c>
      <c r="AN74" s="216">
        <v>850</v>
      </c>
      <c r="AO74" s="216">
        <v>880</v>
      </c>
      <c r="AP74" s="216">
        <v>880</v>
      </c>
      <c r="AQ74" s="216">
        <v>980</v>
      </c>
      <c r="AR74" s="216">
        <v>920</v>
      </c>
      <c r="AS74" s="216">
        <v>940</v>
      </c>
      <c r="AT74" s="216">
        <v>890</v>
      </c>
      <c r="AU74" s="216">
        <v>750</v>
      </c>
      <c r="AV74" s="216">
        <v>730</v>
      </c>
      <c r="AW74" s="216">
        <v>730</v>
      </c>
      <c r="AX74" s="214">
        <v>754</v>
      </c>
      <c r="AY74" s="214">
        <v>778</v>
      </c>
      <c r="AZ74" s="214">
        <v>785</v>
      </c>
      <c r="BA74" s="214">
        <v>825</v>
      </c>
      <c r="BB74" s="214">
        <v>854</v>
      </c>
      <c r="BC74" s="214">
        <v>854</v>
      </c>
      <c r="BD74" s="214">
        <v>842</v>
      </c>
      <c r="BE74" s="214">
        <v>830</v>
      </c>
      <c r="BF74" s="214">
        <v>814</v>
      </c>
      <c r="BG74" s="214">
        <v>805</v>
      </c>
      <c r="BH74" s="214">
        <v>805</v>
      </c>
      <c r="BI74" s="214">
        <v>799</v>
      </c>
      <c r="BJ74" s="214">
        <v>799</v>
      </c>
      <c r="BK74" s="214">
        <v>794</v>
      </c>
      <c r="BL74" s="214">
        <v>794</v>
      </c>
      <c r="BM74" s="214">
        <v>799</v>
      </c>
      <c r="BN74" s="214">
        <v>799</v>
      </c>
      <c r="BO74" s="300">
        <v>804</v>
      </c>
      <c r="BP74" s="214">
        <v>799</v>
      </c>
      <c r="BQ74" s="214">
        <v>799</v>
      </c>
      <c r="BR74" s="214">
        <v>798</v>
      </c>
      <c r="BS74" s="300">
        <v>804</v>
      </c>
      <c r="BT74" s="300">
        <v>838</v>
      </c>
      <c r="BU74" s="214">
        <v>920</v>
      </c>
      <c r="BV74" s="214">
        <v>940</v>
      </c>
      <c r="BW74" s="178"/>
    </row>
    <row r="75" spans="1:75 16384:16384">
      <c r="A75" s="178" t="str">
        <f t="shared" si="18"/>
        <v>propylene OxideUSD</v>
      </c>
      <c r="B75" s="178" t="s">
        <v>46</v>
      </c>
      <c r="C75" s="178" t="s">
        <v>115</v>
      </c>
      <c r="D75" s="178" t="s">
        <v>33</v>
      </c>
      <c r="E75" s="178" t="s">
        <v>32</v>
      </c>
      <c r="F75" s="216"/>
      <c r="G75" s="216"/>
      <c r="H75" s="216"/>
      <c r="I75" s="216"/>
      <c r="J75" s="216"/>
      <c r="K75" s="216"/>
      <c r="L75" s="216"/>
      <c r="M75" s="216"/>
      <c r="N75" s="216"/>
      <c r="O75" s="216"/>
      <c r="P75" s="216"/>
      <c r="Q75" s="216"/>
      <c r="R75" s="216"/>
      <c r="S75" s="216"/>
      <c r="T75" s="216"/>
      <c r="U75" s="216">
        <v>2285</v>
      </c>
      <c r="V75" s="216">
        <v>2283.75</v>
      </c>
      <c r="W75" s="216">
        <v>1775</v>
      </c>
      <c r="X75" s="216">
        <v>1916</v>
      </c>
      <c r="Y75" s="216">
        <v>2067.5</v>
      </c>
      <c r="Z75" s="216">
        <v>2128.75</v>
      </c>
      <c r="AA75" s="216">
        <v>2226</v>
      </c>
      <c r="AB75" s="216">
        <v>1985</v>
      </c>
      <c r="AC75" s="216">
        <v>1752.5</v>
      </c>
      <c r="AD75" s="216">
        <v>1358.75</v>
      </c>
      <c r="AE75" s="216">
        <v>1408.3330000000001</v>
      </c>
      <c r="AF75" s="216">
        <v>1496.25</v>
      </c>
      <c r="AG75" s="216">
        <v>1412.5</v>
      </c>
      <c r="AH75" s="216">
        <v>1336.875</v>
      </c>
      <c r="AI75" s="216">
        <v>1291.875</v>
      </c>
      <c r="AJ75" s="216">
        <v>1148</v>
      </c>
      <c r="AK75" s="216">
        <v>1025</v>
      </c>
      <c r="AL75" s="216">
        <v>1120</v>
      </c>
      <c r="AM75" s="216">
        <v>1120.8330000000001</v>
      </c>
      <c r="AN75" s="216">
        <v>1025</v>
      </c>
      <c r="AO75" s="216">
        <v>1015.625</v>
      </c>
      <c r="AP75" s="216">
        <v>1012.5</v>
      </c>
      <c r="AQ75" s="216">
        <v>1115.625</v>
      </c>
      <c r="AR75" s="216">
        <v>1380</v>
      </c>
      <c r="AS75" s="216">
        <v>1175</v>
      </c>
      <c r="AT75" s="216">
        <v>1165</v>
      </c>
      <c r="AU75" s="216">
        <v>1125</v>
      </c>
      <c r="AV75" s="216">
        <v>950</v>
      </c>
      <c r="AW75" s="216">
        <v>950</v>
      </c>
      <c r="AX75" s="214">
        <v>950</v>
      </c>
      <c r="AY75" s="214">
        <v>975</v>
      </c>
      <c r="AZ75" s="214">
        <v>975</v>
      </c>
      <c r="BA75" s="214">
        <v>995</v>
      </c>
      <c r="BB75" s="214">
        <v>995</v>
      </c>
      <c r="BC75" s="214">
        <v>982</v>
      </c>
      <c r="BD75" s="214">
        <v>982</v>
      </c>
      <c r="BE75" s="214">
        <v>982</v>
      </c>
      <c r="BF75" s="214">
        <v>1025</v>
      </c>
      <c r="BG75" s="214">
        <v>1025</v>
      </c>
      <c r="BH75" s="214">
        <v>1025</v>
      </c>
      <c r="BI75" s="214">
        <v>1052.5</v>
      </c>
      <c r="BJ75" s="214">
        <v>960</v>
      </c>
      <c r="BK75" s="214">
        <v>940</v>
      </c>
      <c r="BL75" s="214">
        <v>940</v>
      </c>
      <c r="BM75" s="214">
        <v>935</v>
      </c>
      <c r="BN75" s="214">
        <v>935</v>
      </c>
      <c r="BO75" s="300">
        <v>950</v>
      </c>
      <c r="BP75" s="214">
        <v>950</v>
      </c>
      <c r="BQ75" s="214">
        <v>940</v>
      </c>
      <c r="BR75" s="313">
        <v>930</v>
      </c>
      <c r="BS75" s="313">
        <v>940</v>
      </c>
      <c r="BT75" s="313">
        <v>940</v>
      </c>
      <c r="BU75" s="214">
        <v>1000</v>
      </c>
      <c r="BV75" s="214">
        <v>1000</v>
      </c>
      <c r="BW75" s="178"/>
    </row>
    <row r="76" spans="1:75 16384:16384">
      <c r="A76" s="178" t="str">
        <f t="shared" si="18"/>
        <v>Aniline-CHINARMB</v>
      </c>
      <c r="B76" s="178" t="s">
        <v>29</v>
      </c>
      <c r="C76" s="178" t="s">
        <v>116</v>
      </c>
      <c r="D76" s="178" t="s">
        <v>31</v>
      </c>
      <c r="E76" s="178" t="s">
        <v>32</v>
      </c>
      <c r="F76" s="216">
        <v>6500</v>
      </c>
      <c r="G76" s="216">
        <v>6500</v>
      </c>
      <c r="H76" s="216">
        <v>6666.67</v>
      </c>
      <c r="I76" s="216">
        <v>5633.33</v>
      </c>
      <c r="J76" s="216">
        <v>4800</v>
      </c>
      <c r="K76" s="216">
        <v>4433.33</v>
      </c>
      <c r="L76" s="216">
        <v>4366.67</v>
      </c>
      <c r="M76" s="216">
        <v>4300</v>
      </c>
      <c r="N76" s="216">
        <v>4333.33</v>
      </c>
      <c r="O76" s="216">
        <v>5300</v>
      </c>
      <c r="P76" s="216">
        <v>6999.9979999999996</v>
      </c>
      <c r="Q76" s="216">
        <v>7747.915</v>
      </c>
      <c r="R76" s="216">
        <v>7900</v>
      </c>
      <c r="S76" s="216">
        <v>9733.33</v>
      </c>
      <c r="T76" s="216">
        <v>12913</v>
      </c>
      <c r="U76" s="216">
        <v>11012</v>
      </c>
      <c r="V76" s="216">
        <v>10945</v>
      </c>
      <c r="W76" s="216">
        <v>9600</v>
      </c>
      <c r="X76" s="216">
        <v>10092</v>
      </c>
      <c r="Y76" s="216">
        <v>10695</v>
      </c>
      <c r="Z76" s="216">
        <v>10932</v>
      </c>
      <c r="AA76" s="216">
        <v>13237</v>
      </c>
      <c r="AB76" s="216">
        <v>13198</v>
      </c>
      <c r="AC76" s="216">
        <v>9557</v>
      </c>
      <c r="AD76" s="216">
        <v>11103</v>
      </c>
      <c r="AE76" s="216">
        <v>13104</v>
      </c>
      <c r="AF76" s="216">
        <v>12693</v>
      </c>
      <c r="AG76" s="216">
        <v>11873</v>
      </c>
      <c r="AH76" s="216">
        <v>10833</v>
      </c>
      <c r="AI76" s="216">
        <v>11809</v>
      </c>
      <c r="AJ76" s="216">
        <v>11648</v>
      </c>
      <c r="AK76" s="216">
        <v>10329</v>
      </c>
      <c r="AL76" s="216">
        <v>12194</v>
      </c>
      <c r="AM76" s="216">
        <v>13117</v>
      </c>
      <c r="AN76" s="216">
        <v>11597</v>
      </c>
      <c r="AO76" s="216">
        <v>10195</v>
      </c>
      <c r="AP76" s="216">
        <v>9853</v>
      </c>
      <c r="AQ76" s="216">
        <v>12200</v>
      </c>
      <c r="AR76" s="216">
        <v>13075</v>
      </c>
      <c r="AS76" s="216">
        <v>10775</v>
      </c>
      <c r="AT76" s="216">
        <v>11275</v>
      </c>
      <c r="AU76" s="216">
        <v>10913</v>
      </c>
      <c r="AV76" s="216">
        <v>9475</v>
      </c>
      <c r="AW76" s="216">
        <v>9475</v>
      </c>
      <c r="AX76" s="214">
        <v>9813</v>
      </c>
      <c r="AY76" s="214">
        <v>9863</v>
      </c>
      <c r="AZ76" s="214">
        <v>10725</v>
      </c>
      <c r="BA76" s="214">
        <v>11142</v>
      </c>
      <c r="BB76" s="214">
        <v>11292</v>
      </c>
      <c r="BC76" s="214">
        <v>11167</v>
      </c>
      <c r="BD76" s="214">
        <v>12025</v>
      </c>
      <c r="BE76" s="214">
        <v>13275</v>
      </c>
      <c r="BF76" s="214">
        <v>13275</v>
      </c>
      <c r="BG76" s="214">
        <v>13725</v>
      </c>
      <c r="BH76" s="214">
        <v>13725</v>
      </c>
      <c r="BI76" s="214">
        <v>13725</v>
      </c>
      <c r="BJ76" s="214">
        <v>11525</v>
      </c>
      <c r="BK76" s="214">
        <v>11525</v>
      </c>
      <c r="BL76" s="214">
        <v>11850</v>
      </c>
      <c r="BM76" s="214">
        <v>12750</v>
      </c>
      <c r="BN76" s="214">
        <v>12750</v>
      </c>
      <c r="BO76" s="300">
        <v>12750</v>
      </c>
      <c r="BP76" s="214">
        <v>11100</v>
      </c>
      <c r="BQ76" s="214">
        <v>10600</v>
      </c>
      <c r="BR76" s="214">
        <v>10462</v>
      </c>
      <c r="BS76" s="300">
        <v>10937.5</v>
      </c>
      <c r="BT76" s="300">
        <v>11012.5</v>
      </c>
      <c r="BU76" s="214">
        <v>10337.5</v>
      </c>
      <c r="BV76" s="214">
        <v>10362.5</v>
      </c>
      <c r="BW76" s="178"/>
    </row>
    <row r="77" spans="1:75 16384:16384">
      <c r="A77" s="178" t="str">
        <f t="shared" si="18"/>
        <v>MEKUSD</v>
      </c>
      <c r="B77" s="178" t="s">
        <v>46</v>
      </c>
      <c r="C77" s="178" t="s">
        <v>117</v>
      </c>
      <c r="D77" s="178" t="s">
        <v>33</v>
      </c>
      <c r="E77" s="178" t="s">
        <v>32</v>
      </c>
      <c r="F77" s="216">
        <v>1117</v>
      </c>
      <c r="G77" s="216">
        <v>1098.125</v>
      </c>
      <c r="H77" s="216">
        <v>1021.875</v>
      </c>
      <c r="I77" s="216">
        <v>885</v>
      </c>
      <c r="J77" s="216">
        <v>818.5</v>
      </c>
      <c r="K77" s="216">
        <v>868.125</v>
      </c>
      <c r="L77" s="216">
        <v>844</v>
      </c>
      <c r="M77" s="216">
        <v>810</v>
      </c>
      <c r="N77" s="216">
        <v>827.5</v>
      </c>
      <c r="O77" s="216">
        <v>855</v>
      </c>
      <c r="P77" s="216">
        <v>986.25</v>
      </c>
      <c r="Q77" s="216">
        <v>1127.5</v>
      </c>
      <c r="R77" s="216">
        <v>1078.75</v>
      </c>
      <c r="S77" s="216">
        <v>1089</v>
      </c>
      <c r="T77" s="216">
        <v>1223</v>
      </c>
      <c r="U77" s="216">
        <v>1208</v>
      </c>
      <c r="V77" s="216">
        <v>1232.5</v>
      </c>
      <c r="W77" s="216">
        <v>1167.5</v>
      </c>
      <c r="X77" s="216">
        <v>1254</v>
      </c>
      <c r="Y77" s="216">
        <v>1325</v>
      </c>
      <c r="Z77" s="216">
        <v>1311</v>
      </c>
      <c r="AA77" s="216">
        <v>1455</v>
      </c>
      <c r="AB77" s="216">
        <v>1600</v>
      </c>
      <c r="AC77" s="216">
        <v>1657.5</v>
      </c>
      <c r="AD77" s="216">
        <v>1790</v>
      </c>
      <c r="AE77" s="216">
        <v>1895</v>
      </c>
      <c r="AF77" s="216">
        <v>2007.5</v>
      </c>
      <c r="AG77" s="216">
        <v>2162</v>
      </c>
      <c r="AH77" s="216">
        <v>1917.5</v>
      </c>
      <c r="AI77" s="216">
        <v>1706.25</v>
      </c>
      <c r="AJ77" s="216">
        <v>1489</v>
      </c>
      <c r="AK77" s="216">
        <v>1226.875</v>
      </c>
      <c r="AL77" s="216">
        <v>1279</v>
      </c>
      <c r="AM77" s="216">
        <v>1240</v>
      </c>
      <c r="AN77" s="216">
        <v>1165</v>
      </c>
      <c r="AO77" s="216">
        <v>1115</v>
      </c>
      <c r="AP77" s="216">
        <v>1125</v>
      </c>
      <c r="AQ77" s="216">
        <v>1324.37</v>
      </c>
      <c r="AR77" s="216">
        <v>1185</v>
      </c>
      <c r="AS77" s="216">
        <v>1157</v>
      </c>
      <c r="AT77" s="216">
        <v>1075</v>
      </c>
      <c r="AU77" s="216">
        <v>925</v>
      </c>
      <c r="AV77" s="216">
        <v>935</v>
      </c>
      <c r="AW77" s="216">
        <v>935</v>
      </c>
      <c r="AX77" s="214">
        <v>935</v>
      </c>
      <c r="AY77" s="214">
        <v>935</v>
      </c>
      <c r="AZ77" s="214">
        <v>955</v>
      </c>
      <c r="BA77" s="214">
        <v>975</v>
      </c>
      <c r="BB77" s="214">
        <v>955</v>
      </c>
      <c r="BC77" s="214">
        <v>975</v>
      </c>
      <c r="BD77" s="214">
        <v>985</v>
      </c>
      <c r="BE77" s="214">
        <v>1025</v>
      </c>
      <c r="BF77" s="214">
        <v>1045</v>
      </c>
      <c r="BG77" s="214">
        <v>1070</v>
      </c>
      <c r="BH77" s="214">
        <v>1070</v>
      </c>
      <c r="BI77" s="214">
        <v>1070</v>
      </c>
      <c r="BJ77" s="214">
        <v>1070</v>
      </c>
      <c r="BK77" s="214">
        <v>1070</v>
      </c>
      <c r="BL77" s="214">
        <v>1040</v>
      </c>
      <c r="BM77" s="214">
        <v>1030</v>
      </c>
      <c r="BN77" s="214">
        <v>1030</v>
      </c>
      <c r="BO77" s="300">
        <v>985</v>
      </c>
      <c r="BP77" s="214">
        <v>990</v>
      </c>
      <c r="BQ77" s="214">
        <v>990</v>
      </c>
      <c r="BR77" s="313">
        <v>990</v>
      </c>
      <c r="BS77" s="313">
        <v>1000</v>
      </c>
      <c r="BT77" s="300">
        <v>1000</v>
      </c>
      <c r="BU77" s="214">
        <v>1035</v>
      </c>
      <c r="BV77" s="214">
        <v>1035</v>
      </c>
      <c r="BW77" s="178"/>
    </row>
    <row r="78" spans="1:75 16384:16384">
      <c r="A78" s="178" t="str">
        <f t="shared" si="18"/>
        <v>IPAUSD</v>
      </c>
      <c r="B78" s="178" t="s">
        <v>46</v>
      </c>
      <c r="C78" s="178" t="s">
        <v>118</v>
      </c>
      <c r="D78" s="178" t="s">
        <v>33</v>
      </c>
      <c r="E78" s="178" t="s">
        <v>32</v>
      </c>
      <c r="F78" s="216">
        <v>802.5</v>
      </c>
      <c r="G78" s="216">
        <v>886.25</v>
      </c>
      <c r="H78" s="216">
        <v>890</v>
      </c>
      <c r="I78" s="216">
        <v>1325</v>
      </c>
      <c r="J78" s="216">
        <v>1370</v>
      </c>
      <c r="K78" s="216">
        <v>1328.75</v>
      </c>
      <c r="L78" s="216">
        <v>1252.5</v>
      </c>
      <c r="M78" s="216">
        <v>1072.5</v>
      </c>
      <c r="N78" s="216">
        <v>1026.875</v>
      </c>
      <c r="O78" s="216">
        <v>1003</v>
      </c>
      <c r="P78" s="216">
        <v>1115</v>
      </c>
      <c r="Q78" s="216">
        <v>1256.25</v>
      </c>
      <c r="R78" s="216">
        <v>1112.5</v>
      </c>
      <c r="S78" s="216">
        <v>1140</v>
      </c>
      <c r="T78" s="216">
        <v>1264</v>
      </c>
      <c r="U78" s="216">
        <v>1282</v>
      </c>
      <c r="V78" s="216">
        <v>1261.875</v>
      </c>
      <c r="W78" s="216">
        <v>1055</v>
      </c>
      <c r="X78" s="216">
        <v>970</v>
      </c>
      <c r="Y78" s="216">
        <v>980</v>
      </c>
      <c r="Z78" s="216">
        <v>1062</v>
      </c>
      <c r="AA78" s="216">
        <v>1176</v>
      </c>
      <c r="AB78" s="216">
        <v>1228.75</v>
      </c>
      <c r="AC78" s="216">
        <v>1096.25</v>
      </c>
      <c r="AD78" s="216">
        <v>1082.5</v>
      </c>
      <c r="AE78" s="216">
        <v>1123.75</v>
      </c>
      <c r="AF78" s="216">
        <v>1201.875</v>
      </c>
      <c r="AG78" s="216">
        <v>1190</v>
      </c>
      <c r="AH78" s="216">
        <v>1123.75</v>
      </c>
      <c r="AI78" s="216">
        <v>1098.75</v>
      </c>
      <c r="AJ78" s="216">
        <v>1007</v>
      </c>
      <c r="AK78" s="216">
        <v>876.25</v>
      </c>
      <c r="AL78" s="216">
        <v>960</v>
      </c>
      <c r="AM78" s="216">
        <v>1005</v>
      </c>
      <c r="AN78" s="216">
        <v>970</v>
      </c>
      <c r="AO78" s="216">
        <v>915</v>
      </c>
      <c r="AP78" s="216">
        <v>925</v>
      </c>
      <c r="AQ78" s="216">
        <v>975.62</v>
      </c>
      <c r="AR78" s="216">
        <v>995</v>
      </c>
      <c r="AS78" s="216">
        <v>1010</v>
      </c>
      <c r="AT78" s="216">
        <v>1002</v>
      </c>
      <c r="AU78" s="216">
        <v>940</v>
      </c>
      <c r="AV78" s="216">
        <v>940</v>
      </c>
      <c r="AW78" s="216">
        <v>940</v>
      </c>
      <c r="AX78" s="214">
        <v>900</v>
      </c>
      <c r="AY78" s="214">
        <v>960</v>
      </c>
      <c r="AZ78" s="214">
        <v>995</v>
      </c>
      <c r="BA78" s="214">
        <v>1015</v>
      </c>
      <c r="BB78" s="214">
        <v>1020</v>
      </c>
      <c r="BC78" s="214">
        <v>1020</v>
      </c>
      <c r="BD78" s="214">
        <v>1020</v>
      </c>
      <c r="BE78" s="214">
        <v>1075</v>
      </c>
      <c r="BF78" s="214">
        <v>1130</v>
      </c>
      <c r="BG78" s="214">
        <v>1175</v>
      </c>
      <c r="BH78" s="214">
        <v>1175</v>
      </c>
      <c r="BI78" s="214">
        <v>1175</v>
      </c>
      <c r="BJ78" s="214">
        <v>1165</v>
      </c>
      <c r="BK78" s="214">
        <v>1155</v>
      </c>
      <c r="BL78" s="214">
        <v>1150</v>
      </c>
      <c r="BM78" s="214">
        <v>1130</v>
      </c>
      <c r="BN78" s="214">
        <v>1130</v>
      </c>
      <c r="BO78" s="300">
        <v>1110</v>
      </c>
      <c r="BP78" s="214">
        <v>1115</v>
      </c>
      <c r="BQ78" s="214">
        <v>1125</v>
      </c>
      <c r="BR78" s="300">
        <v>1115</v>
      </c>
      <c r="BS78" s="300">
        <v>1115</v>
      </c>
      <c r="BT78" s="300">
        <v>1115</v>
      </c>
      <c r="BU78" s="214">
        <v>1135</v>
      </c>
      <c r="BV78" s="214">
        <v>1135</v>
      </c>
      <c r="BW78" s="178"/>
    </row>
    <row r="79" spans="1:75 16384:16384" ht="24">
      <c r="A79" s="178" t="str">
        <f t="shared" si="18"/>
        <v>PULG USD</v>
      </c>
      <c r="B79" s="273" t="s">
        <v>119</v>
      </c>
      <c r="C79" s="178" t="s">
        <v>120</v>
      </c>
      <c r="D79" s="178" t="s">
        <v>33</v>
      </c>
      <c r="E79" s="178" t="s">
        <v>32</v>
      </c>
      <c r="F79" s="276">
        <v>594.89</v>
      </c>
      <c r="G79" s="276">
        <v>538.11</v>
      </c>
      <c r="H79" s="276">
        <v>297.07</v>
      </c>
      <c r="I79" s="276">
        <v>188.45</v>
      </c>
      <c r="J79" s="276">
        <v>275.13</v>
      </c>
      <c r="K79" s="276">
        <v>373.76</v>
      </c>
      <c r="L79" s="276">
        <v>405.74</v>
      </c>
      <c r="M79" s="276">
        <v>411.625</v>
      </c>
      <c r="N79" s="276">
        <v>396.89</v>
      </c>
      <c r="O79" s="276">
        <v>392.51</v>
      </c>
      <c r="P79" s="276">
        <v>387.68</v>
      </c>
      <c r="Q79" s="276">
        <v>439.87</v>
      </c>
      <c r="R79" s="276">
        <v>501.33800000000002</v>
      </c>
      <c r="S79" s="276">
        <v>566.69000000000005</v>
      </c>
      <c r="T79" s="277">
        <v>627</v>
      </c>
      <c r="U79" s="277">
        <v>638.17999999999995</v>
      </c>
      <c r="V79" s="277">
        <v>663.89</v>
      </c>
      <c r="W79" s="277">
        <v>699.5</v>
      </c>
      <c r="X79" s="277">
        <v>735.47</v>
      </c>
      <c r="Y79" s="277">
        <v>722.64</v>
      </c>
      <c r="Z79" s="277">
        <v>742.125</v>
      </c>
      <c r="AA79" s="277">
        <v>830.976</v>
      </c>
      <c r="AB79" s="277">
        <v>793.81</v>
      </c>
      <c r="AC79" s="277">
        <v>726.85</v>
      </c>
      <c r="AD79" s="277">
        <v>826.73</v>
      </c>
      <c r="AE79" s="277">
        <v>928.34</v>
      </c>
      <c r="AF79" s="277">
        <v>1114.56</v>
      </c>
      <c r="AG79" s="277">
        <v>1078.78</v>
      </c>
      <c r="AH79" s="277">
        <v>1328.5</v>
      </c>
      <c r="AI79" s="277">
        <v>1473.09</v>
      </c>
      <c r="AJ79" s="277">
        <v>1211.1400000000001</v>
      </c>
      <c r="AK79" s="277">
        <v>1031.6600000000001</v>
      </c>
      <c r="AL79" s="277">
        <v>917.17</v>
      </c>
      <c r="AM79" s="277">
        <v>1021.45</v>
      </c>
      <c r="AN79" s="277">
        <v>1021</v>
      </c>
      <c r="AO79" s="277">
        <v>938</v>
      </c>
      <c r="AP79" s="277">
        <v>814</v>
      </c>
      <c r="AQ79" s="277">
        <v>925.93</v>
      </c>
      <c r="AR79" s="277">
        <v>907.26</v>
      </c>
      <c r="AS79" s="277">
        <v>915.52</v>
      </c>
      <c r="AT79" s="277">
        <v>949.32</v>
      </c>
      <c r="AU79" s="178">
        <v>874.83</v>
      </c>
      <c r="AV79" s="178">
        <v>874.83</v>
      </c>
      <c r="AW79" s="178">
        <v>874.83</v>
      </c>
      <c r="AX79" s="214">
        <v>874.83</v>
      </c>
      <c r="AY79" s="214">
        <v>874.83</v>
      </c>
      <c r="AZ79" s="214">
        <v>923.79</v>
      </c>
      <c r="BA79" s="214">
        <v>923.79</v>
      </c>
      <c r="BB79" s="214">
        <v>923.79</v>
      </c>
      <c r="BC79" s="214">
        <v>923.79</v>
      </c>
      <c r="BD79" s="214">
        <v>1021.69</v>
      </c>
      <c r="BE79" s="214">
        <v>1021.69</v>
      </c>
      <c r="BF79" s="214">
        <v>1021.69</v>
      </c>
      <c r="BG79" s="214">
        <v>1021.69</v>
      </c>
      <c r="BH79" s="214">
        <v>1003.57</v>
      </c>
      <c r="BI79" s="214">
        <v>1003.57</v>
      </c>
      <c r="BJ79" s="214">
        <v>1003.57</v>
      </c>
      <c r="BK79" s="214">
        <v>1003.57</v>
      </c>
      <c r="BL79" s="214">
        <v>888.9</v>
      </c>
      <c r="BM79" s="214">
        <v>888.9</v>
      </c>
      <c r="BN79" s="214">
        <v>888.9</v>
      </c>
      <c r="BO79" s="300">
        <v>888.9</v>
      </c>
      <c r="BP79" s="214">
        <v>840.56</v>
      </c>
      <c r="BQ79" s="214">
        <v>840.56</v>
      </c>
      <c r="BR79" s="174">
        <v>840.56</v>
      </c>
      <c r="BS79" s="300">
        <v>840.56</v>
      </c>
      <c r="BT79" s="300">
        <v>787.19</v>
      </c>
      <c r="BU79" s="300">
        <v>787.19</v>
      </c>
      <c r="BV79" s="300">
        <v>787.19</v>
      </c>
      <c r="BW79" s="300">
        <v>787.19</v>
      </c>
      <c r="XFD79" s="178"/>
    </row>
    <row r="80" spans="1:75 16384:16384">
      <c r="A80" s="178" t="str">
        <f t="shared" si="18"/>
        <v>Ethylene used by clariantUSD</v>
      </c>
      <c r="B80" s="178"/>
      <c r="C80" s="178" t="s">
        <v>121</v>
      </c>
      <c r="D80" s="178" t="s">
        <v>33</v>
      </c>
      <c r="E80" s="178" t="s">
        <v>32</v>
      </c>
      <c r="F80" s="178">
        <v>970</v>
      </c>
      <c r="G80" s="178">
        <v>970</v>
      </c>
      <c r="H80" s="178">
        <v>920</v>
      </c>
      <c r="I80" s="178">
        <v>720</v>
      </c>
      <c r="J80" s="178">
        <v>620</v>
      </c>
      <c r="K80" s="178">
        <v>680</v>
      </c>
      <c r="L80" s="178">
        <v>764</v>
      </c>
      <c r="M80" s="178">
        <v>785</v>
      </c>
      <c r="N80" s="178">
        <v>785</v>
      </c>
      <c r="O80" s="178">
        <v>775</v>
      </c>
      <c r="P80" s="178">
        <v>775</v>
      </c>
      <c r="Q80" s="178">
        <v>795</v>
      </c>
      <c r="R80" s="178">
        <v>860</v>
      </c>
      <c r="S80" s="178">
        <v>930</v>
      </c>
      <c r="T80" s="178">
        <v>1005</v>
      </c>
      <c r="U80" s="178">
        <v>1045</v>
      </c>
      <c r="V80" s="178">
        <v>1050</v>
      </c>
      <c r="W80" s="178">
        <v>1080</v>
      </c>
      <c r="X80" s="178">
        <v>1120</v>
      </c>
      <c r="Y80" s="178">
        <v>1173</v>
      </c>
      <c r="Z80" s="178">
        <v>1165</v>
      </c>
      <c r="AA80" s="178">
        <v>1190</v>
      </c>
      <c r="AB80" s="178">
        <v>1282.5</v>
      </c>
      <c r="AC80" s="178">
        <v>1272.5</v>
      </c>
      <c r="AD80" s="178">
        <v>1272.5</v>
      </c>
      <c r="AE80" s="178">
        <v>1340</v>
      </c>
      <c r="AF80" s="178">
        <v>1435</v>
      </c>
      <c r="AG80" s="178">
        <v>1665</v>
      </c>
      <c r="AH80" s="178">
        <v>1595</v>
      </c>
      <c r="AI80" s="178">
        <v>1595</v>
      </c>
      <c r="AJ80" s="178">
        <v>1495</v>
      </c>
      <c r="AK80" s="178">
        <v>1425</v>
      </c>
      <c r="AL80" s="178">
        <v>1305</v>
      </c>
      <c r="AM80" s="178">
        <v>1260</v>
      </c>
      <c r="AN80" s="178">
        <v>1295</v>
      </c>
      <c r="AO80" s="178">
        <v>1270</v>
      </c>
      <c r="AP80" s="178">
        <v>1175</v>
      </c>
      <c r="AQ80" s="178">
        <v>1260</v>
      </c>
      <c r="AR80" s="178">
        <v>1290</v>
      </c>
      <c r="AS80" s="178">
        <v>1250</v>
      </c>
      <c r="AT80" s="178">
        <v>1240</v>
      </c>
      <c r="AU80" s="178">
        <v>1160</v>
      </c>
      <c r="AV80" s="178">
        <v>1120</v>
      </c>
      <c r="AW80" s="178">
        <v>1120</v>
      </c>
      <c r="AX80" s="214">
        <v>1120</v>
      </c>
      <c r="AY80" s="214">
        <v>1120</v>
      </c>
      <c r="AZ80" s="214">
        <v>1120</v>
      </c>
      <c r="BA80" s="214">
        <v>1120</v>
      </c>
      <c r="BB80" s="214">
        <v>1120</v>
      </c>
      <c r="BC80" s="214">
        <v>1120</v>
      </c>
      <c r="BD80" s="214">
        <v>1195</v>
      </c>
      <c r="BE80" s="214">
        <v>1195</v>
      </c>
      <c r="BF80" s="214">
        <v>1195</v>
      </c>
      <c r="BG80" s="214">
        <v>1195</v>
      </c>
      <c r="BH80" s="214">
        <v>1260</v>
      </c>
      <c r="BI80" s="214">
        <v>1260</v>
      </c>
      <c r="BJ80" s="214">
        <v>1260</v>
      </c>
      <c r="BK80" s="214">
        <v>1260</v>
      </c>
      <c r="BL80" s="214">
        <v>1215</v>
      </c>
      <c r="BM80" s="214">
        <v>1215</v>
      </c>
      <c r="BN80" s="214">
        <v>1215</v>
      </c>
      <c r="BO80" s="300">
        <v>1215</v>
      </c>
      <c r="BP80" s="214">
        <v>1215</v>
      </c>
      <c r="BQ80" s="214">
        <v>1185</v>
      </c>
      <c r="BR80" s="214">
        <v>1185</v>
      </c>
      <c r="BS80" s="300">
        <v>1185</v>
      </c>
      <c r="BT80" s="300">
        <v>1185</v>
      </c>
      <c r="BU80" s="300">
        <v>1185</v>
      </c>
      <c r="BV80" s="300">
        <v>1185</v>
      </c>
      <c r="BW80" s="178"/>
    </row>
    <row r="81" spans="1:75 16384:16384">
      <c r="A81" s="178" t="str">
        <f t="shared" si="18"/>
        <v>vam used by clariantUSD</v>
      </c>
      <c r="B81" s="178"/>
      <c r="C81" s="178" t="s">
        <v>122</v>
      </c>
      <c r="D81" s="178" t="s">
        <v>33</v>
      </c>
      <c r="E81" s="178" t="s">
        <v>32</v>
      </c>
      <c r="F81" s="178">
        <v>1130</v>
      </c>
      <c r="G81" s="178">
        <v>1110</v>
      </c>
      <c r="H81" s="178">
        <v>1090</v>
      </c>
      <c r="I81" s="178">
        <v>1040</v>
      </c>
      <c r="J81" s="178">
        <v>975</v>
      </c>
      <c r="K81" s="178">
        <v>925</v>
      </c>
      <c r="L81" s="178">
        <v>905</v>
      </c>
      <c r="M81" s="178">
        <v>935</v>
      </c>
      <c r="N81" s="178">
        <v>960</v>
      </c>
      <c r="O81" s="178">
        <v>1030</v>
      </c>
      <c r="P81" s="178">
        <v>1060</v>
      </c>
      <c r="Q81" s="178">
        <v>1070</v>
      </c>
      <c r="R81" s="178">
        <v>1165</v>
      </c>
      <c r="S81" s="178">
        <v>1265</v>
      </c>
      <c r="T81" s="178">
        <v>1855</v>
      </c>
      <c r="U81" s="178">
        <v>2525</v>
      </c>
      <c r="V81" s="178">
        <v>2700</v>
      </c>
      <c r="W81" s="178">
        <v>2700</v>
      </c>
      <c r="X81" s="178">
        <v>2550</v>
      </c>
      <c r="Y81" s="178">
        <v>2360</v>
      </c>
      <c r="Z81" s="178">
        <v>2360</v>
      </c>
      <c r="AA81" s="178">
        <v>2370</v>
      </c>
      <c r="AB81" s="178">
        <v>2420</v>
      </c>
      <c r="AC81" s="178">
        <v>2485</v>
      </c>
      <c r="AD81" s="178">
        <v>2495</v>
      </c>
      <c r="AE81" s="178">
        <v>2470</v>
      </c>
      <c r="AF81" s="178">
        <v>2570</v>
      </c>
      <c r="AG81" s="178">
        <v>2790</v>
      </c>
      <c r="AH81" s="178">
        <v>2940</v>
      </c>
      <c r="AI81" s="178">
        <v>3030</v>
      </c>
      <c r="AJ81" s="178">
        <v>3075</v>
      </c>
      <c r="AK81" s="178">
        <v>2900</v>
      </c>
      <c r="AL81" s="178">
        <v>2450</v>
      </c>
      <c r="AM81" s="178">
        <v>2300</v>
      </c>
      <c r="AN81" s="178">
        <v>2180</v>
      </c>
      <c r="AO81" s="178">
        <v>2060</v>
      </c>
      <c r="AP81" s="178">
        <v>1970</v>
      </c>
      <c r="AQ81" s="178">
        <v>1920</v>
      </c>
      <c r="AR81" s="178">
        <v>1920</v>
      </c>
      <c r="AS81" s="178">
        <v>1920</v>
      </c>
      <c r="AT81" s="178">
        <v>1920</v>
      </c>
      <c r="AU81" s="178">
        <v>1860</v>
      </c>
      <c r="AV81" s="178">
        <v>1780</v>
      </c>
      <c r="AW81" s="178">
        <v>1780</v>
      </c>
      <c r="AX81" s="214">
        <v>1780</v>
      </c>
      <c r="AY81" s="214">
        <v>1780</v>
      </c>
      <c r="AZ81" s="214">
        <v>1586</v>
      </c>
      <c r="BA81" s="214">
        <v>1586</v>
      </c>
      <c r="BB81" s="214">
        <v>1586</v>
      </c>
      <c r="BC81" s="214">
        <v>1586</v>
      </c>
      <c r="BD81" s="214">
        <v>1580</v>
      </c>
      <c r="BE81" s="214">
        <v>1580</v>
      </c>
      <c r="BF81" s="214">
        <v>1580</v>
      </c>
      <c r="BG81" s="214">
        <v>1580</v>
      </c>
      <c r="BH81" s="214">
        <v>1791</v>
      </c>
      <c r="BI81" s="214">
        <v>1791</v>
      </c>
      <c r="BJ81" s="214">
        <v>1791</v>
      </c>
      <c r="BK81" s="214">
        <v>1791</v>
      </c>
      <c r="BL81" s="214">
        <v>1570</v>
      </c>
      <c r="BM81" s="214">
        <v>1570</v>
      </c>
      <c r="BN81" s="214">
        <v>1570</v>
      </c>
      <c r="BO81" s="300">
        <v>1570</v>
      </c>
      <c r="BP81" s="214">
        <v>1570</v>
      </c>
      <c r="BQ81" s="214">
        <v>1570</v>
      </c>
      <c r="BR81" s="214">
        <v>1570</v>
      </c>
      <c r="BS81" s="300">
        <v>1570</v>
      </c>
      <c r="BT81" s="300">
        <v>1560</v>
      </c>
      <c r="BU81" s="300">
        <v>1560</v>
      </c>
      <c r="BV81" s="300">
        <v>1560</v>
      </c>
      <c r="BW81" s="178"/>
      <c r="XFD81" s="214"/>
    </row>
    <row r="82" spans="1:75 16384:16384">
      <c r="A82" s="178" t="str">
        <f t="shared" si="18"/>
        <v>Glycerine USD</v>
      </c>
      <c r="B82" s="178" t="s">
        <v>46</v>
      </c>
      <c r="C82" s="178" t="s">
        <v>123</v>
      </c>
      <c r="D82" s="178" t="s">
        <v>33</v>
      </c>
      <c r="E82" s="178" t="s">
        <v>32</v>
      </c>
      <c r="F82" s="262">
        <v>515</v>
      </c>
      <c r="G82" s="262">
        <v>532.5</v>
      </c>
      <c r="H82" s="262">
        <v>548.79999999999995</v>
      </c>
      <c r="I82" s="262">
        <v>875</v>
      </c>
      <c r="J82" s="262">
        <v>1001.3</v>
      </c>
      <c r="K82" s="262">
        <v>823.8</v>
      </c>
      <c r="L82" s="262">
        <v>607</v>
      </c>
      <c r="M82" s="262">
        <v>610</v>
      </c>
      <c r="N82" s="262">
        <v>642.5</v>
      </c>
      <c r="O82" s="262">
        <v>667</v>
      </c>
      <c r="P82" s="262">
        <v>707.5</v>
      </c>
      <c r="Q82" s="262">
        <v>732.5</v>
      </c>
      <c r="R82" s="262">
        <v>743.8</v>
      </c>
      <c r="S82" s="262">
        <v>756</v>
      </c>
      <c r="T82" s="262">
        <v>854</v>
      </c>
      <c r="U82" s="262">
        <v>1040</v>
      </c>
      <c r="V82" s="262">
        <v>1120</v>
      </c>
      <c r="W82" s="262">
        <v>1110</v>
      </c>
      <c r="X82" s="262">
        <v>1064</v>
      </c>
      <c r="Y82" s="262">
        <v>1189</v>
      </c>
      <c r="Z82" s="262">
        <v>1382</v>
      </c>
      <c r="AA82" s="262">
        <v>1736.3</v>
      </c>
      <c r="AB82" s="262">
        <v>1948.8</v>
      </c>
      <c r="AC82" s="262">
        <f>(1890+1820+1790+1715)/4</f>
        <v>1803.75</v>
      </c>
      <c r="AD82" s="262">
        <v>1631.3</v>
      </c>
      <c r="AE82" s="262">
        <v>1725</v>
      </c>
      <c r="AF82" s="262">
        <v>1961</v>
      </c>
      <c r="AG82" s="262">
        <v>1812.5</v>
      </c>
      <c r="AH82" s="262">
        <v>1965</v>
      </c>
      <c r="AI82" s="262">
        <v>1730</v>
      </c>
      <c r="AJ82" s="262">
        <v>1077.5</v>
      </c>
      <c r="AK82" s="262">
        <v>908.8</v>
      </c>
      <c r="AL82" s="262">
        <v>927</v>
      </c>
      <c r="AM82" s="262">
        <v>755</v>
      </c>
      <c r="AN82" s="178">
        <v>625</v>
      </c>
      <c r="AO82" s="178">
        <v>650</v>
      </c>
      <c r="AP82" s="262">
        <v>700</v>
      </c>
      <c r="AQ82" s="262">
        <v>710</v>
      </c>
      <c r="AR82" s="262">
        <v>640</v>
      </c>
      <c r="AS82" s="178">
        <v>650</v>
      </c>
      <c r="AT82" s="178">
        <v>660</v>
      </c>
      <c r="AU82" s="178">
        <v>630</v>
      </c>
      <c r="AV82" s="178">
        <v>600</v>
      </c>
      <c r="AW82" s="178">
        <v>600</v>
      </c>
      <c r="AX82" s="214">
        <v>615</v>
      </c>
      <c r="AY82" s="214">
        <f>AY70</f>
        <v>640</v>
      </c>
      <c r="AZ82" s="214">
        <f>AZ70</f>
        <v>645</v>
      </c>
      <c r="BA82" s="214">
        <v>645</v>
      </c>
      <c r="BB82" s="214">
        <f>BB70</f>
        <v>640</v>
      </c>
      <c r="BC82" s="214">
        <f t="shared" ref="BC82:BW82" si="24">BC70</f>
        <v>625</v>
      </c>
      <c r="BD82" s="214">
        <f t="shared" si="24"/>
        <v>640</v>
      </c>
      <c r="BE82" s="214">
        <f t="shared" si="24"/>
        <v>620</v>
      </c>
      <c r="BF82" s="214">
        <f t="shared" si="24"/>
        <v>615</v>
      </c>
      <c r="BG82" s="214">
        <f t="shared" si="24"/>
        <v>615</v>
      </c>
      <c r="BH82" s="214">
        <f t="shared" si="24"/>
        <v>615</v>
      </c>
      <c r="BI82" s="214">
        <f t="shared" si="24"/>
        <v>605</v>
      </c>
      <c r="BJ82" s="214">
        <f t="shared" si="24"/>
        <v>605</v>
      </c>
      <c r="BK82" s="214">
        <f t="shared" si="24"/>
        <v>590</v>
      </c>
      <c r="BL82" s="214">
        <f t="shared" si="24"/>
        <v>580</v>
      </c>
      <c r="BM82" s="214">
        <f t="shared" si="24"/>
        <v>570</v>
      </c>
      <c r="BN82" s="214">
        <f t="shared" si="24"/>
        <v>570</v>
      </c>
      <c r="BO82" s="300">
        <f t="shared" si="24"/>
        <v>570</v>
      </c>
      <c r="BP82" s="214">
        <f t="shared" si="24"/>
        <v>570</v>
      </c>
      <c r="BQ82" s="214">
        <f t="shared" si="24"/>
        <v>570</v>
      </c>
      <c r="BR82" s="313">
        <f>BR70</f>
        <v>545</v>
      </c>
      <c r="BS82" s="313">
        <f t="shared" si="24"/>
        <v>545</v>
      </c>
      <c r="BT82" s="300">
        <f t="shared" si="24"/>
        <v>545</v>
      </c>
      <c r="BU82" s="214">
        <f t="shared" si="24"/>
        <v>545</v>
      </c>
      <c r="BV82" s="214">
        <f t="shared" si="24"/>
        <v>545</v>
      </c>
      <c r="BW82" s="214">
        <f t="shared" si="24"/>
        <v>0</v>
      </c>
    </row>
    <row r="83" spans="1:75 16384:16384">
      <c r="A83" s="178" t="str">
        <f t="shared" si="18"/>
        <v>VAM SEUSD</v>
      </c>
      <c r="B83" s="178" t="s">
        <v>46</v>
      </c>
      <c r="C83" s="178" t="s">
        <v>124</v>
      </c>
      <c r="D83" s="178" t="s">
        <v>33</v>
      </c>
      <c r="E83" s="178" t="s">
        <v>32</v>
      </c>
      <c r="F83" s="262">
        <v>809</v>
      </c>
      <c r="G83" s="262">
        <v>825</v>
      </c>
      <c r="H83" s="262">
        <v>785</v>
      </c>
      <c r="I83" s="262">
        <v>686.25</v>
      </c>
      <c r="J83" s="262">
        <v>617</v>
      </c>
      <c r="K83" s="262">
        <v>615</v>
      </c>
      <c r="L83" s="262">
        <v>645</v>
      </c>
      <c r="M83" s="262">
        <v>665</v>
      </c>
      <c r="N83" s="262">
        <v>720</v>
      </c>
      <c r="O83" s="262">
        <v>815</v>
      </c>
      <c r="P83" s="262">
        <v>848.75</v>
      </c>
      <c r="Q83" s="262">
        <v>1097.5</v>
      </c>
      <c r="R83" s="262">
        <v>1280</v>
      </c>
      <c r="S83" s="262">
        <v>1438.75</v>
      </c>
      <c r="T83" s="262">
        <v>1898</v>
      </c>
      <c r="U83" s="262">
        <v>1920</v>
      </c>
      <c r="V83" s="262">
        <v>1896.25</v>
      </c>
      <c r="W83" s="262">
        <v>1780</v>
      </c>
      <c r="X83" s="262">
        <v>1535</v>
      </c>
      <c r="Y83" s="262">
        <v>1675</v>
      </c>
      <c r="Z83" s="262">
        <v>1831</v>
      </c>
      <c r="AA83" s="262">
        <v>2260</v>
      </c>
      <c r="AB83" s="262">
        <v>2490</v>
      </c>
      <c r="AC83" s="262">
        <v>2235</v>
      </c>
      <c r="AD83" s="262">
        <v>1881.25</v>
      </c>
      <c r="AE83" s="262">
        <v>2083.75</v>
      </c>
      <c r="AF83" s="262">
        <v>2356.25</v>
      </c>
      <c r="AG83" s="262">
        <v>2293</v>
      </c>
      <c r="AH83" s="262">
        <v>2332.5</v>
      </c>
      <c r="AI83" s="262">
        <v>2250</v>
      </c>
      <c r="AJ83" s="262">
        <v>1903</v>
      </c>
      <c r="AK83" s="262">
        <v>1325</v>
      </c>
      <c r="AL83" s="262">
        <v>1210</v>
      </c>
      <c r="AM83" s="262">
        <v>1130</v>
      </c>
      <c r="AN83" s="178">
        <v>1130</v>
      </c>
      <c r="AO83" s="178">
        <v>1035</v>
      </c>
      <c r="AP83" s="262">
        <v>1050</v>
      </c>
      <c r="AQ83" s="262">
        <v>1113.75</v>
      </c>
      <c r="AR83" s="262">
        <v>1042</v>
      </c>
      <c r="AS83" s="178">
        <v>1080</v>
      </c>
      <c r="AT83" s="178">
        <v>925</v>
      </c>
      <c r="AU83" s="178">
        <v>815</v>
      </c>
      <c r="AV83" s="178">
        <v>830</v>
      </c>
      <c r="AW83" s="178">
        <v>830</v>
      </c>
      <c r="AX83" s="214">
        <v>830</v>
      </c>
      <c r="AY83" s="214">
        <v>825</v>
      </c>
      <c r="AZ83" s="214">
        <v>875</v>
      </c>
      <c r="BA83" s="214">
        <v>840</v>
      </c>
      <c r="BB83" s="214">
        <v>865</v>
      </c>
      <c r="BC83" s="214">
        <v>865</v>
      </c>
      <c r="BD83" s="214">
        <v>900</v>
      </c>
      <c r="BE83" s="214">
        <v>910</v>
      </c>
      <c r="BF83" s="214">
        <v>950</v>
      </c>
      <c r="BG83" s="214">
        <v>924.5</v>
      </c>
      <c r="BH83" s="214">
        <v>924.5</v>
      </c>
      <c r="BI83" s="214">
        <v>924.5</v>
      </c>
      <c r="BJ83" s="214">
        <v>1075</v>
      </c>
      <c r="BK83" s="214">
        <v>1075</v>
      </c>
      <c r="BL83" s="214">
        <v>1075</v>
      </c>
      <c r="BM83" s="214">
        <v>995</v>
      </c>
      <c r="BN83" s="214">
        <v>995</v>
      </c>
      <c r="BO83" s="300">
        <v>995</v>
      </c>
      <c r="BP83" s="214">
        <v>995</v>
      </c>
      <c r="BQ83" s="214">
        <v>995</v>
      </c>
      <c r="BR83" s="300">
        <v>995</v>
      </c>
      <c r="BS83" s="300">
        <v>995</v>
      </c>
      <c r="BT83" s="300">
        <v>995</v>
      </c>
      <c r="BU83" s="300">
        <v>995</v>
      </c>
      <c r="BV83" s="300">
        <v>995</v>
      </c>
      <c r="BW83" s="178"/>
    </row>
    <row r="84" spans="1:75 16384:16384">
      <c r="A84" s="178" t="str">
        <f t="shared" si="18"/>
        <v>IsoButanolUSD</v>
      </c>
      <c r="B84" s="178" t="s">
        <v>110</v>
      </c>
      <c r="C84" s="178" t="s">
        <v>111</v>
      </c>
      <c r="D84" s="178" t="s">
        <v>33</v>
      </c>
      <c r="E84" s="178" t="s">
        <v>32</v>
      </c>
      <c r="F84" s="262">
        <v>639</v>
      </c>
      <c r="G84" s="262">
        <v>642.5</v>
      </c>
      <c r="H84" s="262">
        <v>625</v>
      </c>
      <c r="I84" s="262">
        <v>561</v>
      </c>
      <c r="J84" s="262">
        <v>578.75</v>
      </c>
      <c r="K84" s="262">
        <v>601.25</v>
      </c>
      <c r="L84" s="262">
        <v>650</v>
      </c>
      <c r="M84" s="262">
        <v>637.5</v>
      </c>
      <c r="N84" s="262">
        <v>615</v>
      </c>
      <c r="O84" s="262">
        <v>639</v>
      </c>
      <c r="P84" s="262">
        <v>765</v>
      </c>
      <c r="Q84" s="262">
        <v>936.25</v>
      </c>
      <c r="R84" s="262">
        <v>1041.25</v>
      </c>
      <c r="S84" s="262">
        <v>1142.5</v>
      </c>
      <c r="T84" s="262">
        <v>1405</v>
      </c>
      <c r="U84" s="262">
        <v>1323</v>
      </c>
      <c r="V84" s="262">
        <v>1617.5</v>
      </c>
      <c r="W84" s="262">
        <v>1718.75</v>
      </c>
      <c r="X84" s="262">
        <v>1773</v>
      </c>
      <c r="Y84" s="262">
        <v>1765</v>
      </c>
      <c r="Z84" s="262">
        <v>1423</v>
      </c>
      <c r="AA84" s="262">
        <v>1332.5</v>
      </c>
      <c r="AB84" s="262">
        <v>1307.5</v>
      </c>
      <c r="AC84" s="262">
        <v>1072.5</v>
      </c>
      <c r="AD84" s="262">
        <v>1052.5</v>
      </c>
      <c r="AE84" s="262">
        <v>1181.25</v>
      </c>
      <c r="AF84" s="262">
        <v>1163</v>
      </c>
      <c r="AG84" s="262">
        <v>1142.5</v>
      </c>
      <c r="AH84" s="262">
        <v>1098.75</v>
      </c>
      <c r="AI84" s="262">
        <v>1050</v>
      </c>
      <c r="AJ84" s="262">
        <v>900</v>
      </c>
      <c r="AK84" s="262">
        <v>845</v>
      </c>
      <c r="AL84" s="262">
        <v>859</v>
      </c>
      <c r="AM84" s="262">
        <v>875</v>
      </c>
      <c r="AN84" s="178">
        <v>875</v>
      </c>
      <c r="AO84" s="178">
        <v>930</v>
      </c>
      <c r="AP84" s="262">
        <v>930</v>
      </c>
      <c r="AQ84" s="262">
        <v>950</v>
      </c>
      <c r="AR84" s="262">
        <v>970</v>
      </c>
      <c r="AS84" s="178">
        <v>975</v>
      </c>
      <c r="AT84" s="178">
        <v>980</v>
      </c>
      <c r="AU84" s="178">
        <v>930</v>
      </c>
      <c r="AV84" s="178">
        <v>810</v>
      </c>
      <c r="AW84" s="178">
        <v>810</v>
      </c>
      <c r="AX84" s="214">
        <v>820</v>
      </c>
      <c r="AY84" s="214">
        <f>AY72</f>
        <v>860</v>
      </c>
      <c r="AZ84" s="214">
        <f>AZ72</f>
        <v>900</v>
      </c>
      <c r="BA84" s="214">
        <f>BA72</f>
        <v>970</v>
      </c>
      <c r="BB84" s="214">
        <f t="shared" ref="BB84:BW84" si="25">BB72</f>
        <v>970</v>
      </c>
      <c r="BC84" s="214">
        <f t="shared" si="25"/>
        <v>1000</v>
      </c>
      <c r="BD84" s="214">
        <f t="shared" si="25"/>
        <v>1060</v>
      </c>
      <c r="BE84" s="214">
        <f t="shared" si="25"/>
        <v>1095</v>
      </c>
      <c r="BF84" s="214">
        <f t="shared" si="25"/>
        <v>1125</v>
      </c>
      <c r="BG84" s="214">
        <f t="shared" si="25"/>
        <v>1065</v>
      </c>
      <c r="BH84" s="214">
        <f t="shared" si="25"/>
        <v>1065</v>
      </c>
      <c r="BI84" s="214">
        <f t="shared" si="25"/>
        <v>1052.5</v>
      </c>
      <c r="BJ84" s="214">
        <f t="shared" si="25"/>
        <v>1035</v>
      </c>
      <c r="BK84" s="214">
        <f t="shared" si="25"/>
        <v>980</v>
      </c>
      <c r="BL84" s="214">
        <f t="shared" si="25"/>
        <v>980</v>
      </c>
      <c r="BM84" s="214">
        <f t="shared" si="25"/>
        <v>960</v>
      </c>
      <c r="BN84" s="214">
        <f t="shared" si="25"/>
        <v>960</v>
      </c>
      <c r="BO84" s="300">
        <f t="shared" si="25"/>
        <v>960</v>
      </c>
      <c r="BP84" s="214">
        <f t="shared" si="25"/>
        <v>960</v>
      </c>
      <c r="BQ84" s="214">
        <f t="shared" si="25"/>
        <v>970</v>
      </c>
      <c r="BR84" s="309">
        <f t="shared" si="25"/>
        <v>970</v>
      </c>
      <c r="BS84" s="300">
        <f t="shared" si="25"/>
        <v>970</v>
      </c>
      <c r="BT84" s="300">
        <f t="shared" si="25"/>
        <v>1020</v>
      </c>
      <c r="BU84" s="214">
        <f t="shared" si="25"/>
        <v>1020</v>
      </c>
      <c r="BV84" s="214">
        <f t="shared" si="25"/>
        <v>1010</v>
      </c>
      <c r="BW84" s="214">
        <f t="shared" si="25"/>
        <v>0</v>
      </c>
    </row>
    <row r="85" spans="1:75 16384:16384" ht="36">
      <c r="A85" s="178" t="str">
        <f t="shared" si="18"/>
        <v>Mono ethylene GlycolUSD</v>
      </c>
      <c r="B85" s="273" t="s">
        <v>125</v>
      </c>
      <c r="C85" s="178" t="s">
        <v>126</v>
      </c>
      <c r="D85" s="178" t="s">
        <v>33</v>
      </c>
      <c r="E85" s="178" t="s">
        <v>32</v>
      </c>
      <c r="F85" s="262">
        <v>585</v>
      </c>
      <c r="G85" s="262">
        <v>525</v>
      </c>
      <c r="H85" s="262">
        <v>405</v>
      </c>
      <c r="I85" s="262">
        <v>390</v>
      </c>
      <c r="J85" s="262">
        <v>407.5</v>
      </c>
      <c r="K85" s="262">
        <v>420</v>
      </c>
      <c r="L85" s="262">
        <v>420</v>
      </c>
      <c r="M85" s="262">
        <v>445</v>
      </c>
      <c r="N85" s="262">
        <v>472.5</v>
      </c>
      <c r="O85" s="262">
        <v>480</v>
      </c>
      <c r="P85" s="262">
        <v>472.5</v>
      </c>
      <c r="Q85" s="262">
        <v>507.5</v>
      </c>
      <c r="R85" s="262">
        <v>597.5</v>
      </c>
      <c r="S85" s="262">
        <v>735</v>
      </c>
      <c r="T85" s="262">
        <v>750</v>
      </c>
      <c r="U85" s="178">
        <v>653</v>
      </c>
      <c r="V85" s="178">
        <v>640</v>
      </c>
      <c r="W85" s="178">
        <v>635</v>
      </c>
      <c r="X85" s="178">
        <v>695</v>
      </c>
      <c r="Y85" s="178">
        <v>670</v>
      </c>
      <c r="Z85" s="178">
        <v>705</v>
      </c>
      <c r="AA85" s="178">
        <v>900</v>
      </c>
      <c r="AB85" s="178">
        <v>715</v>
      </c>
      <c r="AC85" s="178">
        <v>640</v>
      </c>
      <c r="AD85" s="178">
        <v>690</v>
      </c>
      <c r="AE85" s="178">
        <v>697.5</v>
      </c>
      <c r="AF85" s="178">
        <v>680</v>
      </c>
      <c r="AG85" s="178">
        <v>650</v>
      </c>
      <c r="AH85" s="178">
        <v>622.5</v>
      </c>
      <c r="AI85" s="178">
        <v>632.5</v>
      </c>
      <c r="AJ85" s="178">
        <v>540</v>
      </c>
      <c r="AK85" s="178">
        <v>500</v>
      </c>
      <c r="AL85" s="178">
        <v>520</v>
      </c>
      <c r="AM85" s="178">
        <v>470</v>
      </c>
      <c r="AN85" s="178">
        <v>457.5</v>
      </c>
      <c r="AO85" s="178">
        <v>482.5</v>
      </c>
      <c r="AP85" s="178">
        <v>510</v>
      </c>
      <c r="AQ85" s="178">
        <v>520</v>
      </c>
      <c r="AR85" s="178">
        <v>505</v>
      </c>
      <c r="AS85" s="178">
        <v>512.5</v>
      </c>
      <c r="AT85" s="178">
        <v>495</v>
      </c>
      <c r="AU85" s="178">
        <v>455</v>
      </c>
      <c r="AV85" s="178">
        <v>455</v>
      </c>
      <c r="AW85" s="178">
        <v>455</v>
      </c>
      <c r="AX85" s="214">
        <v>455</v>
      </c>
      <c r="AY85" s="214">
        <v>455</v>
      </c>
      <c r="AZ85" s="214">
        <v>475</v>
      </c>
      <c r="BA85" s="214">
        <v>475</v>
      </c>
      <c r="BB85" s="214">
        <v>475</v>
      </c>
      <c r="BC85" s="214">
        <v>475</v>
      </c>
      <c r="BD85" s="214">
        <v>465</v>
      </c>
      <c r="BE85" s="214">
        <v>497.5</v>
      </c>
      <c r="BF85" s="214">
        <v>497.5</v>
      </c>
      <c r="BG85" s="214">
        <v>497.5</v>
      </c>
      <c r="BH85" s="214">
        <v>497.5</v>
      </c>
      <c r="BI85" s="214">
        <v>497.5</v>
      </c>
      <c r="BJ85" s="214">
        <v>497.5</v>
      </c>
      <c r="BK85" s="214">
        <v>462.5</v>
      </c>
      <c r="BL85" s="214">
        <v>462.5</v>
      </c>
      <c r="BM85" s="214">
        <v>462.5</v>
      </c>
      <c r="BN85" s="214">
        <v>462.5</v>
      </c>
      <c r="BO85" s="300">
        <v>485</v>
      </c>
      <c r="BP85" s="214">
        <v>485</v>
      </c>
      <c r="BQ85" s="214">
        <v>485</v>
      </c>
      <c r="BR85" s="300">
        <v>485</v>
      </c>
      <c r="BS85" s="300">
        <v>485</v>
      </c>
      <c r="BT85" s="300">
        <v>485</v>
      </c>
      <c r="BU85" s="300">
        <v>485</v>
      </c>
      <c r="BV85" s="300">
        <v>485</v>
      </c>
      <c r="BW85" s="178"/>
    </row>
    <row r="86" spans="1:75 16384:16384">
      <c r="A86" s="178" t="str">
        <f t="shared" si="18"/>
        <v>MethanolUSD</v>
      </c>
      <c r="B86" s="178" t="s">
        <v>46</v>
      </c>
      <c r="C86" s="178" t="s">
        <v>36</v>
      </c>
      <c r="D86" s="178" t="s">
        <v>33</v>
      </c>
      <c r="E86" s="178" t="s">
        <v>32</v>
      </c>
      <c r="F86" s="178"/>
      <c r="G86" s="178"/>
      <c r="H86" s="178"/>
      <c r="I86" s="178"/>
      <c r="J86" s="178"/>
      <c r="K86" s="178"/>
      <c r="L86" s="178"/>
      <c r="M86" s="178"/>
      <c r="N86" s="178"/>
      <c r="O86" s="178"/>
      <c r="P86" s="178"/>
      <c r="Q86" s="178"/>
      <c r="R86" s="178"/>
      <c r="S86" s="178"/>
      <c r="T86" s="178"/>
      <c r="U86" s="178"/>
      <c r="V86" s="178"/>
      <c r="W86" s="178"/>
      <c r="X86" s="178"/>
      <c r="Y86" s="178">
        <v>386.9</v>
      </c>
      <c r="Z86" s="178">
        <v>408.1</v>
      </c>
      <c r="AA86" s="178">
        <v>492.5</v>
      </c>
      <c r="AB86" s="178">
        <v>446.9</v>
      </c>
      <c r="AC86" s="178">
        <v>426.3</v>
      </c>
      <c r="AD86" s="178">
        <v>404.8</v>
      </c>
      <c r="AE86" s="178">
        <v>412.5</v>
      </c>
      <c r="AF86" s="178">
        <v>453.8</v>
      </c>
      <c r="AG86" s="178">
        <v>447.5</v>
      </c>
      <c r="AH86" s="178">
        <v>416.9</v>
      </c>
      <c r="AI86" s="178">
        <v>391.1</v>
      </c>
      <c r="AJ86" s="178">
        <v>358.5</v>
      </c>
      <c r="AK86" s="178">
        <v>353.1</v>
      </c>
      <c r="AL86" s="178">
        <v>362</v>
      </c>
      <c r="AM86" s="178">
        <v>367.5</v>
      </c>
      <c r="AN86" s="178">
        <v>361.9</v>
      </c>
      <c r="AO86" s="178">
        <v>359.9</v>
      </c>
      <c r="AP86" s="178">
        <v>388.5</v>
      </c>
      <c r="AQ86" s="178">
        <v>376.3</v>
      </c>
      <c r="AR86" s="178">
        <v>361</v>
      </c>
      <c r="AS86" s="178">
        <v>353.1</v>
      </c>
      <c r="AT86" s="178">
        <v>331.9</v>
      </c>
      <c r="AU86" s="178">
        <v>294.3</v>
      </c>
      <c r="AV86" s="178">
        <v>283.5</v>
      </c>
      <c r="AW86" s="178">
        <v>290</v>
      </c>
      <c r="AX86" s="214">
        <v>287</v>
      </c>
      <c r="AY86" s="214">
        <v>284</v>
      </c>
      <c r="AZ86" s="214">
        <v>286</v>
      </c>
      <c r="BA86" s="214">
        <v>286</v>
      </c>
      <c r="BB86" s="214">
        <v>281.89999999999998</v>
      </c>
      <c r="BC86" s="214">
        <v>292.5</v>
      </c>
      <c r="BD86" s="214">
        <v>296.3</v>
      </c>
      <c r="BE86" s="214">
        <v>306.5</v>
      </c>
      <c r="BF86" s="214">
        <v>347.5</v>
      </c>
      <c r="BG86" s="214">
        <v>347.5</v>
      </c>
      <c r="BH86" s="214">
        <v>350</v>
      </c>
      <c r="BI86" s="214">
        <v>350</v>
      </c>
      <c r="BJ86" s="214">
        <v>340</v>
      </c>
      <c r="BK86" s="214">
        <v>340</v>
      </c>
      <c r="BL86" s="214">
        <v>340</v>
      </c>
      <c r="BM86" s="214">
        <v>335</v>
      </c>
      <c r="BN86" s="214">
        <v>335</v>
      </c>
      <c r="BO86" s="300">
        <v>337.5</v>
      </c>
      <c r="BP86" s="214">
        <v>335</v>
      </c>
      <c r="BQ86" s="214">
        <v>334</v>
      </c>
      <c r="BR86" s="313">
        <v>328.5</v>
      </c>
      <c r="BS86" s="300">
        <v>337.5</v>
      </c>
      <c r="BT86" s="300">
        <v>338.8</v>
      </c>
      <c r="BU86" s="214">
        <v>340</v>
      </c>
      <c r="BV86" s="214">
        <v>340</v>
      </c>
      <c r="BW86" s="178"/>
    </row>
    <row r="87" spans="1:75 16384:16384">
      <c r="A87" s="178" t="str">
        <f t="shared" si="18"/>
        <v>Soy Oil IndoreINR</v>
      </c>
      <c r="B87" s="178" t="s">
        <v>127</v>
      </c>
      <c r="C87" s="178" t="s">
        <v>128</v>
      </c>
      <c r="D87" s="178" t="s">
        <v>43</v>
      </c>
      <c r="E87" s="178" t="s">
        <v>32</v>
      </c>
      <c r="F87" s="266">
        <v>918.53846153846155</v>
      </c>
      <c r="G87" s="266">
        <v>842.60869565217388</v>
      </c>
      <c r="H87" s="266">
        <v>804.4</v>
      </c>
      <c r="I87" s="266">
        <v>849.4</v>
      </c>
      <c r="J87" s="266">
        <v>805.65384615384619</v>
      </c>
      <c r="K87" s="266">
        <v>829.03846153846155</v>
      </c>
      <c r="L87" s="266">
        <v>835.40740740740739</v>
      </c>
      <c r="M87" s="266">
        <v>871.86956521739125</v>
      </c>
      <c r="N87" s="266">
        <v>906.57692307692309</v>
      </c>
      <c r="O87" s="266">
        <v>947.96153846153845</v>
      </c>
      <c r="P87" s="266">
        <v>1041.875</v>
      </c>
      <c r="Q87" s="266">
        <v>1098.3461538461538</v>
      </c>
      <c r="R87" s="266">
        <v>1149.8399999999999</v>
      </c>
      <c r="S87" s="266">
        <v>1143.5416666666667</v>
      </c>
      <c r="T87" s="266">
        <v>1263.2</v>
      </c>
      <c r="U87" s="266">
        <v>1385.4</v>
      </c>
      <c r="V87" s="266">
        <v>1468.8</v>
      </c>
      <c r="W87" s="266">
        <v>1345.1923076923076</v>
      </c>
      <c r="X87" s="266">
        <v>1368.5185185185185</v>
      </c>
      <c r="Y87" s="266">
        <v>1423.8</v>
      </c>
      <c r="Z87" s="266">
        <v>1373.2692307692307</v>
      </c>
      <c r="AA87" s="266">
        <v>1332.4</v>
      </c>
      <c r="AB87" s="266">
        <v>1262.1739130434783</v>
      </c>
      <c r="AC87" s="266">
        <v>1200.5555555555557</v>
      </c>
      <c r="AD87" s="266">
        <v>1213.9583333333333</v>
      </c>
      <c r="AE87" s="266">
        <v>1349.1666666666667</v>
      </c>
      <c r="AF87" s="266">
        <v>1566.4</v>
      </c>
      <c r="AG87" s="266">
        <v>1559.8076923076924</v>
      </c>
      <c r="AH87" s="266">
        <v>1577.8846153846155</v>
      </c>
      <c r="AI87" s="266">
        <v>1449.6153846153845</v>
      </c>
      <c r="AJ87" s="266">
        <v>1260.3846153846155</v>
      </c>
      <c r="AK87" s="266">
        <v>1247.2916666666667</v>
      </c>
      <c r="AL87" s="266">
        <v>1163.0769230769231</v>
      </c>
      <c r="AM87" s="266">
        <v>1222.5</v>
      </c>
      <c r="AN87" s="178">
        <v>1371</v>
      </c>
      <c r="AO87" s="178">
        <v>1257</v>
      </c>
      <c r="AP87" s="178">
        <v>1256</v>
      </c>
      <c r="AQ87" s="178">
        <v>1165</v>
      </c>
      <c r="AR87" s="178">
        <v>1079</v>
      </c>
      <c r="AS87" s="178">
        <v>1065</v>
      </c>
      <c r="AT87" s="178">
        <v>935</v>
      </c>
      <c r="AU87" s="178">
        <v>926</v>
      </c>
      <c r="AV87" s="178">
        <v>950</v>
      </c>
      <c r="AW87" s="178">
        <v>940</v>
      </c>
      <c r="AX87" s="214">
        <v>940</v>
      </c>
      <c r="AY87" s="214">
        <v>940</v>
      </c>
      <c r="AZ87" s="214">
        <v>940</v>
      </c>
      <c r="BA87" s="214">
        <v>940</v>
      </c>
      <c r="BB87" s="178">
        <v>925</v>
      </c>
      <c r="BC87" s="214">
        <v>930</v>
      </c>
      <c r="BD87" s="214">
        <v>930</v>
      </c>
      <c r="BE87" s="214">
        <v>900</v>
      </c>
      <c r="BF87" s="214">
        <v>880</v>
      </c>
      <c r="BG87" s="214">
        <v>880</v>
      </c>
      <c r="BH87" s="214">
        <v>86</v>
      </c>
      <c r="BI87" s="214">
        <v>92</v>
      </c>
      <c r="BJ87" s="214">
        <v>88.5</v>
      </c>
      <c r="BK87" s="214">
        <v>88.5</v>
      </c>
      <c r="BL87" s="214">
        <v>91</v>
      </c>
      <c r="BM87" s="214">
        <v>93</v>
      </c>
      <c r="BN87" s="214">
        <v>93</v>
      </c>
      <c r="BO87" s="302">
        <f>BO65</f>
        <v>96</v>
      </c>
      <c r="BP87" s="214">
        <f>BP65</f>
        <v>92</v>
      </c>
      <c r="BQ87" s="214">
        <f>BQ65</f>
        <v>92</v>
      </c>
      <c r="BR87" s="310">
        <f>BR65</f>
        <v>88.5</v>
      </c>
      <c r="BS87" s="300">
        <f>BS65</f>
        <v>88</v>
      </c>
      <c r="BT87" s="300">
        <v>91</v>
      </c>
      <c r="BU87" s="214">
        <v>93</v>
      </c>
      <c r="BV87" s="214">
        <v>93</v>
      </c>
      <c r="BW87" s="178"/>
    </row>
    <row r="88" spans="1:75 16384:16384">
      <c r="A88" s="178" t="str">
        <f t="shared" si="18"/>
        <v>Soy Oil IndoreUSD</v>
      </c>
      <c r="B88" s="178" t="s">
        <v>127</v>
      </c>
      <c r="C88" s="178" t="s">
        <v>128</v>
      </c>
      <c r="D88" s="178" t="s">
        <v>33</v>
      </c>
      <c r="E88" s="178" t="s">
        <v>32</v>
      </c>
      <c r="F88" s="266">
        <f>F87/F1</f>
        <v>12.884781077711617</v>
      </c>
      <c r="G88" s="266">
        <f t="shared" ref="G88:AX88" si="26">G87/G1</f>
        <v>11.776261615001191</v>
      </c>
      <c r="H88" s="266">
        <f t="shared" si="26"/>
        <v>10.804130529272584</v>
      </c>
      <c r="I88" s="266">
        <f t="shared" si="26"/>
        <v>11.139435463797358</v>
      </c>
      <c r="J88" s="266">
        <f t="shared" si="26"/>
        <v>10.653098141667247</v>
      </c>
      <c r="K88" s="266">
        <f t="shared" si="26"/>
        <v>10.944997424790119</v>
      </c>
      <c r="L88" s="266">
        <f t="shared" si="26"/>
        <v>11.150028639523622</v>
      </c>
      <c r="M88" s="266">
        <f t="shared" si="26"/>
        <v>11.68931327930663</v>
      </c>
      <c r="N88" s="266">
        <f t="shared" si="26"/>
        <v>12.328700316791787</v>
      </c>
      <c r="O88" s="266">
        <f t="shared" si="26"/>
        <v>12.894425217507997</v>
      </c>
      <c r="P88" s="266">
        <f t="shared" si="26"/>
        <v>14.03535186596257</v>
      </c>
      <c r="Q88" s="266">
        <f t="shared" si="26"/>
        <v>14.896512574824705</v>
      </c>
      <c r="R88" s="266">
        <f t="shared" si="26"/>
        <v>15.723232599480378</v>
      </c>
      <c r="S88" s="266">
        <f t="shared" si="26"/>
        <v>15.707989926739929</v>
      </c>
      <c r="T88" s="266">
        <f t="shared" si="26"/>
        <v>17.351648351648354</v>
      </c>
      <c r="U88" s="266">
        <f t="shared" si="26"/>
        <v>18.608462055070518</v>
      </c>
      <c r="V88" s="266">
        <f t="shared" si="26"/>
        <v>20.051877133105801</v>
      </c>
      <c r="W88" s="266">
        <f t="shared" si="26"/>
        <v>18.291981339302524</v>
      </c>
      <c r="X88" s="266">
        <f t="shared" si="26"/>
        <v>18.361982000785165</v>
      </c>
      <c r="Y88" s="266">
        <f t="shared" si="26"/>
        <v>19.199029126213592</v>
      </c>
      <c r="Z88" s="266">
        <f t="shared" si="26"/>
        <v>18.671233593055483</v>
      </c>
      <c r="AA88" s="266">
        <f t="shared" si="26"/>
        <v>17.786677346148714</v>
      </c>
      <c r="AB88" s="266">
        <f t="shared" si="26"/>
        <v>16.948756721411016</v>
      </c>
      <c r="AC88" s="266">
        <f t="shared" si="26"/>
        <v>15.918265122720175</v>
      </c>
      <c r="AD88" s="266">
        <f t="shared" si="26"/>
        <v>16.305686142825159</v>
      </c>
      <c r="AE88" s="266">
        <f t="shared" si="26"/>
        <v>17.998488082532909</v>
      </c>
      <c r="AF88" s="266">
        <f t="shared" si="26"/>
        <v>20.553733105891617</v>
      </c>
      <c r="AG88" s="266">
        <f t="shared" si="26"/>
        <v>20.413518848453041</v>
      </c>
      <c r="AH88" s="266">
        <f t="shared" si="26"/>
        <v>20.407390206188762</v>
      </c>
      <c r="AI88" s="266">
        <f t="shared" si="26"/>
        <v>18.567060306348392</v>
      </c>
      <c r="AJ88" s="266">
        <f t="shared" si="26"/>
        <v>15.833668787673158</v>
      </c>
      <c r="AK88" s="266">
        <f t="shared" si="26"/>
        <v>15.679946597564207</v>
      </c>
      <c r="AL88" s="266">
        <f t="shared" si="26"/>
        <v>14.496502400660715</v>
      </c>
      <c r="AM88" s="266">
        <f t="shared" si="26"/>
        <v>14.84695491687223</v>
      </c>
      <c r="AN88" s="266">
        <f t="shared" si="26"/>
        <v>16.758236177452787</v>
      </c>
      <c r="AO88" s="266">
        <f t="shared" si="26"/>
        <v>15.242975644476529</v>
      </c>
      <c r="AP88" s="266">
        <f t="shared" si="26"/>
        <v>15.335852019493791</v>
      </c>
      <c r="AQ88" s="266">
        <f t="shared" si="26"/>
        <v>14.186271220804745</v>
      </c>
      <c r="AR88" s="266">
        <f t="shared" si="26"/>
        <v>13.139044332401991</v>
      </c>
      <c r="AS88" s="266">
        <f t="shared" si="26"/>
        <v>12.968565536615497</v>
      </c>
      <c r="AT88" s="266">
        <f t="shared" si="26"/>
        <v>11.385548147169473</v>
      </c>
      <c r="AU88" s="266">
        <f t="shared" si="26"/>
        <v>11.224242424242425</v>
      </c>
      <c r="AV88" s="266">
        <f t="shared" si="26"/>
        <v>11.523532265890346</v>
      </c>
      <c r="AW88" s="266">
        <f t="shared" si="26"/>
        <v>11.438306157215866</v>
      </c>
      <c r="AX88" s="216">
        <f t="shared" si="26"/>
        <v>11.474609375</v>
      </c>
      <c r="AY88" s="216">
        <f>AY87/AY1</f>
        <v>11.427182105519085</v>
      </c>
      <c r="AZ88" s="216">
        <f t="shared" ref="AZ88:BW88" si="27">AZ87/AZ1</f>
        <v>11.348545213087046</v>
      </c>
      <c r="BA88" s="216">
        <f t="shared" si="27"/>
        <v>11.291291291291291</v>
      </c>
      <c r="BB88" s="216">
        <f t="shared" si="27"/>
        <v>11.111111111111111</v>
      </c>
      <c r="BC88" s="216">
        <f t="shared" si="27"/>
        <v>11.252268602540834</v>
      </c>
      <c r="BD88" s="216">
        <f t="shared" si="27"/>
        <v>11.19807344972908</v>
      </c>
      <c r="BE88" s="216">
        <f>BE87/BE1</f>
        <v>10.851217747769471</v>
      </c>
      <c r="BF88" s="216">
        <f t="shared" si="27"/>
        <v>10.611358977450861</v>
      </c>
      <c r="BG88" s="216">
        <f t="shared" si="27"/>
        <v>10.569300984866683</v>
      </c>
      <c r="BH88" s="216">
        <f t="shared" si="27"/>
        <v>1.0334054313866858</v>
      </c>
      <c r="BI88" s="216">
        <f t="shared" si="27"/>
        <v>1.1051051051051051</v>
      </c>
      <c r="BJ88" s="216">
        <f t="shared" si="27"/>
        <v>1.0647256977863329</v>
      </c>
      <c r="BK88" s="216">
        <f t="shared" si="27"/>
        <v>1.0629353831371606</v>
      </c>
      <c r="BL88" s="216">
        <f t="shared" si="27"/>
        <v>1.0934871425138188</v>
      </c>
      <c r="BM88" s="216">
        <f t="shared" si="27"/>
        <v>1.1179228272628923</v>
      </c>
      <c r="BN88" s="216">
        <f t="shared" si="27"/>
        <v>1.1179228272628923</v>
      </c>
      <c r="BO88" s="301">
        <f t="shared" si="27"/>
        <v>1.1520460818432738</v>
      </c>
      <c r="BP88" s="216">
        <f t="shared" si="27"/>
        <v>1.1031175059952039</v>
      </c>
      <c r="BQ88" s="216">
        <f t="shared" si="27"/>
        <v>1.1036468330134357</v>
      </c>
      <c r="BR88" s="307">
        <f t="shared" si="27"/>
        <v>1.0631907736665065</v>
      </c>
      <c r="BS88" s="301">
        <f t="shared" si="27"/>
        <v>1.0561689870379261</v>
      </c>
      <c r="BT88" s="301">
        <f t="shared" si="27"/>
        <v>1.0945393312484966</v>
      </c>
      <c r="BU88" s="301">
        <f t="shared" si="27"/>
        <v>1.1184606133493686</v>
      </c>
      <c r="BV88" s="301">
        <f t="shared" si="27"/>
        <v>1.117117117117117</v>
      </c>
      <c r="BW88" s="301" t="e">
        <f t="shared" si="27"/>
        <v>#DIV/0!</v>
      </c>
    </row>
    <row r="89" spans="1:75 16384:16384">
      <c r="A89" s="178" t="str">
        <f t="shared" si="18"/>
        <v>Ethylene-NAUSD</v>
      </c>
      <c r="B89" s="178" t="s">
        <v>129</v>
      </c>
      <c r="C89" s="178" t="s">
        <v>130</v>
      </c>
      <c r="D89" s="178" t="s">
        <v>33</v>
      </c>
      <c r="E89" s="178" t="s">
        <v>32</v>
      </c>
      <c r="F89" s="266">
        <v>567.67999999999995</v>
      </c>
      <c r="G89" s="178">
        <v>529.1</v>
      </c>
      <c r="H89" s="178">
        <v>479.5</v>
      </c>
      <c r="I89" s="266">
        <v>451.94</v>
      </c>
      <c r="J89" s="178">
        <v>529.1</v>
      </c>
      <c r="K89" s="266">
        <v>540.13</v>
      </c>
      <c r="L89" s="266">
        <v>562.16999999999996</v>
      </c>
      <c r="M89" s="266">
        <v>611.78</v>
      </c>
      <c r="N89" s="266">
        <v>683.43</v>
      </c>
      <c r="O89" s="266">
        <v>666.89</v>
      </c>
      <c r="P89" s="266">
        <v>639.33000000000004</v>
      </c>
      <c r="Q89" s="266">
        <v>688.94</v>
      </c>
      <c r="R89" s="266">
        <v>832.24</v>
      </c>
      <c r="S89" s="266">
        <v>837.75</v>
      </c>
      <c r="T89" s="267">
        <v>1036</v>
      </c>
      <c r="U89" s="267">
        <v>1042</v>
      </c>
      <c r="V89" s="266">
        <v>832.24</v>
      </c>
      <c r="W89" s="266">
        <v>755.08</v>
      </c>
      <c r="X89" s="266">
        <v>997.58</v>
      </c>
      <c r="Y89" s="266">
        <v>975.54</v>
      </c>
      <c r="Z89" s="266">
        <v>947.98</v>
      </c>
      <c r="AA89" s="266">
        <v>925.93</v>
      </c>
      <c r="AB89" s="266">
        <v>920.42</v>
      </c>
      <c r="AC89" s="266">
        <v>837.75</v>
      </c>
      <c r="AD89" s="266">
        <v>953.49</v>
      </c>
      <c r="AE89" s="266">
        <v>964.51</v>
      </c>
      <c r="AF89" s="178">
        <v>909.4</v>
      </c>
      <c r="AG89" s="266">
        <v>848.77</v>
      </c>
      <c r="AH89" s="266">
        <v>925.93</v>
      </c>
      <c r="AI89" s="266">
        <v>936.95</v>
      </c>
      <c r="AJ89" s="266">
        <v>843.26</v>
      </c>
      <c r="AK89" s="266">
        <v>881.84</v>
      </c>
      <c r="AL89" s="266">
        <v>821.21</v>
      </c>
      <c r="AM89" s="266">
        <v>744.05</v>
      </c>
      <c r="AN89" s="266">
        <v>749.56</v>
      </c>
      <c r="AO89" s="266">
        <v>716.49</v>
      </c>
      <c r="AP89" s="266">
        <v>688.94</v>
      </c>
      <c r="AQ89" s="266">
        <v>683.43</v>
      </c>
      <c r="AR89" s="266">
        <v>661.38</v>
      </c>
      <c r="AS89" s="266">
        <v>655.87</v>
      </c>
      <c r="AT89" s="266">
        <v>606.26</v>
      </c>
      <c r="AU89" s="266">
        <v>595.24</v>
      </c>
      <c r="AV89" s="266">
        <v>595.24</v>
      </c>
      <c r="AW89" s="266">
        <v>595.24</v>
      </c>
      <c r="AX89" s="214">
        <v>595.24</v>
      </c>
      <c r="AY89" s="214">
        <v>595.24</v>
      </c>
      <c r="AZ89" s="214">
        <v>655.87</v>
      </c>
      <c r="BA89" s="214">
        <v>655.87</v>
      </c>
      <c r="BB89" s="214">
        <v>655.87</v>
      </c>
      <c r="BC89" s="214">
        <v>655.87</v>
      </c>
      <c r="BD89" s="214">
        <v>655.87</v>
      </c>
      <c r="BE89" s="214">
        <v>655.87</v>
      </c>
      <c r="BF89" s="214">
        <v>655.87</v>
      </c>
      <c r="BG89" s="214">
        <v>655.87</v>
      </c>
      <c r="BH89" s="214">
        <v>655.87</v>
      </c>
      <c r="BI89" s="214">
        <v>705.47</v>
      </c>
      <c r="BJ89" s="214">
        <v>705.47</v>
      </c>
      <c r="BK89" s="214">
        <v>705.47</v>
      </c>
      <c r="BL89" s="214">
        <v>705.47</v>
      </c>
      <c r="BM89" s="44">
        <v>650.36</v>
      </c>
      <c r="BN89" s="44">
        <v>650.36</v>
      </c>
      <c r="BO89" s="44">
        <v>650.36</v>
      </c>
      <c r="BP89" s="214">
        <v>650.36</v>
      </c>
      <c r="BQ89" s="214">
        <v>650.36</v>
      </c>
      <c r="BR89" s="300">
        <v>650.36</v>
      </c>
      <c r="BS89" s="300">
        <v>650.36</v>
      </c>
      <c r="BT89" s="300">
        <v>638.30999999999995</v>
      </c>
      <c r="BU89" s="300">
        <v>638.30999999999995</v>
      </c>
      <c r="BV89" s="300">
        <v>638.30999999999995</v>
      </c>
      <c r="BW89" s="178"/>
    </row>
    <row r="90" spans="1:75 16384:16384">
      <c r="A90" s="178" t="str">
        <f t="shared" si="18"/>
        <v>DEAUSD</v>
      </c>
      <c r="B90" s="178" t="s">
        <v>46</v>
      </c>
      <c r="C90" s="178" t="s">
        <v>131</v>
      </c>
      <c r="D90" s="178" t="s">
        <v>33</v>
      </c>
      <c r="E90" s="178" t="s">
        <v>32</v>
      </c>
      <c r="F90" s="178"/>
      <c r="G90" s="178"/>
      <c r="H90" s="178"/>
      <c r="I90" s="178"/>
      <c r="J90" s="178"/>
      <c r="K90" s="178"/>
      <c r="L90" s="178"/>
      <c r="M90" s="178"/>
      <c r="N90" s="178"/>
      <c r="O90" s="178"/>
      <c r="P90" s="178"/>
      <c r="Q90" s="178"/>
      <c r="R90" s="178"/>
      <c r="S90" s="178"/>
      <c r="T90" s="178"/>
      <c r="U90" s="178"/>
      <c r="V90" s="178"/>
      <c r="W90" s="178"/>
      <c r="X90" s="178"/>
      <c r="Y90" s="178">
        <v>1251.25</v>
      </c>
      <c r="Z90" s="178">
        <v>1230</v>
      </c>
      <c r="AA90" s="178">
        <v>1307.5</v>
      </c>
      <c r="AB90" s="178">
        <v>1325</v>
      </c>
      <c r="AC90" s="178">
        <v>1301.25</v>
      </c>
      <c r="AD90" s="178">
        <v>1275</v>
      </c>
      <c r="AE90" s="178">
        <v>1291.6669999999999</v>
      </c>
      <c r="AF90" s="178">
        <v>1345</v>
      </c>
      <c r="AG90" s="178">
        <v>1375</v>
      </c>
      <c r="AH90" s="178">
        <v>1412.5</v>
      </c>
      <c r="AI90" s="178">
        <v>1308</v>
      </c>
      <c r="AJ90" s="178">
        <v>1232.5</v>
      </c>
      <c r="AK90" s="178">
        <v>1159</v>
      </c>
      <c r="AL90" s="178">
        <v>1081.25</v>
      </c>
      <c r="AM90" s="178">
        <v>1048.75</v>
      </c>
      <c r="AN90" s="178">
        <v>1040</v>
      </c>
      <c r="AO90" s="178">
        <v>1040</v>
      </c>
      <c r="AP90" s="178">
        <v>1040</v>
      </c>
      <c r="AQ90" s="178">
        <v>1116.25</v>
      </c>
      <c r="AR90" s="178">
        <v>1230</v>
      </c>
      <c r="AS90" s="178">
        <v>1250</v>
      </c>
      <c r="AT90" s="178">
        <v>1195</v>
      </c>
      <c r="AU90" s="178">
        <v>1175</v>
      </c>
      <c r="AV90" s="178">
        <v>1175</v>
      </c>
      <c r="AW90" s="178">
        <v>1175</v>
      </c>
      <c r="AX90" s="214">
        <v>1125</v>
      </c>
      <c r="AY90" s="214">
        <v>1125</v>
      </c>
      <c r="AZ90" s="214">
        <v>1000</v>
      </c>
      <c r="BA90" s="214">
        <v>1000</v>
      </c>
      <c r="BB90" s="214">
        <v>1000</v>
      </c>
      <c r="BC90" s="214">
        <v>1000</v>
      </c>
      <c r="BD90" s="214">
        <v>1025</v>
      </c>
      <c r="BE90" s="214">
        <v>1025</v>
      </c>
      <c r="BF90" s="214">
        <v>1225</v>
      </c>
      <c r="BG90" s="214">
        <v>1225</v>
      </c>
      <c r="BH90" s="214">
        <v>1200</v>
      </c>
      <c r="BI90" s="214">
        <v>1200</v>
      </c>
      <c r="BJ90" s="214">
        <v>1200</v>
      </c>
      <c r="BK90" s="214">
        <v>1200</v>
      </c>
      <c r="BL90" s="214">
        <v>1200</v>
      </c>
      <c r="BM90" s="214">
        <v>1150</v>
      </c>
      <c r="BN90" s="214">
        <v>1150</v>
      </c>
      <c r="BO90" s="300">
        <v>1125</v>
      </c>
      <c r="BP90" s="214">
        <v>1125</v>
      </c>
      <c r="BQ90" s="214">
        <v>1125</v>
      </c>
      <c r="BR90" s="313">
        <v>1125</v>
      </c>
      <c r="BS90" s="300">
        <v>1125</v>
      </c>
      <c r="BT90" s="300">
        <v>1125</v>
      </c>
      <c r="BU90" s="214">
        <v>1125</v>
      </c>
      <c r="BV90" s="214">
        <v>1125</v>
      </c>
      <c r="BW90" s="178"/>
    </row>
    <row r="91" spans="1:75 16384:16384">
      <c r="A91" s="178" t="str">
        <f t="shared" si="18"/>
        <v>Aniline-CHINAUSD</v>
      </c>
      <c r="B91" s="178" t="s">
        <v>29</v>
      </c>
      <c r="C91" s="178" t="s">
        <v>116</v>
      </c>
      <c r="D91" s="178" t="s">
        <v>33</v>
      </c>
      <c r="E91" s="178" t="s">
        <v>32</v>
      </c>
      <c r="F91" s="216">
        <f>(((F76/1.13)/F3)/1000)</f>
        <v>0.82924335626169965</v>
      </c>
      <c r="G91" s="216">
        <f t="shared" ref="G91:BR91" si="28">(((G76/1.13)/G3)/1000)</f>
        <v>0.82269660455391691</v>
      </c>
      <c r="H91" s="216">
        <f t="shared" si="28"/>
        <v>0.83299794770233271</v>
      </c>
      <c r="I91" s="216">
        <f t="shared" si="28"/>
        <v>0.70590577831421075</v>
      </c>
      <c r="J91" s="216">
        <f t="shared" si="28"/>
        <v>0.59516163350045803</v>
      </c>
      <c r="K91" s="216">
        <f t="shared" si="28"/>
        <v>0.55527576037870674</v>
      </c>
      <c r="L91" s="216">
        <f t="shared" si="28"/>
        <v>0.55400701549966669</v>
      </c>
      <c r="M91" s="216">
        <f t="shared" si="28"/>
        <v>0.55564945600626048</v>
      </c>
      <c r="N91" s="216">
        <f t="shared" si="28"/>
        <v>0.56470597127503586</v>
      </c>
      <c r="O91" s="216">
        <f t="shared" si="28"/>
        <v>0.70080318656531215</v>
      </c>
      <c r="P91" s="216">
        <f t="shared" si="28"/>
        <v>0.94159943084333564</v>
      </c>
      <c r="Q91" s="216">
        <f t="shared" si="28"/>
        <v>1.0505403874703378</v>
      </c>
      <c r="R91" s="216">
        <f t="shared" si="28"/>
        <v>1.0876597293709844</v>
      </c>
      <c r="S91" s="216">
        <f t="shared" si="28"/>
        <v>1.3302599761673821</v>
      </c>
      <c r="T91" s="216">
        <f t="shared" si="28"/>
        <v>1.7439540988796183</v>
      </c>
      <c r="U91" s="216">
        <f t="shared" si="28"/>
        <v>1.5053885445837389</v>
      </c>
      <c r="V91" s="216">
        <f t="shared" si="28"/>
        <v>1.5205401425376142</v>
      </c>
      <c r="W91" s="216">
        <f t="shared" si="28"/>
        <v>1.3156747849282875</v>
      </c>
      <c r="X91" s="216">
        <f t="shared" si="28"/>
        <v>1.3822040813643226</v>
      </c>
      <c r="Y91" s="216">
        <f t="shared" si="28"/>
        <v>1.4649498924128199</v>
      </c>
      <c r="Z91" s="216">
        <f t="shared" si="28"/>
        <v>1.5006881585930321</v>
      </c>
      <c r="AA91" s="216">
        <f t="shared" si="28"/>
        <v>1.8286801479964094</v>
      </c>
      <c r="AB91" s="216">
        <f t="shared" si="28"/>
        <v>1.8351815624183518</v>
      </c>
      <c r="AC91" s="216">
        <f t="shared" si="28"/>
        <v>1.3306150192561172</v>
      </c>
      <c r="AD91" s="216">
        <f t="shared" si="28"/>
        <v>1.5446728056617136</v>
      </c>
      <c r="AE91" s="216">
        <f t="shared" si="28"/>
        <v>1.837994734279738</v>
      </c>
      <c r="AF91" s="216">
        <f t="shared" si="28"/>
        <v>1.7717260824655929</v>
      </c>
      <c r="AG91" s="216">
        <f t="shared" si="28"/>
        <v>1.5899341221181358</v>
      </c>
      <c r="AH91" s="216">
        <f t="shared" si="28"/>
        <v>1.4368593620678682</v>
      </c>
      <c r="AI91" s="216">
        <f t="shared" si="28"/>
        <v>1.5599305118260276</v>
      </c>
      <c r="AJ91" s="216">
        <f t="shared" si="28"/>
        <v>1.5284191752572451</v>
      </c>
      <c r="AK91" s="216">
        <f t="shared" si="28"/>
        <v>1.3265859695520972</v>
      </c>
      <c r="AL91" s="216">
        <f t="shared" si="28"/>
        <v>1.5169959151582031</v>
      </c>
      <c r="AM91" s="216">
        <f t="shared" si="28"/>
        <v>1.5898054648729594</v>
      </c>
      <c r="AN91" s="216">
        <f t="shared" si="28"/>
        <v>1.4479368865823559</v>
      </c>
      <c r="AO91" s="216">
        <f t="shared" si="28"/>
        <v>1.3080850046113366</v>
      </c>
      <c r="AP91" s="216">
        <f t="shared" si="28"/>
        <v>1.2908743580838045</v>
      </c>
      <c r="AQ91" s="216">
        <f t="shared" si="28"/>
        <v>1.5571667835392669</v>
      </c>
      <c r="AR91" s="216">
        <f t="shared" si="28"/>
        <v>1.6608480881002745</v>
      </c>
      <c r="AS91" s="216">
        <f t="shared" si="28"/>
        <v>1.3839474934816396</v>
      </c>
      <c r="AT91" s="216">
        <f t="shared" si="28"/>
        <v>1.4193280378655322</v>
      </c>
      <c r="AU91" s="216">
        <f t="shared" si="28"/>
        <v>1.3525941349991326</v>
      </c>
      <c r="AV91" s="216">
        <f t="shared" si="28"/>
        <v>1.1565456209948124</v>
      </c>
      <c r="AW91" s="216">
        <f t="shared" si="28"/>
        <v>1.1565456209948124</v>
      </c>
      <c r="AX91" s="216">
        <f t="shared" si="28"/>
        <v>1.2061209439528022</v>
      </c>
      <c r="AY91" s="216">
        <f t="shared" si="28"/>
        <v>1.2207438579119996</v>
      </c>
      <c r="AZ91" s="216">
        <f t="shared" si="28"/>
        <v>1.3127455660412002</v>
      </c>
      <c r="BA91" s="216">
        <f t="shared" si="28"/>
        <v>1.356282942386581</v>
      </c>
      <c r="BB91" s="216">
        <f t="shared" si="28"/>
        <v>1.3707709676244584</v>
      </c>
      <c r="BC91" s="216">
        <f t="shared" si="28"/>
        <v>1.3555968292120377</v>
      </c>
      <c r="BD91" s="216">
        <f t="shared" si="28"/>
        <v>1.4557582654383017</v>
      </c>
      <c r="BE91" s="216">
        <f t="shared" si="28"/>
        <v>1.6114934993991044</v>
      </c>
      <c r="BF91" s="216">
        <f t="shared" si="28"/>
        <v>1.6092859740574619</v>
      </c>
      <c r="BG91" s="216">
        <f t="shared" si="28"/>
        <v>1.6638380409746638</v>
      </c>
      <c r="BH91" s="216">
        <f t="shared" si="28"/>
        <v>1.6638380409746638</v>
      </c>
      <c r="BI91" s="216">
        <f t="shared" si="28"/>
        <v>1.6869469026548676</v>
      </c>
      <c r="BJ91" s="216">
        <f t="shared" si="28"/>
        <v>1.3952277762308878</v>
      </c>
      <c r="BK91" s="216">
        <f t="shared" si="28"/>
        <v>1.3933217273562553</v>
      </c>
      <c r="BL91" s="216">
        <f t="shared" si="28"/>
        <v>1.4424657033998372</v>
      </c>
      <c r="BM91" s="216">
        <f t="shared" si="28"/>
        <v>1.5541578292986178</v>
      </c>
      <c r="BN91" s="216">
        <f t="shared" si="28"/>
        <v>1.5541578292986178</v>
      </c>
      <c r="BO91" s="301">
        <f t="shared" si="28"/>
        <v>1.5891811043250657</v>
      </c>
      <c r="BP91" s="216">
        <f t="shared" si="28"/>
        <v>1.3757715475570762</v>
      </c>
      <c r="BQ91" s="216">
        <f t="shared" si="28"/>
        <v>1.3230650174120351</v>
      </c>
      <c r="BR91" s="311">
        <f t="shared" si="28"/>
        <v>1.2948821090414011</v>
      </c>
      <c r="BS91" s="301">
        <f>(((BS76/1.13)/BS3)/1000)</f>
        <v>1.3651909082966163</v>
      </c>
      <c r="BT91" s="301">
        <f>(((BT76/1.13)/BT3)/1000)</f>
        <v>1.3726162283435126</v>
      </c>
      <c r="BU91" s="216">
        <f>(((BU76/1.13)/BU3)/1000)</f>
        <v>1.2884831110557149</v>
      </c>
      <c r="BV91" s="216">
        <f>(((BV76/1.13)/BV3)/1000)</f>
        <v>1.2879710649298994</v>
      </c>
      <c r="BW91" s="216" t="e">
        <f>(((BW76/1.13)/BW3)/1000)</f>
        <v>#DIV/0!</v>
      </c>
    </row>
    <row r="92" spans="1:75 16384:16384">
      <c r="A92" s="178" t="str">
        <f t="shared" si="18"/>
        <v>TEAUSD</v>
      </c>
      <c r="B92" s="178" t="s">
        <v>46</v>
      </c>
      <c r="C92" s="178" t="s">
        <v>132</v>
      </c>
      <c r="D92" s="178" t="s">
        <v>33</v>
      </c>
      <c r="E92" s="178" t="s">
        <v>32</v>
      </c>
      <c r="F92" s="178"/>
      <c r="G92" s="178"/>
      <c r="H92" s="178"/>
      <c r="I92" s="178"/>
      <c r="J92" s="178"/>
      <c r="K92" s="178"/>
      <c r="L92" s="178"/>
      <c r="M92" s="178"/>
      <c r="N92" s="178"/>
      <c r="O92" s="178"/>
      <c r="P92" s="178"/>
      <c r="Q92" s="178"/>
      <c r="R92" s="178"/>
      <c r="S92" s="178"/>
      <c r="T92" s="178"/>
      <c r="U92" s="178"/>
      <c r="V92" s="178"/>
      <c r="W92" s="178"/>
      <c r="X92" s="178"/>
      <c r="Y92" s="178"/>
      <c r="Z92" s="178">
        <v>1325</v>
      </c>
      <c r="AA92" s="178">
        <v>1360</v>
      </c>
      <c r="AB92" s="178">
        <v>1360</v>
      </c>
      <c r="AC92" s="178">
        <v>1317.5</v>
      </c>
      <c r="AD92" s="178">
        <v>1317.5</v>
      </c>
      <c r="AE92" s="178">
        <v>1358.3333333333333</v>
      </c>
      <c r="AF92" s="178">
        <v>1395</v>
      </c>
      <c r="AG92" s="178">
        <v>1450</v>
      </c>
      <c r="AH92" s="178">
        <v>1443.75</v>
      </c>
      <c r="AI92" s="178">
        <v>1365</v>
      </c>
      <c r="AJ92" s="178">
        <v>1325</v>
      </c>
      <c r="AK92" s="178">
        <v>1255</v>
      </c>
      <c r="AL92" s="178">
        <v>1187.5</v>
      </c>
      <c r="AM92" s="178">
        <v>1175</v>
      </c>
      <c r="AN92" s="178">
        <v>1170</v>
      </c>
      <c r="AO92" s="178">
        <v>1083.3333333333333</v>
      </c>
      <c r="AP92" s="178">
        <v>1050</v>
      </c>
      <c r="AQ92" s="178">
        <v>1147.5</v>
      </c>
      <c r="AR92" s="178">
        <v>1300</v>
      </c>
      <c r="AS92" s="178">
        <v>1300</v>
      </c>
      <c r="AT92" s="178">
        <v>1255</v>
      </c>
      <c r="AU92" s="178">
        <v>1225</v>
      </c>
      <c r="AV92" s="178">
        <v>1225</v>
      </c>
      <c r="AW92" s="178">
        <v>1225</v>
      </c>
      <c r="AX92" s="178">
        <v>1225</v>
      </c>
      <c r="AY92" s="178">
        <v>1225</v>
      </c>
      <c r="AZ92" s="178">
        <v>1250</v>
      </c>
      <c r="BA92" s="178">
        <v>1250</v>
      </c>
      <c r="BB92" s="178">
        <v>1275</v>
      </c>
      <c r="BC92" s="178">
        <v>1275</v>
      </c>
      <c r="BD92" s="178">
        <v>1275</v>
      </c>
      <c r="BE92" s="178">
        <v>1275</v>
      </c>
      <c r="BF92" s="214">
        <v>1275</v>
      </c>
      <c r="BG92" s="214">
        <v>1275</v>
      </c>
      <c r="BH92" s="214">
        <v>1250</v>
      </c>
      <c r="BI92" s="214">
        <v>1250</v>
      </c>
      <c r="BJ92" s="214">
        <v>1250</v>
      </c>
      <c r="BK92" s="214">
        <v>1250</v>
      </c>
      <c r="BL92" s="214">
        <v>1250</v>
      </c>
      <c r="BM92" s="214">
        <v>1225</v>
      </c>
      <c r="BN92" s="214">
        <v>1200</v>
      </c>
      <c r="BO92" s="300">
        <v>1200</v>
      </c>
      <c r="BP92" s="214">
        <v>1200</v>
      </c>
      <c r="BQ92" s="214">
        <v>1200</v>
      </c>
      <c r="BR92" s="300">
        <v>1175</v>
      </c>
      <c r="BS92" s="300">
        <v>1175</v>
      </c>
      <c r="BT92" s="300">
        <v>1175</v>
      </c>
      <c r="BU92" s="214">
        <v>1175</v>
      </c>
      <c r="BV92" s="214">
        <v>1175</v>
      </c>
      <c r="BW92" s="178"/>
    </row>
    <row r="93" spans="1:75 16384:16384">
      <c r="A93" s="178" t="str">
        <f t="shared" si="18"/>
        <v>Ethanol FuelUSD</v>
      </c>
      <c r="B93" s="178" t="s">
        <v>133</v>
      </c>
      <c r="C93" s="178" t="s">
        <v>134</v>
      </c>
      <c r="D93" s="178" t="s">
        <v>33</v>
      </c>
      <c r="E93" s="178" t="s">
        <v>135</v>
      </c>
      <c r="F93" s="178"/>
      <c r="G93" s="178"/>
      <c r="H93" s="178"/>
      <c r="I93" s="178"/>
      <c r="J93" s="178"/>
      <c r="K93" s="178"/>
      <c r="L93" s="178"/>
      <c r="M93" s="178"/>
      <c r="N93" s="178"/>
      <c r="O93" s="178"/>
      <c r="P93" s="178"/>
      <c r="Q93" s="178"/>
      <c r="R93" s="178"/>
      <c r="S93" s="178"/>
      <c r="T93" s="178"/>
      <c r="U93" s="178"/>
      <c r="V93" s="178"/>
      <c r="W93" s="178"/>
      <c r="X93" s="178"/>
      <c r="Y93" s="178"/>
      <c r="Z93" s="178">
        <v>2.3975</v>
      </c>
      <c r="AA93" s="178">
        <v>2.6262499999999998</v>
      </c>
      <c r="AB93" s="178">
        <v>3.4068750000000003</v>
      </c>
      <c r="AC93" s="178">
        <v>3.055625</v>
      </c>
      <c r="AD93" s="178">
        <v>2.1431249999999999</v>
      </c>
      <c r="AE93" s="178">
        <v>2.1176249999999999</v>
      </c>
      <c r="AF93" s="178">
        <v>2.4289000000000001</v>
      </c>
      <c r="AG93" s="178">
        <v>2.6710000000000003</v>
      </c>
      <c r="AH93" s="178">
        <v>2.7539375000000001</v>
      </c>
      <c r="AI93" s="178">
        <v>2.7736000000000001</v>
      </c>
      <c r="AJ93" s="178">
        <v>2.5018750000000001</v>
      </c>
      <c r="AK93" s="178">
        <v>2.5189999999999997</v>
      </c>
      <c r="AL93" s="178">
        <v>2.4678749999999998</v>
      </c>
      <c r="AM93" s="178">
        <v>2.4659999999999997</v>
      </c>
      <c r="AN93" s="178">
        <v>2.5499999999999998</v>
      </c>
      <c r="AO93" s="178">
        <v>2.1728333333333332</v>
      </c>
      <c r="AP93" s="178">
        <v>2.1850000000000001</v>
      </c>
      <c r="AQ93" s="178">
        <v>2.1749375</v>
      </c>
      <c r="AR93" s="178">
        <v>2.2358000000000002</v>
      </c>
      <c r="AS93" s="178">
        <v>2.4291875000000003</v>
      </c>
      <c r="AT93" s="178">
        <v>2.4463000000000004</v>
      </c>
      <c r="AU93" s="178">
        <v>2.536</v>
      </c>
      <c r="AV93" s="178">
        <v>2.3264999999999998</v>
      </c>
      <c r="AW93" s="178">
        <v>2.4112499999999999</v>
      </c>
      <c r="AX93" s="178">
        <v>2.54</v>
      </c>
      <c r="AY93" s="178">
        <v>2.42</v>
      </c>
      <c r="AZ93" s="178">
        <v>2.23</v>
      </c>
      <c r="BA93" s="178">
        <v>2.2014999999999998</v>
      </c>
      <c r="BB93" s="178">
        <v>2.1549999999999998</v>
      </c>
      <c r="BC93" s="178">
        <v>2.2669999999999999</v>
      </c>
      <c r="BD93" s="178">
        <v>2.2669999999999999</v>
      </c>
      <c r="BE93" s="178">
        <v>2.4445000000000001</v>
      </c>
      <c r="BF93" s="214">
        <v>2.3424999999999998</v>
      </c>
      <c r="BG93" s="214">
        <v>2.3424999999999998</v>
      </c>
      <c r="BH93" s="214">
        <v>2.3424999999999998</v>
      </c>
      <c r="BI93" s="214">
        <v>2.3424999999999998</v>
      </c>
      <c r="BJ93" s="214">
        <v>2.33</v>
      </c>
      <c r="BK93" s="214">
        <v>2.33</v>
      </c>
      <c r="BL93" s="214">
        <v>2.06</v>
      </c>
      <c r="BM93" s="214">
        <v>2.0299999999999998</v>
      </c>
      <c r="BN93" s="214">
        <v>2.0299999999999998</v>
      </c>
      <c r="BO93" s="300">
        <v>1.982</v>
      </c>
      <c r="BP93" s="214">
        <v>1.91</v>
      </c>
      <c r="BQ93" s="214">
        <v>1.91</v>
      </c>
      <c r="BR93" s="300">
        <v>1.71</v>
      </c>
      <c r="BS93" s="300">
        <v>1.56</v>
      </c>
      <c r="BT93" s="300">
        <v>1.532</v>
      </c>
      <c r="BU93" s="214">
        <v>1.57</v>
      </c>
      <c r="BV93" s="214">
        <v>1.57</v>
      </c>
      <c r="BW93" s="178"/>
    </row>
    <row r="94" spans="1:75 16384:16384">
      <c r="A94" s="178" t="str">
        <f t="shared" si="18"/>
        <v>Toluene N Grade USD</v>
      </c>
      <c r="B94" s="178" t="s">
        <v>136</v>
      </c>
      <c r="C94" s="178" t="s">
        <v>137</v>
      </c>
      <c r="D94" s="178" t="s">
        <v>33</v>
      </c>
      <c r="E94" s="178" t="s">
        <v>135</v>
      </c>
      <c r="F94" s="178"/>
      <c r="G94" s="178"/>
      <c r="H94" s="178"/>
      <c r="I94" s="178"/>
      <c r="J94" s="178"/>
      <c r="K94" s="178"/>
      <c r="L94" s="178"/>
      <c r="M94" s="178"/>
      <c r="N94" s="178"/>
      <c r="O94" s="178"/>
      <c r="P94" s="178"/>
      <c r="Q94" s="178"/>
      <c r="R94" s="178"/>
      <c r="S94" s="178"/>
      <c r="T94" s="178"/>
      <c r="U94" s="178"/>
      <c r="V94" s="178"/>
      <c r="W94" s="178"/>
      <c r="X94" s="178"/>
      <c r="Y94" s="178"/>
      <c r="Z94" s="178"/>
      <c r="AA94" s="178">
        <v>2.9130000000000003</v>
      </c>
      <c r="AB94" s="178">
        <v>3.0212500000000002</v>
      </c>
      <c r="AC94" s="178">
        <v>2.7474999999999996</v>
      </c>
      <c r="AD94" s="178">
        <v>3.1262499999999998</v>
      </c>
      <c r="AE94" s="178">
        <v>3.4750000000000005</v>
      </c>
      <c r="AF94" s="178">
        <v>4.2937500000000002</v>
      </c>
      <c r="AG94" s="178">
        <v>4.1669999999999998</v>
      </c>
      <c r="AH94" s="178">
        <v>5.2437500000000004</v>
      </c>
      <c r="AI94" s="178">
        <v>6.6862499999999994</v>
      </c>
      <c r="AJ94" s="178">
        <v>5.218</v>
      </c>
      <c r="AK94" s="178">
        <v>3.8275000000000001</v>
      </c>
      <c r="AL94" s="178">
        <v>3.6310000000000002</v>
      </c>
      <c r="AM94" s="178">
        <v>4.2312500000000002</v>
      </c>
      <c r="AN94" s="178">
        <v>4.2237499999999999</v>
      </c>
      <c r="AO94" s="178">
        <v>3.7425000000000002</v>
      </c>
      <c r="AP94" s="178">
        <v>3.7087500000000002</v>
      </c>
      <c r="AQ94" s="178">
        <v>3.6074999999999999</v>
      </c>
      <c r="AR94" s="178">
        <v>3.7629999999999995</v>
      </c>
      <c r="AS94" s="178">
        <v>3.78125</v>
      </c>
      <c r="AT94" s="178">
        <v>3.4075000000000002</v>
      </c>
      <c r="AU94" s="178">
        <v>3.5469999999999997</v>
      </c>
      <c r="AV94" s="178">
        <v>3.7</v>
      </c>
      <c r="AW94" s="178">
        <v>3.75</v>
      </c>
      <c r="AX94" s="178">
        <v>3.93</v>
      </c>
      <c r="AY94" s="178">
        <v>4.3250000000000002</v>
      </c>
      <c r="AZ94" s="178">
        <v>4.08</v>
      </c>
      <c r="BA94" s="178">
        <v>4.4400000000000004</v>
      </c>
      <c r="BB94" s="178">
        <v>4.3550000000000004</v>
      </c>
      <c r="BC94" s="178">
        <v>4.25</v>
      </c>
      <c r="BD94" s="178">
        <v>4.21</v>
      </c>
      <c r="BE94" s="178">
        <v>4.25</v>
      </c>
      <c r="BF94" s="214">
        <v>4.2</v>
      </c>
      <c r="BG94" s="214">
        <v>4.03</v>
      </c>
      <c r="BH94" s="214">
        <v>3.55</v>
      </c>
      <c r="BI94" s="214">
        <v>3.55</v>
      </c>
      <c r="BJ94" s="214">
        <v>3.54</v>
      </c>
      <c r="BK94" s="214">
        <v>3.41</v>
      </c>
      <c r="BL94" s="214">
        <v>3.2120000000000002</v>
      </c>
      <c r="BM94" s="214">
        <v>3.05</v>
      </c>
      <c r="BN94" s="214">
        <v>3.05</v>
      </c>
      <c r="BO94" s="300">
        <v>3.0449999999999999</v>
      </c>
      <c r="BP94" s="214">
        <v>3.25</v>
      </c>
      <c r="BQ94" s="214">
        <v>3.25</v>
      </c>
      <c r="BR94" s="300">
        <v>3.4</v>
      </c>
      <c r="BS94" s="300">
        <v>3.37</v>
      </c>
      <c r="BT94" s="300">
        <v>3.51</v>
      </c>
      <c r="BU94" s="214">
        <v>3.63</v>
      </c>
      <c r="BV94" s="214">
        <v>3.63</v>
      </c>
      <c r="BW94" s="178"/>
    </row>
    <row r="95" spans="1:75 16384:16384">
      <c r="A95" s="178" t="str">
        <f t="shared" si="18"/>
        <v>Xylenes USD</v>
      </c>
      <c r="B95" s="178" t="s">
        <v>138</v>
      </c>
      <c r="C95" s="178" t="s">
        <v>139</v>
      </c>
      <c r="D95" s="178" t="s">
        <v>33</v>
      </c>
      <c r="E95" s="178" t="s">
        <v>135</v>
      </c>
      <c r="F95" s="178"/>
      <c r="G95" s="178"/>
      <c r="H95" s="178"/>
      <c r="I95" s="178"/>
      <c r="J95" s="178"/>
      <c r="K95" s="178"/>
      <c r="L95" s="178"/>
      <c r="M95" s="178"/>
      <c r="N95" s="178"/>
      <c r="O95" s="178"/>
      <c r="P95" s="178"/>
      <c r="Q95" s="178"/>
      <c r="R95" s="178"/>
      <c r="S95" s="178"/>
      <c r="T95" s="178"/>
      <c r="U95" s="178"/>
      <c r="V95" s="178"/>
      <c r="W95" s="178"/>
      <c r="X95" s="178"/>
      <c r="Y95" s="178"/>
      <c r="Z95" s="178"/>
      <c r="AA95" s="178">
        <v>2.915</v>
      </c>
      <c r="AB95" s="178">
        <v>2.8150000000000004</v>
      </c>
      <c r="AC95" s="178">
        <v>2.5500000000000003</v>
      </c>
      <c r="AD95" s="178">
        <v>3.0774999999999997</v>
      </c>
      <c r="AE95" s="178">
        <v>3.4662500000000001</v>
      </c>
      <c r="AF95" s="178">
        <v>4.2249999999999996</v>
      </c>
      <c r="AG95" s="178">
        <v>4.1420000000000003</v>
      </c>
      <c r="AH95" s="178">
        <v>5.1687499999999993</v>
      </c>
      <c r="AI95" s="178">
        <v>6.6262499999999998</v>
      </c>
      <c r="AJ95" s="178">
        <v>5.2159999999999993</v>
      </c>
      <c r="AK95" s="178">
        <v>3.7462499999999999</v>
      </c>
      <c r="AL95" s="178">
        <v>3.6660000000000004</v>
      </c>
      <c r="AM95" s="178">
        <v>4.5487500000000001</v>
      </c>
      <c r="AN95" s="178">
        <v>4.5362499999999999</v>
      </c>
      <c r="AO95" s="178">
        <v>3.8649999999999998</v>
      </c>
      <c r="AP95" s="178">
        <v>3.6887500000000002</v>
      </c>
      <c r="AQ95" s="178">
        <v>3.6187500000000004</v>
      </c>
      <c r="AR95" s="178">
        <v>3.7530000000000001</v>
      </c>
      <c r="AS95" s="178">
        <v>3.82</v>
      </c>
      <c r="AT95" s="178">
        <v>3.5374999999999996</v>
      </c>
      <c r="AU95" s="178">
        <v>3.5529999999999999</v>
      </c>
      <c r="AV95" s="178">
        <v>3.7250000000000001</v>
      </c>
      <c r="AW95" s="178">
        <v>3.75</v>
      </c>
      <c r="AX95" s="178">
        <v>3.93</v>
      </c>
      <c r="AY95" s="178">
        <v>4.32</v>
      </c>
      <c r="AZ95" s="178">
        <v>4.1500000000000004</v>
      </c>
      <c r="BA95" s="178">
        <v>4.4349999999999996</v>
      </c>
      <c r="BB95" s="178">
        <v>4.3550000000000004</v>
      </c>
      <c r="BC95" s="178">
        <v>4.25</v>
      </c>
      <c r="BD95" s="178">
        <v>4.21</v>
      </c>
      <c r="BE95" s="178">
        <v>4.05</v>
      </c>
      <c r="BF95" s="214">
        <v>4.05</v>
      </c>
      <c r="BG95" s="214">
        <v>4.13</v>
      </c>
      <c r="BH95" s="214">
        <v>3.7</v>
      </c>
      <c r="BI95" s="214">
        <v>3.7</v>
      </c>
      <c r="BJ95" s="214">
        <v>3.57</v>
      </c>
      <c r="BK95" s="214">
        <v>3.4</v>
      </c>
      <c r="BL95" s="214">
        <v>3.3</v>
      </c>
      <c r="BM95" s="214">
        <v>3.15</v>
      </c>
      <c r="BN95" s="214">
        <v>3.15</v>
      </c>
      <c r="BO95" s="300">
        <v>3.24</v>
      </c>
      <c r="BP95" s="214">
        <v>3.35</v>
      </c>
      <c r="BQ95" s="214">
        <v>3.31</v>
      </c>
      <c r="BR95" s="301">
        <v>3.375</v>
      </c>
      <c r="BS95" s="300">
        <v>3.5</v>
      </c>
      <c r="BT95" s="300">
        <v>3.55</v>
      </c>
      <c r="BU95" s="214">
        <v>3.65</v>
      </c>
      <c r="BV95" s="214">
        <v>3.65</v>
      </c>
      <c r="BW95" s="178"/>
    </row>
    <row r="96" spans="1:75 16384:16384">
      <c r="A96" s="178" t="str">
        <f t="shared" si="18"/>
        <v>EVA VA Content 14-20%USD</v>
      </c>
      <c r="B96" s="178" t="s">
        <v>46</v>
      </c>
      <c r="C96" s="178" t="s">
        <v>140</v>
      </c>
      <c r="D96" s="178" t="s">
        <v>33</v>
      </c>
      <c r="E96" s="178" t="s">
        <v>32</v>
      </c>
      <c r="F96" s="178"/>
      <c r="G96" s="178"/>
      <c r="H96" s="178"/>
      <c r="I96" s="178"/>
      <c r="J96" s="178"/>
      <c r="K96" s="178"/>
      <c r="L96" s="178"/>
      <c r="M96" s="178"/>
      <c r="N96" s="178"/>
      <c r="O96" s="178"/>
      <c r="P96" s="178"/>
      <c r="Q96" s="178"/>
      <c r="R96" s="178"/>
      <c r="S96" s="178"/>
      <c r="T96" s="178"/>
      <c r="U96" s="178"/>
      <c r="V96" s="178"/>
      <c r="W96" s="178"/>
      <c r="X96" s="178"/>
      <c r="Y96" s="178"/>
      <c r="Z96" s="178">
        <v>3145</v>
      </c>
      <c r="AA96" s="178">
        <v>3375</v>
      </c>
      <c r="AB96" s="178">
        <v>3296</v>
      </c>
      <c r="AC96" s="178">
        <v>2852.5</v>
      </c>
      <c r="AD96" s="178">
        <v>2382.5</v>
      </c>
      <c r="AE96" s="178">
        <v>2456.875</v>
      </c>
      <c r="AF96" s="178">
        <v>2735</v>
      </c>
      <c r="AG96" s="178">
        <v>2976.25</v>
      </c>
      <c r="AH96" s="178">
        <v>3166.25</v>
      </c>
      <c r="AI96" s="178">
        <v>2942.5</v>
      </c>
      <c r="AJ96" s="178">
        <v>2631.25</v>
      </c>
      <c r="AK96" s="178">
        <v>2291.5</v>
      </c>
      <c r="AL96" s="178">
        <v>2331.875</v>
      </c>
      <c r="AM96" s="178">
        <v>2331.875</v>
      </c>
      <c r="AN96" s="178">
        <v>1924.5</v>
      </c>
      <c r="AO96" s="178">
        <v>1535</v>
      </c>
      <c r="AP96" s="178">
        <v>1691.25</v>
      </c>
      <c r="AQ96" s="178">
        <v>1903.75</v>
      </c>
      <c r="AR96" s="178">
        <v>1958.75</v>
      </c>
      <c r="AS96" s="178">
        <v>1800</v>
      </c>
      <c r="AT96" s="178">
        <v>1566</v>
      </c>
      <c r="AU96" s="178">
        <v>1492.5</v>
      </c>
      <c r="AV96" s="178">
        <v>1435</v>
      </c>
      <c r="AW96" s="178">
        <v>1435</v>
      </c>
      <c r="AX96" s="178">
        <v>1470</v>
      </c>
      <c r="AY96" s="178">
        <v>1495</v>
      </c>
      <c r="AZ96" s="178">
        <v>1505</v>
      </c>
      <c r="BA96" s="178">
        <v>1530</v>
      </c>
      <c r="BB96" s="178">
        <v>1530</v>
      </c>
      <c r="BC96" s="178">
        <v>1530</v>
      </c>
      <c r="BD96" s="178">
        <v>1520</v>
      </c>
      <c r="BE96" s="178">
        <v>1520</v>
      </c>
      <c r="BF96" s="214">
        <v>1505</v>
      </c>
      <c r="BG96" s="214">
        <v>1470</v>
      </c>
      <c r="BH96" s="214">
        <v>1470</v>
      </c>
      <c r="BI96" s="214">
        <v>1405</v>
      </c>
      <c r="BJ96" s="214">
        <v>1380</v>
      </c>
      <c r="BK96" s="214">
        <v>1380</v>
      </c>
      <c r="BL96" s="214">
        <v>1355</v>
      </c>
      <c r="BM96" s="214">
        <v>1345</v>
      </c>
      <c r="BN96" s="214">
        <v>1335</v>
      </c>
      <c r="BO96" s="300">
        <v>1345</v>
      </c>
      <c r="BP96" s="214">
        <v>1315</v>
      </c>
      <c r="BQ96" s="214">
        <v>1285</v>
      </c>
      <c r="BR96" s="300">
        <v>1255</v>
      </c>
      <c r="BS96" s="300">
        <v>1255</v>
      </c>
      <c r="BT96" s="300">
        <v>1225</v>
      </c>
      <c r="BU96" s="214">
        <v>1235</v>
      </c>
      <c r="BV96" s="214">
        <v>1245</v>
      </c>
      <c r="BW96" s="178"/>
    </row>
    <row r="97" spans="1:75">
      <c r="A97" s="178" t="str">
        <f t="shared" si="18"/>
        <v>2-Ethyl Hexyl AcrylateUSD</v>
      </c>
      <c r="B97" s="178" t="s">
        <v>46</v>
      </c>
      <c r="C97" s="178" t="s">
        <v>141</v>
      </c>
      <c r="D97" s="178" t="s">
        <v>33</v>
      </c>
      <c r="E97" s="178" t="s">
        <v>32</v>
      </c>
      <c r="F97" s="178"/>
      <c r="G97" s="178"/>
      <c r="H97" s="178"/>
      <c r="I97" s="178"/>
      <c r="J97" s="178"/>
      <c r="K97" s="178"/>
      <c r="L97" s="178"/>
      <c r="M97" s="178"/>
      <c r="N97" s="178"/>
      <c r="O97" s="178"/>
      <c r="P97" s="178"/>
      <c r="Q97" s="178"/>
      <c r="R97" s="178"/>
      <c r="S97" s="178"/>
      <c r="T97" s="178"/>
      <c r="U97" s="178"/>
      <c r="V97" s="178"/>
      <c r="W97" s="178"/>
      <c r="X97" s="178"/>
      <c r="Y97" s="178"/>
      <c r="Z97" s="178"/>
      <c r="AA97" s="178">
        <v>2868.75</v>
      </c>
      <c r="AB97" s="178">
        <v>2826.25</v>
      </c>
      <c r="AC97" s="178">
        <v>2677.5</v>
      </c>
      <c r="AD97" s="178">
        <v>2425</v>
      </c>
      <c r="AE97" s="178">
        <v>2533.3333333333335</v>
      </c>
      <c r="AF97" s="178">
        <v>2709</v>
      </c>
      <c r="AG97" s="178">
        <v>2697.5</v>
      </c>
      <c r="AH97" s="178">
        <v>2646.25</v>
      </c>
      <c r="AI97" s="178">
        <v>2376</v>
      </c>
      <c r="AJ97" s="178">
        <v>2012.5</v>
      </c>
      <c r="AK97" s="178">
        <v>1613.5</v>
      </c>
      <c r="AL97" s="178">
        <v>1445</v>
      </c>
      <c r="AM97" s="178">
        <v>1486.25</v>
      </c>
      <c r="AN97" s="178">
        <v>1423</v>
      </c>
      <c r="AO97" s="178">
        <v>1391.6666666666667</v>
      </c>
      <c r="AP97" s="178">
        <v>1397.5</v>
      </c>
      <c r="AQ97" s="178">
        <v>1520</v>
      </c>
      <c r="AR97" s="178">
        <v>1534</v>
      </c>
      <c r="AS97" s="178">
        <v>1455</v>
      </c>
      <c r="AT97" s="178">
        <v>1402</v>
      </c>
      <c r="AU97" s="178">
        <v>1342.5</v>
      </c>
      <c r="AV97" s="178">
        <v>1315</v>
      </c>
      <c r="AW97" s="178">
        <v>1315</v>
      </c>
      <c r="AX97" s="178">
        <v>1315</v>
      </c>
      <c r="AY97" s="178">
        <v>1325</v>
      </c>
      <c r="AZ97" s="178">
        <v>1335</v>
      </c>
      <c r="BA97" s="178">
        <v>1335</v>
      </c>
      <c r="BB97" s="178">
        <v>1350</v>
      </c>
      <c r="BC97" s="178">
        <v>1365</v>
      </c>
      <c r="BD97" s="178">
        <v>1500</v>
      </c>
      <c r="BE97" s="178">
        <v>1500</v>
      </c>
      <c r="BF97" s="214">
        <v>1550</v>
      </c>
      <c r="BG97" s="214">
        <v>1550</v>
      </c>
      <c r="BH97" s="214">
        <v>1550</v>
      </c>
      <c r="BI97" s="214">
        <v>1550</v>
      </c>
      <c r="BJ97" s="214">
        <v>1460</v>
      </c>
      <c r="BK97" s="214">
        <v>1450</v>
      </c>
      <c r="BL97" s="214">
        <v>1425</v>
      </c>
      <c r="BM97" s="214">
        <v>1425</v>
      </c>
      <c r="BN97" s="214">
        <v>1475</v>
      </c>
      <c r="BO97" s="300">
        <v>1490</v>
      </c>
      <c r="BP97" s="214">
        <v>1490</v>
      </c>
      <c r="BQ97" s="214">
        <v>1550</v>
      </c>
      <c r="BR97" s="300">
        <v>1630</v>
      </c>
      <c r="BS97" s="300">
        <v>1630</v>
      </c>
      <c r="BT97" s="300">
        <v>1650</v>
      </c>
      <c r="BU97" s="214">
        <v>1770</v>
      </c>
      <c r="BV97" s="214">
        <v>1770</v>
      </c>
      <c r="BW97" s="178"/>
    </row>
    <row r="98" spans="1:75">
      <c r="A98" s="178" t="str">
        <f t="shared" si="18"/>
        <v>Acrylic Acid Glacial USD</v>
      </c>
      <c r="B98" s="178" t="s">
        <v>46</v>
      </c>
      <c r="C98" s="178" t="s">
        <v>142</v>
      </c>
      <c r="D98" s="178" t="s">
        <v>33</v>
      </c>
      <c r="E98" s="178" t="s">
        <v>32</v>
      </c>
      <c r="F98" s="178"/>
      <c r="G98" s="178"/>
      <c r="H98" s="178"/>
      <c r="I98" s="178"/>
      <c r="J98" s="178"/>
      <c r="K98" s="178"/>
      <c r="L98" s="178"/>
      <c r="M98" s="178"/>
      <c r="N98" s="178"/>
      <c r="O98" s="178"/>
      <c r="P98" s="178"/>
      <c r="Q98" s="178"/>
      <c r="R98" s="178"/>
      <c r="S98" s="178"/>
      <c r="T98" s="178"/>
      <c r="U98" s="178"/>
      <c r="V98" s="178"/>
      <c r="W98" s="178"/>
      <c r="X98" s="178"/>
      <c r="Y98" s="178"/>
      <c r="Z98" s="178"/>
      <c r="AA98" s="178">
        <v>2355</v>
      </c>
      <c r="AB98" s="178">
        <v>2468.75</v>
      </c>
      <c r="AC98" s="178">
        <v>2362.5</v>
      </c>
      <c r="AD98" s="178">
        <v>2287.5</v>
      </c>
      <c r="AE98" s="178">
        <v>2433.3333333333335</v>
      </c>
      <c r="AF98" s="178">
        <v>2548</v>
      </c>
      <c r="AG98" s="178">
        <v>2555</v>
      </c>
      <c r="AH98" s="178">
        <v>2531.25</v>
      </c>
      <c r="AI98" s="178">
        <v>2432.5</v>
      </c>
      <c r="AJ98" s="178">
        <v>1962.5</v>
      </c>
      <c r="AK98" s="178">
        <v>1600</v>
      </c>
      <c r="AL98" s="178">
        <v>1431.25</v>
      </c>
      <c r="AM98" s="178">
        <v>1362.5</v>
      </c>
      <c r="AN98" s="178">
        <v>1243</v>
      </c>
      <c r="AO98" s="178">
        <v>1190</v>
      </c>
      <c r="AP98" s="178">
        <v>1200</v>
      </c>
      <c r="AQ98" s="178">
        <v>1257.5</v>
      </c>
      <c r="AR98" s="178">
        <v>1284</v>
      </c>
      <c r="AS98" s="178">
        <v>1187.5</v>
      </c>
      <c r="AT98" s="178">
        <v>1116</v>
      </c>
      <c r="AU98" s="178">
        <v>1020</v>
      </c>
      <c r="AV98" s="178">
        <v>975</v>
      </c>
      <c r="AW98" s="178">
        <v>940</v>
      </c>
      <c r="AX98" s="178">
        <v>940</v>
      </c>
      <c r="AY98" s="178">
        <v>940</v>
      </c>
      <c r="AZ98" s="178">
        <v>975</v>
      </c>
      <c r="BA98" s="178">
        <v>975</v>
      </c>
      <c r="BB98" s="178">
        <v>1000</v>
      </c>
      <c r="BC98" s="178">
        <v>1100</v>
      </c>
      <c r="BD98" s="178">
        <v>1100</v>
      </c>
      <c r="BE98" s="178">
        <v>1100</v>
      </c>
      <c r="BF98" s="214">
        <v>1100</v>
      </c>
      <c r="BG98" s="214">
        <v>1100</v>
      </c>
      <c r="BH98" s="214">
        <v>1100</v>
      </c>
      <c r="BI98" s="214">
        <v>1075</v>
      </c>
      <c r="BJ98" s="214">
        <v>1075</v>
      </c>
      <c r="BK98" s="214">
        <v>1065</v>
      </c>
      <c r="BL98" s="214">
        <v>1050</v>
      </c>
      <c r="BM98" s="214">
        <v>1020</v>
      </c>
      <c r="BN98" s="214">
        <v>1020</v>
      </c>
      <c r="BO98" s="300">
        <v>1020</v>
      </c>
      <c r="BP98" s="214">
        <v>1020</v>
      </c>
      <c r="BQ98" s="214">
        <v>1020</v>
      </c>
      <c r="BR98" s="300">
        <v>1020</v>
      </c>
      <c r="BS98" s="300">
        <v>1020</v>
      </c>
      <c r="BT98" s="300">
        <v>1020</v>
      </c>
      <c r="BU98" s="214">
        <v>1020</v>
      </c>
      <c r="BV98" s="214">
        <v>1020</v>
      </c>
      <c r="BW98" s="178"/>
    </row>
    <row r="99" spans="1:75">
      <c r="A99" s="178" t="str">
        <f t="shared" si="18"/>
        <v>Butyl Acrylate USD</v>
      </c>
      <c r="B99" s="178" t="s">
        <v>46</v>
      </c>
      <c r="C99" s="178" t="s">
        <v>143</v>
      </c>
      <c r="D99" s="178" t="s">
        <v>33</v>
      </c>
      <c r="E99" s="178" t="s">
        <v>32</v>
      </c>
      <c r="F99" s="178"/>
      <c r="G99" s="178"/>
      <c r="H99" s="178"/>
      <c r="I99" s="178"/>
      <c r="J99" s="178"/>
      <c r="K99" s="178"/>
      <c r="L99" s="178"/>
      <c r="M99" s="178"/>
      <c r="N99" s="178"/>
      <c r="O99" s="178"/>
      <c r="P99" s="178"/>
      <c r="Q99" s="178"/>
      <c r="R99" s="178"/>
      <c r="S99" s="178"/>
      <c r="T99" s="178"/>
      <c r="U99" s="178"/>
      <c r="V99" s="178"/>
      <c r="W99" s="178"/>
      <c r="X99" s="178"/>
      <c r="Y99" s="178"/>
      <c r="Z99" s="178"/>
      <c r="AA99" s="178">
        <v>2671.875</v>
      </c>
      <c r="AB99" s="178">
        <v>2550</v>
      </c>
      <c r="AC99" s="178">
        <v>2236.25</v>
      </c>
      <c r="AD99" s="178">
        <v>2008.75</v>
      </c>
      <c r="AE99" s="178">
        <v>2208.3333333333335</v>
      </c>
      <c r="AF99" s="178">
        <v>2382</v>
      </c>
      <c r="AG99" s="178">
        <v>2273.75</v>
      </c>
      <c r="AH99" s="178">
        <v>2191.25</v>
      </c>
      <c r="AI99" s="178">
        <v>2050</v>
      </c>
      <c r="AJ99" s="178">
        <v>1745</v>
      </c>
      <c r="AK99" s="178">
        <v>1439</v>
      </c>
      <c r="AL99" s="178">
        <v>1352.5</v>
      </c>
      <c r="AM99" s="178">
        <v>1315</v>
      </c>
      <c r="AN99" s="178">
        <v>1227</v>
      </c>
      <c r="AO99" s="178">
        <v>1246.6666666666667</v>
      </c>
      <c r="AP99" s="178">
        <v>1268.75</v>
      </c>
      <c r="AQ99" s="178">
        <v>1375</v>
      </c>
      <c r="AR99" s="178">
        <v>1435</v>
      </c>
      <c r="AS99" s="178">
        <v>1275</v>
      </c>
      <c r="AT99" s="178">
        <v>1246</v>
      </c>
      <c r="AU99" s="178">
        <v>1197.5</v>
      </c>
      <c r="AV99" s="178">
        <v>1165</v>
      </c>
      <c r="AW99" s="178">
        <v>1155</v>
      </c>
      <c r="AX99" s="178">
        <v>1155</v>
      </c>
      <c r="AY99" s="178">
        <v>1175</v>
      </c>
      <c r="AZ99" s="178">
        <v>1190</v>
      </c>
      <c r="BA99" s="178">
        <v>1200</v>
      </c>
      <c r="BB99" s="178">
        <v>1220</v>
      </c>
      <c r="BC99" s="178">
        <v>1280</v>
      </c>
      <c r="BD99" s="178">
        <v>1300</v>
      </c>
      <c r="BE99" s="178">
        <v>1325</v>
      </c>
      <c r="BF99" s="214">
        <v>1340</v>
      </c>
      <c r="BG99" s="214">
        <v>1325</v>
      </c>
      <c r="BH99" s="214">
        <v>1325</v>
      </c>
      <c r="BI99" s="214">
        <v>1315</v>
      </c>
      <c r="BJ99" s="214">
        <v>1275</v>
      </c>
      <c r="BK99" s="214">
        <v>1245</v>
      </c>
      <c r="BL99" s="214">
        <v>1235</v>
      </c>
      <c r="BM99" s="214">
        <v>1235</v>
      </c>
      <c r="BN99" s="214">
        <v>1225</v>
      </c>
      <c r="BO99" s="300">
        <v>1225</v>
      </c>
      <c r="BP99" s="214">
        <v>1225</v>
      </c>
      <c r="BQ99" s="214">
        <v>1260</v>
      </c>
      <c r="BR99" s="300">
        <v>1260</v>
      </c>
      <c r="BS99" s="300">
        <v>1260</v>
      </c>
      <c r="BT99" s="300">
        <v>1260</v>
      </c>
      <c r="BU99" s="214">
        <v>1305</v>
      </c>
      <c r="BV99" s="214">
        <v>1305</v>
      </c>
      <c r="BW99" s="178"/>
    </row>
    <row r="100" spans="1:75">
      <c r="A100" s="178" t="str">
        <f t="shared" si="18"/>
        <v>Ethyl AcrylateUSD</v>
      </c>
      <c r="B100" s="178" t="s">
        <v>46</v>
      </c>
      <c r="C100" s="178" t="s">
        <v>144</v>
      </c>
      <c r="D100" s="178" t="s">
        <v>33</v>
      </c>
      <c r="E100" s="178" t="s">
        <v>32</v>
      </c>
      <c r="F100" s="178"/>
      <c r="G100" s="178"/>
      <c r="H100" s="178"/>
      <c r="I100" s="178"/>
      <c r="J100" s="178"/>
      <c r="K100" s="178"/>
      <c r="L100" s="178"/>
      <c r="M100" s="178"/>
      <c r="N100" s="178"/>
      <c r="O100" s="178"/>
      <c r="P100" s="178"/>
      <c r="Q100" s="178"/>
      <c r="R100" s="178"/>
      <c r="S100" s="178"/>
      <c r="T100" s="178"/>
      <c r="U100" s="178"/>
      <c r="V100" s="178"/>
      <c r="W100" s="178"/>
      <c r="X100" s="178"/>
      <c r="Y100" s="178"/>
      <c r="Z100" s="178"/>
      <c r="AA100" s="178">
        <v>2862.5</v>
      </c>
      <c r="AB100" s="178">
        <v>2875</v>
      </c>
      <c r="AC100" s="178">
        <v>2861.25</v>
      </c>
      <c r="AD100" s="178">
        <v>2857.5</v>
      </c>
      <c r="AE100" s="178">
        <v>2885</v>
      </c>
      <c r="AF100" s="178">
        <v>2895</v>
      </c>
      <c r="AG100" s="178">
        <v>2900</v>
      </c>
      <c r="AH100" s="178">
        <v>2870</v>
      </c>
      <c r="AI100" s="178">
        <v>2774</v>
      </c>
      <c r="AJ100" s="178">
        <v>2635</v>
      </c>
      <c r="AK100" s="178">
        <v>2185</v>
      </c>
      <c r="AL100" s="178">
        <v>1856.25</v>
      </c>
      <c r="AM100" s="178">
        <v>1842.5</v>
      </c>
      <c r="AN100" s="178">
        <v>1744</v>
      </c>
      <c r="AO100" s="178">
        <v>1710</v>
      </c>
      <c r="AP100" s="178">
        <v>1710</v>
      </c>
      <c r="AQ100" s="178">
        <v>1710</v>
      </c>
      <c r="AR100" s="178">
        <v>1710</v>
      </c>
      <c r="AS100" s="178">
        <v>1633.75</v>
      </c>
      <c r="AT100" s="178">
        <v>1625</v>
      </c>
      <c r="AU100" s="178">
        <v>1537.5</v>
      </c>
      <c r="AV100" s="178">
        <v>1525</v>
      </c>
      <c r="AW100" s="178">
        <v>1450</v>
      </c>
      <c r="AX100" s="178">
        <v>1450</v>
      </c>
      <c r="AY100" s="178">
        <v>1425</v>
      </c>
      <c r="AZ100" s="178">
        <v>1425</v>
      </c>
      <c r="BA100" s="178">
        <v>1425</v>
      </c>
      <c r="BB100" s="178">
        <v>1425</v>
      </c>
      <c r="BC100" s="178">
        <v>1425</v>
      </c>
      <c r="BD100" s="178">
        <v>1475</v>
      </c>
      <c r="BE100" s="178">
        <v>1475</v>
      </c>
      <c r="BF100" s="214">
        <v>1475</v>
      </c>
      <c r="BG100" s="214">
        <v>1475</v>
      </c>
      <c r="BH100" s="214">
        <v>1475</v>
      </c>
      <c r="BI100" s="214">
        <v>1475</v>
      </c>
      <c r="BJ100" s="214">
        <v>1475</v>
      </c>
      <c r="BK100" s="214">
        <v>1475</v>
      </c>
      <c r="BL100" s="214">
        <v>1475</v>
      </c>
      <c r="BM100" s="214">
        <v>1465</v>
      </c>
      <c r="BN100" s="214">
        <v>1465</v>
      </c>
      <c r="BO100" s="300">
        <v>1465</v>
      </c>
      <c r="BP100" s="214">
        <v>1465</v>
      </c>
      <c r="BQ100" s="214">
        <v>1465</v>
      </c>
      <c r="BR100" s="300">
        <v>1465</v>
      </c>
      <c r="BS100" s="300">
        <v>1465</v>
      </c>
      <c r="BT100" s="300">
        <v>1465</v>
      </c>
      <c r="BU100" s="214">
        <v>1415</v>
      </c>
      <c r="BV100" s="214">
        <v>1415</v>
      </c>
      <c r="BW100" s="178"/>
    </row>
    <row r="101" spans="1:75">
      <c r="A101" s="178" t="str">
        <f t="shared" si="18"/>
        <v>Methyl AcrylateUSD</v>
      </c>
      <c r="B101" s="178" t="s">
        <v>46</v>
      </c>
      <c r="C101" s="178" t="s">
        <v>82</v>
      </c>
      <c r="D101" s="178" t="s">
        <v>33</v>
      </c>
      <c r="E101" s="178" t="s">
        <v>32</v>
      </c>
      <c r="F101" s="178"/>
      <c r="G101" s="178"/>
      <c r="H101" s="178"/>
      <c r="I101" s="178"/>
      <c r="J101" s="178"/>
      <c r="K101" s="178"/>
      <c r="L101" s="178"/>
      <c r="M101" s="178"/>
      <c r="N101" s="178"/>
      <c r="O101" s="178"/>
      <c r="P101" s="178"/>
      <c r="Q101" s="178"/>
      <c r="R101" s="178"/>
      <c r="S101" s="178"/>
      <c r="T101" s="178"/>
      <c r="U101" s="178"/>
      <c r="V101" s="178"/>
      <c r="W101" s="178"/>
      <c r="X101" s="178"/>
      <c r="Y101" s="178"/>
      <c r="Z101" s="178"/>
      <c r="AA101" s="178">
        <v>2935</v>
      </c>
      <c r="AB101" s="178">
        <v>2922.5</v>
      </c>
      <c r="AC101" s="178">
        <v>2883.75</v>
      </c>
      <c r="AD101" s="178">
        <v>2760</v>
      </c>
      <c r="AE101" s="178">
        <v>2775</v>
      </c>
      <c r="AF101" s="178">
        <v>2795</v>
      </c>
      <c r="AG101" s="178">
        <v>2800</v>
      </c>
      <c r="AH101" s="178">
        <v>2752.5</v>
      </c>
      <c r="AI101" s="178">
        <v>2646</v>
      </c>
      <c r="AJ101" s="178">
        <v>2497.5</v>
      </c>
      <c r="AK101" s="178">
        <v>2135</v>
      </c>
      <c r="AL101" s="178">
        <v>1806.25</v>
      </c>
      <c r="AM101" s="178">
        <v>1780</v>
      </c>
      <c r="AN101" s="178">
        <v>1677</v>
      </c>
      <c r="AO101" s="178">
        <v>1585</v>
      </c>
      <c r="AP101" s="178">
        <v>1592.5</v>
      </c>
      <c r="AQ101" s="178">
        <v>1600</v>
      </c>
      <c r="AR101" s="178">
        <v>1592</v>
      </c>
      <c r="AS101" s="178">
        <v>1518.75</v>
      </c>
      <c r="AT101" s="178">
        <v>1515</v>
      </c>
      <c r="AU101" s="178">
        <v>1475</v>
      </c>
      <c r="AV101" s="178">
        <v>1475</v>
      </c>
      <c r="AW101" s="178">
        <v>1400</v>
      </c>
      <c r="AX101" s="178">
        <v>1400</v>
      </c>
      <c r="AY101" s="178">
        <v>1375</v>
      </c>
      <c r="AZ101" s="178">
        <v>1375</v>
      </c>
      <c r="BA101" s="178">
        <v>1375</v>
      </c>
      <c r="BB101" s="178">
        <v>1375</v>
      </c>
      <c r="BC101" s="178">
        <v>1375</v>
      </c>
      <c r="BD101" s="178">
        <v>1425</v>
      </c>
      <c r="BE101" s="178">
        <v>1425</v>
      </c>
      <c r="BF101" s="214">
        <v>1425</v>
      </c>
      <c r="BG101" s="214">
        <v>1425</v>
      </c>
      <c r="BH101" s="214">
        <v>1425</v>
      </c>
      <c r="BI101" s="214">
        <v>1425</v>
      </c>
      <c r="BJ101" s="214">
        <v>1425</v>
      </c>
      <c r="BK101" s="214">
        <v>1425</v>
      </c>
      <c r="BL101" s="214">
        <v>1425</v>
      </c>
      <c r="BM101" s="214">
        <v>1415</v>
      </c>
      <c r="BN101" s="214">
        <v>1415</v>
      </c>
      <c r="BO101" s="300">
        <v>1415</v>
      </c>
      <c r="BP101" s="214">
        <v>1415</v>
      </c>
      <c r="BQ101" s="214">
        <v>1415</v>
      </c>
      <c r="BR101" s="300">
        <v>1415</v>
      </c>
      <c r="BS101" s="300">
        <v>1415</v>
      </c>
      <c r="BT101" s="300">
        <v>1415</v>
      </c>
      <c r="BU101" s="214">
        <v>1415</v>
      </c>
      <c r="BV101" s="214">
        <v>1415</v>
      </c>
      <c r="BW101" s="178"/>
    </row>
    <row r="102" spans="1:75">
      <c r="A102" s="178" t="str">
        <f t="shared" si="18"/>
        <v>C16 Palmitic AcidUSD</v>
      </c>
      <c r="B102" s="178" t="s">
        <v>46</v>
      </c>
      <c r="C102" s="178" t="s">
        <v>145</v>
      </c>
      <c r="D102" s="178" t="s">
        <v>33</v>
      </c>
      <c r="E102" s="178" t="s">
        <v>32</v>
      </c>
      <c r="F102" s="178"/>
      <c r="G102" s="178"/>
      <c r="H102" s="178"/>
      <c r="I102" s="178"/>
      <c r="J102" s="178"/>
      <c r="K102" s="214"/>
      <c r="L102" s="214"/>
      <c r="M102" s="214"/>
      <c r="N102" s="214"/>
      <c r="O102" s="214"/>
      <c r="P102" s="214"/>
      <c r="Q102" s="214"/>
      <c r="R102" s="214"/>
      <c r="S102" s="214"/>
      <c r="T102" s="214"/>
      <c r="U102" s="214"/>
      <c r="V102" s="214"/>
      <c r="W102" s="214"/>
      <c r="X102" s="214"/>
      <c r="Y102" s="214"/>
      <c r="Z102" s="214"/>
      <c r="AA102" s="214">
        <v>1408.3333333333333</v>
      </c>
      <c r="AB102" s="214">
        <v>1443.75</v>
      </c>
      <c r="AC102" s="214">
        <v>1432.5</v>
      </c>
      <c r="AD102" s="214">
        <v>1455</v>
      </c>
      <c r="AE102" s="214">
        <v>1495</v>
      </c>
      <c r="AF102" s="214">
        <v>1725</v>
      </c>
      <c r="AG102" s="214">
        <v>1662.5</v>
      </c>
      <c r="AH102" s="214">
        <v>1650</v>
      </c>
      <c r="AI102" s="214">
        <v>1527.5</v>
      </c>
      <c r="AJ102" s="214">
        <v>1259.375</v>
      </c>
      <c r="AK102" s="214">
        <v>1200</v>
      </c>
      <c r="AL102" s="214">
        <v>1187.5</v>
      </c>
      <c r="AM102" s="214">
        <v>1077.5</v>
      </c>
      <c r="AN102" s="214">
        <v>1034</v>
      </c>
      <c r="AO102" s="214">
        <v>1050</v>
      </c>
      <c r="AP102" s="214">
        <v>1077.5</v>
      </c>
      <c r="AQ102" s="214">
        <v>1135</v>
      </c>
      <c r="AR102" s="214">
        <v>1149</v>
      </c>
      <c r="AS102" s="214">
        <v>1092.5</v>
      </c>
      <c r="AT102" s="214">
        <v>1049</v>
      </c>
      <c r="AU102" s="214">
        <v>958.75</v>
      </c>
      <c r="AV102" s="214">
        <v>1000</v>
      </c>
      <c r="AW102" s="214">
        <v>1005</v>
      </c>
      <c r="AX102" s="214">
        <v>1025</v>
      </c>
      <c r="AY102" s="214">
        <v>1025</v>
      </c>
      <c r="AZ102" s="214">
        <v>1035</v>
      </c>
      <c r="BA102" s="214">
        <v>1025</v>
      </c>
      <c r="BB102" s="214">
        <v>1025</v>
      </c>
      <c r="BC102" s="214">
        <v>1025</v>
      </c>
      <c r="BD102" s="214">
        <v>1000</v>
      </c>
      <c r="BE102" s="214">
        <v>990</v>
      </c>
      <c r="BF102" s="214">
        <v>990</v>
      </c>
      <c r="BG102" s="214">
        <v>990</v>
      </c>
      <c r="BH102" s="214">
        <v>990</v>
      </c>
      <c r="BI102" s="214">
        <v>985</v>
      </c>
      <c r="BJ102" s="214">
        <v>1000</v>
      </c>
      <c r="BK102" s="214">
        <v>1000</v>
      </c>
      <c r="BL102" s="214">
        <v>995</v>
      </c>
      <c r="BM102" s="214">
        <v>1000</v>
      </c>
      <c r="BN102" s="214">
        <v>1020</v>
      </c>
      <c r="BO102" s="300">
        <v>1020</v>
      </c>
      <c r="BP102" s="214">
        <v>1020</v>
      </c>
      <c r="BQ102" s="214">
        <v>1020</v>
      </c>
      <c r="BR102" s="300">
        <v>1060</v>
      </c>
      <c r="BS102" s="300">
        <v>1060</v>
      </c>
      <c r="BT102" s="300">
        <v>1060</v>
      </c>
      <c r="BU102" s="214">
        <v>1040</v>
      </c>
      <c r="BV102" s="214">
        <v>1040</v>
      </c>
      <c r="BW102" s="178"/>
    </row>
    <row r="103" spans="1:75">
      <c r="A103" s="178" t="str">
        <f t="shared" si="18"/>
        <v>Glycerine Crude 80%USD</v>
      </c>
      <c r="B103" s="178" t="s">
        <v>46</v>
      </c>
      <c r="C103" s="178" t="s">
        <v>146</v>
      </c>
      <c r="D103" s="178" t="s">
        <v>33</v>
      </c>
      <c r="E103" s="178" t="s">
        <v>32</v>
      </c>
      <c r="F103" s="178"/>
      <c r="G103" s="178"/>
      <c r="H103" s="178"/>
      <c r="I103" s="178"/>
      <c r="J103" s="178"/>
      <c r="K103" s="178"/>
      <c r="L103" s="178"/>
      <c r="M103" s="178"/>
      <c r="N103" s="178"/>
      <c r="O103" s="178"/>
      <c r="P103" s="178"/>
      <c r="Q103" s="178"/>
      <c r="R103" s="178"/>
      <c r="S103" s="178"/>
      <c r="T103" s="178"/>
      <c r="U103" s="178"/>
      <c r="V103" s="178"/>
      <c r="W103" s="178"/>
      <c r="X103" s="178"/>
      <c r="Y103" s="178"/>
      <c r="Z103" s="178"/>
      <c r="AA103" s="178">
        <v>910</v>
      </c>
      <c r="AB103" s="178">
        <v>930.625</v>
      </c>
      <c r="AC103" s="178">
        <v>785</v>
      </c>
      <c r="AD103" s="178">
        <v>742.5</v>
      </c>
      <c r="AE103" s="178">
        <v>855</v>
      </c>
      <c r="AF103" s="178">
        <v>1023</v>
      </c>
      <c r="AG103" s="178">
        <v>957.5</v>
      </c>
      <c r="AH103" s="178">
        <v>963.75</v>
      </c>
      <c r="AI103" s="178">
        <v>938</v>
      </c>
      <c r="AJ103" s="178">
        <v>537.5</v>
      </c>
      <c r="AK103" s="178">
        <v>433.75</v>
      </c>
      <c r="AL103" s="178">
        <v>430</v>
      </c>
      <c r="AM103" s="178">
        <v>339.375</v>
      </c>
      <c r="AN103" s="178">
        <v>264.375</v>
      </c>
      <c r="AO103" s="178">
        <v>280</v>
      </c>
      <c r="AP103" s="178">
        <v>303.75</v>
      </c>
      <c r="AQ103" s="178">
        <v>323.75</v>
      </c>
      <c r="AR103" s="178">
        <v>277</v>
      </c>
      <c r="AS103" s="178">
        <v>313.75</v>
      </c>
      <c r="AT103" s="178">
        <v>328.125</v>
      </c>
      <c r="AU103" s="178">
        <v>271</v>
      </c>
      <c r="AV103" s="178">
        <v>245</v>
      </c>
      <c r="AW103" s="178">
        <v>260</v>
      </c>
      <c r="AX103" s="178">
        <v>282.5</v>
      </c>
      <c r="AY103" s="178">
        <v>295</v>
      </c>
      <c r="AZ103" s="178">
        <v>300</v>
      </c>
      <c r="BA103" s="178">
        <v>300</v>
      </c>
      <c r="BB103" s="178">
        <v>290</v>
      </c>
      <c r="BC103" s="178">
        <v>280</v>
      </c>
      <c r="BD103" s="178">
        <v>275</v>
      </c>
      <c r="BE103" s="178">
        <v>275</v>
      </c>
      <c r="BF103" s="214">
        <v>270</v>
      </c>
      <c r="BG103" s="214">
        <v>270</v>
      </c>
      <c r="BH103" s="214">
        <v>270</v>
      </c>
      <c r="BI103" s="214">
        <v>270</v>
      </c>
      <c r="BJ103" s="214">
        <v>270</v>
      </c>
      <c r="BK103" s="214">
        <v>270</v>
      </c>
      <c r="BL103" s="214">
        <v>267.5</v>
      </c>
      <c r="BM103" s="214">
        <v>267.5</v>
      </c>
      <c r="BN103" s="214">
        <v>267.5</v>
      </c>
      <c r="BO103" s="300">
        <v>265</v>
      </c>
      <c r="BP103" s="214">
        <v>265</v>
      </c>
      <c r="BQ103" s="214">
        <v>265</v>
      </c>
      <c r="BR103" s="300">
        <v>250</v>
      </c>
      <c r="BS103" s="300">
        <v>250</v>
      </c>
      <c r="BT103" s="300">
        <v>255</v>
      </c>
      <c r="BU103" s="214">
        <v>265</v>
      </c>
      <c r="BV103" s="214">
        <v>267.5</v>
      </c>
      <c r="BW103" s="178"/>
    </row>
    <row r="104" spans="1:75">
      <c r="A104" s="178" t="str">
        <f t="shared" si="18"/>
        <v>Distilled Soya Fatty Acid INR</v>
      </c>
      <c r="B104" s="178" t="s">
        <v>44</v>
      </c>
      <c r="C104" s="178" t="s">
        <v>147</v>
      </c>
      <c r="D104" s="178" t="s">
        <v>43</v>
      </c>
      <c r="E104" s="178" t="s">
        <v>34</v>
      </c>
      <c r="F104" s="178"/>
      <c r="G104" s="178"/>
      <c r="H104" s="178"/>
      <c r="I104" s="178"/>
      <c r="J104" s="178"/>
      <c r="K104" s="178"/>
      <c r="L104" s="178"/>
      <c r="M104" s="178"/>
      <c r="N104" s="178"/>
      <c r="O104" s="178"/>
      <c r="P104" s="178"/>
      <c r="Q104" s="178"/>
      <c r="R104" s="178"/>
      <c r="S104" s="178"/>
      <c r="T104" s="178"/>
      <c r="U104" s="178"/>
      <c r="V104" s="178"/>
      <c r="W104" s="178"/>
      <c r="X104" s="178"/>
      <c r="Y104" s="178"/>
      <c r="Z104" s="178"/>
      <c r="AA104" s="178">
        <v>113</v>
      </c>
      <c r="AB104" s="178">
        <v>111.15384615384616</v>
      </c>
      <c r="AC104" s="178">
        <v>110</v>
      </c>
      <c r="AD104" s="178">
        <v>99.591818181818184</v>
      </c>
      <c r="AE104" s="178">
        <v>104</v>
      </c>
      <c r="AF104" s="178">
        <v>116.61481481481482</v>
      </c>
      <c r="AG104" s="178">
        <v>95.7</v>
      </c>
      <c r="AH104" s="178">
        <v>95.7</v>
      </c>
      <c r="AI104" s="178">
        <v>115.15</v>
      </c>
      <c r="AJ104" s="178">
        <v>112.125</v>
      </c>
      <c r="AK104" s="178">
        <v>105.47368421052632</v>
      </c>
      <c r="AL104" s="277">
        <v>105.47368421052632</v>
      </c>
      <c r="AM104" s="277">
        <v>105.47368421052632</v>
      </c>
      <c r="AN104" s="277">
        <v>105.47368421052632</v>
      </c>
      <c r="AO104" s="277">
        <v>105.47368421052632</v>
      </c>
      <c r="AP104" s="277">
        <v>105.47368421052632</v>
      </c>
      <c r="AQ104" s="277">
        <v>105.47368421052632</v>
      </c>
      <c r="AR104" s="178">
        <v>87.666666666666671</v>
      </c>
      <c r="AS104" s="178">
        <v>86</v>
      </c>
      <c r="AT104" s="178">
        <v>86</v>
      </c>
      <c r="AU104" s="178">
        <v>96</v>
      </c>
      <c r="AV104" s="178">
        <v>93.272244897959183</v>
      </c>
      <c r="AW104" s="178">
        <v>93.272244897959183</v>
      </c>
      <c r="AX104" s="178">
        <v>93.272244897959183</v>
      </c>
      <c r="AY104" s="178">
        <v>93.272244897959183</v>
      </c>
      <c r="AZ104" s="178">
        <v>77.955262008733627</v>
      </c>
      <c r="BA104" s="178">
        <v>77.955262008733627</v>
      </c>
      <c r="BB104" s="178">
        <v>77.955262008733627</v>
      </c>
      <c r="BC104" s="178">
        <v>77.955262008733627</v>
      </c>
      <c r="BD104" s="178">
        <v>101.91071428571429</v>
      </c>
      <c r="BE104" s="178">
        <v>101.91071428571429</v>
      </c>
      <c r="BF104" s="178">
        <v>101.91071428571429</v>
      </c>
      <c r="BG104" s="178">
        <v>101.91071428571429</v>
      </c>
      <c r="BH104" s="214">
        <v>92</v>
      </c>
      <c r="BI104" s="214">
        <v>92</v>
      </c>
      <c r="BJ104" s="214">
        <v>86</v>
      </c>
      <c r="BK104" s="214">
        <v>86</v>
      </c>
      <c r="BL104" s="214">
        <v>78.5</v>
      </c>
      <c r="BM104" s="214">
        <v>78.5</v>
      </c>
      <c r="BN104" s="214">
        <v>78.5</v>
      </c>
      <c r="BO104" s="300">
        <v>82</v>
      </c>
      <c r="BP104" s="214">
        <v>77.5</v>
      </c>
      <c r="BQ104" s="214">
        <v>77.5</v>
      </c>
      <c r="BR104" s="214">
        <v>79</v>
      </c>
      <c r="BS104" s="300">
        <v>81</v>
      </c>
      <c r="BT104" s="300">
        <v>81</v>
      </c>
      <c r="BU104" s="214">
        <v>86</v>
      </c>
      <c r="BV104" s="214">
        <v>86</v>
      </c>
      <c r="BW104" s="178"/>
    </row>
    <row r="105" spans="1:75">
      <c r="A105" s="178" t="str">
        <f t="shared" si="18"/>
        <v>Distilled Soya Fatty Acid USD</v>
      </c>
      <c r="B105" s="178" t="s">
        <v>44</v>
      </c>
      <c r="C105" s="178" t="s">
        <v>147</v>
      </c>
      <c r="D105" s="178" t="s">
        <v>33</v>
      </c>
      <c r="E105" s="178" t="s">
        <v>34</v>
      </c>
      <c r="F105" s="178"/>
      <c r="G105" s="178"/>
      <c r="H105" s="178"/>
      <c r="I105" s="178"/>
      <c r="J105" s="178"/>
      <c r="K105" s="178"/>
      <c r="L105" s="178"/>
      <c r="M105" s="178"/>
      <c r="N105" s="178"/>
      <c r="O105" s="178"/>
      <c r="P105" s="178"/>
      <c r="Q105" s="178"/>
      <c r="R105" s="178"/>
      <c r="S105" s="178"/>
      <c r="T105" s="178"/>
      <c r="U105" s="178"/>
      <c r="V105" s="178"/>
      <c r="W105" s="178"/>
      <c r="X105" s="178"/>
      <c r="Y105" s="178"/>
      <c r="Z105" s="178"/>
      <c r="AA105" s="266">
        <f>AA104/AA1</f>
        <v>1.5084768388733147</v>
      </c>
      <c r="AB105" s="266">
        <f t="shared" ref="AB105:BW105" si="29">AB104/AB1</f>
        <v>1.492598981520695</v>
      </c>
      <c r="AC105" s="266">
        <f t="shared" si="29"/>
        <v>1.458499071864227</v>
      </c>
      <c r="AD105" s="266">
        <f t="shared" si="29"/>
        <v>1.337700714329324</v>
      </c>
      <c r="AE105" s="266">
        <f t="shared" si="29"/>
        <v>1.3874066168623267</v>
      </c>
      <c r="AF105" s="266">
        <f t="shared" si="29"/>
        <v>1.530177336501966</v>
      </c>
      <c r="AG105" s="266">
        <f t="shared" si="29"/>
        <v>1.2524452619583493</v>
      </c>
      <c r="AH105" s="266">
        <f t="shared" si="29"/>
        <v>1.2377250045347685</v>
      </c>
      <c r="AI105" s="266">
        <f t="shared" si="29"/>
        <v>1.4748718984127476</v>
      </c>
      <c r="AJ105" s="266">
        <f t="shared" si="29"/>
        <v>1.4085780571639965</v>
      </c>
      <c r="AK105" s="266">
        <f t="shared" si="29"/>
        <v>1.325930237543534</v>
      </c>
      <c r="AL105" s="266">
        <f t="shared" si="29"/>
        <v>1.3146159862921643</v>
      </c>
      <c r="AM105" s="266">
        <f t="shared" si="29"/>
        <v>1.280951357374317</v>
      </c>
      <c r="AN105" s="266">
        <f t="shared" si="29"/>
        <v>1.289243552520841</v>
      </c>
      <c r="AO105" s="266">
        <f t="shared" si="29"/>
        <v>1.2790237068848538</v>
      </c>
      <c r="AP105" s="266">
        <f t="shared" si="29"/>
        <v>1.287841411626951</v>
      </c>
      <c r="AQ105" s="266">
        <f t="shared" si="29"/>
        <v>1.2843590479553968</v>
      </c>
      <c r="AR105" s="266">
        <f t="shared" si="29"/>
        <v>1.0675219831392413</v>
      </c>
      <c r="AS105" s="266">
        <f t="shared" si="29"/>
        <v>1.0472268884027538</v>
      </c>
      <c r="AT105" s="266">
        <f t="shared" si="29"/>
        <v>1.0472268884027538</v>
      </c>
      <c r="AU105" s="266">
        <f t="shared" si="29"/>
        <v>1.1636363636363636</v>
      </c>
      <c r="AV105" s="266">
        <f t="shared" si="29"/>
        <v>1.1313954985196408</v>
      </c>
      <c r="AW105" s="266">
        <f t="shared" si="29"/>
        <v>1.1349749926741199</v>
      </c>
      <c r="AX105" s="266">
        <f t="shared" si="29"/>
        <v>1.1385772082270409</v>
      </c>
      <c r="AY105" s="266">
        <f t="shared" si="29"/>
        <v>1.1338711998293116</v>
      </c>
      <c r="AZ105" s="266">
        <f t="shared" si="29"/>
        <v>0.94114767606825578</v>
      </c>
      <c r="BA105" s="266">
        <f t="shared" si="29"/>
        <v>0.93639954364845202</v>
      </c>
      <c r="BB105" s="266">
        <f t="shared" si="29"/>
        <v>0.93639954364845202</v>
      </c>
      <c r="BC105" s="266">
        <f t="shared" si="29"/>
        <v>0.94319736247711583</v>
      </c>
      <c r="BD105" s="266">
        <f t="shared" si="29"/>
        <v>1.2271007138556809</v>
      </c>
      <c r="BE105" s="266">
        <f t="shared" si="29"/>
        <v>1.2287281683833409</v>
      </c>
      <c r="BF105" s="266">
        <f t="shared" si="29"/>
        <v>1.2288763328797092</v>
      </c>
      <c r="BG105" s="266">
        <f t="shared" si="29"/>
        <v>1.2240056964414399</v>
      </c>
      <c r="BH105" s="216">
        <f t="shared" si="29"/>
        <v>1.1055034847392453</v>
      </c>
      <c r="BI105" s="216">
        <f t="shared" si="29"/>
        <v>1.1051051051051051</v>
      </c>
      <c r="BJ105" s="216">
        <f t="shared" si="29"/>
        <v>1.0346487006737246</v>
      </c>
      <c r="BK105" s="216">
        <f t="shared" si="29"/>
        <v>1.0329089598846986</v>
      </c>
      <c r="BL105" s="216">
        <f t="shared" si="29"/>
        <v>0.94328286469598654</v>
      </c>
      <c r="BM105" s="216">
        <f t="shared" si="29"/>
        <v>0.94362303161437677</v>
      </c>
      <c r="BN105" s="216">
        <f t="shared" si="29"/>
        <v>0.94362303161437677</v>
      </c>
      <c r="BO105" s="301">
        <f t="shared" si="29"/>
        <v>0.98403936157446303</v>
      </c>
      <c r="BP105" s="216">
        <f t="shared" si="29"/>
        <v>0.92925659472422051</v>
      </c>
      <c r="BQ105" s="216">
        <f t="shared" si="29"/>
        <v>0.92970249520153547</v>
      </c>
      <c r="BR105" s="318">
        <f t="shared" si="29"/>
        <v>0.94906295050456513</v>
      </c>
      <c r="BS105" s="312">
        <f t="shared" si="29"/>
        <v>0.97215554488718203</v>
      </c>
      <c r="BT105" s="312">
        <f t="shared" si="29"/>
        <v>0.97426028385855179</v>
      </c>
      <c r="BU105" s="216">
        <f t="shared" si="29"/>
        <v>1.0342754058929644</v>
      </c>
      <c r="BV105" s="216">
        <f t="shared" si="29"/>
        <v>1.0330330330330331</v>
      </c>
      <c r="BW105" s="216" t="e">
        <f t="shared" si="29"/>
        <v>#DIV/0!</v>
      </c>
    </row>
    <row r="106" spans="1:75">
      <c r="A106" s="178" t="str">
        <f t="shared" si="18"/>
        <v>LFAINR</v>
      </c>
      <c r="B106" s="178" t="s">
        <v>44</v>
      </c>
      <c r="C106" s="178" t="s">
        <v>148</v>
      </c>
      <c r="D106" s="178" t="s">
        <v>43</v>
      </c>
      <c r="E106" s="178" t="s">
        <v>34</v>
      </c>
      <c r="F106" s="178"/>
      <c r="G106" s="178"/>
      <c r="H106" s="178"/>
      <c r="I106" s="178"/>
      <c r="J106" s="262"/>
      <c r="K106" s="262"/>
      <c r="L106" s="262"/>
      <c r="M106" s="262"/>
      <c r="N106" s="262"/>
      <c r="O106" s="262"/>
      <c r="P106" s="262"/>
      <c r="Q106" s="262"/>
      <c r="R106" s="262"/>
      <c r="S106" s="262"/>
      <c r="T106" s="262"/>
      <c r="U106" s="262"/>
      <c r="V106" s="262"/>
      <c r="W106" s="262"/>
      <c r="X106" s="262"/>
      <c r="Y106" s="262"/>
      <c r="Z106" s="262"/>
      <c r="AA106" s="262">
        <f>AA104-6</f>
        <v>107</v>
      </c>
      <c r="AB106" s="262">
        <f t="shared" ref="AB106:BI106" si="30">AB104-6</f>
        <v>105.15384615384616</v>
      </c>
      <c r="AC106" s="262">
        <f t="shared" si="30"/>
        <v>104</v>
      </c>
      <c r="AD106" s="262">
        <f t="shared" si="30"/>
        <v>93.591818181818184</v>
      </c>
      <c r="AE106" s="262">
        <f t="shared" si="30"/>
        <v>98</v>
      </c>
      <c r="AF106" s="262">
        <f t="shared" si="30"/>
        <v>110.61481481481482</v>
      </c>
      <c r="AG106" s="262">
        <f t="shared" si="30"/>
        <v>89.7</v>
      </c>
      <c r="AH106" s="262">
        <f t="shared" si="30"/>
        <v>89.7</v>
      </c>
      <c r="AI106" s="262">
        <f t="shared" si="30"/>
        <v>109.15</v>
      </c>
      <c r="AJ106" s="262">
        <f t="shared" si="30"/>
        <v>106.125</v>
      </c>
      <c r="AK106" s="262">
        <f t="shared" si="30"/>
        <v>99.473684210526315</v>
      </c>
      <c r="AL106" s="262">
        <f t="shared" si="30"/>
        <v>99.473684210526315</v>
      </c>
      <c r="AM106" s="262">
        <f t="shared" si="30"/>
        <v>99.473684210526315</v>
      </c>
      <c r="AN106" s="262">
        <f t="shared" si="30"/>
        <v>99.473684210526315</v>
      </c>
      <c r="AO106" s="262">
        <f t="shared" si="30"/>
        <v>99.473684210526315</v>
      </c>
      <c r="AP106" s="262">
        <f t="shared" si="30"/>
        <v>99.473684210526315</v>
      </c>
      <c r="AQ106" s="262">
        <f t="shared" si="30"/>
        <v>99.473684210526315</v>
      </c>
      <c r="AR106" s="262">
        <f t="shared" si="30"/>
        <v>81.666666666666671</v>
      </c>
      <c r="AS106" s="262">
        <f t="shared" si="30"/>
        <v>80</v>
      </c>
      <c r="AT106" s="262">
        <f t="shared" si="30"/>
        <v>80</v>
      </c>
      <c r="AU106" s="262">
        <f t="shared" si="30"/>
        <v>90</v>
      </c>
      <c r="AV106" s="262">
        <f t="shared" si="30"/>
        <v>87.272244897959183</v>
      </c>
      <c r="AW106" s="262">
        <f t="shared" si="30"/>
        <v>87.272244897959183</v>
      </c>
      <c r="AX106" s="262">
        <f t="shared" si="30"/>
        <v>87.272244897959183</v>
      </c>
      <c r="AY106" s="262">
        <f t="shared" si="30"/>
        <v>87.272244897959183</v>
      </c>
      <c r="AZ106" s="262">
        <f t="shared" si="30"/>
        <v>71.955262008733627</v>
      </c>
      <c r="BA106" s="262">
        <f t="shared" si="30"/>
        <v>71.955262008733627</v>
      </c>
      <c r="BB106" s="262">
        <f t="shared" si="30"/>
        <v>71.955262008733627</v>
      </c>
      <c r="BC106" s="262">
        <f>BC104-6</f>
        <v>71.955262008733627</v>
      </c>
      <c r="BD106" s="262">
        <f t="shared" si="30"/>
        <v>95.910714285714292</v>
      </c>
      <c r="BE106" s="262">
        <f t="shared" si="30"/>
        <v>95.910714285714292</v>
      </c>
      <c r="BF106" s="262">
        <f t="shared" si="30"/>
        <v>95.910714285714292</v>
      </c>
      <c r="BG106" s="262">
        <f t="shared" si="30"/>
        <v>95.910714285714292</v>
      </c>
      <c r="BH106" s="214">
        <f t="shared" si="30"/>
        <v>86</v>
      </c>
      <c r="BI106" s="214">
        <f t="shared" si="30"/>
        <v>86</v>
      </c>
      <c r="BJ106" s="214">
        <f>BJ104-6</f>
        <v>80</v>
      </c>
      <c r="BK106" s="214">
        <f>BK104-6</f>
        <v>80</v>
      </c>
      <c r="BL106" s="214">
        <f>BL104-6</f>
        <v>72.5</v>
      </c>
      <c r="BM106" s="214">
        <f t="shared" ref="BM106:BW106" si="31">BM104-6</f>
        <v>72.5</v>
      </c>
      <c r="BN106" s="214">
        <f t="shared" si="31"/>
        <v>72.5</v>
      </c>
      <c r="BO106" s="300">
        <f t="shared" si="31"/>
        <v>76</v>
      </c>
      <c r="BP106" s="214">
        <f t="shared" si="31"/>
        <v>71.5</v>
      </c>
      <c r="BQ106" s="214">
        <f t="shared" si="31"/>
        <v>71.5</v>
      </c>
      <c r="BR106" s="310">
        <f t="shared" si="31"/>
        <v>73</v>
      </c>
      <c r="BS106" s="300">
        <f t="shared" si="31"/>
        <v>75</v>
      </c>
      <c r="BT106" s="300">
        <f t="shared" si="31"/>
        <v>75</v>
      </c>
      <c r="BU106" s="214">
        <f t="shared" si="31"/>
        <v>80</v>
      </c>
      <c r="BV106" s="214">
        <f t="shared" si="31"/>
        <v>80</v>
      </c>
      <c r="BW106" s="214">
        <f t="shared" si="31"/>
        <v>-6</v>
      </c>
    </row>
    <row r="107" spans="1:75">
      <c r="A107" s="178" t="str">
        <f t="shared" si="18"/>
        <v>LFAUSD</v>
      </c>
      <c r="B107" s="178" t="s">
        <v>44</v>
      </c>
      <c r="C107" s="178" t="s">
        <v>148</v>
      </c>
      <c r="D107" s="178" t="s">
        <v>33</v>
      </c>
      <c r="E107" s="178" t="s">
        <v>34</v>
      </c>
      <c r="F107" s="178"/>
      <c r="G107" s="178"/>
      <c r="H107" s="178"/>
      <c r="I107" s="178"/>
      <c r="J107" s="178"/>
      <c r="K107" s="178"/>
      <c r="L107" s="178"/>
      <c r="M107" s="178"/>
      <c r="N107" s="178"/>
      <c r="O107" s="178"/>
      <c r="P107" s="178"/>
      <c r="Q107" s="178"/>
      <c r="R107" s="178"/>
      <c r="S107" s="178"/>
      <c r="T107" s="178"/>
      <c r="U107" s="178"/>
      <c r="V107" s="178"/>
      <c r="W107" s="178"/>
      <c r="X107" s="178"/>
      <c r="Y107" s="178"/>
      <c r="Z107" s="178"/>
      <c r="AA107" s="266">
        <f>AA106/AA1</f>
        <v>1.4283807235349086</v>
      </c>
      <c r="AB107" s="266">
        <f t="shared" ref="AB107:BW107" si="32">AB106/AB1</f>
        <v>1.4120296247327269</v>
      </c>
      <c r="AC107" s="266">
        <f t="shared" si="32"/>
        <v>1.3789445770352691</v>
      </c>
      <c r="AD107" s="266">
        <f t="shared" si="32"/>
        <v>1.2571097136577325</v>
      </c>
      <c r="AE107" s="266">
        <f t="shared" si="32"/>
        <v>1.3073639274279616</v>
      </c>
      <c r="AF107" s="266">
        <f t="shared" si="32"/>
        <v>1.4514475110197458</v>
      </c>
      <c r="AG107" s="266">
        <f t="shared" si="32"/>
        <v>1.1739220480424652</v>
      </c>
      <c r="AH107" s="266">
        <f t="shared" si="32"/>
        <v>1.1601246907708331</v>
      </c>
      <c r="AI107" s="266">
        <f t="shared" si="32"/>
        <v>1.3980222988428259</v>
      </c>
      <c r="AJ107" s="266">
        <f t="shared" si="32"/>
        <v>1.3332026427338162</v>
      </c>
      <c r="AK107" s="266">
        <f t="shared" si="32"/>
        <v>1.2505030683419556</v>
      </c>
      <c r="AL107" s="266">
        <f t="shared" si="32"/>
        <v>1.2398324421617717</v>
      </c>
      <c r="AM107" s="266">
        <f t="shared" si="32"/>
        <v>1.2080828669847601</v>
      </c>
      <c r="AN107" s="266">
        <f t="shared" si="32"/>
        <v>1.2159033504313321</v>
      </c>
      <c r="AO107" s="266">
        <f t="shared" si="32"/>
        <v>1.2062648732596675</v>
      </c>
      <c r="AP107" s="266">
        <f t="shared" si="32"/>
        <v>1.2145809720433818</v>
      </c>
      <c r="AQ107" s="266">
        <f t="shared" si="32"/>
        <v>1.2112967069040419</v>
      </c>
      <c r="AR107" s="266">
        <f t="shared" si="32"/>
        <v>0.99445964208788629</v>
      </c>
      <c r="AS107" s="266">
        <f t="shared" si="32"/>
        <v>0.97416454735139879</v>
      </c>
      <c r="AT107" s="266">
        <f t="shared" si="32"/>
        <v>0.97416454735139879</v>
      </c>
      <c r="AU107" s="266">
        <f t="shared" si="32"/>
        <v>1.0909090909090908</v>
      </c>
      <c r="AV107" s="266">
        <f t="shared" si="32"/>
        <v>1.0586152947350702</v>
      </c>
      <c r="AW107" s="266">
        <f t="shared" si="32"/>
        <v>1.0619645278408272</v>
      </c>
      <c r="AX107" s="266">
        <f t="shared" si="32"/>
        <v>1.0653350207270409</v>
      </c>
      <c r="AY107" s="266">
        <f t="shared" si="32"/>
        <v>1.0609317395813176</v>
      </c>
      <c r="AZ107" s="266">
        <f t="shared" si="32"/>
        <v>0.86871015343153002</v>
      </c>
      <c r="BA107" s="266">
        <f t="shared" si="32"/>
        <v>0.8643274715763799</v>
      </c>
      <c r="BB107" s="266">
        <f t="shared" si="32"/>
        <v>0.8643274715763799</v>
      </c>
      <c r="BC107" s="266">
        <f t="shared" si="32"/>
        <v>0.87060208117040072</v>
      </c>
      <c r="BD107" s="266">
        <f t="shared" si="32"/>
        <v>1.1548550786961385</v>
      </c>
      <c r="BE107" s="266">
        <f t="shared" si="32"/>
        <v>1.1563867167315445</v>
      </c>
      <c r="BF107" s="266">
        <f t="shared" si="32"/>
        <v>1.1565261580334534</v>
      </c>
      <c r="BG107" s="266">
        <f t="shared" si="32"/>
        <v>1.1519422806355306</v>
      </c>
      <c r="BH107" s="216">
        <f t="shared" si="32"/>
        <v>1.0334054313866858</v>
      </c>
      <c r="BI107" s="216">
        <f t="shared" si="32"/>
        <v>1.0330330330330331</v>
      </c>
      <c r="BJ107" s="216">
        <f t="shared" si="32"/>
        <v>0.96246390760346479</v>
      </c>
      <c r="BK107" s="216">
        <f t="shared" si="32"/>
        <v>0.9608455440787893</v>
      </c>
      <c r="BL107" s="216">
        <f t="shared" si="32"/>
        <v>0.87118481134342707</v>
      </c>
      <c r="BM107" s="216">
        <f t="shared" si="32"/>
        <v>0.87149897824257727</v>
      </c>
      <c r="BN107" s="216">
        <f t="shared" si="32"/>
        <v>0.87149897824257727</v>
      </c>
      <c r="BO107" s="301">
        <f t="shared" si="32"/>
        <v>0.91203648145925842</v>
      </c>
      <c r="BP107" s="216">
        <f t="shared" si="32"/>
        <v>0.85731414868105504</v>
      </c>
      <c r="BQ107" s="216">
        <f t="shared" si="32"/>
        <v>0.85772552783109401</v>
      </c>
      <c r="BR107" s="311">
        <f t="shared" si="32"/>
        <v>0.87698222008649696</v>
      </c>
      <c r="BS107" s="301">
        <f t="shared" si="32"/>
        <v>0.90014402304368701</v>
      </c>
      <c r="BT107" s="301">
        <f t="shared" si="32"/>
        <v>0.90209285542458506</v>
      </c>
      <c r="BU107" s="216">
        <f t="shared" si="32"/>
        <v>0.9621166566446181</v>
      </c>
      <c r="BV107" s="216">
        <f t="shared" si="32"/>
        <v>0.96096096096096095</v>
      </c>
      <c r="BW107" s="216" t="e">
        <f t="shared" si="32"/>
        <v>#DIV/0!</v>
      </c>
    </row>
    <row r="108" spans="1:75">
      <c r="A108" s="178" t="str">
        <f t="shared" si="18"/>
        <v>SOYA ACID OILINR</v>
      </c>
      <c r="B108" s="178"/>
      <c r="C108" s="178" t="s">
        <v>149</v>
      </c>
      <c r="D108" s="178" t="s">
        <v>43</v>
      </c>
      <c r="E108" s="178"/>
      <c r="F108" s="178"/>
      <c r="G108" s="178"/>
      <c r="H108" s="178"/>
      <c r="I108" s="178"/>
      <c r="J108" s="178"/>
      <c r="K108" s="178"/>
      <c r="L108" s="178"/>
      <c r="M108" s="178"/>
      <c r="N108" s="178"/>
      <c r="O108" s="178"/>
      <c r="P108" s="178"/>
      <c r="Q108" s="178"/>
      <c r="R108" s="178"/>
      <c r="S108" s="178"/>
      <c r="T108" s="178"/>
      <c r="U108" s="178"/>
      <c r="V108" s="178"/>
      <c r="W108" s="178"/>
      <c r="X108" s="178"/>
      <c r="Y108" s="178"/>
      <c r="Z108" s="178"/>
      <c r="AA108" s="178"/>
      <c r="AB108" s="178"/>
      <c r="AC108" s="178"/>
      <c r="AD108" s="178"/>
      <c r="AE108" s="178"/>
      <c r="AF108" s="178"/>
      <c r="AG108" s="178"/>
      <c r="AH108" s="178"/>
      <c r="AI108" s="178"/>
      <c r="AJ108" s="178"/>
      <c r="AK108" s="178">
        <v>78</v>
      </c>
      <c r="AL108" s="178"/>
      <c r="AM108" s="178"/>
      <c r="AN108" s="178"/>
      <c r="AO108" s="178"/>
      <c r="AP108" s="178"/>
      <c r="AQ108" s="178"/>
      <c r="AR108" s="178"/>
      <c r="AS108" s="178"/>
      <c r="AT108" s="178"/>
      <c r="AU108" s="178">
        <v>63</v>
      </c>
      <c r="AV108" s="178">
        <v>67</v>
      </c>
      <c r="AW108" s="178">
        <v>69</v>
      </c>
      <c r="AX108" s="178">
        <v>70</v>
      </c>
      <c r="AY108" s="178">
        <v>71</v>
      </c>
      <c r="AZ108" s="178">
        <v>70</v>
      </c>
      <c r="BA108" s="178">
        <v>70</v>
      </c>
      <c r="BB108" s="178">
        <v>71</v>
      </c>
      <c r="BC108" s="178">
        <v>70</v>
      </c>
      <c r="BD108" s="178">
        <v>70</v>
      </c>
      <c r="BE108" s="178">
        <v>69</v>
      </c>
      <c r="BF108" s="178">
        <v>70</v>
      </c>
      <c r="BG108" s="178">
        <v>68</v>
      </c>
      <c r="BH108" s="214">
        <v>62</v>
      </c>
      <c r="BI108" s="214">
        <v>60</v>
      </c>
      <c r="BJ108" s="214">
        <v>56.5</v>
      </c>
      <c r="BK108" s="214">
        <v>56.5</v>
      </c>
      <c r="BL108" s="214">
        <v>55</v>
      </c>
      <c r="BM108" s="214">
        <v>58</v>
      </c>
      <c r="BN108" s="214">
        <v>58</v>
      </c>
      <c r="BO108" s="300">
        <v>55</v>
      </c>
      <c r="BP108" s="214">
        <v>55</v>
      </c>
      <c r="BQ108" s="214">
        <v>56</v>
      </c>
      <c r="BR108" s="214">
        <v>56</v>
      </c>
      <c r="BS108" s="300">
        <v>56</v>
      </c>
      <c r="BT108" s="300">
        <v>55</v>
      </c>
      <c r="BU108" s="300">
        <v>55</v>
      </c>
      <c r="BV108" s="300">
        <v>58</v>
      </c>
      <c r="BW108" s="178"/>
    </row>
    <row r="109" spans="1:75">
      <c r="A109" s="178" t="str">
        <f t="shared" si="18"/>
        <v>SOYA ACID OILUSD</v>
      </c>
      <c r="B109" s="178"/>
      <c r="C109" s="178" t="s">
        <v>149</v>
      </c>
      <c r="D109" s="178" t="s">
        <v>33</v>
      </c>
      <c r="E109" s="178"/>
      <c r="F109" s="178"/>
      <c r="G109" s="178"/>
      <c r="H109" s="178"/>
      <c r="I109" s="178"/>
      <c r="J109" s="178"/>
      <c r="K109" s="178"/>
      <c r="L109" s="178"/>
      <c r="M109" s="178"/>
      <c r="N109" s="178"/>
      <c r="O109" s="178"/>
      <c r="P109" s="178"/>
      <c r="Q109" s="178"/>
      <c r="R109" s="178"/>
      <c r="S109" s="178"/>
      <c r="T109" s="178"/>
      <c r="U109" s="178"/>
      <c r="V109" s="178"/>
      <c r="W109" s="178"/>
      <c r="X109" s="178"/>
      <c r="Y109" s="178"/>
      <c r="Z109" s="178"/>
      <c r="AA109" s="178"/>
      <c r="AB109" s="178"/>
      <c r="AC109" s="178"/>
      <c r="AD109" s="178"/>
      <c r="AE109" s="178"/>
      <c r="AF109" s="178"/>
      <c r="AG109" s="178"/>
      <c r="AH109" s="178"/>
      <c r="AI109" s="178"/>
      <c r="AJ109" s="178"/>
      <c r="AK109" s="266">
        <f>AK108/AK1</f>
        <v>0.98055319962051757</v>
      </c>
      <c r="AL109" s="266">
        <f t="shared" ref="AL109:BW109" si="33">AL108/AL1</f>
        <v>0</v>
      </c>
      <c r="AM109" s="266">
        <f t="shared" si="33"/>
        <v>0</v>
      </c>
      <c r="AN109" s="266">
        <f t="shared" si="33"/>
        <v>0</v>
      </c>
      <c r="AO109" s="266">
        <f t="shared" si="33"/>
        <v>0</v>
      </c>
      <c r="AP109" s="266">
        <f t="shared" si="33"/>
        <v>0</v>
      </c>
      <c r="AQ109" s="266">
        <f t="shared" si="33"/>
        <v>0</v>
      </c>
      <c r="AR109" s="266">
        <f t="shared" si="33"/>
        <v>0</v>
      </c>
      <c r="AS109" s="266">
        <f t="shared" si="33"/>
        <v>0</v>
      </c>
      <c r="AT109" s="266">
        <f t="shared" si="33"/>
        <v>0</v>
      </c>
      <c r="AU109" s="266">
        <f t="shared" si="33"/>
        <v>0.76363636363636367</v>
      </c>
      <c r="AV109" s="266">
        <f t="shared" si="33"/>
        <v>0.81271227559437165</v>
      </c>
      <c r="AW109" s="266">
        <f t="shared" si="33"/>
        <v>0.8396203455828668</v>
      </c>
      <c r="AX109" s="266">
        <f t="shared" si="33"/>
        <v>0.8544921875</v>
      </c>
      <c r="AY109" s="266">
        <f t="shared" si="33"/>
        <v>0.8631169462679309</v>
      </c>
      <c r="AZ109" s="266">
        <f t="shared" si="33"/>
        <v>0.84510443076180131</v>
      </c>
      <c r="BA109" s="266">
        <f t="shared" si="33"/>
        <v>0.84084084084084088</v>
      </c>
      <c r="BB109" s="266">
        <f t="shared" si="33"/>
        <v>0.85285285285285284</v>
      </c>
      <c r="BC109" s="266">
        <f t="shared" si="33"/>
        <v>0.84694494857834235</v>
      </c>
      <c r="BD109" s="266">
        <f t="shared" si="33"/>
        <v>0.84286574352799526</v>
      </c>
      <c r="BE109" s="278">
        <f t="shared" si="33"/>
        <v>0.83192669399565955</v>
      </c>
      <c r="BF109" s="278">
        <f t="shared" si="33"/>
        <v>0.84408537320631849</v>
      </c>
      <c r="BG109" s="278">
        <f t="shared" si="33"/>
        <v>0.81671871246697092</v>
      </c>
      <c r="BH109" s="279">
        <f t="shared" si="33"/>
        <v>0.74501321797644793</v>
      </c>
      <c r="BI109" s="279">
        <f t="shared" si="33"/>
        <v>0.72072072072072069</v>
      </c>
      <c r="BJ109" s="216">
        <f t="shared" si="33"/>
        <v>0.67974013474494699</v>
      </c>
      <c r="BK109" s="216">
        <f t="shared" si="33"/>
        <v>0.67859716550564497</v>
      </c>
      <c r="BL109" s="216">
        <f t="shared" si="33"/>
        <v>0.66089882239846187</v>
      </c>
      <c r="BM109" s="216">
        <f t="shared" si="33"/>
        <v>0.69719918259406177</v>
      </c>
      <c r="BN109" s="216">
        <f t="shared" si="33"/>
        <v>0.69719918259406177</v>
      </c>
      <c r="BO109" s="301">
        <f t="shared" si="33"/>
        <v>0.66002640105604227</v>
      </c>
      <c r="BP109" s="216">
        <f t="shared" si="33"/>
        <v>0.65947242206235013</v>
      </c>
      <c r="BQ109" s="216">
        <f t="shared" si="33"/>
        <v>0.67178502879078694</v>
      </c>
      <c r="BR109" s="318">
        <f t="shared" si="33"/>
        <v>0.67275348390197021</v>
      </c>
      <c r="BS109" s="312">
        <f t="shared" si="33"/>
        <v>0.67210753720595295</v>
      </c>
      <c r="BT109" s="312">
        <f t="shared" si="33"/>
        <v>0.66153476064469574</v>
      </c>
      <c r="BU109" s="216">
        <f t="shared" si="33"/>
        <v>0.66145520144317493</v>
      </c>
      <c r="BV109" s="216">
        <f t="shared" si="33"/>
        <v>0.69669669669669665</v>
      </c>
      <c r="BW109" s="216" t="e">
        <f t="shared" si="33"/>
        <v>#DIV/0!</v>
      </c>
    </row>
    <row r="110" spans="1:75">
      <c r="A110" s="178" t="str">
        <f t="shared" si="18"/>
        <v>Glycerine Crude 80%INR</v>
      </c>
      <c r="B110" s="178"/>
      <c r="C110" s="178" t="s">
        <v>146</v>
      </c>
      <c r="D110" s="178" t="s">
        <v>43</v>
      </c>
      <c r="E110" s="178"/>
      <c r="F110" s="178"/>
      <c r="G110" s="178"/>
      <c r="H110" s="178"/>
      <c r="I110" s="178"/>
      <c r="J110" s="178"/>
      <c r="K110" s="178"/>
      <c r="L110" s="178"/>
      <c r="M110" s="178"/>
      <c r="N110" s="178"/>
      <c r="O110" s="178"/>
      <c r="P110" s="178"/>
      <c r="Q110" s="178"/>
      <c r="R110" s="178"/>
      <c r="S110" s="178"/>
      <c r="T110" s="178"/>
      <c r="U110" s="178"/>
      <c r="V110" s="178"/>
      <c r="W110" s="178"/>
      <c r="X110" s="178"/>
      <c r="Y110" s="178"/>
      <c r="Z110" s="178"/>
      <c r="AA110" s="178">
        <f>(AA103/1000)*AA1</f>
        <v>68.168099999999995</v>
      </c>
      <c r="AB110" s="178">
        <f t="shared" ref="AB110:BI110" si="34">(AB103/1000)*AB1</f>
        <v>69.303643750000006</v>
      </c>
      <c r="AC110" s="178">
        <f t="shared" si="34"/>
        <v>59.204700000000003</v>
      </c>
      <c r="AD110" s="178">
        <f t="shared" si="34"/>
        <v>55.279125000000008</v>
      </c>
      <c r="AE110" s="178">
        <f t="shared" si="34"/>
        <v>64.090799999999987</v>
      </c>
      <c r="AF110" s="178">
        <f t="shared" si="34"/>
        <v>77.962829999999983</v>
      </c>
      <c r="AG110" s="178">
        <f t="shared" si="34"/>
        <v>73.163077687500007</v>
      </c>
      <c r="AH110" s="178">
        <f t="shared" si="34"/>
        <v>74.516451281249985</v>
      </c>
      <c r="AI110" s="178">
        <f t="shared" si="34"/>
        <v>73.233953481818162</v>
      </c>
      <c r="AJ110" s="178">
        <f t="shared" si="34"/>
        <v>42.7858344047619</v>
      </c>
      <c r="AK110" s="178">
        <f t="shared" si="34"/>
        <v>34.503482333333331</v>
      </c>
      <c r="AL110" s="178">
        <f t="shared" si="34"/>
        <v>34.499568454545461</v>
      </c>
      <c r="AM110" s="178">
        <f t="shared" si="34"/>
        <v>27.944177093750007</v>
      </c>
      <c r="AN110" s="178">
        <f t="shared" si="34"/>
        <v>21.62865597321429</v>
      </c>
      <c r="AO110" s="178">
        <f t="shared" si="34"/>
        <v>23.089979818181817</v>
      </c>
      <c r="AP110" s="178">
        <f t="shared" si="34"/>
        <v>24.877000607142858</v>
      </c>
      <c r="AQ110" s="178">
        <f t="shared" si="34"/>
        <v>26.586884187500001</v>
      </c>
      <c r="AR110" s="178">
        <f t="shared" si="34"/>
        <v>22.747697050000003</v>
      </c>
      <c r="AS110" s="178">
        <f t="shared" si="34"/>
        <v>25.765667687499999</v>
      </c>
      <c r="AT110" s="178">
        <f t="shared" si="34"/>
        <v>26.946166406250001</v>
      </c>
      <c r="AU110" s="178">
        <f t="shared" si="34"/>
        <v>22.357500000000002</v>
      </c>
      <c r="AV110" s="178">
        <f t="shared" si="34"/>
        <v>20.197799999999997</v>
      </c>
      <c r="AW110" s="178">
        <f t="shared" si="34"/>
        <v>21.366800000000001</v>
      </c>
      <c r="AX110" s="178">
        <f t="shared" si="34"/>
        <v>23.142399999999999</v>
      </c>
      <c r="AY110" s="178">
        <f t="shared" si="34"/>
        <v>24.2667</v>
      </c>
      <c r="AZ110" s="178">
        <f t="shared" si="34"/>
        <v>24.849</v>
      </c>
      <c r="BA110" s="178">
        <f t="shared" si="34"/>
        <v>24.974999999999998</v>
      </c>
      <c r="BB110" s="178">
        <f t="shared" si="34"/>
        <v>24.142499999999998</v>
      </c>
      <c r="BC110" s="178">
        <f t="shared" si="34"/>
        <v>23.142000000000003</v>
      </c>
      <c r="BD110" s="178">
        <f t="shared" si="34"/>
        <v>22.838750000000001</v>
      </c>
      <c r="BE110" s="278">
        <f t="shared" si="34"/>
        <v>22.808500000000002</v>
      </c>
      <c r="BF110" s="278">
        <f t="shared" si="34"/>
        <v>22.391100000000002</v>
      </c>
      <c r="BG110" s="278">
        <f t="shared" si="34"/>
        <v>22.480200000000004</v>
      </c>
      <c r="BH110" s="279">
        <f t="shared" si="34"/>
        <v>22.4694</v>
      </c>
      <c r="BI110" s="279">
        <f t="shared" si="34"/>
        <v>22.477500000000003</v>
      </c>
      <c r="BJ110" s="279">
        <f>(BJ103/1000)*BJ1</f>
        <v>22.442400000000003</v>
      </c>
      <c r="BK110" s="279">
        <f>(BK103/1000)*BK1</f>
        <v>22.480200000000004</v>
      </c>
      <c r="BL110" s="279">
        <f>(BL103/1000)*BL1</f>
        <v>22.26135</v>
      </c>
      <c r="BM110" s="279">
        <f t="shared" ref="BM110:BW110" si="35">(BM103/1000)*BM1</f>
        <v>22.253325</v>
      </c>
      <c r="BN110" s="279">
        <f t="shared" si="35"/>
        <v>22.253325</v>
      </c>
      <c r="BO110" s="306">
        <f t="shared" si="35"/>
        <v>22.082450000000001</v>
      </c>
      <c r="BP110" s="279">
        <f t="shared" si="35"/>
        <v>22.101000000000003</v>
      </c>
      <c r="BQ110" s="279">
        <f t="shared" si="35"/>
        <v>22.090400000000002</v>
      </c>
      <c r="BR110" s="314">
        <f t="shared" si="35"/>
        <v>20.81</v>
      </c>
      <c r="BS110" s="306">
        <f t="shared" si="35"/>
        <v>20.83</v>
      </c>
      <c r="BT110" s="306">
        <f t="shared" si="35"/>
        <v>21.200700000000001</v>
      </c>
      <c r="BU110" s="279">
        <f t="shared" si="35"/>
        <v>22.034750000000003</v>
      </c>
      <c r="BV110" s="279">
        <f t="shared" si="35"/>
        <v>22.269375</v>
      </c>
      <c r="BW110" s="279">
        <f t="shared" si="35"/>
        <v>0</v>
      </c>
    </row>
    <row r="111" spans="1:75">
      <c r="A111" s="178" t="str">
        <f t="shared" si="18"/>
        <v>C16 Palmitic AcidINR</v>
      </c>
      <c r="B111" s="178"/>
      <c r="C111" s="178" t="s">
        <v>145</v>
      </c>
      <c r="D111" s="178" t="s">
        <v>43</v>
      </c>
      <c r="E111" s="178"/>
      <c r="F111" s="178"/>
      <c r="G111" s="178"/>
      <c r="H111" s="178"/>
      <c r="I111" s="178"/>
      <c r="J111" s="178"/>
      <c r="K111" s="178"/>
      <c r="L111" s="178"/>
      <c r="M111" s="178"/>
      <c r="N111" s="178"/>
      <c r="O111" s="178"/>
      <c r="P111" s="178"/>
      <c r="Q111" s="178"/>
      <c r="R111" s="178"/>
      <c r="S111" s="178"/>
      <c r="T111" s="178"/>
      <c r="U111" s="178"/>
      <c r="V111" s="178"/>
      <c r="W111" s="178"/>
      <c r="X111" s="178"/>
      <c r="Y111" s="178"/>
      <c r="Z111" s="178"/>
      <c r="AA111" s="178">
        <f>(AA102/1000)*AA1</f>
        <v>105.49824999999998</v>
      </c>
      <c r="AB111" s="178">
        <f t="shared" ref="AB111:BW111" si="36">(AB102/1000)*AB1</f>
        <v>107.5160625</v>
      </c>
      <c r="AC111" s="178">
        <f t="shared" si="36"/>
        <v>108.03915000000001</v>
      </c>
      <c r="AD111" s="178">
        <f t="shared" si="36"/>
        <v>108.32475000000001</v>
      </c>
      <c r="AE111" s="178">
        <f t="shared" si="36"/>
        <v>112.0652</v>
      </c>
      <c r="AF111" s="178">
        <f t="shared" si="36"/>
        <v>131.46224999999998</v>
      </c>
      <c r="AG111" s="178">
        <f t="shared" si="36"/>
        <v>127.03249781250001</v>
      </c>
      <c r="AH111" s="178">
        <f t="shared" si="36"/>
        <v>127.57680374999998</v>
      </c>
      <c r="AI111" s="178">
        <f t="shared" si="36"/>
        <v>119.25891678409089</v>
      </c>
      <c r="AJ111" s="178">
        <f t="shared" si="36"/>
        <v>100.24820502976188</v>
      </c>
      <c r="AK111" s="178">
        <f t="shared" si="36"/>
        <v>95.456319999999991</v>
      </c>
      <c r="AL111" s="178">
        <f t="shared" si="36"/>
        <v>95.274971022727286</v>
      </c>
      <c r="AM111" s="178">
        <f t="shared" si="36"/>
        <v>88.721475708333344</v>
      </c>
      <c r="AN111" s="178">
        <f t="shared" si="36"/>
        <v>84.592076695238106</v>
      </c>
      <c r="AO111" s="178">
        <f t="shared" si="36"/>
        <v>86.587424318181803</v>
      </c>
      <c r="AP111" s="178">
        <f t="shared" si="36"/>
        <v>88.246808738095226</v>
      </c>
      <c r="AQ111" s="178">
        <f t="shared" si="36"/>
        <v>93.208072749999999</v>
      </c>
      <c r="AR111" s="178">
        <f t="shared" si="36"/>
        <v>94.35777585000001</v>
      </c>
      <c r="AS111" s="178">
        <f t="shared" si="36"/>
        <v>89.717902625000008</v>
      </c>
      <c r="AT111" s="178">
        <f t="shared" si="36"/>
        <v>86.145610849999997</v>
      </c>
      <c r="AU111" s="178">
        <f t="shared" si="36"/>
        <v>79.096874999999997</v>
      </c>
      <c r="AV111" s="178">
        <f t="shared" si="36"/>
        <v>82.44</v>
      </c>
      <c r="AW111" s="178">
        <f t="shared" si="36"/>
        <v>82.590900000000005</v>
      </c>
      <c r="AX111" s="178">
        <f t="shared" si="36"/>
        <v>83.967999999999989</v>
      </c>
      <c r="AY111" s="178">
        <f t="shared" si="36"/>
        <v>84.316500000000005</v>
      </c>
      <c r="AZ111" s="178">
        <f t="shared" si="36"/>
        <v>85.729049999999987</v>
      </c>
      <c r="BA111" s="178">
        <f t="shared" si="36"/>
        <v>85.331249999999997</v>
      </c>
      <c r="BB111" s="178">
        <f t="shared" si="36"/>
        <v>85.331249999999997</v>
      </c>
      <c r="BC111" s="178">
        <f t="shared" si="36"/>
        <v>84.716250000000002</v>
      </c>
      <c r="BD111" s="178">
        <f t="shared" si="36"/>
        <v>83.05</v>
      </c>
      <c r="BE111" s="278">
        <f t="shared" si="36"/>
        <v>82.110599999999991</v>
      </c>
      <c r="BF111" s="278">
        <f t="shared" si="36"/>
        <v>82.100700000000003</v>
      </c>
      <c r="BG111" s="278">
        <f t="shared" si="36"/>
        <v>82.427400000000006</v>
      </c>
      <c r="BH111" s="279">
        <f t="shared" si="36"/>
        <v>82.387799999999999</v>
      </c>
      <c r="BI111" s="279">
        <f t="shared" si="36"/>
        <v>82.001249999999999</v>
      </c>
      <c r="BJ111" s="279">
        <f t="shared" si="36"/>
        <v>83.12</v>
      </c>
      <c r="BK111" s="279">
        <f t="shared" si="36"/>
        <v>83.26</v>
      </c>
      <c r="BL111" s="279">
        <f t="shared" si="36"/>
        <v>82.803899999999999</v>
      </c>
      <c r="BM111" s="279">
        <f t="shared" si="36"/>
        <v>83.19</v>
      </c>
      <c r="BN111" s="279">
        <f t="shared" si="36"/>
        <v>84.853799999999993</v>
      </c>
      <c r="BO111" s="306">
        <f t="shared" si="36"/>
        <v>84.996600000000001</v>
      </c>
      <c r="BP111" s="279">
        <f t="shared" si="36"/>
        <v>85.068000000000012</v>
      </c>
      <c r="BQ111" s="279">
        <f t="shared" si="36"/>
        <v>85.027200000000008</v>
      </c>
      <c r="BR111" s="315">
        <f t="shared" si="36"/>
        <v>88.234399999999994</v>
      </c>
      <c r="BS111" s="306">
        <f t="shared" si="36"/>
        <v>88.319199999999995</v>
      </c>
      <c r="BT111" s="306">
        <f t="shared" si="36"/>
        <v>88.128399999999999</v>
      </c>
      <c r="BU111" s="279">
        <f t="shared" si="36"/>
        <v>86.476000000000013</v>
      </c>
      <c r="BV111" s="279">
        <f t="shared" si="36"/>
        <v>86.58</v>
      </c>
      <c r="BW111" s="279">
        <f t="shared" si="36"/>
        <v>0</v>
      </c>
    </row>
    <row r="112" spans="1:75">
      <c r="A112" s="178" t="str">
        <f t="shared" si="18"/>
        <v>Ethylene- US SPOTUSD</v>
      </c>
      <c r="B112" s="178" t="s">
        <v>150</v>
      </c>
      <c r="C112" s="178" t="s">
        <v>151</v>
      </c>
      <c r="D112" s="178" t="s">
        <v>33</v>
      </c>
      <c r="E112" s="178" t="s">
        <v>32</v>
      </c>
      <c r="F112" s="178"/>
      <c r="G112" s="178"/>
      <c r="H112" s="178"/>
      <c r="I112" s="178">
        <v>194.23</v>
      </c>
      <c r="J112" s="178">
        <v>267.31</v>
      </c>
      <c r="K112" s="178">
        <v>275.57</v>
      </c>
      <c r="L112" s="178">
        <v>344.58</v>
      </c>
      <c r="M112" s="178">
        <v>485.01</v>
      </c>
      <c r="N112" s="178">
        <v>559.53</v>
      </c>
      <c r="O112" s="178">
        <v>501.55</v>
      </c>
      <c r="P112" s="178">
        <v>507.06</v>
      </c>
      <c r="Q112" s="178">
        <v>716.49</v>
      </c>
      <c r="R112" s="178">
        <v>650.36</v>
      </c>
      <c r="S112" s="178">
        <v>970.02</v>
      </c>
      <c r="T112" s="178">
        <v>1224</v>
      </c>
      <c r="U112" s="178">
        <v>1047</v>
      </c>
      <c r="V112" s="178">
        <v>760.59</v>
      </c>
      <c r="W112" s="178">
        <v>633.82000000000005</v>
      </c>
      <c r="X112" s="178">
        <v>1113</v>
      </c>
      <c r="Y112" s="178">
        <v>1036</v>
      </c>
      <c r="Z112" s="178">
        <v>892.86</v>
      </c>
      <c r="AA112" s="178">
        <v>876.33</v>
      </c>
      <c r="AB112" s="178">
        <v>788.14</v>
      </c>
      <c r="AC112" s="178">
        <v>650.36</v>
      </c>
      <c r="AD112" s="178">
        <v>931.44</v>
      </c>
      <c r="AE112" s="178">
        <v>859.79</v>
      </c>
      <c r="AF112" s="178">
        <v>556.66</v>
      </c>
      <c r="AG112" s="178">
        <v>611.78</v>
      </c>
      <c r="AH112" s="178">
        <v>633.82000000000005</v>
      </c>
      <c r="AI112" s="178">
        <v>559.41999999999996</v>
      </c>
      <c r="AJ112" s="178">
        <v>559.41999999999996</v>
      </c>
      <c r="AK112" s="178">
        <v>598</v>
      </c>
      <c r="AL112" s="178">
        <v>440.92</v>
      </c>
      <c r="AM112" s="178">
        <v>434.03</v>
      </c>
      <c r="AN112" s="178">
        <v>488.32</v>
      </c>
      <c r="AO112" s="178">
        <v>443.68</v>
      </c>
      <c r="AP112" s="178">
        <v>473.99</v>
      </c>
      <c r="AQ112" s="178">
        <v>487.77</v>
      </c>
      <c r="AR112" s="178">
        <v>562.16999999999996</v>
      </c>
      <c r="AS112" s="178">
        <v>457.45</v>
      </c>
      <c r="AT112" s="178">
        <v>366.51</v>
      </c>
      <c r="AU112" s="214">
        <v>355.49</v>
      </c>
      <c r="AV112" s="214">
        <v>355.49</v>
      </c>
      <c r="AW112" s="214">
        <v>355.49</v>
      </c>
      <c r="AX112" s="214">
        <v>355.49</v>
      </c>
      <c r="AY112" s="214">
        <v>355.49</v>
      </c>
      <c r="AZ112" s="214">
        <v>405.1</v>
      </c>
      <c r="BA112" s="214">
        <v>405.1</v>
      </c>
      <c r="BB112" s="214">
        <v>405.1</v>
      </c>
      <c r="BC112" s="214">
        <v>405.1</v>
      </c>
      <c r="BD112" s="214">
        <v>465.72</v>
      </c>
      <c r="BE112" s="279">
        <v>465.72</v>
      </c>
      <c r="BF112" s="279">
        <v>465.72</v>
      </c>
      <c r="BG112" s="279">
        <v>465.72</v>
      </c>
      <c r="BH112" s="279">
        <v>465.72</v>
      </c>
      <c r="BI112" s="279">
        <v>465.72</v>
      </c>
      <c r="BJ112" s="279">
        <v>465.72</v>
      </c>
      <c r="BK112" s="214">
        <v>479.5</v>
      </c>
      <c r="BL112" s="214">
        <v>479.5</v>
      </c>
      <c r="BM112" s="214">
        <v>479.5</v>
      </c>
      <c r="BN112" s="214">
        <v>479.5</v>
      </c>
      <c r="BO112" s="300">
        <v>479.5</v>
      </c>
      <c r="BP112" s="214">
        <v>451.94</v>
      </c>
      <c r="BQ112" s="214">
        <v>451.94</v>
      </c>
      <c r="BR112" s="300">
        <v>451.94</v>
      </c>
      <c r="BS112" s="300">
        <v>396.83</v>
      </c>
      <c r="BT112" s="300">
        <v>396.83</v>
      </c>
      <c r="BU112" s="300">
        <v>396.83</v>
      </c>
      <c r="BV112" s="300">
        <v>396.83</v>
      </c>
      <c r="BW112" s="178"/>
    </row>
    <row r="113" spans="1:75">
      <c r="A113" s="178" t="str">
        <f t="shared" si="18"/>
        <v>PHOSPHORIC ACID USD</v>
      </c>
      <c r="B113" s="178" t="s">
        <v>152</v>
      </c>
      <c r="C113" s="178" t="s">
        <v>153</v>
      </c>
      <c r="D113" s="178" t="s">
        <v>33</v>
      </c>
      <c r="E113" s="178" t="s">
        <v>34</v>
      </c>
      <c r="F113" s="216">
        <v>0.57015730002519083</v>
      </c>
      <c r="G113" s="216">
        <v>0.6294972804920792</v>
      </c>
      <c r="H113" s="216">
        <v>0.60343904737076348</v>
      </c>
      <c r="I113" s="216">
        <v>0.63957777431509166</v>
      </c>
      <c r="J113" s="216">
        <v>0.61513247905347612</v>
      </c>
      <c r="K113" s="216">
        <v>0.66798243580747441</v>
      </c>
      <c r="L113" s="216">
        <v>0.62796227311388653</v>
      </c>
      <c r="M113" s="216">
        <v>0.64610700241265606</v>
      </c>
      <c r="N113" s="216">
        <v>0.67428811761455698</v>
      </c>
      <c r="O113" s="216">
        <v>0.66049116813796593</v>
      </c>
      <c r="P113" s="216">
        <v>0.69380826465100287</v>
      </c>
      <c r="Q113" s="216">
        <v>0.69524984000936763</v>
      </c>
      <c r="R113" s="266">
        <v>0.70954895192260181</v>
      </c>
      <c r="S113" s="266">
        <v>0.80838712304362426</v>
      </c>
      <c r="T113" s="266">
        <v>0.81053490260368233</v>
      </c>
      <c r="U113" s="266">
        <v>0.80861027585905698</v>
      </c>
      <c r="V113" s="266">
        <v>0.97947107376120757</v>
      </c>
      <c r="W113" s="266">
        <v>0.98006794165711719</v>
      </c>
      <c r="X113" s="266">
        <v>1.0391990602586787</v>
      </c>
      <c r="Y113" s="266">
        <v>1.1389024247663595</v>
      </c>
      <c r="Z113" s="266">
        <v>1.1404857378238031</v>
      </c>
      <c r="AA113" s="266">
        <v>1.1583476672292665</v>
      </c>
      <c r="AB113" s="266">
        <v>1.3110232969805296</v>
      </c>
      <c r="AC113" s="266">
        <v>1.3388256268736385</v>
      </c>
      <c r="AD113" s="266">
        <v>1.3495866978571565</v>
      </c>
      <c r="AE113" s="266">
        <v>1.3312432583047098</v>
      </c>
      <c r="AF113" s="266">
        <v>1.5240204255965668</v>
      </c>
      <c r="AG113" s="266">
        <v>1.8411982705763026</v>
      </c>
      <c r="AH113" s="266">
        <v>1.7285526728848497</v>
      </c>
      <c r="AI113" s="266">
        <v>1.7095762691747993</v>
      </c>
      <c r="AJ113" s="266">
        <v>1.8501005262327244</v>
      </c>
      <c r="AK113" s="266">
        <v>1.4419752322906398</v>
      </c>
      <c r="AL113" s="266">
        <v>1.5605965199208647</v>
      </c>
      <c r="AM113" s="266">
        <v>1.080453057826982</v>
      </c>
      <c r="AN113" s="266">
        <v>1.4151927343139847</v>
      </c>
      <c r="AO113" s="266">
        <v>1.2420852609822264</v>
      </c>
      <c r="AP113" s="266">
        <v>1.1873706527639396</v>
      </c>
      <c r="AQ113" s="266">
        <v>1.2851994550384078</v>
      </c>
      <c r="AR113" s="266">
        <v>0.3579073438036397</v>
      </c>
      <c r="AS113" s="266">
        <v>1.1130592088780549</v>
      </c>
      <c r="AT113" s="266">
        <v>1.2593244568168143</v>
      </c>
      <c r="AU113" s="266">
        <v>1.2593244568168143</v>
      </c>
      <c r="AV113" s="266">
        <v>0.94683695871851492</v>
      </c>
      <c r="AW113" s="266">
        <v>0.94683695871851492</v>
      </c>
      <c r="AX113" s="266">
        <v>0.94683695871851492</v>
      </c>
      <c r="AY113" s="266">
        <v>0.94683695871851492</v>
      </c>
      <c r="AZ113" s="279">
        <v>0.93797052438640871</v>
      </c>
      <c r="BA113" s="279">
        <v>0.93797052438640871</v>
      </c>
      <c r="BB113" s="279">
        <v>0.93797052438640871</v>
      </c>
      <c r="BC113" s="279">
        <v>0.93797052438640871</v>
      </c>
      <c r="BD113" s="279">
        <v>0.99276892612142864</v>
      </c>
      <c r="BE113" s="279">
        <v>0.99276892612142864</v>
      </c>
      <c r="BF113" s="279">
        <v>0.99276892612142864</v>
      </c>
      <c r="BG113" s="279">
        <v>0.99276892612142864</v>
      </c>
      <c r="BH113" s="279">
        <v>1.0642951909878353</v>
      </c>
      <c r="BI113" s="279">
        <v>1.0642951909878353</v>
      </c>
      <c r="BJ113" s="279">
        <v>1.0642951909878353</v>
      </c>
      <c r="BK113" s="214">
        <v>0.78</v>
      </c>
      <c r="BL113" s="214">
        <v>0.78</v>
      </c>
      <c r="BM113" s="214">
        <v>0.78</v>
      </c>
      <c r="BN113" s="214">
        <v>0.78</v>
      </c>
      <c r="BO113" s="300">
        <v>0.72</v>
      </c>
      <c r="BP113" s="214">
        <v>0.79</v>
      </c>
      <c r="BQ113" s="214">
        <v>0.79</v>
      </c>
      <c r="BR113" s="214">
        <v>1.02</v>
      </c>
      <c r="BS113" s="300">
        <v>1.02</v>
      </c>
      <c r="BT113" s="300">
        <v>0.91</v>
      </c>
      <c r="BU113" s="300">
        <v>0.91</v>
      </c>
      <c r="BV113" s="300">
        <v>0.91</v>
      </c>
      <c r="BW113" s="178"/>
    </row>
    <row r="114" spans="1:75">
      <c r="A114" s="178" t="str">
        <f t="shared" si="18"/>
        <v>Ortho xylene USD</v>
      </c>
      <c r="B114" s="178" t="s">
        <v>154</v>
      </c>
      <c r="C114" s="178" t="s">
        <v>155</v>
      </c>
      <c r="D114" s="178" t="s">
        <v>33</v>
      </c>
      <c r="E114" s="178" t="s">
        <v>32</v>
      </c>
      <c r="F114" s="178">
        <v>820</v>
      </c>
      <c r="G114" s="178">
        <v>750</v>
      </c>
      <c r="H114" s="178">
        <v>600</v>
      </c>
      <c r="I114" s="178">
        <v>440</v>
      </c>
      <c r="J114" s="178">
        <v>460</v>
      </c>
      <c r="K114" s="178">
        <v>520</v>
      </c>
      <c r="L114" s="178">
        <v>520</v>
      </c>
      <c r="M114" s="178">
        <v>525</v>
      </c>
      <c r="N114" s="178">
        <v>535</v>
      </c>
      <c r="O114" s="178">
        <v>550</v>
      </c>
      <c r="P114" s="178">
        <v>600</v>
      </c>
      <c r="Q114" s="178">
        <v>670</v>
      </c>
      <c r="R114" s="178">
        <v>645</v>
      </c>
      <c r="S114" s="178">
        <v>725</v>
      </c>
      <c r="T114" s="178">
        <v>800</v>
      </c>
      <c r="U114" s="178">
        <v>780</v>
      </c>
      <c r="V114" s="178">
        <v>800</v>
      </c>
      <c r="W114" s="178">
        <v>805</v>
      </c>
      <c r="X114" s="178">
        <v>828</v>
      </c>
      <c r="Y114" s="178">
        <v>830</v>
      </c>
      <c r="Z114" s="178">
        <v>863</v>
      </c>
      <c r="AA114" s="178">
        <v>910</v>
      </c>
      <c r="AB114" s="178">
        <v>930</v>
      </c>
      <c r="AC114" s="178">
        <v>880</v>
      </c>
      <c r="AD114" s="178">
        <v>940</v>
      </c>
      <c r="AE114" s="178">
        <v>1050</v>
      </c>
      <c r="AF114" s="178">
        <v>1250</v>
      </c>
      <c r="AG114" s="178">
        <v>1220</v>
      </c>
      <c r="AH114" s="178">
        <v>1210</v>
      </c>
      <c r="AI114" s="178">
        <v>1250</v>
      </c>
      <c r="AJ114" s="178">
        <v>1150</v>
      </c>
      <c r="AK114" s="178">
        <v>1060</v>
      </c>
      <c r="AL114" s="178">
        <v>1140</v>
      </c>
      <c r="AM114" s="178">
        <v>1160</v>
      </c>
      <c r="AN114" s="178">
        <v>1060</v>
      </c>
      <c r="AO114" s="178">
        <v>1000</v>
      </c>
      <c r="AP114" s="178">
        <v>1020</v>
      </c>
      <c r="AQ114" s="178">
        <v>1120</v>
      </c>
      <c r="AR114" s="178">
        <v>1155</v>
      </c>
      <c r="AS114" s="178">
        <v>1160</v>
      </c>
      <c r="AT114" s="178">
        <v>1100</v>
      </c>
      <c r="AU114" s="178">
        <v>1060</v>
      </c>
      <c r="AV114" s="178">
        <v>1060</v>
      </c>
      <c r="AW114" s="178">
        <v>1060</v>
      </c>
      <c r="AX114" s="178">
        <v>1061</v>
      </c>
      <c r="AY114" s="178">
        <v>1170</v>
      </c>
      <c r="AZ114" s="178">
        <v>1170</v>
      </c>
      <c r="BA114" s="178">
        <v>1150</v>
      </c>
      <c r="BB114" s="178">
        <v>1150</v>
      </c>
      <c r="BC114" s="178">
        <v>1150</v>
      </c>
      <c r="BD114" s="178">
        <v>1145</v>
      </c>
      <c r="BE114" s="178">
        <v>1178</v>
      </c>
      <c r="BF114" s="178">
        <v>1178</v>
      </c>
      <c r="BG114" s="178">
        <v>1175</v>
      </c>
      <c r="BH114" s="178">
        <v>1157</v>
      </c>
      <c r="BI114" s="178">
        <v>1100</v>
      </c>
      <c r="BJ114" s="178">
        <v>1023</v>
      </c>
      <c r="BK114" s="178">
        <v>1019</v>
      </c>
      <c r="BL114" s="178">
        <v>1004</v>
      </c>
      <c r="BM114" s="178">
        <v>999</v>
      </c>
      <c r="BN114" s="214">
        <v>984</v>
      </c>
      <c r="BO114" s="300">
        <v>984</v>
      </c>
      <c r="BP114" s="214">
        <v>964</v>
      </c>
      <c r="BQ114" s="214">
        <v>959</v>
      </c>
      <c r="BR114" s="214">
        <v>959</v>
      </c>
      <c r="BS114" s="300">
        <v>959</v>
      </c>
      <c r="BT114" s="300">
        <v>1006</v>
      </c>
      <c r="BU114" s="214">
        <v>1012</v>
      </c>
      <c r="BV114" s="214">
        <v>1020</v>
      </c>
      <c r="BW114" s="178"/>
    </row>
    <row r="115" spans="1:75">
      <c r="A115" s="178" t="str">
        <f t="shared" si="18"/>
        <v>Antimony SlabRMB</v>
      </c>
      <c r="B115" s="178" t="s">
        <v>29</v>
      </c>
      <c r="C115" s="178" t="s">
        <v>156</v>
      </c>
      <c r="D115" s="178" t="s">
        <v>31</v>
      </c>
      <c r="E115" s="178" t="s">
        <v>32</v>
      </c>
      <c r="F115" s="178"/>
      <c r="G115" s="178"/>
      <c r="H115" s="178"/>
      <c r="I115" s="178"/>
      <c r="J115" s="178"/>
      <c r="K115" s="178"/>
      <c r="L115" s="178"/>
      <c r="M115" s="178"/>
      <c r="N115" s="178"/>
      <c r="O115" s="178"/>
      <c r="P115" s="178"/>
      <c r="Q115" s="178"/>
      <c r="R115" s="178"/>
      <c r="S115" s="178"/>
      <c r="T115" s="178"/>
      <c r="U115" s="178"/>
      <c r="V115" s="178"/>
      <c r="W115" s="178"/>
      <c r="X115" s="178"/>
      <c r="Y115" s="178"/>
      <c r="Z115" s="178"/>
      <c r="AA115" s="178"/>
      <c r="AB115" s="178"/>
      <c r="AC115" s="178"/>
      <c r="AD115" s="178"/>
      <c r="AE115" s="178"/>
      <c r="AF115" s="262">
        <v>82633.928571428565</v>
      </c>
      <c r="AG115" s="262">
        <v>82901.78571428571</v>
      </c>
      <c r="AH115" s="262">
        <v>80312.5</v>
      </c>
      <c r="AI115" s="262">
        <v>81103.571428571435</v>
      </c>
      <c r="AJ115" s="262">
        <v>83071.42857142858</v>
      </c>
      <c r="AK115" s="262">
        <v>80857.142857142855</v>
      </c>
      <c r="AL115" s="262">
        <v>79514.28571428571</v>
      </c>
      <c r="AM115" s="262">
        <v>79366.07142857142</v>
      </c>
      <c r="AN115" s="262">
        <v>75508.928571428565</v>
      </c>
      <c r="AO115" s="262">
        <v>73835.71428571429</v>
      </c>
      <c r="AP115" s="262">
        <v>77446.428571428565</v>
      </c>
      <c r="AQ115" s="262">
        <v>84696.428571428565</v>
      </c>
      <c r="AR115" s="262">
        <v>85533.333333333343</v>
      </c>
      <c r="AS115" s="262">
        <v>81925</v>
      </c>
      <c r="AT115" s="262">
        <v>82320.833333333328</v>
      </c>
      <c r="AU115" s="262">
        <v>81967.14285714287</v>
      </c>
      <c r="AV115" s="262">
        <v>77519.642857142841</v>
      </c>
      <c r="AW115" s="262">
        <v>77519.642857142841</v>
      </c>
      <c r="AX115" s="262">
        <v>77519.642857142841</v>
      </c>
      <c r="AY115" s="262">
        <v>77519.642857142841</v>
      </c>
      <c r="AZ115" s="262">
        <v>78764.28571428571</v>
      </c>
      <c r="BA115" s="262">
        <v>78764.28571428571</v>
      </c>
      <c r="BB115" s="262">
        <v>78764.28571428571</v>
      </c>
      <c r="BC115" s="262">
        <v>78764.28571428571</v>
      </c>
      <c r="BD115" s="262">
        <v>81202.85714285713</v>
      </c>
      <c r="BE115" s="262">
        <v>81202.85714285713</v>
      </c>
      <c r="BF115" s="262">
        <v>81202.85714285713</v>
      </c>
      <c r="BG115" s="262">
        <v>81202.85714285713</v>
      </c>
      <c r="BH115" s="178">
        <v>82500</v>
      </c>
      <c r="BI115" s="178">
        <v>82500</v>
      </c>
      <c r="BJ115" s="178">
        <v>82500</v>
      </c>
      <c r="BK115" s="178">
        <v>82500</v>
      </c>
      <c r="BL115" s="178">
        <v>82500</v>
      </c>
      <c r="BM115" s="178">
        <v>82250</v>
      </c>
      <c r="BN115" s="214">
        <v>81500</v>
      </c>
      <c r="BO115" s="300">
        <v>81500</v>
      </c>
      <c r="BP115" s="214">
        <v>81500</v>
      </c>
      <c r="BQ115" s="214">
        <v>80500</v>
      </c>
      <c r="BR115" s="214">
        <v>81000</v>
      </c>
      <c r="BS115" s="300">
        <v>81000</v>
      </c>
      <c r="BT115" s="300">
        <v>81000</v>
      </c>
      <c r="BU115" s="300">
        <v>81000</v>
      </c>
      <c r="BV115" s="300">
        <v>81000</v>
      </c>
      <c r="BW115" s="178"/>
    </row>
    <row r="116" spans="1:75">
      <c r="A116" s="178" t="str">
        <f t="shared" si="18"/>
        <v>Antimony SlabUSD</v>
      </c>
      <c r="B116" s="178" t="s">
        <v>29</v>
      </c>
      <c r="C116" s="178" t="s">
        <v>156</v>
      </c>
      <c r="D116" s="178" t="s">
        <v>33</v>
      </c>
      <c r="E116" s="178" t="s">
        <v>34</v>
      </c>
      <c r="F116" s="178"/>
      <c r="G116" s="178"/>
      <c r="H116" s="178"/>
      <c r="I116" s="178"/>
      <c r="J116" s="178"/>
      <c r="K116" s="178"/>
      <c r="L116" s="178"/>
      <c r="M116" s="178"/>
      <c r="N116" s="178"/>
      <c r="O116" s="178"/>
      <c r="P116" s="178"/>
      <c r="Q116" s="178"/>
      <c r="R116" s="178"/>
      <c r="S116" s="178"/>
      <c r="T116" s="178"/>
      <c r="U116" s="178"/>
      <c r="V116" s="178"/>
      <c r="W116" s="178"/>
      <c r="X116" s="178"/>
      <c r="Y116" s="178"/>
      <c r="Z116" s="178"/>
      <c r="AA116" s="178"/>
      <c r="AB116" s="178"/>
      <c r="AC116" s="178"/>
      <c r="AD116" s="178"/>
      <c r="AE116" s="178"/>
      <c r="AF116" s="266">
        <f>(((AF115/1.13)/AF3)/1000)</f>
        <v>11.53428555476237</v>
      </c>
      <c r="AG116" s="266">
        <f t="shared" ref="AG116:BW116" si="37">(((AG115/1.13)/AG3)/1000)</f>
        <v>11.101522605210871</v>
      </c>
      <c r="AH116" s="266">
        <f t="shared" si="37"/>
        <v>10.652429383926489</v>
      </c>
      <c r="AI116" s="266">
        <f t="shared" si="37"/>
        <v>10.713518137817786</v>
      </c>
      <c r="AJ116" s="266">
        <f t="shared" si="37"/>
        <v>10.900409026835852</v>
      </c>
      <c r="AK116" s="266">
        <f t="shared" si="37"/>
        <v>10.384737269082709</v>
      </c>
      <c r="AL116" s="266">
        <f t="shared" si="37"/>
        <v>9.8919834857547695</v>
      </c>
      <c r="AM116" s="266">
        <f t="shared" si="37"/>
        <v>9.619319515334336</v>
      </c>
      <c r="AN116" s="266">
        <f t="shared" si="37"/>
        <v>9.427624639551933</v>
      </c>
      <c r="AO116" s="266">
        <f t="shared" si="37"/>
        <v>9.4736037922422671</v>
      </c>
      <c r="AP116" s="266">
        <f t="shared" si="37"/>
        <v>10.146514642040604</v>
      </c>
      <c r="AQ116" s="266">
        <f t="shared" si="37"/>
        <v>10.810366004576611</v>
      </c>
      <c r="AR116" s="266">
        <f t="shared" si="37"/>
        <v>10.864846893729265</v>
      </c>
      <c r="AS116" s="266">
        <f t="shared" si="37"/>
        <v>10.522496371552975</v>
      </c>
      <c r="AT116" s="266">
        <f t="shared" si="37"/>
        <v>10.362773113122438</v>
      </c>
      <c r="AU116" s="266">
        <f t="shared" si="37"/>
        <v>10.159284952919224</v>
      </c>
      <c r="AV116" s="266">
        <f t="shared" si="37"/>
        <v>9.4622694973625698</v>
      </c>
      <c r="AW116" s="266">
        <f t="shared" si="37"/>
        <v>9.4622694973625698</v>
      </c>
      <c r="AX116" s="266">
        <f t="shared" si="37"/>
        <v>9.5279797022053643</v>
      </c>
      <c r="AY116" s="266">
        <f t="shared" si="37"/>
        <v>9.5946089308921163</v>
      </c>
      <c r="AZ116" s="266">
        <f t="shared" si="37"/>
        <v>9.6407894483758323</v>
      </c>
      <c r="BA116" s="266">
        <f t="shared" si="37"/>
        <v>9.5877452148221831</v>
      </c>
      <c r="BB116" s="266">
        <f t="shared" si="37"/>
        <v>9.56144138707233</v>
      </c>
      <c r="BC116" s="266">
        <f t="shared" si="37"/>
        <v>9.56144138707233</v>
      </c>
      <c r="BD116" s="266">
        <f t="shared" si="37"/>
        <v>9.8304973357937548</v>
      </c>
      <c r="BE116" s="266">
        <f t="shared" si="37"/>
        <v>9.8574671501580706</v>
      </c>
      <c r="BF116" s="266">
        <f t="shared" si="37"/>
        <v>9.84396377050032</v>
      </c>
      <c r="BG116" s="266">
        <f t="shared" si="37"/>
        <v>9.84396377050032</v>
      </c>
      <c r="BH116" s="266">
        <f t="shared" si="37"/>
        <v>10.001212268153717</v>
      </c>
      <c r="BI116" s="266">
        <f t="shared" si="37"/>
        <v>10.140117994100295</v>
      </c>
      <c r="BJ116" s="266">
        <f t="shared" si="37"/>
        <v>9.9875307192232743</v>
      </c>
      <c r="BK116" s="266">
        <f t="shared" si="37"/>
        <v>9.9738865515740613</v>
      </c>
      <c r="BL116" s="266">
        <f t="shared" si="37"/>
        <v>10.042482745188739</v>
      </c>
      <c r="BM116" s="266">
        <f t="shared" si="37"/>
        <v>10.025841683122456</v>
      </c>
      <c r="BN116" s="216">
        <f t="shared" si="37"/>
        <v>9.9344206343401833</v>
      </c>
      <c r="BO116" s="301">
        <f t="shared" si="37"/>
        <v>10.158294902156301</v>
      </c>
      <c r="BP116" s="216">
        <f t="shared" si="37"/>
        <v>10.101385687018171</v>
      </c>
      <c r="BQ116" s="216">
        <f t="shared" si="37"/>
        <v>10.047805085063096</v>
      </c>
      <c r="BR116" s="318">
        <f t="shared" si="37"/>
        <v>10.025372857231265</v>
      </c>
      <c r="BS116" s="312">
        <f t="shared" si="37"/>
        <v>10.110213812299513</v>
      </c>
      <c r="BT116" s="312">
        <f t="shared" si="37"/>
        <v>10.095974074535713</v>
      </c>
      <c r="BU116" s="216">
        <f t="shared" si="37"/>
        <v>10.095974074535713</v>
      </c>
      <c r="BV116" s="216">
        <f t="shared" si="37"/>
        <v>10.067614596798251</v>
      </c>
      <c r="BW116" s="216" t="e">
        <f t="shared" si="37"/>
        <v>#DIV/0!</v>
      </c>
    </row>
    <row r="117" spans="1:75" ht="12" thickBot="1">
      <c r="A117" s="44" t="str">
        <f t="shared" si="18"/>
        <v>SEBACIC ACIDUSD</v>
      </c>
      <c r="B117" s="178" t="s">
        <v>152</v>
      </c>
      <c r="C117" s="299" t="s">
        <v>157</v>
      </c>
      <c r="D117" s="44" t="s">
        <v>33</v>
      </c>
      <c r="E117" s="44" t="s">
        <v>34</v>
      </c>
      <c r="BP117" s="214">
        <v>3.61</v>
      </c>
      <c r="BQ117" s="214">
        <v>3.61</v>
      </c>
      <c r="BR117" s="214">
        <v>3.48</v>
      </c>
      <c r="BS117" s="300">
        <v>3.48</v>
      </c>
      <c r="BT117" s="300">
        <v>3.48</v>
      </c>
      <c r="BU117" s="214"/>
      <c r="BV117" s="214"/>
      <c r="BW117" s="178"/>
    </row>
    <row r="118" spans="1:75" ht="12" thickBot="1">
      <c r="A118" s="44" t="str">
        <f t="shared" si="18"/>
        <v>sulfurUSD</v>
      </c>
      <c r="B118" s="44" t="s">
        <v>158</v>
      </c>
      <c r="C118" s="44" t="s">
        <v>159</v>
      </c>
      <c r="D118" s="44" t="s">
        <v>33</v>
      </c>
      <c r="E118" s="44" t="s">
        <v>34</v>
      </c>
      <c r="F118" s="321">
        <v>88</v>
      </c>
      <c r="G118" s="321">
        <v>79</v>
      </c>
      <c r="H118" s="321">
        <v>102</v>
      </c>
      <c r="I118" s="321">
        <v>102</v>
      </c>
      <c r="J118" s="321">
        <v>87</v>
      </c>
      <c r="K118" s="321">
        <v>91</v>
      </c>
      <c r="L118" s="321">
        <v>103</v>
      </c>
      <c r="M118" s="321">
        <v>103</v>
      </c>
      <c r="N118" s="321">
        <v>133</v>
      </c>
      <c r="O118" s="321">
        <v>134</v>
      </c>
      <c r="P118" s="321">
        <v>150</v>
      </c>
      <c r="Q118" s="321">
        <v>150</v>
      </c>
      <c r="R118" s="321">
        <v>151</v>
      </c>
      <c r="S118" s="321">
        <v>152</v>
      </c>
      <c r="T118" s="322">
        <v>223</v>
      </c>
      <c r="U118" s="322">
        <v>223</v>
      </c>
      <c r="V118" s="322">
        <v>228</v>
      </c>
      <c r="W118" s="322">
        <v>243</v>
      </c>
      <c r="X118" s="322">
        <v>251</v>
      </c>
      <c r="Y118" s="322">
        <v>251</v>
      </c>
      <c r="Z118" s="322">
        <v>291</v>
      </c>
      <c r="AA118" s="322">
        <v>298</v>
      </c>
      <c r="AB118" s="322">
        <v>321</v>
      </c>
      <c r="AC118" s="322">
        <v>303</v>
      </c>
      <c r="AD118" s="322">
        <v>307</v>
      </c>
      <c r="AE118" s="322">
        <v>325</v>
      </c>
      <c r="AF118" s="322">
        <v>361</v>
      </c>
      <c r="AG118" s="322">
        <v>506</v>
      </c>
      <c r="AH118" s="322">
        <v>535</v>
      </c>
      <c r="AI118" s="322">
        <v>603</v>
      </c>
      <c r="AJ118" s="322">
        <v>538</v>
      </c>
      <c r="AK118" s="322">
        <v>146</v>
      </c>
      <c r="AL118" s="322">
        <v>180</v>
      </c>
      <c r="AM118" s="322">
        <v>228</v>
      </c>
      <c r="AN118" s="322">
        <v>195</v>
      </c>
      <c r="AO118" s="322">
        <v>219</v>
      </c>
      <c r="AP118" s="322">
        <v>186</v>
      </c>
      <c r="AQ118" s="322">
        <v>181</v>
      </c>
      <c r="AR118" s="322">
        <v>175</v>
      </c>
      <c r="AS118" s="322">
        <v>166</v>
      </c>
      <c r="AT118" s="322">
        <v>115</v>
      </c>
      <c r="BU118" s="214"/>
      <c r="BV118" s="214"/>
      <c r="BW118" s="178"/>
    </row>
  </sheetData>
  <autoFilter ref="A4:XFD118" xr:uid="{00000000-0009-0000-0000-000000000000}"/>
  <hyperlinks>
    <hyperlink ref="C1" location="'Index '!A1" display="'Index '!A1" xr:uid="{00000000-0004-0000-0000-000000000000}"/>
  </hyperlink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S84"/>
  <sheetViews>
    <sheetView workbookViewId="0">
      <pane xSplit="6" ySplit="3" topLeftCell="AB72" activePane="bottomRight" state="frozen"/>
      <selection pane="topRight" activeCell="G1" sqref="G1"/>
      <selection pane="bottomLeft" activeCell="A4" sqref="A4"/>
      <selection pane="bottomRight" activeCell="AJ3" sqref="AJ3"/>
    </sheetView>
  </sheetViews>
  <sheetFormatPr baseColWidth="10" defaultColWidth="8.6640625" defaultRowHeight="14"/>
  <cols>
    <col min="1" max="1" width="6.33203125" style="8" bestFit="1" customWidth="1"/>
    <col min="2" max="2" width="19" style="8" bestFit="1" customWidth="1"/>
    <col min="3" max="3" width="10.5" style="8" hidden="1" customWidth="1"/>
    <col min="4" max="4" width="9.6640625" style="8" hidden="1" customWidth="1"/>
    <col min="5" max="16" width="8.5" style="8" hidden="1" customWidth="1"/>
    <col min="17" max="18" width="9.6640625" style="8" hidden="1" customWidth="1"/>
    <col min="19" max="35" width="9.6640625" style="8" customWidth="1"/>
    <col min="36" max="36" width="27.5" style="60" customWidth="1"/>
    <col min="37" max="37" width="4.5" style="8" hidden="1" customWidth="1"/>
    <col min="38" max="38" width="8.5" style="8" bestFit="1" customWidth="1"/>
    <col min="39" max="44" width="7.5" style="8" bestFit="1" customWidth="1"/>
    <col min="45" max="45" width="6.33203125" style="8" customWidth="1"/>
    <col min="46" max="47" width="7.5" style="8" bestFit="1" customWidth="1"/>
    <col min="48" max="48" width="5.6640625" style="8" customWidth="1"/>
    <col min="49" max="49" width="6.6640625" style="8" customWidth="1"/>
    <col min="50" max="50" width="6.5" style="8" customWidth="1"/>
    <col min="51" max="51" width="6.1640625" style="8" customWidth="1"/>
    <col min="52" max="52" width="5.83203125" style="8" customWidth="1"/>
    <col min="53" max="56" width="8.83203125" style="8" bestFit="1" customWidth="1"/>
    <col min="57" max="16384" width="8.6640625" style="8"/>
  </cols>
  <sheetData>
    <row r="1" spans="1:71" ht="15">
      <c r="A1" s="362" t="s">
        <v>160</v>
      </c>
      <c r="B1" s="362" t="s">
        <v>161</v>
      </c>
      <c r="C1" s="41">
        <v>44927</v>
      </c>
      <c r="D1" s="41">
        <v>44958</v>
      </c>
      <c r="E1" s="41">
        <v>44986</v>
      </c>
      <c r="F1" s="41">
        <v>45017</v>
      </c>
      <c r="G1" s="41">
        <v>45047</v>
      </c>
      <c r="H1" s="41">
        <v>45078</v>
      </c>
      <c r="I1" s="34" t="s">
        <v>162</v>
      </c>
      <c r="J1" s="34" t="s">
        <v>163</v>
      </c>
      <c r="K1" s="34" t="s">
        <v>164</v>
      </c>
      <c r="L1" s="34" t="s">
        <v>165</v>
      </c>
      <c r="M1" s="34" t="s">
        <v>166</v>
      </c>
      <c r="N1" s="34" t="s">
        <v>167</v>
      </c>
      <c r="O1" s="34" t="s">
        <v>168</v>
      </c>
      <c r="P1" s="34" t="s">
        <v>169</v>
      </c>
      <c r="Q1" s="34" t="s">
        <v>170</v>
      </c>
      <c r="R1" s="34" t="s">
        <v>171</v>
      </c>
      <c r="S1" s="34" t="s">
        <v>172</v>
      </c>
      <c r="T1" s="34" t="s">
        <v>173</v>
      </c>
      <c r="U1" s="34" t="s">
        <v>174</v>
      </c>
      <c r="V1" s="34" t="s">
        <v>175</v>
      </c>
      <c r="W1" s="34" t="s">
        <v>176</v>
      </c>
      <c r="X1" s="34" t="s">
        <v>177</v>
      </c>
      <c r="Y1" s="34" t="s">
        <v>178</v>
      </c>
      <c r="Z1" s="34" t="s">
        <v>179</v>
      </c>
      <c r="AA1" s="34" t="s">
        <v>180</v>
      </c>
      <c r="AB1" s="34" t="s">
        <v>181</v>
      </c>
      <c r="AC1" s="34" t="s">
        <v>182</v>
      </c>
      <c r="AD1" s="34" t="s">
        <v>183</v>
      </c>
      <c r="AE1" s="34" t="s">
        <v>184</v>
      </c>
      <c r="AF1" s="34" t="s">
        <v>185</v>
      </c>
      <c r="AG1" s="34" t="s">
        <v>186</v>
      </c>
      <c r="AH1" s="34" t="s">
        <v>187</v>
      </c>
      <c r="AI1" s="34" t="s">
        <v>188</v>
      </c>
      <c r="AJ1" s="84" t="s">
        <v>189</v>
      </c>
      <c r="AK1" s="364" t="s">
        <v>190</v>
      </c>
      <c r="AL1" s="364"/>
      <c r="AM1" s="364"/>
      <c r="AN1" s="364"/>
      <c r="AO1" s="364"/>
      <c r="AP1" s="364"/>
      <c r="AQ1" s="364"/>
      <c r="AR1" s="364"/>
      <c r="AS1" s="364"/>
      <c r="AT1" s="364"/>
      <c r="AU1" s="364"/>
    </row>
    <row r="2" spans="1:71" ht="49.5" customHeight="1">
      <c r="A2" s="363"/>
      <c r="B2" s="363"/>
      <c r="C2" s="32" t="s">
        <v>191</v>
      </c>
      <c r="D2" s="32" t="s">
        <v>191</v>
      </c>
      <c r="E2" s="32" t="s">
        <v>191</v>
      </c>
      <c r="F2" s="32" t="s">
        <v>191</v>
      </c>
      <c r="G2" s="32" t="s">
        <v>191</v>
      </c>
      <c r="H2" s="32" t="s">
        <v>191</v>
      </c>
      <c r="I2" s="32" t="s">
        <v>191</v>
      </c>
      <c r="J2" s="32" t="s">
        <v>192</v>
      </c>
      <c r="K2" s="32" t="s">
        <v>192</v>
      </c>
      <c r="L2" s="32" t="s">
        <v>192</v>
      </c>
      <c r="M2" s="32" t="s">
        <v>192</v>
      </c>
      <c r="N2" s="32" t="s">
        <v>192</v>
      </c>
      <c r="O2" s="32" t="s">
        <v>192</v>
      </c>
      <c r="P2" s="32" t="s">
        <v>192</v>
      </c>
      <c r="Q2" s="32" t="s">
        <v>192</v>
      </c>
      <c r="R2" s="32" t="s">
        <v>192</v>
      </c>
      <c r="S2" s="32" t="s">
        <v>192</v>
      </c>
      <c r="T2" s="32" t="s">
        <v>192</v>
      </c>
      <c r="U2" s="32" t="s">
        <v>192</v>
      </c>
      <c r="V2" s="32" t="s">
        <v>192</v>
      </c>
      <c r="W2" s="32" t="s">
        <v>192</v>
      </c>
      <c r="X2" s="32" t="s">
        <v>192</v>
      </c>
      <c r="Y2" s="32" t="s">
        <v>192</v>
      </c>
      <c r="Z2" s="32" t="s">
        <v>192</v>
      </c>
      <c r="AA2" s="32" t="s">
        <v>192</v>
      </c>
      <c r="AB2" s="32" t="s">
        <v>192</v>
      </c>
      <c r="AC2" s="32" t="s">
        <v>192</v>
      </c>
      <c r="AD2" s="32" t="s">
        <v>192</v>
      </c>
      <c r="AE2" s="32" t="s">
        <v>192</v>
      </c>
      <c r="AF2" s="32" t="s">
        <v>192</v>
      </c>
      <c r="AG2" s="32" t="s">
        <v>192</v>
      </c>
      <c r="AH2" s="32" t="s">
        <v>192</v>
      </c>
      <c r="AI2" s="32" t="s">
        <v>192</v>
      </c>
      <c r="AJ2" s="100" t="s">
        <v>193</v>
      </c>
      <c r="AK2" s="33" t="s">
        <v>161</v>
      </c>
      <c r="AL2" s="33" t="s">
        <v>194</v>
      </c>
      <c r="AM2" s="34">
        <v>44927</v>
      </c>
      <c r="AN2" s="34">
        <v>44958</v>
      </c>
      <c r="AO2" s="34">
        <v>44986</v>
      </c>
      <c r="AP2" s="34">
        <v>45017</v>
      </c>
      <c r="AQ2" s="34">
        <v>45047</v>
      </c>
      <c r="AR2" s="34">
        <v>45078</v>
      </c>
      <c r="AS2" s="34" t="s">
        <v>162</v>
      </c>
      <c r="AT2" s="34" t="s">
        <v>163</v>
      </c>
      <c r="AU2" s="34" t="s">
        <v>164</v>
      </c>
      <c r="AV2" s="34" t="s">
        <v>165</v>
      </c>
      <c r="AW2" s="34" t="s">
        <v>166</v>
      </c>
      <c r="AX2" s="34" t="s">
        <v>167</v>
      </c>
      <c r="AY2" s="34" t="s">
        <v>168</v>
      </c>
      <c r="AZ2" s="34" t="s">
        <v>169</v>
      </c>
      <c r="BA2" s="34" t="s">
        <v>195</v>
      </c>
      <c r="BB2" s="34" t="s">
        <v>196</v>
      </c>
      <c r="BC2" s="34" t="s">
        <v>197</v>
      </c>
      <c r="BD2" s="34" t="s">
        <v>198</v>
      </c>
      <c r="BE2" s="34" t="s">
        <v>199</v>
      </c>
      <c r="BF2" s="34" t="s">
        <v>200</v>
      </c>
      <c r="BG2" s="34" t="s">
        <v>201</v>
      </c>
      <c r="BH2" s="34" t="s">
        <v>202</v>
      </c>
      <c r="BI2" s="34" t="s">
        <v>178</v>
      </c>
      <c r="BJ2" s="34" t="s">
        <v>179</v>
      </c>
      <c r="BK2" s="34" t="s">
        <v>180</v>
      </c>
      <c r="BL2" s="34" t="s">
        <v>181</v>
      </c>
      <c r="BM2" s="34" t="s">
        <v>182</v>
      </c>
      <c r="BN2" s="34" t="s">
        <v>183</v>
      </c>
      <c r="BO2" s="34" t="s">
        <v>184</v>
      </c>
      <c r="BP2" s="34" t="s">
        <v>185</v>
      </c>
      <c r="BQ2" s="34" t="s">
        <v>186</v>
      </c>
      <c r="BR2" s="34" t="s">
        <v>187</v>
      </c>
      <c r="BS2" s="34" t="s">
        <v>188</v>
      </c>
    </row>
    <row r="3" spans="1:71">
      <c r="A3" s="8" t="s">
        <v>203</v>
      </c>
      <c r="B3" s="263" t="s">
        <v>70</v>
      </c>
      <c r="C3" s="19">
        <f>+AL3-AM3</f>
        <v>6.338559435161778E-2</v>
      </c>
      <c r="D3" s="19">
        <f t="shared" ref="D3:K18" si="0">+AM3-AN3</f>
        <v>-2.2911993862864855E-2</v>
      </c>
      <c r="E3" s="19">
        <f t="shared" si="0"/>
        <v>-9.353779304769605E-3</v>
      </c>
      <c r="F3" s="19">
        <f t="shared" si="0"/>
        <v>1.9841350040419869E-3</v>
      </c>
      <c r="G3" s="19">
        <f t="shared" si="0"/>
        <v>7.0861964430073421E-3</v>
      </c>
      <c r="H3" s="19">
        <f t="shared" si="0"/>
        <v>2.7007521360295328E-2</v>
      </c>
      <c r="I3" s="19">
        <f>+AR3-AS3</f>
        <v>-1.2633706279074897E-5</v>
      </c>
      <c r="J3" s="19">
        <f t="shared" si="0"/>
        <v>6.1808936340863041E-3</v>
      </c>
      <c r="K3" s="19">
        <f>+AT3-AU3</f>
        <v>-2.0394431021385495E-3</v>
      </c>
      <c r="L3" s="19">
        <f t="shared" ref="L3:AA20" si="1">+AU3-AV3</f>
        <v>3.5570349325364514E-4</v>
      </c>
      <c r="M3" s="19">
        <f t="shared" si="1"/>
        <v>1.8204907677664139E-3</v>
      </c>
      <c r="N3" s="19">
        <f t="shared" si="1"/>
        <v>9.375701529619751E-4</v>
      </c>
      <c r="O3" s="19">
        <f t="shared" si="1"/>
        <v>1.1337914308811592E-3</v>
      </c>
      <c r="P3" s="19">
        <f t="shared" si="1"/>
        <v>4.4201493409190551E-4</v>
      </c>
      <c r="Q3" s="19">
        <f t="shared" si="1"/>
        <v>3.6690220287205477E-4</v>
      </c>
      <c r="R3" s="19">
        <f t="shared" si="1"/>
        <v>-1.8446980452173023E-2</v>
      </c>
      <c r="S3" s="19">
        <f t="shared" si="1"/>
        <v>2.8323965051220146E-3</v>
      </c>
      <c r="T3" s="19">
        <f t="shared" si="1"/>
        <v>6.8444306113413234E-5</v>
      </c>
      <c r="U3" s="19">
        <f t="shared" si="1"/>
        <v>-8.2673691580437136E-6</v>
      </c>
      <c r="V3" s="19">
        <f t="shared" si="1"/>
        <v>-1.5016535187498847E-2</v>
      </c>
      <c r="W3" s="19">
        <f t="shared" si="1"/>
        <v>-3.1035236436133262E-4</v>
      </c>
      <c r="X3" s="19">
        <f t="shared" si="1"/>
        <v>2.8970604122491306E-5</v>
      </c>
      <c r="Y3" s="19">
        <f t="shared" si="1"/>
        <v>-2.9171522687837514E-4</v>
      </c>
      <c r="Z3" s="19">
        <f t="shared" si="1"/>
        <v>9.3475735604846566E-3</v>
      </c>
      <c r="AA3" s="19">
        <f t="shared" si="1"/>
        <v>0</v>
      </c>
      <c r="AB3" s="19">
        <f t="shared" ref="AA3:AI31" si="2">+BK3-BL3</f>
        <v>-3.0890045238403108E-3</v>
      </c>
      <c r="AC3" s="19">
        <f t="shared" si="2"/>
        <v>4.8330381243084641E-3</v>
      </c>
      <c r="AD3" s="19">
        <f t="shared" si="2"/>
        <v>1.975895374391079E-3</v>
      </c>
      <c r="AE3" s="19">
        <f t="shared" si="2"/>
        <v>-8.7510997559564485E-4</v>
      </c>
      <c r="AF3" s="19">
        <f t="shared" si="2"/>
        <v>-1.4007204271279106E-3</v>
      </c>
      <c r="AG3" s="19">
        <f t="shared" si="2"/>
        <v>-2.8716907201590813E-3</v>
      </c>
      <c r="AH3" s="19">
        <f t="shared" si="2"/>
        <v>2.2696544297125532E-3</v>
      </c>
      <c r="AI3" s="19">
        <f t="shared" si="2"/>
        <v>2.0688307433291975E-5</v>
      </c>
      <c r="AJ3" s="65"/>
      <c r="AL3" s="20">
        <v>0.45</v>
      </c>
      <c r="AM3" s="20">
        <f>EDC!AR18</f>
        <v>0.38661440564838223</v>
      </c>
      <c r="AN3" s="20">
        <f>EDC!AS18</f>
        <v>0.40952639951124709</v>
      </c>
      <c r="AO3" s="20">
        <f>EDC!AT18</f>
        <v>0.41888017881601669</v>
      </c>
      <c r="AP3" s="20">
        <f>EDC!AU18</f>
        <v>0.4168960438119747</v>
      </c>
      <c r="AQ3" s="20">
        <f>EDC!AV18</f>
        <v>0.40980984736896736</v>
      </c>
      <c r="AR3" s="20">
        <f>EDC!AW18</f>
        <v>0.38280232600867203</v>
      </c>
      <c r="AS3" s="20">
        <f>EDC!AX18</f>
        <v>0.38281495971495111</v>
      </c>
      <c r="AT3" s="20">
        <f>EDC!AY18</f>
        <v>0.3766340660808648</v>
      </c>
      <c r="AU3" s="20">
        <f>EDC!AZ18</f>
        <v>0.37867350918300335</v>
      </c>
      <c r="AV3" s="20">
        <f>EDC!BA18</f>
        <v>0.37831780568974971</v>
      </c>
      <c r="AW3" s="20">
        <f>EDC!BB18</f>
        <v>0.37649731492198329</v>
      </c>
      <c r="AX3" s="20">
        <f>EDC!BC18</f>
        <v>0.37555974476902132</v>
      </c>
      <c r="AY3" s="20">
        <f>EDC!BD18</f>
        <v>0.37442595333814016</v>
      </c>
      <c r="AZ3" s="20">
        <f>EDC!BE18</f>
        <v>0.37398393840404826</v>
      </c>
      <c r="BA3" s="20">
        <f>EDC!BF18</f>
        <v>0.3736170362011762</v>
      </c>
      <c r="BB3" s="20">
        <f>EDC!BG18</f>
        <v>0.39206401665334922</v>
      </c>
      <c r="BC3" s="20">
        <f>EDC!BH18</f>
        <v>0.38923162014822721</v>
      </c>
      <c r="BD3" s="20">
        <f>EDC!BI18</f>
        <v>0.3891631758421138</v>
      </c>
      <c r="BE3" s="20">
        <f>EDC!BJ18</f>
        <v>0.38917144321127184</v>
      </c>
      <c r="BF3" s="20">
        <f>EDC!BK18</f>
        <v>0.40418797839877069</v>
      </c>
      <c r="BG3" s="20">
        <f>EDC!BL18</f>
        <v>0.40449833076313202</v>
      </c>
      <c r="BH3" s="20">
        <f>EDC!BM18</f>
        <v>0.40446936015900953</v>
      </c>
      <c r="BI3" s="20">
        <f>EDC!BN18</f>
        <v>0.4047610753858879</v>
      </c>
      <c r="BJ3" s="20">
        <f>EDC!BO18</f>
        <v>0.39541350182540325</v>
      </c>
      <c r="BK3" s="20">
        <f>EDC!BP18</f>
        <v>0.39541350182540325</v>
      </c>
      <c r="BL3" s="20">
        <f>EDC!BQ18</f>
        <v>0.39850250634924356</v>
      </c>
      <c r="BM3" s="20">
        <f>EDC!BR18</f>
        <v>0.39366946822493509</v>
      </c>
      <c r="BN3" s="20">
        <f>EDC!BS18</f>
        <v>0.39169357285054401</v>
      </c>
      <c r="BO3" s="20">
        <f>EDC!BT18</f>
        <v>0.39256868282613966</v>
      </c>
      <c r="BP3" s="20">
        <f>EDC!BU18</f>
        <v>0.39396940325326757</v>
      </c>
      <c r="BQ3" s="20">
        <f>EDC!BV18</f>
        <v>0.39684109397342665</v>
      </c>
      <c r="BR3" s="20">
        <f>EDC!BW18</f>
        <v>0.3945714395437141</v>
      </c>
      <c r="BS3" s="20">
        <f>EDC!BX18</f>
        <v>0.39455075123628081</v>
      </c>
    </row>
    <row r="4" spans="1:71">
      <c r="A4" s="8" t="s">
        <v>203</v>
      </c>
      <c r="B4" s="263" t="s">
        <v>204</v>
      </c>
      <c r="C4" s="19">
        <f>+AL4-AM4</f>
        <v>-0.36187538806966479</v>
      </c>
      <c r="D4" s="19">
        <f t="shared" si="0"/>
        <v>0.75694868023989104</v>
      </c>
      <c r="E4" s="19">
        <f t="shared" si="0"/>
        <v>3.5309496740973056E-2</v>
      </c>
      <c r="F4" s="19">
        <f t="shared" si="0"/>
        <v>-1.2719245402631474E-2</v>
      </c>
      <c r="G4" s="19">
        <f t="shared" si="0"/>
        <v>-4.3302196794848147E-2</v>
      </c>
      <c r="H4" s="19">
        <f t="shared" si="0"/>
        <v>0.25832054709962171</v>
      </c>
      <c r="I4" s="19">
        <f t="shared" si="0"/>
        <v>-6.374405323761323E-5</v>
      </c>
      <c r="J4" s="19">
        <f t="shared" si="0"/>
        <v>-2.7729981786839275E-4</v>
      </c>
      <c r="K4" s="19">
        <f t="shared" si="0"/>
        <v>1.6110291059740378E-2</v>
      </c>
      <c r="L4" s="19">
        <f t="shared" si="1"/>
        <v>5.2977323511136154E-2</v>
      </c>
      <c r="M4" s="19">
        <f t="shared" si="1"/>
        <v>-0.13053403788342344</v>
      </c>
      <c r="N4" s="19">
        <f t="shared" si="1"/>
        <v>4.2284738309295022E-4</v>
      </c>
      <c r="O4" s="19">
        <f t="shared" si="1"/>
        <v>0</v>
      </c>
      <c r="P4" s="19">
        <f t="shared" si="1"/>
        <v>-6.0538326404957488E-4</v>
      </c>
      <c r="Q4" s="19">
        <f t="shared" si="1"/>
        <v>4.0456076044259603E-4</v>
      </c>
      <c r="R4" s="19">
        <f t="shared" si="1"/>
        <v>0.11803105082497067</v>
      </c>
      <c r="S4" s="19">
        <f t="shared" si="1"/>
        <v>-3.4265517018035041E-3</v>
      </c>
      <c r="T4" s="19">
        <f t="shared" si="1"/>
        <v>3.3179675041328238E-4</v>
      </c>
      <c r="U4" s="19">
        <f t="shared" si="1"/>
        <v>-1.3659931755831689E-2</v>
      </c>
      <c r="V4" s="19">
        <f>+BE4-BF4</f>
        <v>3.4969895704062282E-5</v>
      </c>
      <c r="W4" s="19">
        <f>+BF4-BG4</f>
        <v>3.2573414473409112E-3</v>
      </c>
      <c r="X4" s="19">
        <f>+BG4-BH4</f>
        <v>-2.1336705350623708E-2</v>
      </c>
      <c r="Y4" s="19">
        <f>+BH4-BI4</f>
        <v>-4.7438838503000014E-5</v>
      </c>
      <c r="Z4" s="19">
        <f t="shared" si="1"/>
        <v>-3.5609066838970804E-5</v>
      </c>
      <c r="AA4" s="19">
        <f t="shared" si="2"/>
        <v>0</v>
      </c>
      <c r="AB4" s="19">
        <f t="shared" si="2"/>
        <v>-3.2612745878439764E-2</v>
      </c>
      <c r="AC4" s="19">
        <f t="shared" si="2"/>
        <v>8.2769204542199049E-5</v>
      </c>
      <c r="AD4" s="19">
        <f t="shared" si="2"/>
        <v>8.4508328837902269E-3</v>
      </c>
      <c r="AE4" s="324">
        <f t="shared" si="2"/>
        <v>-1.8319333446714658E-3</v>
      </c>
      <c r="AF4" s="19">
        <f t="shared" si="2"/>
        <v>8.8249569258014304E-5</v>
      </c>
      <c r="AG4" s="19">
        <f t="shared" si="2"/>
        <v>2.3573795626956606E-3</v>
      </c>
      <c r="AH4" s="19">
        <f t="shared" si="2"/>
        <v>-4.2490278790416891E-3</v>
      </c>
      <c r="AI4" s="19">
        <f t="shared" si="2"/>
        <v>1.1257096111672027E-4</v>
      </c>
      <c r="AJ4" s="65"/>
      <c r="AK4" s="20"/>
      <c r="AL4" s="20">
        <v>2.15</v>
      </c>
      <c r="AM4" s="20">
        <f>EDA!AR16</f>
        <v>2.5118753880696647</v>
      </c>
      <c r="AN4" s="20">
        <f>EDA!AS16</f>
        <v>1.7549267078297737</v>
      </c>
      <c r="AO4" s="20">
        <f>EDA!AT16</f>
        <v>1.7196172110888006</v>
      </c>
      <c r="AP4" s="20">
        <f>EDA!AU16</f>
        <v>1.7323364564914321</v>
      </c>
      <c r="AQ4" s="20">
        <f>EDA!AV16</f>
        <v>1.7756386532862802</v>
      </c>
      <c r="AR4" s="20">
        <f>EDA!AW16</f>
        <v>1.5173181061866585</v>
      </c>
      <c r="AS4" s="20">
        <f>EDA!AX16</f>
        <v>1.5173818502398961</v>
      </c>
      <c r="AT4" s="20">
        <f>EDA!AY16</f>
        <v>1.5176591500577645</v>
      </c>
      <c r="AU4" s="20">
        <f>EDA!AZ16</f>
        <v>1.5015488589980241</v>
      </c>
      <c r="AV4" s="20">
        <f>EDA!BA16</f>
        <v>1.448571535486888</v>
      </c>
      <c r="AW4" s="20">
        <f>EDA!BB16</f>
        <v>1.5791055733703114</v>
      </c>
      <c r="AX4" s="20">
        <f>EDA!BC16</f>
        <v>1.5786827259872185</v>
      </c>
      <c r="AY4" s="20">
        <f>EDA!BD16</f>
        <v>1.5786827259872185</v>
      </c>
      <c r="AZ4" s="20">
        <f>EDA!BE16</f>
        <v>1.5792881092512681</v>
      </c>
      <c r="BA4" s="20">
        <f>EDA!BF16</f>
        <v>1.5788835484908255</v>
      </c>
      <c r="BB4" s="20">
        <f>EDA!BG16</f>
        <v>1.4608524976658548</v>
      </c>
      <c r="BC4" s="20">
        <f>EDA!BH16</f>
        <v>1.4642790493676583</v>
      </c>
      <c r="BD4" s="20">
        <f>EDA!BI16</f>
        <v>1.463947252617245</v>
      </c>
      <c r="BE4" s="20">
        <f>EDA!BJ16</f>
        <v>1.4776071843730767</v>
      </c>
      <c r="BF4" s="20">
        <f>EDA!BK16</f>
        <v>1.4775722144773726</v>
      </c>
      <c r="BG4" s="20">
        <f>EDA!BL16</f>
        <v>1.4743148730300317</v>
      </c>
      <c r="BH4" s="20">
        <f>EDA!BM16</f>
        <v>1.4956515783806554</v>
      </c>
      <c r="BI4" s="20">
        <f>EDA!BN16</f>
        <v>1.4956990172191584</v>
      </c>
      <c r="BJ4" s="20">
        <f>EDA!BO16</f>
        <v>1.4957346262859974</v>
      </c>
      <c r="BK4" s="20">
        <f>EDA!BP16</f>
        <v>1.4957346262859974</v>
      </c>
      <c r="BL4" s="20">
        <f>EDA!BQ16</f>
        <v>1.5283473721644372</v>
      </c>
      <c r="BM4" s="20">
        <f>EDA!BR16</f>
        <v>1.528264602959895</v>
      </c>
      <c r="BN4" s="323">
        <f>EDA!BS16</f>
        <v>1.5198137700761047</v>
      </c>
      <c r="BO4" s="323">
        <f>EDA!BT16</f>
        <v>1.5216457034207762</v>
      </c>
      <c r="BP4" s="323">
        <f>EDA!BU16</f>
        <v>1.5215574538515182</v>
      </c>
      <c r="BQ4" s="323">
        <f>EDA!BV16</f>
        <v>1.5192000742888225</v>
      </c>
      <c r="BR4" s="323">
        <f>EDA!BW16</f>
        <v>1.5234491021678642</v>
      </c>
      <c r="BS4" s="323">
        <f>EDA!BX16</f>
        <v>1.5233365312067475</v>
      </c>
    </row>
    <row r="5" spans="1:71">
      <c r="A5" s="8" t="s">
        <v>203</v>
      </c>
      <c r="B5" s="263" t="s">
        <v>205</v>
      </c>
      <c r="C5" s="19">
        <f t="shared" ref="C5:N39" si="3">+AL5-AM5</f>
        <v>0.37532031908619201</v>
      </c>
      <c r="D5" s="19">
        <f t="shared" si="0"/>
        <v>-0.10094237507058956</v>
      </c>
      <c r="E5" s="19">
        <f t="shared" si="0"/>
        <v>-0.16487520336077477</v>
      </c>
      <c r="F5" s="19">
        <f t="shared" si="0"/>
        <v>2.1738173901993729E-2</v>
      </c>
      <c r="G5" s="19">
        <f t="shared" si="0"/>
        <v>5.8658564497440224E-3</v>
      </c>
      <c r="H5" s="19">
        <f t="shared" si="0"/>
        <v>6.3295588696959282E-2</v>
      </c>
      <c r="I5" s="19">
        <f t="shared" si="0"/>
        <v>-6.374405323761323E-5</v>
      </c>
      <c r="J5" s="19">
        <f t="shared" si="0"/>
        <v>0.32053800800243115</v>
      </c>
      <c r="K5" s="19">
        <f t="shared" si="0"/>
        <v>-2.7906002179056699E-4</v>
      </c>
      <c r="L5" s="19">
        <f t="shared" si="1"/>
        <v>3.8092702665437628E-3</v>
      </c>
      <c r="M5" s="19">
        <f t="shared" si="1"/>
        <v>-2.482688314132675E-2</v>
      </c>
      <c r="N5" s="19">
        <f t="shared" si="1"/>
        <v>-2.4984806527056813E-2</v>
      </c>
      <c r="O5" s="19">
        <f t="shared" si="1"/>
        <v>0</v>
      </c>
      <c r="P5" s="19">
        <f t="shared" si="1"/>
        <v>-0.12764365281479839</v>
      </c>
      <c r="Q5" s="19">
        <f t="shared" si="1"/>
        <v>-2.5003093149707389E-2</v>
      </c>
      <c r="R5" s="19">
        <f t="shared" si="1"/>
        <v>-4.7509714566044137E-2</v>
      </c>
      <c r="S5" s="19">
        <f t="shared" si="1"/>
        <v>-3.4265517018035041E-3</v>
      </c>
      <c r="T5" s="19">
        <f t="shared" si="1"/>
        <v>3.3179675041328238E-4</v>
      </c>
      <c r="U5" s="19">
        <f t="shared" si="1"/>
        <v>3.7155376064467616E-2</v>
      </c>
      <c r="V5" s="19">
        <f t="shared" si="1"/>
        <v>3.4969895704284326E-5</v>
      </c>
      <c r="W5" s="19">
        <f t="shared" si="1"/>
        <v>3.2573414473409112E-3</v>
      </c>
      <c r="X5" s="19">
        <f t="shared" si="1"/>
        <v>-4.947354269092985E-3</v>
      </c>
      <c r="Y5" s="19">
        <f t="shared" si="1"/>
        <v>-4.7438838503000014E-5</v>
      </c>
      <c r="Z5" s="19">
        <f t="shared" si="1"/>
        <v>5.0779698753461E-2</v>
      </c>
      <c r="AA5" s="19">
        <f t="shared" si="2"/>
        <v>0</v>
      </c>
      <c r="AB5" s="19">
        <f t="shared" si="2"/>
        <v>5.0981264104920987E-2</v>
      </c>
      <c r="AC5" s="19">
        <f t="shared" si="2"/>
        <v>5.0898077024841504E-2</v>
      </c>
      <c r="AD5" s="19">
        <f t="shared" si="2"/>
        <v>8.4508328837902269E-3</v>
      </c>
      <c r="AE5" s="19">
        <f t="shared" si="2"/>
        <v>2.3575720565478298E-2</v>
      </c>
      <c r="AF5" s="19">
        <f t="shared" si="2"/>
        <v>8.8249569258236349E-5</v>
      </c>
      <c r="AG5" s="19">
        <f t="shared" si="2"/>
        <v>2.3573795626954386E-3</v>
      </c>
      <c r="AH5" s="19">
        <f t="shared" si="2"/>
        <v>-4.2490278790414671E-3</v>
      </c>
      <c r="AI5" s="19">
        <f t="shared" si="2"/>
        <v>1.1257096111672027E-4</v>
      </c>
      <c r="AJ5" s="65"/>
      <c r="AL5" s="8">
        <v>2.27</v>
      </c>
      <c r="AM5" s="20">
        <f>'EDA (2)'!AR17</f>
        <v>1.894679680913808</v>
      </c>
      <c r="AN5" s="20">
        <f>'EDA (2)'!AS17</f>
        <v>1.9956220559843976</v>
      </c>
      <c r="AO5" s="20">
        <f>'EDA (2)'!AT17</f>
        <v>2.1604972593451723</v>
      </c>
      <c r="AP5" s="20">
        <f>'EDA (2)'!AU17</f>
        <v>2.1387590854431786</v>
      </c>
      <c r="AQ5" s="20">
        <f>'EDA (2)'!AV17</f>
        <v>2.1328932289934346</v>
      </c>
      <c r="AR5" s="20">
        <f>'EDA (2)'!AW17</f>
        <v>2.0695976402964753</v>
      </c>
      <c r="AS5" s="20">
        <f>'EDA (2)'!AX17</f>
        <v>2.0696613843497129</v>
      </c>
      <c r="AT5" s="20">
        <f>'EDA (2)'!AY17</f>
        <v>1.7491233763472818</v>
      </c>
      <c r="AU5" s="20">
        <f>'EDA (2)'!AZ17</f>
        <v>1.7494024363690723</v>
      </c>
      <c r="AV5" s="20">
        <f>'EDA (2)'!BA17</f>
        <v>1.7455931661025286</v>
      </c>
      <c r="AW5" s="20">
        <f>'EDA (2)'!BB17</f>
        <v>1.7704200492438553</v>
      </c>
      <c r="AX5" s="20">
        <f>'EDA (2)'!BC17</f>
        <v>1.7954048557709121</v>
      </c>
      <c r="AY5" s="20">
        <f>'EDA (2)'!BD17</f>
        <v>1.7954048557709121</v>
      </c>
      <c r="AZ5" s="20">
        <f>'EDA (2)'!BE17</f>
        <v>1.9230485085857105</v>
      </c>
      <c r="BA5" s="20">
        <f>'EDA (2)'!BF17</f>
        <v>1.9480516017354179</v>
      </c>
      <c r="BB5" s="20">
        <f>'EDA (2)'!BG17</f>
        <v>1.9955613163014621</v>
      </c>
      <c r="BC5" s="20">
        <f>'EDA (2)'!BH17</f>
        <v>1.9989878680032656</v>
      </c>
      <c r="BD5" s="20">
        <f>'EDA (2)'!BI17</f>
        <v>1.9986560712528523</v>
      </c>
      <c r="BE5" s="20">
        <f>'EDA (2)'!BJ17</f>
        <v>1.9615006951883847</v>
      </c>
      <c r="BF5" s="20">
        <f>'EDA (2)'!BK17</f>
        <v>1.9614657252926804</v>
      </c>
      <c r="BG5" s="20">
        <f>'EDA (2)'!BL17</f>
        <v>1.9582083838453395</v>
      </c>
      <c r="BH5" s="20">
        <f>'EDA (2)'!BM17</f>
        <v>1.9631557381144324</v>
      </c>
      <c r="BI5" s="20">
        <f>'EDA (2)'!BN17</f>
        <v>1.9632031769529354</v>
      </c>
      <c r="BJ5" s="20">
        <f>'EDA (2)'!BO17</f>
        <v>1.9124234781994744</v>
      </c>
      <c r="BK5" s="20">
        <f>'EDA (2)'!BP17</f>
        <v>1.9124234781994744</v>
      </c>
      <c r="BL5" s="20">
        <f>'EDA (2)'!BQ17</f>
        <v>1.8614422140945535</v>
      </c>
      <c r="BM5" s="20">
        <f>'EDA (2)'!BR17</f>
        <v>1.810544137069712</v>
      </c>
      <c r="BN5" s="20">
        <f>'EDA (2)'!BS17</f>
        <v>1.8020933041859217</v>
      </c>
      <c r="BO5" s="20">
        <f>'EDA (2)'!BT17</f>
        <v>1.7785175836204434</v>
      </c>
      <c r="BP5" s="20">
        <f>'EDA (2)'!BU17</f>
        <v>1.7784293340511852</v>
      </c>
      <c r="BQ5" s="20">
        <f>'EDA (2)'!BV17</f>
        <v>1.7760719544884898</v>
      </c>
      <c r="BR5" s="20">
        <f>'EDA (2)'!BW17</f>
        <v>1.7803209823675312</v>
      </c>
      <c r="BS5" s="20">
        <f>'EDA (2)'!BX17</f>
        <v>1.7802084114064145</v>
      </c>
    </row>
    <row r="6" spans="1:71">
      <c r="A6" s="8" t="s">
        <v>203</v>
      </c>
      <c r="B6" s="263" t="s">
        <v>206</v>
      </c>
      <c r="C6" s="19">
        <f t="shared" si="3"/>
        <v>-0.19027746732575102</v>
      </c>
      <c r="D6" s="19">
        <f t="shared" si="0"/>
        <v>0.50880247420624825</v>
      </c>
      <c r="E6" s="19">
        <f t="shared" si="0"/>
        <v>3.1278856115899423E-2</v>
      </c>
      <c r="F6" s="19">
        <f t="shared" si="0"/>
        <v>4.7033905881835203E-2</v>
      </c>
      <c r="G6" s="19">
        <f t="shared" si="0"/>
        <v>-1.2742843495529232E-2</v>
      </c>
      <c r="H6" s="19">
        <f t="shared" si="0"/>
        <v>0.1964535066395805</v>
      </c>
      <c r="I6" s="19">
        <f t="shared" si="0"/>
        <v>-2.0237810879963902E-4</v>
      </c>
      <c r="J6" s="19">
        <f t="shared" si="0"/>
        <v>-8.8038663781775384E-4</v>
      </c>
      <c r="K6" s="19">
        <f t="shared" si="0"/>
        <v>9.5693868299209228E-3</v>
      </c>
      <c r="L6" s="19">
        <f t="shared" si="1"/>
        <v>4.3459965294203595E-2</v>
      </c>
      <c r="M6" s="19">
        <f t="shared" si="1"/>
        <v>-8.1799032054608478E-2</v>
      </c>
      <c r="N6" s="19">
        <f t="shared" si="1"/>
        <v>1.3424790134113351E-3</v>
      </c>
      <c r="O6" s="19">
        <f t="shared" si="1"/>
        <v>0</v>
      </c>
      <c r="P6" s="19">
        <f t="shared" si="1"/>
        <v>-1.9220039180862791E-3</v>
      </c>
      <c r="Q6" s="19">
        <f t="shared" si="1"/>
        <v>1.2844216430321076E-3</v>
      </c>
      <c r="R6" s="19">
        <f t="shared" si="1"/>
        <v>8.3682311388312058E-2</v>
      </c>
      <c r="S6" s="19">
        <f t="shared" si="1"/>
        <v>-1.0878803871019471E-2</v>
      </c>
      <c r="T6" s="19">
        <f t="shared" si="1"/>
        <v>1.0534064817666611E-3</v>
      </c>
      <c r="U6" s="19">
        <f t="shared" si="1"/>
        <v>-4.3368298918409653E-2</v>
      </c>
      <c r="V6" s="19">
        <f t="shared" si="1"/>
        <v>1.1102433871235107E-4</v>
      </c>
      <c r="W6" s="19">
        <f t="shared" si="1"/>
        <v>1.0341585894621197E-2</v>
      </c>
      <c r="X6" s="19">
        <f t="shared" si="1"/>
        <v>-2.6162492951530947E-2</v>
      </c>
      <c r="Y6" s="19">
        <f t="shared" si="1"/>
        <v>-1.5061142070971201E-4</v>
      </c>
      <c r="Z6" s="19">
        <f t="shared" si="1"/>
        <v>-1.1305361421065641E-4</v>
      </c>
      <c r="AA6" s="19">
        <f t="shared" si="2"/>
        <v>0</v>
      </c>
      <c r="AB6" s="19">
        <f t="shared" si="2"/>
        <v>-2.0383836624101814E-2</v>
      </c>
      <c r="AC6" s="19">
        <f t="shared" si="2"/>
        <v>2.6278020036940575E-4</v>
      </c>
      <c r="AD6" s="19">
        <f t="shared" si="2"/>
        <v>2.6830166736174998E-2</v>
      </c>
      <c r="AE6" s="19">
        <f t="shared" si="2"/>
        <v>-5.8161222406112323E-3</v>
      </c>
      <c r="AF6" s="19">
        <f t="shared" si="2"/>
        <v>2.8017956219894558E-4</v>
      </c>
      <c r="AG6" s="19">
        <f t="shared" si="2"/>
        <v>7.484337650184969E-3</v>
      </c>
      <c r="AH6" s="19">
        <f t="shared" si="2"/>
        <v>-1.3490046250945298E-2</v>
      </c>
      <c r="AI6" s="19">
        <f t="shared" si="2"/>
        <v>3.5739644813048699E-4</v>
      </c>
      <c r="AJ6" s="65"/>
      <c r="AL6" s="20">
        <v>3.21</v>
      </c>
      <c r="AM6" s="20">
        <f>TEPA!AR17</f>
        <v>3.400277467325751</v>
      </c>
      <c r="AN6" s="20">
        <f>TEPA!AS17</f>
        <v>2.8914749931195027</v>
      </c>
      <c r="AO6" s="20">
        <f>TEPA!AT17</f>
        <v>2.8601961370036033</v>
      </c>
      <c r="AP6" s="20">
        <f>TEPA!AU17</f>
        <v>2.8131622311217681</v>
      </c>
      <c r="AQ6" s="20">
        <f>TEPA!AV17</f>
        <v>2.8259050746172973</v>
      </c>
      <c r="AR6" s="20">
        <f>TEPA!AW17</f>
        <v>2.6294515679777168</v>
      </c>
      <c r="AS6" s="20">
        <f>TEPA!AX17</f>
        <v>2.6296539460865165</v>
      </c>
      <c r="AT6" s="20">
        <f>TEPA!AY17</f>
        <v>2.6305343327243342</v>
      </c>
      <c r="AU6" s="20">
        <f>TEPA!AZ17</f>
        <v>2.6209649458944133</v>
      </c>
      <c r="AV6" s="20">
        <f>TEPA!BA17</f>
        <v>2.5775049806002097</v>
      </c>
      <c r="AW6" s="20">
        <f>TEPA!BB17</f>
        <v>2.6593040126548182</v>
      </c>
      <c r="AX6" s="20">
        <f>TEPA!BC17</f>
        <v>2.6579615336414069</v>
      </c>
      <c r="AY6" s="20">
        <f>TEPA!BD17</f>
        <v>2.6579615336414069</v>
      </c>
      <c r="AZ6" s="20">
        <f>TEPA!BE17</f>
        <v>2.6598835375594931</v>
      </c>
      <c r="BA6" s="20">
        <f>TEPA!BF17</f>
        <v>2.658599115916461</v>
      </c>
      <c r="BB6" s="20">
        <f>TEPA!BG17</f>
        <v>2.574916804528149</v>
      </c>
      <c r="BC6" s="20">
        <f>TEPA!BH17</f>
        <v>2.5857956083991684</v>
      </c>
      <c r="BD6" s="20">
        <f>TEPA!BI17</f>
        <v>2.5847422019174018</v>
      </c>
      <c r="BE6" s="20">
        <f>TEPA!BJ17</f>
        <v>2.6281105008358114</v>
      </c>
      <c r="BF6" s="20">
        <f>TEPA!BK17</f>
        <v>2.6279994764970991</v>
      </c>
      <c r="BG6" s="20">
        <f>TEPA!BL17</f>
        <v>2.6176578906024779</v>
      </c>
      <c r="BH6" s="20">
        <f>TEPA!BM17</f>
        <v>2.6438203835540088</v>
      </c>
      <c r="BI6" s="20">
        <f>TEPA!BN17</f>
        <v>2.6439709949747185</v>
      </c>
      <c r="BJ6" s="20">
        <f>TEPA!BO17</f>
        <v>2.6440840485889292</v>
      </c>
      <c r="BK6" s="20">
        <f>TEPA!BP17</f>
        <v>2.6440840485889292</v>
      </c>
      <c r="BL6" s="20">
        <f>TEPA!BQ17</f>
        <v>2.664467885213031</v>
      </c>
      <c r="BM6" s="20">
        <f>TEPA!BR17</f>
        <v>2.6642051050126616</v>
      </c>
      <c r="BN6" s="20">
        <f>TEPA!BS17</f>
        <v>2.6373749382764866</v>
      </c>
      <c r="BO6" s="20">
        <f>TEPA!BT17</f>
        <v>2.6431910605170978</v>
      </c>
      <c r="BP6" s="20">
        <f>TEPA!BU17</f>
        <v>2.6429108809548989</v>
      </c>
      <c r="BQ6" s="20">
        <f>TEPA!BV17</f>
        <v>2.6354265433047139</v>
      </c>
      <c r="BR6" s="20">
        <f>TEPA!BW17</f>
        <v>2.6489165895556592</v>
      </c>
      <c r="BS6" s="20">
        <f>TEPA!BX17</f>
        <v>2.6485591931075287</v>
      </c>
    </row>
    <row r="7" spans="1:71">
      <c r="A7" s="8" t="s">
        <v>207</v>
      </c>
      <c r="B7" s="263" t="s">
        <v>208</v>
      </c>
      <c r="C7" s="19">
        <f t="shared" si="3"/>
        <v>0.65217070916334619</v>
      </c>
      <c r="D7" s="19">
        <f t="shared" si="0"/>
        <v>0.32822662372520339</v>
      </c>
      <c r="E7" s="19">
        <f t="shared" si="0"/>
        <v>-0.17120116446749689</v>
      </c>
      <c r="F7" s="19">
        <f t="shared" si="0"/>
        <v>0.16480383157894707</v>
      </c>
      <c r="G7" s="19">
        <f t="shared" si="0"/>
        <v>-0.17999999999999972</v>
      </c>
      <c r="H7" s="19">
        <f t="shared" si="0"/>
        <v>5.2000000000000046E-2</v>
      </c>
      <c r="I7" s="19">
        <f t="shared" si="0"/>
        <v>0</v>
      </c>
      <c r="J7" s="19">
        <f t="shared" si="0"/>
        <v>0.55799999999999983</v>
      </c>
      <c r="K7" s="19">
        <f t="shared" si="0"/>
        <v>8.9999999999999858E-2</v>
      </c>
      <c r="L7" s="19">
        <f t="shared" si="1"/>
        <v>0</v>
      </c>
      <c r="M7" s="19">
        <f t="shared" si="1"/>
        <v>0</v>
      </c>
      <c r="N7" s="19">
        <f t="shared" si="1"/>
        <v>0</v>
      </c>
      <c r="O7" s="19">
        <f t="shared" si="1"/>
        <v>0</v>
      </c>
      <c r="P7" s="19">
        <f t="shared" si="1"/>
        <v>0</v>
      </c>
      <c r="Q7" s="19">
        <f t="shared" si="1"/>
        <v>0</v>
      </c>
      <c r="R7" s="19">
        <f t="shared" si="1"/>
        <v>0</v>
      </c>
      <c r="S7" s="19">
        <f t="shared" si="1"/>
        <v>0</v>
      </c>
      <c r="T7" s="19">
        <f t="shared" si="1"/>
        <v>0</v>
      </c>
      <c r="U7" s="19">
        <f t="shared" si="1"/>
        <v>0</v>
      </c>
      <c r="V7" s="19">
        <f t="shared" si="1"/>
        <v>0</v>
      </c>
      <c r="W7" s="19">
        <f t="shared" si="1"/>
        <v>5.3999999999999826E-2</v>
      </c>
      <c r="X7" s="19">
        <f t="shared" si="1"/>
        <v>0</v>
      </c>
      <c r="Y7" s="19">
        <f t="shared" si="1"/>
        <v>0</v>
      </c>
      <c r="Z7" s="19">
        <f t="shared" si="1"/>
        <v>0</v>
      </c>
      <c r="AA7" s="19">
        <f t="shared" si="2"/>
        <v>0</v>
      </c>
      <c r="AB7" s="19">
        <f t="shared" si="2"/>
        <v>0</v>
      </c>
      <c r="AC7" s="19">
        <f t="shared" si="2"/>
        <v>-1.7999999999999794E-2</v>
      </c>
      <c r="AD7" s="19">
        <f t="shared" si="2"/>
        <v>0</v>
      </c>
      <c r="AE7" s="19">
        <f t="shared" si="2"/>
        <v>0.48600000000000021</v>
      </c>
      <c r="AF7" s="19">
        <f t="shared" si="2"/>
        <v>0</v>
      </c>
      <c r="AG7" s="19">
        <f t="shared" si="2"/>
        <v>-0.53400000000000025</v>
      </c>
      <c r="AH7" s="19">
        <f t="shared" si="2"/>
        <v>0</v>
      </c>
      <c r="AI7" s="19">
        <f t="shared" si="2"/>
        <v>0</v>
      </c>
      <c r="AJ7" s="65"/>
      <c r="AL7" s="20">
        <v>4.33</v>
      </c>
      <c r="AM7" s="20">
        <f>'CHROMIC ACID FLAKES'!AR17</f>
        <v>3.6778292908366539</v>
      </c>
      <c r="AN7" s="20">
        <f>'CHROMIC ACID FLAKES'!AS17</f>
        <v>3.3496026671114505</v>
      </c>
      <c r="AO7" s="20">
        <f>'CHROMIC ACID FLAKES'!AT17</f>
        <v>3.5208038315789474</v>
      </c>
      <c r="AP7" s="20">
        <f>'CHROMIC ACID FLAKES'!AU17</f>
        <v>3.3560000000000003</v>
      </c>
      <c r="AQ7" s="20">
        <f>'CHROMIC ACID FLAKES'!AV17</f>
        <v>3.536</v>
      </c>
      <c r="AR7" s="20">
        <f>'CHROMIC ACID FLAKES'!AW17</f>
        <v>3.484</v>
      </c>
      <c r="AS7" s="20">
        <f>'CHROMIC ACID FLAKES'!AX17</f>
        <v>3.484</v>
      </c>
      <c r="AT7" s="20">
        <f>'CHROMIC ACID FLAKES'!AY17</f>
        <v>2.9260000000000002</v>
      </c>
      <c r="AU7" s="20">
        <f>'CHROMIC ACID FLAKES'!AZ17</f>
        <v>2.8360000000000003</v>
      </c>
      <c r="AV7" s="20">
        <f>'CHROMIC ACID FLAKES'!BA17</f>
        <v>2.8360000000000003</v>
      </c>
      <c r="AW7" s="20">
        <f>'CHROMIC ACID FLAKES'!BB17</f>
        <v>2.8360000000000003</v>
      </c>
      <c r="AX7" s="20">
        <f>'CHROMIC ACID FLAKES'!BC17</f>
        <v>2.8360000000000003</v>
      </c>
      <c r="AY7" s="20">
        <f>'CHROMIC ACID FLAKES'!BD17</f>
        <v>2.8360000000000003</v>
      </c>
      <c r="AZ7" s="20">
        <f>'CHROMIC ACID FLAKES'!BE17</f>
        <v>2.8360000000000003</v>
      </c>
      <c r="BA7" s="20">
        <f>'CHROMIC ACID FLAKES'!BF17</f>
        <v>2.8360000000000003</v>
      </c>
      <c r="BB7" s="20">
        <f>'CHROMIC ACID FLAKES'!BG17</f>
        <v>2.8360000000000003</v>
      </c>
      <c r="BC7" s="20">
        <f>'CHROMIC ACID FLAKES'!BH17</f>
        <v>2.8360000000000003</v>
      </c>
      <c r="BD7" s="20">
        <f>'CHROMIC ACID FLAKES'!BI17</f>
        <v>2.8360000000000003</v>
      </c>
      <c r="BE7" s="20">
        <f>'CHROMIC ACID FLAKES'!BJ17</f>
        <v>2.8360000000000003</v>
      </c>
      <c r="BF7" s="20">
        <f>'CHROMIC ACID FLAKES'!BK17</f>
        <v>2.8360000000000003</v>
      </c>
      <c r="BG7" s="20">
        <f>'CHROMIC ACID FLAKES'!BL17</f>
        <v>2.7820000000000005</v>
      </c>
      <c r="BH7" s="20">
        <f>'CHROMIC ACID FLAKES'!BM17</f>
        <v>2.7820000000000005</v>
      </c>
      <c r="BI7" s="20">
        <f>'CHROMIC ACID FLAKES'!BN17</f>
        <v>2.7820000000000005</v>
      </c>
      <c r="BJ7" s="20">
        <f>'CHROMIC ACID FLAKES'!BO17</f>
        <v>2.7820000000000005</v>
      </c>
      <c r="BK7" s="20">
        <f>'CHROMIC ACID FLAKES'!BP17</f>
        <v>2.7820000000000005</v>
      </c>
      <c r="BL7" s="20">
        <f>'CHROMIC ACID FLAKES'!BQ17</f>
        <v>2.7820000000000005</v>
      </c>
      <c r="BM7" s="20">
        <f>'CHROMIC ACID FLAKES'!BR17</f>
        <v>2.8000000000000003</v>
      </c>
      <c r="BN7" s="20">
        <f>'CHROMIC ACID FLAKES'!BS17</f>
        <v>2.8000000000000003</v>
      </c>
      <c r="BO7" s="20">
        <f>'CHROMIC ACID FLAKES'!BT17</f>
        <v>2.3140000000000001</v>
      </c>
      <c r="BP7" s="20">
        <f>'CHROMIC ACID FLAKES'!BU17</f>
        <v>2.3140000000000001</v>
      </c>
      <c r="BQ7" s="20">
        <f>'CHROMIC ACID FLAKES'!BV17</f>
        <v>2.8480000000000003</v>
      </c>
      <c r="BR7" s="20">
        <f>'CHROMIC ACID FLAKES'!BW17</f>
        <v>2.8480000000000003</v>
      </c>
      <c r="BS7" s="20">
        <f>'CHROMIC ACID FLAKES'!BX17</f>
        <v>2.8480000000000003</v>
      </c>
    </row>
    <row r="8" spans="1:71">
      <c r="A8" s="8" t="s">
        <v>207</v>
      </c>
      <c r="B8" s="263" t="s">
        <v>209</v>
      </c>
      <c r="C8" s="19">
        <f t="shared" si="3"/>
        <v>-0.19172000000000011</v>
      </c>
      <c r="D8" s="19">
        <f t="shared" si="0"/>
        <v>3.8599999999999746E-2</v>
      </c>
      <c r="E8" s="19">
        <f t="shared" si="0"/>
        <v>7.6000000000000512E-3</v>
      </c>
      <c r="F8" s="19">
        <f t="shared" si="0"/>
        <v>3.2160000000000188E-2</v>
      </c>
      <c r="G8" s="19">
        <f t="shared" si="0"/>
        <v>0.1151800000000005</v>
      </c>
      <c r="H8" s="19">
        <f t="shared" si="0"/>
        <v>8.7419999999998943E-2</v>
      </c>
      <c r="I8" s="19">
        <f t="shared" si="0"/>
        <v>4.5480000000000409E-2</v>
      </c>
      <c r="J8" s="19">
        <f t="shared" si="0"/>
        <v>-0.1120000000000001</v>
      </c>
      <c r="K8" s="19">
        <f t="shared" si="0"/>
        <v>6.2160000000000437E-2</v>
      </c>
      <c r="L8" s="19">
        <f t="shared" si="1"/>
        <v>-4.5359999999999623E-2</v>
      </c>
      <c r="M8" s="19">
        <f t="shared" si="1"/>
        <v>4.7039999999999083E-2</v>
      </c>
      <c r="N8" s="19">
        <f t="shared" si="1"/>
        <v>8.3160000000000345E-2</v>
      </c>
      <c r="O8" s="19">
        <f t="shared" si="1"/>
        <v>-6.5240000000000187E-2</v>
      </c>
      <c r="P8" s="19">
        <f t="shared" si="1"/>
        <v>0</v>
      </c>
      <c r="Q8" s="19">
        <f t="shared" si="1"/>
        <v>-3.5840000000000316E-2</v>
      </c>
      <c r="R8" s="19">
        <f t="shared" si="1"/>
        <v>5.9360000000000746E-2</v>
      </c>
      <c r="S8" s="19">
        <f t="shared" si="1"/>
        <v>2.4639999999999773E-2</v>
      </c>
      <c r="T8" s="19">
        <f t="shared" si="1"/>
        <v>2.1279999999999966E-2</v>
      </c>
      <c r="U8" s="19">
        <f t="shared" si="1"/>
        <v>1.8200000000000216E-2</v>
      </c>
      <c r="V8" s="19">
        <f t="shared" si="1"/>
        <v>-3.6599999999999966E-2</v>
      </c>
      <c r="W8" s="19">
        <f t="shared" si="1"/>
        <v>-1.6939999999999955E-2</v>
      </c>
      <c r="X8" s="19">
        <f t="shared" si="1"/>
        <v>-1.330000000000009E-2</v>
      </c>
      <c r="Y8" s="19">
        <f t="shared" si="1"/>
        <v>-2.1419999999999995E-2</v>
      </c>
      <c r="Z8" s="19">
        <f t="shared" si="1"/>
        <v>-1.6659999999999897E-2</v>
      </c>
      <c r="AA8" s="19">
        <f t="shared" si="2"/>
        <v>0</v>
      </c>
      <c r="AB8" s="19">
        <f t="shared" si="2"/>
        <v>-4.8859999999999459E-2</v>
      </c>
      <c r="AC8" s="19">
        <f t="shared" si="2"/>
        <v>2.1139999999999937E-2</v>
      </c>
      <c r="AD8" s="19">
        <f t="shared" si="2"/>
        <v>1.1199999999993437E-3</v>
      </c>
      <c r="AE8" s="19">
        <f t="shared" si="2"/>
        <v>-7.4339999999999407E-2</v>
      </c>
      <c r="AF8" s="19">
        <f t="shared" si="2"/>
        <v>1.0219999999999452E-2</v>
      </c>
      <c r="AG8" s="19">
        <f t="shared" si="2"/>
        <v>1.3880000000000337E-2</v>
      </c>
      <c r="AH8" s="19">
        <f t="shared" si="2"/>
        <v>3.1359999999999388E-2</v>
      </c>
      <c r="AI8" s="19">
        <f t="shared" si="2"/>
        <v>0</v>
      </c>
      <c r="AJ8" s="65"/>
      <c r="AL8" s="20">
        <v>4.7</v>
      </c>
      <c r="AM8" s="20">
        <f>'Copper II Nitrate trihydrate'!AR15</f>
        <v>4.8917200000000003</v>
      </c>
      <c r="AN8" s="20">
        <f>'Copper II Nitrate trihydrate'!AS15</f>
        <v>4.8531200000000005</v>
      </c>
      <c r="AO8" s="20">
        <f>'Copper II Nitrate trihydrate'!AT15</f>
        <v>4.8455200000000005</v>
      </c>
      <c r="AP8" s="20">
        <f>'Copper II Nitrate trihydrate'!AU15</f>
        <v>4.8133600000000003</v>
      </c>
      <c r="AQ8" s="20">
        <f>'Copper II Nitrate trihydrate'!AV15</f>
        <v>4.6981799999999998</v>
      </c>
      <c r="AR8" s="20">
        <f>'Copper II Nitrate trihydrate'!AW15</f>
        <v>4.6107600000000009</v>
      </c>
      <c r="AS8" s="20">
        <f>'Copper II Nitrate trihydrate'!AX15</f>
        <v>4.5652800000000004</v>
      </c>
      <c r="AT8" s="20">
        <f>'Copper II Nitrate trihydrate'!AY15</f>
        <v>4.6772800000000005</v>
      </c>
      <c r="AU8" s="20">
        <f>'Copper II Nitrate trihydrate'!AZ15</f>
        <v>4.6151200000000001</v>
      </c>
      <c r="AV8" s="20">
        <f>'Copper II Nitrate trihydrate'!BA15</f>
        <v>4.6604799999999997</v>
      </c>
      <c r="AW8" s="20">
        <f>'Copper II Nitrate trihydrate'!BB15</f>
        <v>4.6134400000000007</v>
      </c>
      <c r="AX8" s="20">
        <f>'Copper II Nitrate trihydrate'!BC15</f>
        <v>4.5302800000000003</v>
      </c>
      <c r="AY8" s="20">
        <f>'Copper II Nitrate trihydrate'!BD15</f>
        <v>4.5955200000000005</v>
      </c>
      <c r="AZ8" s="20">
        <f>'Copper II Nitrate trihydrate'!BE15</f>
        <v>4.5955200000000005</v>
      </c>
      <c r="BA8" s="20">
        <f>'Copper II Nitrate trihydrate'!BF15</f>
        <v>4.6313600000000008</v>
      </c>
      <c r="BB8" s="20">
        <f>'Copper II Nitrate trihydrate'!BG15</f>
        <v>4.5720000000000001</v>
      </c>
      <c r="BC8" s="20">
        <f>'Copper II Nitrate trihydrate'!BH15</f>
        <v>4.5473600000000003</v>
      </c>
      <c r="BD8" s="20">
        <f>'Copper II Nitrate trihydrate'!BI15</f>
        <v>4.5260800000000003</v>
      </c>
      <c r="BE8" s="20">
        <f>'Copper II Nitrate trihydrate'!BJ15</f>
        <v>4.5078800000000001</v>
      </c>
      <c r="BF8" s="20">
        <f>'Copper II Nitrate trihydrate'!BK15</f>
        <v>4.5444800000000001</v>
      </c>
      <c r="BG8" s="20">
        <f>'Copper II Nitrate trihydrate'!BL15</f>
        <v>4.56142</v>
      </c>
      <c r="BH8" s="20">
        <f>'Copper II Nitrate trihydrate'!BM15</f>
        <v>4.5747200000000001</v>
      </c>
      <c r="BI8" s="20">
        <f>'Copper II Nitrate trihydrate'!BN15</f>
        <v>4.5961400000000001</v>
      </c>
      <c r="BJ8" s="20">
        <f>'Copper II Nitrate trihydrate'!BO15</f>
        <v>4.6128</v>
      </c>
      <c r="BK8" s="20">
        <f>'Copper II Nitrate trihydrate'!BP15</f>
        <v>4.6128</v>
      </c>
      <c r="BL8" s="20">
        <f>'Copper II Nitrate trihydrate'!BQ15</f>
        <v>4.6616599999999995</v>
      </c>
      <c r="BM8" s="20">
        <f>'Copper II Nitrate trihydrate'!BR15</f>
        <v>4.6405199999999995</v>
      </c>
      <c r="BN8" s="20">
        <f>'Copper II Nitrate trihydrate'!BS15</f>
        <v>4.6394000000000002</v>
      </c>
      <c r="BO8" s="20">
        <f>'Copper II Nitrate trihydrate'!BT15</f>
        <v>4.7137399999999996</v>
      </c>
      <c r="BP8" s="20">
        <f>'Copper II Nitrate trihydrate'!BU15</f>
        <v>4.7035200000000001</v>
      </c>
      <c r="BQ8" s="20">
        <f>'Copper II Nitrate trihydrate'!BV15</f>
        <v>4.6896399999999998</v>
      </c>
      <c r="BR8" s="20">
        <f>'Copper II Nitrate trihydrate'!BW15</f>
        <v>4.6582800000000004</v>
      </c>
      <c r="BS8" s="20">
        <f>'Copper II Nitrate trihydrate'!BX15</f>
        <v>4.6582800000000004</v>
      </c>
    </row>
    <row r="9" spans="1:71">
      <c r="A9" s="8" t="s">
        <v>203</v>
      </c>
      <c r="B9" s="263" t="s">
        <v>210</v>
      </c>
      <c r="C9" s="19">
        <f t="shared" si="3"/>
        <v>-0.14876979849823657</v>
      </c>
      <c r="D9" s="19">
        <f t="shared" si="0"/>
        <v>0.41098735209180193</v>
      </c>
      <c r="E9" s="19">
        <f t="shared" si="0"/>
        <v>9.8014531903305446E-3</v>
      </c>
      <c r="F9" s="19">
        <f t="shared" si="0"/>
        <v>-1.841297405722031E-3</v>
      </c>
      <c r="G9" s="19">
        <f t="shared" si="0"/>
        <v>-1.4836462006570628E-2</v>
      </c>
      <c r="H9" s="19">
        <f t="shared" si="0"/>
        <v>0.18162621221364006</v>
      </c>
      <c r="I9" s="19">
        <f t="shared" si="0"/>
        <v>-3.6782594832640569E-5</v>
      </c>
      <c r="J9" s="19">
        <f t="shared" si="0"/>
        <v>-1.6001189647774083E-4</v>
      </c>
      <c r="K9" s="19">
        <f t="shared" si="0"/>
        <v>9.2962131929983371E-3</v>
      </c>
      <c r="L9" s="19">
        <f t="shared" si="1"/>
        <v>4.1989065538384107E-2</v>
      </c>
      <c r="M9" s="19">
        <f t="shared" si="1"/>
        <v>-7.5322800848691251E-2</v>
      </c>
      <c r="N9" s="19">
        <f t="shared" si="1"/>
        <v>2.4399803869190606E-4</v>
      </c>
      <c r="O9" s="19">
        <f t="shared" si="1"/>
        <v>0</v>
      </c>
      <c r="P9" s="19">
        <f t="shared" si="1"/>
        <v>-3.4932775982809972E-4</v>
      </c>
      <c r="Q9" s="19">
        <f t="shared" si="1"/>
        <v>8.2692202980481078E-3</v>
      </c>
      <c r="R9" s="19">
        <f t="shared" si="1"/>
        <v>6.8108130870744965E-2</v>
      </c>
      <c r="S9" s="19">
        <f t="shared" si="1"/>
        <v>-1.6779984803878545E-2</v>
      </c>
      <c r="T9" s="19">
        <f t="shared" si="1"/>
        <v>1.9145857248314968E-4</v>
      </c>
      <c r="U9" s="19">
        <f t="shared" si="1"/>
        <v>-7.8822683794559367E-3</v>
      </c>
      <c r="V9" s="19">
        <f t="shared" si="1"/>
        <v>2.0178878493926078E-5</v>
      </c>
      <c r="W9" s="19">
        <f t="shared" si="1"/>
        <v>1.8796023252831695E-3</v>
      </c>
      <c r="X9" s="19">
        <f t="shared" si="1"/>
        <v>-2.8806524935167666E-2</v>
      </c>
      <c r="Y9" s="19">
        <f t="shared" si="1"/>
        <v>-2.7373903718874715E-5</v>
      </c>
      <c r="Z9" s="19">
        <f t="shared" si="1"/>
        <v>-2.0547703061701839E-5</v>
      </c>
      <c r="AA9" s="19">
        <f t="shared" si="2"/>
        <v>0</v>
      </c>
      <c r="AB9" s="19">
        <f t="shared" si="2"/>
        <v>-1.881871887794162E-2</v>
      </c>
      <c r="AC9" s="19">
        <f t="shared" si="2"/>
        <v>7.6605995909191371E-3</v>
      </c>
      <c r="AD9" s="19">
        <f t="shared" si="2"/>
        <v>7.8369807525060509E-3</v>
      </c>
      <c r="AE9" s="19">
        <f t="shared" si="2"/>
        <v>-2.3258974202828853E-3</v>
      </c>
      <c r="AF9" s="19">
        <f t="shared" si="2"/>
        <v>-2.4866897822204415E-3</v>
      </c>
      <c r="AG9" s="19">
        <f t="shared" si="2"/>
        <v>1.360292182827294E-3</v>
      </c>
      <c r="AH9" s="19">
        <f t="shared" si="2"/>
        <v>-2.4518408066058761E-3</v>
      </c>
      <c r="AI9" s="19">
        <f t="shared" si="2"/>
        <v>6.4957464145365407E-5</v>
      </c>
      <c r="AJ9" s="65"/>
      <c r="AL9" s="20">
        <v>2.6</v>
      </c>
      <c r="AM9" s="20">
        <f>AEEA!AR14</f>
        <v>2.7487697984982367</v>
      </c>
      <c r="AN9" s="20">
        <f>AEEA!AS14</f>
        <v>2.3377824464064347</v>
      </c>
      <c r="AO9" s="20">
        <f>AEEA!AT14</f>
        <v>2.3279809932161042</v>
      </c>
      <c r="AP9" s="20">
        <f>AEEA!AU14</f>
        <v>2.3298222906218262</v>
      </c>
      <c r="AQ9" s="20">
        <f>AEEA!AV14</f>
        <v>2.3446587526283968</v>
      </c>
      <c r="AR9" s="20">
        <f>AEEA!AW14</f>
        <v>2.1630325404147568</v>
      </c>
      <c r="AS9" s="20">
        <f>AEEA!AX14</f>
        <v>2.1630693230095894</v>
      </c>
      <c r="AT9" s="20">
        <f>AEEA!AY14</f>
        <v>2.1632293349060672</v>
      </c>
      <c r="AU9" s="20">
        <f>AEEA!AZ14</f>
        <v>2.1539331217130688</v>
      </c>
      <c r="AV9" s="20">
        <f>AEEA!BA14</f>
        <v>2.1119440561746847</v>
      </c>
      <c r="AW9" s="20">
        <f>AEEA!BB14</f>
        <v>2.187266857023376</v>
      </c>
      <c r="AX9" s="20">
        <f>AEEA!BC14</f>
        <v>2.1870228589846841</v>
      </c>
      <c r="AY9" s="20">
        <f>AEEA!BD14</f>
        <v>2.1870228589846841</v>
      </c>
      <c r="AZ9" s="20">
        <f>AEEA!BE14</f>
        <v>2.1873721867445122</v>
      </c>
      <c r="BA9" s="20">
        <f>AEEA!BF14</f>
        <v>2.1791029664464641</v>
      </c>
      <c r="BB9" s="20">
        <f>AEEA!BG14</f>
        <v>2.1109948355757191</v>
      </c>
      <c r="BC9" s="20">
        <f>AEEA!BH14</f>
        <v>2.1277748203795976</v>
      </c>
      <c r="BD9" s="20">
        <f>AEEA!BI14</f>
        <v>2.1275833618071145</v>
      </c>
      <c r="BE9" s="20">
        <f>AEEA!BJ14</f>
        <v>2.1354656301865704</v>
      </c>
      <c r="BF9" s="20">
        <f>AEEA!BK14</f>
        <v>2.1354454513080765</v>
      </c>
      <c r="BG9" s="20">
        <f>AEEA!BL14</f>
        <v>2.1335658489827933</v>
      </c>
      <c r="BH9" s="20">
        <f>AEEA!BM14</f>
        <v>2.162372373917961</v>
      </c>
      <c r="BI9" s="20">
        <f>AEEA!BN14</f>
        <v>2.1623997478216799</v>
      </c>
      <c r="BJ9" s="20">
        <f>AEEA!BO14</f>
        <v>2.1624202955247416</v>
      </c>
      <c r="BK9" s="20">
        <f>AEEA!BP14</f>
        <v>2.1624202955247416</v>
      </c>
      <c r="BL9" s="20">
        <f>AEEA!BQ14</f>
        <v>2.1812390144026832</v>
      </c>
      <c r="BM9" s="20">
        <f>AEEA!BR14</f>
        <v>2.1735784148117641</v>
      </c>
      <c r="BN9" s="20">
        <f>AEEA!BS14</f>
        <v>2.165741434059258</v>
      </c>
      <c r="BO9" s="20">
        <f>AEEA!BT14</f>
        <v>2.1680673314795409</v>
      </c>
      <c r="BP9" s="20">
        <f>AEEA!BU14</f>
        <v>2.1705540212617613</v>
      </c>
      <c r="BQ9" s="20">
        <f>AEEA!BV14</f>
        <v>2.169193729078934</v>
      </c>
      <c r="BR9" s="20">
        <f>AEEA!BW14</f>
        <v>2.1716455698855399</v>
      </c>
      <c r="BS9" s="20">
        <f>AEEA!BX14</f>
        <v>2.1715806124213946</v>
      </c>
    </row>
    <row r="10" spans="1:71">
      <c r="A10" s="8" t="s">
        <v>203</v>
      </c>
      <c r="B10" s="263" t="s">
        <v>211</v>
      </c>
      <c r="C10" s="19">
        <f t="shared" si="3"/>
        <v>0.15420962330017352</v>
      </c>
      <c r="D10" s="19">
        <f t="shared" si="0"/>
        <v>-4.8688292023889801E-2</v>
      </c>
      <c r="E10" s="19">
        <f t="shared" si="0"/>
        <v>-2.9694083003462213E-2</v>
      </c>
      <c r="F10" s="19">
        <f t="shared" si="0"/>
        <v>6.2974491387292497E-2</v>
      </c>
      <c r="G10" s="19">
        <f t="shared" si="0"/>
        <v>-3.1726958951334039E-2</v>
      </c>
      <c r="H10" s="19">
        <f t="shared" si="0"/>
        <v>0.19584303943767467</v>
      </c>
      <c r="I10" s="19">
        <f t="shared" si="0"/>
        <v>-1.2544998548036368E-4</v>
      </c>
      <c r="J10" s="19">
        <f t="shared" si="0"/>
        <v>-5.4573338779784208E-4</v>
      </c>
      <c r="K10" s="19">
        <f t="shared" si="0"/>
        <v>-5.4919751574789011E-4</v>
      </c>
      <c r="L10" s="19">
        <f t="shared" si="1"/>
        <v>4.9403523859892218E-4</v>
      </c>
      <c r="M10" s="19">
        <f t="shared" si="1"/>
        <v>1.0131588993069762E-3</v>
      </c>
      <c r="N10" s="19">
        <f t="shared" si="1"/>
        <v>8.3217485200903774E-4</v>
      </c>
      <c r="O10" s="19">
        <f t="shared" si="1"/>
        <v>0</v>
      </c>
      <c r="P10" s="19">
        <f t="shared" si="1"/>
        <v>-1.1914103014762922E-3</v>
      </c>
      <c r="Q10" s="19">
        <f t="shared" si="1"/>
        <v>-2.9515233155718246E-2</v>
      </c>
      <c r="R10" s="19">
        <f t="shared" si="1"/>
        <v>6.505495096223779E-3</v>
      </c>
      <c r="S10" s="19">
        <f t="shared" si="1"/>
        <v>-2.18379534972728E-2</v>
      </c>
      <c r="T10" s="19">
        <f t="shared" si="1"/>
        <v>6.5298479478026472E-4</v>
      </c>
      <c r="U10" s="19">
        <f t="shared" si="1"/>
        <v>-2.6883107574690479E-2</v>
      </c>
      <c r="V10" s="19">
        <f t="shared" si="1"/>
        <v>6.8821681169284332E-5</v>
      </c>
      <c r="W10" s="19">
        <f t="shared" si="1"/>
        <v>6.4105342619280581E-3</v>
      </c>
      <c r="X10" s="19">
        <f t="shared" si="1"/>
        <v>-3.5807373972297718E-2</v>
      </c>
      <c r="Y10" s="19">
        <f t="shared" si="1"/>
        <v>1.9515668251184115E-2</v>
      </c>
      <c r="Z10" s="19">
        <f t="shared" si="1"/>
        <v>-7.0079586894866708E-5</v>
      </c>
      <c r="AA10" s="19">
        <f t="shared" si="2"/>
        <v>0</v>
      </c>
      <c r="AB10" s="19">
        <f t="shared" si="2"/>
        <v>3.2660636465253745E-4</v>
      </c>
      <c r="AC10" s="19">
        <f t="shared" si="2"/>
        <v>2.6630393624460069E-2</v>
      </c>
      <c r="AD10" s="19">
        <f t="shared" si="2"/>
        <v>1.6631462994950219E-2</v>
      </c>
      <c r="AE10" s="19">
        <f t="shared" si="2"/>
        <v>-2.0488241945942676E-2</v>
      </c>
      <c r="AF10" s="19">
        <f t="shared" si="2"/>
        <v>5.1075983988457807E-5</v>
      </c>
      <c r="AG10" s="19">
        <f t="shared" si="2"/>
        <v>4.6393854311359561E-3</v>
      </c>
      <c r="AH10" s="19">
        <f t="shared" si="2"/>
        <v>-8.3621994312939041E-3</v>
      </c>
      <c r="AI10" s="19">
        <f t="shared" si="2"/>
        <v>2.2154263370977034E-4</v>
      </c>
      <c r="AJ10" s="65"/>
      <c r="AL10" s="20">
        <v>1.1499999999999999</v>
      </c>
      <c r="AM10" s="20">
        <f>MonoEthanolamine!AR21</f>
        <v>0.9957903766998264</v>
      </c>
      <c r="AN10" s="20">
        <f>MonoEthanolamine!AS21</f>
        <v>1.0444786687237162</v>
      </c>
      <c r="AO10" s="20">
        <f>MonoEthanolamine!AT21</f>
        <v>1.0741727517271784</v>
      </c>
      <c r="AP10" s="20">
        <f>MonoEthanolamine!AU21</f>
        <v>1.0111982603398859</v>
      </c>
      <c r="AQ10" s="20">
        <f>MonoEthanolamine!AV21</f>
        <v>1.04292521929122</v>
      </c>
      <c r="AR10" s="20">
        <f>MonoEthanolamine!AW21</f>
        <v>0.84708217985354528</v>
      </c>
      <c r="AS10" s="20">
        <f>MonoEthanolamine!AX21</f>
        <v>0.84720762983902564</v>
      </c>
      <c r="AT10" s="20">
        <f>MonoEthanolamine!AY21</f>
        <v>0.84775336322682349</v>
      </c>
      <c r="AU10" s="20">
        <f>MonoEthanolamine!AZ21</f>
        <v>0.84830256074257138</v>
      </c>
      <c r="AV10" s="20">
        <f>MonoEthanolamine!BA21</f>
        <v>0.84780852550397245</v>
      </c>
      <c r="AW10" s="20">
        <f>MonoEthanolamine!BB21</f>
        <v>0.84679536660466548</v>
      </c>
      <c r="AX10" s="20">
        <f>MonoEthanolamine!BC21</f>
        <v>0.84596319175265644</v>
      </c>
      <c r="AY10" s="20">
        <f>MonoEthanolamine!BD21</f>
        <v>0.84596319175265644</v>
      </c>
      <c r="AZ10" s="20">
        <f>MonoEthanolamine!BE21</f>
        <v>0.84715460205413273</v>
      </c>
      <c r="BA10" s="20">
        <f>MonoEthanolamine!BF21</f>
        <v>0.87666983520985098</v>
      </c>
      <c r="BB10" s="20">
        <f>MonoEthanolamine!BG21</f>
        <v>0.8701643401136272</v>
      </c>
      <c r="BC10" s="20">
        <f>MonoEthanolamine!BH21</f>
        <v>0.8920022936109</v>
      </c>
      <c r="BD10" s="20">
        <f>MonoEthanolamine!BI21</f>
        <v>0.89134930881611973</v>
      </c>
      <c r="BE10" s="20">
        <f>MonoEthanolamine!BJ21</f>
        <v>0.91823241639081021</v>
      </c>
      <c r="BF10" s="20">
        <f>MonoEthanolamine!BK21</f>
        <v>0.91816359470964093</v>
      </c>
      <c r="BG10" s="20">
        <f>MonoEthanolamine!BL21</f>
        <v>0.91175306044771287</v>
      </c>
      <c r="BH10" s="20">
        <f>MonoEthanolamine!BM21</f>
        <v>0.94756043442001059</v>
      </c>
      <c r="BI10" s="20">
        <f>MonoEthanolamine!BN21</f>
        <v>0.92804476616882647</v>
      </c>
      <c r="BJ10" s="20">
        <f>MonoEthanolamine!BO21</f>
        <v>0.92811484575572134</v>
      </c>
      <c r="BK10" s="20">
        <f>MonoEthanolamine!BP21</f>
        <v>0.92811484575572134</v>
      </c>
      <c r="BL10" s="20">
        <f>MonoEthanolamine!BQ21</f>
        <v>0.9277882393910688</v>
      </c>
      <c r="BM10" s="20">
        <f>MonoEthanolamine!BR21</f>
        <v>0.90115784576660873</v>
      </c>
      <c r="BN10" s="20">
        <f>MonoEthanolamine!BS21</f>
        <v>0.88452638277165851</v>
      </c>
      <c r="BO10" s="20">
        <f>MonoEthanolamine!BT21</f>
        <v>0.90501462471760119</v>
      </c>
      <c r="BP10" s="20">
        <f>MonoEthanolamine!BU21</f>
        <v>0.90496354873361273</v>
      </c>
      <c r="BQ10" s="20">
        <f>MonoEthanolamine!BV21</f>
        <v>0.90032416330247678</v>
      </c>
      <c r="BR10" s="20">
        <f>MonoEthanolamine!BW21</f>
        <v>0.90868636273377068</v>
      </c>
      <c r="BS10" s="20">
        <f>MonoEthanolamine!BX21</f>
        <v>0.90846482010006091</v>
      </c>
    </row>
    <row r="11" spans="1:71">
      <c r="A11" s="8" t="s">
        <v>212</v>
      </c>
      <c r="B11" s="263" t="s">
        <v>213</v>
      </c>
      <c r="C11" s="19">
        <f t="shared" si="3"/>
        <v>0.17365182781256361</v>
      </c>
      <c r="D11" s="19">
        <f t="shared" si="0"/>
        <v>5.4674120874148358E-2</v>
      </c>
      <c r="E11" s="19">
        <f t="shared" si="0"/>
        <v>1.9524901843363862E-2</v>
      </c>
      <c r="F11" s="19">
        <f t="shared" si="0"/>
        <v>6.4474858604619545E-2</v>
      </c>
      <c r="G11" s="19">
        <f t="shared" si="0"/>
        <v>3.8517412197395684E-2</v>
      </c>
      <c r="H11" s="19">
        <f t="shared" si="0"/>
        <v>0.11104938659284858</v>
      </c>
      <c r="I11" s="19">
        <f t="shared" si="0"/>
        <v>3.5985123374953076E-3</v>
      </c>
      <c r="J11" s="19">
        <f t="shared" si="0"/>
        <v>5.5660000000001819E-4</v>
      </c>
      <c r="K11" s="19">
        <f t="shared" si="0"/>
        <v>6.5793057335639116E-4</v>
      </c>
      <c r="L11" s="19">
        <f t="shared" si="1"/>
        <v>-4.3874157284210513E-3</v>
      </c>
      <c r="M11" s="19">
        <f t="shared" si="1"/>
        <v>6.7889076336666854E-3</v>
      </c>
      <c r="N11" s="19">
        <f t="shared" si="1"/>
        <v>1.0599029285224271E-3</v>
      </c>
      <c r="O11" s="19">
        <f t="shared" si="1"/>
        <v>-1.7047213965321717E-2</v>
      </c>
      <c r="P11" s="19">
        <f t="shared" si="1"/>
        <v>-1.6127761892275827E-2</v>
      </c>
      <c r="Q11" s="19">
        <f t="shared" si="1"/>
        <v>1.7851115737018697E-3</v>
      </c>
      <c r="R11" s="19">
        <f t="shared" si="1"/>
        <v>-4.0398098316360764E-2</v>
      </c>
      <c r="S11" s="19">
        <f t="shared" si="1"/>
        <v>-1.1310090791451177E-2</v>
      </c>
      <c r="T11" s="19">
        <f t="shared" si="1"/>
        <v>9.4193235543700293E-3</v>
      </c>
      <c r="U11" s="19">
        <f t="shared" si="1"/>
        <v>-2.5566735361861825E-2</v>
      </c>
      <c r="V11" s="19">
        <f t="shared" si="1"/>
        <v>-8.0674870583639091E-3</v>
      </c>
      <c r="W11" s="19">
        <f t="shared" si="1"/>
        <v>1.7631411076944659E-2</v>
      </c>
      <c r="X11" s="19">
        <f t="shared" si="1"/>
        <v>7.7179606834563153E-3</v>
      </c>
      <c r="Y11" s="19">
        <f t="shared" si="1"/>
        <v>-1.158753710576832E-3</v>
      </c>
      <c r="Z11" s="19">
        <f t="shared" si="1"/>
        <v>1.0831238417503997E-2</v>
      </c>
      <c r="AA11" s="19">
        <f t="shared" si="2"/>
        <v>0</v>
      </c>
      <c r="AB11" s="19">
        <f t="shared" si="2"/>
        <v>-1.5720970706945003E-2</v>
      </c>
      <c r="AC11" s="19">
        <f t="shared" si="2"/>
        <v>2.4405462161829483E-3</v>
      </c>
      <c r="AD11" s="19">
        <f t="shared" si="2"/>
        <v>-7.810036833074685E-3</v>
      </c>
      <c r="AE11" s="19">
        <f t="shared" si="2"/>
        <v>5.9348382778559028E-3</v>
      </c>
      <c r="AF11" s="19">
        <f t="shared" si="2"/>
        <v>-2.253962321363745E-2</v>
      </c>
      <c r="AG11" s="19">
        <f t="shared" si="2"/>
        <v>1.1504882038013697E-3</v>
      </c>
      <c r="AH11" s="19">
        <f t="shared" si="2"/>
        <v>2.3443706219619109E-3</v>
      </c>
      <c r="AI11" s="19">
        <f t="shared" si="2"/>
        <v>9.8336313996136848E-3</v>
      </c>
      <c r="AJ11" s="65"/>
      <c r="AL11" s="20">
        <v>1.4</v>
      </c>
      <c r="AM11" s="20">
        <f>MTMS!AR17</f>
        <v>1.2263481721874363</v>
      </c>
      <c r="AN11" s="20">
        <f>MTMS!AS17</f>
        <v>1.1716740513132879</v>
      </c>
      <c r="AO11" s="20">
        <f>MTMS!AT17</f>
        <v>1.1521491494699241</v>
      </c>
      <c r="AP11" s="20">
        <f>MTMS!AU17</f>
        <v>1.0876742908653045</v>
      </c>
      <c r="AQ11" s="20">
        <f>MTMS!AV17</f>
        <v>1.0491568786679089</v>
      </c>
      <c r="AR11" s="20">
        <f>MTMS!AW17</f>
        <v>0.93810749207506028</v>
      </c>
      <c r="AS11" s="20">
        <f>MTMS!AX17</f>
        <v>0.93450897973756497</v>
      </c>
      <c r="AT11" s="20">
        <f>MTMS!AY17</f>
        <v>0.93395237973756495</v>
      </c>
      <c r="AU11" s="20">
        <f>MTMS!AZ17</f>
        <v>0.93329444916420856</v>
      </c>
      <c r="AV11" s="20">
        <f>MTMS!BA17</f>
        <v>0.93768186489262961</v>
      </c>
      <c r="AW11" s="20">
        <f>MTMS!BB17</f>
        <v>0.93089295725896293</v>
      </c>
      <c r="AX11" s="20">
        <f>MTMS!BC17</f>
        <v>0.9298330543304405</v>
      </c>
      <c r="AY11" s="20">
        <f>MTMS!BD17</f>
        <v>0.94688026829576222</v>
      </c>
      <c r="AZ11" s="20">
        <f>MTMS!BE17</f>
        <v>0.96300803018803804</v>
      </c>
      <c r="BA11" s="20">
        <f>MTMS!BF17</f>
        <v>0.96122291861433617</v>
      </c>
      <c r="BB11" s="20">
        <f>MTMS!BG17</f>
        <v>1.0016210169306969</v>
      </c>
      <c r="BC11" s="20">
        <f>MTMS!BH17</f>
        <v>1.0129311077221481</v>
      </c>
      <c r="BD11" s="20">
        <f>MTMS!BI17</f>
        <v>1.0035117841677781</v>
      </c>
      <c r="BE11" s="20">
        <f>MTMS!BJ17</f>
        <v>1.0290785195296399</v>
      </c>
      <c r="BF11" s="20">
        <f>MTMS!BK17</f>
        <v>1.0371460065880038</v>
      </c>
      <c r="BG11" s="20">
        <f>MTMS!BL17</f>
        <v>1.0195145955110592</v>
      </c>
      <c r="BH11" s="20">
        <f>MTMS!BM17</f>
        <v>1.0117966348276028</v>
      </c>
      <c r="BI11" s="20">
        <f>MTMS!BN17</f>
        <v>1.0129553885381797</v>
      </c>
      <c r="BJ11" s="20">
        <f>MTMS!BO17</f>
        <v>1.0021241501206757</v>
      </c>
      <c r="BK11" s="20">
        <f>MTMS!BP17</f>
        <v>1.0021241501206757</v>
      </c>
      <c r="BL11" s="20">
        <f>MTMS!BQ17</f>
        <v>1.0178451208276207</v>
      </c>
      <c r="BM11" s="20">
        <f>MTMS!BR17</f>
        <v>1.0154045746114377</v>
      </c>
      <c r="BN11" s="20">
        <f>MTMS!BS17</f>
        <v>1.0232146114445124</v>
      </c>
      <c r="BO11" s="20">
        <f>MTMS!BT17</f>
        <v>1.0172797731666565</v>
      </c>
      <c r="BP11" s="20">
        <f>MTMS!BU17</f>
        <v>1.039819396380294</v>
      </c>
      <c r="BQ11" s="20">
        <f>MTMS!BV17</f>
        <v>1.0386689081764926</v>
      </c>
      <c r="BR11" s="20">
        <f>MTMS!BW17</f>
        <v>1.0363245375545307</v>
      </c>
      <c r="BS11" s="20">
        <f>MTMS!BX17</f>
        <v>1.026490906154917</v>
      </c>
    </row>
    <row r="12" spans="1:71">
      <c r="A12" s="8" t="s">
        <v>207</v>
      </c>
      <c r="B12" s="263" t="s">
        <v>214</v>
      </c>
      <c r="C12" s="19">
        <f t="shared" si="3"/>
        <v>0.12813724739706567</v>
      </c>
      <c r="D12" s="19">
        <f t="shared" si="0"/>
        <v>6.2970763167155441E-2</v>
      </c>
      <c r="E12" s="19">
        <f t="shared" si="0"/>
        <v>-5.5654629750552242E-3</v>
      </c>
      <c r="F12" s="19">
        <f t="shared" si="0"/>
        <v>-2.2071628264588306E-2</v>
      </c>
      <c r="G12" s="19">
        <f t="shared" si="0"/>
        <v>-5.8552926224051394E-2</v>
      </c>
      <c r="H12" s="19">
        <f t="shared" si="0"/>
        <v>8.3647037462930562E-2</v>
      </c>
      <c r="I12" s="19">
        <f t="shared" si="0"/>
        <v>0</v>
      </c>
      <c r="J12" s="19">
        <f t="shared" si="0"/>
        <v>0</v>
      </c>
      <c r="K12" s="19">
        <f t="shared" si="0"/>
        <v>0</v>
      </c>
      <c r="L12" s="19">
        <f t="shared" si="1"/>
        <v>0</v>
      </c>
      <c r="M12" s="19">
        <f t="shared" si="1"/>
        <v>-1.6729407492586112E-2</v>
      </c>
      <c r="N12" s="19">
        <f t="shared" si="1"/>
        <v>0</v>
      </c>
      <c r="O12" s="19">
        <f t="shared" si="1"/>
        <v>0</v>
      </c>
      <c r="P12" s="19">
        <f t="shared" si="1"/>
        <v>0</v>
      </c>
      <c r="Q12" s="19">
        <f t="shared" si="1"/>
        <v>6.691762997034445E-2</v>
      </c>
      <c r="R12" s="19">
        <f t="shared" si="1"/>
        <v>0</v>
      </c>
      <c r="S12" s="19">
        <f t="shared" si="1"/>
        <v>0</v>
      </c>
      <c r="T12" s="19">
        <f t="shared" si="1"/>
        <v>0</v>
      </c>
      <c r="U12" s="19">
        <f t="shared" si="1"/>
        <v>0</v>
      </c>
      <c r="V12" s="19">
        <f t="shared" si="1"/>
        <v>0</v>
      </c>
      <c r="W12" s="19">
        <f t="shared" si="1"/>
        <v>8.3647037462930562E-3</v>
      </c>
      <c r="X12" s="19">
        <f t="shared" si="1"/>
        <v>-8.3647037462930562E-2</v>
      </c>
      <c r="Y12" s="19">
        <f t="shared" si="1"/>
        <v>0</v>
      </c>
      <c r="Z12" s="19">
        <f t="shared" si="1"/>
        <v>0</v>
      </c>
      <c r="AA12" s="19">
        <f t="shared" si="2"/>
        <v>0</v>
      </c>
      <c r="AB12" s="19">
        <f t="shared" si="2"/>
        <v>8.3647037462930562E-2</v>
      </c>
      <c r="AC12" s="19">
        <f t="shared" si="2"/>
        <v>0</v>
      </c>
      <c r="AD12" s="19">
        <f t="shared" si="2"/>
        <v>0</v>
      </c>
      <c r="AE12" s="19">
        <f t="shared" si="2"/>
        <v>0</v>
      </c>
      <c r="AF12" s="19">
        <f t="shared" si="2"/>
        <v>0</v>
      </c>
      <c r="AG12" s="19">
        <f t="shared" si="2"/>
        <v>-4.1823518731465281E-2</v>
      </c>
      <c r="AH12" s="19">
        <f t="shared" si="2"/>
        <v>0</v>
      </c>
      <c r="AI12" s="19">
        <f t="shared" si="2"/>
        <v>0</v>
      </c>
      <c r="AJ12" s="65"/>
      <c r="AL12" s="20">
        <v>1.46</v>
      </c>
      <c r="AM12" s="20">
        <f>ISOPHORONENITRILE!AR16</f>
        <v>1.3318627526029343</v>
      </c>
      <c r="AN12" s="20">
        <f>ISOPHORONENITRILE!AS16</f>
        <v>1.2688919894357789</v>
      </c>
      <c r="AO12" s="20">
        <f>ISOPHORONENITRILE!AT16</f>
        <v>1.2744574524108341</v>
      </c>
      <c r="AP12" s="20">
        <f>ISOPHORONENITRILE!AU16</f>
        <v>1.2965290806754224</v>
      </c>
      <c r="AQ12" s="20">
        <f>ISOPHORONENITRILE!AV16</f>
        <v>1.3550820068994738</v>
      </c>
      <c r="AR12" s="20">
        <f>ISOPHORONENITRILE!AW16</f>
        <v>1.2714349694365432</v>
      </c>
      <c r="AS12" s="20">
        <f>ISOPHORONENITRILE!AX16</f>
        <v>1.2714349694365432</v>
      </c>
      <c r="AT12" s="20">
        <f>ISOPHORONENITRILE!AY16</f>
        <v>1.2714349694365432</v>
      </c>
      <c r="AU12" s="20">
        <f>ISOPHORONENITRILE!AZ16</f>
        <v>1.2714349694365432</v>
      </c>
      <c r="AV12" s="20">
        <f>ISOPHORONENITRILE!BA16</f>
        <v>1.2714349694365432</v>
      </c>
      <c r="AW12" s="20">
        <f>ISOPHORONENITRILE!BB16</f>
        <v>1.2881643769291293</v>
      </c>
      <c r="AX12" s="20">
        <f>ISOPHORONENITRILE!BC16</f>
        <v>1.2881643769291293</v>
      </c>
      <c r="AY12" s="20">
        <f>ISOPHORONENITRILE!BD16</f>
        <v>1.2881643769291293</v>
      </c>
      <c r="AZ12" s="20">
        <f>ISOPHORONENITRILE!BE16</f>
        <v>1.2881643769291293</v>
      </c>
      <c r="BA12" s="20">
        <f>ISOPHORONENITRILE!BF16</f>
        <v>1.2212467469587849</v>
      </c>
      <c r="BB12" s="20">
        <f>ISOPHORONENITRILE!BG16</f>
        <v>1.2212467469587849</v>
      </c>
      <c r="BC12" s="20">
        <f>ISOPHORONENITRILE!BH16</f>
        <v>1.2212467469587849</v>
      </c>
      <c r="BD12" s="20">
        <f>ISOPHORONENITRILE!BI16</f>
        <v>1.2212467469587849</v>
      </c>
      <c r="BE12" s="20">
        <f>ISOPHORONENITRILE!BJ16</f>
        <v>1.2212467469587849</v>
      </c>
      <c r="BF12" s="20">
        <f>ISOPHORONENITRILE!BK16</f>
        <v>1.2212467469587849</v>
      </c>
      <c r="BG12" s="20">
        <f>ISOPHORONENITRILE!BL16</f>
        <v>1.2128820432124918</v>
      </c>
      <c r="BH12" s="20">
        <f>ISOPHORONENITRILE!BM16</f>
        <v>1.2965290806754224</v>
      </c>
      <c r="BI12" s="20">
        <f>ISOPHORONENITRILE!BN16</f>
        <v>1.2965290806754224</v>
      </c>
      <c r="BJ12" s="20">
        <f>ISOPHORONENITRILE!BO16</f>
        <v>1.2965290806754224</v>
      </c>
      <c r="BK12" s="20">
        <f>ISOPHORONENITRILE!BP16</f>
        <v>1.2965290806754224</v>
      </c>
      <c r="BL12" s="20">
        <f>ISOPHORONENITRILE!BQ16</f>
        <v>1.2128820432124918</v>
      </c>
      <c r="BM12" s="20">
        <f>ISOPHORONENITRILE!BR16</f>
        <v>1.2128820432124918</v>
      </c>
      <c r="BN12" s="20">
        <f>ISOPHORONENITRILE!BS16</f>
        <v>1.2128820432124918</v>
      </c>
      <c r="BO12" s="20">
        <f>ISOPHORONENITRILE!BT16</f>
        <v>1.2128820432124918</v>
      </c>
      <c r="BP12" s="20">
        <f>ISOPHORONENITRILE!BU16</f>
        <v>1.2128820432124918</v>
      </c>
      <c r="BQ12" s="20">
        <f>ISOPHORONENITRILE!BV16</f>
        <v>1.2547055619439571</v>
      </c>
      <c r="BR12" s="20">
        <f>ISOPHORONENITRILE!BW16</f>
        <v>1.2547055619439571</v>
      </c>
      <c r="BS12" s="20">
        <f>ISOPHORONENITRILE!BX16</f>
        <v>1.2547055619439571</v>
      </c>
    </row>
    <row r="13" spans="1:71">
      <c r="A13" s="8" t="s">
        <v>203</v>
      </c>
      <c r="B13" s="263" t="s">
        <v>215</v>
      </c>
      <c r="C13" s="19">
        <f t="shared" si="3"/>
        <v>0.12814897828121374</v>
      </c>
      <c r="D13" s="19">
        <f t="shared" si="0"/>
        <v>6.8298259432240549E-2</v>
      </c>
      <c r="E13" s="19">
        <f t="shared" si="0"/>
        <v>-2.967222393465363E-3</v>
      </c>
      <c r="F13" s="19">
        <f t="shared" si="0"/>
        <v>-6.0894612651933855E-3</v>
      </c>
      <c r="G13" s="19">
        <f t="shared" si="0"/>
        <v>-5.2674410420470608E-2</v>
      </c>
      <c r="H13" s="19">
        <f t="shared" si="0"/>
        <v>8.9955185037003282E-2</v>
      </c>
      <c r="I13" s="19">
        <f t="shared" si="0"/>
        <v>-4.493856088938486E-5</v>
      </c>
      <c r="J13" s="19">
        <f t="shared" si="0"/>
        <v>-1.9549203599211751E-4</v>
      </c>
      <c r="K13" s="19">
        <f t="shared" si="0"/>
        <v>-1.9673295223654463E-4</v>
      </c>
      <c r="L13" s="19">
        <f t="shared" si="1"/>
        <v>2.6854759796677286E-3</v>
      </c>
      <c r="M13" s="19">
        <f t="shared" si="1"/>
        <v>-1.5821922118207432E-2</v>
      </c>
      <c r="N13" s="19">
        <f t="shared" si="1"/>
        <v>2.9810079382830423E-4</v>
      </c>
      <c r="O13" s="19">
        <f t="shared" si="1"/>
        <v>0</v>
      </c>
      <c r="P13" s="19">
        <f t="shared" si="1"/>
        <v>-4.2678573593946112E-4</v>
      </c>
      <c r="Q13" s="19">
        <f t="shared" si="1"/>
        <v>6.5210634730091144E-2</v>
      </c>
      <c r="R13" s="19">
        <f t="shared" si="1"/>
        <v>2.3303915610348724E-3</v>
      </c>
      <c r="S13" s="19">
        <f t="shared" si="1"/>
        <v>-2.4156653753610868E-3</v>
      </c>
      <c r="T13" s="19">
        <f t="shared" si="1"/>
        <v>2.3391152137275384E-4</v>
      </c>
      <c r="U13" s="19">
        <f t="shared" si="1"/>
        <v>-9.6300383137348788E-3</v>
      </c>
      <c r="V13" s="19">
        <f t="shared" si="1"/>
        <v>2.4653229714566294E-5</v>
      </c>
      <c r="W13" s="19">
        <f t="shared" si="1"/>
        <v>1.0412053006495725E-2</v>
      </c>
      <c r="X13" s="19">
        <f t="shared" si="1"/>
        <v>-8.4644589556578609E-2</v>
      </c>
      <c r="Y13" s="19">
        <f t="shared" si="1"/>
        <v>-3.344363943469375E-5</v>
      </c>
      <c r="Z13" s="19">
        <f t="shared" si="1"/>
        <v>-2.5103835370465788E-5</v>
      </c>
      <c r="AA13" s="19">
        <f t="shared" si="2"/>
        <v>0</v>
      </c>
      <c r="AB13" s="19">
        <f t="shared" si="2"/>
        <v>8.1273778735066138E-2</v>
      </c>
      <c r="AC13" s="19">
        <f t="shared" si="2"/>
        <v>5.8350995099765157E-5</v>
      </c>
      <c r="AD13" s="19">
        <f t="shared" si="2"/>
        <v>5.9577050536230303E-3</v>
      </c>
      <c r="AE13" s="19">
        <f t="shared" si="2"/>
        <v>-1.2914843655691399E-3</v>
      </c>
      <c r="AF13" s="19">
        <f t="shared" si="2"/>
        <v>6.2214566537655003E-5</v>
      </c>
      <c r="AG13" s="19">
        <f t="shared" si="2"/>
        <v>-3.8916475340691647E-2</v>
      </c>
      <c r="AH13" s="19">
        <f t="shared" si="2"/>
        <v>-2.995498220833781E-3</v>
      </c>
      <c r="AI13" s="19">
        <f t="shared" si="2"/>
        <v>7.9360767531788667E-5</v>
      </c>
      <c r="AJ13" s="65"/>
      <c r="AL13" s="20">
        <v>5.92</v>
      </c>
      <c r="AM13" s="20">
        <f>IPDA!AR16</f>
        <v>5.7918510217187862</v>
      </c>
      <c r="AN13" s="20">
        <f>IPDA!AS16</f>
        <v>5.7235527622865456</v>
      </c>
      <c r="AO13" s="20">
        <f>IPDA!AT16</f>
        <v>5.726519984680011</v>
      </c>
      <c r="AP13" s="20">
        <f>IPDA!AU16</f>
        <v>5.7326094459452044</v>
      </c>
      <c r="AQ13" s="20">
        <f>IPDA!AV16</f>
        <v>5.785283856365675</v>
      </c>
      <c r="AR13" s="20">
        <f>IPDA!AW16</f>
        <v>5.6953286713286717</v>
      </c>
      <c r="AS13" s="20">
        <f>IPDA!AX16</f>
        <v>5.6953736098895611</v>
      </c>
      <c r="AT13" s="20">
        <f>IPDA!AY16</f>
        <v>5.6955691019255532</v>
      </c>
      <c r="AU13" s="20">
        <f>IPDA!AZ16</f>
        <v>5.6957658348777898</v>
      </c>
      <c r="AV13" s="20">
        <f>IPDA!BA16</f>
        <v>5.693080358898122</v>
      </c>
      <c r="AW13" s="20">
        <f>IPDA!BB16</f>
        <v>5.7089022810163295</v>
      </c>
      <c r="AX13" s="20">
        <f>IPDA!BC16</f>
        <v>5.7086041802225012</v>
      </c>
      <c r="AY13" s="20">
        <f>IPDA!BD16</f>
        <v>5.7086041802225012</v>
      </c>
      <c r="AZ13" s="20">
        <f>IPDA!BE16</f>
        <v>5.7090309659584406</v>
      </c>
      <c r="BA13" s="20">
        <f>IPDA!BF16</f>
        <v>5.6438203312283495</v>
      </c>
      <c r="BB13" s="20">
        <f>IPDA!BG16</f>
        <v>5.6414899396673146</v>
      </c>
      <c r="BC13" s="20">
        <f>IPDA!BH16</f>
        <v>5.6439056050426757</v>
      </c>
      <c r="BD13" s="20">
        <f>IPDA!BI16</f>
        <v>5.6436716935213029</v>
      </c>
      <c r="BE13" s="20">
        <f>IPDA!BJ16</f>
        <v>5.6533017318350378</v>
      </c>
      <c r="BF13" s="20">
        <f>IPDA!BK16</f>
        <v>5.6532770786053232</v>
      </c>
      <c r="BG13" s="20">
        <f>IPDA!BL16</f>
        <v>5.6428650255988275</v>
      </c>
      <c r="BH13" s="20">
        <f>IPDA!BM16</f>
        <v>5.7275096151554061</v>
      </c>
      <c r="BI13" s="20">
        <f>IPDA!BN16</f>
        <v>5.7275430587948408</v>
      </c>
      <c r="BJ13" s="20">
        <f>IPDA!BO16</f>
        <v>5.7275681626302113</v>
      </c>
      <c r="BK13" s="20">
        <f>IPDA!BP16</f>
        <v>5.7275681626302113</v>
      </c>
      <c r="BL13" s="20">
        <f>IPDA!BQ16</f>
        <v>5.6462943838951452</v>
      </c>
      <c r="BM13" s="20">
        <f>IPDA!BR16</f>
        <v>5.6462360329000454</v>
      </c>
      <c r="BN13" s="20">
        <f>IPDA!BS16</f>
        <v>5.6402783278464224</v>
      </c>
      <c r="BO13" s="20">
        <f>IPDA!BT16</f>
        <v>5.6415698122119915</v>
      </c>
      <c r="BP13" s="20">
        <f>IPDA!BU16</f>
        <v>5.6415075976454538</v>
      </c>
      <c r="BQ13" s="20">
        <f>IPDA!BV16</f>
        <v>5.6804240729861455</v>
      </c>
      <c r="BR13" s="20">
        <f>IPDA!BW16</f>
        <v>5.6834195712069793</v>
      </c>
      <c r="BS13" s="20">
        <f>IPDA!BX16</f>
        <v>5.6833402104394475</v>
      </c>
    </row>
    <row r="14" spans="1:71">
      <c r="A14" s="8" t="s">
        <v>203</v>
      </c>
      <c r="B14" s="263" t="s">
        <v>216</v>
      </c>
      <c r="C14" s="19">
        <f t="shared" si="3"/>
        <v>5.2641430558603486E-2</v>
      </c>
      <c r="D14" s="19">
        <f t="shared" si="0"/>
        <v>1.1215633014696191E-2</v>
      </c>
      <c r="E14" s="19">
        <f t="shared" si="0"/>
        <v>-1.4714310546950493E-3</v>
      </c>
      <c r="F14" s="19">
        <f t="shared" si="0"/>
        <v>7.7434063498335259E-2</v>
      </c>
      <c r="G14" s="19">
        <f t="shared" si="0"/>
        <v>3.33883704587985E-2</v>
      </c>
      <c r="H14" s="19">
        <f t="shared" si="0"/>
        <v>4.0342657139089244E-2</v>
      </c>
      <c r="I14" s="19">
        <f t="shared" si="0"/>
        <v>-1.6975438456656722E-4</v>
      </c>
      <c r="J14" s="19">
        <f t="shared" si="0"/>
        <v>6.3684250442629375E-3</v>
      </c>
      <c r="K14" s="19">
        <f t="shared" si="0"/>
        <v>-7.4315422145521115E-4</v>
      </c>
      <c r="L14" s="19">
        <f t="shared" si="1"/>
        <v>1.0144324009879413E-2</v>
      </c>
      <c r="M14" s="19">
        <f t="shared" si="1"/>
        <v>1.5466287352070562E-3</v>
      </c>
      <c r="N14" s="19">
        <f t="shared" si="1"/>
        <v>-1.3087714544531726E-2</v>
      </c>
      <c r="O14" s="19">
        <f t="shared" si="1"/>
        <v>0</v>
      </c>
      <c r="P14" s="19">
        <f t="shared" si="1"/>
        <v>-1.6121733431766483E-3</v>
      </c>
      <c r="Q14" s="19">
        <f t="shared" si="1"/>
        <v>1.0773705062769867E-3</v>
      </c>
      <c r="R14" s="19">
        <f t="shared" si="1"/>
        <v>8.8030007507090557E-3</v>
      </c>
      <c r="S14" s="19">
        <f t="shared" si="1"/>
        <v>-2.3338904097420621E-2</v>
      </c>
      <c r="T14" s="19">
        <f t="shared" si="1"/>
        <v>8.8359541489607674E-4</v>
      </c>
      <c r="U14" s="19">
        <f t="shared" si="1"/>
        <v>-3.6377249181043292E-2</v>
      </c>
      <c r="V14" s="19">
        <f t="shared" si="1"/>
        <v>9.3127010632909624E-5</v>
      </c>
      <c r="W14" s="19">
        <f t="shared" si="1"/>
        <v>8.6745031831558794E-3</v>
      </c>
      <c r="X14" s="19">
        <f t="shared" si="1"/>
        <v>-1.3175112603096062E-2</v>
      </c>
      <c r="Y14" s="19">
        <f t="shared" si="1"/>
        <v>-1.2633258203104125E-4</v>
      </c>
      <c r="Z14" s="19">
        <f t="shared" si="1"/>
        <v>1.0565508436358784E-2</v>
      </c>
      <c r="AA14" s="19">
        <f t="shared" si="2"/>
        <v>0</v>
      </c>
      <c r="AB14" s="19">
        <f t="shared" si="2"/>
        <v>4.419519238271219E-4</v>
      </c>
      <c r="AC14" s="19">
        <f t="shared" si="2"/>
        <v>2.2041954762097582E-4</v>
      </c>
      <c r="AD14" s="19">
        <f t="shared" si="2"/>
        <v>8.2913109294415754E-3</v>
      </c>
      <c r="AE14" s="19">
        <f t="shared" si="2"/>
        <v>-4.8785526130999957E-3</v>
      </c>
      <c r="AF14" s="19">
        <f t="shared" si="2"/>
        <v>2.3501410024673319E-4</v>
      </c>
      <c r="AG14" s="19">
        <f t="shared" si="2"/>
        <v>4.5011256899521457E-3</v>
      </c>
      <c r="AH14" s="19">
        <f t="shared" si="2"/>
        <v>-1.1315425925689737E-2</v>
      </c>
      <c r="AI14" s="19">
        <f t="shared" si="2"/>
        <v>2.9978348181280978E-4</v>
      </c>
      <c r="AJ14" s="65"/>
      <c r="AL14" s="20">
        <v>0.66</v>
      </c>
      <c r="AM14" s="20">
        <f>DIMETHYLAMINE!AR11</f>
        <v>0.60735856944139655</v>
      </c>
      <c r="AN14" s="20">
        <f>DIMETHYLAMINE!AS11</f>
        <v>0.59614293642670035</v>
      </c>
      <c r="AO14" s="20">
        <f>DIMETHYLAMINE!AT11</f>
        <v>0.5976143674813954</v>
      </c>
      <c r="AP14" s="20">
        <f>DIMETHYLAMINE!AU11</f>
        <v>0.52018030398306014</v>
      </c>
      <c r="AQ14" s="20">
        <f>DIMETHYLAMINE!AV11</f>
        <v>0.48679193352426164</v>
      </c>
      <c r="AR14" s="20">
        <f>DIMETHYLAMINE!AW11</f>
        <v>0.4464492763851724</v>
      </c>
      <c r="AS14" s="20">
        <f>DIMETHYLAMINE!AX11</f>
        <v>0.44661903076973897</v>
      </c>
      <c r="AT14" s="20">
        <f>DIMETHYLAMINE!AY11</f>
        <v>0.44025060572547603</v>
      </c>
      <c r="AU14" s="20">
        <f>DIMETHYLAMINE!AZ11</f>
        <v>0.44099375994693124</v>
      </c>
      <c r="AV14" s="20">
        <f>DIMETHYLAMINE!BA11</f>
        <v>0.43084943593705183</v>
      </c>
      <c r="AW14" s="20">
        <f>DIMETHYLAMINE!BB11</f>
        <v>0.42930280720184477</v>
      </c>
      <c r="AX14" s="20">
        <f>DIMETHYLAMINE!BC11</f>
        <v>0.4423905217463765</v>
      </c>
      <c r="AY14" s="20">
        <f>DIMETHYLAMINE!BD11</f>
        <v>0.4423905217463765</v>
      </c>
      <c r="AZ14" s="20">
        <f>DIMETHYLAMINE!BE11</f>
        <v>0.44400269508955315</v>
      </c>
      <c r="BA14" s="20">
        <f>DIMETHYLAMINE!BF11</f>
        <v>0.44292532458327616</v>
      </c>
      <c r="BB14" s="20">
        <f>DIMETHYLAMINE!BG11</f>
        <v>0.4341223238325671</v>
      </c>
      <c r="BC14" s="20">
        <f>DIMETHYLAMINE!BH11</f>
        <v>0.45746122792998772</v>
      </c>
      <c r="BD14" s="20">
        <f>DIMETHYLAMINE!BI11</f>
        <v>0.45657763251509165</v>
      </c>
      <c r="BE14" s="20">
        <f>DIMETHYLAMINE!BJ11</f>
        <v>0.49295488169613494</v>
      </c>
      <c r="BF14" s="20">
        <f>DIMETHYLAMINE!BK11</f>
        <v>0.49286175468550203</v>
      </c>
      <c r="BG14" s="20">
        <f>DIMETHYLAMINE!BL11</f>
        <v>0.48418725150234615</v>
      </c>
      <c r="BH14" s="20">
        <f>DIMETHYLAMINE!BM11</f>
        <v>0.49736236410544221</v>
      </c>
      <c r="BI14" s="20">
        <f>DIMETHYLAMINE!BN11</f>
        <v>0.49748869668747325</v>
      </c>
      <c r="BJ14" s="20">
        <f>DIMETHYLAMINE!BO11</f>
        <v>0.48692318825111447</v>
      </c>
      <c r="BK14" s="20">
        <f>DIMETHYLAMINE!BP11</f>
        <v>0.48692318825111447</v>
      </c>
      <c r="BL14" s="20">
        <f>DIMETHYLAMINE!BQ11</f>
        <v>0.48648123632728735</v>
      </c>
      <c r="BM14" s="20">
        <f>DIMETHYLAMINE!BR11</f>
        <v>0.48626081677966637</v>
      </c>
      <c r="BN14" s="20">
        <f>DIMETHYLAMINE!BS11</f>
        <v>0.4779695058502248</v>
      </c>
      <c r="BO14" s="20">
        <f>DIMETHYLAMINE!BT11</f>
        <v>0.48284805846332479</v>
      </c>
      <c r="BP14" s="20">
        <f>DIMETHYLAMINE!BU11</f>
        <v>0.48261304436307806</v>
      </c>
      <c r="BQ14" s="20">
        <f>DIMETHYLAMINE!BV11</f>
        <v>0.47811191867312591</v>
      </c>
      <c r="BR14" s="20">
        <f>DIMETHYLAMINE!BW11</f>
        <v>0.48942734459881565</v>
      </c>
      <c r="BS14" s="20">
        <f>DIMETHYLAMINE!BX11</f>
        <v>0.48912756111700284</v>
      </c>
    </row>
    <row r="15" spans="1:71">
      <c r="A15" s="8" t="s">
        <v>212</v>
      </c>
      <c r="B15" s="263" t="s">
        <v>217</v>
      </c>
      <c r="C15" s="19">
        <f t="shared" si="3"/>
        <v>1.8673223194489719E-3</v>
      </c>
      <c r="D15" s="19">
        <f t="shared" si="0"/>
        <v>0.20614795034062916</v>
      </c>
      <c r="E15" s="19">
        <f t="shared" si="0"/>
        <v>6.6365142782801589E-2</v>
      </c>
      <c r="F15" s="19">
        <f t="shared" si="0"/>
        <v>-9.436916463982481E-3</v>
      </c>
      <c r="G15" s="19">
        <f t="shared" si="0"/>
        <v>-7.8762151123213275E-2</v>
      </c>
      <c r="H15" s="19">
        <f t="shared" si="0"/>
        <v>4.2920422055820362E-2</v>
      </c>
      <c r="I15" s="19">
        <f t="shared" si="0"/>
        <v>0</v>
      </c>
      <c r="J15" s="19">
        <f t="shared" si="0"/>
        <v>0</v>
      </c>
      <c r="K15" s="19">
        <f t="shared" si="0"/>
        <v>0</v>
      </c>
      <c r="L15" s="19">
        <f t="shared" si="1"/>
        <v>-6.5991831177671711E-2</v>
      </c>
      <c r="M15" s="19">
        <f t="shared" si="1"/>
        <v>2.32811436351259E-2</v>
      </c>
      <c r="N15" s="19">
        <f t="shared" si="1"/>
        <v>-6.4937329339686878E-2</v>
      </c>
      <c r="O15" s="19">
        <f t="shared" si="1"/>
        <v>3.3867213614703795E-2</v>
      </c>
      <c r="P15" s="19">
        <f t="shared" si="1"/>
        <v>0</v>
      </c>
      <c r="Q15" s="19">
        <f t="shared" si="1"/>
        <v>0</v>
      </c>
      <c r="R15" s="19">
        <f t="shared" si="1"/>
        <v>-5.3388359428182541E-2</v>
      </c>
      <c r="S15" s="19">
        <f t="shared" si="1"/>
        <v>0</v>
      </c>
      <c r="T15" s="19">
        <f t="shared" si="1"/>
        <v>0</v>
      </c>
      <c r="U15" s="19">
        <f t="shared" si="1"/>
        <v>-1.0677671885636508E-2</v>
      </c>
      <c r="V15" s="19">
        <f t="shared" si="1"/>
        <v>0</v>
      </c>
      <c r="W15" s="19">
        <f t="shared" si="1"/>
        <v>6.4023144996596448E-2</v>
      </c>
      <c r="X15" s="19">
        <f t="shared" si="1"/>
        <v>0.19985840707964608</v>
      </c>
      <c r="Y15" s="19">
        <f t="shared" si="1"/>
        <v>-3.6847515316541957E-2</v>
      </c>
      <c r="Z15" s="19">
        <f t="shared" si="1"/>
        <v>-5.8202859087814751E-2</v>
      </c>
      <c r="AA15" s="19">
        <f t="shared" si="2"/>
        <v>-0.21066386657590241</v>
      </c>
      <c r="AB15" s="19">
        <f t="shared" si="2"/>
        <v>0.21066386657590241</v>
      </c>
      <c r="AC15" s="19">
        <f t="shared" si="2"/>
        <v>0</v>
      </c>
      <c r="AD15" s="19">
        <f t="shared" si="2"/>
        <v>0</v>
      </c>
      <c r="AE15" s="19">
        <f t="shared" si="2"/>
        <v>0.11912756977535754</v>
      </c>
      <c r="AF15" s="19">
        <f t="shared" si="2"/>
        <v>0</v>
      </c>
      <c r="AG15" s="19">
        <f t="shared" si="2"/>
        <v>0</v>
      </c>
      <c r="AH15" s="19">
        <f t="shared" si="2"/>
        <v>0</v>
      </c>
      <c r="AI15" s="19">
        <f t="shared" si="2"/>
        <v>0</v>
      </c>
      <c r="AJ15" s="65"/>
      <c r="AL15" s="20">
        <v>1.63</v>
      </c>
      <c r="AM15" s="20">
        <f>'Nonyl phenol'!AR18</f>
        <v>1.6281326776805509</v>
      </c>
      <c r="AN15" s="20">
        <f>'Nonyl phenol'!AS18</f>
        <v>1.4219847273399218</v>
      </c>
      <c r="AO15" s="20">
        <f>'Nonyl phenol'!AT18</f>
        <v>1.3556195845571202</v>
      </c>
      <c r="AP15" s="20">
        <f>'Nonyl phenol'!AU18</f>
        <v>1.3650565010211027</v>
      </c>
      <c r="AQ15" s="20">
        <f>'Nonyl phenol'!AV18</f>
        <v>1.4438186521443159</v>
      </c>
      <c r="AR15" s="20">
        <f>'Nonyl phenol'!AW18</f>
        <v>1.4008982300884956</v>
      </c>
      <c r="AS15" s="20">
        <f>'Nonyl phenol'!AX18</f>
        <v>1.4008982300884956</v>
      </c>
      <c r="AT15" s="20">
        <f>'Nonyl phenol'!AY18</f>
        <v>1.4008982300884956</v>
      </c>
      <c r="AU15" s="20">
        <f>'Nonyl phenol'!AZ18</f>
        <v>1.4008982300884956</v>
      </c>
      <c r="AV15" s="20">
        <f>'Nonyl phenol'!BA18</f>
        <v>1.4668900612661673</v>
      </c>
      <c r="AW15" s="20">
        <f>'Nonyl phenol'!BB18</f>
        <v>1.4436089176310414</v>
      </c>
      <c r="AX15" s="20">
        <f>'Nonyl phenol'!BC18</f>
        <v>1.5085462469707283</v>
      </c>
      <c r="AY15" s="20">
        <f>'Nonyl phenol'!BD18</f>
        <v>1.4746790333560245</v>
      </c>
      <c r="AZ15" s="20">
        <f>'Nonyl phenol'!BE18</f>
        <v>1.4746790333560245</v>
      </c>
      <c r="BA15" s="20">
        <f>'Nonyl phenol'!BF18</f>
        <v>1.4746790333560245</v>
      </c>
      <c r="BB15" s="20">
        <f>'Nonyl phenol'!BG18</f>
        <v>1.528067392784207</v>
      </c>
      <c r="BC15" s="20">
        <f>'Nonyl phenol'!BH18</f>
        <v>1.528067392784207</v>
      </c>
      <c r="BD15" s="20">
        <f>'Nonyl phenol'!BI18</f>
        <v>1.528067392784207</v>
      </c>
      <c r="BE15" s="20">
        <f>'Nonyl phenol'!BJ18</f>
        <v>1.5387450646698435</v>
      </c>
      <c r="BF15" s="20">
        <f>'Nonyl phenol'!BK18</f>
        <v>1.5387450646698435</v>
      </c>
      <c r="BG15" s="20">
        <f>'Nonyl phenol'!BL18</f>
        <v>1.4747219196732471</v>
      </c>
      <c r="BH15" s="20">
        <f>'Nonyl phenol'!BM18</f>
        <v>1.274863512593601</v>
      </c>
      <c r="BI15" s="20">
        <f>'Nonyl phenol'!BN18</f>
        <v>1.3117110279101429</v>
      </c>
      <c r="BJ15" s="20">
        <f>'Nonyl phenol'!BO18</f>
        <v>1.3699138869979577</v>
      </c>
      <c r="BK15" s="20">
        <f>'Nonyl phenol'!BP18</f>
        <v>1.5805777535738601</v>
      </c>
      <c r="BL15" s="20">
        <f>'Nonyl phenol'!BQ18</f>
        <v>1.3699138869979577</v>
      </c>
      <c r="BM15" s="20">
        <f>'Nonyl phenol'!BR18</f>
        <v>1.3699138869979577</v>
      </c>
      <c r="BN15" s="20">
        <f>'Nonyl phenol'!BS18</f>
        <v>1.3699138869979577</v>
      </c>
      <c r="BO15" s="20">
        <f>'Nonyl phenol'!BT18</f>
        <v>1.2507863172226001</v>
      </c>
      <c r="BP15" s="20">
        <f>'Nonyl phenol'!BU18</f>
        <v>1.2507863172226001</v>
      </c>
      <c r="BQ15" s="20">
        <f>'Nonyl phenol'!BV18</f>
        <v>1.2507863172226001</v>
      </c>
      <c r="BR15" s="20">
        <f>'Nonyl phenol'!BW18</f>
        <v>1.2507863172226001</v>
      </c>
      <c r="BS15" s="20">
        <f>'Nonyl phenol'!BX18</f>
        <v>1.2507863172226001</v>
      </c>
    </row>
    <row r="16" spans="1:71">
      <c r="A16" s="8" t="s">
        <v>203</v>
      </c>
      <c r="B16" s="263" t="s">
        <v>132</v>
      </c>
      <c r="C16" s="19">
        <f t="shared" si="3"/>
        <v>0.14485696417917426</v>
      </c>
      <c r="D16" s="19">
        <f t="shared" si="0"/>
        <v>-7.591232904202827E-2</v>
      </c>
      <c r="E16" s="19">
        <f t="shared" si="0"/>
        <v>-4.1838094407869453E-2</v>
      </c>
      <c r="F16" s="19">
        <f t="shared" si="0"/>
        <v>4.2122244021456035E-2</v>
      </c>
      <c r="G16" s="19">
        <f t="shared" si="0"/>
        <v>0.10235341504705453</v>
      </c>
      <c r="H16" s="19">
        <f t="shared" si="0"/>
        <v>6.8863292960055666E-2</v>
      </c>
      <c r="I16" s="19">
        <f t="shared" si="0"/>
        <v>-5.112413339425359E-5</v>
      </c>
      <c r="J16" s="19">
        <f t="shared" si="0"/>
        <v>-2.2240055595612596E-4</v>
      </c>
      <c r="K16" s="19">
        <f t="shared" si="0"/>
        <v>-2.2381227823498051E-4</v>
      </c>
      <c r="L16" s="19">
        <f t="shared" si="1"/>
        <v>-5.5062405099173262E-3</v>
      </c>
      <c r="M16" s="19">
        <f t="shared" si="1"/>
        <v>3.0708397097467532E-4</v>
      </c>
      <c r="N16" s="19">
        <f t="shared" si="1"/>
        <v>3.3913290606302215E-4</v>
      </c>
      <c r="O16" s="19">
        <f t="shared" si="1"/>
        <v>0</v>
      </c>
      <c r="P16" s="19">
        <f t="shared" si="1"/>
        <v>-4.8553069932066872E-4</v>
      </c>
      <c r="Q16" s="19">
        <f t="shared" si="1"/>
        <v>-3.6733609828871527E-2</v>
      </c>
      <c r="R16" s="19">
        <f t="shared" si="1"/>
        <v>2.6511585300064144E-3</v>
      </c>
      <c r="S16" s="19">
        <f t="shared" si="1"/>
        <v>-2.1202263141269273E-2</v>
      </c>
      <c r="T16" s="19">
        <f t="shared" si="1"/>
        <v>2.6610829507056621E-4</v>
      </c>
      <c r="U16" s="19">
        <f t="shared" si="1"/>
        <v>-1.0955565857099669E-2</v>
      </c>
      <c r="V16" s="19">
        <f t="shared" si="1"/>
        <v>2.8046625872857334E-5</v>
      </c>
      <c r="W16" s="19">
        <f t="shared" si="1"/>
        <v>2.6124595190724076E-3</v>
      </c>
      <c r="X16" s="19">
        <f t="shared" si="1"/>
        <v>-3.5841535910247857E-2</v>
      </c>
      <c r="Y16" s="19">
        <f t="shared" si="1"/>
        <v>2.3935521862705644E-2</v>
      </c>
      <c r="Z16" s="19">
        <f t="shared" si="1"/>
        <v>-2.8559255187743382E-5</v>
      </c>
      <c r="AA16" s="19">
        <f t="shared" si="2"/>
        <v>0</v>
      </c>
      <c r="AB16" s="19">
        <f t="shared" si="2"/>
        <v>1.3310059216031789E-4</v>
      </c>
      <c r="AC16" s="19">
        <f t="shared" si="2"/>
        <v>3.2424969592887765E-2</v>
      </c>
      <c r="AD16" s="19">
        <f t="shared" si="2"/>
        <v>6.7777539346914883E-3</v>
      </c>
      <c r="AE16" s="19">
        <f t="shared" si="2"/>
        <v>-2.2109973432467123E-2</v>
      </c>
      <c r="AF16" s="19">
        <f t="shared" si="2"/>
        <v>-7.9111815439070199E-5</v>
      </c>
      <c r="AG16" s="19">
        <f t="shared" si="2"/>
        <v>1.8906702837856448E-3</v>
      </c>
      <c r="AH16" s="19">
        <f t="shared" si="2"/>
        <v>-3.4078138595105001E-3</v>
      </c>
      <c r="AI16" s="19">
        <f t="shared" si="2"/>
        <v>9.0284387956995893E-5</v>
      </c>
      <c r="AJ16" s="65"/>
      <c r="AL16" s="20">
        <v>1.06</v>
      </c>
      <c r="AM16" s="20">
        <f>TEA!AR16</f>
        <v>0.91514303582082579</v>
      </c>
      <c r="AN16" s="20">
        <f>TEA!AS16</f>
        <v>0.99105536486285406</v>
      </c>
      <c r="AO16" s="20">
        <f>TEA!AT16</f>
        <v>1.0328934592707235</v>
      </c>
      <c r="AP16" s="20">
        <f>TEA!AU16</f>
        <v>0.99077121524926748</v>
      </c>
      <c r="AQ16" s="20">
        <f>TEA!AV16</f>
        <v>0.88841780020221295</v>
      </c>
      <c r="AR16" s="20">
        <f>TEA!AW16</f>
        <v>0.81955450724215728</v>
      </c>
      <c r="AS16" s="20">
        <f>TEA!AX16</f>
        <v>0.81960563137555154</v>
      </c>
      <c r="AT16" s="20">
        <f>TEA!AY16</f>
        <v>0.81982803193150766</v>
      </c>
      <c r="AU16" s="20">
        <f>TEA!AZ16</f>
        <v>0.82005184420974264</v>
      </c>
      <c r="AV16" s="20">
        <f>TEA!BA16</f>
        <v>0.82555808471965997</v>
      </c>
      <c r="AW16" s="20">
        <f>TEA!BB16</f>
        <v>0.82525100074868529</v>
      </c>
      <c r="AX16" s="20">
        <f>TEA!BC16</f>
        <v>0.82491186784262227</v>
      </c>
      <c r="AY16" s="20">
        <f>TEA!BD16</f>
        <v>0.82491186784262227</v>
      </c>
      <c r="AZ16" s="20">
        <f>TEA!BE16</f>
        <v>0.82539739854194294</v>
      </c>
      <c r="BA16" s="20">
        <f>TEA!BF16</f>
        <v>0.86213100837081447</v>
      </c>
      <c r="BB16" s="20">
        <f>TEA!BG16</f>
        <v>0.85947984984080805</v>
      </c>
      <c r="BC16" s="20">
        <f>TEA!BH16</f>
        <v>0.88068211298207733</v>
      </c>
      <c r="BD16" s="20">
        <f>TEA!BI16</f>
        <v>0.88041600468700676</v>
      </c>
      <c r="BE16" s="20">
        <f>TEA!BJ16</f>
        <v>0.89137157054410643</v>
      </c>
      <c r="BF16" s="20">
        <f>TEA!BK16</f>
        <v>0.89134352391823357</v>
      </c>
      <c r="BG16" s="20">
        <f>TEA!BL16</f>
        <v>0.88873106439916116</v>
      </c>
      <c r="BH16" s="20">
        <f>TEA!BM16</f>
        <v>0.92457260030940902</v>
      </c>
      <c r="BI16" s="20">
        <f>TEA!BN16</f>
        <v>0.90063707844670338</v>
      </c>
      <c r="BJ16" s="20">
        <f>TEA!BO16</f>
        <v>0.90066563770189112</v>
      </c>
      <c r="BK16" s="20">
        <f>TEA!BP16</f>
        <v>0.90066563770189112</v>
      </c>
      <c r="BL16" s="20">
        <f>TEA!BQ16</f>
        <v>0.9005325371097308</v>
      </c>
      <c r="BM16" s="20">
        <f>TEA!BR16</f>
        <v>0.86810756751684304</v>
      </c>
      <c r="BN16" s="20">
        <f>TEA!BS16</f>
        <v>0.86132981358215155</v>
      </c>
      <c r="BO16" s="20">
        <f>TEA!BT16</f>
        <v>0.88343978701461867</v>
      </c>
      <c r="BP16" s="20">
        <f>TEA!BU16</f>
        <v>0.88351889883005774</v>
      </c>
      <c r="BQ16" s="20">
        <f>TEA!BV16</f>
        <v>0.8816282285462721</v>
      </c>
      <c r="BR16" s="20">
        <f>TEA!BW16</f>
        <v>0.8850360424057826</v>
      </c>
      <c r="BS16" s="20">
        <f>TEA!BX16</f>
        <v>0.8849457580178256</v>
      </c>
    </row>
    <row r="17" spans="1:71">
      <c r="A17" s="8" t="s">
        <v>212</v>
      </c>
      <c r="B17" s="263" t="s">
        <v>218</v>
      </c>
      <c r="C17" s="19">
        <f t="shared" si="3"/>
        <v>0.20155922688569072</v>
      </c>
      <c r="D17" s="19">
        <f t="shared" si="0"/>
        <v>-4.9629831964433713E-2</v>
      </c>
      <c r="E17" s="19">
        <f t="shared" si="0"/>
        <v>-9.0928528370130435E-2</v>
      </c>
      <c r="F17" s="19">
        <f t="shared" si="0"/>
        <v>-9.1396183407429721E-2</v>
      </c>
      <c r="G17" s="19">
        <f t="shared" si="0"/>
        <v>0.10300090422726238</v>
      </c>
      <c r="H17" s="19">
        <f t="shared" si="0"/>
        <v>0.17555572300504863</v>
      </c>
      <c r="I17" s="19">
        <f t="shared" si="0"/>
        <v>-3.1268131640419083E-2</v>
      </c>
      <c r="J17" s="19">
        <f t="shared" si="0"/>
        <v>-4.9661150252430009E-2</v>
      </c>
      <c r="K17" s="19">
        <f t="shared" si="0"/>
        <v>-1.6336278351292144E-2</v>
      </c>
      <c r="L17" s="19">
        <f t="shared" si="1"/>
        <v>-2.7957388290257068E-2</v>
      </c>
      <c r="M17" s="19">
        <f t="shared" si="1"/>
        <v>-3.8659577273754797E-2</v>
      </c>
      <c r="N17" s="19">
        <f t="shared" si="1"/>
        <v>7.3572074448045033E-3</v>
      </c>
      <c r="O17" s="19">
        <f t="shared" si="1"/>
        <v>-3.3342720970537254E-2</v>
      </c>
      <c r="P17" s="19">
        <f t="shared" si="1"/>
        <v>0</v>
      </c>
      <c r="Q17" s="19">
        <f t="shared" si="1"/>
        <v>1.6019045286715272E-2</v>
      </c>
      <c r="R17" s="19">
        <f t="shared" si="1"/>
        <v>-5.3105926456182617E-2</v>
      </c>
      <c r="S17" s="19">
        <f t="shared" si="1"/>
        <v>-6.2820718107150952E-2</v>
      </c>
      <c r="T17" s="19">
        <f t="shared" si="1"/>
        <v>3.5424515861653294E-2</v>
      </c>
      <c r="U17" s="19">
        <f t="shared" si="1"/>
        <v>4.5614686157787743E-2</v>
      </c>
      <c r="V17" s="19">
        <f t="shared" si="1"/>
        <v>-7.4507384522644049E-3</v>
      </c>
      <c r="W17" s="19">
        <f t="shared" si="1"/>
        <v>1.3978694145128534E-2</v>
      </c>
      <c r="X17" s="19">
        <f t="shared" si="1"/>
        <v>2.6420390324766174E-3</v>
      </c>
      <c r="Y17" s="19">
        <f t="shared" si="1"/>
        <v>-1.6909049807851684E-2</v>
      </c>
      <c r="Z17" s="19">
        <f t="shared" si="1"/>
        <v>3.0278332454223733E-2</v>
      </c>
      <c r="AA17" s="19">
        <f t="shared" si="2"/>
        <v>-1.7657297867530897E-2</v>
      </c>
      <c r="AB17" s="19">
        <f t="shared" si="2"/>
        <v>1.5450135634089479E-2</v>
      </c>
      <c r="AC17" s="19">
        <f t="shared" si="2"/>
        <v>1.4714414889609007E-2</v>
      </c>
      <c r="AD17" s="19">
        <f t="shared" si="2"/>
        <v>2.1038919448421289E-2</v>
      </c>
      <c r="AE17" s="19">
        <f t="shared" si="2"/>
        <v>-2.5010643508401875E-2</v>
      </c>
      <c r="AF17" s="19">
        <f t="shared" si="2"/>
        <v>6.14996985909122E-3</v>
      </c>
      <c r="AG17" s="19">
        <f t="shared" si="2"/>
        <v>-1.2507252656167589E-2</v>
      </c>
      <c r="AH17" s="19">
        <f t="shared" si="2"/>
        <v>-4.086287770326269E-2</v>
      </c>
      <c r="AI17" s="19">
        <f t="shared" si="2"/>
        <v>-6.2271117474193005E-3</v>
      </c>
      <c r="AJ17" s="65"/>
      <c r="AL17" s="20">
        <v>1.48</v>
      </c>
      <c r="AM17" s="20">
        <f>'Ethyl benzene'!AR16</f>
        <v>1.2784407731143093</v>
      </c>
      <c r="AN17" s="20">
        <f>'Ethyl benzene'!AS16</f>
        <v>1.328070605078743</v>
      </c>
      <c r="AO17" s="20">
        <f>'Ethyl benzene'!AT16</f>
        <v>1.4189991334488734</v>
      </c>
      <c r="AP17" s="20">
        <f>'Ethyl benzene'!AU16</f>
        <v>1.5103953168563031</v>
      </c>
      <c r="AQ17" s="20">
        <f>'Ethyl benzene'!AV16</f>
        <v>1.4073944126290407</v>
      </c>
      <c r="AR17" s="20">
        <f>'Ethyl benzene'!AW16</f>
        <v>1.2318386896239921</v>
      </c>
      <c r="AS17" s="20">
        <f>'Ethyl benzene'!AX16</f>
        <v>1.2631068212644112</v>
      </c>
      <c r="AT17" s="20">
        <f>'Ethyl benzene'!AY16</f>
        <v>1.3127679715168412</v>
      </c>
      <c r="AU17" s="20">
        <f>'Ethyl benzene'!AZ16</f>
        <v>1.3291042498681334</v>
      </c>
      <c r="AV17" s="20">
        <f>'Ethyl benzene'!BA16</f>
        <v>1.3570616381583904</v>
      </c>
      <c r="AW17" s="20">
        <f>'Ethyl benzene'!BB16</f>
        <v>1.3957212154321452</v>
      </c>
      <c r="AX17" s="20">
        <f>'Ethyl benzene'!BC16</f>
        <v>1.3883640079873407</v>
      </c>
      <c r="AY17" s="20">
        <f>'Ethyl benzene'!BD16</f>
        <v>1.421706728957878</v>
      </c>
      <c r="AZ17" s="20">
        <f>'Ethyl benzene'!BE16</f>
        <v>1.421706728957878</v>
      </c>
      <c r="BA17" s="20">
        <f>'Ethyl benzene'!BF16</f>
        <v>1.4056876836711627</v>
      </c>
      <c r="BB17" s="20">
        <f>'Ethyl benzene'!BG16</f>
        <v>1.4587936101273453</v>
      </c>
      <c r="BC17" s="20">
        <f>'Ethyl benzene'!BH16</f>
        <v>1.5216143282344963</v>
      </c>
      <c r="BD17" s="20">
        <f>'Ethyl benzene'!BI16</f>
        <v>1.486189812372843</v>
      </c>
      <c r="BE17" s="20">
        <f>'Ethyl benzene'!BJ16</f>
        <v>1.4405751262150552</v>
      </c>
      <c r="BF17" s="20">
        <f>'Ethyl benzene'!BK16</f>
        <v>1.4480258646673196</v>
      </c>
      <c r="BG17" s="20">
        <f>'Ethyl benzene'!BL16</f>
        <v>1.4340471705221911</v>
      </c>
      <c r="BH17" s="20">
        <f>'Ethyl benzene'!BM16</f>
        <v>1.4314051314897145</v>
      </c>
      <c r="BI17" s="20">
        <f>'Ethyl benzene'!BN16</f>
        <v>1.4483141812975662</v>
      </c>
      <c r="BJ17" s="20">
        <f>'Ethyl benzene'!BO16</f>
        <v>1.4180358488433424</v>
      </c>
      <c r="BK17" s="20">
        <f>'Ethyl benzene'!BP16</f>
        <v>1.4356931467108733</v>
      </c>
      <c r="BL17" s="20">
        <f>'Ethyl benzene'!BQ16</f>
        <v>1.4202430110767839</v>
      </c>
      <c r="BM17" s="20">
        <f>'Ethyl benzene'!BR16</f>
        <v>1.4055285961871749</v>
      </c>
      <c r="BN17" s="20">
        <f>'Ethyl benzene'!BS16</f>
        <v>1.3844896767387536</v>
      </c>
      <c r="BO17" s="20">
        <f>'Ethyl benzene'!BT16</f>
        <v>1.4095003202471554</v>
      </c>
      <c r="BP17" s="20">
        <f>'Ethyl benzene'!BU16</f>
        <v>1.4033503503880642</v>
      </c>
      <c r="BQ17" s="20">
        <f>'Ethyl benzene'!BV16</f>
        <v>1.4158576030442318</v>
      </c>
      <c r="BR17" s="20">
        <f>'Ethyl benzene'!BW16</f>
        <v>1.4567204807474945</v>
      </c>
      <c r="BS17" s="20">
        <f>'Ethyl benzene'!BX16</f>
        <v>1.4629475924949138</v>
      </c>
    </row>
    <row r="18" spans="1:71">
      <c r="A18" s="8" t="s">
        <v>207</v>
      </c>
      <c r="B18" s="263" t="s">
        <v>219</v>
      </c>
      <c r="C18" s="19">
        <f>+AL18-AM18</f>
        <v>-8.5552722822761496E-2</v>
      </c>
      <c r="D18" s="19">
        <f t="shared" si="0"/>
        <v>-7.9655313073629941E-3</v>
      </c>
      <c r="E18" s="19">
        <f t="shared" si="0"/>
        <v>-9.5586375688353931E-2</v>
      </c>
      <c r="F18" s="19">
        <f t="shared" si="0"/>
        <v>-0.10753467264939842</v>
      </c>
      <c r="G18" s="19">
        <f t="shared" si="0"/>
        <v>0.1115174383030797</v>
      </c>
      <c r="H18" s="19">
        <f>+AQ18-AR18</f>
        <v>0.37143126657148695</v>
      </c>
      <c r="I18" s="19">
        <f t="shared" si="0"/>
        <v>-3.3853508056292059E-2</v>
      </c>
      <c r="J18" s="19">
        <f t="shared" si="0"/>
        <v>-5.37673363246991E-2</v>
      </c>
      <c r="K18" s="19">
        <f t="shared" si="0"/>
        <v>-1.9117275137670919E-2</v>
      </c>
      <c r="L18" s="19">
        <f t="shared" si="1"/>
        <v>-3.0269018967978623E-2</v>
      </c>
      <c r="M18" s="19">
        <f t="shared" si="1"/>
        <v>-2.4693147052824882E-2</v>
      </c>
      <c r="N18" s="19">
        <f t="shared" si="1"/>
        <v>7.965531307362772E-3</v>
      </c>
      <c r="O18" s="19">
        <f t="shared" si="1"/>
        <v>-1.0355190699571581E-2</v>
      </c>
      <c r="P18" s="19">
        <f t="shared" si="1"/>
        <v>0</v>
      </c>
      <c r="Q18" s="19">
        <f t="shared" si="1"/>
        <v>8.7620844380991159E-3</v>
      </c>
      <c r="R18" s="19">
        <f t="shared" si="1"/>
        <v>-5.1775953497858573E-2</v>
      </c>
      <c r="S18" s="19">
        <f t="shared" si="1"/>
        <v>-6.372425045890262E-2</v>
      </c>
      <c r="T18" s="19">
        <f t="shared" si="1"/>
        <v>4.7793187844177076E-2</v>
      </c>
      <c r="U18" s="19">
        <f t="shared" si="1"/>
        <v>4.9386294105649542E-2</v>
      </c>
      <c r="V18" s="19">
        <f t="shared" si="1"/>
        <v>-1.0355190699571803E-2</v>
      </c>
      <c r="W18" s="19">
        <f t="shared" si="1"/>
        <v>1.5134509483989422E-2</v>
      </c>
      <c r="X18" s="19">
        <f t="shared" si="1"/>
        <v>0</v>
      </c>
      <c r="Y18" s="19">
        <f t="shared" si="1"/>
        <v>0</v>
      </c>
      <c r="Z18" s="19">
        <f t="shared" si="1"/>
        <v>3.1065572098715188E-2</v>
      </c>
      <c r="AA18" s="19">
        <f t="shared" si="2"/>
        <v>-1.9117275137670919E-2</v>
      </c>
      <c r="AB18" s="19">
        <f t="shared" si="2"/>
        <v>1.672761574546211E-2</v>
      </c>
      <c r="AC18" s="19">
        <f t="shared" si="2"/>
        <v>1.5931062614725544E-2</v>
      </c>
      <c r="AD18" s="19">
        <f t="shared" si="2"/>
        <v>8.7620844380991159E-3</v>
      </c>
      <c r="AE18" s="19">
        <f t="shared" si="2"/>
        <v>-3.8234550275341617E-2</v>
      </c>
      <c r="AF18" s="19">
        <f t="shared" si="2"/>
        <v>6.3724250458903064E-3</v>
      </c>
      <c r="AG18" s="19">
        <f t="shared" si="2"/>
        <v>-1.3541403222516735E-2</v>
      </c>
      <c r="AH18" s="19">
        <f t="shared" si="2"/>
        <v>-3.8234550275341617E-2</v>
      </c>
      <c r="AI18" s="19">
        <f t="shared" si="2"/>
        <v>-1.5931062614726876E-3</v>
      </c>
      <c r="AJ18" s="65"/>
      <c r="AL18" s="20">
        <v>1.04</v>
      </c>
      <c r="AM18" s="20">
        <f>'Maleic Anhydride'!AR14</f>
        <v>1.1255527228227615</v>
      </c>
      <c r="AN18" s="20">
        <f>'Maleic Anhydride'!AS14</f>
        <v>1.1335182541301245</v>
      </c>
      <c r="AO18" s="20">
        <f>'Maleic Anhydride'!AT14</f>
        <v>1.2291046298184785</v>
      </c>
      <c r="AP18" s="20">
        <f>'Maleic Anhydride'!AU14</f>
        <v>1.3366393024678769</v>
      </c>
      <c r="AQ18" s="20">
        <f>'Maleic Anhydride'!AV14</f>
        <v>1.2251218641647972</v>
      </c>
      <c r="AR18" s="20">
        <f>'Maleic Anhydride'!AW14</f>
        <v>0.85369059759331023</v>
      </c>
      <c r="AS18" s="20">
        <f>'Maleic Anhydride'!AX14</f>
        <v>0.88754410564960229</v>
      </c>
      <c r="AT18" s="20">
        <f>'Maleic Anhydride'!AY14</f>
        <v>0.94131144197430139</v>
      </c>
      <c r="AU18" s="20">
        <f>'Maleic Anhydride'!AZ14</f>
        <v>0.96042871711197231</v>
      </c>
      <c r="AV18" s="20">
        <f>'Maleic Anhydride'!BA14</f>
        <v>0.99069773607995093</v>
      </c>
      <c r="AW18" s="20">
        <f>'Maleic Anhydride'!BB14</f>
        <v>1.0153908831327758</v>
      </c>
      <c r="AX18" s="20">
        <f>'Maleic Anhydride'!BC14</f>
        <v>1.007425351825413</v>
      </c>
      <c r="AY18" s="20">
        <f>'Maleic Anhydride'!BD14</f>
        <v>1.0177805425249846</v>
      </c>
      <c r="AZ18" s="20">
        <f>'Maleic Anhydride'!BE14</f>
        <v>1.0177805425249846</v>
      </c>
      <c r="BA18" s="20">
        <f>'Maleic Anhydride'!BF14</f>
        <v>1.0090184580868855</v>
      </c>
      <c r="BB18" s="20">
        <f>'Maleic Anhydride'!BG14</f>
        <v>1.0607944115847441</v>
      </c>
      <c r="BC18" s="20">
        <f>'Maleic Anhydride'!BH14</f>
        <v>1.1245186620436467</v>
      </c>
      <c r="BD18" s="20">
        <f>'Maleic Anhydride'!BI14</f>
        <v>1.0767254741994696</v>
      </c>
      <c r="BE18" s="20">
        <f>'Maleic Anhydride'!BJ14</f>
        <v>1.0273391800938201</v>
      </c>
      <c r="BF18" s="20">
        <f>'Maleic Anhydride'!BK14</f>
        <v>1.0376943707933919</v>
      </c>
      <c r="BG18" s="20">
        <f>'Maleic Anhydride'!BL14</f>
        <v>1.0225598613094025</v>
      </c>
      <c r="BH18" s="20">
        <f>'Maleic Anhydride'!BM14</f>
        <v>1.0225598613094025</v>
      </c>
      <c r="BI18" s="20">
        <f>'Maleic Anhydride'!BN14</f>
        <v>1.0225598613094025</v>
      </c>
      <c r="BJ18" s="20">
        <f>'Maleic Anhydride'!BO14</f>
        <v>0.99149428921068727</v>
      </c>
      <c r="BK18" s="20">
        <f>'Maleic Anhydride'!BP14</f>
        <v>1.0106115643483582</v>
      </c>
      <c r="BL18" s="20">
        <f>'Maleic Anhydride'!BQ14</f>
        <v>0.99388394860289608</v>
      </c>
      <c r="BM18" s="20">
        <f>'Maleic Anhydride'!BR14</f>
        <v>0.97795288598817054</v>
      </c>
      <c r="BN18" s="20">
        <f>'Maleic Anhydride'!BS14</f>
        <v>0.96919080155007142</v>
      </c>
      <c r="BO18" s="20">
        <f>'Maleic Anhydride'!BT14</f>
        <v>1.007425351825413</v>
      </c>
      <c r="BP18" s="20">
        <f>'Maleic Anhydride'!BU14</f>
        <v>1.0010529267795227</v>
      </c>
      <c r="BQ18" s="20">
        <f>'Maleic Anhydride'!BV14</f>
        <v>1.0145943300020395</v>
      </c>
      <c r="BR18" s="20">
        <f>'Maleic Anhydride'!BW14</f>
        <v>1.0528288802773811</v>
      </c>
      <c r="BS18" s="20">
        <f>'Maleic Anhydride'!BX14</f>
        <v>1.0544219865388538</v>
      </c>
    </row>
    <row r="19" spans="1:71">
      <c r="A19" s="8" t="s">
        <v>203</v>
      </c>
      <c r="B19" s="263" t="s">
        <v>220</v>
      </c>
      <c r="C19" s="19">
        <f t="shared" si="3"/>
        <v>1.0523406395137602E-2</v>
      </c>
      <c r="D19" s="19">
        <f t="shared" si="3"/>
        <v>-0.25015644517091085</v>
      </c>
      <c r="E19" s="19">
        <f t="shared" si="3"/>
        <v>-9.7405829655670573E-2</v>
      </c>
      <c r="F19" s="19">
        <f t="shared" si="3"/>
        <v>0.26014074827835598</v>
      </c>
      <c r="G19" s="19">
        <f t="shared" si="3"/>
        <v>-3.3239080989325931E-2</v>
      </c>
      <c r="H19" s="19">
        <f t="shared" si="3"/>
        <v>6.2725528942308095E-2</v>
      </c>
      <c r="I19" s="19">
        <f t="shared" si="3"/>
        <v>0.18417750201717631</v>
      </c>
      <c r="J19" s="19">
        <f t="shared" si="3"/>
        <v>-2.1166688252804988E-5</v>
      </c>
      <c r="K19" s="19">
        <f t="shared" si="3"/>
        <v>-4.659599919174795E-2</v>
      </c>
      <c r="L19" s="19">
        <f t="shared" si="1"/>
        <v>-1.3710010843701603E-2</v>
      </c>
      <c r="M19" s="19">
        <f t="shared" si="1"/>
        <v>-8.6387018779277014E-2</v>
      </c>
      <c r="N19" s="19">
        <f t="shared" si="1"/>
        <v>-4.0868613848228819E-2</v>
      </c>
      <c r="O19" s="19">
        <f t="shared" si="1"/>
        <v>-1.3611114601064678E-2</v>
      </c>
      <c r="P19" s="19">
        <f t="shared" si="1"/>
        <v>1.4207603815172831E-2</v>
      </c>
      <c r="Q19" s="19">
        <f t="shared" si="1"/>
        <v>-9.4066865784685483E-2</v>
      </c>
      <c r="R19" s="19">
        <f t="shared" si="1"/>
        <v>-0.14631792057455062</v>
      </c>
      <c r="S19" s="19">
        <f t="shared" si="1"/>
        <v>2.0731095022457069E-3</v>
      </c>
      <c r="T19" s="19">
        <f t="shared" si="1"/>
        <v>-5.1223856554462266E-2</v>
      </c>
      <c r="U19" s="19">
        <f t="shared" si="1"/>
        <v>-3.1840476530931028E-6</v>
      </c>
      <c r="V19" s="19">
        <f t="shared" si="1"/>
        <v>-2.1707772963370786E-2</v>
      </c>
      <c r="W19" s="19">
        <f t="shared" si="1"/>
        <v>0.27405200316523004</v>
      </c>
      <c r="X19" s="19">
        <f t="shared" si="1"/>
        <v>1.8018398266512747E-3</v>
      </c>
      <c r="Y19" s="19">
        <f t="shared" si="1"/>
        <v>-4.6172643231944477E-2</v>
      </c>
      <c r="Z19" s="19">
        <f t="shared" si="1"/>
        <v>-0.10493417340995403</v>
      </c>
      <c r="AA19" s="19">
        <f t="shared" si="2"/>
        <v>0</v>
      </c>
      <c r="AB19" s="19">
        <f t="shared" si="2"/>
        <v>-3.2892297103927604E-2</v>
      </c>
      <c r="AC19" s="19">
        <f t="shared" si="2"/>
        <v>0.20049816127594333</v>
      </c>
      <c r="AD19" s="19">
        <f t="shared" si="2"/>
        <v>4.9513210701229937E-2</v>
      </c>
      <c r="AE19" s="19">
        <f t="shared" si="2"/>
        <v>2.6467554885358791E-2</v>
      </c>
      <c r="AF19" s="19">
        <f t="shared" si="2"/>
        <v>-6.6046886023427565E-2</v>
      </c>
      <c r="AG19" s="19">
        <f t="shared" si="2"/>
        <v>-6.9902224833366944E-3</v>
      </c>
      <c r="AH19" s="19">
        <f t="shared" si="2"/>
        <v>7.9041625159806284E-2</v>
      </c>
      <c r="AI19" s="19">
        <f t="shared" si="2"/>
        <v>4.8902150172480674E-4</v>
      </c>
      <c r="AJ19" s="65"/>
      <c r="AL19" s="20">
        <v>3.01</v>
      </c>
      <c r="AM19" s="20">
        <f>MDA!AR18</f>
        <v>2.9994765936048622</v>
      </c>
      <c r="AN19" s="20">
        <f>MDA!AS18</f>
        <v>3.249633038775773</v>
      </c>
      <c r="AO19" s="20">
        <f>MDA!AT18</f>
        <v>3.3470388684314436</v>
      </c>
      <c r="AP19" s="20">
        <f>MDA!AU18</f>
        <v>3.0868981201530876</v>
      </c>
      <c r="AQ19" s="20">
        <f>MDA!AV18</f>
        <v>3.1201372011424136</v>
      </c>
      <c r="AR19" s="20">
        <f>MDA!AW18</f>
        <v>3.0574116722001055</v>
      </c>
      <c r="AS19" s="20">
        <f>MDA!AX18</f>
        <v>2.8732341701829291</v>
      </c>
      <c r="AT19" s="20">
        <f>MDA!AY18</f>
        <v>2.873255336871182</v>
      </c>
      <c r="AU19" s="20">
        <f>MDA!AZ18</f>
        <v>2.9198513360629299</v>
      </c>
      <c r="AV19" s="20">
        <f>MDA!BA18</f>
        <v>2.9335613469066315</v>
      </c>
      <c r="AW19" s="20">
        <f>MDA!BB18</f>
        <v>3.0199483656859085</v>
      </c>
      <c r="AX19" s="20">
        <f>MDA!BC18</f>
        <v>3.0608169795341373</v>
      </c>
      <c r="AY19" s="20">
        <f>MDA!BD18</f>
        <v>3.074428094135202</v>
      </c>
      <c r="AZ19" s="20">
        <f>MDA!BE18</f>
        <v>3.0602204903200292</v>
      </c>
      <c r="BA19" s="20">
        <f>MDA!BF18</f>
        <v>3.1542873561047147</v>
      </c>
      <c r="BB19" s="20">
        <f>MDA!BG18</f>
        <v>3.3006052766792653</v>
      </c>
      <c r="BC19" s="20">
        <f>MDA!BH18</f>
        <v>3.2985321671770196</v>
      </c>
      <c r="BD19" s="20">
        <f>MDA!BI18</f>
        <v>3.3497560237314818</v>
      </c>
      <c r="BE19" s="20">
        <f>MDA!BJ18</f>
        <v>3.3497592077791349</v>
      </c>
      <c r="BF19" s="20">
        <f>MDA!BK18</f>
        <v>3.3714669807425057</v>
      </c>
      <c r="BG19" s="20">
        <f>MDA!BL18</f>
        <v>3.0974149775772757</v>
      </c>
      <c r="BH19" s="20">
        <f>MDA!BM18</f>
        <v>3.0956131377506244</v>
      </c>
      <c r="BI19" s="20">
        <f>MDA!BN18</f>
        <v>3.1417857809825689</v>
      </c>
      <c r="BJ19" s="20">
        <f>MDA!BO18</f>
        <v>3.2467199543925229</v>
      </c>
      <c r="BK19" s="20">
        <f>MDA!BP18</f>
        <v>3.2467199543925229</v>
      </c>
      <c r="BL19" s="20">
        <f>MDA!BQ18</f>
        <v>3.2796122514964505</v>
      </c>
      <c r="BM19" s="20">
        <f>MDA!BR18</f>
        <v>3.0791140902205072</v>
      </c>
      <c r="BN19" s="20">
        <f>MDA!BS18</f>
        <v>3.0296008795192773</v>
      </c>
      <c r="BO19" s="20">
        <f>MDA!BT18</f>
        <v>3.0031333246339185</v>
      </c>
      <c r="BP19" s="20">
        <f>MDA!BU18</f>
        <v>3.069180210657346</v>
      </c>
      <c r="BQ19" s="20">
        <f>MDA!BV18</f>
        <v>3.0761704331406827</v>
      </c>
      <c r="BR19" s="20">
        <f>MDA!BW18</f>
        <v>2.9971288079808764</v>
      </c>
      <c r="BS19" s="20">
        <f>MDA!BX18</f>
        <v>2.9966397864791516</v>
      </c>
    </row>
    <row r="20" spans="1:71">
      <c r="A20" s="8" t="s">
        <v>203</v>
      </c>
      <c r="B20" s="263" t="s">
        <v>221</v>
      </c>
      <c r="C20" s="19">
        <f t="shared" si="3"/>
        <v>-7.0564238021603387E-2</v>
      </c>
      <c r="D20" s="19">
        <f t="shared" si="3"/>
        <v>1.2393271368062564E-2</v>
      </c>
      <c r="E20" s="19">
        <f t="shared" si="3"/>
        <v>-7.3983850593434042E-2</v>
      </c>
      <c r="F20" s="19">
        <f>+AO20-AP20</f>
        <v>-4.8303804640750236E-2</v>
      </c>
      <c r="G20" s="19">
        <f t="shared" si="3"/>
        <v>9.3401939945404688E-2</v>
      </c>
      <c r="H20" s="19">
        <f t="shared" si="3"/>
        <v>0.12957789757387506</v>
      </c>
      <c r="I20" s="19">
        <f t="shared" si="3"/>
        <v>-1.9537272504938308E-2</v>
      </c>
      <c r="J20" s="19">
        <f t="shared" si="3"/>
        <v>-3.8453509518882267E-2</v>
      </c>
      <c r="K20" s="19">
        <f t="shared" si="3"/>
        <v>-1.3855052541903223E-2</v>
      </c>
      <c r="L20" s="19">
        <f t="shared" si="1"/>
        <v>-1.8123013715980463E-2</v>
      </c>
      <c r="M20" s="19">
        <f t="shared" si="1"/>
        <v>0.35306010794358089</v>
      </c>
      <c r="N20" s="19">
        <f t="shared" si="1"/>
        <v>6.0857500822488753E-3</v>
      </c>
      <c r="O20" s="19">
        <f t="shared" ref="O20:AD38" si="4">+AX20-AY20</f>
        <v>-7.3517955401101176E-3</v>
      </c>
      <c r="P20" s="19">
        <f t="shared" si="4"/>
        <v>-6.1637194470476331E-4</v>
      </c>
      <c r="Q20" s="19">
        <f t="shared" si="4"/>
        <v>6.6326542618182494E-3</v>
      </c>
      <c r="R20" s="19">
        <f t="shared" si="4"/>
        <v>-3.3898655846885006E-2</v>
      </c>
      <c r="S20" s="19">
        <f t="shared" si="4"/>
        <v>-4.8225294600098279E-2</v>
      </c>
      <c r="T20" s="19">
        <f t="shared" si="4"/>
        <v>3.4269183426763883E-2</v>
      </c>
      <c r="U20" s="19">
        <f t="shared" si="4"/>
        <v>2.3168820829627013E-2</v>
      </c>
      <c r="V20" s="19">
        <f t="shared" si="4"/>
        <v>-2.5564817132287976E-2</v>
      </c>
      <c r="W20" s="19">
        <f t="shared" si="4"/>
        <v>1.3560369559835861E-2</v>
      </c>
      <c r="X20" s="19">
        <f t="shared" si="4"/>
        <v>-4.2847030918253814E-3</v>
      </c>
      <c r="Y20" s="19">
        <f t="shared" si="4"/>
        <v>-4.7211253612733373E-5</v>
      </c>
      <c r="Z20" s="19">
        <f t="shared" si="4"/>
        <v>2.201994838578436E-2</v>
      </c>
      <c r="AA20" s="19">
        <f t="shared" si="2"/>
        <v>-1.3572545612510645E-2</v>
      </c>
      <c r="AB20" s="19">
        <f t="shared" si="2"/>
        <v>1.2041137530569124E-2</v>
      </c>
      <c r="AC20" s="19">
        <f t="shared" si="2"/>
        <v>1.139282680150111E-2</v>
      </c>
      <c r="AD20" s="19">
        <f t="shared" si="2"/>
        <v>1.3569245507922822E-2</v>
      </c>
      <c r="AE20" s="19">
        <f t="shared" si="2"/>
        <v>-2.875710152221167E-2</v>
      </c>
      <c r="AF20" s="19">
        <f t="shared" si="2"/>
        <v>4.6128248331480659E-3</v>
      </c>
      <c r="AG20" s="19">
        <f t="shared" si="2"/>
        <v>-1.9251360272217521E-2</v>
      </c>
      <c r="AH20" s="19">
        <f t="shared" si="2"/>
        <v>-3.0841355456237896E-2</v>
      </c>
      <c r="AI20" s="19">
        <f t="shared" si="2"/>
        <v>-1.0182473683766347E-3</v>
      </c>
      <c r="AJ20" s="65"/>
      <c r="AL20" s="8">
        <v>2.2000000000000002</v>
      </c>
      <c r="AM20" s="20">
        <f>PNA!AR21</f>
        <v>2.2705642380216036</v>
      </c>
      <c r="AN20" s="20">
        <f>PNA!AS21</f>
        <v>2.258170966653541</v>
      </c>
      <c r="AO20" s="20">
        <f>PNA!AT21</f>
        <v>2.332154817246975</v>
      </c>
      <c r="AP20" s="20">
        <f>PNA!AU21</f>
        <v>2.3804586218877253</v>
      </c>
      <c r="AQ20" s="20">
        <f>PNA!AV21</f>
        <v>2.2870566819423206</v>
      </c>
      <c r="AR20" s="20">
        <f>PNA!AW21</f>
        <v>2.1574787843684455</v>
      </c>
      <c r="AS20" s="20">
        <f>PNA!AX21</f>
        <v>2.1770160568733838</v>
      </c>
      <c r="AT20" s="20">
        <f>PNA!AY21</f>
        <v>2.2154695663922661</v>
      </c>
      <c r="AU20" s="20">
        <f>PNA!AZ21</f>
        <v>2.2293246189341693</v>
      </c>
      <c r="AV20" s="20">
        <f>PNA!BA21</f>
        <v>2.2474476326501498</v>
      </c>
      <c r="AW20" s="20">
        <f>PNA!BB21</f>
        <v>1.8943875247065689</v>
      </c>
      <c r="AX20" s="20">
        <f>PNA!BC21</f>
        <v>1.88830177462432</v>
      </c>
      <c r="AY20" s="20">
        <f>PNA!BD21</f>
        <v>1.8956535701644301</v>
      </c>
      <c r="AZ20" s="20">
        <f>PNA!BE21</f>
        <v>1.8962699421091349</v>
      </c>
      <c r="BA20" s="20">
        <f>PNA!BF21</f>
        <v>1.8896372878473167</v>
      </c>
      <c r="BB20" s="20">
        <f>PNA!BG21</f>
        <v>1.9235359436942017</v>
      </c>
      <c r="BC20" s="20">
        <f>PNA!BH21</f>
        <v>1.9717612382942999</v>
      </c>
      <c r="BD20" s="20">
        <f>PNA!BI21</f>
        <v>1.9374920548675361</v>
      </c>
      <c r="BE20" s="20">
        <f>PNA!BJ21</f>
        <v>1.914323234037909</v>
      </c>
      <c r="BF20" s="20">
        <f>PNA!BK21</f>
        <v>1.939888051170197</v>
      </c>
      <c r="BG20" s="20">
        <f>PNA!BL21</f>
        <v>1.9263276816103612</v>
      </c>
      <c r="BH20" s="20">
        <f>PNA!BM21</f>
        <v>1.9306123847021865</v>
      </c>
      <c r="BI20" s="20">
        <f>PNA!BN21</f>
        <v>1.9306595959557993</v>
      </c>
      <c r="BJ20" s="20">
        <f>PNA!BO21</f>
        <v>1.9086396475700149</v>
      </c>
      <c r="BK20" s="20">
        <f>PNA!BP21</f>
        <v>1.9222121931825256</v>
      </c>
      <c r="BL20" s="20">
        <f>PNA!BQ21</f>
        <v>1.9101710556519564</v>
      </c>
      <c r="BM20" s="20">
        <f>PNA!BR21</f>
        <v>1.8987782288504553</v>
      </c>
      <c r="BN20" s="20">
        <f>PNA!BS21</f>
        <v>1.8852089833425325</v>
      </c>
      <c r="BO20" s="20">
        <f>PNA!BT21</f>
        <v>1.9139660848647442</v>
      </c>
      <c r="BP20" s="20">
        <f>PNA!BU21</f>
        <v>1.9093532600315961</v>
      </c>
      <c r="BQ20" s="20">
        <f>PNA!BV21</f>
        <v>1.9286046203038136</v>
      </c>
      <c r="BR20" s="20">
        <f>PNA!BW21</f>
        <v>1.9594459757600515</v>
      </c>
      <c r="BS20" s="20">
        <f>PNA!BX21</f>
        <v>1.9604642231284282</v>
      </c>
    </row>
    <row r="21" spans="1:71">
      <c r="A21" s="8" t="s">
        <v>203</v>
      </c>
      <c r="B21" s="263" t="s">
        <v>222</v>
      </c>
      <c r="C21" s="19">
        <f t="shared" si="3"/>
        <v>0.1318275478326818</v>
      </c>
      <c r="D21" s="19">
        <f t="shared" si="3"/>
        <v>0.15348602698028824</v>
      </c>
      <c r="E21" s="19">
        <f t="shared" si="3"/>
        <v>0.16030753789781738</v>
      </c>
      <c r="F21" s="19">
        <f t="shared" si="3"/>
        <v>0.17906545210157532</v>
      </c>
      <c r="G21" s="19">
        <f t="shared" si="3"/>
        <v>-9.2794148963513123E-3</v>
      </c>
      <c r="H21" s="19">
        <f t="shared" si="3"/>
        <v>2.2301296853100006E-2</v>
      </c>
      <c r="I21" s="19">
        <f t="shared" si="3"/>
        <v>8.6136893967632133E-2</v>
      </c>
      <c r="J21" s="19">
        <f t="shared" si="3"/>
        <v>0</v>
      </c>
      <c r="K21" s="19">
        <f t="shared" si="3"/>
        <v>-0.12042069421323198</v>
      </c>
      <c r="L21" s="19">
        <f t="shared" si="3"/>
        <v>-6.2104705263594795E-3</v>
      </c>
      <c r="M21" s="19">
        <f t="shared" si="3"/>
        <v>-3.9073873942322201E-2</v>
      </c>
      <c r="N21" s="19">
        <f t="shared" si="3"/>
        <v>9.8410088202092183E-2</v>
      </c>
      <c r="O21" s="19">
        <f t="shared" si="4"/>
        <v>-6.1531821889984073E-3</v>
      </c>
      <c r="P21" s="19">
        <f t="shared" si="4"/>
        <v>6.4445800362493699E-3</v>
      </c>
      <c r="Q21" s="19">
        <f t="shared" si="4"/>
        <v>-4.2539376850383448E-2</v>
      </c>
      <c r="R21" s="19">
        <f t="shared" si="4"/>
        <v>-0.10121225072404894</v>
      </c>
      <c r="S21" s="19">
        <f t="shared" si="4"/>
        <v>9.3755397239636551E-4</v>
      </c>
      <c r="T21" s="19">
        <f t="shared" si="4"/>
        <v>3.5281676431964115E-2</v>
      </c>
      <c r="U21" s="19">
        <f t="shared" si="4"/>
        <v>0</v>
      </c>
      <c r="V21" s="19">
        <f t="shared" si="4"/>
        <v>-2.130850186189992E-2</v>
      </c>
      <c r="W21" s="19">
        <f t="shared" si="4"/>
        <v>0.1238954863364885</v>
      </c>
      <c r="X21" s="19">
        <f t="shared" si="4"/>
        <v>-4.1824104652980587E-2</v>
      </c>
      <c r="Y21" s="19">
        <f t="shared" si="4"/>
        <v>-2.0871846447184872E-2</v>
      </c>
      <c r="Z21" s="19">
        <f t="shared" si="4"/>
        <v>-1.8211363028791006E-2</v>
      </c>
      <c r="AA21" s="19">
        <f t="shared" si="2"/>
        <v>0</v>
      </c>
      <c r="AB21" s="19">
        <f t="shared" si="2"/>
        <v>-1.4874669843182531E-2</v>
      </c>
      <c r="AC21" s="19">
        <f t="shared" si="2"/>
        <v>9.0636774999100389E-2</v>
      </c>
      <c r="AD21" s="19">
        <f t="shared" si="2"/>
        <v>2.2384892158006764E-2</v>
      </c>
      <c r="AE21" s="19">
        <f t="shared" si="2"/>
        <v>6.1244721659843293E-3</v>
      </c>
      <c r="AF21" s="19">
        <f t="shared" si="2"/>
        <v>-2.9860719056175711E-2</v>
      </c>
      <c r="AG21" s="19">
        <f t="shared" si="2"/>
        <v>-6.0270889090086044E-3</v>
      </c>
      <c r="AH21" s="19">
        <f t="shared" si="2"/>
        <v>3.5732019395350534E-2</v>
      </c>
      <c r="AI21" s="19">
        <f t="shared" si="2"/>
        <v>2.1747015549689053E-4</v>
      </c>
      <c r="AJ21" s="65"/>
      <c r="AL21" s="8">
        <v>7.37</v>
      </c>
      <c r="AM21" s="20">
        <f>PANA!AR17</f>
        <v>7.2381724521673183</v>
      </c>
      <c r="AN21" s="20">
        <f>PANA!AS17</f>
        <v>7.0846864251870301</v>
      </c>
      <c r="AO21" s="20">
        <f>PANA!AT17</f>
        <v>6.9243788872892127</v>
      </c>
      <c r="AP21" s="20">
        <f>PANA!AU17</f>
        <v>6.7453134351876374</v>
      </c>
      <c r="AQ21" s="20">
        <f>PANA!AV17</f>
        <v>6.7545928500839887</v>
      </c>
      <c r="AR21" s="20">
        <f>PANA!AW17</f>
        <v>6.7322915532308887</v>
      </c>
      <c r="AS21" s="20">
        <f>PANA!AX17</f>
        <v>6.6461546592632565</v>
      </c>
      <c r="AT21" s="20">
        <f>PANA!AY17</f>
        <v>6.6461546592632565</v>
      </c>
      <c r="AU21" s="20">
        <f>PANA!AZ17</f>
        <v>6.7665753534764885</v>
      </c>
      <c r="AV21" s="20">
        <f>PANA!BA17</f>
        <v>6.772785824002848</v>
      </c>
      <c r="AW21" s="20">
        <f>PANA!BB17</f>
        <v>6.8118596979451702</v>
      </c>
      <c r="AX21" s="20">
        <f>PANA!BC17</f>
        <v>6.713449609743078</v>
      </c>
      <c r="AY21" s="20">
        <f>PANA!BD17</f>
        <v>6.7196027919320764</v>
      </c>
      <c r="AZ21" s="20">
        <f>PANA!BE17</f>
        <v>6.7131582118958271</v>
      </c>
      <c r="BA21" s="20">
        <f>PANA!BF17</f>
        <v>6.7556975887462105</v>
      </c>
      <c r="BB21" s="20">
        <f>PANA!BG17</f>
        <v>6.8569098394702594</v>
      </c>
      <c r="BC21" s="20">
        <f>PANA!BH17</f>
        <v>6.8559722854978631</v>
      </c>
      <c r="BD21" s="20">
        <f>PANA!BI17</f>
        <v>6.820690609065899</v>
      </c>
      <c r="BE21" s="20">
        <f>PANA!BJ17</f>
        <v>6.820690609065899</v>
      </c>
      <c r="BF21" s="20">
        <f>PANA!BK17</f>
        <v>6.8419991109277989</v>
      </c>
      <c r="BG21" s="20">
        <f>PANA!BL17</f>
        <v>6.7181036245913104</v>
      </c>
      <c r="BH21" s="20">
        <f>PANA!BM17</f>
        <v>6.759927729244291</v>
      </c>
      <c r="BI21" s="20">
        <f>PANA!BN17</f>
        <v>6.7807995756914758</v>
      </c>
      <c r="BJ21" s="20">
        <f>PANA!BO17</f>
        <v>6.7990109387202669</v>
      </c>
      <c r="BK21" s="20">
        <f>PANA!BP17</f>
        <v>6.7990109387202669</v>
      </c>
      <c r="BL21" s="20">
        <f>PANA!BQ17</f>
        <v>6.8138856085634494</v>
      </c>
      <c r="BM21" s="20">
        <f>PANA!BR17</f>
        <v>6.723248833564349</v>
      </c>
      <c r="BN21" s="20">
        <f>PANA!BS17</f>
        <v>6.7008639414063422</v>
      </c>
      <c r="BO21" s="20">
        <f>PANA!BT17</f>
        <v>6.6947394692403579</v>
      </c>
      <c r="BP21" s="20">
        <f>PANA!BU17</f>
        <v>6.7246001882965336</v>
      </c>
      <c r="BQ21" s="20">
        <f>PANA!BV17</f>
        <v>6.7306272772055422</v>
      </c>
      <c r="BR21" s="20">
        <f>PANA!BW17</f>
        <v>6.6948952578101917</v>
      </c>
      <c r="BS21" s="20">
        <f>PANA!BX17</f>
        <v>6.6946777876546948</v>
      </c>
    </row>
    <row r="22" spans="1:71">
      <c r="A22" s="8" t="s">
        <v>212</v>
      </c>
      <c r="B22" s="263" t="s">
        <v>223</v>
      </c>
      <c r="C22" s="19">
        <f t="shared" si="3"/>
        <v>9.3476848090982889E-2</v>
      </c>
      <c r="D22" s="19">
        <f t="shared" si="3"/>
        <v>-4.3052802599512496E-2</v>
      </c>
      <c r="E22" s="19">
        <f t="shared" si="3"/>
        <v>-7.981478472786363E-2</v>
      </c>
      <c r="F22" s="19">
        <f t="shared" si="3"/>
        <v>0</v>
      </c>
      <c r="G22" s="19">
        <f t="shared" si="3"/>
        <v>-1.720146222583252E-2</v>
      </c>
      <c r="H22" s="19">
        <f t="shared" si="3"/>
        <v>9.8294069861901701E-3</v>
      </c>
      <c r="I22" s="19">
        <f t="shared" si="3"/>
        <v>0.12041023558082831</v>
      </c>
      <c r="J22" s="19">
        <f t="shared" si="3"/>
        <v>-1.4744110479284922E-2</v>
      </c>
      <c r="K22" s="19">
        <f t="shared" si="3"/>
        <v>0</v>
      </c>
      <c r="L22" s="19">
        <f t="shared" si="3"/>
        <v>-9.8294069861901701E-3</v>
      </c>
      <c r="M22" s="19">
        <f t="shared" si="3"/>
        <v>-1.9658813972380118E-2</v>
      </c>
      <c r="N22" s="19">
        <f t="shared" si="3"/>
        <v>-1.4744110479285144E-2</v>
      </c>
      <c r="O22" s="19">
        <f t="shared" si="4"/>
        <v>-4.914703493094974E-3</v>
      </c>
      <c r="P22" s="19">
        <f t="shared" si="4"/>
        <v>0</v>
      </c>
      <c r="Q22" s="19">
        <f t="shared" si="4"/>
        <v>0</v>
      </c>
      <c r="R22" s="19">
        <f t="shared" si="4"/>
        <v>-9.8294069861901701E-3</v>
      </c>
      <c r="S22" s="19">
        <f t="shared" si="4"/>
        <v>0</v>
      </c>
      <c r="T22" s="19">
        <f t="shared" si="4"/>
        <v>-4.9147034930950406E-2</v>
      </c>
      <c r="U22" s="19">
        <f t="shared" si="4"/>
        <v>-1.4744110479285144E-2</v>
      </c>
      <c r="V22" s="19">
        <f t="shared" si="4"/>
        <v>-9.829406986189948E-3</v>
      </c>
      <c r="W22" s="19">
        <f t="shared" si="4"/>
        <v>2.9488220958570066E-2</v>
      </c>
      <c r="X22" s="19">
        <f t="shared" si="4"/>
        <v>0</v>
      </c>
      <c r="Y22" s="19">
        <f t="shared" si="4"/>
        <v>0</v>
      </c>
      <c r="Z22" s="19">
        <f t="shared" si="4"/>
        <v>-9.8294069861901701E-3</v>
      </c>
      <c r="AA22" s="19">
        <f t="shared" si="2"/>
        <v>0</v>
      </c>
      <c r="AB22" s="19">
        <f t="shared" si="2"/>
        <v>0</v>
      </c>
      <c r="AC22" s="19">
        <f t="shared" si="2"/>
        <v>2.4573517465475314E-2</v>
      </c>
      <c r="AD22" s="19">
        <f t="shared" si="2"/>
        <v>0</v>
      </c>
      <c r="AE22" s="19">
        <f t="shared" si="2"/>
        <v>0</v>
      </c>
      <c r="AF22" s="19">
        <f t="shared" si="2"/>
        <v>0</v>
      </c>
      <c r="AG22" s="19">
        <f t="shared" si="2"/>
        <v>-2.4573517465475314E-2</v>
      </c>
      <c r="AH22" s="19">
        <f t="shared" si="2"/>
        <v>4.9147034930951961E-3</v>
      </c>
      <c r="AI22" s="19">
        <f t="shared" si="2"/>
        <v>0</v>
      </c>
      <c r="AJ22" s="65"/>
      <c r="AL22" s="8">
        <v>1.27</v>
      </c>
      <c r="AM22" s="20">
        <f>'Hexylene Glycol'!AR16</f>
        <v>1.1765231519090171</v>
      </c>
      <c r="AN22" s="20">
        <f>'Hexylene Glycol'!AS16</f>
        <v>1.2195759545085296</v>
      </c>
      <c r="AO22" s="20">
        <f>'Hexylene Glycol'!AT16</f>
        <v>1.2993907392363933</v>
      </c>
      <c r="AP22" s="20">
        <f>'Hexylene Glycol'!AU16</f>
        <v>1.2993907392363933</v>
      </c>
      <c r="AQ22" s="20">
        <f>'Hexylene Glycol'!AV16</f>
        <v>1.3165922014622258</v>
      </c>
      <c r="AR22" s="20">
        <f>'Hexylene Glycol'!AW16</f>
        <v>1.3067627944760356</v>
      </c>
      <c r="AS22" s="20">
        <f>'Hexylene Glycol'!AX16</f>
        <v>1.1863525588952073</v>
      </c>
      <c r="AT22" s="20">
        <f>'Hexylene Glycol'!AY16</f>
        <v>1.2010966693744922</v>
      </c>
      <c r="AU22" s="20">
        <f>'Hexylene Glycol'!AZ16</f>
        <v>1.2010966693744922</v>
      </c>
      <c r="AV22" s="20">
        <f>'Hexylene Glycol'!BA16</f>
        <v>1.2109260763606824</v>
      </c>
      <c r="AW22" s="20">
        <f>'Hexylene Glycol'!BB16</f>
        <v>1.2305848903330625</v>
      </c>
      <c r="AX22" s="20">
        <f>'Hexylene Glycol'!BC16</f>
        <v>1.2453290008123477</v>
      </c>
      <c r="AY22" s="20">
        <f>'Hexylene Glycol'!BD16</f>
        <v>1.2502437043054426</v>
      </c>
      <c r="AZ22" s="20">
        <f>'Hexylene Glycol'!BE16</f>
        <v>1.2502437043054426</v>
      </c>
      <c r="BA22" s="20">
        <f>'Hexylene Glycol'!BF16</f>
        <v>1.2502437043054426</v>
      </c>
      <c r="BB22" s="20">
        <f>'Hexylene Glycol'!BG16</f>
        <v>1.2600731112916328</v>
      </c>
      <c r="BC22" s="20">
        <f>'Hexylene Glycol'!BH16</f>
        <v>1.2600731112916328</v>
      </c>
      <c r="BD22" s="20">
        <f>'Hexylene Glycol'!BI16</f>
        <v>1.3092201462225832</v>
      </c>
      <c r="BE22" s="20">
        <f>'Hexylene Glycol'!BJ16</f>
        <v>1.3239642567018683</v>
      </c>
      <c r="BF22" s="20">
        <f>'Hexylene Glycol'!BK16</f>
        <v>1.3337936636880583</v>
      </c>
      <c r="BG22" s="20">
        <f>'Hexylene Glycol'!BL16</f>
        <v>1.3043054427294882</v>
      </c>
      <c r="BH22" s="20">
        <f>'Hexylene Glycol'!BM16</f>
        <v>1.3043054427294882</v>
      </c>
      <c r="BI22" s="20">
        <f>'Hexylene Glycol'!BN16</f>
        <v>1.3043054427294882</v>
      </c>
      <c r="BJ22" s="20">
        <f>'Hexylene Glycol'!BO16</f>
        <v>1.3141348497156784</v>
      </c>
      <c r="BK22" s="20">
        <f>'Hexylene Glycol'!BP16</f>
        <v>1.3141348497156784</v>
      </c>
      <c r="BL22" s="20">
        <f>'Hexylene Glycol'!BQ16</f>
        <v>1.3141348497156784</v>
      </c>
      <c r="BM22" s="20">
        <f>'Hexylene Glycol'!BR16</f>
        <v>1.2895613322502031</v>
      </c>
      <c r="BN22" s="20">
        <f>'Hexylene Glycol'!BS16</f>
        <v>1.2895613322502031</v>
      </c>
      <c r="BO22" s="20">
        <f>'Hexylene Glycol'!BT16</f>
        <v>1.2895613322502031</v>
      </c>
      <c r="BP22" s="20">
        <f>'Hexylene Glycol'!BU16</f>
        <v>1.2895613322502031</v>
      </c>
      <c r="BQ22" s="20">
        <f>'Hexylene Glycol'!BV16</f>
        <v>1.3141348497156784</v>
      </c>
      <c r="BR22" s="20">
        <f>'Hexylene Glycol'!BW16</f>
        <v>1.3092201462225832</v>
      </c>
      <c r="BS22" s="20">
        <f>'Hexylene Glycol'!BX16</f>
        <v>1.3092201462225832</v>
      </c>
    </row>
    <row r="23" spans="1:71">
      <c r="A23" s="8" t="s">
        <v>212</v>
      </c>
      <c r="B23" s="263" t="s">
        <v>224</v>
      </c>
      <c r="C23" s="19">
        <f t="shared" si="3"/>
        <v>2.9999999999999916E-2</v>
      </c>
      <c r="D23" s="19">
        <f t="shared" si="3"/>
        <v>-4.379999999999995E-2</v>
      </c>
      <c r="E23" s="19">
        <f t="shared" si="3"/>
        <v>-8.120000000000005E-2</v>
      </c>
      <c r="F23" s="19">
        <f t="shared" si="3"/>
        <v>0</v>
      </c>
      <c r="G23" s="19">
        <f t="shared" si="3"/>
        <v>-1.749999999999996E-2</v>
      </c>
      <c r="H23" s="19">
        <f t="shared" si="3"/>
        <v>1.0000000000000009E-2</v>
      </c>
      <c r="I23" s="19">
        <f t="shared" si="3"/>
        <v>0.12249999999999994</v>
      </c>
      <c r="J23" s="19">
        <f t="shared" si="3"/>
        <v>-1.4999999999999902E-2</v>
      </c>
      <c r="K23" s="19">
        <f t="shared" si="3"/>
        <v>0</v>
      </c>
      <c r="L23" s="19">
        <f t="shared" si="3"/>
        <v>-1.0000000000000009E-2</v>
      </c>
      <c r="M23" s="19">
        <f t="shared" si="3"/>
        <v>-2.0000000000000018E-2</v>
      </c>
      <c r="N23" s="19">
        <f t="shared" si="3"/>
        <v>-1.5000000000000013E-2</v>
      </c>
      <c r="O23" s="19">
        <f t="shared" si="4"/>
        <v>-5.0000000000000044E-3</v>
      </c>
      <c r="P23" s="19">
        <f t="shared" si="4"/>
        <v>0</v>
      </c>
      <c r="Q23" s="19">
        <f t="shared" si="4"/>
        <v>0</v>
      </c>
      <c r="R23" s="19">
        <f t="shared" si="4"/>
        <v>-1.0000000000000009E-2</v>
      </c>
      <c r="S23" s="19">
        <f t="shared" si="4"/>
        <v>0</v>
      </c>
      <c r="T23" s="19">
        <f t="shared" si="4"/>
        <v>-5.0000000000000044E-2</v>
      </c>
      <c r="U23" s="19">
        <f t="shared" si="4"/>
        <v>-1.4999999999999902E-2</v>
      </c>
      <c r="V23" s="19">
        <f t="shared" si="4"/>
        <v>-1.0000000000000009E-2</v>
      </c>
      <c r="W23" s="19">
        <f t="shared" si="4"/>
        <v>2.9999999999999916E-2</v>
      </c>
      <c r="X23" s="19">
        <f t="shared" si="4"/>
        <v>0</v>
      </c>
      <c r="Y23" s="19">
        <f t="shared" si="4"/>
        <v>0</v>
      </c>
      <c r="Z23" s="19">
        <f t="shared" si="4"/>
        <v>-1.0000000000000009E-2</v>
      </c>
      <c r="AA23" s="19">
        <f t="shared" si="2"/>
        <v>0</v>
      </c>
      <c r="AB23" s="19">
        <f t="shared" si="2"/>
        <v>0</v>
      </c>
      <c r="AC23" s="19">
        <f t="shared" si="2"/>
        <v>2.5000000000000022E-2</v>
      </c>
      <c r="AD23" s="19">
        <f t="shared" si="2"/>
        <v>0</v>
      </c>
      <c r="AE23" s="19">
        <f t="shared" si="2"/>
        <v>0</v>
      </c>
      <c r="AF23" s="19">
        <f t="shared" si="2"/>
        <v>0</v>
      </c>
      <c r="AG23" s="19">
        <f t="shared" si="2"/>
        <v>-2.5000000000000022E-2</v>
      </c>
      <c r="AH23" s="19">
        <f t="shared" si="2"/>
        <v>5.0000000000000044E-3</v>
      </c>
      <c r="AI23" s="19">
        <f t="shared" si="2"/>
        <v>0</v>
      </c>
      <c r="AJ23" s="65"/>
      <c r="AL23" s="8">
        <v>0.82</v>
      </c>
      <c r="AM23" s="20">
        <f>'Diacetone alcohol '!AR10</f>
        <v>0.79</v>
      </c>
      <c r="AN23" s="20">
        <f>'Diacetone alcohol '!AS10</f>
        <v>0.83379999999999999</v>
      </c>
      <c r="AO23" s="20">
        <f>'Diacetone alcohol '!AT10</f>
        <v>0.91500000000000004</v>
      </c>
      <c r="AP23" s="20">
        <f>'Diacetone alcohol '!AU10</f>
        <v>0.91500000000000004</v>
      </c>
      <c r="AQ23" s="20">
        <f>'Diacetone alcohol '!AV10</f>
        <v>0.9325</v>
      </c>
      <c r="AR23" s="20">
        <f>'Diacetone alcohol '!AW10</f>
        <v>0.92249999999999999</v>
      </c>
      <c r="AS23" s="20">
        <f>'Diacetone alcohol '!AX10</f>
        <v>0.8</v>
      </c>
      <c r="AT23" s="20">
        <f>'Diacetone alcohol '!AY10</f>
        <v>0.81499999999999995</v>
      </c>
      <c r="AU23" s="20">
        <f>'Diacetone alcohol '!AZ10</f>
        <v>0.81499999999999995</v>
      </c>
      <c r="AV23" s="20">
        <f>'Diacetone alcohol '!BA10</f>
        <v>0.82499999999999996</v>
      </c>
      <c r="AW23" s="20">
        <f>'Diacetone alcohol '!BB10</f>
        <v>0.84499999999999997</v>
      </c>
      <c r="AX23" s="20">
        <f>'Diacetone alcohol '!BC10</f>
        <v>0.86</v>
      </c>
      <c r="AY23" s="20">
        <f>'Diacetone alcohol '!BD10</f>
        <v>0.86499999999999999</v>
      </c>
      <c r="AZ23" s="20">
        <f>'Diacetone alcohol '!BE10</f>
        <v>0.86499999999999999</v>
      </c>
      <c r="BA23" s="20">
        <f>'Diacetone alcohol '!BF10</f>
        <v>0.86499999999999999</v>
      </c>
      <c r="BB23" s="20">
        <f>'Diacetone alcohol '!BG10</f>
        <v>0.875</v>
      </c>
      <c r="BC23" s="20">
        <f>'Diacetone alcohol '!BH10</f>
        <v>0.875</v>
      </c>
      <c r="BD23" s="20">
        <f>'Diacetone alcohol '!BI10</f>
        <v>0.92500000000000004</v>
      </c>
      <c r="BE23" s="20">
        <f>'Diacetone alcohol '!BJ10</f>
        <v>0.94</v>
      </c>
      <c r="BF23" s="20">
        <f>'Diacetone alcohol '!BK10</f>
        <v>0.95</v>
      </c>
      <c r="BG23" s="20">
        <f>'Diacetone alcohol '!BL10</f>
        <v>0.92</v>
      </c>
      <c r="BH23" s="20">
        <f>'Diacetone alcohol '!BM10</f>
        <v>0.92</v>
      </c>
      <c r="BI23" s="20">
        <f>'Diacetone alcohol '!BN10</f>
        <v>0.92</v>
      </c>
      <c r="BJ23" s="20">
        <f>'Diacetone alcohol '!BO10</f>
        <v>0.93</v>
      </c>
      <c r="BK23" s="20">
        <f>'Diacetone alcohol '!BP10</f>
        <v>0.93</v>
      </c>
      <c r="BL23" s="20">
        <f>'Diacetone alcohol '!BQ10</f>
        <v>0.93</v>
      </c>
      <c r="BM23" s="20">
        <f>'Diacetone alcohol '!BR10</f>
        <v>0.90500000000000003</v>
      </c>
      <c r="BN23" s="20">
        <f>'Diacetone alcohol '!BS10</f>
        <v>0.90500000000000003</v>
      </c>
      <c r="BO23" s="20">
        <f>'Diacetone alcohol '!BT10</f>
        <v>0.90500000000000003</v>
      </c>
      <c r="BP23" s="20">
        <f>'Diacetone alcohol '!BU10</f>
        <v>0.90500000000000003</v>
      </c>
      <c r="BQ23" s="20">
        <f>'Diacetone alcohol '!BV10</f>
        <v>0.93</v>
      </c>
      <c r="BR23" s="20">
        <f>'Diacetone alcohol '!BW10</f>
        <v>0.92500000000000004</v>
      </c>
      <c r="BS23" s="20">
        <f>'Diacetone alcohol '!BX10</f>
        <v>0.92500000000000004</v>
      </c>
    </row>
    <row r="24" spans="1:71">
      <c r="A24" s="8" t="s">
        <v>212</v>
      </c>
      <c r="B24" s="263" t="s">
        <v>225</v>
      </c>
      <c r="C24" s="19">
        <f t="shared" si="3"/>
        <v>0.63366043104162362</v>
      </c>
      <c r="D24" s="19">
        <f t="shared" si="3"/>
        <v>-0.1993106331694916</v>
      </c>
      <c r="E24" s="19">
        <f t="shared" si="3"/>
        <v>7.29732700972896E-2</v>
      </c>
      <c r="F24" s="19">
        <f t="shared" si="3"/>
        <v>0.25111230648021543</v>
      </c>
      <c r="G24" s="19">
        <f t="shared" si="3"/>
        <v>0.18400676211305722</v>
      </c>
      <c r="H24" s="19">
        <f t="shared" si="3"/>
        <v>0.17834622896074759</v>
      </c>
      <c r="I24" s="19">
        <f t="shared" si="3"/>
        <v>0</v>
      </c>
      <c r="J24" s="19">
        <f t="shared" si="3"/>
        <v>0.10252498462333204</v>
      </c>
      <c r="K24" s="19">
        <f t="shared" si="3"/>
        <v>7.6000000000000512E-2</v>
      </c>
      <c r="L24" s="19">
        <f t="shared" si="3"/>
        <v>0.30399999999999849</v>
      </c>
      <c r="M24" s="19">
        <f t="shared" si="3"/>
        <v>0.50400000000000134</v>
      </c>
      <c r="N24" s="19">
        <f t="shared" si="3"/>
        <v>0</v>
      </c>
      <c r="O24" s="19">
        <f t="shared" si="4"/>
        <v>0</v>
      </c>
      <c r="P24" s="19">
        <f t="shared" si="4"/>
        <v>-1.0048703849175666E-2</v>
      </c>
      <c r="Q24" s="19">
        <f t="shared" si="4"/>
        <v>7.64774465622029E-2</v>
      </c>
      <c r="R24" s="19">
        <f t="shared" si="4"/>
        <v>0</v>
      </c>
      <c r="S24" s="19">
        <f t="shared" si="4"/>
        <v>-7.6000000000000512E-2</v>
      </c>
      <c r="T24" s="19">
        <f t="shared" si="4"/>
        <v>7.6000000000000512E-2</v>
      </c>
      <c r="U24" s="19">
        <f t="shared" si="4"/>
        <v>0</v>
      </c>
      <c r="V24" s="19">
        <f t="shared" si="4"/>
        <v>0</v>
      </c>
      <c r="W24" s="19">
        <f t="shared" si="4"/>
        <v>-4.2095009715962917E-2</v>
      </c>
      <c r="X24" s="19">
        <f t="shared" si="4"/>
        <v>-2.0857485426056144E-2</v>
      </c>
      <c r="Y24" s="19">
        <f t="shared" si="4"/>
        <v>0</v>
      </c>
      <c r="Z24" s="19">
        <f t="shared" si="4"/>
        <v>4.8667465994128634E-2</v>
      </c>
      <c r="AA24" s="19">
        <f t="shared" si="2"/>
        <v>0</v>
      </c>
      <c r="AB24" s="19">
        <f t="shared" si="2"/>
        <v>0</v>
      </c>
      <c r="AC24" s="19">
        <f t="shared" si="2"/>
        <v>0.23161996113614869</v>
      </c>
      <c r="AD24" s="19">
        <f t="shared" si="2"/>
        <v>0</v>
      </c>
      <c r="AE24" s="19">
        <f t="shared" si="2"/>
        <v>-0.20000000000000018</v>
      </c>
      <c r="AF24" s="19">
        <f t="shared" si="2"/>
        <v>0</v>
      </c>
      <c r="AG24" s="19">
        <f t="shared" si="2"/>
        <v>2.0000000000000462E-2</v>
      </c>
      <c r="AH24" s="19">
        <f t="shared" si="2"/>
        <v>0</v>
      </c>
      <c r="AI24" s="19">
        <f t="shared" si="2"/>
        <v>0</v>
      </c>
      <c r="AJ24" s="65"/>
      <c r="AL24" s="8">
        <v>6.61</v>
      </c>
      <c r="AM24" s="20">
        <f>DBNPA!AS19</f>
        <v>5.9763395689583767</v>
      </c>
      <c r="AN24" s="20">
        <f>DBNPA!AT19</f>
        <v>6.1756502021278683</v>
      </c>
      <c r="AO24" s="20">
        <f>DBNPA!AU19</f>
        <v>6.1026769320305787</v>
      </c>
      <c r="AP24" s="20">
        <f>DBNPA!AV19</f>
        <v>5.8515646255503633</v>
      </c>
      <c r="AQ24" s="20">
        <f>DBNPA!AW19</f>
        <v>5.6675578634373061</v>
      </c>
      <c r="AR24" s="20">
        <f>DBNPA!AX19</f>
        <v>5.4892116344765585</v>
      </c>
      <c r="AS24" s="20">
        <f>DBNPA!AY19</f>
        <v>5.4892116344765585</v>
      </c>
      <c r="AT24" s="20">
        <f>DBNPA!AZ19</f>
        <v>5.3866866498532264</v>
      </c>
      <c r="AU24" s="20">
        <f>DBNPA!BA19</f>
        <v>5.3106866498532259</v>
      </c>
      <c r="AV24" s="20">
        <f>DBNPA!BB19</f>
        <v>5.0066866498532274</v>
      </c>
      <c r="AW24" s="20">
        <f>DBNPA!BC19</f>
        <v>4.5026866498532261</v>
      </c>
      <c r="AX24" s="20">
        <f>DBNPA!BD19</f>
        <v>4.5026866498532261</v>
      </c>
      <c r="AY24" s="20">
        <f>DBNPA!BE19</f>
        <v>4.5026866498532261</v>
      </c>
      <c r="AZ24" s="20">
        <f>DBNPA!BF19</f>
        <v>4.5127353537024018</v>
      </c>
      <c r="BA24" s="20">
        <f>DBNPA!BG19</f>
        <v>4.4362579071401989</v>
      </c>
      <c r="BB24" s="20">
        <f>DBNPA!BH19</f>
        <v>4.4362579071401989</v>
      </c>
      <c r="BC24" s="20">
        <f>DBNPA!BI19</f>
        <v>4.5122579071401994</v>
      </c>
      <c r="BD24" s="20">
        <f>DBNPA!BJ19</f>
        <v>4.4362579071401989</v>
      </c>
      <c r="BE24" s="20">
        <f>DBNPA!BK19</f>
        <v>4.4362579071401989</v>
      </c>
      <c r="BF24" s="20">
        <f>DBNPA!BL19</f>
        <v>4.4362579071401989</v>
      </c>
      <c r="BG24" s="20">
        <f>DBNPA!BM19</f>
        <v>4.4783529168561618</v>
      </c>
      <c r="BH24" s="20">
        <f>DBNPA!BN19</f>
        <v>4.4992104022822179</v>
      </c>
      <c r="BI24" s="20">
        <f>DBNPA!BO19</f>
        <v>4.4992104022822179</v>
      </c>
      <c r="BJ24" s="20">
        <f>DBNPA!BP19</f>
        <v>4.4505429362880893</v>
      </c>
      <c r="BK24" s="20">
        <f>DBNPA!BQ19</f>
        <v>4.4505429362880893</v>
      </c>
      <c r="BL24" s="20">
        <f>DBNPA!BR19</f>
        <v>4.4505429362880893</v>
      </c>
      <c r="BM24" s="20">
        <f>DBNPA!BS19</f>
        <v>4.2189229751519406</v>
      </c>
      <c r="BN24" s="20">
        <f>DBNPA!BT19</f>
        <v>4.2189229751519406</v>
      </c>
      <c r="BO24" s="20">
        <f>DBNPA!BU19</f>
        <v>4.4189229751519408</v>
      </c>
      <c r="BP24" s="20">
        <f>DBNPA!BV19</f>
        <v>4.4189229751519408</v>
      </c>
      <c r="BQ24" s="20">
        <f>DBNPA!BW19</f>
        <v>4.3989229751519403</v>
      </c>
      <c r="BR24" s="20">
        <f>DBNPA!BX19</f>
        <v>4.3989229751519403</v>
      </c>
      <c r="BS24" s="20">
        <f>DBNPA!BY19</f>
        <v>4.3989229751519403</v>
      </c>
    </row>
    <row r="25" spans="1:71">
      <c r="A25" s="8" t="s">
        <v>203</v>
      </c>
      <c r="B25" s="263" t="s">
        <v>226</v>
      </c>
      <c r="C25" s="19">
        <f t="shared" si="3"/>
        <v>0.17721301236594456</v>
      </c>
      <c r="D25" s="19">
        <f t="shared" si="3"/>
        <v>-7.5476912495722193E-3</v>
      </c>
      <c r="E25" s="19">
        <f t="shared" si="3"/>
        <v>2.0467345310014817E-2</v>
      </c>
      <c r="F25" s="19">
        <f t="shared" si="3"/>
        <v>-5.2317516561762645E-2</v>
      </c>
      <c r="G25" s="19">
        <f t="shared" si="3"/>
        <v>8.4128250028840945E-3</v>
      </c>
      <c r="H25" s="19">
        <f t="shared" si="3"/>
        <v>5.4811739828195094E-2</v>
      </c>
      <c r="I25" s="19">
        <f t="shared" si="3"/>
        <v>1.1410027769146236E-2</v>
      </c>
      <c r="J25" s="19">
        <f t="shared" si="3"/>
        <v>5.4730001593645827E-3</v>
      </c>
      <c r="K25" s="19">
        <f t="shared" si="3"/>
        <v>-2.6380775739687223E-4</v>
      </c>
      <c r="L25" s="19">
        <f t="shared" si="3"/>
        <v>3.6010713390191018E-3</v>
      </c>
      <c r="M25" s="19">
        <f t="shared" si="3"/>
        <v>-1.0921259591326837E-2</v>
      </c>
      <c r="N25" s="19">
        <f t="shared" si="3"/>
        <v>-5.3354076209202184E-3</v>
      </c>
      <c r="O25" s="19">
        <f t="shared" si="4"/>
        <v>0</v>
      </c>
      <c r="P25" s="19">
        <f t="shared" si="4"/>
        <v>-5.7229552348569968E-4</v>
      </c>
      <c r="Q25" s="19">
        <f t="shared" si="4"/>
        <v>-8.5644709628636129E-2</v>
      </c>
      <c r="R25" s="19">
        <f t="shared" si="4"/>
        <v>3.1249232250338821E-3</v>
      </c>
      <c r="S25" s="19">
        <f t="shared" si="4"/>
        <v>-3.2392705850790016E-3</v>
      </c>
      <c r="T25" s="19">
        <f t="shared" si="4"/>
        <v>3.136621149688601E-4</v>
      </c>
      <c r="U25" s="19">
        <f t="shared" si="4"/>
        <v>-1.2913336491483074E-2</v>
      </c>
      <c r="V25" s="19">
        <f t="shared" si="4"/>
        <v>-1.4304801209611862E-2</v>
      </c>
      <c r="W25" s="19">
        <f t="shared" si="4"/>
        <v>1.7417168457663168E-2</v>
      </c>
      <c r="X25" s="19">
        <f t="shared" si="4"/>
        <v>2.3998767205359872E-2</v>
      </c>
      <c r="Y25" s="19">
        <f t="shared" si="4"/>
        <v>1.4293013767556539E-2</v>
      </c>
      <c r="Z25" s="19">
        <f t="shared" si="4"/>
        <v>-3.3662822805924364E-5</v>
      </c>
      <c r="AA25" s="19">
        <f t="shared" si="2"/>
        <v>0</v>
      </c>
      <c r="AB25" s="19">
        <f t="shared" si="2"/>
        <v>1.5688580181083545E-4</v>
      </c>
      <c r="AC25" s="19">
        <f t="shared" si="2"/>
        <v>7.824538280942761E-5</v>
      </c>
      <c r="AD25" s="19">
        <f t="shared" si="2"/>
        <v>7.9889453777897135E-3</v>
      </c>
      <c r="AE25" s="19">
        <f t="shared" si="2"/>
        <v>-1.6069667255133924E-2</v>
      </c>
      <c r="AF25" s="19">
        <f t="shared" si="2"/>
        <v>8.3426213500104041E-5</v>
      </c>
      <c r="AG25" s="19">
        <f t="shared" si="2"/>
        <v>-3.5049900504345421E-2</v>
      </c>
      <c r="AH25" s="19">
        <f t="shared" si="2"/>
        <v>-1.5487081459313323E-2</v>
      </c>
      <c r="AI25" s="19">
        <f t="shared" si="2"/>
        <v>1.0641829886504084E-4</v>
      </c>
      <c r="AJ25" s="65"/>
      <c r="AL25" s="8">
        <v>1.81</v>
      </c>
      <c r="AM25" s="20">
        <f>DNBA!AS15</f>
        <v>1.6327869876340555</v>
      </c>
      <c r="AN25" s="20">
        <f>DNBA!AT15</f>
        <v>1.6403346788836277</v>
      </c>
      <c r="AO25" s="20">
        <f>DNBA!AU15</f>
        <v>1.6198673335736129</v>
      </c>
      <c r="AP25" s="20">
        <f>DNBA!AV15</f>
        <v>1.6721848501353755</v>
      </c>
      <c r="AQ25" s="20">
        <f>DNBA!AW15</f>
        <v>1.6637720251324914</v>
      </c>
      <c r="AR25" s="20">
        <f>DNBA!AX15</f>
        <v>1.6089602853042964</v>
      </c>
      <c r="AS25" s="20">
        <f>DNBA!AY15</f>
        <v>1.5975502575351501</v>
      </c>
      <c r="AT25" s="20">
        <f>DNBA!AZ15</f>
        <v>1.5920772573757855</v>
      </c>
      <c r="AU25" s="20">
        <f>DNBA!BA15</f>
        <v>1.5923410651331824</v>
      </c>
      <c r="AV25" s="20">
        <f>DNBA!BB15</f>
        <v>1.5887399937941633</v>
      </c>
      <c r="AW25" s="20">
        <f>DNBA!BC15</f>
        <v>1.5996612533854901</v>
      </c>
      <c r="AX25" s="20">
        <f>DNBA!BD15</f>
        <v>1.6049966610064104</v>
      </c>
      <c r="AY25" s="20">
        <f>DNBA!BE15</f>
        <v>1.6049966610064104</v>
      </c>
      <c r="AZ25" s="20">
        <f>DNBA!BF15</f>
        <v>1.6055689565298961</v>
      </c>
      <c r="BA25" s="20">
        <f>DNBA!BG15</f>
        <v>1.6912136661585322</v>
      </c>
      <c r="BB25" s="20">
        <f>DNBA!BH15</f>
        <v>1.6880887429334983</v>
      </c>
      <c r="BC25" s="20">
        <f>DNBA!BI15</f>
        <v>1.6913280135185773</v>
      </c>
      <c r="BD25" s="20">
        <f>DNBA!BJ15</f>
        <v>1.6910143514036085</v>
      </c>
      <c r="BE25" s="20">
        <f>DNBA!BK15</f>
        <v>1.7039276878950915</v>
      </c>
      <c r="BF25" s="20">
        <f>DNBA!BL15</f>
        <v>1.7182324891047034</v>
      </c>
      <c r="BG25" s="20">
        <f>DNBA!BM15</f>
        <v>1.7008153206470402</v>
      </c>
      <c r="BH25" s="20">
        <f>DNBA!BN15</f>
        <v>1.6768165534416803</v>
      </c>
      <c r="BI25" s="20">
        <f>DNBA!BO15</f>
        <v>1.6625235396741238</v>
      </c>
      <c r="BJ25" s="20">
        <f>DNBA!BP15</f>
        <v>1.6625572024969297</v>
      </c>
      <c r="BK25" s="20">
        <f>DNBA!BQ15</f>
        <v>1.6625572024969297</v>
      </c>
      <c r="BL25" s="20">
        <f>DNBA!BR15</f>
        <v>1.6624003166951189</v>
      </c>
      <c r="BM25" s="20">
        <f>DNBA!BS15</f>
        <v>1.6623220713123095</v>
      </c>
      <c r="BN25" s="20">
        <f>DNBA!BT15</f>
        <v>1.6543331259345198</v>
      </c>
      <c r="BO25" s="20">
        <f>DNBA!BU15</f>
        <v>1.6704027931896537</v>
      </c>
      <c r="BP25" s="20">
        <f>DNBA!BV15</f>
        <v>1.6703193669761536</v>
      </c>
      <c r="BQ25" s="20">
        <f>DNBA!BW15</f>
        <v>1.705369267480499</v>
      </c>
      <c r="BR25" s="20">
        <f>DNBA!BX15</f>
        <v>1.7208563489398123</v>
      </c>
      <c r="BS25" s="20">
        <f>DNBA!BY15</f>
        <v>1.7207499306409473</v>
      </c>
    </row>
    <row r="26" spans="1:71">
      <c r="A26" s="8" t="s">
        <v>212</v>
      </c>
      <c r="B26" s="263" t="s">
        <v>227</v>
      </c>
      <c r="C26" s="19">
        <f t="shared" si="3"/>
        <v>0.22575708873281286</v>
      </c>
      <c r="D26" s="19">
        <f t="shared" si="3"/>
        <v>-0.14948292466359936</v>
      </c>
      <c r="E26" s="19">
        <f t="shared" si="3"/>
        <v>3.8985304174649738E-2</v>
      </c>
      <c r="F26" s="19">
        <f t="shared" si="3"/>
        <v>5.6970617558120829E-2</v>
      </c>
      <c r="G26" s="19">
        <f t="shared" si="3"/>
        <v>5.1720619860326389E-2</v>
      </c>
      <c r="H26" s="19">
        <f t="shared" si="3"/>
        <v>0.19849396991817247</v>
      </c>
      <c r="I26" s="19">
        <f t="shared" si="3"/>
        <v>7.7451036937548068E-4</v>
      </c>
      <c r="J26" s="19">
        <f t="shared" si="3"/>
        <v>-2.4009821450641455E-2</v>
      </c>
      <c r="K26" s="19">
        <f t="shared" si="3"/>
        <v>-3.8725518468776254E-3</v>
      </c>
      <c r="L26" s="19">
        <f t="shared" si="3"/>
        <v>-4.5612747723361213E-2</v>
      </c>
      <c r="M26" s="19">
        <f t="shared" si="3"/>
        <v>-1.1617655540632876E-2</v>
      </c>
      <c r="N26" s="19">
        <f t="shared" si="3"/>
        <v>-8.8712380872986607E-2</v>
      </c>
      <c r="O26" s="19">
        <f t="shared" si="4"/>
        <v>4.3741146808486953E-3</v>
      </c>
      <c r="P26" s="19">
        <f t="shared" si="4"/>
        <v>-1.5490207387510502E-2</v>
      </c>
      <c r="Q26" s="19">
        <f t="shared" si="4"/>
        <v>-1.5490207387510502E-2</v>
      </c>
      <c r="R26" s="19">
        <f t="shared" si="4"/>
        <v>-9.1868901276100479E-2</v>
      </c>
      <c r="S26" s="19">
        <f t="shared" si="4"/>
        <v>-2.71078629281436E-2</v>
      </c>
      <c r="T26" s="19">
        <f t="shared" si="4"/>
        <v>-3.8725518468776254E-3</v>
      </c>
      <c r="U26" s="19">
        <f t="shared" si="4"/>
        <v>-1.1403186930840192E-2</v>
      </c>
      <c r="V26" s="19">
        <f t="shared" si="4"/>
        <v>0</v>
      </c>
      <c r="W26" s="19">
        <f t="shared" si="4"/>
        <v>0</v>
      </c>
      <c r="X26" s="19">
        <f t="shared" si="4"/>
        <v>5.4132361786491945E-2</v>
      </c>
      <c r="Y26" s="19">
        <f t="shared" si="4"/>
        <v>2.2806373861680607E-2</v>
      </c>
      <c r="Z26" s="19">
        <f t="shared" si="4"/>
        <v>5.0343174009408465E-3</v>
      </c>
      <c r="AA26" s="19">
        <f t="shared" si="2"/>
        <v>2.7107862928144044E-3</v>
      </c>
      <c r="AB26" s="19">
        <f t="shared" si="2"/>
        <v>1.8588248865012869E-2</v>
      </c>
      <c r="AC26" s="19">
        <f t="shared" si="2"/>
        <v>2.323531108126442E-3</v>
      </c>
      <c r="AD26" s="19">
        <f t="shared" si="2"/>
        <v>1.0068634801881915E-2</v>
      </c>
      <c r="AE26" s="19">
        <f t="shared" si="2"/>
        <v>1.2607846206862172E-2</v>
      </c>
      <c r="AF26" s="19">
        <f t="shared" si="2"/>
        <v>0</v>
      </c>
      <c r="AG26" s="19">
        <f t="shared" si="2"/>
        <v>-1.8975504049700609E-2</v>
      </c>
      <c r="AH26" s="19">
        <f t="shared" si="2"/>
        <v>-3.1754925144396706E-2</v>
      </c>
      <c r="AI26" s="19">
        <f t="shared" si="2"/>
        <v>-5.8088277703163271E-3</v>
      </c>
      <c r="AJ26" s="65"/>
      <c r="AL26" s="8">
        <v>1.38</v>
      </c>
      <c r="AM26" s="20">
        <f>DTBP!AS18</f>
        <v>1.154242911267187</v>
      </c>
      <c r="AN26" s="20">
        <f>DTBP!AT18</f>
        <v>1.3037258359307864</v>
      </c>
      <c r="AO26" s="20">
        <f>DTBP!AU18</f>
        <v>1.2647405317561367</v>
      </c>
      <c r="AP26" s="20">
        <f>DTBP!AV18</f>
        <v>1.2077699141980158</v>
      </c>
      <c r="AQ26" s="20">
        <f>DTBP!AW18</f>
        <v>1.1560492943376894</v>
      </c>
      <c r="AR26" s="20">
        <f>DTBP!AX18</f>
        <v>0.95755532441951696</v>
      </c>
      <c r="AS26" s="20">
        <f>DTBP!AY18</f>
        <v>0.95678081405014148</v>
      </c>
      <c r="AT26" s="20">
        <f>DTBP!AZ18</f>
        <v>0.98079063550078294</v>
      </c>
      <c r="AU26" s="20">
        <f>DTBP!BA18</f>
        <v>0.98466318734766056</v>
      </c>
      <c r="AV26" s="20">
        <f>DTBP!BB18</f>
        <v>1.0302759350710218</v>
      </c>
      <c r="AW26" s="20">
        <f>DTBP!BC18</f>
        <v>1.0418935906116547</v>
      </c>
      <c r="AX26" s="20">
        <f>DTBP!BD18</f>
        <v>1.1306059714846413</v>
      </c>
      <c r="AY26" s="20">
        <f>DTBP!BE18</f>
        <v>1.1262318568037926</v>
      </c>
      <c r="AZ26" s="20">
        <f>DTBP!BF18</f>
        <v>1.1417220641913031</v>
      </c>
      <c r="BA26" s="20">
        <f>DTBP!BG18</f>
        <v>1.1572122715788136</v>
      </c>
      <c r="BB26" s="20">
        <f>DTBP!BH18</f>
        <v>1.249081172854914</v>
      </c>
      <c r="BC26" s="20">
        <f>DTBP!BI18</f>
        <v>1.2761890357830576</v>
      </c>
      <c r="BD26" s="20">
        <f>DTBP!BJ18</f>
        <v>1.2800615876299353</v>
      </c>
      <c r="BE26" s="20">
        <f>DTBP!BK18</f>
        <v>1.2914647745607755</v>
      </c>
      <c r="BF26" s="20">
        <f>DTBP!BL18</f>
        <v>1.2914647745607755</v>
      </c>
      <c r="BG26" s="20">
        <f>DTBP!BM18</f>
        <v>1.2914647745607755</v>
      </c>
      <c r="BH26" s="20">
        <f>DTBP!BN18</f>
        <v>1.2373324127742835</v>
      </c>
      <c r="BI26" s="20">
        <f>DTBP!BO18</f>
        <v>1.2145260389126029</v>
      </c>
      <c r="BJ26" s="20">
        <f>DTBP!BP18</f>
        <v>1.2094917215116621</v>
      </c>
      <c r="BK26" s="20">
        <f>DTBP!BQ18</f>
        <v>1.2067809352188477</v>
      </c>
      <c r="BL26" s="20">
        <f>DTBP!BR18</f>
        <v>1.1881926863538348</v>
      </c>
      <c r="BM26" s="20">
        <f>DTBP!BS18</f>
        <v>1.1858691552457084</v>
      </c>
      <c r="BN26" s="20">
        <f>DTBP!BT18</f>
        <v>1.1758005204438264</v>
      </c>
      <c r="BO26" s="20">
        <f>DTBP!BU18</f>
        <v>1.1631926742369643</v>
      </c>
      <c r="BP26" s="20">
        <f>DTBP!BV18</f>
        <v>1.1631926742369643</v>
      </c>
      <c r="BQ26" s="20">
        <f>DTBP!BW18</f>
        <v>1.1821681782866649</v>
      </c>
      <c r="BR26" s="20">
        <f>DTBP!BX18</f>
        <v>1.2139231034310616</v>
      </c>
      <c r="BS26" s="20">
        <f>DTBP!BY18</f>
        <v>1.2197319312013779</v>
      </c>
    </row>
    <row r="27" spans="1:71">
      <c r="A27" s="8" t="s">
        <v>212</v>
      </c>
      <c r="B27" s="263" t="s">
        <v>228</v>
      </c>
      <c r="C27" s="19">
        <f t="shared" si="3"/>
        <v>7.5000000000000622E-3</v>
      </c>
      <c r="D27" s="19">
        <f t="shared" si="3"/>
        <v>-1.1249999999999982E-2</v>
      </c>
      <c r="E27" s="19">
        <f t="shared" si="3"/>
        <v>-7.5000000000000622E-3</v>
      </c>
      <c r="F27" s="19">
        <f t="shared" si="3"/>
        <v>1.375000000000004E-2</v>
      </c>
      <c r="G27" s="19">
        <f t="shared" si="3"/>
        <v>1.2499999999999956E-2</v>
      </c>
      <c r="H27" s="19">
        <f t="shared" si="3"/>
        <v>5.0000000000000044E-3</v>
      </c>
      <c r="I27" s="19">
        <f t="shared" si="3"/>
        <v>0</v>
      </c>
      <c r="J27" s="19">
        <f t="shared" si="3"/>
        <v>5.0000000000000044E-3</v>
      </c>
      <c r="K27" s="19">
        <f t="shared" si="3"/>
        <v>0</v>
      </c>
      <c r="L27" s="19">
        <f t="shared" si="3"/>
        <v>0</v>
      </c>
      <c r="M27" s="19">
        <f t="shared" si="3"/>
        <v>0</v>
      </c>
      <c r="N27" s="19">
        <f t="shared" si="3"/>
        <v>-1.0000000000000009E-2</v>
      </c>
      <c r="O27" s="19">
        <f t="shared" si="4"/>
        <v>0</v>
      </c>
      <c r="P27" s="19">
        <f t="shared" si="4"/>
        <v>0</v>
      </c>
      <c r="Q27" s="19">
        <f t="shared" si="4"/>
        <v>0</v>
      </c>
      <c r="R27" s="19">
        <f t="shared" si="4"/>
        <v>0</v>
      </c>
      <c r="S27" s="19">
        <f t="shared" si="4"/>
        <v>-1.0000000000000009E-2</v>
      </c>
      <c r="T27" s="19">
        <f t="shared" si="4"/>
        <v>0</v>
      </c>
      <c r="U27" s="19">
        <f t="shared" si="4"/>
        <v>0</v>
      </c>
      <c r="V27" s="19">
        <f t="shared" si="4"/>
        <v>0</v>
      </c>
      <c r="W27" s="19">
        <f t="shared" si="4"/>
        <v>0</v>
      </c>
      <c r="X27" s="19">
        <f t="shared" si="4"/>
        <v>0</v>
      </c>
      <c r="Y27" s="19">
        <f t="shared" si="4"/>
        <v>0</v>
      </c>
      <c r="Z27" s="19">
        <f t="shared" si="4"/>
        <v>7.5000000000000622E-3</v>
      </c>
      <c r="AA27" s="19">
        <f t="shared" si="2"/>
        <v>0</v>
      </c>
      <c r="AB27" s="19">
        <f t="shared" si="2"/>
        <v>0</v>
      </c>
      <c r="AC27" s="19">
        <f t="shared" si="2"/>
        <v>0</v>
      </c>
      <c r="AD27" s="19">
        <f t="shared" si="2"/>
        <v>-1.0000000000000009E-2</v>
      </c>
      <c r="AE27" s="19">
        <f t="shared" si="2"/>
        <v>0</v>
      </c>
      <c r="AF27" s="19">
        <f t="shared" si="2"/>
        <v>0</v>
      </c>
      <c r="AG27" s="19">
        <f t="shared" si="2"/>
        <v>-1.2500000000000844E-3</v>
      </c>
      <c r="AH27" s="19">
        <f t="shared" si="2"/>
        <v>0</v>
      </c>
      <c r="AI27" s="19">
        <f t="shared" si="2"/>
        <v>0</v>
      </c>
      <c r="AJ27" s="65"/>
      <c r="AL27" s="8">
        <v>0.54</v>
      </c>
      <c r="AM27" s="20">
        <f>Paraformaldehyde!AS15</f>
        <v>0.53249999999999997</v>
      </c>
      <c r="AN27" s="20">
        <f>Paraformaldehyde!AT15</f>
        <v>0.54374999999999996</v>
      </c>
      <c r="AO27" s="20">
        <f>Paraformaldehyde!AU15</f>
        <v>0.55125000000000002</v>
      </c>
      <c r="AP27" s="20">
        <f>Paraformaldehyde!AV15</f>
        <v>0.53749999999999998</v>
      </c>
      <c r="AQ27" s="20">
        <f>Paraformaldehyde!AW15</f>
        <v>0.52500000000000002</v>
      </c>
      <c r="AR27" s="20">
        <f>Paraformaldehyde!AX15</f>
        <v>0.52</v>
      </c>
      <c r="AS27" s="20">
        <f>Paraformaldehyde!AY15</f>
        <v>0.52</v>
      </c>
      <c r="AT27" s="20">
        <f>Paraformaldehyde!AZ15</f>
        <v>0.51500000000000001</v>
      </c>
      <c r="AU27" s="20">
        <f>Paraformaldehyde!BA15</f>
        <v>0.51500000000000001</v>
      </c>
      <c r="AV27" s="20">
        <f>Paraformaldehyde!BB15</f>
        <v>0.51500000000000001</v>
      </c>
      <c r="AW27" s="20">
        <f>Paraformaldehyde!BC15</f>
        <v>0.51500000000000001</v>
      </c>
      <c r="AX27" s="20">
        <f>Paraformaldehyde!BD15</f>
        <v>0.52500000000000002</v>
      </c>
      <c r="AY27" s="20">
        <f>Paraformaldehyde!BE15</f>
        <v>0.52500000000000002</v>
      </c>
      <c r="AZ27" s="20">
        <f>Paraformaldehyde!BF15</f>
        <v>0.52500000000000002</v>
      </c>
      <c r="BA27" s="20">
        <f>Paraformaldehyde!BG15</f>
        <v>0.52500000000000002</v>
      </c>
      <c r="BB27" s="20">
        <f>Paraformaldehyde!BH15</f>
        <v>0.52500000000000002</v>
      </c>
      <c r="BC27" s="20">
        <f>Paraformaldehyde!BI15</f>
        <v>0.53500000000000003</v>
      </c>
      <c r="BD27" s="20">
        <f>Paraformaldehyde!BJ15</f>
        <v>0.53500000000000003</v>
      </c>
      <c r="BE27" s="20">
        <f>Paraformaldehyde!BK15</f>
        <v>0.53500000000000003</v>
      </c>
      <c r="BF27" s="20">
        <f>Paraformaldehyde!BL15</f>
        <v>0.53500000000000003</v>
      </c>
      <c r="BG27" s="20">
        <f>Paraformaldehyde!BM15</f>
        <v>0.53500000000000003</v>
      </c>
      <c r="BH27" s="20">
        <f>Paraformaldehyde!BN15</f>
        <v>0.53500000000000003</v>
      </c>
      <c r="BI27" s="20">
        <f>Paraformaldehyde!BO15</f>
        <v>0.53500000000000003</v>
      </c>
      <c r="BJ27" s="20">
        <f>Paraformaldehyde!BP15</f>
        <v>0.52749999999999997</v>
      </c>
      <c r="BK27" s="20">
        <f>Paraformaldehyde!BQ15</f>
        <v>0.52749999999999997</v>
      </c>
      <c r="BL27" s="20">
        <f>Paraformaldehyde!BR15</f>
        <v>0.52749999999999997</v>
      </c>
      <c r="BM27" s="20">
        <f>Paraformaldehyde!BS15</f>
        <v>0.52749999999999997</v>
      </c>
      <c r="BN27" s="20">
        <f>Paraformaldehyde!BT15</f>
        <v>0.53749999999999998</v>
      </c>
      <c r="BO27" s="20">
        <f>Paraformaldehyde!BU15</f>
        <v>0.53749999999999998</v>
      </c>
      <c r="BP27" s="20">
        <f>Paraformaldehyde!BV15</f>
        <v>0.53749999999999998</v>
      </c>
      <c r="BQ27" s="20">
        <f>Paraformaldehyde!BW15</f>
        <v>0.53875000000000006</v>
      </c>
      <c r="BR27" s="20">
        <f>Paraformaldehyde!BX15</f>
        <v>0.53875000000000006</v>
      </c>
      <c r="BS27" s="20">
        <f>Paraformaldehyde!BY15</f>
        <v>0.53875000000000006</v>
      </c>
    </row>
    <row r="28" spans="1:71">
      <c r="A28" s="8" t="s">
        <v>229</v>
      </c>
      <c r="B28" s="263" t="s">
        <v>118</v>
      </c>
      <c r="C28" s="19">
        <f t="shared" si="3"/>
        <v>0.10099999999999987</v>
      </c>
      <c r="D28" s="19">
        <f t="shared" si="3"/>
        <v>-4.8180000000000001E-2</v>
      </c>
      <c r="E28" s="19">
        <f t="shared" si="3"/>
        <v>-8.9320000000000066E-2</v>
      </c>
      <c r="F28" s="19">
        <f t="shared" si="3"/>
        <v>0</v>
      </c>
      <c r="G28" s="19">
        <f t="shared" si="3"/>
        <v>-1.9249999999999989E-2</v>
      </c>
      <c r="H28" s="19">
        <f t="shared" si="3"/>
        <v>1.1000000000000121E-2</v>
      </c>
      <c r="I28" s="19">
        <f t="shared" si="3"/>
        <v>0.13474999999999993</v>
      </c>
      <c r="J28" s="19">
        <f t="shared" si="3"/>
        <v>-1.6499999999999848E-2</v>
      </c>
      <c r="K28" s="19">
        <f t="shared" si="3"/>
        <v>0</v>
      </c>
      <c r="L28" s="19">
        <f t="shared" si="3"/>
        <v>-1.100000000000001E-2</v>
      </c>
      <c r="M28" s="19">
        <f t="shared" si="3"/>
        <v>-2.200000000000002E-2</v>
      </c>
      <c r="N28" s="19">
        <f t="shared" si="3"/>
        <v>-1.650000000000007E-2</v>
      </c>
      <c r="O28" s="19">
        <f t="shared" si="4"/>
        <v>-5.4999999999999494E-3</v>
      </c>
      <c r="P28" s="19">
        <f t="shared" si="4"/>
        <v>0</v>
      </c>
      <c r="Q28" s="19">
        <f t="shared" si="4"/>
        <v>0</v>
      </c>
      <c r="R28" s="19">
        <f t="shared" si="4"/>
        <v>-1.1000000000000121E-2</v>
      </c>
      <c r="S28" s="19">
        <f t="shared" si="4"/>
        <v>0</v>
      </c>
      <c r="T28" s="19">
        <f t="shared" si="4"/>
        <v>-5.4999999999999938E-2</v>
      </c>
      <c r="U28" s="19">
        <f t="shared" si="4"/>
        <v>-1.6499999999999959E-2</v>
      </c>
      <c r="V28" s="19">
        <f t="shared" si="4"/>
        <v>-1.0999999999999899E-2</v>
      </c>
      <c r="W28" s="19">
        <f t="shared" si="4"/>
        <v>3.2999999999999696E-2</v>
      </c>
      <c r="X28" s="19">
        <f t="shared" si="4"/>
        <v>0</v>
      </c>
      <c r="Y28" s="19">
        <f t="shared" si="4"/>
        <v>0</v>
      </c>
      <c r="Z28" s="19">
        <f t="shared" si="4"/>
        <v>-1.0999999999999899E-2</v>
      </c>
      <c r="AA28" s="19">
        <f t="shared" si="2"/>
        <v>0</v>
      </c>
      <c r="AB28" s="19">
        <f t="shared" si="2"/>
        <v>0</v>
      </c>
      <c r="AC28" s="19">
        <f t="shared" si="2"/>
        <v>2.750000000000008E-2</v>
      </c>
      <c r="AD28" s="19">
        <f t="shared" si="2"/>
        <v>0</v>
      </c>
      <c r="AE28" s="19">
        <f t="shared" si="2"/>
        <v>0</v>
      </c>
      <c r="AF28" s="19">
        <f t="shared" si="2"/>
        <v>0</v>
      </c>
      <c r="AG28" s="19">
        <f t="shared" si="2"/>
        <v>-2.750000000000008E-2</v>
      </c>
      <c r="AH28" s="19">
        <f t="shared" si="2"/>
        <v>5.5000000000000604E-3</v>
      </c>
      <c r="AI28" s="19">
        <f t="shared" si="2"/>
        <v>0</v>
      </c>
      <c r="AJ28" s="65"/>
      <c r="AL28" s="8">
        <v>0.98</v>
      </c>
      <c r="AM28" s="20">
        <f>IPA!AS15</f>
        <v>0.87900000000000011</v>
      </c>
      <c r="AN28" s="20">
        <f>IPA!AT15</f>
        <v>0.92718000000000012</v>
      </c>
      <c r="AO28" s="20">
        <f>IPA!AU15</f>
        <v>1.0165000000000002</v>
      </c>
      <c r="AP28" s="20">
        <f>IPA!AV15</f>
        <v>1.0165000000000002</v>
      </c>
      <c r="AQ28" s="20">
        <f>IPA!AW15</f>
        <v>1.0357500000000002</v>
      </c>
      <c r="AR28" s="20">
        <f>IPA!AX15</f>
        <v>1.02475</v>
      </c>
      <c r="AS28" s="20">
        <f>IPA!AY15</f>
        <v>0.89000000000000012</v>
      </c>
      <c r="AT28" s="20">
        <f>IPA!AZ15</f>
        <v>0.90649999999999997</v>
      </c>
      <c r="AU28" s="20">
        <f>IPA!BA15</f>
        <v>0.90649999999999997</v>
      </c>
      <c r="AV28" s="20">
        <f>IPA!BB15</f>
        <v>0.91749999999999998</v>
      </c>
      <c r="AW28" s="20">
        <f>IPA!BC15</f>
        <v>0.9395</v>
      </c>
      <c r="AX28" s="20">
        <f>IPA!BD15</f>
        <v>0.95600000000000007</v>
      </c>
      <c r="AY28" s="20">
        <f>IPA!BE15</f>
        <v>0.96150000000000002</v>
      </c>
      <c r="AZ28" s="20">
        <f>IPA!BF15</f>
        <v>0.96150000000000002</v>
      </c>
      <c r="BA28" s="20">
        <f>IPA!BG15</f>
        <v>0.96150000000000002</v>
      </c>
      <c r="BB28" s="20">
        <f>IPA!BH15</f>
        <v>0.97250000000000014</v>
      </c>
      <c r="BC28" s="20">
        <f>IPA!BI15</f>
        <v>0.97250000000000014</v>
      </c>
      <c r="BD28" s="20">
        <f>IPA!BJ15</f>
        <v>1.0275000000000001</v>
      </c>
      <c r="BE28" s="20">
        <f>IPA!BK15</f>
        <v>1.044</v>
      </c>
      <c r="BF28" s="20">
        <f>IPA!BL15</f>
        <v>1.0549999999999999</v>
      </c>
      <c r="BG28" s="20">
        <f>IPA!BM15</f>
        <v>1.0220000000000002</v>
      </c>
      <c r="BH28" s="20">
        <f>IPA!BN15</f>
        <v>1.0220000000000002</v>
      </c>
      <c r="BI28" s="20">
        <f>IPA!BO15</f>
        <v>1.0220000000000002</v>
      </c>
      <c r="BJ28" s="20">
        <f>IPA!BP15</f>
        <v>1.0330000000000001</v>
      </c>
      <c r="BK28" s="20">
        <f>IPA!BQ15</f>
        <v>1.0330000000000001</v>
      </c>
      <c r="BL28" s="20">
        <f>IPA!BR15</f>
        <v>1.0330000000000001</v>
      </c>
      <c r="BM28" s="20">
        <f>IPA!BS15</f>
        <v>1.0055000000000001</v>
      </c>
      <c r="BN28" s="20">
        <f>IPA!BT15</f>
        <v>1.0055000000000001</v>
      </c>
      <c r="BO28" s="20">
        <f>IPA!BU15</f>
        <v>1.0055000000000001</v>
      </c>
      <c r="BP28" s="20">
        <f>IPA!BV15</f>
        <v>1.0055000000000001</v>
      </c>
      <c r="BQ28" s="20">
        <f>IPA!BW15</f>
        <v>1.0330000000000001</v>
      </c>
      <c r="BR28" s="20">
        <f>IPA!BX15</f>
        <v>1.0275000000000001</v>
      </c>
      <c r="BS28" s="20">
        <f>IPA!BY15</f>
        <v>1.0275000000000001</v>
      </c>
    </row>
    <row r="29" spans="1:71">
      <c r="A29" s="8" t="s">
        <v>212</v>
      </c>
      <c r="B29" s="263" t="s">
        <v>230</v>
      </c>
      <c r="C29" s="19">
        <f t="shared" si="3"/>
        <v>0.19256190023696051</v>
      </c>
      <c r="D29" s="19">
        <f t="shared" si="3"/>
        <v>1.9464325290033724E-2</v>
      </c>
      <c r="E29" s="19">
        <f t="shared" si="3"/>
        <v>4.554585844022796E-3</v>
      </c>
      <c r="F29" s="19">
        <f t="shared" si="3"/>
        <v>3.6798684172673291E-2</v>
      </c>
      <c r="G29" s="19">
        <f t="shared" si="3"/>
        <v>2.427247832690238E-2</v>
      </c>
      <c r="H29" s="19">
        <f t="shared" si="3"/>
        <v>5.2511632348767545E-2</v>
      </c>
      <c r="I29" s="19">
        <f t="shared" si="3"/>
        <v>1.6759281861427056E-3</v>
      </c>
      <c r="J29" s="19">
        <f t="shared" si="3"/>
        <v>2.821972850645782E-3</v>
      </c>
      <c r="K29" s="19">
        <f t="shared" si="3"/>
        <v>2.9794102045377358E-4</v>
      </c>
      <c r="L29" s="19">
        <f t="shared" si="3"/>
        <v>-1.9919248244208987E-3</v>
      </c>
      <c r="M29" s="19">
        <f t="shared" si="3"/>
        <v>3.2843549173362518E-3</v>
      </c>
      <c r="N29" s="19">
        <f t="shared" si="3"/>
        <v>-4.067256839150879E-3</v>
      </c>
      <c r="O29" s="19">
        <f t="shared" si="4"/>
        <v>-8.0297241312679013E-3</v>
      </c>
      <c r="P29" s="19">
        <f t="shared" si="4"/>
        <v>-7.6160565608303088E-3</v>
      </c>
      <c r="Q29" s="19">
        <f t="shared" si="4"/>
        <v>8.6689313561993941E-4</v>
      </c>
      <c r="R29" s="19">
        <f t="shared" si="4"/>
        <v>-1.8891993957909747E-2</v>
      </c>
      <c r="S29" s="19">
        <f t="shared" si="4"/>
        <v>-9.6599038139419946E-3</v>
      </c>
      <c r="T29" s="19">
        <f t="shared" si="4"/>
        <v>4.4345898626931834E-3</v>
      </c>
      <c r="U29" s="19">
        <f t="shared" si="4"/>
        <v>-1.1953252907261902E-2</v>
      </c>
      <c r="V29" s="19">
        <f t="shared" si="4"/>
        <v>-3.7589201985017695E-3</v>
      </c>
      <c r="W29" s="19">
        <f t="shared" si="4"/>
        <v>8.1811185287290478E-3</v>
      </c>
      <c r="X29" s="19">
        <f t="shared" si="4"/>
        <v>3.5971923095061697E-3</v>
      </c>
      <c r="Y29" s="19">
        <f t="shared" si="4"/>
        <v>-5.4855078848259353E-4</v>
      </c>
      <c r="Z29" s="19">
        <f t="shared" si="4"/>
        <v>8.8807456789159467E-3</v>
      </c>
      <c r="AA29" s="19">
        <f t="shared" si="2"/>
        <v>0</v>
      </c>
      <c r="AB29" s="19">
        <f t="shared" si="2"/>
        <v>-7.1972987295962909E-3</v>
      </c>
      <c r="AC29" s="19">
        <f t="shared" si="2"/>
        <v>1.1968007025524585E-3</v>
      </c>
      <c r="AD29" s="19">
        <f t="shared" si="2"/>
        <v>-9.0778027671092332E-3</v>
      </c>
      <c r="AE29" s="19">
        <f t="shared" si="2"/>
        <v>2.7524039219914975E-3</v>
      </c>
      <c r="AF29" s="19">
        <f t="shared" si="2"/>
        <v>-1.0526785084802093E-2</v>
      </c>
      <c r="AG29" s="19">
        <f t="shared" si="2"/>
        <v>-3.9050946554208821E-5</v>
      </c>
      <c r="AH29" s="19">
        <f t="shared" si="2"/>
        <v>1.0786906857989109E-3</v>
      </c>
      <c r="AI29" s="19">
        <f t="shared" si="2"/>
        <v>4.6057669894570274E-3</v>
      </c>
      <c r="AJ29" s="65"/>
      <c r="AL29" s="8">
        <v>3.04</v>
      </c>
      <c r="AM29" s="20">
        <f>'60000CST'!AS18</f>
        <v>2.8474380997630395</v>
      </c>
      <c r="AN29" s="20">
        <f>'60000CST'!AT18</f>
        <v>2.8279737744730058</v>
      </c>
      <c r="AO29" s="20">
        <f>'60000CST'!AU18</f>
        <v>2.823419188628983</v>
      </c>
      <c r="AP29" s="20">
        <f>'60000CST'!AV18</f>
        <v>2.7866205044563097</v>
      </c>
      <c r="AQ29" s="20">
        <f>'60000CST'!AW18</f>
        <v>2.7623480261294073</v>
      </c>
      <c r="AR29" s="20">
        <f>'60000CST'!AX18</f>
        <v>2.7098363937806398</v>
      </c>
      <c r="AS29" s="20">
        <f>'60000CST'!AY18</f>
        <v>2.7081604655944971</v>
      </c>
      <c r="AT29" s="20">
        <f>'60000CST'!AZ18</f>
        <v>2.7053384927438513</v>
      </c>
      <c r="AU29" s="20">
        <f>'60000CST'!BA18</f>
        <v>2.7050405517233975</v>
      </c>
      <c r="AV29" s="20">
        <f>'60000CST'!BB18</f>
        <v>2.7070324765478184</v>
      </c>
      <c r="AW29" s="20">
        <f>'60000CST'!BC18</f>
        <v>2.7037481216304822</v>
      </c>
      <c r="AX29" s="20">
        <f>'60000CST'!BD18</f>
        <v>2.707815378469633</v>
      </c>
      <c r="AY29" s="20">
        <f>'60000CST'!BE18</f>
        <v>2.715845102600901</v>
      </c>
      <c r="AZ29" s="20">
        <f>'60000CST'!BF18</f>
        <v>2.7234611591617313</v>
      </c>
      <c r="BA29" s="20">
        <f>'60000CST'!BG18</f>
        <v>2.7225942660261113</v>
      </c>
      <c r="BB29" s="20">
        <f>'60000CST'!BH18</f>
        <v>2.7414862599840211</v>
      </c>
      <c r="BC29" s="20">
        <f>'60000CST'!BI18</f>
        <v>2.7511461637979631</v>
      </c>
      <c r="BD29" s="20">
        <f>'60000CST'!BJ18</f>
        <v>2.7467115739352699</v>
      </c>
      <c r="BE29" s="20">
        <f>'60000CST'!BK18</f>
        <v>2.7586648268425318</v>
      </c>
      <c r="BF29" s="20">
        <f>'60000CST'!BL18</f>
        <v>2.7624237470410336</v>
      </c>
      <c r="BG29" s="20">
        <f>'60000CST'!BM18</f>
        <v>2.7542426285123045</v>
      </c>
      <c r="BH29" s="20">
        <f>'60000CST'!BN18</f>
        <v>2.7506454362027983</v>
      </c>
      <c r="BI29" s="20">
        <f>'60000CST'!BO18</f>
        <v>2.7511939869912809</v>
      </c>
      <c r="BJ29" s="20">
        <f>'60000CST'!BP18</f>
        <v>2.742313241312365</v>
      </c>
      <c r="BK29" s="20">
        <f>'60000CST'!BQ18</f>
        <v>2.742313241312365</v>
      </c>
      <c r="BL29" s="20">
        <f>'60000CST'!BR18</f>
        <v>2.7495105400419613</v>
      </c>
      <c r="BM29" s="20">
        <f>'60000CST'!BS18</f>
        <v>2.7483137393394088</v>
      </c>
      <c r="BN29" s="20">
        <f>'60000CST'!BT18</f>
        <v>2.757391542106518</v>
      </c>
      <c r="BO29" s="20">
        <f>'60000CST'!BU18</f>
        <v>2.7546391381845265</v>
      </c>
      <c r="BP29" s="20">
        <f>'60000CST'!BV18</f>
        <v>2.7651659232693286</v>
      </c>
      <c r="BQ29" s="20">
        <f>'60000CST'!BW18</f>
        <v>2.7652049742158828</v>
      </c>
      <c r="BR29" s="20">
        <f>'60000CST'!BX18</f>
        <v>2.7641262835300839</v>
      </c>
      <c r="BS29" s="20">
        <f>'60000CST'!BY18</f>
        <v>2.7595205165406269</v>
      </c>
    </row>
    <row r="30" spans="1:71">
      <c r="A30" s="8" t="s">
        <v>212</v>
      </c>
      <c r="B30" s="263" t="s">
        <v>231</v>
      </c>
      <c r="C30" s="19">
        <f t="shared" si="3"/>
        <v>0.33299999999999974</v>
      </c>
      <c r="D30" s="19">
        <f t="shared" si="3"/>
        <v>-3.0000000000001137E-3</v>
      </c>
      <c r="E30" s="19">
        <f t="shared" si="3"/>
        <v>3.2000000000000917E-3</v>
      </c>
      <c r="F30" s="19">
        <f t="shared" si="3"/>
        <v>2.9300000000000104E-2</v>
      </c>
      <c r="G30" s="19">
        <f t="shared" si="3"/>
        <v>1.5000000000000568E-3</v>
      </c>
      <c r="H30" s="19">
        <f t="shared" si="3"/>
        <v>1.5999999999999792E-2</v>
      </c>
      <c r="I30" s="19">
        <f t="shared" si="3"/>
        <v>0</v>
      </c>
      <c r="J30" s="19">
        <f t="shared" si="3"/>
        <v>3.0000000000000027E-2</v>
      </c>
      <c r="K30" s="19">
        <f t="shared" si="3"/>
        <v>0</v>
      </c>
      <c r="L30" s="19">
        <f t="shared" si="3"/>
        <v>1.0000000000000009E-2</v>
      </c>
      <c r="M30" s="19">
        <f t="shared" si="3"/>
        <v>0</v>
      </c>
      <c r="N30" s="19">
        <f t="shared" si="3"/>
        <v>0</v>
      </c>
      <c r="O30" s="19">
        <f t="shared" si="4"/>
        <v>0</v>
      </c>
      <c r="P30" s="19">
        <f t="shared" si="4"/>
        <v>0</v>
      </c>
      <c r="Q30" s="19">
        <f t="shared" si="4"/>
        <v>-2.0000000000000018E-2</v>
      </c>
      <c r="R30" s="19">
        <f t="shared" si="4"/>
        <v>0</v>
      </c>
      <c r="S30" s="19">
        <f t="shared" si="4"/>
        <v>0</v>
      </c>
      <c r="T30" s="19">
        <f t="shared" si="4"/>
        <v>0</v>
      </c>
      <c r="U30" s="19">
        <f t="shared" si="4"/>
        <v>0</v>
      </c>
      <c r="V30" s="19">
        <f t="shared" si="4"/>
        <v>0</v>
      </c>
      <c r="W30" s="19">
        <f t="shared" si="4"/>
        <v>0</v>
      </c>
      <c r="X30" s="19">
        <f t="shared" si="4"/>
        <v>0</v>
      </c>
      <c r="Y30" s="19">
        <f t="shared" si="4"/>
        <v>0</v>
      </c>
      <c r="Z30" s="19">
        <f t="shared" si="4"/>
        <v>4.0000000000000036E-3</v>
      </c>
      <c r="AA30" s="19">
        <f t="shared" si="2"/>
        <v>0</v>
      </c>
      <c r="AB30" s="19">
        <f t="shared" si="2"/>
        <v>0</v>
      </c>
      <c r="AC30" s="19">
        <f t="shared" si="2"/>
        <v>0</v>
      </c>
      <c r="AD30" s="19">
        <f t="shared" si="2"/>
        <v>0</v>
      </c>
      <c r="AE30" s="19">
        <f t="shared" si="2"/>
        <v>0</v>
      </c>
      <c r="AF30" s="19">
        <f t="shared" si="2"/>
        <v>0</v>
      </c>
      <c r="AG30" s="19">
        <f t="shared" si="2"/>
        <v>0</v>
      </c>
      <c r="AH30" s="19">
        <f t="shared" si="2"/>
        <v>0</v>
      </c>
      <c r="AI30" s="19">
        <f t="shared" si="2"/>
        <v>0</v>
      </c>
      <c r="AJ30" s="65"/>
      <c r="AL30" s="8">
        <v>2.0099999999999998</v>
      </c>
      <c r="AM30" s="20">
        <f>CMIT!AS18</f>
        <v>1.677</v>
      </c>
      <c r="AN30" s="20">
        <f>CMIT!AT18</f>
        <v>1.6800000000000002</v>
      </c>
      <c r="AO30" s="20">
        <f>CMIT!AU18</f>
        <v>1.6768000000000001</v>
      </c>
      <c r="AP30" s="20">
        <f>CMIT!AV18</f>
        <v>1.6475</v>
      </c>
      <c r="AQ30" s="20">
        <f>CMIT!AW18</f>
        <v>1.6459999999999999</v>
      </c>
      <c r="AR30" s="20">
        <f>CMIT!AX18</f>
        <v>1.6300000000000001</v>
      </c>
      <c r="AS30" s="20">
        <f>CMIT!AY18</f>
        <v>1.6300000000000001</v>
      </c>
      <c r="AT30" s="20">
        <f>CMIT!AZ18</f>
        <v>1.6</v>
      </c>
      <c r="AU30" s="20">
        <f>CMIT!BA18</f>
        <v>1.6</v>
      </c>
      <c r="AV30" s="20">
        <f>CMIT!BB18</f>
        <v>1.59</v>
      </c>
      <c r="AW30" s="20">
        <f>CMIT!BC18</f>
        <v>1.59</v>
      </c>
      <c r="AX30" s="20">
        <f>CMIT!BD18</f>
        <v>1.59</v>
      </c>
      <c r="AY30" s="20">
        <f>CMIT!BE18</f>
        <v>1.59</v>
      </c>
      <c r="AZ30" s="20">
        <f>CMIT!BF18</f>
        <v>1.59</v>
      </c>
      <c r="BA30" s="20">
        <f>CMIT!BG18</f>
        <v>1.61</v>
      </c>
      <c r="BB30" s="20">
        <f>CMIT!BH18</f>
        <v>1.61</v>
      </c>
      <c r="BC30" s="20">
        <f>CMIT!BI18</f>
        <v>1.61</v>
      </c>
      <c r="BD30" s="20">
        <f>CMIT!BJ18</f>
        <v>1.61</v>
      </c>
      <c r="BE30" s="20">
        <f>CMIT!BK18</f>
        <v>1.61</v>
      </c>
      <c r="BF30" s="20">
        <f>CMIT!BL18</f>
        <v>1.61</v>
      </c>
      <c r="BG30" s="20">
        <f>CMIT!BM18</f>
        <v>1.61</v>
      </c>
      <c r="BH30" s="20">
        <f>CMIT!BN18</f>
        <v>1.61</v>
      </c>
      <c r="BI30" s="20">
        <f>CMIT!BO18</f>
        <v>1.61</v>
      </c>
      <c r="BJ30" s="20">
        <f>CMIT!BP18</f>
        <v>1.6060000000000001</v>
      </c>
      <c r="BK30" s="20">
        <f>CMIT!BQ18</f>
        <v>1.6060000000000001</v>
      </c>
      <c r="BL30" s="20">
        <f>CMIT!BR18</f>
        <v>1.6060000000000001</v>
      </c>
      <c r="BM30" s="20">
        <f>CMIT!BS18</f>
        <v>1.6060000000000001</v>
      </c>
      <c r="BN30" s="20">
        <f>CMIT!BT18</f>
        <v>1.6060000000000001</v>
      </c>
      <c r="BO30" s="20">
        <f>CMIT!BU18</f>
        <v>1.6060000000000001</v>
      </c>
      <c r="BP30" s="20">
        <f>CMIT!BV18</f>
        <v>1.6060000000000001</v>
      </c>
      <c r="BQ30" s="20">
        <f>CMIT!BW18</f>
        <v>1.6060000000000001</v>
      </c>
      <c r="BR30" s="20">
        <f>CMIT!BX18</f>
        <v>1.6060000000000001</v>
      </c>
      <c r="BS30" s="20">
        <f>CMIT!BY18</f>
        <v>1.6060000000000001</v>
      </c>
    </row>
    <row r="31" spans="1:71">
      <c r="A31" s="8" t="s">
        <v>207</v>
      </c>
      <c r="B31" s="263" t="s">
        <v>232</v>
      </c>
      <c r="C31" s="19">
        <f t="shared" si="3"/>
        <v>0.13156357691716636</v>
      </c>
      <c r="D31" s="19">
        <f t="shared" si="3"/>
        <v>-7.3307684032581921E-3</v>
      </c>
      <c r="E31" s="19">
        <f t="shared" si="3"/>
        <v>1.6207838481635095E-2</v>
      </c>
      <c r="F31" s="19">
        <f t="shared" si="3"/>
        <v>-1.597347164591989E-2</v>
      </c>
      <c r="G31" s="19">
        <f t="shared" si="3"/>
        <v>2.7540970493314942E-2</v>
      </c>
      <c r="H31" s="19">
        <f t="shared" si="3"/>
        <v>4.2012267558014349E-2</v>
      </c>
      <c r="I31" s="19">
        <f t="shared" si="3"/>
        <v>3.0764177040110807E-2</v>
      </c>
      <c r="J31" s="19">
        <f t="shared" si="3"/>
        <v>9.694747963731265E-3</v>
      </c>
      <c r="K31" s="19">
        <f t="shared" si="3"/>
        <v>-4.6142615644688689E-3</v>
      </c>
      <c r="L31" s="19">
        <f t="shared" si="3"/>
        <v>9.2285231289379599E-3</v>
      </c>
      <c r="M31" s="19">
        <f t="shared" si="3"/>
        <v>2.7623236514522365E-3</v>
      </c>
      <c r="N31" s="19">
        <f t="shared" si="3"/>
        <v>-4.6941233287228989E-2</v>
      </c>
      <c r="O31" s="19">
        <f t="shared" si="4"/>
        <v>-1.1535653911172616E-2</v>
      </c>
      <c r="P31" s="19">
        <f t="shared" si="4"/>
        <v>-6.9213923467035254E-3</v>
      </c>
      <c r="Q31" s="19">
        <f t="shared" si="4"/>
        <v>-9.3133863531582595E-3</v>
      </c>
      <c r="R31" s="19">
        <f t="shared" si="4"/>
        <v>-5.7678269555863082E-3</v>
      </c>
      <c r="S31" s="19">
        <f t="shared" si="4"/>
        <v>-7.197076302443528E-2</v>
      </c>
      <c r="T31" s="19">
        <f t="shared" si="4"/>
        <v>-1.3842784693407051E-2</v>
      </c>
      <c r="U31" s="19">
        <f t="shared" si="4"/>
        <v>8.9228523128938031E-2</v>
      </c>
      <c r="V31" s="19">
        <f t="shared" si="4"/>
        <v>-2.8324831719686472E-2</v>
      </c>
      <c r="W31" s="19">
        <f t="shared" si="4"/>
        <v>2.4917012448132825E-2</v>
      </c>
      <c r="X31" s="19">
        <f t="shared" si="4"/>
        <v>1.6149915475641707E-2</v>
      </c>
      <c r="Y31" s="19">
        <f t="shared" si="4"/>
        <v>7.1434968495466489E-2</v>
      </c>
      <c r="Z31" s="19">
        <f t="shared" si="4"/>
        <v>9.2285231289379599E-3</v>
      </c>
      <c r="AA31" s="19">
        <f t="shared" si="2"/>
        <v>0</v>
      </c>
      <c r="AB31" s="19">
        <f t="shared" si="2"/>
        <v>0</v>
      </c>
      <c r="AC31" s="19">
        <f t="shared" si="2"/>
        <v>2.4021383125864437E-2</v>
      </c>
      <c r="AD31" s="19">
        <f t="shared" si="2"/>
        <v>-2.0764177040110576E-2</v>
      </c>
      <c r="AE31" s="19">
        <f t="shared" ref="AE31:AI83" si="5">+BN31-BO31</f>
        <v>1.3842784693407051E-2</v>
      </c>
      <c r="AF31" s="19">
        <f t="shared" si="5"/>
        <v>-1.1535653911172172E-3</v>
      </c>
      <c r="AG31" s="19">
        <f t="shared" si="5"/>
        <v>-8.3588481635161749E-3</v>
      </c>
      <c r="AH31" s="19">
        <f t="shared" si="5"/>
        <v>2.3071307822344345E-3</v>
      </c>
      <c r="AI31" s="19">
        <f t="shared" si="5"/>
        <v>0</v>
      </c>
      <c r="AJ31" s="65"/>
      <c r="AL31" s="8">
        <v>1.56</v>
      </c>
      <c r="AM31" s="20">
        <f>'Ethyl Acetoacetate'!AS19</f>
        <v>1.4284364230828337</v>
      </c>
      <c r="AN31" s="20">
        <f>'Ethyl Acetoacetate'!AT19</f>
        <v>1.4357671914860919</v>
      </c>
      <c r="AO31" s="20">
        <f>'Ethyl Acetoacetate'!AU19</f>
        <v>1.4195593530044568</v>
      </c>
      <c r="AP31" s="20">
        <f>'Ethyl Acetoacetate'!AV19</f>
        <v>1.4355328246503767</v>
      </c>
      <c r="AQ31" s="20">
        <f>'Ethyl Acetoacetate'!AW19</f>
        <v>1.4079918541570617</v>
      </c>
      <c r="AR31" s="20">
        <f>'Ethyl Acetoacetate'!AX19</f>
        <v>1.3659795865990474</v>
      </c>
      <c r="AS31" s="20">
        <f>'Ethyl Acetoacetate'!AY19</f>
        <v>1.3352154095589366</v>
      </c>
      <c r="AT31" s="20">
        <f>'Ethyl Acetoacetate'!AZ19</f>
        <v>1.3255206615952053</v>
      </c>
      <c r="AU31" s="20">
        <f>'Ethyl Acetoacetate'!BA19</f>
        <v>1.3301349231596742</v>
      </c>
      <c r="AV31" s="20">
        <f>'Ethyl Acetoacetate'!BB19</f>
        <v>1.3209064000307362</v>
      </c>
      <c r="AW31" s="20">
        <f>'Ethyl Acetoacetate'!BC19</f>
        <v>1.318144076379284</v>
      </c>
      <c r="AX31" s="20">
        <f>'Ethyl Acetoacetate'!BD19</f>
        <v>1.365085309666513</v>
      </c>
      <c r="AY31" s="20">
        <f>'Ethyl Acetoacetate'!BE19</f>
        <v>1.3766209635776856</v>
      </c>
      <c r="AZ31" s="20">
        <f>'Ethyl Acetoacetate'!BF19</f>
        <v>1.3835423559243891</v>
      </c>
      <c r="BA31" s="20">
        <f>'Ethyl Acetoacetate'!BG19</f>
        <v>1.3928557422775474</v>
      </c>
      <c r="BB31" s="20">
        <f>'Ethyl Acetoacetate'!BH19</f>
        <v>1.3986235692331337</v>
      </c>
      <c r="BC31" s="20">
        <f>'Ethyl Acetoacetate'!BI19</f>
        <v>1.470594332257569</v>
      </c>
      <c r="BD31" s="20">
        <f>'Ethyl Acetoacetate'!BJ19</f>
        <v>1.484437116950976</v>
      </c>
      <c r="BE31" s="20">
        <f>'Ethyl Acetoacetate'!BK19</f>
        <v>1.395208593822038</v>
      </c>
      <c r="BF31" s="20">
        <f>'Ethyl Acetoacetate'!BL19</f>
        <v>1.4235334255417245</v>
      </c>
      <c r="BG31" s="20">
        <f>'Ethyl Acetoacetate'!BM19</f>
        <v>1.3986164130935916</v>
      </c>
      <c r="BH31" s="20">
        <f>'Ethyl Acetoacetate'!BN19</f>
        <v>1.3824664976179499</v>
      </c>
      <c r="BI31" s="20">
        <f>'Ethyl Acetoacetate'!BO19</f>
        <v>1.3110315291224834</v>
      </c>
      <c r="BJ31" s="20">
        <f>'Ethyl Acetoacetate'!BP19</f>
        <v>1.3018030059935455</v>
      </c>
      <c r="BK31" s="20">
        <f>'Ethyl Acetoacetate'!BQ19</f>
        <v>1.3018030059935455</v>
      </c>
      <c r="BL31" s="20">
        <f>'Ethyl Acetoacetate'!BR19</f>
        <v>1.3018030059935455</v>
      </c>
      <c r="BM31" s="20">
        <f>'Ethyl Acetoacetate'!BS19</f>
        <v>1.277781622867681</v>
      </c>
      <c r="BN31" s="20">
        <f>'Ethyl Acetoacetate'!BT19</f>
        <v>1.2985457999077916</v>
      </c>
      <c r="BO31" s="20">
        <f>'Ethyl Acetoacetate'!BU19</f>
        <v>1.2847030152143846</v>
      </c>
      <c r="BP31" s="20">
        <f>'Ethyl Acetoacetate'!BV19</f>
        <v>1.2858565806055018</v>
      </c>
      <c r="BQ31" s="20">
        <f>'Ethyl Acetoacetate'!BW19</f>
        <v>1.294215428769018</v>
      </c>
      <c r="BR31" s="20">
        <f>'Ethyl Acetoacetate'!BX19</f>
        <v>1.2919082979867835</v>
      </c>
      <c r="BS31" s="20">
        <f>'Ethyl Acetoacetate'!BY19</f>
        <v>1.2919082979867835</v>
      </c>
    </row>
    <row r="32" spans="1:71">
      <c r="A32" s="8" t="s">
        <v>207</v>
      </c>
      <c r="B32" s="263" t="s">
        <v>233</v>
      </c>
      <c r="C32" s="19">
        <f t="shared" si="3"/>
        <v>0.24443236269282398</v>
      </c>
      <c r="D32" s="19">
        <f t="shared" si="3"/>
        <v>5.5568211083395935E-2</v>
      </c>
      <c r="E32" s="19">
        <f t="shared" si="3"/>
        <v>-1.4931405185420354E-2</v>
      </c>
      <c r="F32" s="19">
        <f t="shared" si="3"/>
        <v>-0.13650784271090655</v>
      </c>
      <c r="G32" s="19">
        <f t="shared" si="3"/>
        <v>0</v>
      </c>
      <c r="H32" s="19">
        <f t="shared" si="3"/>
        <v>8.3500620999377162E-5</v>
      </c>
      <c r="I32" s="19">
        <f t="shared" si="3"/>
        <v>-1.3190671385165942E-5</v>
      </c>
      <c r="J32" s="19">
        <f t="shared" si="3"/>
        <v>-5.7382149186935294E-5</v>
      </c>
      <c r="K32" s="19">
        <f t="shared" si="3"/>
        <v>-5.7746391344704051E-5</v>
      </c>
      <c r="L32" s="19">
        <f t="shared" si="3"/>
        <v>7.5441071922144332E-5</v>
      </c>
      <c r="M32" s="19">
        <f t="shared" si="3"/>
        <v>1.1833562762574963</v>
      </c>
      <c r="N32" s="19">
        <f t="shared" si="3"/>
        <v>9.1072019943239102E-5</v>
      </c>
      <c r="O32" s="19">
        <f t="shared" si="4"/>
        <v>0</v>
      </c>
      <c r="P32" s="19">
        <f t="shared" si="4"/>
        <v>-1.3038623130065541E-4</v>
      </c>
      <c r="Q32" s="19">
        <f t="shared" si="4"/>
        <v>8.7133483891471686E-5</v>
      </c>
      <c r="R32" s="19">
        <f t="shared" si="4"/>
        <v>-2.3877925874105088E-5</v>
      </c>
      <c r="S32" s="19">
        <f t="shared" si="4"/>
        <v>-2.1738615742228351E-6</v>
      </c>
      <c r="T32" s="19">
        <f t="shared" si="4"/>
        <v>7.1461717581711159E-5</v>
      </c>
      <c r="U32" s="19">
        <f t="shared" si="4"/>
        <v>-8.6318414702912794E-6</v>
      </c>
      <c r="V32" s="19">
        <f t="shared" si="4"/>
        <v>6.4746587460917659E-6</v>
      </c>
      <c r="W32" s="19">
        <f t="shared" si="4"/>
        <v>-2.8090609203779149E-5</v>
      </c>
      <c r="X32" s="19">
        <f t="shared" si="4"/>
        <v>3.0247791927978662E-5</v>
      </c>
      <c r="Y32" s="19">
        <f t="shared" si="4"/>
        <v>-8.6318414702912794E-6</v>
      </c>
      <c r="Z32" s="19">
        <f t="shared" si="4"/>
        <v>-6.4793285324271643E-6</v>
      </c>
      <c r="AA32" s="19">
        <f t="shared" si="4"/>
        <v>0</v>
      </c>
      <c r="AB32" s="19">
        <f t="shared" si="4"/>
        <v>3.0196952224309515E-5</v>
      </c>
      <c r="AC32" s="19">
        <f t="shared" si="4"/>
        <v>1.5060458366550344E-5</v>
      </c>
      <c r="AD32" s="19">
        <f t="shared" si="4"/>
        <v>-8.6028790491077256E-6</v>
      </c>
      <c r="AE32" s="19">
        <f t="shared" si="5"/>
        <v>-2.585824529180436E-5</v>
      </c>
      <c r="AF32" s="19">
        <f t="shared" si="5"/>
        <v>1.724710615719216E-5</v>
      </c>
      <c r="AG32" s="19">
        <f t="shared" si="5"/>
        <v>-3.8852664327376774E-5</v>
      </c>
      <c r="AH32" s="19">
        <f t="shared" si="5"/>
        <v>2.1628943621121444E-6</v>
      </c>
      <c r="AI32" s="19">
        <f t="shared" si="5"/>
        <v>2.1600364836643626E-5</v>
      </c>
      <c r="AJ32" s="65"/>
      <c r="AL32" s="8">
        <v>1.56</v>
      </c>
      <c r="AM32" s="20">
        <f>TICL4!AS17</f>
        <v>1.3155676373071761</v>
      </c>
      <c r="AN32" s="20">
        <f>TICL4!AT17</f>
        <v>1.2599994262237801</v>
      </c>
      <c r="AO32" s="20">
        <f>TICL4!AU17</f>
        <v>1.2749308314092005</v>
      </c>
      <c r="AP32" s="20">
        <f>TICL4!AV17</f>
        <v>1.411438674120107</v>
      </c>
      <c r="AQ32" s="20">
        <f>TICL4!AW17</f>
        <v>1.411438674120107</v>
      </c>
      <c r="AR32" s="20">
        <f>TICL4!AX17</f>
        <v>1.4113551734991077</v>
      </c>
      <c r="AS32" s="20">
        <f>TICL4!AY17</f>
        <v>1.4113683641704928</v>
      </c>
      <c r="AT32" s="20">
        <f>TICL4!AZ17</f>
        <v>1.4114257463196798</v>
      </c>
      <c r="AU32" s="20">
        <f>TICL4!BA17</f>
        <v>1.4114834927110245</v>
      </c>
      <c r="AV32" s="20">
        <f>TICL4!BB17</f>
        <v>1.4114080516391023</v>
      </c>
      <c r="AW32" s="20">
        <f>TICL4!BC17</f>
        <v>0.22805177538160615</v>
      </c>
      <c r="AX32" s="20">
        <f>TICL4!BD17</f>
        <v>0.22796070336166291</v>
      </c>
      <c r="AY32" s="20">
        <f>TICL4!BE17</f>
        <v>0.22796070336166291</v>
      </c>
      <c r="AZ32" s="20">
        <f>TICL4!BF17</f>
        <v>0.22809108959296356</v>
      </c>
      <c r="BA32" s="20">
        <f>TICL4!BG17</f>
        <v>0.22800395610907209</v>
      </c>
      <c r="BB32" s="20">
        <f>TICL4!BH17</f>
        <v>0.2280278340349462</v>
      </c>
      <c r="BC32" s="20">
        <f>TICL4!BI17</f>
        <v>0.22803000789652042</v>
      </c>
      <c r="BD32" s="20">
        <f>TICL4!BJ17</f>
        <v>0.22795854617893871</v>
      </c>
      <c r="BE32" s="20">
        <f>TICL4!BK17</f>
        <v>0.227967178020409</v>
      </c>
      <c r="BF32" s="20">
        <f>TICL4!BL17</f>
        <v>0.22796070336166291</v>
      </c>
      <c r="BG32" s="20">
        <f>TICL4!BM17</f>
        <v>0.22798879397086669</v>
      </c>
      <c r="BH32" s="20">
        <f>TICL4!BN17</f>
        <v>0.22795854617893871</v>
      </c>
      <c r="BI32" s="20">
        <f>TICL4!BO17</f>
        <v>0.227967178020409</v>
      </c>
      <c r="BJ32" s="20">
        <f>TICL4!BP17</f>
        <v>0.22797365734894143</v>
      </c>
      <c r="BK32" s="20">
        <f>TICL4!BQ17</f>
        <v>0.22797365734894143</v>
      </c>
      <c r="BL32" s="20">
        <f>TICL4!BR17</f>
        <v>0.22794346039671712</v>
      </c>
      <c r="BM32" s="20">
        <f>TICL4!BS17</f>
        <v>0.22792839993835057</v>
      </c>
      <c r="BN32" s="20">
        <f>TICL4!BT17</f>
        <v>0.22793700281739968</v>
      </c>
      <c r="BO32" s="20">
        <f>TICL4!BU17</f>
        <v>0.22796286106269148</v>
      </c>
      <c r="BP32" s="20">
        <f>TICL4!BV17</f>
        <v>0.22794561395653429</v>
      </c>
      <c r="BQ32" s="20">
        <f>TICL4!BW17</f>
        <v>0.22798446662086166</v>
      </c>
      <c r="BR32" s="20">
        <f>TICL4!BX17</f>
        <v>0.22798230372649955</v>
      </c>
      <c r="BS32" s="20">
        <f>TICL4!BY17</f>
        <v>0.22796070336166291</v>
      </c>
    </row>
    <row r="33" spans="1:71">
      <c r="A33" s="8" t="s">
        <v>229</v>
      </c>
      <c r="B33" s="263" t="s">
        <v>234</v>
      </c>
      <c r="C33" s="19">
        <f t="shared" si="3"/>
        <v>0.17997361212198615</v>
      </c>
      <c r="D33" s="19">
        <f t="shared" si="3"/>
        <v>-2.6531606050103074E-2</v>
      </c>
      <c r="E33" s="19">
        <f t="shared" si="3"/>
        <v>-1.8087897300350431E-2</v>
      </c>
      <c r="F33" s="19">
        <f t="shared" si="3"/>
        <v>-2.7220348122315219E-2</v>
      </c>
      <c r="G33" s="19">
        <f t="shared" si="3"/>
        <v>-8.6822961818251443E-3</v>
      </c>
      <c r="H33" s="19">
        <f t="shared" si="3"/>
        <v>6.0850697783056962E-2</v>
      </c>
      <c r="I33" s="19">
        <f t="shared" si="3"/>
        <v>-1.1788503853527033E-5</v>
      </c>
      <c r="J33" s="19">
        <f t="shared" si="3"/>
        <v>-5.1282430366672571E-5</v>
      </c>
      <c r="K33" s="19">
        <f t="shared" si="3"/>
        <v>-5.1607953606147561E-5</v>
      </c>
      <c r="L33" s="19">
        <f t="shared" si="3"/>
        <v>-5.8972192345649876E-2</v>
      </c>
      <c r="M33" s="19">
        <f t="shared" si="3"/>
        <v>2.4422217997388529E-2</v>
      </c>
      <c r="N33" s="19">
        <f t="shared" si="3"/>
        <v>8.1391069997716059E-5</v>
      </c>
      <c r="O33" s="19">
        <f t="shared" si="4"/>
        <v>-1.7364592363650067E-2</v>
      </c>
      <c r="P33" s="19">
        <f t="shared" si="4"/>
        <v>-1.1652618318058749E-4</v>
      </c>
      <c r="Q33" s="19">
        <f t="shared" si="4"/>
        <v>2.6124759745553616E-2</v>
      </c>
      <c r="R33" s="19">
        <f t="shared" si="4"/>
        <v>-5.3851576031182846E-2</v>
      </c>
      <c r="S33" s="19">
        <f t="shared" si="4"/>
        <v>-3.5599357125709163E-2</v>
      </c>
      <c r="T33" s="19">
        <f t="shared" si="4"/>
        <v>3.7397738923381274E-2</v>
      </c>
      <c r="U33" s="19">
        <f t="shared" si="4"/>
        <v>0.11459859532282102</v>
      </c>
      <c r="V33" s="19">
        <f t="shared" si="4"/>
        <v>-1.9095265197083044E-2</v>
      </c>
      <c r="W33" s="19">
        <f t="shared" si="4"/>
        <v>5.1842731298685774E-3</v>
      </c>
      <c r="X33" s="19">
        <f t="shared" si="4"/>
        <v>1.3918706344483889E-2</v>
      </c>
      <c r="Y33" s="19">
        <f t="shared" si="4"/>
        <v>-7.7142772694216433E-6</v>
      </c>
      <c r="Z33" s="19">
        <f t="shared" si="4"/>
        <v>-5.7905763202192873E-6</v>
      </c>
      <c r="AA33" s="19">
        <f t="shared" si="4"/>
        <v>0</v>
      </c>
      <c r="AB33" s="19">
        <f t="shared" si="4"/>
        <v>3.1283253272687883E-2</v>
      </c>
      <c r="AC33" s="19">
        <f t="shared" si="4"/>
        <v>6.0910668598745943E-3</v>
      </c>
      <c r="AD33" s="19">
        <f t="shared" si="4"/>
        <v>-1.9976969611749329E-2</v>
      </c>
      <c r="AE33" s="19">
        <f t="shared" si="5"/>
        <v>4.6861289866398481E-2</v>
      </c>
      <c r="AF33" s="19">
        <f t="shared" si="5"/>
        <v>-5.7287741060179087E-2</v>
      </c>
      <c r="AG33" s="19">
        <f t="shared" si="5"/>
        <v>4.3064254623395026E-3</v>
      </c>
      <c r="AH33" s="19">
        <f t="shared" si="5"/>
        <v>-1.3021511293908716E-2</v>
      </c>
      <c r="AI33" s="19">
        <f t="shared" si="5"/>
        <v>-6.9265326980361142E-3</v>
      </c>
      <c r="AJ33" s="65"/>
      <c r="AL33" s="8">
        <v>1.73</v>
      </c>
      <c r="AM33" s="20">
        <f>Benzaldehyde!AS18</f>
        <v>1.5500263878780138</v>
      </c>
      <c r="AN33" s="20">
        <f>Benzaldehyde!AT18</f>
        <v>1.5765579939281169</v>
      </c>
      <c r="AO33" s="20">
        <f>Benzaldehyde!AU18</f>
        <v>1.5946458912284673</v>
      </c>
      <c r="AP33" s="20">
        <f>Benzaldehyde!AV18</f>
        <v>1.6218662393507826</v>
      </c>
      <c r="AQ33" s="20">
        <f>Benzaldehyde!AW18</f>
        <v>1.6305485355326077</v>
      </c>
      <c r="AR33" s="20">
        <f>Benzaldehyde!AX18</f>
        <v>1.5696978377495507</v>
      </c>
      <c r="AS33" s="20">
        <f>Benzaldehyde!AY18</f>
        <v>1.5697096262534043</v>
      </c>
      <c r="AT33" s="20">
        <f>Benzaldehyde!AZ18</f>
        <v>1.5697609086837709</v>
      </c>
      <c r="AU33" s="20">
        <f>Benzaldehyde!BA18</f>
        <v>1.5698125166373771</v>
      </c>
      <c r="AV33" s="20">
        <f>Benzaldehyde!BB18</f>
        <v>1.628784708983027</v>
      </c>
      <c r="AW33" s="20">
        <f>Benzaldehyde!BC18</f>
        <v>1.6043624909856384</v>
      </c>
      <c r="AX33" s="20">
        <f>Benzaldehyde!BD18</f>
        <v>1.6042810999156407</v>
      </c>
      <c r="AY33" s="20">
        <f>Benzaldehyde!BE18</f>
        <v>1.6216456922792908</v>
      </c>
      <c r="AZ33" s="20">
        <f>Benzaldehyde!BF18</f>
        <v>1.6217622184624714</v>
      </c>
      <c r="BA33" s="20">
        <f>Benzaldehyde!BG18</f>
        <v>1.5956374587169178</v>
      </c>
      <c r="BB33" s="20">
        <f>Benzaldehyde!BH18</f>
        <v>1.6494890347481006</v>
      </c>
      <c r="BC33" s="20">
        <f>Benzaldehyde!BI18</f>
        <v>1.6850883918738098</v>
      </c>
      <c r="BD33" s="20">
        <f>Benzaldehyde!BJ18</f>
        <v>1.6476906529504285</v>
      </c>
      <c r="BE33" s="20">
        <f>Benzaldehyde!BK18</f>
        <v>1.5330920576276075</v>
      </c>
      <c r="BF33" s="20">
        <f>Benzaldehyde!BL18</f>
        <v>1.5521873228246905</v>
      </c>
      <c r="BG33" s="20">
        <f>Benzaldehyde!BM18</f>
        <v>1.5470030496948219</v>
      </c>
      <c r="BH33" s="20">
        <f>Benzaldehyde!BN18</f>
        <v>1.5330843433503381</v>
      </c>
      <c r="BI33" s="20">
        <f>Benzaldehyde!BO18</f>
        <v>1.5330920576276075</v>
      </c>
      <c r="BJ33" s="20">
        <f>Benzaldehyde!BP18</f>
        <v>1.5330978482039277</v>
      </c>
      <c r="BK33" s="20">
        <f>Benzaldehyde!BQ18</f>
        <v>1.5330978482039277</v>
      </c>
      <c r="BL33" s="20">
        <f>Benzaldehyde!BR18</f>
        <v>1.5018145949312398</v>
      </c>
      <c r="BM33" s="20">
        <f>Benzaldehyde!BS18</f>
        <v>1.4957235280713652</v>
      </c>
      <c r="BN33" s="20">
        <f>Benzaldehyde!BT18</f>
        <v>1.5157004976831145</v>
      </c>
      <c r="BO33" s="20">
        <f>Benzaldehyde!BU18</f>
        <v>1.4688392078167161</v>
      </c>
      <c r="BP33" s="20">
        <f>Benzaldehyde!BV18</f>
        <v>1.5261269488768952</v>
      </c>
      <c r="BQ33" s="20">
        <f>Benzaldehyde!BW18</f>
        <v>1.5218205234145556</v>
      </c>
      <c r="BR33" s="20">
        <f>Benzaldehyde!BX18</f>
        <v>1.5348420347084644</v>
      </c>
      <c r="BS33" s="20">
        <f>Benzaldehyde!BY18</f>
        <v>1.5417685674065005</v>
      </c>
    </row>
    <row r="34" spans="1:71">
      <c r="A34" s="8" t="s">
        <v>212</v>
      </c>
      <c r="B34" s="263" t="s">
        <v>235</v>
      </c>
      <c r="C34" s="19">
        <f t="shared" si="3"/>
        <v>5.7000000000000162E-2</v>
      </c>
      <c r="D34" s="19">
        <f t="shared" si="3"/>
        <v>-1.3000000000000123E-2</v>
      </c>
      <c r="E34" s="19">
        <f t="shared" si="3"/>
        <v>0.16900000000000004</v>
      </c>
      <c r="F34" s="19">
        <f t="shared" si="3"/>
        <v>-0.13649999999999984</v>
      </c>
      <c r="G34" s="19">
        <f t="shared" si="3"/>
        <v>0.14559999999999995</v>
      </c>
      <c r="H34" s="19">
        <f t="shared" si="3"/>
        <v>4.2899999999999938E-2</v>
      </c>
      <c r="I34" s="19">
        <f t="shared" si="3"/>
        <v>2.729999999999988E-2</v>
      </c>
      <c r="J34" s="19">
        <f t="shared" si="3"/>
        <v>-0.12480000000000002</v>
      </c>
      <c r="K34" s="19">
        <f t="shared" si="3"/>
        <v>-2.5999999999999357E-3</v>
      </c>
      <c r="L34" s="19">
        <f t="shared" si="3"/>
        <v>-1.4299999999999979E-2</v>
      </c>
      <c r="M34" s="19">
        <f t="shared" si="3"/>
        <v>-5.0700000000000189E-2</v>
      </c>
      <c r="N34" s="19">
        <f t="shared" si="3"/>
        <v>4.8100000000000254E-2</v>
      </c>
      <c r="O34" s="19">
        <f t="shared" si="4"/>
        <v>-6.4999999999999503E-3</v>
      </c>
      <c r="P34" s="19">
        <f t="shared" si="4"/>
        <v>-2.6000000000000245E-2</v>
      </c>
      <c r="Q34" s="19">
        <f t="shared" si="4"/>
        <v>0</v>
      </c>
      <c r="R34" s="19">
        <f t="shared" si="4"/>
        <v>-5.1999999999999824E-2</v>
      </c>
      <c r="S34" s="19">
        <f t="shared" si="4"/>
        <v>0</v>
      </c>
      <c r="T34" s="19">
        <f t="shared" si="4"/>
        <v>6.5000000000001723E-3</v>
      </c>
      <c r="U34" s="19">
        <f t="shared" si="4"/>
        <v>7.1499999999999897E-2</v>
      </c>
      <c r="V34" s="19">
        <f t="shared" si="4"/>
        <v>-1.5600000000000058E-2</v>
      </c>
      <c r="W34" s="19">
        <f t="shared" si="4"/>
        <v>-2.8599999999999959E-2</v>
      </c>
      <c r="X34" s="19">
        <f t="shared" si="4"/>
        <v>2.8599999999999959E-2</v>
      </c>
      <c r="Y34" s="19">
        <f t="shared" si="4"/>
        <v>0</v>
      </c>
      <c r="Z34" s="19">
        <f t="shared" si="4"/>
        <v>9.099999999999886E-3</v>
      </c>
      <c r="AA34" s="19">
        <f t="shared" si="4"/>
        <v>0</v>
      </c>
      <c r="AB34" s="19">
        <f t="shared" si="4"/>
        <v>-3.9000000000000146E-3</v>
      </c>
      <c r="AC34" s="19">
        <f t="shared" si="4"/>
        <v>3.9000000000000146E-3</v>
      </c>
      <c r="AD34" s="19">
        <f t="shared" si="4"/>
        <v>1.4950000000000019E-2</v>
      </c>
      <c r="AE34" s="19">
        <f t="shared" si="5"/>
        <v>-6.8249999999999922E-2</v>
      </c>
      <c r="AF34" s="19">
        <f t="shared" si="5"/>
        <v>2.4699999999999944E-2</v>
      </c>
      <c r="AG34" s="19">
        <f t="shared" si="5"/>
        <v>4.1600000000000081E-2</v>
      </c>
      <c r="AH34" s="19">
        <f t="shared" si="5"/>
        <v>-2.3400000000000087E-2</v>
      </c>
      <c r="AI34" s="19">
        <f t="shared" si="5"/>
        <v>-7.8000000000000291E-3</v>
      </c>
      <c r="AJ34" s="65"/>
      <c r="AL34" s="8">
        <v>1.85</v>
      </c>
      <c r="AM34" s="20">
        <f>PIB!AS19</f>
        <v>1.7929999999999999</v>
      </c>
      <c r="AN34" s="20">
        <f>PIB!AT19</f>
        <v>1.806</v>
      </c>
      <c r="AO34" s="20">
        <f>PIB!AU19</f>
        <v>1.637</v>
      </c>
      <c r="AP34" s="20">
        <f>PIB!AV19</f>
        <v>1.7734999999999999</v>
      </c>
      <c r="AQ34" s="20">
        <f>PIB!AW19</f>
        <v>1.6278999999999999</v>
      </c>
      <c r="AR34" s="20">
        <f>PIB!AX19</f>
        <v>1.585</v>
      </c>
      <c r="AS34" s="20">
        <f>PIB!AY19</f>
        <v>1.5577000000000001</v>
      </c>
      <c r="AT34" s="20">
        <f>PIB!AZ19</f>
        <v>1.6825000000000001</v>
      </c>
      <c r="AU34" s="20">
        <f>PIB!BA19</f>
        <v>1.6851</v>
      </c>
      <c r="AV34" s="20">
        <f>PIB!BB19</f>
        <v>1.6994</v>
      </c>
      <c r="AW34" s="20">
        <f>PIB!BC19</f>
        <v>1.7501000000000002</v>
      </c>
      <c r="AX34" s="20">
        <f>PIB!BD19</f>
        <v>1.702</v>
      </c>
      <c r="AY34" s="20">
        <f>PIB!BE19</f>
        <v>1.7084999999999999</v>
      </c>
      <c r="AZ34" s="20">
        <f>PIB!BF19</f>
        <v>1.7345000000000002</v>
      </c>
      <c r="BA34" s="20">
        <f>PIB!BG19</f>
        <v>1.7345000000000002</v>
      </c>
      <c r="BB34" s="20">
        <f>PIB!BH19</f>
        <v>1.7865</v>
      </c>
      <c r="BC34" s="20">
        <f>PIB!BI19</f>
        <v>1.7865</v>
      </c>
      <c r="BD34" s="20">
        <f>PIB!BJ19</f>
        <v>1.7799999999999998</v>
      </c>
      <c r="BE34" s="20">
        <f>PIB!BK19</f>
        <v>1.7084999999999999</v>
      </c>
      <c r="BF34" s="20">
        <f>PIB!BL19</f>
        <v>1.7241</v>
      </c>
      <c r="BG34" s="20">
        <f>PIB!BM19</f>
        <v>1.7526999999999999</v>
      </c>
      <c r="BH34" s="20">
        <f>PIB!BN19</f>
        <v>1.7241</v>
      </c>
      <c r="BI34" s="20">
        <f>PIB!BO19</f>
        <v>1.7241</v>
      </c>
      <c r="BJ34" s="20">
        <f>PIB!BP19</f>
        <v>1.7150000000000001</v>
      </c>
      <c r="BK34" s="20">
        <f>PIB!BQ19</f>
        <v>1.7150000000000001</v>
      </c>
      <c r="BL34" s="20">
        <f>PIB!BR19</f>
        <v>1.7189000000000001</v>
      </c>
      <c r="BM34" s="20">
        <f>PIB!BS19</f>
        <v>1.7150000000000001</v>
      </c>
      <c r="BN34" s="20">
        <f>PIB!BT19</f>
        <v>1.7000500000000001</v>
      </c>
      <c r="BO34" s="20">
        <f>PIB!BU19</f>
        <v>1.7683</v>
      </c>
      <c r="BP34" s="20">
        <f>PIB!BV19</f>
        <v>1.7436</v>
      </c>
      <c r="BQ34" s="20">
        <f>PIB!BW19</f>
        <v>1.702</v>
      </c>
      <c r="BR34" s="20">
        <f>PIB!BX19</f>
        <v>1.7254</v>
      </c>
      <c r="BS34" s="20">
        <f>PIB!BY19</f>
        <v>1.7332000000000001</v>
      </c>
    </row>
    <row r="35" spans="1:71">
      <c r="A35" s="8" t="s">
        <v>203</v>
      </c>
      <c r="B35" s="263" t="s">
        <v>236</v>
      </c>
      <c r="C35" s="19">
        <f t="shared" si="3"/>
        <v>0.10565401545160436</v>
      </c>
      <c r="D35" s="19">
        <f t="shared" si="3"/>
        <v>-2.4750001325176907E-2</v>
      </c>
      <c r="E35" s="19">
        <f t="shared" si="3"/>
        <v>-1.3247254603449221E-2</v>
      </c>
      <c r="F35" s="19">
        <f t="shared" si="3"/>
        <v>4.6105083899060872E-2</v>
      </c>
      <c r="G35" s="19">
        <f t="shared" si="3"/>
        <v>2.9073134237151077E-2</v>
      </c>
      <c r="H35" s="19">
        <f t="shared" si="3"/>
        <v>5.9118859195824047E-2</v>
      </c>
      <c r="I35" s="19">
        <f t="shared" si="3"/>
        <v>-8.6830163146700556E-5</v>
      </c>
      <c r="J35" s="19">
        <f t="shared" si="3"/>
        <v>3.2574792515207562E-3</v>
      </c>
      <c r="K35" s="19">
        <f t="shared" si="3"/>
        <v>-3.8012686657129535E-4</v>
      </c>
      <c r="L35" s="19">
        <f t="shared" si="3"/>
        <v>1.8683048847686123E-2</v>
      </c>
      <c r="M35" s="19">
        <f t="shared" si="3"/>
        <v>7.9110784530334044E-4</v>
      </c>
      <c r="N35" s="19">
        <f t="shared" si="3"/>
        <v>-6.6944273163800361E-3</v>
      </c>
      <c r="O35" s="19">
        <f t="shared" si="4"/>
        <v>0</v>
      </c>
      <c r="P35" s="19">
        <f t="shared" si="4"/>
        <v>-8.2463421941092463E-4</v>
      </c>
      <c r="Q35" s="19">
        <f t="shared" si="4"/>
        <v>1.0046984212649601E-2</v>
      </c>
      <c r="R35" s="19">
        <f t="shared" si="4"/>
        <v>4.5027761333837901E-3</v>
      </c>
      <c r="S35" s="19">
        <f t="shared" si="4"/>
        <v>-2.9430413821779577E-2</v>
      </c>
      <c r="T35" s="19">
        <f t="shared" si="4"/>
        <v>4.519631951005465E-4</v>
      </c>
      <c r="U35" s="19">
        <f t="shared" si="4"/>
        <v>-1.8607133413839794E-2</v>
      </c>
      <c r="V35" s="19">
        <f t="shared" si="4"/>
        <v>4.7634902316850969E-5</v>
      </c>
      <c r="W35" s="19">
        <f t="shared" si="4"/>
        <v>4.4370490254621586E-3</v>
      </c>
      <c r="X35" s="19">
        <f t="shared" si="4"/>
        <v>-2.6230724562451346E-2</v>
      </c>
      <c r="Y35" s="19">
        <f t="shared" si="4"/>
        <v>-6.4619707682567196E-5</v>
      </c>
      <c r="Z35" s="19">
        <f t="shared" si="4"/>
        <v>5.4043070734119958E-3</v>
      </c>
      <c r="AA35" s="19">
        <f t="shared" si="4"/>
        <v>0</v>
      </c>
      <c r="AB35" s="19">
        <f t="shared" si="4"/>
        <v>2.2606047995044065E-4</v>
      </c>
      <c r="AC35" s="19">
        <f t="shared" si="4"/>
        <v>9.1088653528035302E-3</v>
      </c>
      <c r="AD35" s="19">
        <f t="shared" si="4"/>
        <v>7.7395353948581658E-3</v>
      </c>
      <c r="AE35" s="19">
        <f t="shared" si="5"/>
        <v>-3.9947558085771107E-3</v>
      </c>
      <c r="AF35" s="19">
        <f t="shared" si="5"/>
        <v>-2.8784957602687733E-3</v>
      </c>
      <c r="AG35" s="19">
        <f t="shared" si="5"/>
        <v>2.3023468819363124E-3</v>
      </c>
      <c r="AH35" s="19">
        <f t="shared" si="5"/>
        <v>-5.7878933831934098E-3</v>
      </c>
      <c r="AI35" s="19">
        <f t="shared" si="5"/>
        <v>1.5334065568328725E-4</v>
      </c>
      <c r="AJ35" s="65"/>
      <c r="AL35" s="8">
        <v>2.2599999999999998</v>
      </c>
      <c r="AM35" s="20">
        <f>Dimethylethanolamine!AR16</f>
        <v>2.1543459845483954</v>
      </c>
      <c r="AN35" s="20">
        <f>Dimethylethanolamine!AS16</f>
        <v>2.1790959858735723</v>
      </c>
      <c r="AO35" s="20">
        <f>Dimethylethanolamine!AT16</f>
        <v>2.1923432404770216</v>
      </c>
      <c r="AP35" s="20">
        <f>Dimethylethanolamine!AU16</f>
        <v>2.1462381565779607</v>
      </c>
      <c r="AQ35" s="20">
        <f>Dimethylethanolamine!AV16</f>
        <v>2.1171650223408096</v>
      </c>
      <c r="AR35" s="20">
        <f>Dimethylethanolamine!AW16</f>
        <v>2.0580461631449856</v>
      </c>
      <c r="AS35" s="20">
        <f>Dimethylethanolamine!AX16</f>
        <v>2.0581329933081323</v>
      </c>
      <c r="AT35" s="20">
        <f>Dimethylethanolamine!AY16</f>
        <v>2.0548755140566115</v>
      </c>
      <c r="AU35" s="20">
        <f>Dimethylethanolamine!AZ16</f>
        <v>2.0552556409231828</v>
      </c>
      <c r="AV35" s="20">
        <f>Dimethylethanolamine!BA16</f>
        <v>2.0365725920754967</v>
      </c>
      <c r="AW35" s="20">
        <f>Dimethylethanolamine!BB16</f>
        <v>2.0357814842301933</v>
      </c>
      <c r="AX35" s="20">
        <f>Dimethylethanolamine!BC16</f>
        <v>2.0424759115465734</v>
      </c>
      <c r="AY35" s="20">
        <f>Dimethylethanolamine!BD16</f>
        <v>2.0424759115465734</v>
      </c>
      <c r="AZ35" s="20">
        <f>Dimethylethanolamine!BE16</f>
        <v>2.0433005457659843</v>
      </c>
      <c r="BA35" s="20">
        <f>Dimethylethanolamine!BF16</f>
        <v>2.0332535615533347</v>
      </c>
      <c r="BB35" s="20">
        <f>Dimethylethanolamine!BG16</f>
        <v>2.0287507854199509</v>
      </c>
      <c r="BC35" s="20">
        <f>Dimethylethanolamine!BH16</f>
        <v>2.0581811992417305</v>
      </c>
      <c r="BD35" s="20">
        <f>Dimethylethanolamine!BI16</f>
        <v>2.0577292360466299</v>
      </c>
      <c r="BE35" s="20">
        <f>Dimethylethanolamine!BJ16</f>
        <v>2.0763363694604697</v>
      </c>
      <c r="BF35" s="20">
        <f>Dimethylethanolamine!BK16</f>
        <v>2.0762887345581529</v>
      </c>
      <c r="BG35" s="20">
        <f>Dimethylethanolamine!BL16</f>
        <v>2.0718516855326907</v>
      </c>
      <c r="BH35" s="20">
        <f>Dimethylethanolamine!BM16</f>
        <v>2.0980824100951421</v>
      </c>
      <c r="BI35" s="20">
        <f>Dimethylethanolamine!BN16</f>
        <v>2.0981470298028246</v>
      </c>
      <c r="BJ35" s="20">
        <f>Dimethylethanolamine!BO16</f>
        <v>2.0927427227294126</v>
      </c>
      <c r="BK35" s="20">
        <f>Dimethylethanolamine!BP16</f>
        <v>2.0927427227294126</v>
      </c>
      <c r="BL35" s="20">
        <f>Dimethylethanolamine!BQ16</f>
        <v>2.0925166622494622</v>
      </c>
      <c r="BM35" s="20">
        <f>Dimethylethanolamine!BR16</f>
        <v>2.0834077968966587</v>
      </c>
      <c r="BN35" s="20">
        <f>Dimethylethanolamine!BS16</f>
        <v>2.0756682615018005</v>
      </c>
      <c r="BO35" s="20">
        <f>Dimethylethanolamine!BT16</f>
        <v>2.0796630173103776</v>
      </c>
      <c r="BP35" s="20">
        <f>Dimethylethanolamine!BU16</f>
        <v>2.0825415130706464</v>
      </c>
      <c r="BQ35" s="20">
        <f>Dimethylethanolamine!BV16</f>
        <v>2.0802391661887101</v>
      </c>
      <c r="BR35" s="20">
        <f>Dimethylethanolamine!BW16</f>
        <v>2.0860270595719035</v>
      </c>
      <c r="BS35" s="20">
        <f>Dimethylethanolamine!BX16</f>
        <v>2.0858737189162202</v>
      </c>
    </row>
    <row r="36" spans="1:71">
      <c r="A36" s="8" t="s">
        <v>207</v>
      </c>
      <c r="B36" s="263" t="s">
        <v>74</v>
      </c>
      <c r="C36" s="19">
        <f t="shared" si="3"/>
        <v>0.11508356848274359</v>
      </c>
      <c r="D36" s="19">
        <f t="shared" si="3"/>
        <v>-5.5161189494247642E-2</v>
      </c>
      <c r="E36" s="19">
        <f t="shared" si="3"/>
        <v>-0.10226229650531815</v>
      </c>
      <c r="F36" s="19">
        <f t="shared" si="3"/>
        <v>0</v>
      </c>
      <c r="G36" s="19">
        <f t="shared" si="3"/>
        <v>-2.2039288039939153E-2</v>
      </c>
      <c r="H36" s="19">
        <f t="shared" si="3"/>
        <v>1.2593878879965326E-2</v>
      </c>
      <c r="I36" s="19">
        <f t="shared" si="3"/>
        <v>0.15427501627957452</v>
      </c>
      <c r="J36" s="19">
        <f t="shared" si="3"/>
        <v>-1.8890818319947877E-2</v>
      </c>
      <c r="K36" s="19">
        <f t="shared" si="3"/>
        <v>0</v>
      </c>
      <c r="L36" s="19">
        <f t="shared" si="3"/>
        <v>-1.2593878879965326E-2</v>
      </c>
      <c r="M36" s="19">
        <f t="shared" si="3"/>
        <v>-2.5187757759930429E-2</v>
      </c>
      <c r="N36" s="19">
        <f t="shared" si="3"/>
        <v>-1.8890818319947877E-2</v>
      </c>
      <c r="O36" s="19">
        <f t="shared" si="4"/>
        <v>-6.2969394399827738E-3</v>
      </c>
      <c r="P36" s="19">
        <f t="shared" si="4"/>
        <v>0</v>
      </c>
      <c r="Q36" s="19">
        <f t="shared" si="4"/>
        <v>0</v>
      </c>
      <c r="R36" s="19">
        <f t="shared" si="4"/>
        <v>-1.2593878879965326E-2</v>
      </c>
      <c r="S36" s="19">
        <f t="shared" si="4"/>
        <v>0</v>
      </c>
      <c r="T36" s="19">
        <f t="shared" si="4"/>
        <v>-6.2969394399826406E-2</v>
      </c>
      <c r="U36" s="19">
        <f t="shared" si="4"/>
        <v>-1.8890818319947655E-2</v>
      </c>
      <c r="V36" s="19">
        <f t="shared" si="4"/>
        <v>-1.2593878879965326E-2</v>
      </c>
      <c r="W36" s="19">
        <f t="shared" si="4"/>
        <v>3.7781636639895755E-2</v>
      </c>
      <c r="X36" s="19">
        <f t="shared" si="4"/>
        <v>0</v>
      </c>
      <c r="Y36" s="19">
        <f t="shared" si="4"/>
        <v>0</v>
      </c>
      <c r="Z36" s="19">
        <f t="shared" si="4"/>
        <v>-1.2593878879965326E-2</v>
      </c>
      <c r="AA36" s="19">
        <f t="shared" si="4"/>
        <v>0</v>
      </c>
      <c r="AB36" s="19">
        <f t="shared" si="4"/>
        <v>0</v>
      </c>
      <c r="AC36" s="19">
        <f t="shared" si="4"/>
        <v>3.1484697199913203E-2</v>
      </c>
      <c r="AD36" s="19">
        <f t="shared" si="4"/>
        <v>0</v>
      </c>
      <c r="AE36" s="19">
        <f t="shared" si="5"/>
        <v>0</v>
      </c>
      <c r="AF36" s="19">
        <f t="shared" si="5"/>
        <v>0</v>
      </c>
      <c r="AG36" s="19">
        <f t="shared" si="5"/>
        <v>-3.1484697199913203E-2</v>
      </c>
      <c r="AH36" s="19">
        <f t="shared" si="5"/>
        <v>6.2969394399825518E-3</v>
      </c>
      <c r="AI36" s="19">
        <f t="shared" si="5"/>
        <v>0</v>
      </c>
      <c r="AJ36" s="65"/>
      <c r="AL36" s="8">
        <v>1.52</v>
      </c>
      <c r="AM36" s="20">
        <f>ISOPHORONE!AR15</f>
        <v>1.4049164315172564</v>
      </c>
      <c r="AN36" s="20">
        <f>ISOPHORONE!AS15</f>
        <v>1.4600776210115041</v>
      </c>
      <c r="AO36" s="20">
        <f>ISOPHORONE!AT15</f>
        <v>1.5623399175168222</v>
      </c>
      <c r="AP36" s="20">
        <f>ISOPHORONE!AU15</f>
        <v>1.5623399175168222</v>
      </c>
      <c r="AQ36" s="20">
        <f>ISOPHORONE!AV15</f>
        <v>1.5843792055567614</v>
      </c>
      <c r="AR36" s="20">
        <f>ISOPHORONE!AW15</f>
        <v>1.571785326676796</v>
      </c>
      <c r="AS36" s="20">
        <f>ISOPHORONE!AX15</f>
        <v>1.4175103103972215</v>
      </c>
      <c r="AT36" s="20">
        <f>ISOPHORONE!AY15</f>
        <v>1.4364011287171694</v>
      </c>
      <c r="AU36" s="20">
        <f>ISOPHORONE!AZ15</f>
        <v>1.4364011287171694</v>
      </c>
      <c r="AV36" s="20">
        <f>ISOPHORONE!BA15</f>
        <v>1.4489950075971347</v>
      </c>
      <c r="AW36" s="20">
        <f>ISOPHORONE!BB15</f>
        <v>1.4741827653570652</v>
      </c>
      <c r="AX36" s="20">
        <f>ISOPHORONE!BC15</f>
        <v>1.493073583677013</v>
      </c>
      <c r="AY36" s="20">
        <f>ISOPHORONE!BD15</f>
        <v>1.4993705231169958</v>
      </c>
      <c r="AZ36" s="20">
        <f>ISOPHORONE!BE15</f>
        <v>1.4993705231169958</v>
      </c>
      <c r="BA36" s="20">
        <f>ISOPHORONE!BF15</f>
        <v>1.4993705231169958</v>
      </c>
      <c r="BB36" s="20">
        <f>ISOPHORONE!BG15</f>
        <v>1.5119644019969611</v>
      </c>
      <c r="BC36" s="20">
        <f>ISOPHORONE!BH15</f>
        <v>1.5119644019969611</v>
      </c>
      <c r="BD36" s="20">
        <f>ISOPHORONE!BI15</f>
        <v>1.5749337963967875</v>
      </c>
      <c r="BE36" s="20">
        <f>ISOPHORONE!BJ15</f>
        <v>1.5938246147167352</v>
      </c>
      <c r="BF36" s="20">
        <f>ISOPHORONE!BK15</f>
        <v>1.6064184935967005</v>
      </c>
      <c r="BG36" s="20">
        <f>ISOPHORONE!BL15</f>
        <v>1.5686368569568048</v>
      </c>
      <c r="BH36" s="20">
        <f>ISOPHORONE!BM15</f>
        <v>1.5686368569568048</v>
      </c>
      <c r="BI36" s="20">
        <f>ISOPHORONE!BN15</f>
        <v>1.5686368569568048</v>
      </c>
      <c r="BJ36" s="20">
        <f>ISOPHORONE!BO15</f>
        <v>1.5812307358367701</v>
      </c>
      <c r="BK36" s="20">
        <f>ISOPHORONE!BP15</f>
        <v>1.5812307358367701</v>
      </c>
      <c r="BL36" s="20">
        <f>ISOPHORONE!BQ15</f>
        <v>1.5812307358367701</v>
      </c>
      <c r="BM36" s="20">
        <f>ISOPHORONE!BR15</f>
        <v>1.5497460386368569</v>
      </c>
      <c r="BN36" s="20">
        <f>ISOPHORONE!BS15</f>
        <v>1.5497460386368569</v>
      </c>
      <c r="BO36" s="20">
        <f>ISOPHORONE!BT15</f>
        <v>1.5497460386368569</v>
      </c>
      <c r="BP36" s="20">
        <f>ISOPHORONE!BU15</f>
        <v>1.5497460386368569</v>
      </c>
      <c r="BQ36" s="20">
        <f>ISOPHORONE!BV15</f>
        <v>1.5812307358367701</v>
      </c>
      <c r="BR36" s="20">
        <f>ISOPHORONE!BW15</f>
        <v>1.5749337963967875</v>
      </c>
      <c r="BS36" s="20">
        <f>ISOPHORONE!BX15</f>
        <v>1.5749337963967875</v>
      </c>
    </row>
    <row r="37" spans="1:71">
      <c r="A37" s="8" t="s">
        <v>207</v>
      </c>
      <c r="B37" s="263" t="s">
        <v>237</v>
      </c>
      <c r="C37" s="19">
        <f t="shared" si="3"/>
        <v>0.42094408992005938</v>
      </c>
      <c r="D37" s="19">
        <f t="shared" si="3"/>
        <v>-0.11691761095869513</v>
      </c>
      <c r="E37" s="19">
        <f t="shared" si="3"/>
        <v>1.1082296397970792</v>
      </c>
      <c r="F37" s="19">
        <f t="shared" si="3"/>
        <v>-0.90250059208325717</v>
      </c>
      <c r="G37" s="19">
        <f t="shared" si="3"/>
        <v>-0.17480520008108114</v>
      </c>
      <c r="H37" s="19">
        <f t="shared" si="3"/>
        <v>0</v>
      </c>
      <c r="I37" s="19">
        <f t="shared" si="3"/>
        <v>0.37346150502394604</v>
      </c>
      <c r="J37" s="19">
        <f t="shared" si="3"/>
        <v>0</v>
      </c>
      <c r="K37" s="19">
        <f t="shared" si="3"/>
        <v>0</v>
      </c>
      <c r="L37" s="19">
        <f t="shared" si="3"/>
        <v>0</v>
      </c>
      <c r="M37" s="19">
        <f t="shared" si="3"/>
        <v>1.0596494035811643E-2</v>
      </c>
      <c r="N37" s="19">
        <f t="shared" si="3"/>
        <v>0</v>
      </c>
      <c r="O37" s="19">
        <f t="shared" si="4"/>
        <v>0</v>
      </c>
      <c r="P37" s="19">
        <f t="shared" si="4"/>
        <v>0</v>
      </c>
      <c r="Q37" s="19">
        <f t="shared" si="4"/>
        <v>-6.5490919506896894E-2</v>
      </c>
      <c r="R37" s="19">
        <f t="shared" si="4"/>
        <v>0</v>
      </c>
      <c r="S37" s="19">
        <f t="shared" si="4"/>
        <v>0</v>
      </c>
      <c r="T37" s="19">
        <f t="shared" si="4"/>
        <v>0</v>
      </c>
      <c r="U37" s="19">
        <f t="shared" si="4"/>
        <v>-8.5482800714627993E-2</v>
      </c>
      <c r="V37" s="19">
        <f t="shared" si="4"/>
        <v>0</v>
      </c>
      <c r="W37" s="19">
        <f t="shared" si="4"/>
        <v>0</v>
      </c>
      <c r="X37" s="19">
        <f t="shared" si="4"/>
        <v>0.33976818446665691</v>
      </c>
      <c r="Y37" s="19">
        <f t="shared" si="4"/>
        <v>0</v>
      </c>
      <c r="Z37" s="19">
        <f t="shared" si="4"/>
        <v>0</v>
      </c>
      <c r="AA37" s="19">
        <f t="shared" si="4"/>
        <v>0</v>
      </c>
      <c r="AB37" s="19">
        <f t="shared" si="4"/>
        <v>7.170747770007746E-2</v>
      </c>
      <c r="AC37" s="19">
        <f t="shared" si="4"/>
        <v>-8.3658723983423666E-2</v>
      </c>
      <c r="AD37" s="19">
        <f t="shared" si="4"/>
        <v>0</v>
      </c>
      <c r="AE37" s="19">
        <f t="shared" si="5"/>
        <v>-0.27487866451696297</v>
      </c>
      <c r="AF37" s="19">
        <f t="shared" si="5"/>
        <v>0</v>
      </c>
      <c r="AG37" s="19">
        <f t="shared" si="5"/>
        <v>0.13146370911680827</v>
      </c>
      <c r="AH37" s="19">
        <f t="shared" si="5"/>
        <v>0</v>
      </c>
      <c r="AI37" s="19">
        <f t="shared" si="5"/>
        <v>0</v>
      </c>
      <c r="AJ37" s="65"/>
      <c r="AL37" s="8">
        <v>1.84</v>
      </c>
      <c r="AM37" s="20">
        <f>'Phosphonic acid'!AR16</f>
        <v>1.4190559100799407</v>
      </c>
      <c r="AN37" s="20">
        <f>'Phosphonic acid'!AS16</f>
        <v>1.5359735210386358</v>
      </c>
      <c r="AO37" s="20">
        <f>'Phosphonic acid'!AT16</f>
        <v>0.42774388124155666</v>
      </c>
      <c r="AP37" s="20">
        <f>'Phosphonic acid'!AU16</f>
        <v>1.3302444733248138</v>
      </c>
      <c r="AQ37" s="20">
        <f>'Phosphonic acid'!AV16</f>
        <v>1.5050496734058949</v>
      </c>
      <c r="AR37" s="20">
        <f>'Phosphonic acid'!AW16</f>
        <v>1.5050496734058949</v>
      </c>
      <c r="AS37" s="20">
        <f>'Phosphonic acid'!AX16</f>
        <v>1.1315881683819489</v>
      </c>
      <c r="AT37" s="20">
        <f>'Phosphonic acid'!AY16</f>
        <v>1.1315881683819489</v>
      </c>
      <c r="AU37" s="20">
        <f>'Phosphonic acid'!AZ16</f>
        <v>1.1315881683819489</v>
      </c>
      <c r="AV37" s="20">
        <f>'Phosphonic acid'!BA16</f>
        <v>1.1315881683819489</v>
      </c>
      <c r="AW37" s="20">
        <f>'Phosphonic acid'!BB16</f>
        <v>1.1209916743461372</v>
      </c>
      <c r="AX37" s="20">
        <f>'Phosphonic acid'!BC16</f>
        <v>1.1209916743461372</v>
      </c>
      <c r="AY37" s="20">
        <f>'Phosphonic acid'!BD16</f>
        <v>1.1209916743461372</v>
      </c>
      <c r="AZ37" s="20">
        <f>'Phosphonic acid'!BE16</f>
        <v>1.1209916743461372</v>
      </c>
      <c r="BA37" s="20">
        <f>'Phosphonic acid'!BF16</f>
        <v>1.1864825938530341</v>
      </c>
      <c r="BB37" s="20">
        <f>'Phosphonic acid'!BG16</f>
        <v>1.1864825938530341</v>
      </c>
      <c r="BC37" s="20">
        <f>'Phosphonic acid'!BH16</f>
        <v>1.1864825938530341</v>
      </c>
      <c r="BD37" s="20">
        <f>'Phosphonic acid'!BI16</f>
        <v>1.1864825938530341</v>
      </c>
      <c r="BE37" s="20">
        <f>'Phosphonic acid'!BJ16</f>
        <v>1.2719653945676621</v>
      </c>
      <c r="BF37" s="20">
        <f>'Phosphonic acid'!BK16</f>
        <v>1.2719653945676621</v>
      </c>
      <c r="BG37" s="20">
        <f>'Phosphonic acid'!BL16</f>
        <v>1.2719653945676621</v>
      </c>
      <c r="BH37" s="20">
        <f>'Phosphonic acid'!BM16</f>
        <v>0.9321972101010052</v>
      </c>
      <c r="BI37" s="20">
        <f>'Phosphonic acid'!BN16</f>
        <v>0.9321972101010052</v>
      </c>
      <c r="BJ37" s="20">
        <f>'Phosphonic acid'!BO16</f>
        <v>0.9321972101010052</v>
      </c>
      <c r="BK37" s="20">
        <f>'Phosphonic acid'!BP16</f>
        <v>0.9321972101010052</v>
      </c>
      <c r="BL37" s="20">
        <f>'Phosphonic acid'!BQ16</f>
        <v>0.86048973240092774</v>
      </c>
      <c r="BM37" s="20">
        <f>'Phosphonic acid'!BR16</f>
        <v>0.94414845638435141</v>
      </c>
      <c r="BN37" s="20">
        <f>'Phosphonic acid'!BS16</f>
        <v>0.94414845638435141</v>
      </c>
      <c r="BO37" s="20">
        <f>'Phosphonic acid'!BT16</f>
        <v>1.2190271209013144</v>
      </c>
      <c r="BP37" s="20">
        <f>'Phosphonic acid'!BU16</f>
        <v>1.2190271209013144</v>
      </c>
      <c r="BQ37" s="20">
        <f>'Phosphonic acid'!BV16</f>
        <v>1.0875634117845061</v>
      </c>
      <c r="BR37" s="20">
        <f>'Phosphonic acid'!BW16</f>
        <v>1.0875634117845061</v>
      </c>
      <c r="BS37" s="20">
        <f>'Phosphonic acid'!BX16</f>
        <v>1.0875634117845061</v>
      </c>
    </row>
    <row r="38" spans="1:71">
      <c r="A38" s="8" t="s">
        <v>203</v>
      </c>
      <c r="B38" s="263" t="s">
        <v>238</v>
      </c>
      <c r="C38" s="19">
        <f t="shared" si="3"/>
        <v>-0.21339386218482792</v>
      </c>
      <c r="D38" s="19">
        <f t="shared" si="3"/>
        <v>0.44099084608780004</v>
      </c>
      <c r="E38" s="19">
        <f t="shared" si="3"/>
        <v>2.0570965045874967E-2</v>
      </c>
      <c r="F38" s="19">
        <f t="shared" si="3"/>
        <v>-7.4101071025411969E-3</v>
      </c>
      <c r="G38" s="19">
        <f t="shared" si="3"/>
        <v>-2.5227433378929298E-2</v>
      </c>
      <c r="H38" s="19">
        <f t="shared" si="3"/>
        <v>0.15049500659836434</v>
      </c>
      <c r="I38" s="19">
        <f t="shared" si="3"/>
        <v>-3.7136657615288726E-5</v>
      </c>
      <c r="J38" s="19">
        <f t="shared" si="3"/>
        <v>-1.6155214282553843E-4</v>
      </c>
      <c r="K38" s="19">
        <f t="shared" si="3"/>
        <v>9.385696904714802E-3</v>
      </c>
      <c r="L38" s="19">
        <f t="shared" si="3"/>
        <v>3.0864066915658128E-2</v>
      </c>
      <c r="M38" s="19">
        <f t="shared" si="3"/>
        <v>-7.6047844870044123E-2</v>
      </c>
      <c r="N38" s="19">
        <f t="shared" si="3"/>
        <v>2.4634672085976916E-4</v>
      </c>
      <c r="O38" s="19">
        <f t="shared" si="4"/>
        <v>0</v>
      </c>
      <c r="P38" s="19">
        <f t="shared" si="4"/>
        <v>-3.5269032734941419E-4</v>
      </c>
      <c r="Q38" s="19">
        <f t="shared" si="4"/>
        <v>2.3569311460436282E-4</v>
      </c>
      <c r="R38" s="19">
        <f t="shared" si="4"/>
        <v>6.8763727748940795E-2</v>
      </c>
      <c r="S38" s="19">
        <f t="shared" si="4"/>
        <v>-1.9962752741218281E-3</v>
      </c>
      <c r="T38" s="19">
        <f t="shared" si="4"/>
        <v>1.9330151899810133E-4</v>
      </c>
      <c r="U38" s="19">
        <f t="shared" si="4"/>
        <v>-7.9581417073040228E-3</v>
      </c>
      <c r="V38" s="19">
        <f t="shared" si="4"/>
        <v>2.0373116826455373E-5</v>
      </c>
      <c r="W38" s="19">
        <f t="shared" si="4"/>
        <v>1.8976950463862607E-3</v>
      </c>
      <c r="X38" s="19">
        <f t="shared" si="4"/>
        <v>-1.243055439678642E-2</v>
      </c>
      <c r="Y38" s="19">
        <f t="shared" si="4"/>
        <v>-2.7637400097368925E-5</v>
      </c>
      <c r="Z38" s="19">
        <f t="shared" si="4"/>
        <v>-2.0745491634777125E-5</v>
      </c>
      <c r="AA38" s="19">
        <f t="shared" si="4"/>
        <v>0</v>
      </c>
      <c r="AB38" s="19">
        <f t="shared" si="4"/>
        <v>-1.8999864553065127E-2</v>
      </c>
      <c r="AC38" s="19">
        <f t="shared" si="4"/>
        <v>4.822052339070737E-5</v>
      </c>
      <c r="AD38" s="19">
        <f t="shared" ref="AA38:AF83" si="6">+BM38-BN38</f>
        <v>4.9233720077141996E-3</v>
      </c>
      <c r="AE38" s="19">
        <f t="shared" si="5"/>
        <v>-1.0672663242998759E-3</v>
      </c>
      <c r="AF38" s="19">
        <f t="shared" si="5"/>
        <v>5.1413329899219207E-5</v>
      </c>
      <c r="AG38" s="19">
        <f t="shared" si="5"/>
        <v>1.3733861159170857E-3</v>
      </c>
      <c r="AH38" s="19">
        <f t="shared" si="5"/>
        <v>-2.4754417945946905E-3</v>
      </c>
      <c r="AI38" s="19">
        <f t="shared" si="5"/>
        <v>6.5582733260072246E-5</v>
      </c>
      <c r="AJ38" s="65"/>
      <c r="AL38" s="8">
        <v>3.38</v>
      </c>
      <c r="AM38" s="20">
        <f>'DETA EDA'!AR14</f>
        <v>3.5933938621848278</v>
      </c>
      <c r="AN38" s="20">
        <f>'DETA EDA'!AS14</f>
        <v>3.1524030160970278</v>
      </c>
      <c r="AO38" s="20">
        <f>'DETA EDA'!AT14</f>
        <v>3.1318320510511528</v>
      </c>
      <c r="AP38" s="20">
        <f>'DETA EDA'!AU14</f>
        <v>3.139242158153694</v>
      </c>
      <c r="AQ38" s="20">
        <f>'DETA EDA'!AV14</f>
        <v>3.1644695915326233</v>
      </c>
      <c r="AR38" s="20">
        <f>'DETA EDA'!AW14</f>
        <v>3.013974584934259</v>
      </c>
      <c r="AS38" s="20">
        <f>'DETA EDA'!AX14</f>
        <v>3.0140117215918742</v>
      </c>
      <c r="AT38" s="20">
        <f>'DETA EDA'!AY14</f>
        <v>3.0141732737346998</v>
      </c>
      <c r="AU38" s="20">
        <f>'DETA EDA'!AZ14</f>
        <v>3.004787576829985</v>
      </c>
      <c r="AV38" s="20">
        <f>'DETA EDA'!BA14</f>
        <v>2.9739235099143269</v>
      </c>
      <c r="AW38" s="20">
        <f>'DETA EDA'!BB14</f>
        <v>3.049971354784371</v>
      </c>
      <c r="AX38" s="20">
        <f>'DETA EDA'!BC14</f>
        <v>3.0497250080635112</v>
      </c>
      <c r="AY38" s="20">
        <f>'DETA EDA'!BD14</f>
        <v>3.0497250080635112</v>
      </c>
      <c r="AZ38" s="20">
        <f>'DETA EDA'!BE14</f>
        <v>3.0500776983908606</v>
      </c>
      <c r="BA38" s="20">
        <f>'DETA EDA'!BF14</f>
        <v>3.0498420052762563</v>
      </c>
      <c r="BB38" s="20">
        <f>'DETA EDA'!BG14</f>
        <v>2.9810782775273155</v>
      </c>
      <c r="BC38" s="20">
        <f>'DETA EDA'!BH14</f>
        <v>2.9830745528014373</v>
      </c>
      <c r="BD38" s="20">
        <f>'DETA EDA'!BI14</f>
        <v>2.9828812512824392</v>
      </c>
      <c r="BE38" s="20">
        <f>'DETA EDA'!BJ14</f>
        <v>2.9908393929897432</v>
      </c>
      <c r="BF38" s="20">
        <f>'DETA EDA'!BK14</f>
        <v>2.9908190198729168</v>
      </c>
      <c r="BG38" s="20">
        <f>'DETA EDA'!BL14</f>
        <v>2.9889213248265305</v>
      </c>
      <c r="BH38" s="20">
        <f>'DETA EDA'!BM14</f>
        <v>3.0013518792233169</v>
      </c>
      <c r="BI38" s="20">
        <f>'DETA EDA'!BN14</f>
        <v>3.0013795166234143</v>
      </c>
      <c r="BJ38" s="20">
        <f>'DETA EDA'!BO14</f>
        <v>3.0014002621150491</v>
      </c>
      <c r="BK38" s="20">
        <f>'DETA EDA'!BP14</f>
        <v>3.0014002621150491</v>
      </c>
      <c r="BL38" s="20">
        <f>'DETA EDA'!BQ14</f>
        <v>3.0204001266681142</v>
      </c>
      <c r="BM38" s="20">
        <f>'DETA EDA'!BR14</f>
        <v>3.0203519061447235</v>
      </c>
      <c r="BN38" s="20">
        <f>'DETA EDA'!BS14</f>
        <v>3.0154285341370093</v>
      </c>
      <c r="BO38" s="20">
        <f>'DETA EDA'!BT14</f>
        <v>3.0164958004613092</v>
      </c>
      <c r="BP38" s="20">
        <f>'DETA EDA'!BU14</f>
        <v>3.0164443871314099</v>
      </c>
      <c r="BQ38" s="20">
        <f>'DETA EDA'!BV14</f>
        <v>3.0150710010154929</v>
      </c>
      <c r="BR38" s="20">
        <f>'DETA EDA'!BW14</f>
        <v>3.0175464428100875</v>
      </c>
      <c r="BS38" s="20">
        <f>'DETA EDA'!BX14</f>
        <v>3.0174808600768275</v>
      </c>
    </row>
    <row r="39" spans="1:71">
      <c r="A39" s="8" t="s">
        <v>203</v>
      </c>
      <c r="B39" s="263" t="s">
        <v>239</v>
      </c>
      <c r="C39" s="19">
        <f t="shared" si="3"/>
        <v>0.23921774286700481</v>
      </c>
      <c r="D39" s="19">
        <f t="shared" si="3"/>
        <v>-5.2856228029127816E-2</v>
      </c>
      <c r="E39" s="19">
        <f t="shared" si="3"/>
        <v>-9.4044440131496376E-2</v>
      </c>
      <c r="F39" s="19">
        <f t="shared" si="3"/>
        <v>2.5328892041679207E-2</v>
      </c>
      <c r="G39" s="19">
        <f t="shared" si="3"/>
        <v>6.8347803921988692E-3</v>
      </c>
      <c r="H39" s="19">
        <f t="shared" si="3"/>
        <v>4.4146275313828198E-2</v>
      </c>
      <c r="I39" s="19">
        <f t="shared" si="3"/>
        <v>-7.4273315230133363E-5</v>
      </c>
      <c r="J39" s="19">
        <f t="shared" si="3"/>
        <v>2.9281393581739312E-2</v>
      </c>
      <c r="K39" s="19">
        <f t="shared" si="3"/>
        <v>-3.2515524058940315E-4</v>
      </c>
      <c r="L39" s="19">
        <f t="shared" ref="L39:Z55" si="7">+AU39-AV39</f>
        <v>4.4384866812574586E-3</v>
      </c>
      <c r="M39" s="19">
        <f t="shared" si="7"/>
        <v>-1.4125546273628053E-2</v>
      </c>
      <c r="N39" s="19">
        <f t="shared" si="7"/>
        <v>-1.4309555491975878E-2</v>
      </c>
      <c r="O39" s="19">
        <f t="shared" si="7"/>
        <v>0</v>
      </c>
      <c r="P39" s="19">
        <f t="shared" si="7"/>
        <v>-7.4716625323175023E-2</v>
      </c>
      <c r="Q39" s="19">
        <f t="shared" si="7"/>
        <v>-1.4330862704486691E-2</v>
      </c>
      <c r="R39" s="19">
        <f t="shared" si="7"/>
        <v>-2.575288571964407E-2</v>
      </c>
      <c r="S39" s="19">
        <f t="shared" si="7"/>
        <v>-3.9925505482432122E-3</v>
      </c>
      <c r="T39" s="19">
        <f t="shared" si="7"/>
        <v>3.8660303799575857E-4</v>
      </c>
      <c r="U39" s="19">
        <f t="shared" si="7"/>
        <v>1.3688214452782343E-2</v>
      </c>
      <c r="V39" s="19">
        <f t="shared" si="7"/>
        <v>4.0746233653354835E-5</v>
      </c>
      <c r="W39" s="19">
        <f t="shared" si="7"/>
        <v>3.7953900927716333E-3</v>
      </c>
      <c r="X39" s="19">
        <f t="shared" si="7"/>
        <v>-5.764559743553388E-3</v>
      </c>
      <c r="Y39" s="19">
        <f t="shared" si="7"/>
        <v>-5.5274800194293761E-5</v>
      </c>
      <c r="Z39" s="19">
        <f t="shared" si="7"/>
        <v>2.9563006884121279E-2</v>
      </c>
      <c r="AA39" s="19">
        <f t="shared" si="6"/>
        <v>0</v>
      </c>
      <c r="AB39" s="19">
        <f t="shared" si="6"/>
        <v>2.9797866861298594E-2</v>
      </c>
      <c r="AC39" s="19">
        <f t="shared" si="6"/>
        <v>2.9700938914171804E-2</v>
      </c>
      <c r="AD39" s="19">
        <f t="shared" si="6"/>
        <v>9.8467440154279551E-3</v>
      </c>
      <c r="AE39" s="19">
        <f t="shared" si="5"/>
        <v>1.2667716285096109E-2</v>
      </c>
      <c r="AF39" s="19">
        <f t="shared" si="5"/>
        <v>1.028266597988825E-4</v>
      </c>
      <c r="AG39" s="19">
        <f t="shared" si="5"/>
        <v>2.7467722318337273E-3</v>
      </c>
      <c r="AH39" s="19">
        <f t="shared" si="5"/>
        <v>-4.950883589189381E-3</v>
      </c>
      <c r="AI39" s="19">
        <f t="shared" si="5"/>
        <v>1.3116546652014449E-4</v>
      </c>
      <c r="AJ39" s="65"/>
      <c r="AL39" s="8">
        <v>3.57</v>
      </c>
      <c r="AM39" s="20">
        <f>DETA!AR16</f>
        <v>3.330782257132995</v>
      </c>
      <c r="AN39" s="20">
        <f>DETA!AS16</f>
        <v>3.3836384851621228</v>
      </c>
      <c r="AO39" s="20">
        <f>DETA!AT16</f>
        <v>3.4776829252936192</v>
      </c>
      <c r="AP39" s="20">
        <f>DETA!AU16</f>
        <v>3.45235403325194</v>
      </c>
      <c r="AQ39" s="20">
        <f>DETA!AV16</f>
        <v>3.4455192528597411</v>
      </c>
      <c r="AR39" s="20">
        <f>DETA!AW16</f>
        <v>3.4013729775459129</v>
      </c>
      <c r="AS39" s="20">
        <f>DETA!AX16</f>
        <v>3.4014472508611431</v>
      </c>
      <c r="AT39" s="20">
        <f>DETA!AY16</f>
        <v>3.3721658572794038</v>
      </c>
      <c r="AU39" s="20">
        <f>DETA!AZ16</f>
        <v>3.3724910125199932</v>
      </c>
      <c r="AV39" s="20">
        <f>DETA!BA16</f>
        <v>3.3680525258387357</v>
      </c>
      <c r="AW39" s="20">
        <f>DETA!BB16</f>
        <v>3.3821780721123638</v>
      </c>
      <c r="AX39" s="20">
        <f>DETA!BC16</f>
        <v>3.3964876276043396</v>
      </c>
      <c r="AY39" s="20">
        <f>DETA!BD16</f>
        <v>3.3964876276043396</v>
      </c>
      <c r="AZ39" s="20">
        <f>DETA!BE16</f>
        <v>3.4712042529275147</v>
      </c>
      <c r="BA39" s="20">
        <f>DETA!BF16</f>
        <v>3.4855351156320014</v>
      </c>
      <c r="BB39" s="20">
        <f>DETA!BG16</f>
        <v>3.5112880013516454</v>
      </c>
      <c r="BC39" s="20">
        <f>DETA!BH16</f>
        <v>3.5152805518998886</v>
      </c>
      <c r="BD39" s="20">
        <f>DETA!BI16</f>
        <v>3.5148939488618929</v>
      </c>
      <c r="BE39" s="20">
        <f>DETA!BJ16</f>
        <v>3.5012057344091105</v>
      </c>
      <c r="BF39" s="20">
        <f>DETA!BK16</f>
        <v>3.5011649881754572</v>
      </c>
      <c r="BG39" s="20">
        <f>DETA!BL16</f>
        <v>3.4973695980826855</v>
      </c>
      <c r="BH39" s="20">
        <f>DETA!BM16</f>
        <v>3.5031341578262389</v>
      </c>
      <c r="BI39" s="20">
        <f>DETA!BN16</f>
        <v>3.5031894326264332</v>
      </c>
      <c r="BJ39" s="20">
        <f>DETA!BO16</f>
        <v>3.473626425742312</v>
      </c>
      <c r="BK39" s="20">
        <f>DETA!BP16</f>
        <v>3.473626425742312</v>
      </c>
      <c r="BL39" s="20">
        <f>DETA!BQ16</f>
        <v>3.4438285588810134</v>
      </c>
      <c r="BM39" s="20">
        <f>DETA!BR16</f>
        <v>3.4141276199668416</v>
      </c>
      <c r="BN39" s="20">
        <f>DETA!BS16</f>
        <v>3.4042808759514136</v>
      </c>
      <c r="BO39" s="20">
        <f>DETA!BT16</f>
        <v>3.3916131596663175</v>
      </c>
      <c r="BP39" s="20">
        <f>DETA!BU16</f>
        <v>3.3915103330065186</v>
      </c>
      <c r="BQ39" s="20">
        <f>DETA!BV16</f>
        <v>3.3887635607746849</v>
      </c>
      <c r="BR39" s="20">
        <f>DETA!BW16</f>
        <v>3.3937144443638743</v>
      </c>
      <c r="BS39" s="20">
        <f>DETA!BX16</f>
        <v>3.3935832788973541</v>
      </c>
    </row>
    <row r="40" spans="1:71">
      <c r="A40" s="8" t="s">
        <v>203</v>
      </c>
      <c r="B40" s="263" t="s">
        <v>240</v>
      </c>
      <c r="C40" s="19">
        <f t="shared" ref="C40:C48" si="8">+AL40-AM40</f>
        <v>0.15593249753827876</v>
      </c>
      <c r="D40" s="19">
        <f t="shared" ref="D40:D48" si="9">+AM40-AN40</f>
        <v>-6.8250051139615797E-2</v>
      </c>
      <c r="E40" s="19">
        <f t="shared" ref="E40:E48" si="10">+AN40-AO40</f>
        <v>-3.8445920580668203E-2</v>
      </c>
      <c r="F40" s="19">
        <f t="shared" ref="F40:F48" si="11">+AO40-AP40</f>
        <v>4.831540739904705E-2</v>
      </c>
      <c r="G40" s="19">
        <f t="shared" ref="G40:G48" si="12">+AP40-AQ40</f>
        <v>9.950725078231426E-2</v>
      </c>
      <c r="H40" s="19">
        <f t="shared" ref="H40:H48" si="13">+AQ40-AR40</f>
        <v>7.0200616785744518E-2</v>
      </c>
      <c r="I40" s="19">
        <f t="shared" ref="I40:I48" si="14">+AR40-AS40</f>
        <v>-7.2878876860804631E-5</v>
      </c>
      <c r="J40" s="19">
        <f t="shared" ref="J40:J48" si="15">+AS40-AT40</f>
        <v>-3.1703819028616742E-4</v>
      </c>
      <c r="K40" s="19">
        <f t="shared" ref="K40:K48" si="16">+AT40-AU40</f>
        <v>-3.1905063973636238E-4</v>
      </c>
      <c r="L40" s="19">
        <f t="shared" si="7"/>
        <v>-3.7811473047972832E-3</v>
      </c>
      <c r="M40" s="19">
        <f t="shared" si="7"/>
        <v>5.1317049238797097E-4</v>
      </c>
      <c r="N40" s="19">
        <f t="shared" si="7"/>
        <v>4.8344340841466327E-4</v>
      </c>
      <c r="O40" s="19">
        <f t="shared" si="7"/>
        <v>0</v>
      </c>
      <c r="P40" s="19">
        <f t="shared" si="7"/>
        <v>-6.9213754245933679E-4</v>
      </c>
      <c r="Q40" s="19">
        <f t="shared" si="7"/>
        <v>-3.475567758371001E-2</v>
      </c>
      <c r="R40" s="19">
        <f t="shared" si="7"/>
        <v>3.7793003659630786E-3</v>
      </c>
      <c r="S40" s="19">
        <f t="shared" si="7"/>
        <v>-2.1455475552724312E-2</v>
      </c>
      <c r="T40" s="19">
        <f t="shared" si="7"/>
        <v>3.7934479042400771E-4</v>
      </c>
      <c r="U40" s="19">
        <f t="shared" si="7"/>
        <v>-1.5617464434678485E-2</v>
      </c>
      <c r="V40" s="19">
        <f t="shared" si="7"/>
        <v>3.9981246774067891E-5</v>
      </c>
      <c r="W40" s="19">
        <f t="shared" si="7"/>
        <v>3.7241338474278685E-3</v>
      </c>
      <c r="X40" s="19">
        <f t="shared" si="7"/>
        <v>-3.5947516665664314E-2</v>
      </c>
      <c r="Y40" s="19">
        <f t="shared" si="7"/>
        <v>2.2729089944667269E-2</v>
      </c>
      <c r="Z40" s="19">
        <f t="shared" si="7"/>
        <v>-4.0712014148125419E-5</v>
      </c>
      <c r="AA40" s="19">
        <f t="shared" si="6"/>
        <v>0</v>
      </c>
      <c r="AB40" s="19">
        <f t="shared" si="6"/>
        <v>1.8973860331916725E-4</v>
      </c>
      <c r="AC40" s="19">
        <f t="shared" si="6"/>
        <v>3.0846675314647354E-2</v>
      </c>
      <c r="AD40" s="19">
        <f t="shared" si="6"/>
        <v>9.6618771136728343E-3</v>
      </c>
      <c r="AE40" s="19">
        <f t="shared" si="5"/>
        <v>-2.1710408199145714E-2</v>
      </c>
      <c r="AF40" s="19">
        <f t="shared" si="5"/>
        <v>-4.1552015388912622E-5</v>
      </c>
      <c r="AG40" s="19">
        <f t="shared" si="5"/>
        <v>2.6952031779892138E-3</v>
      </c>
      <c r="AH40" s="19">
        <f t="shared" si="5"/>
        <v>-4.8579336243430582E-3</v>
      </c>
      <c r="AI40" s="19">
        <f t="shared" si="5"/>
        <v>1.2870291104238873E-4</v>
      </c>
      <c r="AJ40" s="65"/>
      <c r="AL40" s="8">
        <v>1.1200000000000001</v>
      </c>
      <c r="AM40" s="20">
        <f>'DIETHANOL AMINE'!AR17</f>
        <v>0.96406750246172135</v>
      </c>
      <c r="AN40" s="20">
        <f>'DIETHANOL AMINE'!AS17</f>
        <v>1.0323175536013371</v>
      </c>
      <c r="AO40" s="20">
        <f>'DIETHANOL AMINE'!AT17</f>
        <v>1.0707634741820053</v>
      </c>
      <c r="AP40" s="20">
        <f>'DIETHANOL AMINE'!AU17</f>
        <v>1.0224480667829583</v>
      </c>
      <c r="AQ40" s="20">
        <f>'DIETHANOL AMINE'!AV17</f>
        <v>0.92294081600064404</v>
      </c>
      <c r="AR40" s="20">
        <f>'DIETHANOL AMINE'!AW17</f>
        <v>0.85274019921489952</v>
      </c>
      <c r="AS40" s="20">
        <f>'DIETHANOL AMINE'!AX17</f>
        <v>0.85281307809176032</v>
      </c>
      <c r="AT40" s="20">
        <f>'DIETHANOL AMINE'!AY17</f>
        <v>0.85313011628204649</v>
      </c>
      <c r="AU40" s="20">
        <f>'DIETHANOL AMINE'!AZ17</f>
        <v>0.85344916692178285</v>
      </c>
      <c r="AV40" s="20">
        <f>'DIETHANOL AMINE'!BA17</f>
        <v>0.85723031422658014</v>
      </c>
      <c r="AW40" s="20">
        <f>'DIETHANOL AMINE'!BB17</f>
        <v>0.85671714373419217</v>
      </c>
      <c r="AX40" s="20">
        <f>'DIETHANOL AMINE'!BC17</f>
        <v>0.8562337003257775</v>
      </c>
      <c r="AY40" s="20">
        <f>'DIETHANOL AMINE'!BD17</f>
        <v>0.8562337003257775</v>
      </c>
      <c r="AZ40" s="20">
        <f>'DIETHANOL AMINE'!BE17</f>
        <v>0.85692583786823684</v>
      </c>
      <c r="BA40" s="20">
        <f>'DIETHANOL AMINE'!BF17</f>
        <v>0.89168151545194685</v>
      </c>
      <c r="BB40" s="20">
        <f>'DIETHANOL AMINE'!BG17</f>
        <v>0.88790221508598377</v>
      </c>
      <c r="BC40" s="20">
        <f>'DIETHANOL AMINE'!BH17</f>
        <v>0.90935769063870808</v>
      </c>
      <c r="BD40" s="20">
        <f>'DIETHANOL AMINE'!BI17</f>
        <v>0.90897834584828408</v>
      </c>
      <c r="BE40" s="20">
        <f>'DIETHANOL AMINE'!BJ17</f>
        <v>0.92459581028296256</v>
      </c>
      <c r="BF40" s="20">
        <f>'DIETHANOL AMINE'!BK17</f>
        <v>0.92455582903618849</v>
      </c>
      <c r="BG40" s="20">
        <f>'DIETHANOL AMINE'!BL17</f>
        <v>0.92083169518876062</v>
      </c>
      <c r="BH40" s="20">
        <f>'DIETHANOL AMINE'!BM17</f>
        <v>0.95677921185442494</v>
      </c>
      <c r="BI40" s="20">
        <f>'DIETHANOL AMINE'!BN17</f>
        <v>0.93405012190975767</v>
      </c>
      <c r="BJ40" s="20">
        <f>'DIETHANOL AMINE'!BO17</f>
        <v>0.93409083392390579</v>
      </c>
      <c r="BK40" s="20">
        <f>'DIETHANOL AMINE'!BP17</f>
        <v>0.93409083392390579</v>
      </c>
      <c r="BL40" s="20">
        <f>'DIETHANOL AMINE'!BQ17</f>
        <v>0.93390109532058663</v>
      </c>
      <c r="BM40" s="20">
        <f>'DIETHANOL AMINE'!BR17</f>
        <v>0.90305442000593927</v>
      </c>
      <c r="BN40" s="20">
        <f>'DIETHANOL AMINE'!BS17</f>
        <v>0.89339254289226644</v>
      </c>
      <c r="BO40" s="20">
        <f>'DIETHANOL AMINE'!BT17</f>
        <v>0.91510295109141215</v>
      </c>
      <c r="BP40" s="20">
        <f>'DIETHANOL AMINE'!BU17</f>
        <v>0.91514450310680107</v>
      </c>
      <c r="BQ40" s="20">
        <f>'DIETHANOL AMINE'!BV17</f>
        <v>0.91244929992881185</v>
      </c>
      <c r="BR40" s="20">
        <f>'DIETHANOL AMINE'!BW17</f>
        <v>0.91730723355315491</v>
      </c>
      <c r="BS40" s="20">
        <f>'DIETHANOL AMINE'!BX17</f>
        <v>0.91717853064211252</v>
      </c>
    </row>
    <row r="41" spans="1:71">
      <c r="A41" s="8" t="s">
        <v>207</v>
      </c>
      <c r="B41" s="263" t="s">
        <v>241</v>
      </c>
      <c r="C41" s="19">
        <f t="shared" si="8"/>
        <v>0.31455971917268766</v>
      </c>
      <c r="D41" s="19">
        <f t="shared" si="9"/>
        <v>0.13474163288705121</v>
      </c>
      <c r="E41" s="19">
        <f t="shared" si="10"/>
        <v>6.478396635842909E-2</v>
      </c>
      <c r="F41" s="19">
        <f t="shared" si="11"/>
        <v>0.14775290950591247</v>
      </c>
      <c r="G41" s="19">
        <f t="shared" si="12"/>
        <v>0.44944965255791747</v>
      </c>
      <c r="H41" s="19">
        <f t="shared" si="13"/>
        <v>-0.16427208058661869</v>
      </c>
      <c r="I41" s="19">
        <f t="shared" si="14"/>
        <v>4.3133386416037034E-2</v>
      </c>
      <c r="J41" s="19">
        <f t="shared" si="15"/>
        <v>-2.6634297242108751E-2</v>
      </c>
      <c r="K41" s="19">
        <f t="shared" si="16"/>
        <v>-1.9383849659534658E-2</v>
      </c>
      <c r="L41" s="19">
        <f t="shared" si="7"/>
        <v>-8.8522304936380358E-3</v>
      </c>
      <c r="M41" s="19">
        <f t="shared" si="7"/>
        <v>-1.2603175618060902E-2</v>
      </c>
      <c r="N41" s="19">
        <f t="shared" si="7"/>
        <v>-8.8536751492567234E-3</v>
      </c>
      <c r="O41" s="19">
        <f t="shared" si="7"/>
        <v>3.5560440105655289E-3</v>
      </c>
      <c r="P41" s="19">
        <f t="shared" si="7"/>
        <v>-0.10028415745542141</v>
      </c>
      <c r="Q41" s="19">
        <f t="shared" si="7"/>
        <v>-1.8419957681548027E-3</v>
      </c>
      <c r="R41" s="19">
        <f t="shared" si="7"/>
        <v>1.9747989016930312E-2</v>
      </c>
      <c r="S41" s="19">
        <f t="shared" si="7"/>
        <v>2.2633996236427922E-2</v>
      </c>
      <c r="T41" s="19">
        <f t="shared" si="7"/>
        <v>0</v>
      </c>
      <c r="U41" s="19">
        <f t="shared" si="7"/>
        <v>0</v>
      </c>
      <c r="V41" s="19">
        <f t="shared" si="7"/>
        <v>-3.1346612847897415E-2</v>
      </c>
      <c r="W41" s="19">
        <f t="shared" si="7"/>
        <v>3.4404227987661073E-3</v>
      </c>
      <c r="X41" s="19">
        <f t="shared" si="7"/>
        <v>1.0643644401687968E-2</v>
      </c>
      <c r="Y41" s="19">
        <f t="shared" si="7"/>
        <v>-9.4197297899474286E-3</v>
      </c>
      <c r="Z41" s="19">
        <f t="shared" si="7"/>
        <v>-1.9613524606887367E-2</v>
      </c>
      <c r="AA41" s="19">
        <f t="shared" si="6"/>
        <v>0</v>
      </c>
      <c r="AB41" s="19">
        <f t="shared" si="6"/>
        <v>-6.1535947830400062E-3</v>
      </c>
      <c r="AC41" s="19">
        <f t="shared" si="6"/>
        <v>1.3153013122445323E-2</v>
      </c>
      <c r="AD41" s="19">
        <f t="shared" si="6"/>
        <v>4.2604531730139783E-2</v>
      </c>
      <c r="AE41" s="19">
        <f t="shared" si="5"/>
        <v>7.9954240120038822E-2</v>
      </c>
      <c r="AF41" s="19">
        <f t="shared" si="5"/>
        <v>1.831091464146839E-2</v>
      </c>
      <c r="AG41" s="19">
        <f t="shared" si="5"/>
        <v>1.7616800859490134E-3</v>
      </c>
      <c r="AH41" s="19">
        <f t="shared" si="5"/>
        <v>-4.8918144621381998E-2</v>
      </c>
      <c r="AI41" s="19">
        <f t="shared" si="5"/>
        <v>-3.6223950885148071E-3</v>
      </c>
      <c r="AJ41" s="65"/>
      <c r="AL41" s="8">
        <v>2.85</v>
      </c>
      <c r="AM41" s="20">
        <f>P2O5!AR14</f>
        <v>2.5354402808273124</v>
      </c>
      <c r="AN41" s="20">
        <f>P2O5!AS14</f>
        <v>2.4006986479402612</v>
      </c>
      <c r="AO41" s="20">
        <f>P2O5!AT14</f>
        <v>2.3359146815818321</v>
      </c>
      <c r="AP41" s="20">
        <f>P2O5!AU14</f>
        <v>2.1881617720759197</v>
      </c>
      <c r="AQ41" s="20">
        <f>P2O5!AV14</f>
        <v>1.7387121195180022</v>
      </c>
      <c r="AR41" s="20">
        <f>P2O5!AW14</f>
        <v>1.9029842001046209</v>
      </c>
      <c r="AS41" s="20">
        <f>P2O5!AX14</f>
        <v>1.8598508136885838</v>
      </c>
      <c r="AT41" s="20">
        <f>P2O5!AY14</f>
        <v>1.8864851109306926</v>
      </c>
      <c r="AU41" s="20">
        <f>P2O5!AZ14</f>
        <v>1.9058689605902273</v>
      </c>
      <c r="AV41" s="20">
        <f>P2O5!BA14</f>
        <v>1.9147211910838653</v>
      </c>
      <c r="AW41" s="20">
        <f>P2O5!BB14</f>
        <v>1.9273243667019262</v>
      </c>
      <c r="AX41" s="20">
        <f>P2O5!BC14</f>
        <v>1.9361780418511829</v>
      </c>
      <c r="AY41" s="20">
        <f>P2O5!BD14</f>
        <v>1.9326219978406174</v>
      </c>
      <c r="AZ41" s="20">
        <f>P2O5!BE14</f>
        <v>2.0329061552960388</v>
      </c>
      <c r="BA41" s="20">
        <f>P2O5!BF14</f>
        <v>2.0347481510641936</v>
      </c>
      <c r="BB41" s="20">
        <f>P2O5!BG14</f>
        <v>2.0150001620472633</v>
      </c>
      <c r="BC41" s="20">
        <f>P2O5!BH14</f>
        <v>1.9923661658108354</v>
      </c>
      <c r="BD41" s="20">
        <f>P2O5!BI14</f>
        <v>1.9923661658108354</v>
      </c>
      <c r="BE41" s="20">
        <f>P2O5!BJ14</f>
        <v>1.9923661658108354</v>
      </c>
      <c r="BF41" s="20">
        <f>P2O5!BK14</f>
        <v>2.0237127786587328</v>
      </c>
      <c r="BG41" s="20">
        <f>P2O5!BL14</f>
        <v>2.0202723558599667</v>
      </c>
      <c r="BH41" s="20">
        <f>P2O5!BM14</f>
        <v>2.0096287114582787</v>
      </c>
      <c r="BI41" s="20">
        <f>P2O5!BN14</f>
        <v>2.0190484412482261</v>
      </c>
      <c r="BJ41" s="20">
        <f>P2O5!BO14</f>
        <v>2.0386619658551135</v>
      </c>
      <c r="BK41" s="20">
        <f>P2O5!BP14</f>
        <v>2.0386619658551135</v>
      </c>
      <c r="BL41" s="20">
        <f>P2O5!BQ14</f>
        <v>2.0448155606381535</v>
      </c>
      <c r="BM41" s="20">
        <f>P2O5!BR14</f>
        <v>2.0316625475157082</v>
      </c>
      <c r="BN41" s="20">
        <f>P2O5!BS14</f>
        <v>1.9890580157855684</v>
      </c>
      <c r="BO41" s="20">
        <f>P2O5!BT14</f>
        <v>1.9091037756655296</v>
      </c>
      <c r="BP41" s="20">
        <f>P2O5!BU14</f>
        <v>1.8907928610240612</v>
      </c>
      <c r="BQ41" s="20">
        <f>P2O5!BV14</f>
        <v>1.8890311809381122</v>
      </c>
      <c r="BR41" s="20">
        <f>P2O5!BW14</f>
        <v>1.9379493255594942</v>
      </c>
      <c r="BS41" s="20">
        <f>P2O5!BX14</f>
        <v>1.941571720648009</v>
      </c>
    </row>
    <row r="42" spans="1:71" ht="15">
      <c r="A42" s="8" t="s">
        <v>207</v>
      </c>
      <c r="B42" s="264" t="s">
        <v>242</v>
      </c>
      <c r="C42" s="19">
        <f t="shared" si="8"/>
        <v>9.5749412187740468E-2</v>
      </c>
      <c r="D42" s="19">
        <f t="shared" si="9"/>
        <v>-3.1939432863549833E-2</v>
      </c>
      <c r="E42" s="19">
        <f t="shared" si="10"/>
        <v>-2.1839027338014461E-2</v>
      </c>
      <c r="F42" s="19">
        <f t="shared" si="11"/>
        <v>-2.3462674670635231E-2</v>
      </c>
      <c r="G42" s="19">
        <f t="shared" si="12"/>
        <v>8.0146297831537261E-2</v>
      </c>
      <c r="H42" s="19">
        <f t="shared" si="13"/>
        <v>2.4414699801232231E-2</v>
      </c>
      <c r="I42" s="19">
        <f t="shared" si="14"/>
        <v>7.1064854120678866E-2</v>
      </c>
      <c r="J42" s="19">
        <f t="shared" si="15"/>
        <v>1.5896146508585396E-2</v>
      </c>
      <c r="K42" s="19">
        <f t="shared" si="16"/>
        <v>0</v>
      </c>
      <c r="L42" s="19">
        <f t="shared" si="7"/>
        <v>-5.8012125812800797E-3</v>
      </c>
      <c r="M42" s="19">
        <f t="shared" si="7"/>
        <v>-8.0117382662288072E-3</v>
      </c>
      <c r="N42" s="19">
        <f t="shared" si="7"/>
        <v>-6.0722775352837211E-2</v>
      </c>
      <c r="O42" s="19">
        <f t="shared" si="7"/>
        <v>-2.9006062906398178E-3</v>
      </c>
      <c r="P42" s="19">
        <f t="shared" si="7"/>
        <v>0</v>
      </c>
      <c r="Q42" s="19">
        <f t="shared" si="7"/>
        <v>5.8876704256021206E-3</v>
      </c>
      <c r="R42" s="19">
        <f t="shared" si="7"/>
        <v>-5.8012125812800797E-3</v>
      </c>
      <c r="S42" s="19">
        <f t="shared" si="7"/>
        <v>-5.7565399482605084E-2</v>
      </c>
      <c r="T42" s="19">
        <f t="shared" si="7"/>
        <v>-2.900606290639951E-2</v>
      </c>
      <c r="U42" s="19">
        <f t="shared" si="7"/>
        <v>-8.7018188719198974E-3</v>
      </c>
      <c r="V42" s="19">
        <f t="shared" si="7"/>
        <v>-5.971432024531298E-2</v>
      </c>
      <c r="W42" s="19">
        <f t="shared" si="7"/>
        <v>1.7403637743839795E-2</v>
      </c>
      <c r="X42" s="19">
        <f t="shared" si="7"/>
        <v>0</v>
      </c>
      <c r="Y42" s="19">
        <f t="shared" si="7"/>
        <v>8.0860860792872025E-2</v>
      </c>
      <c r="Z42" s="19">
        <f t="shared" si="7"/>
        <v>-5.8012125812796356E-3</v>
      </c>
      <c r="AA42" s="19">
        <f t="shared" si="6"/>
        <v>0</v>
      </c>
      <c r="AB42" s="19">
        <f t="shared" si="6"/>
        <v>0</v>
      </c>
      <c r="AC42" s="19">
        <f t="shared" si="6"/>
        <v>4.5727926326198265E-2</v>
      </c>
      <c r="AD42" s="19">
        <f t="shared" si="6"/>
        <v>0</v>
      </c>
      <c r="AE42" s="19">
        <f t="shared" si="5"/>
        <v>0</v>
      </c>
      <c r="AF42" s="19">
        <f t="shared" si="5"/>
        <v>0.12999999999999989</v>
      </c>
      <c r="AG42" s="19">
        <f t="shared" si="5"/>
        <v>-1.6868019417281666E-2</v>
      </c>
      <c r="AH42" s="19">
        <f t="shared" si="5"/>
        <v>2.9006062906398178E-3</v>
      </c>
      <c r="AI42" s="19">
        <f t="shared" si="5"/>
        <v>0</v>
      </c>
      <c r="AJ42" s="65"/>
      <c r="AL42" s="8">
        <v>2.58</v>
      </c>
      <c r="AM42" s="20">
        <f>Acetylacetone!AS19</f>
        <v>2.4842505878122596</v>
      </c>
      <c r="AN42" s="20">
        <f>Acetylacetone!AT19</f>
        <v>2.5161900206758094</v>
      </c>
      <c r="AO42" s="20">
        <f>Acetylacetone!AU19</f>
        <v>2.5380290480138239</v>
      </c>
      <c r="AP42" s="20">
        <f>Acetylacetone!AV19</f>
        <v>2.5614917226844591</v>
      </c>
      <c r="AQ42" s="20">
        <f>Acetylacetone!AW19</f>
        <v>2.4813454248529219</v>
      </c>
      <c r="AR42" s="20">
        <f>Acetylacetone!AX19</f>
        <v>2.4569307250516896</v>
      </c>
      <c r="AS42" s="20">
        <f>Acetylacetone!AY19</f>
        <v>2.3858658709310108</v>
      </c>
      <c r="AT42" s="20">
        <f>Acetylacetone!AZ19</f>
        <v>2.3699697244224254</v>
      </c>
      <c r="AU42" s="20">
        <f>Acetylacetone!BA19</f>
        <v>2.3699697244224254</v>
      </c>
      <c r="AV42" s="20">
        <f>Acetylacetone!BB19</f>
        <v>2.3757709370037055</v>
      </c>
      <c r="AW42" s="20">
        <f>Acetylacetone!BC19</f>
        <v>2.3837826752699343</v>
      </c>
      <c r="AX42" s="20">
        <f>Acetylacetone!BD19</f>
        <v>2.4445054506227715</v>
      </c>
      <c r="AY42" s="20">
        <f>Acetylacetone!BE19</f>
        <v>2.4474060569134113</v>
      </c>
      <c r="AZ42" s="20">
        <f>Acetylacetone!BF19</f>
        <v>2.4474060569134113</v>
      </c>
      <c r="BA42" s="20">
        <f>Acetylacetone!BG19</f>
        <v>2.4415183864878092</v>
      </c>
      <c r="BB42" s="20">
        <f>Acetylacetone!BH19</f>
        <v>2.4473195990690892</v>
      </c>
      <c r="BC42" s="20">
        <f>Acetylacetone!BI19</f>
        <v>2.5048849985516943</v>
      </c>
      <c r="BD42" s="20">
        <f>Acetylacetone!BJ19</f>
        <v>2.5338910614580938</v>
      </c>
      <c r="BE42" s="20">
        <f>Acetylacetone!BK19</f>
        <v>2.5425928803300137</v>
      </c>
      <c r="BF42" s="20">
        <f>Acetylacetone!BL19</f>
        <v>2.6023072005753267</v>
      </c>
      <c r="BG42" s="20">
        <f>Acetylacetone!BM19</f>
        <v>2.5849035628314869</v>
      </c>
      <c r="BH42" s="20">
        <f>Acetylacetone!BN19</f>
        <v>2.5849035628314869</v>
      </c>
      <c r="BI42" s="20">
        <f>Acetylacetone!BO19</f>
        <v>2.5040427020386149</v>
      </c>
      <c r="BJ42" s="20">
        <f>Acetylacetone!BP19</f>
        <v>2.5098439146198945</v>
      </c>
      <c r="BK42" s="20">
        <f>Acetylacetone!BQ19</f>
        <v>2.5098439146198945</v>
      </c>
      <c r="BL42" s="20">
        <f>Acetylacetone!BR19</f>
        <v>2.5098439146198945</v>
      </c>
      <c r="BM42" s="20">
        <f>Acetylacetone!BS19</f>
        <v>2.4641159882936963</v>
      </c>
      <c r="BN42" s="20">
        <f>Acetylacetone!BT19</f>
        <v>2.4641159882936963</v>
      </c>
      <c r="BO42" s="20">
        <f>Acetylacetone!BU19</f>
        <v>2.4641159882936963</v>
      </c>
      <c r="BP42" s="20">
        <f>Acetylacetone!BV19</f>
        <v>2.3341159882936964</v>
      </c>
      <c r="BQ42" s="20">
        <f>Acetylacetone!BW19</f>
        <v>2.350984007710978</v>
      </c>
      <c r="BR42" s="20">
        <f>Acetylacetone!BX19</f>
        <v>2.3480834014203382</v>
      </c>
      <c r="BS42" s="20">
        <f>Acetylacetone!BY19</f>
        <v>2.3480834014203382</v>
      </c>
    </row>
    <row r="43" spans="1:71">
      <c r="A43" s="8" t="s">
        <v>207</v>
      </c>
      <c r="B43" s="263" t="s">
        <v>243</v>
      </c>
      <c r="C43" s="19">
        <f t="shared" si="8"/>
        <v>1.3087</v>
      </c>
      <c r="D43" s="19">
        <f t="shared" si="9"/>
        <v>-3.0649999999999622E-2</v>
      </c>
      <c r="E43" s="19">
        <f t="shared" si="10"/>
        <v>6.4899999999994407E-3</v>
      </c>
      <c r="F43" s="19">
        <f t="shared" si="11"/>
        <v>0.394285</v>
      </c>
      <c r="G43" s="19">
        <f t="shared" si="12"/>
        <v>4.8644999999999605E-2</v>
      </c>
      <c r="H43" s="19">
        <f t="shared" si="13"/>
        <v>2.7737000000000123E-2</v>
      </c>
      <c r="I43" s="19">
        <f t="shared" si="14"/>
        <v>0.10485000000000033</v>
      </c>
      <c r="J43" s="19">
        <f t="shared" si="15"/>
        <v>5.9610000000000163E-2</v>
      </c>
      <c r="K43" s="19">
        <f t="shared" si="16"/>
        <v>-2.330000000000032E-2</v>
      </c>
      <c r="L43" s="19">
        <f t="shared" si="7"/>
        <v>4.6600000000000197E-2</v>
      </c>
      <c r="M43" s="19">
        <f t="shared" si="7"/>
        <v>7.3340000000001737E-3</v>
      </c>
      <c r="N43" s="19">
        <f t="shared" si="7"/>
        <v>-0.24636300000000011</v>
      </c>
      <c r="O43" s="19">
        <f t="shared" si="7"/>
        <v>-5.8250000000000135E-2</v>
      </c>
      <c r="P43" s="19">
        <f t="shared" si="7"/>
        <v>-3.4949999999999815E-2</v>
      </c>
      <c r="Q43" s="19">
        <f t="shared" si="7"/>
        <v>-5.7074999999999765E-2</v>
      </c>
      <c r="R43" s="19">
        <f t="shared" si="7"/>
        <v>-2.9125000000000068E-2</v>
      </c>
      <c r="S43" s="19">
        <f t="shared" si="7"/>
        <v>-0.13980000000000015</v>
      </c>
      <c r="T43" s="19">
        <f t="shared" si="7"/>
        <v>-6.9900000000000073E-2</v>
      </c>
      <c r="U43" s="19">
        <f t="shared" si="7"/>
        <v>4.6086999999999989E-2</v>
      </c>
      <c r="V43" s="19">
        <f t="shared" si="7"/>
        <v>-0.19484499999999993</v>
      </c>
      <c r="W43" s="19">
        <f t="shared" si="7"/>
        <v>0.12582000000000004</v>
      </c>
      <c r="X43" s="19">
        <f t="shared" si="7"/>
        <v>1.8850000000000033E-2</v>
      </c>
      <c r="Y43" s="19">
        <f t="shared" si="7"/>
        <v>0.41881000000000013</v>
      </c>
      <c r="Z43" s="19">
        <f t="shared" si="7"/>
        <v>0.17709200000000003</v>
      </c>
      <c r="AA43" s="19">
        <f t="shared" si="6"/>
        <v>0</v>
      </c>
      <c r="AB43" s="19">
        <f t="shared" si="6"/>
        <v>0</v>
      </c>
      <c r="AC43" s="19">
        <f t="shared" si="6"/>
        <v>-1.3965000000000227E-2</v>
      </c>
      <c r="AD43" s="19">
        <f t="shared" si="6"/>
        <v>-0.11801700000000048</v>
      </c>
      <c r="AE43" s="19">
        <f t="shared" si="5"/>
        <v>6.9900000000000517E-2</v>
      </c>
      <c r="AF43" s="19">
        <f t="shared" si="5"/>
        <v>-5.8250000000001911E-3</v>
      </c>
      <c r="AG43" s="19">
        <f t="shared" si="5"/>
        <v>-0.15090599999999998</v>
      </c>
      <c r="AH43" s="19">
        <f t="shared" si="5"/>
        <v>-0.17608899999999972</v>
      </c>
      <c r="AI43" s="19">
        <f t="shared" si="5"/>
        <v>0</v>
      </c>
      <c r="AJ43" s="65"/>
      <c r="AL43" s="8">
        <v>4.46</v>
      </c>
      <c r="AM43" s="20">
        <f>PVA!AS16</f>
        <v>3.1513</v>
      </c>
      <c r="AN43" s="20">
        <f>PVA!AT16</f>
        <v>3.1819499999999996</v>
      </c>
      <c r="AO43" s="20">
        <f>PVA!AU16</f>
        <v>3.1754600000000002</v>
      </c>
      <c r="AP43" s="20">
        <f>PVA!AV16</f>
        <v>2.7811750000000002</v>
      </c>
      <c r="AQ43" s="20">
        <f>PVA!AW16</f>
        <v>2.7325300000000006</v>
      </c>
      <c r="AR43" s="20">
        <f>PVA!AX16</f>
        <v>2.7047930000000004</v>
      </c>
      <c r="AS43" s="20">
        <f>PVA!AY16</f>
        <v>2.5999430000000001</v>
      </c>
      <c r="AT43" s="20">
        <f>PVA!AZ16</f>
        <v>2.540333</v>
      </c>
      <c r="AU43" s="20">
        <f>PVA!BA16</f>
        <v>2.5636330000000003</v>
      </c>
      <c r="AV43" s="20">
        <f>PVA!BB16</f>
        <v>2.5170330000000001</v>
      </c>
      <c r="AW43" s="20">
        <f>PVA!BC16</f>
        <v>2.5096989999999999</v>
      </c>
      <c r="AX43" s="20">
        <f>PVA!BD16</f>
        <v>2.756062</v>
      </c>
      <c r="AY43" s="20">
        <f>PVA!BE16</f>
        <v>2.8143120000000001</v>
      </c>
      <c r="AZ43" s="20">
        <f>PVA!BF16</f>
        <v>2.849262</v>
      </c>
      <c r="BA43" s="20">
        <f>PVA!BG16</f>
        <v>2.9063369999999997</v>
      </c>
      <c r="BB43" s="20">
        <f>PVA!BH16</f>
        <v>2.9354619999999998</v>
      </c>
      <c r="BC43" s="20">
        <f>PVA!BI16</f>
        <v>3.0752619999999999</v>
      </c>
      <c r="BD43" s="20">
        <f>PVA!BJ16</f>
        <v>3.145162</v>
      </c>
      <c r="BE43" s="20">
        <f>PVA!BK16</f>
        <v>3.099075</v>
      </c>
      <c r="BF43" s="20">
        <f>PVA!BL16</f>
        <v>3.29392</v>
      </c>
      <c r="BG43" s="20">
        <f>PVA!BM16</f>
        <v>3.1680999999999999</v>
      </c>
      <c r="BH43" s="20">
        <f>PVA!BN16</f>
        <v>3.1492499999999999</v>
      </c>
      <c r="BI43" s="20">
        <f>PVA!BO16</f>
        <v>2.7304399999999998</v>
      </c>
      <c r="BJ43" s="20">
        <f>PVA!BP16</f>
        <v>2.5533479999999997</v>
      </c>
      <c r="BK43" s="20">
        <f>PVA!BQ16</f>
        <v>2.5533479999999997</v>
      </c>
      <c r="BL43" s="20">
        <f>PVA!BR16</f>
        <v>2.5533479999999997</v>
      </c>
      <c r="BM43" s="20">
        <f>PVA!BS16</f>
        <v>2.567313</v>
      </c>
      <c r="BN43" s="20">
        <f>PVA!BT16</f>
        <v>2.6853300000000004</v>
      </c>
      <c r="BO43" s="20">
        <f>PVA!BU16</f>
        <v>2.6154299999999999</v>
      </c>
      <c r="BP43" s="20">
        <f>PVA!BV16</f>
        <v>2.6212550000000001</v>
      </c>
      <c r="BQ43" s="20">
        <f>PVA!BW16</f>
        <v>2.7721610000000001</v>
      </c>
      <c r="BR43" s="20">
        <f>PVA!BX16</f>
        <v>2.9482499999999998</v>
      </c>
      <c r="BS43" s="20">
        <f>PVA!BY16</f>
        <v>2.9482499999999998</v>
      </c>
    </row>
    <row r="44" spans="1:71">
      <c r="A44" s="8" t="s">
        <v>207</v>
      </c>
      <c r="B44" s="263" t="s">
        <v>244</v>
      </c>
      <c r="C44" s="19">
        <f t="shared" si="8"/>
        <v>-2.0944766429292994E-2</v>
      </c>
      <c r="D44" s="19">
        <f t="shared" si="9"/>
        <v>0.11253338539189128</v>
      </c>
      <c r="E44" s="19">
        <f t="shared" si="10"/>
        <v>0.1805949423249138</v>
      </c>
      <c r="F44" s="19">
        <f t="shared" si="11"/>
        <v>0.12649101717243694</v>
      </c>
      <c r="G44" s="19">
        <f t="shared" si="12"/>
        <v>0.44843049646742861</v>
      </c>
      <c r="H44" s="19">
        <f t="shared" si="13"/>
        <v>-0.10543197797615811</v>
      </c>
      <c r="I44" s="19">
        <f t="shared" si="14"/>
        <v>-6.0041888780486552E-3</v>
      </c>
      <c r="J44" s="19">
        <f t="shared" si="15"/>
        <v>-4.0814361614634365E-2</v>
      </c>
      <c r="K44" s="19">
        <f t="shared" si="16"/>
        <v>4.4602084800000164E-2</v>
      </c>
      <c r="L44" s="19">
        <f t="shared" si="7"/>
        <v>-0.10679073338414646</v>
      </c>
      <c r="M44" s="19">
        <f t="shared" si="7"/>
        <v>-2.6140918906097266E-2</v>
      </c>
      <c r="N44" s="19">
        <f t="shared" si="7"/>
        <v>0.14603524978170723</v>
      </c>
      <c r="O44" s="19">
        <f t="shared" si="7"/>
        <v>-6.9703367103659097E-2</v>
      </c>
      <c r="P44" s="19">
        <f t="shared" si="7"/>
        <v>1.5095208731707555E-2</v>
      </c>
      <c r="Q44" s="19">
        <f t="shared" si="7"/>
        <v>-7.58293647530488E-2</v>
      </c>
      <c r="R44" s="19">
        <f t="shared" si="7"/>
        <v>-2.9775662379877943E-2</v>
      </c>
      <c r="S44" s="19">
        <f t="shared" si="7"/>
        <v>3.191440247560795E-3</v>
      </c>
      <c r="T44" s="19">
        <f t="shared" si="7"/>
        <v>-0.1195487268585369</v>
      </c>
      <c r="U44" s="19">
        <f t="shared" si="7"/>
        <v>0.11107971353414658</v>
      </c>
      <c r="V44" s="19">
        <f t="shared" si="7"/>
        <v>5.2117812087804971E-2</v>
      </c>
      <c r="W44" s="19">
        <f t="shared" si="7"/>
        <v>6.2735300121952164E-3</v>
      </c>
      <c r="X44" s="19">
        <f t="shared" si="7"/>
        <v>-2.2908421789023858E-2</v>
      </c>
      <c r="Y44" s="19">
        <f t="shared" si="7"/>
        <v>-4.8495123395122075E-2</v>
      </c>
      <c r="Z44" s="19">
        <f t="shared" si="7"/>
        <v>-6.2564919157317433E-2</v>
      </c>
      <c r="AA44" s="19">
        <f t="shared" si="6"/>
        <v>0</v>
      </c>
      <c r="AB44" s="19">
        <f t="shared" si="6"/>
        <v>4.8724769496951037E-2</v>
      </c>
      <c r="AC44" s="19">
        <f t="shared" si="6"/>
        <v>9.5729841246951608E-2</v>
      </c>
      <c r="AD44" s="19">
        <f t="shared" si="6"/>
        <v>-3.1871025439023093E-3</v>
      </c>
      <c r="AE44" s="19">
        <f t="shared" si="5"/>
        <v>-9.8125312873171389E-2</v>
      </c>
      <c r="AF44" s="19">
        <f t="shared" si="5"/>
        <v>-9.5432305039023557E-2</v>
      </c>
      <c r="AG44" s="19">
        <f t="shared" si="5"/>
        <v>8.5102820352438879E-2</v>
      </c>
      <c r="AH44" s="19">
        <f t="shared" si="5"/>
        <v>8.402989439634112E-2</v>
      </c>
      <c r="AI44" s="19">
        <f t="shared" si="5"/>
        <v>-2.5844643658539113E-3</v>
      </c>
      <c r="AJ44" s="65"/>
      <c r="AL44" s="20">
        <f>260.24/82</f>
        <v>3.173658536585366</v>
      </c>
      <c r="AM44" s="20">
        <f>'ZINC OXIDE  -  ACTIVE'!AS20/82</f>
        <v>3.194603303014659</v>
      </c>
      <c r="AN44" s="20">
        <f>'ZINC OXIDE  -  ACTIVE'!AT20/82</f>
        <v>3.0820699176227677</v>
      </c>
      <c r="AO44" s="20">
        <f>'ZINC OXIDE  -  ACTIVE'!AU20/82</f>
        <v>2.9014749752978539</v>
      </c>
      <c r="AP44" s="20">
        <f>'ZINC OXIDE  -  ACTIVE'!AV20/82</f>
        <v>2.774983958125417</v>
      </c>
      <c r="AQ44" s="20">
        <f>'ZINC OXIDE  -  ACTIVE'!AW20/82</f>
        <v>2.3265534616579884</v>
      </c>
      <c r="AR44" s="20">
        <f>'ZINC OXIDE  -  ACTIVE'!AX20/82</f>
        <v>2.4319854396341465</v>
      </c>
      <c r="AS44" s="20">
        <f>'ZINC OXIDE  -  ACTIVE'!AY20/82</f>
        <v>2.4379896285121951</v>
      </c>
      <c r="AT44" s="20">
        <f>'ZINC OXIDE  -  ACTIVE'!AZ20/82</f>
        <v>2.4788039901268295</v>
      </c>
      <c r="AU44" s="20">
        <f>'ZINC OXIDE  -  ACTIVE'!BA20/82</f>
        <v>2.4342019053268293</v>
      </c>
      <c r="AV44" s="20">
        <f>'ZINC OXIDE  -  ACTIVE'!BB20/82</f>
        <v>2.5409926387109758</v>
      </c>
      <c r="AW44" s="20">
        <f>'ZINC OXIDE  -  ACTIVE'!BC20/82</f>
        <v>2.5671335576170731</v>
      </c>
      <c r="AX44" s="20">
        <f>'ZINC OXIDE  -  ACTIVE'!BD20/82</f>
        <v>2.4210983078353658</v>
      </c>
      <c r="AY44" s="20">
        <f>'ZINC OXIDE  -  ACTIVE'!BE20/82</f>
        <v>2.4908016749390249</v>
      </c>
      <c r="AZ44" s="20">
        <f>'ZINC OXIDE  -  ACTIVE'!BF20/82</f>
        <v>2.4757064662073174</v>
      </c>
      <c r="BA44" s="20">
        <f>'ZINC OXIDE  -  ACTIVE'!BG20/82</f>
        <v>2.5515358309603662</v>
      </c>
      <c r="BB44" s="20">
        <f>'ZINC OXIDE  -  ACTIVE'!BH20/82</f>
        <v>2.5813114933402441</v>
      </c>
      <c r="BC44" s="20">
        <f>'ZINC OXIDE  -  ACTIVE'!BI20/82</f>
        <v>2.5781200530926833</v>
      </c>
      <c r="BD44" s="20">
        <f>'ZINC OXIDE  -  ACTIVE'!BJ20/82</f>
        <v>2.6976687799512202</v>
      </c>
      <c r="BE44" s="20">
        <f>'ZINC OXIDE  -  ACTIVE'!BK20/82</f>
        <v>2.5865890664170736</v>
      </c>
      <c r="BF44" s="20">
        <f>'ZINC OXIDE  -  ACTIVE'!BL20/82</f>
        <v>2.5344712543292687</v>
      </c>
      <c r="BG44" s="20">
        <f>'ZINC OXIDE  -  ACTIVE'!BM20/82</f>
        <v>2.5281977243170735</v>
      </c>
      <c r="BH44" s="20">
        <f>'ZINC OXIDE  -  ACTIVE'!BN20/82</f>
        <v>2.5511061461060973</v>
      </c>
      <c r="BI44" s="20">
        <f>'ZINC OXIDE  -  ACTIVE'!BO20/82</f>
        <v>2.5996012695012194</v>
      </c>
      <c r="BJ44" s="20">
        <f>'ZINC OXIDE  -  ACTIVE'!BP20/82</f>
        <v>2.6621661886585368</v>
      </c>
      <c r="BK44" s="20">
        <f>'ZINC OXIDE  -  ACTIVE'!BQ20/82</f>
        <v>2.6621661886585368</v>
      </c>
      <c r="BL44" s="20">
        <f>'ZINC OXIDE  -  ACTIVE'!BR20/82</f>
        <v>2.6134414191615858</v>
      </c>
      <c r="BM44" s="20">
        <f>'ZINC OXIDE  -  ACTIVE'!BS20/82</f>
        <v>2.5177115779146342</v>
      </c>
      <c r="BN44" s="20">
        <f>'ZINC OXIDE  -  ACTIVE'!BT20/82</f>
        <v>2.5208986804585365</v>
      </c>
      <c r="BO44" s="20">
        <f>'ZINC OXIDE  -  ACTIVE'!BU20/82</f>
        <v>2.6190239933317079</v>
      </c>
      <c r="BP44" s="20">
        <f>'ZINC OXIDE  -  ACTIVE'!BV20/82</f>
        <v>2.7144562983707314</v>
      </c>
      <c r="BQ44" s="20">
        <f>'ZINC OXIDE  -  ACTIVE'!BW20/82</f>
        <v>2.6293534780182926</v>
      </c>
      <c r="BR44" s="20">
        <f>'ZINC OXIDE  -  ACTIVE'!BX20/82</f>
        <v>2.5453235836219514</v>
      </c>
      <c r="BS44" s="20">
        <f>'ZINC OXIDE  -  ACTIVE'!BY20/82</f>
        <v>2.5479080479878053</v>
      </c>
    </row>
    <row r="45" spans="1:71">
      <c r="A45" s="8" t="s">
        <v>212</v>
      </c>
      <c r="B45" s="263" t="s">
        <v>245</v>
      </c>
      <c r="C45" s="19">
        <f t="shared" si="8"/>
        <v>0.92099486253592033</v>
      </c>
      <c r="D45" s="19">
        <f t="shared" si="9"/>
        <v>-4.9500055028527612E-2</v>
      </c>
      <c r="E45" s="19">
        <f t="shared" si="10"/>
        <v>3.5750008426307378E-2</v>
      </c>
      <c r="F45" s="19">
        <f t="shared" si="11"/>
        <v>-5.4998348229622351E-3</v>
      </c>
      <c r="G45" s="19">
        <f t="shared" si="12"/>
        <v>-3.9414981110738267E-2</v>
      </c>
      <c r="H45" s="19">
        <f t="shared" si="13"/>
        <v>0.12191999999999981</v>
      </c>
      <c r="I45" s="19">
        <f t="shared" si="14"/>
        <v>0</v>
      </c>
      <c r="J45" s="19">
        <f t="shared" si="15"/>
        <v>0</v>
      </c>
      <c r="K45" s="19">
        <f t="shared" si="16"/>
        <v>0</v>
      </c>
      <c r="L45" s="19">
        <f t="shared" si="7"/>
        <v>0</v>
      </c>
      <c r="M45" s="19">
        <f t="shared" si="7"/>
        <v>1.6500000000000181E-2</v>
      </c>
      <c r="N45" s="19">
        <f t="shared" si="7"/>
        <v>0</v>
      </c>
      <c r="O45" s="19">
        <f t="shared" si="7"/>
        <v>0</v>
      </c>
      <c r="P45" s="19">
        <f t="shared" si="7"/>
        <v>0</v>
      </c>
      <c r="Q45" s="19">
        <f t="shared" si="7"/>
        <v>0</v>
      </c>
      <c r="R45" s="19">
        <f t="shared" si="7"/>
        <v>-0.11275000000000013</v>
      </c>
      <c r="S45" s="19">
        <f t="shared" si="7"/>
        <v>0</v>
      </c>
      <c r="T45" s="19">
        <f t="shared" si="7"/>
        <v>0</v>
      </c>
      <c r="U45" s="19">
        <f t="shared" si="7"/>
        <v>0</v>
      </c>
      <c r="V45" s="19">
        <f t="shared" si="7"/>
        <v>0</v>
      </c>
      <c r="W45" s="19">
        <f t="shared" si="7"/>
        <v>0</v>
      </c>
      <c r="X45" s="19">
        <f t="shared" si="7"/>
        <v>0</v>
      </c>
      <c r="Y45" s="19">
        <f t="shared" si="7"/>
        <v>0</v>
      </c>
      <c r="Z45" s="19">
        <f t="shared" si="7"/>
        <v>0</v>
      </c>
      <c r="AA45" s="19">
        <f t="shared" si="6"/>
        <v>0</v>
      </c>
      <c r="AB45" s="19">
        <f t="shared" si="6"/>
        <v>0</v>
      </c>
      <c r="AC45" s="19">
        <f t="shared" si="6"/>
        <v>3.3000000000000362E-2</v>
      </c>
      <c r="AD45" s="19">
        <f t="shared" si="6"/>
        <v>-3.8500000000000423E-2</v>
      </c>
      <c r="AE45" s="19">
        <f t="shared" si="5"/>
        <v>3.8500000000000423E-2</v>
      </c>
      <c r="AF45" s="19">
        <f t="shared" si="5"/>
        <v>-1.6500000000000181E-2</v>
      </c>
      <c r="AG45" s="19">
        <f t="shared" si="5"/>
        <v>0</v>
      </c>
      <c r="AH45" s="19">
        <f t="shared" si="5"/>
        <v>0</v>
      </c>
      <c r="AI45" s="19">
        <f t="shared" si="5"/>
        <v>0</v>
      </c>
      <c r="AJ45" s="65"/>
      <c r="AL45" s="8">
        <v>4.84</v>
      </c>
      <c r="AM45" s="20">
        <f>'DDSA TPSA'!AS18</f>
        <v>3.9190051374640795</v>
      </c>
      <c r="AN45" s="20">
        <f>'DDSA TPSA'!AT18</f>
        <v>3.9685051924926071</v>
      </c>
      <c r="AO45" s="20">
        <f>'DDSA TPSA'!AU18</f>
        <v>3.9327551840662998</v>
      </c>
      <c r="AP45" s="20">
        <f>'DDSA TPSA'!AV18</f>
        <v>3.938255018889262</v>
      </c>
      <c r="AQ45" s="20">
        <f>'DDSA TPSA'!AW18</f>
        <v>3.9776700000000003</v>
      </c>
      <c r="AR45" s="20">
        <f>'DDSA TPSA'!AX18</f>
        <v>3.8557500000000005</v>
      </c>
      <c r="AS45" s="20">
        <f>'DDSA TPSA'!AY18</f>
        <v>3.8557500000000005</v>
      </c>
      <c r="AT45" s="20">
        <f>'DDSA TPSA'!AZ18</f>
        <v>3.8557500000000005</v>
      </c>
      <c r="AU45" s="20">
        <f>'DDSA TPSA'!BA18</f>
        <v>3.8557500000000005</v>
      </c>
      <c r="AV45" s="20">
        <f>'DDSA TPSA'!BB18</f>
        <v>3.8557500000000005</v>
      </c>
      <c r="AW45" s="20">
        <f>'DDSA TPSA'!BC18</f>
        <v>3.8392500000000003</v>
      </c>
      <c r="AX45" s="20">
        <f>'DDSA TPSA'!BD18</f>
        <v>3.8392500000000003</v>
      </c>
      <c r="AY45" s="20">
        <f>'DDSA TPSA'!BE18</f>
        <v>3.8392500000000003</v>
      </c>
      <c r="AZ45" s="20">
        <f>'DDSA TPSA'!BF18</f>
        <v>3.8392500000000003</v>
      </c>
      <c r="BA45" s="20">
        <f>'DDSA TPSA'!BG18</f>
        <v>3.8392500000000003</v>
      </c>
      <c r="BB45" s="20">
        <f>'DDSA TPSA'!BH18</f>
        <v>3.9520000000000004</v>
      </c>
      <c r="BC45" s="20">
        <f>'DDSA TPSA'!BI18</f>
        <v>3.9520000000000004</v>
      </c>
      <c r="BD45" s="20">
        <f>'DDSA TPSA'!BJ18</f>
        <v>3.9520000000000004</v>
      </c>
      <c r="BE45" s="20">
        <f>'DDSA TPSA'!BK18</f>
        <v>3.9520000000000004</v>
      </c>
      <c r="BF45" s="20">
        <f>'DDSA TPSA'!BL18</f>
        <v>3.9520000000000004</v>
      </c>
      <c r="BG45" s="20">
        <f>'DDSA TPSA'!BM18</f>
        <v>3.9520000000000004</v>
      </c>
      <c r="BH45" s="20">
        <f>'DDSA TPSA'!BN18</f>
        <v>3.9520000000000004</v>
      </c>
      <c r="BI45" s="20">
        <f>'DDSA TPSA'!BO18</f>
        <v>3.9520000000000004</v>
      </c>
      <c r="BJ45" s="20">
        <f>'DDSA TPSA'!BP18</f>
        <v>3.9520000000000004</v>
      </c>
      <c r="BK45" s="20">
        <f>'DDSA TPSA'!BQ18</f>
        <v>3.9520000000000004</v>
      </c>
      <c r="BL45" s="20">
        <f>'DDSA TPSA'!BR18</f>
        <v>3.9520000000000004</v>
      </c>
      <c r="BM45" s="20">
        <f>'DDSA TPSA'!BS18</f>
        <v>3.919</v>
      </c>
      <c r="BN45" s="20">
        <f>'DDSA TPSA'!BT18</f>
        <v>3.9575000000000005</v>
      </c>
      <c r="BO45" s="20">
        <f>'DDSA TPSA'!BU18</f>
        <v>3.919</v>
      </c>
      <c r="BP45" s="20">
        <f>'DDSA TPSA'!BV18</f>
        <v>3.9355000000000002</v>
      </c>
      <c r="BQ45" s="20">
        <f>'DDSA TPSA'!BW18</f>
        <v>3.9355000000000002</v>
      </c>
      <c r="BR45" s="20">
        <f>'DDSA TPSA'!BX18</f>
        <v>3.9355000000000002</v>
      </c>
      <c r="BS45" s="20">
        <f>'DDSA TPSA'!BY18</f>
        <v>3.9355000000000002</v>
      </c>
    </row>
    <row r="46" spans="1:71">
      <c r="A46" s="8" t="s">
        <v>207</v>
      </c>
      <c r="B46" s="263" t="s">
        <v>246</v>
      </c>
      <c r="C46" s="19">
        <f t="shared" si="8"/>
        <v>-0.13867500000000055</v>
      </c>
      <c r="D46" s="19">
        <f t="shared" si="9"/>
        <v>1.1474999999999902E-2</v>
      </c>
      <c r="E46" s="19">
        <f t="shared" si="10"/>
        <v>3.0600000000000627E-2</v>
      </c>
      <c r="F46" s="19">
        <f t="shared" si="11"/>
        <v>5.6099999999998929E-3</v>
      </c>
      <c r="G46" s="19">
        <f t="shared" si="12"/>
        <v>8.1217500000000165E-2</v>
      </c>
      <c r="H46" s="19">
        <f t="shared" si="13"/>
        <v>3.2257499999999606E-2</v>
      </c>
      <c r="I46" s="19">
        <f t="shared" si="14"/>
        <v>2.9580000000000162E-2</v>
      </c>
      <c r="J46" s="19">
        <f t="shared" si="15"/>
        <v>-0.10199999999999987</v>
      </c>
      <c r="K46" s="19">
        <f t="shared" si="16"/>
        <v>5.6609999999999605E-2</v>
      </c>
      <c r="L46" s="19">
        <f t="shared" si="7"/>
        <v>-4.1309999999999736E-2</v>
      </c>
      <c r="M46" s="19">
        <f t="shared" si="7"/>
        <v>4.2839999999999989E-2</v>
      </c>
      <c r="N46" s="19">
        <f t="shared" si="7"/>
        <v>7.5734999999999886E-2</v>
      </c>
      <c r="O46" s="19">
        <f t="shared" si="7"/>
        <v>-5.9414999999999996E-2</v>
      </c>
      <c r="P46" s="19">
        <f t="shared" si="7"/>
        <v>0</v>
      </c>
      <c r="Q46" s="19">
        <f t="shared" si="7"/>
        <v>-3.2640000000000224E-2</v>
      </c>
      <c r="R46" s="19">
        <f t="shared" si="7"/>
        <v>5.4060000000000219E-2</v>
      </c>
      <c r="S46" s="19">
        <f t="shared" si="7"/>
        <v>2.2440000000000015E-2</v>
      </c>
      <c r="T46" s="19">
        <f t="shared" si="7"/>
        <v>1.9379999999999953E-2</v>
      </c>
      <c r="U46" s="19">
        <f t="shared" si="7"/>
        <v>1.6575000000000006E-2</v>
      </c>
      <c r="V46" s="19">
        <f t="shared" si="7"/>
        <v>1.4025000000000176E-2</v>
      </c>
      <c r="W46" s="19">
        <f t="shared" si="7"/>
        <v>-1.5427500000000371E-2</v>
      </c>
      <c r="X46" s="19">
        <f t="shared" si="7"/>
        <v>-1.2112499999999748E-2</v>
      </c>
      <c r="Y46" s="19">
        <f t="shared" si="7"/>
        <v>-1.9507500000000011E-2</v>
      </c>
      <c r="Z46" s="19">
        <f t="shared" si="7"/>
        <v>-1.5172499999999811E-2</v>
      </c>
      <c r="AA46" s="19">
        <f t="shared" si="6"/>
        <v>0</v>
      </c>
      <c r="AB46" s="19">
        <f t="shared" si="6"/>
        <v>-4.4497500000000301E-2</v>
      </c>
      <c r="AC46" s="19">
        <f t="shared" si="6"/>
        <v>1.9252500000000339E-2</v>
      </c>
      <c r="AD46" s="19">
        <f t="shared" si="6"/>
        <v>1.0199999999995768E-3</v>
      </c>
      <c r="AE46" s="19">
        <f t="shared" si="5"/>
        <v>-6.7702499999999777E-2</v>
      </c>
      <c r="AF46" s="19">
        <f t="shared" si="5"/>
        <v>9.3075000000002461E-3</v>
      </c>
      <c r="AG46" s="19">
        <f t="shared" si="5"/>
        <v>2.4480000000000057E-2</v>
      </c>
      <c r="AH46" s="19">
        <f t="shared" si="5"/>
        <v>2.8559999999999253E-2</v>
      </c>
      <c r="AI46" s="19">
        <f t="shared" si="5"/>
        <v>0</v>
      </c>
      <c r="AJ46" s="65"/>
      <c r="AL46" s="8">
        <v>2.48</v>
      </c>
      <c r="AM46" s="20">
        <f>'Copper Sulphate '!AS18</f>
        <v>2.6186750000000005</v>
      </c>
      <c r="AN46" s="20">
        <f>'Copper Sulphate '!AT18</f>
        <v>2.6072000000000006</v>
      </c>
      <c r="AO46" s="20">
        <f>'Copper Sulphate '!AU18</f>
        <v>2.5766</v>
      </c>
      <c r="AP46" s="20">
        <f>'Copper Sulphate '!AV18</f>
        <v>2.5709900000000001</v>
      </c>
      <c r="AQ46" s="20">
        <f>'Copper Sulphate '!AW18</f>
        <v>2.4897724999999999</v>
      </c>
      <c r="AR46" s="20">
        <f>'Copper Sulphate '!AX18</f>
        <v>2.4575150000000003</v>
      </c>
      <c r="AS46" s="20">
        <f>'Copper Sulphate '!AY18</f>
        <v>2.4279350000000002</v>
      </c>
      <c r="AT46" s="20">
        <f>'Copper Sulphate '!AZ18</f>
        <v>2.529935</v>
      </c>
      <c r="AU46" s="20">
        <f>'Copper Sulphate '!BA18</f>
        <v>2.4733250000000004</v>
      </c>
      <c r="AV46" s="20">
        <f>'Copper Sulphate '!BB18</f>
        <v>2.5146350000000002</v>
      </c>
      <c r="AW46" s="20">
        <f>'Copper Sulphate '!BC18</f>
        <v>2.4717950000000002</v>
      </c>
      <c r="AX46" s="20">
        <f>'Copper Sulphate '!BD18</f>
        <v>2.3960600000000003</v>
      </c>
      <c r="AY46" s="20">
        <f>'Copper Sulphate '!BE18</f>
        <v>2.4554750000000003</v>
      </c>
      <c r="AZ46" s="20">
        <f>'Copper Sulphate '!BF18</f>
        <v>2.4554750000000003</v>
      </c>
      <c r="BA46" s="20">
        <f>'Copper Sulphate '!BG18</f>
        <v>2.4881150000000005</v>
      </c>
      <c r="BB46" s="20">
        <f>'Copper Sulphate '!BH18</f>
        <v>2.4340550000000003</v>
      </c>
      <c r="BC46" s="20">
        <f>'Copper Sulphate '!BI18</f>
        <v>2.4116150000000003</v>
      </c>
      <c r="BD46" s="20">
        <f>'Copper Sulphate '!BJ18</f>
        <v>2.3922350000000003</v>
      </c>
      <c r="BE46" s="20">
        <f>'Copper Sulphate '!BK18</f>
        <v>2.3756600000000003</v>
      </c>
      <c r="BF46" s="20">
        <f>'Copper Sulphate '!BL18</f>
        <v>2.3616350000000002</v>
      </c>
      <c r="BG46" s="20">
        <f>'Copper Sulphate '!BM18</f>
        <v>2.3770625000000005</v>
      </c>
      <c r="BH46" s="20">
        <f>'Copper Sulphate '!BN18</f>
        <v>2.3891750000000003</v>
      </c>
      <c r="BI46" s="20">
        <f>'Copper Sulphate '!BO18</f>
        <v>2.4086825000000003</v>
      </c>
      <c r="BJ46" s="20">
        <f>'Copper Sulphate '!BP18</f>
        <v>2.4238550000000001</v>
      </c>
      <c r="BK46" s="20">
        <f>'Copper Sulphate '!BQ18</f>
        <v>2.4238550000000001</v>
      </c>
      <c r="BL46" s="20">
        <f>'Copper Sulphate '!BR18</f>
        <v>2.4683525000000004</v>
      </c>
      <c r="BM46" s="20">
        <f>'Copper Sulphate '!BS18</f>
        <v>2.4491000000000001</v>
      </c>
      <c r="BN46" s="20">
        <f>'Copper Sulphate '!BT18</f>
        <v>2.4480800000000005</v>
      </c>
      <c r="BO46" s="20">
        <f>'Copper Sulphate '!BU18</f>
        <v>2.5157825000000003</v>
      </c>
      <c r="BP46" s="20">
        <f>'Copper Sulphate '!BV18</f>
        <v>2.506475</v>
      </c>
      <c r="BQ46" s="20">
        <f>'Copper Sulphate '!BW18</f>
        <v>2.481995</v>
      </c>
      <c r="BR46" s="20">
        <f>'Copper Sulphate '!BX18</f>
        <v>2.4534350000000007</v>
      </c>
      <c r="BS46" s="20">
        <f>'Copper Sulphate '!BY18</f>
        <v>2.4534350000000007</v>
      </c>
    </row>
    <row r="47" spans="1:71">
      <c r="A47" s="8" t="s">
        <v>207</v>
      </c>
      <c r="B47" s="263" t="s">
        <v>247</v>
      </c>
      <c r="C47" s="19">
        <f t="shared" si="8"/>
        <v>-5.1250000000000462E-2</v>
      </c>
      <c r="D47" s="19">
        <f t="shared" si="9"/>
        <v>-3.774999999999995E-2</v>
      </c>
      <c r="E47" s="19">
        <f t="shared" si="10"/>
        <v>-1.9499999999999851E-2</v>
      </c>
      <c r="F47" s="19">
        <f t="shared" si="11"/>
        <v>0.4740000000000002</v>
      </c>
      <c r="G47" s="19">
        <f t="shared" si="12"/>
        <v>6.4999999999999503E-3</v>
      </c>
      <c r="H47" s="19">
        <f t="shared" si="13"/>
        <v>7.2999999999999954E-2</v>
      </c>
      <c r="I47" s="19">
        <f t="shared" si="14"/>
        <v>5.3999999999999826E-2</v>
      </c>
      <c r="J47" s="19">
        <f t="shared" si="15"/>
        <v>-0.57599999999999962</v>
      </c>
      <c r="K47" s="19">
        <f t="shared" si="16"/>
        <v>0</v>
      </c>
      <c r="L47" s="19">
        <f t="shared" si="7"/>
        <v>0</v>
      </c>
      <c r="M47" s="19">
        <f t="shared" si="7"/>
        <v>6.7899999999999849E-2</v>
      </c>
      <c r="N47" s="19">
        <f t="shared" si="7"/>
        <v>0</v>
      </c>
      <c r="O47" s="19">
        <f t="shared" si="7"/>
        <v>0</v>
      </c>
      <c r="P47" s="19">
        <f t="shared" si="7"/>
        <v>0</v>
      </c>
      <c r="Q47" s="19">
        <f t="shared" si="7"/>
        <v>-0.3116500000000002</v>
      </c>
      <c r="R47" s="19">
        <f t="shared" si="7"/>
        <v>0</v>
      </c>
      <c r="S47" s="19">
        <f t="shared" si="7"/>
        <v>0</v>
      </c>
      <c r="T47" s="19">
        <f t="shared" si="7"/>
        <v>0</v>
      </c>
      <c r="U47" s="19">
        <f t="shared" si="7"/>
        <v>-0.11609999999999987</v>
      </c>
      <c r="V47" s="19">
        <f t="shared" si="7"/>
        <v>0</v>
      </c>
      <c r="W47" s="19">
        <f t="shared" si="7"/>
        <v>0</v>
      </c>
      <c r="X47" s="19">
        <f t="shared" si="7"/>
        <v>0</v>
      </c>
      <c r="Y47" s="19">
        <f t="shared" si="7"/>
        <v>0.10659999999999981</v>
      </c>
      <c r="Z47" s="19">
        <f t="shared" si="7"/>
        <v>0</v>
      </c>
      <c r="AA47" s="19">
        <f t="shared" si="6"/>
        <v>0</v>
      </c>
      <c r="AB47" s="19">
        <f t="shared" si="6"/>
        <v>0</v>
      </c>
      <c r="AC47" s="19">
        <f t="shared" si="6"/>
        <v>0</v>
      </c>
      <c r="AD47" s="19">
        <f t="shared" si="6"/>
        <v>1.9500000000000295E-2</v>
      </c>
      <c r="AE47" s="19">
        <f t="shared" si="5"/>
        <v>0</v>
      </c>
      <c r="AF47" s="19">
        <f t="shared" si="5"/>
        <v>0</v>
      </c>
      <c r="AG47" s="19">
        <f t="shared" si="5"/>
        <v>3.4999999999998366E-3</v>
      </c>
      <c r="AH47" s="19">
        <f t="shared" si="5"/>
        <v>0</v>
      </c>
      <c r="AI47" s="19">
        <f t="shared" si="5"/>
        <v>0</v>
      </c>
      <c r="AJ47" s="65"/>
      <c r="AL47" s="8">
        <v>2.8</v>
      </c>
      <c r="AM47" s="20">
        <f>'Dodiflow 57501'!AS18</f>
        <v>2.8512500000000003</v>
      </c>
      <c r="AN47" s="20">
        <f>'Dodiflow 57501'!AT18</f>
        <v>2.8890000000000002</v>
      </c>
      <c r="AO47" s="20">
        <f>'Dodiflow 57501'!AU18</f>
        <v>2.9085000000000001</v>
      </c>
      <c r="AP47" s="20">
        <f>'Dodiflow 57501'!AV18</f>
        <v>2.4344999999999999</v>
      </c>
      <c r="AQ47" s="20">
        <f>'Dodiflow 57501'!AW18</f>
        <v>2.4279999999999999</v>
      </c>
      <c r="AR47" s="20">
        <f>'Dodiflow 57501'!AX18</f>
        <v>2.355</v>
      </c>
      <c r="AS47" s="20">
        <f>'Dodiflow 57501'!AY18</f>
        <v>2.3010000000000002</v>
      </c>
      <c r="AT47" s="20">
        <f>'Dodiflow 57501'!AZ18</f>
        <v>2.8769999999999998</v>
      </c>
      <c r="AU47" s="20">
        <f>'Dodiflow 57501'!BA18</f>
        <v>2.8769999999999998</v>
      </c>
      <c r="AV47" s="20">
        <f>'Dodiflow 57501'!BB18</f>
        <v>2.8769999999999998</v>
      </c>
      <c r="AW47" s="20">
        <f>'Dodiflow 57501'!BC18</f>
        <v>2.8090999999999999</v>
      </c>
      <c r="AX47" s="20">
        <f>'Dodiflow 57501'!BD18</f>
        <v>2.8090999999999999</v>
      </c>
      <c r="AY47" s="20">
        <f>'Dodiflow 57501'!BE18</f>
        <v>2.8090999999999999</v>
      </c>
      <c r="AZ47" s="20">
        <f>'Dodiflow 57501'!BF18</f>
        <v>2.8090999999999999</v>
      </c>
      <c r="BA47" s="20">
        <f>'Dodiflow 57501'!BG18</f>
        <v>3.1207500000000001</v>
      </c>
      <c r="BB47" s="20">
        <f>'Dodiflow 57501'!BH18</f>
        <v>3.1207500000000001</v>
      </c>
      <c r="BC47" s="20">
        <f>'Dodiflow 57501'!BI18</f>
        <v>3.1207500000000001</v>
      </c>
      <c r="BD47" s="20">
        <f>'Dodiflow 57501'!BJ18</f>
        <v>3.1207500000000001</v>
      </c>
      <c r="BE47" s="20">
        <f>'Dodiflow 57501'!BK18</f>
        <v>3.23685</v>
      </c>
      <c r="BF47" s="20">
        <f>'Dodiflow 57501'!BL18</f>
        <v>3.23685</v>
      </c>
      <c r="BG47" s="20">
        <f>'Dodiflow 57501'!BM18</f>
        <v>3.23685</v>
      </c>
      <c r="BH47" s="20">
        <f>'Dodiflow 57501'!BN18</f>
        <v>3.23685</v>
      </c>
      <c r="BI47" s="20">
        <f>'Dodiflow 57501'!BO18</f>
        <v>3.1302500000000002</v>
      </c>
      <c r="BJ47" s="20">
        <f>'Dodiflow 57501'!BP18</f>
        <v>3.1302500000000002</v>
      </c>
      <c r="BK47" s="20">
        <f>'Dodiflow 57501'!BQ18</f>
        <v>3.1302500000000002</v>
      </c>
      <c r="BL47" s="20">
        <f>'Dodiflow 57501'!BR18</f>
        <v>3.1302500000000002</v>
      </c>
      <c r="BM47" s="20">
        <f>'Dodiflow 57501'!BS18</f>
        <v>3.1302500000000002</v>
      </c>
      <c r="BN47" s="20">
        <f>'Dodiflow 57501'!BT18</f>
        <v>3.1107499999999999</v>
      </c>
      <c r="BO47" s="20">
        <f>'Dodiflow 57501'!BU18</f>
        <v>3.1107499999999999</v>
      </c>
      <c r="BP47" s="20">
        <f>'Dodiflow 57501'!BV18</f>
        <v>3.1107499999999999</v>
      </c>
      <c r="BQ47" s="20">
        <f>'Dodiflow 57501'!BW18</f>
        <v>3.1072500000000001</v>
      </c>
      <c r="BR47" s="20">
        <f>'Dodiflow 57501'!BX18</f>
        <v>3.1072500000000001</v>
      </c>
      <c r="BS47" s="20">
        <f>'Dodiflow 57501'!BY18</f>
        <v>3.1072500000000001</v>
      </c>
    </row>
    <row r="48" spans="1:71">
      <c r="A48" s="8" t="s">
        <v>248</v>
      </c>
      <c r="B48" s="263" t="s">
        <v>249</v>
      </c>
      <c r="C48" s="19">
        <f t="shared" si="8"/>
        <v>0.46120000000000005</v>
      </c>
      <c r="D48" s="19">
        <f t="shared" si="9"/>
        <v>-1.0000000000000009E-2</v>
      </c>
      <c r="E48" s="19">
        <f t="shared" si="10"/>
        <v>6.9999999999999951E-2</v>
      </c>
      <c r="F48" s="19">
        <f t="shared" si="11"/>
        <v>-1.0000000000000009E-2</v>
      </c>
      <c r="G48" s="19">
        <f t="shared" si="12"/>
        <v>-1.0000000000000009E-2</v>
      </c>
      <c r="H48" s="19">
        <f t="shared" si="13"/>
        <v>3.0000000000000027E-2</v>
      </c>
      <c r="I48" s="19">
        <f t="shared" si="14"/>
        <v>3.0000000000000027E-2</v>
      </c>
      <c r="J48" s="19">
        <f t="shared" si="15"/>
        <v>0</v>
      </c>
      <c r="K48" s="19">
        <f t="shared" si="16"/>
        <v>-1.5000000000000013E-2</v>
      </c>
      <c r="L48" s="19">
        <f t="shared" si="7"/>
        <v>-2.5000000000000022E-2</v>
      </c>
      <c r="M48" s="19">
        <f t="shared" si="7"/>
        <v>-5.0000000000000044E-3</v>
      </c>
      <c r="N48" s="19">
        <f t="shared" si="7"/>
        <v>0</v>
      </c>
      <c r="O48" s="19">
        <f t="shared" si="7"/>
        <v>5.0000000000000044E-3</v>
      </c>
      <c r="P48" s="19">
        <f t="shared" si="7"/>
        <v>1.5000000000000013E-2</v>
      </c>
      <c r="Q48" s="19">
        <f t="shared" si="7"/>
        <v>-1.5000000000000013E-2</v>
      </c>
      <c r="R48" s="19">
        <f t="shared" si="7"/>
        <v>2.0000000000000018E-2</v>
      </c>
      <c r="S48" s="19">
        <f t="shared" si="7"/>
        <v>5.0000000000000044E-3</v>
      </c>
      <c r="T48" s="19">
        <f t="shared" si="7"/>
        <v>0</v>
      </c>
      <c r="U48" s="19">
        <f t="shared" si="7"/>
        <v>0</v>
      </c>
      <c r="V48" s="19">
        <f t="shared" si="7"/>
        <v>1.0000000000000009E-2</v>
      </c>
      <c r="W48" s="19">
        <f t="shared" si="7"/>
        <v>0</v>
      </c>
      <c r="X48" s="19">
        <f t="shared" si="7"/>
        <v>1.5000000000000013E-2</v>
      </c>
      <c r="Y48" s="19">
        <f t="shared" si="7"/>
        <v>1.0000000000000009E-2</v>
      </c>
      <c r="Z48" s="19">
        <f t="shared" si="7"/>
        <v>1.0000000000000009E-2</v>
      </c>
      <c r="AA48" s="19">
        <f t="shared" si="6"/>
        <v>0</v>
      </c>
      <c r="AB48" s="19">
        <f t="shared" si="6"/>
        <v>0</v>
      </c>
      <c r="AC48" s="19">
        <f t="shared" si="6"/>
        <v>0</v>
      </c>
      <c r="AD48" s="19">
        <f t="shared" si="6"/>
        <v>0</v>
      </c>
      <c r="AE48" s="19">
        <f t="shared" si="5"/>
        <v>2.4999999999999911E-2</v>
      </c>
      <c r="AF48" s="19">
        <f t="shared" si="5"/>
        <v>0</v>
      </c>
      <c r="AG48" s="19">
        <f t="shared" si="5"/>
        <v>0</v>
      </c>
      <c r="AH48" s="19">
        <f t="shared" si="5"/>
        <v>0</v>
      </c>
      <c r="AI48" s="19">
        <f t="shared" si="5"/>
        <v>0</v>
      </c>
      <c r="AJ48" s="65"/>
      <c r="AL48" s="20">
        <f>1161.2/1000</f>
        <v>1.1612</v>
      </c>
      <c r="AM48" s="8">
        <f>'Input RM sheet'!AP82/1000</f>
        <v>0.7</v>
      </c>
      <c r="AN48" s="8">
        <f>'Input RM sheet'!AQ82/1000</f>
        <v>0.71</v>
      </c>
      <c r="AO48" s="8">
        <f>'Input RM sheet'!AR82/1000</f>
        <v>0.64</v>
      </c>
      <c r="AP48" s="8">
        <f>'Input RM sheet'!AS82/1000</f>
        <v>0.65</v>
      </c>
      <c r="AQ48" s="8">
        <f>'Input RM sheet'!AT82/1000</f>
        <v>0.66</v>
      </c>
      <c r="AR48" s="8">
        <f>'Input RM sheet'!AU82/1000</f>
        <v>0.63</v>
      </c>
      <c r="AS48" s="8">
        <f>'Input RM sheet'!AV82/1000</f>
        <v>0.6</v>
      </c>
      <c r="AT48" s="8">
        <f>'Input RM sheet'!AW82/1000</f>
        <v>0.6</v>
      </c>
      <c r="AU48" s="20">
        <f>'Input RM sheet'!AX82/1000</f>
        <v>0.61499999999999999</v>
      </c>
      <c r="AV48" s="20">
        <f>'Input RM sheet'!AY82/1000</f>
        <v>0.64</v>
      </c>
      <c r="AW48" s="20">
        <f>'Input RM sheet'!AZ82/1000</f>
        <v>0.64500000000000002</v>
      </c>
      <c r="AX48" s="20">
        <f>'Input RM sheet'!BA82/1000</f>
        <v>0.64500000000000002</v>
      </c>
      <c r="AY48" s="20">
        <f>'Input RM sheet'!BB82/1000</f>
        <v>0.64</v>
      </c>
      <c r="AZ48" s="20">
        <f>'Input RM sheet'!BC82/1000</f>
        <v>0.625</v>
      </c>
      <c r="BA48" s="20">
        <f>'Input RM sheet'!BD82/1000</f>
        <v>0.64</v>
      </c>
      <c r="BB48" s="20">
        <f>'Input RM sheet'!BE82/1000</f>
        <v>0.62</v>
      </c>
      <c r="BC48" s="20">
        <f>'Input RM sheet'!BF82/1000</f>
        <v>0.61499999999999999</v>
      </c>
      <c r="BD48" s="20">
        <f>'Input RM sheet'!BG82/1000</f>
        <v>0.61499999999999999</v>
      </c>
      <c r="BE48" s="20">
        <f>'Input RM sheet'!BH82/1000</f>
        <v>0.61499999999999999</v>
      </c>
      <c r="BF48" s="20">
        <f>'Input RM sheet'!BI82/1000</f>
        <v>0.60499999999999998</v>
      </c>
      <c r="BG48" s="20">
        <f>'Input RM sheet'!BJ82/1000</f>
        <v>0.60499999999999998</v>
      </c>
      <c r="BH48" s="20">
        <f>'Input RM sheet'!BK82/1000</f>
        <v>0.59</v>
      </c>
      <c r="BI48" s="20">
        <f>'Input RM sheet'!BL82/1000</f>
        <v>0.57999999999999996</v>
      </c>
      <c r="BJ48" s="20">
        <f>'Input RM sheet'!BM82/1000</f>
        <v>0.56999999999999995</v>
      </c>
      <c r="BK48" s="20">
        <f>'Input RM sheet'!BN82/1000</f>
        <v>0.56999999999999995</v>
      </c>
      <c r="BL48" s="20">
        <f>'Input RM sheet'!BO82/1000</f>
        <v>0.56999999999999995</v>
      </c>
      <c r="BM48" s="20">
        <f>'Input RM sheet'!BP82/1000</f>
        <v>0.56999999999999995</v>
      </c>
      <c r="BN48" s="20">
        <f>'Input RM sheet'!BQ82/1000</f>
        <v>0.56999999999999995</v>
      </c>
      <c r="BO48" s="20">
        <f>'Input RM sheet'!BR82/1000</f>
        <v>0.54500000000000004</v>
      </c>
      <c r="BP48" s="20">
        <f>'Input RM sheet'!BS82/1000</f>
        <v>0.54500000000000004</v>
      </c>
      <c r="BQ48" s="20">
        <f>'Input RM sheet'!BT82/1000</f>
        <v>0.54500000000000004</v>
      </c>
      <c r="BR48" s="20">
        <f>'Input RM sheet'!BU82/1000</f>
        <v>0.54500000000000004</v>
      </c>
      <c r="BS48" s="20">
        <f>'Input RM sheet'!BV82/1000</f>
        <v>0.54500000000000004</v>
      </c>
    </row>
    <row r="49" spans="1:71">
      <c r="A49" s="8" t="s">
        <v>248</v>
      </c>
      <c r="B49" s="263" t="s">
        <v>250</v>
      </c>
      <c r="I49" s="19">
        <f>+AR49-AS49</f>
        <v>0</v>
      </c>
      <c r="K49" s="19">
        <f t="shared" ref="K49:K76" si="17">+AT49-AU49</f>
        <v>0</v>
      </c>
      <c r="L49" s="19">
        <f t="shared" si="7"/>
        <v>0</v>
      </c>
      <c r="M49" s="19">
        <f t="shared" si="7"/>
        <v>0</v>
      </c>
      <c r="N49" s="19">
        <f t="shared" si="7"/>
        <v>0</v>
      </c>
      <c r="O49" s="19">
        <f t="shared" si="7"/>
        <v>0</v>
      </c>
      <c r="P49" s="19">
        <f t="shared" si="7"/>
        <v>0</v>
      </c>
      <c r="Q49" s="19">
        <f t="shared" si="7"/>
        <v>0</v>
      </c>
      <c r="R49" s="19">
        <f t="shared" si="7"/>
        <v>0</v>
      </c>
      <c r="S49" s="19">
        <f t="shared" si="7"/>
        <v>0</v>
      </c>
      <c r="T49" s="19">
        <f t="shared" si="7"/>
        <v>0</v>
      </c>
      <c r="U49" s="19">
        <f t="shared" si="7"/>
        <v>0</v>
      </c>
      <c r="V49" s="19">
        <f t="shared" si="7"/>
        <v>0</v>
      </c>
      <c r="W49" s="19">
        <f t="shared" si="7"/>
        <v>0</v>
      </c>
      <c r="X49" s="19">
        <f t="shared" si="7"/>
        <v>0</v>
      </c>
      <c r="Y49" s="19">
        <f t="shared" si="7"/>
        <v>0</v>
      </c>
      <c r="Z49" s="19">
        <f t="shared" si="7"/>
        <v>0</v>
      </c>
      <c r="AA49" s="19">
        <f t="shared" si="6"/>
        <v>0</v>
      </c>
      <c r="AB49" s="19">
        <f t="shared" si="6"/>
        <v>0</v>
      </c>
      <c r="AC49" s="19">
        <f t="shared" si="6"/>
        <v>0</v>
      </c>
      <c r="AD49" s="19">
        <f t="shared" si="6"/>
        <v>0</v>
      </c>
      <c r="AE49" s="19">
        <f t="shared" si="5"/>
        <v>0</v>
      </c>
      <c r="AF49" s="19">
        <f t="shared" si="5"/>
        <v>0</v>
      </c>
      <c r="AG49" s="19">
        <f t="shared" si="5"/>
        <v>0</v>
      </c>
      <c r="AH49" s="19">
        <f t="shared" si="5"/>
        <v>0</v>
      </c>
      <c r="AI49" s="19">
        <f t="shared" si="5"/>
        <v>0</v>
      </c>
      <c r="AJ49" s="65"/>
    </row>
    <row r="50" spans="1:71" ht="15">
      <c r="A50" s="8" t="s">
        <v>248</v>
      </c>
      <c r="B50" s="45" t="s">
        <v>251</v>
      </c>
      <c r="C50" s="19"/>
      <c r="D50" s="19"/>
      <c r="E50" s="19"/>
      <c r="F50" s="19"/>
      <c r="G50" s="19"/>
      <c r="H50" s="19"/>
      <c r="I50" s="19"/>
      <c r="J50" s="19">
        <f>+AS50-AT50</f>
        <v>-2.7368592085939447E-2</v>
      </c>
      <c r="K50" s="19">
        <f t="shared" si="17"/>
        <v>-1.5335287250547669E-2</v>
      </c>
      <c r="L50" s="19">
        <f t="shared" si="7"/>
        <v>-8.0193042639191692E-3</v>
      </c>
      <c r="M50" s="19">
        <f t="shared" si="7"/>
        <v>1.9016390728666233E-2</v>
      </c>
      <c r="N50" s="19">
        <f t="shared" si="7"/>
        <v>4.9944910502679463E-3</v>
      </c>
      <c r="O50" s="19">
        <f t="shared" si="7"/>
        <v>-1.2012012012011963E-2</v>
      </c>
      <c r="P50" s="19">
        <f t="shared" si="7"/>
        <v>4.8614858052244969E-3</v>
      </c>
      <c r="Q50" s="19">
        <f t="shared" si="7"/>
        <v>4.7784973446923784E-3</v>
      </c>
      <c r="R50" s="19">
        <f t="shared" si="7"/>
        <v>1.0747416547827626E-2</v>
      </c>
      <c r="S50" s="19">
        <f t="shared" si="7"/>
        <v>-1.2176125599577814E-2</v>
      </c>
      <c r="T50" s="19">
        <f t="shared" si="7"/>
        <v>2.7940178820040962E-2</v>
      </c>
      <c r="U50" s="19">
        <f t="shared" si="7"/>
        <v>7.1636219397222312E-2</v>
      </c>
      <c r="V50" s="19">
        <f t="shared" si="7"/>
        <v>2.434445981670208E-2</v>
      </c>
      <c r="W50" s="19">
        <f t="shared" si="7"/>
        <v>4.0755143979398167E-2</v>
      </c>
      <c r="X50" s="19">
        <f t="shared" si="7"/>
        <v>1.3857237680033885E-3</v>
      </c>
      <c r="Y50" s="19">
        <f t="shared" si="7"/>
        <v>1.7629068013882421E-2</v>
      </c>
      <c r="Z50" s="19">
        <f t="shared" si="7"/>
        <v>-3.6352360234079839E-2</v>
      </c>
      <c r="AA50" s="19">
        <f t="shared" si="6"/>
        <v>0</v>
      </c>
      <c r="AB50" s="19">
        <f t="shared" si="6"/>
        <v>3.7415128051209279E-2</v>
      </c>
      <c r="AC50" s="19">
        <f t="shared" si="6"/>
        <v>6.7484713777055116E-4</v>
      </c>
      <c r="AD50" s="19">
        <f t="shared" si="6"/>
        <v>-1.2381649382988913E-2</v>
      </c>
      <c r="AE50" s="19">
        <f t="shared" si="5"/>
        <v>-1.1759812064369157E-3</v>
      </c>
      <c r="AF50" s="19">
        <f t="shared" si="5"/>
        <v>7.8436384516378244E-4</v>
      </c>
      <c r="AG50" s="19">
        <f t="shared" si="5"/>
        <v>1.0260963380313681E-2</v>
      </c>
      <c r="AH50" s="19">
        <f t="shared" si="5"/>
        <v>9.6917572761645587E-5</v>
      </c>
      <c r="AI50" s="19">
        <f t="shared" si="5"/>
        <v>-3.506814090097321E-2</v>
      </c>
      <c r="AJ50" s="65"/>
      <c r="AL50" s="8">
        <v>0.91</v>
      </c>
      <c r="AM50" s="20"/>
      <c r="AN50" s="20"/>
      <c r="AO50" s="20"/>
      <c r="AP50" s="20"/>
      <c r="AQ50" s="20"/>
      <c r="AR50" s="20"/>
      <c r="AS50" s="20">
        <f>SOFA!AY29</f>
        <v>0.95827268316351288</v>
      </c>
      <c r="AT50" s="20">
        <f>SOFA!AZ29</f>
        <v>0.98564127524945233</v>
      </c>
      <c r="AU50" s="20">
        <f>SOFA!BA29</f>
        <v>1.0009765625</v>
      </c>
      <c r="AV50" s="20">
        <f>SOFA!BB29</f>
        <v>1.0089958667639192</v>
      </c>
      <c r="AW50" s="20">
        <f>SOFA!BC29</f>
        <v>0.98997947603525294</v>
      </c>
      <c r="AX50" s="20">
        <f>SOFA!BD29</f>
        <v>0.98498498498498499</v>
      </c>
      <c r="AY50" s="20">
        <f>SOFA!BE29</f>
        <v>0.99699699699699695</v>
      </c>
      <c r="AZ50" s="20">
        <f>SOFA!BF29</f>
        <v>0.99213551119177246</v>
      </c>
      <c r="BA50" s="20">
        <f>SOFA!BG29</f>
        <v>0.98735701384708008</v>
      </c>
      <c r="BB50" s="20">
        <f>SOFA!BH29</f>
        <v>0.97660959729925245</v>
      </c>
      <c r="BC50" s="20">
        <f>SOFA!BI29</f>
        <v>0.98878572289883027</v>
      </c>
      <c r="BD50" s="20">
        <f>SOFA!BJ29</f>
        <v>0.9608455440787893</v>
      </c>
      <c r="BE50" s="20">
        <f>SOFA!BK29</f>
        <v>0.88920932468156699</v>
      </c>
      <c r="BF50" s="20">
        <f>SOFA!BL29</f>
        <v>0.86486486486486491</v>
      </c>
      <c r="BG50" s="20">
        <f>SOFA!BM29</f>
        <v>0.82410972088546675</v>
      </c>
      <c r="BH50" s="20">
        <f>SOFA!BN29</f>
        <v>0.82272399711746336</v>
      </c>
      <c r="BI50" s="20">
        <f>SOFA!BO29</f>
        <v>0.80509492910358094</v>
      </c>
      <c r="BJ50" s="20">
        <f>SOFA!BP29</f>
        <v>0.84144728933766078</v>
      </c>
      <c r="BK50" s="20">
        <f>SOFA!BQ29</f>
        <v>0.84144728933766078</v>
      </c>
      <c r="BL50" s="20">
        <f>SOFA!BR29</f>
        <v>0.8040321612864515</v>
      </c>
      <c r="BM50" s="20">
        <f>SOFA!BS29</f>
        <v>0.80335731414868095</v>
      </c>
      <c r="BN50" s="20">
        <f>SOFA!BT29</f>
        <v>0.81573896353166986</v>
      </c>
      <c r="BO50" s="20">
        <f>SOFA!BU29</f>
        <v>0.81691494473810677</v>
      </c>
      <c r="BP50" s="20">
        <f>SOFA!BV29</f>
        <v>0.81613058089294299</v>
      </c>
      <c r="BQ50" s="20">
        <f>SOFA!BW29</f>
        <v>0.80586961751262931</v>
      </c>
      <c r="BR50" s="20">
        <f>SOFA!BX29</f>
        <v>0.80577269993986766</v>
      </c>
      <c r="BS50" s="20">
        <f>SOFA!BY29</f>
        <v>0.84084084084084088</v>
      </c>
    </row>
    <row r="51" spans="1:71">
      <c r="A51" s="8" t="s">
        <v>248</v>
      </c>
      <c r="B51" s="263" t="s">
        <v>112</v>
      </c>
      <c r="C51" s="19">
        <f t="shared" ref="C51:J66" si="18">+AL51-AM51</f>
        <v>0.2679999999999999</v>
      </c>
      <c r="D51" s="19">
        <f t="shared" si="18"/>
        <v>-3.5999999999999921E-2</v>
      </c>
      <c r="E51" s="19">
        <f t="shared" si="18"/>
        <v>-1.5000000000000013E-2</v>
      </c>
      <c r="F51" s="19">
        <f t="shared" si="18"/>
        <v>-4.6000000000000041E-2</v>
      </c>
      <c r="G51" s="19">
        <f t="shared" si="18"/>
        <v>6.0000000000000053E-3</v>
      </c>
      <c r="H51" s="19">
        <f t="shared" si="18"/>
        <v>5.8000000000000052E-2</v>
      </c>
      <c r="I51" s="19">
        <f t="shared" si="18"/>
        <v>-0.10400000000000009</v>
      </c>
      <c r="J51" s="19">
        <f t="shared" si="18"/>
        <v>0</v>
      </c>
      <c r="K51" s="19">
        <f t="shared" si="17"/>
        <v>0</v>
      </c>
      <c r="L51" s="19">
        <f t="shared" si="7"/>
        <v>-2.6999999999999913E-2</v>
      </c>
      <c r="M51" s="19">
        <f t="shared" si="7"/>
        <v>-1.7000000000000015E-2</v>
      </c>
      <c r="N51" s="19">
        <f t="shared" si="7"/>
        <v>3.0000000000000027E-2</v>
      </c>
      <c r="O51" s="19">
        <f t="shared" si="7"/>
        <v>-2.0000000000000018E-3</v>
      </c>
      <c r="P51" s="19">
        <f t="shared" si="7"/>
        <v>-5.0000000000000044E-3</v>
      </c>
      <c r="Q51" s="19">
        <f t="shared" si="7"/>
        <v>2.7999999999999914E-2</v>
      </c>
      <c r="R51" s="19">
        <f t="shared" si="7"/>
        <v>1.5000000000000013E-2</v>
      </c>
      <c r="S51" s="19">
        <f t="shared" si="7"/>
        <v>2.8000000000000025E-2</v>
      </c>
      <c r="T51" s="19">
        <f t="shared" si="7"/>
        <v>0</v>
      </c>
      <c r="U51" s="19">
        <f t="shared" si="7"/>
        <v>-4.0000000000000036E-3</v>
      </c>
      <c r="V51" s="19">
        <f t="shared" si="7"/>
        <v>1.2000000000000011E-2</v>
      </c>
      <c r="W51" s="19">
        <f t="shared" si="7"/>
        <v>6.0000000000000053E-3</v>
      </c>
      <c r="X51" s="19">
        <f t="shared" si="7"/>
        <v>3.0000000000000027E-3</v>
      </c>
      <c r="Y51" s="19">
        <f t="shared" si="7"/>
        <v>7.0000000000000062E-3</v>
      </c>
      <c r="Z51" s="19">
        <f t="shared" si="7"/>
        <v>-1.6000000000000014E-2</v>
      </c>
      <c r="AA51" s="19">
        <f t="shared" si="6"/>
        <v>0</v>
      </c>
      <c r="AB51" s="19">
        <f t="shared" si="6"/>
        <v>0</v>
      </c>
      <c r="AC51" s="19">
        <f t="shared" si="6"/>
        <v>9.000000000000008E-3</v>
      </c>
      <c r="AD51" s="19">
        <f t="shared" si="6"/>
        <v>2.1000000000000019E-2</v>
      </c>
      <c r="AE51" s="19">
        <f t="shared" si="5"/>
        <v>1.7000000000000015E-2</v>
      </c>
      <c r="AF51" s="19">
        <f t="shared" si="5"/>
        <v>5.0000000000000044E-3</v>
      </c>
      <c r="AG51" s="19">
        <f t="shared" si="5"/>
        <v>2.0000000000000018E-3</v>
      </c>
      <c r="AH51" s="19">
        <f t="shared" si="5"/>
        <v>-8.0000000000000071E-3</v>
      </c>
      <c r="AI51" s="19">
        <f t="shared" si="5"/>
        <v>-3.0000000000000027E-3</v>
      </c>
      <c r="AJ51" s="65"/>
      <c r="AL51" s="8">
        <v>0.94299999999999995</v>
      </c>
      <c r="AM51" s="20">
        <f>'Input RM sheet'!AP73/1000</f>
        <v>0.67500000000000004</v>
      </c>
      <c r="AN51" s="20">
        <f>'Input RM sheet'!AQ73/1000</f>
        <v>0.71099999999999997</v>
      </c>
      <c r="AO51" s="20">
        <f>'Input RM sheet'!AR73/1000</f>
        <v>0.72599999999999998</v>
      </c>
      <c r="AP51" s="20">
        <f>'Input RM sheet'!AS73/1000</f>
        <v>0.77200000000000002</v>
      </c>
      <c r="AQ51" s="20">
        <f>'Input RM sheet'!AT73/1000</f>
        <v>0.76600000000000001</v>
      </c>
      <c r="AR51" s="20">
        <f>'Input RM sheet'!AU73/1000</f>
        <v>0.70799999999999996</v>
      </c>
      <c r="AS51" s="20">
        <f>'Input RM sheet'!AV73/1000</f>
        <v>0.81200000000000006</v>
      </c>
      <c r="AT51" s="20">
        <f>'Input RM sheet'!AW73/1000</f>
        <v>0.81200000000000006</v>
      </c>
      <c r="AU51" s="20">
        <f>'Input RM sheet'!AX73/1000</f>
        <v>0.81200000000000006</v>
      </c>
      <c r="AV51" s="20">
        <f>'Input RM sheet'!AY73/1000</f>
        <v>0.83899999999999997</v>
      </c>
      <c r="AW51" s="20">
        <f>'Input RM sheet'!AZ73/1000</f>
        <v>0.85599999999999998</v>
      </c>
      <c r="AX51" s="20">
        <f>'Input RM sheet'!BA73/1000</f>
        <v>0.82599999999999996</v>
      </c>
      <c r="AY51" s="20">
        <f>'Input RM sheet'!BB73/1000</f>
        <v>0.82799999999999996</v>
      </c>
      <c r="AZ51" s="20">
        <f>'Input RM sheet'!BC73/1000</f>
        <v>0.83299999999999996</v>
      </c>
      <c r="BA51" s="20">
        <f>'Input RM sheet'!BD73/1000</f>
        <v>0.80500000000000005</v>
      </c>
      <c r="BB51" s="20">
        <f>'Input RM sheet'!BE73/1000</f>
        <v>0.79</v>
      </c>
      <c r="BC51" s="20">
        <f>'Input RM sheet'!BF73/1000</f>
        <v>0.76200000000000001</v>
      </c>
      <c r="BD51" s="20">
        <f>'Input RM sheet'!BG73/1000</f>
        <v>0.76200000000000001</v>
      </c>
      <c r="BE51" s="20">
        <f>'Input RM sheet'!BH73/1000</f>
        <v>0.76600000000000001</v>
      </c>
      <c r="BF51" s="20">
        <f>'Input RM sheet'!BI73/1000</f>
        <v>0.754</v>
      </c>
      <c r="BG51" s="20">
        <f>'Input RM sheet'!BJ73/1000</f>
        <v>0.748</v>
      </c>
      <c r="BH51" s="20">
        <f>'Input RM sheet'!BK73/1000</f>
        <v>0.745</v>
      </c>
      <c r="BI51" s="20">
        <f>'Input RM sheet'!BL73/1000</f>
        <v>0.73799999999999999</v>
      </c>
      <c r="BJ51" s="20">
        <f>'Input RM sheet'!BM73/1000</f>
        <v>0.754</v>
      </c>
      <c r="BK51" s="20">
        <f>'Input RM sheet'!BN73/1000</f>
        <v>0.754</v>
      </c>
      <c r="BL51" s="20">
        <f>'Input RM sheet'!BO73/1000</f>
        <v>0.754</v>
      </c>
      <c r="BM51" s="20">
        <f>'Input RM sheet'!BP73/1000</f>
        <v>0.745</v>
      </c>
      <c r="BN51" s="20">
        <f>'Input RM sheet'!BQ73/1000</f>
        <v>0.72399999999999998</v>
      </c>
      <c r="BO51" s="20">
        <f>'Input RM sheet'!BR73/1000</f>
        <v>0.70699999999999996</v>
      </c>
      <c r="BP51" s="20">
        <f>'Input RM sheet'!BS73/1000</f>
        <v>0.70199999999999996</v>
      </c>
      <c r="BQ51" s="20">
        <f>'Input RM sheet'!BT73/1000</f>
        <v>0.7</v>
      </c>
      <c r="BR51" s="20">
        <f>'Input RM sheet'!BU73/1000</f>
        <v>0.70799999999999996</v>
      </c>
      <c r="BS51" s="20">
        <f>'Input RM sheet'!BV73/1000</f>
        <v>0.71099999999999997</v>
      </c>
    </row>
    <row r="52" spans="1:71">
      <c r="A52" s="8" t="s">
        <v>248</v>
      </c>
      <c r="B52" s="263" t="s">
        <v>252</v>
      </c>
      <c r="C52" s="19">
        <f t="shared" si="18"/>
        <v>0.35400000000000009</v>
      </c>
      <c r="D52" s="19">
        <f t="shared" si="18"/>
        <v>-3.125E-2</v>
      </c>
      <c r="E52" s="19">
        <f t="shared" si="18"/>
        <v>-5.3749999999999964E-2</v>
      </c>
      <c r="F52" s="19">
        <f t="shared" si="18"/>
        <v>1.0000000000000009E-2</v>
      </c>
      <c r="G52" s="19">
        <f t="shared" si="18"/>
        <v>-2.5000000000000133E-2</v>
      </c>
      <c r="H52" s="19">
        <f t="shared" si="18"/>
        <v>4.0000000000000036E-2</v>
      </c>
      <c r="I52" s="19">
        <f t="shared" si="18"/>
        <v>-1.0000000000000009E-2</v>
      </c>
      <c r="J52" s="19">
        <f t="shared" si="18"/>
        <v>0</v>
      </c>
      <c r="K52" s="19">
        <f t="shared" si="17"/>
        <v>0</v>
      </c>
      <c r="L52" s="19">
        <f t="shared" si="7"/>
        <v>-1.4999999999999902E-2</v>
      </c>
      <c r="M52" s="19">
        <f t="shared" si="7"/>
        <v>-5.0000000000000044E-2</v>
      </c>
      <c r="N52" s="19">
        <f t="shared" si="7"/>
        <v>0</v>
      </c>
      <c r="O52" s="19">
        <f t="shared" si="7"/>
        <v>0</v>
      </c>
      <c r="P52" s="19">
        <f t="shared" si="7"/>
        <v>0</v>
      </c>
      <c r="Q52" s="19">
        <f t="shared" si="7"/>
        <v>0</v>
      </c>
      <c r="R52" s="19">
        <f t="shared" si="7"/>
        <v>0</v>
      </c>
      <c r="S52" s="19">
        <f t="shared" si="7"/>
        <v>0</v>
      </c>
      <c r="T52" s="19">
        <f t="shared" si="7"/>
        <v>-0.10000000000000009</v>
      </c>
      <c r="U52" s="19">
        <f t="shared" si="7"/>
        <v>0</v>
      </c>
      <c r="V52" s="19">
        <f t="shared" si="7"/>
        <v>0</v>
      </c>
      <c r="W52" s="19">
        <f t="shared" si="7"/>
        <v>-2.4999999999999911E-2</v>
      </c>
      <c r="X52" s="19">
        <f t="shared" si="7"/>
        <v>0</v>
      </c>
      <c r="Y52" s="19">
        <f t="shared" si="7"/>
        <v>0</v>
      </c>
      <c r="Z52" s="19">
        <f t="shared" si="7"/>
        <v>-2.4999999999999911E-2</v>
      </c>
      <c r="AA52" s="19">
        <f t="shared" si="6"/>
        <v>0</v>
      </c>
      <c r="AB52" s="19">
        <f t="shared" si="6"/>
        <v>0</v>
      </c>
      <c r="AC52" s="19">
        <f t="shared" si="6"/>
        <v>4.9999999999999822E-2</v>
      </c>
      <c r="AD52" s="19">
        <f t="shared" si="6"/>
        <v>0</v>
      </c>
      <c r="AE52" s="19">
        <f t="shared" si="5"/>
        <v>-2.4999999999999911E-2</v>
      </c>
      <c r="AF52" s="19">
        <f t="shared" si="5"/>
        <v>0</v>
      </c>
      <c r="AG52" s="19">
        <f t="shared" si="5"/>
        <v>0</v>
      </c>
      <c r="AH52" s="19">
        <f t="shared" si="5"/>
        <v>4.0000000000000036E-2</v>
      </c>
      <c r="AI52" s="19">
        <f t="shared" si="5"/>
        <v>0</v>
      </c>
      <c r="AJ52" s="65"/>
      <c r="AL52" s="20">
        <v>1.4690000000000001</v>
      </c>
      <c r="AM52" s="20">
        <f>'Input RM sheet'!AP69/1000</f>
        <v>1.115</v>
      </c>
      <c r="AN52" s="20">
        <f>'Input RM sheet'!AQ69/1000</f>
        <v>1.14625</v>
      </c>
      <c r="AO52" s="20">
        <f>'Input RM sheet'!AR69/1000</f>
        <v>1.2</v>
      </c>
      <c r="AP52" s="20">
        <f>'Input RM sheet'!AS69/1000</f>
        <v>1.19</v>
      </c>
      <c r="AQ52" s="20">
        <f>'Input RM sheet'!AT69/1000</f>
        <v>1.2150000000000001</v>
      </c>
      <c r="AR52" s="20">
        <f>'Input RM sheet'!AU69/1000</f>
        <v>1.175</v>
      </c>
      <c r="AS52" s="20">
        <f>'Input RM sheet'!AV69/1000</f>
        <v>1.1850000000000001</v>
      </c>
      <c r="AT52" s="20">
        <f>'Input RM sheet'!AW69/1000</f>
        <v>1.1850000000000001</v>
      </c>
      <c r="AU52" s="20">
        <f>'Input RM sheet'!AX69/1000</f>
        <v>1.1850000000000001</v>
      </c>
      <c r="AV52" s="20">
        <f>'Input RM sheet'!AY69/1000</f>
        <v>1.2</v>
      </c>
      <c r="AW52" s="20">
        <f>'Input RM sheet'!AZ69/1000</f>
        <v>1.25</v>
      </c>
      <c r="AX52" s="20">
        <f>'Input RM sheet'!BA69/1000</f>
        <v>1.25</v>
      </c>
      <c r="AY52" s="20">
        <f>'Input RM sheet'!BB69/1000</f>
        <v>1.25</v>
      </c>
      <c r="AZ52" s="20">
        <f>'Input RM sheet'!BC69/1000</f>
        <v>1.25</v>
      </c>
      <c r="BA52" s="20">
        <f>'Input RM sheet'!BD69/1000</f>
        <v>1.25</v>
      </c>
      <c r="BB52" s="20">
        <f>'Input RM sheet'!BE69/1000</f>
        <v>1.25</v>
      </c>
      <c r="BC52" s="20">
        <f>'Input RM sheet'!BF69/1000</f>
        <v>1.25</v>
      </c>
      <c r="BD52" s="20">
        <f>'Input RM sheet'!BG69/1000</f>
        <v>1.35</v>
      </c>
      <c r="BE52" s="20">
        <f>'Input RM sheet'!BH69/1000</f>
        <v>1.35</v>
      </c>
      <c r="BF52" s="20">
        <f>'Input RM sheet'!BI69/1000</f>
        <v>1.35</v>
      </c>
      <c r="BG52" s="20">
        <f>'Input RM sheet'!BJ69/1000</f>
        <v>1.375</v>
      </c>
      <c r="BH52" s="20">
        <f>'Input RM sheet'!BK69/1000</f>
        <v>1.375</v>
      </c>
      <c r="BI52" s="20">
        <f>'Input RM sheet'!BL69/1000</f>
        <v>1.375</v>
      </c>
      <c r="BJ52" s="20">
        <f>'Input RM sheet'!BM69/1000</f>
        <v>1.4</v>
      </c>
      <c r="BK52" s="20">
        <f>'Input RM sheet'!BN69/1000</f>
        <v>1.4</v>
      </c>
      <c r="BL52" s="20">
        <f>'Input RM sheet'!BO69/1000</f>
        <v>1.4</v>
      </c>
      <c r="BM52" s="20">
        <f>'Input RM sheet'!BP69/1000</f>
        <v>1.35</v>
      </c>
      <c r="BN52" s="20">
        <f>'Input RM sheet'!BQ69/1000</f>
        <v>1.35</v>
      </c>
      <c r="BO52" s="20">
        <f>'Input RM sheet'!BR69/1000</f>
        <v>1.375</v>
      </c>
      <c r="BP52" s="20">
        <f>'Input RM sheet'!BS69/1000</f>
        <v>1.375</v>
      </c>
      <c r="BQ52" s="20">
        <f>'Input RM sheet'!BT69/1000</f>
        <v>1.375</v>
      </c>
      <c r="BR52" s="20">
        <f>'Input RM sheet'!BU69/1000</f>
        <v>1.335</v>
      </c>
      <c r="BS52" s="20">
        <f>'Input RM sheet'!BV69/1000</f>
        <v>1.335</v>
      </c>
    </row>
    <row r="53" spans="1:71">
      <c r="A53" s="8" t="s">
        <v>229</v>
      </c>
      <c r="B53" s="263" t="s">
        <v>253</v>
      </c>
      <c r="C53" s="19">
        <f t="shared" si="18"/>
        <v>0.16000000000000003</v>
      </c>
      <c r="D53" s="19">
        <f t="shared" si="18"/>
        <v>-2.9999999999999916E-2</v>
      </c>
      <c r="E53" s="19">
        <f t="shared" si="18"/>
        <v>2.9999999999999916E-2</v>
      </c>
      <c r="F53" s="19">
        <f t="shared" si="18"/>
        <v>-5.0000000000000044E-3</v>
      </c>
      <c r="G53" s="19">
        <f t="shared" si="18"/>
        <v>5.0000000000000044E-3</v>
      </c>
      <c r="H53" s="19">
        <f t="shared" si="18"/>
        <v>-1.5000000000000013E-2</v>
      </c>
      <c r="I53" s="19">
        <f t="shared" si="18"/>
        <v>0.12</v>
      </c>
      <c r="J53" s="19">
        <f t="shared" si="18"/>
        <v>0</v>
      </c>
      <c r="K53" s="19">
        <f t="shared" si="17"/>
        <v>0</v>
      </c>
      <c r="L53" s="19">
        <f t="shared" si="7"/>
        <v>0</v>
      </c>
      <c r="M53" s="19">
        <f t="shared" si="7"/>
        <v>-2.0000000000000018E-2</v>
      </c>
      <c r="N53" s="19">
        <f t="shared" si="7"/>
        <v>-1.0000000000000009E-2</v>
      </c>
      <c r="O53" s="19">
        <f t="shared" si="7"/>
        <v>0</v>
      </c>
      <c r="P53" s="19">
        <f t="shared" si="7"/>
        <v>-5.9999999999999942E-2</v>
      </c>
      <c r="Q53" s="19">
        <f t="shared" si="7"/>
        <v>-9.000000000000008E-2</v>
      </c>
      <c r="R53" s="19">
        <f t="shared" si="7"/>
        <v>0</v>
      </c>
      <c r="S53" s="19">
        <f t="shared" si="7"/>
        <v>0</v>
      </c>
      <c r="T53" s="19">
        <f t="shared" si="7"/>
        <v>0</v>
      </c>
      <c r="U53" s="19">
        <f t="shared" si="7"/>
        <v>0</v>
      </c>
      <c r="V53" s="19">
        <f t="shared" si="7"/>
        <v>-2.4999999999999911E-2</v>
      </c>
      <c r="W53" s="19">
        <f t="shared" si="7"/>
        <v>2.4999999999999911E-2</v>
      </c>
      <c r="X53" s="19">
        <f t="shared" si="7"/>
        <v>5.0000000000000044E-2</v>
      </c>
      <c r="Y53" s="19">
        <f t="shared" si="7"/>
        <v>2.5000000000000022E-2</v>
      </c>
      <c r="Z53" s="19">
        <f t="shared" si="7"/>
        <v>0</v>
      </c>
      <c r="AA53" s="19">
        <f t="shared" si="6"/>
        <v>0</v>
      </c>
      <c r="AB53" s="19">
        <f t="shared" si="6"/>
        <v>0</v>
      </c>
      <c r="AC53" s="19">
        <f t="shared" si="6"/>
        <v>0</v>
      </c>
      <c r="AD53" s="19">
        <f t="shared" si="6"/>
        <v>0</v>
      </c>
      <c r="AE53" s="19">
        <f t="shared" si="5"/>
        <v>-2.5000000000000022E-2</v>
      </c>
      <c r="AF53" s="19">
        <f t="shared" si="5"/>
        <v>0</v>
      </c>
      <c r="AG53" s="19">
        <f t="shared" si="5"/>
        <v>-6.4999999999999947E-2</v>
      </c>
      <c r="AH53" s="19">
        <f t="shared" si="5"/>
        <v>-2.0000000000000018E-2</v>
      </c>
      <c r="AI53" s="19">
        <f t="shared" si="5"/>
        <v>0</v>
      </c>
      <c r="AJ53" s="65"/>
      <c r="AL53" s="20">
        <v>1.135</v>
      </c>
      <c r="AM53" s="20">
        <f>'Input RM sheet'!AP71/1000</f>
        <v>0.97499999999999998</v>
      </c>
      <c r="AN53" s="20">
        <f>'Input RM sheet'!AQ71/1000</f>
        <v>1.0049999999999999</v>
      </c>
      <c r="AO53" s="20">
        <f>'Input RM sheet'!AR71/1000</f>
        <v>0.97499999999999998</v>
      </c>
      <c r="AP53" s="20">
        <f>'Input RM sheet'!AS71/1000</f>
        <v>0.98</v>
      </c>
      <c r="AQ53" s="20">
        <f>'Input RM sheet'!AT71/1000</f>
        <v>0.97499999999999998</v>
      </c>
      <c r="AR53" s="20">
        <f>'Input RM sheet'!AU71/1000</f>
        <v>0.99</v>
      </c>
      <c r="AS53" s="20">
        <f>'Input RM sheet'!AV71/1000</f>
        <v>0.87</v>
      </c>
      <c r="AT53" s="20">
        <f>'Input RM sheet'!AW71/1000</f>
        <v>0.87</v>
      </c>
      <c r="AU53" s="20">
        <f>'Input RM sheet'!AX71/1000</f>
        <v>0.87</v>
      </c>
      <c r="AV53" s="20">
        <f>'Input RM sheet'!AY71/1000</f>
        <v>0.87</v>
      </c>
      <c r="AW53" s="20">
        <f>'Input RM sheet'!AZ71/1000</f>
        <v>0.89</v>
      </c>
      <c r="AX53" s="20">
        <f>'Input RM sheet'!BA71/1000</f>
        <v>0.9</v>
      </c>
      <c r="AY53" s="20">
        <f>'Input RM sheet'!BB71/1000</f>
        <v>0.9</v>
      </c>
      <c r="AZ53" s="20">
        <f>'Input RM sheet'!BC71/1000</f>
        <v>0.96</v>
      </c>
      <c r="BA53" s="20">
        <f>'Input RM sheet'!BD71/1000</f>
        <v>1.05</v>
      </c>
      <c r="BB53" s="20">
        <f>'Input RM sheet'!BE71/1000</f>
        <v>1.05</v>
      </c>
      <c r="BC53" s="20">
        <f>'Input RM sheet'!BF71/1000</f>
        <v>1.05</v>
      </c>
      <c r="BD53" s="20">
        <f>'Input RM sheet'!BG71/1000</f>
        <v>1.05</v>
      </c>
      <c r="BE53" s="20">
        <f>'Input RM sheet'!BH71/1000</f>
        <v>1.05</v>
      </c>
      <c r="BF53" s="20">
        <f>'Input RM sheet'!BI71/1000</f>
        <v>1.075</v>
      </c>
      <c r="BG53" s="20">
        <f>'Input RM sheet'!BJ71/1000</f>
        <v>1.05</v>
      </c>
      <c r="BH53" s="20">
        <f>'Input RM sheet'!BK71/1000</f>
        <v>1</v>
      </c>
      <c r="BI53" s="20">
        <f>'Input RM sheet'!BL71/1000</f>
        <v>0.97499999999999998</v>
      </c>
      <c r="BJ53" s="20">
        <f>'Input RM sheet'!BM71/1000</f>
        <v>0.97499999999999998</v>
      </c>
      <c r="BK53" s="20">
        <f>'Input RM sheet'!BN71/1000</f>
        <v>0.97499999999999998</v>
      </c>
      <c r="BL53" s="20">
        <f>'Input RM sheet'!BO71/1000</f>
        <v>0.97499999999999998</v>
      </c>
      <c r="BM53" s="20">
        <f>'Input RM sheet'!BP71/1000</f>
        <v>0.97499999999999998</v>
      </c>
      <c r="BN53" s="20">
        <f>'Input RM sheet'!BQ71/1000</f>
        <v>0.97499999999999998</v>
      </c>
      <c r="BO53" s="20">
        <f>'Input RM sheet'!BR71/1000</f>
        <v>1</v>
      </c>
      <c r="BP53" s="20">
        <f>'Input RM sheet'!BS71/1000</f>
        <v>1</v>
      </c>
      <c r="BQ53" s="20">
        <f>'Input RM sheet'!BT71/1000</f>
        <v>1.0649999999999999</v>
      </c>
      <c r="BR53" s="20">
        <f>'Input RM sheet'!BU71/1000</f>
        <v>1.085</v>
      </c>
      <c r="BS53" s="20">
        <f>'Input RM sheet'!BV71/1000</f>
        <v>1.085</v>
      </c>
    </row>
    <row r="54" spans="1:71">
      <c r="A54" s="8" t="s">
        <v>229</v>
      </c>
      <c r="B54" s="263" t="s">
        <v>254</v>
      </c>
      <c r="C54" s="19">
        <f t="shared" si="18"/>
        <v>0.29900000000000015</v>
      </c>
      <c r="D54" s="19">
        <f t="shared" si="18"/>
        <v>-0.11192999999999986</v>
      </c>
      <c r="E54" s="19">
        <f t="shared" si="18"/>
        <v>1.8669999999999742E-2</v>
      </c>
      <c r="F54" s="19">
        <f t="shared" si="18"/>
        <v>-8.2599999999999341E-3</v>
      </c>
      <c r="G54" s="19">
        <f t="shared" si="18"/>
        <v>-3.3800000000000274E-2</v>
      </c>
      <c r="H54" s="19">
        <f t="shared" si="18"/>
        <v>7.4490000000000389E-2</v>
      </c>
      <c r="I54" s="19">
        <f t="shared" si="18"/>
        <v>0</v>
      </c>
      <c r="J54" s="19">
        <f t="shared" si="18"/>
        <v>0</v>
      </c>
      <c r="K54" s="19">
        <f t="shared" si="17"/>
        <v>0</v>
      </c>
      <c r="L54" s="19">
        <f t="shared" si="7"/>
        <v>0</v>
      </c>
      <c r="M54" s="19">
        <f t="shared" si="7"/>
        <v>-4.8960000000000115E-2</v>
      </c>
      <c r="N54" s="19">
        <f t="shared" si="7"/>
        <v>0</v>
      </c>
      <c r="O54" s="19">
        <f t="shared" si="7"/>
        <v>0</v>
      </c>
      <c r="P54" s="19">
        <f t="shared" si="7"/>
        <v>0</v>
      </c>
      <c r="Q54" s="19">
        <f t="shared" si="7"/>
        <v>-9.7900000000000098E-2</v>
      </c>
      <c r="R54" s="19">
        <f t="shared" si="7"/>
        <v>0</v>
      </c>
      <c r="S54" s="19">
        <f t="shared" si="7"/>
        <v>0</v>
      </c>
      <c r="T54" s="19">
        <f t="shared" si="7"/>
        <v>0</v>
      </c>
      <c r="U54" s="19">
        <f t="shared" si="7"/>
        <v>1.8119999999999914E-2</v>
      </c>
      <c r="V54" s="19">
        <f t="shared" si="7"/>
        <v>0</v>
      </c>
      <c r="W54" s="19">
        <f t="shared" si="7"/>
        <v>0</v>
      </c>
      <c r="X54" s="19">
        <f t="shared" si="7"/>
        <v>0</v>
      </c>
      <c r="Y54" s="19">
        <f t="shared" si="7"/>
        <v>0.11467000000000005</v>
      </c>
      <c r="Z54" s="19">
        <f t="shared" si="7"/>
        <v>0</v>
      </c>
      <c r="AA54" s="19">
        <f t="shared" si="6"/>
        <v>0</v>
      </c>
      <c r="AB54" s="19">
        <f t="shared" si="6"/>
        <v>0</v>
      </c>
      <c r="AC54" s="19">
        <f t="shared" si="6"/>
        <v>4.8340000000000272E-2</v>
      </c>
      <c r="AD54" s="19">
        <f t="shared" si="6"/>
        <v>0</v>
      </c>
      <c r="AE54" s="19">
        <f t="shared" si="5"/>
        <v>0</v>
      </c>
      <c r="AF54" s="19">
        <f t="shared" si="5"/>
        <v>0</v>
      </c>
      <c r="AG54" s="19">
        <f t="shared" si="5"/>
        <v>5.3369999999999695E-2</v>
      </c>
      <c r="AH54" s="19">
        <f t="shared" si="5"/>
        <v>0</v>
      </c>
      <c r="AI54" s="19">
        <f t="shared" si="5"/>
        <v>0</v>
      </c>
      <c r="AJ54" s="65"/>
      <c r="AL54" s="20">
        <f>(1113+370)/1000</f>
        <v>1.4830000000000001</v>
      </c>
      <c r="AM54" s="20">
        <f>('Input RM sheet'!AP79+370)/1000</f>
        <v>1.1839999999999999</v>
      </c>
      <c r="AN54" s="20">
        <f>('Input RM sheet'!AQ79+370)/1000</f>
        <v>1.2959299999999998</v>
      </c>
      <c r="AO54" s="20">
        <f>('Input RM sheet'!AR79+370)/1000</f>
        <v>1.2772600000000001</v>
      </c>
      <c r="AP54" s="20">
        <f>('Input RM sheet'!AS79+370)/1000</f>
        <v>1.28552</v>
      </c>
      <c r="AQ54" s="20">
        <f>('Input RM sheet'!AT79+370)/1000</f>
        <v>1.3193200000000003</v>
      </c>
      <c r="AR54" s="20">
        <f>('Input RM sheet'!AU79+370)/1000</f>
        <v>1.2448299999999999</v>
      </c>
      <c r="AS54" s="20">
        <f>('Input RM sheet'!AV79+370)/1000</f>
        <v>1.2448299999999999</v>
      </c>
      <c r="AT54" s="20">
        <f>('Input RM sheet'!AW79+370)/1000</f>
        <v>1.2448299999999999</v>
      </c>
      <c r="AU54" s="20">
        <f>('Input RM sheet'!AX79+370)/1000</f>
        <v>1.2448299999999999</v>
      </c>
      <c r="AV54" s="20">
        <f>('Input RM sheet'!AY79+370)/1000</f>
        <v>1.2448299999999999</v>
      </c>
      <c r="AW54" s="20">
        <f>('Input RM sheet'!AZ79+370)/1000</f>
        <v>1.29379</v>
      </c>
      <c r="AX54" s="20">
        <f>('Input RM sheet'!BA79+370)/1000</f>
        <v>1.29379</v>
      </c>
      <c r="AY54" s="20">
        <f>('Input RM sheet'!BB79+370)/1000</f>
        <v>1.29379</v>
      </c>
      <c r="AZ54" s="20">
        <f>('Input RM sheet'!BC79+370)/1000</f>
        <v>1.29379</v>
      </c>
      <c r="BA54" s="20">
        <f>('Input RM sheet'!BD79+370)/1000</f>
        <v>1.3916900000000001</v>
      </c>
      <c r="BB54" s="20">
        <f>('Input RM sheet'!BE79+370)/1000</f>
        <v>1.3916900000000001</v>
      </c>
      <c r="BC54" s="20">
        <f>('Input RM sheet'!BF79+370)/1000</f>
        <v>1.3916900000000001</v>
      </c>
      <c r="BD54" s="20">
        <f>('Input RM sheet'!BG79+370)/1000</f>
        <v>1.3916900000000001</v>
      </c>
      <c r="BE54" s="20">
        <f>('Input RM sheet'!BH79+370)/1000</f>
        <v>1.3735700000000002</v>
      </c>
      <c r="BF54" s="20">
        <f>('Input RM sheet'!BI79+370)/1000</f>
        <v>1.3735700000000002</v>
      </c>
      <c r="BG54" s="20">
        <f>('Input RM sheet'!BJ79+370)/1000</f>
        <v>1.3735700000000002</v>
      </c>
      <c r="BH54" s="20">
        <f>('Input RM sheet'!BK79+370)/1000</f>
        <v>1.3735700000000002</v>
      </c>
      <c r="BI54" s="20">
        <f>('Input RM sheet'!BL79+370)/1000</f>
        <v>1.2589000000000001</v>
      </c>
      <c r="BJ54" s="20">
        <f>('Input RM sheet'!BM79+370)/1000</f>
        <v>1.2589000000000001</v>
      </c>
      <c r="BK54" s="20">
        <f>('Input RM sheet'!BN79+370)/1000</f>
        <v>1.2589000000000001</v>
      </c>
      <c r="BL54" s="20">
        <f>('Input RM sheet'!BO79+370)/1000</f>
        <v>1.2589000000000001</v>
      </c>
      <c r="BM54" s="20">
        <f>('Input RM sheet'!BP79+370)/1000</f>
        <v>1.2105599999999999</v>
      </c>
      <c r="BN54" s="20">
        <f>('Input RM sheet'!BQ79+370)/1000</f>
        <v>1.2105599999999999</v>
      </c>
      <c r="BO54" s="20">
        <f>('Input RM sheet'!BR79+370)/1000</f>
        <v>1.2105599999999999</v>
      </c>
      <c r="BP54" s="20">
        <f>('Input RM sheet'!BS79+370)/1000</f>
        <v>1.2105599999999999</v>
      </c>
      <c r="BQ54" s="20">
        <f>('Input RM sheet'!BT79+370)/1000</f>
        <v>1.1571900000000002</v>
      </c>
      <c r="BR54" s="20">
        <f>('Input RM sheet'!BU79+370)/1000</f>
        <v>1.1571900000000002</v>
      </c>
      <c r="BS54" s="20">
        <f>('Input RM sheet'!BV79+370)/1000</f>
        <v>1.1571900000000002</v>
      </c>
    </row>
    <row r="55" spans="1:71">
      <c r="A55" s="8" t="s">
        <v>229</v>
      </c>
      <c r="B55" s="263" t="s">
        <v>255</v>
      </c>
      <c r="C55" s="19">
        <f t="shared" si="18"/>
        <v>0.29899999999999993</v>
      </c>
      <c r="D55" s="19">
        <f t="shared" si="18"/>
        <v>-0.11192999999999986</v>
      </c>
      <c r="E55" s="19">
        <f t="shared" si="18"/>
        <v>1.8669999999999964E-2</v>
      </c>
      <c r="F55" s="19">
        <f t="shared" si="18"/>
        <v>-8.2599999999999341E-3</v>
      </c>
      <c r="G55" s="19">
        <f t="shared" si="18"/>
        <v>-3.3800000000000274E-2</v>
      </c>
      <c r="H55" s="19">
        <f t="shared" si="18"/>
        <v>7.4490000000000167E-2</v>
      </c>
      <c r="I55" s="19">
        <f t="shared" si="18"/>
        <v>0</v>
      </c>
      <c r="J55" s="19">
        <f t="shared" si="18"/>
        <v>0</v>
      </c>
      <c r="K55" s="19">
        <f t="shared" si="17"/>
        <v>0</v>
      </c>
      <c r="L55" s="19">
        <f t="shared" si="7"/>
        <v>0</v>
      </c>
      <c r="M55" s="19">
        <f t="shared" si="7"/>
        <v>-4.8959999999999892E-2</v>
      </c>
      <c r="N55" s="19">
        <f t="shared" si="7"/>
        <v>0</v>
      </c>
      <c r="O55" s="19">
        <f t="shared" si="7"/>
        <v>0</v>
      </c>
      <c r="P55" s="19">
        <f t="shared" si="7"/>
        <v>0</v>
      </c>
      <c r="Q55" s="19">
        <f t="shared" si="7"/>
        <v>-9.7900000000000098E-2</v>
      </c>
      <c r="R55" s="19">
        <f t="shared" si="7"/>
        <v>0</v>
      </c>
      <c r="S55" s="19">
        <f t="shared" si="7"/>
        <v>0</v>
      </c>
      <c r="T55" s="19">
        <f t="shared" si="7"/>
        <v>0</v>
      </c>
      <c r="U55" s="19">
        <f t="shared" si="7"/>
        <v>1.8119999999999914E-2</v>
      </c>
      <c r="V55" s="19">
        <f t="shared" si="7"/>
        <v>0</v>
      </c>
      <c r="W55" s="19">
        <f t="shared" si="7"/>
        <v>0</v>
      </c>
      <c r="X55" s="19">
        <f t="shared" si="7"/>
        <v>0</v>
      </c>
      <c r="Y55" s="19">
        <f t="shared" si="7"/>
        <v>0.11467000000000005</v>
      </c>
      <c r="Z55" s="19">
        <f t="shared" si="7"/>
        <v>0</v>
      </c>
      <c r="AA55" s="19">
        <f t="shared" si="6"/>
        <v>0</v>
      </c>
      <c r="AB55" s="19">
        <f t="shared" si="6"/>
        <v>0</v>
      </c>
      <c r="AC55" s="19">
        <f t="shared" si="6"/>
        <v>4.834000000000005E-2</v>
      </c>
      <c r="AD55" s="19">
        <f t="shared" si="6"/>
        <v>0</v>
      </c>
      <c r="AE55" s="19">
        <f t="shared" si="5"/>
        <v>0</v>
      </c>
      <c r="AF55" s="19">
        <f t="shared" si="5"/>
        <v>0</v>
      </c>
      <c r="AG55" s="19">
        <f t="shared" si="5"/>
        <v>5.3369999999999918E-2</v>
      </c>
      <c r="AH55" s="19">
        <f t="shared" si="5"/>
        <v>0</v>
      </c>
      <c r="AI55" s="19">
        <f t="shared" si="5"/>
        <v>0</v>
      </c>
      <c r="AJ55" s="65"/>
      <c r="AL55" s="20">
        <f>(1113+480)/1000</f>
        <v>1.593</v>
      </c>
      <c r="AM55" s="20">
        <f>('Input RM sheet'!AP79+480)/1000</f>
        <v>1.294</v>
      </c>
      <c r="AN55" s="20">
        <f>('Input RM sheet'!AQ79+480)/1000</f>
        <v>1.4059299999999999</v>
      </c>
      <c r="AO55" s="20">
        <f>('Input RM sheet'!AR79+480)/1000</f>
        <v>1.3872599999999999</v>
      </c>
      <c r="AP55" s="20">
        <f>('Input RM sheet'!AS79+480)/1000</f>
        <v>1.3955199999999999</v>
      </c>
      <c r="AQ55" s="20">
        <f>('Input RM sheet'!AT79+480)/1000</f>
        <v>1.4293200000000001</v>
      </c>
      <c r="AR55" s="20">
        <f>('Input RM sheet'!AU79+480)/1000</f>
        <v>1.35483</v>
      </c>
      <c r="AS55" s="20">
        <f>('Input RM sheet'!AV79+480)/1000</f>
        <v>1.35483</v>
      </c>
      <c r="AT55" s="20">
        <f>('Input RM sheet'!AW79+480)/1000</f>
        <v>1.35483</v>
      </c>
      <c r="AU55" s="20">
        <f>('Input RM sheet'!AX79+480)/1000</f>
        <v>1.35483</v>
      </c>
      <c r="AV55" s="20">
        <f>('Input RM sheet'!AY79+480)/1000</f>
        <v>1.35483</v>
      </c>
      <c r="AW55" s="20">
        <f>('Input RM sheet'!AZ79+480)/1000</f>
        <v>1.4037899999999999</v>
      </c>
      <c r="AX55" s="20">
        <f>('Input RM sheet'!BA79+480)/1000</f>
        <v>1.4037899999999999</v>
      </c>
      <c r="AY55" s="20">
        <f>('Input RM sheet'!BB79+480)/1000</f>
        <v>1.4037899999999999</v>
      </c>
      <c r="AZ55" s="20">
        <f>('Input RM sheet'!BC79+480)/1000</f>
        <v>1.4037899999999999</v>
      </c>
      <c r="BA55" s="20">
        <f>('Input RM sheet'!BD79+480)/1000</f>
        <v>1.50169</v>
      </c>
      <c r="BB55" s="20">
        <f>('Input RM sheet'!BE79+480)/1000</f>
        <v>1.50169</v>
      </c>
      <c r="BC55" s="20">
        <f>('Input RM sheet'!BF79+480)/1000</f>
        <v>1.50169</v>
      </c>
      <c r="BD55" s="20">
        <f>('Input RM sheet'!BG79+480)/1000</f>
        <v>1.50169</v>
      </c>
      <c r="BE55" s="20">
        <f>('Input RM sheet'!BH79+480)/1000</f>
        <v>1.4835700000000001</v>
      </c>
      <c r="BF55" s="20">
        <f>('Input RM sheet'!BI79+480)/1000</f>
        <v>1.4835700000000001</v>
      </c>
      <c r="BG55" s="20">
        <f>('Input RM sheet'!BJ79+480)/1000</f>
        <v>1.4835700000000001</v>
      </c>
      <c r="BH55" s="20">
        <f>('Input RM sheet'!BK79+480)/1000</f>
        <v>1.4835700000000001</v>
      </c>
      <c r="BI55" s="20">
        <f>('Input RM sheet'!BL79+480)/1000</f>
        <v>1.3689</v>
      </c>
      <c r="BJ55" s="20">
        <f>('Input RM sheet'!BM79+480)/1000</f>
        <v>1.3689</v>
      </c>
      <c r="BK55" s="20">
        <f>('Input RM sheet'!BN79+480)/1000</f>
        <v>1.3689</v>
      </c>
      <c r="BL55" s="20">
        <f>('Input RM sheet'!BO79+480)/1000</f>
        <v>1.3689</v>
      </c>
      <c r="BM55" s="20">
        <f>('Input RM sheet'!BP79+480)/1000</f>
        <v>1.32056</v>
      </c>
      <c r="BN55" s="20">
        <f>('Input RM sheet'!BQ79+480)/1000</f>
        <v>1.32056</v>
      </c>
      <c r="BO55" s="20">
        <f>('Input RM sheet'!BR79+480)/1000</f>
        <v>1.32056</v>
      </c>
      <c r="BP55" s="20">
        <f>('Input RM sheet'!BS79+480)/1000</f>
        <v>1.32056</v>
      </c>
      <c r="BQ55" s="20">
        <f>('Input RM sheet'!BT79+480)/1000</f>
        <v>1.26719</v>
      </c>
      <c r="BR55" s="20">
        <f>('Input RM sheet'!BU79+480)/1000</f>
        <v>1.26719</v>
      </c>
      <c r="BS55" s="20">
        <f>('Input RM sheet'!BV79+480)/1000</f>
        <v>1.26719</v>
      </c>
    </row>
    <row r="56" spans="1:71">
      <c r="A56" s="8" t="s">
        <v>229</v>
      </c>
      <c r="B56" s="263" t="s">
        <v>114</v>
      </c>
      <c r="C56" s="19">
        <f t="shared" si="18"/>
        <v>0.10599999999999998</v>
      </c>
      <c r="D56" s="19">
        <f t="shared" si="18"/>
        <v>-9.9999999999999978E-2</v>
      </c>
      <c r="E56" s="19">
        <f t="shared" si="18"/>
        <v>5.9999999999999942E-2</v>
      </c>
      <c r="F56" s="19">
        <f t="shared" si="18"/>
        <v>-1.9999999999999907E-2</v>
      </c>
      <c r="G56" s="19">
        <f t="shared" si="18"/>
        <v>4.9999999999999933E-2</v>
      </c>
      <c r="H56" s="19">
        <f t="shared" si="18"/>
        <v>0.14000000000000001</v>
      </c>
      <c r="I56" s="19">
        <f t="shared" si="18"/>
        <v>2.0000000000000018E-2</v>
      </c>
      <c r="J56" s="19">
        <f t="shared" si="18"/>
        <v>0</v>
      </c>
      <c r="K56" s="19">
        <f t="shared" si="17"/>
        <v>-2.4000000000000021E-2</v>
      </c>
      <c r="L56" s="19">
        <f t="shared" ref="L56:L75" si="19">+AU56-AV56</f>
        <v>-2.4000000000000021E-2</v>
      </c>
      <c r="M56" s="19">
        <f t="shared" ref="M56:M75" si="20">+AV56-AW56</f>
        <v>-7.0000000000000062E-3</v>
      </c>
      <c r="N56" s="19">
        <f t="shared" ref="N56:N75" si="21">+AW56-AX56</f>
        <v>-3.9999999999999925E-2</v>
      </c>
      <c r="O56" s="19">
        <f t="shared" ref="O56:O75" si="22">+AX56-AY56</f>
        <v>-2.9000000000000026E-2</v>
      </c>
      <c r="P56" s="19">
        <f t="shared" ref="P56:P75" si="23">+AY56-AZ56</f>
        <v>0</v>
      </c>
      <c r="Q56" s="19">
        <f t="shared" ref="Q56:Q75" si="24">+AZ56-BA56</f>
        <v>1.2000000000000011E-2</v>
      </c>
      <c r="R56" s="19">
        <f t="shared" ref="R56:R75" si="25">+BA56-BB56</f>
        <v>1.2000000000000011E-2</v>
      </c>
      <c r="S56" s="19">
        <f t="shared" ref="S56:Z83" si="26">+BB56-BC56</f>
        <v>1.6000000000000014E-2</v>
      </c>
      <c r="T56" s="19">
        <f t="shared" si="26"/>
        <v>8.999999999999897E-3</v>
      </c>
      <c r="U56" s="19">
        <f t="shared" si="26"/>
        <v>0</v>
      </c>
      <c r="V56" s="19">
        <f t="shared" si="26"/>
        <v>6.0000000000000053E-3</v>
      </c>
      <c r="W56" s="19">
        <f t="shared" si="26"/>
        <v>0</v>
      </c>
      <c r="X56" s="19">
        <f t="shared" si="26"/>
        <v>5.0000000000000044E-3</v>
      </c>
      <c r="Y56" s="19">
        <f t="shared" si="26"/>
        <v>0</v>
      </c>
      <c r="Z56" s="19">
        <f t="shared" si="26"/>
        <v>-5.0000000000000044E-3</v>
      </c>
      <c r="AA56" s="19">
        <f t="shared" si="6"/>
        <v>0</v>
      </c>
      <c r="AB56" s="19">
        <f t="shared" si="6"/>
        <v>-5.0000000000000044E-3</v>
      </c>
      <c r="AC56" s="19">
        <f t="shared" si="6"/>
        <v>5.0000000000000044E-3</v>
      </c>
      <c r="AD56" s="19">
        <f t="shared" si="6"/>
        <v>0</v>
      </c>
      <c r="AE56" s="19">
        <f t="shared" si="5"/>
        <v>1.0000000000000009E-3</v>
      </c>
      <c r="AF56" s="19">
        <f t="shared" si="5"/>
        <v>-6.0000000000000053E-3</v>
      </c>
      <c r="AG56" s="19">
        <f t="shared" si="5"/>
        <v>-3.3999999999999919E-2</v>
      </c>
      <c r="AH56" s="19">
        <f t="shared" si="5"/>
        <v>-8.2000000000000073E-2</v>
      </c>
      <c r="AI56" s="19">
        <f t="shared" si="5"/>
        <v>-1.9999999999999907E-2</v>
      </c>
      <c r="AJ56" s="65"/>
      <c r="AL56" s="20">
        <v>0.98599999999999999</v>
      </c>
      <c r="AM56" s="8">
        <f>'Input RM sheet'!AP74/1000</f>
        <v>0.88</v>
      </c>
      <c r="AN56" s="8">
        <f>'Input RM sheet'!AQ74/1000</f>
        <v>0.98</v>
      </c>
      <c r="AO56" s="8">
        <f>'Input RM sheet'!AR74/1000</f>
        <v>0.92</v>
      </c>
      <c r="AP56" s="8">
        <f>'Input RM sheet'!AS74/1000</f>
        <v>0.94</v>
      </c>
      <c r="AQ56" s="8">
        <f>'Input RM sheet'!AT74/1000</f>
        <v>0.89</v>
      </c>
      <c r="AR56" s="8">
        <f>'Input RM sheet'!AU74/1000</f>
        <v>0.75</v>
      </c>
      <c r="AS56" s="8">
        <f>'Input RM sheet'!AV74/1000</f>
        <v>0.73</v>
      </c>
      <c r="AT56" s="8">
        <f>'Input RM sheet'!AW74/1000</f>
        <v>0.73</v>
      </c>
      <c r="AU56" s="8">
        <f>'Input RM sheet'!AX74/1000</f>
        <v>0.754</v>
      </c>
      <c r="AV56" s="8">
        <f>'Input RM sheet'!AY74/1000</f>
        <v>0.77800000000000002</v>
      </c>
      <c r="AW56" s="8">
        <f>'Input RM sheet'!AZ74/1000</f>
        <v>0.78500000000000003</v>
      </c>
      <c r="AX56" s="8">
        <f>'Input RM sheet'!BA74/1000</f>
        <v>0.82499999999999996</v>
      </c>
      <c r="AY56" s="8">
        <f>'Input RM sheet'!BB74/1000</f>
        <v>0.85399999999999998</v>
      </c>
      <c r="AZ56" s="8">
        <f>'Input RM sheet'!BC74/1000</f>
        <v>0.85399999999999998</v>
      </c>
      <c r="BA56" s="8">
        <f>'Input RM sheet'!BD74/1000</f>
        <v>0.84199999999999997</v>
      </c>
      <c r="BB56" s="8">
        <f>'Input RM sheet'!BE74/1000</f>
        <v>0.83</v>
      </c>
      <c r="BC56" s="8">
        <f>'Input RM sheet'!BF74/1000</f>
        <v>0.81399999999999995</v>
      </c>
      <c r="BD56" s="8">
        <f>'Input RM sheet'!BG74/1000</f>
        <v>0.80500000000000005</v>
      </c>
      <c r="BE56" s="8">
        <f>'Input RM sheet'!BH74/1000</f>
        <v>0.80500000000000005</v>
      </c>
      <c r="BF56" s="8">
        <f>'Input RM sheet'!BI74/1000</f>
        <v>0.79900000000000004</v>
      </c>
      <c r="BG56" s="8">
        <f>'Input RM sheet'!BJ74/1000</f>
        <v>0.79900000000000004</v>
      </c>
      <c r="BH56" s="8">
        <f>'Input RM sheet'!BK74/1000</f>
        <v>0.79400000000000004</v>
      </c>
      <c r="BI56" s="8">
        <f>'Input RM sheet'!BL74/1000</f>
        <v>0.79400000000000004</v>
      </c>
      <c r="BJ56" s="8">
        <f>'Input RM sheet'!BM74/1000</f>
        <v>0.79900000000000004</v>
      </c>
      <c r="BK56" s="8">
        <f>'Input RM sheet'!BN74/1000</f>
        <v>0.79900000000000004</v>
      </c>
      <c r="BL56" s="8">
        <f>'Input RM sheet'!BO74/1000</f>
        <v>0.80400000000000005</v>
      </c>
      <c r="BM56" s="8">
        <f>'Input RM sheet'!BP74/1000</f>
        <v>0.79900000000000004</v>
      </c>
      <c r="BN56" s="8">
        <f>'Input RM sheet'!BQ74/1000</f>
        <v>0.79900000000000004</v>
      </c>
      <c r="BO56" s="8">
        <f>'Input RM sheet'!BR74/1000</f>
        <v>0.79800000000000004</v>
      </c>
      <c r="BP56" s="8">
        <f>'Input RM sheet'!BS74/1000</f>
        <v>0.80400000000000005</v>
      </c>
      <c r="BQ56" s="8">
        <f>'Input RM sheet'!BT74/1000</f>
        <v>0.83799999999999997</v>
      </c>
      <c r="BR56" s="8">
        <f>'Input RM sheet'!BU74/1000</f>
        <v>0.92</v>
      </c>
      <c r="BS56" s="8">
        <f>'Input RM sheet'!BV74/1000</f>
        <v>0.94</v>
      </c>
    </row>
    <row r="57" spans="1:71">
      <c r="A57" s="8" t="s">
        <v>229</v>
      </c>
      <c r="B57" s="263" t="s">
        <v>256</v>
      </c>
      <c r="C57" s="19">
        <f t="shared" si="18"/>
        <v>0.15349999999999997</v>
      </c>
      <c r="D57" s="19">
        <f>+AM57-AN57</f>
        <v>-0.10312500000000013</v>
      </c>
      <c r="E57" s="19">
        <f t="shared" si="18"/>
        <v>-0.2643749999999998</v>
      </c>
      <c r="F57" s="19">
        <f t="shared" si="18"/>
        <v>0.20499999999999985</v>
      </c>
      <c r="G57" s="19">
        <f t="shared" si="18"/>
        <v>1.0000000000000009E-2</v>
      </c>
      <c r="H57" s="19">
        <f t="shared" si="18"/>
        <v>4.0000000000000036E-2</v>
      </c>
      <c r="I57" s="19">
        <f t="shared" si="18"/>
        <v>0.17500000000000004</v>
      </c>
      <c r="J57" s="19">
        <f t="shared" si="18"/>
        <v>0</v>
      </c>
      <c r="K57" s="19">
        <f t="shared" si="17"/>
        <v>0</v>
      </c>
      <c r="L57" s="19">
        <f t="shared" si="19"/>
        <v>-2.5000000000000022E-2</v>
      </c>
      <c r="M57" s="19">
        <f t="shared" si="20"/>
        <v>0</v>
      </c>
      <c r="N57" s="19">
        <f t="shared" si="21"/>
        <v>-2.0000000000000018E-2</v>
      </c>
      <c r="O57" s="19">
        <f t="shared" si="22"/>
        <v>0</v>
      </c>
      <c r="P57" s="19">
        <f t="shared" si="23"/>
        <v>1.3000000000000012E-2</v>
      </c>
      <c r="Q57" s="19">
        <f t="shared" si="24"/>
        <v>0</v>
      </c>
      <c r="R57" s="19">
        <f t="shared" si="25"/>
        <v>0</v>
      </c>
      <c r="S57" s="19">
        <f t="shared" si="26"/>
        <v>-4.2999999999999927E-2</v>
      </c>
      <c r="T57" s="19">
        <f t="shared" si="26"/>
        <v>0</v>
      </c>
      <c r="U57" s="19">
        <f t="shared" si="26"/>
        <v>0</v>
      </c>
      <c r="V57" s="19">
        <f t="shared" si="26"/>
        <v>-2.750000000000008E-2</v>
      </c>
      <c r="W57" s="19">
        <f t="shared" si="26"/>
        <v>9.2500000000000027E-2</v>
      </c>
      <c r="X57" s="19">
        <f t="shared" si="26"/>
        <v>2.0000000000000018E-2</v>
      </c>
      <c r="Y57" s="19">
        <f t="shared" si="26"/>
        <v>0</v>
      </c>
      <c r="Z57" s="19">
        <f t="shared" si="26"/>
        <v>4.9999999999998934E-3</v>
      </c>
      <c r="AA57" s="19">
        <f t="shared" si="6"/>
        <v>0</v>
      </c>
      <c r="AB57" s="19">
        <f t="shared" si="6"/>
        <v>-1.4999999999999902E-2</v>
      </c>
      <c r="AC57" s="19">
        <f t="shared" si="6"/>
        <v>0</v>
      </c>
      <c r="AD57" s="19">
        <f t="shared" si="6"/>
        <v>1.0000000000000009E-2</v>
      </c>
      <c r="AE57" s="19">
        <f t="shared" si="5"/>
        <v>9.9999999999998979E-3</v>
      </c>
      <c r="AF57" s="19">
        <f t="shared" si="5"/>
        <v>-9.9999999999998979E-3</v>
      </c>
      <c r="AG57" s="19">
        <f t="shared" si="5"/>
        <v>0</v>
      </c>
      <c r="AH57" s="19">
        <f t="shared" si="5"/>
        <v>-6.0000000000000053E-2</v>
      </c>
      <c r="AI57" s="19">
        <f t="shared" si="5"/>
        <v>0</v>
      </c>
      <c r="AJ57" s="65"/>
      <c r="AL57" s="20">
        <v>1.1659999999999999</v>
      </c>
      <c r="AM57" s="20">
        <f>'Input RM sheet'!AP75/1000</f>
        <v>1.0125</v>
      </c>
      <c r="AN57" s="20">
        <f>'Input RM sheet'!AQ75/1000</f>
        <v>1.1156250000000001</v>
      </c>
      <c r="AO57" s="20">
        <f>'Input RM sheet'!AR75/1000</f>
        <v>1.38</v>
      </c>
      <c r="AP57" s="20">
        <f>'Input RM sheet'!AS75/1000</f>
        <v>1.175</v>
      </c>
      <c r="AQ57" s="20">
        <f>'Input RM sheet'!AT75/1000</f>
        <v>1.165</v>
      </c>
      <c r="AR57" s="20">
        <f>'Input RM sheet'!AU75/1000</f>
        <v>1.125</v>
      </c>
      <c r="AS57" s="20">
        <f>'Input RM sheet'!AV75/1000</f>
        <v>0.95</v>
      </c>
      <c r="AT57" s="20">
        <f>'Input RM sheet'!AW75/1000</f>
        <v>0.95</v>
      </c>
      <c r="AU57" s="20">
        <f>'Input RM sheet'!AX75/1000</f>
        <v>0.95</v>
      </c>
      <c r="AV57" s="20">
        <f>'Input RM sheet'!AY75/1000</f>
        <v>0.97499999999999998</v>
      </c>
      <c r="AW57" s="20">
        <f>'Input RM sheet'!AZ75/1000</f>
        <v>0.97499999999999998</v>
      </c>
      <c r="AX57" s="20">
        <f>'Input RM sheet'!BA75/1000</f>
        <v>0.995</v>
      </c>
      <c r="AY57" s="20">
        <f>'Input RM sheet'!BB75/1000</f>
        <v>0.995</v>
      </c>
      <c r="AZ57" s="20">
        <f>'Input RM sheet'!BC75/1000</f>
        <v>0.98199999999999998</v>
      </c>
      <c r="BA57" s="20">
        <f>'Input RM sheet'!BD75/1000</f>
        <v>0.98199999999999998</v>
      </c>
      <c r="BB57" s="20">
        <f>'Input RM sheet'!BE75/1000</f>
        <v>0.98199999999999998</v>
      </c>
      <c r="BC57" s="20">
        <f>'Input RM sheet'!BF75/1000</f>
        <v>1.0249999999999999</v>
      </c>
      <c r="BD57" s="20">
        <f>'Input RM sheet'!BG75/1000</f>
        <v>1.0249999999999999</v>
      </c>
      <c r="BE57" s="20">
        <f>'Input RM sheet'!BH75/1000</f>
        <v>1.0249999999999999</v>
      </c>
      <c r="BF57" s="20">
        <f>'Input RM sheet'!BI75/1000</f>
        <v>1.0525</v>
      </c>
      <c r="BG57" s="20">
        <f>'Input RM sheet'!BJ75/1000</f>
        <v>0.96</v>
      </c>
      <c r="BH57" s="20">
        <f>'Input RM sheet'!BK75/1000</f>
        <v>0.94</v>
      </c>
      <c r="BI57" s="20">
        <f>'Input RM sheet'!BL75/1000</f>
        <v>0.94</v>
      </c>
      <c r="BJ57" s="20">
        <f>'Input RM sheet'!BM75/1000</f>
        <v>0.93500000000000005</v>
      </c>
      <c r="BK57" s="20">
        <f>'Input RM sheet'!BN75/1000</f>
        <v>0.93500000000000005</v>
      </c>
      <c r="BL57" s="20">
        <f>'Input RM sheet'!BO75/1000</f>
        <v>0.95</v>
      </c>
      <c r="BM57" s="20">
        <f>'Input RM sheet'!BP75/1000</f>
        <v>0.95</v>
      </c>
      <c r="BN57" s="20">
        <f>'Input RM sheet'!BQ75/1000</f>
        <v>0.94</v>
      </c>
      <c r="BO57" s="20">
        <f>'Input RM sheet'!BR75/1000</f>
        <v>0.93</v>
      </c>
      <c r="BP57" s="20">
        <f>'Input RM sheet'!BS75/1000</f>
        <v>0.94</v>
      </c>
      <c r="BQ57" s="20">
        <f>'Input RM sheet'!BT75/1000</f>
        <v>0.94</v>
      </c>
      <c r="BR57" s="20">
        <f>'Input RM sheet'!BU75/1000</f>
        <v>1</v>
      </c>
      <c r="BS57" s="20">
        <f>'Input RM sheet'!BV75/1000</f>
        <v>1</v>
      </c>
    </row>
    <row r="58" spans="1:71">
      <c r="A58" s="8" t="s">
        <v>229</v>
      </c>
      <c r="B58" s="263" t="s">
        <v>257</v>
      </c>
      <c r="C58" s="19">
        <f t="shared" si="18"/>
        <v>0.18091000000000013</v>
      </c>
      <c r="D58" s="19">
        <f t="shared" si="18"/>
        <v>-2.8750000000000053E-2</v>
      </c>
      <c r="E58" s="19">
        <f t="shared" si="18"/>
        <v>5.3749999999999964E-2</v>
      </c>
      <c r="F58" s="19">
        <f t="shared" si="18"/>
        <v>1.0000000000000009E-2</v>
      </c>
      <c r="G58" s="19">
        <f t="shared" si="18"/>
        <v>-2.4999999999999911E-2</v>
      </c>
      <c r="H58" s="19">
        <f t="shared" si="18"/>
        <v>-4.0000000000000036E-2</v>
      </c>
      <c r="I58" s="19">
        <f t="shared" si="18"/>
        <v>0.12999999999999989</v>
      </c>
      <c r="J58" s="19">
        <f t="shared" si="18"/>
        <v>0</v>
      </c>
      <c r="K58" s="19">
        <f t="shared" si="17"/>
        <v>-1.0000000000000009E-2</v>
      </c>
      <c r="L58" s="19">
        <f t="shared" si="19"/>
        <v>-2.9999999999999805E-2</v>
      </c>
      <c r="M58" s="19">
        <f t="shared" si="20"/>
        <v>-9.000000000000008E-2</v>
      </c>
      <c r="N58" s="19">
        <f t="shared" si="21"/>
        <v>-6.4999999999999947E-2</v>
      </c>
      <c r="O58" s="19">
        <f t="shared" si="22"/>
        <v>-4.0000000000000036E-2</v>
      </c>
      <c r="P58" s="19">
        <f t="shared" si="23"/>
        <v>-5.0000000000001155E-3</v>
      </c>
      <c r="Q58" s="19">
        <f t="shared" si="24"/>
        <v>-8.4999999999999964E-2</v>
      </c>
      <c r="R58" s="19">
        <f t="shared" si="25"/>
        <v>0</v>
      </c>
      <c r="S58" s="19">
        <f t="shared" si="26"/>
        <v>9.4999999999999973E-2</v>
      </c>
      <c r="T58" s="19">
        <f t="shared" si="26"/>
        <v>-6.3999999999999835E-2</v>
      </c>
      <c r="U58" s="19">
        <f t="shared" si="26"/>
        <v>1.8999999999999906E-2</v>
      </c>
      <c r="V58" s="19">
        <f t="shared" si="26"/>
        <v>4.4999999999999929E-2</v>
      </c>
      <c r="W58" s="19">
        <f t="shared" si="26"/>
        <v>1.0000000000000009E-2</v>
      </c>
      <c r="X58" s="19">
        <f t="shared" si="26"/>
        <v>4.0000000000000036E-2</v>
      </c>
      <c r="Y58" s="19">
        <f t="shared" si="26"/>
        <v>0</v>
      </c>
      <c r="Z58" s="19">
        <f t="shared" si="26"/>
        <v>0</v>
      </c>
      <c r="AA58" s="19">
        <f t="shared" si="6"/>
        <v>0</v>
      </c>
      <c r="AB58" s="19">
        <f t="shared" si="6"/>
        <v>2.0000000000000018E-2</v>
      </c>
      <c r="AC58" s="19">
        <f t="shared" si="6"/>
        <v>0</v>
      </c>
      <c r="AD58" s="19">
        <f t="shared" si="6"/>
        <v>-1.4999999999999902E-2</v>
      </c>
      <c r="AE58" s="19">
        <f t="shared" si="5"/>
        <v>-5.500000000000016E-2</v>
      </c>
      <c r="AF58" s="19">
        <f t="shared" si="5"/>
        <v>0</v>
      </c>
      <c r="AG58" s="19">
        <f t="shared" si="5"/>
        <v>-0.125</v>
      </c>
      <c r="AH58" s="19">
        <f t="shared" si="5"/>
        <v>-4.9999999999999822E-2</v>
      </c>
      <c r="AI58" s="19">
        <f t="shared" si="5"/>
        <v>0</v>
      </c>
      <c r="AJ58" s="65"/>
      <c r="AL58" s="20">
        <f>1390.91/1000</f>
        <v>1.3909100000000001</v>
      </c>
      <c r="AM58" s="8">
        <f>'Input RM sheet'!AP68/1000</f>
        <v>1.21</v>
      </c>
      <c r="AN58" s="8">
        <f>'Input RM sheet'!AQ68/1000</f>
        <v>1.23875</v>
      </c>
      <c r="AO58" s="8">
        <f>'Input RM sheet'!AR68/1000</f>
        <v>1.1850000000000001</v>
      </c>
      <c r="AP58" s="8">
        <f>'Input RM sheet'!AS68/1000</f>
        <v>1.175</v>
      </c>
      <c r="AQ58" s="8">
        <f>'Input RM sheet'!AT68/1000</f>
        <v>1.2</v>
      </c>
      <c r="AR58" s="8">
        <f>'Input RM sheet'!AU68/1000</f>
        <v>1.24</v>
      </c>
      <c r="AS58" s="8">
        <f>'Input RM sheet'!AV68/1000</f>
        <v>1.1100000000000001</v>
      </c>
      <c r="AT58" s="8">
        <f>'Input RM sheet'!AW68/1000</f>
        <v>1.1100000000000001</v>
      </c>
      <c r="AU58" s="8">
        <f>'Input RM sheet'!AX68/1000</f>
        <v>1.1200000000000001</v>
      </c>
      <c r="AV58" s="8">
        <f>'Input RM sheet'!AY68/1000</f>
        <v>1.1499999999999999</v>
      </c>
      <c r="AW58" s="8">
        <f>'Input RM sheet'!AZ68/1000</f>
        <v>1.24</v>
      </c>
      <c r="AX58" s="8">
        <f>'Input RM sheet'!BA68/1000</f>
        <v>1.3049999999999999</v>
      </c>
      <c r="AY58" s="8">
        <f>'Input RM sheet'!BB68/1000</f>
        <v>1.345</v>
      </c>
      <c r="AZ58" s="8">
        <f>'Input RM sheet'!BC68/1000</f>
        <v>1.35</v>
      </c>
      <c r="BA58" s="8">
        <f>'Input RM sheet'!BD68/1000</f>
        <v>1.4350000000000001</v>
      </c>
      <c r="BB58" s="8">
        <f>'Input RM sheet'!BE68/1000</f>
        <v>1.4350000000000001</v>
      </c>
      <c r="BC58" s="8">
        <f>'Input RM sheet'!BF68/1000</f>
        <v>1.34</v>
      </c>
      <c r="BD58" s="8">
        <f>'Input RM sheet'!BG68/1000</f>
        <v>1.4039999999999999</v>
      </c>
      <c r="BE58" s="8">
        <f>'Input RM sheet'!BH68/1000</f>
        <v>1.385</v>
      </c>
      <c r="BF58" s="8">
        <f>'Input RM sheet'!BI68/1000</f>
        <v>1.34</v>
      </c>
      <c r="BG58" s="8">
        <f>'Input RM sheet'!BJ68/1000</f>
        <v>1.33</v>
      </c>
      <c r="BH58" s="8">
        <f>'Input RM sheet'!BK68/1000</f>
        <v>1.29</v>
      </c>
      <c r="BI58" s="8">
        <f>'Input RM sheet'!BL68/1000</f>
        <v>1.29</v>
      </c>
      <c r="BJ58" s="8">
        <f>'Input RM sheet'!BM68/1000</f>
        <v>1.29</v>
      </c>
      <c r="BK58" s="8">
        <f>'Input RM sheet'!BN68/1000</f>
        <v>1.29</v>
      </c>
      <c r="BL58" s="8">
        <f>'Input RM sheet'!BO68/1000</f>
        <v>1.27</v>
      </c>
      <c r="BM58" s="8">
        <f>'Input RM sheet'!BP68/1000</f>
        <v>1.27</v>
      </c>
      <c r="BN58" s="8">
        <f>'Input RM sheet'!BQ68/1000</f>
        <v>1.2849999999999999</v>
      </c>
      <c r="BO58" s="8">
        <f>'Input RM sheet'!BR68/1000</f>
        <v>1.34</v>
      </c>
      <c r="BP58" s="8">
        <f>'Input RM sheet'!BS68/1000</f>
        <v>1.34</v>
      </c>
      <c r="BQ58" s="8">
        <f>'Input RM sheet'!BT68/1000</f>
        <v>1.4650000000000001</v>
      </c>
      <c r="BR58" s="8">
        <f>'Input RM sheet'!BU68/1000</f>
        <v>1.5149999999999999</v>
      </c>
      <c r="BS58" s="8">
        <f>'Input RM sheet'!BV68/1000</f>
        <v>1.5149999999999999</v>
      </c>
    </row>
    <row r="59" spans="1:71">
      <c r="A59" s="8" t="s">
        <v>212</v>
      </c>
      <c r="B59" s="263" t="s">
        <v>258</v>
      </c>
      <c r="C59" s="19">
        <f t="shared" si="18"/>
        <v>9.1999999999999971E-2</v>
      </c>
      <c r="D59" s="19">
        <f t="shared" si="18"/>
        <v>-4.379999999999995E-2</v>
      </c>
      <c r="E59" s="19">
        <f t="shared" si="18"/>
        <v>-8.120000000000005E-2</v>
      </c>
      <c r="F59" s="19">
        <f t="shared" si="18"/>
        <v>0</v>
      </c>
      <c r="G59" s="19">
        <f t="shared" si="18"/>
        <v>-1.749999999999996E-2</v>
      </c>
      <c r="H59" s="19">
        <f t="shared" si="18"/>
        <v>1.0000000000000009E-2</v>
      </c>
      <c r="I59" s="19">
        <f t="shared" si="18"/>
        <v>0.12249999999999994</v>
      </c>
      <c r="J59" s="19">
        <f t="shared" si="18"/>
        <v>-1.4999999999999902E-2</v>
      </c>
      <c r="K59" s="19">
        <f t="shared" si="17"/>
        <v>0</v>
      </c>
      <c r="L59" s="19">
        <f t="shared" si="19"/>
        <v>-1.0000000000000009E-2</v>
      </c>
      <c r="M59" s="19">
        <f t="shared" si="20"/>
        <v>-2.0000000000000018E-2</v>
      </c>
      <c r="N59" s="19">
        <f t="shared" si="21"/>
        <v>-1.5000000000000013E-2</v>
      </c>
      <c r="O59" s="19">
        <f t="shared" si="22"/>
        <v>-5.0000000000000044E-3</v>
      </c>
      <c r="P59" s="19">
        <f t="shared" si="23"/>
        <v>0</v>
      </c>
      <c r="Q59" s="19">
        <f t="shared" si="24"/>
        <v>0</v>
      </c>
      <c r="R59" s="19">
        <f t="shared" si="25"/>
        <v>-1.0000000000000009E-2</v>
      </c>
      <c r="S59" s="19">
        <f t="shared" si="26"/>
        <v>0</v>
      </c>
      <c r="T59" s="19">
        <f t="shared" si="26"/>
        <v>-5.0000000000000044E-2</v>
      </c>
      <c r="U59" s="19">
        <f t="shared" si="26"/>
        <v>-1.4999999999999902E-2</v>
      </c>
      <c r="V59" s="19">
        <f t="shared" si="26"/>
        <v>-1.0000000000000009E-2</v>
      </c>
      <c r="W59" s="19">
        <f t="shared" si="26"/>
        <v>2.9999999999999916E-2</v>
      </c>
      <c r="X59" s="19">
        <f t="shared" si="26"/>
        <v>0</v>
      </c>
      <c r="Y59" s="19">
        <f t="shared" si="26"/>
        <v>0</v>
      </c>
      <c r="Z59" s="19">
        <f t="shared" si="26"/>
        <v>-1.0000000000000009E-2</v>
      </c>
      <c r="AA59" s="19">
        <f t="shared" si="6"/>
        <v>0</v>
      </c>
      <c r="AB59" s="19">
        <f t="shared" si="6"/>
        <v>0</v>
      </c>
      <c r="AC59" s="19">
        <f t="shared" si="6"/>
        <v>2.5000000000000022E-2</v>
      </c>
      <c r="AD59" s="19">
        <f t="shared" si="6"/>
        <v>0</v>
      </c>
      <c r="AE59" s="19">
        <f t="shared" si="5"/>
        <v>0</v>
      </c>
      <c r="AF59" s="19">
        <f t="shared" si="5"/>
        <v>0</v>
      </c>
      <c r="AG59" s="19">
        <f t="shared" si="5"/>
        <v>-2.5000000000000022E-2</v>
      </c>
      <c r="AH59" s="19">
        <f t="shared" si="5"/>
        <v>5.0000000000000044E-3</v>
      </c>
      <c r="AI59" s="19">
        <f t="shared" si="5"/>
        <v>0</v>
      </c>
      <c r="AJ59" s="65"/>
      <c r="AL59" s="20">
        <f>882/1000</f>
        <v>0.88200000000000001</v>
      </c>
      <c r="AM59" s="20">
        <f>'Input RM sheet'!AP24/1000</f>
        <v>0.79</v>
      </c>
      <c r="AN59" s="20">
        <f>'Input RM sheet'!AQ24/1000</f>
        <v>0.83379999999999999</v>
      </c>
      <c r="AO59" s="20">
        <f>'Input RM sheet'!AR24/1000</f>
        <v>0.91500000000000004</v>
      </c>
      <c r="AP59" s="20">
        <f>'Input RM sheet'!AS24/1000</f>
        <v>0.91500000000000004</v>
      </c>
      <c r="AQ59" s="20">
        <f>'Input RM sheet'!AT24/1000</f>
        <v>0.9325</v>
      </c>
      <c r="AR59" s="20">
        <f>'Input RM sheet'!AU24/1000</f>
        <v>0.92249999999999999</v>
      </c>
      <c r="AS59" s="20">
        <f>'Input RM sheet'!AV24/1000</f>
        <v>0.8</v>
      </c>
      <c r="AT59" s="20">
        <f>'Input RM sheet'!AW24/1000</f>
        <v>0.81499999999999995</v>
      </c>
      <c r="AU59" s="20">
        <f>'Input RM sheet'!AX24/1000</f>
        <v>0.81499999999999995</v>
      </c>
      <c r="AV59" s="20">
        <f>'Input RM sheet'!AY24/1000</f>
        <v>0.82499999999999996</v>
      </c>
      <c r="AW59" s="20">
        <f>'Input RM sheet'!AZ24/1000</f>
        <v>0.84499999999999997</v>
      </c>
      <c r="AX59" s="20">
        <f>'Input RM sheet'!BA24/1000</f>
        <v>0.86</v>
      </c>
      <c r="AY59" s="20">
        <f>'Input RM sheet'!BB24/1000</f>
        <v>0.86499999999999999</v>
      </c>
      <c r="AZ59" s="20">
        <f>'Input RM sheet'!BC24/1000</f>
        <v>0.86499999999999999</v>
      </c>
      <c r="BA59" s="20">
        <f>'Input RM sheet'!BD24/1000</f>
        <v>0.86499999999999999</v>
      </c>
      <c r="BB59" s="20">
        <f>'Input RM sheet'!BE24/1000</f>
        <v>0.875</v>
      </c>
      <c r="BC59" s="20">
        <f>'Input RM sheet'!BF24/1000</f>
        <v>0.875</v>
      </c>
      <c r="BD59" s="20">
        <f>'Input RM sheet'!BG24/1000</f>
        <v>0.92500000000000004</v>
      </c>
      <c r="BE59" s="20">
        <f>'Input RM sheet'!BH24/1000</f>
        <v>0.94</v>
      </c>
      <c r="BF59" s="20">
        <f>'Input RM sheet'!BI24/1000</f>
        <v>0.95</v>
      </c>
      <c r="BG59" s="20">
        <f>'Input RM sheet'!BJ24/1000</f>
        <v>0.92</v>
      </c>
      <c r="BH59" s="20">
        <f>'Input RM sheet'!BK24/1000</f>
        <v>0.92</v>
      </c>
      <c r="BI59" s="20">
        <f>'Input RM sheet'!BL24/1000</f>
        <v>0.92</v>
      </c>
      <c r="BJ59" s="20">
        <f>'Input RM sheet'!BM24/1000</f>
        <v>0.93</v>
      </c>
      <c r="BK59" s="20">
        <f>'Input RM sheet'!BN24/1000</f>
        <v>0.93</v>
      </c>
      <c r="BL59" s="20">
        <f>'Input RM sheet'!BO24/1000</f>
        <v>0.93</v>
      </c>
      <c r="BM59" s="20">
        <f>'Input RM sheet'!BP24/1000</f>
        <v>0.90500000000000003</v>
      </c>
      <c r="BN59" s="20">
        <f>'Input RM sheet'!BQ24/1000</f>
        <v>0.90500000000000003</v>
      </c>
      <c r="BO59" s="20">
        <f>'Input RM sheet'!BR24/1000</f>
        <v>0.90500000000000003</v>
      </c>
      <c r="BP59" s="20">
        <f>'Input RM sheet'!BS24/1000</f>
        <v>0.90500000000000003</v>
      </c>
      <c r="BQ59" s="20">
        <f>'Input RM sheet'!BT24/1000</f>
        <v>0.93</v>
      </c>
      <c r="BR59" s="20">
        <f>'Input RM sheet'!BU24/1000</f>
        <v>0.92500000000000004</v>
      </c>
      <c r="BS59" s="20">
        <f>'Input RM sheet'!BV24/1000</f>
        <v>0.92500000000000004</v>
      </c>
    </row>
    <row r="60" spans="1:71">
      <c r="A60" s="8" t="s">
        <v>229</v>
      </c>
      <c r="B60" s="263" t="s">
        <v>259</v>
      </c>
      <c r="C60" s="19">
        <f t="shared" si="18"/>
        <v>0.35284999999999989</v>
      </c>
      <c r="D60" s="19">
        <f t="shared" si="18"/>
        <v>-0.19936999999999983</v>
      </c>
      <c r="E60" s="19">
        <f t="shared" si="18"/>
        <v>0.13936999999999977</v>
      </c>
      <c r="F60" s="19">
        <f t="shared" si="18"/>
        <v>2.8000000000000025E-2</v>
      </c>
      <c r="G60" s="19">
        <f t="shared" si="18"/>
        <v>8.2000000000000073E-2</v>
      </c>
      <c r="H60" s="19">
        <f t="shared" si="18"/>
        <v>0.14999999999999991</v>
      </c>
      <c r="I60" s="19">
        <f t="shared" si="18"/>
        <v>-1.0000000000000009E-2</v>
      </c>
      <c r="J60" s="19">
        <f t="shared" si="18"/>
        <v>0</v>
      </c>
      <c r="K60" s="19">
        <f t="shared" si="17"/>
        <v>0</v>
      </c>
      <c r="L60" s="19">
        <f t="shared" si="19"/>
        <v>0</v>
      </c>
      <c r="M60" s="19">
        <f t="shared" si="20"/>
        <v>-1.9999999999999907E-2</v>
      </c>
      <c r="N60" s="19">
        <f t="shared" si="21"/>
        <v>-2.0000000000000018E-2</v>
      </c>
      <c r="O60" s="19">
        <f t="shared" si="22"/>
        <v>2.0000000000000018E-2</v>
      </c>
      <c r="P60" s="19">
        <f t="shared" si="23"/>
        <v>-2.0000000000000018E-2</v>
      </c>
      <c r="Q60" s="19">
        <f t="shared" si="24"/>
        <v>-1.0000000000000009E-2</v>
      </c>
      <c r="R60" s="19">
        <f t="shared" si="25"/>
        <v>-3.9999999999999925E-2</v>
      </c>
      <c r="S60" s="19">
        <f t="shared" si="26"/>
        <v>-2.0000000000000018E-2</v>
      </c>
      <c r="T60" s="19">
        <f t="shared" si="26"/>
        <v>-2.5000000000000133E-2</v>
      </c>
      <c r="U60" s="19">
        <f t="shared" si="26"/>
        <v>0</v>
      </c>
      <c r="V60" s="19">
        <f t="shared" si="26"/>
        <v>0</v>
      </c>
      <c r="W60" s="19">
        <f t="shared" si="26"/>
        <v>0</v>
      </c>
      <c r="X60" s="19">
        <f t="shared" si="26"/>
        <v>0</v>
      </c>
      <c r="Y60" s="19">
        <f t="shared" si="26"/>
        <v>3.0000000000000027E-2</v>
      </c>
      <c r="Z60" s="19">
        <f t="shared" si="26"/>
        <v>1.0000000000000009E-2</v>
      </c>
      <c r="AA60" s="19">
        <f t="shared" si="6"/>
        <v>0</v>
      </c>
      <c r="AB60" s="19">
        <f t="shared" si="6"/>
        <v>4.500000000000004E-2</v>
      </c>
      <c r="AC60" s="19">
        <f t="shared" si="6"/>
        <v>-5.0000000000000044E-3</v>
      </c>
      <c r="AD60" s="19">
        <f t="shared" si="6"/>
        <v>0</v>
      </c>
      <c r="AE60" s="19">
        <f t="shared" si="5"/>
        <v>0</v>
      </c>
      <c r="AF60" s="19">
        <f t="shared" si="5"/>
        <v>-1.0000000000000009E-2</v>
      </c>
      <c r="AG60" s="19">
        <f t="shared" si="5"/>
        <v>0</v>
      </c>
      <c r="AH60" s="19">
        <f t="shared" si="5"/>
        <v>-3.499999999999992E-2</v>
      </c>
      <c r="AI60" s="19">
        <f t="shared" si="5"/>
        <v>0</v>
      </c>
      <c r="AJ60" s="65"/>
      <c r="AL60" s="20">
        <f>1477.85/1000</f>
        <v>1.4778499999999999</v>
      </c>
      <c r="AM60" s="20">
        <f>'Input RM sheet'!AP77/1000</f>
        <v>1.125</v>
      </c>
      <c r="AN60" s="20">
        <f>'Input RM sheet'!AQ77/1000</f>
        <v>1.3243699999999998</v>
      </c>
      <c r="AO60" s="20">
        <f>'Input RM sheet'!AR77/1000</f>
        <v>1.1850000000000001</v>
      </c>
      <c r="AP60" s="20">
        <f>'Input RM sheet'!AS77/1000</f>
        <v>1.157</v>
      </c>
      <c r="AQ60" s="20">
        <f>'Input RM sheet'!AT77/1000</f>
        <v>1.075</v>
      </c>
      <c r="AR60" s="20">
        <f>'Input RM sheet'!AU77/1000</f>
        <v>0.92500000000000004</v>
      </c>
      <c r="AS60" s="20">
        <f>'Input RM sheet'!AV77/1000</f>
        <v>0.93500000000000005</v>
      </c>
      <c r="AT60" s="20">
        <f>'Input RM sheet'!AW77/1000</f>
        <v>0.93500000000000005</v>
      </c>
      <c r="AU60" s="20">
        <f>'Input RM sheet'!AX77/1000</f>
        <v>0.93500000000000005</v>
      </c>
      <c r="AV60" s="20">
        <f>'Input RM sheet'!AY77/1000</f>
        <v>0.93500000000000005</v>
      </c>
      <c r="AW60" s="20">
        <f>'Input RM sheet'!AZ77/1000</f>
        <v>0.95499999999999996</v>
      </c>
      <c r="AX60" s="20">
        <f>'Input RM sheet'!BA77/1000</f>
        <v>0.97499999999999998</v>
      </c>
      <c r="AY60" s="20">
        <f>'Input RM sheet'!BB77/1000</f>
        <v>0.95499999999999996</v>
      </c>
      <c r="AZ60" s="20">
        <f>'Input RM sheet'!BC77/1000</f>
        <v>0.97499999999999998</v>
      </c>
      <c r="BA60" s="20">
        <f>'Input RM sheet'!BD77/1000</f>
        <v>0.98499999999999999</v>
      </c>
      <c r="BB60" s="20">
        <f>'Input RM sheet'!BE77/1000</f>
        <v>1.0249999999999999</v>
      </c>
      <c r="BC60" s="20">
        <f>'Input RM sheet'!BF77/1000</f>
        <v>1.0449999999999999</v>
      </c>
      <c r="BD60" s="20">
        <f>'Input RM sheet'!BG77/1000</f>
        <v>1.07</v>
      </c>
      <c r="BE60" s="20">
        <f>'Input RM sheet'!BH77/1000</f>
        <v>1.07</v>
      </c>
      <c r="BF60" s="20">
        <f>'Input RM sheet'!BI77/1000</f>
        <v>1.07</v>
      </c>
      <c r="BG60" s="20">
        <f>'Input RM sheet'!BJ77/1000</f>
        <v>1.07</v>
      </c>
      <c r="BH60" s="20">
        <f>'Input RM sheet'!BK77/1000</f>
        <v>1.07</v>
      </c>
      <c r="BI60" s="20">
        <f>'Input RM sheet'!BL77/1000</f>
        <v>1.04</v>
      </c>
      <c r="BJ60" s="20">
        <f>'Input RM sheet'!BM77/1000</f>
        <v>1.03</v>
      </c>
      <c r="BK60" s="20">
        <f>'Input RM sheet'!BN77/1000</f>
        <v>1.03</v>
      </c>
      <c r="BL60" s="20">
        <f>'Input RM sheet'!BO77/1000</f>
        <v>0.98499999999999999</v>
      </c>
      <c r="BM60" s="20">
        <f>'Input RM sheet'!BP77/1000</f>
        <v>0.99</v>
      </c>
      <c r="BN60" s="20">
        <f>'Input RM sheet'!BQ77/1000</f>
        <v>0.99</v>
      </c>
      <c r="BO60" s="20">
        <f>'Input RM sheet'!BR77/1000</f>
        <v>0.99</v>
      </c>
      <c r="BP60" s="20">
        <f>'Input RM sheet'!BS77/1000</f>
        <v>1</v>
      </c>
      <c r="BQ60" s="20">
        <f>'Input RM sheet'!BT77/1000</f>
        <v>1</v>
      </c>
      <c r="BR60" s="20">
        <f>'Input RM sheet'!BU77/1000</f>
        <v>1.0349999999999999</v>
      </c>
      <c r="BS60" s="20">
        <f>'Input RM sheet'!BV77/1000</f>
        <v>1.0349999999999999</v>
      </c>
    </row>
    <row r="61" spans="1:71">
      <c r="A61" s="8" t="s">
        <v>207</v>
      </c>
      <c r="B61" s="263" t="s">
        <v>260</v>
      </c>
      <c r="C61" s="19">
        <f t="shared" si="18"/>
        <v>0.57299999999999995</v>
      </c>
      <c r="D61" s="19">
        <f t="shared" si="18"/>
        <v>-6.3749999999999973E-2</v>
      </c>
      <c r="E61" s="19">
        <f t="shared" si="18"/>
        <v>7.174999999999998E-2</v>
      </c>
      <c r="F61" s="19">
        <f t="shared" si="18"/>
        <v>-3.8000000000000034E-2</v>
      </c>
      <c r="G61" s="19">
        <f t="shared" si="18"/>
        <v>0.15500000000000003</v>
      </c>
      <c r="H61" s="19">
        <f t="shared" si="18"/>
        <v>0.1100000000000001</v>
      </c>
      <c r="I61" s="19">
        <f t="shared" si="18"/>
        <v>-1.5000000000000013E-2</v>
      </c>
      <c r="J61" s="19">
        <f t="shared" si="18"/>
        <v>0</v>
      </c>
      <c r="K61" s="19">
        <f t="shared" si="17"/>
        <v>0</v>
      </c>
      <c r="L61" s="19">
        <f t="shared" si="19"/>
        <v>5.0000000000000044E-3</v>
      </c>
      <c r="M61" s="19">
        <f t="shared" si="20"/>
        <v>-5.0000000000000044E-2</v>
      </c>
      <c r="N61" s="19">
        <f t="shared" si="21"/>
        <v>3.5000000000000031E-2</v>
      </c>
      <c r="O61" s="19">
        <f t="shared" si="22"/>
        <v>-2.5000000000000022E-2</v>
      </c>
      <c r="P61" s="19">
        <f t="shared" si="23"/>
        <v>0</v>
      </c>
      <c r="Q61" s="19">
        <f t="shared" si="24"/>
        <v>-3.5000000000000031E-2</v>
      </c>
      <c r="R61" s="19">
        <f t="shared" si="25"/>
        <v>-1.0000000000000009E-2</v>
      </c>
      <c r="S61" s="19">
        <f t="shared" si="26"/>
        <v>-3.9999999999999925E-2</v>
      </c>
      <c r="T61" s="19">
        <f t="shared" si="26"/>
        <v>2.5499999999999967E-2</v>
      </c>
      <c r="U61" s="19">
        <f t="shared" si="26"/>
        <v>0</v>
      </c>
      <c r="V61" s="19">
        <f t="shared" si="26"/>
        <v>0</v>
      </c>
      <c r="W61" s="19">
        <f t="shared" si="26"/>
        <v>-0.15049999999999997</v>
      </c>
      <c r="X61" s="19">
        <f t="shared" si="26"/>
        <v>0</v>
      </c>
      <c r="Y61" s="19">
        <f t="shared" si="26"/>
        <v>0</v>
      </c>
      <c r="Z61" s="19">
        <f t="shared" si="26"/>
        <v>7.999999999999996E-2</v>
      </c>
      <c r="AA61" s="19">
        <f t="shared" si="6"/>
        <v>0</v>
      </c>
      <c r="AB61" s="19">
        <f t="shared" si="6"/>
        <v>0</v>
      </c>
      <c r="AC61" s="19">
        <f t="shared" si="6"/>
        <v>0</v>
      </c>
      <c r="AD61" s="19">
        <f t="shared" si="6"/>
        <v>0</v>
      </c>
      <c r="AE61" s="19">
        <f t="shared" si="5"/>
        <v>0</v>
      </c>
      <c r="AF61" s="19">
        <f t="shared" si="5"/>
        <v>0</v>
      </c>
      <c r="AG61" s="19">
        <f t="shared" si="5"/>
        <v>-2.9999999999999916E-2</v>
      </c>
      <c r="AH61" s="19">
        <f t="shared" si="5"/>
        <v>0</v>
      </c>
      <c r="AI61" s="19">
        <f t="shared" si="5"/>
        <v>0</v>
      </c>
      <c r="AJ61" s="65"/>
      <c r="AL61" s="20">
        <f>1623/1000</f>
        <v>1.623</v>
      </c>
      <c r="AM61" s="261">
        <f>'Input RM sheet'!AP83/1000</f>
        <v>1.05</v>
      </c>
      <c r="AN61" s="261">
        <f>'Input RM sheet'!AQ83/1000</f>
        <v>1.11375</v>
      </c>
      <c r="AO61" s="261">
        <f>'Input RM sheet'!AR83/1000</f>
        <v>1.042</v>
      </c>
      <c r="AP61" s="261">
        <f>'Input RM sheet'!AS83/1000</f>
        <v>1.08</v>
      </c>
      <c r="AQ61" s="261">
        <f>'Input RM sheet'!AT83/1000</f>
        <v>0.92500000000000004</v>
      </c>
      <c r="AR61" s="261">
        <f>'Input RM sheet'!AU83/1000</f>
        <v>0.81499999999999995</v>
      </c>
      <c r="AS61" s="261">
        <f>'Input RM sheet'!AV83/1000</f>
        <v>0.83</v>
      </c>
      <c r="AT61" s="261">
        <f>'Input RM sheet'!AW83/1000</f>
        <v>0.83</v>
      </c>
      <c r="AU61" s="261">
        <f>'Input RM sheet'!AX83/1000</f>
        <v>0.83</v>
      </c>
      <c r="AV61" s="261">
        <f>'Input RM sheet'!AY83/1000</f>
        <v>0.82499999999999996</v>
      </c>
      <c r="AW61" s="261">
        <f>'Input RM sheet'!AZ83/1000</f>
        <v>0.875</v>
      </c>
      <c r="AX61" s="261">
        <f>'Input RM sheet'!BA83/1000</f>
        <v>0.84</v>
      </c>
      <c r="AY61" s="261">
        <f>'Input RM sheet'!BB83/1000</f>
        <v>0.86499999999999999</v>
      </c>
      <c r="AZ61" s="261">
        <f>'Input RM sheet'!BC83/1000</f>
        <v>0.86499999999999999</v>
      </c>
      <c r="BA61" s="261">
        <f>'Input RM sheet'!BD83/1000</f>
        <v>0.9</v>
      </c>
      <c r="BB61" s="261">
        <f>'Input RM sheet'!BE83/1000</f>
        <v>0.91</v>
      </c>
      <c r="BC61" s="261">
        <f>'Input RM sheet'!BF83/1000</f>
        <v>0.95</v>
      </c>
      <c r="BD61" s="261">
        <f>'Input RM sheet'!BG83/1000</f>
        <v>0.92449999999999999</v>
      </c>
      <c r="BE61" s="261">
        <f>'Input RM sheet'!BH83/1000</f>
        <v>0.92449999999999999</v>
      </c>
      <c r="BF61" s="261">
        <f>'Input RM sheet'!BI83/1000</f>
        <v>0.92449999999999999</v>
      </c>
      <c r="BG61" s="261">
        <f>'Input RM sheet'!BJ83/1000</f>
        <v>1.075</v>
      </c>
      <c r="BH61" s="261">
        <f>'Input RM sheet'!BK83/1000</f>
        <v>1.075</v>
      </c>
      <c r="BI61" s="261">
        <f>'Input RM sheet'!BL83/1000</f>
        <v>1.075</v>
      </c>
      <c r="BJ61" s="261">
        <f>'Input RM sheet'!BM83/1000</f>
        <v>0.995</v>
      </c>
      <c r="BK61" s="261">
        <f>'Input RM sheet'!BN83/1000</f>
        <v>0.995</v>
      </c>
      <c r="BL61" s="261">
        <f>'Input RM sheet'!BO83/1000</f>
        <v>0.995</v>
      </c>
      <c r="BM61" s="261">
        <f>'Input RM sheet'!BP83/1000</f>
        <v>0.995</v>
      </c>
      <c r="BN61" s="261">
        <f>'Input RM sheet'!BQ83/1000</f>
        <v>0.995</v>
      </c>
      <c r="BO61" s="261">
        <f>'Input RM sheet'!BR83/1000</f>
        <v>0.995</v>
      </c>
      <c r="BP61" s="261">
        <f>'Input RM sheet'!BS83/1000</f>
        <v>0.995</v>
      </c>
      <c r="BQ61" s="261">
        <f>'Input RM sheet'!BT83/1000</f>
        <v>1.0249999999999999</v>
      </c>
      <c r="BR61" s="261">
        <f>'Input RM sheet'!BU83/1000</f>
        <v>1.0249999999999999</v>
      </c>
      <c r="BS61" s="261">
        <f>'Input RM sheet'!BV83/1000</f>
        <v>1.0249999999999999</v>
      </c>
    </row>
    <row r="62" spans="1:71">
      <c r="A62" s="8" t="s">
        <v>229</v>
      </c>
      <c r="B62" s="263" t="s">
        <v>261</v>
      </c>
      <c r="C62" s="19">
        <f t="shared" si="18"/>
        <v>2.2799999999999931E-2</v>
      </c>
      <c r="D62" s="19">
        <f t="shared" si="18"/>
        <v>-1.9999999999999907E-2</v>
      </c>
      <c r="E62" s="19">
        <f t="shared" si="18"/>
        <v>-2.0000000000000018E-2</v>
      </c>
      <c r="F62" s="19">
        <f t="shared" si="18"/>
        <v>-5.0000000000000044E-3</v>
      </c>
      <c r="G62" s="19">
        <f t="shared" si="18"/>
        <v>-5.0000000000000044E-3</v>
      </c>
      <c r="H62" s="19">
        <f t="shared" si="18"/>
        <v>4.9999999999999933E-2</v>
      </c>
      <c r="I62" s="19">
        <f t="shared" si="18"/>
        <v>0.12</v>
      </c>
      <c r="J62" s="19">
        <f t="shared" si="18"/>
        <v>0</v>
      </c>
      <c r="K62" s="19">
        <f t="shared" si="17"/>
        <v>-9.9999999999998979E-3</v>
      </c>
      <c r="L62" s="19">
        <f t="shared" si="19"/>
        <v>-4.0000000000000036E-2</v>
      </c>
      <c r="M62" s="19">
        <f t="shared" si="20"/>
        <v>-4.0000000000000036E-2</v>
      </c>
      <c r="N62" s="19">
        <f t="shared" si="21"/>
        <v>-6.9999999999999951E-2</v>
      </c>
      <c r="O62" s="19">
        <f t="shared" si="22"/>
        <v>0</v>
      </c>
      <c r="P62" s="19">
        <f t="shared" si="23"/>
        <v>-3.0000000000000027E-2</v>
      </c>
      <c r="Q62" s="19">
        <f t="shared" si="24"/>
        <v>-6.0000000000000053E-2</v>
      </c>
      <c r="R62" s="19">
        <f t="shared" si="25"/>
        <v>-3.499999999999992E-2</v>
      </c>
      <c r="S62" s="19">
        <f t="shared" si="26"/>
        <v>-3.0000000000000027E-2</v>
      </c>
      <c r="T62" s="19">
        <f t="shared" si="26"/>
        <v>6.0000000000000053E-2</v>
      </c>
      <c r="U62" s="19">
        <f t="shared" si="26"/>
        <v>0</v>
      </c>
      <c r="V62" s="19">
        <f t="shared" si="26"/>
        <v>1.2499999999999956E-2</v>
      </c>
      <c r="W62" s="19">
        <f t="shared" si="26"/>
        <v>1.7500000000000071E-2</v>
      </c>
      <c r="X62" s="19">
        <f t="shared" si="26"/>
        <v>5.4999999999999938E-2</v>
      </c>
      <c r="Y62" s="19">
        <f t="shared" si="26"/>
        <v>0</v>
      </c>
      <c r="Z62" s="19">
        <f t="shared" si="26"/>
        <v>2.0000000000000018E-2</v>
      </c>
      <c r="AA62" s="19">
        <f t="shared" si="6"/>
        <v>0</v>
      </c>
      <c r="AB62" s="19">
        <f t="shared" si="6"/>
        <v>0</v>
      </c>
      <c r="AC62" s="19">
        <f t="shared" si="6"/>
        <v>0</v>
      </c>
      <c r="AD62" s="19">
        <f t="shared" si="6"/>
        <v>-1.0000000000000009E-2</v>
      </c>
      <c r="AE62" s="19">
        <f t="shared" si="5"/>
        <v>0</v>
      </c>
      <c r="AF62" s="19">
        <f t="shared" si="5"/>
        <v>0</v>
      </c>
      <c r="AG62" s="19">
        <f t="shared" si="5"/>
        <v>-5.0000000000000044E-2</v>
      </c>
      <c r="AH62" s="19">
        <f t="shared" si="5"/>
        <v>0</v>
      </c>
      <c r="AI62" s="19">
        <f t="shared" si="5"/>
        <v>1.0000000000000009E-2</v>
      </c>
      <c r="AJ62" s="65"/>
      <c r="AL62" s="20">
        <f>952.8/1000</f>
        <v>0.95279999999999998</v>
      </c>
      <c r="AM62" s="20">
        <f>'Input RM sheet'!AP84/1000</f>
        <v>0.93</v>
      </c>
      <c r="AN62" s="20">
        <f>'Input RM sheet'!AQ84/1000</f>
        <v>0.95</v>
      </c>
      <c r="AO62" s="20">
        <f>'Input RM sheet'!AR84/1000</f>
        <v>0.97</v>
      </c>
      <c r="AP62" s="20">
        <f>'Input RM sheet'!AS84/1000</f>
        <v>0.97499999999999998</v>
      </c>
      <c r="AQ62" s="20">
        <f>'Input RM sheet'!AT84/1000</f>
        <v>0.98</v>
      </c>
      <c r="AR62" s="20">
        <f>'Input RM sheet'!AU84/1000</f>
        <v>0.93</v>
      </c>
      <c r="AS62" s="20">
        <f>'Input RM sheet'!AV84/1000</f>
        <v>0.81</v>
      </c>
      <c r="AT62" s="20">
        <f>'Input RM sheet'!AW84/1000</f>
        <v>0.81</v>
      </c>
      <c r="AU62" s="20">
        <f>'Input RM sheet'!AX84/1000</f>
        <v>0.82</v>
      </c>
      <c r="AV62" s="20">
        <f>'Input RM sheet'!AY84/1000</f>
        <v>0.86</v>
      </c>
      <c r="AW62" s="20">
        <f>'Input RM sheet'!AZ84/1000</f>
        <v>0.9</v>
      </c>
      <c r="AX62" s="20">
        <f>'Input RM sheet'!BA84/1000</f>
        <v>0.97</v>
      </c>
      <c r="AY62" s="20">
        <f>'Input RM sheet'!BB84/1000</f>
        <v>0.97</v>
      </c>
      <c r="AZ62" s="20">
        <f>'Input RM sheet'!BC84/1000</f>
        <v>1</v>
      </c>
      <c r="BA62" s="20">
        <f>'Input RM sheet'!BD84/1000</f>
        <v>1.06</v>
      </c>
      <c r="BB62" s="20">
        <f>'Input RM sheet'!BE84/1000</f>
        <v>1.095</v>
      </c>
      <c r="BC62" s="20">
        <f>'Input RM sheet'!BF84/1000</f>
        <v>1.125</v>
      </c>
      <c r="BD62" s="20">
        <f>'Input RM sheet'!BG84/1000</f>
        <v>1.0649999999999999</v>
      </c>
      <c r="BE62" s="20">
        <f>'Input RM sheet'!BH84/1000</f>
        <v>1.0649999999999999</v>
      </c>
      <c r="BF62" s="20">
        <f>'Input RM sheet'!BI84/1000</f>
        <v>1.0525</v>
      </c>
      <c r="BG62" s="20">
        <f>'Input RM sheet'!BJ84/1000</f>
        <v>1.0349999999999999</v>
      </c>
      <c r="BH62" s="20">
        <f>'Input RM sheet'!BK84/1000</f>
        <v>0.98</v>
      </c>
      <c r="BI62" s="20">
        <f>'Input RM sheet'!BL84/1000</f>
        <v>0.98</v>
      </c>
      <c r="BJ62" s="20">
        <f>'Input RM sheet'!BM84/1000</f>
        <v>0.96</v>
      </c>
      <c r="BK62" s="20">
        <f>'Input RM sheet'!BN84/1000</f>
        <v>0.96</v>
      </c>
      <c r="BL62" s="20">
        <f>'Input RM sheet'!BO84/1000</f>
        <v>0.96</v>
      </c>
      <c r="BM62" s="20">
        <f>'Input RM sheet'!BP84/1000</f>
        <v>0.96</v>
      </c>
      <c r="BN62" s="20">
        <f>'Input RM sheet'!BQ84/1000</f>
        <v>0.97</v>
      </c>
      <c r="BO62" s="20">
        <f>'Input RM sheet'!BR84/1000</f>
        <v>0.97</v>
      </c>
      <c r="BP62" s="20">
        <f>'Input RM sheet'!BS84/1000</f>
        <v>0.97</v>
      </c>
      <c r="BQ62" s="20">
        <f>'Input RM sheet'!BT84/1000</f>
        <v>1.02</v>
      </c>
      <c r="BR62" s="20">
        <f>'Input RM sheet'!BU84/1000</f>
        <v>1.02</v>
      </c>
      <c r="BS62" s="20">
        <f>'Input RM sheet'!BV84/1000</f>
        <v>1.01</v>
      </c>
    </row>
    <row r="63" spans="1:71">
      <c r="A63" s="8" t="s">
        <v>229</v>
      </c>
      <c r="B63" s="263" t="s">
        <v>126</v>
      </c>
      <c r="C63" s="19">
        <f t="shared" si="18"/>
        <v>3.165999999999991E-2</v>
      </c>
      <c r="D63" s="19">
        <f t="shared" si="18"/>
        <v>-1.0000000000000009E-2</v>
      </c>
      <c r="E63" s="19">
        <f t="shared" si="18"/>
        <v>1.5000000000000013E-2</v>
      </c>
      <c r="F63" s="19">
        <f t="shared" si="18"/>
        <v>-7.4999999999999512E-3</v>
      </c>
      <c r="G63" s="19">
        <f t="shared" si="18"/>
        <v>1.749999999999996E-2</v>
      </c>
      <c r="H63" s="19">
        <f t="shared" si="18"/>
        <v>3.999999999999998E-2</v>
      </c>
      <c r="I63" s="19">
        <f t="shared" si="18"/>
        <v>0</v>
      </c>
      <c r="J63" s="19">
        <f t="shared" si="18"/>
        <v>0</v>
      </c>
      <c r="K63" s="19">
        <f t="shared" si="17"/>
        <v>0</v>
      </c>
      <c r="L63" s="19">
        <f t="shared" si="19"/>
        <v>0</v>
      </c>
      <c r="M63" s="19">
        <f t="shared" si="20"/>
        <v>-1.9999999999999962E-2</v>
      </c>
      <c r="N63" s="19">
        <f t="shared" si="21"/>
        <v>0</v>
      </c>
      <c r="O63" s="19">
        <f t="shared" si="22"/>
        <v>0</v>
      </c>
      <c r="P63" s="19">
        <f t="shared" si="23"/>
        <v>0</v>
      </c>
      <c r="Q63" s="19">
        <f t="shared" si="24"/>
        <v>9.9999999999999534E-3</v>
      </c>
      <c r="R63" s="19">
        <f t="shared" si="25"/>
        <v>-3.2499999999999973E-2</v>
      </c>
      <c r="S63" s="19">
        <f t="shared" si="26"/>
        <v>0</v>
      </c>
      <c r="T63" s="19">
        <f t="shared" si="26"/>
        <v>0</v>
      </c>
      <c r="U63" s="19">
        <f t="shared" si="26"/>
        <v>0</v>
      </c>
      <c r="V63" s="19">
        <f t="shared" si="26"/>
        <v>0</v>
      </c>
      <c r="W63" s="19">
        <f t="shared" si="26"/>
        <v>0</v>
      </c>
      <c r="X63" s="19">
        <f t="shared" si="26"/>
        <v>3.4999999999999976E-2</v>
      </c>
      <c r="Y63" s="19">
        <f t="shared" si="26"/>
        <v>0</v>
      </c>
      <c r="Z63" s="19">
        <f t="shared" si="26"/>
        <v>0</v>
      </c>
      <c r="AA63" s="19">
        <f t="shared" si="6"/>
        <v>0</v>
      </c>
      <c r="AB63" s="19">
        <f t="shared" si="6"/>
        <v>-2.2499999999999964E-2</v>
      </c>
      <c r="AC63" s="19">
        <f t="shared" si="6"/>
        <v>0</v>
      </c>
      <c r="AD63" s="19">
        <f t="shared" si="6"/>
        <v>0</v>
      </c>
      <c r="AE63" s="19">
        <f t="shared" si="5"/>
        <v>0</v>
      </c>
      <c r="AF63" s="19">
        <f t="shared" si="5"/>
        <v>0</v>
      </c>
      <c r="AG63" s="19">
        <f t="shared" si="5"/>
        <v>0</v>
      </c>
      <c r="AH63" s="19">
        <f t="shared" si="5"/>
        <v>0</v>
      </c>
      <c r="AI63" s="19">
        <f t="shared" si="5"/>
        <v>0</v>
      </c>
      <c r="AJ63" s="65"/>
      <c r="AL63" s="20">
        <f>541.66/1000</f>
        <v>0.54165999999999992</v>
      </c>
      <c r="AM63" s="8">
        <f>'Input RM sheet'!AP85/1000</f>
        <v>0.51</v>
      </c>
      <c r="AN63" s="8">
        <f>'Input RM sheet'!AQ85/1000</f>
        <v>0.52</v>
      </c>
      <c r="AO63" s="20">
        <f>'Input RM sheet'!AR85/1000</f>
        <v>0.505</v>
      </c>
      <c r="AP63" s="20">
        <f>'Input RM sheet'!AS85/1000</f>
        <v>0.51249999999999996</v>
      </c>
      <c r="AQ63" s="20">
        <f>'Input RM sheet'!AT85/1000</f>
        <v>0.495</v>
      </c>
      <c r="AR63" s="20">
        <f>'Input RM sheet'!AU85/1000</f>
        <v>0.45500000000000002</v>
      </c>
      <c r="AS63" s="20">
        <f>'Input RM sheet'!AV85/1000</f>
        <v>0.45500000000000002</v>
      </c>
      <c r="AT63" s="20">
        <f>'Input RM sheet'!AW85/1000</f>
        <v>0.45500000000000002</v>
      </c>
      <c r="AU63" s="20">
        <f>'Input RM sheet'!AX85/1000</f>
        <v>0.45500000000000002</v>
      </c>
      <c r="AV63" s="20">
        <f>'Input RM sheet'!AY85/1000</f>
        <v>0.45500000000000002</v>
      </c>
      <c r="AW63" s="20">
        <f>'Input RM sheet'!AZ85/1000</f>
        <v>0.47499999999999998</v>
      </c>
      <c r="AX63" s="20">
        <f>'Input RM sheet'!BA85/1000</f>
        <v>0.47499999999999998</v>
      </c>
      <c r="AY63" s="20">
        <f>'Input RM sheet'!BB85/1000</f>
        <v>0.47499999999999998</v>
      </c>
      <c r="AZ63" s="20">
        <f>'Input RM sheet'!BC85/1000</f>
        <v>0.47499999999999998</v>
      </c>
      <c r="BA63" s="20">
        <f>'Input RM sheet'!BD85/1000</f>
        <v>0.46500000000000002</v>
      </c>
      <c r="BB63" s="20">
        <f>'Input RM sheet'!BE85/1000</f>
        <v>0.4975</v>
      </c>
      <c r="BC63" s="20">
        <f>'Input RM sheet'!BF85/1000</f>
        <v>0.4975</v>
      </c>
      <c r="BD63" s="20">
        <f>'Input RM sheet'!BG85/1000</f>
        <v>0.4975</v>
      </c>
      <c r="BE63" s="20">
        <f>'Input RM sheet'!BH85/1000</f>
        <v>0.4975</v>
      </c>
      <c r="BF63" s="20">
        <f>'Input RM sheet'!BI85/1000</f>
        <v>0.4975</v>
      </c>
      <c r="BG63" s="20">
        <f>'Input RM sheet'!BJ85/1000</f>
        <v>0.4975</v>
      </c>
      <c r="BH63" s="20">
        <f>'Input RM sheet'!BK85/1000</f>
        <v>0.46250000000000002</v>
      </c>
      <c r="BI63" s="20">
        <f>'Input RM sheet'!BL85/1000</f>
        <v>0.46250000000000002</v>
      </c>
      <c r="BJ63" s="20">
        <f>'Input RM sheet'!BM85/1000</f>
        <v>0.46250000000000002</v>
      </c>
      <c r="BK63" s="20">
        <f>'Input RM sheet'!BN85/1000</f>
        <v>0.46250000000000002</v>
      </c>
      <c r="BL63" s="20">
        <f>'Input RM sheet'!BO85/1000</f>
        <v>0.48499999999999999</v>
      </c>
      <c r="BM63" s="20">
        <f>'Input RM sheet'!BP85/1000</f>
        <v>0.48499999999999999</v>
      </c>
      <c r="BN63" s="20">
        <f>'Input RM sheet'!BQ85/1000</f>
        <v>0.48499999999999999</v>
      </c>
      <c r="BO63" s="20">
        <f>'Input RM sheet'!BR85/1000</f>
        <v>0.48499999999999999</v>
      </c>
      <c r="BP63" s="20">
        <f>'Input RM sheet'!BS85/1000</f>
        <v>0.48499999999999999</v>
      </c>
      <c r="BQ63" s="20">
        <f>'Input RM sheet'!BT85/1000</f>
        <v>0.48499999999999999</v>
      </c>
      <c r="BR63" s="20">
        <f>'Input RM sheet'!BU85/1000</f>
        <v>0.48499999999999999</v>
      </c>
      <c r="BS63" s="20">
        <f>'Input RM sheet'!BV85/1000</f>
        <v>0.48499999999999999</v>
      </c>
    </row>
    <row r="64" spans="1:71">
      <c r="A64" s="8" t="s">
        <v>229</v>
      </c>
      <c r="B64" s="263" t="s">
        <v>262</v>
      </c>
      <c r="C64" s="19">
        <f t="shared" si="18"/>
        <v>-8.5000000000000075E-3</v>
      </c>
      <c r="D64" s="19">
        <f t="shared" si="18"/>
        <v>1.2199999999999989E-2</v>
      </c>
      <c r="E64" s="19">
        <f t="shared" si="18"/>
        <v>1.5300000000000036E-2</v>
      </c>
      <c r="F64" s="19">
        <f t="shared" si="18"/>
        <v>7.8999999999999626E-3</v>
      </c>
      <c r="G64" s="19">
        <f t="shared" si="18"/>
        <v>2.1200000000000052E-2</v>
      </c>
      <c r="H64" s="19">
        <f t="shared" si="18"/>
        <v>3.7599999999999967E-2</v>
      </c>
      <c r="I64" s="19">
        <f t="shared" si="18"/>
        <v>1.0800000000000032E-2</v>
      </c>
      <c r="J64" s="19">
        <f t="shared" si="18"/>
        <v>-6.5000000000000058E-3</v>
      </c>
      <c r="K64" s="19">
        <f t="shared" si="17"/>
        <v>3.0000000000000027E-3</v>
      </c>
      <c r="L64" s="19">
        <f t="shared" si="19"/>
        <v>3.0000000000000027E-3</v>
      </c>
      <c r="M64" s="19">
        <f t="shared" si="20"/>
        <v>-2.0000000000000018E-3</v>
      </c>
      <c r="N64" s="19">
        <f t="shared" si="21"/>
        <v>0</v>
      </c>
      <c r="O64" s="19">
        <f t="shared" si="22"/>
        <v>4.0999999999999925E-3</v>
      </c>
      <c r="P64" s="19">
        <f t="shared" si="23"/>
        <v>-1.0599999999999998E-2</v>
      </c>
      <c r="Q64" s="19">
        <f t="shared" si="24"/>
        <v>-3.8000000000000256E-3</v>
      </c>
      <c r="R64" s="19">
        <f t="shared" si="25"/>
        <v>-1.0199999999999987E-2</v>
      </c>
      <c r="S64" s="19">
        <f t="shared" si="26"/>
        <v>-4.0999999999999981E-2</v>
      </c>
      <c r="T64" s="19">
        <f t="shared" si="26"/>
        <v>0</v>
      </c>
      <c r="U64" s="19">
        <f t="shared" si="26"/>
        <v>-2.5000000000000022E-3</v>
      </c>
      <c r="V64" s="19">
        <f t="shared" si="26"/>
        <v>0</v>
      </c>
      <c r="W64" s="19">
        <f t="shared" si="26"/>
        <v>9.9999999999999534E-3</v>
      </c>
      <c r="X64" s="19">
        <f t="shared" si="26"/>
        <v>0</v>
      </c>
      <c r="Y64" s="19">
        <f t="shared" si="26"/>
        <v>0</v>
      </c>
      <c r="Z64" s="19">
        <f t="shared" si="26"/>
        <v>5.0000000000000044E-3</v>
      </c>
      <c r="AA64" s="19">
        <f t="shared" si="6"/>
        <v>0</v>
      </c>
      <c r="AB64" s="19">
        <f t="shared" si="6"/>
        <v>-2.5000000000000022E-3</v>
      </c>
      <c r="AC64" s="19">
        <f t="shared" si="6"/>
        <v>2.5000000000000022E-3</v>
      </c>
      <c r="AD64" s="19">
        <f t="shared" si="6"/>
        <v>1.0000000000000009E-3</v>
      </c>
      <c r="AE64" s="19">
        <f t="shared" si="5"/>
        <v>5.5000000000000049E-3</v>
      </c>
      <c r="AF64" s="19">
        <f t="shared" si="5"/>
        <v>-9.000000000000008E-3</v>
      </c>
      <c r="AG64" s="19">
        <f t="shared" si="5"/>
        <v>-1.2999999999999678E-3</v>
      </c>
      <c r="AH64" s="19">
        <f t="shared" si="5"/>
        <v>-1.2000000000000344E-3</v>
      </c>
      <c r="AI64" s="19">
        <f t="shared" si="5"/>
        <v>0</v>
      </c>
      <c r="AJ64" s="65"/>
      <c r="AL64" s="8">
        <f>380/1000</f>
        <v>0.38</v>
      </c>
      <c r="AM64" s="20">
        <f>'Input RM sheet'!AP86/1000</f>
        <v>0.38850000000000001</v>
      </c>
      <c r="AN64" s="20">
        <f>'Input RM sheet'!AQ86/1000</f>
        <v>0.37630000000000002</v>
      </c>
      <c r="AO64" s="20">
        <f>'Input RM sheet'!AR86/1000</f>
        <v>0.36099999999999999</v>
      </c>
      <c r="AP64" s="20">
        <f>'Input RM sheet'!AS86/1000</f>
        <v>0.35310000000000002</v>
      </c>
      <c r="AQ64" s="20">
        <f>'Input RM sheet'!AT86/1000</f>
        <v>0.33189999999999997</v>
      </c>
      <c r="AR64" s="20">
        <f>'Input RM sheet'!AU86/1000</f>
        <v>0.29430000000000001</v>
      </c>
      <c r="AS64" s="20">
        <f>'Input RM sheet'!AV86/1000</f>
        <v>0.28349999999999997</v>
      </c>
      <c r="AT64" s="20">
        <f>'Input RM sheet'!AW86/1000</f>
        <v>0.28999999999999998</v>
      </c>
      <c r="AU64" s="20">
        <f>'Input RM sheet'!AX86/1000</f>
        <v>0.28699999999999998</v>
      </c>
      <c r="AV64" s="20">
        <f>'Input RM sheet'!AY86/1000</f>
        <v>0.28399999999999997</v>
      </c>
      <c r="AW64" s="20">
        <f>'Input RM sheet'!AZ86/1000</f>
        <v>0.28599999999999998</v>
      </c>
      <c r="AX64" s="20">
        <f>'Input RM sheet'!BA86/1000</f>
        <v>0.28599999999999998</v>
      </c>
      <c r="AY64" s="20">
        <f>'Input RM sheet'!BB86/1000</f>
        <v>0.28189999999999998</v>
      </c>
      <c r="AZ64" s="20">
        <f>'Input RM sheet'!BC86/1000</f>
        <v>0.29249999999999998</v>
      </c>
      <c r="BA64" s="20">
        <f>'Input RM sheet'!BD86/1000</f>
        <v>0.29630000000000001</v>
      </c>
      <c r="BB64" s="20">
        <f>'Input RM sheet'!BE86/1000</f>
        <v>0.30649999999999999</v>
      </c>
      <c r="BC64" s="20">
        <f>'Input RM sheet'!BF86/1000</f>
        <v>0.34749999999999998</v>
      </c>
      <c r="BD64" s="20">
        <f>'Input RM sheet'!BG86/1000</f>
        <v>0.34749999999999998</v>
      </c>
      <c r="BE64" s="20">
        <f>'Input RM sheet'!BH86/1000</f>
        <v>0.35</v>
      </c>
      <c r="BF64" s="20">
        <f>'Input RM sheet'!BI86/1000</f>
        <v>0.35</v>
      </c>
      <c r="BG64" s="20">
        <f>'Input RM sheet'!BJ86/1000</f>
        <v>0.34</v>
      </c>
      <c r="BH64" s="20">
        <f>'Input RM sheet'!BK86/1000</f>
        <v>0.34</v>
      </c>
      <c r="BI64" s="20">
        <f>'Input RM sheet'!BL86/1000</f>
        <v>0.34</v>
      </c>
      <c r="BJ64" s="20">
        <f>'Input RM sheet'!BM86/1000</f>
        <v>0.33500000000000002</v>
      </c>
      <c r="BK64" s="20">
        <f>'Input RM sheet'!BN86/1000</f>
        <v>0.33500000000000002</v>
      </c>
      <c r="BL64" s="20">
        <f>'Input RM sheet'!BO86/1000</f>
        <v>0.33750000000000002</v>
      </c>
      <c r="BM64" s="20">
        <f>'Input RM sheet'!BP86/1000</f>
        <v>0.33500000000000002</v>
      </c>
      <c r="BN64" s="20">
        <f>'Input RM sheet'!BQ86/1000</f>
        <v>0.33400000000000002</v>
      </c>
      <c r="BO64" s="20">
        <f>'Input RM sheet'!BR86/1000</f>
        <v>0.32850000000000001</v>
      </c>
      <c r="BP64" s="20">
        <f>'Input RM sheet'!BS86/1000</f>
        <v>0.33750000000000002</v>
      </c>
      <c r="BQ64" s="20">
        <f>'Input RM sheet'!BT86/1000</f>
        <v>0.33879999999999999</v>
      </c>
      <c r="BR64" s="20">
        <f>'Input RM sheet'!BU86/1000</f>
        <v>0.34</v>
      </c>
      <c r="BS64" s="20">
        <f>'Input RM sheet'!BV86/1000</f>
        <v>0.34</v>
      </c>
    </row>
    <row r="65" spans="1:71">
      <c r="A65" s="8" t="s">
        <v>248</v>
      </c>
      <c r="B65" s="263" t="s">
        <v>263</v>
      </c>
      <c r="C65" s="19">
        <f t="shared" si="18"/>
        <v>1.5841479805062111</v>
      </c>
      <c r="D65" s="19">
        <f t="shared" si="18"/>
        <v>1.1495807986890458</v>
      </c>
      <c r="E65" s="19">
        <f t="shared" si="18"/>
        <v>1.0472268884027542</v>
      </c>
      <c r="F65" s="19">
        <f t="shared" si="18"/>
        <v>0.17047879578649372</v>
      </c>
      <c r="G65" s="19">
        <f t="shared" si="18"/>
        <v>1.5830173894460238</v>
      </c>
      <c r="H65" s="19">
        <f t="shared" si="18"/>
        <v>0.16130572292704848</v>
      </c>
      <c r="I65" s="19">
        <f t="shared" si="18"/>
        <v>-0.29928984164792105</v>
      </c>
      <c r="J65" s="19">
        <f t="shared" si="18"/>
        <v>8.5226108674479661E-2</v>
      </c>
      <c r="K65" s="19">
        <f t="shared" si="17"/>
        <v>-3.6303217784134034E-2</v>
      </c>
      <c r="L65" s="19">
        <f t="shared" si="19"/>
        <v>4.7427269480914802E-2</v>
      </c>
      <c r="M65" s="19">
        <f t="shared" si="20"/>
        <v>7.8636892432038863E-2</v>
      </c>
      <c r="N65" s="19">
        <f t="shared" si="21"/>
        <v>5.7253921795755502E-2</v>
      </c>
      <c r="O65" s="19">
        <f t="shared" si="22"/>
        <v>0.18018018018018012</v>
      </c>
      <c r="P65" s="19">
        <f t="shared" si="23"/>
        <v>-0.14115749142972334</v>
      </c>
      <c r="Q65" s="19">
        <f t="shared" si="24"/>
        <v>5.4195152811754355E-2</v>
      </c>
      <c r="R65" s="19">
        <f t="shared" si="25"/>
        <v>0.34685570195960835</v>
      </c>
      <c r="S65" s="19">
        <f t="shared" si="26"/>
        <v>0.23985877031861058</v>
      </c>
      <c r="T65" s="19">
        <f t="shared" si="26"/>
        <v>4.2057992584178194E-2</v>
      </c>
      <c r="U65" s="19">
        <f t="shared" si="26"/>
        <v>9.5358955534799961</v>
      </c>
      <c r="V65" s="19">
        <f t="shared" si="26"/>
        <v>-7.1699673718419232E-2</v>
      </c>
      <c r="W65" s="19">
        <f t="shared" si="26"/>
        <v>4.0379407318772209E-2</v>
      </c>
      <c r="X65" s="19">
        <f t="shared" si="26"/>
        <v>1.790314649172231E-3</v>
      </c>
      <c r="Y65" s="19">
        <f t="shared" si="26"/>
        <v>-3.0551759376658216E-2</v>
      </c>
      <c r="Z65" s="19">
        <f t="shared" si="26"/>
        <v>-2.4435684749073427E-2</v>
      </c>
      <c r="AA65" s="19">
        <f t="shared" si="6"/>
        <v>0</v>
      </c>
      <c r="AB65" s="19">
        <f t="shared" si="6"/>
        <v>-3.4123254580381568E-2</v>
      </c>
      <c r="AC65" s="19">
        <f t="shared" si="6"/>
        <v>4.8928575848069977E-2</v>
      </c>
      <c r="AD65" s="19">
        <f t="shared" si="6"/>
        <v>-5.2932701823182882E-4</v>
      </c>
      <c r="AE65" s="19">
        <f t="shared" si="5"/>
        <v>4.0456059346929196E-2</v>
      </c>
      <c r="AF65" s="19">
        <f t="shared" si="5"/>
        <v>7.0217866285804398E-3</v>
      </c>
      <c r="AG65" s="19">
        <f t="shared" si="5"/>
        <v>-3.8370344210570506E-2</v>
      </c>
      <c r="AH65" s="19">
        <f t="shared" si="5"/>
        <v>-2.3921282100872077E-2</v>
      </c>
      <c r="AI65" s="19">
        <f t="shared" si="5"/>
        <v>1.3434962322516064E-3</v>
      </c>
      <c r="AJ65" s="65"/>
      <c r="AL65" s="8">
        <v>16.920000000000002</v>
      </c>
      <c r="AM65" s="20">
        <f>'Input RM sheet'!AP88</f>
        <v>15.335852019493791</v>
      </c>
      <c r="AN65" s="20">
        <f>'Input RM sheet'!AQ88</f>
        <v>14.186271220804745</v>
      </c>
      <c r="AO65" s="20">
        <f>'Input RM sheet'!AR88</f>
        <v>13.139044332401991</v>
      </c>
      <c r="AP65" s="20">
        <f>'Input RM sheet'!AS88</f>
        <v>12.968565536615497</v>
      </c>
      <c r="AQ65" s="20">
        <f>'Input RM sheet'!AT88</f>
        <v>11.385548147169473</v>
      </c>
      <c r="AR65" s="20">
        <f>'Input RM sheet'!AU88</f>
        <v>11.224242424242425</v>
      </c>
      <c r="AS65" s="20">
        <f>'Input RM sheet'!AV88</f>
        <v>11.523532265890346</v>
      </c>
      <c r="AT65" s="20">
        <f>'Input RM sheet'!AW88</f>
        <v>11.438306157215866</v>
      </c>
      <c r="AU65" s="20">
        <f>'Input RM sheet'!AX88</f>
        <v>11.474609375</v>
      </c>
      <c r="AV65" s="20">
        <f>'Input RM sheet'!AY88</f>
        <v>11.427182105519085</v>
      </c>
      <c r="AW65" s="20">
        <f>'Input RM sheet'!AZ88</f>
        <v>11.348545213087046</v>
      </c>
      <c r="AX65" s="20">
        <f>'Input RM sheet'!BA88</f>
        <v>11.291291291291291</v>
      </c>
      <c r="AY65" s="20">
        <f>'Input RM sheet'!BB88</f>
        <v>11.111111111111111</v>
      </c>
      <c r="AZ65" s="20">
        <f>'Input RM sheet'!BC88</f>
        <v>11.252268602540834</v>
      </c>
      <c r="BA65" s="20">
        <f>'Input RM sheet'!BD88</f>
        <v>11.19807344972908</v>
      </c>
      <c r="BB65" s="20">
        <f>'Input RM sheet'!BE88</f>
        <v>10.851217747769471</v>
      </c>
      <c r="BC65" s="20">
        <f>'Input RM sheet'!BF88</f>
        <v>10.611358977450861</v>
      </c>
      <c r="BD65" s="20">
        <f>'Input RM sheet'!BG88</f>
        <v>10.569300984866683</v>
      </c>
      <c r="BE65" s="20">
        <f>'Input RM sheet'!BH88</f>
        <v>1.0334054313866858</v>
      </c>
      <c r="BF65" s="20">
        <f>'Input RM sheet'!BI88</f>
        <v>1.1051051051051051</v>
      </c>
      <c r="BG65" s="20">
        <f>'Input RM sheet'!BJ88</f>
        <v>1.0647256977863329</v>
      </c>
      <c r="BH65" s="20">
        <f>'Input RM sheet'!BK88</f>
        <v>1.0629353831371606</v>
      </c>
      <c r="BI65" s="20">
        <f>'Input RM sheet'!BL88</f>
        <v>1.0934871425138188</v>
      </c>
      <c r="BJ65" s="20">
        <f>'Input RM sheet'!BM88</f>
        <v>1.1179228272628923</v>
      </c>
      <c r="BK65" s="20">
        <f>'Input RM sheet'!BN88</f>
        <v>1.1179228272628923</v>
      </c>
      <c r="BL65" s="20">
        <f>'Input RM sheet'!BO88</f>
        <v>1.1520460818432738</v>
      </c>
      <c r="BM65" s="20">
        <f>'Input RM sheet'!BP88</f>
        <v>1.1031175059952039</v>
      </c>
      <c r="BN65" s="20">
        <f>'Input RM sheet'!BQ88</f>
        <v>1.1036468330134357</v>
      </c>
      <c r="BO65" s="20">
        <f>'Input RM sheet'!BR88</f>
        <v>1.0631907736665065</v>
      </c>
      <c r="BP65" s="20">
        <f>'Input RM sheet'!BS88</f>
        <v>1.0561689870379261</v>
      </c>
      <c r="BQ65" s="20">
        <f>'Input RM sheet'!BT88</f>
        <v>1.0945393312484966</v>
      </c>
      <c r="BR65" s="20">
        <f>'Input RM sheet'!BU88</f>
        <v>1.1184606133493686</v>
      </c>
      <c r="BS65" s="20">
        <f>'Input RM sheet'!BV88</f>
        <v>1.117117117117117</v>
      </c>
    </row>
    <row r="66" spans="1:71">
      <c r="A66" s="8" t="s">
        <v>212</v>
      </c>
      <c r="B66" s="263" t="s">
        <v>264</v>
      </c>
      <c r="C66" s="19">
        <f t="shared" si="18"/>
        <v>5.699999999999994E-2</v>
      </c>
      <c r="D66" s="19">
        <f t="shared" si="18"/>
        <v>-1.2999999999999901E-2</v>
      </c>
      <c r="E66" s="19">
        <f t="shared" si="18"/>
        <v>0.16900000000000004</v>
      </c>
      <c r="F66" s="19">
        <f t="shared" si="18"/>
        <v>-0.13650000000000007</v>
      </c>
      <c r="G66" s="19">
        <f t="shared" si="18"/>
        <v>0.14559999999999995</v>
      </c>
      <c r="H66" s="19">
        <f t="shared" si="18"/>
        <v>4.2899999999999938E-2</v>
      </c>
      <c r="I66" s="19">
        <f t="shared" si="18"/>
        <v>2.7300000000000102E-2</v>
      </c>
      <c r="J66" s="19">
        <f t="shared" si="18"/>
        <v>-0.12480000000000002</v>
      </c>
      <c r="K66" s="19">
        <f t="shared" si="17"/>
        <v>-2.6000000000001577E-3</v>
      </c>
      <c r="L66" s="19">
        <f t="shared" si="19"/>
        <v>-1.4299999999999979E-2</v>
      </c>
      <c r="M66" s="19">
        <f t="shared" si="20"/>
        <v>-5.0699999999999967E-2</v>
      </c>
      <c r="N66" s="19">
        <f t="shared" si="21"/>
        <v>4.8100000000000032E-2</v>
      </c>
      <c r="O66" s="19">
        <f t="shared" si="22"/>
        <v>-6.4999999999999503E-3</v>
      </c>
      <c r="P66" s="19">
        <f t="shared" si="23"/>
        <v>-2.6000000000000023E-2</v>
      </c>
      <c r="Q66" s="19">
        <f t="shared" si="24"/>
        <v>0</v>
      </c>
      <c r="R66" s="19">
        <f t="shared" si="25"/>
        <v>-5.2000000000000046E-2</v>
      </c>
      <c r="S66" s="19">
        <f t="shared" si="26"/>
        <v>0</v>
      </c>
      <c r="T66" s="19">
        <f t="shared" si="26"/>
        <v>6.5000000000001723E-3</v>
      </c>
      <c r="U66" s="19">
        <f t="shared" si="26"/>
        <v>7.1499999999999897E-2</v>
      </c>
      <c r="V66" s="19">
        <f t="shared" si="26"/>
        <v>-1.5600000000000058E-2</v>
      </c>
      <c r="W66" s="19">
        <f t="shared" si="26"/>
        <v>-2.8599999999999959E-2</v>
      </c>
      <c r="X66" s="19">
        <f t="shared" si="26"/>
        <v>2.8599999999999959E-2</v>
      </c>
      <c r="Y66" s="19">
        <f t="shared" si="26"/>
        <v>0</v>
      </c>
      <c r="Z66" s="19">
        <f t="shared" si="26"/>
        <v>9.099999999999886E-3</v>
      </c>
      <c r="AA66" s="19">
        <f t="shared" si="6"/>
        <v>0</v>
      </c>
      <c r="AB66" s="19">
        <f t="shared" si="6"/>
        <v>-3.8999999999997925E-3</v>
      </c>
      <c r="AC66" s="19">
        <f t="shared" si="6"/>
        <v>3.8999999999997925E-3</v>
      </c>
      <c r="AD66" s="19">
        <f t="shared" si="6"/>
        <v>1.4950000000000241E-2</v>
      </c>
      <c r="AE66" s="19">
        <f t="shared" si="6"/>
        <v>-6.8249999999999922E-2</v>
      </c>
      <c r="AF66" s="19">
        <f t="shared" si="6"/>
        <v>2.4699999999999722E-2</v>
      </c>
      <c r="AG66" s="19">
        <f t="shared" si="5"/>
        <v>4.1600000000000081E-2</v>
      </c>
      <c r="AH66" s="19">
        <f t="shared" si="5"/>
        <v>-2.3399999999999865E-2</v>
      </c>
      <c r="AI66" s="19">
        <f t="shared" si="5"/>
        <v>-7.8000000000000291E-3</v>
      </c>
      <c r="AJ66" s="65"/>
      <c r="AL66" s="8">
        <v>1.73</v>
      </c>
      <c r="AM66" s="20">
        <f>PIB!AS18</f>
        <v>1.673</v>
      </c>
      <c r="AN66" s="20">
        <f>PIB!AT18</f>
        <v>1.6859999999999999</v>
      </c>
      <c r="AO66" s="20">
        <f>PIB!AU18</f>
        <v>1.5169999999999999</v>
      </c>
      <c r="AP66" s="20">
        <f>PIB!AV18</f>
        <v>1.6535</v>
      </c>
      <c r="AQ66" s="20">
        <f>PIB!AW18</f>
        <v>1.5079</v>
      </c>
      <c r="AR66" s="20">
        <f>PIB!AX18</f>
        <v>1.4650000000000001</v>
      </c>
      <c r="AS66" s="20">
        <f>PIB!AY18</f>
        <v>1.4377</v>
      </c>
      <c r="AT66" s="20">
        <f>PIB!AZ18</f>
        <v>1.5625</v>
      </c>
      <c r="AU66" s="20">
        <f>PIB!BA18</f>
        <v>1.5651000000000002</v>
      </c>
      <c r="AV66" s="20">
        <f>PIB!BB18</f>
        <v>1.5794000000000001</v>
      </c>
      <c r="AW66" s="20">
        <f>PIB!BC18</f>
        <v>1.6301000000000001</v>
      </c>
      <c r="AX66" s="20">
        <f>PIB!BD18</f>
        <v>1.5820000000000001</v>
      </c>
      <c r="AY66" s="20">
        <f>PIB!BE18</f>
        <v>1.5885</v>
      </c>
      <c r="AZ66" s="20">
        <f>PIB!BF18</f>
        <v>1.6145</v>
      </c>
      <c r="BA66" s="20">
        <f>PIB!BG18</f>
        <v>1.6145</v>
      </c>
      <c r="BB66" s="20">
        <f>PIB!BH18</f>
        <v>1.6665000000000001</v>
      </c>
      <c r="BC66" s="20">
        <f>PIB!BI18</f>
        <v>1.6665000000000001</v>
      </c>
      <c r="BD66" s="20">
        <f>PIB!BJ18</f>
        <v>1.66</v>
      </c>
      <c r="BE66" s="20">
        <f>PIB!BK18</f>
        <v>1.5885</v>
      </c>
      <c r="BF66" s="20">
        <f>PIB!BL18</f>
        <v>1.6041000000000001</v>
      </c>
      <c r="BG66" s="20">
        <f>PIB!BM18</f>
        <v>1.6327</v>
      </c>
      <c r="BH66" s="20">
        <f>PIB!BN18</f>
        <v>1.6041000000000001</v>
      </c>
      <c r="BI66" s="20">
        <f>PIB!BO18</f>
        <v>1.6041000000000001</v>
      </c>
      <c r="BJ66" s="20">
        <f>PIB!BP18</f>
        <v>1.5950000000000002</v>
      </c>
      <c r="BK66" s="20">
        <f>PIB!BQ18</f>
        <v>1.5950000000000002</v>
      </c>
      <c r="BL66" s="20">
        <f>PIB!BR18</f>
        <v>1.5989</v>
      </c>
      <c r="BM66" s="20">
        <f>PIB!BS18</f>
        <v>1.5950000000000002</v>
      </c>
      <c r="BN66" s="20">
        <f>PIB!BT18</f>
        <v>1.58005</v>
      </c>
      <c r="BO66" s="20">
        <f>PIB!BU18</f>
        <v>1.6482999999999999</v>
      </c>
      <c r="BP66" s="20">
        <f>PIB!BV18</f>
        <v>1.6236000000000002</v>
      </c>
      <c r="BQ66" s="20">
        <f>PIB!BW18</f>
        <v>1.5820000000000001</v>
      </c>
      <c r="BR66" s="20">
        <f>PIB!BX18</f>
        <v>1.6053999999999999</v>
      </c>
      <c r="BS66" s="20">
        <f>PIB!BY18</f>
        <v>1.6132</v>
      </c>
    </row>
    <row r="67" spans="1:71" ht="15">
      <c r="A67" s="8" t="s">
        <v>248</v>
      </c>
      <c r="B67" s="45" t="s">
        <v>265</v>
      </c>
      <c r="C67" s="19">
        <f t="shared" ref="C67:Q82" si="27">+AL67-AM67</f>
        <v>-0.4776895000000001</v>
      </c>
      <c r="D67" s="19">
        <f t="shared" si="27"/>
        <v>-1.4469000000000065E-2</v>
      </c>
      <c r="E67" s="19">
        <f t="shared" si="27"/>
        <v>-7.8119999999999745E-2</v>
      </c>
      <c r="F67" s="19">
        <f t="shared" si="27"/>
        <v>0.10995599999999972</v>
      </c>
      <c r="G67" s="19">
        <f t="shared" si="27"/>
        <v>9.5486999999999878E-2</v>
      </c>
      <c r="H67" s="19">
        <f t="shared" si="27"/>
        <v>1.157100000000022E-2</v>
      </c>
      <c r="I67" s="19">
        <f t="shared" si="27"/>
        <v>0</v>
      </c>
      <c r="J67" s="19">
        <f t="shared" si="27"/>
        <v>0</v>
      </c>
      <c r="K67" s="19">
        <f t="shared" si="17"/>
        <v>0</v>
      </c>
      <c r="L67" s="19">
        <f t="shared" si="19"/>
        <v>0</v>
      </c>
      <c r="M67" s="19">
        <f t="shared" si="20"/>
        <v>-5.209050000000004E-2</v>
      </c>
      <c r="N67" s="19">
        <f t="shared" si="21"/>
        <v>0</v>
      </c>
      <c r="O67" s="19">
        <f t="shared" si="22"/>
        <v>0</v>
      </c>
      <c r="P67" s="19">
        <f t="shared" si="23"/>
        <v>0</v>
      </c>
      <c r="Q67" s="19">
        <f t="shared" si="24"/>
        <v>-6.3651000000000124E-2</v>
      </c>
      <c r="R67" s="19">
        <f t="shared" si="25"/>
        <v>0</v>
      </c>
      <c r="S67" s="19">
        <f t="shared" si="26"/>
        <v>0</v>
      </c>
      <c r="T67" s="19">
        <f t="shared" si="26"/>
        <v>0</v>
      </c>
      <c r="U67" s="19">
        <f t="shared" si="26"/>
        <v>0</v>
      </c>
      <c r="V67" s="19">
        <f t="shared" si="26"/>
        <v>0</v>
      </c>
      <c r="W67" s="19">
        <f t="shared" si="26"/>
        <v>0</v>
      </c>
      <c r="X67" s="19">
        <f t="shared" si="26"/>
        <v>-1.4468999999999843E-2</v>
      </c>
      <c r="Y67" s="19">
        <f t="shared" si="26"/>
        <v>0</v>
      </c>
      <c r="Z67" s="19">
        <f t="shared" si="26"/>
        <v>0</v>
      </c>
      <c r="AA67" s="19">
        <f t="shared" si="6"/>
        <v>0</v>
      </c>
      <c r="AB67" s="19">
        <f t="shared" si="6"/>
        <v>0</v>
      </c>
      <c r="AC67" s="19">
        <f t="shared" si="6"/>
        <v>2.8937999999999908E-2</v>
      </c>
      <c r="AD67" s="19">
        <f t="shared" si="6"/>
        <v>0</v>
      </c>
      <c r="AE67" s="19">
        <f t="shared" si="6"/>
        <v>0</v>
      </c>
      <c r="AF67" s="19">
        <f t="shared" si="6"/>
        <v>5.7865500000000125E-2</v>
      </c>
      <c r="AG67" s="19">
        <f t="shared" si="5"/>
        <v>0</v>
      </c>
      <c r="AH67" s="19">
        <f t="shared" si="5"/>
        <v>0</v>
      </c>
      <c r="AI67" s="19">
        <f t="shared" si="5"/>
        <v>0</v>
      </c>
      <c r="AJ67" s="65"/>
      <c r="AL67" s="8">
        <v>1.4</v>
      </c>
      <c r="AM67" s="20">
        <f>'1-Decene'!AS18</f>
        <v>1.8776895</v>
      </c>
      <c r="AN67" s="20">
        <f>'1-Decene'!AT18</f>
        <v>1.8921585000000001</v>
      </c>
      <c r="AO67" s="20">
        <f>'1-Decene'!AU18</f>
        <v>1.9702784999999998</v>
      </c>
      <c r="AP67" s="20">
        <f>'1-Decene'!AV18</f>
        <v>1.8603225000000001</v>
      </c>
      <c r="AQ67" s="20">
        <f>'1-Decene'!AW18</f>
        <v>1.7648355000000002</v>
      </c>
      <c r="AR67" s="20">
        <f>'1-Decene'!AX18</f>
        <v>1.7532645</v>
      </c>
      <c r="AS67" s="20">
        <f>'1-Decene'!AY18</f>
        <v>1.7532645</v>
      </c>
      <c r="AT67" s="20">
        <f>'1-Decene'!AZ18</f>
        <v>1.7532645</v>
      </c>
      <c r="AU67" s="20">
        <f>'1-Decene'!BA18</f>
        <v>1.7532645</v>
      </c>
      <c r="AV67" s="20">
        <f>'1-Decene'!BB18</f>
        <v>1.7532645</v>
      </c>
      <c r="AW67" s="20">
        <f>'1-Decene'!BC18</f>
        <v>1.805355</v>
      </c>
      <c r="AX67" s="20">
        <f>'1-Decene'!BD18</f>
        <v>1.805355</v>
      </c>
      <c r="AY67" s="20">
        <f>'1-Decene'!BE18</f>
        <v>1.805355</v>
      </c>
      <c r="AZ67" s="20">
        <f>'1-Decene'!BF18</f>
        <v>1.805355</v>
      </c>
      <c r="BA67" s="20">
        <f>'1-Decene'!BG18</f>
        <v>1.8690060000000002</v>
      </c>
      <c r="BB67" s="20">
        <f>'1-Decene'!BH18</f>
        <v>1.8690060000000002</v>
      </c>
      <c r="BC67" s="20">
        <f>'1-Decene'!BI18</f>
        <v>1.8690060000000002</v>
      </c>
      <c r="BD67" s="20">
        <f>'1-Decene'!BJ18</f>
        <v>1.8690060000000002</v>
      </c>
      <c r="BE67" s="20">
        <f>'1-Decene'!BK18</f>
        <v>1.8690060000000002</v>
      </c>
      <c r="BF67" s="20">
        <f>'1-Decene'!BL18</f>
        <v>1.8690060000000002</v>
      </c>
      <c r="BG67" s="20">
        <f>'1-Decene'!BM18</f>
        <v>1.8690060000000002</v>
      </c>
      <c r="BH67" s="20">
        <f>'1-Decene'!BN18</f>
        <v>1.883475</v>
      </c>
      <c r="BI67" s="20">
        <f>'1-Decene'!BO18</f>
        <v>1.883475</v>
      </c>
      <c r="BJ67" s="20">
        <f>'1-Decene'!BP18</f>
        <v>1.883475</v>
      </c>
      <c r="BK67" s="20">
        <f>'1-Decene'!BQ18</f>
        <v>1.883475</v>
      </c>
      <c r="BL67" s="20">
        <f>'1-Decene'!BR18</f>
        <v>1.883475</v>
      </c>
      <c r="BM67" s="20">
        <f>'1-Decene'!BS18</f>
        <v>1.8545370000000001</v>
      </c>
      <c r="BN67" s="20">
        <f>'1-Decene'!BT18</f>
        <v>1.8545370000000001</v>
      </c>
      <c r="BO67" s="20">
        <f>'1-Decene'!BU18</f>
        <v>1.8545370000000001</v>
      </c>
      <c r="BP67" s="20">
        <f>'1-Decene'!BV18</f>
        <v>1.7966715</v>
      </c>
      <c r="BQ67" s="20">
        <f>'1-Decene'!BW18</f>
        <v>1.7966715</v>
      </c>
      <c r="BR67" s="20">
        <f>'1-Decene'!BX18</f>
        <v>1.7966715</v>
      </c>
      <c r="BS67" s="20">
        <f>'1-Decene'!BY18</f>
        <v>1.7966715</v>
      </c>
    </row>
    <row r="68" spans="1:71">
      <c r="A68" s="8" t="s">
        <v>203</v>
      </c>
      <c r="B68" s="263" t="s">
        <v>131</v>
      </c>
      <c r="C68" s="19">
        <f t="shared" si="27"/>
        <v>0.14799999999999991</v>
      </c>
      <c r="D68" s="19">
        <f t="shared" si="27"/>
        <v>-7.6249999999999929E-2</v>
      </c>
      <c r="E68" s="19">
        <f t="shared" si="27"/>
        <v>-0.11375000000000002</v>
      </c>
      <c r="F68" s="19">
        <f t="shared" si="27"/>
        <v>-2.0000000000000018E-2</v>
      </c>
      <c r="G68" s="19">
        <f t="shared" si="27"/>
        <v>5.4999999999999938E-2</v>
      </c>
      <c r="H68" s="19">
        <f t="shared" si="27"/>
        <v>2.0000000000000018E-2</v>
      </c>
      <c r="I68" s="19">
        <f t="shared" si="27"/>
        <v>0</v>
      </c>
      <c r="J68" s="19">
        <f t="shared" si="27"/>
        <v>0</v>
      </c>
      <c r="K68" s="19">
        <f t="shared" si="17"/>
        <v>5.0000000000000044E-2</v>
      </c>
      <c r="L68" s="19">
        <f t="shared" si="19"/>
        <v>0</v>
      </c>
      <c r="M68" s="19">
        <f t="shared" si="20"/>
        <v>0.125</v>
      </c>
      <c r="N68" s="19">
        <f t="shared" si="21"/>
        <v>0</v>
      </c>
      <c r="O68" s="19">
        <f t="shared" si="22"/>
        <v>0</v>
      </c>
      <c r="P68" s="19">
        <f t="shared" si="23"/>
        <v>0</v>
      </c>
      <c r="Q68" s="19">
        <f t="shared" si="24"/>
        <v>-2.4999999999999911E-2</v>
      </c>
      <c r="R68" s="19">
        <f t="shared" si="25"/>
        <v>0</v>
      </c>
      <c r="S68" s="19">
        <f t="shared" si="26"/>
        <v>-0.20000000000000018</v>
      </c>
      <c r="T68" s="19">
        <f t="shared" si="26"/>
        <v>0</v>
      </c>
      <c r="U68" s="19">
        <f t="shared" si="26"/>
        <v>2.5000000000000133E-2</v>
      </c>
      <c r="V68" s="19">
        <f t="shared" si="26"/>
        <v>0</v>
      </c>
      <c r="W68" s="19">
        <f t="shared" si="26"/>
        <v>0</v>
      </c>
      <c r="X68" s="19">
        <f t="shared" si="26"/>
        <v>0</v>
      </c>
      <c r="Y68" s="19">
        <f t="shared" si="26"/>
        <v>0</v>
      </c>
      <c r="Z68" s="19">
        <f t="shared" si="26"/>
        <v>5.0000000000000044E-2</v>
      </c>
      <c r="AA68" s="19">
        <f t="shared" si="6"/>
        <v>0</v>
      </c>
      <c r="AB68" s="19">
        <f t="shared" si="6"/>
        <v>2.4999999999999911E-2</v>
      </c>
      <c r="AC68" s="19">
        <f t="shared" si="6"/>
        <v>0</v>
      </c>
      <c r="AD68" s="19">
        <f t="shared" si="6"/>
        <v>0</v>
      </c>
      <c r="AE68" s="19">
        <f t="shared" si="6"/>
        <v>0</v>
      </c>
      <c r="AF68" s="19">
        <f t="shared" si="6"/>
        <v>0</v>
      </c>
      <c r="AG68" s="19">
        <f t="shared" si="5"/>
        <v>0</v>
      </c>
      <c r="AH68" s="19">
        <f t="shared" si="5"/>
        <v>0</v>
      </c>
      <c r="AI68" s="19">
        <f t="shared" si="5"/>
        <v>0</v>
      </c>
      <c r="AJ68" s="65"/>
      <c r="AL68" s="8">
        <f>1188/1000</f>
        <v>1.1879999999999999</v>
      </c>
      <c r="AM68" s="20">
        <f>'Input RM sheet'!AP90/1000</f>
        <v>1.04</v>
      </c>
      <c r="AN68" s="20">
        <f>'Input RM sheet'!AQ90/1000</f>
        <v>1.11625</v>
      </c>
      <c r="AO68" s="20">
        <f>'Input RM sheet'!AR90/1000</f>
        <v>1.23</v>
      </c>
      <c r="AP68" s="20">
        <f>'Input RM sheet'!AS90/1000</f>
        <v>1.25</v>
      </c>
      <c r="AQ68" s="20">
        <f>'Input RM sheet'!AT90/1000</f>
        <v>1.1950000000000001</v>
      </c>
      <c r="AR68" s="20">
        <f>'Input RM sheet'!AU90/1000</f>
        <v>1.175</v>
      </c>
      <c r="AS68" s="20">
        <f>'Input RM sheet'!AV90/1000</f>
        <v>1.175</v>
      </c>
      <c r="AT68" s="20">
        <f>'Input RM sheet'!AW90/1000</f>
        <v>1.175</v>
      </c>
      <c r="AU68" s="20">
        <f>'Input RM sheet'!AX90/1000</f>
        <v>1.125</v>
      </c>
      <c r="AV68" s="20">
        <f>'Input RM sheet'!AY90/1000</f>
        <v>1.125</v>
      </c>
      <c r="AW68" s="20">
        <f>'Input RM sheet'!AZ90/1000</f>
        <v>1</v>
      </c>
      <c r="AX68" s="20">
        <f>'Input RM sheet'!BA90/1000</f>
        <v>1</v>
      </c>
      <c r="AY68" s="20">
        <f>'Input RM sheet'!BB90/1000</f>
        <v>1</v>
      </c>
      <c r="AZ68" s="20">
        <f>'Input RM sheet'!BC90/1000</f>
        <v>1</v>
      </c>
      <c r="BA68" s="20">
        <f>'Input RM sheet'!BD90/1000</f>
        <v>1.0249999999999999</v>
      </c>
      <c r="BB68" s="20">
        <f>'Input RM sheet'!BE90/1000</f>
        <v>1.0249999999999999</v>
      </c>
      <c r="BC68" s="20">
        <f>'Input RM sheet'!BF90/1000</f>
        <v>1.2250000000000001</v>
      </c>
      <c r="BD68" s="20">
        <f>'Input RM sheet'!BG90/1000</f>
        <v>1.2250000000000001</v>
      </c>
      <c r="BE68" s="20">
        <f>'Input RM sheet'!BH90/1000</f>
        <v>1.2</v>
      </c>
      <c r="BF68" s="20">
        <f>'Input RM sheet'!BI90/1000</f>
        <v>1.2</v>
      </c>
      <c r="BG68" s="20">
        <f>'Input RM sheet'!BJ90/1000</f>
        <v>1.2</v>
      </c>
      <c r="BH68" s="20">
        <f>'Input RM sheet'!BK90/1000</f>
        <v>1.2</v>
      </c>
      <c r="BI68" s="20">
        <f>'Input RM sheet'!BL90/1000</f>
        <v>1.2</v>
      </c>
      <c r="BJ68" s="20">
        <f>'Input RM sheet'!BM90/1000</f>
        <v>1.1499999999999999</v>
      </c>
      <c r="BK68" s="20">
        <f>'Input RM sheet'!BN90/1000</f>
        <v>1.1499999999999999</v>
      </c>
      <c r="BL68" s="20">
        <f>'Input RM sheet'!BO90/1000</f>
        <v>1.125</v>
      </c>
      <c r="BM68" s="20">
        <f>'Input RM sheet'!BP90/1000</f>
        <v>1.125</v>
      </c>
      <c r="BN68" s="20">
        <f>'Input RM sheet'!BQ90/1000</f>
        <v>1.125</v>
      </c>
      <c r="BO68" s="20">
        <f>'Input RM sheet'!BR90/1000</f>
        <v>1.125</v>
      </c>
      <c r="BP68" s="20">
        <f>'Input RM sheet'!BS90/1000</f>
        <v>1.125</v>
      </c>
      <c r="BQ68" s="20">
        <f>'Input RM sheet'!BT90/1000</f>
        <v>1.125</v>
      </c>
      <c r="BR68" s="20">
        <f>'Input RM sheet'!BU90/1000</f>
        <v>1.125</v>
      </c>
      <c r="BS68" s="20">
        <f>'Input RM sheet'!BV90/1000</f>
        <v>1.125</v>
      </c>
    </row>
    <row r="69" spans="1:71">
      <c r="B69" s="263" t="s">
        <v>134</v>
      </c>
      <c r="C69" s="19">
        <f t="shared" si="27"/>
        <v>0.39500000000000002</v>
      </c>
      <c r="D69" s="19">
        <f t="shared" si="27"/>
        <v>1.0062500000000085E-2</v>
      </c>
      <c r="E69" s="19">
        <f t="shared" si="27"/>
        <v>-6.0862500000000264E-2</v>
      </c>
      <c r="F69" s="19">
        <f t="shared" si="27"/>
        <v>-0.19338750000000005</v>
      </c>
      <c r="G69" s="19">
        <f t="shared" si="27"/>
        <v>-1.7112500000000086E-2</v>
      </c>
      <c r="H69" s="19">
        <f t="shared" si="27"/>
        <v>-8.9699999999999669E-2</v>
      </c>
      <c r="I69" s="19">
        <f t="shared" si="27"/>
        <v>0.20950000000000024</v>
      </c>
      <c r="J69" s="19">
        <f t="shared" si="27"/>
        <v>-8.4750000000000103E-2</v>
      </c>
      <c r="K69" s="19">
        <f t="shared" si="17"/>
        <v>-0.12875000000000014</v>
      </c>
      <c r="L69" s="19">
        <f t="shared" si="19"/>
        <v>0.12000000000000011</v>
      </c>
      <c r="M69" s="19">
        <f t="shared" si="20"/>
        <v>0.18999999999999995</v>
      </c>
      <c r="N69" s="19">
        <f t="shared" si="21"/>
        <v>2.8500000000000192E-2</v>
      </c>
      <c r="O69" s="19">
        <f t="shared" si="22"/>
        <v>4.6499999999999986E-2</v>
      </c>
      <c r="P69" s="19">
        <f t="shared" si="23"/>
        <v>-0.1120000000000001</v>
      </c>
      <c r="Q69" s="19">
        <f t="shared" si="24"/>
        <v>0</v>
      </c>
      <c r="R69" s="19">
        <f t="shared" si="25"/>
        <v>-0.17750000000000021</v>
      </c>
      <c r="S69" s="19">
        <f t="shared" si="26"/>
        <v>0.10200000000000031</v>
      </c>
      <c r="T69" s="19">
        <f t="shared" si="26"/>
        <v>0</v>
      </c>
      <c r="U69" s="19">
        <f t="shared" si="26"/>
        <v>0</v>
      </c>
      <c r="V69" s="19">
        <f t="shared" si="26"/>
        <v>0</v>
      </c>
      <c r="W69" s="19">
        <f t="shared" si="26"/>
        <v>1.2499999999999734E-2</v>
      </c>
      <c r="X69" s="19">
        <f t="shared" si="26"/>
        <v>0</v>
      </c>
      <c r="Y69" s="19">
        <f t="shared" si="26"/>
        <v>0.27</v>
      </c>
      <c r="Z69" s="19">
        <f t="shared" si="26"/>
        <v>3.0000000000000249E-2</v>
      </c>
      <c r="AA69" s="19">
        <f t="shared" si="6"/>
        <v>0</v>
      </c>
      <c r="AB69" s="19">
        <f t="shared" si="6"/>
        <v>4.7999999999999821E-2</v>
      </c>
      <c r="AC69" s="19">
        <f t="shared" si="6"/>
        <v>7.2000000000000064E-2</v>
      </c>
      <c r="AD69" s="19">
        <f t="shared" si="6"/>
        <v>0</v>
      </c>
      <c r="AE69" s="19">
        <f t="shared" si="6"/>
        <v>0.19999999999999996</v>
      </c>
      <c r="AF69" s="19">
        <f t="shared" si="6"/>
        <v>0.14999999999999991</v>
      </c>
      <c r="AG69" s="19">
        <f t="shared" si="5"/>
        <v>2.8000000000000025E-2</v>
      </c>
      <c r="AH69" s="19">
        <f t="shared" si="5"/>
        <v>-3.8000000000000034E-2</v>
      </c>
      <c r="AI69" s="19">
        <f t="shared" si="5"/>
        <v>0</v>
      </c>
      <c r="AJ69" s="65"/>
      <c r="AL69" s="8">
        <v>2.58</v>
      </c>
      <c r="AM69" s="47">
        <f>'Input RM sheet'!AP93</f>
        <v>2.1850000000000001</v>
      </c>
      <c r="AN69" s="47">
        <f>'Input RM sheet'!AQ93</f>
        <v>2.1749375</v>
      </c>
      <c r="AO69" s="47">
        <f>'Input RM sheet'!AR93</f>
        <v>2.2358000000000002</v>
      </c>
      <c r="AP69" s="47">
        <f>'Input RM sheet'!AS93</f>
        <v>2.4291875000000003</v>
      </c>
      <c r="AQ69" s="47">
        <f>'Input RM sheet'!AT93</f>
        <v>2.4463000000000004</v>
      </c>
      <c r="AR69" s="47">
        <f>'Input RM sheet'!AU93</f>
        <v>2.536</v>
      </c>
      <c r="AS69" s="47">
        <f>'Input RM sheet'!AV93</f>
        <v>2.3264999999999998</v>
      </c>
      <c r="AT69" s="47">
        <f>'Input RM sheet'!AW93</f>
        <v>2.4112499999999999</v>
      </c>
      <c r="AU69" s="47">
        <f>'Input RM sheet'!AX93</f>
        <v>2.54</v>
      </c>
      <c r="AV69" s="47">
        <f>'Input RM sheet'!AY93</f>
        <v>2.42</v>
      </c>
      <c r="AW69" s="47">
        <f>'Input RM sheet'!AZ93</f>
        <v>2.23</v>
      </c>
      <c r="AX69" s="47">
        <f>'Input RM sheet'!BA93</f>
        <v>2.2014999999999998</v>
      </c>
      <c r="AY69" s="47">
        <f>'Input RM sheet'!BB93</f>
        <v>2.1549999999999998</v>
      </c>
      <c r="AZ69" s="47">
        <f>'Input RM sheet'!BC93</f>
        <v>2.2669999999999999</v>
      </c>
      <c r="BA69" s="47">
        <f>'Input RM sheet'!BD93</f>
        <v>2.2669999999999999</v>
      </c>
      <c r="BB69" s="47">
        <f>'Input RM sheet'!BE93</f>
        <v>2.4445000000000001</v>
      </c>
      <c r="BC69" s="47">
        <f>'Input RM sheet'!BF93</f>
        <v>2.3424999999999998</v>
      </c>
      <c r="BD69" s="47">
        <f>'Input RM sheet'!BG93</f>
        <v>2.3424999999999998</v>
      </c>
      <c r="BE69" s="47">
        <f>'Input RM sheet'!BH93</f>
        <v>2.3424999999999998</v>
      </c>
      <c r="BF69" s="47">
        <f>'Input RM sheet'!BI93</f>
        <v>2.3424999999999998</v>
      </c>
      <c r="BG69" s="47">
        <f>'Input RM sheet'!BJ93</f>
        <v>2.33</v>
      </c>
      <c r="BH69" s="47">
        <f>'Input RM sheet'!BK93</f>
        <v>2.33</v>
      </c>
      <c r="BI69" s="47">
        <f>'Input RM sheet'!BL93</f>
        <v>2.06</v>
      </c>
      <c r="BJ69" s="47">
        <f>'Input RM sheet'!BM93</f>
        <v>2.0299999999999998</v>
      </c>
      <c r="BK69" s="47">
        <f>'Input RM sheet'!BN93</f>
        <v>2.0299999999999998</v>
      </c>
      <c r="BL69" s="47">
        <f>'Input RM sheet'!BO93</f>
        <v>1.982</v>
      </c>
      <c r="BM69" s="47">
        <f>'Input RM sheet'!BP93</f>
        <v>1.91</v>
      </c>
      <c r="BN69" s="47">
        <f>'Input RM sheet'!BQ93</f>
        <v>1.91</v>
      </c>
      <c r="BO69" s="47">
        <f>'Input RM sheet'!BR93</f>
        <v>1.71</v>
      </c>
      <c r="BP69" s="47">
        <f>'Input RM sheet'!BS93</f>
        <v>1.56</v>
      </c>
      <c r="BQ69" s="47">
        <f>'Input RM sheet'!BT93</f>
        <v>1.532</v>
      </c>
      <c r="BR69" s="47">
        <f>'Input RM sheet'!BU93</f>
        <v>1.57</v>
      </c>
      <c r="BS69" s="47">
        <f>'Input RM sheet'!BV93</f>
        <v>1.57</v>
      </c>
    </row>
    <row r="70" spans="1:71">
      <c r="B70" s="263" t="s">
        <v>137</v>
      </c>
      <c r="C70" s="19">
        <f t="shared" si="27"/>
        <v>0.84124999999999961</v>
      </c>
      <c r="D70" s="19">
        <f t="shared" si="27"/>
        <v>0.10125000000000028</v>
      </c>
      <c r="E70" s="19">
        <f t="shared" si="27"/>
        <v>-0.15549999999999953</v>
      </c>
      <c r="F70" s="19">
        <f t="shared" si="27"/>
        <v>-1.8250000000000544E-2</v>
      </c>
      <c r="G70" s="19">
        <f t="shared" si="27"/>
        <v>0.3737499999999998</v>
      </c>
      <c r="H70" s="19">
        <f t="shared" si="27"/>
        <v>-0.13949999999999951</v>
      </c>
      <c r="I70" s="19">
        <f t="shared" si="27"/>
        <v>-0.15300000000000047</v>
      </c>
      <c r="J70" s="19">
        <f t="shared" si="27"/>
        <v>-4.9999999999999822E-2</v>
      </c>
      <c r="K70" s="19">
        <f t="shared" si="17"/>
        <v>-0.18000000000000016</v>
      </c>
      <c r="L70" s="19">
        <f t="shared" si="19"/>
        <v>-0.39500000000000002</v>
      </c>
      <c r="M70" s="19">
        <f t="shared" si="20"/>
        <v>0.24500000000000011</v>
      </c>
      <c r="N70" s="19">
        <f t="shared" si="21"/>
        <v>-0.36000000000000032</v>
      </c>
      <c r="O70" s="19">
        <f t="shared" si="22"/>
        <v>8.4999999999999964E-2</v>
      </c>
      <c r="P70" s="19">
        <f t="shared" si="23"/>
        <v>0.10500000000000043</v>
      </c>
      <c r="Q70" s="19">
        <f t="shared" si="24"/>
        <v>4.0000000000000036E-2</v>
      </c>
      <c r="R70" s="19">
        <f t="shared" si="25"/>
        <v>-4.0000000000000036E-2</v>
      </c>
      <c r="S70" s="19">
        <f t="shared" si="26"/>
        <v>4.9999999999999822E-2</v>
      </c>
      <c r="T70" s="19">
        <f t="shared" si="26"/>
        <v>0.16999999999999993</v>
      </c>
      <c r="U70" s="19">
        <f t="shared" si="26"/>
        <v>0.48000000000000043</v>
      </c>
      <c r="V70" s="19">
        <f t="shared" si="26"/>
        <v>0</v>
      </c>
      <c r="W70" s="19">
        <f t="shared" si="26"/>
        <v>9.9999999999997868E-3</v>
      </c>
      <c r="X70" s="19">
        <f t="shared" si="26"/>
        <v>0.12999999999999989</v>
      </c>
      <c r="Y70" s="19">
        <f t="shared" si="26"/>
        <v>0.19799999999999995</v>
      </c>
      <c r="Z70" s="19">
        <f t="shared" si="26"/>
        <v>0.16200000000000037</v>
      </c>
      <c r="AA70" s="19">
        <f t="shared" si="6"/>
        <v>0</v>
      </c>
      <c r="AB70" s="19">
        <f t="shared" si="6"/>
        <v>4.9999999999998934E-3</v>
      </c>
      <c r="AC70" s="19">
        <f t="shared" si="6"/>
        <v>-0.20500000000000007</v>
      </c>
      <c r="AD70" s="19">
        <f t="shared" si="6"/>
        <v>0</v>
      </c>
      <c r="AE70" s="19">
        <f t="shared" si="6"/>
        <v>-0.14999999999999991</v>
      </c>
      <c r="AF70" s="19">
        <f t="shared" si="6"/>
        <v>2.9999999999999805E-2</v>
      </c>
      <c r="AG70" s="19">
        <f t="shared" si="5"/>
        <v>-0.13999999999999968</v>
      </c>
      <c r="AH70" s="19">
        <f t="shared" si="5"/>
        <v>-0.12000000000000011</v>
      </c>
      <c r="AI70" s="19">
        <f t="shared" si="5"/>
        <v>0</v>
      </c>
      <c r="AJ70" s="65"/>
      <c r="AL70" s="8">
        <v>4.55</v>
      </c>
      <c r="AM70" s="47">
        <f>'Input RM sheet'!AP94</f>
        <v>3.7087500000000002</v>
      </c>
      <c r="AN70" s="47">
        <f>'Input RM sheet'!AQ94</f>
        <v>3.6074999999999999</v>
      </c>
      <c r="AO70" s="47">
        <f>'Input RM sheet'!AR94</f>
        <v>3.7629999999999995</v>
      </c>
      <c r="AP70" s="47">
        <f>'Input RM sheet'!AS94</f>
        <v>3.78125</v>
      </c>
      <c r="AQ70" s="47">
        <f>'Input RM sheet'!AT94</f>
        <v>3.4075000000000002</v>
      </c>
      <c r="AR70" s="47">
        <f>'Input RM sheet'!AU94</f>
        <v>3.5469999999999997</v>
      </c>
      <c r="AS70" s="47">
        <f>'Input RM sheet'!AV94</f>
        <v>3.7</v>
      </c>
      <c r="AT70" s="47">
        <f>'Input RM sheet'!AW94</f>
        <v>3.75</v>
      </c>
      <c r="AU70" s="47">
        <f>'Input RM sheet'!AX94</f>
        <v>3.93</v>
      </c>
      <c r="AV70" s="47">
        <f>'Input RM sheet'!AY94</f>
        <v>4.3250000000000002</v>
      </c>
      <c r="AW70" s="47">
        <f>'Input RM sheet'!AZ94</f>
        <v>4.08</v>
      </c>
      <c r="AX70" s="47">
        <f>'Input RM sheet'!BA94</f>
        <v>4.4400000000000004</v>
      </c>
      <c r="AY70" s="47">
        <f>'Input RM sheet'!BB94</f>
        <v>4.3550000000000004</v>
      </c>
      <c r="AZ70" s="47">
        <f>'Input RM sheet'!BC94</f>
        <v>4.25</v>
      </c>
      <c r="BA70" s="47">
        <f>'Input RM sheet'!BD94</f>
        <v>4.21</v>
      </c>
      <c r="BB70" s="47">
        <f>'Input RM sheet'!BE94</f>
        <v>4.25</v>
      </c>
      <c r="BC70" s="47">
        <f>'Input RM sheet'!BF94</f>
        <v>4.2</v>
      </c>
      <c r="BD70" s="47">
        <f>'Input RM sheet'!BG94</f>
        <v>4.03</v>
      </c>
      <c r="BE70" s="47">
        <f>'Input RM sheet'!BH94</f>
        <v>3.55</v>
      </c>
      <c r="BF70" s="47">
        <f>'Input RM sheet'!BI94</f>
        <v>3.55</v>
      </c>
      <c r="BG70" s="47">
        <f>'Input RM sheet'!BJ94</f>
        <v>3.54</v>
      </c>
      <c r="BH70" s="47">
        <f>'Input RM sheet'!BK94</f>
        <v>3.41</v>
      </c>
      <c r="BI70" s="47">
        <f>'Input RM sheet'!BL94</f>
        <v>3.2120000000000002</v>
      </c>
      <c r="BJ70" s="47">
        <f>'Input RM sheet'!BM94</f>
        <v>3.05</v>
      </c>
      <c r="BK70" s="47">
        <f>'Input RM sheet'!BN94</f>
        <v>3.05</v>
      </c>
      <c r="BL70" s="47">
        <f>'Input RM sheet'!BO94</f>
        <v>3.0449999999999999</v>
      </c>
      <c r="BM70" s="47">
        <f>'Input RM sheet'!BP94</f>
        <v>3.25</v>
      </c>
      <c r="BN70" s="47">
        <f>'Input RM sheet'!BQ94</f>
        <v>3.25</v>
      </c>
      <c r="BO70" s="47">
        <f>'Input RM sheet'!BR94</f>
        <v>3.4</v>
      </c>
      <c r="BP70" s="47">
        <f>'Input RM sheet'!BS94</f>
        <v>3.37</v>
      </c>
      <c r="BQ70" s="47">
        <f>'Input RM sheet'!BT94</f>
        <v>3.51</v>
      </c>
      <c r="BR70" s="47">
        <f>'Input RM sheet'!BU94</f>
        <v>3.63</v>
      </c>
      <c r="BS70" s="47">
        <f>'Input RM sheet'!BV94</f>
        <v>3.63</v>
      </c>
    </row>
    <row r="71" spans="1:71">
      <c r="B71" s="263" t="s">
        <v>139</v>
      </c>
      <c r="C71" s="19">
        <f t="shared" si="27"/>
        <v>0.92125000000000012</v>
      </c>
      <c r="D71" s="19">
        <f t="shared" si="27"/>
        <v>6.999999999999984E-2</v>
      </c>
      <c r="E71" s="19">
        <f t="shared" si="27"/>
        <v>-0.13424999999999976</v>
      </c>
      <c r="F71" s="19">
        <f t="shared" si="27"/>
        <v>-6.6999999999999726E-2</v>
      </c>
      <c r="G71" s="19">
        <f t="shared" si="27"/>
        <v>0.2825000000000002</v>
      </c>
      <c r="H71" s="19">
        <f t="shared" si="27"/>
        <v>-1.5500000000000291E-2</v>
      </c>
      <c r="I71" s="19">
        <f t="shared" si="27"/>
        <v>-0.17200000000000015</v>
      </c>
      <c r="J71" s="19">
        <f t="shared" si="27"/>
        <v>-2.4999999999999911E-2</v>
      </c>
      <c r="K71" s="19">
        <f t="shared" si="17"/>
        <v>-0.18000000000000016</v>
      </c>
      <c r="L71" s="19">
        <f t="shared" si="19"/>
        <v>-0.39000000000000012</v>
      </c>
      <c r="M71" s="19">
        <f t="shared" si="20"/>
        <v>0.16999999999999993</v>
      </c>
      <c r="N71" s="19">
        <f t="shared" si="21"/>
        <v>-0.28499999999999925</v>
      </c>
      <c r="O71" s="19">
        <f t="shared" si="22"/>
        <v>7.9999999999999183E-2</v>
      </c>
      <c r="P71" s="19">
        <f t="shared" si="23"/>
        <v>0.10500000000000043</v>
      </c>
      <c r="Q71" s="19">
        <f t="shared" si="24"/>
        <v>4.0000000000000036E-2</v>
      </c>
      <c r="R71" s="19">
        <f t="shared" si="25"/>
        <v>0.16000000000000014</v>
      </c>
      <c r="S71" s="19">
        <f t="shared" si="26"/>
        <v>0</v>
      </c>
      <c r="T71" s="19">
        <f t="shared" si="26"/>
        <v>-8.0000000000000071E-2</v>
      </c>
      <c r="U71" s="19">
        <f t="shared" si="26"/>
        <v>0.42999999999999972</v>
      </c>
      <c r="V71" s="19">
        <f t="shared" si="26"/>
        <v>0</v>
      </c>
      <c r="W71" s="19">
        <f t="shared" si="26"/>
        <v>0.13000000000000034</v>
      </c>
      <c r="X71" s="19">
        <f t="shared" si="26"/>
        <v>0.16999999999999993</v>
      </c>
      <c r="Y71" s="19">
        <f t="shared" si="26"/>
        <v>0.10000000000000009</v>
      </c>
      <c r="Z71" s="19">
        <f t="shared" si="26"/>
        <v>0.14999999999999991</v>
      </c>
      <c r="AA71" s="19">
        <f t="shared" si="6"/>
        <v>0</v>
      </c>
      <c r="AB71" s="19">
        <f t="shared" si="6"/>
        <v>-9.0000000000000302E-2</v>
      </c>
      <c r="AC71" s="19">
        <f t="shared" si="6"/>
        <v>-0.10999999999999988</v>
      </c>
      <c r="AD71" s="19">
        <f t="shared" si="6"/>
        <v>4.0000000000000036E-2</v>
      </c>
      <c r="AE71" s="19">
        <f t="shared" si="6"/>
        <v>-6.4999999999999947E-2</v>
      </c>
      <c r="AF71" s="19">
        <f t="shared" si="6"/>
        <v>-0.125</v>
      </c>
      <c r="AG71" s="19">
        <f t="shared" si="5"/>
        <v>-4.9999999999999822E-2</v>
      </c>
      <c r="AH71" s="19">
        <f t="shared" si="5"/>
        <v>-0.10000000000000009</v>
      </c>
      <c r="AI71" s="19">
        <f t="shared" si="5"/>
        <v>0</v>
      </c>
      <c r="AJ71" s="65"/>
      <c r="AL71" s="8">
        <v>4.6100000000000003</v>
      </c>
      <c r="AM71" s="47">
        <f>'Input RM sheet'!AP95</f>
        <v>3.6887500000000002</v>
      </c>
      <c r="AN71" s="47">
        <f>'Input RM sheet'!AQ95</f>
        <v>3.6187500000000004</v>
      </c>
      <c r="AO71" s="47">
        <f>'Input RM sheet'!AR95</f>
        <v>3.7530000000000001</v>
      </c>
      <c r="AP71" s="47">
        <f>'Input RM sheet'!AS95</f>
        <v>3.82</v>
      </c>
      <c r="AQ71" s="47">
        <f>'Input RM sheet'!AT95</f>
        <v>3.5374999999999996</v>
      </c>
      <c r="AR71" s="47">
        <f>'Input RM sheet'!AU95</f>
        <v>3.5529999999999999</v>
      </c>
      <c r="AS71" s="47">
        <f>'Input RM sheet'!AV95</f>
        <v>3.7250000000000001</v>
      </c>
      <c r="AT71" s="47">
        <f>'Input RM sheet'!AW95</f>
        <v>3.75</v>
      </c>
      <c r="AU71" s="47">
        <f>'Input RM sheet'!AX95</f>
        <v>3.93</v>
      </c>
      <c r="AV71" s="47">
        <f>'Input RM sheet'!AY95</f>
        <v>4.32</v>
      </c>
      <c r="AW71" s="47">
        <f>'Input RM sheet'!AZ95</f>
        <v>4.1500000000000004</v>
      </c>
      <c r="AX71" s="47">
        <f>'Input RM sheet'!BA95</f>
        <v>4.4349999999999996</v>
      </c>
      <c r="AY71" s="47">
        <f>'Input RM sheet'!BB95</f>
        <v>4.3550000000000004</v>
      </c>
      <c r="AZ71" s="47">
        <f>'Input RM sheet'!BC95</f>
        <v>4.25</v>
      </c>
      <c r="BA71" s="47">
        <f>'Input RM sheet'!BD95</f>
        <v>4.21</v>
      </c>
      <c r="BB71" s="47">
        <f>'Input RM sheet'!BE95</f>
        <v>4.05</v>
      </c>
      <c r="BC71" s="47">
        <f>'Input RM sheet'!BF95</f>
        <v>4.05</v>
      </c>
      <c r="BD71" s="47">
        <f>'Input RM sheet'!BG95</f>
        <v>4.13</v>
      </c>
      <c r="BE71" s="47">
        <f>'Input RM sheet'!BH95</f>
        <v>3.7</v>
      </c>
      <c r="BF71" s="47">
        <f>'Input RM sheet'!BI95</f>
        <v>3.7</v>
      </c>
      <c r="BG71" s="47">
        <f>'Input RM sheet'!BJ95</f>
        <v>3.57</v>
      </c>
      <c r="BH71" s="47">
        <f>'Input RM sheet'!BK95</f>
        <v>3.4</v>
      </c>
      <c r="BI71" s="47">
        <f>'Input RM sheet'!BL95</f>
        <v>3.3</v>
      </c>
      <c r="BJ71" s="47">
        <f>'Input RM sheet'!BM95</f>
        <v>3.15</v>
      </c>
      <c r="BK71" s="47">
        <f>'Input RM sheet'!BN95</f>
        <v>3.15</v>
      </c>
      <c r="BL71" s="47">
        <f>'Input RM sheet'!BO95</f>
        <v>3.24</v>
      </c>
      <c r="BM71" s="47">
        <f>'Input RM sheet'!BP95</f>
        <v>3.35</v>
      </c>
      <c r="BN71" s="47">
        <f>'Input RM sheet'!BQ95</f>
        <v>3.31</v>
      </c>
      <c r="BO71" s="47">
        <f>'Input RM sheet'!BR95</f>
        <v>3.375</v>
      </c>
      <c r="BP71" s="47">
        <f>'Input RM sheet'!BS95</f>
        <v>3.5</v>
      </c>
      <c r="BQ71" s="47">
        <f>'Input RM sheet'!BT95</f>
        <v>3.55</v>
      </c>
      <c r="BR71" s="47">
        <f>'Input RM sheet'!BU95</f>
        <v>3.65</v>
      </c>
      <c r="BS71" s="47">
        <f>'Input RM sheet'!BV95</f>
        <v>3.65</v>
      </c>
    </row>
    <row r="72" spans="1:71">
      <c r="B72" s="263" t="s">
        <v>140</v>
      </c>
      <c r="C72" s="19">
        <f t="shared" si="27"/>
        <v>0.76775000000000015</v>
      </c>
      <c r="D72" s="19">
        <f t="shared" si="27"/>
        <v>-0.21250000000000013</v>
      </c>
      <c r="E72" s="19">
        <f t="shared" si="27"/>
        <v>-5.4999999999999938E-2</v>
      </c>
      <c r="F72" s="19">
        <f t="shared" si="27"/>
        <v>0.15874999999999995</v>
      </c>
      <c r="G72" s="19">
        <f t="shared" si="27"/>
        <v>0.23399999999999999</v>
      </c>
      <c r="H72" s="19">
        <f t="shared" si="27"/>
        <v>7.3500000000000121E-2</v>
      </c>
      <c r="I72" s="19">
        <f t="shared" si="27"/>
        <v>5.7499999999999885E-2</v>
      </c>
      <c r="J72" s="19">
        <f t="shared" si="27"/>
        <v>0</v>
      </c>
      <c r="K72" s="19">
        <f t="shared" si="17"/>
        <v>-3.499999999999992E-2</v>
      </c>
      <c r="L72" s="19">
        <f t="shared" si="19"/>
        <v>-2.5000000000000133E-2</v>
      </c>
      <c r="M72" s="19">
        <f t="shared" si="20"/>
        <v>-9.9999999999997868E-3</v>
      </c>
      <c r="N72" s="19">
        <f t="shared" si="21"/>
        <v>-2.5000000000000133E-2</v>
      </c>
      <c r="O72" s="19">
        <f t="shared" si="22"/>
        <v>0</v>
      </c>
      <c r="P72" s="19">
        <f t="shared" si="23"/>
        <v>0</v>
      </c>
      <c r="Q72" s="19">
        <f t="shared" si="24"/>
        <v>1.0000000000000009E-2</v>
      </c>
      <c r="R72" s="19">
        <f t="shared" si="25"/>
        <v>0</v>
      </c>
      <c r="S72" s="19">
        <f t="shared" si="26"/>
        <v>1.5000000000000124E-2</v>
      </c>
      <c r="T72" s="19">
        <f t="shared" si="26"/>
        <v>3.499999999999992E-2</v>
      </c>
      <c r="U72" s="19">
        <f t="shared" si="26"/>
        <v>0</v>
      </c>
      <c r="V72" s="19">
        <f t="shared" si="26"/>
        <v>6.4999999999999947E-2</v>
      </c>
      <c r="W72" s="19">
        <f t="shared" si="26"/>
        <v>2.5000000000000133E-2</v>
      </c>
      <c r="X72" s="19">
        <f t="shared" si="26"/>
        <v>0</v>
      </c>
      <c r="Y72" s="19">
        <f t="shared" si="26"/>
        <v>2.4999999999999911E-2</v>
      </c>
      <c r="Z72" s="19">
        <f t="shared" si="26"/>
        <v>1.0000000000000009E-2</v>
      </c>
      <c r="AA72" s="19">
        <f t="shared" si="6"/>
        <v>1.0000000000000009E-2</v>
      </c>
      <c r="AB72" s="19">
        <f t="shared" si="6"/>
        <v>-1.0000000000000009E-2</v>
      </c>
      <c r="AC72" s="19">
        <f t="shared" si="6"/>
        <v>3.0000000000000027E-2</v>
      </c>
      <c r="AD72" s="19">
        <f t="shared" si="6"/>
        <v>3.0000000000000027E-2</v>
      </c>
      <c r="AE72" s="19">
        <f t="shared" si="6"/>
        <v>3.0000000000000027E-2</v>
      </c>
      <c r="AF72" s="19">
        <f t="shared" si="6"/>
        <v>0</v>
      </c>
      <c r="AG72" s="19">
        <f t="shared" si="5"/>
        <v>2.9999999999999805E-2</v>
      </c>
      <c r="AH72" s="19">
        <f t="shared" si="5"/>
        <v>-1.0000000000000009E-2</v>
      </c>
      <c r="AI72" s="19">
        <f t="shared" si="5"/>
        <v>-1.0000000000000009E-2</v>
      </c>
      <c r="AJ72" s="65"/>
      <c r="AL72" s="8">
        <f>2459/1000</f>
        <v>2.4590000000000001</v>
      </c>
      <c r="AM72" s="20">
        <f>'Input RM sheet'!AP96/1000</f>
        <v>1.6912499999999999</v>
      </c>
      <c r="AN72" s="20">
        <f>'Input RM sheet'!AQ96/1000</f>
        <v>1.9037500000000001</v>
      </c>
      <c r="AO72" s="20">
        <f>'Input RM sheet'!AR96/1000</f>
        <v>1.95875</v>
      </c>
      <c r="AP72" s="20">
        <f>'Input RM sheet'!AS96/1000</f>
        <v>1.8</v>
      </c>
      <c r="AQ72" s="20">
        <f>'Input RM sheet'!AT96/1000</f>
        <v>1.5660000000000001</v>
      </c>
      <c r="AR72" s="20">
        <f>'Input RM sheet'!AU96/1000</f>
        <v>1.4924999999999999</v>
      </c>
      <c r="AS72" s="20">
        <f>'Input RM sheet'!AV96/1000</f>
        <v>1.4350000000000001</v>
      </c>
      <c r="AT72" s="20">
        <f>'Input RM sheet'!AW96/1000</f>
        <v>1.4350000000000001</v>
      </c>
      <c r="AU72" s="20">
        <f>'Input RM sheet'!AX96/1000</f>
        <v>1.47</v>
      </c>
      <c r="AV72" s="20">
        <f>'Input RM sheet'!AY96/1000</f>
        <v>1.4950000000000001</v>
      </c>
      <c r="AW72" s="20">
        <f>'Input RM sheet'!AZ96/1000</f>
        <v>1.5049999999999999</v>
      </c>
      <c r="AX72" s="20">
        <f>'Input RM sheet'!BA96/1000</f>
        <v>1.53</v>
      </c>
      <c r="AY72" s="20">
        <f>'Input RM sheet'!BB96/1000</f>
        <v>1.53</v>
      </c>
      <c r="AZ72" s="20">
        <f>'Input RM sheet'!BC96/1000</f>
        <v>1.53</v>
      </c>
      <c r="BA72" s="20">
        <f>'Input RM sheet'!BD96/1000</f>
        <v>1.52</v>
      </c>
      <c r="BB72" s="20">
        <f>'Input RM sheet'!BE96/1000</f>
        <v>1.52</v>
      </c>
      <c r="BC72" s="20">
        <f>'Input RM sheet'!BF96/1000</f>
        <v>1.5049999999999999</v>
      </c>
      <c r="BD72" s="20">
        <f>'Input RM sheet'!BG96/1000</f>
        <v>1.47</v>
      </c>
      <c r="BE72" s="20">
        <f>'Input RM sheet'!BH96/1000</f>
        <v>1.47</v>
      </c>
      <c r="BF72" s="20">
        <f>'Input RM sheet'!BI96/1000</f>
        <v>1.405</v>
      </c>
      <c r="BG72" s="20">
        <f>'Input RM sheet'!BJ96/1000</f>
        <v>1.38</v>
      </c>
      <c r="BH72" s="20">
        <f>'Input RM sheet'!BK96/1000</f>
        <v>1.38</v>
      </c>
      <c r="BI72" s="20">
        <f>'Input RM sheet'!BL96/1000</f>
        <v>1.355</v>
      </c>
      <c r="BJ72" s="20">
        <f>'Input RM sheet'!BM96/1000</f>
        <v>1.345</v>
      </c>
      <c r="BK72" s="20">
        <f>'Input RM sheet'!BN96/1000</f>
        <v>1.335</v>
      </c>
      <c r="BL72" s="20">
        <f>'Input RM sheet'!BO96/1000</f>
        <v>1.345</v>
      </c>
      <c r="BM72" s="20">
        <f>'Input RM sheet'!BP96/1000</f>
        <v>1.3149999999999999</v>
      </c>
      <c r="BN72" s="20">
        <f>'Input RM sheet'!BQ96/1000</f>
        <v>1.2849999999999999</v>
      </c>
      <c r="BO72" s="20">
        <f>'Input RM sheet'!BR96/1000</f>
        <v>1.2549999999999999</v>
      </c>
      <c r="BP72" s="20">
        <f>'Input RM sheet'!BS96/1000</f>
        <v>1.2549999999999999</v>
      </c>
      <c r="BQ72" s="20">
        <f>'Input RM sheet'!BT96/1000</f>
        <v>1.2250000000000001</v>
      </c>
      <c r="BR72" s="20">
        <f>'Input RM sheet'!BU96/1000</f>
        <v>1.2350000000000001</v>
      </c>
      <c r="BS72" s="20">
        <f>'Input RM sheet'!BV96/1000</f>
        <v>1.2450000000000001</v>
      </c>
    </row>
    <row r="73" spans="1:71">
      <c r="B73" s="263" t="s">
        <v>141</v>
      </c>
      <c r="C73" s="19">
        <f t="shared" si="27"/>
        <v>0.50150000000000006</v>
      </c>
      <c r="D73" s="19">
        <f t="shared" si="27"/>
        <v>-0.12250000000000005</v>
      </c>
      <c r="E73" s="19">
        <f t="shared" si="27"/>
        <v>-1.4000000000000012E-2</v>
      </c>
      <c r="F73" s="19">
        <f t="shared" si="27"/>
        <v>7.8999999999999959E-2</v>
      </c>
      <c r="G73" s="19">
        <f t="shared" si="27"/>
        <v>5.3000000000000158E-2</v>
      </c>
      <c r="H73" s="19">
        <f t="shared" si="27"/>
        <v>5.9499999999999886E-2</v>
      </c>
      <c r="I73" s="19">
        <f t="shared" si="27"/>
        <v>2.750000000000008E-2</v>
      </c>
      <c r="J73" s="19">
        <f t="shared" si="27"/>
        <v>0</v>
      </c>
      <c r="K73" s="19">
        <f t="shared" si="17"/>
        <v>0</v>
      </c>
      <c r="L73" s="19">
        <f t="shared" si="19"/>
        <v>-1.0000000000000009E-2</v>
      </c>
      <c r="M73" s="19">
        <f t="shared" si="20"/>
        <v>-1.0000000000000009E-2</v>
      </c>
      <c r="N73" s="19">
        <f t="shared" si="21"/>
        <v>0</v>
      </c>
      <c r="O73" s="19">
        <f t="shared" si="22"/>
        <v>-1.5000000000000124E-2</v>
      </c>
      <c r="P73" s="19">
        <f t="shared" si="23"/>
        <v>-1.4999999999999902E-2</v>
      </c>
      <c r="Q73" s="19">
        <f t="shared" si="24"/>
        <v>-0.13500000000000001</v>
      </c>
      <c r="R73" s="19">
        <f t="shared" si="25"/>
        <v>0</v>
      </c>
      <c r="S73" s="19">
        <f t="shared" si="26"/>
        <v>-5.0000000000000044E-2</v>
      </c>
      <c r="T73" s="19">
        <f t="shared" si="26"/>
        <v>0</v>
      </c>
      <c r="U73" s="19">
        <f t="shared" si="26"/>
        <v>0</v>
      </c>
      <c r="V73" s="19">
        <f t="shared" si="26"/>
        <v>0</v>
      </c>
      <c r="W73" s="19">
        <f t="shared" si="26"/>
        <v>9.000000000000008E-2</v>
      </c>
      <c r="X73" s="19">
        <f t="shared" si="26"/>
        <v>1.0000000000000009E-2</v>
      </c>
      <c r="Y73" s="19">
        <f t="shared" si="26"/>
        <v>2.4999999999999911E-2</v>
      </c>
      <c r="Z73" s="19">
        <f t="shared" si="26"/>
        <v>0</v>
      </c>
      <c r="AA73" s="19">
        <f t="shared" si="6"/>
        <v>-5.0000000000000044E-2</v>
      </c>
      <c r="AB73" s="19">
        <f t="shared" si="6"/>
        <v>-1.4999999999999902E-2</v>
      </c>
      <c r="AC73" s="19">
        <f t="shared" si="6"/>
        <v>0</v>
      </c>
      <c r="AD73" s="19">
        <f t="shared" si="6"/>
        <v>-6.0000000000000053E-2</v>
      </c>
      <c r="AE73" s="19">
        <f t="shared" si="6"/>
        <v>-7.9999999999999849E-2</v>
      </c>
      <c r="AF73" s="19">
        <f t="shared" si="6"/>
        <v>0</v>
      </c>
      <c r="AG73" s="19">
        <f t="shared" si="5"/>
        <v>-2.0000000000000018E-2</v>
      </c>
      <c r="AH73" s="19">
        <f t="shared" si="5"/>
        <v>-0.12000000000000011</v>
      </c>
      <c r="AI73" s="19">
        <f t="shared" si="5"/>
        <v>0</v>
      </c>
      <c r="AJ73" s="65"/>
      <c r="AL73" s="8">
        <f>1899/1000</f>
        <v>1.899</v>
      </c>
      <c r="AM73" s="20">
        <f>'Input RM sheet'!AP97/1000</f>
        <v>1.3975</v>
      </c>
      <c r="AN73" s="20">
        <f>'Input RM sheet'!AQ97/1000</f>
        <v>1.52</v>
      </c>
      <c r="AO73" s="20">
        <f>'Input RM sheet'!AR97/1000</f>
        <v>1.534</v>
      </c>
      <c r="AP73" s="20">
        <f>'Input RM sheet'!AS97/1000</f>
        <v>1.4550000000000001</v>
      </c>
      <c r="AQ73" s="20">
        <f>'Input RM sheet'!AT97/1000</f>
        <v>1.4019999999999999</v>
      </c>
      <c r="AR73" s="20">
        <f>'Input RM sheet'!AU97/1000</f>
        <v>1.3425</v>
      </c>
      <c r="AS73" s="20">
        <f>'Input RM sheet'!AV97/1000</f>
        <v>1.3149999999999999</v>
      </c>
      <c r="AT73" s="20">
        <f>'Input RM sheet'!AW97/1000</f>
        <v>1.3149999999999999</v>
      </c>
      <c r="AU73" s="20">
        <f>'Input RM sheet'!AX97/1000</f>
        <v>1.3149999999999999</v>
      </c>
      <c r="AV73" s="20">
        <f>'Input RM sheet'!AY97/1000</f>
        <v>1.325</v>
      </c>
      <c r="AW73" s="20">
        <f>'Input RM sheet'!AZ97/1000</f>
        <v>1.335</v>
      </c>
      <c r="AX73" s="20">
        <f>'Input RM sheet'!BA97/1000</f>
        <v>1.335</v>
      </c>
      <c r="AY73" s="20">
        <f>'Input RM sheet'!BB97/1000</f>
        <v>1.35</v>
      </c>
      <c r="AZ73" s="20">
        <f>'Input RM sheet'!BC97/1000</f>
        <v>1.365</v>
      </c>
      <c r="BA73" s="20">
        <f>'Input RM sheet'!BD97/1000</f>
        <v>1.5</v>
      </c>
      <c r="BB73" s="20">
        <f>'Input RM sheet'!BE97/1000</f>
        <v>1.5</v>
      </c>
      <c r="BC73" s="20">
        <f>'Input RM sheet'!BF97/1000</f>
        <v>1.55</v>
      </c>
      <c r="BD73" s="20">
        <f>'Input RM sheet'!BG97/1000</f>
        <v>1.55</v>
      </c>
      <c r="BE73" s="20">
        <f>'Input RM sheet'!BH97/1000</f>
        <v>1.55</v>
      </c>
      <c r="BF73" s="20">
        <f>'Input RM sheet'!BI97/1000</f>
        <v>1.55</v>
      </c>
      <c r="BG73" s="20">
        <f>'Input RM sheet'!BJ97/1000</f>
        <v>1.46</v>
      </c>
      <c r="BH73" s="20">
        <f>'Input RM sheet'!BK97/1000</f>
        <v>1.45</v>
      </c>
      <c r="BI73" s="20">
        <f>'Input RM sheet'!BL97/1000</f>
        <v>1.425</v>
      </c>
      <c r="BJ73" s="20">
        <f>'Input RM sheet'!BM97/1000</f>
        <v>1.425</v>
      </c>
      <c r="BK73" s="20">
        <f>'Input RM sheet'!BN97/1000</f>
        <v>1.4750000000000001</v>
      </c>
      <c r="BL73" s="20">
        <f>'Input RM sheet'!BO97/1000</f>
        <v>1.49</v>
      </c>
      <c r="BM73" s="20">
        <f>'Input RM sheet'!BP97/1000</f>
        <v>1.49</v>
      </c>
      <c r="BN73" s="20">
        <f>'Input RM sheet'!BQ97/1000</f>
        <v>1.55</v>
      </c>
      <c r="BO73" s="20">
        <f>'Input RM sheet'!BR97/1000</f>
        <v>1.63</v>
      </c>
      <c r="BP73" s="20">
        <f>'Input RM sheet'!BS97/1000</f>
        <v>1.63</v>
      </c>
      <c r="BQ73" s="20">
        <f>'Input RM sheet'!BT97/1000</f>
        <v>1.65</v>
      </c>
      <c r="BR73" s="20">
        <f>'Input RM sheet'!BU97/1000</f>
        <v>1.77</v>
      </c>
      <c r="BS73" s="20">
        <f>'Input RM sheet'!BV97/1000</f>
        <v>1.77</v>
      </c>
    </row>
    <row r="74" spans="1:71">
      <c r="B74" s="263" t="s">
        <v>142</v>
      </c>
      <c r="C74" s="19">
        <f t="shared" si="27"/>
        <v>0.6120000000000001</v>
      </c>
      <c r="D74" s="19">
        <f t="shared" si="27"/>
        <v>-5.7500000000000107E-2</v>
      </c>
      <c r="E74" s="19">
        <f t="shared" si="27"/>
        <v>-2.6499999999999968E-2</v>
      </c>
      <c r="F74" s="19">
        <f t="shared" si="27"/>
        <v>9.650000000000003E-2</v>
      </c>
      <c r="G74" s="19">
        <f t="shared" si="27"/>
        <v>7.1499999999999897E-2</v>
      </c>
      <c r="H74" s="19">
        <f t="shared" si="27"/>
        <v>9.6000000000000085E-2</v>
      </c>
      <c r="I74" s="19">
        <f t="shared" si="27"/>
        <v>4.500000000000004E-2</v>
      </c>
      <c r="J74" s="19">
        <f t="shared" si="27"/>
        <v>3.5000000000000031E-2</v>
      </c>
      <c r="K74" s="19">
        <f t="shared" si="17"/>
        <v>0</v>
      </c>
      <c r="L74" s="19">
        <f t="shared" si="19"/>
        <v>0</v>
      </c>
      <c r="M74" s="19">
        <f t="shared" si="20"/>
        <v>-3.5000000000000031E-2</v>
      </c>
      <c r="N74" s="19">
        <f t="shared" si="21"/>
        <v>0</v>
      </c>
      <c r="O74" s="19">
        <f t="shared" si="22"/>
        <v>-2.5000000000000022E-2</v>
      </c>
      <c r="P74" s="19">
        <f t="shared" si="23"/>
        <v>-0.10000000000000009</v>
      </c>
      <c r="Q74" s="19">
        <f t="shared" si="24"/>
        <v>0</v>
      </c>
      <c r="R74" s="19">
        <f t="shared" si="25"/>
        <v>0</v>
      </c>
      <c r="S74" s="19">
        <f t="shared" si="26"/>
        <v>0</v>
      </c>
      <c r="T74" s="19">
        <f t="shared" si="26"/>
        <v>0</v>
      </c>
      <c r="U74" s="19">
        <f t="shared" si="26"/>
        <v>0</v>
      </c>
      <c r="V74" s="19">
        <f t="shared" si="26"/>
        <v>2.5000000000000133E-2</v>
      </c>
      <c r="W74" s="19">
        <f t="shared" si="26"/>
        <v>0</v>
      </c>
      <c r="X74" s="19">
        <f t="shared" si="26"/>
        <v>1.0000000000000009E-2</v>
      </c>
      <c r="Y74" s="19">
        <f t="shared" si="26"/>
        <v>1.4999999999999902E-2</v>
      </c>
      <c r="Z74" s="19">
        <f t="shared" si="26"/>
        <v>3.0000000000000027E-2</v>
      </c>
      <c r="AA74" s="19">
        <f t="shared" si="6"/>
        <v>0</v>
      </c>
      <c r="AB74" s="19">
        <f t="shared" si="6"/>
        <v>0</v>
      </c>
      <c r="AC74" s="19">
        <f t="shared" si="6"/>
        <v>0</v>
      </c>
      <c r="AD74" s="19">
        <f t="shared" si="6"/>
        <v>0</v>
      </c>
      <c r="AE74" s="19">
        <f t="shared" si="6"/>
        <v>0</v>
      </c>
      <c r="AF74" s="19">
        <f t="shared" si="6"/>
        <v>0</v>
      </c>
      <c r="AG74" s="19">
        <f t="shared" si="5"/>
        <v>0</v>
      </c>
      <c r="AH74" s="19">
        <f t="shared" si="5"/>
        <v>0</v>
      </c>
      <c r="AI74" s="19">
        <f t="shared" si="5"/>
        <v>0</v>
      </c>
      <c r="AJ74" s="65"/>
      <c r="AL74" s="8">
        <f>1812/1000</f>
        <v>1.8120000000000001</v>
      </c>
      <c r="AM74" s="20">
        <f>'Input RM sheet'!AP98/1000</f>
        <v>1.2</v>
      </c>
      <c r="AN74" s="20">
        <f>'Input RM sheet'!AQ98/1000</f>
        <v>1.2575000000000001</v>
      </c>
      <c r="AO74" s="20">
        <f>'Input RM sheet'!AR98/1000</f>
        <v>1.284</v>
      </c>
      <c r="AP74" s="20">
        <f>'Input RM sheet'!AS98/1000</f>
        <v>1.1875</v>
      </c>
      <c r="AQ74" s="20">
        <f>'Input RM sheet'!AT98/1000</f>
        <v>1.1160000000000001</v>
      </c>
      <c r="AR74" s="20">
        <f>'Input RM sheet'!AU98/1000</f>
        <v>1.02</v>
      </c>
      <c r="AS74" s="20">
        <f>'Input RM sheet'!AV98/1000</f>
        <v>0.97499999999999998</v>
      </c>
      <c r="AT74" s="20">
        <f>'Input RM sheet'!AW98/1000</f>
        <v>0.94</v>
      </c>
      <c r="AU74" s="20">
        <f>'Input RM sheet'!AX98/1000</f>
        <v>0.94</v>
      </c>
      <c r="AV74" s="20">
        <f>'Input RM sheet'!AY98/1000</f>
        <v>0.94</v>
      </c>
      <c r="AW74" s="20">
        <f>'Input RM sheet'!AZ98/1000</f>
        <v>0.97499999999999998</v>
      </c>
      <c r="AX74" s="20">
        <f>'Input RM sheet'!BA98/1000</f>
        <v>0.97499999999999998</v>
      </c>
      <c r="AY74" s="20">
        <f>'Input RM sheet'!BB98/1000</f>
        <v>1</v>
      </c>
      <c r="AZ74" s="20">
        <f>'Input RM sheet'!BC98/1000</f>
        <v>1.1000000000000001</v>
      </c>
      <c r="BA74" s="20">
        <f>'Input RM sheet'!BD98/1000</f>
        <v>1.1000000000000001</v>
      </c>
      <c r="BB74" s="20">
        <f>'Input RM sheet'!BE98/1000</f>
        <v>1.1000000000000001</v>
      </c>
      <c r="BC74" s="20">
        <f>'Input RM sheet'!BF98/1000</f>
        <v>1.1000000000000001</v>
      </c>
      <c r="BD74" s="20">
        <f>'Input RM sheet'!BG98/1000</f>
        <v>1.1000000000000001</v>
      </c>
      <c r="BE74" s="20">
        <f>'Input RM sheet'!BH98/1000</f>
        <v>1.1000000000000001</v>
      </c>
      <c r="BF74" s="20">
        <f>'Input RM sheet'!BI98/1000</f>
        <v>1.075</v>
      </c>
      <c r="BG74" s="20">
        <f>'Input RM sheet'!BJ98/1000</f>
        <v>1.075</v>
      </c>
      <c r="BH74" s="20">
        <f>'Input RM sheet'!BK98/1000</f>
        <v>1.0649999999999999</v>
      </c>
      <c r="BI74" s="20">
        <f>'Input RM sheet'!BL98/1000</f>
        <v>1.05</v>
      </c>
      <c r="BJ74" s="20">
        <f>'Input RM sheet'!BM98/1000</f>
        <v>1.02</v>
      </c>
      <c r="BK74" s="20">
        <f>'Input RM sheet'!BN98/1000</f>
        <v>1.02</v>
      </c>
      <c r="BL74" s="20">
        <f>'Input RM sheet'!BO98/1000</f>
        <v>1.02</v>
      </c>
      <c r="BM74" s="20">
        <f>'Input RM sheet'!BP98/1000</f>
        <v>1.02</v>
      </c>
      <c r="BN74" s="20">
        <f>'Input RM sheet'!BQ98/1000</f>
        <v>1.02</v>
      </c>
      <c r="BO74" s="20">
        <f>'Input RM sheet'!BR98/1000</f>
        <v>1.02</v>
      </c>
      <c r="BP74" s="20">
        <f>'Input RM sheet'!BS98/1000</f>
        <v>1.02</v>
      </c>
      <c r="BQ74" s="20">
        <f>'Input RM sheet'!BT98/1000</f>
        <v>1.02</v>
      </c>
      <c r="BR74" s="20">
        <f>'Input RM sheet'!BU98/1000</f>
        <v>1.02</v>
      </c>
      <c r="BS74" s="20">
        <f>'Input RM sheet'!BV98/1000</f>
        <v>1.02</v>
      </c>
    </row>
    <row r="75" spans="1:71">
      <c r="B75" s="263" t="s">
        <v>143</v>
      </c>
      <c r="C75" s="19">
        <f>+AL75-AM75</f>
        <v>0.37924999999999986</v>
      </c>
      <c r="D75" s="19">
        <f>+AM75-AN75</f>
        <v>-0.10624999999999996</v>
      </c>
      <c r="E75" s="19">
        <f t="shared" si="27"/>
        <v>-6.0000000000000053E-2</v>
      </c>
      <c r="F75" s="19">
        <f t="shared" si="27"/>
        <v>0.16000000000000014</v>
      </c>
      <c r="G75" s="19">
        <f t="shared" si="27"/>
        <v>2.8999999999999915E-2</v>
      </c>
      <c r="H75" s="19">
        <f t="shared" si="27"/>
        <v>4.8499999999999988E-2</v>
      </c>
      <c r="I75" s="19">
        <f t="shared" si="27"/>
        <v>3.2499999999999973E-2</v>
      </c>
      <c r="J75" s="19">
        <f t="shared" si="27"/>
        <v>1.0000000000000009E-2</v>
      </c>
      <c r="K75" s="19">
        <f t="shared" si="17"/>
        <v>0</v>
      </c>
      <c r="L75" s="19">
        <f t="shared" si="19"/>
        <v>-2.0000000000000018E-2</v>
      </c>
      <c r="M75" s="19">
        <f t="shared" si="20"/>
        <v>-1.4999999999999902E-2</v>
      </c>
      <c r="N75" s="19">
        <f t="shared" si="21"/>
        <v>-1.0000000000000009E-2</v>
      </c>
      <c r="O75" s="19">
        <f t="shared" si="22"/>
        <v>-2.0000000000000018E-2</v>
      </c>
      <c r="P75" s="19">
        <f t="shared" si="23"/>
        <v>-6.0000000000000053E-2</v>
      </c>
      <c r="Q75" s="19">
        <f t="shared" si="24"/>
        <v>-2.0000000000000018E-2</v>
      </c>
      <c r="R75" s="19">
        <f t="shared" si="25"/>
        <v>-2.4999999999999911E-2</v>
      </c>
      <c r="S75" s="19">
        <f t="shared" si="26"/>
        <v>-1.5000000000000124E-2</v>
      </c>
      <c r="T75" s="19">
        <f t="shared" si="26"/>
        <v>1.5000000000000124E-2</v>
      </c>
      <c r="U75" s="19">
        <f t="shared" si="26"/>
        <v>0</v>
      </c>
      <c r="V75" s="19">
        <f t="shared" si="26"/>
        <v>1.0000000000000009E-2</v>
      </c>
      <c r="W75" s="19">
        <f t="shared" si="26"/>
        <v>4.0000000000000036E-2</v>
      </c>
      <c r="X75" s="19">
        <f t="shared" si="26"/>
        <v>2.9999999999999805E-2</v>
      </c>
      <c r="Y75" s="19">
        <f t="shared" si="26"/>
        <v>1.0000000000000009E-2</v>
      </c>
      <c r="Z75" s="19">
        <f t="shared" si="26"/>
        <v>0</v>
      </c>
      <c r="AA75" s="19">
        <f t="shared" si="6"/>
        <v>1.0000000000000009E-2</v>
      </c>
      <c r="AB75" s="19">
        <f t="shared" si="6"/>
        <v>0</v>
      </c>
      <c r="AC75" s="19">
        <f t="shared" si="6"/>
        <v>0</v>
      </c>
      <c r="AD75" s="19">
        <f t="shared" si="6"/>
        <v>-3.499999999999992E-2</v>
      </c>
      <c r="AE75" s="19">
        <f t="shared" si="6"/>
        <v>0</v>
      </c>
      <c r="AF75" s="19">
        <f t="shared" si="6"/>
        <v>0</v>
      </c>
      <c r="AG75" s="19">
        <f t="shared" si="5"/>
        <v>0</v>
      </c>
      <c r="AH75" s="19">
        <f t="shared" si="5"/>
        <v>-4.4999999999999929E-2</v>
      </c>
      <c r="AI75" s="19">
        <f t="shared" si="5"/>
        <v>0</v>
      </c>
      <c r="AJ75" s="65"/>
      <c r="AL75" s="8">
        <f>1648/1000</f>
        <v>1.6479999999999999</v>
      </c>
      <c r="AM75" s="20">
        <f>'Input RM sheet'!AP99/1000</f>
        <v>1.26875</v>
      </c>
      <c r="AN75" s="20">
        <f>'Input RM sheet'!AQ99/1000</f>
        <v>1.375</v>
      </c>
      <c r="AO75" s="20">
        <f>'Input RM sheet'!AR99/1000</f>
        <v>1.4350000000000001</v>
      </c>
      <c r="AP75" s="20">
        <f>'Input RM sheet'!AS99/1000</f>
        <v>1.2749999999999999</v>
      </c>
      <c r="AQ75" s="20">
        <f>'Input RM sheet'!AT99/1000</f>
        <v>1.246</v>
      </c>
      <c r="AR75" s="20">
        <f>'Input RM sheet'!AU99/1000</f>
        <v>1.1975</v>
      </c>
      <c r="AS75" s="20">
        <f>'Input RM sheet'!AV99/1000</f>
        <v>1.165</v>
      </c>
      <c r="AT75" s="20">
        <f>'Input RM sheet'!AW99/1000</f>
        <v>1.155</v>
      </c>
      <c r="AU75" s="20">
        <f>'Input RM sheet'!AX99/1000</f>
        <v>1.155</v>
      </c>
      <c r="AV75" s="20">
        <f>'Input RM sheet'!AY99/1000</f>
        <v>1.175</v>
      </c>
      <c r="AW75" s="20">
        <f>'Input RM sheet'!AZ99/1000</f>
        <v>1.19</v>
      </c>
      <c r="AX75" s="20">
        <f>'Input RM sheet'!BA99/1000</f>
        <v>1.2</v>
      </c>
      <c r="AY75" s="20">
        <f>'Input RM sheet'!BB99/1000</f>
        <v>1.22</v>
      </c>
      <c r="AZ75" s="20">
        <f>'Input RM sheet'!BC99/1000</f>
        <v>1.28</v>
      </c>
      <c r="BA75" s="20">
        <f>'Input RM sheet'!BD99/1000</f>
        <v>1.3</v>
      </c>
      <c r="BB75" s="20">
        <f>'Input RM sheet'!BE99/1000</f>
        <v>1.325</v>
      </c>
      <c r="BC75" s="20">
        <f>'Input RM sheet'!BF99/1000</f>
        <v>1.34</v>
      </c>
      <c r="BD75" s="20">
        <f>'Input RM sheet'!BG99/1000</f>
        <v>1.325</v>
      </c>
      <c r="BE75" s="20">
        <f>'Input RM sheet'!BH99/1000</f>
        <v>1.325</v>
      </c>
      <c r="BF75" s="20">
        <f>'Input RM sheet'!BI99/1000</f>
        <v>1.3149999999999999</v>
      </c>
      <c r="BG75" s="20">
        <f>'Input RM sheet'!BJ99/1000</f>
        <v>1.2749999999999999</v>
      </c>
      <c r="BH75" s="20">
        <f>'Input RM sheet'!BK99/1000</f>
        <v>1.2450000000000001</v>
      </c>
      <c r="BI75" s="20">
        <f>'Input RM sheet'!BL99/1000</f>
        <v>1.2350000000000001</v>
      </c>
      <c r="BJ75" s="20">
        <f>'Input RM sheet'!BM99/1000</f>
        <v>1.2350000000000001</v>
      </c>
      <c r="BK75" s="20">
        <f>'Input RM sheet'!BN99/1000</f>
        <v>1.2250000000000001</v>
      </c>
      <c r="BL75" s="20">
        <f>'Input RM sheet'!BO99/1000</f>
        <v>1.2250000000000001</v>
      </c>
      <c r="BM75" s="20">
        <f>'Input RM sheet'!BP99/1000</f>
        <v>1.2250000000000001</v>
      </c>
      <c r="BN75" s="20">
        <f>'Input RM sheet'!BQ99/1000</f>
        <v>1.26</v>
      </c>
      <c r="BO75" s="20">
        <f>'Input RM sheet'!BR99/1000</f>
        <v>1.26</v>
      </c>
      <c r="BP75" s="20">
        <f>'Input RM sheet'!BS99/1000</f>
        <v>1.26</v>
      </c>
      <c r="BQ75" s="20">
        <f>'Input RM sheet'!BT99/1000</f>
        <v>1.26</v>
      </c>
      <c r="BR75" s="20">
        <f>'Input RM sheet'!BU99/1000</f>
        <v>1.3049999999999999</v>
      </c>
      <c r="BS75" s="20">
        <f>'Input RM sheet'!BV99/1000</f>
        <v>1.3049999999999999</v>
      </c>
    </row>
    <row r="76" spans="1:71">
      <c r="B76" s="263" t="s">
        <v>144</v>
      </c>
      <c r="C76" s="19">
        <f t="shared" si="27"/>
        <v>0.56899999999999995</v>
      </c>
      <c r="D76" s="19">
        <f t="shared" si="27"/>
        <v>0</v>
      </c>
      <c r="E76" s="19">
        <f t="shared" si="27"/>
        <v>0</v>
      </c>
      <c r="F76" s="19">
        <f t="shared" si="27"/>
        <v>7.6249999999999929E-2</v>
      </c>
      <c r="G76" s="19">
        <f t="shared" si="27"/>
        <v>8.7500000000000355E-3</v>
      </c>
      <c r="H76" s="19">
        <f t="shared" si="27"/>
        <v>8.7499999999999911E-2</v>
      </c>
      <c r="I76" s="19">
        <f t="shared" si="27"/>
        <v>1.2500000000000178E-2</v>
      </c>
      <c r="J76" s="19">
        <f t="shared" si="27"/>
        <v>7.4999999999999956E-2</v>
      </c>
      <c r="K76" s="19">
        <f t="shared" si="17"/>
        <v>0</v>
      </c>
      <c r="L76" s="19">
        <f t="shared" ref="L76:Q76" si="28">+AU76-AV76</f>
        <v>2.4999999999999911E-2</v>
      </c>
      <c r="M76" s="19">
        <f t="shared" si="28"/>
        <v>0</v>
      </c>
      <c r="N76" s="19">
        <f t="shared" si="28"/>
        <v>0</v>
      </c>
      <c r="O76" s="19">
        <f t="shared" si="28"/>
        <v>0</v>
      </c>
      <c r="P76" s="19">
        <f t="shared" si="28"/>
        <v>0</v>
      </c>
      <c r="Q76" s="19">
        <f t="shared" si="28"/>
        <v>-5.0000000000000044E-2</v>
      </c>
      <c r="R76" s="19">
        <f t="shared" ref="R76:R83" si="29">+BA76-BB76</f>
        <v>0</v>
      </c>
      <c r="S76" s="19">
        <f t="shared" si="26"/>
        <v>0</v>
      </c>
      <c r="T76" s="19">
        <f t="shared" si="26"/>
        <v>0</v>
      </c>
      <c r="U76" s="19">
        <f t="shared" si="26"/>
        <v>0</v>
      </c>
      <c r="V76" s="19">
        <f t="shared" si="26"/>
        <v>0</v>
      </c>
      <c r="W76" s="19">
        <f t="shared" si="26"/>
        <v>0</v>
      </c>
      <c r="X76" s="19">
        <f t="shared" si="26"/>
        <v>0</v>
      </c>
      <c r="Y76" s="19">
        <f t="shared" si="26"/>
        <v>0</v>
      </c>
      <c r="Z76" s="19">
        <f t="shared" si="26"/>
        <v>1.0000000000000009E-2</v>
      </c>
      <c r="AA76" s="19">
        <f t="shared" si="6"/>
        <v>0</v>
      </c>
      <c r="AB76" s="19">
        <f t="shared" si="6"/>
        <v>0</v>
      </c>
      <c r="AC76" s="19">
        <f t="shared" si="6"/>
        <v>0</v>
      </c>
      <c r="AD76" s="19">
        <f t="shared" si="6"/>
        <v>0</v>
      </c>
      <c r="AE76" s="19">
        <f t="shared" si="6"/>
        <v>0</v>
      </c>
      <c r="AF76" s="19">
        <f t="shared" si="6"/>
        <v>0</v>
      </c>
      <c r="AG76" s="19">
        <f t="shared" si="5"/>
        <v>0</v>
      </c>
      <c r="AH76" s="19">
        <f t="shared" si="5"/>
        <v>5.0000000000000044E-2</v>
      </c>
      <c r="AI76" s="19">
        <f t="shared" si="5"/>
        <v>0</v>
      </c>
      <c r="AJ76" s="65"/>
      <c r="AL76" s="8">
        <f>2279/1000</f>
        <v>2.2789999999999999</v>
      </c>
      <c r="AM76" s="20">
        <f>'Input RM sheet'!AP100/1000</f>
        <v>1.71</v>
      </c>
      <c r="AN76" s="20">
        <f>'Input RM sheet'!AQ100/1000</f>
        <v>1.71</v>
      </c>
      <c r="AO76" s="20">
        <f>'Input RM sheet'!AR100/1000</f>
        <v>1.71</v>
      </c>
      <c r="AP76" s="20">
        <f>'Input RM sheet'!AS100/1000</f>
        <v>1.63375</v>
      </c>
      <c r="AQ76" s="20">
        <f>'Input RM sheet'!AT100/1000</f>
        <v>1.625</v>
      </c>
      <c r="AR76" s="20">
        <f>'Input RM sheet'!AU100/1000</f>
        <v>1.5375000000000001</v>
      </c>
      <c r="AS76" s="20">
        <f>'Input RM sheet'!AV100/1000</f>
        <v>1.5249999999999999</v>
      </c>
      <c r="AT76" s="20">
        <f>'Input RM sheet'!AW100/1000</f>
        <v>1.45</v>
      </c>
      <c r="AU76" s="20">
        <f>'Input RM sheet'!AX100/1000</f>
        <v>1.45</v>
      </c>
      <c r="AV76" s="20">
        <f>'Input RM sheet'!AY100/1000</f>
        <v>1.425</v>
      </c>
      <c r="AW76" s="20">
        <f>'Input RM sheet'!AZ100/1000</f>
        <v>1.425</v>
      </c>
      <c r="AX76" s="20">
        <f>'Input RM sheet'!BA100/1000</f>
        <v>1.425</v>
      </c>
      <c r="AY76" s="20">
        <f>'Input RM sheet'!BB100/1000</f>
        <v>1.425</v>
      </c>
      <c r="AZ76" s="20">
        <f>'Input RM sheet'!BC100/1000</f>
        <v>1.425</v>
      </c>
      <c r="BA76" s="20">
        <f>'Input RM sheet'!BD100/1000</f>
        <v>1.4750000000000001</v>
      </c>
      <c r="BB76" s="20">
        <f>'Input RM sheet'!BE100/1000</f>
        <v>1.4750000000000001</v>
      </c>
      <c r="BC76" s="20">
        <f>'Input RM sheet'!BF100/1000</f>
        <v>1.4750000000000001</v>
      </c>
      <c r="BD76" s="20">
        <f>'Input RM sheet'!BG100/1000</f>
        <v>1.4750000000000001</v>
      </c>
      <c r="BE76" s="20">
        <f>'Input RM sheet'!BH100/1000</f>
        <v>1.4750000000000001</v>
      </c>
      <c r="BF76" s="20">
        <f>'Input RM sheet'!BI100/1000</f>
        <v>1.4750000000000001</v>
      </c>
      <c r="BG76" s="20">
        <f>'Input RM sheet'!BJ100/1000</f>
        <v>1.4750000000000001</v>
      </c>
      <c r="BH76" s="20">
        <f>'Input RM sheet'!BK100/1000</f>
        <v>1.4750000000000001</v>
      </c>
      <c r="BI76" s="20">
        <f>'Input RM sheet'!BL100/1000</f>
        <v>1.4750000000000001</v>
      </c>
      <c r="BJ76" s="20">
        <f>'Input RM sheet'!BM100/1000</f>
        <v>1.4650000000000001</v>
      </c>
      <c r="BK76" s="20">
        <f>'Input RM sheet'!BN100/1000</f>
        <v>1.4650000000000001</v>
      </c>
      <c r="BL76" s="20">
        <f>'Input RM sheet'!BO100/1000</f>
        <v>1.4650000000000001</v>
      </c>
      <c r="BM76" s="20">
        <f>'Input RM sheet'!BP100/1000</f>
        <v>1.4650000000000001</v>
      </c>
      <c r="BN76" s="20">
        <f>'Input RM sheet'!BQ100/1000</f>
        <v>1.4650000000000001</v>
      </c>
      <c r="BO76" s="20">
        <f>'Input RM sheet'!BR100/1000</f>
        <v>1.4650000000000001</v>
      </c>
      <c r="BP76" s="20">
        <f>'Input RM sheet'!BS100/1000</f>
        <v>1.4650000000000001</v>
      </c>
      <c r="BQ76" s="20">
        <f>'Input RM sheet'!BT100/1000</f>
        <v>1.4650000000000001</v>
      </c>
      <c r="BR76" s="20">
        <f>'Input RM sheet'!BU100/1000</f>
        <v>1.415</v>
      </c>
      <c r="BS76" s="20">
        <f>'Input RM sheet'!BV100/1000</f>
        <v>1.415</v>
      </c>
    </row>
    <row r="77" spans="1:71">
      <c r="B77" s="263" t="s">
        <v>82</v>
      </c>
      <c r="C77" s="19">
        <f t="shared" si="27"/>
        <v>0.59349999999999992</v>
      </c>
      <c r="D77" s="19">
        <f t="shared" si="27"/>
        <v>-7.5000000000000622E-3</v>
      </c>
      <c r="E77" s="19">
        <f t="shared" si="27"/>
        <v>8.0000000000000071E-3</v>
      </c>
      <c r="F77" s="19">
        <f t="shared" si="27"/>
        <v>7.3250000000000037E-2</v>
      </c>
      <c r="G77" s="19">
        <f t="shared" si="27"/>
        <v>3.7500000000001421E-3</v>
      </c>
      <c r="H77" s="19">
        <f t="shared" si="27"/>
        <v>3.9999999999999813E-2</v>
      </c>
      <c r="I77" s="19">
        <f t="shared" si="27"/>
        <v>0</v>
      </c>
      <c r="J77" s="19">
        <f t="shared" si="27"/>
        <v>7.5000000000000178E-2</v>
      </c>
      <c r="K77" s="19">
        <f t="shared" si="27"/>
        <v>0</v>
      </c>
      <c r="L77" s="19">
        <f t="shared" si="27"/>
        <v>2.4999999999999911E-2</v>
      </c>
      <c r="M77" s="19">
        <f t="shared" si="27"/>
        <v>0</v>
      </c>
      <c r="N77" s="19">
        <f t="shared" si="27"/>
        <v>0</v>
      </c>
      <c r="O77" s="19">
        <f t="shared" si="27"/>
        <v>0</v>
      </c>
      <c r="P77" s="19">
        <f t="shared" si="27"/>
        <v>0</v>
      </c>
      <c r="Q77" s="19">
        <f t="shared" si="27"/>
        <v>-5.0000000000000044E-2</v>
      </c>
      <c r="R77" s="19">
        <f t="shared" si="29"/>
        <v>0</v>
      </c>
      <c r="S77" s="19">
        <f t="shared" si="26"/>
        <v>0</v>
      </c>
      <c r="T77" s="19">
        <f t="shared" si="26"/>
        <v>0</v>
      </c>
      <c r="U77" s="19">
        <f t="shared" si="26"/>
        <v>0</v>
      </c>
      <c r="V77" s="19">
        <f t="shared" si="26"/>
        <v>0</v>
      </c>
      <c r="W77" s="19">
        <f t="shared" si="26"/>
        <v>0</v>
      </c>
      <c r="X77" s="19">
        <f t="shared" si="26"/>
        <v>0</v>
      </c>
      <c r="Y77" s="19">
        <f t="shared" si="26"/>
        <v>0</v>
      </c>
      <c r="Z77" s="19">
        <f t="shared" si="26"/>
        <v>1.0000000000000009E-2</v>
      </c>
      <c r="AA77" s="19">
        <f t="shared" si="6"/>
        <v>0</v>
      </c>
      <c r="AB77" s="19">
        <f t="shared" si="6"/>
        <v>0</v>
      </c>
      <c r="AC77" s="19">
        <f t="shared" si="6"/>
        <v>0</v>
      </c>
      <c r="AD77" s="19">
        <f t="shared" si="6"/>
        <v>0</v>
      </c>
      <c r="AE77" s="19">
        <f t="shared" si="6"/>
        <v>0</v>
      </c>
      <c r="AF77" s="19">
        <f t="shared" si="6"/>
        <v>0</v>
      </c>
      <c r="AG77" s="19">
        <f t="shared" si="5"/>
        <v>0</v>
      </c>
      <c r="AH77" s="19">
        <f t="shared" si="5"/>
        <v>0</v>
      </c>
      <c r="AI77" s="19">
        <f t="shared" si="5"/>
        <v>0</v>
      </c>
      <c r="AJ77" s="65"/>
      <c r="AL77" s="8">
        <f>2186/1000</f>
        <v>2.1859999999999999</v>
      </c>
      <c r="AM77" s="20">
        <f>'Input RM sheet'!AP101/1000</f>
        <v>1.5925</v>
      </c>
      <c r="AN77" s="20">
        <f>'Input RM sheet'!AQ101/1000</f>
        <v>1.6</v>
      </c>
      <c r="AO77" s="20">
        <f>'Input RM sheet'!AR101/1000</f>
        <v>1.5920000000000001</v>
      </c>
      <c r="AP77" s="20">
        <f>'Input RM sheet'!AS101/1000</f>
        <v>1.51875</v>
      </c>
      <c r="AQ77" s="20">
        <f>'Input RM sheet'!AT101/1000</f>
        <v>1.5149999999999999</v>
      </c>
      <c r="AR77" s="20">
        <f>'Input RM sheet'!AU101/1000</f>
        <v>1.4750000000000001</v>
      </c>
      <c r="AS77" s="20">
        <f>'Input RM sheet'!AV101/1000</f>
        <v>1.4750000000000001</v>
      </c>
      <c r="AT77" s="20">
        <f>'Input RM sheet'!AW101/1000</f>
        <v>1.4</v>
      </c>
      <c r="AU77" s="20">
        <f>'Input RM sheet'!AX101/1000</f>
        <v>1.4</v>
      </c>
      <c r="AV77" s="20">
        <f>'Input RM sheet'!AY101/1000</f>
        <v>1.375</v>
      </c>
      <c r="AW77" s="20">
        <f>'Input RM sheet'!AZ101/1000</f>
        <v>1.375</v>
      </c>
      <c r="AX77" s="20">
        <f>'Input RM sheet'!BA101/1000</f>
        <v>1.375</v>
      </c>
      <c r="AY77" s="20">
        <f>'Input RM sheet'!BB101/1000</f>
        <v>1.375</v>
      </c>
      <c r="AZ77" s="20">
        <f>'Input RM sheet'!BC101/1000</f>
        <v>1.375</v>
      </c>
      <c r="BA77" s="20">
        <f>'Input RM sheet'!BD101/1000</f>
        <v>1.425</v>
      </c>
      <c r="BB77" s="20">
        <f>'Input RM sheet'!BE101/1000</f>
        <v>1.425</v>
      </c>
      <c r="BC77" s="20">
        <f>'Input RM sheet'!BF101/1000</f>
        <v>1.425</v>
      </c>
      <c r="BD77" s="20">
        <f>'Input RM sheet'!BG101/1000</f>
        <v>1.425</v>
      </c>
      <c r="BE77" s="20">
        <f>'Input RM sheet'!BH101/1000</f>
        <v>1.425</v>
      </c>
      <c r="BF77" s="20">
        <f>'Input RM sheet'!BI101/1000</f>
        <v>1.425</v>
      </c>
      <c r="BG77" s="20">
        <f>'Input RM sheet'!BJ101/1000</f>
        <v>1.425</v>
      </c>
      <c r="BH77" s="20">
        <f>'Input RM sheet'!BK101/1000</f>
        <v>1.425</v>
      </c>
      <c r="BI77" s="20">
        <f>'Input RM sheet'!BL101/1000</f>
        <v>1.425</v>
      </c>
      <c r="BJ77" s="20">
        <f>'Input RM sheet'!BM101/1000</f>
        <v>1.415</v>
      </c>
      <c r="BK77" s="20">
        <f>'Input RM sheet'!BN101/1000</f>
        <v>1.415</v>
      </c>
      <c r="BL77" s="20">
        <f>'Input RM sheet'!BO101/1000</f>
        <v>1.415</v>
      </c>
      <c r="BM77" s="20">
        <f>'Input RM sheet'!BP101/1000</f>
        <v>1.415</v>
      </c>
      <c r="BN77" s="20">
        <f>'Input RM sheet'!BQ101/1000</f>
        <v>1.415</v>
      </c>
      <c r="BO77" s="20">
        <f>'Input RM sheet'!BR101/1000</f>
        <v>1.415</v>
      </c>
      <c r="BP77" s="20">
        <f>'Input RM sheet'!BS101/1000</f>
        <v>1.415</v>
      </c>
      <c r="BQ77" s="20">
        <f>'Input RM sheet'!BT101/1000</f>
        <v>1.415</v>
      </c>
      <c r="BR77" s="20">
        <f>'Input RM sheet'!BU101/1000</f>
        <v>1.415</v>
      </c>
      <c r="BS77" s="20">
        <f>'Input RM sheet'!BV101/1000</f>
        <v>1.415</v>
      </c>
    </row>
    <row r="78" spans="1:71" ht="15">
      <c r="A78" s="8" t="s">
        <v>203</v>
      </c>
      <c r="B78" s="45" t="s">
        <v>266</v>
      </c>
      <c r="C78" s="19">
        <f t="shared" ref="C78:C83" si="30">+AL78-AM78</f>
        <v>-0.38633064017961405</v>
      </c>
      <c r="D78" s="19">
        <f t="shared" si="27"/>
        <v>-0.25297780418268934</v>
      </c>
      <c r="E78" s="19">
        <f t="shared" si="27"/>
        <v>-9.8497239332957509E-2</v>
      </c>
      <c r="F78" s="19">
        <f t="shared" si="27"/>
        <v>0.26305556488770332</v>
      </c>
      <c r="G78" s="19">
        <f t="shared" si="27"/>
        <v>-3.3611517164697791E-2</v>
      </c>
      <c r="H78" s="19">
        <f t="shared" si="27"/>
        <v>6.339720772307933E-2</v>
      </c>
      <c r="I78" s="19">
        <f t="shared" si="27"/>
        <v>0.18624608830410416</v>
      </c>
      <c r="J78" s="19">
        <f t="shared" si="27"/>
        <v>0</v>
      </c>
      <c r="K78" s="19">
        <f t="shared" si="27"/>
        <v>-4.7096556810090284E-2</v>
      </c>
      <c r="L78" s="19">
        <f t="shared" si="27"/>
        <v>-1.3891768261237392E-2</v>
      </c>
      <c r="M78" s="19">
        <f t="shared" si="27"/>
        <v>-8.7401622722740768E-2</v>
      </c>
      <c r="N78" s="19">
        <f t="shared" si="27"/>
        <v>-4.1360507528111601E-2</v>
      </c>
      <c r="O78" s="19">
        <f t="shared" si="27"/>
        <v>-1.3763623975983297E-2</v>
      </c>
      <c r="P78" s="19">
        <f t="shared" si="27"/>
        <v>1.4415431491799247E-2</v>
      </c>
      <c r="Q78" s="19">
        <f t="shared" si="27"/>
        <v>-9.5153364414950481E-2</v>
      </c>
      <c r="R78" s="19">
        <f t="shared" si="29"/>
        <v>-0.14794847226276264</v>
      </c>
      <c r="S78" s="19">
        <f t="shared" si="26"/>
        <v>2.0971490745602672E-3</v>
      </c>
      <c r="T78" s="19">
        <f t="shared" si="26"/>
        <v>-5.1824463571341628E-2</v>
      </c>
      <c r="U78" s="19">
        <f t="shared" si="26"/>
        <v>0</v>
      </c>
      <c r="V78" s="19">
        <f t="shared" si="26"/>
        <v>-2.1953418596193597E-2</v>
      </c>
      <c r="W78" s="19">
        <f>+BF78-BG78</f>
        <v>0.27713317010278082</v>
      </c>
      <c r="X78" s="19">
        <f>+BG78-BH78</f>
        <v>1.8107464309009558E-3</v>
      </c>
      <c r="Y78" s="19">
        <f>+BH78-BI78</f>
        <v>-4.6686777241403021E-2</v>
      </c>
      <c r="Z78" s="19">
        <f t="shared" si="26"/>
        <v>-0.10610751960384146</v>
      </c>
      <c r="AA78" s="19">
        <f t="shared" si="6"/>
        <v>0</v>
      </c>
      <c r="AB78" s="19">
        <f t="shared" si="6"/>
        <v>-3.3272111275125749E-2</v>
      </c>
      <c r="AC78" s="19">
        <f t="shared" si="6"/>
        <v>0.2027390789295902</v>
      </c>
      <c r="AD78" s="19">
        <f t="shared" si="6"/>
        <v>5.007120363778883E-2</v>
      </c>
      <c r="AE78" s="19">
        <f t="shared" si="6"/>
        <v>2.677376295210232E-2</v>
      </c>
      <c r="AF78" s="19">
        <f t="shared" si="6"/>
        <v>-6.6793359292454113E-2</v>
      </c>
      <c r="AG78" s="19">
        <f t="shared" si="5"/>
        <v>-7.0540540445516164E-3</v>
      </c>
      <c r="AH78" s="19">
        <f t="shared" si="5"/>
        <v>7.9926461423407869E-2</v>
      </c>
      <c r="AI78" s="19">
        <f t="shared" si="5"/>
        <v>4.8644381952467342E-4</v>
      </c>
      <c r="AJ78" s="65"/>
      <c r="AL78" s="8">
        <v>1.89</v>
      </c>
      <c r="AM78" s="20">
        <f>'n-methylaniline'!AS18</f>
        <v>2.276330640179614</v>
      </c>
      <c r="AN78" s="20">
        <f>'n-methylaniline'!AT18</f>
        <v>2.5293084443623033</v>
      </c>
      <c r="AO78" s="20">
        <f>'n-methylaniline'!AU18</f>
        <v>2.6278056836952608</v>
      </c>
      <c r="AP78" s="20">
        <f>'n-methylaniline'!AV18</f>
        <v>2.3647501188075575</v>
      </c>
      <c r="AQ78" s="20">
        <f>'n-methylaniline'!AW18</f>
        <v>2.3983616359722553</v>
      </c>
      <c r="AR78" s="20">
        <f>'n-methylaniline'!AX18</f>
        <v>2.3349644282491759</v>
      </c>
      <c r="AS78" s="20">
        <f>'n-methylaniline'!AY18</f>
        <v>2.1487183399450718</v>
      </c>
      <c r="AT78" s="20">
        <f>'n-methylaniline'!AZ18</f>
        <v>2.1487183399450718</v>
      </c>
      <c r="AU78" s="20">
        <f>'n-methylaniline'!BA18</f>
        <v>2.1958148967551621</v>
      </c>
      <c r="AV78" s="20">
        <f>'n-methylaniline'!BB18</f>
        <v>2.2097066650163995</v>
      </c>
      <c r="AW78" s="20">
        <f>'n-methylaniline'!BC18</f>
        <v>2.2971082877391402</v>
      </c>
      <c r="AX78" s="20">
        <f>'n-methylaniline'!BD18</f>
        <v>2.3384687952672518</v>
      </c>
      <c r="AY78" s="20">
        <f>'n-methylaniline'!BE18</f>
        <v>2.3522324192432351</v>
      </c>
      <c r="AZ78" s="20">
        <f>'n-methylaniline'!BF18</f>
        <v>2.3378169877514359</v>
      </c>
      <c r="BA78" s="20">
        <f>'n-methylaniline'!BG18</f>
        <v>2.4329703521663864</v>
      </c>
      <c r="BB78" s="20">
        <f>'n-methylaniline'!BH18</f>
        <v>2.580918824429149</v>
      </c>
      <c r="BC78" s="20">
        <f>'n-methylaniline'!BI18</f>
        <v>2.5788216753545887</v>
      </c>
      <c r="BD78" s="20">
        <f>'n-methylaniline'!BJ18</f>
        <v>2.6306461389259304</v>
      </c>
      <c r="BE78" s="20">
        <f>'n-methylaniline'!BK18</f>
        <v>2.6306461389259304</v>
      </c>
      <c r="BF78" s="20">
        <f>'n-methylaniline'!BL18</f>
        <v>2.652599557522124</v>
      </c>
      <c r="BG78" s="20">
        <f>'n-methylaniline'!BM18</f>
        <v>2.3754663874193431</v>
      </c>
      <c r="BH78" s="20">
        <f>'n-methylaniline'!BN18</f>
        <v>2.3736556409884422</v>
      </c>
      <c r="BI78" s="20">
        <f>'n-methylaniline'!BO18</f>
        <v>2.4203424182298452</v>
      </c>
      <c r="BJ78" s="20">
        <f>'n-methylaniline'!BP18</f>
        <v>2.5264499378336867</v>
      </c>
      <c r="BK78" s="20">
        <f>'n-methylaniline'!BQ18</f>
        <v>2.5264499378336867</v>
      </c>
      <c r="BL78" s="20">
        <f>'n-methylaniline'!BR18</f>
        <v>2.5597220491088124</v>
      </c>
      <c r="BM78" s="20">
        <f>'n-methylaniline'!BS18</f>
        <v>2.3569829701792222</v>
      </c>
      <c r="BN78" s="20">
        <f>'n-methylaniline'!BT18</f>
        <v>2.3069117665414334</v>
      </c>
      <c r="BO78" s="20">
        <f>'n-methylaniline'!BU18</f>
        <v>2.2801380035893311</v>
      </c>
      <c r="BP78" s="20">
        <f>'n-methylaniline'!BV18</f>
        <v>2.3469313628817852</v>
      </c>
      <c r="BQ78" s="20">
        <f>'n-methylaniline'!BW18</f>
        <v>2.3539854169263368</v>
      </c>
      <c r="BR78" s="20">
        <f>'n-methylaniline'!BX18</f>
        <v>2.2740589555029289</v>
      </c>
      <c r="BS78" s="20">
        <f>'n-methylaniline'!BY18</f>
        <v>2.2735725116834042</v>
      </c>
    </row>
    <row r="79" spans="1:71" ht="15">
      <c r="A79" s="8" t="s">
        <v>229</v>
      </c>
      <c r="B79" s="45" t="s">
        <v>267</v>
      </c>
      <c r="C79" s="19">
        <f t="shared" si="30"/>
        <v>7.3999999999999955E-2</v>
      </c>
      <c r="D79" s="19">
        <f t="shared" si="27"/>
        <v>-6.9999999999999951E-2</v>
      </c>
      <c r="E79" s="19">
        <f t="shared" si="27"/>
        <v>4.1999999999999926E-2</v>
      </c>
      <c r="F79" s="19">
        <f t="shared" si="27"/>
        <v>-1.3999999999999901E-2</v>
      </c>
      <c r="G79" s="19">
        <f t="shared" si="27"/>
        <v>3.499999999999992E-2</v>
      </c>
      <c r="H79" s="19">
        <f t="shared" si="27"/>
        <v>9.8000000000000087E-2</v>
      </c>
      <c r="I79" s="19">
        <f t="shared" si="27"/>
        <v>1.3999999999999901E-2</v>
      </c>
      <c r="J79" s="19">
        <f t="shared" si="27"/>
        <v>0</v>
      </c>
      <c r="K79" s="19">
        <f t="shared" si="27"/>
        <v>-1.6799999999999926E-2</v>
      </c>
      <c r="L79" s="19">
        <f t="shared" si="27"/>
        <v>-1.6800000000000037E-2</v>
      </c>
      <c r="M79" s="19">
        <f t="shared" si="27"/>
        <v>-4.9000000000000155E-3</v>
      </c>
      <c r="N79" s="19">
        <f t="shared" si="27"/>
        <v>-2.7999999999999914E-2</v>
      </c>
      <c r="O79" s="19">
        <f t="shared" si="27"/>
        <v>-2.0300000000000096E-2</v>
      </c>
      <c r="P79" s="19">
        <f t="shared" si="27"/>
        <v>0</v>
      </c>
      <c r="Q79" s="19">
        <f t="shared" si="27"/>
        <v>8.4000000000000741E-3</v>
      </c>
      <c r="R79" s="19">
        <f t="shared" si="29"/>
        <v>8.3999999999999631E-3</v>
      </c>
      <c r="S79" s="19">
        <f t="shared" si="26"/>
        <v>1.1199999999999988E-2</v>
      </c>
      <c r="T79" s="19">
        <f t="shared" si="26"/>
        <v>6.2999999999999723E-3</v>
      </c>
      <c r="U79" s="19">
        <f t="shared" si="26"/>
        <v>0</v>
      </c>
      <c r="V79" s="19">
        <f t="shared" si="26"/>
        <v>4.1999999999999815E-3</v>
      </c>
      <c r="W79" s="19">
        <f t="shared" si="26"/>
        <v>0</v>
      </c>
      <c r="X79" s="19">
        <f t="shared" si="26"/>
        <v>3.5000000000000586E-3</v>
      </c>
      <c r="Y79" s="19">
        <f t="shared" si="26"/>
        <v>0</v>
      </c>
      <c r="Z79" s="19">
        <f t="shared" si="26"/>
        <v>-3.5000000000000586E-3</v>
      </c>
      <c r="AA79" s="19">
        <f t="shared" si="6"/>
        <v>0</v>
      </c>
      <c r="AB79" s="19">
        <f t="shared" si="6"/>
        <v>-3.4999999999999476E-3</v>
      </c>
      <c r="AC79" s="19">
        <f t="shared" si="6"/>
        <v>3.4999999999999476E-3</v>
      </c>
      <c r="AD79" s="19">
        <f t="shared" si="6"/>
        <v>0</v>
      </c>
      <c r="AE79" s="19">
        <f t="shared" si="6"/>
        <v>7.0000000000003393E-4</v>
      </c>
      <c r="AF79" s="19">
        <f t="shared" si="6"/>
        <v>-4.1999999999999815E-3</v>
      </c>
      <c r="AG79" s="19">
        <f t="shared" si="5"/>
        <v>-2.3799999999999932E-2</v>
      </c>
      <c r="AH79" s="19">
        <f t="shared" si="5"/>
        <v>-5.7400000000000118E-2</v>
      </c>
      <c r="AI79" s="19">
        <f t="shared" si="5"/>
        <v>-1.3999999999999901E-2</v>
      </c>
      <c r="AJ79" s="65"/>
      <c r="AL79" s="8">
        <v>0.94</v>
      </c>
      <c r="AM79" s="20">
        <f>'N butanol'!AS16</f>
        <v>0.86599999999999999</v>
      </c>
      <c r="AN79" s="20">
        <f>'N butanol'!AT16</f>
        <v>0.93599999999999994</v>
      </c>
      <c r="AO79" s="20">
        <f>'N butanol'!AU16</f>
        <v>0.89400000000000002</v>
      </c>
      <c r="AP79" s="20">
        <f>'N butanol'!AV16</f>
        <v>0.90799999999999992</v>
      </c>
      <c r="AQ79" s="20">
        <f>'N butanol'!AW16</f>
        <v>0.873</v>
      </c>
      <c r="AR79" s="20">
        <f>'N butanol'!AX16</f>
        <v>0.77499999999999991</v>
      </c>
      <c r="AS79" s="20">
        <f>'N butanol'!AY16</f>
        <v>0.76100000000000001</v>
      </c>
      <c r="AT79" s="20">
        <f>'N butanol'!AZ16</f>
        <v>0.76100000000000001</v>
      </c>
      <c r="AU79" s="20">
        <f>'N butanol'!BA16</f>
        <v>0.77779999999999994</v>
      </c>
      <c r="AV79" s="20">
        <f>'N butanol'!BB16</f>
        <v>0.79459999999999997</v>
      </c>
      <c r="AW79" s="20">
        <f>'N butanol'!BC16</f>
        <v>0.79949999999999999</v>
      </c>
      <c r="AX79" s="20">
        <f>'N butanol'!BD16</f>
        <v>0.8274999999999999</v>
      </c>
      <c r="AY79" s="20">
        <f>'N butanol'!BE16</f>
        <v>0.8478</v>
      </c>
      <c r="AZ79" s="20">
        <f>'N butanol'!BF16</f>
        <v>0.8478</v>
      </c>
      <c r="BA79" s="20">
        <f>'N butanol'!BG16</f>
        <v>0.83939999999999992</v>
      </c>
      <c r="BB79" s="20">
        <f>'N butanol'!BH16</f>
        <v>0.83099999999999996</v>
      </c>
      <c r="BC79" s="20">
        <f>'N butanol'!BI16</f>
        <v>0.81979999999999997</v>
      </c>
      <c r="BD79" s="20">
        <f>'N butanol'!BJ16</f>
        <v>0.8135</v>
      </c>
      <c r="BE79" s="20">
        <f>'N butanol'!BK16</f>
        <v>0.8135</v>
      </c>
      <c r="BF79" s="20">
        <f>'N butanol'!BL16</f>
        <v>0.80930000000000002</v>
      </c>
      <c r="BG79" s="20">
        <f>'N butanol'!BM16</f>
        <v>0.80930000000000002</v>
      </c>
      <c r="BH79" s="20">
        <f>'N butanol'!BN16</f>
        <v>0.80579999999999996</v>
      </c>
      <c r="BI79" s="20">
        <f>'N butanol'!BO16</f>
        <v>0.80579999999999996</v>
      </c>
      <c r="BJ79" s="20">
        <f>'N butanol'!BP16</f>
        <v>0.80930000000000002</v>
      </c>
      <c r="BK79" s="20">
        <f>'N butanol'!BQ16</f>
        <v>0.80930000000000002</v>
      </c>
      <c r="BL79" s="20">
        <f>'N butanol'!BR16</f>
        <v>0.81279999999999997</v>
      </c>
      <c r="BM79" s="20">
        <f>'N butanol'!BS16</f>
        <v>0.80930000000000002</v>
      </c>
      <c r="BN79" s="20">
        <f>'N butanol'!BT16</f>
        <v>0.80930000000000002</v>
      </c>
      <c r="BO79" s="20">
        <f>'N butanol'!BU16</f>
        <v>0.80859999999999999</v>
      </c>
      <c r="BP79" s="20">
        <f>'N butanol'!BV16</f>
        <v>0.81279999999999997</v>
      </c>
      <c r="BQ79" s="20">
        <f>'N butanol'!BW16</f>
        <v>0.8365999999999999</v>
      </c>
      <c r="BR79" s="20">
        <f>'N butanol'!BX16</f>
        <v>0.89400000000000002</v>
      </c>
      <c r="BS79" s="20">
        <f>'N butanol'!BY16</f>
        <v>0.90799999999999992</v>
      </c>
    </row>
    <row r="80" spans="1:71" ht="15">
      <c r="A80" s="8" t="s">
        <v>229</v>
      </c>
      <c r="B80" s="45" t="s">
        <v>106</v>
      </c>
      <c r="C80" s="19">
        <f t="shared" si="30"/>
        <v>7.4000000000000066E-2</v>
      </c>
      <c r="D80" s="19">
        <f t="shared" si="27"/>
        <v>-7.0000000000000062E-2</v>
      </c>
      <c r="E80" s="19">
        <f t="shared" si="27"/>
        <v>4.2000000000000037E-2</v>
      </c>
      <c r="F80" s="19">
        <f t="shared" si="27"/>
        <v>-1.4000000000000012E-2</v>
      </c>
      <c r="G80" s="19">
        <f t="shared" si="27"/>
        <v>3.5000000000000031E-2</v>
      </c>
      <c r="H80" s="19">
        <f t="shared" si="27"/>
        <v>9.8000000000000087E-2</v>
      </c>
      <c r="I80" s="19">
        <f t="shared" si="27"/>
        <v>1.3999999999999901E-2</v>
      </c>
      <c r="J80" s="19">
        <f t="shared" si="27"/>
        <v>0</v>
      </c>
      <c r="K80" s="19">
        <f t="shared" si="27"/>
        <v>-1.6799999999999926E-2</v>
      </c>
      <c r="L80" s="19">
        <f t="shared" si="27"/>
        <v>-1.6800000000000037E-2</v>
      </c>
      <c r="M80" s="19">
        <f t="shared" si="27"/>
        <v>-4.9000000000000155E-3</v>
      </c>
      <c r="N80" s="19">
        <f t="shared" si="27"/>
        <v>-2.7999999999999914E-2</v>
      </c>
      <c r="O80" s="19">
        <f t="shared" si="27"/>
        <v>-2.0300000000000096E-2</v>
      </c>
      <c r="P80" s="19">
        <f t="shared" si="27"/>
        <v>0</v>
      </c>
      <c r="Q80" s="19">
        <f t="shared" si="27"/>
        <v>8.4000000000000741E-3</v>
      </c>
      <c r="R80" s="19">
        <f t="shared" si="29"/>
        <v>8.3999999999999631E-3</v>
      </c>
      <c r="S80" s="19">
        <f t="shared" si="26"/>
        <v>1.1199999999999988E-2</v>
      </c>
      <c r="T80" s="19">
        <f t="shared" si="26"/>
        <v>6.2999999999999723E-3</v>
      </c>
      <c r="U80" s="19">
        <f t="shared" si="26"/>
        <v>0</v>
      </c>
      <c r="V80" s="19">
        <f t="shared" si="26"/>
        <v>4.1999999999999815E-3</v>
      </c>
      <c r="W80" s="19">
        <f t="shared" si="26"/>
        <v>0</v>
      </c>
      <c r="X80" s="19">
        <f t="shared" si="26"/>
        <v>3.5000000000000586E-3</v>
      </c>
      <c r="Y80" s="19">
        <f t="shared" si="26"/>
        <v>0</v>
      </c>
      <c r="Z80" s="19">
        <f t="shared" si="26"/>
        <v>-3.5000000000000586E-3</v>
      </c>
      <c r="AA80" s="19">
        <f t="shared" si="6"/>
        <v>0</v>
      </c>
      <c r="AB80" s="19">
        <f t="shared" si="6"/>
        <v>-3.4999999999999476E-3</v>
      </c>
      <c r="AC80" s="19">
        <f t="shared" si="6"/>
        <v>3.4999999999999476E-3</v>
      </c>
      <c r="AD80" s="19">
        <f t="shared" si="6"/>
        <v>0</v>
      </c>
      <c r="AE80" s="19">
        <f t="shared" si="6"/>
        <v>7.0000000000003393E-4</v>
      </c>
      <c r="AF80" s="19">
        <f t="shared" si="6"/>
        <v>-4.1999999999999815E-3</v>
      </c>
      <c r="AG80" s="19">
        <f t="shared" si="5"/>
        <v>-2.3799999999999932E-2</v>
      </c>
      <c r="AH80" s="19">
        <f t="shared" si="5"/>
        <v>-5.7400000000000118E-2</v>
      </c>
      <c r="AI80" s="19">
        <f t="shared" si="5"/>
        <v>-1.4000000000000012E-2</v>
      </c>
      <c r="AJ80" s="65"/>
      <c r="AL80" s="8">
        <v>1.04</v>
      </c>
      <c r="AM80" s="20">
        <f>'2EH'!AS16</f>
        <v>0.96599999999999997</v>
      </c>
      <c r="AN80" s="20">
        <f>'2EH'!AT16</f>
        <v>1.036</v>
      </c>
      <c r="AO80" s="20">
        <f>'2EH'!AU16</f>
        <v>0.99399999999999999</v>
      </c>
      <c r="AP80" s="20">
        <f>'2EH'!AV16</f>
        <v>1.008</v>
      </c>
      <c r="AQ80" s="20">
        <f>'2EH'!AW16</f>
        <v>0.97299999999999998</v>
      </c>
      <c r="AR80" s="20">
        <f>'2EH'!AX16</f>
        <v>0.87499999999999989</v>
      </c>
      <c r="AS80" s="20">
        <f>'2EH'!AY16</f>
        <v>0.86099999999999999</v>
      </c>
      <c r="AT80" s="20">
        <f>'2EH'!AZ16</f>
        <v>0.86099999999999999</v>
      </c>
      <c r="AU80" s="20">
        <f>'2EH'!BA16</f>
        <v>0.87779999999999991</v>
      </c>
      <c r="AV80" s="20">
        <f>'2EH'!BB16</f>
        <v>0.89459999999999995</v>
      </c>
      <c r="AW80" s="20">
        <f>'2EH'!BC16</f>
        <v>0.89949999999999997</v>
      </c>
      <c r="AX80" s="20">
        <f>'2EH'!BD16</f>
        <v>0.92749999999999988</v>
      </c>
      <c r="AY80" s="20">
        <f>'2EH'!BE16</f>
        <v>0.94779999999999998</v>
      </c>
      <c r="AZ80" s="20">
        <f>'2EH'!BF16</f>
        <v>0.94779999999999998</v>
      </c>
      <c r="BA80" s="20">
        <f>'2EH'!BG16</f>
        <v>0.9393999999999999</v>
      </c>
      <c r="BB80" s="20">
        <f>'2EH'!BH16</f>
        <v>0.93099999999999994</v>
      </c>
      <c r="BC80" s="20">
        <f>'2EH'!BI16</f>
        <v>0.91979999999999995</v>
      </c>
      <c r="BD80" s="20">
        <f>'2EH'!BJ16</f>
        <v>0.91349999999999998</v>
      </c>
      <c r="BE80" s="20">
        <f>'2EH'!BK16</f>
        <v>0.91349999999999998</v>
      </c>
      <c r="BF80" s="20">
        <f>'2EH'!BL16</f>
        <v>0.9093</v>
      </c>
      <c r="BG80" s="20">
        <f>'2EH'!BM16</f>
        <v>0.9093</v>
      </c>
      <c r="BH80" s="20">
        <f>'2EH'!BN16</f>
        <v>0.90579999999999994</v>
      </c>
      <c r="BI80" s="20">
        <f>'2EH'!BO16</f>
        <v>0.90579999999999994</v>
      </c>
      <c r="BJ80" s="20">
        <f>'2EH'!BP16</f>
        <v>0.9093</v>
      </c>
      <c r="BK80" s="20">
        <f>'2EH'!BQ16</f>
        <v>0.9093</v>
      </c>
      <c r="BL80" s="20">
        <f>'2EH'!BR16</f>
        <v>0.91279999999999994</v>
      </c>
      <c r="BM80" s="20">
        <f>'2EH'!BS16</f>
        <v>0.9093</v>
      </c>
      <c r="BN80" s="20">
        <f>'2EH'!BT16</f>
        <v>0.9093</v>
      </c>
      <c r="BO80" s="20">
        <f>'2EH'!BU16</f>
        <v>0.90859999999999996</v>
      </c>
      <c r="BP80" s="20">
        <f>'2EH'!BV16</f>
        <v>0.91279999999999994</v>
      </c>
      <c r="BQ80" s="20">
        <f>'2EH'!BW16</f>
        <v>0.93659999999999988</v>
      </c>
      <c r="BR80" s="20">
        <f>'2EH'!BX16</f>
        <v>0.99399999999999999</v>
      </c>
      <c r="BS80" s="20">
        <f>'2EH'!BY16</f>
        <v>1.008</v>
      </c>
    </row>
    <row r="81" spans="1:71" ht="15">
      <c r="A81" s="8" t="s">
        <v>229</v>
      </c>
      <c r="B81" s="45" t="s">
        <v>268</v>
      </c>
      <c r="C81" s="19">
        <f t="shared" si="30"/>
        <v>8.3811441075970716E-2</v>
      </c>
      <c r="D81" s="19">
        <f t="shared" si="27"/>
        <v>-4.1554332502356406E-2</v>
      </c>
      <c r="E81" s="19">
        <f t="shared" si="27"/>
        <v>9.497419910606375E-3</v>
      </c>
      <c r="F81" s="19">
        <f t="shared" si="27"/>
        <v>1.7097640601755337E-3</v>
      </c>
      <c r="G81" s="19">
        <f t="shared" si="27"/>
        <v>1.2082163450228611E-2</v>
      </c>
      <c r="H81" s="19">
        <f t="shared" si="27"/>
        <v>7.5742844038715562E-2</v>
      </c>
      <c r="I81" s="19">
        <f t="shared" si="27"/>
        <v>1.2544193233379408E-2</v>
      </c>
      <c r="J81" s="19">
        <f t="shared" si="27"/>
        <v>6.2720966166895931E-3</v>
      </c>
      <c r="K81" s="19">
        <f t="shared" si="27"/>
        <v>0</v>
      </c>
      <c r="L81" s="19">
        <f t="shared" si="27"/>
        <v>1.0064379534619139E-2</v>
      </c>
      <c r="M81" s="19">
        <f t="shared" si="27"/>
        <v>-1.2544193233379186E-2</v>
      </c>
      <c r="N81" s="19">
        <f t="shared" si="27"/>
        <v>-6.2720966166898151E-3</v>
      </c>
      <c r="O81" s="19">
        <f t="shared" si="27"/>
        <v>0</v>
      </c>
      <c r="P81" s="19">
        <f t="shared" si="27"/>
        <v>0</v>
      </c>
      <c r="Q81" s="19">
        <f t="shared" si="27"/>
        <v>-8.6999108096352362E-2</v>
      </c>
      <c r="R81" s="19">
        <f t="shared" si="29"/>
        <v>0</v>
      </c>
      <c r="S81" s="19">
        <f t="shared" si="26"/>
        <v>-1.304641791524741E-2</v>
      </c>
      <c r="T81" s="19">
        <f t="shared" si="26"/>
        <v>0</v>
      </c>
      <c r="U81" s="19">
        <f t="shared" si="26"/>
        <v>0</v>
      </c>
      <c r="V81" s="19">
        <f t="shared" si="26"/>
        <v>-1.568024154172365E-2</v>
      </c>
      <c r="W81" s="19">
        <f t="shared" si="26"/>
        <v>1.568024154172365E-2</v>
      </c>
      <c r="X81" s="19">
        <f t="shared" si="26"/>
        <v>1.6823045977887086E-2</v>
      </c>
      <c r="Y81" s="19">
        <f t="shared" si="26"/>
        <v>1.5680241541723872E-2</v>
      </c>
      <c r="Z81" s="19">
        <f t="shared" si="26"/>
        <v>0</v>
      </c>
      <c r="AA81" s="19">
        <f t="shared" si="6"/>
        <v>0</v>
      </c>
      <c r="AB81" s="19">
        <f t="shared" si="6"/>
        <v>0</v>
      </c>
      <c r="AC81" s="19">
        <f t="shared" si="6"/>
        <v>6.7095863564130553E-3</v>
      </c>
      <c r="AD81" s="19">
        <f t="shared" si="6"/>
        <v>2.6092835830491268E-3</v>
      </c>
      <c r="AE81" s="19">
        <f t="shared" si="6"/>
        <v>-1.6798505934459307E-2</v>
      </c>
      <c r="AF81" s="19">
        <f t="shared" si="6"/>
        <v>-2.2365287854708704E-3</v>
      </c>
      <c r="AG81" s="19">
        <f t="shared" si="5"/>
        <v>-4.0768628008482466E-2</v>
      </c>
      <c r="AH81" s="19">
        <f t="shared" si="5"/>
        <v>-1.2544193233379186E-2</v>
      </c>
      <c r="AI81" s="19">
        <f t="shared" si="5"/>
        <v>0</v>
      </c>
      <c r="AJ81" s="65"/>
      <c r="AL81" s="8">
        <v>1.32</v>
      </c>
      <c r="AM81" s="20">
        <f>'Butyl cellosolve'!AS17</f>
        <v>1.2361885589240293</v>
      </c>
      <c r="AN81" s="20">
        <f>'Butyl cellosolve'!AT17</f>
        <v>1.2777428914263858</v>
      </c>
      <c r="AO81" s="20">
        <f>'Butyl cellosolve'!AU17</f>
        <v>1.2682454715157794</v>
      </c>
      <c r="AP81" s="20">
        <f>'Butyl cellosolve'!AV17</f>
        <v>1.2665357074556038</v>
      </c>
      <c r="AQ81" s="20">
        <f>'Butyl cellosolve'!AW17</f>
        <v>1.2544535440053752</v>
      </c>
      <c r="AR81" s="20">
        <f>'Butyl cellosolve'!AX17</f>
        <v>1.1787106999666597</v>
      </c>
      <c r="AS81" s="20">
        <f>'Butyl cellosolve'!AY17</f>
        <v>1.1661665067332803</v>
      </c>
      <c r="AT81" s="20">
        <f>'Butyl cellosolve'!AZ17</f>
        <v>1.1598944101165907</v>
      </c>
      <c r="AU81" s="20">
        <f>'Butyl cellosolve'!BA17</f>
        <v>1.1598944101165907</v>
      </c>
      <c r="AV81" s="20">
        <f>'Butyl cellosolve'!BB17</f>
        <v>1.1498300305819715</v>
      </c>
      <c r="AW81" s="20">
        <f>'Butyl cellosolve'!BC17</f>
        <v>1.1623742238153507</v>
      </c>
      <c r="AX81" s="20">
        <f>'Butyl cellosolve'!BD17</f>
        <v>1.1686463204320405</v>
      </c>
      <c r="AY81" s="20">
        <f>'Butyl cellosolve'!BE17</f>
        <v>1.1686463204320405</v>
      </c>
      <c r="AZ81" s="20">
        <f>'Butyl cellosolve'!BF17</f>
        <v>1.1686463204320405</v>
      </c>
      <c r="BA81" s="20">
        <f>'Butyl cellosolve'!BG17</f>
        <v>1.2556454285283929</v>
      </c>
      <c r="BB81" s="20">
        <f>'Butyl cellosolve'!BH17</f>
        <v>1.2556454285283929</v>
      </c>
      <c r="BC81" s="20">
        <f>'Butyl cellosolve'!BI17</f>
        <v>1.2686918464436403</v>
      </c>
      <c r="BD81" s="20">
        <f>'Butyl cellosolve'!BJ17</f>
        <v>1.2686918464436403</v>
      </c>
      <c r="BE81" s="20">
        <f>'Butyl cellosolve'!BK17</f>
        <v>1.2686918464436403</v>
      </c>
      <c r="BF81" s="20">
        <f>'Butyl cellosolve'!BL17</f>
        <v>1.284372087985364</v>
      </c>
      <c r="BG81" s="20">
        <f>'Butyl cellosolve'!BM17</f>
        <v>1.2686918464436403</v>
      </c>
      <c r="BH81" s="20">
        <f>'Butyl cellosolve'!BN17</f>
        <v>1.2518688004657532</v>
      </c>
      <c r="BI81" s="20">
        <f>'Butyl cellosolve'!BO17</f>
        <v>1.2361885589240293</v>
      </c>
      <c r="BJ81" s="20">
        <f>'Butyl cellosolve'!BP17</f>
        <v>1.2361885589240293</v>
      </c>
      <c r="BK81" s="20">
        <f>'Butyl cellosolve'!BQ17</f>
        <v>1.2361885589240293</v>
      </c>
      <c r="BL81" s="20">
        <f>'Butyl cellosolve'!BR17</f>
        <v>1.2361885589240293</v>
      </c>
      <c r="BM81" s="20">
        <f>'Butyl cellosolve'!BS17</f>
        <v>1.2294789725676163</v>
      </c>
      <c r="BN81" s="20">
        <f>'Butyl cellosolve'!BT17</f>
        <v>1.2268696889845672</v>
      </c>
      <c r="BO81" s="20">
        <f>'Butyl cellosolve'!BU17</f>
        <v>1.2436681949190265</v>
      </c>
      <c r="BP81" s="20">
        <f>'Butyl cellosolve'!BV17</f>
        <v>1.2459047237044973</v>
      </c>
      <c r="BQ81" s="20">
        <f>'Butyl cellosolve'!BW17</f>
        <v>1.2866733517129798</v>
      </c>
      <c r="BR81" s="20">
        <f>'Butyl cellosolve'!BX17</f>
        <v>1.299217544946359</v>
      </c>
      <c r="BS81" s="20">
        <f>'Butyl cellosolve'!BY17</f>
        <v>1.299217544946359</v>
      </c>
    </row>
    <row r="82" spans="1:71">
      <c r="A82" s="8" t="s">
        <v>207</v>
      </c>
      <c r="B82" s="263" t="s">
        <v>156</v>
      </c>
      <c r="C82" s="19">
        <f t="shared" si="30"/>
        <v>9.3485357959396609E-2</v>
      </c>
      <c r="D82" s="19">
        <f t="shared" si="27"/>
        <v>-0.66385136253600763</v>
      </c>
      <c r="E82" s="19">
        <f t="shared" si="27"/>
        <v>-5.4480889152653589E-2</v>
      </c>
      <c r="F82" s="19">
        <f t="shared" si="27"/>
        <v>0.34235052217628947</v>
      </c>
      <c r="G82" s="19">
        <f t="shared" si="27"/>
        <v>0.15972325843053703</v>
      </c>
      <c r="H82" s="19">
        <f t="shared" si="27"/>
        <v>0.20348816020321436</v>
      </c>
      <c r="I82" s="19">
        <f t="shared" si="27"/>
        <v>0.69701545555665412</v>
      </c>
      <c r="J82" s="19">
        <f t="shared" si="27"/>
        <v>0</v>
      </c>
      <c r="K82" s="19">
        <f t="shared" si="27"/>
        <v>-6.571020484279444E-2</v>
      </c>
      <c r="L82" s="19">
        <f t="shared" si="27"/>
        <v>-6.6629228686752029E-2</v>
      </c>
      <c r="M82" s="19">
        <f t="shared" si="27"/>
        <v>-4.6180517483715988E-2</v>
      </c>
      <c r="N82" s="19">
        <f t="shared" si="27"/>
        <v>5.3044233553649178E-2</v>
      </c>
      <c r="O82" s="19">
        <f t="shared" si="27"/>
        <v>2.630382774985307E-2</v>
      </c>
      <c r="P82" s="19">
        <f t="shared" si="27"/>
        <v>0</v>
      </c>
      <c r="Q82" s="19">
        <f t="shared" si="27"/>
        <v>-0.2690559487214248</v>
      </c>
      <c r="R82" s="19">
        <f t="shared" si="29"/>
        <v>-2.6969814364315781E-2</v>
      </c>
      <c r="S82" s="19">
        <f t="shared" si="26"/>
        <v>1.3503379657750614E-2</v>
      </c>
      <c r="T82" s="19">
        <f t="shared" si="26"/>
        <v>0</v>
      </c>
      <c r="U82" s="19">
        <f t="shared" si="26"/>
        <v>-0.15724849765339677</v>
      </c>
      <c r="V82" s="19">
        <f t="shared" si="26"/>
        <v>-0.13890572594657868</v>
      </c>
      <c r="W82" s="19">
        <f t="shared" si="26"/>
        <v>0.15258727487702117</v>
      </c>
      <c r="X82" s="19">
        <f t="shared" si="26"/>
        <v>1.3644167649212946E-2</v>
      </c>
      <c r="Y82" s="19">
        <f t="shared" si="26"/>
        <v>-6.8596193614677503E-2</v>
      </c>
      <c r="Z82" s="19">
        <f t="shared" si="26"/>
        <v>1.6641062066282686E-2</v>
      </c>
      <c r="AA82" s="19">
        <f t="shared" si="6"/>
        <v>9.1421048782272862E-2</v>
      </c>
      <c r="AB82" s="19">
        <f t="shared" si="6"/>
        <v>-0.22387426781611808</v>
      </c>
      <c r="AC82" s="19">
        <f t="shared" si="6"/>
        <v>5.690921513813052E-2</v>
      </c>
      <c r="AD82" s="19">
        <f t="shared" si="6"/>
        <v>5.3580601955074414E-2</v>
      </c>
      <c r="AE82" s="19">
        <f t="shared" si="6"/>
        <v>2.2432227831831852E-2</v>
      </c>
      <c r="AF82" s="19">
        <f t="shared" si="6"/>
        <v>-8.4840955068248292E-2</v>
      </c>
      <c r="AG82" s="19">
        <f t="shared" si="5"/>
        <v>1.4239737763800164E-2</v>
      </c>
      <c r="AH82" s="19">
        <f t="shared" si="5"/>
        <v>-1.3087373800324045</v>
      </c>
      <c r="AI82" s="19">
        <f t="shared" si="5"/>
        <v>0.46705609014532534</v>
      </c>
      <c r="AJ82" s="65"/>
      <c r="AL82" s="8">
        <v>10.24</v>
      </c>
      <c r="AM82" s="20">
        <f>'Input RM sheet'!AP116</f>
        <v>10.146514642040604</v>
      </c>
      <c r="AN82" s="20">
        <f>'Input RM sheet'!AQ116</f>
        <v>10.810366004576611</v>
      </c>
      <c r="AO82" s="20">
        <f>'Input RM sheet'!AR116</f>
        <v>10.864846893729265</v>
      </c>
      <c r="AP82" s="20">
        <f>'Input RM sheet'!AS116</f>
        <v>10.522496371552975</v>
      </c>
      <c r="AQ82" s="20">
        <f>'Input RM sheet'!AT116</f>
        <v>10.362773113122438</v>
      </c>
      <c r="AR82" s="20">
        <f>'Input RM sheet'!AU116</f>
        <v>10.159284952919224</v>
      </c>
      <c r="AS82" s="20">
        <f>'Input RM sheet'!AV116</f>
        <v>9.4622694973625698</v>
      </c>
      <c r="AT82" s="20">
        <f>'Input RM sheet'!AW116</f>
        <v>9.4622694973625698</v>
      </c>
      <c r="AU82" s="20">
        <f>'Input RM sheet'!AX116</f>
        <v>9.5279797022053643</v>
      </c>
      <c r="AV82" s="20">
        <f>'Input RM sheet'!AY116</f>
        <v>9.5946089308921163</v>
      </c>
      <c r="AW82" s="20">
        <f>'Input RM sheet'!AZ116</f>
        <v>9.6407894483758323</v>
      </c>
      <c r="AX82" s="20">
        <f>'Input RM sheet'!BA116</f>
        <v>9.5877452148221831</v>
      </c>
      <c r="AY82" s="20">
        <f>'Input RM sheet'!BB116</f>
        <v>9.56144138707233</v>
      </c>
      <c r="AZ82" s="20">
        <f>'Input RM sheet'!BC116</f>
        <v>9.56144138707233</v>
      </c>
      <c r="BA82" s="20">
        <f>'Input RM sheet'!BD116</f>
        <v>9.8304973357937548</v>
      </c>
      <c r="BB82" s="20">
        <f>'Input RM sheet'!BE116</f>
        <v>9.8574671501580706</v>
      </c>
      <c r="BC82" s="20">
        <f>'Input RM sheet'!BF116</f>
        <v>9.84396377050032</v>
      </c>
      <c r="BD82" s="20">
        <f>'Input RM sheet'!BG116</f>
        <v>9.84396377050032</v>
      </c>
      <c r="BE82" s="20">
        <f>'Input RM sheet'!BH116</f>
        <v>10.001212268153717</v>
      </c>
      <c r="BF82" s="20">
        <f>'Input RM sheet'!BI116</f>
        <v>10.140117994100295</v>
      </c>
      <c r="BG82" s="20">
        <f>'Input RM sheet'!BJ116</f>
        <v>9.9875307192232743</v>
      </c>
      <c r="BH82" s="20">
        <f>'Input RM sheet'!BK116</f>
        <v>9.9738865515740613</v>
      </c>
      <c r="BI82" s="20">
        <f>'Input RM sheet'!BL116</f>
        <v>10.042482745188739</v>
      </c>
      <c r="BJ82" s="20">
        <f>'Input RM sheet'!BM116</f>
        <v>10.025841683122456</v>
      </c>
      <c r="BK82" s="20">
        <f>'Input RM sheet'!BN116</f>
        <v>9.9344206343401833</v>
      </c>
      <c r="BL82" s="20">
        <f>'Input RM sheet'!BO116</f>
        <v>10.158294902156301</v>
      </c>
      <c r="BM82" s="20">
        <f>'Input RM sheet'!BP116</f>
        <v>10.101385687018171</v>
      </c>
      <c r="BN82" s="20">
        <f>'Input RM sheet'!BQ116</f>
        <v>10.047805085063096</v>
      </c>
      <c r="BO82" s="20">
        <f>'Input RM sheet'!BR116</f>
        <v>10.025372857231265</v>
      </c>
      <c r="BP82" s="20">
        <f>'Input RM sheet'!BS116</f>
        <v>10.110213812299513</v>
      </c>
      <c r="BQ82" s="20">
        <f>'Input RM sheet'!BT116</f>
        <v>10.095974074535713</v>
      </c>
      <c r="BR82" s="20">
        <f>'Input RM sheet'!BU116</f>
        <v>11.404711454568117</v>
      </c>
      <c r="BS82" s="20">
        <f>'Input RM sheet'!BV116</f>
        <v>10.937655364422792</v>
      </c>
    </row>
    <row r="83" spans="1:71" ht="15">
      <c r="A83" s="8" t="s">
        <v>207</v>
      </c>
      <c r="B83" s="45" t="s">
        <v>269</v>
      </c>
      <c r="C83" s="19">
        <f t="shared" si="30"/>
        <v>8.8250776502363015E-2</v>
      </c>
      <c r="D83" s="19">
        <f t="shared" ref="D83:Q83" si="31">+AM83-AN83</f>
        <v>-7.4681296421336807E-2</v>
      </c>
      <c r="E83" s="19">
        <f t="shared" si="31"/>
        <v>-2.6138453747468038E-2</v>
      </c>
      <c r="F83" s="19">
        <f t="shared" si="31"/>
        <v>-3.7340648210666405E-3</v>
      </c>
      <c r="G83" s="19">
        <f t="shared" si="31"/>
        <v>4.4808777852801907E-2</v>
      </c>
      <c r="H83" s="19">
        <f t="shared" si="31"/>
        <v>2.98725185685349E-2</v>
      </c>
      <c r="I83" s="19">
        <f t="shared" si="31"/>
        <v>0</v>
      </c>
      <c r="J83" s="19">
        <f t="shared" si="31"/>
        <v>0</v>
      </c>
      <c r="K83" s="19">
        <f t="shared" si="31"/>
        <v>-7.4681296421341692E-4</v>
      </c>
      <c r="L83" s="19">
        <f t="shared" si="31"/>
        <v>-8.1402613099257115E-2</v>
      </c>
      <c r="M83" s="19">
        <f t="shared" si="31"/>
        <v>0</v>
      </c>
      <c r="N83" s="19">
        <f t="shared" si="31"/>
        <v>1.493625928426745E-2</v>
      </c>
      <c r="O83" s="19">
        <f t="shared" si="31"/>
        <v>0</v>
      </c>
      <c r="P83" s="19">
        <f t="shared" si="31"/>
        <v>0</v>
      </c>
      <c r="Q83" s="19">
        <f t="shared" si="31"/>
        <v>3.7340648210666405E-3</v>
      </c>
      <c r="R83" s="19">
        <f t="shared" si="29"/>
        <v>-2.4644827819040982E-2</v>
      </c>
      <c r="S83" s="19">
        <f t="shared" si="26"/>
        <v>0</v>
      </c>
      <c r="T83" s="19">
        <f t="shared" si="26"/>
        <v>2.2404388926400287E-3</v>
      </c>
      <c r="U83" s="19">
        <f t="shared" si="26"/>
        <v>1.3442633355840616E-2</v>
      </c>
      <c r="V83" s="19">
        <f t="shared" si="26"/>
        <v>4.2568338960161878E-2</v>
      </c>
      <c r="W83" s="19">
        <f t="shared" si="26"/>
        <v>5.750459824442955E-2</v>
      </c>
      <c r="X83" s="19">
        <f t="shared" si="26"/>
        <v>2.9872518568536677E-3</v>
      </c>
      <c r="Y83" s="19">
        <f t="shared" si="26"/>
        <v>1.1202194463200366E-2</v>
      </c>
      <c r="Z83" s="19">
        <f t="shared" si="26"/>
        <v>3.7340648210668625E-3</v>
      </c>
      <c r="AA83" s="19">
        <f t="shared" si="6"/>
        <v>1.1202194463200588E-2</v>
      </c>
      <c r="AB83" s="19">
        <f t="shared" si="6"/>
        <v>0</v>
      </c>
      <c r="AC83" s="19">
        <f t="shared" si="6"/>
        <v>1.493625928426745E-2</v>
      </c>
      <c r="AD83" s="19">
        <f t="shared" si="6"/>
        <v>3.7340648210668625E-3</v>
      </c>
      <c r="AE83" s="19">
        <f t="shared" si="6"/>
        <v>0</v>
      </c>
      <c r="AF83" s="19">
        <f t="shared" si="6"/>
        <v>0</v>
      </c>
      <c r="AG83" s="19">
        <f t="shared" si="5"/>
        <v>-3.5100209318028375E-2</v>
      </c>
      <c r="AH83" s="19">
        <f t="shared" si="5"/>
        <v>-4.4808777852802795E-3</v>
      </c>
      <c r="AI83" s="19">
        <f t="shared" si="5"/>
        <v>-5.9745037137071133E-3</v>
      </c>
      <c r="AJ83" s="65"/>
      <c r="AL83" s="8">
        <v>1.19</v>
      </c>
      <c r="AM83" s="20">
        <f>'Phthalic Anhydride'!AS16</f>
        <v>1.1017492234976369</v>
      </c>
      <c r="AN83" s="20">
        <f>'Phthalic Anhydride'!AT16</f>
        <v>1.1764305199189737</v>
      </c>
      <c r="AO83" s="20">
        <f>'Phthalic Anhydride'!AU16</f>
        <v>1.2025689736664418</v>
      </c>
      <c r="AP83" s="20">
        <f>'Phthalic Anhydride'!AV16</f>
        <v>1.2063030384875084</v>
      </c>
      <c r="AQ83" s="20">
        <f>'Phthalic Anhydride'!AW16</f>
        <v>1.1614942606347065</v>
      </c>
      <c r="AR83" s="20">
        <f>'Phthalic Anhydride'!AX16</f>
        <v>1.1316217420661716</v>
      </c>
      <c r="AS83" s="20">
        <f>'Phthalic Anhydride'!AY16</f>
        <v>1.1316217420661716</v>
      </c>
      <c r="AT83" s="20">
        <f>'Phthalic Anhydride'!AZ16</f>
        <v>1.1316217420661716</v>
      </c>
      <c r="AU83" s="20">
        <f>'Phthalic Anhydride'!BA16</f>
        <v>1.132368555030385</v>
      </c>
      <c r="AV83" s="20">
        <f>'Phthalic Anhydride'!BB16</f>
        <v>1.2137711681296421</v>
      </c>
      <c r="AW83" s="20">
        <f>'Phthalic Anhydride'!BC16</f>
        <v>1.2137711681296421</v>
      </c>
      <c r="AX83" s="20">
        <f>'Phthalic Anhydride'!BD16</f>
        <v>1.1988349088453747</v>
      </c>
      <c r="AY83" s="20">
        <f>'Phthalic Anhydride'!BE16</f>
        <v>1.1988349088453747</v>
      </c>
      <c r="AZ83" s="20">
        <f>'Phthalic Anhydride'!BF16</f>
        <v>1.1988349088453747</v>
      </c>
      <c r="BA83" s="20">
        <f>'Phthalic Anhydride'!BG16</f>
        <v>1.1951008440243081</v>
      </c>
      <c r="BB83" s="20">
        <f>'Phthalic Anhydride'!BH16</f>
        <v>1.219745671843349</v>
      </c>
      <c r="BC83" s="20">
        <f>'Phthalic Anhydride'!BI16</f>
        <v>1.219745671843349</v>
      </c>
      <c r="BD83" s="20">
        <f>'Phthalic Anhydride'!BJ16</f>
        <v>1.217505232950709</v>
      </c>
      <c r="BE83" s="20">
        <f>'Phthalic Anhydride'!BK16</f>
        <v>1.2040625995948684</v>
      </c>
      <c r="BF83" s="20">
        <f>'Phthalic Anhydride'!BL16</f>
        <v>1.1614942606347065</v>
      </c>
      <c r="BG83" s="20">
        <f>'Phthalic Anhydride'!BM16</f>
        <v>1.103989662390277</v>
      </c>
      <c r="BH83" s="20">
        <f>'Phthalic Anhydride'!BN16</f>
        <v>1.1010024105334233</v>
      </c>
      <c r="BI83" s="20">
        <f>'Phthalic Anhydride'!BO16</f>
        <v>1.0898002160702229</v>
      </c>
      <c r="BJ83" s="20">
        <f>'Phthalic Anhydride'!BP16</f>
        <v>1.0860661512491561</v>
      </c>
      <c r="BK83" s="20">
        <f>'Phthalic Anhydride'!BQ16</f>
        <v>1.0748639567859555</v>
      </c>
      <c r="BL83" s="20">
        <f>'Phthalic Anhydride'!BR16</f>
        <v>1.0748639567859555</v>
      </c>
      <c r="BM83" s="20">
        <f>'Phthalic Anhydride'!BS16</f>
        <v>1.059927697501688</v>
      </c>
      <c r="BN83" s="20">
        <f>'Phthalic Anhydride'!BT16</f>
        <v>1.0561936326806212</v>
      </c>
      <c r="BO83" s="20">
        <f>'Phthalic Anhydride'!BU16</f>
        <v>1.0561936326806212</v>
      </c>
      <c r="BP83" s="20">
        <f>'Phthalic Anhydride'!BV16</f>
        <v>1.0561936326806212</v>
      </c>
      <c r="BQ83" s="20">
        <f>'Phthalic Anhydride'!BW16</f>
        <v>1.0912938419986495</v>
      </c>
      <c r="BR83" s="20">
        <f>'Phthalic Anhydride'!BX16</f>
        <v>1.0957747197839298</v>
      </c>
      <c r="BS83" s="20">
        <f>'Phthalic Anhydride'!BY16</f>
        <v>1.1017492234976369</v>
      </c>
    </row>
    <row r="84" spans="1:71">
      <c r="A84" s="8" t="s">
        <v>212</v>
      </c>
      <c r="B84" s="263" t="s">
        <v>270</v>
      </c>
    </row>
  </sheetData>
  <autoFilter ref="A2:BP84" xr:uid="{00000000-0009-0000-0000-000001000000}"/>
  <mergeCells count="3">
    <mergeCell ref="A1:A2"/>
    <mergeCell ref="B1:B2"/>
    <mergeCell ref="AK1:AU1"/>
  </mergeCells>
  <conditionalFormatting sqref="C3:AI83">
    <cfRule type="cellIs" dxfId="34" priority="1" operator="greaterThan">
      <formula>0</formula>
    </cfRule>
  </conditionalFormatting>
  <conditionalFormatting sqref="K1:L1 C1:J64 K3:AI64 C65:AI83 C84:J1048576">
    <cfRule type="cellIs" dxfId="33" priority="2" operator="lessThan">
      <formula>0</formula>
    </cfRule>
  </conditionalFormatting>
  <hyperlinks>
    <hyperlink ref="B3" location="EDC!A1" display="EDC" xr:uid="{00000000-0004-0000-0100-000000000000}"/>
    <hyperlink ref="B13" location="IPDA!A1" display="IPDA" xr:uid="{00000000-0004-0000-0100-000001000000}"/>
    <hyperlink ref="B14" location="DIMETHYLAMINE!A1" display="DIMETHYLAMINE" xr:uid="{00000000-0004-0000-0100-000002000000}"/>
    <hyperlink ref="B15" location="'Nonyl phenol'!A1" display="NONYL PHENOL" xr:uid="{00000000-0004-0000-0100-000003000000}"/>
    <hyperlink ref="B4" location="EDA!A1" display="EDA" xr:uid="{00000000-0004-0000-0100-000004000000}"/>
    <hyperlink ref="B6" location="TEPA!A1" display="TEPA" xr:uid="{00000000-0004-0000-0100-000005000000}"/>
    <hyperlink ref="B7" location="'CHROMIC ACID FLAKES'!A1" display="Chromic acid" xr:uid="{00000000-0004-0000-0100-000006000000}"/>
    <hyperlink ref="B8" location="'Copper II Nitrate trihydrate'!A1" display="CopperII" xr:uid="{00000000-0004-0000-0100-000007000000}"/>
    <hyperlink ref="B9" location="AEEA!A1" display="AEEA" xr:uid="{00000000-0004-0000-0100-000008000000}"/>
    <hyperlink ref="B10" location="MonoEthanolamine!A1" display="Mono ethanolamine" xr:uid="{00000000-0004-0000-0100-000009000000}"/>
    <hyperlink ref="B11" location="MTMS!A1" display="MTMS" xr:uid="{00000000-0004-0000-0100-00000A000000}"/>
    <hyperlink ref="B12" location="ISOPHORONENITRILE!A1" display="ISOPHORONENITRILE" xr:uid="{00000000-0004-0000-0100-00000B000000}"/>
    <hyperlink ref="B16" location="TEA!A1" display="TEA" xr:uid="{00000000-0004-0000-0100-00000C000000}"/>
    <hyperlink ref="B17" location="'Ethyl benzene'!A1" display="ETHYL BEZENE" xr:uid="{00000000-0004-0000-0100-00000D000000}"/>
    <hyperlink ref="B18" location="'Maleic Anhydride'!A1" display="MELEIC ANDHYDRIDE" xr:uid="{00000000-0004-0000-0100-00000E000000}"/>
    <hyperlink ref="B19" location="MDA!A1" display="MDA" xr:uid="{00000000-0004-0000-0100-00000F000000}"/>
    <hyperlink ref="B20" location="PNA!A1" display="PNA" xr:uid="{00000000-0004-0000-0100-000010000000}"/>
    <hyperlink ref="B21" location="PANA!A1" display="PANA" xr:uid="{00000000-0004-0000-0100-000011000000}"/>
    <hyperlink ref="B22" location="'Hexylene Glycol'!A1" display="Hexylene Glycol" xr:uid="{00000000-0004-0000-0100-000012000000}"/>
    <hyperlink ref="B23" location="'Diacetone alcohol '!A1" display="Diacetone alcohol" xr:uid="{00000000-0004-0000-0100-000013000000}"/>
    <hyperlink ref="B24" location="DBNPA!A1" display="DBNPA" xr:uid="{00000000-0004-0000-0100-000014000000}"/>
    <hyperlink ref="B25" location="DNBA!A1" display="DNBA" xr:uid="{00000000-0004-0000-0100-000015000000}"/>
    <hyperlink ref="B26" location="DTBP!A1" display="DTBP" xr:uid="{00000000-0004-0000-0100-000016000000}"/>
    <hyperlink ref="B27" location="Paraformaldehyde!A1" display="Paraformaldehyde" xr:uid="{00000000-0004-0000-0100-000017000000}"/>
    <hyperlink ref="B28" location="IPA!A1" display="IPA" xr:uid="{00000000-0004-0000-0100-000018000000}"/>
    <hyperlink ref="B29" location="'60000CST'!A1" display="60000 CST" xr:uid="{00000000-0004-0000-0100-000019000000}"/>
    <hyperlink ref="B30" location="CMIT!A1" display="CMIT" xr:uid="{00000000-0004-0000-0100-00001A000000}"/>
    <hyperlink ref="B31" location="'Ethyl Acetoacetate'!A1" display="Ethyl Acetoacetate" xr:uid="{00000000-0004-0000-0100-00001B000000}"/>
    <hyperlink ref="B32" location="TICL4!A1" display="Ticl4" xr:uid="{00000000-0004-0000-0100-00001C000000}"/>
    <hyperlink ref="B33" location="Benzaldehyde!A1" display="Benzaldehyde" xr:uid="{00000000-0004-0000-0100-00001D000000}"/>
    <hyperlink ref="B34" location="PIB!A1" display="PIB" xr:uid="{00000000-0004-0000-0100-00001E000000}"/>
    <hyperlink ref="B35" location="Dimethylethanolamine!A1" display="Dimethylethanolamine" xr:uid="{00000000-0004-0000-0100-00001F000000}"/>
    <hyperlink ref="B36" location="ISOPHORONE!A1" display="ISOPHORONE" xr:uid="{00000000-0004-0000-0100-000020000000}"/>
    <hyperlink ref="B5" location="'EDA (2)'!A1" display="EDC MEK-Route" xr:uid="{00000000-0004-0000-0100-000021000000}"/>
    <hyperlink ref="B37" location="'Phosphonic acid'!A1" display="Phosphonic Acid" xr:uid="{00000000-0004-0000-0100-000022000000}"/>
    <hyperlink ref="B38" location="'DETA EDA'!A1" display="DETA-EDA" xr:uid="{00000000-0004-0000-0100-000023000000}"/>
    <hyperlink ref="B40" location="'DIETHANOL AMINE'!A1" display="DIETHANOL AMINE" xr:uid="{00000000-0004-0000-0100-000024000000}"/>
    <hyperlink ref="B39" location="'DETA EDA'!A1" display="DETA-EDA" xr:uid="{00000000-0004-0000-0100-000025000000}"/>
    <hyperlink ref="B41" location="P2O5!A1" display="P205" xr:uid="{00000000-0004-0000-0100-000026000000}"/>
    <hyperlink ref="B42" location="Acetylacetone!A1" display="Acetylacetone" xr:uid="{00000000-0004-0000-0100-000027000000}"/>
    <hyperlink ref="B43" location="PVA!A1" display="PVA" xr:uid="{00000000-0004-0000-0100-000028000000}"/>
    <hyperlink ref="B44" location="'ZINC OXIDE  -  ACTIVE'!A1" display="ZINC OXIDE" xr:uid="{00000000-0004-0000-0100-000029000000}"/>
    <hyperlink ref="B45" location="'DDSA TPSA'!A1" display="DDSA" xr:uid="{00000000-0004-0000-0100-00002A000000}"/>
    <hyperlink ref="B46" location="'Copper Sulphate '!A1" display="Copper Sulphate" xr:uid="{00000000-0004-0000-0100-00002B000000}"/>
    <hyperlink ref="B47" location="'Dodiflow 57501'!A1" display="Dodiflow 57501" xr:uid="{00000000-0004-0000-0100-00002C000000}"/>
    <hyperlink ref="B66" location="PIB!A1" display="PIB" xr:uid="{00000000-0004-0000-0100-00002D000000}"/>
    <hyperlink ref="B67" location="'1-Decene'!A1" display="1-Decene" xr:uid="{00000000-0004-0000-0100-00002E000000}"/>
    <hyperlink ref="B50" location="SOFA!A1" display="SOFA" xr:uid="{00000000-0004-0000-0100-00002F000000}"/>
    <hyperlink ref="B78" location="'n-methylaniline'!A1" display="N-methyl Aniline - 99%" xr:uid="{00000000-0004-0000-0100-000030000000}"/>
    <hyperlink ref="B79" location="'N butanol'!A1" display="N butanol" xr:uid="{00000000-0004-0000-0100-000031000000}"/>
    <hyperlink ref="B80" location="'2EH'!A1" display="2EH " xr:uid="{00000000-0004-0000-0100-000032000000}"/>
    <hyperlink ref="B81" location="'Butyl cellosolve'!A1" display="Butyl cellosolve" xr:uid="{00000000-0004-0000-0100-000033000000}"/>
    <hyperlink ref="B83" location="'Phthalic Anhydride'!A1" display="Phthalic Anhydride" xr:uid="{00000000-0004-0000-0100-000034000000}"/>
  </hyperlinks>
  <pageMargins left="0.7" right="0.7" top="0.75" bottom="0.75" header="0.3" footer="0.3"/>
  <pageSetup orientation="portrait" r:id="rId1"/>
  <extLst>
    <ext xmlns:x14="http://schemas.microsoft.com/office/spreadsheetml/2009/9/main" uri="{05C60535-1F16-4fd2-B633-F4F36F0B64E0}">
      <x14:sparklineGroups xmlns:xm="http://schemas.microsoft.com/office/excel/2006/main">
        <x14:sparklineGroup manualMax="0" manualMin="0" type="stacked" displayEmptyCellsAs="gap" negative="1" xr2:uid="{00000000-0003-0000-0100-000000000000}">
          <x14:colorSeries rgb="FF00B050"/>
          <x14:colorNegative rgb="FFFF0000"/>
          <x14:colorAxis rgb="FF000000"/>
          <x14:colorMarkers rgb="FF0070C0"/>
          <x14:colorFirst rgb="FFFFC000"/>
          <x14:colorLast rgb="FFFFC000"/>
          <x14:colorHigh rgb="FF00B050"/>
          <x14:colorLow rgb="FFFF0000"/>
          <x14:sparklines>
            <x14:sparkline>
              <xm:f>'Clean sheet dashboard (2)'!W3:AI3</xm:f>
              <xm:sqref>AJ3</xm:sqref>
            </x14:sparkline>
            <x14:sparkline>
              <xm:f>'Clean sheet dashboard (2)'!W4:AI4</xm:f>
              <xm:sqref>AJ4</xm:sqref>
            </x14:sparkline>
            <x14:sparkline>
              <xm:f>'Clean sheet dashboard (2)'!W5:AI5</xm:f>
              <xm:sqref>AJ5</xm:sqref>
            </x14:sparkline>
            <x14:sparkline>
              <xm:f>'Clean sheet dashboard (2)'!W6:AI6</xm:f>
              <xm:sqref>AJ6</xm:sqref>
            </x14:sparkline>
            <x14:sparkline>
              <xm:f>'Clean sheet dashboard (2)'!W7:AI7</xm:f>
              <xm:sqref>AJ7</xm:sqref>
            </x14:sparkline>
            <x14:sparkline>
              <xm:f>'Clean sheet dashboard (2)'!W8:AI8</xm:f>
              <xm:sqref>AJ8</xm:sqref>
            </x14:sparkline>
            <x14:sparkline>
              <xm:f>'Clean sheet dashboard (2)'!W9:AI9</xm:f>
              <xm:sqref>AJ9</xm:sqref>
            </x14:sparkline>
            <x14:sparkline>
              <xm:f>'Clean sheet dashboard (2)'!W10:AI10</xm:f>
              <xm:sqref>AJ10</xm:sqref>
            </x14:sparkline>
            <x14:sparkline>
              <xm:f>'Clean sheet dashboard (2)'!W11:AI11</xm:f>
              <xm:sqref>AJ11</xm:sqref>
            </x14:sparkline>
            <x14:sparkline>
              <xm:f>'Clean sheet dashboard (2)'!W12:AI12</xm:f>
              <xm:sqref>AJ12</xm:sqref>
            </x14:sparkline>
            <x14:sparkline>
              <xm:f>'Clean sheet dashboard (2)'!W13:AI13</xm:f>
              <xm:sqref>AJ13</xm:sqref>
            </x14:sparkline>
            <x14:sparkline>
              <xm:f>'Clean sheet dashboard (2)'!W14:AI14</xm:f>
              <xm:sqref>AJ14</xm:sqref>
            </x14:sparkline>
            <x14:sparkline>
              <xm:f>'Clean sheet dashboard (2)'!W15:AI15</xm:f>
              <xm:sqref>AJ15</xm:sqref>
            </x14:sparkline>
            <x14:sparkline>
              <xm:f>'Clean sheet dashboard (2)'!W16:AI16</xm:f>
              <xm:sqref>AJ16</xm:sqref>
            </x14:sparkline>
            <x14:sparkline>
              <xm:f>'Clean sheet dashboard (2)'!W17:AI17</xm:f>
              <xm:sqref>AJ17</xm:sqref>
            </x14:sparkline>
            <x14:sparkline>
              <xm:f>'Clean sheet dashboard (2)'!W18:AI18</xm:f>
              <xm:sqref>AJ18</xm:sqref>
            </x14:sparkline>
            <x14:sparkline>
              <xm:f>'Clean sheet dashboard (2)'!W19:AI19</xm:f>
              <xm:sqref>AJ19</xm:sqref>
            </x14:sparkline>
            <x14:sparkline>
              <xm:f>'Clean sheet dashboard (2)'!W20:AI20</xm:f>
              <xm:sqref>AJ20</xm:sqref>
            </x14:sparkline>
            <x14:sparkline>
              <xm:f>'Clean sheet dashboard (2)'!W21:AI21</xm:f>
              <xm:sqref>AJ21</xm:sqref>
            </x14:sparkline>
            <x14:sparkline>
              <xm:f>'Clean sheet dashboard (2)'!W22:AI22</xm:f>
              <xm:sqref>AJ22</xm:sqref>
            </x14:sparkline>
            <x14:sparkline>
              <xm:f>'Clean sheet dashboard (2)'!W23:AI23</xm:f>
              <xm:sqref>AJ23</xm:sqref>
            </x14:sparkline>
            <x14:sparkline>
              <xm:f>'Clean sheet dashboard (2)'!W24:AI24</xm:f>
              <xm:sqref>AJ24</xm:sqref>
            </x14:sparkline>
            <x14:sparkline>
              <xm:f>'Clean sheet dashboard (2)'!W25:AI25</xm:f>
              <xm:sqref>AJ25</xm:sqref>
            </x14:sparkline>
            <x14:sparkline>
              <xm:f>'Clean sheet dashboard (2)'!W26:AI26</xm:f>
              <xm:sqref>AJ26</xm:sqref>
            </x14:sparkline>
            <x14:sparkline>
              <xm:f>'Clean sheet dashboard (2)'!W27:AI27</xm:f>
              <xm:sqref>AJ27</xm:sqref>
            </x14:sparkline>
            <x14:sparkline>
              <xm:f>'Clean sheet dashboard (2)'!W28:AI28</xm:f>
              <xm:sqref>AJ28</xm:sqref>
            </x14:sparkline>
            <x14:sparkline>
              <xm:f>'Clean sheet dashboard (2)'!W29:AI29</xm:f>
              <xm:sqref>AJ29</xm:sqref>
            </x14:sparkline>
            <x14:sparkline>
              <xm:f>'Clean sheet dashboard (2)'!W30:AI30</xm:f>
              <xm:sqref>AJ30</xm:sqref>
            </x14:sparkline>
            <x14:sparkline>
              <xm:f>'Clean sheet dashboard (2)'!W31:AI31</xm:f>
              <xm:sqref>AJ31</xm:sqref>
            </x14:sparkline>
            <x14:sparkline>
              <xm:f>'Clean sheet dashboard (2)'!W32:AI32</xm:f>
              <xm:sqref>AJ32</xm:sqref>
            </x14:sparkline>
            <x14:sparkline>
              <xm:f>'Clean sheet dashboard (2)'!W33:AI33</xm:f>
              <xm:sqref>AJ33</xm:sqref>
            </x14:sparkline>
            <x14:sparkline>
              <xm:f>'Clean sheet dashboard (2)'!W34:AI34</xm:f>
              <xm:sqref>AJ34</xm:sqref>
            </x14:sparkline>
            <x14:sparkline>
              <xm:f>'Clean sheet dashboard (2)'!W35:AI35</xm:f>
              <xm:sqref>AJ35</xm:sqref>
            </x14:sparkline>
            <x14:sparkline>
              <xm:f>'Clean sheet dashboard (2)'!W36:AI36</xm:f>
              <xm:sqref>AJ36</xm:sqref>
            </x14:sparkline>
            <x14:sparkline>
              <xm:f>'Clean sheet dashboard (2)'!W37:AI37</xm:f>
              <xm:sqref>AJ37</xm:sqref>
            </x14:sparkline>
            <x14:sparkline>
              <xm:f>'Clean sheet dashboard (2)'!W38:AI38</xm:f>
              <xm:sqref>AJ38</xm:sqref>
            </x14:sparkline>
            <x14:sparkline>
              <xm:f>'Clean sheet dashboard (2)'!W39:AI39</xm:f>
              <xm:sqref>AJ39</xm:sqref>
            </x14:sparkline>
            <x14:sparkline>
              <xm:f>'Clean sheet dashboard (2)'!W40:AI40</xm:f>
              <xm:sqref>AJ40</xm:sqref>
            </x14:sparkline>
            <x14:sparkline>
              <xm:f>'Clean sheet dashboard (2)'!W41:AI41</xm:f>
              <xm:sqref>AJ41</xm:sqref>
            </x14:sparkline>
            <x14:sparkline>
              <xm:f>'Clean sheet dashboard (2)'!W42:AI42</xm:f>
              <xm:sqref>AJ42</xm:sqref>
            </x14:sparkline>
            <x14:sparkline>
              <xm:f>'Clean sheet dashboard (2)'!W43:AI43</xm:f>
              <xm:sqref>AJ43</xm:sqref>
            </x14:sparkline>
            <x14:sparkline>
              <xm:f>'Clean sheet dashboard (2)'!W44:AI44</xm:f>
              <xm:sqref>AJ44</xm:sqref>
            </x14:sparkline>
            <x14:sparkline>
              <xm:f>'Clean sheet dashboard (2)'!W45:AI45</xm:f>
              <xm:sqref>AJ45</xm:sqref>
            </x14:sparkline>
            <x14:sparkline>
              <xm:f>'Clean sheet dashboard (2)'!W46:AI46</xm:f>
              <xm:sqref>AJ46</xm:sqref>
            </x14:sparkline>
            <x14:sparkline>
              <xm:f>'Clean sheet dashboard (2)'!W47:AI47</xm:f>
              <xm:sqref>AJ47</xm:sqref>
            </x14:sparkline>
            <x14:sparkline>
              <xm:f>'Clean sheet dashboard (2)'!W48:AI48</xm:f>
              <xm:sqref>AJ48</xm:sqref>
            </x14:sparkline>
            <x14:sparkline>
              <xm:f>'Clean sheet dashboard (2)'!W49:AI49</xm:f>
              <xm:sqref>AJ49</xm:sqref>
            </x14:sparkline>
            <x14:sparkline>
              <xm:f>'Clean sheet dashboard (2)'!W50:AI50</xm:f>
              <xm:sqref>AJ50</xm:sqref>
            </x14:sparkline>
            <x14:sparkline>
              <xm:f>'Clean sheet dashboard (2)'!W51:AI51</xm:f>
              <xm:sqref>AJ51</xm:sqref>
            </x14:sparkline>
            <x14:sparkline>
              <xm:f>'Clean sheet dashboard (2)'!W52:AI52</xm:f>
              <xm:sqref>AJ52</xm:sqref>
            </x14:sparkline>
            <x14:sparkline>
              <xm:f>'Clean sheet dashboard (2)'!W53:AI53</xm:f>
              <xm:sqref>AJ53</xm:sqref>
            </x14:sparkline>
            <x14:sparkline>
              <xm:f>'Clean sheet dashboard (2)'!W54:AI54</xm:f>
              <xm:sqref>AJ54</xm:sqref>
            </x14:sparkline>
            <x14:sparkline>
              <xm:f>'Clean sheet dashboard (2)'!W55:AI55</xm:f>
              <xm:sqref>AJ55</xm:sqref>
            </x14:sparkline>
            <x14:sparkline>
              <xm:f>'Clean sheet dashboard (2)'!W56:AI56</xm:f>
              <xm:sqref>AJ56</xm:sqref>
            </x14:sparkline>
            <x14:sparkline>
              <xm:f>'Clean sheet dashboard (2)'!W57:AI57</xm:f>
              <xm:sqref>AJ57</xm:sqref>
            </x14:sparkline>
            <x14:sparkline>
              <xm:f>'Clean sheet dashboard (2)'!W58:AI58</xm:f>
              <xm:sqref>AJ58</xm:sqref>
            </x14:sparkline>
            <x14:sparkline>
              <xm:f>'Clean sheet dashboard (2)'!W59:AI59</xm:f>
              <xm:sqref>AJ59</xm:sqref>
            </x14:sparkline>
            <x14:sparkline>
              <xm:f>'Clean sheet dashboard (2)'!W60:AI60</xm:f>
              <xm:sqref>AJ60</xm:sqref>
            </x14:sparkline>
            <x14:sparkline>
              <xm:f>'Clean sheet dashboard (2)'!W61:AI61</xm:f>
              <xm:sqref>AJ61</xm:sqref>
            </x14:sparkline>
            <x14:sparkline>
              <xm:f>'Clean sheet dashboard (2)'!W62:AI62</xm:f>
              <xm:sqref>AJ62</xm:sqref>
            </x14:sparkline>
            <x14:sparkline>
              <xm:f>'Clean sheet dashboard (2)'!W63:AI63</xm:f>
              <xm:sqref>AJ63</xm:sqref>
            </x14:sparkline>
            <x14:sparkline>
              <xm:f>'Clean sheet dashboard (2)'!W64:AI64</xm:f>
              <xm:sqref>AJ64</xm:sqref>
            </x14:sparkline>
            <x14:sparkline>
              <xm:f>'Clean sheet dashboard (2)'!W65:AI65</xm:f>
              <xm:sqref>AJ65</xm:sqref>
            </x14:sparkline>
            <x14:sparkline>
              <xm:f>'Clean sheet dashboard (2)'!W66:AI66</xm:f>
              <xm:sqref>AJ66</xm:sqref>
            </x14:sparkline>
            <x14:sparkline>
              <xm:f>'Clean sheet dashboard (2)'!W67:AI67</xm:f>
              <xm:sqref>AJ67</xm:sqref>
            </x14:sparkline>
            <x14:sparkline>
              <xm:f>'Clean sheet dashboard (2)'!W68:AI68</xm:f>
              <xm:sqref>AJ68</xm:sqref>
            </x14:sparkline>
            <x14:sparkline>
              <xm:f>'Clean sheet dashboard (2)'!W69:AI69</xm:f>
              <xm:sqref>AJ69</xm:sqref>
            </x14:sparkline>
            <x14:sparkline>
              <xm:f>'Clean sheet dashboard (2)'!W70:AI70</xm:f>
              <xm:sqref>AJ70</xm:sqref>
            </x14:sparkline>
            <x14:sparkline>
              <xm:f>'Clean sheet dashboard (2)'!W71:AI71</xm:f>
              <xm:sqref>AJ71</xm:sqref>
            </x14:sparkline>
            <x14:sparkline>
              <xm:f>'Clean sheet dashboard (2)'!W72:AI72</xm:f>
              <xm:sqref>AJ72</xm:sqref>
            </x14:sparkline>
            <x14:sparkline>
              <xm:f>'Clean sheet dashboard (2)'!W73:AI73</xm:f>
              <xm:sqref>AJ73</xm:sqref>
            </x14:sparkline>
            <x14:sparkline>
              <xm:f>'Clean sheet dashboard (2)'!W74:AI74</xm:f>
              <xm:sqref>AJ74</xm:sqref>
            </x14:sparkline>
            <x14:sparkline>
              <xm:f>'Clean sheet dashboard (2)'!W75:AI75</xm:f>
              <xm:sqref>AJ75</xm:sqref>
            </x14:sparkline>
            <x14:sparkline>
              <xm:f>'Clean sheet dashboard (2)'!W76:AI76</xm:f>
              <xm:sqref>AJ76</xm:sqref>
            </x14:sparkline>
            <x14:sparkline>
              <xm:f>'Clean sheet dashboard (2)'!W77:AI77</xm:f>
              <xm:sqref>AJ77</xm:sqref>
            </x14:sparkline>
            <x14:sparkline>
              <xm:f>'Clean sheet dashboard (2)'!W78:AI78</xm:f>
              <xm:sqref>AJ78</xm:sqref>
            </x14:sparkline>
            <x14:sparkline>
              <xm:f>'Clean sheet dashboard (2)'!W79:AI79</xm:f>
              <xm:sqref>AJ79</xm:sqref>
            </x14:sparkline>
            <x14:sparkline>
              <xm:f>'Clean sheet dashboard (2)'!W80:AI80</xm:f>
              <xm:sqref>AJ80</xm:sqref>
            </x14:sparkline>
            <x14:sparkline>
              <xm:f>'Clean sheet dashboard (2)'!W81:AI81</xm:f>
              <xm:sqref>AJ81</xm:sqref>
            </x14:sparkline>
            <x14:sparkline>
              <xm:f>'Clean sheet dashboard (2)'!W82:AI82</xm:f>
              <xm:sqref>AJ82</xm:sqref>
            </x14:sparkline>
            <x14:sparkline>
              <xm:f>'Clean sheet dashboard (2)'!W83:AI83</xm:f>
              <xm:sqref>AJ83</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CZ81"/>
  <sheetViews>
    <sheetView workbookViewId="0">
      <selection activeCell="B2" sqref="B2"/>
    </sheetView>
  </sheetViews>
  <sheetFormatPr baseColWidth="10" defaultColWidth="8.83203125" defaultRowHeight="15"/>
  <cols>
    <col min="2" max="2" width="24" bestFit="1" customWidth="1"/>
    <col min="3" max="3" width="6.33203125" bestFit="1" customWidth="1"/>
    <col min="4" max="4" width="19.33203125" bestFit="1" customWidth="1"/>
    <col min="7" max="104" width="10.1640625" bestFit="1" customWidth="1"/>
  </cols>
  <sheetData>
    <row r="1" spans="1:104">
      <c r="A1" t="s">
        <v>271</v>
      </c>
      <c r="B1" t="s">
        <v>272</v>
      </c>
      <c r="C1" t="s">
        <v>273</v>
      </c>
      <c r="D1" s="50" t="s">
        <v>274</v>
      </c>
      <c r="G1" s="347">
        <v>43831</v>
      </c>
      <c r="H1" s="347">
        <v>43862</v>
      </c>
      <c r="I1" s="347">
        <v>43891</v>
      </c>
      <c r="J1" s="347">
        <v>43922</v>
      </c>
      <c r="K1" s="347">
        <v>43952</v>
      </c>
      <c r="L1" s="347">
        <v>43983</v>
      </c>
      <c r="M1" s="347">
        <v>44013</v>
      </c>
      <c r="N1" s="347">
        <v>44044</v>
      </c>
      <c r="O1" s="347">
        <v>44075</v>
      </c>
      <c r="P1" s="347">
        <v>44105</v>
      </c>
      <c r="Q1" s="347">
        <v>44136</v>
      </c>
      <c r="R1" s="347">
        <v>44166</v>
      </c>
      <c r="S1" s="347">
        <v>44197</v>
      </c>
      <c r="T1" s="347">
        <v>44228</v>
      </c>
      <c r="U1" s="347">
        <v>44256</v>
      </c>
      <c r="V1" s="347">
        <v>44287</v>
      </c>
      <c r="W1" s="347">
        <v>44317</v>
      </c>
      <c r="X1" s="347">
        <v>44348</v>
      </c>
      <c r="Y1" s="347">
        <v>44378</v>
      </c>
      <c r="Z1" s="347">
        <v>44409</v>
      </c>
      <c r="AA1" s="347">
        <v>44440</v>
      </c>
      <c r="AB1" s="347">
        <v>44470</v>
      </c>
      <c r="AC1" s="347">
        <v>44501</v>
      </c>
      <c r="AD1" s="347">
        <v>44531</v>
      </c>
      <c r="AE1" s="347">
        <v>44562</v>
      </c>
      <c r="AF1" s="347">
        <v>44593</v>
      </c>
      <c r="AG1" s="347">
        <v>44621</v>
      </c>
      <c r="AH1" s="347">
        <v>44652</v>
      </c>
      <c r="AI1" s="347">
        <v>44682</v>
      </c>
      <c r="AJ1" s="347">
        <v>44713</v>
      </c>
      <c r="AK1" s="347">
        <v>44743</v>
      </c>
      <c r="AL1" s="347">
        <v>44774</v>
      </c>
      <c r="AM1" s="347">
        <v>44805</v>
      </c>
      <c r="AN1" s="347">
        <v>44835</v>
      </c>
      <c r="AO1" s="347">
        <v>44866</v>
      </c>
      <c r="AP1" s="347">
        <v>44896</v>
      </c>
      <c r="AQ1" s="347">
        <v>44927</v>
      </c>
      <c r="AR1" s="347">
        <v>44958</v>
      </c>
      <c r="AS1" s="347">
        <v>44986</v>
      </c>
      <c r="AT1" s="347">
        <v>45017</v>
      </c>
      <c r="AU1" s="347">
        <v>45047</v>
      </c>
      <c r="AV1" s="347">
        <v>45078</v>
      </c>
      <c r="AW1" s="347">
        <v>45108</v>
      </c>
      <c r="AX1" s="347">
        <v>45115</v>
      </c>
      <c r="AY1" s="347">
        <v>45154</v>
      </c>
      <c r="AZ1" s="347">
        <v>45162</v>
      </c>
      <c r="BA1" s="347">
        <v>45139</v>
      </c>
      <c r="BB1" s="347">
        <v>45146</v>
      </c>
      <c r="BC1" s="347">
        <v>45154</v>
      </c>
      <c r="BD1" s="347">
        <v>45162</v>
      </c>
      <c r="BE1" s="347">
        <v>45170</v>
      </c>
      <c r="BF1" s="347">
        <v>45177</v>
      </c>
      <c r="BG1" s="347">
        <v>45185</v>
      </c>
      <c r="BH1" s="347">
        <v>45193</v>
      </c>
      <c r="BI1" s="347">
        <v>45200</v>
      </c>
      <c r="BJ1" s="347">
        <v>45207</v>
      </c>
      <c r="BK1" s="347">
        <v>45215</v>
      </c>
      <c r="BL1" s="347">
        <v>45223</v>
      </c>
      <c r="BM1" s="347">
        <v>45231</v>
      </c>
      <c r="BN1" s="347">
        <v>45238</v>
      </c>
      <c r="BO1" s="347">
        <v>45246</v>
      </c>
      <c r="BP1" s="347">
        <v>45254</v>
      </c>
      <c r="BQ1" s="347">
        <v>45261</v>
      </c>
      <c r="BR1" s="347">
        <v>45268</v>
      </c>
      <c r="BS1" s="347">
        <v>45276</v>
      </c>
      <c r="BT1" s="347">
        <v>45284</v>
      </c>
      <c r="BU1" s="347">
        <v>45292</v>
      </c>
      <c r="BV1" s="347">
        <v>45299</v>
      </c>
      <c r="BW1" s="347">
        <v>45307</v>
      </c>
      <c r="BX1" s="347">
        <v>45315</v>
      </c>
      <c r="BY1" s="347">
        <v>45323</v>
      </c>
      <c r="BZ1" s="347">
        <v>45330</v>
      </c>
      <c r="CA1" s="347">
        <v>45338</v>
      </c>
      <c r="CB1" s="347">
        <v>45346</v>
      </c>
      <c r="CC1" s="347">
        <v>45352</v>
      </c>
      <c r="CD1" s="347">
        <v>45359</v>
      </c>
      <c r="CE1" s="347">
        <v>45369</v>
      </c>
      <c r="CF1" s="347">
        <v>45375</v>
      </c>
      <c r="CG1" s="347">
        <v>45383</v>
      </c>
      <c r="CH1" s="347">
        <v>45390</v>
      </c>
      <c r="CI1" s="347">
        <v>45398</v>
      </c>
      <c r="CJ1" s="347">
        <v>45406</v>
      </c>
      <c r="CK1" s="347">
        <v>45413</v>
      </c>
      <c r="CL1" s="347">
        <v>45420</v>
      </c>
      <c r="CM1" s="347">
        <v>45428</v>
      </c>
      <c r="CN1" s="347">
        <v>45436</v>
      </c>
      <c r="CO1" s="347">
        <v>45442</v>
      </c>
      <c r="CP1" s="347">
        <v>45444</v>
      </c>
      <c r="CQ1" s="347">
        <v>45451</v>
      </c>
      <c r="CR1" s="347">
        <v>45459</v>
      </c>
      <c r="CS1" s="347">
        <v>45467</v>
      </c>
      <c r="CT1" s="347">
        <v>45474</v>
      </c>
      <c r="CU1" s="347">
        <v>45481</v>
      </c>
      <c r="CV1" s="347">
        <v>45489</v>
      </c>
      <c r="CW1" s="347">
        <v>45497</v>
      </c>
      <c r="CX1" s="347">
        <v>45505</v>
      </c>
      <c r="CY1" s="347">
        <v>45512</v>
      </c>
      <c r="CZ1" s="347">
        <v>45520</v>
      </c>
    </row>
    <row r="2" spans="1:104">
      <c r="A2" s="3">
        <v>1</v>
      </c>
      <c r="B2" s="263" t="s">
        <v>70</v>
      </c>
      <c r="C2" s="8" t="s">
        <v>203</v>
      </c>
    </row>
    <row r="3" spans="1:104">
      <c r="A3" s="3">
        <v>2</v>
      </c>
      <c r="B3" s="263" t="s">
        <v>204</v>
      </c>
      <c r="C3" s="8" t="s">
        <v>203</v>
      </c>
    </row>
    <row r="4" spans="1:104">
      <c r="A4" s="3">
        <v>3</v>
      </c>
      <c r="B4" s="263" t="s">
        <v>205</v>
      </c>
      <c r="C4" s="8" t="s">
        <v>203</v>
      </c>
    </row>
    <row r="5" spans="1:104">
      <c r="A5" s="3">
        <v>4</v>
      </c>
      <c r="B5" s="263" t="s">
        <v>206</v>
      </c>
      <c r="C5" s="8" t="s">
        <v>203</v>
      </c>
    </row>
    <row r="6" spans="1:104">
      <c r="A6" s="3">
        <v>5</v>
      </c>
      <c r="B6" s="263" t="s">
        <v>208</v>
      </c>
      <c r="C6" s="8" t="s">
        <v>207</v>
      </c>
    </row>
    <row r="7" spans="1:104">
      <c r="A7" s="3">
        <v>6</v>
      </c>
      <c r="B7" s="263" t="s">
        <v>209</v>
      </c>
      <c r="C7" s="8" t="s">
        <v>207</v>
      </c>
    </row>
    <row r="8" spans="1:104">
      <c r="A8" s="3">
        <v>7</v>
      </c>
      <c r="B8" s="263" t="s">
        <v>210</v>
      </c>
      <c r="C8" s="8" t="s">
        <v>203</v>
      </c>
    </row>
    <row r="9" spans="1:104">
      <c r="A9" s="3">
        <v>8</v>
      </c>
      <c r="B9" s="263" t="s">
        <v>211</v>
      </c>
      <c r="C9" s="8" t="s">
        <v>203</v>
      </c>
    </row>
    <row r="10" spans="1:104">
      <c r="A10" s="3">
        <v>9</v>
      </c>
      <c r="B10" s="263" t="s">
        <v>213</v>
      </c>
      <c r="C10" s="8" t="s">
        <v>212</v>
      </c>
    </row>
    <row r="11" spans="1:104">
      <c r="A11" s="3">
        <v>10</v>
      </c>
      <c r="B11" s="263" t="s">
        <v>214</v>
      </c>
      <c r="C11" s="8" t="s">
        <v>207</v>
      </c>
    </row>
    <row r="12" spans="1:104">
      <c r="A12" s="3">
        <v>11</v>
      </c>
      <c r="B12" s="263" t="s">
        <v>215</v>
      </c>
      <c r="C12" s="8" t="s">
        <v>203</v>
      </c>
    </row>
    <row r="13" spans="1:104">
      <c r="A13" s="3">
        <v>12</v>
      </c>
      <c r="B13" s="263" t="s">
        <v>216</v>
      </c>
      <c r="C13" s="8" t="s">
        <v>203</v>
      </c>
    </row>
    <row r="14" spans="1:104">
      <c r="A14" s="3">
        <v>13</v>
      </c>
      <c r="B14" s="263" t="s">
        <v>217</v>
      </c>
      <c r="C14" s="8" t="s">
        <v>212</v>
      </c>
    </row>
    <row r="15" spans="1:104">
      <c r="A15" s="3">
        <v>14</v>
      </c>
      <c r="B15" s="263" t="s">
        <v>132</v>
      </c>
      <c r="C15" s="8" t="s">
        <v>203</v>
      </c>
    </row>
    <row r="16" spans="1:104">
      <c r="A16" s="3">
        <v>15</v>
      </c>
      <c r="B16" s="263" t="s">
        <v>218</v>
      </c>
      <c r="C16" s="8" t="s">
        <v>212</v>
      </c>
    </row>
    <row r="17" spans="1:3">
      <c r="A17" s="3">
        <v>16</v>
      </c>
      <c r="B17" s="263" t="s">
        <v>219</v>
      </c>
      <c r="C17" s="8" t="s">
        <v>207</v>
      </c>
    </row>
    <row r="18" spans="1:3">
      <c r="A18" s="3">
        <v>17</v>
      </c>
      <c r="B18" s="263" t="s">
        <v>220</v>
      </c>
      <c r="C18" s="8" t="s">
        <v>203</v>
      </c>
    </row>
    <row r="19" spans="1:3">
      <c r="A19" s="3">
        <v>18</v>
      </c>
      <c r="B19" s="263" t="s">
        <v>221</v>
      </c>
      <c r="C19" s="8" t="s">
        <v>203</v>
      </c>
    </row>
    <row r="20" spans="1:3">
      <c r="A20" s="3">
        <v>19</v>
      </c>
      <c r="B20" s="263" t="s">
        <v>222</v>
      </c>
      <c r="C20" s="8" t="s">
        <v>203</v>
      </c>
    </row>
    <row r="21" spans="1:3">
      <c r="A21" s="3">
        <v>20</v>
      </c>
      <c r="B21" s="263" t="s">
        <v>223</v>
      </c>
      <c r="C21" s="8" t="s">
        <v>212</v>
      </c>
    </row>
    <row r="22" spans="1:3">
      <c r="A22" s="3">
        <v>21</v>
      </c>
      <c r="B22" s="263" t="s">
        <v>224</v>
      </c>
      <c r="C22" s="8" t="s">
        <v>212</v>
      </c>
    </row>
    <row r="23" spans="1:3">
      <c r="A23" s="3">
        <v>22</v>
      </c>
      <c r="B23" s="263" t="s">
        <v>225</v>
      </c>
      <c r="C23" s="8" t="s">
        <v>212</v>
      </c>
    </row>
    <row r="24" spans="1:3">
      <c r="A24" s="3">
        <v>23</v>
      </c>
      <c r="B24" s="263" t="s">
        <v>226</v>
      </c>
      <c r="C24" s="8" t="s">
        <v>203</v>
      </c>
    </row>
    <row r="25" spans="1:3">
      <c r="A25" s="3">
        <v>24</v>
      </c>
      <c r="B25" s="263" t="s">
        <v>227</v>
      </c>
      <c r="C25" s="8" t="s">
        <v>212</v>
      </c>
    </row>
    <row r="26" spans="1:3">
      <c r="A26" s="3">
        <v>25</v>
      </c>
      <c r="B26" s="263" t="s">
        <v>228</v>
      </c>
      <c r="C26" s="8" t="s">
        <v>212</v>
      </c>
    </row>
    <row r="27" spans="1:3">
      <c r="A27" s="3">
        <v>26</v>
      </c>
      <c r="B27" s="263" t="s">
        <v>118</v>
      </c>
      <c r="C27" s="8" t="s">
        <v>229</v>
      </c>
    </row>
    <row r="28" spans="1:3">
      <c r="A28" s="3">
        <v>27</v>
      </c>
      <c r="B28" s="263" t="s">
        <v>230</v>
      </c>
      <c r="C28" s="8" t="s">
        <v>212</v>
      </c>
    </row>
    <row r="29" spans="1:3">
      <c r="A29" s="3">
        <v>28</v>
      </c>
      <c r="B29" s="263" t="s">
        <v>231</v>
      </c>
      <c r="C29" s="8" t="s">
        <v>212</v>
      </c>
    </row>
    <row r="30" spans="1:3">
      <c r="A30" s="3">
        <v>29</v>
      </c>
      <c r="B30" s="263" t="s">
        <v>232</v>
      </c>
      <c r="C30" s="8" t="s">
        <v>207</v>
      </c>
    </row>
    <row r="31" spans="1:3">
      <c r="A31" s="3">
        <v>30</v>
      </c>
      <c r="B31" s="263" t="s">
        <v>233</v>
      </c>
      <c r="C31" s="8" t="s">
        <v>207</v>
      </c>
    </row>
    <row r="32" spans="1:3">
      <c r="A32" s="3">
        <v>31</v>
      </c>
      <c r="B32" s="263" t="s">
        <v>234</v>
      </c>
      <c r="C32" s="8" t="s">
        <v>229</v>
      </c>
    </row>
    <row r="33" spans="1:3">
      <c r="A33" s="3">
        <v>32</v>
      </c>
      <c r="B33" s="263" t="s">
        <v>235</v>
      </c>
      <c r="C33" s="8" t="s">
        <v>212</v>
      </c>
    </row>
    <row r="34" spans="1:3">
      <c r="A34" s="3">
        <v>33</v>
      </c>
      <c r="B34" s="263" t="s">
        <v>236</v>
      </c>
      <c r="C34" s="8" t="s">
        <v>203</v>
      </c>
    </row>
    <row r="35" spans="1:3">
      <c r="A35" s="3">
        <v>34</v>
      </c>
      <c r="B35" s="263" t="s">
        <v>74</v>
      </c>
      <c r="C35" s="8" t="s">
        <v>207</v>
      </c>
    </row>
    <row r="36" spans="1:3">
      <c r="A36" s="3">
        <v>35</v>
      </c>
      <c r="B36" s="263" t="s">
        <v>237</v>
      </c>
      <c r="C36" s="8" t="s">
        <v>207</v>
      </c>
    </row>
    <row r="37" spans="1:3">
      <c r="A37" s="3">
        <v>36</v>
      </c>
      <c r="B37" s="263" t="s">
        <v>238</v>
      </c>
      <c r="C37" s="8" t="s">
        <v>203</v>
      </c>
    </row>
    <row r="38" spans="1:3">
      <c r="A38" s="3">
        <v>37</v>
      </c>
      <c r="B38" s="263" t="s">
        <v>239</v>
      </c>
      <c r="C38" s="8" t="s">
        <v>203</v>
      </c>
    </row>
    <row r="39" spans="1:3">
      <c r="A39" s="3">
        <v>38</v>
      </c>
      <c r="B39" s="263" t="s">
        <v>240</v>
      </c>
      <c r="C39" s="8" t="s">
        <v>203</v>
      </c>
    </row>
    <row r="40" spans="1:3">
      <c r="A40" s="3">
        <v>39</v>
      </c>
      <c r="B40" s="263" t="s">
        <v>241</v>
      </c>
      <c r="C40" s="8" t="s">
        <v>207</v>
      </c>
    </row>
    <row r="41" spans="1:3">
      <c r="A41" s="3">
        <v>40</v>
      </c>
      <c r="B41" s="264" t="s">
        <v>242</v>
      </c>
      <c r="C41" s="8" t="s">
        <v>207</v>
      </c>
    </row>
    <row r="42" spans="1:3">
      <c r="A42" s="3">
        <v>41</v>
      </c>
      <c r="B42" s="263" t="s">
        <v>243</v>
      </c>
      <c r="C42" s="8" t="s">
        <v>207</v>
      </c>
    </row>
    <row r="43" spans="1:3">
      <c r="A43" s="3">
        <v>42</v>
      </c>
      <c r="B43" s="263" t="s">
        <v>244</v>
      </c>
      <c r="C43" s="8" t="s">
        <v>207</v>
      </c>
    </row>
    <row r="44" spans="1:3">
      <c r="A44" s="3">
        <v>43</v>
      </c>
      <c r="B44" s="263" t="s">
        <v>245</v>
      </c>
      <c r="C44" s="8" t="s">
        <v>212</v>
      </c>
    </row>
    <row r="45" spans="1:3">
      <c r="A45" s="3">
        <v>44</v>
      </c>
      <c r="B45" s="263" t="s">
        <v>246</v>
      </c>
      <c r="C45" s="8" t="s">
        <v>207</v>
      </c>
    </row>
    <row r="46" spans="1:3">
      <c r="A46" s="3">
        <v>45</v>
      </c>
      <c r="B46" s="263" t="s">
        <v>247</v>
      </c>
      <c r="C46" s="8" t="s">
        <v>207</v>
      </c>
    </row>
    <row r="47" spans="1:3">
      <c r="A47" s="3">
        <v>46</v>
      </c>
      <c r="B47" s="263" t="s">
        <v>249</v>
      </c>
      <c r="C47" s="8" t="s">
        <v>275</v>
      </c>
    </row>
    <row r="48" spans="1:3">
      <c r="A48" s="3">
        <v>47</v>
      </c>
      <c r="B48" s="263" t="s">
        <v>250</v>
      </c>
      <c r="C48" s="8" t="s">
        <v>275</v>
      </c>
    </row>
    <row r="49" spans="1:3">
      <c r="A49" s="3">
        <v>48</v>
      </c>
      <c r="B49" s="45" t="s">
        <v>251</v>
      </c>
      <c r="C49" s="8" t="s">
        <v>275</v>
      </c>
    </row>
    <row r="50" spans="1:3">
      <c r="A50" s="3">
        <v>49</v>
      </c>
      <c r="B50" s="263" t="s">
        <v>112</v>
      </c>
      <c r="C50" s="8" t="s">
        <v>275</v>
      </c>
    </row>
    <row r="51" spans="1:3">
      <c r="A51" s="3">
        <v>50</v>
      </c>
      <c r="B51" s="263" t="s">
        <v>252</v>
      </c>
      <c r="C51" s="8" t="s">
        <v>275</v>
      </c>
    </row>
    <row r="52" spans="1:3">
      <c r="A52" s="3">
        <v>51</v>
      </c>
      <c r="B52" s="263" t="s">
        <v>253</v>
      </c>
      <c r="C52" s="8" t="s">
        <v>229</v>
      </c>
    </row>
    <row r="53" spans="1:3">
      <c r="A53" s="3">
        <v>52</v>
      </c>
      <c r="B53" s="263" t="s">
        <v>254</v>
      </c>
      <c r="C53" s="8" t="s">
        <v>229</v>
      </c>
    </row>
    <row r="54" spans="1:3">
      <c r="A54" s="3">
        <v>53</v>
      </c>
      <c r="B54" s="263" t="s">
        <v>255</v>
      </c>
      <c r="C54" s="8" t="s">
        <v>229</v>
      </c>
    </row>
    <row r="55" spans="1:3">
      <c r="A55" s="3">
        <v>54</v>
      </c>
      <c r="B55" s="263" t="s">
        <v>114</v>
      </c>
      <c r="C55" s="8" t="s">
        <v>229</v>
      </c>
    </row>
    <row r="56" spans="1:3">
      <c r="A56" s="3">
        <v>55</v>
      </c>
      <c r="B56" s="263" t="s">
        <v>256</v>
      </c>
      <c r="C56" s="8" t="s">
        <v>229</v>
      </c>
    </row>
    <row r="57" spans="1:3">
      <c r="A57" s="3">
        <v>56</v>
      </c>
      <c r="B57" s="263" t="s">
        <v>257</v>
      </c>
      <c r="C57" s="8" t="s">
        <v>229</v>
      </c>
    </row>
    <row r="58" spans="1:3">
      <c r="A58" s="3">
        <v>57</v>
      </c>
      <c r="B58" s="263" t="s">
        <v>258</v>
      </c>
      <c r="C58" s="8" t="s">
        <v>212</v>
      </c>
    </row>
    <row r="59" spans="1:3">
      <c r="A59" s="3">
        <v>58</v>
      </c>
      <c r="B59" s="263" t="s">
        <v>259</v>
      </c>
      <c r="C59" s="8" t="s">
        <v>229</v>
      </c>
    </row>
    <row r="60" spans="1:3">
      <c r="A60" s="3">
        <v>59</v>
      </c>
      <c r="B60" s="263" t="s">
        <v>260</v>
      </c>
      <c r="C60" s="8" t="s">
        <v>207</v>
      </c>
    </row>
    <row r="61" spans="1:3">
      <c r="A61" s="3">
        <v>60</v>
      </c>
      <c r="B61" s="263" t="s">
        <v>261</v>
      </c>
      <c r="C61" s="8" t="s">
        <v>229</v>
      </c>
    </row>
    <row r="62" spans="1:3">
      <c r="A62" s="3">
        <v>61</v>
      </c>
      <c r="B62" s="263" t="s">
        <v>126</v>
      </c>
      <c r="C62" s="8" t="s">
        <v>229</v>
      </c>
    </row>
    <row r="63" spans="1:3">
      <c r="A63" s="3">
        <v>62</v>
      </c>
      <c r="B63" s="263" t="s">
        <v>262</v>
      </c>
      <c r="C63" s="8" t="s">
        <v>229</v>
      </c>
    </row>
    <row r="64" spans="1:3">
      <c r="A64" s="3">
        <v>63</v>
      </c>
      <c r="B64" s="263" t="s">
        <v>263</v>
      </c>
      <c r="C64" s="8" t="s">
        <v>275</v>
      </c>
    </row>
    <row r="65" spans="1:3">
      <c r="A65" s="3">
        <v>64</v>
      </c>
      <c r="B65" s="263" t="s">
        <v>264</v>
      </c>
      <c r="C65" s="8" t="s">
        <v>212</v>
      </c>
    </row>
    <row r="66" spans="1:3">
      <c r="A66" s="3">
        <v>65</v>
      </c>
      <c r="B66" s="45" t="s">
        <v>265</v>
      </c>
      <c r="C66" s="8" t="s">
        <v>275</v>
      </c>
    </row>
    <row r="67" spans="1:3">
      <c r="A67" s="3">
        <v>66</v>
      </c>
      <c r="B67" s="263" t="s">
        <v>131</v>
      </c>
      <c r="C67" s="8" t="s">
        <v>203</v>
      </c>
    </row>
    <row r="68" spans="1:3">
      <c r="A68" s="3">
        <v>67</v>
      </c>
      <c r="B68" s="263" t="s">
        <v>134</v>
      </c>
      <c r="C68" s="8"/>
    </row>
    <row r="69" spans="1:3">
      <c r="A69" s="3">
        <v>68</v>
      </c>
      <c r="B69" s="263" t="s">
        <v>137</v>
      </c>
      <c r="C69" s="8"/>
    </row>
    <row r="70" spans="1:3">
      <c r="A70" s="3">
        <v>69</v>
      </c>
      <c r="B70" s="263" t="s">
        <v>139</v>
      </c>
      <c r="C70" s="8"/>
    </row>
    <row r="71" spans="1:3">
      <c r="A71" s="3">
        <v>70</v>
      </c>
      <c r="B71" s="263" t="s">
        <v>140</v>
      </c>
      <c r="C71" s="8"/>
    </row>
    <row r="72" spans="1:3">
      <c r="A72" s="3">
        <v>71</v>
      </c>
      <c r="B72" s="263" t="s">
        <v>141</v>
      </c>
      <c r="C72" s="8"/>
    </row>
    <row r="73" spans="1:3">
      <c r="A73" s="3">
        <v>72</v>
      </c>
      <c r="B73" s="263" t="s">
        <v>142</v>
      </c>
      <c r="C73" s="8"/>
    </row>
    <row r="74" spans="1:3">
      <c r="A74" s="3">
        <v>73</v>
      </c>
      <c r="B74" s="263" t="s">
        <v>143</v>
      </c>
      <c r="C74" s="8"/>
    </row>
    <row r="75" spans="1:3">
      <c r="A75" s="3">
        <v>74</v>
      </c>
      <c r="B75" s="263" t="s">
        <v>144</v>
      </c>
      <c r="C75" s="8"/>
    </row>
    <row r="76" spans="1:3">
      <c r="A76" s="3">
        <v>75</v>
      </c>
      <c r="B76" s="263" t="s">
        <v>82</v>
      </c>
      <c r="C76" s="8"/>
    </row>
    <row r="77" spans="1:3">
      <c r="A77" s="3">
        <v>76</v>
      </c>
      <c r="B77" s="45" t="s">
        <v>266</v>
      </c>
      <c r="C77" s="8" t="s">
        <v>203</v>
      </c>
    </row>
    <row r="78" spans="1:3">
      <c r="A78" s="3">
        <v>77</v>
      </c>
      <c r="B78" s="263" t="s">
        <v>276</v>
      </c>
      <c r="C78" t="s">
        <v>212</v>
      </c>
    </row>
    <row r="79" spans="1:3">
      <c r="A79" s="3">
        <v>78</v>
      </c>
      <c r="B79" s="263" t="s">
        <v>277</v>
      </c>
      <c r="C79" t="s">
        <v>212</v>
      </c>
    </row>
    <row r="80" spans="1:3">
      <c r="A80" s="3">
        <v>79</v>
      </c>
      <c r="B80" s="263" t="s">
        <v>276</v>
      </c>
      <c r="C80" t="s">
        <v>212</v>
      </c>
    </row>
    <row r="81" spans="1:3">
      <c r="A81" s="3">
        <v>80</v>
      </c>
      <c r="B81" s="263" t="s">
        <v>278</v>
      </c>
      <c r="C81" t="s">
        <v>207</v>
      </c>
    </row>
  </sheetData>
  <autoFilter ref="A1:D81" xr:uid="{00000000-0009-0000-0000-000002000000}">
    <sortState xmlns:xlrd2="http://schemas.microsoft.com/office/spreadsheetml/2017/richdata2" ref="A2:D43">
      <sortCondition ref="B1:B33"/>
    </sortState>
  </autoFilter>
  <hyperlinks>
    <hyperlink ref="D1" location="'Input RM sheet'!A1" display="'Input RM sheet'!A1" xr:uid="{00000000-0004-0000-0200-000000000000}"/>
    <hyperlink ref="B2" location="EDC!A1" display="EDC" xr:uid="{00000000-0004-0000-0200-000001000000}"/>
    <hyperlink ref="B12" location="IPDA!A1" display="IPDA" xr:uid="{00000000-0004-0000-0200-000002000000}"/>
    <hyperlink ref="B13" location="DIMETHYLAMINE!A1" display="DIMETHYLAMINE" xr:uid="{00000000-0004-0000-0200-000003000000}"/>
    <hyperlink ref="B14" location="'Nonyl phenol'!A1" display="NONYL PHENOL" xr:uid="{00000000-0004-0000-0200-000004000000}"/>
    <hyperlink ref="B3" location="EDA!A1" display="EDA" xr:uid="{00000000-0004-0000-0200-000005000000}"/>
    <hyperlink ref="B5" location="TEPA!A1" display="TEPA" xr:uid="{00000000-0004-0000-0200-000006000000}"/>
    <hyperlink ref="B6" location="'CHROMIC ACID FLAKES'!A1" display="Chromic acid" xr:uid="{00000000-0004-0000-0200-000007000000}"/>
    <hyperlink ref="B7" location="'Copper II Nitrate trihydrate'!A1" display="CopperII" xr:uid="{00000000-0004-0000-0200-000008000000}"/>
    <hyperlink ref="B8" location="AEEA!A1" display="AEEA" xr:uid="{00000000-0004-0000-0200-000009000000}"/>
    <hyperlink ref="B9" location="MonoEthanolamine!A1" display="Mono ethanolamine" xr:uid="{00000000-0004-0000-0200-00000A000000}"/>
    <hyperlink ref="B10" location="MTMS!A1" display="MTMS" xr:uid="{00000000-0004-0000-0200-00000B000000}"/>
    <hyperlink ref="B11" location="ISOPHORONENITRILE!A1" display="ISOPHORONENITRILE" xr:uid="{00000000-0004-0000-0200-00000C000000}"/>
    <hyperlink ref="B15" location="TEA!A1" display="TEA" xr:uid="{00000000-0004-0000-0200-00000D000000}"/>
    <hyperlink ref="B16" location="'Ethyl benzene'!A1" display="ETHYL BEZENE" xr:uid="{00000000-0004-0000-0200-00000E000000}"/>
    <hyperlink ref="B17" location="'Maleic Anhydride'!A1" display="MELEIC ANDHYDRIDE" xr:uid="{00000000-0004-0000-0200-00000F000000}"/>
    <hyperlink ref="B18" location="MDA!A1" display="MDA" xr:uid="{00000000-0004-0000-0200-000010000000}"/>
    <hyperlink ref="B19" location="PNA!A1" display="PNA" xr:uid="{00000000-0004-0000-0200-000011000000}"/>
    <hyperlink ref="B20" location="PANA!A1" display="PANA" xr:uid="{00000000-0004-0000-0200-000012000000}"/>
    <hyperlink ref="B21" location="'Hexylene Glycol'!A1" display="Hexylene Glycol" xr:uid="{00000000-0004-0000-0200-000013000000}"/>
    <hyperlink ref="B22" location="'Diacetone alcohol '!A1" display="Diacetone alcohol" xr:uid="{00000000-0004-0000-0200-000014000000}"/>
    <hyperlink ref="B23" location="DBNPA!A1" display="DBNPA" xr:uid="{00000000-0004-0000-0200-000015000000}"/>
    <hyperlink ref="B24" location="DNBA!A1" display="DNBA" xr:uid="{00000000-0004-0000-0200-000016000000}"/>
    <hyperlink ref="B25" location="DTBP!A1" display="DTBP" xr:uid="{00000000-0004-0000-0200-000017000000}"/>
    <hyperlink ref="B26" location="Paraformaldehyde!A1" display="Paraformaldehyde" xr:uid="{00000000-0004-0000-0200-000018000000}"/>
    <hyperlink ref="B27" location="IPA!A1" display="IPA" xr:uid="{00000000-0004-0000-0200-000019000000}"/>
    <hyperlink ref="B28" location="'60000CST'!A1" display="60000 CST" xr:uid="{00000000-0004-0000-0200-00001A000000}"/>
    <hyperlink ref="B29" location="CMIT!A1" display="CMIT" xr:uid="{00000000-0004-0000-0200-00001B000000}"/>
    <hyperlink ref="B30" location="'Ethyl Acetoacetate'!A1" display="Ethyl Acetoacetate" xr:uid="{00000000-0004-0000-0200-00001C000000}"/>
    <hyperlink ref="B31" location="TICL4!A1" display="Ticl4" xr:uid="{00000000-0004-0000-0200-00001D000000}"/>
    <hyperlink ref="B32" location="Benzaldehyde!A1" display="Benzaldehyde" xr:uid="{00000000-0004-0000-0200-00001E000000}"/>
    <hyperlink ref="B33" location="PIB!A1" display="PIB" xr:uid="{00000000-0004-0000-0200-00001F000000}"/>
    <hyperlink ref="B34" location="Dimethylethanolamine!A1" display="Dimethylethanolamine" xr:uid="{00000000-0004-0000-0200-000020000000}"/>
    <hyperlink ref="B35" location="ISOPHORONE!A1" display="ISOPHORONE" xr:uid="{00000000-0004-0000-0200-000021000000}"/>
    <hyperlink ref="B4" location="'EDA (2)'!A1" display="EDC MEK-Route" xr:uid="{00000000-0004-0000-0200-000022000000}"/>
    <hyperlink ref="B36" location="'Phosphonic acid'!A1" display="Phosphonic Acid" xr:uid="{00000000-0004-0000-0200-000023000000}"/>
    <hyperlink ref="B37" location="'DETA EDA'!A1" display="DETA-EDA" xr:uid="{00000000-0004-0000-0200-000024000000}"/>
    <hyperlink ref="B39" location="'DIETHANOL AMINE'!A1" display="DIETHANOL AMINE" xr:uid="{00000000-0004-0000-0200-000025000000}"/>
    <hyperlink ref="B38" location="'DETA EDA'!A1" display="DETA-EDA" xr:uid="{00000000-0004-0000-0200-000026000000}"/>
    <hyperlink ref="B40" location="P2O5!A1" display="P205" xr:uid="{00000000-0004-0000-0200-000027000000}"/>
    <hyperlink ref="B41" location="Acetylacetone!A1" display="Acetylacetone" xr:uid="{00000000-0004-0000-0200-000028000000}"/>
    <hyperlink ref="B42" location="PVA!A1" display="PVA" xr:uid="{00000000-0004-0000-0200-000029000000}"/>
    <hyperlink ref="B43" location="'ZINC OXIDE  -  ACTIVE'!A1" display="ZINC OXIDE" xr:uid="{00000000-0004-0000-0200-00002A000000}"/>
    <hyperlink ref="B44" location="'DDSA TPSA'!A1" display="DDSA" xr:uid="{00000000-0004-0000-0200-00002B000000}"/>
    <hyperlink ref="B45" location="'Copper Sulphate '!A1" display="Copper Sulphate" xr:uid="{00000000-0004-0000-0200-00002C000000}"/>
    <hyperlink ref="B46" location="'Dodiflow 57501'!A1" display="Dodiflow 57501" xr:uid="{00000000-0004-0000-0200-00002D000000}"/>
    <hyperlink ref="B65" location="PIB!A1" display="PIB" xr:uid="{00000000-0004-0000-0200-00002E000000}"/>
    <hyperlink ref="B66" location="'1-Decene'!A1" display="1-Decene" xr:uid="{00000000-0004-0000-0200-00002F000000}"/>
    <hyperlink ref="B49" location="SOFA!A1" display="SOFA" xr:uid="{00000000-0004-0000-0200-000030000000}"/>
    <hyperlink ref="B77" location="'n-methylaniline'!A1" display="N-methyl Aniline - 99%" xr:uid="{00000000-0004-0000-0200-000031000000}"/>
    <hyperlink ref="B78" location="'tertiary butyl hydroquinone'!A1" display="tertiary butyl hydroquinone" xr:uid="{00000000-0004-0000-0200-000032000000}"/>
    <hyperlink ref="B79" location="'Dimethyl sebacate '!A1" display="Dimethyl sebacate " xr:uid="{00000000-0004-0000-0200-000033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dimension ref="A1:FH125"/>
  <sheetViews>
    <sheetView zoomScale="90" zoomScaleNormal="90" workbookViewId="0">
      <pane xSplit="6" ySplit="3" topLeftCell="AU4" activePane="bottomRight" state="frozen"/>
      <selection pane="topRight" activeCell="G1" sqref="G1"/>
      <selection pane="bottomLeft" activeCell="A4" sqref="A4"/>
      <selection pane="bottomRight" activeCell="B3" sqref="B3"/>
    </sheetView>
  </sheetViews>
  <sheetFormatPr baseColWidth="10" defaultColWidth="8.6640625" defaultRowHeight="14"/>
  <cols>
    <col min="1" max="1" width="6.33203125" style="8" bestFit="1" customWidth="1"/>
    <col min="2" max="2" width="28" style="8" customWidth="1"/>
    <col min="3" max="3" width="10.5" style="8" hidden="1" customWidth="1"/>
    <col min="4" max="4" width="9.6640625" style="8" hidden="1" customWidth="1"/>
    <col min="5" max="16" width="8.5" style="8" hidden="1" customWidth="1"/>
    <col min="17" max="46" width="9.6640625" style="8" hidden="1" customWidth="1"/>
    <col min="47" max="47" width="9.1640625" style="8" customWidth="1"/>
    <col min="48" max="51" width="9.6640625" style="8" hidden="1" customWidth="1"/>
    <col min="52" max="52" width="9" style="8" hidden="1" customWidth="1"/>
    <col min="53" max="53" width="7.6640625" style="8" hidden="1" customWidth="1"/>
    <col min="54" max="70" width="9.6640625" style="8" hidden="1" customWidth="1"/>
    <col min="71" max="82" width="9.6640625" style="8" customWidth="1"/>
    <col min="83" max="83" width="27.5" style="60" customWidth="1"/>
    <col min="84" max="84" width="4.5" style="8" hidden="1" customWidth="1"/>
    <col min="85" max="85" width="10.5" style="8" customWidth="1"/>
    <col min="86" max="91" width="7.5" style="8" hidden="1" customWidth="1"/>
    <col min="92" max="92" width="6.33203125" style="8" hidden="1" customWidth="1"/>
    <col min="93" max="94" width="7.5" style="8" hidden="1" customWidth="1"/>
    <col min="95" max="95" width="5.6640625" style="8" hidden="1" customWidth="1"/>
    <col min="96" max="96" width="6.6640625" style="8" hidden="1" customWidth="1"/>
    <col min="97" max="97" width="6.5" style="8" hidden="1" customWidth="1"/>
    <col min="98" max="98" width="8.33203125" style="8" hidden="1" customWidth="1"/>
    <col min="99" max="99" width="9.1640625" style="8" hidden="1" customWidth="1"/>
    <col min="100" max="103" width="8.83203125" style="8" hidden="1" customWidth="1"/>
    <col min="104" max="142" width="8.6640625" style="8" hidden="1" customWidth="1"/>
    <col min="143" max="146" width="0" style="8" hidden="1" customWidth="1"/>
    <col min="147" max="152" width="9.33203125" style="8" hidden="1" customWidth="1"/>
    <col min="153" max="158" width="9.33203125" style="8" customWidth="1"/>
    <col min="159" max="16384" width="8.6640625" style="8"/>
  </cols>
  <sheetData>
    <row r="1" spans="1:164" ht="15">
      <c r="A1" s="362" t="s">
        <v>160</v>
      </c>
      <c r="B1" s="336"/>
      <c r="C1" s="41">
        <v>44927</v>
      </c>
      <c r="D1" s="41">
        <v>44958</v>
      </c>
      <c r="E1" s="41">
        <v>44986</v>
      </c>
      <c r="F1" s="41">
        <v>45017</v>
      </c>
      <c r="G1" s="41">
        <v>45047</v>
      </c>
      <c r="H1" s="41">
        <v>45078</v>
      </c>
      <c r="I1" s="34" t="s">
        <v>162</v>
      </c>
      <c r="J1" s="34" t="s">
        <v>163</v>
      </c>
      <c r="K1" s="34" t="s">
        <v>164</v>
      </c>
      <c r="L1" s="34" t="s">
        <v>165</v>
      </c>
      <c r="M1" s="34" t="s">
        <v>166</v>
      </c>
      <c r="N1" s="34" t="s">
        <v>167</v>
      </c>
      <c r="O1" s="34" t="s">
        <v>168</v>
      </c>
      <c r="P1" s="34" t="s">
        <v>169</v>
      </c>
      <c r="Q1" s="34" t="s">
        <v>170</v>
      </c>
      <c r="R1" s="34" t="s">
        <v>171</v>
      </c>
      <c r="S1" s="34" t="s">
        <v>172</v>
      </c>
      <c r="T1" s="34" t="s">
        <v>173</v>
      </c>
      <c r="U1" s="34" t="s">
        <v>174</v>
      </c>
      <c r="V1" s="34" t="s">
        <v>175</v>
      </c>
      <c r="W1" s="34" t="s">
        <v>176</v>
      </c>
      <c r="X1" s="34" t="s">
        <v>177</v>
      </c>
      <c r="Y1" s="34" t="s">
        <v>178</v>
      </c>
      <c r="Z1" s="34" t="s">
        <v>179</v>
      </c>
      <c r="AA1" s="34" t="s">
        <v>180</v>
      </c>
      <c r="AB1" s="34" t="s">
        <v>181</v>
      </c>
      <c r="AC1" s="34" t="s">
        <v>182</v>
      </c>
      <c r="AD1" s="34" t="s">
        <v>183</v>
      </c>
      <c r="AE1" s="34" t="s">
        <v>184</v>
      </c>
      <c r="AF1" s="34" t="s">
        <v>185</v>
      </c>
      <c r="AG1" s="34" t="s">
        <v>186</v>
      </c>
      <c r="AH1" s="34" t="s">
        <v>187</v>
      </c>
      <c r="AI1" s="34" t="s">
        <v>188</v>
      </c>
      <c r="AJ1" s="34" t="s">
        <v>279</v>
      </c>
      <c r="AK1" s="34" t="s">
        <v>280</v>
      </c>
      <c r="AL1" s="34" t="s">
        <v>281</v>
      </c>
      <c r="AM1" s="34" t="s">
        <v>282</v>
      </c>
      <c r="AN1" s="34" t="s">
        <v>283</v>
      </c>
      <c r="AO1" s="34" t="s">
        <v>284</v>
      </c>
      <c r="AP1" s="34" t="s">
        <v>285</v>
      </c>
      <c r="AQ1" s="34" t="s">
        <v>286</v>
      </c>
      <c r="AR1" s="34" t="s">
        <v>287</v>
      </c>
      <c r="AS1" s="34" t="str">
        <f>Sheet8!E15</f>
        <v>Apr-w1</v>
      </c>
      <c r="AT1" s="34" t="str">
        <f>Sheet8!F15</f>
        <v>Apr-w2</v>
      </c>
      <c r="AU1" s="34"/>
      <c r="AV1" s="34" t="str">
        <f>Sheet8!G15</f>
        <v>Apr-w3</v>
      </c>
      <c r="AW1" s="34" t="str">
        <f>Sheet8!H15</f>
        <v>Apr-w4</v>
      </c>
      <c r="AX1" s="34" t="str">
        <f>Sheet8!I15</f>
        <v>May-w1</v>
      </c>
      <c r="AY1" s="34" t="str">
        <f>Sheet8!J15</f>
        <v>May-w2</v>
      </c>
      <c r="AZ1" s="34" t="str">
        <f>Sheet8!K15</f>
        <v>May-w3</v>
      </c>
      <c r="BA1" s="34" t="str">
        <f>Sheet8!L15</f>
        <v>May-w4</v>
      </c>
      <c r="BB1" s="34" t="str">
        <f>Sheet8!M15</f>
        <v>May-w5</v>
      </c>
      <c r="BC1" s="34" t="str">
        <f>Sheet8!N15</f>
        <v>june-w1</v>
      </c>
      <c r="BD1" s="34" t="str">
        <f>Sheet8!O15</f>
        <v>june-w2</v>
      </c>
      <c r="BE1" s="34" t="str">
        <f>Sheet8!P15</f>
        <v>june-w3</v>
      </c>
      <c r="BF1" s="34" t="str">
        <f>Sheet8!Q15</f>
        <v>june-w4</v>
      </c>
      <c r="BG1" s="34" t="str">
        <f>Sheet8!R15</f>
        <v>Jul-w1</v>
      </c>
      <c r="BH1" s="34" t="str">
        <f>Sheet8!S15</f>
        <v>Jul-w2</v>
      </c>
      <c r="BI1" s="34" t="str">
        <f>Sheet8!T15</f>
        <v>Jul-w3</v>
      </c>
      <c r="BJ1" s="34" t="str">
        <f>Sheet8!U15</f>
        <v>Jul-w4</v>
      </c>
      <c r="BK1" s="34" t="str">
        <f>Sheet8!V15</f>
        <v>Aug-w1</v>
      </c>
      <c r="BL1" s="34" t="str">
        <f>Sheet8!W15</f>
        <v>Aug-w2</v>
      </c>
      <c r="BM1" s="34" t="str">
        <f>Sheet8!X15</f>
        <v>Aug-w3</v>
      </c>
      <c r="BN1" s="34" t="str">
        <f>Sheet8!Y15</f>
        <v>Aug-w4</v>
      </c>
      <c r="BO1" s="34" t="str">
        <f>Sheet8!Z15</f>
        <v>Sep-w1</v>
      </c>
      <c r="BP1" s="34" t="str">
        <f>Sheet8!AA15</f>
        <v>Sep-w2</v>
      </c>
      <c r="BQ1" s="34" t="str">
        <f>Sheet8!AB15</f>
        <v>Sep-w3</v>
      </c>
      <c r="BR1" s="34" t="str">
        <f>Sheet8!AC15</f>
        <v>Sep-w4</v>
      </c>
      <c r="BS1" s="34" t="str">
        <f>Sheet8!AD15</f>
        <v>Oct-w1</v>
      </c>
      <c r="BT1" s="34" t="str">
        <f>Sheet8!AE15</f>
        <v>Oct-w2</v>
      </c>
      <c r="BU1" s="34" t="str">
        <f>Sheet8!AF15</f>
        <v>Oct-w3</v>
      </c>
      <c r="BV1" s="34" t="str">
        <f>Sheet8!AG15</f>
        <v>Oct-w4</v>
      </c>
      <c r="BW1" s="34" t="str">
        <f>Sheet8!AH15</f>
        <v>Nov-w1</v>
      </c>
      <c r="BX1" s="34" t="str">
        <f>Sheet8!AI15</f>
        <v>Nov-w2</v>
      </c>
      <c r="BY1" s="34" t="str">
        <f>Sheet8!AJ15</f>
        <v>Nov-w3</v>
      </c>
      <c r="BZ1" s="34" t="str">
        <f>Sheet8!AK15</f>
        <v>Nov-w4</v>
      </c>
      <c r="CA1" s="34" t="str">
        <f>Sheet8!AL15</f>
        <v>Dec-w1</v>
      </c>
      <c r="CB1" s="34" t="str">
        <f>Sheet8!AM15</f>
        <v>Dec-w2</v>
      </c>
      <c r="CC1" s="34" t="str">
        <f>Sheet8!AN15</f>
        <v>Dec-w3</v>
      </c>
      <c r="CD1" s="34" t="str">
        <f>Sheet8!AO15</f>
        <v>Dec-w4</v>
      </c>
      <c r="CE1" s="84" t="s">
        <v>189</v>
      </c>
      <c r="CF1" s="364" t="s">
        <v>190</v>
      </c>
      <c r="CG1" s="364"/>
      <c r="CH1" s="364"/>
      <c r="CI1" s="364"/>
      <c r="CJ1" s="364"/>
      <c r="CK1" s="364"/>
      <c r="CL1" s="364"/>
      <c r="CM1" s="364"/>
      <c r="CN1" s="364"/>
      <c r="CO1" s="364"/>
      <c r="CP1" s="364"/>
      <c r="DX1" s="364" t="s">
        <v>190</v>
      </c>
      <c r="DY1" s="364"/>
      <c r="DZ1" s="364"/>
      <c r="EA1" s="364"/>
      <c r="EB1" s="364"/>
      <c r="EC1" s="364"/>
      <c r="ED1" s="364"/>
      <c r="EE1" s="364"/>
      <c r="EF1" s="364"/>
      <c r="EG1" s="364"/>
      <c r="EH1" s="364"/>
      <c r="EO1" s="364" t="s">
        <v>190</v>
      </c>
      <c r="EP1" s="364"/>
      <c r="EQ1" s="364"/>
      <c r="ER1" s="364"/>
      <c r="ES1" s="364"/>
      <c r="ET1" s="364"/>
      <c r="EU1" s="364"/>
      <c r="EV1" s="364"/>
      <c r="EW1" s="364"/>
      <c r="EX1" s="364"/>
      <c r="EY1" s="356"/>
      <c r="EZ1" s="356"/>
      <c r="FA1" s="356"/>
      <c r="FB1" s="356"/>
    </row>
    <row r="2" spans="1:164" ht="49.5" customHeight="1">
      <c r="A2" s="363"/>
      <c r="B2" s="336" t="s">
        <v>161</v>
      </c>
      <c r="C2" s="32" t="s">
        <v>191</v>
      </c>
      <c r="D2" s="32" t="s">
        <v>191</v>
      </c>
      <c r="E2" s="32" t="s">
        <v>191</v>
      </c>
      <c r="F2" s="32" t="s">
        <v>191</v>
      </c>
      <c r="G2" s="32" t="s">
        <v>191</v>
      </c>
      <c r="H2" s="32" t="s">
        <v>191</v>
      </c>
      <c r="I2" s="32" t="s">
        <v>191</v>
      </c>
      <c r="J2" s="32" t="s">
        <v>192</v>
      </c>
      <c r="K2" s="32" t="s">
        <v>192</v>
      </c>
      <c r="L2" s="32" t="s">
        <v>192</v>
      </c>
      <c r="M2" s="32" t="s">
        <v>192</v>
      </c>
      <c r="N2" s="32" t="s">
        <v>192</v>
      </c>
      <c r="O2" s="32" t="s">
        <v>192</v>
      </c>
      <c r="P2" s="32" t="s">
        <v>192</v>
      </c>
      <c r="Q2" s="32" t="s">
        <v>192</v>
      </c>
      <c r="R2" s="32" t="s">
        <v>192</v>
      </c>
      <c r="S2" s="32" t="s">
        <v>192</v>
      </c>
      <c r="T2" s="32" t="s">
        <v>192</v>
      </c>
      <c r="U2" s="32" t="s">
        <v>192</v>
      </c>
      <c r="V2" s="32" t="s">
        <v>192</v>
      </c>
      <c r="W2" s="32" t="s">
        <v>192</v>
      </c>
      <c r="X2" s="32" t="s">
        <v>192</v>
      </c>
      <c r="Y2" s="32" t="s">
        <v>192</v>
      </c>
      <c r="Z2" s="32" t="s">
        <v>192</v>
      </c>
      <c r="AA2" s="32" t="s">
        <v>192</v>
      </c>
      <c r="AB2" s="32" t="s">
        <v>192</v>
      </c>
      <c r="AC2" s="32" t="s">
        <v>192</v>
      </c>
      <c r="AD2" s="32" t="s">
        <v>192</v>
      </c>
      <c r="AE2" s="32" t="s">
        <v>192</v>
      </c>
      <c r="AF2" s="32" t="s">
        <v>192</v>
      </c>
      <c r="AG2" s="32" t="s">
        <v>192</v>
      </c>
      <c r="AH2" s="32" t="s">
        <v>192</v>
      </c>
      <c r="AI2" s="32" t="s">
        <v>192</v>
      </c>
      <c r="AJ2" s="32" t="s">
        <v>192</v>
      </c>
      <c r="AK2" s="32" t="s">
        <v>192</v>
      </c>
      <c r="AL2" s="32" t="s">
        <v>192</v>
      </c>
      <c r="AM2" s="32" t="s">
        <v>192</v>
      </c>
      <c r="AN2" s="32" t="s">
        <v>192</v>
      </c>
      <c r="AO2" s="32" t="s">
        <v>192</v>
      </c>
      <c r="AP2" s="32" t="s">
        <v>192</v>
      </c>
      <c r="AQ2" s="32" t="s">
        <v>192</v>
      </c>
      <c r="AR2" s="32" t="s">
        <v>192</v>
      </c>
      <c r="AS2" s="32" t="s">
        <v>192</v>
      </c>
      <c r="AT2" s="32" t="s">
        <v>192</v>
      </c>
      <c r="AU2" s="32"/>
      <c r="AV2" s="32" t="s">
        <v>192</v>
      </c>
      <c r="AW2" s="32" t="s">
        <v>192</v>
      </c>
      <c r="AX2" s="32" t="s">
        <v>192</v>
      </c>
      <c r="AY2" s="32" t="s">
        <v>192</v>
      </c>
      <c r="AZ2" s="32" t="s">
        <v>192</v>
      </c>
      <c r="BA2" s="32" t="s">
        <v>192</v>
      </c>
      <c r="BB2" s="32" t="s">
        <v>192</v>
      </c>
      <c r="BC2" s="32" t="s">
        <v>192</v>
      </c>
      <c r="BD2" s="32" t="s">
        <v>192</v>
      </c>
      <c r="BE2" s="32" t="s">
        <v>192</v>
      </c>
      <c r="BF2" s="32" t="s">
        <v>192</v>
      </c>
      <c r="BG2" s="32" t="s">
        <v>192</v>
      </c>
      <c r="BH2" s="32" t="s">
        <v>192</v>
      </c>
      <c r="BI2" s="32" t="s">
        <v>192</v>
      </c>
      <c r="BJ2" s="32" t="s">
        <v>192</v>
      </c>
      <c r="BK2" s="32" t="s">
        <v>192</v>
      </c>
      <c r="BL2" s="32" t="s">
        <v>192</v>
      </c>
      <c r="BM2" s="32" t="s">
        <v>192</v>
      </c>
      <c r="BN2" s="32" t="s">
        <v>192</v>
      </c>
      <c r="BO2" s="32" t="s">
        <v>192</v>
      </c>
      <c r="BP2" s="32" t="s">
        <v>192</v>
      </c>
      <c r="BQ2" s="32" t="s">
        <v>192</v>
      </c>
      <c r="BR2" s="32" t="s">
        <v>192</v>
      </c>
      <c r="BS2" s="32" t="s">
        <v>192</v>
      </c>
      <c r="BT2" s="32" t="s">
        <v>192</v>
      </c>
      <c r="BU2" s="32" t="s">
        <v>192</v>
      </c>
      <c r="BV2" s="32" t="s">
        <v>192</v>
      </c>
      <c r="BW2" s="32" t="s">
        <v>192</v>
      </c>
      <c r="BX2" s="32" t="s">
        <v>192</v>
      </c>
      <c r="BY2" s="32" t="s">
        <v>192</v>
      </c>
      <c r="BZ2" s="32" t="s">
        <v>192</v>
      </c>
      <c r="CA2" s="32" t="s">
        <v>192</v>
      </c>
      <c r="CB2" s="32" t="s">
        <v>192</v>
      </c>
      <c r="CC2" s="32" t="s">
        <v>192</v>
      </c>
      <c r="CD2" s="32" t="s">
        <v>192</v>
      </c>
      <c r="CE2" s="100" t="s">
        <v>193</v>
      </c>
      <c r="CF2" s="33" t="s">
        <v>161</v>
      </c>
      <c r="CG2" s="33" t="s">
        <v>288</v>
      </c>
      <c r="CH2" s="34">
        <v>44927</v>
      </c>
      <c r="CI2" s="34">
        <v>44958</v>
      </c>
      <c r="CJ2" s="34">
        <v>44986</v>
      </c>
      <c r="CK2" s="34">
        <v>45017</v>
      </c>
      <c r="CL2" s="34">
        <v>45047</v>
      </c>
      <c r="CM2" s="34">
        <v>45078</v>
      </c>
      <c r="CN2" s="34" t="s">
        <v>162</v>
      </c>
      <c r="CO2" s="34" t="s">
        <v>163</v>
      </c>
      <c r="CP2" s="34" t="s">
        <v>164</v>
      </c>
      <c r="CQ2" s="34" t="s">
        <v>165</v>
      </c>
      <c r="CR2" s="34" t="s">
        <v>166</v>
      </c>
      <c r="CS2" s="34" t="s">
        <v>167</v>
      </c>
      <c r="CT2" s="34" t="s">
        <v>168</v>
      </c>
      <c r="CU2" s="34" t="s">
        <v>169</v>
      </c>
      <c r="CV2" s="34" t="s">
        <v>195</v>
      </c>
      <c r="CW2" s="34" t="s">
        <v>196</v>
      </c>
      <c r="CX2" s="34" t="s">
        <v>197</v>
      </c>
      <c r="CY2" s="34" t="s">
        <v>198</v>
      </c>
      <c r="CZ2" s="34" t="s">
        <v>199</v>
      </c>
      <c r="DA2" s="34" t="s">
        <v>200</v>
      </c>
      <c r="DB2" s="34" t="s">
        <v>201</v>
      </c>
      <c r="DC2" s="34" t="s">
        <v>202</v>
      </c>
      <c r="DD2" s="34" t="s">
        <v>178</v>
      </c>
      <c r="DE2" s="34" t="s">
        <v>179</v>
      </c>
      <c r="DF2" s="34" t="s">
        <v>180</v>
      </c>
      <c r="DG2" s="34" t="s">
        <v>181</v>
      </c>
      <c r="DH2" s="34" t="s">
        <v>182</v>
      </c>
      <c r="DI2" s="34" t="s">
        <v>183</v>
      </c>
      <c r="DJ2" s="34" t="s">
        <v>184</v>
      </c>
      <c r="DK2" s="34" t="s">
        <v>185</v>
      </c>
      <c r="DL2" s="34" t="s">
        <v>186</v>
      </c>
      <c r="DM2" s="34" t="s">
        <v>187</v>
      </c>
      <c r="DN2" s="34" t="s">
        <v>188</v>
      </c>
      <c r="DO2" s="34" t="s">
        <v>279</v>
      </c>
      <c r="DP2" s="34" t="s">
        <v>280</v>
      </c>
      <c r="DQ2" s="34" t="s">
        <v>281</v>
      </c>
      <c r="DR2" s="34" t="s">
        <v>282</v>
      </c>
      <c r="DS2" s="34" t="s">
        <v>283</v>
      </c>
      <c r="DT2" s="34" t="s">
        <v>284</v>
      </c>
      <c r="DU2" s="34" t="s">
        <v>285</v>
      </c>
      <c r="DV2" s="34" t="s">
        <v>286</v>
      </c>
      <c r="DW2" s="34" t="s">
        <v>287</v>
      </c>
      <c r="DX2" s="34" t="str">
        <f>Sheet8!E15</f>
        <v>Apr-w1</v>
      </c>
      <c r="DY2" s="34" t="str">
        <f>Sheet8!F15</f>
        <v>Apr-w2</v>
      </c>
      <c r="DZ2" s="34" t="str">
        <f>Sheet8!G15</f>
        <v>Apr-w3</v>
      </c>
      <c r="EA2" s="34" t="str">
        <f>Sheet8!H15</f>
        <v>Apr-w4</v>
      </c>
      <c r="EB2" s="34" t="str">
        <f>Sheet8!I15</f>
        <v>May-w1</v>
      </c>
      <c r="EC2" s="34" t="str">
        <f>Sheet8!J15</f>
        <v>May-w2</v>
      </c>
      <c r="ED2" s="34" t="str">
        <f>Sheet8!K15</f>
        <v>May-w3</v>
      </c>
      <c r="EE2" s="34" t="str">
        <f>Sheet8!L15</f>
        <v>May-w4</v>
      </c>
      <c r="EF2" s="34" t="str">
        <f>Sheet8!M15</f>
        <v>May-w5</v>
      </c>
      <c r="EG2" s="34" t="str">
        <f>Sheet8!N15</f>
        <v>june-w1</v>
      </c>
      <c r="EH2" s="34" t="str">
        <f>Sheet8!O15</f>
        <v>june-w2</v>
      </c>
      <c r="EI2" s="34" t="str">
        <f>Sheet8!P15</f>
        <v>june-w3</v>
      </c>
      <c r="EJ2" s="34" t="str">
        <f>Sheet8!Q15</f>
        <v>june-w4</v>
      </c>
      <c r="EK2" s="34" t="str">
        <f>Sheet8!R15</f>
        <v>Jul-w1</v>
      </c>
      <c r="EL2" s="34" t="str">
        <f>Sheet8!S15</f>
        <v>Jul-w2</v>
      </c>
      <c r="EM2" s="34" t="str">
        <f>Sheet8!T15</f>
        <v>Jul-w3</v>
      </c>
      <c r="EN2" s="34" t="str">
        <f>Sheet8!U15</f>
        <v>Jul-w4</v>
      </c>
      <c r="EO2" s="34" t="str">
        <f>Sheet8!V15</f>
        <v>Aug-w1</v>
      </c>
      <c r="EP2" s="34" t="str">
        <f>Sheet8!W15</f>
        <v>Aug-w2</v>
      </c>
      <c r="EQ2" s="34" t="str">
        <f>Sheet8!X15</f>
        <v>Aug-w3</v>
      </c>
      <c r="ER2" s="34" t="str">
        <f>Sheet8!Y15</f>
        <v>Aug-w4</v>
      </c>
      <c r="ES2" s="34" t="str">
        <f>Sheet8!Z15</f>
        <v>Sep-w1</v>
      </c>
      <c r="ET2" s="34" t="str">
        <f>Sheet8!AA15</f>
        <v>Sep-w2</v>
      </c>
      <c r="EU2" s="34" t="str">
        <f>Sheet8!AB15</f>
        <v>Sep-w3</v>
      </c>
      <c r="EV2" s="34" t="str">
        <f>Sheet8!AC15</f>
        <v>Sep-w4</v>
      </c>
      <c r="EW2" s="34" t="str">
        <f>Sheet8!AD15</f>
        <v>Oct-w1</v>
      </c>
      <c r="EX2" s="34" t="str">
        <f>Sheet8!AE15</f>
        <v>Oct-w2</v>
      </c>
      <c r="EY2" s="34" t="str">
        <f>Sheet8!AF15</f>
        <v>Oct-w3</v>
      </c>
      <c r="EZ2" s="34" t="str">
        <f>Sheet8!AG15</f>
        <v>Oct-w4</v>
      </c>
      <c r="FA2" s="34" t="str">
        <f>Sheet8!AH15</f>
        <v>Nov-w1</v>
      </c>
      <c r="FB2" s="34" t="str">
        <f>Sheet8!AI15</f>
        <v>Nov-w2</v>
      </c>
      <c r="FC2" s="34" t="str">
        <f>Sheet8!AJ15</f>
        <v>Nov-w3</v>
      </c>
      <c r="FD2" s="34" t="str">
        <f>Sheet8!AK15</f>
        <v>Nov-w4</v>
      </c>
      <c r="FE2" s="34" t="str">
        <f>Sheet8!AL15</f>
        <v>Dec-w1</v>
      </c>
      <c r="FF2" s="34" t="str">
        <f>Sheet8!AM15</f>
        <v>Dec-w2</v>
      </c>
      <c r="FG2" s="34" t="str">
        <f>Sheet8!AN15</f>
        <v>Dec-w3</v>
      </c>
      <c r="FH2" s="34" t="str">
        <f>Sheet8!AO15</f>
        <v>Dec-w4</v>
      </c>
    </row>
    <row r="3" spans="1:164">
      <c r="A3" s="8" t="s">
        <v>203</v>
      </c>
      <c r="B3" s="263" t="s">
        <v>70</v>
      </c>
      <c r="C3" s="19">
        <f>+CG3-CH3</f>
        <v>5.8171309356605527E-3</v>
      </c>
      <c r="D3" s="19">
        <f t="shared" ref="D3:J3" si="0">+CH3-CI3</f>
        <v>-2.2911993862864855E-2</v>
      </c>
      <c r="E3" s="19">
        <f t="shared" si="0"/>
        <v>-9.353779304769605E-3</v>
      </c>
      <c r="F3" s="19">
        <f t="shared" si="0"/>
        <v>1.9841350040419869E-3</v>
      </c>
      <c r="G3" s="19">
        <f t="shared" si="0"/>
        <v>7.0861964430073421E-3</v>
      </c>
      <c r="H3" s="19">
        <f t="shared" si="0"/>
        <v>2.7007521360295328E-2</v>
      </c>
      <c r="I3" s="19">
        <f>+CM3-CN3</f>
        <v>-1.2633706279074897E-5</v>
      </c>
      <c r="J3" s="19">
        <f t="shared" si="0"/>
        <v>6.1808936340863041E-3</v>
      </c>
      <c r="K3" s="19">
        <f>+CO3-CP3</f>
        <v>-2.0394431021385495E-3</v>
      </c>
      <c r="L3" s="19">
        <f t="shared" ref="L3:L66" si="1">+CP3-CQ3</f>
        <v>3.5570349325364514E-4</v>
      </c>
      <c r="M3" s="19">
        <f t="shared" ref="M3:M66" si="2">+CQ3-CR3</f>
        <v>1.8204907677664139E-3</v>
      </c>
      <c r="N3" s="19">
        <f t="shared" ref="N3:N66" si="3">+CR3-CS3</f>
        <v>9.375701529619751E-4</v>
      </c>
      <c r="O3" s="19">
        <f t="shared" ref="O3:O66" si="4">+CS3-CT3</f>
        <v>1.1337914308811592E-3</v>
      </c>
      <c r="P3" s="19">
        <f t="shared" ref="P3:Q66" si="5">+CT3-CU3</f>
        <v>4.4201493409190551E-4</v>
      </c>
      <c r="Q3" s="19">
        <f t="shared" si="5"/>
        <v>3.6690220287205477E-4</v>
      </c>
      <c r="R3" s="19">
        <f t="shared" ref="R3:R66" si="6">+CV3-CW3</f>
        <v>-1.8446980452173023E-2</v>
      </c>
      <c r="S3" s="19">
        <f t="shared" ref="S3:S66" si="7">+CW3-CX3</f>
        <v>2.8323965051220146E-3</v>
      </c>
      <c r="T3" s="19">
        <f t="shared" ref="T3:X66" si="8">+CX3-CY3</f>
        <v>6.8444306113413234E-5</v>
      </c>
      <c r="U3" s="19">
        <f t="shared" si="8"/>
        <v>-8.2673691580437136E-6</v>
      </c>
      <c r="V3" s="19">
        <f t="shared" si="8"/>
        <v>-1.5016535187498847E-2</v>
      </c>
      <c r="W3" s="19">
        <f t="shared" si="8"/>
        <v>-3.1035236436133262E-4</v>
      </c>
      <c r="X3" s="19">
        <f t="shared" si="8"/>
        <v>2.8970604122491306E-5</v>
      </c>
      <c r="Y3" s="19">
        <f>+DC3-DD3</f>
        <v>-2.9171522687837514E-4</v>
      </c>
      <c r="Z3" s="19">
        <f t="shared" ref="Z3:Z66" si="9">+DD3-DE3</f>
        <v>9.3475735604846566E-3</v>
      </c>
      <c r="AA3" s="19">
        <f t="shared" ref="AA3:AD66" si="10">+DE3-DF3</f>
        <v>0</v>
      </c>
      <c r="AB3" s="19">
        <f t="shared" si="10"/>
        <v>-3.0890045238403108E-3</v>
      </c>
      <c r="AC3" s="19">
        <f t="shared" si="10"/>
        <v>4.8330381243084641E-3</v>
      </c>
      <c r="AD3" s="19">
        <f t="shared" si="10"/>
        <v>1.975895374391079E-3</v>
      </c>
      <c r="AE3" s="19">
        <f t="shared" ref="AE3:AF65" si="11">+DI3-DJ3</f>
        <v>-8.7510997559564485E-4</v>
      </c>
      <c r="AF3" s="19">
        <f t="shared" si="11"/>
        <v>-1.4007204271279106E-3</v>
      </c>
      <c r="AG3" s="19">
        <f t="shared" ref="AG3:AG66" si="12">+DK3-DL3</f>
        <v>-2.8716907201590813E-3</v>
      </c>
      <c r="AH3" s="19">
        <f t="shared" ref="AH3:AH66" si="13">+DL3-DM3</f>
        <v>2.2696544297125532E-3</v>
      </c>
      <c r="AI3" s="19">
        <f t="shared" ref="AI3:AI66" si="14">+DM3-DN3</f>
        <v>2.0688307433291975E-5</v>
      </c>
      <c r="AJ3" s="19">
        <f t="shared" ref="AJ3:AJ66" si="15">+DN3-DO3</f>
        <v>-3.9350376232261119E-5</v>
      </c>
      <c r="AK3" s="19">
        <f t="shared" ref="AK3:AL66" si="16">+DO3-DP3</f>
        <v>-1.2463863619527338E-5</v>
      </c>
      <c r="AL3" s="19">
        <f t="shared" si="16"/>
        <v>2.0785618444207898E-6</v>
      </c>
      <c r="AM3" s="19">
        <f t="shared" ref="AM3:AM66" si="17">+DQ3-DR3</f>
        <v>3.378482531920135E-3</v>
      </c>
      <c r="AN3" s="19">
        <f t="shared" ref="AN3:AN66" si="18">+DR3-DS3</f>
        <v>0</v>
      </c>
      <c r="AO3" s="19">
        <f t="shared" ref="AO3:AO66" si="19">+DS3-DT3</f>
        <v>-1.2230035282382423E-2</v>
      </c>
      <c r="AP3" s="19">
        <f t="shared" ref="AP3:AR66" si="20">+DT3-DU3</f>
        <v>1.2554421800314852E-5</v>
      </c>
      <c r="AQ3" s="19">
        <f t="shared" si="20"/>
        <v>-4.6297920061882936E-4</v>
      </c>
      <c r="AR3" s="19">
        <f t="shared" si="20"/>
        <v>8.7715774751428999E-4</v>
      </c>
      <c r="AS3" s="19">
        <f t="shared" ref="AS3:AS66" si="21">+DW3-DX3</f>
        <v>-8.5405853593531478E-3</v>
      </c>
      <c r="AT3" s="19">
        <f t="shared" ref="AT3:AT66" si="22">+DX3-DY3</f>
        <v>3.9208794094358623E-5</v>
      </c>
      <c r="AU3" s="60" t="s">
        <v>40</v>
      </c>
      <c r="AV3" s="19">
        <f t="shared" ref="AV3:AV66" si="23">+DY3-DZ3</f>
        <v>4.3128710925099956E-5</v>
      </c>
      <c r="AW3" s="19">
        <f t="shared" ref="AW3:AW66" si="24">+DZ3-EA3</f>
        <v>4.7796017219604581E-3</v>
      </c>
      <c r="AX3" s="19">
        <f t="shared" ref="AX3:AX66" si="25">+EA3-EB3</f>
        <v>1.6447685117104704E-5</v>
      </c>
      <c r="AY3" s="19">
        <f t="shared" ref="AY3:AY66" si="26">+EB3-EC3</f>
        <v>-2.015000313560722E-3</v>
      </c>
      <c r="AZ3" s="19">
        <f t="shared" ref="AZ3:AZ66" si="27">+EC3-ED3</f>
        <v>0</v>
      </c>
      <c r="BA3" s="19">
        <f t="shared" ref="BA3:BA66" si="28">+ED3-EE3</f>
        <v>0</v>
      </c>
      <c r="BB3" s="19">
        <f t="shared" ref="BB3:BB34" si="29">+EE3-EF3</f>
        <v>0</v>
      </c>
      <c r="BC3" s="19">
        <f t="shared" ref="BC3:BC66" si="30">+EF3-EG3</f>
        <v>6.3464514160532781E-3</v>
      </c>
      <c r="BD3" s="19">
        <f t="shared" ref="BD3:BD66" si="31">+EG3-EH3</f>
        <v>2.7341808037570359E-3</v>
      </c>
      <c r="BE3" s="19">
        <f t="shared" ref="BE3:BE66" si="32">+EH3-EI3</f>
        <v>2.0564536757639029E-5</v>
      </c>
      <c r="BF3" s="19">
        <f t="shared" ref="BF3:BG66" si="33">+EI3-EJ3</f>
        <v>1.4069631809586758E-3</v>
      </c>
      <c r="BG3" s="19">
        <f>+EJ3-EK3</f>
        <v>4.1119203937900473E-6</v>
      </c>
      <c r="BH3" s="19">
        <f t="shared" ref="BH3:BI18" si="34">+EK3-EL3</f>
        <v>-2.8180505816619572E-3</v>
      </c>
      <c r="BI3" s="19">
        <f t="shared" si="34"/>
        <v>-1.3865214394123693E-3</v>
      </c>
      <c r="BJ3" s="19">
        <f t="shared" ref="BJ3:BJ66" si="35">+EM3-EN3</f>
        <v>6.1303625935038575E-6</v>
      </c>
      <c r="BK3" s="19">
        <f t="shared" ref="BK3:BK66" si="36">+EN3-EO3</f>
        <v>-7.3248221856606621E-3</v>
      </c>
      <c r="BL3" s="19">
        <f>+EO3-EP3</f>
        <v>2.0317876989750516E-6</v>
      </c>
      <c r="BM3" s="19">
        <f>+EP3-EQ3</f>
        <v>-1.9963329952693565E-3</v>
      </c>
      <c r="BN3" s="19">
        <f>+EQ3-ER3</f>
        <v>-2.2696175566871979E-3</v>
      </c>
      <c r="BO3" s="19">
        <f>+ER3-ES3</f>
        <v>5.3997419828377136E-3</v>
      </c>
      <c r="BP3" s="19">
        <f t="shared" ref="BP3:BR18" si="37">+ES3-ET3</f>
        <v>0</v>
      </c>
      <c r="BQ3" s="19">
        <f t="shared" si="37"/>
        <v>-7.7549724079195581E-5</v>
      </c>
      <c r="BR3" s="19">
        <f t="shared" si="37"/>
        <v>1.6384802732083426E-5</v>
      </c>
      <c r="BS3" s="19">
        <f t="shared" ref="BS3:BS66" si="38">+EV3-EW3</f>
        <v>9.983871245324516E-3</v>
      </c>
      <c r="BT3" s="19">
        <f>+EW3-EX3</f>
        <v>2.5713171788964706E-3</v>
      </c>
      <c r="BU3" s="19">
        <f t="shared" ref="BU3:BV18" si="39">+EX3-EY3</f>
        <v>0</v>
      </c>
      <c r="BV3" s="19">
        <f t="shared" si="39"/>
        <v>3.4034002845523825E-3</v>
      </c>
      <c r="BW3" s="19">
        <f t="shared" ref="BW3:BW66" si="40">+EZ3-FA3</f>
        <v>-6.7946494345604291E-3</v>
      </c>
      <c r="BX3" s="19">
        <f t="shared" ref="BX3:CA66" si="41">+FA3-FB3</f>
        <v>1.1902705322035523E-3</v>
      </c>
      <c r="BY3" s="19">
        <f t="shared" si="41"/>
        <v>5.3593335325421987E-3</v>
      </c>
      <c r="BZ3" s="19">
        <f t="shared" si="41"/>
        <v>9.2263330654618336E-4</v>
      </c>
      <c r="CA3" s="19">
        <f t="shared" si="41"/>
        <v>1.1988538261842319E-5</v>
      </c>
      <c r="CB3" s="19">
        <f t="shared" ref="CB3:CD65" si="42">+FE3-FF3</f>
        <v>5.1299687435811814E-3</v>
      </c>
      <c r="CC3" s="19">
        <f t="shared" si="42"/>
        <v>5.8478753517965387E-4</v>
      </c>
      <c r="CD3" s="19">
        <f t="shared" si="42"/>
        <v>9.0181867135807892E-4</v>
      </c>
      <c r="CE3" s="65"/>
      <c r="CG3" s="20">
        <f>AVERAGE(CK3:DW3)</f>
        <v>0.39243153658404278</v>
      </c>
      <c r="CH3" s="20">
        <f>EDC!AR18</f>
        <v>0.38661440564838223</v>
      </c>
      <c r="CI3" s="20">
        <f>EDC!AS18</f>
        <v>0.40952639951124709</v>
      </c>
      <c r="CJ3" s="20">
        <f>EDC!AT18</f>
        <v>0.41888017881601669</v>
      </c>
      <c r="CK3" s="20">
        <f>EDC!AU18</f>
        <v>0.4168960438119747</v>
      </c>
      <c r="CL3" s="20">
        <f>EDC!AV18</f>
        <v>0.40980984736896736</v>
      </c>
      <c r="CM3" s="20">
        <f>EDC!AW18</f>
        <v>0.38280232600867203</v>
      </c>
      <c r="CN3" s="20">
        <f>EDC!AX18</f>
        <v>0.38281495971495111</v>
      </c>
      <c r="CO3" s="20">
        <f>EDC!AY18</f>
        <v>0.3766340660808648</v>
      </c>
      <c r="CP3" s="20">
        <f>EDC!AZ18</f>
        <v>0.37867350918300335</v>
      </c>
      <c r="CQ3" s="20">
        <f>EDC!BA18</f>
        <v>0.37831780568974971</v>
      </c>
      <c r="CR3" s="20">
        <f>EDC!BB18</f>
        <v>0.37649731492198329</v>
      </c>
      <c r="CS3" s="20">
        <f>EDC!BC18</f>
        <v>0.37555974476902132</v>
      </c>
      <c r="CT3" s="20">
        <f>EDC!BD18</f>
        <v>0.37442595333814016</v>
      </c>
      <c r="CU3" s="20">
        <f>EDC!BE18</f>
        <v>0.37398393840404826</v>
      </c>
      <c r="CV3" s="20">
        <f>EDC!BF18</f>
        <v>0.3736170362011762</v>
      </c>
      <c r="CW3" s="20">
        <f>EDC!BG18</f>
        <v>0.39206401665334922</v>
      </c>
      <c r="CX3" s="20">
        <f>EDC!BH18</f>
        <v>0.38923162014822721</v>
      </c>
      <c r="CY3" s="20">
        <f>EDC!BI18</f>
        <v>0.3891631758421138</v>
      </c>
      <c r="CZ3" s="20">
        <f>EDC!BJ18</f>
        <v>0.38917144321127184</v>
      </c>
      <c r="DA3" s="20">
        <f>EDC!BK18</f>
        <v>0.40418797839877069</v>
      </c>
      <c r="DB3" s="20">
        <f>EDC!BL18</f>
        <v>0.40449833076313202</v>
      </c>
      <c r="DC3" s="20">
        <f>EDC!BM18</f>
        <v>0.40446936015900953</v>
      </c>
      <c r="DD3" s="20">
        <f>EDC!BN18</f>
        <v>0.4047610753858879</v>
      </c>
      <c r="DE3" s="20">
        <f>EDC!BO18</f>
        <v>0.39541350182540325</v>
      </c>
      <c r="DF3" s="20">
        <f>EDC!BP18</f>
        <v>0.39541350182540325</v>
      </c>
      <c r="DG3" s="20">
        <f>EDC!BQ18</f>
        <v>0.39850250634924356</v>
      </c>
      <c r="DH3" s="20">
        <f>EDC!BR18</f>
        <v>0.39366946822493509</v>
      </c>
      <c r="DI3" s="20">
        <f>EDC!BS18</f>
        <v>0.39169357285054401</v>
      </c>
      <c r="DJ3" s="20">
        <f>EDC!BT18</f>
        <v>0.39256868282613966</v>
      </c>
      <c r="DK3" s="20">
        <f>EDC!BU18</f>
        <v>0.39396940325326757</v>
      </c>
      <c r="DL3" s="20">
        <f>EDC!BV18</f>
        <v>0.39684109397342665</v>
      </c>
      <c r="DM3" s="20">
        <f>EDC!BW18</f>
        <v>0.3945714395437141</v>
      </c>
      <c r="DN3" s="20">
        <f>EDC!BX18</f>
        <v>0.39455075123628081</v>
      </c>
      <c r="DO3" s="20">
        <f>EDC!BY18</f>
        <v>0.39459010161251307</v>
      </c>
      <c r="DP3" s="20">
        <f>EDC!BZ18</f>
        <v>0.39460256547613259</v>
      </c>
      <c r="DQ3" s="20">
        <f>EDC!CA18</f>
        <v>0.39460048691428817</v>
      </c>
      <c r="DR3" s="20">
        <f>EDC!CB18</f>
        <v>0.39122200438236804</v>
      </c>
      <c r="DS3" s="20">
        <f>EDC!CC18</f>
        <v>0.39122200438236804</v>
      </c>
      <c r="DT3" s="20">
        <f>EDC!CD18</f>
        <v>0.40345203966475046</v>
      </c>
      <c r="DU3" s="20">
        <f>EDC!CE18</f>
        <v>0.40343948524295015</v>
      </c>
      <c r="DV3" s="20">
        <f>EDC!CF18</f>
        <v>0.40390246444356898</v>
      </c>
      <c r="DW3" s="20">
        <f>EDC!CG18</f>
        <v>0.40302530669605469</v>
      </c>
      <c r="DX3" s="20">
        <f>EDC!CH18</f>
        <v>0.41156589205540783</v>
      </c>
      <c r="DY3" s="20">
        <f>EDC!CI18</f>
        <v>0.41152668326131348</v>
      </c>
      <c r="DZ3" s="20">
        <f>EDC!CJ18</f>
        <v>0.41148355455038838</v>
      </c>
      <c r="EA3" s="20">
        <f>EDC!CK18</f>
        <v>0.40670395282842792</v>
      </c>
      <c r="EB3" s="20">
        <f>EDC!CL18</f>
        <v>0.40668750514331081</v>
      </c>
      <c r="EC3" s="20">
        <f>EDC!CM18</f>
        <v>0.40870250545687153</v>
      </c>
      <c r="ED3" s="20">
        <f>EDC!CN18</f>
        <v>0.40870250545687153</v>
      </c>
      <c r="EE3" s="20">
        <f>EDC!CO18</f>
        <v>0.40870250545687153</v>
      </c>
      <c r="EF3" s="20">
        <f>EDC!CP18</f>
        <v>0.40870250545687153</v>
      </c>
      <c r="EG3" s="20">
        <f>EDC!CQ18</f>
        <v>0.40235605404081826</v>
      </c>
      <c r="EH3" s="20">
        <f>EDC!CR18</f>
        <v>0.39962187323706122</v>
      </c>
      <c r="EI3" s="20">
        <f>EDC!CS18</f>
        <v>0.39960130870030358</v>
      </c>
      <c r="EJ3" s="20">
        <f>EDC!CT18</f>
        <v>0.39819434551934491</v>
      </c>
      <c r="EK3" s="20">
        <f>EDC!CU18</f>
        <v>0.39819023359895112</v>
      </c>
      <c r="EL3" s="20">
        <f>EDC!CV18</f>
        <v>0.40100828418061307</v>
      </c>
      <c r="EM3" s="20">
        <f>EDC!CW18</f>
        <v>0.40239480562002544</v>
      </c>
      <c r="EN3" s="20">
        <f>EDC!CX18</f>
        <v>0.40238867525743194</v>
      </c>
      <c r="EO3" s="20">
        <f>EDC!CY18</f>
        <v>0.4097134974430926</v>
      </c>
      <c r="EP3" s="20">
        <f>EDC!CZ18</f>
        <v>0.40971146565539363</v>
      </c>
      <c r="EQ3" s="20">
        <f>EDC!DA18</f>
        <v>0.41170779865066298</v>
      </c>
      <c r="ER3" s="20">
        <f>EDC!DB18</f>
        <v>0.41397741620735018</v>
      </c>
      <c r="ES3" s="20">
        <f>EDC!DC18</f>
        <v>0.40857767422451247</v>
      </c>
      <c r="ET3" s="20">
        <f>EDC!DD18</f>
        <v>0.40857767422451247</v>
      </c>
      <c r="EU3" s="20">
        <f>EDC!DE18</f>
        <v>0.40865522394859166</v>
      </c>
      <c r="EV3" s="20">
        <f>EDC!DF18</f>
        <v>0.40863883914585958</v>
      </c>
      <c r="EW3" s="20">
        <f>EDC!DG18</f>
        <v>0.39865496790053506</v>
      </c>
      <c r="EX3" s="20">
        <f>EDC!DH18</f>
        <v>0.39608365072163859</v>
      </c>
      <c r="EY3" s="20">
        <f>EDC!DI18</f>
        <v>0.39608365072163859</v>
      </c>
      <c r="EZ3" s="20">
        <f>EDC!DJ18</f>
        <v>0.39268025043708621</v>
      </c>
      <c r="FA3" s="20">
        <f>EDC!DK18</f>
        <v>0.39947489987164664</v>
      </c>
      <c r="FB3" s="20">
        <f>EDC!DL18</f>
        <v>0.39828462933944309</v>
      </c>
      <c r="FC3" s="20">
        <f>EDC!DM18</f>
        <v>0.39292529580690089</v>
      </c>
      <c r="FD3" s="20">
        <f>EDC!DN18</f>
        <v>0.3920026625003547</v>
      </c>
      <c r="FE3" s="20">
        <f>EDC!DO18</f>
        <v>0.39199067396209286</v>
      </c>
      <c r="FF3" s="20">
        <f>EDC!DP18</f>
        <v>0.38686070521851168</v>
      </c>
      <c r="FG3" s="20">
        <f>EDC!DQ18</f>
        <v>0.38627591768333203</v>
      </c>
      <c r="FH3" s="20">
        <f>EDC!DR18</f>
        <v>0.38537409901197395</v>
      </c>
    </row>
    <row r="4" spans="1:164">
      <c r="A4" s="8" t="s">
        <v>203</v>
      </c>
      <c r="B4" s="263" t="s">
        <v>204</v>
      </c>
      <c r="C4" s="19">
        <f>+CG4-CH4</f>
        <v>-0.98368090054094037</v>
      </c>
      <c r="D4" s="19">
        <f t="shared" ref="D4:J4" si="43">+CH4-CI4</f>
        <v>0.75694868023989104</v>
      </c>
      <c r="E4" s="19">
        <f t="shared" si="43"/>
        <v>3.5309496740973056E-2</v>
      </c>
      <c r="F4" s="19">
        <f t="shared" si="43"/>
        <v>-1.2719245402631474E-2</v>
      </c>
      <c r="G4" s="19">
        <f t="shared" si="43"/>
        <v>-4.3302196794848147E-2</v>
      </c>
      <c r="H4" s="19">
        <f t="shared" si="43"/>
        <v>0.25832054709962171</v>
      </c>
      <c r="I4" s="19">
        <f t="shared" si="43"/>
        <v>-6.374405323761323E-5</v>
      </c>
      <c r="J4" s="19">
        <f t="shared" si="43"/>
        <v>-2.7729981786839275E-4</v>
      </c>
      <c r="K4" s="19">
        <f t="shared" ref="K4:K67" si="44">+CO4-CP4</f>
        <v>1.6110291059740378E-2</v>
      </c>
      <c r="L4" s="19">
        <f t="shared" si="1"/>
        <v>5.2977323511136154E-2</v>
      </c>
      <c r="M4" s="19">
        <f t="shared" si="2"/>
        <v>-0.13053403788342344</v>
      </c>
      <c r="N4" s="19">
        <f t="shared" si="3"/>
        <v>4.2284738309295022E-4</v>
      </c>
      <c r="O4" s="19">
        <f t="shared" si="4"/>
        <v>0</v>
      </c>
      <c r="P4" s="19">
        <f t="shared" si="5"/>
        <v>-6.0538326404957488E-4</v>
      </c>
      <c r="Q4" s="19">
        <f t="shared" si="5"/>
        <v>4.0456076044259603E-4</v>
      </c>
      <c r="R4" s="19">
        <f t="shared" si="6"/>
        <v>0.11803105082497067</v>
      </c>
      <c r="S4" s="19">
        <f t="shared" si="7"/>
        <v>-3.4265517018035041E-3</v>
      </c>
      <c r="T4" s="19">
        <f t="shared" si="8"/>
        <v>3.3179675041328238E-4</v>
      </c>
      <c r="U4" s="19">
        <f t="shared" si="8"/>
        <v>-1.3659931755831689E-2</v>
      </c>
      <c r="V4" s="19">
        <f>+CZ4-DA4</f>
        <v>3.4969895704062282E-5</v>
      </c>
      <c r="W4" s="19">
        <f>+DA4-DB4</f>
        <v>3.2573414473409112E-3</v>
      </c>
      <c r="X4" s="19">
        <f>+DB4-DC4</f>
        <v>-2.1336705350623708E-2</v>
      </c>
      <c r="Y4" s="19">
        <f>+DC4-DD4</f>
        <v>-4.7438838503000014E-5</v>
      </c>
      <c r="Z4" s="19">
        <f t="shared" si="9"/>
        <v>-3.5609066838970804E-5</v>
      </c>
      <c r="AA4" s="19">
        <f t="shared" si="10"/>
        <v>0</v>
      </c>
      <c r="AB4" s="19">
        <f t="shared" si="10"/>
        <v>-3.2612745878439764E-2</v>
      </c>
      <c r="AC4" s="19">
        <f t="shared" si="10"/>
        <v>8.2769204542199049E-5</v>
      </c>
      <c r="AD4" s="19">
        <f t="shared" si="10"/>
        <v>8.4508328837902269E-3</v>
      </c>
      <c r="AE4" s="324">
        <f t="shared" si="11"/>
        <v>-1.8319333446714658E-3</v>
      </c>
      <c r="AF4" s="19">
        <f t="shared" si="11"/>
        <v>8.8249569258014304E-5</v>
      </c>
      <c r="AG4" s="19">
        <f t="shared" si="12"/>
        <v>2.3573795626956606E-3</v>
      </c>
      <c r="AH4" s="19">
        <f t="shared" si="13"/>
        <v>-4.2490278790416891E-3</v>
      </c>
      <c r="AI4" s="19">
        <f t="shared" si="14"/>
        <v>1.1257096111672027E-4</v>
      </c>
      <c r="AJ4" s="19">
        <f t="shared" si="15"/>
        <v>-1.9198778682629758E-3</v>
      </c>
      <c r="AK4" s="19">
        <f t="shared" si="16"/>
        <v>-6.9052505086819593E-5</v>
      </c>
      <c r="AL4" s="19">
        <f t="shared" si="16"/>
        <v>1.1515682994955867E-5</v>
      </c>
      <c r="AM4" s="19">
        <f t="shared" si="17"/>
        <v>-1.2682531452923307E-4</v>
      </c>
      <c r="AN4" s="19">
        <f t="shared" si="18"/>
        <v>0</v>
      </c>
      <c r="AO4" s="19">
        <f t="shared" si="19"/>
        <v>4.9081039722260744E-3</v>
      </c>
      <c r="AP4" s="19">
        <f t="shared" si="20"/>
        <v>6.5828098260833912E-5</v>
      </c>
      <c r="AQ4" s="19">
        <f t="shared" si="20"/>
        <v>5.4487786513868208E-4</v>
      </c>
      <c r="AR4" s="19">
        <f t="shared" si="20"/>
        <v>1.4059796079735065E-4</v>
      </c>
      <c r="AS4" s="19">
        <f t="shared" si="21"/>
        <v>-0.14769895081092921</v>
      </c>
      <c r="AT4" s="19">
        <f t="shared" si="22"/>
        <v>2.0558814984728002E-4</v>
      </c>
      <c r="AU4" s="60" t="s">
        <v>40</v>
      </c>
      <c r="AV4" s="19">
        <f t="shared" si="23"/>
        <v>2.2614191762815317E-4</v>
      </c>
      <c r="AW4" s="19">
        <f t="shared" si="24"/>
        <v>-3.6013556446452544E-3</v>
      </c>
      <c r="AX4" s="19">
        <f t="shared" si="25"/>
        <v>8.9496529754651277E-5</v>
      </c>
      <c r="AY4" s="19">
        <f t="shared" si="26"/>
        <v>-1.6794692213828455E-4</v>
      </c>
      <c r="AZ4" s="19">
        <f t="shared" si="27"/>
        <v>5.0994792721987814E-3</v>
      </c>
      <c r="BA4" s="19">
        <f t="shared" si="28"/>
        <v>0</v>
      </c>
      <c r="BB4" s="19">
        <f t="shared" si="29"/>
        <v>0</v>
      </c>
      <c r="BC4" s="19">
        <f t="shared" si="30"/>
        <v>0.23001988791515582</v>
      </c>
      <c r="BD4" s="19">
        <f t="shared" si="31"/>
        <v>-3.9135952699991261E-3</v>
      </c>
      <c r="BE4" s="19">
        <f t="shared" si="32"/>
        <v>1.0986298987747389E-4</v>
      </c>
      <c r="BF4" s="19">
        <f t="shared" si="33"/>
        <v>-3.4504775502663954E-3</v>
      </c>
      <c r="BG4" s="19">
        <f t="shared" si="33"/>
        <v>2.2780929940680039E-5</v>
      </c>
      <c r="BH4" s="19">
        <f t="shared" si="34"/>
        <v>-0.13102379399737796</v>
      </c>
      <c r="BI4" s="19">
        <f t="shared" si="34"/>
        <v>1.8252253050161871E-2</v>
      </c>
      <c r="BJ4" s="19">
        <f t="shared" si="35"/>
        <v>-0.1146921005253716</v>
      </c>
      <c r="BK4" s="19">
        <f t="shared" si="36"/>
        <v>-3.1314652824274702E-3</v>
      </c>
      <c r="BL4" s="19">
        <f t="shared" ref="BL4:BO67" si="45">+EO4-EP4</f>
        <v>1.1457553810156895E-5</v>
      </c>
      <c r="BM4" s="19">
        <f t="shared" si="45"/>
        <v>3.2709915871592443E-2</v>
      </c>
      <c r="BN4" s="19">
        <f t="shared" si="45"/>
        <v>-3.2790176111151981E-2</v>
      </c>
      <c r="BO4" s="19">
        <f t="shared" si="45"/>
        <v>0.28767390478466037</v>
      </c>
      <c r="BP4" s="19">
        <f t="shared" si="37"/>
        <v>0</v>
      </c>
      <c r="BQ4" s="19">
        <f>+ET4-EU4</f>
        <v>4.6826566146744852E-3</v>
      </c>
      <c r="BR4" s="19">
        <f t="shared" si="37"/>
        <v>8.0238931941867264E-5</v>
      </c>
      <c r="BS4" s="19">
        <f>+EV4-EW4</f>
        <v>3.0948176116862847E-4</v>
      </c>
      <c r="BT4" s="19">
        <f t="shared" ref="BT4:BT67" si="46">+EW4-EX4</f>
        <v>-1.5859226621555145E-3</v>
      </c>
      <c r="BU4" s="19">
        <f t="shared" si="39"/>
        <v>-0.28000000000000025</v>
      </c>
      <c r="BV4" s="19">
        <f t="shared" si="39"/>
        <v>1.0122034377779698E-5</v>
      </c>
      <c r="BW4" s="19">
        <f t="shared" si="40"/>
        <v>4.0464071808354873E-5</v>
      </c>
      <c r="BX4" s="19">
        <f t="shared" si="41"/>
        <v>-1.6107176506845011E-2</v>
      </c>
      <c r="BY4" s="19">
        <f t="shared" si="41"/>
        <v>6.2904724508435983E-2</v>
      </c>
      <c r="BZ4" s="19">
        <f t="shared" si="41"/>
        <v>3.7189358745415291E-4</v>
      </c>
      <c r="CA4" s="19">
        <f t="shared" si="41"/>
        <v>-3.2841872648017301E-3</v>
      </c>
      <c r="CB4" s="19">
        <f t="shared" si="42"/>
        <v>-1.54051753757245E-2</v>
      </c>
      <c r="CC4" s="19">
        <f t="shared" si="42"/>
        <v>9.469935461625667E-5</v>
      </c>
      <c r="CD4" s="19">
        <f t="shared" si="42"/>
        <v>1.6661802886276611E-2</v>
      </c>
      <c r="CE4" s="65"/>
      <c r="CF4" s="20"/>
      <c r="CG4" s="20">
        <f t="shared" ref="CG4:CG67" si="47">AVERAGE(CK4:DW4)</f>
        <v>1.5281944875287243</v>
      </c>
      <c r="CH4" s="20">
        <f>EDA!AR16</f>
        <v>2.5118753880696647</v>
      </c>
      <c r="CI4" s="20">
        <f>EDA!AS16</f>
        <v>1.7549267078297737</v>
      </c>
      <c r="CJ4" s="20">
        <f>EDA!AT16</f>
        <v>1.7196172110888006</v>
      </c>
      <c r="CK4" s="20">
        <f>EDA!AU16</f>
        <v>1.7323364564914321</v>
      </c>
      <c r="CL4" s="20">
        <f>EDA!AV16</f>
        <v>1.7756386532862802</v>
      </c>
      <c r="CM4" s="20">
        <f>EDA!AW16</f>
        <v>1.5173181061866585</v>
      </c>
      <c r="CN4" s="20">
        <f>EDA!AX16</f>
        <v>1.5173818502398961</v>
      </c>
      <c r="CO4" s="20">
        <f>EDA!AY16</f>
        <v>1.5176591500577645</v>
      </c>
      <c r="CP4" s="20">
        <f>EDA!AZ16</f>
        <v>1.5015488589980241</v>
      </c>
      <c r="CQ4" s="20">
        <f>EDA!BA16</f>
        <v>1.448571535486888</v>
      </c>
      <c r="CR4" s="20">
        <f>EDA!BB16</f>
        <v>1.5791055733703114</v>
      </c>
      <c r="CS4" s="20">
        <f>EDA!BC16</f>
        <v>1.5786827259872185</v>
      </c>
      <c r="CT4" s="20">
        <f>EDA!BD16</f>
        <v>1.5786827259872185</v>
      </c>
      <c r="CU4" s="20">
        <f>EDA!BE16</f>
        <v>1.5792881092512681</v>
      </c>
      <c r="CV4" s="20">
        <f>EDA!BF16</f>
        <v>1.5788835484908255</v>
      </c>
      <c r="CW4" s="20">
        <f>EDA!BG16</f>
        <v>1.4608524976658548</v>
      </c>
      <c r="CX4" s="20">
        <f>EDA!BH16</f>
        <v>1.4642790493676583</v>
      </c>
      <c r="CY4" s="20">
        <f>EDA!BI16</f>
        <v>1.463947252617245</v>
      </c>
      <c r="CZ4" s="20">
        <f>EDA!BJ16</f>
        <v>1.4776071843730767</v>
      </c>
      <c r="DA4" s="20">
        <f>EDA!BK16</f>
        <v>1.4775722144773726</v>
      </c>
      <c r="DB4" s="20">
        <f>EDA!BL16</f>
        <v>1.4743148730300317</v>
      </c>
      <c r="DC4" s="20">
        <f>EDA!BM16</f>
        <v>1.4956515783806554</v>
      </c>
      <c r="DD4" s="20">
        <f>EDA!BN16</f>
        <v>1.4956990172191584</v>
      </c>
      <c r="DE4" s="20">
        <f>EDA!BO16</f>
        <v>1.4957346262859974</v>
      </c>
      <c r="DF4" s="20">
        <f>EDA!BP16</f>
        <v>1.4957346262859974</v>
      </c>
      <c r="DG4" s="20">
        <f>EDA!BQ16</f>
        <v>1.5283473721644372</v>
      </c>
      <c r="DH4" s="20">
        <f>EDA!BR16</f>
        <v>1.528264602959895</v>
      </c>
      <c r="DI4" s="323">
        <f>EDA!BS16</f>
        <v>1.5198137700761047</v>
      </c>
      <c r="DJ4" s="323">
        <f>EDA!BT16</f>
        <v>1.5216457034207762</v>
      </c>
      <c r="DK4" s="323">
        <f>EDA!BU16</f>
        <v>1.5215574538515182</v>
      </c>
      <c r="DL4" s="323">
        <f>EDA!BV16</f>
        <v>1.5192000742888225</v>
      </c>
      <c r="DM4" s="323">
        <f>EDA!BW16</f>
        <v>1.5234491021678642</v>
      </c>
      <c r="DN4" s="323">
        <f>EDA!BX16</f>
        <v>1.5233365312067475</v>
      </c>
      <c r="DO4" s="323">
        <f>EDA!BY16</f>
        <v>1.5252564090750105</v>
      </c>
      <c r="DP4" s="323">
        <f>EDA!BZ16</f>
        <v>1.5253254615800973</v>
      </c>
      <c r="DQ4" s="323">
        <f>EDA!CA16</f>
        <v>1.5253139458971023</v>
      </c>
      <c r="DR4" s="323">
        <f>EDA!CB16</f>
        <v>1.5254407712116316</v>
      </c>
      <c r="DS4" s="323">
        <f>EDA!CC16</f>
        <v>1.5254407712116316</v>
      </c>
      <c r="DT4" s="323">
        <f>EDA!CD16</f>
        <v>1.5205326672394055</v>
      </c>
      <c r="DU4" s="323">
        <f>EDA!CE16</f>
        <v>1.5204668391411447</v>
      </c>
      <c r="DV4" s="323">
        <f>EDA!CF16</f>
        <v>1.519921961276006</v>
      </c>
      <c r="DW4" s="323">
        <f>EDA!CG16</f>
        <v>1.5197813633152086</v>
      </c>
      <c r="DX4" s="323">
        <f>EDA!CH16</f>
        <v>1.6674803141261378</v>
      </c>
      <c r="DY4" s="323">
        <f>EDA!CI16</f>
        <v>1.6672747259762906</v>
      </c>
      <c r="DZ4" s="323">
        <f>EDA!CJ16</f>
        <v>1.6670485840586624</v>
      </c>
      <c r="EA4" s="323">
        <f>EDA!CK16</f>
        <v>1.6706499397033077</v>
      </c>
      <c r="EB4" s="323">
        <f>EDA!CL16</f>
        <v>1.670560443173553</v>
      </c>
      <c r="EC4" s="323">
        <f>EDA!CM16</f>
        <v>1.6707283900956913</v>
      </c>
      <c r="ED4" s="323">
        <f>EDA!CN16</f>
        <v>1.6656289108234925</v>
      </c>
      <c r="EE4" s="323">
        <f>EDA!CO16</f>
        <v>1.6656289108234925</v>
      </c>
      <c r="EF4" s="323">
        <f>EDA!CP16</f>
        <v>1.6656289108234925</v>
      </c>
      <c r="EG4" s="323">
        <f>EDA!CQ16</f>
        <v>1.4356090229083367</v>
      </c>
      <c r="EH4" s="323">
        <f>EDA!CR16</f>
        <v>1.4395226181783358</v>
      </c>
      <c r="EI4" s="323">
        <f>EDA!CS16</f>
        <v>1.4394127551884583</v>
      </c>
      <c r="EJ4" s="323">
        <f>EDA!CT16</f>
        <v>1.4428632327387247</v>
      </c>
      <c r="EK4" s="323">
        <f>EDA!CU16</f>
        <v>1.4428404518087841</v>
      </c>
      <c r="EL4" s="323">
        <f>EDA!CV16</f>
        <v>1.573864245806162</v>
      </c>
      <c r="EM4" s="323">
        <f>EDA!CW16</f>
        <v>1.5556119927560002</v>
      </c>
      <c r="EN4" s="323">
        <f>EDA!CX16</f>
        <v>1.6703040932813717</v>
      </c>
      <c r="EO4" s="323">
        <f>EDA!CY16</f>
        <v>1.6734355585637992</v>
      </c>
      <c r="EP4" s="323">
        <f>EDA!CZ16</f>
        <v>1.6734241010099891</v>
      </c>
      <c r="EQ4" s="323">
        <f>EDA!DA16</f>
        <v>1.6407141851383966</v>
      </c>
      <c r="ER4" s="323">
        <f>EDA!DB16</f>
        <v>1.6735043612495486</v>
      </c>
      <c r="ES4" s="323">
        <f>EDA!DC16</f>
        <v>1.3858304564648882</v>
      </c>
      <c r="ET4" s="323">
        <f>EDA!DD16</f>
        <v>1.3858304564648882</v>
      </c>
      <c r="EU4" s="323">
        <f>EDA!DE16</f>
        <v>1.3811477998502137</v>
      </c>
      <c r="EV4" s="323">
        <f>EDA!DF16</f>
        <v>1.3810675609182719</v>
      </c>
      <c r="EW4" s="323">
        <f>EDA!DG16</f>
        <v>1.3807580791571032</v>
      </c>
      <c r="EX4" s="323">
        <f>EDA!DH16</f>
        <v>1.3823440018192588</v>
      </c>
      <c r="EY4" s="323">
        <f>EDA!DI16</f>
        <v>1.662344001819259</v>
      </c>
      <c r="EZ4" s="323">
        <f>EDA!DJ16</f>
        <v>1.6623338797848812</v>
      </c>
      <c r="FA4" s="323">
        <f>EDA!DK16</f>
        <v>1.6622934157130729</v>
      </c>
      <c r="FB4" s="323">
        <f>EDA!DL16</f>
        <v>1.6784005922199179</v>
      </c>
      <c r="FC4" s="323">
        <f>EDA!DM16</f>
        <v>1.6154958677114819</v>
      </c>
      <c r="FD4" s="323">
        <f>EDA!DN16</f>
        <v>1.6151239741240278</v>
      </c>
      <c r="FE4" s="323">
        <f>EDA!DO16</f>
        <v>1.6184081613888295</v>
      </c>
      <c r="FF4" s="323">
        <f>EDA!DP16</f>
        <v>1.633813336764554</v>
      </c>
      <c r="FG4" s="323">
        <f>EDA!DQ16</f>
        <v>1.6337186374099377</v>
      </c>
      <c r="FH4" s="323">
        <f>EDA!DR16</f>
        <v>1.6170568345236611</v>
      </c>
    </row>
    <row r="5" spans="1:164">
      <c r="A5" s="8" t="s">
        <v>203</v>
      </c>
      <c r="B5" s="263" t="s">
        <v>205</v>
      </c>
      <c r="C5" s="19">
        <f t="shared" ref="C5:C46" si="48">+CG5-CH5</f>
        <v>-1.2421880103800964E-2</v>
      </c>
      <c r="D5" s="19">
        <f t="shared" ref="D5:D46" si="49">+CH5-CI5</f>
        <v>-0.10094237507058956</v>
      </c>
      <c r="E5" s="19">
        <f t="shared" ref="E5:E46" si="50">+CI5-CJ5</f>
        <v>-0.16487520336077477</v>
      </c>
      <c r="F5" s="19">
        <f t="shared" ref="F5:F46" si="51">+CJ5-CK5</f>
        <v>2.1738173901993729E-2</v>
      </c>
      <c r="G5" s="19">
        <f t="shared" ref="G5:G46" si="52">+CK5-CL5</f>
        <v>5.8658564497440224E-3</v>
      </c>
      <c r="H5" s="19">
        <f t="shared" ref="H5:H46" si="53">+CL5-CM5</f>
        <v>6.3295588696959282E-2</v>
      </c>
      <c r="I5" s="19">
        <f t="shared" ref="I5:J46" si="54">+CM5-CN5</f>
        <v>-6.374405323761323E-5</v>
      </c>
      <c r="J5" s="19">
        <f t="shared" si="54"/>
        <v>0.32053800800243115</v>
      </c>
      <c r="K5" s="19">
        <f t="shared" si="44"/>
        <v>-2.7906002179056699E-4</v>
      </c>
      <c r="L5" s="19">
        <f t="shared" si="1"/>
        <v>3.8092702665437628E-3</v>
      </c>
      <c r="M5" s="19">
        <f t="shared" si="2"/>
        <v>-2.482688314132675E-2</v>
      </c>
      <c r="N5" s="19">
        <f t="shared" si="3"/>
        <v>-2.4984806527056813E-2</v>
      </c>
      <c r="O5" s="19">
        <f t="shared" si="4"/>
        <v>0</v>
      </c>
      <c r="P5" s="19">
        <f t="shared" si="5"/>
        <v>-0.12764365281479839</v>
      </c>
      <c r="Q5" s="19">
        <f t="shared" si="5"/>
        <v>-2.5003093149707389E-2</v>
      </c>
      <c r="R5" s="19">
        <f t="shared" si="6"/>
        <v>-4.7509714566044137E-2</v>
      </c>
      <c r="S5" s="19">
        <f t="shared" si="7"/>
        <v>-3.4265517018035041E-3</v>
      </c>
      <c r="T5" s="19">
        <f t="shared" si="8"/>
        <v>3.3179675041328238E-4</v>
      </c>
      <c r="U5" s="19">
        <f t="shared" si="8"/>
        <v>3.7155376064467616E-2</v>
      </c>
      <c r="V5" s="19">
        <f t="shared" si="8"/>
        <v>3.4969895704284326E-5</v>
      </c>
      <c r="W5" s="19">
        <f t="shared" si="8"/>
        <v>3.2573414473409112E-3</v>
      </c>
      <c r="X5" s="19">
        <f t="shared" ref="X5:Y66" si="55">+DB5-DC5</f>
        <v>-4.947354269092985E-3</v>
      </c>
      <c r="Y5" s="19">
        <f t="shared" si="55"/>
        <v>-4.7438838503000014E-5</v>
      </c>
      <c r="Z5" s="19">
        <f t="shared" si="9"/>
        <v>5.0779698753461E-2</v>
      </c>
      <c r="AA5" s="19">
        <f t="shared" si="10"/>
        <v>0</v>
      </c>
      <c r="AB5" s="19">
        <f t="shared" si="10"/>
        <v>5.0981264104920987E-2</v>
      </c>
      <c r="AC5" s="19">
        <f t="shared" si="10"/>
        <v>5.0898077024841504E-2</v>
      </c>
      <c r="AD5" s="19">
        <f t="shared" si="10"/>
        <v>8.4508328837902269E-3</v>
      </c>
      <c r="AE5" s="19">
        <f t="shared" si="11"/>
        <v>2.3575720565478298E-2</v>
      </c>
      <c r="AF5" s="19">
        <f t="shared" si="11"/>
        <v>8.8249569258236349E-5</v>
      </c>
      <c r="AG5" s="19">
        <f t="shared" si="12"/>
        <v>2.3573795626954386E-3</v>
      </c>
      <c r="AH5" s="19">
        <f t="shared" si="13"/>
        <v>-4.2490278790414671E-3</v>
      </c>
      <c r="AI5" s="19">
        <f t="shared" si="14"/>
        <v>1.1257096111672027E-4</v>
      </c>
      <c r="AJ5" s="19">
        <f t="shared" si="15"/>
        <v>-2.7327531778412961E-2</v>
      </c>
      <c r="AK5" s="19">
        <f t="shared" si="16"/>
        <v>-6.9052505086819593E-5</v>
      </c>
      <c r="AL5" s="19">
        <f t="shared" si="16"/>
        <v>1.1515682994955867E-5</v>
      </c>
      <c r="AM5" s="19">
        <f t="shared" si="17"/>
        <v>-1.2682531452923307E-4</v>
      </c>
      <c r="AN5" s="19">
        <f t="shared" si="18"/>
        <v>-5.0815307820299305E-2</v>
      </c>
      <c r="AO5" s="19">
        <f t="shared" si="19"/>
        <v>4.9081039722262965E-3</v>
      </c>
      <c r="AP5" s="19">
        <f t="shared" si="20"/>
        <v>6.5828098260833912E-5</v>
      </c>
      <c r="AQ5" s="19">
        <f t="shared" si="20"/>
        <v>-2.4862776045011525E-2</v>
      </c>
      <c r="AR5" s="19">
        <f t="shared" si="20"/>
        <v>2.5548251870947558E-2</v>
      </c>
      <c r="AS5" s="19">
        <f t="shared" si="21"/>
        <v>-1.9479107715247856E-4</v>
      </c>
      <c r="AT5" s="19">
        <f t="shared" si="22"/>
        <v>-3.5365127324362478E-2</v>
      </c>
      <c r="AU5" s="60" t="s">
        <v>40</v>
      </c>
      <c r="AV5" s="19">
        <f t="shared" si="23"/>
        <v>2.2614191762815317E-4</v>
      </c>
      <c r="AW5" s="19">
        <f t="shared" si="24"/>
        <v>-3.6013556446452544E-3</v>
      </c>
      <c r="AX5" s="19">
        <f t="shared" si="25"/>
        <v>8.9496529754651277E-5</v>
      </c>
      <c r="AY5" s="19">
        <f t="shared" si="26"/>
        <v>-1.6794692213828455E-4</v>
      </c>
      <c r="AZ5" s="19">
        <f t="shared" si="27"/>
        <v>5.0994792721987814E-3</v>
      </c>
      <c r="BA5" s="19">
        <f t="shared" si="28"/>
        <v>0</v>
      </c>
      <c r="BB5" s="19">
        <f t="shared" si="29"/>
        <v>0</v>
      </c>
      <c r="BC5" s="19">
        <f t="shared" si="30"/>
        <v>0.15532438042763541</v>
      </c>
      <c r="BD5" s="19">
        <f t="shared" si="31"/>
        <v>6.214630489639017E-2</v>
      </c>
      <c r="BE5" s="19">
        <f t="shared" si="32"/>
        <v>1.0272924553937246E-2</v>
      </c>
      <c r="BF5" s="19">
        <f t="shared" si="33"/>
        <v>-3.4504775502663954E-3</v>
      </c>
      <c r="BG5" s="19">
        <f t="shared" si="33"/>
        <v>2.2780929940680039E-5</v>
      </c>
      <c r="BH5" s="19">
        <f t="shared" si="34"/>
        <v>0.12712928420561731</v>
      </c>
      <c r="BI5" s="19">
        <f t="shared" si="34"/>
        <v>1.8629019686309256E-3</v>
      </c>
      <c r="BJ5" s="19">
        <f t="shared" si="35"/>
        <v>3.3357045343906933E-5</v>
      </c>
      <c r="BK5" s="19">
        <f t="shared" si="36"/>
        <v>-3.1314652824274702E-3</v>
      </c>
      <c r="BL5" s="19">
        <f t="shared" si="45"/>
        <v>1.145755381037894E-5</v>
      </c>
      <c r="BM5" s="19">
        <f t="shared" si="45"/>
        <v>-6.8786291469447036E-5</v>
      </c>
      <c r="BN5" s="19">
        <f t="shared" si="45"/>
        <v>-1.1473948090312547E-5</v>
      </c>
      <c r="BO5" s="19">
        <f t="shared" si="45"/>
        <v>0.13767390478466024</v>
      </c>
      <c r="BP5" s="19">
        <f t="shared" si="37"/>
        <v>0</v>
      </c>
      <c r="BQ5" s="19">
        <f t="shared" si="37"/>
        <v>4.6826566146744852E-3</v>
      </c>
      <c r="BR5" s="19">
        <f t="shared" si="37"/>
        <v>8.0238931941867264E-5</v>
      </c>
      <c r="BS5" s="19">
        <f t="shared" si="38"/>
        <v>3.0948176116862847E-4</v>
      </c>
      <c r="BT5" s="19">
        <f t="shared" si="46"/>
        <v>4.9229385158144012E-2</v>
      </c>
      <c r="BU5" s="19">
        <f t="shared" si="39"/>
        <v>-0.30000000000000004</v>
      </c>
      <c r="BV5" s="19">
        <f t="shared" si="39"/>
        <v>1.0122034377557654E-5</v>
      </c>
      <c r="BW5" s="19">
        <f t="shared" si="40"/>
        <v>4.0464071808354873E-5</v>
      </c>
      <c r="BX5" s="19">
        <f t="shared" si="41"/>
        <v>5.1097482394985239E-2</v>
      </c>
      <c r="BY5" s="19">
        <f t="shared" si="41"/>
        <v>-2.6526798176871313E-3</v>
      </c>
      <c r="BZ5" s="19">
        <f t="shared" si="41"/>
        <v>3.7189358745415291E-4</v>
      </c>
      <c r="CA5" s="19">
        <f t="shared" si="41"/>
        <v>-3.2841872648017301E-3</v>
      </c>
      <c r="CB5" s="19">
        <f t="shared" si="42"/>
        <v>9.8417570580644487E-4</v>
      </c>
      <c r="CC5" s="19">
        <f t="shared" si="42"/>
        <v>9.4699354616034626E-5</v>
      </c>
      <c r="CD5" s="19">
        <f t="shared" si="42"/>
        <v>2.7245180474588793E-4</v>
      </c>
      <c r="CE5" s="65"/>
      <c r="CG5" s="20">
        <f t="shared" si="47"/>
        <v>1.882257800810007</v>
      </c>
      <c r="CH5" s="20">
        <f>'EDA (2)'!AR17</f>
        <v>1.894679680913808</v>
      </c>
      <c r="CI5" s="20">
        <f>'EDA (2)'!AS17</f>
        <v>1.9956220559843976</v>
      </c>
      <c r="CJ5" s="20">
        <f>'EDA (2)'!AT17</f>
        <v>2.1604972593451723</v>
      </c>
      <c r="CK5" s="20">
        <f>'EDA (2)'!AU17</f>
        <v>2.1387590854431786</v>
      </c>
      <c r="CL5" s="20">
        <f>'EDA (2)'!AV17</f>
        <v>2.1328932289934346</v>
      </c>
      <c r="CM5" s="20">
        <f>'EDA (2)'!AW17</f>
        <v>2.0695976402964753</v>
      </c>
      <c r="CN5" s="20">
        <f>'EDA (2)'!AX17</f>
        <v>2.0696613843497129</v>
      </c>
      <c r="CO5" s="20">
        <f>'EDA (2)'!AY17</f>
        <v>1.7491233763472818</v>
      </c>
      <c r="CP5" s="20">
        <f>'EDA (2)'!AZ17</f>
        <v>1.7494024363690723</v>
      </c>
      <c r="CQ5" s="20">
        <f>'EDA (2)'!BA17</f>
        <v>1.7455931661025286</v>
      </c>
      <c r="CR5" s="20">
        <f>'EDA (2)'!BB17</f>
        <v>1.7704200492438553</v>
      </c>
      <c r="CS5" s="20">
        <f>'EDA (2)'!BC17</f>
        <v>1.7954048557709121</v>
      </c>
      <c r="CT5" s="20">
        <f>'EDA (2)'!BD17</f>
        <v>1.7954048557709121</v>
      </c>
      <c r="CU5" s="20">
        <f>'EDA (2)'!BE17</f>
        <v>1.9230485085857105</v>
      </c>
      <c r="CV5" s="20">
        <f>'EDA (2)'!BF17</f>
        <v>1.9480516017354179</v>
      </c>
      <c r="CW5" s="20">
        <f>'EDA (2)'!BG17</f>
        <v>1.9955613163014621</v>
      </c>
      <c r="CX5" s="20">
        <f>'EDA (2)'!BH17</f>
        <v>1.9989878680032656</v>
      </c>
      <c r="CY5" s="20">
        <f>'EDA (2)'!BI17</f>
        <v>1.9986560712528523</v>
      </c>
      <c r="CZ5" s="20">
        <f>'EDA (2)'!BJ17</f>
        <v>1.9615006951883847</v>
      </c>
      <c r="DA5" s="20">
        <f>'EDA (2)'!BK17</f>
        <v>1.9614657252926804</v>
      </c>
      <c r="DB5" s="20">
        <f>'EDA (2)'!BL17</f>
        <v>1.9582083838453395</v>
      </c>
      <c r="DC5" s="20">
        <f>'EDA (2)'!BM17</f>
        <v>1.9631557381144324</v>
      </c>
      <c r="DD5" s="20">
        <f>'EDA (2)'!BN17</f>
        <v>1.9632031769529354</v>
      </c>
      <c r="DE5" s="20">
        <f>'EDA (2)'!BO17</f>
        <v>1.9124234781994744</v>
      </c>
      <c r="DF5" s="20">
        <f>'EDA (2)'!BP17</f>
        <v>1.9124234781994744</v>
      </c>
      <c r="DG5" s="20">
        <f>'EDA (2)'!BQ17</f>
        <v>1.8614422140945535</v>
      </c>
      <c r="DH5" s="20">
        <f>'EDA (2)'!BR17</f>
        <v>1.810544137069712</v>
      </c>
      <c r="DI5" s="20">
        <f>'EDA (2)'!BS17</f>
        <v>1.8020933041859217</v>
      </c>
      <c r="DJ5" s="20">
        <f>'EDA (2)'!BT17</f>
        <v>1.7785175836204434</v>
      </c>
      <c r="DK5" s="20">
        <f>'EDA (2)'!BU17</f>
        <v>1.7784293340511852</v>
      </c>
      <c r="DL5" s="20">
        <f>'EDA (2)'!BV17</f>
        <v>1.7760719544884898</v>
      </c>
      <c r="DM5" s="20">
        <f>'EDA (2)'!BW17</f>
        <v>1.7803209823675312</v>
      </c>
      <c r="DN5" s="20">
        <f>'EDA (2)'!BX17</f>
        <v>1.7802084114064145</v>
      </c>
      <c r="DO5" s="20">
        <f>'EDA (2)'!BY17</f>
        <v>1.8075359431848275</v>
      </c>
      <c r="DP5" s="20">
        <f>'EDA (2)'!BZ17</f>
        <v>1.8076049956899143</v>
      </c>
      <c r="DQ5" s="20">
        <f>'EDA (2)'!CA17</f>
        <v>1.8075934800069193</v>
      </c>
      <c r="DR5" s="20">
        <f>'EDA (2)'!CB17</f>
        <v>1.8077203053214486</v>
      </c>
      <c r="DS5" s="20">
        <f>'EDA (2)'!CC17</f>
        <v>1.8585356131417479</v>
      </c>
      <c r="DT5" s="20">
        <f>'EDA (2)'!CD17</f>
        <v>1.8536275091695216</v>
      </c>
      <c r="DU5" s="20">
        <f>'EDA (2)'!CE17</f>
        <v>1.8535616810712607</v>
      </c>
      <c r="DV5" s="20">
        <f>'EDA (2)'!CF17</f>
        <v>1.8784244571162723</v>
      </c>
      <c r="DW5" s="20">
        <f>'EDA (2)'!CG17</f>
        <v>1.8528762052453247</v>
      </c>
      <c r="DX5" s="20">
        <f>'EDA (2)'!CH17</f>
        <v>1.8530709963224772</v>
      </c>
      <c r="DY5" s="20">
        <f>'EDA (2)'!CI17</f>
        <v>1.8884361236468397</v>
      </c>
      <c r="DZ5" s="20">
        <f>'EDA (2)'!CJ17</f>
        <v>1.8882099817292115</v>
      </c>
      <c r="EA5" s="20">
        <f>'EDA (2)'!CK17</f>
        <v>1.8918113373738568</v>
      </c>
      <c r="EB5" s="20">
        <f>'EDA (2)'!CL17</f>
        <v>1.8917218408441021</v>
      </c>
      <c r="EC5" s="20">
        <f>'EDA (2)'!CM17</f>
        <v>1.8918897877662404</v>
      </c>
      <c r="ED5" s="20">
        <f>'EDA (2)'!CN17</f>
        <v>1.8867903084940416</v>
      </c>
      <c r="EE5" s="20">
        <f>'EDA (2)'!CO17</f>
        <v>1.8867903084940416</v>
      </c>
      <c r="EF5" s="20">
        <f>'EDA (2)'!CP17</f>
        <v>1.8867903084940416</v>
      </c>
      <c r="EG5" s="20">
        <f>'EDA (2)'!CQ17</f>
        <v>1.7314659280664062</v>
      </c>
      <c r="EH5" s="20">
        <f>'EDA (2)'!CR17</f>
        <v>1.669319623170016</v>
      </c>
      <c r="EI5" s="20">
        <f>'EDA (2)'!CS17</f>
        <v>1.6590466986160788</v>
      </c>
      <c r="EJ5" s="20">
        <f>'EDA (2)'!CT17</f>
        <v>1.6624971761663452</v>
      </c>
      <c r="EK5" s="20">
        <f>'EDA (2)'!CU17</f>
        <v>1.6624743952364045</v>
      </c>
      <c r="EL5" s="20">
        <f>'EDA (2)'!CV17</f>
        <v>1.5353451110307872</v>
      </c>
      <c r="EM5" s="20">
        <f>'EDA (2)'!CW17</f>
        <v>1.5334822090621563</v>
      </c>
      <c r="EN5" s="20">
        <f>'EDA (2)'!CX17</f>
        <v>1.5334488520168124</v>
      </c>
      <c r="EO5" s="20">
        <f>'EDA (2)'!CY17</f>
        <v>1.5365803172992398</v>
      </c>
      <c r="EP5" s="20">
        <f>'EDA (2)'!CZ17</f>
        <v>1.5365688597454294</v>
      </c>
      <c r="EQ5" s="20">
        <f>'EDA (2)'!DA17</f>
        <v>1.5366376460368989</v>
      </c>
      <c r="ER5" s="20">
        <f>'EDA (2)'!DB17</f>
        <v>1.5366491199849892</v>
      </c>
      <c r="ES5" s="20">
        <f>'EDA (2)'!DC17</f>
        <v>1.398975215200329</v>
      </c>
      <c r="ET5" s="20">
        <f>'EDA (2)'!DD17</f>
        <v>1.398975215200329</v>
      </c>
      <c r="EU5" s="20">
        <f>'EDA (2)'!DE17</f>
        <v>1.3942925585856545</v>
      </c>
      <c r="EV5" s="20">
        <f>'EDA (2)'!DF17</f>
        <v>1.3942123196537126</v>
      </c>
      <c r="EW5" s="20">
        <f>'EDA (2)'!DG17</f>
        <v>1.393902837892544</v>
      </c>
      <c r="EX5" s="20">
        <f>'EDA (2)'!DH17</f>
        <v>1.3446734527344</v>
      </c>
      <c r="EY5" s="20">
        <f>'EDA (2)'!DI17</f>
        <v>1.6446734527344</v>
      </c>
      <c r="EZ5" s="20">
        <f>'EDA (2)'!DJ17</f>
        <v>1.6446633307000225</v>
      </c>
      <c r="FA5" s="20">
        <f>'EDA (2)'!DK17</f>
        <v>1.6446228666282141</v>
      </c>
      <c r="FB5" s="20">
        <f>'EDA (2)'!DL17</f>
        <v>1.5935253842332289</v>
      </c>
      <c r="FC5" s="20">
        <f>'EDA (2)'!DM17</f>
        <v>1.596178064050916</v>
      </c>
      <c r="FD5" s="20">
        <f>'EDA (2)'!DN17</f>
        <v>1.5958061704634618</v>
      </c>
      <c r="FE5" s="20">
        <f>'EDA (2)'!DO17</f>
        <v>1.5990903577282636</v>
      </c>
      <c r="FF5" s="20">
        <f>'EDA (2)'!DP17</f>
        <v>1.5981061820224571</v>
      </c>
      <c r="FG5" s="20">
        <f>'EDA (2)'!DQ17</f>
        <v>1.5980114826678411</v>
      </c>
      <c r="FH5" s="20">
        <f>'EDA (2)'!DR17</f>
        <v>1.5977390308630952</v>
      </c>
    </row>
    <row r="6" spans="1:164">
      <c r="A6" s="8" t="s">
        <v>203</v>
      </c>
      <c r="B6" s="263" t="s">
        <v>206</v>
      </c>
      <c r="C6" s="19">
        <f t="shared" si="48"/>
        <v>-0.75335279299444124</v>
      </c>
      <c r="D6" s="19">
        <f t="shared" si="49"/>
        <v>0.50880247420624825</v>
      </c>
      <c r="E6" s="19">
        <f t="shared" si="50"/>
        <v>3.1278856115899423E-2</v>
      </c>
      <c r="F6" s="19">
        <f t="shared" si="51"/>
        <v>4.7033905881835203E-2</v>
      </c>
      <c r="G6" s="19">
        <f t="shared" si="52"/>
        <v>-1.2742843495529232E-2</v>
      </c>
      <c r="H6" s="19">
        <f t="shared" si="53"/>
        <v>0.1964535066395805</v>
      </c>
      <c r="I6" s="19">
        <f t="shared" si="54"/>
        <v>-2.0237810879963902E-4</v>
      </c>
      <c r="J6" s="19">
        <f t="shared" si="54"/>
        <v>-8.8038663781775384E-4</v>
      </c>
      <c r="K6" s="19">
        <f t="shared" si="44"/>
        <v>9.5693868299209228E-3</v>
      </c>
      <c r="L6" s="19">
        <f t="shared" si="1"/>
        <v>4.3459965294203595E-2</v>
      </c>
      <c r="M6" s="19">
        <f t="shared" si="2"/>
        <v>-8.1799032054608478E-2</v>
      </c>
      <c r="N6" s="19">
        <f t="shared" si="3"/>
        <v>1.3424790134113351E-3</v>
      </c>
      <c r="O6" s="19">
        <f t="shared" si="4"/>
        <v>0</v>
      </c>
      <c r="P6" s="19">
        <f t="shared" si="5"/>
        <v>-1.9220039180862791E-3</v>
      </c>
      <c r="Q6" s="19">
        <f t="shared" si="5"/>
        <v>1.2844216430321076E-3</v>
      </c>
      <c r="R6" s="19">
        <f t="shared" si="6"/>
        <v>8.3682311388312058E-2</v>
      </c>
      <c r="S6" s="19">
        <f t="shared" si="7"/>
        <v>-1.0878803871019471E-2</v>
      </c>
      <c r="T6" s="19">
        <f t="shared" si="8"/>
        <v>1.0534064817666611E-3</v>
      </c>
      <c r="U6" s="19">
        <f t="shared" si="8"/>
        <v>-4.3368298918409653E-2</v>
      </c>
      <c r="V6" s="19">
        <f t="shared" si="8"/>
        <v>1.1102433871235107E-4</v>
      </c>
      <c r="W6" s="19">
        <f t="shared" si="8"/>
        <v>1.0341585894621197E-2</v>
      </c>
      <c r="X6" s="19">
        <f t="shared" si="55"/>
        <v>-2.6162492951530947E-2</v>
      </c>
      <c r="Y6" s="19">
        <f t="shared" si="55"/>
        <v>-1.5061142070971201E-4</v>
      </c>
      <c r="Z6" s="19">
        <f t="shared" si="9"/>
        <v>-1.1305361421065641E-4</v>
      </c>
      <c r="AA6" s="19">
        <f t="shared" si="10"/>
        <v>0</v>
      </c>
      <c r="AB6" s="19">
        <f t="shared" si="10"/>
        <v>-2.0383836624101814E-2</v>
      </c>
      <c r="AC6" s="19">
        <f t="shared" si="10"/>
        <v>2.6278020036940575E-4</v>
      </c>
      <c r="AD6" s="19">
        <f t="shared" si="10"/>
        <v>2.6830166736174998E-2</v>
      </c>
      <c r="AE6" s="19">
        <f t="shared" si="11"/>
        <v>-5.8161222406112323E-3</v>
      </c>
      <c r="AF6" s="19">
        <f t="shared" si="11"/>
        <v>2.8017956219894558E-4</v>
      </c>
      <c r="AG6" s="19">
        <f t="shared" si="12"/>
        <v>7.484337650184969E-3</v>
      </c>
      <c r="AH6" s="19">
        <f t="shared" si="13"/>
        <v>-1.3490046250945298E-2</v>
      </c>
      <c r="AI6" s="19">
        <f t="shared" si="14"/>
        <v>3.5739644813048699E-4</v>
      </c>
      <c r="AJ6" s="19">
        <f t="shared" si="15"/>
        <v>-6.0953333271323018E-3</v>
      </c>
      <c r="AK6" s="19">
        <f t="shared" si="16"/>
        <v>-2.1923167225157414E-4</v>
      </c>
      <c r="AL6" s="19">
        <f t="shared" si="16"/>
        <v>3.6560620602532623E-5</v>
      </c>
      <c r="AM6" s="19">
        <f t="shared" si="17"/>
        <v>-4.0265194945598992E-4</v>
      </c>
      <c r="AN6" s="19">
        <f t="shared" si="18"/>
        <v>0</v>
      </c>
      <c r="AO6" s="19">
        <f t="shared" si="19"/>
        <v>1.558251710146763E-2</v>
      </c>
      <c r="AP6" s="19">
        <f t="shared" si="20"/>
        <v>2.0899464899537534E-4</v>
      </c>
      <c r="AQ6" s="19">
        <f t="shared" si="20"/>
        <v>1.7299080662875888E-3</v>
      </c>
      <c r="AR6" s="19">
        <f t="shared" si="20"/>
        <v>4.4637810057768235E-4</v>
      </c>
      <c r="AS6" s="19">
        <f t="shared" si="21"/>
        <v>-9.4716690107599533E-2</v>
      </c>
      <c r="AT6" s="19">
        <f t="shared" si="22"/>
        <v>6.527125095523445E-4</v>
      </c>
      <c r="AU6" s="60" t="s">
        <v>40</v>
      </c>
      <c r="AV6" s="19">
        <f t="shared" si="23"/>
        <v>7.1796773636867428E-4</v>
      </c>
      <c r="AW6" s="19">
        <f t="shared" si="24"/>
        <v>-1.1433780995413478E-2</v>
      </c>
      <c r="AX6" s="19">
        <f t="shared" si="25"/>
        <v>2.8413848062536218E-4</v>
      </c>
      <c r="AY6" s="19">
        <f t="shared" si="26"/>
        <v>-5.3320707979409576E-4</v>
      </c>
      <c r="AZ6" s="19">
        <f t="shared" si="27"/>
        <v>1.6190105877398331E-2</v>
      </c>
      <c r="BA6" s="19">
        <f t="shared" si="28"/>
        <v>0</v>
      </c>
      <c r="BB6" s="19">
        <f t="shared" si="29"/>
        <v>0</v>
      </c>
      <c r="BC6" s="19">
        <f t="shared" si="30"/>
        <v>0.14818147193348441</v>
      </c>
      <c r="BD6" s="19">
        <f t="shared" si="31"/>
        <v>-1.2425096446220252E-2</v>
      </c>
      <c r="BE6" s="19">
        <f t="shared" si="32"/>
        <v>3.4879903283879798E-4</v>
      </c>
      <c r="BF6" s="19">
        <f t="shared" si="33"/>
        <v>-1.0954764964131947E-2</v>
      </c>
      <c r="BG6" s="19">
        <f t="shared" si="33"/>
        <v>7.2326143129686216E-5</v>
      </c>
      <c r="BH6" s="19">
        <f t="shared" si="34"/>
        <v>-8.3353936568537179E-2</v>
      </c>
      <c r="BI6" s="19">
        <f t="shared" si="34"/>
        <v>1.6369804982288905E-2</v>
      </c>
      <c r="BJ6" s="19">
        <f t="shared" si="35"/>
        <v>-7.3081629243255897E-2</v>
      </c>
      <c r="BK6" s="19">
        <f t="shared" si="36"/>
        <v>-9.9419473573112427E-3</v>
      </c>
      <c r="BL6" s="19">
        <f t="shared" si="45"/>
        <v>3.6376068885513035E-5</v>
      </c>
      <c r="BM6" s="19">
        <f t="shared" si="45"/>
        <v>2.0692337236275282E-2</v>
      </c>
      <c r="BN6" s="19">
        <f t="shared" si="45"/>
        <v>-2.0947151837307221E-2</v>
      </c>
      <c r="BO6" s="19">
        <f t="shared" si="45"/>
        <v>2.4363532887379247E-2</v>
      </c>
      <c r="BP6" s="19">
        <f t="shared" si="37"/>
        <v>0</v>
      </c>
      <c r="BQ6" s="19">
        <f t="shared" si="37"/>
        <v>1.4866754492442347E-2</v>
      </c>
      <c r="BR6" s="19">
        <f t="shared" si="37"/>
        <v>2.5474695244076528E-4</v>
      </c>
      <c r="BS6" s="19">
        <f t="shared" si="38"/>
        <v>9.8255963265891921E-4</v>
      </c>
      <c r="BT6" s="19">
        <f t="shared" si="46"/>
        <v>-5.035074062099909E-3</v>
      </c>
      <c r="BU6" s="19">
        <f t="shared" si="39"/>
        <v>0</v>
      </c>
      <c r="BV6" s="19">
        <f t="shared" si="39"/>
        <v>3.2135988700332518E-5</v>
      </c>
      <c r="BW6" s="19">
        <f t="shared" si="40"/>
        <v>1.2846754969242369E-4</v>
      </c>
      <c r="BX6" s="19">
        <f t="shared" si="41"/>
        <v>-9.5594985769347218E-3</v>
      </c>
      <c r="BY6" s="19">
        <f t="shared" si="41"/>
        <v>3.3399574377019903E-2</v>
      </c>
      <c r="BZ6" s="19">
        <f t="shared" si="41"/>
        <v>1.1807081144215026E-3</v>
      </c>
      <c r="CA6" s="19">
        <f t="shared" si="41"/>
        <v>-1.0426817465112315E-2</v>
      </c>
      <c r="CB6" s="19">
        <f t="shared" si="42"/>
        <v>-7.3307469667742708E-3</v>
      </c>
      <c r="CC6" s="19">
        <f t="shared" si="42"/>
        <v>3.0065669373602333E-4</v>
      </c>
      <c r="CD6" s="19">
        <f t="shared" si="42"/>
        <v>1.1320356759917161E-2</v>
      </c>
      <c r="CE6" s="65"/>
      <c r="CG6" s="20">
        <f t="shared" si="47"/>
        <v>2.6469246743313097</v>
      </c>
      <c r="CH6" s="20">
        <f>TEPA!AR17</f>
        <v>3.400277467325751</v>
      </c>
      <c r="CI6" s="20">
        <f>TEPA!AS17</f>
        <v>2.8914749931195027</v>
      </c>
      <c r="CJ6" s="20">
        <f>TEPA!AT17</f>
        <v>2.8601961370036033</v>
      </c>
      <c r="CK6" s="20">
        <f>TEPA!AU17</f>
        <v>2.8131622311217681</v>
      </c>
      <c r="CL6" s="20">
        <f>TEPA!AV17</f>
        <v>2.8259050746172973</v>
      </c>
      <c r="CM6" s="20">
        <f>TEPA!AW17</f>
        <v>2.6294515679777168</v>
      </c>
      <c r="CN6" s="20">
        <f>TEPA!AX17</f>
        <v>2.6296539460865165</v>
      </c>
      <c r="CO6" s="20">
        <f>TEPA!AY17</f>
        <v>2.6305343327243342</v>
      </c>
      <c r="CP6" s="20">
        <f>TEPA!AZ17</f>
        <v>2.6209649458944133</v>
      </c>
      <c r="CQ6" s="20">
        <f>TEPA!BA17</f>
        <v>2.5775049806002097</v>
      </c>
      <c r="CR6" s="20">
        <f>TEPA!BB17</f>
        <v>2.6593040126548182</v>
      </c>
      <c r="CS6" s="20">
        <f>TEPA!BC17</f>
        <v>2.6579615336414069</v>
      </c>
      <c r="CT6" s="20">
        <f>TEPA!BD17</f>
        <v>2.6579615336414069</v>
      </c>
      <c r="CU6" s="20">
        <f>TEPA!BE17</f>
        <v>2.6598835375594931</v>
      </c>
      <c r="CV6" s="20">
        <f>TEPA!BF17</f>
        <v>2.658599115916461</v>
      </c>
      <c r="CW6" s="20">
        <f>TEPA!BG17</f>
        <v>2.574916804528149</v>
      </c>
      <c r="CX6" s="20">
        <f>TEPA!BH17</f>
        <v>2.5857956083991684</v>
      </c>
      <c r="CY6" s="20">
        <f>TEPA!BI17</f>
        <v>2.5847422019174018</v>
      </c>
      <c r="CZ6" s="20">
        <f>TEPA!BJ17</f>
        <v>2.6281105008358114</v>
      </c>
      <c r="DA6" s="20">
        <f>TEPA!BK17</f>
        <v>2.6279994764970991</v>
      </c>
      <c r="DB6" s="20">
        <f>TEPA!BL17</f>
        <v>2.6176578906024779</v>
      </c>
      <c r="DC6" s="20">
        <f>TEPA!BM17</f>
        <v>2.6438203835540088</v>
      </c>
      <c r="DD6" s="20">
        <f>TEPA!BN17</f>
        <v>2.6439709949747185</v>
      </c>
      <c r="DE6" s="20">
        <f>TEPA!BO17</f>
        <v>2.6440840485889292</v>
      </c>
      <c r="DF6" s="20">
        <f>TEPA!BP17</f>
        <v>2.6440840485889292</v>
      </c>
      <c r="DG6" s="20">
        <f>TEPA!BQ17</f>
        <v>2.664467885213031</v>
      </c>
      <c r="DH6" s="20">
        <f>TEPA!BR17</f>
        <v>2.6642051050126616</v>
      </c>
      <c r="DI6" s="20">
        <f>TEPA!BS17</f>
        <v>2.6373749382764866</v>
      </c>
      <c r="DJ6" s="20">
        <f>TEPA!BT17</f>
        <v>2.6431910605170978</v>
      </c>
      <c r="DK6" s="20">
        <f>TEPA!BU17</f>
        <v>2.6429108809548989</v>
      </c>
      <c r="DL6" s="20">
        <f>TEPA!BV17</f>
        <v>2.6354265433047139</v>
      </c>
      <c r="DM6" s="20">
        <f>TEPA!BW17</f>
        <v>2.6489165895556592</v>
      </c>
      <c r="DN6" s="20">
        <f>TEPA!BX17</f>
        <v>2.6485591931075287</v>
      </c>
      <c r="DO6" s="20">
        <f>TEPA!BY17</f>
        <v>2.654654526434661</v>
      </c>
      <c r="DP6" s="20">
        <f>TEPA!BZ17</f>
        <v>2.6548737581069126</v>
      </c>
      <c r="DQ6" s="20">
        <f>TEPA!CA17</f>
        <v>2.6548371974863101</v>
      </c>
      <c r="DR6" s="20">
        <f>TEPA!CB17</f>
        <v>2.6552398494357661</v>
      </c>
      <c r="DS6" s="20">
        <f>TEPA!CC17</f>
        <v>2.6552398494357661</v>
      </c>
      <c r="DT6" s="20">
        <f>TEPA!CD17</f>
        <v>2.6396573323342984</v>
      </c>
      <c r="DU6" s="20">
        <f>TEPA!CE17</f>
        <v>2.6394483376853031</v>
      </c>
      <c r="DV6" s="20">
        <f>TEPA!CF17</f>
        <v>2.6377184296190155</v>
      </c>
      <c r="DW6" s="20">
        <f>TEPA!CG17</f>
        <v>2.6372720515184378</v>
      </c>
      <c r="DX6" s="20">
        <f>TEPA!CH17</f>
        <v>2.7319887416260373</v>
      </c>
      <c r="DY6" s="20">
        <f>TEPA!CI17</f>
        <v>2.731336029116485</v>
      </c>
      <c r="DZ6" s="20">
        <f>TEPA!CJ17</f>
        <v>2.7306180613801163</v>
      </c>
      <c r="EA6" s="20">
        <f>TEPA!CK17</f>
        <v>2.7420518423755298</v>
      </c>
      <c r="EB6" s="20">
        <f>TEPA!CL17</f>
        <v>2.7417677038949044</v>
      </c>
      <c r="EC6" s="20">
        <f>TEPA!CM17</f>
        <v>2.7423009109746985</v>
      </c>
      <c r="ED6" s="20">
        <f>TEPA!CN17</f>
        <v>2.7261108050973002</v>
      </c>
      <c r="EE6" s="20">
        <f>TEPA!CO17</f>
        <v>2.7261108050973002</v>
      </c>
      <c r="EF6" s="20">
        <f>TEPA!CP17</f>
        <v>2.7261108050973002</v>
      </c>
      <c r="EG6" s="20">
        <f>TEPA!CQ17</f>
        <v>2.5779293331638158</v>
      </c>
      <c r="EH6" s="20">
        <f>TEPA!CR17</f>
        <v>2.590354429610036</v>
      </c>
      <c r="EI6" s="20">
        <f>TEPA!CS17</f>
        <v>2.5900056305771972</v>
      </c>
      <c r="EJ6" s="20">
        <f>TEPA!CT17</f>
        <v>2.6009603955413292</v>
      </c>
      <c r="EK6" s="20">
        <f>TEPA!CU17</f>
        <v>2.6008880693981995</v>
      </c>
      <c r="EL6" s="20">
        <f>TEPA!CV17</f>
        <v>2.6842420059667367</v>
      </c>
      <c r="EM6" s="20">
        <f>TEPA!CW17</f>
        <v>2.6678722009844478</v>
      </c>
      <c r="EN6" s="20">
        <f>TEPA!CX17</f>
        <v>2.7409538302277037</v>
      </c>
      <c r="EO6" s="20">
        <f>TEPA!CY17</f>
        <v>2.7508957775850149</v>
      </c>
      <c r="EP6" s="20">
        <f>TEPA!CZ17</f>
        <v>2.7508594015161294</v>
      </c>
      <c r="EQ6" s="20">
        <f>TEPA!DA17</f>
        <v>2.7301670642798541</v>
      </c>
      <c r="ER6" s="20">
        <f>TEPA!DB17</f>
        <v>2.7511142161171613</v>
      </c>
      <c r="ES6" s="20">
        <f>TEPA!DC17</f>
        <v>2.7267506832297821</v>
      </c>
      <c r="ET6" s="20">
        <f>TEPA!DD17</f>
        <v>2.7267506832297821</v>
      </c>
      <c r="EU6" s="20">
        <f>TEPA!DE17</f>
        <v>2.7118839287373397</v>
      </c>
      <c r="EV6" s="20">
        <f>TEPA!DF17</f>
        <v>2.711629181784899</v>
      </c>
      <c r="EW6" s="20">
        <f>TEPA!DG17</f>
        <v>2.7106466221522401</v>
      </c>
      <c r="EX6" s="20">
        <f>TEPA!DH17</f>
        <v>2.71568169621434</v>
      </c>
      <c r="EY6" s="20">
        <f>TEPA!DI17</f>
        <v>2.71568169621434</v>
      </c>
      <c r="EZ6" s="20">
        <f>TEPA!DJ17</f>
        <v>2.7156495602256396</v>
      </c>
      <c r="FA6" s="20">
        <f>TEPA!DK17</f>
        <v>2.7155210926759472</v>
      </c>
      <c r="FB6" s="20">
        <f>TEPA!DL17</f>
        <v>2.7250805912528819</v>
      </c>
      <c r="FC6" s="20">
        <f>TEPA!DM17</f>
        <v>2.691681016875862</v>
      </c>
      <c r="FD6" s="20">
        <f>TEPA!DN17</f>
        <v>2.6905003087614405</v>
      </c>
      <c r="FE6" s="20">
        <f>TEPA!DO17</f>
        <v>2.7009271262265528</v>
      </c>
      <c r="FF6" s="20">
        <f>TEPA!DP17</f>
        <v>2.7082578731933271</v>
      </c>
      <c r="FG6" s="20">
        <f>TEPA!DQ17</f>
        <v>2.7079572164995911</v>
      </c>
      <c r="FH6" s="20">
        <f>TEPA!DR17</f>
        <v>2.6966368597396739</v>
      </c>
    </row>
    <row r="7" spans="1:164">
      <c r="A7" s="8" t="s">
        <v>207</v>
      </c>
      <c r="B7" s="263" t="s">
        <v>208</v>
      </c>
      <c r="C7" s="19">
        <f t="shared" si="48"/>
        <v>-0.79716262416998784</v>
      </c>
      <c r="D7" s="19">
        <f t="shared" si="49"/>
        <v>0.32822662372520339</v>
      </c>
      <c r="E7" s="19">
        <f t="shared" si="50"/>
        <v>-0.17120116446749689</v>
      </c>
      <c r="F7" s="19">
        <f t="shared" si="51"/>
        <v>0.16480383157894707</v>
      </c>
      <c r="G7" s="19">
        <f t="shared" si="52"/>
        <v>-0.17999999999999972</v>
      </c>
      <c r="H7" s="19">
        <f t="shared" si="53"/>
        <v>5.2000000000000046E-2</v>
      </c>
      <c r="I7" s="19">
        <f t="shared" si="54"/>
        <v>0</v>
      </c>
      <c r="J7" s="19">
        <f t="shared" si="54"/>
        <v>0.55799999999999983</v>
      </c>
      <c r="K7" s="19">
        <f t="shared" si="44"/>
        <v>8.9999999999999858E-2</v>
      </c>
      <c r="L7" s="19">
        <f t="shared" si="1"/>
        <v>0</v>
      </c>
      <c r="M7" s="19">
        <f t="shared" si="2"/>
        <v>0</v>
      </c>
      <c r="N7" s="19">
        <f t="shared" si="3"/>
        <v>0</v>
      </c>
      <c r="O7" s="19">
        <f t="shared" si="4"/>
        <v>0</v>
      </c>
      <c r="P7" s="19">
        <f t="shared" si="5"/>
        <v>0</v>
      </c>
      <c r="Q7" s="19">
        <f t="shared" si="5"/>
        <v>0</v>
      </c>
      <c r="R7" s="19">
        <f t="shared" si="6"/>
        <v>0</v>
      </c>
      <c r="S7" s="19">
        <f t="shared" si="7"/>
        <v>0</v>
      </c>
      <c r="T7" s="19">
        <f t="shared" si="8"/>
        <v>0</v>
      </c>
      <c r="U7" s="19">
        <f t="shared" si="8"/>
        <v>0</v>
      </c>
      <c r="V7" s="19">
        <f t="shared" si="8"/>
        <v>0</v>
      </c>
      <c r="W7" s="19">
        <f t="shared" si="8"/>
        <v>5.3999999999999826E-2</v>
      </c>
      <c r="X7" s="19">
        <f t="shared" si="55"/>
        <v>0</v>
      </c>
      <c r="Y7" s="19">
        <f t="shared" si="55"/>
        <v>0</v>
      </c>
      <c r="Z7" s="19">
        <f t="shared" si="9"/>
        <v>0</v>
      </c>
      <c r="AA7" s="19">
        <f t="shared" si="10"/>
        <v>0</v>
      </c>
      <c r="AB7" s="19">
        <f t="shared" si="10"/>
        <v>0</v>
      </c>
      <c r="AC7" s="19">
        <f t="shared" si="10"/>
        <v>-1.7999999999999794E-2</v>
      </c>
      <c r="AD7" s="19">
        <f t="shared" si="10"/>
        <v>0</v>
      </c>
      <c r="AE7" s="19">
        <f t="shared" si="11"/>
        <v>0.48600000000000021</v>
      </c>
      <c r="AF7" s="19">
        <f t="shared" si="11"/>
        <v>0</v>
      </c>
      <c r="AG7" s="19">
        <f t="shared" si="12"/>
        <v>-0.53400000000000025</v>
      </c>
      <c r="AH7" s="19">
        <f t="shared" si="13"/>
        <v>0</v>
      </c>
      <c r="AI7" s="19">
        <f t="shared" si="14"/>
        <v>0</v>
      </c>
      <c r="AJ7" s="19">
        <f t="shared" si="15"/>
        <v>0.54</v>
      </c>
      <c r="AK7" s="19">
        <f t="shared" si="16"/>
        <v>0</v>
      </c>
      <c r="AL7" s="19">
        <f t="shared" si="16"/>
        <v>0</v>
      </c>
      <c r="AM7" s="19">
        <f t="shared" si="17"/>
        <v>-0.88200000000000012</v>
      </c>
      <c r="AN7" s="19">
        <f t="shared" si="18"/>
        <v>0</v>
      </c>
      <c r="AO7" s="19">
        <f t="shared" si="19"/>
        <v>0</v>
      </c>
      <c r="AP7" s="19">
        <f t="shared" si="20"/>
        <v>0</v>
      </c>
      <c r="AQ7" s="19">
        <f t="shared" si="20"/>
        <v>0</v>
      </c>
      <c r="AR7" s="19">
        <f t="shared" si="20"/>
        <v>0</v>
      </c>
      <c r="AS7" s="19">
        <f t="shared" si="21"/>
        <v>7.2000000000000064E-2</v>
      </c>
      <c r="AT7" s="19">
        <f t="shared" si="22"/>
        <v>0</v>
      </c>
      <c r="AU7" s="60" t="s">
        <v>289</v>
      </c>
      <c r="AV7" s="19">
        <f t="shared" si="23"/>
        <v>0</v>
      </c>
      <c r="AW7" s="19">
        <f t="shared" si="24"/>
        <v>0</v>
      </c>
      <c r="AX7" s="19">
        <f t="shared" si="25"/>
        <v>0</v>
      </c>
      <c r="AY7" s="19">
        <f t="shared" si="26"/>
        <v>0</v>
      </c>
      <c r="AZ7" s="19">
        <f t="shared" si="27"/>
        <v>0</v>
      </c>
      <c r="BA7" s="19">
        <f t="shared" si="28"/>
        <v>0</v>
      </c>
      <c r="BB7" s="19">
        <f t="shared" si="29"/>
        <v>0</v>
      </c>
      <c r="BC7" s="19">
        <f t="shared" si="30"/>
        <v>0</v>
      </c>
      <c r="BD7" s="19">
        <f t="shared" si="31"/>
        <v>0</v>
      </c>
      <c r="BE7" s="19">
        <f t="shared" si="32"/>
        <v>0</v>
      </c>
      <c r="BF7" s="19">
        <f t="shared" si="33"/>
        <v>0</v>
      </c>
      <c r="BG7" s="19">
        <f t="shared" si="33"/>
        <v>0</v>
      </c>
      <c r="BH7" s="19">
        <f t="shared" si="34"/>
        <v>0.14400000000000013</v>
      </c>
      <c r="BI7" s="19">
        <f t="shared" si="34"/>
        <v>0</v>
      </c>
      <c r="BJ7" s="19">
        <f t="shared" si="35"/>
        <v>0</v>
      </c>
      <c r="BK7" s="19">
        <f t="shared" si="36"/>
        <v>0</v>
      </c>
      <c r="BL7" s="19">
        <f t="shared" si="45"/>
        <v>0</v>
      </c>
      <c r="BM7" s="19">
        <f t="shared" si="45"/>
        <v>0</v>
      </c>
      <c r="BN7" s="19">
        <f t="shared" si="45"/>
        <v>5.400000000000027E-2</v>
      </c>
      <c r="BO7" s="19">
        <f t="shared" si="45"/>
        <v>-0.23400000000000043</v>
      </c>
      <c r="BP7" s="19">
        <f t="shared" si="37"/>
        <v>0</v>
      </c>
      <c r="BQ7" s="19">
        <f t="shared" si="37"/>
        <v>0</v>
      </c>
      <c r="BR7" s="19">
        <f t="shared" si="37"/>
        <v>0</v>
      </c>
      <c r="BS7" s="19">
        <f t="shared" si="38"/>
        <v>0</v>
      </c>
      <c r="BT7" s="19">
        <f t="shared" si="46"/>
        <v>0</v>
      </c>
      <c r="BU7" s="19">
        <f t="shared" si="39"/>
        <v>0.12600000000000033</v>
      </c>
      <c r="BV7" s="19">
        <f t="shared" si="39"/>
        <v>0</v>
      </c>
      <c r="BW7" s="19">
        <f t="shared" si="40"/>
        <v>0</v>
      </c>
      <c r="BX7" s="19">
        <f t="shared" si="41"/>
        <v>0.14399999999999968</v>
      </c>
      <c r="BY7" s="19">
        <f t="shared" si="41"/>
        <v>0</v>
      </c>
      <c r="BZ7" s="19">
        <f t="shared" si="41"/>
        <v>0</v>
      </c>
      <c r="CA7" s="19">
        <f t="shared" si="41"/>
        <v>0</v>
      </c>
      <c r="CB7" s="19">
        <f t="shared" si="42"/>
        <v>-0.32399999999999984</v>
      </c>
      <c r="CC7" s="19">
        <f t="shared" si="42"/>
        <v>0</v>
      </c>
      <c r="CD7" s="19">
        <f t="shared" si="42"/>
        <v>-7.2000000000000064E-2</v>
      </c>
      <c r="CE7" s="65"/>
      <c r="CG7" s="20">
        <f t="shared" si="47"/>
        <v>2.880666666666666</v>
      </c>
      <c r="CH7" s="20">
        <f>'CHROMIC ACID FLAKES'!AR17</f>
        <v>3.6778292908366539</v>
      </c>
      <c r="CI7" s="20">
        <f>'CHROMIC ACID FLAKES'!AS17</f>
        <v>3.3496026671114505</v>
      </c>
      <c r="CJ7" s="20">
        <f>'CHROMIC ACID FLAKES'!AT17</f>
        <v>3.5208038315789474</v>
      </c>
      <c r="CK7" s="20">
        <f>'CHROMIC ACID FLAKES'!AU17</f>
        <v>3.3560000000000003</v>
      </c>
      <c r="CL7" s="20">
        <f>'CHROMIC ACID FLAKES'!AV17</f>
        <v>3.536</v>
      </c>
      <c r="CM7" s="20">
        <f>'CHROMIC ACID FLAKES'!AW17</f>
        <v>3.484</v>
      </c>
      <c r="CN7" s="20">
        <f>'CHROMIC ACID FLAKES'!AX17</f>
        <v>3.484</v>
      </c>
      <c r="CO7" s="20">
        <f>'CHROMIC ACID FLAKES'!AY17</f>
        <v>2.9260000000000002</v>
      </c>
      <c r="CP7" s="20">
        <f>'CHROMIC ACID FLAKES'!AZ17</f>
        <v>2.8360000000000003</v>
      </c>
      <c r="CQ7" s="20">
        <f>'CHROMIC ACID FLAKES'!BA17</f>
        <v>2.8360000000000003</v>
      </c>
      <c r="CR7" s="20">
        <f>'CHROMIC ACID FLAKES'!BB17</f>
        <v>2.8360000000000003</v>
      </c>
      <c r="CS7" s="20">
        <f>'CHROMIC ACID FLAKES'!BC17</f>
        <v>2.8360000000000003</v>
      </c>
      <c r="CT7" s="20">
        <f>'CHROMIC ACID FLAKES'!BD17</f>
        <v>2.8360000000000003</v>
      </c>
      <c r="CU7" s="20">
        <f>'CHROMIC ACID FLAKES'!BE17</f>
        <v>2.8360000000000003</v>
      </c>
      <c r="CV7" s="20">
        <f>'CHROMIC ACID FLAKES'!BF17</f>
        <v>2.8360000000000003</v>
      </c>
      <c r="CW7" s="20">
        <f>'CHROMIC ACID FLAKES'!BG17</f>
        <v>2.8360000000000003</v>
      </c>
      <c r="CX7" s="20">
        <f>'CHROMIC ACID FLAKES'!BH17</f>
        <v>2.8360000000000003</v>
      </c>
      <c r="CY7" s="20">
        <f>'CHROMIC ACID FLAKES'!BI17</f>
        <v>2.8360000000000003</v>
      </c>
      <c r="CZ7" s="20">
        <f>'CHROMIC ACID FLAKES'!BJ17</f>
        <v>2.8360000000000003</v>
      </c>
      <c r="DA7" s="20">
        <f>'CHROMIC ACID FLAKES'!BK17</f>
        <v>2.8360000000000003</v>
      </c>
      <c r="DB7" s="20">
        <f>'CHROMIC ACID FLAKES'!BL17</f>
        <v>2.7820000000000005</v>
      </c>
      <c r="DC7" s="20">
        <f>'CHROMIC ACID FLAKES'!BM17</f>
        <v>2.7820000000000005</v>
      </c>
      <c r="DD7" s="20">
        <f>'CHROMIC ACID FLAKES'!BN17</f>
        <v>2.7820000000000005</v>
      </c>
      <c r="DE7" s="20">
        <f>'CHROMIC ACID FLAKES'!BO17</f>
        <v>2.7820000000000005</v>
      </c>
      <c r="DF7" s="20">
        <f>'CHROMIC ACID FLAKES'!BP17</f>
        <v>2.7820000000000005</v>
      </c>
      <c r="DG7" s="20">
        <f>'CHROMIC ACID FLAKES'!BQ17</f>
        <v>2.7820000000000005</v>
      </c>
      <c r="DH7" s="20">
        <f>'CHROMIC ACID FLAKES'!BR17</f>
        <v>2.8000000000000003</v>
      </c>
      <c r="DI7" s="20">
        <f>'CHROMIC ACID FLAKES'!BS17</f>
        <v>2.8000000000000003</v>
      </c>
      <c r="DJ7" s="20">
        <f>'CHROMIC ACID FLAKES'!BT17</f>
        <v>2.3140000000000001</v>
      </c>
      <c r="DK7" s="20">
        <f>'CHROMIC ACID FLAKES'!BU17</f>
        <v>2.3140000000000001</v>
      </c>
      <c r="DL7" s="20">
        <f>'CHROMIC ACID FLAKES'!BV17</f>
        <v>2.8480000000000003</v>
      </c>
      <c r="DM7" s="20">
        <f>'CHROMIC ACID FLAKES'!BW17</f>
        <v>2.8480000000000003</v>
      </c>
      <c r="DN7" s="20">
        <f>'CHROMIC ACID FLAKES'!BX17</f>
        <v>2.8480000000000003</v>
      </c>
      <c r="DO7" s="20">
        <f>'CHROMIC ACID FLAKES'!BY17</f>
        <v>2.3080000000000003</v>
      </c>
      <c r="DP7" s="20">
        <f>'CHROMIC ACID FLAKES'!BZ17</f>
        <v>2.3080000000000003</v>
      </c>
      <c r="DQ7" s="20">
        <f>'CHROMIC ACID FLAKES'!CA17</f>
        <v>2.3080000000000003</v>
      </c>
      <c r="DR7" s="20">
        <f>'CHROMIC ACID FLAKES'!CB17</f>
        <v>3.1900000000000004</v>
      </c>
      <c r="DS7" s="20">
        <f>'CHROMIC ACID FLAKES'!CC17</f>
        <v>3.1900000000000004</v>
      </c>
      <c r="DT7" s="20">
        <f>'CHROMIC ACID FLAKES'!CD17</f>
        <v>3.1900000000000004</v>
      </c>
      <c r="DU7" s="20">
        <f>'CHROMIC ACID FLAKES'!CE17</f>
        <v>3.1900000000000004</v>
      </c>
      <c r="DV7" s="20">
        <f>'CHROMIC ACID FLAKES'!CF17</f>
        <v>3.1900000000000004</v>
      </c>
      <c r="DW7" s="20">
        <f>'CHROMIC ACID FLAKES'!CG17</f>
        <v>3.1900000000000004</v>
      </c>
      <c r="DX7" s="20">
        <f>'CHROMIC ACID FLAKES'!CH17</f>
        <v>3.1180000000000003</v>
      </c>
      <c r="DY7" s="20">
        <f>'CHROMIC ACID FLAKES'!CI17</f>
        <v>3.1180000000000003</v>
      </c>
      <c r="DZ7" s="20">
        <f>'CHROMIC ACID FLAKES'!CJ17</f>
        <v>3.1180000000000003</v>
      </c>
      <c r="EA7" s="20">
        <f>'CHROMIC ACID FLAKES'!CK17</f>
        <v>3.1180000000000003</v>
      </c>
      <c r="EB7" s="20">
        <f>'CHROMIC ACID FLAKES'!CL17</f>
        <v>3.1180000000000003</v>
      </c>
      <c r="EC7" s="20">
        <f>'CHROMIC ACID FLAKES'!CM17</f>
        <v>3.1180000000000003</v>
      </c>
      <c r="ED7" s="20">
        <f>'CHROMIC ACID FLAKES'!CN17</f>
        <v>3.1180000000000003</v>
      </c>
      <c r="EE7" s="20">
        <f>'CHROMIC ACID FLAKES'!CO17</f>
        <v>3.1180000000000003</v>
      </c>
      <c r="EF7" s="20">
        <f>'CHROMIC ACID FLAKES'!CP17</f>
        <v>3.1180000000000003</v>
      </c>
      <c r="EG7" s="20">
        <f>'CHROMIC ACID FLAKES'!CQ17</f>
        <v>3.1180000000000003</v>
      </c>
      <c r="EH7" s="20">
        <f>'CHROMIC ACID FLAKES'!CR17</f>
        <v>3.1180000000000003</v>
      </c>
      <c r="EI7" s="20">
        <f>'CHROMIC ACID FLAKES'!CS17</f>
        <v>3.1180000000000003</v>
      </c>
      <c r="EJ7" s="20">
        <f>'CHROMIC ACID FLAKES'!CT17</f>
        <v>3.1180000000000003</v>
      </c>
      <c r="EK7" s="20">
        <f>'CHROMIC ACID FLAKES'!CU17</f>
        <v>3.1180000000000003</v>
      </c>
      <c r="EL7" s="20">
        <f>'CHROMIC ACID FLAKES'!CV17</f>
        <v>2.9740000000000002</v>
      </c>
      <c r="EM7" s="20">
        <f>'CHROMIC ACID FLAKES'!CW17</f>
        <v>2.9740000000000002</v>
      </c>
      <c r="EN7" s="20">
        <f>'CHROMIC ACID FLAKES'!CX17</f>
        <v>2.9740000000000002</v>
      </c>
      <c r="EO7" s="20">
        <f>'CHROMIC ACID FLAKES'!CY17</f>
        <v>2.9740000000000002</v>
      </c>
      <c r="EP7" s="20">
        <f>'CHROMIC ACID FLAKES'!CZ17</f>
        <v>2.9740000000000002</v>
      </c>
      <c r="EQ7" s="20">
        <f>'CHROMIC ACID FLAKES'!DA17</f>
        <v>2.9740000000000002</v>
      </c>
      <c r="ER7" s="20">
        <f>'CHROMIC ACID FLAKES'!DB17</f>
        <v>2.92</v>
      </c>
      <c r="ES7" s="20">
        <f>'CHROMIC ACID FLAKES'!DC17</f>
        <v>3.1540000000000004</v>
      </c>
      <c r="ET7" s="20">
        <f>'CHROMIC ACID FLAKES'!DD17</f>
        <v>3.1540000000000004</v>
      </c>
      <c r="EU7" s="20">
        <f>'CHROMIC ACID FLAKES'!DE17</f>
        <v>3.1540000000000004</v>
      </c>
      <c r="EV7" s="20">
        <f>'CHROMIC ACID FLAKES'!DF17</f>
        <v>3.1540000000000004</v>
      </c>
      <c r="EW7" s="20">
        <f>'CHROMIC ACID FLAKES'!DG17</f>
        <v>3.1540000000000004</v>
      </c>
      <c r="EX7" s="20">
        <f>'CHROMIC ACID FLAKES'!DH17</f>
        <v>3.1540000000000004</v>
      </c>
      <c r="EY7" s="20">
        <f>'CHROMIC ACID FLAKES'!DI17</f>
        <v>3.028</v>
      </c>
      <c r="EZ7" s="20">
        <f>'CHROMIC ACID FLAKES'!DJ17</f>
        <v>3.028</v>
      </c>
      <c r="FA7" s="20">
        <f>'CHROMIC ACID FLAKES'!DK17</f>
        <v>3.028</v>
      </c>
      <c r="FB7" s="20">
        <f>'CHROMIC ACID FLAKES'!DL17</f>
        <v>2.8840000000000003</v>
      </c>
      <c r="FC7" s="20">
        <f>'CHROMIC ACID FLAKES'!DM17</f>
        <v>2.8840000000000003</v>
      </c>
      <c r="FD7" s="20">
        <f>'CHROMIC ACID FLAKES'!DN17</f>
        <v>2.8840000000000003</v>
      </c>
      <c r="FE7" s="20">
        <f>'CHROMIC ACID FLAKES'!DO17</f>
        <v>2.8840000000000003</v>
      </c>
      <c r="FF7" s="20">
        <f>'CHROMIC ACID FLAKES'!DP17</f>
        <v>3.2080000000000002</v>
      </c>
      <c r="FG7" s="20">
        <f>'CHROMIC ACID FLAKES'!DQ17</f>
        <v>3.2080000000000002</v>
      </c>
      <c r="FH7" s="20">
        <f>'CHROMIC ACID FLAKES'!DR17</f>
        <v>3.2800000000000002</v>
      </c>
    </row>
    <row r="8" spans="1:164">
      <c r="A8" s="8" t="s">
        <v>207</v>
      </c>
      <c r="B8" s="263" t="s">
        <v>209</v>
      </c>
      <c r="C8" s="19">
        <f t="shared" si="48"/>
        <v>-0.24827948717948711</v>
      </c>
      <c r="D8" s="19">
        <f t="shared" si="49"/>
        <v>3.8599999999999746E-2</v>
      </c>
      <c r="E8" s="19">
        <f t="shared" si="50"/>
        <v>7.6000000000000512E-3</v>
      </c>
      <c r="F8" s="19">
        <f t="shared" si="51"/>
        <v>3.2160000000000188E-2</v>
      </c>
      <c r="G8" s="19">
        <f t="shared" si="52"/>
        <v>0.1151800000000005</v>
      </c>
      <c r="H8" s="19">
        <f t="shared" si="53"/>
        <v>8.7419999999998943E-2</v>
      </c>
      <c r="I8" s="19">
        <f t="shared" si="54"/>
        <v>4.5480000000000409E-2</v>
      </c>
      <c r="J8" s="19">
        <f t="shared" si="54"/>
        <v>-0.1120000000000001</v>
      </c>
      <c r="K8" s="19">
        <f t="shared" si="44"/>
        <v>6.2160000000000437E-2</v>
      </c>
      <c r="L8" s="19">
        <f t="shared" si="1"/>
        <v>-4.5359999999999623E-2</v>
      </c>
      <c r="M8" s="19">
        <f t="shared" si="2"/>
        <v>4.7039999999999083E-2</v>
      </c>
      <c r="N8" s="19">
        <f t="shared" si="3"/>
        <v>8.3160000000000345E-2</v>
      </c>
      <c r="O8" s="19">
        <f t="shared" si="4"/>
        <v>-6.5240000000000187E-2</v>
      </c>
      <c r="P8" s="19">
        <f t="shared" si="5"/>
        <v>0</v>
      </c>
      <c r="Q8" s="19">
        <f t="shared" si="5"/>
        <v>-3.5840000000000316E-2</v>
      </c>
      <c r="R8" s="19">
        <f t="shared" si="6"/>
        <v>5.9360000000000746E-2</v>
      </c>
      <c r="S8" s="19">
        <f t="shared" si="7"/>
        <v>2.4639999999999773E-2</v>
      </c>
      <c r="T8" s="19">
        <f t="shared" si="8"/>
        <v>2.1279999999999966E-2</v>
      </c>
      <c r="U8" s="19">
        <f t="shared" si="8"/>
        <v>1.8200000000000216E-2</v>
      </c>
      <c r="V8" s="19">
        <f t="shared" si="8"/>
        <v>-3.6599999999999966E-2</v>
      </c>
      <c r="W8" s="19">
        <f t="shared" si="8"/>
        <v>-1.6939999999999955E-2</v>
      </c>
      <c r="X8" s="19">
        <f t="shared" si="55"/>
        <v>-1.330000000000009E-2</v>
      </c>
      <c r="Y8" s="19">
        <f t="shared" si="55"/>
        <v>-2.1419999999999995E-2</v>
      </c>
      <c r="Z8" s="19">
        <f t="shared" si="9"/>
        <v>-1.6659999999999897E-2</v>
      </c>
      <c r="AA8" s="19">
        <f t="shared" si="10"/>
        <v>0</v>
      </c>
      <c r="AB8" s="19">
        <f t="shared" si="10"/>
        <v>-4.8859999999999459E-2</v>
      </c>
      <c r="AC8" s="19">
        <f t="shared" si="10"/>
        <v>2.1139999999999937E-2</v>
      </c>
      <c r="AD8" s="19">
        <f t="shared" si="10"/>
        <v>1.1199999999993437E-3</v>
      </c>
      <c r="AE8" s="19">
        <f t="shared" si="11"/>
        <v>-7.4339999999999407E-2</v>
      </c>
      <c r="AF8" s="19">
        <f t="shared" si="11"/>
        <v>1.0219999999999452E-2</v>
      </c>
      <c r="AG8" s="19">
        <f t="shared" si="12"/>
        <v>1.3880000000000337E-2</v>
      </c>
      <c r="AH8" s="19">
        <f t="shared" si="13"/>
        <v>3.1359999999999388E-2</v>
      </c>
      <c r="AI8" s="19">
        <f t="shared" si="14"/>
        <v>0</v>
      </c>
      <c r="AJ8" s="19">
        <f t="shared" si="15"/>
        <v>-3.6679999999999602E-2</v>
      </c>
      <c r="AK8" s="19">
        <f t="shared" si="16"/>
        <v>4.3960000000000221E-2</v>
      </c>
      <c r="AL8" s="19">
        <f t="shared" si="16"/>
        <v>0</v>
      </c>
      <c r="AM8" s="19">
        <f t="shared" si="17"/>
        <v>-3.2760000000000566E-2</v>
      </c>
      <c r="AN8" s="19">
        <f t="shared" si="18"/>
        <v>-8.960000000000079E-3</v>
      </c>
      <c r="AO8" s="19">
        <f t="shared" si="19"/>
        <v>-3.5279999999999312E-2</v>
      </c>
      <c r="AP8" s="19">
        <f t="shared" si="20"/>
        <v>-1.4840000000000408E-2</v>
      </c>
      <c r="AQ8" s="19">
        <f t="shared" si="20"/>
        <v>-7.6999999999999957E-2</v>
      </c>
      <c r="AR8" s="19">
        <f t="shared" si="20"/>
        <v>1.7079999999999984E-2</v>
      </c>
      <c r="AS8" s="19">
        <f t="shared" si="21"/>
        <v>-0.12096000000000018</v>
      </c>
      <c r="AT8" s="19">
        <f t="shared" si="22"/>
        <v>1.6799999999999926E-2</v>
      </c>
      <c r="AU8" s="60" t="s">
        <v>62</v>
      </c>
      <c r="AV8" s="19">
        <f t="shared" si="23"/>
        <v>-5.4039999999999644E-2</v>
      </c>
      <c r="AW8" s="19">
        <f t="shared" si="24"/>
        <v>-0.13944000000000045</v>
      </c>
      <c r="AX8" s="19">
        <f t="shared" si="25"/>
        <v>5.6000000000002714E-3</v>
      </c>
      <c r="AY8" s="19">
        <f t="shared" si="26"/>
        <v>-0.1439199999999996</v>
      </c>
      <c r="AZ8" s="19">
        <f t="shared" si="27"/>
        <v>5.6839999999999336E-2</v>
      </c>
      <c r="BA8" s="19">
        <f t="shared" si="28"/>
        <v>-0.15512000000000015</v>
      </c>
      <c r="BB8" s="19">
        <f t="shared" si="29"/>
        <v>0.14531999999999989</v>
      </c>
      <c r="BC8" s="19">
        <f t="shared" si="30"/>
        <v>8.7080000000000268E-2</v>
      </c>
      <c r="BD8" s="19">
        <f t="shared" si="31"/>
        <v>8.2320000000000171E-2</v>
      </c>
      <c r="BE8" s="19">
        <f t="shared" si="32"/>
        <v>-2.7999999999996916E-3</v>
      </c>
      <c r="BF8" s="19">
        <f t="shared" si="33"/>
        <v>5.8519999999999683E-2</v>
      </c>
      <c r="BG8" s="19">
        <f t="shared" si="33"/>
        <v>-0.1377600000000001</v>
      </c>
      <c r="BH8" s="19">
        <f t="shared" si="34"/>
        <v>7.8680000000000305E-2</v>
      </c>
      <c r="BI8" s="19">
        <f t="shared" si="34"/>
        <v>0.13915999999999951</v>
      </c>
      <c r="BJ8" s="19">
        <f t="shared" si="35"/>
        <v>3.1920000000000393E-2</v>
      </c>
      <c r="BK8" s="19">
        <f t="shared" si="36"/>
        <v>0.10304000000000002</v>
      </c>
      <c r="BL8" s="19">
        <f t="shared" si="45"/>
        <v>-4.6479999999999855E-2</v>
      </c>
      <c r="BM8" s="19">
        <f t="shared" si="45"/>
        <v>-2.4640000000000661E-2</v>
      </c>
      <c r="BN8" s="19">
        <f t="shared" si="45"/>
        <v>-5.5159999999999876E-2</v>
      </c>
      <c r="BO8" s="19">
        <f t="shared" si="45"/>
        <v>3.4159999999999968E-2</v>
      </c>
      <c r="BP8" s="19">
        <f t="shared" si="37"/>
        <v>1.6800000000003479E-3</v>
      </c>
      <c r="BQ8" s="19">
        <f t="shared" si="37"/>
        <v>-7.8960000000000363E-2</v>
      </c>
      <c r="BR8" s="19">
        <f t="shared" si="37"/>
        <v>-0.16603999999999974</v>
      </c>
      <c r="BS8" s="19">
        <f t="shared" si="38"/>
        <v>7.3920000000000208E-2</v>
      </c>
      <c r="BT8" s="19">
        <f t="shared" si="46"/>
        <v>2.8839999999999755E-2</v>
      </c>
      <c r="BU8" s="19">
        <f t="shared" si="39"/>
        <v>2.8559999999999697E-2</v>
      </c>
      <c r="BV8" s="19">
        <f t="shared" si="39"/>
        <v>3.6399999999998656E-3</v>
      </c>
      <c r="BW8" s="19">
        <f t="shared" si="40"/>
        <v>-2.9119999999998925E-2</v>
      </c>
      <c r="BX8" s="19">
        <f t="shared" si="41"/>
        <v>7.083999999999957E-2</v>
      </c>
      <c r="BY8" s="19">
        <f t="shared" si="41"/>
        <v>0.11843999999999966</v>
      </c>
      <c r="BZ8" s="19">
        <f t="shared" si="41"/>
        <v>-1.3999999999999346E-2</v>
      </c>
      <c r="CA8" s="19">
        <f t="shared" si="41"/>
        <v>-1.7360000000000042E-2</v>
      </c>
      <c r="CB8" s="19">
        <f t="shared" si="42"/>
        <v>-2.7440000000000353E-2</v>
      </c>
      <c r="CC8" s="19">
        <f t="shared" si="42"/>
        <v>1.3720000000000176E-2</v>
      </c>
      <c r="CD8" s="19">
        <f t="shared" si="42"/>
        <v>2.1560000000000024E-2</v>
      </c>
      <c r="CE8" s="65"/>
      <c r="CG8" s="20">
        <f t="shared" si="47"/>
        <v>4.6434405128205132</v>
      </c>
      <c r="CH8" s="20">
        <f>'Copper II Nitrate trihydrate'!AR15</f>
        <v>4.8917200000000003</v>
      </c>
      <c r="CI8" s="20">
        <f>'Copper II Nitrate trihydrate'!AS15</f>
        <v>4.8531200000000005</v>
      </c>
      <c r="CJ8" s="20">
        <f>'Copper II Nitrate trihydrate'!AT15</f>
        <v>4.8455200000000005</v>
      </c>
      <c r="CK8" s="20">
        <f>'Copper II Nitrate trihydrate'!AU15</f>
        <v>4.8133600000000003</v>
      </c>
      <c r="CL8" s="20">
        <f>'Copper II Nitrate trihydrate'!AV15</f>
        <v>4.6981799999999998</v>
      </c>
      <c r="CM8" s="20">
        <f>'Copper II Nitrate trihydrate'!AW15</f>
        <v>4.6107600000000009</v>
      </c>
      <c r="CN8" s="20">
        <f>'Copper II Nitrate trihydrate'!AX15</f>
        <v>4.5652800000000004</v>
      </c>
      <c r="CO8" s="20">
        <f>'Copper II Nitrate trihydrate'!AY15</f>
        <v>4.6772800000000005</v>
      </c>
      <c r="CP8" s="20">
        <f>'Copper II Nitrate trihydrate'!AZ15</f>
        <v>4.6151200000000001</v>
      </c>
      <c r="CQ8" s="20">
        <f>'Copper II Nitrate trihydrate'!BA15</f>
        <v>4.6604799999999997</v>
      </c>
      <c r="CR8" s="20">
        <f>'Copper II Nitrate trihydrate'!BB15</f>
        <v>4.6134400000000007</v>
      </c>
      <c r="CS8" s="20">
        <f>'Copper II Nitrate trihydrate'!BC15</f>
        <v>4.5302800000000003</v>
      </c>
      <c r="CT8" s="20">
        <f>'Copper II Nitrate trihydrate'!BD15</f>
        <v>4.5955200000000005</v>
      </c>
      <c r="CU8" s="20">
        <f>'Copper II Nitrate trihydrate'!BE15</f>
        <v>4.5955200000000005</v>
      </c>
      <c r="CV8" s="20">
        <f>'Copper II Nitrate trihydrate'!BF15</f>
        <v>4.6313600000000008</v>
      </c>
      <c r="CW8" s="20">
        <f>'Copper II Nitrate trihydrate'!BG15</f>
        <v>4.5720000000000001</v>
      </c>
      <c r="CX8" s="20">
        <f>'Copper II Nitrate trihydrate'!BH15</f>
        <v>4.5473600000000003</v>
      </c>
      <c r="CY8" s="20">
        <f>'Copper II Nitrate trihydrate'!BI15</f>
        <v>4.5260800000000003</v>
      </c>
      <c r="CZ8" s="20">
        <f>'Copper II Nitrate trihydrate'!BJ15</f>
        <v>4.5078800000000001</v>
      </c>
      <c r="DA8" s="20">
        <f>'Copper II Nitrate trihydrate'!BK15</f>
        <v>4.5444800000000001</v>
      </c>
      <c r="DB8" s="20">
        <f>'Copper II Nitrate trihydrate'!BL15</f>
        <v>4.56142</v>
      </c>
      <c r="DC8" s="20">
        <f>'Copper II Nitrate trihydrate'!BM15</f>
        <v>4.5747200000000001</v>
      </c>
      <c r="DD8" s="20">
        <f>'Copper II Nitrate trihydrate'!BN15</f>
        <v>4.5961400000000001</v>
      </c>
      <c r="DE8" s="20">
        <f>'Copper II Nitrate trihydrate'!BO15</f>
        <v>4.6128</v>
      </c>
      <c r="DF8" s="20">
        <f>'Copper II Nitrate trihydrate'!BP15</f>
        <v>4.6128</v>
      </c>
      <c r="DG8" s="20">
        <f>'Copper II Nitrate trihydrate'!BQ15</f>
        <v>4.6616599999999995</v>
      </c>
      <c r="DH8" s="20">
        <f>'Copper II Nitrate trihydrate'!BR15</f>
        <v>4.6405199999999995</v>
      </c>
      <c r="DI8" s="20">
        <f>'Copper II Nitrate trihydrate'!BS15</f>
        <v>4.6394000000000002</v>
      </c>
      <c r="DJ8" s="20">
        <f>'Copper II Nitrate trihydrate'!BT15</f>
        <v>4.7137399999999996</v>
      </c>
      <c r="DK8" s="20">
        <f>'Copper II Nitrate trihydrate'!BU15</f>
        <v>4.7035200000000001</v>
      </c>
      <c r="DL8" s="20">
        <f>'Copper II Nitrate trihydrate'!BV15</f>
        <v>4.6896399999999998</v>
      </c>
      <c r="DM8" s="20">
        <f>'Copper II Nitrate trihydrate'!BW15</f>
        <v>4.6582800000000004</v>
      </c>
      <c r="DN8" s="20">
        <f>'Copper II Nitrate trihydrate'!BX15</f>
        <v>4.6582800000000004</v>
      </c>
      <c r="DO8" s="20">
        <f>'Copper II Nitrate trihydrate'!BY15</f>
        <v>4.69496</v>
      </c>
      <c r="DP8" s="20">
        <f>'Copper II Nitrate trihydrate'!BZ15</f>
        <v>4.6509999999999998</v>
      </c>
      <c r="DQ8" s="20">
        <f>'Copper II Nitrate trihydrate'!CA15</f>
        <v>4.6509999999999998</v>
      </c>
      <c r="DR8" s="20">
        <f>'Copper II Nitrate trihydrate'!CB15</f>
        <v>4.6837600000000004</v>
      </c>
      <c r="DS8" s="20">
        <f>'Copper II Nitrate trihydrate'!CC15</f>
        <v>4.6927200000000004</v>
      </c>
      <c r="DT8" s="20">
        <f>'Copper II Nitrate trihydrate'!CD15</f>
        <v>4.7279999999999998</v>
      </c>
      <c r="DU8" s="20">
        <f>'Copper II Nitrate trihydrate'!CE15</f>
        <v>4.7428400000000002</v>
      </c>
      <c r="DV8" s="20">
        <f>'Copper II Nitrate trihydrate'!CF15</f>
        <v>4.8198400000000001</v>
      </c>
      <c r="DW8" s="20">
        <f>'Copper II Nitrate trihydrate'!CG15</f>
        <v>4.8027600000000001</v>
      </c>
      <c r="DX8" s="20">
        <f>'Copper II Nitrate trihydrate'!CH15</f>
        <v>4.9237200000000003</v>
      </c>
      <c r="DY8" s="20">
        <f>'Copper II Nitrate trihydrate'!CI15</f>
        <v>4.9069200000000004</v>
      </c>
      <c r="DZ8" s="20">
        <f>'Copper II Nitrate trihydrate'!CJ15</f>
        <v>4.96096</v>
      </c>
      <c r="EA8" s="20">
        <f>'Copper II Nitrate trihydrate'!CK15</f>
        <v>5.1004000000000005</v>
      </c>
      <c r="EB8" s="20">
        <f>'Copper II Nitrate trihydrate'!CL15</f>
        <v>5.0948000000000002</v>
      </c>
      <c r="EC8" s="20">
        <f>'Copper II Nitrate trihydrate'!CM15</f>
        <v>5.2387199999999998</v>
      </c>
      <c r="ED8" s="20">
        <f>'Copper II Nitrate trihydrate'!CN15</f>
        <v>5.1818800000000005</v>
      </c>
      <c r="EE8" s="20">
        <f>'Copper II Nitrate trihydrate'!CO15</f>
        <v>5.3370000000000006</v>
      </c>
      <c r="EF8" s="20">
        <f>'Copper II Nitrate trihydrate'!CP15</f>
        <v>5.1916800000000007</v>
      </c>
      <c r="EG8" s="20">
        <f>'Copper II Nitrate trihydrate'!CQ15</f>
        <v>5.1046000000000005</v>
      </c>
      <c r="EH8" s="20">
        <f>'Copper II Nitrate trihydrate'!CR15</f>
        <v>5.0222800000000003</v>
      </c>
      <c r="EI8" s="20">
        <f>'Copper II Nitrate trihydrate'!CS15</f>
        <v>5.02508</v>
      </c>
      <c r="EJ8" s="20">
        <f>'Copper II Nitrate trihydrate'!CT15</f>
        <v>4.9665600000000003</v>
      </c>
      <c r="EK8" s="20">
        <f>'Copper II Nitrate trihydrate'!CU15</f>
        <v>5.1043200000000004</v>
      </c>
      <c r="EL8" s="20">
        <f>'Copper II Nitrate trihydrate'!CV15</f>
        <v>5.0256400000000001</v>
      </c>
      <c r="EM8" s="20">
        <f>'Copper II Nitrate trihydrate'!CW15</f>
        <v>4.8864800000000006</v>
      </c>
      <c r="EN8" s="20">
        <f>'Copper II Nitrate trihydrate'!CX15</f>
        <v>4.8545600000000002</v>
      </c>
      <c r="EO8" s="20">
        <f>'Copper II Nitrate trihydrate'!CY15</f>
        <v>4.7515200000000002</v>
      </c>
      <c r="EP8" s="20">
        <f>'Copper II Nitrate trihydrate'!CZ15</f>
        <v>4.798</v>
      </c>
      <c r="EQ8" s="20">
        <f>'Copper II Nitrate trihydrate'!DA15</f>
        <v>4.8226400000000007</v>
      </c>
      <c r="ER8" s="20">
        <f>'Copper II Nitrate trihydrate'!DB15</f>
        <v>4.8778000000000006</v>
      </c>
      <c r="ES8" s="20">
        <f>'Copper II Nitrate trihydrate'!DC15</f>
        <v>4.8436400000000006</v>
      </c>
      <c r="ET8" s="20">
        <f>'Copper II Nitrate trihydrate'!DD15</f>
        <v>4.8419600000000003</v>
      </c>
      <c r="EU8" s="20">
        <f>'Copper II Nitrate trihydrate'!DE15</f>
        <v>4.9209200000000006</v>
      </c>
      <c r="EV8" s="20">
        <f>'Copper II Nitrate trihydrate'!DF15</f>
        <v>5.0869600000000004</v>
      </c>
      <c r="EW8" s="20">
        <f>'Copper II Nitrate trihydrate'!DG15</f>
        <v>5.0130400000000002</v>
      </c>
      <c r="EX8" s="20">
        <f>'Copper II Nitrate trihydrate'!DH15</f>
        <v>4.9842000000000004</v>
      </c>
      <c r="EY8" s="20">
        <f>'Copper II Nitrate trihydrate'!DI15</f>
        <v>4.9556400000000007</v>
      </c>
      <c r="EZ8" s="20">
        <f>'Copper II Nitrate trihydrate'!DJ15</f>
        <v>4.9520000000000008</v>
      </c>
      <c r="FA8" s="20">
        <f>'Copper II Nitrate trihydrate'!DK15</f>
        <v>4.9811199999999998</v>
      </c>
      <c r="FB8" s="20">
        <f>'Copper II Nitrate trihydrate'!DL15</f>
        <v>4.9102800000000002</v>
      </c>
      <c r="FC8" s="20">
        <f>'Copper II Nitrate trihydrate'!DM15</f>
        <v>4.7918400000000005</v>
      </c>
      <c r="FD8" s="20">
        <f>'Copper II Nitrate trihydrate'!DN15</f>
        <v>4.8058399999999999</v>
      </c>
      <c r="FE8" s="20">
        <f>'Copper II Nitrate trihydrate'!DO15</f>
        <v>4.8231999999999999</v>
      </c>
      <c r="FF8" s="20">
        <f>'Copper II Nitrate trihydrate'!DP15</f>
        <v>4.8506400000000003</v>
      </c>
      <c r="FG8" s="20">
        <f>'Copper II Nitrate trihydrate'!DQ15</f>
        <v>4.8369200000000001</v>
      </c>
      <c r="FH8" s="20">
        <f>'Copper II Nitrate trihydrate'!DR15</f>
        <v>4.8153600000000001</v>
      </c>
    </row>
    <row r="9" spans="1:164">
      <c r="A9" s="8" t="s">
        <v>203</v>
      </c>
      <c r="B9" s="263" t="s">
        <v>210</v>
      </c>
      <c r="C9" s="19">
        <f t="shared" si="48"/>
        <v>-0.58148911913314594</v>
      </c>
      <c r="D9" s="19">
        <f t="shared" si="49"/>
        <v>0.41098735209180193</v>
      </c>
      <c r="E9" s="19">
        <f t="shared" si="50"/>
        <v>9.8014531903305446E-3</v>
      </c>
      <c r="F9" s="19">
        <f t="shared" si="51"/>
        <v>-1.841297405722031E-3</v>
      </c>
      <c r="G9" s="19">
        <f t="shared" si="52"/>
        <v>-1.4836462006570628E-2</v>
      </c>
      <c r="H9" s="19">
        <f t="shared" si="53"/>
        <v>0.18162621221364006</v>
      </c>
      <c r="I9" s="19">
        <f t="shared" si="54"/>
        <v>-3.6782594832640569E-5</v>
      </c>
      <c r="J9" s="19">
        <f t="shared" si="54"/>
        <v>-1.6001189647774083E-4</v>
      </c>
      <c r="K9" s="19">
        <f t="shared" si="44"/>
        <v>9.2962131929983371E-3</v>
      </c>
      <c r="L9" s="19">
        <f t="shared" si="1"/>
        <v>4.1989065538384107E-2</v>
      </c>
      <c r="M9" s="19">
        <f t="shared" si="2"/>
        <v>-7.5322800848691251E-2</v>
      </c>
      <c r="N9" s="19">
        <f t="shared" si="3"/>
        <v>2.4399803869190606E-4</v>
      </c>
      <c r="O9" s="19">
        <f t="shared" si="4"/>
        <v>0</v>
      </c>
      <c r="P9" s="19">
        <f t="shared" si="5"/>
        <v>-3.4932775982809972E-4</v>
      </c>
      <c r="Q9" s="19">
        <f t="shared" si="5"/>
        <v>8.2692202980481078E-3</v>
      </c>
      <c r="R9" s="19">
        <f t="shared" si="6"/>
        <v>6.8108130870744965E-2</v>
      </c>
      <c r="S9" s="19">
        <f t="shared" si="7"/>
        <v>-1.6779984803878545E-2</v>
      </c>
      <c r="T9" s="19">
        <f t="shared" si="8"/>
        <v>1.9145857248314968E-4</v>
      </c>
      <c r="U9" s="19">
        <f t="shared" si="8"/>
        <v>-7.8822683794559367E-3</v>
      </c>
      <c r="V9" s="19">
        <f t="shared" si="8"/>
        <v>2.0178878493926078E-5</v>
      </c>
      <c r="W9" s="19">
        <f t="shared" si="8"/>
        <v>1.8796023252831695E-3</v>
      </c>
      <c r="X9" s="19">
        <f t="shared" si="55"/>
        <v>-2.8806524935167666E-2</v>
      </c>
      <c r="Y9" s="19">
        <f t="shared" si="55"/>
        <v>-2.7373903718874715E-5</v>
      </c>
      <c r="Z9" s="19">
        <f t="shared" si="9"/>
        <v>-2.0547703061701839E-5</v>
      </c>
      <c r="AA9" s="19">
        <f t="shared" si="10"/>
        <v>0</v>
      </c>
      <c r="AB9" s="19">
        <f t="shared" si="10"/>
        <v>-1.881871887794162E-2</v>
      </c>
      <c r="AC9" s="19">
        <f t="shared" si="10"/>
        <v>7.6605995909191371E-3</v>
      </c>
      <c r="AD9" s="19">
        <f t="shared" si="10"/>
        <v>7.8369807525060509E-3</v>
      </c>
      <c r="AE9" s="19">
        <f t="shared" si="11"/>
        <v>-2.3258974202828853E-3</v>
      </c>
      <c r="AF9" s="19">
        <f t="shared" si="11"/>
        <v>-2.4866897822204415E-3</v>
      </c>
      <c r="AG9" s="19">
        <f t="shared" si="12"/>
        <v>1.360292182827294E-3</v>
      </c>
      <c r="AH9" s="19">
        <f t="shared" si="13"/>
        <v>-2.4518408066058761E-3</v>
      </c>
      <c r="AI9" s="19">
        <f t="shared" si="14"/>
        <v>6.4957464145365407E-5</v>
      </c>
      <c r="AJ9" s="19">
        <f t="shared" si="15"/>
        <v>1.665545246049005E-2</v>
      </c>
      <c r="AK9" s="19">
        <f t="shared" si="16"/>
        <v>-3.9845761099055466E-5</v>
      </c>
      <c r="AL9" s="19">
        <f t="shared" si="16"/>
        <v>6.6449602798002161E-6</v>
      </c>
      <c r="AM9" s="19">
        <f t="shared" si="17"/>
        <v>-7.3182735045751457E-5</v>
      </c>
      <c r="AN9" s="19">
        <f t="shared" si="18"/>
        <v>0</v>
      </c>
      <c r="AO9" s="19">
        <f t="shared" si="19"/>
        <v>8.7532480939653823E-3</v>
      </c>
      <c r="AP9" s="19">
        <f t="shared" si="20"/>
        <v>3.7985163225950913E-5</v>
      </c>
      <c r="AQ9" s="19">
        <f t="shared" si="20"/>
        <v>3.1441398418508015E-4</v>
      </c>
      <c r="AR9" s="19">
        <f t="shared" si="20"/>
        <v>-1.5144547565178801E-2</v>
      </c>
      <c r="AS9" s="19">
        <f t="shared" si="21"/>
        <v>-8.5227568516863084E-2</v>
      </c>
      <c r="AT9" s="19">
        <f t="shared" si="22"/>
        <v>1.1863170341541718E-4</v>
      </c>
      <c r="AU9" s="60" t="s">
        <v>40</v>
      </c>
      <c r="AV9" s="19">
        <f t="shared" si="23"/>
        <v>1.3049196134007346E-4</v>
      </c>
      <c r="AW9" s="19">
        <f t="shared" si="24"/>
        <v>-4.19278824655267E-3</v>
      </c>
      <c r="AX9" s="19">
        <f t="shared" si="25"/>
        <v>5.164269332880167E-5</v>
      </c>
      <c r="AY9" s="19">
        <f t="shared" si="26"/>
        <v>-3.4803952840580799E-3</v>
      </c>
      <c r="AZ9" s="19">
        <f t="shared" si="27"/>
        <v>2.9425816275971961E-3</v>
      </c>
      <c r="BA9" s="19">
        <f t="shared" si="28"/>
        <v>0</v>
      </c>
      <c r="BB9" s="19">
        <f t="shared" si="29"/>
        <v>0</v>
      </c>
      <c r="BC9" s="19">
        <f t="shared" si="30"/>
        <v>0.13061501122100072</v>
      </c>
      <c r="BD9" s="19">
        <f t="shared" si="31"/>
        <v>-2.2582842138678672E-3</v>
      </c>
      <c r="BE9" s="19">
        <f t="shared" si="32"/>
        <v>6.3394868046628972E-5</v>
      </c>
      <c r="BF9" s="19">
        <f t="shared" si="33"/>
        <v>1.1542886899359228E-2</v>
      </c>
      <c r="BG9" s="19">
        <f t="shared" si="33"/>
        <v>1.3145410016512926E-5</v>
      </c>
      <c r="BH9" s="19">
        <f t="shared" si="34"/>
        <v>-7.560540761420631E-2</v>
      </c>
      <c r="BI9" s="19">
        <f t="shared" si="34"/>
        <v>1.0532201744690273E-2</v>
      </c>
      <c r="BJ9" s="19">
        <f t="shared" si="35"/>
        <v>-7.1256663193329128E-2</v>
      </c>
      <c r="BK9" s="19">
        <f t="shared" si="36"/>
        <v>-1.8069672834570838E-3</v>
      </c>
      <c r="BL9" s="19">
        <f t="shared" si="45"/>
        <v>6.6114176644482825E-6</v>
      </c>
      <c r="BM9" s="19">
        <f t="shared" si="45"/>
        <v>1.8874789433647621E-2</v>
      </c>
      <c r="BN9" s="19">
        <f t="shared" si="45"/>
        <v>-1.8921102457732708E-2</v>
      </c>
      <c r="BO9" s="19">
        <f t="shared" si="45"/>
        <v>0.14950363098094233</v>
      </c>
      <c r="BP9" s="19">
        <f t="shared" si="37"/>
        <v>0</v>
      </c>
      <c r="BQ9" s="19">
        <f t="shared" si="37"/>
        <v>2.7020600706837428E-3</v>
      </c>
      <c r="BR9" s="19">
        <f t="shared" si="37"/>
        <v>4.6300728828718718E-5</v>
      </c>
      <c r="BS9" s="19">
        <f t="shared" si="38"/>
        <v>3.9850014291116231E-3</v>
      </c>
      <c r="BT9" s="19">
        <f t="shared" si="46"/>
        <v>0.55908486599526097</v>
      </c>
      <c r="BU9" s="19">
        <f t="shared" si="39"/>
        <v>-0.16156999798373528</v>
      </c>
      <c r="BV9" s="19">
        <f t="shared" si="39"/>
        <v>5.8407752641098654E-6</v>
      </c>
      <c r="BW9" s="19">
        <f t="shared" si="40"/>
        <v>2.3707736605913299E-2</v>
      </c>
      <c r="BX9" s="19">
        <f t="shared" si="41"/>
        <v>-1.4792577343536895E-2</v>
      </c>
      <c r="BY9" s="19">
        <f t="shared" si="41"/>
        <v>4.5179917457557783E-2</v>
      </c>
      <c r="BZ9" s="19">
        <f t="shared" si="41"/>
        <v>1.4834023466054891E-3</v>
      </c>
      <c r="CA9" s="19">
        <f t="shared" si="41"/>
        <v>-1.895093320543717E-3</v>
      </c>
      <c r="CB9" s="19">
        <f t="shared" si="42"/>
        <v>-8.8893362656961017E-3</v>
      </c>
      <c r="CC9" s="19">
        <f t="shared" si="42"/>
        <v>5.4644909051493329E-5</v>
      </c>
      <c r="CD9" s="19">
        <f t="shared" si="42"/>
        <v>1.7227294014240835E-2</v>
      </c>
      <c r="CE9" s="65"/>
      <c r="CG9" s="20">
        <f t="shared" si="47"/>
        <v>2.1672806793650907</v>
      </c>
      <c r="CH9" s="20">
        <f>AEEA!AR14</f>
        <v>2.7487697984982367</v>
      </c>
      <c r="CI9" s="20">
        <f>AEEA!AS14</f>
        <v>2.3377824464064347</v>
      </c>
      <c r="CJ9" s="20">
        <f>AEEA!AT14</f>
        <v>2.3279809932161042</v>
      </c>
      <c r="CK9" s="20">
        <f>AEEA!AU14</f>
        <v>2.3298222906218262</v>
      </c>
      <c r="CL9" s="20">
        <f>AEEA!AV14</f>
        <v>2.3446587526283968</v>
      </c>
      <c r="CM9" s="20">
        <f>AEEA!AW14</f>
        <v>2.1630325404147568</v>
      </c>
      <c r="CN9" s="20">
        <f>AEEA!AX14</f>
        <v>2.1630693230095894</v>
      </c>
      <c r="CO9" s="20">
        <f>AEEA!AY14</f>
        <v>2.1632293349060672</v>
      </c>
      <c r="CP9" s="20">
        <f>AEEA!AZ14</f>
        <v>2.1539331217130688</v>
      </c>
      <c r="CQ9" s="20">
        <f>AEEA!BA14</f>
        <v>2.1119440561746847</v>
      </c>
      <c r="CR9" s="20">
        <f>AEEA!BB14</f>
        <v>2.187266857023376</v>
      </c>
      <c r="CS9" s="20">
        <f>AEEA!BC14</f>
        <v>2.1870228589846841</v>
      </c>
      <c r="CT9" s="20">
        <f>AEEA!BD14</f>
        <v>2.1870228589846841</v>
      </c>
      <c r="CU9" s="20">
        <f>AEEA!BE14</f>
        <v>2.1873721867445122</v>
      </c>
      <c r="CV9" s="20">
        <f>AEEA!BF14</f>
        <v>2.1791029664464641</v>
      </c>
      <c r="CW9" s="20">
        <f>AEEA!BG14</f>
        <v>2.1109948355757191</v>
      </c>
      <c r="CX9" s="20">
        <f>AEEA!BH14</f>
        <v>2.1277748203795976</v>
      </c>
      <c r="CY9" s="20">
        <f>AEEA!BI14</f>
        <v>2.1275833618071145</v>
      </c>
      <c r="CZ9" s="20">
        <f>AEEA!BJ14</f>
        <v>2.1354656301865704</v>
      </c>
      <c r="DA9" s="20">
        <f>AEEA!BK14</f>
        <v>2.1354454513080765</v>
      </c>
      <c r="DB9" s="20">
        <f>AEEA!BL14</f>
        <v>2.1335658489827933</v>
      </c>
      <c r="DC9" s="20">
        <f>AEEA!BM14</f>
        <v>2.162372373917961</v>
      </c>
      <c r="DD9" s="20">
        <f>AEEA!BN14</f>
        <v>2.1623997478216799</v>
      </c>
      <c r="DE9" s="20">
        <f>AEEA!BO14</f>
        <v>2.1624202955247416</v>
      </c>
      <c r="DF9" s="20">
        <f>AEEA!BP14</f>
        <v>2.1624202955247416</v>
      </c>
      <c r="DG9" s="20">
        <f>AEEA!BQ14</f>
        <v>2.1812390144026832</v>
      </c>
      <c r="DH9" s="20">
        <f>AEEA!BR14</f>
        <v>2.1735784148117641</v>
      </c>
      <c r="DI9" s="20">
        <f>AEEA!BS14</f>
        <v>2.165741434059258</v>
      </c>
      <c r="DJ9" s="20">
        <f>AEEA!BT14</f>
        <v>2.1680673314795409</v>
      </c>
      <c r="DK9" s="20">
        <f>AEEA!BU14</f>
        <v>2.1705540212617613</v>
      </c>
      <c r="DL9" s="20">
        <f>AEEA!BV14</f>
        <v>2.169193729078934</v>
      </c>
      <c r="DM9" s="20">
        <f>AEEA!BW14</f>
        <v>2.1716455698855399</v>
      </c>
      <c r="DN9" s="20">
        <f>AEEA!BX14</f>
        <v>2.1715806124213946</v>
      </c>
      <c r="DO9" s="20">
        <f>AEEA!BY14</f>
        <v>2.1549251599609045</v>
      </c>
      <c r="DP9" s="20">
        <f>AEEA!BZ14</f>
        <v>2.1549650057220036</v>
      </c>
      <c r="DQ9" s="20">
        <f>AEEA!CA14</f>
        <v>2.1549583607617238</v>
      </c>
      <c r="DR9" s="20">
        <f>AEEA!CB14</f>
        <v>2.1550315434967695</v>
      </c>
      <c r="DS9" s="20">
        <f>AEEA!CC14</f>
        <v>2.1550315434967695</v>
      </c>
      <c r="DT9" s="20">
        <f>AEEA!CD14</f>
        <v>2.1462782954028041</v>
      </c>
      <c r="DU9" s="20">
        <f>AEEA!CE14</f>
        <v>2.1462403102395782</v>
      </c>
      <c r="DV9" s="20">
        <f>AEEA!CF14</f>
        <v>2.1459258962553931</v>
      </c>
      <c r="DW9" s="20">
        <f>AEEA!CG14</f>
        <v>2.1610704438205719</v>
      </c>
      <c r="DX9" s="20">
        <f>AEEA!CH14</f>
        <v>2.246298012337435</v>
      </c>
      <c r="DY9" s="20">
        <f>AEEA!CI14</f>
        <v>2.2461793806340196</v>
      </c>
      <c r="DZ9" s="20">
        <f>AEEA!CJ14</f>
        <v>2.2460488886726795</v>
      </c>
      <c r="EA9" s="20">
        <f>AEEA!CK14</f>
        <v>2.2502416769192322</v>
      </c>
      <c r="EB9" s="20">
        <f>AEEA!CL14</f>
        <v>2.2501900342259034</v>
      </c>
      <c r="EC9" s="20">
        <f>AEEA!CM14</f>
        <v>2.2536704295099614</v>
      </c>
      <c r="ED9" s="20">
        <f>AEEA!CN14</f>
        <v>2.2507278478823642</v>
      </c>
      <c r="EE9" s="20">
        <f>AEEA!CO14</f>
        <v>2.2507278478823642</v>
      </c>
      <c r="EF9" s="20">
        <f>AEEA!CP14</f>
        <v>2.2507278478823642</v>
      </c>
      <c r="EG9" s="20">
        <f>AEEA!CQ14</f>
        <v>2.1201128366613635</v>
      </c>
      <c r="EH9" s="20">
        <f>AEEA!CR14</f>
        <v>2.1223711208752314</v>
      </c>
      <c r="EI9" s="20">
        <f>AEEA!CS14</f>
        <v>2.1223077260071848</v>
      </c>
      <c r="EJ9" s="20">
        <f>AEEA!CT14</f>
        <v>2.1107648391078255</v>
      </c>
      <c r="EK9" s="20">
        <f>AEEA!CU14</f>
        <v>2.110751693697809</v>
      </c>
      <c r="EL9" s="20">
        <f>AEEA!CV14</f>
        <v>2.1863571013120153</v>
      </c>
      <c r="EM9" s="20">
        <f>AEEA!CW14</f>
        <v>2.1758248995673251</v>
      </c>
      <c r="EN9" s="20">
        <f>AEEA!CX14</f>
        <v>2.2470815627606542</v>
      </c>
      <c r="EO9" s="20">
        <f>AEEA!CY14</f>
        <v>2.2488885300441113</v>
      </c>
      <c r="EP9" s="20">
        <f>AEEA!CZ14</f>
        <v>2.2488819186264468</v>
      </c>
      <c r="EQ9" s="20">
        <f>AEEA!DA14</f>
        <v>2.2300071291927992</v>
      </c>
      <c r="ER9" s="20">
        <f>AEEA!DB14</f>
        <v>2.2489282316505319</v>
      </c>
      <c r="ES9" s="20">
        <f>AEEA!DC14</f>
        <v>2.0994246006695896</v>
      </c>
      <c r="ET9" s="20">
        <f>AEEA!DD14</f>
        <v>2.0994246006695896</v>
      </c>
      <c r="EU9" s="20">
        <f>AEEA!DE14</f>
        <v>2.0967225405989058</v>
      </c>
      <c r="EV9" s="20">
        <f>AEEA!DF14</f>
        <v>2.0966762398700771</v>
      </c>
      <c r="EW9" s="20">
        <f>AEEA!DG14</f>
        <v>2.0926912384409655</v>
      </c>
      <c r="EX9" s="20">
        <f>AEEA!DH14</f>
        <v>1.5336063724457045</v>
      </c>
      <c r="EY9" s="20">
        <f>AEEA!DI14</f>
        <v>1.6951763704294398</v>
      </c>
      <c r="EZ9" s="20">
        <f>AEEA!DJ14</f>
        <v>1.6951705296541757</v>
      </c>
      <c r="FA9" s="20">
        <f>AEEA!DK14</f>
        <v>1.6714627930482624</v>
      </c>
      <c r="FB9" s="20">
        <f>AEEA!DL14</f>
        <v>1.6862553703917993</v>
      </c>
      <c r="FC9" s="20">
        <f>AEEA!DM14</f>
        <v>1.6410754529342415</v>
      </c>
      <c r="FD9" s="20">
        <f>AEEA!DN14</f>
        <v>1.639592050587636</v>
      </c>
      <c r="FE9" s="20">
        <f>AEEA!DO14</f>
        <v>1.6414871439081797</v>
      </c>
      <c r="FF9" s="20">
        <f>AEEA!DP14</f>
        <v>1.6503764801738758</v>
      </c>
      <c r="FG9" s="20">
        <f>AEEA!DQ14</f>
        <v>1.6503218352648243</v>
      </c>
      <c r="FH9" s="20">
        <f>AEEA!DR14</f>
        <v>1.6330945412505835</v>
      </c>
    </row>
    <row r="10" spans="1:164">
      <c r="A10" s="8" t="s">
        <v>203</v>
      </c>
      <c r="B10" s="263" t="s">
        <v>211</v>
      </c>
      <c r="C10" s="19">
        <f t="shared" si="48"/>
        <v>-9.3303416854228272E-2</v>
      </c>
      <c r="D10" s="19">
        <f t="shared" si="49"/>
        <v>-4.8688292023889801E-2</v>
      </c>
      <c r="E10" s="19">
        <f t="shared" si="50"/>
        <v>-2.9694083003462213E-2</v>
      </c>
      <c r="F10" s="19">
        <f t="shared" si="51"/>
        <v>6.2974491387292497E-2</v>
      </c>
      <c r="G10" s="19">
        <f t="shared" si="52"/>
        <v>-3.1726958951334039E-2</v>
      </c>
      <c r="H10" s="19">
        <f t="shared" si="53"/>
        <v>0.19584303943767467</v>
      </c>
      <c r="I10" s="19">
        <f t="shared" si="54"/>
        <v>-1.2544998548036368E-4</v>
      </c>
      <c r="J10" s="19">
        <f t="shared" si="54"/>
        <v>-5.4573338779784208E-4</v>
      </c>
      <c r="K10" s="19">
        <f t="shared" si="44"/>
        <v>-5.4919751574789011E-4</v>
      </c>
      <c r="L10" s="19">
        <f t="shared" si="1"/>
        <v>4.9403523859892218E-4</v>
      </c>
      <c r="M10" s="19">
        <f t="shared" si="2"/>
        <v>1.0131588993069762E-3</v>
      </c>
      <c r="N10" s="19">
        <f t="shared" si="3"/>
        <v>8.3217485200903774E-4</v>
      </c>
      <c r="O10" s="19">
        <f t="shared" si="4"/>
        <v>0</v>
      </c>
      <c r="P10" s="19">
        <f t="shared" si="5"/>
        <v>-1.1914103014762922E-3</v>
      </c>
      <c r="Q10" s="19">
        <f t="shared" si="5"/>
        <v>-2.9515233155718246E-2</v>
      </c>
      <c r="R10" s="19">
        <f t="shared" si="6"/>
        <v>6.505495096223779E-3</v>
      </c>
      <c r="S10" s="19">
        <f t="shared" si="7"/>
        <v>-2.18379534972728E-2</v>
      </c>
      <c r="T10" s="19">
        <f t="shared" si="8"/>
        <v>6.5298479478026472E-4</v>
      </c>
      <c r="U10" s="19">
        <f t="shared" si="8"/>
        <v>-2.6883107574690479E-2</v>
      </c>
      <c r="V10" s="19">
        <f t="shared" si="8"/>
        <v>6.8821681169284332E-5</v>
      </c>
      <c r="W10" s="19">
        <f t="shared" si="8"/>
        <v>6.4105342619280581E-3</v>
      </c>
      <c r="X10" s="19">
        <f t="shared" si="55"/>
        <v>-3.5807373972297718E-2</v>
      </c>
      <c r="Y10" s="19">
        <f t="shared" si="55"/>
        <v>1.9515668251184115E-2</v>
      </c>
      <c r="Z10" s="19">
        <f t="shared" si="9"/>
        <v>-7.0079586894866708E-5</v>
      </c>
      <c r="AA10" s="19">
        <f t="shared" si="10"/>
        <v>0</v>
      </c>
      <c r="AB10" s="19">
        <f t="shared" si="10"/>
        <v>3.2660636465253745E-4</v>
      </c>
      <c r="AC10" s="19">
        <f t="shared" si="10"/>
        <v>2.6630393624460069E-2</v>
      </c>
      <c r="AD10" s="19">
        <f t="shared" si="10"/>
        <v>1.6631462994950219E-2</v>
      </c>
      <c r="AE10" s="19">
        <f t="shared" si="11"/>
        <v>-2.0488241945942676E-2</v>
      </c>
      <c r="AF10" s="19">
        <f t="shared" si="11"/>
        <v>5.1075983988457807E-5</v>
      </c>
      <c r="AG10" s="19">
        <f t="shared" si="12"/>
        <v>4.6393854311359561E-3</v>
      </c>
      <c r="AH10" s="19">
        <f t="shared" si="13"/>
        <v>-8.3621994312939041E-3</v>
      </c>
      <c r="AI10" s="19">
        <f t="shared" si="14"/>
        <v>2.2154263370977034E-4</v>
      </c>
      <c r="AJ10" s="19">
        <f t="shared" si="15"/>
        <v>-1.086762230710514E-2</v>
      </c>
      <c r="AK10" s="19">
        <f t="shared" si="16"/>
        <v>-1.358971593514724E-4</v>
      </c>
      <c r="AL10" s="19">
        <f t="shared" si="16"/>
        <v>2.2663169207959299E-5</v>
      </c>
      <c r="AM10" s="19">
        <f t="shared" si="17"/>
        <v>-2.495955788524018E-4</v>
      </c>
      <c r="AN10" s="19">
        <f t="shared" si="18"/>
        <v>0</v>
      </c>
      <c r="AO10" s="19">
        <f t="shared" si="19"/>
        <v>3.6445929847863656E-3</v>
      </c>
      <c r="AP10" s="19">
        <f t="shared" si="20"/>
        <v>1.295514412966714E-4</v>
      </c>
      <c r="AQ10" s="19">
        <f t="shared" si="20"/>
        <v>1.0723340735090403E-3</v>
      </c>
      <c r="AR10" s="19">
        <f t="shared" si="20"/>
        <v>-8.4352182834490641E-3</v>
      </c>
      <c r="AS10" s="19">
        <f t="shared" si="21"/>
        <v>-3.833540002453617E-4</v>
      </c>
      <c r="AT10" s="19">
        <f t="shared" si="22"/>
        <v>4.0460292534549858E-4</v>
      </c>
      <c r="AU10" s="60" t="s">
        <v>40</v>
      </c>
      <c r="AV10" s="19">
        <f t="shared" si="23"/>
        <v>4.450532848490063E-4</v>
      </c>
      <c r="AW10" s="19">
        <f t="shared" si="24"/>
        <v>-1.8446232274597518E-2</v>
      </c>
      <c r="AX10" s="19">
        <f t="shared" si="25"/>
        <v>-2.0976234208335498E-2</v>
      </c>
      <c r="AY10" s="19">
        <f t="shared" si="26"/>
        <v>2.0821841757814541E-2</v>
      </c>
      <c r="AZ10" s="19">
        <f t="shared" si="27"/>
        <v>1.0035910303204609E-2</v>
      </c>
      <c r="BA10" s="19">
        <f t="shared" si="28"/>
        <v>0</v>
      </c>
      <c r="BB10" s="19">
        <f t="shared" si="29"/>
        <v>0</v>
      </c>
      <c r="BC10" s="19">
        <f t="shared" si="30"/>
        <v>1.0336502018452487E-2</v>
      </c>
      <c r="BD10" s="19">
        <f t="shared" si="31"/>
        <v>-7.7020591704104469E-3</v>
      </c>
      <c r="BE10" s="19">
        <f t="shared" si="32"/>
        <v>2.1621327457155282E-4</v>
      </c>
      <c r="BF10" s="19">
        <f t="shared" si="33"/>
        <v>9.8831736170517104E-3</v>
      </c>
      <c r="BG10" s="19">
        <f t="shared" si="33"/>
        <v>4.4833473636485266E-5</v>
      </c>
      <c r="BH10" s="19">
        <f t="shared" si="34"/>
        <v>1.7911925194313838E-4</v>
      </c>
      <c r="BI10" s="19">
        <f t="shared" si="34"/>
        <v>3.6662404263061443E-3</v>
      </c>
      <c r="BJ10" s="19">
        <f t="shared" si="35"/>
        <v>-2.1086718200904242E-2</v>
      </c>
      <c r="BK10" s="19">
        <f t="shared" si="36"/>
        <v>-6.1628066346648414E-3</v>
      </c>
      <c r="BL10" s="19">
        <f t="shared" si="45"/>
        <v>2.2548769432528815E-5</v>
      </c>
      <c r="BM10" s="19">
        <f t="shared" si="45"/>
        <v>-1.353732438995614E-4</v>
      </c>
      <c r="BN10" s="19">
        <f t="shared" si="45"/>
        <v>-9.4699566880906971E-5</v>
      </c>
      <c r="BO10" s="19">
        <f t="shared" si="45"/>
        <v>1.7965785617961583E-3</v>
      </c>
      <c r="BP10" s="19">
        <f t="shared" si="37"/>
        <v>0</v>
      </c>
      <c r="BQ10" s="19">
        <f t="shared" si="37"/>
        <v>9.215592270721773E-3</v>
      </c>
      <c r="BR10" s="19">
        <f t="shared" si="37"/>
        <v>1.5791234375295282E-4</v>
      </c>
      <c r="BS10" s="19">
        <f t="shared" si="38"/>
        <v>-6.739810215196318E-3</v>
      </c>
      <c r="BT10" s="19">
        <f t="shared" si="46"/>
        <v>-3.1211378134201606E-3</v>
      </c>
      <c r="BU10" s="19">
        <f t="shared" si="39"/>
        <v>-4.0963326784544396E-3</v>
      </c>
      <c r="BV10" s="19">
        <f t="shared" si="39"/>
        <v>1.9920431808317929E-5</v>
      </c>
      <c r="BW10" s="19">
        <f t="shared" si="40"/>
        <v>7.963436529379031E-5</v>
      </c>
      <c r="BX10" s="19">
        <f t="shared" si="41"/>
        <v>9.6640267686365355E-4</v>
      </c>
      <c r="BY10" s="19">
        <f t="shared" si="41"/>
        <v>-5.2205441560608801E-3</v>
      </c>
      <c r="BZ10" s="19">
        <f t="shared" si="41"/>
        <v>1.9720706190017756E-2</v>
      </c>
      <c r="CA10" s="19">
        <f t="shared" si="41"/>
        <v>-6.4633675418910297E-3</v>
      </c>
      <c r="CB10" s="19">
        <f t="shared" si="42"/>
        <v>1.9368838618314399E-3</v>
      </c>
      <c r="CC10" s="19">
        <f t="shared" si="42"/>
        <v>1.8637083866201998E-4</v>
      </c>
      <c r="CD10" s="19">
        <f t="shared" si="42"/>
        <v>-1.1287442810359316E-4</v>
      </c>
      <c r="CE10" s="65"/>
      <c r="CG10" s="20">
        <f t="shared" si="47"/>
        <v>0.90248695984559812</v>
      </c>
      <c r="CH10" s="20">
        <f>MonoEthanolamine!AR21</f>
        <v>0.9957903766998264</v>
      </c>
      <c r="CI10" s="20">
        <f>MonoEthanolamine!AS21</f>
        <v>1.0444786687237162</v>
      </c>
      <c r="CJ10" s="20">
        <f>MonoEthanolamine!AT21</f>
        <v>1.0741727517271784</v>
      </c>
      <c r="CK10" s="20">
        <f>MonoEthanolamine!AU21</f>
        <v>1.0111982603398859</v>
      </c>
      <c r="CL10" s="20">
        <f>MonoEthanolamine!AV21</f>
        <v>1.04292521929122</v>
      </c>
      <c r="CM10" s="20">
        <f>MonoEthanolamine!AW21</f>
        <v>0.84708217985354528</v>
      </c>
      <c r="CN10" s="20">
        <f>MonoEthanolamine!AX21</f>
        <v>0.84720762983902564</v>
      </c>
      <c r="CO10" s="20">
        <f>MonoEthanolamine!AY21</f>
        <v>0.84775336322682349</v>
      </c>
      <c r="CP10" s="20">
        <f>MonoEthanolamine!AZ21</f>
        <v>0.84830256074257138</v>
      </c>
      <c r="CQ10" s="20">
        <f>MonoEthanolamine!BA21</f>
        <v>0.84780852550397245</v>
      </c>
      <c r="CR10" s="20">
        <f>MonoEthanolamine!BB21</f>
        <v>0.84679536660466548</v>
      </c>
      <c r="CS10" s="20">
        <f>MonoEthanolamine!BC21</f>
        <v>0.84596319175265644</v>
      </c>
      <c r="CT10" s="20">
        <f>MonoEthanolamine!BD21</f>
        <v>0.84596319175265644</v>
      </c>
      <c r="CU10" s="20">
        <f>MonoEthanolamine!BE21</f>
        <v>0.84715460205413273</v>
      </c>
      <c r="CV10" s="20">
        <f>MonoEthanolamine!BF21</f>
        <v>0.87666983520985098</v>
      </c>
      <c r="CW10" s="20">
        <f>MonoEthanolamine!BG21</f>
        <v>0.8701643401136272</v>
      </c>
      <c r="CX10" s="20">
        <f>MonoEthanolamine!BH21</f>
        <v>0.8920022936109</v>
      </c>
      <c r="CY10" s="20">
        <f>MonoEthanolamine!BI21</f>
        <v>0.89134930881611973</v>
      </c>
      <c r="CZ10" s="20">
        <f>MonoEthanolamine!BJ21</f>
        <v>0.91823241639081021</v>
      </c>
      <c r="DA10" s="20">
        <f>MonoEthanolamine!BK21</f>
        <v>0.91816359470964093</v>
      </c>
      <c r="DB10" s="20">
        <f>MonoEthanolamine!BL21</f>
        <v>0.91175306044771287</v>
      </c>
      <c r="DC10" s="20">
        <f>MonoEthanolamine!BM21</f>
        <v>0.94756043442001059</v>
      </c>
      <c r="DD10" s="20">
        <f>MonoEthanolamine!BN21</f>
        <v>0.92804476616882647</v>
      </c>
      <c r="DE10" s="20">
        <f>MonoEthanolamine!BO21</f>
        <v>0.92811484575572134</v>
      </c>
      <c r="DF10" s="20">
        <f>MonoEthanolamine!BP21</f>
        <v>0.92811484575572134</v>
      </c>
      <c r="DG10" s="20">
        <f>MonoEthanolamine!BQ21</f>
        <v>0.9277882393910688</v>
      </c>
      <c r="DH10" s="20">
        <f>MonoEthanolamine!BR21</f>
        <v>0.90115784576660873</v>
      </c>
      <c r="DI10" s="20">
        <f>MonoEthanolamine!BS21</f>
        <v>0.88452638277165851</v>
      </c>
      <c r="DJ10" s="20">
        <f>MonoEthanolamine!BT21</f>
        <v>0.90501462471760119</v>
      </c>
      <c r="DK10" s="20">
        <f>MonoEthanolamine!BU21</f>
        <v>0.90496354873361273</v>
      </c>
      <c r="DL10" s="20">
        <f>MonoEthanolamine!BV21</f>
        <v>0.90032416330247678</v>
      </c>
      <c r="DM10" s="20">
        <f>MonoEthanolamine!BW21</f>
        <v>0.90868636273377068</v>
      </c>
      <c r="DN10" s="20">
        <f>MonoEthanolamine!BX21</f>
        <v>0.90846482010006091</v>
      </c>
      <c r="DO10" s="20">
        <f>MonoEthanolamine!BY21</f>
        <v>0.91933244240716605</v>
      </c>
      <c r="DP10" s="20">
        <f>MonoEthanolamine!BZ21</f>
        <v>0.91946833956651752</v>
      </c>
      <c r="DQ10" s="20">
        <f>MonoEthanolamine!CA21</f>
        <v>0.91944567639730956</v>
      </c>
      <c r="DR10" s="20">
        <f>MonoEthanolamine!CB21</f>
        <v>0.91969527197616197</v>
      </c>
      <c r="DS10" s="20">
        <f>MonoEthanolamine!CC21</f>
        <v>0.91969527197616197</v>
      </c>
      <c r="DT10" s="20">
        <f>MonoEthanolamine!CD21</f>
        <v>0.9160506789913756</v>
      </c>
      <c r="DU10" s="20">
        <f>MonoEthanolamine!CE21</f>
        <v>0.91592112755007893</v>
      </c>
      <c r="DV10" s="20">
        <f>MonoEthanolamine!CF21</f>
        <v>0.91484879347656989</v>
      </c>
      <c r="DW10" s="20">
        <f>MonoEthanolamine!CG21</f>
        <v>0.92328401176001895</v>
      </c>
      <c r="DX10" s="20">
        <f>MonoEthanolamine!CH21</f>
        <v>0.92366736576026431</v>
      </c>
      <c r="DY10" s="20">
        <f>MonoEthanolamine!CI21</f>
        <v>0.92326276283491882</v>
      </c>
      <c r="DZ10" s="20">
        <f>MonoEthanolamine!CJ21</f>
        <v>0.92281770955006981</v>
      </c>
      <c r="EA10" s="20">
        <f>MonoEthanolamine!CK21</f>
        <v>0.94126394182466733</v>
      </c>
      <c r="EB10" s="20">
        <f>MonoEthanolamine!CL21</f>
        <v>0.96224017603300283</v>
      </c>
      <c r="EC10" s="20">
        <f>MonoEthanolamine!CM21</f>
        <v>0.94141833427518828</v>
      </c>
      <c r="ED10" s="20">
        <f>MonoEthanolamine!CN21</f>
        <v>0.93138242397198368</v>
      </c>
      <c r="EE10" s="20">
        <f>MonoEthanolamine!CO21</f>
        <v>0.93138242397198368</v>
      </c>
      <c r="EF10" s="20">
        <f>MonoEthanolamine!CP21</f>
        <v>0.93138242397198368</v>
      </c>
      <c r="EG10" s="20">
        <f>MonoEthanolamine!CQ21</f>
        <v>0.92104592195353119</v>
      </c>
      <c r="EH10" s="20">
        <f>MonoEthanolamine!CR21</f>
        <v>0.92874798112394163</v>
      </c>
      <c r="EI10" s="20">
        <f>MonoEthanolamine!CS21</f>
        <v>0.92853176784937008</v>
      </c>
      <c r="EJ10" s="20">
        <f>MonoEthanolamine!CT21</f>
        <v>0.91864859423231837</v>
      </c>
      <c r="EK10" s="20">
        <f>MonoEthanolamine!CU21</f>
        <v>0.91860376075868189</v>
      </c>
      <c r="EL10" s="20">
        <f>MonoEthanolamine!CV21</f>
        <v>0.91842464150673875</v>
      </c>
      <c r="EM10" s="20">
        <f>MonoEthanolamine!CW21</f>
        <v>0.9147584010804326</v>
      </c>
      <c r="EN10" s="20">
        <f>MonoEthanolamine!CX21</f>
        <v>0.93584511928133685</v>
      </c>
      <c r="EO10" s="20">
        <f>MonoEthanolamine!CY21</f>
        <v>0.94200792591600169</v>
      </c>
      <c r="EP10" s="20">
        <f>MonoEthanolamine!CZ21</f>
        <v>0.94198537714656916</v>
      </c>
      <c r="EQ10" s="20">
        <f>MonoEthanolamine!DA21</f>
        <v>0.94212075039046872</v>
      </c>
      <c r="ER10" s="20">
        <f>MonoEthanolamine!DB21</f>
        <v>0.94221544995734963</v>
      </c>
      <c r="ES10" s="20">
        <f>MonoEthanolamine!DC21</f>
        <v>0.94041887139555347</v>
      </c>
      <c r="ET10" s="20">
        <f>MonoEthanolamine!DD21</f>
        <v>0.94041887139555347</v>
      </c>
      <c r="EU10" s="20">
        <f>MonoEthanolamine!DE21</f>
        <v>0.9312032791248317</v>
      </c>
      <c r="EV10" s="20">
        <f>MonoEthanolamine!DF21</f>
        <v>0.93104536678107874</v>
      </c>
      <c r="EW10" s="20">
        <f>MonoEthanolamine!DG21</f>
        <v>0.93778517699627506</v>
      </c>
      <c r="EX10" s="20">
        <f>MonoEthanolamine!DH21</f>
        <v>0.94090631480969522</v>
      </c>
      <c r="EY10" s="20">
        <f>MonoEthanolamine!DI21</f>
        <v>0.94500264748814966</v>
      </c>
      <c r="EZ10" s="20">
        <f>MonoEthanolamine!DJ21</f>
        <v>0.94498272705634134</v>
      </c>
      <c r="FA10" s="20">
        <f>MonoEthanolamine!DK21</f>
        <v>0.94490309269104755</v>
      </c>
      <c r="FB10" s="20">
        <f>MonoEthanolamine!DL21</f>
        <v>0.9439366900141839</v>
      </c>
      <c r="FC10" s="20">
        <f>MonoEthanolamine!DM21</f>
        <v>0.94915723417024478</v>
      </c>
      <c r="FD10" s="20">
        <f>MonoEthanolamine!DN21</f>
        <v>0.92943652798022702</v>
      </c>
      <c r="FE10" s="20">
        <f>MonoEthanolamine!DO21</f>
        <v>0.93589989552211805</v>
      </c>
      <c r="FF10" s="20">
        <f>MonoEthanolamine!DP21</f>
        <v>0.93396301166028661</v>
      </c>
      <c r="FG10" s="20">
        <f>MonoEthanolamine!DQ21</f>
        <v>0.93377664082162459</v>
      </c>
      <c r="FH10" s="20">
        <f>MonoEthanolamine!DR21</f>
        <v>0.93388951524972819</v>
      </c>
    </row>
    <row r="11" spans="1:164">
      <c r="A11" s="8" t="s">
        <v>212</v>
      </c>
      <c r="B11" s="263" t="s">
        <v>213</v>
      </c>
      <c r="C11" s="19">
        <f t="shared" si="48"/>
        <v>-0.22846442688748914</v>
      </c>
      <c r="D11" s="19">
        <f t="shared" si="49"/>
        <v>5.4674120874148358E-2</v>
      </c>
      <c r="E11" s="19">
        <f t="shared" si="50"/>
        <v>1.9524901843363862E-2</v>
      </c>
      <c r="F11" s="19">
        <f t="shared" si="51"/>
        <v>6.4474858604619545E-2</v>
      </c>
      <c r="G11" s="19">
        <f t="shared" si="52"/>
        <v>3.8517412197395684E-2</v>
      </c>
      <c r="H11" s="19">
        <f t="shared" si="53"/>
        <v>0.11104938659284858</v>
      </c>
      <c r="I11" s="19">
        <f t="shared" si="54"/>
        <v>3.5985123374953076E-3</v>
      </c>
      <c r="J11" s="19">
        <f t="shared" si="54"/>
        <v>5.5660000000001819E-4</v>
      </c>
      <c r="K11" s="19">
        <f t="shared" si="44"/>
        <v>6.5793057335639116E-4</v>
      </c>
      <c r="L11" s="19">
        <f t="shared" si="1"/>
        <v>-4.3874157284210513E-3</v>
      </c>
      <c r="M11" s="19">
        <f t="shared" si="2"/>
        <v>6.7889076336666854E-3</v>
      </c>
      <c r="N11" s="19">
        <f t="shared" si="3"/>
        <v>1.0599029285224271E-3</v>
      </c>
      <c r="O11" s="19">
        <f t="shared" si="4"/>
        <v>-1.7047213965321717E-2</v>
      </c>
      <c r="P11" s="19">
        <f t="shared" si="5"/>
        <v>-1.6127761892275827E-2</v>
      </c>
      <c r="Q11" s="19">
        <f t="shared" si="5"/>
        <v>1.7851115737018697E-3</v>
      </c>
      <c r="R11" s="19">
        <f t="shared" si="6"/>
        <v>-4.0398098316360764E-2</v>
      </c>
      <c r="S11" s="19">
        <f t="shared" si="7"/>
        <v>-1.1310090791451177E-2</v>
      </c>
      <c r="T11" s="19">
        <f t="shared" si="8"/>
        <v>9.4193235543700293E-3</v>
      </c>
      <c r="U11" s="19">
        <f t="shared" si="8"/>
        <v>-2.5566735361861825E-2</v>
      </c>
      <c r="V11" s="19">
        <f t="shared" si="8"/>
        <v>-8.0674870583639091E-3</v>
      </c>
      <c r="W11" s="19">
        <f t="shared" si="8"/>
        <v>1.7631411076944659E-2</v>
      </c>
      <c r="X11" s="19">
        <f t="shared" si="55"/>
        <v>7.7179606834563153E-3</v>
      </c>
      <c r="Y11" s="19">
        <f t="shared" si="55"/>
        <v>-1.158753710576832E-3</v>
      </c>
      <c r="Z11" s="19">
        <f t="shared" si="9"/>
        <v>1.0831238417503997E-2</v>
      </c>
      <c r="AA11" s="19">
        <f t="shared" si="10"/>
        <v>0</v>
      </c>
      <c r="AB11" s="19">
        <f t="shared" si="10"/>
        <v>-1.5720970706945003E-2</v>
      </c>
      <c r="AC11" s="19">
        <f t="shared" si="10"/>
        <v>2.4405462161829483E-3</v>
      </c>
      <c r="AD11" s="19">
        <f t="shared" si="10"/>
        <v>-7.810036833074685E-3</v>
      </c>
      <c r="AE11" s="19">
        <f t="shared" si="11"/>
        <v>5.9348382778559028E-3</v>
      </c>
      <c r="AF11" s="19">
        <f t="shared" si="11"/>
        <v>-2.253962321363745E-2</v>
      </c>
      <c r="AG11" s="19">
        <f t="shared" si="12"/>
        <v>1.1504882038013697E-3</v>
      </c>
      <c r="AH11" s="19">
        <f t="shared" si="13"/>
        <v>2.3443706219619109E-3</v>
      </c>
      <c r="AI11" s="19">
        <f t="shared" si="14"/>
        <v>9.8336313996136848E-3</v>
      </c>
      <c r="AJ11" s="19">
        <f t="shared" si="15"/>
        <v>2.6814213460351066E-3</v>
      </c>
      <c r="AK11" s="19">
        <f t="shared" si="16"/>
        <v>0</v>
      </c>
      <c r="AL11" s="19">
        <f t="shared" si="16"/>
        <v>7.8346980229082597E-3</v>
      </c>
      <c r="AM11" s="19">
        <f t="shared" si="17"/>
        <v>2.5328907354715824E-4</v>
      </c>
      <c r="AN11" s="19">
        <f t="shared" si="18"/>
        <v>1.2845005382042807E-2</v>
      </c>
      <c r="AO11" s="19">
        <f t="shared" si="19"/>
        <v>6.6000000000787651E-6</v>
      </c>
      <c r="AP11" s="19">
        <f t="shared" si="20"/>
        <v>8.3606543906777908E-4</v>
      </c>
      <c r="AQ11" s="19">
        <f t="shared" si="20"/>
        <v>2.0939278449181087E-2</v>
      </c>
      <c r="AR11" s="19">
        <f t="shared" si="20"/>
        <v>2.5883242055275701E-2</v>
      </c>
      <c r="AS11" s="19">
        <f t="shared" si="21"/>
        <v>1.6442839526799591E-2</v>
      </c>
      <c r="AT11" s="19">
        <f t="shared" si="22"/>
        <v>8.5572163930935918E-4</v>
      </c>
      <c r="AU11" s="60" t="s">
        <v>30</v>
      </c>
      <c r="AV11" s="19">
        <f t="shared" si="23"/>
        <v>0</v>
      </c>
      <c r="AW11" s="19">
        <f t="shared" si="24"/>
        <v>9.0451278541037183E-4</v>
      </c>
      <c r="AX11" s="19">
        <f t="shared" si="25"/>
        <v>-4.2557224650570102E-3</v>
      </c>
      <c r="AY11" s="19">
        <f t="shared" si="26"/>
        <v>5.791989162749811E-3</v>
      </c>
      <c r="AZ11" s="19">
        <f t="shared" si="27"/>
        <v>4.0759372819741957E-3</v>
      </c>
      <c r="BA11" s="19">
        <f t="shared" si="28"/>
        <v>0</v>
      </c>
      <c r="BB11" s="19">
        <f t="shared" si="29"/>
        <v>0</v>
      </c>
      <c r="BC11" s="19">
        <f t="shared" si="30"/>
        <v>5.2971108902721831E-4</v>
      </c>
      <c r="BD11" s="19">
        <f t="shared" si="31"/>
        <v>1.816569178115568E-3</v>
      </c>
      <c r="BE11" s="19">
        <f t="shared" si="32"/>
        <v>2.1267263425559513E-3</v>
      </c>
      <c r="BF11" s="19">
        <f t="shared" si="33"/>
        <v>1.1254353195561895E-2</v>
      </c>
      <c r="BG11" s="19">
        <f t="shared" si="33"/>
        <v>8.1070224342978392E-3</v>
      </c>
      <c r="BH11" s="19">
        <f t="shared" si="34"/>
        <v>1.763475473335685E-2</v>
      </c>
      <c r="BI11" s="19">
        <f t="shared" si="34"/>
        <v>1.2932700351764526E-2</v>
      </c>
      <c r="BJ11" s="19">
        <f t="shared" si="35"/>
        <v>1.0689667665589209E-2</v>
      </c>
      <c r="BK11" s="19">
        <f t="shared" si="36"/>
        <v>-4.1289945780667026E-3</v>
      </c>
      <c r="BL11" s="19">
        <f t="shared" si="45"/>
        <v>3.9612138109659245E-3</v>
      </c>
      <c r="BM11" s="19">
        <f t="shared" si="45"/>
        <v>1.2888423969946716E-3</v>
      </c>
      <c r="BN11" s="19">
        <f t="shared" si="45"/>
        <v>-3.1850815011841282E-3</v>
      </c>
      <c r="BO11" s="19">
        <f t="shared" si="45"/>
        <v>-3.0673053595879907E-3</v>
      </c>
      <c r="BP11" s="19">
        <f t="shared" si="37"/>
        <v>1.5563033718604125E-3</v>
      </c>
      <c r="BQ11" s="19">
        <f t="shared" si="37"/>
        <v>-3.9072913974819157E-3</v>
      </c>
      <c r="BR11" s="19">
        <f t="shared" si="37"/>
        <v>-2.6994782315797883E-3</v>
      </c>
      <c r="BS11" s="19">
        <f t="shared" si="38"/>
        <v>2.6842966996942774E-4</v>
      </c>
      <c r="BT11" s="19">
        <f t="shared" si="46"/>
        <v>4.2982379713645269E-3</v>
      </c>
      <c r="BU11" s="19">
        <f t="shared" si="39"/>
        <v>-6.8246045634745567E-4</v>
      </c>
      <c r="BV11" s="19">
        <f t="shared" si="39"/>
        <v>-1.5198448653001018E-3</v>
      </c>
      <c r="BW11" s="19">
        <f t="shared" si="40"/>
        <v>-4.6150496476715652E-3</v>
      </c>
      <c r="BX11" s="19">
        <f t="shared" si="41"/>
        <v>9.2640149756260115E-3</v>
      </c>
      <c r="BY11" s="19">
        <f t="shared" si="41"/>
        <v>3.1968393471075718E-3</v>
      </c>
      <c r="BZ11" s="19">
        <f t="shared" si="41"/>
        <v>3.8178656164055136E-3</v>
      </c>
      <c r="CA11" s="19">
        <f t="shared" si="41"/>
        <v>7.487891091365606E-4</v>
      </c>
      <c r="CB11" s="19">
        <f t="shared" si="42"/>
        <v>3.4403210819100583E-3</v>
      </c>
      <c r="CC11" s="19">
        <f t="shared" si="42"/>
        <v>9.6158111852362449E-3</v>
      </c>
      <c r="CD11" s="19">
        <f t="shared" si="42"/>
        <v>3.5080811381883459E-3</v>
      </c>
      <c r="CE11" s="65"/>
      <c r="CG11" s="20">
        <f t="shared" si="47"/>
        <v>0.99788374529994717</v>
      </c>
      <c r="CH11" s="20">
        <f>MTMS!AR17</f>
        <v>1.2263481721874363</v>
      </c>
      <c r="CI11" s="20">
        <f>MTMS!AS17</f>
        <v>1.1716740513132879</v>
      </c>
      <c r="CJ11" s="20">
        <f>MTMS!AT17</f>
        <v>1.1521491494699241</v>
      </c>
      <c r="CK11" s="20">
        <f>MTMS!AU17</f>
        <v>1.0876742908653045</v>
      </c>
      <c r="CL11" s="20">
        <f>MTMS!AV17</f>
        <v>1.0491568786679089</v>
      </c>
      <c r="CM11" s="20">
        <f>MTMS!AW17</f>
        <v>0.93810749207506028</v>
      </c>
      <c r="CN11" s="20">
        <f>MTMS!AX17</f>
        <v>0.93450897973756497</v>
      </c>
      <c r="CO11" s="20">
        <f>MTMS!AY17</f>
        <v>0.93395237973756495</v>
      </c>
      <c r="CP11" s="20">
        <f>MTMS!AZ17</f>
        <v>0.93329444916420856</v>
      </c>
      <c r="CQ11" s="20">
        <f>MTMS!BA17</f>
        <v>0.93768186489262961</v>
      </c>
      <c r="CR11" s="20">
        <f>MTMS!BB17</f>
        <v>0.93089295725896293</v>
      </c>
      <c r="CS11" s="20">
        <f>MTMS!BC17</f>
        <v>0.9298330543304405</v>
      </c>
      <c r="CT11" s="20">
        <f>MTMS!BD17</f>
        <v>0.94688026829576222</v>
      </c>
      <c r="CU11" s="20">
        <f>MTMS!BE17</f>
        <v>0.96300803018803804</v>
      </c>
      <c r="CV11" s="20">
        <f>MTMS!BF17</f>
        <v>0.96122291861433617</v>
      </c>
      <c r="CW11" s="20">
        <f>MTMS!BG17</f>
        <v>1.0016210169306969</v>
      </c>
      <c r="CX11" s="20">
        <f>MTMS!BH17</f>
        <v>1.0129311077221481</v>
      </c>
      <c r="CY11" s="20">
        <f>MTMS!BI17</f>
        <v>1.0035117841677781</v>
      </c>
      <c r="CZ11" s="20">
        <f>MTMS!BJ17</f>
        <v>1.0290785195296399</v>
      </c>
      <c r="DA11" s="20">
        <f>MTMS!BK17</f>
        <v>1.0371460065880038</v>
      </c>
      <c r="DB11" s="20">
        <f>MTMS!BL17</f>
        <v>1.0195145955110592</v>
      </c>
      <c r="DC11" s="20">
        <f>MTMS!BM17</f>
        <v>1.0117966348276028</v>
      </c>
      <c r="DD11" s="20">
        <f>MTMS!BN17</f>
        <v>1.0129553885381797</v>
      </c>
      <c r="DE11" s="20">
        <f>MTMS!BO17</f>
        <v>1.0021241501206757</v>
      </c>
      <c r="DF11" s="20">
        <f>MTMS!BP17</f>
        <v>1.0021241501206757</v>
      </c>
      <c r="DG11" s="20">
        <f>MTMS!BQ17</f>
        <v>1.0178451208276207</v>
      </c>
      <c r="DH11" s="20">
        <f>MTMS!BR17</f>
        <v>1.0154045746114377</v>
      </c>
      <c r="DI11" s="20">
        <f>MTMS!BS17</f>
        <v>1.0232146114445124</v>
      </c>
      <c r="DJ11" s="20">
        <f>MTMS!BT17</f>
        <v>1.0172797731666565</v>
      </c>
      <c r="DK11" s="20">
        <f>MTMS!BU17</f>
        <v>1.039819396380294</v>
      </c>
      <c r="DL11" s="20">
        <f>MTMS!BV17</f>
        <v>1.0386689081764926</v>
      </c>
      <c r="DM11" s="20">
        <f>MTMS!BW17</f>
        <v>1.0363245375545307</v>
      </c>
      <c r="DN11" s="20">
        <f>MTMS!BX17</f>
        <v>1.026490906154917</v>
      </c>
      <c r="DO11" s="20">
        <f>MTMS!BY17</f>
        <v>1.0238094848088819</v>
      </c>
      <c r="DP11" s="20">
        <f>MTMS!BZ17</f>
        <v>1.0238094848088819</v>
      </c>
      <c r="DQ11" s="20">
        <f>MTMS!CA17</f>
        <v>1.0159747867859736</v>
      </c>
      <c r="DR11" s="20">
        <f>MTMS!CB17</f>
        <v>1.0157214977124265</v>
      </c>
      <c r="DS11" s="20">
        <f>MTMS!CC17</f>
        <v>1.0028764923303837</v>
      </c>
      <c r="DT11" s="20">
        <f>MTMS!CD17</f>
        <v>1.0028698923303836</v>
      </c>
      <c r="DU11" s="20">
        <f>MTMS!CE17</f>
        <v>1.0020338268913158</v>
      </c>
      <c r="DV11" s="20">
        <f>MTMS!CF17</f>
        <v>0.98109454844213473</v>
      </c>
      <c r="DW11" s="20">
        <f>MTMS!CG17</f>
        <v>0.95521130638685903</v>
      </c>
      <c r="DX11" s="20">
        <f>MTMS!CH17</f>
        <v>0.93876846686005944</v>
      </c>
      <c r="DY11" s="20">
        <f>MTMS!CI17</f>
        <v>0.93791274522075008</v>
      </c>
      <c r="DZ11" s="20">
        <f>MTMS!CJ17</f>
        <v>0.93791274522075008</v>
      </c>
      <c r="EA11" s="20">
        <f>MTMS!CK17</f>
        <v>0.93700823243533971</v>
      </c>
      <c r="EB11" s="20">
        <f>MTMS!CL17</f>
        <v>0.94126395490039672</v>
      </c>
      <c r="EC11" s="20">
        <f>MTMS!CM17</f>
        <v>0.9354719657376469</v>
      </c>
      <c r="ED11" s="20">
        <f>MTMS!CN17</f>
        <v>0.93139602845567271</v>
      </c>
      <c r="EE11" s="20">
        <f>MTMS!CO17</f>
        <v>0.93139602845567271</v>
      </c>
      <c r="EF11" s="20">
        <f>MTMS!CP17</f>
        <v>0.93139602845567271</v>
      </c>
      <c r="EG11" s="20">
        <f>MTMS!CQ17</f>
        <v>0.93086631736664549</v>
      </c>
      <c r="EH11" s="20">
        <f>MTMS!CR17</f>
        <v>0.92904974818852992</v>
      </c>
      <c r="EI11" s="20">
        <f>MTMS!CS17</f>
        <v>0.92692302184597397</v>
      </c>
      <c r="EJ11" s="20">
        <f>MTMS!CT17</f>
        <v>0.91566866865041208</v>
      </c>
      <c r="EK11" s="20">
        <f>MTMS!CU17</f>
        <v>0.90756164621611424</v>
      </c>
      <c r="EL11" s="20">
        <f>MTMS!CV17</f>
        <v>0.88992689148275739</v>
      </c>
      <c r="EM11" s="20">
        <f>MTMS!CW17</f>
        <v>0.87699419113099286</v>
      </c>
      <c r="EN11" s="20">
        <f>MTMS!CX17</f>
        <v>0.86630452346540365</v>
      </c>
      <c r="EO11" s="20">
        <f>MTMS!CY17</f>
        <v>0.87043351804347036</v>
      </c>
      <c r="EP11" s="20">
        <f>MTMS!CZ17</f>
        <v>0.86647230423250443</v>
      </c>
      <c r="EQ11" s="20">
        <f>MTMS!DA17</f>
        <v>0.86518346183550976</v>
      </c>
      <c r="ER11" s="20">
        <f>MTMS!DB17</f>
        <v>0.86836854333669389</v>
      </c>
      <c r="ES11" s="20">
        <f>MTMS!DC17</f>
        <v>0.87143584869628188</v>
      </c>
      <c r="ET11" s="20">
        <f>MTMS!DD17</f>
        <v>0.86987954532442147</v>
      </c>
      <c r="EU11" s="20">
        <f>MTMS!DE17</f>
        <v>0.87378683672190338</v>
      </c>
      <c r="EV11" s="20">
        <f>MTMS!DF17</f>
        <v>0.87648631495348317</v>
      </c>
      <c r="EW11" s="20">
        <f>MTMS!DG17</f>
        <v>0.87621788528351374</v>
      </c>
      <c r="EX11" s="20">
        <f>MTMS!DH17</f>
        <v>0.87191964731214922</v>
      </c>
      <c r="EY11" s="20">
        <f>MTMS!DI17</f>
        <v>0.87260210776849667</v>
      </c>
      <c r="EZ11" s="20">
        <f>MTMS!DJ17</f>
        <v>0.87412195263379677</v>
      </c>
      <c r="FA11" s="20">
        <f>MTMS!DK17</f>
        <v>0.87873700228146834</v>
      </c>
      <c r="FB11" s="20">
        <f>MTMS!DL17</f>
        <v>0.86947298730584233</v>
      </c>
      <c r="FC11" s="20">
        <f>MTMS!DM17</f>
        <v>0.86627614795873475</v>
      </c>
      <c r="FD11" s="20">
        <f>MTMS!DN17</f>
        <v>0.86245828234232924</v>
      </c>
      <c r="FE11" s="20">
        <f>MTMS!DO17</f>
        <v>0.86170949323319268</v>
      </c>
      <c r="FF11" s="20">
        <f>MTMS!DP17</f>
        <v>0.85826917215128262</v>
      </c>
      <c r="FG11" s="20">
        <f>MTMS!DQ17</f>
        <v>0.84865336096604638</v>
      </c>
      <c r="FH11" s="20">
        <f>MTMS!DR17</f>
        <v>0.84514527982785803</v>
      </c>
    </row>
    <row r="12" spans="1:164">
      <c r="A12" s="8" t="s">
        <v>207</v>
      </c>
      <c r="B12" s="263" t="s">
        <v>214</v>
      </c>
      <c r="C12" s="19">
        <f t="shared" si="48"/>
        <v>-7.5226874409832556E-2</v>
      </c>
      <c r="D12" s="19">
        <f t="shared" si="49"/>
        <v>6.2970763167155441E-2</v>
      </c>
      <c r="E12" s="19">
        <f t="shared" si="50"/>
        <v>-5.5654629750552242E-3</v>
      </c>
      <c r="F12" s="19">
        <f t="shared" si="51"/>
        <v>-2.2071628264588306E-2</v>
      </c>
      <c r="G12" s="19">
        <f t="shared" si="52"/>
        <v>-5.8552926224051394E-2</v>
      </c>
      <c r="H12" s="19">
        <f t="shared" si="53"/>
        <v>8.3647037462930562E-2</v>
      </c>
      <c r="I12" s="19">
        <f t="shared" si="54"/>
        <v>0</v>
      </c>
      <c r="J12" s="19">
        <f t="shared" si="54"/>
        <v>0</v>
      </c>
      <c r="K12" s="19">
        <f t="shared" si="44"/>
        <v>0</v>
      </c>
      <c r="L12" s="19">
        <f t="shared" si="1"/>
        <v>0</v>
      </c>
      <c r="M12" s="19">
        <f t="shared" si="2"/>
        <v>-1.6729407492586112E-2</v>
      </c>
      <c r="N12" s="19">
        <f t="shared" si="3"/>
        <v>0</v>
      </c>
      <c r="O12" s="19">
        <f t="shared" si="4"/>
        <v>0</v>
      </c>
      <c r="P12" s="19">
        <f t="shared" si="5"/>
        <v>0</v>
      </c>
      <c r="Q12" s="19">
        <f t="shared" si="5"/>
        <v>6.691762997034445E-2</v>
      </c>
      <c r="R12" s="19">
        <f t="shared" si="6"/>
        <v>0</v>
      </c>
      <c r="S12" s="19">
        <f t="shared" si="7"/>
        <v>0</v>
      </c>
      <c r="T12" s="19">
        <f t="shared" si="8"/>
        <v>0</v>
      </c>
      <c r="U12" s="19">
        <f t="shared" si="8"/>
        <v>0</v>
      </c>
      <c r="V12" s="19">
        <f t="shared" si="8"/>
        <v>0</v>
      </c>
      <c r="W12" s="19">
        <f t="shared" si="8"/>
        <v>8.3647037462930562E-3</v>
      </c>
      <c r="X12" s="19">
        <f t="shared" si="55"/>
        <v>-8.3647037462930562E-2</v>
      </c>
      <c r="Y12" s="19">
        <f t="shared" si="55"/>
        <v>0</v>
      </c>
      <c r="Z12" s="19">
        <f t="shared" si="9"/>
        <v>0</v>
      </c>
      <c r="AA12" s="19">
        <f t="shared" si="10"/>
        <v>0</v>
      </c>
      <c r="AB12" s="19">
        <f t="shared" si="10"/>
        <v>8.3647037462930562E-2</v>
      </c>
      <c r="AC12" s="19">
        <f t="shared" si="10"/>
        <v>0</v>
      </c>
      <c r="AD12" s="19">
        <f t="shared" si="10"/>
        <v>0</v>
      </c>
      <c r="AE12" s="19">
        <f t="shared" si="11"/>
        <v>0</v>
      </c>
      <c r="AF12" s="19">
        <f t="shared" si="11"/>
        <v>0</v>
      </c>
      <c r="AG12" s="19">
        <f t="shared" si="12"/>
        <v>-4.1823518731465281E-2</v>
      </c>
      <c r="AH12" s="19">
        <f t="shared" si="13"/>
        <v>0</v>
      </c>
      <c r="AI12" s="19">
        <f t="shared" si="14"/>
        <v>0</v>
      </c>
      <c r="AJ12" s="19">
        <f t="shared" si="15"/>
        <v>0</v>
      </c>
      <c r="AK12" s="19">
        <f t="shared" si="16"/>
        <v>0</v>
      </c>
      <c r="AL12" s="19">
        <f t="shared" si="16"/>
        <v>0</v>
      </c>
      <c r="AM12" s="19">
        <f t="shared" si="17"/>
        <v>0</v>
      </c>
      <c r="AN12" s="19">
        <f t="shared" si="18"/>
        <v>0</v>
      </c>
      <c r="AO12" s="19">
        <f t="shared" si="19"/>
        <v>0</v>
      </c>
      <c r="AP12" s="19">
        <f t="shared" si="20"/>
        <v>0</v>
      </c>
      <c r="AQ12" s="19">
        <f t="shared" si="20"/>
        <v>0</v>
      </c>
      <c r="AR12" s="19">
        <f t="shared" si="20"/>
        <v>0</v>
      </c>
      <c r="AS12" s="19">
        <f t="shared" si="21"/>
        <v>0</v>
      </c>
      <c r="AT12" s="19">
        <f t="shared" si="22"/>
        <v>0</v>
      </c>
      <c r="AU12" s="60" t="s">
        <v>64</v>
      </c>
      <c r="AV12" s="19">
        <f t="shared" si="23"/>
        <v>0</v>
      </c>
      <c r="AW12" s="19">
        <f t="shared" si="24"/>
        <v>0</v>
      </c>
      <c r="AX12" s="19">
        <f t="shared" si="25"/>
        <v>0</v>
      </c>
      <c r="AY12" s="19">
        <f t="shared" si="26"/>
        <v>0</v>
      </c>
      <c r="AZ12" s="19">
        <f t="shared" si="27"/>
        <v>0</v>
      </c>
      <c r="BA12" s="19">
        <f t="shared" si="28"/>
        <v>0</v>
      </c>
      <c r="BB12" s="19">
        <f t="shared" si="29"/>
        <v>0</v>
      </c>
      <c r="BC12" s="19">
        <f t="shared" si="30"/>
        <v>0</v>
      </c>
      <c r="BD12" s="19">
        <f t="shared" si="31"/>
        <v>-5.0188222477758337E-2</v>
      </c>
      <c r="BE12" s="19">
        <f t="shared" si="32"/>
        <v>-3.3458814985172225E-2</v>
      </c>
      <c r="BF12" s="19">
        <f t="shared" si="33"/>
        <v>0</v>
      </c>
      <c r="BG12" s="19">
        <f t="shared" si="33"/>
        <v>0</v>
      </c>
      <c r="BH12" s="19">
        <f t="shared" si="34"/>
        <v>0</v>
      </c>
      <c r="BI12" s="19">
        <f t="shared" si="34"/>
        <v>0</v>
      </c>
      <c r="BJ12" s="19">
        <f t="shared" si="35"/>
        <v>0</v>
      </c>
      <c r="BK12" s="19">
        <f t="shared" si="36"/>
        <v>0</v>
      </c>
      <c r="BL12" s="19">
        <f t="shared" si="45"/>
        <v>0</v>
      </c>
      <c r="BM12" s="19">
        <f t="shared" si="45"/>
        <v>0</v>
      </c>
      <c r="BN12" s="19">
        <f t="shared" si="45"/>
        <v>-0.17565877867215396</v>
      </c>
      <c r="BO12" s="19">
        <f t="shared" si="45"/>
        <v>8.3647037462930562E-3</v>
      </c>
      <c r="BP12" s="19">
        <f t="shared" si="37"/>
        <v>0</v>
      </c>
      <c r="BQ12" s="19">
        <f t="shared" si="37"/>
        <v>0</v>
      </c>
      <c r="BR12" s="19">
        <f t="shared" si="37"/>
        <v>0</v>
      </c>
      <c r="BS12" s="19">
        <f t="shared" si="38"/>
        <v>8.3647037462930562E-3</v>
      </c>
      <c r="BT12" s="19">
        <f t="shared" si="46"/>
        <v>0</v>
      </c>
      <c r="BU12" s="19">
        <f t="shared" si="39"/>
        <v>0.19238818616474007</v>
      </c>
      <c r="BV12" s="19">
        <f t="shared" si="39"/>
        <v>0</v>
      </c>
      <c r="BW12" s="19">
        <f t="shared" si="40"/>
        <v>0</v>
      </c>
      <c r="BX12" s="19">
        <f t="shared" si="41"/>
        <v>-5.8552926224051172E-2</v>
      </c>
      <c r="BY12" s="19">
        <f t="shared" si="41"/>
        <v>4.1823518731465059E-2</v>
      </c>
      <c r="BZ12" s="19">
        <f t="shared" si="41"/>
        <v>0</v>
      </c>
      <c r="CA12" s="19">
        <f t="shared" si="41"/>
        <v>0</v>
      </c>
      <c r="CB12" s="19">
        <f t="shared" si="42"/>
        <v>0</v>
      </c>
      <c r="CC12" s="19">
        <f t="shared" si="42"/>
        <v>0</v>
      </c>
      <c r="CD12" s="19">
        <f t="shared" si="42"/>
        <v>0</v>
      </c>
      <c r="CE12" s="65"/>
      <c r="CG12" s="20">
        <f t="shared" si="47"/>
        <v>1.2566358781931017</v>
      </c>
      <c r="CH12" s="20">
        <f>ISOPHORONENITRILE!AR16</f>
        <v>1.3318627526029343</v>
      </c>
      <c r="CI12" s="20">
        <f>ISOPHORONENITRILE!AS16</f>
        <v>1.2688919894357789</v>
      </c>
      <c r="CJ12" s="20">
        <f>ISOPHORONENITRILE!AT16</f>
        <v>1.2744574524108341</v>
      </c>
      <c r="CK12" s="20">
        <f>ISOPHORONENITRILE!AU16</f>
        <v>1.2965290806754224</v>
      </c>
      <c r="CL12" s="20">
        <f>ISOPHORONENITRILE!AV16</f>
        <v>1.3550820068994738</v>
      </c>
      <c r="CM12" s="20">
        <f>ISOPHORONENITRILE!AW16</f>
        <v>1.2714349694365432</v>
      </c>
      <c r="CN12" s="20">
        <f>ISOPHORONENITRILE!AX16</f>
        <v>1.2714349694365432</v>
      </c>
      <c r="CO12" s="20">
        <f>ISOPHORONENITRILE!AY16</f>
        <v>1.2714349694365432</v>
      </c>
      <c r="CP12" s="20">
        <f>ISOPHORONENITRILE!AZ16</f>
        <v>1.2714349694365432</v>
      </c>
      <c r="CQ12" s="20">
        <f>ISOPHORONENITRILE!BA16</f>
        <v>1.2714349694365432</v>
      </c>
      <c r="CR12" s="20">
        <f>ISOPHORONENITRILE!BB16</f>
        <v>1.2881643769291293</v>
      </c>
      <c r="CS12" s="20">
        <f>ISOPHORONENITRILE!BC16</f>
        <v>1.2881643769291293</v>
      </c>
      <c r="CT12" s="20">
        <f>ISOPHORONENITRILE!BD16</f>
        <v>1.2881643769291293</v>
      </c>
      <c r="CU12" s="20">
        <f>ISOPHORONENITRILE!BE16</f>
        <v>1.2881643769291293</v>
      </c>
      <c r="CV12" s="20">
        <f>ISOPHORONENITRILE!BF16</f>
        <v>1.2212467469587849</v>
      </c>
      <c r="CW12" s="20">
        <f>ISOPHORONENITRILE!BG16</f>
        <v>1.2212467469587849</v>
      </c>
      <c r="CX12" s="20">
        <f>ISOPHORONENITRILE!BH16</f>
        <v>1.2212467469587849</v>
      </c>
      <c r="CY12" s="20">
        <f>ISOPHORONENITRILE!BI16</f>
        <v>1.2212467469587849</v>
      </c>
      <c r="CZ12" s="20">
        <f>ISOPHORONENITRILE!BJ16</f>
        <v>1.2212467469587849</v>
      </c>
      <c r="DA12" s="20">
        <f>ISOPHORONENITRILE!BK16</f>
        <v>1.2212467469587849</v>
      </c>
      <c r="DB12" s="20">
        <f>ISOPHORONENITRILE!BL16</f>
        <v>1.2128820432124918</v>
      </c>
      <c r="DC12" s="20">
        <f>ISOPHORONENITRILE!BM16</f>
        <v>1.2965290806754224</v>
      </c>
      <c r="DD12" s="20">
        <f>ISOPHORONENITRILE!BN16</f>
        <v>1.2965290806754224</v>
      </c>
      <c r="DE12" s="20">
        <f>ISOPHORONENITRILE!BO16</f>
        <v>1.2965290806754224</v>
      </c>
      <c r="DF12" s="20">
        <f>ISOPHORONENITRILE!BP16</f>
        <v>1.2965290806754224</v>
      </c>
      <c r="DG12" s="20">
        <f>ISOPHORONENITRILE!BQ16</f>
        <v>1.2128820432124918</v>
      </c>
      <c r="DH12" s="20">
        <f>ISOPHORONENITRILE!BR16</f>
        <v>1.2128820432124918</v>
      </c>
      <c r="DI12" s="20">
        <f>ISOPHORONENITRILE!BS16</f>
        <v>1.2128820432124918</v>
      </c>
      <c r="DJ12" s="20">
        <f>ISOPHORONENITRILE!BT16</f>
        <v>1.2128820432124918</v>
      </c>
      <c r="DK12" s="20">
        <f>ISOPHORONENITRILE!BU16</f>
        <v>1.2128820432124918</v>
      </c>
      <c r="DL12" s="20">
        <f>ISOPHORONENITRILE!BV16</f>
        <v>1.2547055619439571</v>
      </c>
      <c r="DM12" s="20">
        <f>ISOPHORONENITRILE!BW16</f>
        <v>1.2547055619439571</v>
      </c>
      <c r="DN12" s="20">
        <f>ISOPHORONENITRILE!BX16</f>
        <v>1.2547055619439571</v>
      </c>
      <c r="DO12" s="20">
        <f>ISOPHORONENITRILE!BY16</f>
        <v>1.2547055619439571</v>
      </c>
      <c r="DP12" s="20">
        <f>ISOPHORONENITRILE!BZ16</f>
        <v>1.2547055619439571</v>
      </c>
      <c r="DQ12" s="20">
        <f>ISOPHORONENITRILE!CA16</f>
        <v>1.2547055619439571</v>
      </c>
      <c r="DR12" s="20">
        <f>ISOPHORONENITRILE!CB16</f>
        <v>1.2547055619439571</v>
      </c>
      <c r="DS12" s="20">
        <f>ISOPHORONENITRILE!CC16</f>
        <v>1.2547055619439571</v>
      </c>
      <c r="DT12" s="20">
        <f>ISOPHORONENITRILE!CD16</f>
        <v>1.2547055619439571</v>
      </c>
      <c r="DU12" s="20">
        <f>ISOPHORONENITRILE!CE16</f>
        <v>1.2547055619439571</v>
      </c>
      <c r="DV12" s="20">
        <f>ISOPHORONENITRILE!CF16</f>
        <v>1.2547055619439571</v>
      </c>
      <c r="DW12" s="20">
        <f>ISOPHORONENITRILE!CG16</f>
        <v>1.2547055619439571</v>
      </c>
      <c r="DX12" s="20">
        <f>ISOPHORONENITRILE!CH16</f>
        <v>1.2547055619439571</v>
      </c>
      <c r="DY12" s="20">
        <f>ISOPHORONENITRILE!CI16</f>
        <v>1.2547055619439571</v>
      </c>
      <c r="DZ12" s="20">
        <f>ISOPHORONENITRILE!CJ16</f>
        <v>1.2547055619439571</v>
      </c>
      <c r="EA12" s="20">
        <f>ISOPHORONENITRILE!CK16</f>
        <v>1.2547055619439571</v>
      </c>
      <c r="EB12" s="20">
        <f>ISOPHORONENITRILE!CL16</f>
        <v>1.2547055619439571</v>
      </c>
      <c r="EC12" s="20">
        <f>ISOPHORONENITRILE!CM16</f>
        <v>1.2547055619439571</v>
      </c>
      <c r="ED12" s="20">
        <f>ISOPHORONENITRILE!CN16</f>
        <v>1.2547055619439571</v>
      </c>
      <c r="EE12" s="20">
        <f>ISOPHORONENITRILE!CO16</f>
        <v>1.2547055619439571</v>
      </c>
      <c r="EF12" s="20">
        <f>ISOPHORONENITRILE!CP16</f>
        <v>1.2547055619439571</v>
      </c>
      <c r="EG12" s="20">
        <f>ISOPHORONENITRILE!CQ16</f>
        <v>1.2547055619439571</v>
      </c>
      <c r="EH12" s="20">
        <f>ISOPHORONENITRILE!CR16</f>
        <v>1.3048937844217154</v>
      </c>
      <c r="EI12" s="20">
        <f>ISOPHORONENITRILE!CS16</f>
        <v>1.3383525994068877</v>
      </c>
      <c r="EJ12" s="20">
        <f>ISOPHORONENITRILE!CT16</f>
        <v>1.3383525994068877</v>
      </c>
      <c r="EK12" s="20">
        <f>ISOPHORONENITRILE!CU16</f>
        <v>1.3383525994068877</v>
      </c>
      <c r="EL12" s="20">
        <f>ISOPHORONENITRILE!CV16</f>
        <v>1.3383525994068877</v>
      </c>
      <c r="EM12" s="20">
        <f>ISOPHORONENITRILE!CW16</f>
        <v>1.3383525994068877</v>
      </c>
      <c r="EN12" s="20">
        <f>ISOPHORONENITRILE!CX16</f>
        <v>1.3383525994068877</v>
      </c>
      <c r="EO12" s="20">
        <f>ISOPHORONENITRILE!CY16</f>
        <v>1.3383525994068877</v>
      </c>
      <c r="EP12" s="20">
        <f>ISOPHORONENITRILE!CZ16</f>
        <v>1.3383525994068877</v>
      </c>
      <c r="EQ12" s="20">
        <f>ISOPHORONENITRILE!DA16</f>
        <v>1.3383525994068877</v>
      </c>
      <c r="ER12" s="20">
        <f>ISOPHORONENITRILE!DB16</f>
        <v>1.5140113780790416</v>
      </c>
      <c r="ES12" s="20">
        <f>ISOPHORONENITRILE!DC16</f>
        <v>1.5056466743327486</v>
      </c>
      <c r="ET12" s="20">
        <f>ISOPHORONENITRILE!DD16</f>
        <v>1.5056466743327486</v>
      </c>
      <c r="EU12" s="20">
        <f>ISOPHORONENITRILE!DE16</f>
        <v>1.5056466743327486</v>
      </c>
      <c r="EV12" s="20">
        <f>ISOPHORONENITRILE!DF16</f>
        <v>1.5056466743327486</v>
      </c>
      <c r="EW12" s="20">
        <f>ISOPHORONENITRILE!DG16</f>
        <v>1.4972819705864555</v>
      </c>
      <c r="EX12" s="20">
        <f>ISOPHORONENITRILE!DH16</f>
        <v>1.4972819705864555</v>
      </c>
      <c r="EY12" s="20">
        <f>ISOPHORONENITRILE!DI16</f>
        <v>1.3048937844217154</v>
      </c>
      <c r="EZ12" s="20">
        <f>ISOPHORONENITRILE!DJ16</f>
        <v>1.3048937844217154</v>
      </c>
      <c r="FA12" s="20">
        <f>ISOPHORONENITRILE!DK16</f>
        <v>1.3048937844217154</v>
      </c>
      <c r="FB12" s="20">
        <f>ISOPHORONENITRILE!DL16</f>
        <v>1.3634467106457666</v>
      </c>
      <c r="FC12" s="20">
        <f>ISOPHORONENITRILE!DM16</f>
        <v>1.3216231919143016</v>
      </c>
      <c r="FD12" s="20">
        <f>ISOPHORONENITRILE!DN16</f>
        <v>1.3216231919143016</v>
      </c>
      <c r="FE12" s="20">
        <f>ISOPHORONENITRILE!DO16</f>
        <v>1.3216231919143016</v>
      </c>
      <c r="FF12" s="20">
        <f>ISOPHORONENITRILE!DP16</f>
        <v>1.3216231919143016</v>
      </c>
      <c r="FG12" s="20">
        <f>ISOPHORONENITRILE!DQ16</f>
        <v>1.3216231919143016</v>
      </c>
      <c r="FH12" s="20">
        <f>ISOPHORONENITRILE!DR16</f>
        <v>1.3216231919143016</v>
      </c>
    </row>
    <row r="13" spans="1:164">
      <c r="A13" s="8" t="s">
        <v>203</v>
      </c>
      <c r="B13" s="263" t="s">
        <v>215</v>
      </c>
      <c r="C13" s="19">
        <f t="shared" si="48"/>
        <v>-0.10795337870083888</v>
      </c>
      <c r="D13" s="19">
        <f t="shared" si="49"/>
        <v>6.8298259432240549E-2</v>
      </c>
      <c r="E13" s="19">
        <f t="shared" si="50"/>
        <v>-2.967222393465363E-3</v>
      </c>
      <c r="F13" s="19">
        <f t="shared" si="51"/>
        <v>-6.0894612651933855E-3</v>
      </c>
      <c r="G13" s="19">
        <f t="shared" si="52"/>
        <v>-5.2674410420470608E-2</v>
      </c>
      <c r="H13" s="19">
        <f t="shared" si="53"/>
        <v>8.9955185037003282E-2</v>
      </c>
      <c r="I13" s="19">
        <f t="shared" si="54"/>
        <v>-4.493856088938486E-5</v>
      </c>
      <c r="J13" s="19">
        <f t="shared" si="54"/>
        <v>-1.9549203599211751E-4</v>
      </c>
      <c r="K13" s="19">
        <f t="shared" si="44"/>
        <v>-1.9673295223654463E-4</v>
      </c>
      <c r="L13" s="19">
        <f t="shared" si="1"/>
        <v>2.6854759796677286E-3</v>
      </c>
      <c r="M13" s="19">
        <f t="shared" si="2"/>
        <v>-1.5821922118207432E-2</v>
      </c>
      <c r="N13" s="19">
        <f t="shared" si="3"/>
        <v>2.9810079382830423E-4</v>
      </c>
      <c r="O13" s="19">
        <f t="shared" si="4"/>
        <v>0</v>
      </c>
      <c r="P13" s="19">
        <f t="shared" si="5"/>
        <v>-4.2678573593946112E-4</v>
      </c>
      <c r="Q13" s="19">
        <f t="shared" si="5"/>
        <v>6.5210634730091144E-2</v>
      </c>
      <c r="R13" s="19">
        <f t="shared" si="6"/>
        <v>2.3303915610348724E-3</v>
      </c>
      <c r="S13" s="19">
        <f t="shared" si="7"/>
        <v>-2.4156653753610868E-3</v>
      </c>
      <c r="T13" s="19">
        <f t="shared" si="8"/>
        <v>2.3391152137275384E-4</v>
      </c>
      <c r="U13" s="19">
        <f t="shared" si="8"/>
        <v>-9.6300383137348788E-3</v>
      </c>
      <c r="V13" s="19">
        <f t="shared" si="8"/>
        <v>2.4653229714566294E-5</v>
      </c>
      <c r="W13" s="19">
        <f t="shared" si="8"/>
        <v>1.0412053006495725E-2</v>
      </c>
      <c r="X13" s="19">
        <f t="shared" si="55"/>
        <v>-8.4644589556578609E-2</v>
      </c>
      <c r="Y13" s="19">
        <f t="shared" si="55"/>
        <v>-3.344363943469375E-5</v>
      </c>
      <c r="Z13" s="19">
        <f t="shared" si="9"/>
        <v>-2.5103835370465788E-5</v>
      </c>
      <c r="AA13" s="19">
        <f t="shared" si="10"/>
        <v>0</v>
      </c>
      <c r="AB13" s="19">
        <f t="shared" si="10"/>
        <v>8.1273778735066138E-2</v>
      </c>
      <c r="AC13" s="19">
        <f t="shared" si="10"/>
        <v>5.8350995099765157E-5</v>
      </c>
      <c r="AD13" s="19">
        <f t="shared" si="10"/>
        <v>5.9577050536230303E-3</v>
      </c>
      <c r="AE13" s="19">
        <f t="shared" si="11"/>
        <v>-1.2914843655691399E-3</v>
      </c>
      <c r="AF13" s="19">
        <f t="shared" si="11"/>
        <v>6.2214566537655003E-5</v>
      </c>
      <c r="AG13" s="19">
        <f t="shared" si="12"/>
        <v>-3.8916475340691647E-2</v>
      </c>
      <c r="AH13" s="19">
        <f t="shared" si="13"/>
        <v>-2.995498220833781E-3</v>
      </c>
      <c r="AI13" s="19">
        <f t="shared" si="14"/>
        <v>7.9360767531788667E-5</v>
      </c>
      <c r="AJ13" s="19">
        <f t="shared" si="15"/>
        <v>-1.3534838796811499E-3</v>
      </c>
      <c r="AK13" s="19">
        <f t="shared" si="16"/>
        <v>-4.8680936444611689E-5</v>
      </c>
      <c r="AL13" s="19">
        <f t="shared" si="16"/>
        <v>8.1183764626402422E-6</v>
      </c>
      <c r="AM13" s="19">
        <f t="shared" si="17"/>
        <v>-8.9409863819334134E-5</v>
      </c>
      <c r="AN13" s="19">
        <f t="shared" si="18"/>
        <v>0</v>
      </c>
      <c r="AO13" s="19">
        <f t="shared" si="19"/>
        <v>3.4601365618209812E-3</v>
      </c>
      <c r="AP13" s="19">
        <f t="shared" si="20"/>
        <v>4.6407780046386904E-5</v>
      </c>
      <c r="AQ13" s="19">
        <f t="shared" si="20"/>
        <v>3.8413037571327635E-4</v>
      </c>
      <c r="AR13" s="19">
        <f t="shared" si="20"/>
        <v>9.9119364102229213E-5</v>
      </c>
      <c r="AS13" s="19">
        <f t="shared" si="21"/>
        <v>-1.37324663818994E-4</v>
      </c>
      <c r="AT13" s="19">
        <f t="shared" si="22"/>
        <v>1.4493643125579325E-4</v>
      </c>
      <c r="AU13" s="60" t="s">
        <v>64</v>
      </c>
      <c r="AV13" s="19">
        <f t="shared" si="23"/>
        <v>1.5942651618061632E-4</v>
      </c>
      <c r="AW13" s="19">
        <f t="shared" si="24"/>
        <v>-2.5388994219905925E-3</v>
      </c>
      <c r="AX13" s="19">
        <f t="shared" si="25"/>
        <v>6.3093654191881399E-5</v>
      </c>
      <c r="AY13" s="19">
        <f t="shared" si="26"/>
        <v>-1.1839995424445249E-4</v>
      </c>
      <c r="AZ13" s="19">
        <f t="shared" si="27"/>
        <v>3.5950531561335097E-3</v>
      </c>
      <c r="BA13" s="19">
        <f t="shared" si="28"/>
        <v>0</v>
      </c>
      <c r="BB13" s="19">
        <f t="shared" si="29"/>
        <v>0</v>
      </c>
      <c r="BC13" s="19">
        <f t="shared" si="30"/>
        <v>4.011169095408107E-4</v>
      </c>
      <c r="BD13" s="19">
        <f t="shared" si="31"/>
        <v>-5.1453092765463282E-2</v>
      </c>
      <c r="BE13" s="19">
        <f t="shared" si="32"/>
        <v>-3.2385261169512347E-2</v>
      </c>
      <c r="BF13" s="19">
        <f t="shared" si="33"/>
        <v>-2.4325327244447692E-3</v>
      </c>
      <c r="BG13" s="19">
        <f t="shared" si="33"/>
        <v>1.6060199426348731E-5</v>
      </c>
      <c r="BH13" s="19">
        <f t="shared" si="34"/>
        <v>6.4163908660930247E-5</v>
      </c>
      <c r="BI13" s="19">
        <f t="shared" si="34"/>
        <v>1.3133167612640051E-3</v>
      </c>
      <c r="BJ13" s="19">
        <f t="shared" si="35"/>
        <v>2.3516195426509512E-5</v>
      </c>
      <c r="BK13" s="19">
        <f t="shared" si="36"/>
        <v>-2.2076340634002989E-3</v>
      </c>
      <c r="BL13" s="19">
        <f t="shared" si="45"/>
        <v>8.0773962958247125E-6</v>
      </c>
      <c r="BM13" s="19">
        <f t="shared" si="45"/>
        <v>-4.8493260006665651E-5</v>
      </c>
      <c r="BN13" s="19">
        <f t="shared" si="45"/>
        <v>-0.17043733146721873</v>
      </c>
      <c r="BO13" s="19">
        <f t="shared" si="45"/>
        <v>1.3525661105984632E-2</v>
      </c>
      <c r="BP13" s="19">
        <f t="shared" si="37"/>
        <v>0</v>
      </c>
      <c r="BQ13" s="19">
        <f t="shared" si="37"/>
        <v>3.3011996996332726E-3</v>
      </c>
      <c r="BR13" s="19">
        <f t="shared" si="37"/>
        <v>5.6567192476819628E-5</v>
      </c>
      <c r="BS13" s="19">
        <f t="shared" si="38"/>
        <v>8.333858017767426E-3</v>
      </c>
      <c r="BT13" s="19">
        <f t="shared" si="46"/>
        <v>-1.1180506807919599E-3</v>
      </c>
      <c r="BU13" s="19">
        <f t="shared" si="39"/>
        <v>0.18666059894304166</v>
      </c>
      <c r="BV13" s="19">
        <f t="shared" si="39"/>
        <v>7.1358759772266467E-6</v>
      </c>
      <c r="BW13" s="19">
        <f t="shared" si="40"/>
        <v>2.8526537965589682E-5</v>
      </c>
      <c r="BX13" s="19">
        <f t="shared" si="41"/>
        <v>-5.661081884107233E-2</v>
      </c>
      <c r="BY13" s="19">
        <f t="shared" si="41"/>
        <v>3.8708293277966099E-2</v>
      </c>
      <c r="BZ13" s="19">
        <f t="shared" si="41"/>
        <v>2.6217916456960921E-4</v>
      </c>
      <c r="CA13" s="19">
        <f t="shared" si="41"/>
        <v>-2.3153006731542192E-3</v>
      </c>
      <c r="CB13" s="19">
        <f t="shared" si="42"/>
        <v>6.9382848492782756E-4</v>
      </c>
      <c r="CC13" s="19">
        <f t="shared" si="42"/>
        <v>6.6761564371908833E-5</v>
      </c>
      <c r="CD13" s="19">
        <f t="shared" si="42"/>
        <v>1.9207426254030935E-4</v>
      </c>
      <c r="CE13" s="65"/>
      <c r="CG13" s="20">
        <f t="shared" si="47"/>
        <v>5.6838976430179473</v>
      </c>
      <c r="CH13" s="20">
        <f>IPDA!AR16</f>
        <v>5.7918510217187862</v>
      </c>
      <c r="CI13" s="20">
        <f>IPDA!AS16</f>
        <v>5.7235527622865456</v>
      </c>
      <c r="CJ13" s="20">
        <f>IPDA!AT16</f>
        <v>5.726519984680011</v>
      </c>
      <c r="CK13" s="20">
        <f>IPDA!AU16</f>
        <v>5.7326094459452044</v>
      </c>
      <c r="CL13" s="20">
        <f>IPDA!AV16</f>
        <v>5.785283856365675</v>
      </c>
      <c r="CM13" s="20">
        <f>IPDA!AW16</f>
        <v>5.6953286713286717</v>
      </c>
      <c r="CN13" s="20">
        <f>IPDA!AX16</f>
        <v>5.6953736098895611</v>
      </c>
      <c r="CO13" s="20">
        <f>IPDA!AY16</f>
        <v>5.6955691019255532</v>
      </c>
      <c r="CP13" s="20">
        <f>IPDA!AZ16</f>
        <v>5.6957658348777898</v>
      </c>
      <c r="CQ13" s="20">
        <f>IPDA!BA16</f>
        <v>5.693080358898122</v>
      </c>
      <c r="CR13" s="20">
        <f>IPDA!BB16</f>
        <v>5.7089022810163295</v>
      </c>
      <c r="CS13" s="20">
        <f>IPDA!BC16</f>
        <v>5.7086041802225012</v>
      </c>
      <c r="CT13" s="20">
        <f>IPDA!BD16</f>
        <v>5.7086041802225012</v>
      </c>
      <c r="CU13" s="20">
        <f>IPDA!BE16</f>
        <v>5.7090309659584406</v>
      </c>
      <c r="CV13" s="20">
        <f>IPDA!BF16</f>
        <v>5.6438203312283495</v>
      </c>
      <c r="CW13" s="20">
        <f>IPDA!BG16</f>
        <v>5.6414899396673146</v>
      </c>
      <c r="CX13" s="20">
        <f>IPDA!BH16</f>
        <v>5.6439056050426757</v>
      </c>
      <c r="CY13" s="20">
        <f>IPDA!BI16</f>
        <v>5.6436716935213029</v>
      </c>
      <c r="CZ13" s="20">
        <f>IPDA!BJ16</f>
        <v>5.6533017318350378</v>
      </c>
      <c r="DA13" s="20">
        <f>IPDA!BK16</f>
        <v>5.6532770786053232</v>
      </c>
      <c r="DB13" s="20">
        <f>IPDA!BL16</f>
        <v>5.6428650255988275</v>
      </c>
      <c r="DC13" s="20">
        <f>IPDA!BM16</f>
        <v>5.7275096151554061</v>
      </c>
      <c r="DD13" s="20">
        <f>IPDA!BN16</f>
        <v>5.7275430587948408</v>
      </c>
      <c r="DE13" s="20">
        <f>IPDA!BO16</f>
        <v>5.7275681626302113</v>
      </c>
      <c r="DF13" s="20">
        <f>IPDA!BP16</f>
        <v>5.7275681626302113</v>
      </c>
      <c r="DG13" s="20">
        <f>IPDA!BQ16</f>
        <v>5.6462943838951452</v>
      </c>
      <c r="DH13" s="20">
        <f>IPDA!BR16</f>
        <v>5.6462360329000454</v>
      </c>
      <c r="DI13" s="20">
        <f>IPDA!BS16</f>
        <v>5.6402783278464224</v>
      </c>
      <c r="DJ13" s="20">
        <f>IPDA!BT16</f>
        <v>5.6415698122119915</v>
      </c>
      <c r="DK13" s="20">
        <f>IPDA!BU16</f>
        <v>5.6415075976454538</v>
      </c>
      <c r="DL13" s="20">
        <f>IPDA!BV16</f>
        <v>5.6804240729861455</v>
      </c>
      <c r="DM13" s="20">
        <f>IPDA!BW16</f>
        <v>5.6834195712069793</v>
      </c>
      <c r="DN13" s="20">
        <f>IPDA!BX16</f>
        <v>5.6833402104394475</v>
      </c>
      <c r="DO13" s="20">
        <f>IPDA!BY16</f>
        <v>5.6846936943191286</v>
      </c>
      <c r="DP13" s="20">
        <f>IPDA!BZ16</f>
        <v>5.6847423752555732</v>
      </c>
      <c r="DQ13" s="20">
        <f>IPDA!CA16</f>
        <v>5.6847342568791106</v>
      </c>
      <c r="DR13" s="20">
        <f>IPDA!CB16</f>
        <v>5.6848236667429299</v>
      </c>
      <c r="DS13" s="20">
        <f>IPDA!CC16</f>
        <v>5.6848236667429299</v>
      </c>
      <c r="DT13" s="20">
        <f>IPDA!CD16</f>
        <v>5.681363530181109</v>
      </c>
      <c r="DU13" s="20">
        <f>IPDA!CE16</f>
        <v>5.6813171224010626</v>
      </c>
      <c r="DV13" s="20">
        <f>IPDA!CF16</f>
        <v>5.6809329920253493</v>
      </c>
      <c r="DW13" s="20">
        <f>IPDA!CG16</f>
        <v>5.6808338726612471</v>
      </c>
      <c r="DX13" s="20">
        <f>IPDA!CH16</f>
        <v>5.6809711973250661</v>
      </c>
      <c r="DY13" s="20">
        <f>IPDA!CI16</f>
        <v>5.6808262608938103</v>
      </c>
      <c r="DZ13" s="20">
        <f>IPDA!CJ16</f>
        <v>5.6806668343776296</v>
      </c>
      <c r="EA13" s="20">
        <f>IPDA!CK16</f>
        <v>5.6832057337996202</v>
      </c>
      <c r="EB13" s="20">
        <f>IPDA!CL16</f>
        <v>5.6831426401454284</v>
      </c>
      <c r="EC13" s="20">
        <f>IPDA!CM16</f>
        <v>5.6832610400996728</v>
      </c>
      <c r="ED13" s="20">
        <f>IPDA!CN16</f>
        <v>5.6796659869435393</v>
      </c>
      <c r="EE13" s="20">
        <f>IPDA!CO16</f>
        <v>5.6796659869435393</v>
      </c>
      <c r="EF13" s="20">
        <f>IPDA!CP16</f>
        <v>5.6796659869435393</v>
      </c>
      <c r="EG13" s="20">
        <f>IPDA!CQ16</f>
        <v>5.6792648700339985</v>
      </c>
      <c r="EH13" s="20">
        <f>IPDA!CR16</f>
        <v>5.7307179627994618</v>
      </c>
      <c r="EI13" s="20">
        <f>IPDA!CS16</f>
        <v>5.7631032239689741</v>
      </c>
      <c r="EJ13" s="20">
        <f>IPDA!CT16</f>
        <v>5.7655357566934189</v>
      </c>
      <c r="EK13" s="20">
        <f>IPDA!CU16</f>
        <v>5.7655196964939925</v>
      </c>
      <c r="EL13" s="20">
        <f>IPDA!CV16</f>
        <v>5.7654555325853316</v>
      </c>
      <c r="EM13" s="20">
        <f>IPDA!CW16</f>
        <v>5.7641422158240676</v>
      </c>
      <c r="EN13" s="20">
        <f>IPDA!CX16</f>
        <v>5.7641186996286411</v>
      </c>
      <c r="EO13" s="20">
        <f>IPDA!CY16</f>
        <v>5.7663263336920414</v>
      </c>
      <c r="EP13" s="20">
        <f>IPDA!CZ16</f>
        <v>5.7663182562957456</v>
      </c>
      <c r="EQ13" s="20">
        <f>IPDA!DA16</f>
        <v>5.7663667495557522</v>
      </c>
      <c r="ER13" s="20">
        <f>IPDA!DB16</f>
        <v>5.936804081022971</v>
      </c>
      <c r="ES13" s="20">
        <f>IPDA!DC16</f>
        <v>5.9232784199169863</v>
      </c>
      <c r="ET13" s="20">
        <f>IPDA!DD16</f>
        <v>5.9232784199169863</v>
      </c>
      <c r="EU13" s="20">
        <f>IPDA!DE16</f>
        <v>5.9199772202173531</v>
      </c>
      <c r="EV13" s="20">
        <f>IPDA!DF16</f>
        <v>5.9199206530248762</v>
      </c>
      <c r="EW13" s="20">
        <f>IPDA!DG16</f>
        <v>5.9115867950071088</v>
      </c>
      <c r="EX13" s="20">
        <f>IPDA!DH16</f>
        <v>5.9127048456879008</v>
      </c>
      <c r="EY13" s="20">
        <f>IPDA!DI16</f>
        <v>5.7260442467448591</v>
      </c>
      <c r="EZ13" s="20">
        <f>IPDA!DJ16</f>
        <v>5.7260371108688819</v>
      </c>
      <c r="FA13" s="20">
        <f>IPDA!DK16</f>
        <v>5.7260085843309163</v>
      </c>
      <c r="FB13" s="20">
        <f>IPDA!DL16</f>
        <v>5.7826194031719886</v>
      </c>
      <c r="FC13" s="20">
        <f>IPDA!DM16</f>
        <v>5.7439111098940225</v>
      </c>
      <c r="FD13" s="20">
        <f>IPDA!DN16</f>
        <v>5.7436489307294529</v>
      </c>
      <c r="FE13" s="20">
        <f>IPDA!DO16</f>
        <v>5.7459642314026071</v>
      </c>
      <c r="FF13" s="20">
        <f>IPDA!DP16</f>
        <v>5.7452704029176793</v>
      </c>
      <c r="FG13" s="20">
        <f>IPDA!DQ16</f>
        <v>5.7452036413533074</v>
      </c>
      <c r="FH13" s="20">
        <f>IPDA!DR16</f>
        <v>5.7450115670907671</v>
      </c>
    </row>
    <row r="14" spans="1:164">
      <c r="A14" s="8" t="s">
        <v>203</v>
      </c>
      <c r="B14" s="263" t="s">
        <v>216</v>
      </c>
      <c r="C14" s="19">
        <f t="shared" si="48"/>
        <v>-0.13190134971942841</v>
      </c>
      <c r="D14" s="19">
        <f t="shared" si="49"/>
        <v>1.1215633014696191E-2</v>
      </c>
      <c r="E14" s="19">
        <f t="shared" si="50"/>
        <v>-1.4714310546950493E-3</v>
      </c>
      <c r="F14" s="19">
        <f t="shared" si="51"/>
        <v>7.7434063498335259E-2</v>
      </c>
      <c r="G14" s="19">
        <f t="shared" si="52"/>
        <v>3.33883704587985E-2</v>
      </c>
      <c r="H14" s="19">
        <f t="shared" si="53"/>
        <v>4.0342657139089244E-2</v>
      </c>
      <c r="I14" s="19">
        <f t="shared" si="54"/>
        <v>-1.6975438456656722E-4</v>
      </c>
      <c r="J14" s="19">
        <f t="shared" si="54"/>
        <v>6.3684250442629375E-3</v>
      </c>
      <c r="K14" s="19">
        <f t="shared" si="44"/>
        <v>-7.4315422145521115E-4</v>
      </c>
      <c r="L14" s="19">
        <f t="shared" si="1"/>
        <v>1.0144324009879413E-2</v>
      </c>
      <c r="M14" s="19">
        <f t="shared" si="2"/>
        <v>1.5466287352070562E-3</v>
      </c>
      <c r="N14" s="19">
        <f t="shared" si="3"/>
        <v>-1.3087714544531726E-2</v>
      </c>
      <c r="O14" s="19">
        <f t="shared" si="4"/>
        <v>0</v>
      </c>
      <c r="P14" s="19">
        <f t="shared" si="5"/>
        <v>-1.6121733431766483E-3</v>
      </c>
      <c r="Q14" s="19">
        <f t="shared" si="5"/>
        <v>1.0773705062769867E-3</v>
      </c>
      <c r="R14" s="19">
        <f t="shared" si="6"/>
        <v>8.8030007507090557E-3</v>
      </c>
      <c r="S14" s="19">
        <f t="shared" si="7"/>
        <v>-2.3338904097420621E-2</v>
      </c>
      <c r="T14" s="19">
        <f t="shared" si="8"/>
        <v>8.8359541489607674E-4</v>
      </c>
      <c r="U14" s="19">
        <f t="shared" si="8"/>
        <v>-3.6377249181043292E-2</v>
      </c>
      <c r="V14" s="19">
        <f t="shared" si="8"/>
        <v>9.3127010632909624E-5</v>
      </c>
      <c r="W14" s="19">
        <f t="shared" si="8"/>
        <v>8.6745031831558794E-3</v>
      </c>
      <c r="X14" s="19">
        <f t="shared" si="55"/>
        <v>-1.3175112603096062E-2</v>
      </c>
      <c r="Y14" s="19">
        <f t="shared" si="55"/>
        <v>-1.2633258203104125E-4</v>
      </c>
      <c r="Z14" s="19">
        <f t="shared" si="9"/>
        <v>1.0565508436358784E-2</v>
      </c>
      <c r="AA14" s="19">
        <f t="shared" si="10"/>
        <v>0</v>
      </c>
      <c r="AB14" s="19">
        <f t="shared" si="10"/>
        <v>4.419519238271219E-4</v>
      </c>
      <c r="AC14" s="19">
        <f t="shared" si="10"/>
        <v>2.2041954762097582E-4</v>
      </c>
      <c r="AD14" s="19">
        <f t="shared" si="10"/>
        <v>8.2913109294415754E-3</v>
      </c>
      <c r="AE14" s="19">
        <f t="shared" si="11"/>
        <v>-4.8785526130999957E-3</v>
      </c>
      <c r="AF14" s="19">
        <f t="shared" si="11"/>
        <v>2.3501410024673319E-4</v>
      </c>
      <c r="AG14" s="19">
        <f t="shared" si="12"/>
        <v>4.5011256899521457E-3</v>
      </c>
      <c r="AH14" s="19">
        <f t="shared" si="13"/>
        <v>-1.1315425925689737E-2</v>
      </c>
      <c r="AI14" s="19">
        <f t="shared" si="14"/>
        <v>2.9978348181280978E-4</v>
      </c>
      <c r="AJ14" s="19">
        <f t="shared" si="15"/>
        <v>-1.221964609075965E-2</v>
      </c>
      <c r="AK14" s="19">
        <f t="shared" si="16"/>
        <v>-1.8389112251937512E-4</v>
      </c>
      <c r="AL14" s="19">
        <f t="shared" si="16"/>
        <v>3.0666981159832574E-5</v>
      </c>
      <c r="AM14" s="19">
        <f t="shared" si="17"/>
        <v>-3.3774371289396754E-4</v>
      </c>
      <c r="AN14" s="19">
        <f t="shared" si="18"/>
        <v>0</v>
      </c>
      <c r="AO14" s="19">
        <f t="shared" si="19"/>
        <v>1.3070586617529023E-2</v>
      </c>
      <c r="AP14" s="19">
        <f t="shared" si="20"/>
        <v>1.7530432628459769E-4</v>
      </c>
      <c r="AQ14" s="19">
        <f t="shared" si="20"/>
        <v>-3.8791251029428042E-3</v>
      </c>
      <c r="AR14" s="19">
        <f t="shared" si="20"/>
        <v>3.7442112784308312E-4</v>
      </c>
      <c r="AS14" s="19">
        <f t="shared" si="21"/>
        <v>6.5881509604892585E-3</v>
      </c>
      <c r="AT14" s="19">
        <f t="shared" si="22"/>
        <v>5.4749404970327875E-4</v>
      </c>
      <c r="AU14" s="60" t="s">
        <v>36</v>
      </c>
      <c r="AV14" s="19">
        <f t="shared" si="23"/>
        <v>6.0223001365483642E-4</v>
      </c>
      <c r="AW14" s="19">
        <f t="shared" si="24"/>
        <v>-9.590634420181765E-3</v>
      </c>
      <c r="AX14" s="19">
        <f t="shared" si="25"/>
        <v>2.0150577669811875E-3</v>
      </c>
      <c r="AY14" s="19">
        <f t="shared" si="26"/>
        <v>-4.4725311553661662E-4</v>
      </c>
      <c r="AZ14" s="19">
        <f t="shared" si="27"/>
        <v>1.3580230962657813E-2</v>
      </c>
      <c r="BA14" s="19">
        <f t="shared" si="28"/>
        <v>0</v>
      </c>
      <c r="BB14" s="19">
        <f t="shared" si="29"/>
        <v>0</v>
      </c>
      <c r="BC14" s="19">
        <f t="shared" si="30"/>
        <v>1.5152099393309637E-3</v>
      </c>
      <c r="BD14" s="19">
        <f t="shared" si="31"/>
        <v>-8.645425059520373E-3</v>
      </c>
      <c r="BE14" s="19">
        <f t="shared" si="32"/>
        <v>2.9257198571597254E-4</v>
      </c>
      <c r="BF14" s="19">
        <f t="shared" si="33"/>
        <v>-9.1888366562337676E-3</v>
      </c>
      <c r="BG14" s="19">
        <f t="shared" si="33"/>
        <v>6.0667035520101109E-5</v>
      </c>
      <c r="BH14" s="19">
        <f t="shared" si="34"/>
        <v>3.7958235619842129E-3</v>
      </c>
      <c r="BI14" s="19">
        <f t="shared" si="34"/>
        <v>4.961023987825941E-3</v>
      </c>
      <c r="BJ14" s="19">
        <f t="shared" si="35"/>
        <v>8.8831889654139573E-5</v>
      </c>
      <c r="BK14" s="19">
        <f t="shared" si="36"/>
        <v>-8.3392871148144643E-3</v>
      </c>
      <c r="BL14" s="19">
        <f t="shared" si="45"/>
        <v>3.0512179519881499E-5</v>
      </c>
      <c r="BM14" s="19">
        <f t="shared" si="45"/>
        <v>-1.8318217907276058E-4</v>
      </c>
      <c r="BN14" s="19">
        <f t="shared" si="45"/>
        <v>-3.0555838508750099E-5</v>
      </c>
      <c r="BO14" s="19">
        <f t="shared" si="45"/>
        <v>2.0436086470491222E-2</v>
      </c>
      <c r="BP14" s="19">
        <f t="shared" si="37"/>
        <v>0</v>
      </c>
      <c r="BQ14" s="19">
        <f t="shared" si="37"/>
        <v>1.2470206260624117E-2</v>
      </c>
      <c r="BR14" s="19">
        <f t="shared" si="37"/>
        <v>2.1368127406801163E-4</v>
      </c>
      <c r="BS14" s="19">
        <f t="shared" si="38"/>
        <v>8.2416920847444564E-4</v>
      </c>
      <c r="BT14" s="19">
        <f t="shared" si="46"/>
        <v>-4.2234108408678583E-3</v>
      </c>
      <c r="BU14" s="19">
        <f t="shared" si="39"/>
        <v>-7.1068917330257553E-3</v>
      </c>
      <c r="BV14" s="19">
        <f t="shared" si="39"/>
        <v>2.6955608077416926E-5</v>
      </c>
      <c r="BW14" s="19">
        <f t="shared" si="40"/>
        <v>1.0775834384540994E-4</v>
      </c>
      <c r="BX14" s="19">
        <f t="shared" si="41"/>
        <v>7.5144846983005165E-4</v>
      </c>
      <c r="BY14" s="19">
        <f t="shared" si="41"/>
        <v>3.5960860022100083E-3</v>
      </c>
      <c r="BZ14" s="19">
        <f t="shared" si="41"/>
        <v>9.9037578967975382E-4</v>
      </c>
      <c r="CA14" s="19">
        <f t="shared" si="41"/>
        <v>-8.7459952673550889E-3</v>
      </c>
      <c r="CB14" s="19">
        <f t="shared" si="42"/>
        <v>2.6209212116131697E-3</v>
      </c>
      <c r="CC14" s="19">
        <f t="shared" si="42"/>
        <v>2.5219028042977598E-4</v>
      </c>
      <c r="CD14" s="19">
        <f t="shared" si="42"/>
        <v>-1.1711504404973871E-2</v>
      </c>
      <c r="CE14" s="65"/>
      <c r="CG14" s="20">
        <f t="shared" si="47"/>
        <v>0.47545721972196814</v>
      </c>
      <c r="CH14" s="20">
        <f>DIMETHYLAMINE!AR11</f>
        <v>0.60735856944139655</v>
      </c>
      <c r="CI14" s="20">
        <f>DIMETHYLAMINE!AS11</f>
        <v>0.59614293642670035</v>
      </c>
      <c r="CJ14" s="20">
        <f>DIMETHYLAMINE!AT11</f>
        <v>0.5976143674813954</v>
      </c>
      <c r="CK14" s="20">
        <f>DIMETHYLAMINE!AU11</f>
        <v>0.52018030398306014</v>
      </c>
      <c r="CL14" s="20">
        <f>DIMETHYLAMINE!AV11</f>
        <v>0.48679193352426164</v>
      </c>
      <c r="CM14" s="20">
        <f>DIMETHYLAMINE!AW11</f>
        <v>0.4464492763851724</v>
      </c>
      <c r="CN14" s="20">
        <f>DIMETHYLAMINE!AX11</f>
        <v>0.44661903076973897</v>
      </c>
      <c r="CO14" s="20">
        <f>DIMETHYLAMINE!AY11</f>
        <v>0.44025060572547603</v>
      </c>
      <c r="CP14" s="20">
        <f>DIMETHYLAMINE!AZ11</f>
        <v>0.44099375994693124</v>
      </c>
      <c r="CQ14" s="20">
        <f>DIMETHYLAMINE!BA11</f>
        <v>0.43084943593705183</v>
      </c>
      <c r="CR14" s="20">
        <f>DIMETHYLAMINE!BB11</f>
        <v>0.42930280720184477</v>
      </c>
      <c r="CS14" s="20">
        <f>DIMETHYLAMINE!BC11</f>
        <v>0.4423905217463765</v>
      </c>
      <c r="CT14" s="20">
        <f>DIMETHYLAMINE!BD11</f>
        <v>0.4423905217463765</v>
      </c>
      <c r="CU14" s="20">
        <f>DIMETHYLAMINE!BE11</f>
        <v>0.44400269508955315</v>
      </c>
      <c r="CV14" s="20">
        <f>DIMETHYLAMINE!BF11</f>
        <v>0.44292532458327616</v>
      </c>
      <c r="CW14" s="20">
        <f>DIMETHYLAMINE!BG11</f>
        <v>0.4341223238325671</v>
      </c>
      <c r="CX14" s="20">
        <f>DIMETHYLAMINE!BH11</f>
        <v>0.45746122792998772</v>
      </c>
      <c r="CY14" s="20">
        <f>DIMETHYLAMINE!BI11</f>
        <v>0.45657763251509165</v>
      </c>
      <c r="CZ14" s="20">
        <f>DIMETHYLAMINE!BJ11</f>
        <v>0.49295488169613494</v>
      </c>
      <c r="DA14" s="20">
        <f>DIMETHYLAMINE!BK11</f>
        <v>0.49286175468550203</v>
      </c>
      <c r="DB14" s="20">
        <f>DIMETHYLAMINE!BL11</f>
        <v>0.48418725150234615</v>
      </c>
      <c r="DC14" s="20">
        <f>DIMETHYLAMINE!BM11</f>
        <v>0.49736236410544221</v>
      </c>
      <c r="DD14" s="20">
        <f>DIMETHYLAMINE!BN11</f>
        <v>0.49748869668747325</v>
      </c>
      <c r="DE14" s="20">
        <f>DIMETHYLAMINE!BO11</f>
        <v>0.48692318825111447</v>
      </c>
      <c r="DF14" s="20">
        <f>DIMETHYLAMINE!BP11</f>
        <v>0.48692318825111447</v>
      </c>
      <c r="DG14" s="20">
        <f>DIMETHYLAMINE!BQ11</f>
        <v>0.48648123632728735</v>
      </c>
      <c r="DH14" s="20">
        <f>DIMETHYLAMINE!BR11</f>
        <v>0.48626081677966637</v>
      </c>
      <c r="DI14" s="20">
        <f>DIMETHYLAMINE!BS11</f>
        <v>0.4779695058502248</v>
      </c>
      <c r="DJ14" s="20">
        <f>DIMETHYLAMINE!BT11</f>
        <v>0.48284805846332479</v>
      </c>
      <c r="DK14" s="20">
        <f>DIMETHYLAMINE!BU11</f>
        <v>0.48261304436307806</v>
      </c>
      <c r="DL14" s="20">
        <f>DIMETHYLAMINE!BV11</f>
        <v>0.47811191867312591</v>
      </c>
      <c r="DM14" s="20">
        <f>DIMETHYLAMINE!BW11</f>
        <v>0.48942734459881565</v>
      </c>
      <c r="DN14" s="20">
        <f>DIMETHYLAMINE!BX11</f>
        <v>0.48912756111700284</v>
      </c>
      <c r="DO14" s="20">
        <f>DIMETHYLAMINE!BY11</f>
        <v>0.50134720720776249</v>
      </c>
      <c r="DP14" s="20">
        <f>DIMETHYLAMINE!BZ11</f>
        <v>0.50153109833028187</v>
      </c>
      <c r="DQ14" s="20">
        <f>DIMETHYLAMINE!CA11</f>
        <v>0.50150043134912203</v>
      </c>
      <c r="DR14" s="20">
        <f>DIMETHYLAMINE!CB11</f>
        <v>0.501838175062016</v>
      </c>
      <c r="DS14" s="20">
        <f>DIMETHYLAMINE!CC11</f>
        <v>0.501838175062016</v>
      </c>
      <c r="DT14" s="20">
        <f>DIMETHYLAMINE!CD11</f>
        <v>0.48876758844448698</v>
      </c>
      <c r="DU14" s="20">
        <f>DIMETHYLAMINE!CE11</f>
        <v>0.48859228411820238</v>
      </c>
      <c r="DV14" s="20">
        <f>DIMETHYLAMINE!CF11</f>
        <v>0.49247140922114518</v>
      </c>
      <c r="DW14" s="20">
        <f>DIMETHYLAMINE!CG11</f>
        <v>0.4920969880933021</v>
      </c>
      <c r="DX14" s="20">
        <f>DIMETHYLAMINE!CH11</f>
        <v>0.48550883713281284</v>
      </c>
      <c r="DY14" s="20">
        <f>DIMETHYLAMINE!CI11</f>
        <v>0.48496134308310956</v>
      </c>
      <c r="DZ14" s="20">
        <f>DIMETHYLAMINE!CJ11</f>
        <v>0.48435911306945473</v>
      </c>
      <c r="EA14" s="20">
        <f>DIMETHYLAMINE!CK11</f>
        <v>0.49394974748963649</v>
      </c>
      <c r="EB14" s="20">
        <f>DIMETHYLAMINE!CL11</f>
        <v>0.49193468972265531</v>
      </c>
      <c r="EC14" s="20">
        <f>DIMETHYLAMINE!CM11</f>
        <v>0.49238194283819192</v>
      </c>
      <c r="ED14" s="20">
        <f>DIMETHYLAMINE!CN11</f>
        <v>0.47880171187553411</v>
      </c>
      <c r="EE14" s="20">
        <f>DIMETHYLAMINE!CO11</f>
        <v>0.47880171187553411</v>
      </c>
      <c r="EF14" s="20">
        <f>DIMETHYLAMINE!CP11</f>
        <v>0.47880171187553411</v>
      </c>
      <c r="EG14" s="20">
        <f>DIMETHYLAMINE!CQ11</f>
        <v>0.47728650193620314</v>
      </c>
      <c r="EH14" s="20">
        <f>DIMETHYLAMINE!CR11</f>
        <v>0.48593192699572352</v>
      </c>
      <c r="EI14" s="20">
        <f>DIMETHYLAMINE!CS11</f>
        <v>0.48563935501000755</v>
      </c>
      <c r="EJ14" s="20">
        <f>DIMETHYLAMINE!CT11</f>
        <v>0.49482819166624131</v>
      </c>
      <c r="EK14" s="20">
        <f>DIMETHYLAMINE!CU11</f>
        <v>0.49476752463072121</v>
      </c>
      <c r="EL14" s="20">
        <f>DIMETHYLAMINE!CV11</f>
        <v>0.490971701068737</v>
      </c>
      <c r="EM14" s="20">
        <f>DIMETHYLAMINE!CW11</f>
        <v>0.48601067708091106</v>
      </c>
      <c r="EN14" s="20">
        <f>DIMETHYLAMINE!CX11</f>
        <v>0.48592184519125692</v>
      </c>
      <c r="EO14" s="20">
        <f>DIMETHYLAMINE!CY11</f>
        <v>0.49426113230607138</v>
      </c>
      <c r="EP14" s="20">
        <f>DIMETHYLAMINE!CZ11</f>
        <v>0.4942306201265515</v>
      </c>
      <c r="EQ14" s="20">
        <f>DIMETHYLAMINE!DA11</f>
        <v>0.49441380230562426</v>
      </c>
      <c r="ER14" s="20">
        <f>DIMETHYLAMINE!DB11</f>
        <v>0.49444435814413301</v>
      </c>
      <c r="ES14" s="20">
        <f>DIMETHYLAMINE!DC11</f>
        <v>0.47400827167364179</v>
      </c>
      <c r="ET14" s="20">
        <f>DIMETHYLAMINE!DD11</f>
        <v>0.47400827167364179</v>
      </c>
      <c r="EU14" s="20">
        <f>DIMETHYLAMINE!DE11</f>
        <v>0.46153806541301767</v>
      </c>
      <c r="EV14" s="20">
        <f>DIMETHYLAMINE!DF11</f>
        <v>0.46132438413894966</v>
      </c>
      <c r="EW14" s="20">
        <f>DIMETHYLAMINE!DG11</f>
        <v>0.46050021493047522</v>
      </c>
      <c r="EX14" s="20">
        <f>DIMETHYLAMINE!DH11</f>
        <v>0.46472362577134307</v>
      </c>
      <c r="EY14" s="20">
        <f>DIMETHYLAMINE!DI11</f>
        <v>0.47183051750436883</v>
      </c>
      <c r="EZ14" s="20">
        <f>DIMETHYLAMINE!DJ11</f>
        <v>0.47180356189629141</v>
      </c>
      <c r="FA14" s="20">
        <f>DIMETHYLAMINE!DK11</f>
        <v>0.471695803552446</v>
      </c>
      <c r="FB14" s="20">
        <f>DIMETHYLAMINE!DL11</f>
        <v>0.47094435508261595</v>
      </c>
      <c r="FC14" s="20">
        <f>DIMETHYLAMINE!DM11</f>
        <v>0.46734826908040594</v>
      </c>
      <c r="FD14" s="20">
        <f>DIMETHYLAMINE!DN11</f>
        <v>0.46635789329072619</v>
      </c>
      <c r="FE14" s="20">
        <f>DIMETHYLAMINE!DO11</f>
        <v>0.47510388855808128</v>
      </c>
      <c r="FF14" s="20">
        <f>DIMETHYLAMINE!DP11</f>
        <v>0.47248296734646811</v>
      </c>
      <c r="FG14" s="20">
        <f>DIMETHYLAMINE!DQ11</f>
        <v>0.47223077706603833</v>
      </c>
      <c r="FH14" s="20">
        <f>DIMETHYLAMINE!DR11</f>
        <v>0.4839422814710122</v>
      </c>
    </row>
    <row r="15" spans="1:164">
      <c r="A15" s="8" t="s">
        <v>212</v>
      </c>
      <c r="B15" s="263" t="s">
        <v>217</v>
      </c>
      <c r="C15" s="19">
        <f t="shared" si="48"/>
        <v>-0.22933228395727889</v>
      </c>
      <c r="D15" s="19">
        <f t="shared" si="49"/>
        <v>0.20614795034062916</v>
      </c>
      <c r="E15" s="19">
        <f t="shared" si="50"/>
        <v>6.6365142782801589E-2</v>
      </c>
      <c r="F15" s="19">
        <f t="shared" si="51"/>
        <v>-9.436916463982481E-3</v>
      </c>
      <c r="G15" s="19">
        <f t="shared" si="52"/>
        <v>-7.8762151123213275E-2</v>
      </c>
      <c r="H15" s="19">
        <f t="shared" si="53"/>
        <v>4.2920422055820362E-2</v>
      </c>
      <c r="I15" s="19">
        <f t="shared" si="54"/>
        <v>0</v>
      </c>
      <c r="J15" s="19">
        <f t="shared" si="54"/>
        <v>0</v>
      </c>
      <c r="K15" s="19">
        <f t="shared" si="44"/>
        <v>0</v>
      </c>
      <c r="L15" s="19">
        <f t="shared" si="1"/>
        <v>-6.5991831177671711E-2</v>
      </c>
      <c r="M15" s="19">
        <f t="shared" si="2"/>
        <v>2.32811436351259E-2</v>
      </c>
      <c r="N15" s="19">
        <f t="shared" si="3"/>
        <v>-6.4937329339686878E-2</v>
      </c>
      <c r="O15" s="19">
        <f t="shared" si="4"/>
        <v>3.3867213614703795E-2</v>
      </c>
      <c r="P15" s="19">
        <f t="shared" si="5"/>
        <v>0</v>
      </c>
      <c r="Q15" s="19">
        <f t="shared" si="5"/>
        <v>0</v>
      </c>
      <c r="R15" s="19">
        <f t="shared" si="6"/>
        <v>-5.3388359428182541E-2</v>
      </c>
      <c r="S15" s="19">
        <f t="shared" si="7"/>
        <v>0</v>
      </c>
      <c r="T15" s="19">
        <f t="shared" si="8"/>
        <v>0</v>
      </c>
      <c r="U15" s="19">
        <f t="shared" si="8"/>
        <v>-1.0677671885636508E-2</v>
      </c>
      <c r="V15" s="19">
        <f t="shared" si="8"/>
        <v>0</v>
      </c>
      <c r="W15" s="19">
        <f t="shared" si="8"/>
        <v>6.4023144996596448E-2</v>
      </c>
      <c r="X15" s="19">
        <f t="shared" si="55"/>
        <v>0.19985840707964608</v>
      </c>
      <c r="Y15" s="19">
        <f t="shared" si="55"/>
        <v>-3.6847515316541957E-2</v>
      </c>
      <c r="Z15" s="19">
        <f t="shared" si="9"/>
        <v>-5.8202859087814751E-2</v>
      </c>
      <c r="AA15" s="19">
        <f t="shared" si="10"/>
        <v>-0.21066386657590241</v>
      </c>
      <c r="AB15" s="19">
        <f t="shared" si="10"/>
        <v>0.21066386657590241</v>
      </c>
      <c r="AC15" s="19">
        <f t="shared" si="10"/>
        <v>0</v>
      </c>
      <c r="AD15" s="19">
        <f t="shared" si="10"/>
        <v>0</v>
      </c>
      <c r="AE15" s="19">
        <f t="shared" si="11"/>
        <v>0.11912756977535754</v>
      </c>
      <c r="AF15" s="19">
        <f t="shared" si="11"/>
        <v>0</v>
      </c>
      <c r="AG15" s="19">
        <f t="shared" si="12"/>
        <v>0</v>
      </c>
      <c r="AH15" s="19">
        <f t="shared" si="13"/>
        <v>0</v>
      </c>
      <c r="AI15" s="19">
        <f t="shared" si="14"/>
        <v>0</v>
      </c>
      <c r="AJ15" s="19">
        <f t="shared" si="15"/>
        <v>1.7084275017018147E-2</v>
      </c>
      <c r="AK15" s="19">
        <f t="shared" si="16"/>
        <v>0</v>
      </c>
      <c r="AL15" s="19">
        <f t="shared" si="16"/>
        <v>0</v>
      </c>
      <c r="AM15" s="19">
        <f t="shared" si="17"/>
        <v>-0.19500102110279105</v>
      </c>
      <c r="AN15" s="19">
        <f t="shared" si="18"/>
        <v>0</v>
      </c>
      <c r="AO15" s="19">
        <f t="shared" si="19"/>
        <v>0</v>
      </c>
      <c r="AP15" s="19">
        <f t="shared" si="20"/>
        <v>0</v>
      </c>
      <c r="AQ15" s="19">
        <f t="shared" si="20"/>
        <v>0</v>
      </c>
      <c r="AR15" s="19">
        <f t="shared" si="20"/>
        <v>1.2813206262763721E-2</v>
      </c>
      <c r="AS15" s="19">
        <f t="shared" si="21"/>
        <v>0</v>
      </c>
      <c r="AT15" s="19">
        <f t="shared" si="22"/>
        <v>0</v>
      </c>
      <c r="AU15" s="60" t="s">
        <v>290</v>
      </c>
      <c r="AV15" s="19">
        <f t="shared" si="23"/>
        <v>0</v>
      </c>
      <c r="AW15" s="19">
        <f t="shared" si="24"/>
        <v>-1.4948740639890934E-2</v>
      </c>
      <c r="AX15" s="19">
        <f t="shared" si="25"/>
        <v>0</v>
      </c>
      <c r="AY15" s="19">
        <f t="shared" si="26"/>
        <v>0</v>
      </c>
      <c r="AZ15" s="19">
        <f t="shared" si="27"/>
        <v>0</v>
      </c>
      <c r="BA15" s="19">
        <f t="shared" si="28"/>
        <v>0</v>
      </c>
      <c r="BB15" s="19">
        <f t="shared" si="29"/>
        <v>0</v>
      </c>
      <c r="BC15" s="19">
        <f t="shared" si="30"/>
        <v>1.4948740639890934E-2</v>
      </c>
      <c r="BD15" s="19">
        <f t="shared" si="31"/>
        <v>-5.8202859087814751E-3</v>
      </c>
      <c r="BE15" s="19">
        <f t="shared" si="32"/>
        <v>5.8202859087814751E-3</v>
      </c>
      <c r="BF15" s="19">
        <f t="shared" si="33"/>
        <v>-8.5421375085090734E-3</v>
      </c>
      <c r="BG15" s="19">
        <f t="shared" si="33"/>
        <v>0</v>
      </c>
      <c r="BH15" s="19">
        <f t="shared" si="34"/>
        <v>0</v>
      </c>
      <c r="BI15" s="19">
        <f t="shared" si="34"/>
        <v>0</v>
      </c>
      <c r="BJ15" s="19">
        <f t="shared" si="35"/>
        <v>-1.7084275017018369E-2</v>
      </c>
      <c r="BK15" s="19">
        <f t="shared" si="36"/>
        <v>-1.9219809394145582E-2</v>
      </c>
      <c r="BL15" s="19">
        <f t="shared" si="45"/>
        <v>0</v>
      </c>
      <c r="BM15" s="19">
        <f t="shared" si="45"/>
        <v>2.1355343771272128E-3</v>
      </c>
      <c r="BN15" s="19">
        <f t="shared" si="45"/>
        <v>-3.4168550034036738E-2</v>
      </c>
      <c r="BO15" s="19">
        <f t="shared" si="45"/>
        <v>0</v>
      </c>
      <c r="BP15" s="19">
        <f t="shared" si="37"/>
        <v>0</v>
      </c>
      <c r="BQ15" s="19">
        <f t="shared" si="37"/>
        <v>2.7761946902654877E-2</v>
      </c>
      <c r="BR15" s="19">
        <f t="shared" si="37"/>
        <v>0</v>
      </c>
      <c r="BS15" s="19">
        <f t="shared" si="38"/>
        <v>1.7084275017018369E-2</v>
      </c>
      <c r="BT15" s="19">
        <f t="shared" si="46"/>
        <v>1.2813206262763721E-2</v>
      </c>
      <c r="BU15" s="19">
        <f t="shared" si="39"/>
        <v>-3.102722940776026E-2</v>
      </c>
      <c r="BV15" s="19">
        <f t="shared" si="39"/>
        <v>4.2710687542544257E-3</v>
      </c>
      <c r="BW15" s="19">
        <f t="shared" si="40"/>
        <v>0</v>
      </c>
      <c r="BX15" s="19">
        <f t="shared" si="41"/>
        <v>7.3528182437032186E-2</v>
      </c>
      <c r="BY15" s="19">
        <f t="shared" si="41"/>
        <v>-4.2710687542546477E-3</v>
      </c>
      <c r="BZ15" s="19">
        <f t="shared" si="41"/>
        <v>6.4066031313818605E-3</v>
      </c>
      <c r="CA15" s="19">
        <f t="shared" si="41"/>
        <v>0</v>
      </c>
      <c r="CB15" s="19">
        <f t="shared" si="42"/>
        <v>-6.6158679373723661E-2</v>
      </c>
      <c r="CC15" s="19">
        <f t="shared" si="42"/>
        <v>0</v>
      </c>
      <c r="CD15" s="19">
        <f t="shared" si="42"/>
        <v>0</v>
      </c>
      <c r="CE15" s="65"/>
      <c r="CG15" s="20">
        <f t="shared" si="47"/>
        <v>1.398800393723272</v>
      </c>
      <c r="CH15" s="20">
        <f>'Nonyl phenol'!AR18</f>
        <v>1.6281326776805509</v>
      </c>
      <c r="CI15" s="20">
        <f>'Nonyl phenol'!AS18</f>
        <v>1.4219847273399218</v>
      </c>
      <c r="CJ15" s="20">
        <f>'Nonyl phenol'!AT18</f>
        <v>1.3556195845571202</v>
      </c>
      <c r="CK15" s="20">
        <f>'Nonyl phenol'!AU18</f>
        <v>1.3650565010211027</v>
      </c>
      <c r="CL15" s="20">
        <f>'Nonyl phenol'!AV18</f>
        <v>1.4438186521443159</v>
      </c>
      <c r="CM15" s="20">
        <f>'Nonyl phenol'!AW18</f>
        <v>1.4008982300884956</v>
      </c>
      <c r="CN15" s="20">
        <f>'Nonyl phenol'!AX18</f>
        <v>1.4008982300884956</v>
      </c>
      <c r="CO15" s="20">
        <f>'Nonyl phenol'!AY18</f>
        <v>1.4008982300884956</v>
      </c>
      <c r="CP15" s="20">
        <f>'Nonyl phenol'!AZ18</f>
        <v>1.4008982300884956</v>
      </c>
      <c r="CQ15" s="20">
        <f>'Nonyl phenol'!BA18</f>
        <v>1.4668900612661673</v>
      </c>
      <c r="CR15" s="20">
        <f>'Nonyl phenol'!BB18</f>
        <v>1.4436089176310414</v>
      </c>
      <c r="CS15" s="20">
        <f>'Nonyl phenol'!BC18</f>
        <v>1.5085462469707283</v>
      </c>
      <c r="CT15" s="20">
        <f>'Nonyl phenol'!BD18</f>
        <v>1.4746790333560245</v>
      </c>
      <c r="CU15" s="20">
        <f>'Nonyl phenol'!BE18</f>
        <v>1.4746790333560245</v>
      </c>
      <c r="CV15" s="20">
        <f>'Nonyl phenol'!BF18</f>
        <v>1.4746790333560245</v>
      </c>
      <c r="CW15" s="20">
        <f>'Nonyl phenol'!BG18</f>
        <v>1.528067392784207</v>
      </c>
      <c r="CX15" s="20">
        <f>'Nonyl phenol'!BH18</f>
        <v>1.528067392784207</v>
      </c>
      <c r="CY15" s="20">
        <f>'Nonyl phenol'!BI18</f>
        <v>1.528067392784207</v>
      </c>
      <c r="CZ15" s="20">
        <f>'Nonyl phenol'!BJ18</f>
        <v>1.5387450646698435</v>
      </c>
      <c r="DA15" s="20">
        <f>'Nonyl phenol'!BK18</f>
        <v>1.5387450646698435</v>
      </c>
      <c r="DB15" s="20">
        <f>'Nonyl phenol'!BL18</f>
        <v>1.4747219196732471</v>
      </c>
      <c r="DC15" s="20">
        <f>'Nonyl phenol'!BM18</f>
        <v>1.274863512593601</v>
      </c>
      <c r="DD15" s="20">
        <f>'Nonyl phenol'!BN18</f>
        <v>1.3117110279101429</v>
      </c>
      <c r="DE15" s="20">
        <f>'Nonyl phenol'!BO18</f>
        <v>1.3699138869979577</v>
      </c>
      <c r="DF15" s="20">
        <f>'Nonyl phenol'!BP18</f>
        <v>1.5805777535738601</v>
      </c>
      <c r="DG15" s="20">
        <f>'Nonyl phenol'!BQ18</f>
        <v>1.3699138869979577</v>
      </c>
      <c r="DH15" s="20">
        <f>'Nonyl phenol'!BR18</f>
        <v>1.3699138869979577</v>
      </c>
      <c r="DI15" s="20">
        <f>'Nonyl phenol'!BS18</f>
        <v>1.3699138869979577</v>
      </c>
      <c r="DJ15" s="20">
        <f>'Nonyl phenol'!BT18</f>
        <v>1.2507863172226001</v>
      </c>
      <c r="DK15" s="20">
        <f>'Nonyl phenol'!BU18</f>
        <v>1.2507863172226001</v>
      </c>
      <c r="DL15" s="20">
        <f>'Nonyl phenol'!BV18</f>
        <v>1.2507863172226001</v>
      </c>
      <c r="DM15" s="20">
        <f>'Nonyl phenol'!BW18</f>
        <v>1.2507863172226001</v>
      </c>
      <c r="DN15" s="20">
        <f>'Nonyl phenol'!BX18</f>
        <v>1.2507863172226001</v>
      </c>
      <c r="DO15" s="20">
        <f>'Nonyl phenol'!BY18</f>
        <v>1.233702042205582</v>
      </c>
      <c r="DP15" s="20">
        <f>'Nonyl phenol'!BZ18</f>
        <v>1.233702042205582</v>
      </c>
      <c r="DQ15" s="20">
        <f>'Nonyl phenol'!CA18</f>
        <v>1.233702042205582</v>
      </c>
      <c r="DR15" s="20">
        <f>'Nonyl phenol'!CB18</f>
        <v>1.428703063308373</v>
      </c>
      <c r="DS15" s="20">
        <f>'Nonyl phenol'!CC18</f>
        <v>1.428703063308373</v>
      </c>
      <c r="DT15" s="20">
        <f>'Nonyl phenol'!CD18</f>
        <v>1.428703063308373</v>
      </c>
      <c r="DU15" s="20">
        <f>'Nonyl phenol'!CE18</f>
        <v>1.428703063308373</v>
      </c>
      <c r="DV15" s="20">
        <f>'Nonyl phenol'!CF18</f>
        <v>1.428703063308373</v>
      </c>
      <c r="DW15" s="20">
        <f>'Nonyl phenol'!CG18</f>
        <v>1.4158898570456093</v>
      </c>
      <c r="DX15" s="20">
        <f>'Nonyl phenol'!CH18</f>
        <v>1.4158898570456093</v>
      </c>
      <c r="DY15" s="20">
        <f>'Nonyl phenol'!CI18</f>
        <v>1.4158898570456093</v>
      </c>
      <c r="DZ15" s="20">
        <f>'Nonyl phenol'!CJ18</f>
        <v>1.4158898570456093</v>
      </c>
      <c r="EA15" s="20">
        <f>'Nonyl phenol'!CK18</f>
        <v>1.4308385976855003</v>
      </c>
      <c r="EB15" s="20">
        <f>'Nonyl phenol'!CL18</f>
        <v>1.4308385976855003</v>
      </c>
      <c r="EC15" s="20">
        <f>'Nonyl phenol'!CM18</f>
        <v>1.4308385976855003</v>
      </c>
      <c r="ED15" s="20">
        <f>'Nonyl phenol'!CN18</f>
        <v>1.4308385976855003</v>
      </c>
      <c r="EE15" s="20">
        <f>'Nonyl phenol'!CO18</f>
        <v>1.4308385976855003</v>
      </c>
      <c r="EF15" s="20">
        <f>'Nonyl phenol'!CP18</f>
        <v>1.4308385976855003</v>
      </c>
      <c r="EG15" s="20">
        <f>'Nonyl phenol'!CQ18</f>
        <v>1.4158898570456093</v>
      </c>
      <c r="EH15" s="20">
        <f>'Nonyl phenol'!CR18</f>
        <v>1.4217101429543908</v>
      </c>
      <c r="EI15" s="20">
        <f>'Nonyl phenol'!CS18</f>
        <v>1.4158898570456093</v>
      </c>
      <c r="EJ15" s="20">
        <f>'Nonyl phenol'!CT18</f>
        <v>1.4244319945541184</v>
      </c>
      <c r="EK15" s="20">
        <f>'Nonyl phenol'!CU18</f>
        <v>1.4244319945541184</v>
      </c>
      <c r="EL15" s="20">
        <f>'Nonyl phenol'!CV18</f>
        <v>1.4244319945541184</v>
      </c>
      <c r="EM15" s="20">
        <f>'Nonyl phenol'!CW18</f>
        <v>1.4244319945541184</v>
      </c>
      <c r="EN15" s="20">
        <f>'Nonyl phenol'!CX18</f>
        <v>1.4415162695711368</v>
      </c>
      <c r="EO15" s="20">
        <f>'Nonyl phenol'!CY18</f>
        <v>1.4607360789652823</v>
      </c>
      <c r="EP15" s="20">
        <f>'Nonyl phenol'!CZ18</f>
        <v>1.4607360789652823</v>
      </c>
      <c r="EQ15" s="20">
        <f>'Nonyl phenol'!DA18</f>
        <v>1.4586005445881551</v>
      </c>
      <c r="ER15" s="20">
        <f>'Nonyl phenol'!DB18</f>
        <v>1.4927690946221919</v>
      </c>
      <c r="ES15" s="20">
        <f>'Nonyl phenol'!DC18</f>
        <v>1.4927690946221919</v>
      </c>
      <c r="ET15" s="20">
        <f>'Nonyl phenol'!DD18</f>
        <v>1.4927690946221919</v>
      </c>
      <c r="EU15" s="20">
        <f>'Nonyl phenol'!DE18</f>
        <v>1.465007147719537</v>
      </c>
      <c r="EV15" s="20">
        <f>'Nonyl phenol'!DF18</f>
        <v>1.465007147719537</v>
      </c>
      <c r="EW15" s="20">
        <f>'Nonyl phenol'!DG18</f>
        <v>1.4479228727025186</v>
      </c>
      <c r="EX15" s="20">
        <f>'Nonyl phenol'!DH18</f>
        <v>1.4351096664397549</v>
      </c>
      <c r="EY15" s="20">
        <f>'Nonyl phenol'!DI18</f>
        <v>1.4661368958475152</v>
      </c>
      <c r="EZ15" s="20">
        <f>'Nonyl phenol'!DJ18</f>
        <v>1.4618658270932607</v>
      </c>
      <c r="FA15" s="20">
        <f>'Nonyl phenol'!DK18</f>
        <v>1.4618658270932607</v>
      </c>
      <c r="FB15" s="20">
        <f>'Nonyl phenol'!DL18</f>
        <v>1.3883376446562286</v>
      </c>
      <c r="FC15" s="20">
        <f>'Nonyl phenol'!DM18</f>
        <v>1.3926087134104832</v>
      </c>
      <c r="FD15" s="20">
        <f>'Nonyl phenol'!DN18</f>
        <v>1.3862021102791013</v>
      </c>
      <c r="FE15" s="20">
        <f>'Nonyl phenol'!DO18</f>
        <v>1.3862021102791013</v>
      </c>
      <c r="FF15" s="20">
        <f>'Nonyl phenol'!DP18</f>
        <v>1.452360789652825</v>
      </c>
      <c r="FG15" s="20">
        <f>'Nonyl phenol'!DQ18</f>
        <v>1.452360789652825</v>
      </c>
      <c r="FH15" s="20">
        <f>'Nonyl phenol'!DR18</f>
        <v>1.452360789652825</v>
      </c>
    </row>
    <row r="16" spans="1:164">
      <c r="A16" s="8" t="s">
        <v>203</v>
      </c>
      <c r="B16" s="263" t="s">
        <v>132</v>
      </c>
      <c r="C16" s="19">
        <f t="shared" si="48"/>
        <v>-3.8373011889305197E-2</v>
      </c>
      <c r="D16" s="19">
        <f t="shared" si="49"/>
        <v>-7.591232904202827E-2</v>
      </c>
      <c r="E16" s="19">
        <f t="shared" si="50"/>
        <v>-4.1838094407869453E-2</v>
      </c>
      <c r="F16" s="19">
        <f t="shared" si="51"/>
        <v>4.2122244021456035E-2</v>
      </c>
      <c r="G16" s="19">
        <f t="shared" si="52"/>
        <v>0.10235341504705453</v>
      </c>
      <c r="H16" s="19">
        <f t="shared" si="53"/>
        <v>6.8863292960055666E-2</v>
      </c>
      <c r="I16" s="19">
        <f t="shared" si="54"/>
        <v>-5.112413339425359E-5</v>
      </c>
      <c r="J16" s="19">
        <f t="shared" si="54"/>
        <v>-2.2240055595612596E-4</v>
      </c>
      <c r="K16" s="19">
        <f t="shared" si="44"/>
        <v>-2.2381227823498051E-4</v>
      </c>
      <c r="L16" s="19">
        <f t="shared" si="1"/>
        <v>-5.5062405099173262E-3</v>
      </c>
      <c r="M16" s="19">
        <f t="shared" si="2"/>
        <v>3.0708397097467532E-4</v>
      </c>
      <c r="N16" s="19">
        <f t="shared" si="3"/>
        <v>3.3913290606302215E-4</v>
      </c>
      <c r="O16" s="19">
        <f t="shared" si="4"/>
        <v>0</v>
      </c>
      <c r="P16" s="19">
        <f t="shared" si="5"/>
        <v>-4.8553069932066872E-4</v>
      </c>
      <c r="Q16" s="19">
        <f t="shared" si="5"/>
        <v>-3.6733609828871527E-2</v>
      </c>
      <c r="R16" s="19">
        <f t="shared" si="6"/>
        <v>2.6511585300064144E-3</v>
      </c>
      <c r="S16" s="19">
        <f t="shared" si="7"/>
        <v>-2.1202263141269273E-2</v>
      </c>
      <c r="T16" s="19">
        <f t="shared" si="8"/>
        <v>2.6610829507056621E-4</v>
      </c>
      <c r="U16" s="19">
        <f t="shared" si="8"/>
        <v>-1.0955565857099669E-2</v>
      </c>
      <c r="V16" s="19">
        <f t="shared" si="8"/>
        <v>2.8046625872857334E-5</v>
      </c>
      <c r="W16" s="19">
        <f t="shared" si="8"/>
        <v>2.6124595190724076E-3</v>
      </c>
      <c r="X16" s="19">
        <f t="shared" si="55"/>
        <v>-3.5841535910247857E-2</v>
      </c>
      <c r="Y16" s="19">
        <f t="shared" si="55"/>
        <v>2.3935521862705644E-2</v>
      </c>
      <c r="Z16" s="19">
        <f t="shared" si="9"/>
        <v>-2.8559255187743382E-5</v>
      </c>
      <c r="AA16" s="19">
        <f t="shared" si="10"/>
        <v>0</v>
      </c>
      <c r="AB16" s="19">
        <f t="shared" si="10"/>
        <v>1.3310059216031789E-4</v>
      </c>
      <c r="AC16" s="19">
        <f t="shared" si="10"/>
        <v>3.2424969592887765E-2</v>
      </c>
      <c r="AD16" s="19">
        <f t="shared" si="10"/>
        <v>6.7777539346914883E-3</v>
      </c>
      <c r="AE16" s="19">
        <f t="shared" si="11"/>
        <v>-2.2109973432467123E-2</v>
      </c>
      <c r="AF16" s="19">
        <f t="shared" si="11"/>
        <v>-7.9111815439070199E-5</v>
      </c>
      <c r="AG16" s="19">
        <f t="shared" si="12"/>
        <v>1.8906702837856448E-3</v>
      </c>
      <c r="AH16" s="19">
        <f t="shared" si="13"/>
        <v>-3.4078138595105001E-3</v>
      </c>
      <c r="AI16" s="19">
        <f t="shared" si="14"/>
        <v>9.0284387956995893E-5</v>
      </c>
      <c r="AJ16" s="19">
        <f t="shared" si="15"/>
        <v>-1.0206948028542717E-2</v>
      </c>
      <c r="AK16" s="19">
        <f t="shared" si="16"/>
        <v>-5.5381628590644993E-5</v>
      </c>
      <c r="AL16" s="19">
        <f t="shared" si="16"/>
        <v>9.2358311664098025E-6</v>
      </c>
      <c r="AM16" s="19">
        <f t="shared" si="17"/>
        <v>-1.0171669306324738E-4</v>
      </c>
      <c r="AN16" s="19">
        <f t="shared" si="18"/>
        <v>0</v>
      </c>
      <c r="AO16" s="19">
        <f t="shared" si="19"/>
        <v>-3.417015348874175E-3</v>
      </c>
      <c r="AP16" s="19">
        <f t="shared" si="20"/>
        <v>5.2795583362796883E-5</v>
      </c>
      <c r="AQ16" s="19">
        <f t="shared" si="20"/>
        <v>4.3700403796331777E-4</v>
      </c>
      <c r="AR16" s="19">
        <f t="shared" si="20"/>
        <v>-1.0538238142201006E-2</v>
      </c>
      <c r="AS16" s="19">
        <f t="shared" si="21"/>
        <v>-1.5622673028414802E-4</v>
      </c>
      <c r="AT16" s="19">
        <f t="shared" si="22"/>
        <v>1.6488622017696297E-4</v>
      </c>
      <c r="AU16" s="60" t="s">
        <v>40</v>
      </c>
      <c r="AV16" s="19">
        <f t="shared" si="23"/>
        <v>1.8137079422575475E-4</v>
      </c>
      <c r="AW16" s="19">
        <f t="shared" si="24"/>
        <v>-1.6775225962986529E-2</v>
      </c>
      <c r="AX16" s="19">
        <f t="shared" si="25"/>
        <v>-2.5788640148419417E-2</v>
      </c>
      <c r="AY16" s="19">
        <f t="shared" si="26"/>
        <v>2.5725721207414454E-2</v>
      </c>
      <c r="AZ16" s="19">
        <f t="shared" si="27"/>
        <v>4.0898945911378437E-3</v>
      </c>
      <c r="BA16" s="19">
        <f t="shared" si="28"/>
        <v>0</v>
      </c>
      <c r="BB16" s="19">
        <f t="shared" si="29"/>
        <v>0</v>
      </c>
      <c r="BC16" s="19">
        <f t="shared" si="30"/>
        <v>1.1724523240506435E-2</v>
      </c>
      <c r="BD16" s="19">
        <f t="shared" si="31"/>
        <v>-3.1387895258119247E-3</v>
      </c>
      <c r="BE16" s="19">
        <f t="shared" si="32"/>
        <v>8.811253543394848E-5</v>
      </c>
      <c r="BF16" s="19">
        <f t="shared" si="33"/>
        <v>1.7617669098809241E-2</v>
      </c>
      <c r="BG16" s="19">
        <f t="shared" si="33"/>
        <v>1.8270807110365439E-5</v>
      </c>
      <c r="BH16" s="19">
        <f t="shared" si="34"/>
        <v>7.2995755996174694E-5</v>
      </c>
      <c r="BI16" s="19">
        <f t="shared" si="34"/>
        <v>1.4940883722895926E-3</v>
      </c>
      <c r="BJ16" s="19">
        <f t="shared" si="35"/>
        <v>-2.5833665250275084E-2</v>
      </c>
      <c r="BK16" s="19">
        <f t="shared" si="36"/>
        <v>-2.5115040648874265E-3</v>
      </c>
      <c r="BL16" s="19">
        <f t="shared" si="45"/>
        <v>9.1892102811463872E-6</v>
      </c>
      <c r="BM16" s="19">
        <f t="shared" si="45"/>
        <v>-5.5168119411419525E-5</v>
      </c>
      <c r="BN16" s="19">
        <f t="shared" si="45"/>
        <v>-9.7372895283664995E-5</v>
      </c>
      <c r="BO16" s="19">
        <f t="shared" si="45"/>
        <v>-1.0112823468411136E-2</v>
      </c>
      <c r="BP16" s="19">
        <f t="shared" si="37"/>
        <v>0</v>
      </c>
      <c r="BQ16" s="19">
        <f t="shared" si="37"/>
        <v>3.7555936475559548E-3</v>
      </c>
      <c r="BR16" s="19">
        <f t="shared" si="37"/>
        <v>6.4353389087501434E-5</v>
      </c>
      <c r="BS16" s="19">
        <f t="shared" si="38"/>
        <v>-8.7363664794782858E-3</v>
      </c>
      <c r="BT16" s="19">
        <f t="shared" si="46"/>
        <v>-1.2719448735235561E-3</v>
      </c>
      <c r="BU16" s="19">
        <f t="shared" si="39"/>
        <v>-5.0080864691752769E-3</v>
      </c>
      <c r="BV16" s="19">
        <f t="shared" si="39"/>
        <v>8.1180943077852064E-6</v>
      </c>
      <c r="BW16" s="19">
        <f t="shared" si="40"/>
        <v>3.2453076008520654E-5</v>
      </c>
      <c r="BX16" s="19">
        <f t="shared" si="41"/>
        <v>7.2888227583944865E-4</v>
      </c>
      <c r="BY16" s="19">
        <f t="shared" si="41"/>
        <v>-2.12750758641711E-3</v>
      </c>
      <c r="BZ16" s="19">
        <f t="shared" si="41"/>
        <v>2.3513569082508012E-2</v>
      </c>
      <c r="CA16" s="19">
        <f t="shared" si="41"/>
        <v>-2.6339904554224525E-3</v>
      </c>
      <c r="CB16" s="19">
        <f t="shared" si="42"/>
        <v>7.8933057299612752E-4</v>
      </c>
      <c r="CC16" s="19">
        <f t="shared" si="42"/>
        <v>7.5950966276217002E-5</v>
      </c>
      <c r="CD16" s="19">
        <f t="shared" si="42"/>
        <v>-5.7502248511176468E-4</v>
      </c>
      <c r="CE16" s="65"/>
      <c r="CG16" s="20">
        <f t="shared" si="47"/>
        <v>0.87677002393152059</v>
      </c>
      <c r="CH16" s="20">
        <f>TEA!AR16</f>
        <v>0.91514303582082579</v>
      </c>
      <c r="CI16" s="20">
        <f>TEA!AS16</f>
        <v>0.99105536486285406</v>
      </c>
      <c r="CJ16" s="20">
        <f>TEA!AT16</f>
        <v>1.0328934592707235</v>
      </c>
      <c r="CK16" s="20">
        <f>TEA!AU16</f>
        <v>0.99077121524926748</v>
      </c>
      <c r="CL16" s="20">
        <f>TEA!AV16</f>
        <v>0.88841780020221295</v>
      </c>
      <c r="CM16" s="20">
        <f>TEA!AW16</f>
        <v>0.81955450724215728</v>
      </c>
      <c r="CN16" s="20">
        <f>TEA!AX16</f>
        <v>0.81960563137555154</v>
      </c>
      <c r="CO16" s="20">
        <f>TEA!AY16</f>
        <v>0.81982803193150766</v>
      </c>
      <c r="CP16" s="20">
        <f>TEA!AZ16</f>
        <v>0.82005184420974264</v>
      </c>
      <c r="CQ16" s="20">
        <f>TEA!BA16</f>
        <v>0.82555808471965997</v>
      </c>
      <c r="CR16" s="20">
        <f>TEA!BB16</f>
        <v>0.82525100074868529</v>
      </c>
      <c r="CS16" s="20">
        <f>TEA!BC16</f>
        <v>0.82491186784262227</v>
      </c>
      <c r="CT16" s="20">
        <f>TEA!BD16</f>
        <v>0.82491186784262227</v>
      </c>
      <c r="CU16" s="20">
        <f>TEA!BE16</f>
        <v>0.82539739854194294</v>
      </c>
      <c r="CV16" s="20">
        <f>TEA!BF16</f>
        <v>0.86213100837081447</v>
      </c>
      <c r="CW16" s="20">
        <f>TEA!BG16</f>
        <v>0.85947984984080805</v>
      </c>
      <c r="CX16" s="20">
        <f>TEA!BH16</f>
        <v>0.88068211298207733</v>
      </c>
      <c r="CY16" s="20">
        <f>TEA!BI16</f>
        <v>0.88041600468700676</v>
      </c>
      <c r="CZ16" s="20">
        <f>TEA!BJ16</f>
        <v>0.89137157054410643</v>
      </c>
      <c r="DA16" s="20">
        <f>TEA!BK16</f>
        <v>0.89134352391823357</v>
      </c>
      <c r="DB16" s="20">
        <f>TEA!BL16</f>
        <v>0.88873106439916116</v>
      </c>
      <c r="DC16" s="20">
        <f>TEA!BM16</f>
        <v>0.92457260030940902</v>
      </c>
      <c r="DD16" s="20">
        <f>TEA!BN16</f>
        <v>0.90063707844670338</v>
      </c>
      <c r="DE16" s="20">
        <f>TEA!BO16</f>
        <v>0.90066563770189112</v>
      </c>
      <c r="DF16" s="20">
        <f>TEA!BP16</f>
        <v>0.90066563770189112</v>
      </c>
      <c r="DG16" s="20">
        <f>TEA!BQ16</f>
        <v>0.9005325371097308</v>
      </c>
      <c r="DH16" s="20">
        <f>TEA!BR16</f>
        <v>0.86810756751684304</v>
      </c>
      <c r="DI16" s="20">
        <f>TEA!BS16</f>
        <v>0.86132981358215155</v>
      </c>
      <c r="DJ16" s="20">
        <f>TEA!BT16</f>
        <v>0.88343978701461867</v>
      </c>
      <c r="DK16" s="20">
        <f>TEA!BU16</f>
        <v>0.88351889883005774</v>
      </c>
      <c r="DL16" s="20">
        <f>TEA!BV16</f>
        <v>0.8816282285462721</v>
      </c>
      <c r="DM16" s="20">
        <f>TEA!BW16</f>
        <v>0.8850360424057826</v>
      </c>
      <c r="DN16" s="20">
        <f>TEA!BX16</f>
        <v>0.8849457580178256</v>
      </c>
      <c r="DO16" s="20">
        <f>TEA!BY16</f>
        <v>0.89515270604636832</v>
      </c>
      <c r="DP16" s="20">
        <f>TEA!BZ16</f>
        <v>0.89520808767495896</v>
      </c>
      <c r="DQ16" s="20">
        <f>TEA!CA16</f>
        <v>0.89519885184379255</v>
      </c>
      <c r="DR16" s="20">
        <f>TEA!CB16</f>
        <v>0.8953005685368558</v>
      </c>
      <c r="DS16" s="20">
        <f>TEA!CC16</f>
        <v>0.8953005685368558</v>
      </c>
      <c r="DT16" s="20">
        <f>TEA!CD16</f>
        <v>0.89871758388572998</v>
      </c>
      <c r="DU16" s="20">
        <f>TEA!CE16</f>
        <v>0.89866478830236718</v>
      </c>
      <c r="DV16" s="20">
        <f>TEA!CF16</f>
        <v>0.89822778426440386</v>
      </c>
      <c r="DW16" s="20">
        <f>TEA!CG16</f>
        <v>0.90876602240660487</v>
      </c>
      <c r="DX16" s="20">
        <f>TEA!CH16</f>
        <v>0.90892224913688902</v>
      </c>
      <c r="DY16" s="20">
        <f>TEA!CI16</f>
        <v>0.90875736291671205</v>
      </c>
      <c r="DZ16" s="20">
        <f>TEA!CJ16</f>
        <v>0.9085759921224863</v>
      </c>
      <c r="EA16" s="20">
        <f>TEA!CK16</f>
        <v>0.92535121808547283</v>
      </c>
      <c r="EB16" s="20">
        <f>TEA!CL16</f>
        <v>0.95113985823389224</v>
      </c>
      <c r="EC16" s="20">
        <f>TEA!CM16</f>
        <v>0.92541413702647779</v>
      </c>
      <c r="ED16" s="20">
        <f>TEA!CN16</f>
        <v>0.92132424243533995</v>
      </c>
      <c r="EE16" s="20">
        <f>TEA!CO16</f>
        <v>0.92132424243533995</v>
      </c>
      <c r="EF16" s="20">
        <f>TEA!CP16</f>
        <v>0.92132424243533995</v>
      </c>
      <c r="EG16" s="20">
        <f>TEA!CQ16</f>
        <v>0.90959971919483351</v>
      </c>
      <c r="EH16" s="20">
        <f>TEA!CR16</f>
        <v>0.91273850872064544</v>
      </c>
      <c r="EI16" s="20">
        <f>TEA!CS16</f>
        <v>0.91265039618521149</v>
      </c>
      <c r="EJ16" s="20">
        <f>TEA!CT16</f>
        <v>0.89503272708640225</v>
      </c>
      <c r="EK16" s="20">
        <f>TEA!CU16</f>
        <v>0.89501445627929188</v>
      </c>
      <c r="EL16" s="20">
        <f>TEA!CV16</f>
        <v>0.89494146052329571</v>
      </c>
      <c r="EM16" s="20">
        <f>TEA!CW16</f>
        <v>0.89344737215100611</v>
      </c>
      <c r="EN16" s="20">
        <f>TEA!CX16</f>
        <v>0.9192810374012812</v>
      </c>
      <c r="EO16" s="20">
        <f>TEA!CY16</f>
        <v>0.92179254146616862</v>
      </c>
      <c r="EP16" s="20">
        <f>TEA!CZ16</f>
        <v>0.92178335225588748</v>
      </c>
      <c r="EQ16" s="20">
        <f>TEA!DA16</f>
        <v>0.9218385203752989</v>
      </c>
      <c r="ER16" s="20">
        <f>TEA!DB16</f>
        <v>0.92193589327058256</v>
      </c>
      <c r="ES16" s="20">
        <f>TEA!DC16</f>
        <v>0.9320487167389937</v>
      </c>
      <c r="ET16" s="20">
        <f>TEA!DD16</f>
        <v>0.9320487167389937</v>
      </c>
      <c r="EU16" s="20">
        <f>TEA!DE16</f>
        <v>0.92829312309143774</v>
      </c>
      <c r="EV16" s="20">
        <f>TEA!DF16</f>
        <v>0.92822876970235024</v>
      </c>
      <c r="EW16" s="20">
        <f>TEA!DG16</f>
        <v>0.93696513618182853</v>
      </c>
      <c r="EX16" s="20">
        <f>TEA!DH16</f>
        <v>0.93823708105535208</v>
      </c>
      <c r="EY16" s="20">
        <f>TEA!DI16</f>
        <v>0.94324516752452736</v>
      </c>
      <c r="EZ16" s="20">
        <f>TEA!DJ16</f>
        <v>0.94323704943021958</v>
      </c>
      <c r="FA16" s="20">
        <f>TEA!DK16</f>
        <v>0.94320459635421106</v>
      </c>
      <c r="FB16" s="20">
        <f>TEA!DL16</f>
        <v>0.94247571407837161</v>
      </c>
      <c r="FC16" s="20">
        <f>TEA!DM16</f>
        <v>0.94460322166478872</v>
      </c>
      <c r="FD16" s="20">
        <f>TEA!DN16</f>
        <v>0.9210896525822807</v>
      </c>
      <c r="FE16" s="20">
        <f>TEA!DO16</f>
        <v>0.92372364303770316</v>
      </c>
      <c r="FF16" s="20">
        <f>TEA!DP16</f>
        <v>0.92293431246470703</v>
      </c>
      <c r="FG16" s="20">
        <f>TEA!DQ16</f>
        <v>0.92285836149843081</v>
      </c>
      <c r="FH16" s="20">
        <f>TEA!DR16</f>
        <v>0.92343338398354258</v>
      </c>
    </row>
    <row r="17" spans="1:164">
      <c r="A17" s="8" t="s">
        <v>212</v>
      </c>
      <c r="B17" s="263" t="s">
        <v>218</v>
      </c>
      <c r="C17" s="19">
        <f t="shared" si="48"/>
        <v>0.16402460952066256</v>
      </c>
      <c r="D17" s="19">
        <f t="shared" si="49"/>
        <v>-4.9629831964433713E-2</v>
      </c>
      <c r="E17" s="19">
        <f t="shared" si="50"/>
        <v>-9.0928528370130435E-2</v>
      </c>
      <c r="F17" s="19">
        <f t="shared" si="51"/>
        <v>-9.1396183407429721E-2</v>
      </c>
      <c r="G17" s="19">
        <f t="shared" si="52"/>
        <v>0.10300090422726238</v>
      </c>
      <c r="H17" s="19">
        <f t="shared" si="53"/>
        <v>0.17555572300504863</v>
      </c>
      <c r="I17" s="19">
        <f t="shared" si="54"/>
        <v>-3.1268131640419083E-2</v>
      </c>
      <c r="J17" s="19">
        <f t="shared" si="54"/>
        <v>-4.9661150252430009E-2</v>
      </c>
      <c r="K17" s="19">
        <f t="shared" si="44"/>
        <v>-1.6336278351292144E-2</v>
      </c>
      <c r="L17" s="19">
        <f t="shared" si="1"/>
        <v>-2.7957388290257068E-2</v>
      </c>
      <c r="M17" s="19">
        <f t="shared" si="2"/>
        <v>-3.8659577273754797E-2</v>
      </c>
      <c r="N17" s="19">
        <f t="shared" si="3"/>
        <v>7.3572074448045033E-3</v>
      </c>
      <c r="O17" s="19">
        <f t="shared" si="4"/>
        <v>-3.3342720970537254E-2</v>
      </c>
      <c r="P17" s="19">
        <f t="shared" si="5"/>
        <v>0</v>
      </c>
      <c r="Q17" s="19">
        <f t="shared" si="5"/>
        <v>1.6019045286715272E-2</v>
      </c>
      <c r="R17" s="19">
        <f t="shared" si="6"/>
        <v>-5.3105926456182617E-2</v>
      </c>
      <c r="S17" s="19">
        <f t="shared" si="7"/>
        <v>-6.2820718107150952E-2</v>
      </c>
      <c r="T17" s="19">
        <f t="shared" si="8"/>
        <v>3.5424515861653294E-2</v>
      </c>
      <c r="U17" s="19">
        <f t="shared" si="8"/>
        <v>4.5614686157787743E-2</v>
      </c>
      <c r="V17" s="19">
        <f t="shared" si="8"/>
        <v>-7.4507384522644049E-3</v>
      </c>
      <c r="W17" s="19">
        <f t="shared" si="8"/>
        <v>1.3978694145128534E-2</v>
      </c>
      <c r="X17" s="19">
        <f t="shared" si="55"/>
        <v>2.6420390324766174E-3</v>
      </c>
      <c r="Y17" s="19">
        <f t="shared" si="55"/>
        <v>-1.6909049807851684E-2</v>
      </c>
      <c r="Z17" s="19">
        <f t="shared" si="9"/>
        <v>3.0278332454223733E-2</v>
      </c>
      <c r="AA17" s="19">
        <f t="shared" si="10"/>
        <v>-1.7657297867530897E-2</v>
      </c>
      <c r="AB17" s="19">
        <f t="shared" si="10"/>
        <v>1.5450135634089479E-2</v>
      </c>
      <c r="AC17" s="19">
        <f t="shared" si="10"/>
        <v>1.4714414889609007E-2</v>
      </c>
      <c r="AD17" s="19">
        <f t="shared" si="10"/>
        <v>2.1038919448421289E-2</v>
      </c>
      <c r="AE17" s="19">
        <f t="shared" si="11"/>
        <v>-2.5010643508401875E-2</v>
      </c>
      <c r="AF17" s="19">
        <f t="shared" si="11"/>
        <v>6.14996985909122E-3</v>
      </c>
      <c r="AG17" s="19">
        <f t="shared" si="12"/>
        <v>-1.2507252656167589E-2</v>
      </c>
      <c r="AH17" s="19">
        <f t="shared" si="13"/>
        <v>-4.086287770326269E-2</v>
      </c>
      <c r="AI17" s="19">
        <f t="shared" si="14"/>
        <v>-6.2271117474193005E-3</v>
      </c>
      <c r="AJ17" s="19">
        <f t="shared" si="15"/>
        <v>-5.0089763393866171E-2</v>
      </c>
      <c r="AK17" s="19">
        <f t="shared" si="16"/>
        <v>-1.2112877703262637E-2</v>
      </c>
      <c r="AL17" s="19">
        <f t="shared" si="16"/>
        <v>-2.8693109034737541E-2</v>
      </c>
      <c r="AM17" s="19">
        <f t="shared" si="17"/>
        <v>4.1462587597007605E-4</v>
      </c>
      <c r="AN17" s="19">
        <f t="shared" si="18"/>
        <v>4.6013864818024164E-3</v>
      </c>
      <c r="AO17" s="19">
        <f t="shared" si="19"/>
        <v>4.6765503729950808E-4</v>
      </c>
      <c r="AP17" s="19">
        <f t="shared" si="20"/>
        <v>-1.3978694145128534E-2</v>
      </c>
      <c r="AQ17" s="19">
        <f t="shared" si="20"/>
        <v>1.3210195162385308E-3</v>
      </c>
      <c r="AR17" s="19">
        <f t="shared" si="20"/>
        <v>-2.9428829779218901E-3</v>
      </c>
      <c r="AS17" s="19">
        <f t="shared" si="21"/>
        <v>-3.4578874990580877E-2</v>
      </c>
      <c r="AT17" s="19">
        <f t="shared" si="22"/>
        <v>9.5643696782456988E-3</v>
      </c>
      <c r="AU17" s="60" t="s">
        <v>40</v>
      </c>
      <c r="AV17" s="19">
        <f t="shared" si="23"/>
        <v>5.8857659558435582E-3</v>
      </c>
      <c r="AW17" s="19">
        <f t="shared" si="24"/>
        <v>5.8288749905810455E-3</v>
      </c>
      <c r="AX17" s="19">
        <f t="shared" si="25"/>
        <v>9.2066347675383575E-3</v>
      </c>
      <c r="AY17" s="19">
        <f t="shared" si="26"/>
        <v>3.9533192675758944E-2</v>
      </c>
      <c r="AZ17" s="19">
        <f t="shared" si="27"/>
        <v>1.3403285359059325E-4</v>
      </c>
      <c r="BA17" s="19">
        <f t="shared" si="28"/>
        <v>-1.6218634616831373E-3</v>
      </c>
      <c r="BB17" s="19">
        <f t="shared" si="29"/>
        <v>-1.1035811167206866E-2</v>
      </c>
      <c r="BC17" s="19">
        <f t="shared" si="30"/>
        <v>0</v>
      </c>
      <c r="BD17" s="19">
        <f t="shared" si="31"/>
        <v>2.6485946801296123E-2</v>
      </c>
      <c r="BE17" s="19">
        <f t="shared" si="32"/>
        <v>1.6921577123050202E-2</v>
      </c>
      <c r="BF17" s="19">
        <f t="shared" si="33"/>
        <v>-5.4129963830909622E-2</v>
      </c>
      <c r="BG17" s="19">
        <f t="shared" si="33"/>
        <v>1.6921577123050424E-2</v>
      </c>
      <c r="BH17" s="19">
        <f t="shared" si="34"/>
        <v>7.9425062165623395E-3</v>
      </c>
      <c r="BI17" s="19">
        <f t="shared" si="34"/>
        <v>2.9428829779218901E-3</v>
      </c>
      <c r="BJ17" s="19">
        <f t="shared" si="35"/>
        <v>2.280734307889376E-2</v>
      </c>
      <c r="BK17" s="19">
        <f t="shared" si="36"/>
        <v>-3.0900271268178736E-2</v>
      </c>
      <c r="BL17" s="19">
        <f t="shared" si="45"/>
        <v>-7.206785472082089E-3</v>
      </c>
      <c r="BM17" s="19">
        <f t="shared" si="45"/>
        <v>1.8978317383769205E-2</v>
      </c>
      <c r="BN17" s="19">
        <f t="shared" si="45"/>
        <v>-1.9888572827970741E-2</v>
      </c>
      <c r="BO17" s="19">
        <f t="shared" si="45"/>
        <v>1.0771607263958982E-2</v>
      </c>
      <c r="BP17" s="19">
        <f t="shared" si="37"/>
        <v>3.4164249114610801E-2</v>
      </c>
      <c r="BQ17" s="19">
        <f t="shared" si="37"/>
        <v>4.0970914023057414E-3</v>
      </c>
      <c r="BR17" s="19">
        <f t="shared" si="37"/>
        <v>6.6214867003240307E-3</v>
      </c>
      <c r="BS17" s="19">
        <f t="shared" si="38"/>
        <v>-3.6050316479541822E-2</v>
      </c>
      <c r="BT17" s="19">
        <f t="shared" si="46"/>
        <v>6.6779914851932798E-2</v>
      </c>
      <c r="BU17" s="19">
        <f t="shared" si="39"/>
        <v>2.9428829779216681E-3</v>
      </c>
      <c r="BV17" s="19">
        <f t="shared" si="39"/>
        <v>5.5849220103987296E-3</v>
      </c>
      <c r="BW17" s="19">
        <f t="shared" si="40"/>
        <v>-1.2507252656167589E-2</v>
      </c>
      <c r="BX17" s="19">
        <f t="shared" si="41"/>
        <v>2.6485946801296123E-2</v>
      </c>
      <c r="BY17" s="19">
        <f t="shared" si="41"/>
        <v>-6.4874538467334375E-3</v>
      </c>
      <c r="BZ17" s="19">
        <f t="shared" si="41"/>
        <v>9.4505877477204514E-3</v>
      </c>
      <c r="CA17" s="19">
        <f t="shared" si="41"/>
        <v>-8.8286489337652263E-3</v>
      </c>
      <c r="CB17" s="19">
        <f t="shared" si="42"/>
        <v>-2.9428829779218901E-3</v>
      </c>
      <c r="CC17" s="19">
        <f t="shared" si="42"/>
        <v>-5.1500452113630857E-3</v>
      </c>
      <c r="CD17" s="19">
        <f t="shared" si="42"/>
        <v>1.3092551427925425E-2</v>
      </c>
      <c r="CE17" s="65"/>
      <c r="CG17" s="20">
        <f t="shared" si="47"/>
        <v>1.4424653826349718</v>
      </c>
      <c r="CH17" s="20">
        <f>'Ethyl benzene'!AR16</f>
        <v>1.2784407731143093</v>
      </c>
      <c r="CI17" s="20">
        <f>'Ethyl benzene'!AS16</f>
        <v>1.328070605078743</v>
      </c>
      <c r="CJ17" s="20">
        <f>'Ethyl benzene'!AT16</f>
        <v>1.4189991334488734</v>
      </c>
      <c r="CK17" s="20">
        <f>'Ethyl benzene'!AU16</f>
        <v>1.5103953168563031</v>
      </c>
      <c r="CL17" s="20">
        <f>'Ethyl benzene'!AV16</f>
        <v>1.4073944126290407</v>
      </c>
      <c r="CM17" s="20">
        <f>'Ethyl benzene'!AW16</f>
        <v>1.2318386896239921</v>
      </c>
      <c r="CN17" s="20">
        <f>'Ethyl benzene'!AX16</f>
        <v>1.2631068212644112</v>
      </c>
      <c r="CO17" s="20">
        <f>'Ethyl benzene'!AY16</f>
        <v>1.3127679715168412</v>
      </c>
      <c r="CP17" s="20">
        <f>'Ethyl benzene'!AZ16</f>
        <v>1.3291042498681334</v>
      </c>
      <c r="CQ17" s="20">
        <f>'Ethyl benzene'!BA16</f>
        <v>1.3570616381583904</v>
      </c>
      <c r="CR17" s="20">
        <f>'Ethyl benzene'!BB16</f>
        <v>1.3957212154321452</v>
      </c>
      <c r="CS17" s="20">
        <f>'Ethyl benzene'!BC16</f>
        <v>1.3883640079873407</v>
      </c>
      <c r="CT17" s="20">
        <f>'Ethyl benzene'!BD16</f>
        <v>1.421706728957878</v>
      </c>
      <c r="CU17" s="20">
        <f>'Ethyl benzene'!BE16</f>
        <v>1.421706728957878</v>
      </c>
      <c r="CV17" s="20">
        <f>'Ethyl benzene'!BF16</f>
        <v>1.4056876836711627</v>
      </c>
      <c r="CW17" s="20">
        <f>'Ethyl benzene'!BG16</f>
        <v>1.4587936101273453</v>
      </c>
      <c r="CX17" s="20">
        <f>'Ethyl benzene'!BH16</f>
        <v>1.5216143282344963</v>
      </c>
      <c r="CY17" s="20">
        <f>'Ethyl benzene'!BI16</f>
        <v>1.486189812372843</v>
      </c>
      <c r="CZ17" s="20">
        <f>'Ethyl benzene'!BJ16</f>
        <v>1.4405751262150552</v>
      </c>
      <c r="DA17" s="20">
        <f>'Ethyl benzene'!BK16</f>
        <v>1.4480258646673196</v>
      </c>
      <c r="DB17" s="20">
        <f>'Ethyl benzene'!BL16</f>
        <v>1.4340471705221911</v>
      </c>
      <c r="DC17" s="20">
        <f>'Ethyl benzene'!BM16</f>
        <v>1.4314051314897145</v>
      </c>
      <c r="DD17" s="20">
        <f>'Ethyl benzene'!BN16</f>
        <v>1.4483141812975662</v>
      </c>
      <c r="DE17" s="20">
        <f>'Ethyl benzene'!BO16</f>
        <v>1.4180358488433424</v>
      </c>
      <c r="DF17" s="20">
        <f>'Ethyl benzene'!BP16</f>
        <v>1.4356931467108733</v>
      </c>
      <c r="DG17" s="20">
        <f>'Ethyl benzene'!BQ16</f>
        <v>1.4202430110767839</v>
      </c>
      <c r="DH17" s="20">
        <f>'Ethyl benzene'!BR16</f>
        <v>1.4055285961871749</v>
      </c>
      <c r="DI17" s="20">
        <f>'Ethyl benzene'!BS16</f>
        <v>1.3844896767387536</v>
      </c>
      <c r="DJ17" s="20">
        <f>'Ethyl benzene'!BT16</f>
        <v>1.4095003202471554</v>
      </c>
      <c r="DK17" s="20">
        <f>'Ethyl benzene'!BU16</f>
        <v>1.4033503503880642</v>
      </c>
      <c r="DL17" s="20">
        <f>'Ethyl benzene'!BV16</f>
        <v>1.4158576030442318</v>
      </c>
      <c r="DM17" s="20">
        <f>'Ethyl benzene'!BW16</f>
        <v>1.4567204807474945</v>
      </c>
      <c r="DN17" s="20">
        <f>'Ethyl benzene'!BX16</f>
        <v>1.4629475924949138</v>
      </c>
      <c r="DO17" s="20">
        <f>'Ethyl benzene'!BY16</f>
        <v>1.51303735588878</v>
      </c>
      <c r="DP17" s="20">
        <f>'Ethyl benzene'!BZ16</f>
        <v>1.5251502335920426</v>
      </c>
      <c r="DQ17" s="20">
        <f>'Ethyl benzene'!CA16</f>
        <v>1.5538433426267801</v>
      </c>
      <c r="DR17" s="20">
        <f>'Ethyl benzene'!CB16</f>
        <v>1.5534287167508101</v>
      </c>
      <c r="DS17" s="20">
        <f>'Ethyl benzene'!CC16</f>
        <v>1.5488273302690077</v>
      </c>
      <c r="DT17" s="20">
        <f>'Ethyl benzene'!CD16</f>
        <v>1.5483596752317081</v>
      </c>
      <c r="DU17" s="20">
        <f>'Ethyl benzene'!CE16</f>
        <v>1.5623383693768367</v>
      </c>
      <c r="DV17" s="20">
        <f>'Ethyl benzene'!CF16</f>
        <v>1.5610173498605981</v>
      </c>
      <c r="DW17" s="20">
        <f>'Ethyl benzene'!CG16</f>
        <v>1.56396023283852</v>
      </c>
      <c r="DX17" s="20">
        <f>'Ethyl benzene'!CH16</f>
        <v>1.5985391078291009</v>
      </c>
      <c r="DY17" s="20">
        <f>'Ethyl benzene'!CI16</f>
        <v>1.5889747381508552</v>
      </c>
      <c r="DZ17" s="20">
        <f>'Ethyl benzene'!CJ16</f>
        <v>1.5830889721950117</v>
      </c>
      <c r="EA17" s="20">
        <f>'Ethyl benzene'!CK16</f>
        <v>1.5772600972044306</v>
      </c>
      <c r="EB17" s="20">
        <f>'Ethyl benzene'!CL16</f>
        <v>1.5680534624368923</v>
      </c>
      <c r="EC17" s="20">
        <f>'Ethyl benzene'!CM16</f>
        <v>1.5285202697611333</v>
      </c>
      <c r="ED17" s="20">
        <f>'Ethyl benzene'!CN16</f>
        <v>1.5283862369075427</v>
      </c>
      <c r="EE17" s="20">
        <f>'Ethyl benzene'!CO16</f>
        <v>1.5300081003692259</v>
      </c>
      <c r="EF17" s="20">
        <f>'Ethyl benzene'!CP16</f>
        <v>1.5410439115364327</v>
      </c>
      <c r="EG17" s="20">
        <f>'Ethyl benzene'!CQ16</f>
        <v>1.5410439115364327</v>
      </c>
      <c r="EH17" s="20">
        <f>'Ethyl benzene'!CR16</f>
        <v>1.5145579647351366</v>
      </c>
      <c r="EI17" s="20">
        <f>'Ethyl benzene'!CS16</f>
        <v>1.4976363876120864</v>
      </c>
      <c r="EJ17" s="20">
        <f>'Ethyl benzene'!CT16</f>
        <v>1.551766351442996</v>
      </c>
      <c r="EK17" s="20">
        <f>'Ethyl benzene'!CU16</f>
        <v>1.5348447743199456</v>
      </c>
      <c r="EL17" s="20">
        <f>'Ethyl benzene'!CV16</f>
        <v>1.5269022681033833</v>
      </c>
      <c r="EM17" s="20">
        <f>'Ethyl benzene'!CW16</f>
        <v>1.5239593851254614</v>
      </c>
      <c r="EN17" s="20">
        <f>'Ethyl benzene'!CX16</f>
        <v>1.5011520420465676</v>
      </c>
      <c r="EO17" s="20">
        <f>'Ethyl benzene'!CY16</f>
        <v>1.5320523133147463</v>
      </c>
      <c r="EP17" s="20">
        <f>'Ethyl benzene'!CZ16</f>
        <v>1.5392590987868284</v>
      </c>
      <c r="EQ17" s="20">
        <f>'Ethyl benzene'!DA16</f>
        <v>1.5202807814030592</v>
      </c>
      <c r="ER17" s="20">
        <f>'Ethyl benzene'!DB16</f>
        <v>1.54016935423103</v>
      </c>
      <c r="ES17" s="20">
        <f>'Ethyl benzene'!DC16</f>
        <v>1.529397746967071</v>
      </c>
      <c r="ET17" s="20">
        <f>'Ethyl benzene'!DD16</f>
        <v>1.4952334978524602</v>
      </c>
      <c r="EU17" s="20">
        <f>'Ethyl benzene'!DE16</f>
        <v>1.4911364064501544</v>
      </c>
      <c r="EV17" s="20">
        <f>'Ethyl benzene'!DF16</f>
        <v>1.4845149197498304</v>
      </c>
      <c r="EW17" s="20">
        <f>'Ethyl benzene'!DG16</f>
        <v>1.5205652362293722</v>
      </c>
      <c r="EX17" s="20">
        <f>'Ethyl benzene'!DH16</f>
        <v>1.4537853213774394</v>
      </c>
      <c r="EY17" s="20">
        <f>'Ethyl benzene'!DI16</f>
        <v>1.4508424383995178</v>
      </c>
      <c r="EZ17" s="20">
        <f>'Ethyl benzene'!DJ16</f>
        <v>1.445257516389119</v>
      </c>
      <c r="FA17" s="20">
        <f>'Ethyl benzene'!DK16</f>
        <v>1.4577647690452866</v>
      </c>
      <c r="FB17" s="20">
        <f>'Ethyl benzene'!DL16</f>
        <v>1.4312788222439905</v>
      </c>
      <c r="FC17" s="20">
        <f>'Ethyl benzene'!DM16</f>
        <v>1.4377662760907239</v>
      </c>
      <c r="FD17" s="20">
        <f>'Ethyl benzene'!DN16</f>
        <v>1.4283156883430035</v>
      </c>
      <c r="FE17" s="20">
        <f>'Ethyl benzene'!DO16</f>
        <v>1.4371443372767687</v>
      </c>
      <c r="FF17" s="20">
        <f>'Ethyl benzene'!DP16</f>
        <v>1.4400872202546906</v>
      </c>
      <c r="FG17" s="20">
        <f>'Ethyl benzene'!DQ16</f>
        <v>1.4452372654660537</v>
      </c>
      <c r="FH17" s="20">
        <f>'Ethyl benzene'!DR16</f>
        <v>1.4321447140381283</v>
      </c>
    </row>
    <row r="18" spans="1:164">
      <c r="A18" s="8" t="s">
        <v>207</v>
      </c>
      <c r="B18" s="263" t="s">
        <v>219</v>
      </c>
      <c r="C18" s="19">
        <f>+CG18-CH18</f>
        <v>-7.8747084464247274E-2</v>
      </c>
      <c r="D18" s="19">
        <f t="shared" si="49"/>
        <v>-7.9655313073629941E-3</v>
      </c>
      <c r="E18" s="19">
        <f t="shared" si="50"/>
        <v>-9.5586375688353931E-2</v>
      </c>
      <c r="F18" s="19">
        <f t="shared" si="51"/>
        <v>-0.10753467264939842</v>
      </c>
      <c r="G18" s="19">
        <f t="shared" si="52"/>
        <v>0.1115174383030797</v>
      </c>
      <c r="H18" s="19">
        <f>+CL18-CM18</f>
        <v>0.37143126657148695</v>
      </c>
      <c r="I18" s="19">
        <f t="shared" si="54"/>
        <v>-3.3853508056292059E-2</v>
      </c>
      <c r="J18" s="19">
        <f t="shared" si="54"/>
        <v>-5.37673363246991E-2</v>
      </c>
      <c r="K18" s="19">
        <f t="shared" si="44"/>
        <v>-1.9117275137670919E-2</v>
      </c>
      <c r="L18" s="19">
        <f t="shared" si="1"/>
        <v>-3.0269018967978623E-2</v>
      </c>
      <c r="M18" s="19">
        <f t="shared" si="2"/>
        <v>-2.4693147052824882E-2</v>
      </c>
      <c r="N18" s="19">
        <f t="shared" si="3"/>
        <v>7.965531307362772E-3</v>
      </c>
      <c r="O18" s="19">
        <f t="shared" si="4"/>
        <v>-1.0355190699571581E-2</v>
      </c>
      <c r="P18" s="19">
        <f t="shared" si="5"/>
        <v>0</v>
      </c>
      <c r="Q18" s="19">
        <f t="shared" si="5"/>
        <v>8.7620844380991159E-3</v>
      </c>
      <c r="R18" s="19">
        <f t="shared" si="6"/>
        <v>-5.1775953497858573E-2</v>
      </c>
      <c r="S18" s="19">
        <f t="shared" si="7"/>
        <v>-6.372425045890262E-2</v>
      </c>
      <c r="T18" s="19">
        <f t="shared" si="8"/>
        <v>4.7793187844177076E-2</v>
      </c>
      <c r="U18" s="19">
        <f t="shared" si="8"/>
        <v>4.9386294105649542E-2</v>
      </c>
      <c r="V18" s="19">
        <f t="shared" si="8"/>
        <v>-1.0355190699571803E-2</v>
      </c>
      <c r="W18" s="19">
        <f t="shared" si="8"/>
        <v>1.5134509483989422E-2</v>
      </c>
      <c r="X18" s="19">
        <f t="shared" si="55"/>
        <v>0</v>
      </c>
      <c r="Y18" s="19">
        <f t="shared" si="55"/>
        <v>0</v>
      </c>
      <c r="Z18" s="19">
        <f t="shared" si="9"/>
        <v>3.1065572098715188E-2</v>
      </c>
      <c r="AA18" s="19">
        <f t="shared" si="10"/>
        <v>-1.9117275137670919E-2</v>
      </c>
      <c r="AB18" s="19">
        <f t="shared" si="10"/>
        <v>1.672761574546211E-2</v>
      </c>
      <c r="AC18" s="19">
        <f t="shared" si="10"/>
        <v>1.5931062614725544E-2</v>
      </c>
      <c r="AD18" s="19">
        <f t="shared" si="10"/>
        <v>8.7620844380991159E-3</v>
      </c>
      <c r="AE18" s="19">
        <f t="shared" si="11"/>
        <v>-3.8234550275341617E-2</v>
      </c>
      <c r="AF18" s="19">
        <f t="shared" si="11"/>
        <v>6.3724250458903064E-3</v>
      </c>
      <c r="AG18" s="19">
        <f t="shared" si="12"/>
        <v>-1.3541403222516735E-2</v>
      </c>
      <c r="AH18" s="19">
        <f t="shared" si="13"/>
        <v>-3.8234550275341617E-2</v>
      </c>
      <c r="AI18" s="19">
        <f t="shared" si="14"/>
        <v>-1.5931062614726876E-3</v>
      </c>
      <c r="AJ18" s="19">
        <f t="shared" si="15"/>
        <v>-4.2217315929022892E-2</v>
      </c>
      <c r="AK18" s="19">
        <f t="shared" si="16"/>
        <v>-7.9655313073629941E-3</v>
      </c>
      <c r="AL18" s="19">
        <f t="shared" si="16"/>
        <v>-3.1065572098714966E-2</v>
      </c>
      <c r="AM18" s="19">
        <f t="shared" si="17"/>
        <v>1.5931062614724656E-3</v>
      </c>
      <c r="AN18" s="19">
        <f t="shared" si="18"/>
        <v>9.5586375688354597E-3</v>
      </c>
      <c r="AO18" s="19">
        <f t="shared" si="19"/>
        <v>1.1948296961044269E-2</v>
      </c>
      <c r="AP18" s="19">
        <f t="shared" si="20"/>
        <v>-1.5134509483989422E-2</v>
      </c>
      <c r="AQ18" s="19">
        <f t="shared" si="20"/>
        <v>0</v>
      </c>
      <c r="AR18" s="19">
        <f t="shared" si="20"/>
        <v>-3.1862125229451532E-3</v>
      </c>
      <c r="AS18" s="19">
        <f t="shared" si="21"/>
        <v>0.14256200285539466</v>
      </c>
      <c r="AT18" s="19">
        <f t="shared" si="22"/>
        <v>1.0355190699571692E-2</v>
      </c>
      <c r="AU18" s="60" t="s">
        <v>51</v>
      </c>
      <c r="AV18" s="19">
        <f t="shared" si="23"/>
        <v>6.3724250458901954E-3</v>
      </c>
      <c r="AW18" s="19">
        <f t="shared" si="24"/>
        <v>7.1689781766266503E-3</v>
      </c>
      <c r="AX18" s="19">
        <f t="shared" si="25"/>
        <v>7.9655313073628831E-3</v>
      </c>
      <c r="AY18" s="19">
        <f t="shared" si="26"/>
        <v>8.7620844380990048E-3</v>
      </c>
      <c r="AZ18" s="19">
        <f t="shared" si="27"/>
        <v>-5.5758719151538516E-3</v>
      </c>
      <c r="BA18" s="19">
        <f t="shared" si="28"/>
        <v>-3.1862125229451532E-3</v>
      </c>
      <c r="BB18" s="19">
        <f t="shared" si="29"/>
        <v>-1.194829696104438E-2</v>
      </c>
      <c r="BC18" s="19">
        <f t="shared" si="30"/>
        <v>0</v>
      </c>
      <c r="BD18" s="19">
        <f t="shared" si="31"/>
        <v>2.8675912706506268E-2</v>
      </c>
      <c r="BE18" s="19">
        <f t="shared" si="32"/>
        <v>1.8320722006934576E-2</v>
      </c>
      <c r="BF18" s="19">
        <f t="shared" si="33"/>
        <v>-3.7437997144605384E-2</v>
      </c>
      <c r="BG18" s="19">
        <f t="shared" si="33"/>
        <v>1.8320722006934576E-2</v>
      </c>
      <c r="BH18" s="19">
        <f t="shared" si="34"/>
        <v>7.1689781766265392E-3</v>
      </c>
      <c r="BI18" s="19">
        <f t="shared" si="34"/>
        <v>3.1862125229451532E-3</v>
      </c>
      <c r="BJ18" s="19">
        <f t="shared" si="35"/>
        <v>2.4693147052824771E-2</v>
      </c>
      <c r="BK18" s="19">
        <f t="shared" si="36"/>
        <v>-3.3455231490923887E-2</v>
      </c>
      <c r="BL18" s="19">
        <f t="shared" si="45"/>
        <v>-6.3724250458901954E-3</v>
      </c>
      <c r="BM18" s="19">
        <f t="shared" si="45"/>
        <v>1.9117275137670697E-2</v>
      </c>
      <c r="BN18" s="19">
        <f t="shared" si="45"/>
        <v>-6.3724250458903064E-3</v>
      </c>
      <c r="BO18" s="19">
        <f t="shared" si="45"/>
        <v>1.1948296961044269E-2</v>
      </c>
      <c r="BP18" s="19">
        <f t="shared" si="37"/>
        <v>3.5844890883132807E-2</v>
      </c>
      <c r="BQ18" s="19">
        <f t="shared" si="37"/>
        <v>-5.5758719151539626E-3</v>
      </c>
      <c r="BR18" s="19">
        <f t="shared" si="37"/>
        <v>7.1689781766264282E-3</v>
      </c>
      <c r="BS18" s="19">
        <f t="shared" si="38"/>
        <v>-3.9031103406077849E-2</v>
      </c>
      <c r="BT18" s="19">
        <f t="shared" si="46"/>
        <v>7.4875994289210657E-2</v>
      </c>
      <c r="BU18" s="19">
        <f t="shared" si="39"/>
        <v>3.1862125229451532E-3</v>
      </c>
      <c r="BV18" s="19">
        <f t="shared" si="39"/>
        <v>3.1862125229451532E-3</v>
      </c>
      <c r="BW18" s="19">
        <f t="shared" si="40"/>
        <v>-1.3541403222516846E-2</v>
      </c>
      <c r="BX18" s="19">
        <f t="shared" si="41"/>
        <v>2.8675912706506268E-2</v>
      </c>
      <c r="BY18" s="19">
        <f t="shared" si="41"/>
        <v>-1.2744850091780502E-2</v>
      </c>
      <c r="BZ18" s="19">
        <f t="shared" si="41"/>
        <v>1.1948296961044269E-2</v>
      </c>
      <c r="CA18" s="19">
        <f t="shared" si="41"/>
        <v>-9.5586375688354597E-3</v>
      </c>
      <c r="CB18" s="19">
        <f t="shared" si="42"/>
        <v>-3.1862125229451532E-3</v>
      </c>
      <c r="CC18" s="19">
        <f t="shared" si="42"/>
        <v>-5.5758719151539626E-3</v>
      </c>
      <c r="CD18" s="19">
        <f t="shared" si="42"/>
        <v>1.2744850091780502E-2</v>
      </c>
      <c r="CE18" s="65"/>
      <c r="CG18" s="20">
        <f t="shared" si="47"/>
        <v>1.0468056383585143</v>
      </c>
      <c r="CH18" s="20">
        <f>'Maleic Anhydride'!AR14</f>
        <v>1.1255527228227615</v>
      </c>
      <c r="CI18" s="20">
        <f>'Maleic Anhydride'!AS14</f>
        <v>1.1335182541301245</v>
      </c>
      <c r="CJ18" s="20">
        <f>'Maleic Anhydride'!AT14</f>
        <v>1.2291046298184785</v>
      </c>
      <c r="CK18" s="20">
        <f>'Maleic Anhydride'!AU14</f>
        <v>1.3366393024678769</v>
      </c>
      <c r="CL18" s="20">
        <f>'Maleic Anhydride'!AV14</f>
        <v>1.2251218641647972</v>
      </c>
      <c r="CM18" s="20">
        <f>'Maleic Anhydride'!AW14</f>
        <v>0.85369059759331023</v>
      </c>
      <c r="CN18" s="20">
        <f>'Maleic Anhydride'!AX14</f>
        <v>0.88754410564960229</v>
      </c>
      <c r="CO18" s="20">
        <f>'Maleic Anhydride'!AY14</f>
        <v>0.94131144197430139</v>
      </c>
      <c r="CP18" s="20">
        <f>'Maleic Anhydride'!AZ14</f>
        <v>0.96042871711197231</v>
      </c>
      <c r="CQ18" s="20">
        <f>'Maleic Anhydride'!BA14</f>
        <v>0.99069773607995093</v>
      </c>
      <c r="CR18" s="20">
        <f>'Maleic Anhydride'!BB14</f>
        <v>1.0153908831327758</v>
      </c>
      <c r="CS18" s="20">
        <f>'Maleic Anhydride'!BC14</f>
        <v>1.007425351825413</v>
      </c>
      <c r="CT18" s="20">
        <f>'Maleic Anhydride'!BD14</f>
        <v>1.0177805425249846</v>
      </c>
      <c r="CU18" s="20">
        <f>'Maleic Anhydride'!BE14</f>
        <v>1.0177805425249846</v>
      </c>
      <c r="CV18" s="20">
        <f>'Maleic Anhydride'!BF14</f>
        <v>1.0090184580868855</v>
      </c>
      <c r="CW18" s="20">
        <f>'Maleic Anhydride'!BG14</f>
        <v>1.0607944115847441</v>
      </c>
      <c r="CX18" s="20">
        <f>'Maleic Anhydride'!BH14</f>
        <v>1.1245186620436467</v>
      </c>
      <c r="CY18" s="20">
        <f>'Maleic Anhydride'!BI14</f>
        <v>1.0767254741994696</v>
      </c>
      <c r="CZ18" s="20">
        <f>'Maleic Anhydride'!BJ14</f>
        <v>1.0273391800938201</v>
      </c>
      <c r="DA18" s="20">
        <f>'Maleic Anhydride'!BK14</f>
        <v>1.0376943707933919</v>
      </c>
      <c r="DB18" s="20">
        <f>'Maleic Anhydride'!BL14</f>
        <v>1.0225598613094025</v>
      </c>
      <c r="DC18" s="20">
        <f>'Maleic Anhydride'!BM14</f>
        <v>1.0225598613094025</v>
      </c>
      <c r="DD18" s="20">
        <f>'Maleic Anhydride'!BN14</f>
        <v>1.0225598613094025</v>
      </c>
      <c r="DE18" s="20">
        <f>'Maleic Anhydride'!BO14</f>
        <v>0.99149428921068727</v>
      </c>
      <c r="DF18" s="20">
        <f>'Maleic Anhydride'!BP14</f>
        <v>1.0106115643483582</v>
      </c>
      <c r="DG18" s="20">
        <f>'Maleic Anhydride'!BQ14</f>
        <v>0.99388394860289608</v>
      </c>
      <c r="DH18" s="20">
        <f>'Maleic Anhydride'!BR14</f>
        <v>0.97795288598817054</v>
      </c>
      <c r="DI18" s="20">
        <f>'Maleic Anhydride'!BS14</f>
        <v>0.96919080155007142</v>
      </c>
      <c r="DJ18" s="20">
        <f>'Maleic Anhydride'!BT14</f>
        <v>1.007425351825413</v>
      </c>
      <c r="DK18" s="20">
        <f>'Maleic Anhydride'!BU14</f>
        <v>1.0010529267795227</v>
      </c>
      <c r="DL18" s="20">
        <f>'Maleic Anhydride'!BV14</f>
        <v>1.0145943300020395</v>
      </c>
      <c r="DM18" s="20">
        <f>'Maleic Anhydride'!BW14</f>
        <v>1.0528288802773811</v>
      </c>
      <c r="DN18" s="20">
        <f>'Maleic Anhydride'!BX14</f>
        <v>1.0544219865388538</v>
      </c>
      <c r="DO18" s="20">
        <f>'Maleic Anhydride'!BY14</f>
        <v>1.0966393024678767</v>
      </c>
      <c r="DP18" s="20">
        <f>'Maleic Anhydride'!BZ14</f>
        <v>1.1046048337752397</v>
      </c>
      <c r="DQ18" s="20">
        <f>'Maleic Anhydride'!CA14</f>
        <v>1.1356704058739546</v>
      </c>
      <c r="DR18" s="20">
        <f>'Maleic Anhydride'!CB14</f>
        <v>1.1340772996124822</v>
      </c>
      <c r="DS18" s="20">
        <f>'Maleic Anhydride'!CC14</f>
        <v>1.1245186620436467</v>
      </c>
      <c r="DT18" s="20">
        <f>'Maleic Anhydride'!CD14</f>
        <v>1.1125703650826024</v>
      </c>
      <c r="DU18" s="20">
        <f>'Maleic Anhydride'!CE14</f>
        <v>1.1277048745665919</v>
      </c>
      <c r="DV18" s="20">
        <f>'Maleic Anhydride'!CF14</f>
        <v>1.1277048745665919</v>
      </c>
      <c r="DW18" s="20">
        <f>'Maleic Anhydride'!CG14</f>
        <v>1.130891087089537</v>
      </c>
      <c r="DX18" s="20">
        <f>'Maleic Anhydride'!CH14</f>
        <v>0.98832908423414234</v>
      </c>
      <c r="DY18" s="20">
        <f>'Maleic Anhydride'!CI14</f>
        <v>0.97797389353457065</v>
      </c>
      <c r="DZ18" s="20">
        <f>'Maleic Anhydride'!CJ14</f>
        <v>0.97160146848868045</v>
      </c>
      <c r="EA18" s="20">
        <f>'Maleic Anhydride'!CK14</f>
        <v>0.9644324903120538</v>
      </c>
      <c r="EB18" s="20">
        <f>'Maleic Anhydride'!CL14</f>
        <v>0.95646695900469092</v>
      </c>
      <c r="EC18" s="20">
        <f>'Maleic Anhydride'!CM14</f>
        <v>0.94770487456659191</v>
      </c>
      <c r="ED18" s="20">
        <f>'Maleic Anhydride'!CN14</f>
        <v>0.95328074648174577</v>
      </c>
      <c r="EE18" s="20">
        <f>'Maleic Anhydride'!CO14</f>
        <v>0.95646695900469092</v>
      </c>
      <c r="EF18" s="20">
        <f>'Maleic Anhydride'!CP14</f>
        <v>0.9684152559657353</v>
      </c>
      <c r="EG18" s="20">
        <f>'Maleic Anhydride'!CQ14</f>
        <v>0.9684152559657353</v>
      </c>
      <c r="EH18" s="20">
        <f>'Maleic Anhydride'!CR14</f>
        <v>0.93973934325922903</v>
      </c>
      <c r="EI18" s="20">
        <f>'Maleic Anhydride'!CS14</f>
        <v>0.92141862125229446</v>
      </c>
      <c r="EJ18" s="20">
        <f>'Maleic Anhydride'!CT14</f>
        <v>0.95885661839689984</v>
      </c>
      <c r="EK18" s="20">
        <f>'Maleic Anhydride'!CU14</f>
        <v>0.94053589638996526</v>
      </c>
      <c r="EL18" s="20">
        <f>'Maleic Anhydride'!CV14</f>
        <v>0.93336691821333873</v>
      </c>
      <c r="EM18" s="20">
        <f>'Maleic Anhydride'!CW14</f>
        <v>0.93018070569039357</v>
      </c>
      <c r="EN18" s="20">
        <f>'Maleic Anhydride'!CX14</f>
        <v>0.9054875586375688</v>
      </c>
      <c r="EO18" s="20">
        <f>'Maleic Anhydride'!CY14</f>
        <v>0.93894279012849269</v>
      </c>
      <c r="EP18" s="20">
        <f>'Maleic Anhydride'!CZ14</f>
        <v>0.94531521517438288</v>
      </c>
      <c r="EQ18" s="20">
        <f>'Maleic Anhydride'!DA14</f>
        <v>0.92619794003671219</v>
      </c>
      <c r="ER18" s="20">
        <f>'Maleic Anhydride'!DB14</f>
        <v>0.93257036508260249</v>
      </c>
      <c r="ES18" s="20">
        <f>'Maleic Anhydride'!DC14</f>
        <v>0.92062206812155822</v>
      </c>
      <c r="ET18" s="20">
        <f>'Maleic Anhydride'!DD14</f>
        <v>0.88477717723842542</v>
      </c>
      <c r="EU18" s="20">
        <f>'Maleic Anhydride'!DE14</f>
        <v>0.89035304915357938</v>
      </c>
      <c r="EV18" s="20">
        <f>'Maleic Anhydride'!DF14</f>
        <v>0.88318407097695295</v>
      </c>
      <c r="EW18" s="20">
        <f>'Maleic Anhydride'!DG14</f>
        <v>0.9222151743830308</v>
      </c>
      <c r="EX18" s="20">
        <f>'Maleic Anhydride'!DH14</f>
        <v>0.84733918009382014</v>
      </c>
      <c r="EY18" s="20">
        <f>'Maleic Anhydride'!DI14</f>
        <v>0.84415296757087499</v>
      </c>
      <c r="EZ18" s="20">
        <f>'Maleic Anhydride'!DJ14</f>
        <v>0.84096675504792984</v>
      </c>
      <c r="FA18" s="20">
        <f>'Maleic Anhydride'!DK14</f>
        <v>0.85450815827044668</v>
      </c>
      <c r="FB18" s="20">
        <f>'Maleic Anhydride'!DL14</f>
        <v>0.82583224556394041</v>
      </c>
      <c r="FC18" s="20">
        <f>'Maleic Anhydride'!DM14</f>
        <v>0.83857709565572092</v>
      </c>
      <c r="FD18" s="20">
        <f>'Maleic Anhydride'!DN14</f>
        <v>0.82662879869467665</v>
      </c>
      <c r="FE18" s="20">
        <f>'Maleic Anhydride'!DO14</f>
        <v>0.83618743626351211</v>
      </c>
      <c r="FF18" s="20">
        <f>'Maleic Anhydride'!DP14</f>
        <v>0.83937364878645726</v>
      </c>
      <c r="FG18" s="20">
        <f>'Maleic Anhydride'!DQ14</f>
        <v>0.84494952070161122</v>
      </c>
      <c r="FH18" s="20">
        <f>'Maleic Anhydride'!DR14</f>
        <v>0.83220467060983072</v>
      </c>
    </row>
    <row r="19" spans="1:164">
      <c r="A19" s="8" t="s">
        <v>203</v>
      </c>
      <c r="B19" s="263" t="s">
        <v>220</v>
      </c>
      <c r="C19" s="19">
        <f t="shared" si="48"/>
        <v>9.6510972821886476E-2</v>
      </c>
      <c r="D19" s="19">
        <f t="shared" si="49"/>
        <v>-0.25015644517091085</v>
      </c>
      <c r="E19" s="19">
        <f t="shared" si="50"/>
        <v>-9.7405829655670573E-2</v>
      </c>
      <c r="F19" s="19">
        <f t="shared" si="51"/>
        <v>0.26014074827835598</v>
      </c>
      <c r="G19" s="19">
        <f t="shared" si="52"/>
        <v>-3.3239080989325931E-2</v>
      </c>
      <c r="H19" s="19">
        <f t="shared" si="53"/>
        <v>6.2725528942308095E-2</v>
      </c>
      <c r="I19" s="19">
        <f t="shared" si="54"/>
        <v>0.18417750201717631</v>
      </c>
      <c r="J19" s="19">
        <f t="shared" si="54"/>
        <v>-2.1166688252804988E-5</v>
      </c>
      <c r="K19" s="19">
        <f t="shared" si="44"/>
        <v>-4.659599919174795E-2</v>
      </c>
      <c r="L19" s="19">
        <f t="shared" si="1"/>
        <v>-1.3710010843701603E-2</v>
      </c>
      <c r="M19" s="19">
        <f t="shared" si="2"/>
        <v>-8.6387018779277014E-2</v>
      </c>
      <c r="N19" s="19">
        <f t="shared" si="3"/>
        <v>-4.0868613848228819E-2</v>
      </c>
      <c r="O19" s="19">
        <f t="shared" si="4"/>
        <v>-1.3611114601064678E-2</v>
      </c>
      <c r="P19" s="19">
        <f t="shared" si="5"/>
        <v>1.4207603815172831E-2</v>
      </c>
      <c r="Q19" s="19">
        <f t="shared" si="5"/>
        <v>-9.4066865784685483E-2</v>
      </c>
      <c r="R19" s="19">
        <f t="shared" si="6"/>
        <v>-0.14631792057455062</v>
      </c>
      <c r="S19" s="19">
        <f t="shared" si="7"/>
        <v>2.0731095022457069E-3</v>
      </c>
      <c r="T19" s="19">
        <f t="shared" si="8"/>
        <v>-5.1223856554462266E-2</v>
      </c>
      <c r="U19" s="19">
        <f t="shared" si="8"/>
        <v>-3.1840476530931028E-6</v>
      </c>
      <c r="V19" s="19">
        <f t="shared" si="8"/>
        <v>-2.1707772963370786E-2</v>
      </c>
      <c r="W19" s="19">
        <f t="shared" si="8"/>
        <v>0.27405200316523004</v>
      </c>
      <c r="X19" s="19">
        <f t="shared" si="55"/>
        <v>1.8018398266512747E-3</v>
      </c>
      <c r="Y19" s="19">
        <f t="shared" si="55"/>
        <v>-4.6172643231944477E-2</v>
      </c>
      <c r="Z19" s="19">
        <f t="shared" si="9"/>
        <v>-0.10493417340995403</v>
      </c>
      <c r="AA19" s="19">
        <f t="shared" si="10"/>
        <v>0</v>
      </c>
      <c r="AB19" s="19">
        <f t="shared" si="10"/>
        <v>-3.2892297103927604E-2</v>
      </c>
      <c r="AC19" s="19">
        <f t="shared" si="10"/>
        <v>0.20049816127594333</v>
      </c>
      <c r="AD19" s="19">
        <f t="shared" si="10"/>
        <v>4.9513210701229937E-2</v>
      </c>
      <c r="AE19" s="19">
        <f t="shared" si="11"/>
        <v>2.6467554885358791E-2</v>
      </c>
      <c r="AF19" s="19">
        <f t="shared" si="11"/>
        <v>-6.6046886023427565E-2</v>
      </c>
      <c r="AG19" s="19">
        <f t="shared" si="12"/>
        <v>-6.9902224833366944E-3</v>
      </c>
      <c r="AH19" s="19">
        <f t="shared" si="13"/>
        <v>7.9041625159806284E-2</v>
      </c>
      <c r="AI19" s="19">
        <f t="shared" si="14"/>
        <v>4.8902150172480674E-4</v>
      </c>
      <c r="AJ19" s="19">
        <f t="shared" si="15"/>
        <v>-9.0253058373415129E-3</v>
      </c>
      <c r="AK19" s="19">
        <f t="shared" si="16"/>
        <v>-6.5779515923692689E-2</v>
      </c>
      <c r="AL19" s="19">
        <f t="shared" si="16"/>
        <v>1.4296204652698652E-2</v>
      </c>
      <c r="AM19" s="19">
        <f t="shared" si="17"/>
        <v>1.1164997156947187E-3</v>
      </c>
      <c r="AN19" s="19">
        <f t="shared" si="18"/>
        <v>6.3927282840481325E-4</v>
      </c>
      <c r="AO19" s="19">
        <f t="shared" si="19"/>
        <v>5.2003671045732336E-2</v>
      </c>
      <c r="AP19" s="19">
        <f t="shared" si="20"/>
        <v>2.4052845065249961E-3</v>
      </c>
      <c r="AQ19" s="19">
        <f t="shared" si="20"/>
        <v>-0.10262618538078438</v>
      </c>
      <c r="AR19" s="19">
        <f t="shared" si="20"/>
        <v>-2.3236379718829525E-2</v>
      </c>
      <c r="AS19" s="19">
        <f t="shared" si="21"/>
        <v>-0.10206973778994577</v>
      </c>
      <c r="AT19" s="19">
        <f t="shared" si="22"/>
        <v>2.0072105788901951E-3</v>
      </c>
      <c r="AU19" s="60" t="s">
        <v>51</v>
      </c>
      <c r="AV19" s="19">
        <f t="shared" si="23"/>
        <v>1.6610347037371298E-5</v>
      </c>
      <c r="AW19" s="19">
        <f t="shared" si="24"/>
        <v>2.8693276504872856E-2</v>
      </c>
      <c r="AX19" s="19">
        <f t="shared" si="25"/>
        <v>6.9085037566030572E-2</v>
      </c>
      <c r="AY19" s="19">
        <f t="shared" si="26"/>
        <v>4.6881337867485495E-2</v>
      </c>
      <c r="AZ19" s="19">
        <f t="shared" si="27"/>
        <v>0</v>
      </c>
      <c r="BA19" s="19">
        <f t="shared" si="28"/>
        <v>0</v>
      </c>
      <c r="BB19" s="19">
        <f t="shared" si="29"/>
        <v>0</v>
      </c>
      <c r="BC19" s="19">
        <f t="shared" si="30"/>
        <v>-9.5776105338628792E-2</v>
      </c>
      <c r="BD19" s="19">
        <f t="shared" si="31"/>
        <v>-5.7802883776361114E-3</v>
      </c>
      <c r="BE19" s="19">
        <f t="shared" si="32"/>
        <v>3.8568887266592355E-3</v>
      </c>
      <c r="BF19" s="19">
        <f t="shared" si="33"/>
        <v>9.3400057609774656E-2</v>
      </c>
      <c r="BG19" s="19">
        <f t="shared" si="33"/>
        <v>3.7168369327988948E-2</v>
      </c>
      <c r="BH19" s="19">
        <f t="shared" ref="BH19:BH82" si="56">+EK19-EL19</f>
        <v>6.3269849990277294E-6</v>
      </c>
      <c r="BI19" s="19">
        <f t="shared" ref="BI19:BI82" si="57">+EL19-EM19</f>
        <v>6.0788950315632917E-2</v>
      </c>
      <c r="BJ19" s="19">
        <f t="shared" si="35"/>
        <v>7.2184345554911378E-2</v>
      </c>
      <c r="BK19" s="19">
        <f t="shared" si="36"/>
        <v>-9.3503978522265108E-2</v>
      </c>
      <c r="BL19" s="19">
        <f t="shared" si="45"/>
        <v>1.7045679921170453E-3</v>
      </c>
      <c r="BM19" s="19">
        <f t="shared" si="45"/>
        <v>5.742756629089385E-2</v>
      </c>
      <c r="BN19" s="19">
        <f t="shared" si="45"/>
        <v>-1.9763739875744424E-2</v>
      </c>
      <c r="BO19" s="19">
        <f t="shared" si="45"/>
        <v>-6.7828752766392331E-2</v>
      </c>
      <c r="BP19" s="19">
        <f t="shared" ref="BP19:BR82" si="58">+ES19-ET19</f>
        <v>3.1292725561293366E-2</v>
      </c>
      <c r="BQ19" s="19">
        <f t="shared" si="58"/>
        <v>5.320984820907082E-2</v>
      </c>
      <c r="BR19" s="19">
        <f t="shared" si="58"/>
        <v>-6.6446678571372431E-3</v>
      </c>
      <c r="BS19" s="19">
        <f t="shared" si="38"/>
        <v>-1.7740455963701329E-2</v>
      </c>
      <c r="BT19" s="19">
        <f t="shared" si="46"/>
        <v>-5.9510996360459423E-2</v>
      </c>
      <c r="BU19" s="19">
        <f t="shared" ref="BU19:BU82" si="59">+EX19-EY19</f>
        <v>0.1099698305479202</v>
      </c>
      <c r="BV19" s="19">
        <f t="shared" ref="BV19:BV82" si="60">+EY19-EZ19</f>
        <v>8.1594435345320182E-2</v>
      </c>
      <c r="BW19" s="19">
        <f t="shared" si="40"/>
        <v>-4.4678418036432355E-3</v>
      </c>
      <c r="BX19" s="19">
        <f t="shared" si="41"/>
        <v>-2.8313837777026674E-2</v>
      </c>
      <c r="BY19" s="19">
        <f t="shared" si="41"/>
        <v>4.8867489352474536E-2</v>
      </c>
      <c r="BZ19" s="19">
        <f t="shared" si="41"/>
        <v>-2.5669330950993885E-2</v>
      </c>
      <c r="CA19" s="19">
        <f t="shared" si="41"/>
        <v>1.4753791300230468E-3</v>
      </c>
      <c r="CB19" s="19">
        <f t="shared" si="42"/>
        <v>-2.1488807966795864E-2</v>
      </c>
      <c r="CC19" s="19">
        <f t="shared" si="42"/>
        <v>5.7166952100128565E-2</v>
      </c>
      <c r="CD19" s="19">
        <f t="shared" si="42"/>
        <v>-3.5580367688233139E-2</v>
      </c>
      <c r="CE19" s="65"/>
      <c r="CG19" s="20">
        <f t="shared" si="47"/>
        <v>3.0959875664267487</v>
      </c>
      <c r="CH19" s="20">
        <f>MDA!AR18</f>
        <v>2.9994765936048622</v>
      </c>
      <c r="CI19" s="20">
        <f>MDA!AS18</f>
        <v>3.249633038775773</v>
      </c>
      <c r="CJ19" s="20">
        <f>MDA!AT18</f>
        <v>3.3470388684314436</v>
      </c>
      <c r="CK19" s="20">
        <f>MDA!AU18</f>
        <v>3.0868981201530876</v>
      </c>
      <c r="CL19" s="20">
        <f>MDA!AV18</f>
        <v>3.1201372011424136</v>
      </c>
      <c r="CM19" s="20">
        <f>MDA!AW18</f>
        <v>3.0574116722001055</v>
      </c>
      <c r="CN19" s="20">
        <f>MDA!AX18</f>
        <v>2.8732341701829291</v>
      </c>
      <c r="CO19" s="20">
        <f>MDA!AY18</f>
        <v>2.873255336871182</v>
      </c>
      <c r="CP19" s="20">
        <f>MDA!AZ18</f>
        <v>2.9198513360629299</v>
      </c>
      <c r="CQ19" s="20">
        <f>MDA!BA18</f>
        <v>2.9335613469066315</v>
      </c>
      <c r="CR19" s="20">
        <f>MDA!BB18</f>
        <v>3.0199483656859085</v>
      </c>
      <c r="CS19" s="20">
        <f>MDA!BC18</f>
        <v>3.0608169795341373</v>
      </c>
      <c r="CT19" s="20">
        <f>MDA!BD18</f>
        <v>3.074428094135202</v>
      </c>
      <c r="CU19" s="20">
        <f>MDA!BE18</f>
        <v>3.0602204903200292</v>
      </c>
      <c r="CV19" s="20">
        <f>MDA!BF18</f>
        <v>3.1542873561047147</v>
      </c>
      <c r="CW19" s="20">
        <f>MDA!BG18</f>
        <v>3.3006052766792653</v>
      </c>
      <c r="CX19" s="20">
        <f>MDA!BH18</f>
        <v>3.2985321671770196</v>
      </c>
      <c r="CY19" s="20">
        <f>MDA!BI18</f>
        <v>3.3497560237314818</v>
      </c>
      <c r="CZ19" s="20">
        <f>MDA!BJ18</f>
        <v>3.3497592077791349</v>
      </c>
      <c r="DA19" s="20">
        <f>MDA!BK18</f>
        <v>3.3714669807425057</v>
      </c>
      <c r="DB19" s="20">
        <f>MDA!BL18</f>
        <v>3.0974149775772757</v>
      </c>
      <c r="DC19" s="20">
        <f>MDA!BM18</f>
        <v>3.0956131377506244</v>
      </c>
      <c r="DD19" s="20">
        <f>MDA!BN18</f>
        <v>3.1417857809825689</v>
      </c>
      <c r="DE19" s="20">
        <f>MDA!BO18</f>
        <v>3.2467199543925229</v>
      </c>
      <c r="DF19" s="20">
        <f>MDA!BP18</f>
        <v>3.2467199543925229</v>
      </c>
      <c r="DG19" s="20">
        <f>MDA!BQ18</f>
        <v>3.2796122514964505</v>
      </c>
      <c r="DH19" s="20">
        <f>MDA!BR18</f>
        <v>3.0791140902205072</v>
      </c>
      <c r="DI19" s="20">
        <f>MDA!BS18</f>
        <v>3.0296008795192773</v>
      </c>
      <c r="DJ19" s="20">
        <f>MDA!BT18</f>
        <v>3.0031333246339185</v>
      </c>
      <c r="DK19" s="20">
        <f>MDA!BU18</f>
        <v>3.069180210657346</v>
      </c>
      <c r="DL19" s="20">
        <f>MDA!BV18</f>
        <v>3.0761704331406827</v>
      </c>
      <c r="DM19" s="20">
        <f>MDA!BW18</f>
        <v>2.9971288079808764</v>
      </c>
      <c r="DN19" s="20">
        <f>MDA!BX18</f>
        <v>2.9966397864791516</v>
      </c>
      <c r="DO19" s="20">
        <f>MDA!BY18</f>
        <v>3.0056650923164931</v>
      </c>
      <c r="DP19" s="20">
        <f>MDA!BZ18</f>
        <v>3.0714446082401858</v>
      </c>
      <c r="DQ19" s="20">
        <f>MDA!CA18</f>
        <v>3.0571484035874872</v>
      </c>
      <c r="DR19" s="20">
        <f>MDA!CB18</f>
        <v>3.0560319038717925</v>
      </c>
      <c r="DS19" s="20">
        <f>MDA!CC18</f>
        <v>3.0553926310433877</v>
      </c>
      <c r="DT19" s="20">
        <f>MDA!CD18</f>
        <v>3.0033889599976553</v>
      </c>
      <c r="DU19" s="20">
        <f>MDA!CE18</f>
        <v>3.0009836754911303</v>
      </c>
      <c r="DV19" s="20">
        <f>MDA!CF18</f>
        <v>3.1036098608719147</v>
      </c>
      <c r="DW19" s="20">
        <f>MDA!CG18</f>
        <v>3.1268462405907442</v>
      </c>
      <c r="DX19" s="20">
        <f>MDA!CH18</f>
        <v>3.22891597838069</v>
      </c>
      <c r="DY19" s="20">
        <f>MDA!CI18</f>
        <v>3.2269087678017998</v>
      </c>
      <c r="DZ19" s="20">
        <f>MDA!CJ18</f>
        <v>3.2268921574547624</v>
      </c>
      <c r="EA19" s="20">
        <f>MDA!CK18</f>
        <v>3.1981988809498896</v>
      </c>
      <c r="EB19" s="20">
        <f>MDA!CL18</f>
        <v>3.129113843383859</v>
      </c>
      <c r="EC19" s="20">
        <f>MDA!CM18</f>
        <v>3.0822325055163735</v>
      </c>
      <c r="ED19" s="20">
        <f>MDA!CN18</f>
        <v>3.0822325055163735</v>
      </c>
      <c r="EE19" s="20">
        <f>MDA!CO18</f>
        <v>3.0822325055163735</v>
      </c>
      <c r="EF19" s="20">
        <f>MDA!CP18</f>
        <v>3.0822325055163735</v>
      </c>
      <c r="EG19" s="20">
        <f>MDA!CQ18</f>
        <v>3.1780086108550023</v>
      </c>
      <c r="EH19" s="20">
        <f>MDA!CR18</f>
        <v>3.1837888992326384</v>
      </c>
      <c r="EI19" s="20">
        <f>MDA!CS18</f>
        <v>3.1799320105059792</v>
      </c>
      <c r="EJ19" s="20">
        <f>MDA!CT18</f>
        <v>3.0865319528962045</v>
      </c>
      <c r="EK19" s="20">
        <f>MDA!CU18</f>
        <v>3.0493635835682156</v>
      </c>
      <c r="EL19" s="20">
        <f>MDA!CV18</f>
        <v>3.0493572565832165</v>
      </c>
      <c r="EM19" s="20">
        <f>MDA!CW18</f>
        <v>2.9885683062675836</v>
      </c>
      <c r="EN19" s="20">
        <f>MDA!CX18</f>
        <v>2.9163839607126723</v>
      </c>
      <c r="EO19" s="20">
        <f>MDA!CY18</f>
        <v>3.0098879392349374</v>
      </c>
      <c r="EP19" s="20">
        <f>MDA!CZ18</f>
        <v>3.0081833712428203</v>
      </c>
      <c r="EQ19" s="20">
        <f>MDA!DA18</f>
        <v>2.9507558049519265</v>
      </c>
      <c r="ER19" s="20">
        <f>MDA!DB18</f>
        <v>2.9705195448276709</v>
      </c>
      <c r="ES19" s="20">
        <f>MDA!DC18</f>
        <v>3.0383482975940632</v>
      </c>
      <c r="ET19" s="20">
        <f>MDA!DD18</f>
        <v>3.0070555720327699</v>
      </c>
      <c r="EU19" s="20">
        <f>MDA!DE18</f>
        <v>2.953845723823699</v>
      </c>
      <c r="EV19" s="20">
        <f>MDA!DF18</f>
        <v>2.9604903916808363</v>
      </c>
      <c r="EW19" s="20">
        <f>MDA!DG18</f>
        <v>2.9782308476445376</v>
      </c>
      <c r="EX19" s="20">
        <f>MDA!DH18</f>
        <v>3.037741844004997</v>
      </c>
      <c r="EY19" s="20">
        <f>MDA!DI18</f>
        <v>2.9277720134570768</v>
      </c>
      <c r="EZ19" s="20">
        <f>MDA!DJ18</f>
        <v>2.8461775781117566</v>
      </c>
      <c r="FA19" s="20">
        <f>MDA!DK18</f>
        <v>2.8506454199153999</v>
      </c>
      <c r="FB19" s="20">
        <f>MDA!DL18</f>
        <v>2.8789592576924266</v>
      </c>
      <c r="FC19" s="20">
        <f>MDA!DM18</f>
        <v>2.830091768339952</v>
      </c>
      <c r="FD19" s="20">
        <f>MDA!DN18</f>
        <v>2.8557610992909459</v>
      </c>
      <c r="FE19" s="20">
        <f>MDA!DO18</f>
        <v>2.8542857201609229</v>
      </c>
      <c r="FF19" s="20">
        <f>MDA!DP18</f>
        <v>2.8757745281277187</v>
      </c>
      <c r="FG19" s="20">
        <f>MDA!DQ18</f>
        <v>2.8186075760275902</v>
      </c>
      <c r="FH19" s="20">
        <f>MDA!DR18</f>
        <v>2.8541879437158233</v>
      </c>
    </row>
    <row r="20" spans="1:164">
      <c r="A20" s="8" t="s">
        <v>203</v>
      </c>
      <c r="B20" s="263" t="s">
        <v>221</v>
      </c>
      <c r="C20" s="19">
        <f t="shared" si="48"/>
        <v>-0.29360330559096237</v>
      </c>
      <c r="D20" s="19">
        <f t="shared" si="49"/>
        <v>1.2393271368062564E-2</v>
      </c>
      <c r="E20" s="19">
        <f t="shared" si="50"/>
        <v>-7.3983850593434042E-2</v>
      </c>
      <c r="F20" s="19">
        <f>+CJ20-CK20</f>
        <v>-4.8303804640750236E-2</v>
      </c>
      <c r="G20" s="19">
        <f t="shared" si="52"/>
        <v>9.3401939945404688E-2</v>
      </c>
      <c r="H20" s="19">
        <f t="shared" si="53"/>
        <v>0.12957789757387506</v>
      </c>
      <c r="I20" s="19">
        <f t="shared" si="54"/>
        <v>-1.9537272504938308E-2</v>
      </c>
      <c r="J20" s="19">
        <f t="shared" si="54"/>
        <v>-3.8453509518882267E-2</v>
      </c>
      <c r="K20" s="19">
        <f t="shared" si="44"/>
        <v>-1.3855052541903223E-2</v>
      </c>
      <c r="L20" s="19">
        <f t="shared" si="1"/>
        <v>-1.8123013715980463E-2</v>
      </c>
      <c r="M20" s="19">
        <f t="shared" si="2"/>
        <v>0.35306010794358089</v>
      </c>
      <c r="N20" s="19">
        <f t="shared" si="3"/>
        <v>6.0857500822488753E-3</v>
      </c>
      <c r="O20" s="19">
        <f t="shared" si="4"/>
        <v>-7.3517955401101176E-3</v>
      </c>
      <c r="P20" s="19">
        <f t="shared" si="5"/>
        <v>-6.1637194470476331E-4</v>
      </c>
      <c r="Q20" s="19">
        <f t="shared" si="5"/>
        <v>6.6326542618182494E-3</v>
      </c>
      <c r="R20" s="19">
        <f t="shared" si="6"/>
        <v>-3.3898655846885006E-2</v>
      </c>
      <c r="S20" s="19">
        <f t="shared" si="7"/>
        <v>-4.8225294600098279E-2</v>
      </c>
      <c r="T20" s="19">
        <f t="shared" si="8"/>
        <v>3.4269183426763883E-2</v>
      </c>
      <c r="U20" s="19">
        <f t="shared" si="8"/>
        <v>2.3168820829627013E-2</v>
      </c>
      <c r="V20" s="19">
        <f t="shared" si="8"/>
        <v>-2.5564817132287976E-2</v>
      </c>
      <c r="W20" s="19">
        <f t="shared" si="8"/>
        <v>1.3560369559835861E-2</v>
      </c>
      <c r="X20" s="19">
        <f t="shared" si="55"/>
        <v>-4.2847030918253814E-3</v>
      </c>
      <c r="Y20" s="19">
        <f t="shared" si="55"/>
        <v>-4.7211253612733373E-5</v>
      </c>
      <c r="Z20" s="19">
        <f t="shared" si="9"/>
        <v>2.201994838578436E-2</v>
      </c>
      <c r="AA20" s="19">
        <f t="shared" si="10"/>
        <v>-1.3572545612510645E-2</v>
      </c>
      <c r="AB20" s="19">
        <f t="shared" si="10"/>
        <v>1.2041137530569124E-2</v>
      </c>
      <c r="AC20" s="19">
        <f t="shared" si="10"/>
        <v>1.139282680150111E-2</v>
      </c>
      <c r="AD20" s="19">
        <f t="shared" si="10"/>
        <v>1.3569245507922822E-2</v>
      </c>
      <c r="AE20" s="19">
        <f t="shared" si="11"/>
        <v>-2.875710152221167E-2</v>
      </c>
      <c r="AF20" s="19">
        <f t="shared" si="11"/>
        <v>4.6128248331480659E-3</v>
      </c>
      <c r="AG20" s="19">
        <f t="shared" si="12"/>
        <v>-1.9251360272217521E-2</v>
      </c>
      <c r="AH20" s="19">
        <f t="shared" si="13"/>
        <v>-3.0841355456237896E-2</v>
      </c>
      <c r="AI20" s="19">
        <f t="shared" si="14"/>
        <v>-1.0182473683766347E-3</v>
      </c>
      <c r="AJ20" s="19">
        <f t="shared" si="15"/>
        <v>-3.1671705480222911E-2</v>
      </c>
      <c r="AK20" s="19">
        <f t="shared" si="16"/>
        <v>9.427574329746724E-2</v>
      </c>
      <c r="AL20" s="19">
        <f t="shared" si="16"/>
        <v>-2.2043874796508156E-2</v>
      </c>
      <c r="AM20" s="19">
        <f t="shared" si="17"/>
        <v>1.0042626552921874E-3</v>
      </c>
      <c r="AN20" s="19">
        <f t="shared" si="18"/>
        <v>6.7862728062553224E-3</v>
      </c>
      <c r="AO20" s="19">
        <f t="shared" si="19"/>
        <v>1.2724204474875878E-2</v>
      </c>
      <c r="AP20" s="19">
        <f t="shared" si="20"/>
        <v>-1.0678643719167935E-2</v>
      </c>
      <c r="AQ20" s="19">
        <f t="shared" si="20"/>
        <v>5.4868645713801456E-4</v>
      </c>
      <c r="AR20" s="19">
        <f t="shared" si="20"/>
        <v>-2.1205102217825011E-3</v>
      </c>
      <c r="AS20" s="19">
        <f t="shared" si="21"/>
        <v>-2.6775721120669838E-2</v>
      </c>
      <c r="AT20" s="19">
        <f t="shared" si="22"/>
        <v>7.5588207117798234E-3</v>
      </c>
      <c r="AU20" s="60" t="s">
        <v>51</v>
      </c>
      <c r="AV20" s="19">
        <f t="shared" si="23"/>
        <v>4.7519044771906493E-3</v>
      </c>
      <c r="AW20" s="19">
        <f t="shared" si="24"/>
        <v>1.9276276551871696E-3</v>
      </c>
      <c r="AX20" s="19">
        <f t="shared" si="25"/>
        <v>5.7449044484605416E-3</v>
      </c>
      <c r="AY20" s="19">
        <f t="shared" si="26"/>
        <v>6.0524642781063509E-3</v>
      </c>
      <c r="AZ20" s="19">
        <f t="shared" si="27"/>
        <v>4.7920220473707253E-4</v>
      </c>
      <c r="BA20" s="19">
        <f t="shared" si="28"/>
        <v>-2.2620909354182928E-3</v>
      </c>
      <c r="BB20" s="19">
        <f t="shared" si="29"/>
        <v>-8.482841007819486E-3</v>
      </c>
      <c r="BC20" s="19">
        <f t="shared" si="30"/>
        <v>5.7444587722477181E-4</v>
      </c>
      <c r="BD20" s="19">
        <f t="shared" si="31"/>
        <v>1.6881073976224625E-2</v>
      </c>
      <c r="BE20" s="19">
        <f t="shared" si="32"/>
        <v>1.3117375608453496E-2</v>
      </c>
      <c r="BF20" s="19">
        <f t="shared" si="33"/>
        <v>-2.9589740698725553E-2</v>
      </c>
      <c r="BG20" s="19">
        <f t="shared" si="33"/>
        <v>1.3029796174177655E-2</v>
      </c>
      <c r="BH20" s="19">
        <f t="shared" si="56"/>
        <v>5.1806887584322503E-3</v>
      </c>
      <c r="BI20" s="19">
        <f t="shared" si="57"/>
        <v>3.9053187688176116E-3</v>
      </c>
      <c r="BJ20" s="19">
        <f t="shared" si="35"/>
        <v>1.7564629100470075E-2</v>
      </c>
      <c r="BK20" s="19">
        <f t="shared" si="36"/>
        <v>-2.6445001817233305E-2</v>
      </c>
      <c r="BL20" s="19">
        <f t="shared" si="45"/>
        <v>-4.5127541688096962E-3</v>
      </c>
      <c r="BM20" s="19">
        <f t="shared" si="45"/>
        <v>1.3503938538481197E-2</v>
      </c>
      <c r="BN20" s="19">
        <f t="shared" si="45"/>
        <v>-4.5356259244302422E-3</v>
      </c>
      <c r="BO20" s="19">
        <f t="shared" si="45"/>
        <v>1.5171320127920662E-2</v>
      </c>
      <c r="BP20" s="19">
        <f t="shared" si="58"/>
        <v>2.5448523023457792E-2</v>
      </c>
      <c r="BQ20" s="19">
        <f t="shared" si="58"/>
        <v>6.0860284320840563E-5</v>
      </c>
      <c r="BR20" s="19">
        <f t="shared" si="58"/>
        <v>5.1712801352719051E-3</v>
      </c>
      <c r="BS20" s="19">
        <f t="shared" si="38"/>
        <v>-2.7395976933416E-2</v>
      </c>
      <c r="BT20" s="19">
        <f t="shared" si="46"/>
        <v>5.1793519745635619E-2</v>
      </c>
      <c r="BU20" s="19">
        <f t="shared" si="59"/>
        <v>2.2620909354182928E-3</v>
      </c>
      <c r="BV20" s="19">
        <f t="shared" si="60"/>
        <v>2.2723522360590387E-3</v>
      </c>
      <c r="BW20" s="19">
        <f t="shared" si="40"/>
        <v>-9.5728656697819936E-3</v>
      </c>
      <c r="BX20" s="19">
        <f t="shared" si="41"/>
        <v>2.0644875355141146E-2</v>
      </c>
      <c r="BY20" s="19">
        <f t="shared" si="41"/>
        <v>-1.1375645448006733E-2</v>
      </c>
      <c r="BZ20" s="19">
        <f t="shared" si="41"/>
        <v>8.8583119406036026E-3</v>
      </c>
      <c r="CA20" s="19">
        <f t="shared" si="41"/>
        <v>-9.6357671106273024E-3</v>
      </c>
      <c r="CB20" s="19">
        <f t="shared" si="42"/>
        <v>-1.3855964414082322E-3</v>
      </c>
      <c r="CC20" s="19">
        <f t="shared" si="42"/>
        <v>-3.8634188654400603E-3</v>
      </c>
      <c r="CD20" s="19">
        <f t="shared" si="42"/>
        <v>9.3223717744779222E-3</v>
      </c>
      <c r="CE20" s="65"/>
      <c r="CG20" s="20">
        <f t="shared" si="47"/>
        <v>1.9769609324306412</v>
      </c>
      <c r="CH20" s="20">
        <f>PNA!AR21</f>
        <v>2.2705642380216036</v>
      </c>
      <c r="CI20" s="20">
        <f>PNA!AS21</f>
        <v>2.258170966653541</v>
      </c>
      <c r="CJ20" s="20">
        <f>PNA!AT21</f>
        <v>2.332154817246975</v>
      </c>
      <c r="CK20" s="20">
        <f>PNA!AU21</f>
        <v>2.3804586218877253</v>
      </c>
      <c r="CL20" s="20">
        <f>PNA!AV21</f>
        <v>2.2870566819423206</v>
      </c>
      <c r="CM20" s="20">
        <f>PNA!AW21</f>
        <v>2.1574787843684455</v>
      </c>
      <c r="CN20" s="20">
        <f>PNA!AX21</f>
        <v>2.1770160568733838</v>
      </c>
      <c r="CO20" s="20">
        <f>PNA!AY21</f>
        <v>2.2154695663922661</v>
      </c>
      <c r="CP20" s="20">
        <f>PNA!AZ21</f>
        <v>2.2293246189341693</v>
      </c>
      <c r="CQ20" s="20">
        <f>PNA!BA21</f>
        <v>2.2474476326501498</v>
      </c>
      <c r="CR20" s="20">
        <f>PNA!BB21</f>
        <v>1.8943875247065689</v>
      </c>
      <c r="CS20" s="20">
        <f>PNA!BC21</f>
        <v>1.88830177462432</v>
      </c>
      <c r="CT20" s="20">
        <f>PNA!BD21</f>
        <v>1.8956535701644301</v>
      </c>
      <c r="CU20" s="20">
        <f>PNA!BE21</f>
        <v>1.8962699421091349</v>
      </c>
      <c r="CV20" s="20">
        <f>PNA!BF21</f>
        <v>1.8896372878473167</v>
      </c>
      <c r="CW20" s="20">
        <f>PNA!BG21</f>
        <v>1.9235359436942017</v>
      </c>
      <c r="CX20" s="20">
        <f>PNA!BH21</f>
        <v>1.9717612382942999</v>
      </c>
      <c r="CY20" s="20">
        <f>PNA!BI21</f>
        <v>1.9374920548675361</v>
      </c>
      <c r="CZ20" s="20">
        <f>PNA!BJ21</f>
        <v>1.914323234037909</v>
      </c>
      <c r="DA20" s="20">
        <f>PNA!BK21</f>
        <v>1.939888051170197</v>
      </c>
      <c r="DB20" s="20">
        <f>PNA!BL21</f>
        <v>1.9263276816103612</v>
      </c>
      <c r="DC20" s="20">
        <f>PNA!BM21</f>
        <v>1.9306123847021865</v>
      </c>
      <c r="DD20" s="20">
        <f>PNA!BN21</f>
        <v>1.9306595959557993</v>
      </c>
      <c r="DE20" s="20">
        <f>PNA!BO21</f>
        <v>1.9086396475700149</v>
      </c>
      <c r="DF20" s="20">
        <f>PNA!BP21</f>
        <v>1.9222121931825256</v>
      </c>
      <c r="DG20" s="20">
        <f>PNA!BQ21</f>
        <v>1.9101710556519564</v>
      </c>
      <c r="DH20" s="20">
        <f>PNA!BR21</f>
        <v>1.8987782288504553</v>
      </c>
      <c r="DI20" s="20">
        <f>PNA!BS21</f>
        <v>1.8852089833425325</v>
      </c>
      <c r="DJ20" s="20">
        <f>PNA!BT21</f>
        <v>1.9139660848647442</v>
      </c>
      <c r="DK20" s="20">
        <f>PNA!BU21</f>
        <v>1.9093532600315961</v>
      </c>
      <c r="DL20" s="20">
        <f>PNA!BV21</f>
        <v>1.9286046203038136</v>
      </c>
      <c r="DM20" s="20">
        <f>PNA!BW21</f>
        <v>1.9594459757600515</v>
      </c>
      <c r="DN20" s="20">
        <f>PNA!BX21</f>
        <v>1.9604642231284282</v>
      </c>
      <c r="DO20" s="20">
        <f>PNA!BY21</f>
        <v>1.9921359286086511</v>
      </c>
      <c r="DP20" s="20">
        <f>PNA!BZ21</f>
        <v>1.8978601853111838</v>
      </c>
      <c r="DQ20" s="20">
        <f>PNA!CA21</f>
        <v>1.919904060107692</v>
      </c>
      <c r="DR20" s="20">
        <f>PNA!CB21</f>
        <v>1.9188997974523998</v>
      </c>
      <c r="DS20" s="20">
        <f>PNA!CC21</f>
        <v>1.9121135246461445</v>
      </c>
      <c r="DT20" s="20">
        <f>PNA!CD21</f>
        <v>1.8993893201712686</v>
      </c>
      <c r="DU20" s="20">
        <f>PNA!CE21</f>
        <v>1.9100679638904365</v>
      </c>
      <c r="DV20" s="20">
        <f>PNA!CF21</f>
        <v>1.9095192774332985</v>
      </c>
      <c r="DW20" s="20">
        <f>PNA!CG21</f>
        <v>1.911639787655081</v>
      </c>
      <c r="DX20" s="20">
        <f>PNA!CH21</f>
        <v>1.9384155087757509</v>
      </c>
      <c r="DY20" s="20">
        <f>PNA!CI21</f>
        <v>1.930856688063971</v>
      </c>
      <c r="DZ20" s="20">
        <f>PNA!CJ21</f>
        <v>1.9261047835867804</v>
      </c>
      <c r="EA20" s="20">
        <f>PNA!CK21</f>
        <v>1.9241771559315932</v>
      </c>
      <c r="EB20" s="20">
        <f>PNA!CL21</f>
        <v>1.9184322514831327</v>
      </c>
      <c r="EC20" s="20">
        <f>PNA!CM21</f>
        <v>1.9123797872050263</v>
      </c>
      <c r="ED20" s="20">
        <f>PNA!CN21</f>
        <v>1.9119005850002893</v>
      </c>
      <c r="EE20" s="20">
        <f>PNA!CO21</f>
        <v>1.9141626759357075</v>
      </c>
      <c r="EF20" s="20">
        <f>PNA!CP21</f>
        <v>1.922645516943527</v>
      </c>
      <c r="EG20" s="20">
        <f>PNA!CQ21</f>
        <v>1.9220710710663023</v>
      </c>
      <c r="EH20" s="20">
        <f>PNA!CR21</f>
        <v>1.9051899970900776</v>
      </c>
      <c r="EI20" s="20">
        <f>PNA!CS21</f>
        <v>1.8920726214816241</v>
      </c>
      <c r="EJ20" s="20">
        <f>PNA!CT21</f>
        <v>1.9216623621803497</v>
      </c>
      <c r="EK20" s="20">
        <f>PNA!CU21</f>
        <v>1.908632566006172</v>
      </c>
      <c r="EL20" s="20">
        <f>PNA!CV21</f>
        <v>1.9034518772477398</v>
      </c>
      <c r="EM20" s="20">
        <f>PNA!CW21</f>
        <v>1.8995465584789222</v>
      </c>
      <c r="EN20" s="20">
        <f>PNA!CX21</f>
        <v>1.8819819293784521</v>
      </c>
      <c r="EO20" s="20">
        <f>PNA!CY21</f>
        <v>1.9084269311956854</v>
      </c>
      <c r="EP20" s="20">
        <f>PNA!CZ21</f>
        <v>1.9129396853644951</v>
      </c>
      <c r="EQ20" s="20">
        <f>PNA!DA21</f>
        <v>1.8994357468260139</v>
      </c>
      <c r="ER20" s="20">
        <f>PNA!DB21</f>
        <v>1.9039713727504441</v>
      </c>
      <c r="ES20" s="20">
        <f>PNA!DC21</f>
        <v>1.8888000526225235</v>
      </c>
      <c r="ET20" s="20">
        <f>PNA!DD21</f>
        <v>1.8633515295990657</v>
      </c>
      <c r="EU20" s="20">
        <f>PNA!DE21</f>
        <v>1.8632906693147449</v>
      </c>
      <c r="EV20" s="20">
        <f>PNA!DF21</f>
        <v>1.8581193891794729</v>
      </c>
      <c r="EW20" s="20">
        <f>PNA!DG21</f>
        <v>1.8855153661128889</v>
      </c>
      <c r="EX20" s="20">
        <f>PNA!DH21</f>
        <v>1.8337218463672533</v>
      </c>
      <c r="EY20" s="20">
        <f>PNA!DI21</f>
        <v>1.831459755431835</v>
      </c>
      <c r="EZ20" s="20">
        <f>PNA!DJ21</f>
        <v>1.829187403195776</v>
      </c>
      <c r="FA20" s="20">
        <f>PNA!DK21</f>
        <v>1.838760268865558</v>
      </c>
      <c r="FB20" s="20">
        <f>PNA!DL21</f>
        <v>1.8181153935104168</v>
      </c>
      <c r="FC20" s="20">
        <f>PNA!DM21</f>
        <v>1.8294910389584236</v>
      </c>
      <c r="FD20" s="20">
        <f>PNA!DN21</f>
        <v>1.82063272701782</v>
      </c>
      <c r="FE20" s="20">
        <f>PNA!DO21</f>
        <v>1.8302684941284473</v>
      </c>
      <c r="FF20" s="20">
        <f>PNA!DP21</f>
        <v>1.8316540905698555</v>
      </c>
      <c r="FG20" s="20">
        <f>PNA!DQ21</f>
        <v>1.8355175094352956</v>
      </c>
      <c r="FH20" s="20">
        <f>PNA!DR21</f>
        <v>1.8261951376608176</v>
      </c>
    </row>
    <row r="21" spans="1:164">
      <c r="A21" s="8" t="s">
        <v>203</v>
      </c>
      <c r="B21" s="263" t="s">
        <v>222</v>
      </c>
      <c r="C21" s="19">
        <f t="shared" si="48"/>
        <v>-0.48415100639155462</v>
      </c>
      <c r="D21" s="19">
        <f t="shared" si="49"/>
        <v>0.15348602698028824</v>
      </c>
      <c r="E21" s="19">
        <f t="shared" si="50"/>
        <v>0.16030753789781738</v>
      </c>
      <c r="F21" s="19">
        <f t="shared" si="51"/>
        <v>0.17906545210157532</v>
      </c>
      <c r="G21" s="19">
        <f t="shared" si="52"/>
        <v>-9.2794148963513123E-3</v>
      </c>
      <c r="H21" s="19">
        <f t="shared" si="53"/>
        <v>2.2301296853100006E-2</v>
      </c>
      <c r="I21" s="19">
        <f t="shared" si="54"/>
        <v>8.6136893967632133E-2</v>
      </c>
      <c r="J21" s="19">
        <f t="shared" si="54"/>
        <v>0</v>
      </c>
      <c r="K21" s="19">
        <f t="shared" si="44"/>
        <v>-0.12042069421323198</v>
      </c>
      <c r="L21" s="19">
        <f t="shared" si="1"/>
        <v>-6.2104705263594795E-3</v>
      </c>
      <c r="M21" s="19">
        <f t="shared" si="2"/>
        <v>-3.9073873942322201E-2</v>
      </c>
      <c r="N21" s="19">
        <f t="shared" si="3"/>
        <v>9.8410088202092183E-2</v>
      </c>
      <c r="O21" s="19">
        <f t="shared" si="4"/>
        <v>-6.1531821889984073E-3</v>
      </c>
      <c r="P21" s="19">
        <f t="shared" si="5"/>
        <v>6.4445800362493699E-3</v>
      </c>
      <c r="Q21" s="19">
        <f t="shared" si="5"/>
        <v>-4.2539376850383448E-2</v>
      </c>
      <c r="R21" s="19">
        <f t="shared" si="6"/>
        <v>-0.10121225072404894</v>
      </c>
      <c r="S21" s="19">
        <f t="shared" si="7"/>
        <v>9.3755397239636551E-4</v>
      </c>
      <c r="T21" s="19">
        <f t="shared" si="8"/>
        <v>3.5281676431964115E-2</v>
      </c>
      <c r="U21" s="19">
        <f t="shared" si="8"/>
        <v>0</v>
      </c>
      <c r="V21" s="19">
        <f t="shared" si="8"/>
        <v>-2.130850186189992E-2</v>
      </c>
      <c r="W21" s="19">
        <f t="shared" si="8"/>
        <v>0.1238954863364885</v>
      </c>
      <c r="X21" s="19">
        <f t="shared" si="55"/>
        <v>-4.1824104652980587E-2</v>
      </c>
      <c r="Y21" s="19">
        <f t="shared" si="55"/>
        <v>-2.0871846447184872E-2</v>
      </c>
      <c r="Z21" s="19">
        <f t="shared" si="9"/>
        <v>-1.8211363028791006E-2</v>
      </c>
      <c r="AA21" s="19">
        <f t="shared" si="10"/>
        <v>0</v>
      </c>
      <c r="AB21" s="19">
        <f t="shared" si="10"/>
        <v>-1.4874669843182531E-2</v>
      </c>
      <c r="AC21" s="19">
        <f t="shared" si="10"/>
        <v>9.0636774999100389E-2</v>
      </c>
      <c r="AD21" s="19">
        <f t="shared" si="10"/>
        <v>2.2384892158006764E-2</v>
      </c>
      <c r="AE21" s="19">
        <f t="shared" si="11"/>
        <v>6.1244721659843293E-3</v>
      </c>
      <c r="AF21" s="19">
        <f t="shared" si="11"/>
        <v>-2.9860719056175711E-2</v>
      </c>
      <c r="AG21" s="19">
        <f t="shared" si="12"/>
        <v>-6.0270889090086044E-3</v>
      </c>
      <c r="AH21" s="19">
        <f t="shared" si="13"/>
        <v>3.5732019395350534E-2</v>
      </c>
      <c r="AI21" s="19">
        <f t="shared" si="14"/>
        <v>2.1747015549689053E-4</v>
      </c>
      <c r="AJ21" s="19">
        <f t="shared" si="15"/>
        <v>-4.0732225218800266E-3</v>
      </c>
      <c r="AK21" s="19">
        <f t="shared" si="16"/>
        <v>-2.9734802825479356E-2</v>
      </c>
      <c r="AL21" s="19">
        <f t="shared" si="16"/>
        <v>6.4625292371740528E-3</v>
      </c>
      <c r="AM21" s="19">
        <f t="shared" si="17"/>
        <v>-5.2096622643053259E-2</v>
      </c>
      <c r="AN21" s="19">
        <f t="shared" si="18"/>
        <v>2.8899633108192546E-4</v>
      </c>
      <c r="AO21" s="19">
        <f t="shared" si="19"/>
        <v>2.3516594781276545E-2</v>
      </c>
      <c r="AP21" s="19">
        <f t="shared" si="20"/>
        <v>1.0851721352791444E-3</v>
      </c>
      <c r="AQ21" s="19">
        <f t="shared" si="20"/>
        <v>-4.6412354612877849E-2</v>
      </c>
      <c r="AR21" s="19">
        <f t="shared" si="20"/>
        <v>-1.0509148316693029E-2</v>
      </c>
      <c r="AS21" s="19">
        <f t="shared" si="21"/>
        <v>-4.6136240400585393E-2</v>
      </c>
      <c r="AT21" s="19">
        <f t="shared" si="22"/>
        <v>1.8435688877245227E-2</v>
      </c>
      <c r="AU21" s="60" t="s">
        <v>51</v>
      </c>
      <c r="AV21" s="19">
        <f t="shared" si="23"/>
        <v>3.5070229843123357E-2</v>
      </c>
      <c r="AW21" s="19">
        <f t="shared" si="24"/>
        <v>1.2978173608910737E-2</v>
      </c>
      <c r="AX21" s="19">
        <f t="shared" si="25"/>
        <v>3.1228437742528925E-2</v>
      </c>
      <c r="AY21" s="19">
        <f t="shared" si="26"/>
        <v>2.119903962915437E-2</v>
      </c>
      <c r="AZ21" s="19">
        <f t="shared" si="27"/>
        <v>0</v>
      </c>
      <c r="BA21" s="19">
        <f t="shared" si="28"/>
        <v>0</v>
      </c>
      <c r="BB21" s="19">
        <f t="shared" si="29"/>
        <v>0</v>
      </c>
      <c r="BC21" s="19">
        <f t="shared" si="30"/>
        <v>-4.331679949822842E-2</v>
      </c>
      <c r="BD21" s="19">
        <f t="shared" si="31"/>
        <v>-2.5956347217821474E-3</v>
      </c>
      <c r="BE21" s="19">
        <f t="shared" si="32"/>
        <v>1.7400048297480097E-3</v>
      </c>
      <c r="BF21" s="19">
        <f t="shared" si="33"/>
        <v>4.2225191699441389E-2</v>
      </c>
      <c r="BG21" s="19">
        <f t="shared" si="33"/>
        <v>1.6802004127519865E-2</v>
      </c>
      <c r="BH21" s="19">
        <f t="shared" si="56"/>
        <v>0</v>
      </c>
      <c r="BI21" s="19">
        <f t="shared" si="57"/>
        <v>2.7475537611756806E-2</v>
      </c>
      <c r="BJ21" s="19">
        <f t="shared" si="35"/>
        <v>3.263133950945285E-2</v>
      </c>
      <c r="BK21" s="19">
        <f t="shared" si="36"/>
        <v>-4.2278185999711226E-2</v>
      </c>
      <c r="BL21" s="19">
        <f t="shared" si="45"/>
        <v>7.7023100476392159E-4</v>
      </c>
      <c r="BM21" s="19">
        <f t="shared" si="45"/>
        <v>2.5963427333943301E-2</v>
      </c>
      <c r="BN21" s="19">
        <f t="shared" si="45"/>
        <v>-8.9342477770673057E-3</v>
      </c>
      <c r="BO21" s="19">
        <f t="shared" si="45"/>
        <v>-3.0665850248223769E-2</v>
      </c>
      <c r="BP21" s="19">
        <f t="shared" si="58"/>
        <v>1.4146515345180077E-2</v>
      </c>
      <c r="BQ21" s="19">
        <f t="shared" si="58"/>
        <v>2.4068100030545381E-2</v>
      </c>
      <c r="BR21" s="19">
        <f t="shared" si="58"/>
        <v>-3.0067104600064454E-3</v>
      </c>
      <c r="BS21" s="19">
        <f t="shared" si="38"/>
        <v>-7.2326359578076982E-2</v>
      </c>
      <c r="BT21" s="19">
        <f t="shared" si="46"/>
        <v>-2.6906692690078948E-2</v>
      </c>
      <c r="BU21" s="19">
        <f t="shared" si="59"/>
        <v>4.9714106631773447E-2</v>
      </c>
      <c r="BV21" s="19">
        <f t="shared" si="60"/>
        <v>3.6886077283480034E-2</v>
      </c>
      <c r="BW21" s="19">
        <f t="shared" si="40"/>
        <v>-2.0211892116659413E-3</v>
      </c>
      <c r="BX21" s="19">
        <f t="shared" si="41"/>
        <v>-5.9569988227957893E-2</v>
      </c>
      <c r="BY21" s="19">
        <f t="shared" si="41"/>
        <v>2.2096103463193906E-2</v>
      </c>
      <c r="BZ21" s="19">
        <f t="shared" si="41"/>
        <v>-1.161693123429508E-2</v>
      </c>
      <c r="CA21" s="19">
        <f t="shared" si="41"/>
        <v>6.6488795312036331E-4</v>
      </c>
      <c r="CB21" s="19">
        <f t="shared" si="42"/>
        <v>-9.7193131568431568E-3</v>
      </c>
      <c r="CC21" s="19">
        <f t="shared" si="42"/>
        <v>2.5840372497478725E-2</v>
      </c>
      <c r="CD21" s="19">
        <f t="shared" si="42"/>
        <v>0.15821576484830935</v>
      </c>
      <c r="CE21" s="65"/>
      <c r="CG21" s="20">
        <f t="shared" si="47"/>
        <v>6.7540214457757637</v>
      </c>
      <c r="CH21" s="20">
        <f>PANA!AR17</f>
        <v>7.2381724521673183</v>
      </c>
      <c r="CI21" s="20">
        <f>PANA!AS17</f>
        <v>7.0846864251870301</v>
      </c>
      <c r="CJ21" s="20">
        <f>PANA!AT17</f>
        <v>6.9243788872892127</v>
      </c>
      <c r="CK21" s="20">
        <f>PANA!AU17</f>
        <v>6.7453134351876374</v>
      </c>
      <c r="CL21" s="20">
        <f>PANA!AV17</f>
        <v>6.7545928500839887</v>
      </c>
      <c r="CM21" s="20">
        <f>PANA!AW17</f>
        <v>6.7322915532308887</v>
      </c>
      <c r="CN21" s="20">
        <f>PANA!AX17</f>
        <v>6.6461546592632565</v>
      </c>
      <c r="CO21" s="20">
        <f>PANA!AY17</f>
        <v>6.6461546592632565</v>
      </c>
      <c r="CP21" s="20">
        <f>PANA!AZ17</f>
        <v>6.7665753534764885</v>
      </c>
      <c r="CQ21" s="20">
        <f>PANA!BA17</f>
        <v>6.772785824002848</v>
      </c>
      <c r="CR21" s="20">
        <f>PANA!BB17</f>
        <v>6.8118596979451702</v>
      </c>
      <c r="CS21" s="20">
        <f>PANA!BC17</f>
        <v>6.713449609743078</v>
      </c>
      <c r="CT21" s="20">
        <f>PANA!BD17</f>
        <v>6.7196027919320764</v>
      </c>
      <c r="CU21" s="20">
        <f>PANA!BE17</f>
        <v>6.7131582118958271</v>
      </c>
      <c r="CV21" s="20">
        <f>PANA!BF17</f>
        <v>6.7556975887462105</v>
      </c>
      <c r="CW21" s="20">
        <f>PANA!BG17</f>
        <v>6.8569098394702594</v>
      </c>
      <c r="CX21" s="20">
        <f>PANA!BH17</f>
        <v>6.8559722854978631</v>
      </c>
      <c r="CY21" s="20">
        <f>PANA!BI17</f>
        <v>6.820690609065899</v>
      </c>
      <c r="CZ21" s="20">
        <f>PANA!BJ17</f>
        <v>6.820690609065899</v>
      </c>
      <c r="DA21" s="20">
        <f>PANA!BK17</f>
        <v>6.8419991109277989</v>
      </c>
      <c r="DB21" s="20">
        <f>PANA!BL17</f>
        <v>6.7181036245913104</v>
      </c>
      <c r="DC21" s="20">
        <f>PANA!BM17</f>
        <v>6.759927729244291</v>
      </c>
      <c r="DD21" s="20">
        <f>PANA!BN17</f>
        <v>6.7807995756914758</v>
      </c>
      <c r="DE21" s="20">
        <f>PANA!BO17</f>
        <v>6.7990109387202669</v>
      </c>
      <c r="DF21" s="20">
        <f>PANA!BP17</f>
        <v>6.7990109387202669</v>
      </c>
      <c r="DG21" s="20">
        <f>PANA!BQ17</f>
        <v>6.8138856085634494</v>
      </c>
      <c r="DH21" s="20">
        <f>PANA!BR17</f>
        <v>6.723248833564349</v>
      </c>
      <c r="DI21" s="20">
        <f>PANA!BS17</f>
        <v>6.7008639414063422</v>
      </c>
      <c r="DJ21" s="20">
        <f>PANA!BT17</f>
        <v>6.6947394692403579</v>
      </c>
      <c r="DK21" s="20">
        <f>PANA!BU17</f>
        <v>6.7246001882965336</v>
      </c>
      <c r="DL21" s="20">
        <f>PANA!BV17</f>
        <v>6.7306272772055422</v>
      </c>
      <c r="DM21" s="20">
        <f>PANA!BW17</f>
        <v>6.6948952578101917</v>
      </c>
      <c r="DN21" s="20">
        <f>PANA!BX17</f>
        <v>6.6946777876546948</v>
      </c>
      <c r="DO21" s="20">
        <f>PANA!BY17</f>
        <v>6.6987510101765748</v>
      </c>
      <c r="DP21" s="20">
        <f>PANA!BZ17</f>
        <v>6.7284858130020542</v>
      </c>
      <c r="DQ21" s="20">
        <f>PANA!CA17</f>
        <v>6.7220232837648801</v>
      </c>
      <c r="DR21" s="20">
        <f>PANA!CB17</f>
        <v>6.7741199064079334</v>
      </c>
      <c r="DS21" s="20">
        <f>PANA!CC17</f>
        <v>6.7738309100768515</v>
      </c>
      <c r="DT21" s="20">
        <f>PANA!CD17</f>
        <v>6.7503143152955749</v>
      </c>
      <c r="DU21" s="20">
        <f>PANA!CE17</f>
        <v>6.7492291431602958</v>
      </c>
      <c r="DV21" s="20">
        <f>PANA!CF17</f>
        <v>6.7956414977731736</v>
      </c>
      <c r="DW21" s="20">
        <f>PANA!CG17</f>
        <v>6.8061506460898666</v>
      </c>
      <c r="DX21" s="20">
        <f>PANA!CH17</f>
        <v>6.852286886490452</v>
      </c>
      <c r="DY21" s="20">
        <f>PANA!CI17</f>
        <v>6.8338511976132068</v>
      </c>
      <c r="DZ21" s="20">
        <f>PANA!CJ17</f>
        <v>6.7987809677700834</v>
      </c>
      <c r="EA21" s="20">
        <f>PANA!CK17</f>
        <v>6.7858027941611727</v>
      </c>
      <c r="EB21" s="20">
        <f>PANA!CL17</f>
        <v>6.7545743564186438</v>
      </c>
      <c r="EC21" s="20">
        <f>PANA!CM17</f>
        <v>6.7333753167894894</v>
      </c>
      <c r="ED21" s="20">
        <f>PANA!CN17</f>
        <v>6.7333753167894894</v>
      </c>
      <c r="EE21" s="20">
        <f>PANA!CO17</f>
        <v>6.7333753167894894</v>
      </c>
      <c r="EF21" s="20">
        <f>PANA!CP17</f>
        <v>6.7333753167894894</v>
      </c>
      <c r="EG21" s="20">
        <f>PANA!CQ17</f>
        <v>6.7766921162877178</v>
      </c>
      <c r="EH21" s="20">
        <f>PANA!CR17</f>
        <v>6.7792877510095</v>
      </c>
      <c r="EI21" s="20">
        <f>PANA!CS17</f>
        <v>6.777547746179752</v>
      </c>
      <c r="EJ21" s="20">
        <f>PANA!CT17</f>
        <v>6.7353225544803106</v>
      </c>
      <c r="EK21" s="20">
        <f>PANA!CU17</f>
        <v>6.7185205503527907</v>
      </c>
      <c r="EL21" s="20">
        <f>PANA!CV17</f>
        <v>6.7185205503527907</v>
      </c>
      <c r="EM21" s="20">
        <f>PANA!CW17</f>
        <v>6.6910450127410339</v>
      </c>
      <c r="EN21" s="20">
        <f>PANA!CX17</f>
        <v>6.6584136732315811</v>
      </c>
      <c r="EO21" s="20">
        <f>PANA!CY17</f>
        <v>6.7006918592312923</v>
      </c>
      <c r="EP21" s="20">
        <f>PANA!CZ17</f>
        <v>6.6999216282265284</v>
      </c>
      <c r="EQ21" s="20">
        <f>PANA!DA17</f>
        <v>6.6739582008925851</v>
      </c>
      <c r="ER21" s="20">
        <f>PANA!DB17</f>
        <v>6.6828924486696524</v>
      </c>
      <c r="ES21" s="20">
        <f>PANA!DC17</f>
        <v>6.7135582989178761</v>
      </c>
      <c r="ET21" s="20">
        <f>PANA!DD17</f>
        <v>6.6994117835726961</v>
      </c>
      <c r="EU21" s="20">
        <f>PANA!DE17</f>
        <v>6.6753436835421507</v>
      </c>
      <c r="EV21" s="20">
        <f>PANA!DF17</f>
        <v>6.6783503940021571</v>
      </c>
      <c r="EW21" s="20">
        <f>PANA!DG17</f>
        <v>6.7506767535802341</v>
      </c>
      <c r="EX21" s="20">
        <f>PANA!DH17</f>
        <v>6.7775834462703131</v>
      </c>
      <c r="EY21" s="20">
        <f>PANA!DI17</f>
        <v>6.7278693396385396</v>
      </c>
      <c r="EZ21" s="20">
        <f>PANA!DJ17</f>
        <v>6.6909832623550596</v>
      </c>
      <c r="FA21" s="20">
        <f>PANA!DK17</f>
        <v>6.6930044515667255</v>
      </c>
      <c r="FB21" s="20">
        <f>PANA!DL17</f>
        <v>6.7525744397946834</v>
      </c>
      <c r="FC21" s="20">
        <f>PANA!DM17</f>
        <v>6.7304783363314895</v>
      </c>
      <c r="FD21" s="20">
        <f>PANA!DN17</f>
        <v>6.7420952675657846</v>
      </c>
      <c r="FE21" s="20">
        <f>PANA!DO17</f>
        <v>6.7414303796126642</v>
      </c>
      <c r="FF21" s="20">
        <f>PANA!DP17</f>
        <v>6.7511496927695074</v>
      </c>
      <c r="FG21" s="20">
        <f>PANA!DQ17</f>
        <v>6.7253093202720287</v>
      </c>
      <c r="FH21" s="20">
        <f>PANA!DR17</f>
        <v>6.5670935554237193</v>
      </c>
    </row>
    <row r="22" spans="1:164">
      <c r="A22" s="8" t="s">
        <v>212</v>
      </c>
      <c r="B22" s="263" t="s">
        <v>223</v>
      </c>
      <c r="C22" s="19">
        <f t="shared" si="48"/>
        <v>0.12929450727988501</v>
      </c>
      <c r="D22" s="19">
        <f t="shared" si="49"/>
        <v>-4.3052802599512496E-2</v>
      </c>
      <c r="E22" s="19">
        <f t="shared" si="50"/>
        <v>-7.981478472786363E-2</v>
      </c>
      <c r="F22" s="19">
        <f t="shared" si="51"/>
        <v>0</v>
      </c>
      <c r="G22" s="19">
        <f t="shared" si="52"/>
        <v>-1.720146222583252E-2</v>
      </c>
      <c r="H22" s="19">
        <f t="shared" si="53"/>
        <v>9.8294069861901701E-3</v>
      </c>
      <c r="I22" s="19">
        <f t="shared" si="54"/>
        <v>0.12041023558082831</v>
      </c>
      <c r="J22" s="19">
        <f t="shared" si="54"/>
        <v>-1.4744110479284922E-2</v>
      </c>
      <c r="K22" s="19">
        <f t="shared" si="44"/>
        <v>0</v>
      </c>
      <c r="L22" s="19">
        <f t="shared" si="1"/>
        <v>-9.8294069861901701E-3</v>
      </c>
      <c r="M22" s="19">
        <f t="shared" si="2"/>
        <v>-1.9658813972380118E-2</v>
      </c>
      <c r="N22" s="19">
        <f t="shared" si="3"/>
        <v>-1.4744110479285144E-2</v>
      </c>
      <c r="O22" s="19">
        <f t="shared" si="4"/>
        <v>-4.914703493094974E-3</v>
      </c>
      <c r="P22" s="19">
        <f t="shared" si="5"/>
        <v>0</v>
      </c>
      <c r="Q22" s="19">
        <f t="shared" si="5"/>
        <v>0</v>
      </c>
      <c r="R22" s="19">
        <f t="shared" si="6"/>
        <v>-9.8294069861901701E-3</v>
      </c>
      <c r="S22" s="19">
        <f t="shared" si="7"/>
        <v>0</v>
      </c>
      <c r="T22" s="19">
        <f t="shared" si="8"/>
        <v>-4.9147034930950406E-2</v>
      </c>
      <c r="U22" s="19">
        <f t="shared" si="8"/>
        <v>-1.4744110479285144E-2</v>
      </c>
      <c r="V22" s="19">
        <f t="shared" si="8"/>
        <v>-9.829406986189948E-3</v>
      </c>
      <c r="W22" s="19">
        <f t="shared" si="8"/>
        <v>2.9488220958570066E-2</v>
      </c>
      <c r="X22" s="19">
        <f t="shared" si="55"/>
        <v>0</v>
      </c>
      <c r="Y22" s="19">
        <f t="shared" si="55"/>
        <v>0</v>
      </c>
      <c r="Z22" s="19">
        <f t="shared" si="9"/>
        <v>-9.8294069861901701E-3</v>
      </c>
      <c r="AA22" s="19">
        <f t="shared" si="10"/>
        <v>0</v>
      </c>
      <c r="AB22" s="19">
        <f t="shared" si="10"/>
        <v>0</v>
      </c>
      <c r="AC22" s="19">
        <f t="shared" si="10"/>
        <v>2.4573517465475314E-2</v>
      </c>
      <c r="AD22" s="19">
        <f t="shared" si="10"/>
        <v>0</v>
      </c>
      <c r="AE22" s="19">
        <f t="shared" si="11"/>
        <v>0</v>
      </c>
      <c r="AF22" s="19">
        <f t="shared" si="11"/>
        <v>0</v>
      </c>
      <c r="AG22" s="19">
        <f t="shared" si="12"/>
        <v>-2.4573517465475314E-2</v>
      </c>
      <c r="AH22" s="19">
        <f t="shared" si="13"/>
        <v>4.9147034930951961E-3</v>
      </c>
      <c r="AI22" s="19">
        <f t="shared" si="14"/>
        <v>0</v>
      </c>
      <c r="AJ22" s="19">
        <f t="shared" si="15"/>
        <v>-3.4402924451665484E-2</v>
      </c>
      <c r="AK22" s="19">
        <f t="shared" si="16"/>
        <v>0</v>
      </c>
      <c r="AL22" s="19">
        <f t="shared" si="16"/>
        <v>-1.9658813972379896E-2</v>
      </c>
      <c r="AM22" s="19">
        <f t="shared" si="17"/>
        <v>-4.9147034930950628E-2</v>
      </c>
      <c r="AN22" s="19">
        <f t="shared" si="18"/>
        <v>0</v>
      </c>
      <c r="AO22" s="19">
        <f t="shared" si="19"/>
        <v>0</v>
      </c>
      <c r="AP22" s="19">
        <f t="shared" si="20"/>
        <v>0</v>
      </c>
      <c r="AQ22" s="19">
        <f t="shared" si="20"/>
        <v>-9.829406986189948E-3</v>
      </c>
      <c r="AR22" s="19">
        <f t="shared" si="20"/>
        <v>0</v>
      </c>
      <c r="AS22" s="19">
        <f t="shared" si="21"/>
        <v>0</v>
      </c>
      <c r="AT22" s="19">
        <f t="shared" si="22"/>
        <v>0</v>
      </c>
      <c r="AU22" s="60" t="s">
        <v>64</v>
      </c>
      <c r="AV22" s="19">
        <f t="shared" si="23"/>
        <v>0</v>
      </c>
      <c r="AW22" s="19">
        <f t="shared" si="24"/>
        <v>-1.965881397238034E-2</v>
      </c>
      <c r="AX22" s="19">
        <f t="shared" si="25"/>
        <v>0</v>
      </c>
      <c r="AY22" s="19">
        <f t="shared" si="26"/>
        <v>-9.829406986189948E-3</v>
      </c>
      <c r="AZ22" s="19">
        <f t="shared" si="27"/>
        <v>0</v>
      </c>
      <c r="BA22" s="19">
        <f t="shared" si="28"/>
        <v>0</v>
      </c>
      <c r="BB22" s="19">
        <f t="shared" si="29"/>
        <v>0</v>
      </c>
      <c r="BC22" s="19">
        <f t="shared" si="30"/>
        <v>0</v>
      </c>
      <c r="BD22" s="19">
        <f t="shared" si="31"/>
        <v>4.9147034930951961E-3</v>
      </c>
      <c r="BE22" s="19">
        <f t="shared" si="32"/>
        <v>-9.8294069861903921E-3</v>
      </c>
      <c r="BF22" s="19">
        <f t="shared" si="33"/>
        <v>4.9147034930951961E-3</v>
      </c>
      <c r="BG22" s="19">
        <f t="shared" si="33"/>
        <v>0</v>
      </c>
      <c r="BH22" s="19">
        <f t="shared" si="56"/>
        <v>0</v>
      </c>
      <c r="BI22" s="19">
        <f t="shared" si="57"/>
        <v>2.9488220958570288E-2</v>
      </c>
      <c r="BJ22" s="19">
        <f t="shared" si="35"/>
        <v>1.9658813972379896E-2</v>
      </c>
      <c r="BK22" s="19">
        <f t="shared" si="36"/>
        <v>0</v>
      </c>
      <c r="BL22" s="19">
        <f t="shared" si="45"/>
        <v>0</v>
      </c>
      <c r="BM22" s="19">
        <f t="shared" si="45"/>
        <v>0</v>
      </c>
      <c r="BN22" s="19">
        <f t="shared" si="45"/>
        <v>7.3720552396427941E-3</v>
      </c>
      <c r="BO22" s="19">
        <f t="shared" si="45"/>
        <v>5.1604386677497782E-2</v>
      </c>
      <c r="BP22" s="19">
        <f t="shared" si="58"/>
        <v>4.9147034930951961E-3</v>
      </c>
      <c r="BQ22" s="19">
        <f t="shared" si="58"/>
        <v>7.8635255889520694E-2</v>
      </c>
      <c r="BR22" s="19">
        <f t="shared" si="58"/>
        <v>2.4573517465475314E-2</v>
      </c>
      <c r="BS22" s="19">
        <f t="shared" si="38"/>
        <v>-1.4744110479285144E-2</v>
      </c>
      <c r="BT22" s="19">
        <f t="shared" si="46"/>
        <v>9.829406986189948E-3</v>
      </c>
      <c r="BU22" s="19">
        <f t="shared" si="59"/>
        <v>1.4744110479285144E-2</v>
      </c>
      <c r="BV22" s="19">
        <f t="shared" si="60"/>
        <v>0</v>
      </c>
      <c r="BW22" s="19">
        <f t="shared" si="40"/>
        <v>0</v>
      </c>
      <c r="BX22" s="19">
        <f t="shared" si="41"/>
        <v>1.965881397238034E-2</v>
      </c>
      <c r="BY22" s="19">
        <f t="shared" si="41"/>
        <v>2.9488220958570066E-2</v>
      </c>
      <c r="BZ22" s="19">
        <f t="shared" si="41"/>
        <v>9.8294069861901701E-3</v>
      </c>
      <c r="CA22" s="19">
        <f t="shared" si="41"/>
        <v>0</v>
      </c>
      <c r="CB22" s="19">
        <f t="shared" si="42"/>
        <v>1.9658813972380118E-2</v>
      </c>
      <c r="CC22" s="19">
        <f t="shared" si="42"/>
        <v>9.8294069861901701E-3</v>
      </c>
      <c r="CD22" s="19">
        <f t="shared" si="42"/>
        <v>4.914703493094974E-3</v>
      </c>
      <c r="CE22" s="65"/>
      <c r="CG22" s="20">
        <f t="shared" si="47"/>
        <v>1.3058176591889021</v>
      </c>
      <c r="CH22" s="20">
        <f>'Hexylene Glycol'!AR16</f>
        <v>1.1765231519090171</v>
      </c>
      <c r="CI22" s="20">
        <f>'Hexylene Glycol'!AS16</f>
        <v>1.2195759545085296</v>
      </c>
      <c r="CJ22" s="20">
        <f>'Hexylene Glycol'!AT16</f>
        <v>1.2993907392363933</v>
      </c>
      <c r="CK22" s="20">
        <f>'Hexylene Glycol'!AU16</f>
        <v>1.2993907392363933</v>
      </c>
      <c r="CL22" s="20">
        <f>'Hexylene Glycol'!AV16</f>
        <v>1.3165922014622258</v>
      </c>
      <c r="CM22" s="20">
        <f>'Hexylene Glycol'!AW16</f>
        <v>1.3067627944760356</v>
      </c>
      <c r="CN22" s="20">
        <f>'Hexylene Glycol'!AX16</f>
        <v>1.1863525588952073</v>
      </c>
      <c r="CO22" s="20">
        <f>'Hexylene Glycol'!AY16</f>
        <v>1.2010966693744922</v>
      </c>
      <c r="CP22" s="20">
        <f>'Hexylene Glycol'!AZ16</f>
        <v>1.2010966693744922</v>
      </c>
      <c r="CQ22" s="20">
        <f>'Hexylene Glycol'!BA16</f>
        <v>1.2109260763606824</v>
      </c>
      <c r="CR22" s="20">
        <f>'Hexylene Glycol'!BB16</f>
        <v>1.2305848903330625</v>
      </c>
      <c r="CS22" s="20">
        <f>'Hexylene Glycol'!BC16</f>
        <v>1.2453290008123477</v>
      </c>
      <c r="CT22" s="20">
        <f>'Hexylene Glycol'!BD16</f>
        <v>1.2502437043054426</v>
      </c>
      <c r="CU22" s="20">
        <f>'Hexylene Glycol'!BE16</f>
        <v>1.2502437043054426</v>
      </c>
      <c r="CV22" s="20">
        <f>'Hexylene Glycol'!BF16</f>
        <v>1.2502437043054426</v>
      </c>
      <c r="CW22" s="20">
        <f>'Hexylene Glycol'!BG16</f>
        <v>1.2600731112916328</v>
      </c>
      <c r="CX22" s="20">
        <f>'Hexylene Glycol'!BH16</f>
        <v>1.2600731112916328</v>
      </c>
      <c r="CY22" s="20">
        <f>'Hexylene Glycol'!BI16</f>
        <v>1.3092201462225832</v>
      </c>
      <c r="CZ22" s="20">
        <f>'Hexylene Glycol'!BJ16</f>
        <v>1.3239642567018683</v>
      </c>
      <c r="DA22" s="20">
        <f>'Hexylene Glycol'!BK16</f>
        <v>1.3337936636880583</v>
      </c>
      <c r="DB22" s="20">
        <f>'Hexylene Glycol'!BL16</f>
        <v>1.3043054427294882</v>
      </c>
      <c r="DC22" s="20">
        <f>'Hexylene Glycol'!BM16</f>
        <v>1.3043054427294882</v>
      </c>
      <c r="DD22" s="20">
        <f>'Hexylene Glycol'!BN16</f>
        <v>1.3043054427294882</v>
      </c>
      <c r="DE22" s="20">
        <f>'Hexylene Glycol'!BO16</f>
        <v>1.3141348497156784</v>
      </c>
      <c r="DF22" s="20">
        <f>'Hexylene Glycol'!BP16</f>
        <v>1.3141348497156784</v>
      </c>
      <c r="DG22" s="20">
        <f>'Hexylene Glycol'!BQ16</f>
        <v>1.3141348497156784</v>
      </c>
      <c r="DH22" s="20">
        <f>'Hexylene Glycol'!BR16</f>
        <v>1.2895613322502031</v>
      </c>
      <c r="DI22" s="20">
        <f>'Hexylene Glycol'!BS16</f>
        <v>1.2895613322502031</v>
      </c>
      <c r="DJ22" s="20">
        <f>'Hexylene Glycol'!BT16</f>
        <v>1.2895613322502031</v>
      </c>
      <c r="DK22" s="20">
        <f>'Hexylene Glycol'!BU16</f>
        <v>1.2895613322502031</v>
      </c>
      <c r="DL22" s="20">
        <f>'Hexylene Glycol'!BV16</f>
        <v>1.3141348497156784</v>
      </c>
      <c r="DM22" s="20">
        <f>'Hexylene Glycol'!BW16</f>
        <v>1.3092201462225832</v>
      </c>
      <c r="DN22" s="20">
        <f>'Hexylene Glycol'!BX16</f>
        <v>1.3092201462225832</v>
      </c>
      <c r="DO22" s="20">
        <f>'Hexylene Glycol'!BY16</f>
        <v>1.3436230706742487</v>
      </c>
      <c r="DP22" s="20">
        <f>'Hexylene Glycol'!BZ16</f>
        <v>1.3436230706742487</v>
      </c>
      <c r="DQ22" s="20">
        <f>'Hexylene Glycol'!CA16</f>
        <v>1.3632818846466286</v>
      </c>
      <c r="DR22" s="20">
        <f>'Hexylene Glycol'!CB16</f>
        <v>1.4124289195775792</v>
      </c>
      <c r="DS22" s="20">
        <f>'Hexylene Glycol'!CC16</f>
        <v>1.4124289195775792</v>
      </c>
      <c r="DT22" s="20">
        <f>'Hexylene Glycol'!CD16</f>
        <v>1.4124289195775792</v>
      </c>
      <c r="DU22" s="20">
        <f>'Hexylene Glycol'!CE16</f>
        <v>1.4124289195775792</v>
      </c>
      <c r="DV22" s="20">
        <f>'Hexylene Glycol'!CF16</f>
        <v>1.4222583265637692</v>
      </c>
      <c r="DW22" s="20">
        <f>'Hexylene Glycol'!CG16</f>
        <v>1.4222583265637692</v>
      </c>
      <c r="DX22" s="20">
        <f>'Hexylene Glycol'!CH16</f>
        <v>1.4222583265637692</v>
      </c>
      <c r="DY22" s="20">
        <f>'Hexylene Glycol'!CI16</f>
        <v>1.4222583265637692</v>
      </c>
      <c r="DZ22" s="20">
        <f>'Hexylene Glycol'!CJ16</f>
        <v>1.4222583265637692</v>
      </c>
      <c r="EA22" s="20">
        <f>'Hexylene Glycol'!CK16</f>
        <v>1.4419171405361495</v>
      </c>
      <c r="EB22" s="20">
        <f>'Hexylene Glycol'!CL16</f>
        <v>1.4419171405361495</v>
      </c>
      <c r="EC22" s="20">
        <f>'Hexylene Glycol'!CM16</f>
        <v>1.4517465475223394</v>
      </c>
      <c r="ED22" s="20">
        <f>'Hexylene Glycol'!CN16</f>
        <v>1.4517465475223394</v>
      </c>
      <c r="EE22" s="20">
        <f>'Hexylene Glycol'!CO16</f>
        <v>1.4517465475223394</v>
      </c>
      <c r="EF22" s="20">
        <f>'Hexylene Glycol'!CP16</f>
        <v>1.4517465475223394</v>
      </c>
      <c r="EG22" s="20">
        <f>'Hexylene Glycol'!CQ16</f>
        <v>1.4517465475223394</v>
      </c>
      <c r="EH22" s="20">
        <f>'Hexylene Glycol'!CR16</f>
        <v>1.4468318440292443</v>
      </c>
      <c r="EI22" s="20">
        <f>'Hexylene Glycol'!CS16</f>
        <v>1.4566612510154346</v>
      </c>
      <c r="EJ22" s="20">
        <f>'Hexylene Glycol'!CT16</f>
        <v>1.4517465475223394</v>
      </c>
      <c r="EK22" s="20">
        <f>'Hexylene Glycol'!CU16</f>
        <v>1.4517465475223394</v>
      </c>
      <c r="EL22" s="20">
        <f>'Hexylene Glycol'!CV16</f>
        <v>1.4517465475223394</v>
      </c>
      <c r="EM22" s="20">
        <f>'Hexylene Glycol'!CW16</f>
        <v>1.4222583265637692</v>
      </c>
      <c r="EN22" s="20">
        <f>'Hexylene Glycol'!CX16</f>
        <v>1.4025995125913893</v>
      </c>
      <c r="EO22" s="20">
        <f>'Hexylene Glycol'!CY16</f>
        <v>1.4025995125913893</v>
      </c>
      <c r="EP22" s="20">
        <f>'Hexylene Glycol'!CZ16</f>
        <v>1.4025995125913893</v>
      </c>
      <c r="EQ22" s="20">
        <f>'Hexylene Glycol'!DA16</f>
        <v>1.4025995125913893</v>
      </c>
      <c r="ER22" s="20">
        <f>'Hexylene Glycol'!DB16</f>
        <v>1.3952274573517465</v>
      </c>
      <c r="ES22" s="20">
        <f>'Hexylene Glycol'!DC16</f>
        <v>1.3436230706742487</v>
      </c>
      <c r="ET22" s="20">
        <f>'Hexylene Glycol'!DD16</f>
        <v>1.3387083671811535</v>
      </c>
      <c r="EU22" s="20">
        <f>'Hexylene Glycol'!DE16</f>
        <v>1.2600731112916328</v>
      </c>
      <c r="EV22" s="20">
        <f>'Hexylene Glycol'!DF16</f>
        <v>1.2354995938261575</v>
      </c>
      <c r="EW22" s="20">
        <f>'Hexylene Glycol'!DG16</f>
        <v>1.2502437043054426</v>
      </c>
      <c r="EX22" s="20">
        <f>'Hexylene Glycol'!DH16</f>
        <v>1.2404142973192527</v>
      </c>
      <c r="EY22" s="20">
        <f>'Hexylene Glycol'!DI16</f>
        <v>1.2256701868399675</v>
      </c>
      <c r="EZ22" s="20">
        <f>'Hexylene Glycol'!DJ16</f>
        <v>1.2256701868399675</v>
      </c>
      <c r="FA22" s="20">
        <f>'Hexylene Glycol'!DK16</f>
        <v>1.2256701868399675</v>
      </c>
      <c r="FB22" s="20">
        <f>'Hexylene Glycol'!DL16</f>
        <v>1.2060113728675872</v>
      </c>
      <c r="FC22" s="20">
        <f>'Hexylene Glycol'!DM16</f>
        <v>1.1765231519090171</v>
      </c>
      <c r="FD22" s="20">
        <f>'Hexylene Glycol'!DN16</f>
        <v>1.166693744922827</v>
      </c>
      <c r="FE22" s="20">
        <f>'Hexylene Glycol'!DO16</f>
        <v>1.166693744922827</v>
      </c>
      <c r="FF22" s="20">
        <f>'Hexylene Glycol'!DP16</f>
        <v>1.1470349309504468</v>
      </c>
      <c r="FG22" s="20">
        <f>'Hexylene Glycol'!DQ16</f>
        <v>1.1372055239642567</v>
      </c>
      <c r="FH22" s="20">
        <f>'Hexylene Glycol'!DR16</f>
        <v>1.1322908204711617</v>
      </c>
    </row>
    <row r="23" spans="1:164">
      <c r="A23" s="8" t="s">
        <v>212</v>
      </c>
      <c r="B23" s="263" t="s">
        <v>224</v>
      </c>
      <c r="C23" s="19">
        <f t="shared" si="48"/>
        <v>0.13153846153846183</v>
      </c>
      <c r="D23" s="19">
        <f t="shared" si="49"/>
        <v>-4.379999999999995E-2</v>
      </c>
      <c r="E23" s="19">
        <f t="shared" si="50"/>
        <v>-8.120000000000005E-2</v>
      </c>
      <c r="F23" s="19">
        <f t="shared" si="51"/>
        <v>0</v>
      </c>
      <c r="G23" s="19">
        <f t="shared" si="52"/>
        <v>-1.749999999999996E-2</v>
      </c>
      <c r="H23" s="19">
        <f t="shared" si="53"/>
        <v>1.0000000000000009E-2</v>
      </c>
      <c r="I23" s="19">
        <f t="shared" si="54"/>
        <v>0.12249999999999994</v>
      </c>
      <c r="J23" s="19">
        <f t="shared" si="54"/>
        <v>-1.4999999999999902E-2</v>
      </c>
      <c r="K23" s="19">
        <f t="shared" si="44"/>
        <v>0</v>
      </c>
      <c r="L23" s="19">
        <f t="shared" si="1"/>
        <v>-1.0000000000000009E-2</v>
      </c>
      <c r="M23" s="19">
        <f t="shared" si="2"/>
        <v>-2.0000000000000018E-2</v>
      </c>
      <c r="N23" s="19">
        <f t="shared" si="3"/>
        <v>-1.5000000000000013E-2</v>
      </c>
      <c r="O23" s="19">
        <f t="shared" si="4"/>
        <v>-5.0000000000000044E-3</v>
      </c>
      <c r="P23" s="19">
        <f t="shared" si="5"/>
        <v>0</v>
      </c>
      <c r="Q23" s="19">
        <f t="shared" si="5"/>
        <v>0</v>
      </c>
      <c r="R23" s="19">
        <f t="shared" si="6"/>
        <v>-1.0000000000000009E-2</v>
      </c>
      <c r="S23" s="19">
        <f t="shared" si="7"/>
        <v>0</v>
      </c>
      <c r="T23" s="19">
        <f t="shared" si="8"/>
        <v>-5.0000000000000044E-2</v>
      </c>
      <c r="U23" s="19">
        <f t="shared" si="8"/>
        <v>-1.4999999999999902E-2</v>
      </c>
      <c r="V23" s="19">
        <f t="shared" si="8"/>
        <v>-1.0000000000000009E-2</v>
      </c>
      <c r="W23" s="19">
        <f t="shared" si="8"/>
        <v>2.9999999999999916E-2</v>
      </c>
      <c r="X23" s="19">
        <f t="shared" si="55"/>
        <v>0</v>
      </c>
      <c r="Y23" s="19">
        <f t="shared" si="55"/>
        <v>0</v>
      </c>
      <c r="Z23" s="19">
        <f t="shared" si="9"/>
        <v>-1.0000000000000009E-2</v>
      </c>
      <c r="AA23" s="19">
        <f t="shared" si="10"/>
        <v>0</v>
      </c>
      <c r="AB23" s="19">
        <f t="shared" si="10"/>
        <v>0</v>
      </c>
      <c r="AC23" s="19">
        <f t="shared" si="10"/>
        <v>2.5000000000000022E-2</v>
      </c>
      <c r="AD23" s="19">
        <f t="shared" si="10"/>
        <v>0</v>
      </c>
      <c r="AE23" s="19">
        <f t="shared" si="11"/>
        <v>0</v>
      </c>
      <c r="AF23" s="19">
        <f t="shared" si="11"/>
        <v>0</v>
      </c>
      <c r="AG23" s="19">
        <f t="shared" si="12"/>
        <v>-2.5000000000000022E-2</v>
      </c>
      <c r="AH23" s="19">
        <f t="shared" si="13"/>
        <v>5.0000000000000044E-3</v>
      </c>
      <c r="AI23" s="19">
        <f t="shared" si="14"/>
        <v>0</v>
      </c>
      <c r="AJ23" s="19">
        <f t="shared" si="15"/>
        <v>-3.499999999999992E-2</v>
      </c>
      <c r="AK23" s="19">
        <f t="shared" si="16"/>
        <v>0</v>
      </c>
      <c r="AL23" s="19">
        <f t="shared" si="16"/>
        <v>-2.0000000000000018E-2</v>
      </c>
      <c r="AM23" s="19">
        <f t="shared" si="17"/>
        <v>-5.0000000000000044E-2</v>
      </c>
      <c r="AN23" s="19">
        <f t="shared" si="18"/>
        <v>0</v>
      </c>
      <c r="AO23" s="19">
        <f t="shared" si="19"/>
        <v>0</v>
      </c>
      <c r="AP23" s="19">
        <f t="shared" si="20"/>
        <v>0</v>
      </c>
      <c r="AQ23" s="19">
        <f t="shared" si="20"/>
        <v>-1.0000000000000009E-2</v>
      </c>
      <c r="AR23" s="19">
        <f t="shared" si="20"/>
        <v>0</v>
      </c>
      <c r="AS23" s="19">
        <f t="shared" si="21"/>
        <v>0</v>
      </c>
      <c r="AT23" s="19">
        <f t="shared" si="22"/>
        <v>0</v>
      </c>
      <c r="AU23" s="60" t="s">
        <v>64</v>
      </c>
      <c r="AV23" s="19">
        <f t="shared" si="23"/>
        <v>0</v>
      </c>
      <c r="AW23" s="19">
        <f t="shared" si="24"/>
        <v>-2.0000000000000018E-2</v>
      </c>
      <c r="AX23" s="19">
        <f t="shared" si="25"/>
        <v>0</v>
      </c>
      <c r="AY23" s="19">
        <f t="shared" si="26"/>
        <v>-1.0000000000000009E-2</v>
      </c>
      <c r="AZ23" s="19">
        <f t="shared" si="27"/>
        <v>0</v>
      </c>
      <c r="BA23" s="19">
        <f t="shared" si="28"/>
        <v>0</v>
      </c>
      <c r="BB23" s="19">
        <f t="shared" si="29"/>
        <v>0</v>
      </c>
      <c r="BC23" s="19">
        <f t="shared" si="30"/>
        <v>0</v>
      </c>
      <c r="BD23" s="19">
        <f t="shared" si="31"/>
        <v>5.0000000000001155E-3</v>
      </c>
      <c r="BE23" s="19">
        <f t="shared" si="32"/>
        <v>-1.0000000000000009E-2</v>
      </c>
      <c r="BF23" s="19">
        <f t="shared" si="33"/>
        <v>4.9999999999998934E-3</v>
      </c>
      <c r="BG23" s="19">
        <f t="shared" si="33"/>
        <v>0</v>
      </c>
      <c r="BH23" s="19">
        <f t="shared" si="56"/>
        <v>0</v>
      </c>
      <c r="BI23" s="19">
        <f t="shared" si="57"/>
        <v>3.0000000000000027E-2</v>
      </c>
      <c r="BJ23" s="19">
        <f t="shared" si="35"/>
        <v>2.0000000000000018E-2</v>
      </c>
      <c r="BK23" s="19">
        <f t="shared" si="36"/>
        <v>0</v>
      </c>
      <c r="BL23" s="19">
        <f t="shared" si="45"/>
        <v>0</v>
      </c>
      <c r="BM23" s="19">
        <f t="shared" si="45"/>
        <v>0</v>
      </c>
      <c r="BN23" s="19">
        <f t="shared" si="45"/>
        <v>7.5000000000000622E-3</v>
      </c>
      <c r="BO23" s="19">
        <f t="shared" si="45"/>
        <v>5.2499999999999991E-2</v>
      </c>
      <c r="BP23" s="19">
        <f t="shared" si="58"/>
        <v>5.0000000000000044E-3</v>
      </c>
      <c r="BQ23" s="19">
        <f t="shared" si="58"/>
        <v>7.999999999999996E-2</v>
      </c>
      <c r="BR23" s="19">
        <f t="shared" si="58"/>
        <v>2.5000000000000022E-2</v>
      </c>
      <c r="BS23" s="19">
        <f t="shared" si="38"/>
        <v>-1.5000000000000013E-2</v>
      </c>
      <c r="BT23" s="19">
        <f t="shared" si="46"/>
        <v>1.0000000000000009E-2</v>
      </c>
      <c r="BU23" s="19">
        <f t="shared" si="59"/>
        <v>1.5000000000000013E-2</v>
      </c>
      <c r="BV23" s="19">
        <f t="shared" si="60"/>
        <v>0</v>
      </c>
      <c r="BW23" s="19">
        <f t="shared" si="40"/>
        <v>0</v>
      </c>
      <c r="BX23" s="19">
        <f t="shared" si="41"/>
        <v>2.0000000000000018E-2</v>
      </c>
      <c r="BY23" s="19">
        <f t="shared" si="41"/>
        <v>2.9999999999999916E-2</v>
      </c>
      <c r="BZ23" s="19">
        <f t="shared" si="41"/>
        <v>1.0000000000000009E-2</v>
      </c>
      <c r="CA23" s="19">
        <f t="shared" si="41"/>
        <v>0</v>
      </c>
      <c r="CB23" s="19">
        <f t="shared" si="42"/>
        <v>2.0000000000000018E-2</v>
      </c>
      <c r="CC23" s="19">
        <f t="shared" si="42"/>
        <v>1.0000000000000009E-2</v>
      </c>
      <c r="CD23" s="19">
        <f t="shared" si="42"/>
        <v>5.0000000000000044E-3</v>
      </c>
      <c r="CE23" s="65"/>
      <c r="CG23" s="20">
        <f t="shared" si="47"/>
        <v>0.92153846153846186</v>
      </c>
      <c r="CH23" s="20">
        <f>'Diacetone alcohol '!AR10</f>
        <v>0.79</v>
      </c>
      <c r="CI23" s="20">
        <f>'Diacetone alcohol '!AS10</f>
        <v>0.83379999999999999</v>
      </c>
      <c r="CJ23" s="20">
        <f>'Diacetone alcohol '!AT10</f>
        <v>0.91500000000000004</v>
      </c>
      <c r="CK23" s="20">
        <f>'Diacetone alcohol '!AU10</f>
        <v>0.91500000000000004</v>
      </c>
      <c r="CL23" s="20">
        <f>'Diacetone alcohol '!AV10</f>
        <v>0.9325</v>
      </c>
      <c r="CM23" s="20">
        <f>'Diacetone alcohol '!AW10</f>
        <v>0.92249999999999999</v>
      </c>
      <c r="CN23" s="20">
        <f>'Diacetone alcohol '!AX10</f>
        <v>0.8</v>
      </c>
      <c r="CO23" s="20">
        <f>'Diacetone alcohol '!AY10</f>
        <v>0.81499999999999995</v>
      </c>
      <c r="CP23" s="20">
        <f>'Diacetone alcohol '!AZ10</f>
        <v>0.81499999999999995</v>
      </c>
      <c r="CQ23" s="20">
        <f>'Diacetone alcohol '!BA10</f>
        <v>0.82499999999999996</v>
      </c>
      <c r="CR23" s="20">
        <f>'Diacetone alcohol '!BB10</f>
        <v>0.84499999999999997</v>
      </c>
      <c r="CS23" s="20">
        <f>'Diacetone alcohol '!BC10</f>
        <v>0.86</v>
      </c>
      <c r="CT23" s="20">
        <f>'Diacetone alcohol '!BD10</f>
        <v>0.86499999999999999</v>
      </c>
      <c r="CU23" s="20">
        <f>'Diacetone alcohol '!BE10</f>
        <v>0.86499999999999999</v>
      </c>
      <c r="CV23" s="20">
        <f>'Diacetone alcohol '!BF10</f>
        <v>0.86499999999999999</v>
      </c>
      <c r="CW23" s="20">
        <f>'Diacetone alcohol '!BG10</f>
        <v>0.875</v>
      </c>
      <c r="CX23" s="20">
        <f>'Diacetone alcohol '!BH10</f>
        <v>0.875</v>
      </c>
      <c r="CY23" s="20">
        <f>'Diacetone alcohol '!BI10</f>
        <v>0.92500000000000004</v>
      </c>
      <c r="CZ23" s="20">
        <f>'Diacetone alcohol '!BJ10</f>
        <v>0.94</v>
      </c>
      <c r="DA23" s="20">
        <f>'Diacetone alcohol '!BK10</f>
        <v>0.95</v>
      </c>
      <c r="DB23" s="20">
        <f>'Diacetone alcohol '!BL10</f>
        <v>0.92</v>
      </c>
      <c r="DC23" s="20">
        <f>'Diacetone alcohol '!BM10</f>
        <v>0.92</v>
      </c>
      <c r="DD23" s="20">
        <f>'Diacetone alcohol '!BN10</f>
        <v>0.92</v>
      </c>
      <c r="DE23" s="20">
        <f>'Diacetone alcohol '!BO10</f>
        <v>0.93</v>
      </c>
      <c r="DF23" s="20">
        <f>'Diacetone alcohol '!BP10</f>
        <v>0.93</v>
      </c>
      <c r="DG23" s="20">
        <f>'Diacetone alcohol '!BQ10</f>
        <v>0.93</v>
      </c>
      <c r="DH23" s="20">
        <f>'Diacetone alcohol '!BR10</f>
        <v>0.90500000000000003</v>
      </c>
      <c r="DI23" s="20">
        <f>'Diacetone alcohol '!BS10</f>
        <v>0.90500000000000003</v>
      </c>
      <c r="DJ23" s="20">
        <f>'Diacetone alcohol '!BT10</f>
        <v>0.90500000000000003</v>
      </c>
      <c r="DK23" s="20">
        <f>'Diacetone alcohol '!BU10</f>
        <v>0.90500000000000003</v>
      </c>
      <c r="DL23" s="20">
        <f>'Diacetone alcohol '!BV10</f>
        <v>0.93</v>
      </c>
      <c r="DM23" s="20">
        <f>'Diacetone alcohol '!BW10</f>
        <v>0.92500000000000004</v>
      </c>
      <c r="DN23" s="20">
        <f>'Diacetone alcohol '!BX10</f>
        <v>0.92500000000000004</v>
      </c>
      <c r="DO23" s="20">
        <f>'Diacetone alcohol '!BY10</f>
        <v>0.96</v>
      </c>
      <c r="DP23" s="20">
        <f>'Diacetone alcohol '!BZ10</f>
        <v>0.96</v>
      </c>
      <c r="DQ23" s="20">
        <f>'Diacetone alcohol '!CA10</f>
        <v>0.98</v>
      </c>
      <c r="DR23" s="20">
        <f>'Diacetone alcohol '!CB10</f>
        <v>1.03</v>
      </c>
      <c r="DS23" s="20">
        <f>'Diacetone alcohol '!CC10</f>
        <v>1.03</v>
      </c>
      <c r="DT23" s="20">
        <f>'Diacetone alcohol '!CD10</f>
        <v>1.03</v>
      </c>
      <c r="DU23" s="20">
        <f>'Diacetone alcohol '!CE10</f>
        <v>1.03</v>
      </c>
      <c r="DV23" s="20">
        <f>'Diacetone alcohol '!CF10</f>
        <v>1.04</v>
      </c>
      <c r="DW23" s="20">
        <f>'Diacetone alcohol '!CG10</f>
        <v>1.04</v>
      </c>
      <c r="DX23" s="20">
        <f>'Diacetone alcohol '!CH10</f>
        <v>1.04</v>
      </c>
      <c r="DY23" s="20">
        <f>'Diacetone alcohol '!CI10</f>
        <v>1.04</v>
      </c>
      <c r="DZ23" s="20">
        <f>'Diacetone alcohol '!CJ10</f>
        <v>1.04</v>
      </c>
      <c r="EA23" s="20">
        <f>'Diacetone alcohol '!CK10</f>
        <v>1.06</v>
      </c>
      <c r="EB23" s="20">
        <f>'Diacetone alcohol '!CL10</f>
        <v>1.06</v>
      </c>
      <c r="EC23" s="20">
        <f>'Diacetone alcohol '!CM10</f>
        <v>1.07</v>
      </c>
      <c r="ED23" s="20">
        <f>'Diacetone alcohol '!CN10</f>
        <v>1.07</v>
      </c>
      <c r="EE23" s="20">
        <f>'Diacetone alcohol '!CO10</f>
        <v>1.07</v>
      </c>
      <c r="EF23" s="20">
        <f>'Diacetone alcohol '!CP10</f>
        <v>1.07</v>
      </c>
      <c r="EG23" s="20">
        <f>'Diacetone alcohol '!CQ10</f>
        <v>1.07</v>
      </c>
      <c r="EH23" s="20">
        <f>'Diacetone alcohol '!CR10</f>
        <v>1.0649999999999999</v>
      </c>
      <c r="EI23" s="20">
        <f>'Diacetone alcohol '!CS10</f>
        <v>1.075</v>
      </c>
      <c r="EJ23" s="20">
        <f>'Diacetone alcohol '!CT10</f>
        <v>1.07</v>
      </c>
      <c r="EK23" s="20">
        <f>'Diacetone alcohol '!CU10</f>
        <v>1.07</v>
      </c>
      <c r="EL23" s="20">
        <f>'Diacetone alcohol '!CV10</f>
        <v>1.07</v>
      </c>
      <c r="EM23" s="20">
        <f>'Diacetone alcohol '!CW10</f>
        <v>1.04</v>
      </c>
      <c r="EN23" s="20">
        <f>'Diacetone alcohol '!CX10</f>
        <v>1.02</v>
      </c>
      <c r="EO23" s="20">
        <f>'Diacetone alcohol '!CY10</f>
        <v>1.02</v>
      </c>
      <c r="EP23" s="20">
        <f>'Diacetone alcohol '!CZ10</f>
        <v>1.02</v>
      </c>
      <c r="EQ23" s="20">
        <f>'Diacetone alcohol '!DA10</f>
        <v>1.02</v>
      </c>
      <c r="ER23" s="20">
        <f>'Diacetone alcohol '!DB10</f>
        <v>1.0125</v>
      </c>
      <c r="ES23" s="20">
        <f>'Diacetone alcohol '!DC10</f>
        <v>0.96</v>
      </c>
      <c r="ET23" s="20">
        <f>'Diacetone alcohol '!DD10</f>
        <v>0.95499999999999996</v>
      </c>
      <c r="EU23" s="20">
        <f>'Diacetone alcohol '!DE10</f>
        <v>0.875</v>
      </c>
      <c r="EV23" s="20">
        <f>'Diacetone alcohol '!DF10</f>
        <v>0.85</v>
      </c>
      <c r="EW23" s="20">
        <f>'Diacetone alcohol '!DG10</f>
        <v>0.86499999999999999</v>
      </c>
      <c r="EX23" s="20">
        <f>'Diacetone alcohol '!DH10</f>
        <v>0.85499999999999998</v>
      </c>
      <c r="EY23" s="20">
        <f>'Diacetone alcohol '!DI10</f>
        <v>0.84</v>
      </c>
      <c r="EZ23" s="20">
        <f>'Diacetone alcohol '!DJ10</f>
        <v>0.84</v>
      </c>
      <c r="FA23" s="20">
        <f>'Diacetone alcohol '!DK10</f>
        <v>0.84</v>
      </c>
      <c r="FB23" s="20">
        <f>'Diacetone alcohol '!DL10</f>
        <v>0.82</v>
      </c>
      <c r="FC23" s="20">
        <f>'Diacetone alcohol '!DM10</f>
        <v>0.79</v>
      </c>
      <c r="FD23" s="20">
        <f>'Diacetone alcohol '!DN10</f>
        <v>0.78</v>
      </c>
      <c r="FE23" s="20">
        <f>'Diacetone alcohol '!DO10</f>
        <v>0.78</v>
      </c>
      <c r="FF23" s="20">
        <f>'Diacetone alcohol '!DP10</f>
        <v>0.76</v>
      </c>
      <c r="FG23" s="20">
        <f>'Diacetone alcohol '!DQ10</f>
        <v>0.75</v>
      </c>
      <c r="FH23" s="20">
        <f>'Diacetone alcohol '!DR10</f>
        <v>0.745</v>
      </c>
    </row>
    <row r="24" spans="1:164">
      <c r="A24" s="8" t="s">
        <v>212</v>
      </c>
      <c r="B24" s="263" t="s">
        <v>225</v>
      </c>
      <c r="C24" s="19">
        <f t="shared" si="48"/>
        <v>-1.364028805232457</v>
      </c>
      <c r="D24" s="19">
        <f t="shared" si="49"/>
        <v>-0.1993106331694916</v>
      </c>
      <c r="E24" s="19">
        <f t="shared" si="50"/>
        <v>7.29732700972896E-2</v>
      </c>
      <c r="F24" s="19">
        <f t="shared" si="51"/>
        <v>0.25111230648021543</v>
      </c>
      <c r="G24" s="19">
        <f t="shared" si="52"/>
        <v>0.18400676211305722</v>
      </c>
      <c r="H24" s="19">
        <f t="shared" si="53"/>
        <v>0.17834622896074759</v>
      </c>
      <c r="I24" s="19">
        <f t="shared" si="54"/>
        <v>0</v>
      </c>
      <c r="J24" s="19">
        <f t="shared" si="54"/>
        <v>0.10252498462333204</v>
      </c>
      <c r="K24" s="19">
        <f t="shared" si="44"/>
        <v>7.6000000000000512E-2</v>
      </c>
      <c r="L24" s="19">
        <f t="shared" si="1"/>
        <v>0.30399999999999849</v>
      </c>
      <c r="M24" s="19">
        <f t="shared" si="2"/>
        <v>0.50400000000000134</v>
      </c>
      <c r="N24" s="19">
        <f t="shared" si="3"/>
        <v>0</v>
      </c>
      <c r="O24" s="19">
        <f t="shared" si="4"/>
        <v>0</v>
      </c>
      <c r="P24" s="19">
        <f t="shared" si="5"/>
        <v>-1.0048703849175666E-2</v>
      </c>
      <c r="Q24" s="19">
        <f t="shared" si="5"/>
        <v>7.64774465622029E-2</v>
      </c>
      <c r="R24" s="19">
        <f t="shared" si="6"/>
        <v>0</v>
      </c>
      <c r="S24" s="19">
        <f t="shared" si="7"/>
        <v>-7.6000000000000512E-2</v>
      </c>
      <c r="T24" s="19">
        <f t="shared" si="8"/>
        <v>7.6000000000000512E-2</v>
      </c>
      <c r="U24" s="19">
        <f t="shared" si="8"/>
        <v>0</v>
      </c>
      <c r="V24" s="19">
        <f t="shared" si="8"/>
        <v>0</v>
      </c>
      <c r="W24" s="19">
        <f t="shared" si="8"/>
        <v>-4.2095009715962917E-2</v>
      </c>
      <c r="X24" s="19">
        <f t="shared" si="55"/>
        <v>-2.0857485426056144E-2</v>
      </c>
      <c r="Y24" s="19">
        <f t="shared" si="55"/>
        <v>0</v>
      </c>
      <c r="Z24" s="19">
        <f t="shared" si="9"/>
        <v>4.8667465994128634E-2</v>
      </c>
      <c r="AA24" s="19">
        <f t="shared" si="10"/>
        <v>0</v>
      </c>
      <c r="AB24" s="19">
        <f t="shared" si="10"/>
        <v>0</v>
      </c>
      <c r="AC24" s="19">
        <f t="shared" si="10"/>
        <v>0.23161996113614869</v>
      </c>
      <c r="AD24" s="19">
        <f t="shared" si="10"/>
        <v>0</v>
      </c>
      <c r="AE24" s="19">
        <f t="shared" si="11"/>
        <v>-0.20000000000000018</v>
      </c>
      <c r="AF24" s="19">
        <f t="shared" si="11"/>
        <v>0</v>
      </c>
      <c r="AG24" s="19">
        <f t="shared" si="12"/>
        <v>2.0000000000000462E-2</v>
      </c>
      <c r="AH24" s="19">
        <f t="shared" si="13"/>
        <v>0</v>
      </c>
      <c r="AI24" s="19">
        <f t="shared" si="14"/>
        <v>0</v>
      </c>
      <c r="AJ24" s="19">
        <f t="shared" si="15"/>
        <v>-1.7381237855046194E-2</v>
      </c>
      <c r="AK24" s="19">
        <f t="shared" si="16"/>
        <v>0</v>
      </c>
      <c r="AL24" s="19">
        <f t="shared" si="16"/>
        <v>0</v>
      </c>
      <c r="AM24" s="19">
        <f t="shared" si="17"/>
        <v>1.3904990284036245E-2</v>
      </c>
      <c r="AN24" s="19">
        <f t="shared" si="18"/>
        <v>0</v>
      </c>
      <c r="AO24" s="19">
        <f t="shared" si="19"/>
        <v>0</v>
      </c>
      <c r="AP24" s="19">
        <f t="shared" si="20"/>
        <v>0</v>
      </c>
      <c r="AQ24" s="19">
        <f t="shared" si="20"/>
        <v>0</v>
      </c>
      <c r="AR24" s="19">
        <f t="shared" si="20"/>
        <v>0</v>
      </c>
      <c r="AS24" s="19">
        <f t="shared" si="21"/>
        <v>0.16085748542605494</v>
      </c>
      <c r="AT24" s="19">
        <f t="shared" si="22"/>
        <v>3.4095009715963798E-2</v>
      </c>
      <c r="AU24" s="60" t="s">
        <v>102</v>
      </c>
      <c r="AV24" s="19">
        <f t="shared" si="23"/>
        <v>-4.8000000000000043E-2</v>
      </c>
      <c r="AW24" s="19">
        <f t="shared" si="24"/>
        <v>6.2428742713027674E-2</v>
      </c>
      <c r="AX24" s="19">
        <f t="shared" si="25"/>
        <v>0</v>
      </c>
      <c r="AY24" s="19">
        <f t="shared" si="26"/>
        <v>0</v>
      </c>
      <c r="AZ24" s="19">
        <f t="shared" si="27"/>
        <v>0</v>
      </c>
      <c r="BA24" s="19">
        <f t="shared" si="28"/>
        <v>0</v>
      </c>
      <c r="BB24" s="19">
        <f t="shared" si="29"/>
        <v>0</v>
      </c>
      <c r="BC24" s="19">
        <f t="shared" si="30"/>
        <v>0</v>
      </c>
      <c r="BD24" s="19">
        <f t="shared" si="31"/>
        <v>2.6238723281100995E-2</v>
      </c>
      <c r="BE24" s="19">
        <f t="shared" si="32"/>
        <v>0</v>
      </c>
      <c r="BF24" s="19">
        <f t="shared" si="33"/>
        <v>0</v>
      </c>
      <c r="BG24" s="19">
        <f t="shared" si="33"/>
        <v>0</v>
      </c>
      <c r="BH24" s="19">
        <f t="shared" si="56"/>
        <v>4.6952495142018158E-2</v>
      </c>
      <c r="BI24" s="19">
        <f t="shared" si="57"/>
        <v>0</v>
      </c>
      <c r="BJ24" s="19">
        <f t="shared" si="35"/>
        <v>-2.7809980568073378E-2</v>
      </c>
      <c r="BK24" s="19">
        <f t="shared" si="36"/>
        <v>0</v>
      </c>
      <c r="BL24" s="19">
        <f t="shared" si="45"/>
        <v>0</v>
      </c>
      <c r="BM24" s="19">
        <f t="shared" si="45"/>
        <v>0</v>
      </c>
      <c r="BN24" s="19">
        <f t="shared" si="45"/>
        <v>-4.3999999999999595E-2</v>
      </c>
      <c r="BO24" s="19">
        <f t="shared" si="45"/>
        <v>0</v>
      </c>
      <c r="BP24" s="19">
        <f t="shared" si="58"/>
        <v>0</v>
      </c>
      <c r="BQ24" s="19">
        <f t="shared" si="58"/>
        <v>0</v>
      </c>
      <c r="BR24" s="19">
        <f t="shared" si="58"/>
        <v>0</v>
      </c>
      <c r="BS24" s="19">
        <f t="shared" si="38"/>
        <v>7.4762475710095089E-3</v>
      </c>
      <c r="BT24" s="19">
        <f t="shared" si="46"/>
        <v>0</v>
      </c>
      <c r="BU24" s="19">
        <f t="shared" si="59"/>
        <v>0</v>
      </c>
      <c r="BV24" s="19">
        <f t="shared" si="60"/>
        <v>0</v>
      </c>
      <c r="BW24" s="19">
        <f t="shared" si="40"/>
        <v>0</v>
      </c>
      <c r="BX24" s="19">
        <f t="shared" si="41"/>
        <v>-0.12347624757100917</v>
      </c>
      <c r="BY24" s="19">
        <f t="shared" si="41"/>
        <v>0</v>
      </c>
      <c r="BZ24" s="19">
        <f t="shared" si="41"/>
        <v>0</v>
      </c>
      <c r="CA24" s="19">
        <f t="shared" si="41"/>
        <v>0</v>
      </c>
      <c r="CB24" s="19">
        <f t="shared" si="42"/>
        <v>2.0857485426054367E-2</v>
      </c>
      <c r="CC24" s="19">
        <f t="shared" si="42"/>
        <v>0</v>
      </c>
      <c r="CD24" s="19">
        <f t="shared" si="42"/>
        <v>0.13842874271302819</v>
      </c>
      <c r="CE24" s="65"/>
      <c r="CG24" s="20">
        <f t="shared" si="47"/>
        <v>4.6123107637259197</v>
      </c>
      <c r="CH24" s="20">
        <f>DBNPA!AS19</f>
        <v>5.9763395689583767</v>
      </c>
      <c r="CI24" s="20">
        <f>DBNPA!AT19</f>
        <v>6.1756502021278683</v>
      </c>
      <c r="CJ24" s="20">
        <f>DBNPA!AU19</f>
        <v>6.1026769320305787</v>
      </c>
      <c r="CK24" s="20">
        <f>DBNPA!AV19</f>
        <v>5.8515646255503633</v>
      </c>
      <c r="CL24" s="20">
        <f>DBNPA!AW19</f>
        <v>5.6675578634373061</v>
      </c>
      <c r="CM24" s="20">
        <f>DBNPA!AX19</f>
        <v>5.4892116344765585</v>
      </c>
      <c r="CN24" s="20">
        <f>DBNPA!AY19</f>
        <v>5.4892116344765585</v>
      </c>
      <c r="CO24" s="20">
        <f>DBNPA!AZ19</f>
        <v>5.3866866498532264</v>
      </c>
      <c r="CP24" s="20">
        <f>DBNPA!BA19</f>
        <v>5.3106866498532259</v>
      </c>
      <c r="CQ24" s="20">
        <f>DBNPA!BB19</f>
        <v>5.0066866498532274</v>
      </c>
      <c r="CR24" s="20">
        <f>DBNPA!BC19</f>
        <v>4.5026866498532261</v>
      </c>
      <c r="CS24" s="20">
        <f>DBNPA!BD19</f>
        <v>4.5026866498532261</v>
      </c>
      <c r="CT24" s="20">
        <f>DBNPA!BE19</f>
        <v>4.5026866498532261</v>
      </c>
      <c r="CU24" s="20">
        <f>DBNPA!BF19</f>
        <v>4.5127353537024018</v>
      </c>
      <c r="CV24" s="20">
        <f>DBNPA!BG19</f>
        <v>4.4362579071401989</v>
      </c>
      <c r="CW24" s="20">
        <f>DBNPA!BH19</f>
        <v>4.4362579071401989</v>
      </c>
      <c r="CX24" s="20">
        <f>DBNPA!BI19</f>
        <v>4.5122579071401994</v>
      </c>
      <c r="CY24" s="20">
        <f>DBNPA!BJ19</f>
        <v>4.4362579071401989</v>
      </c>
      <c r="CZ24" s="20">
        <f>DBNPA!BK19</f>
        <v>4.4362579071401989</v>
      </c>
      <c r="DA24" s="20">
        <f>DBNPA!BL19</f>
        <v>4.4362579071401989</v>
      </c>
      <c r="DB24" s="20">
        <f>DBNPA!BM19</f>
        <v>4.4783529168561618</v>
      </c>
      <c r="DC24" s="20">
        <f>DBNPA!BN19</f>
        <v>4.4992104022822179</v>
      </c>
      <c r="DD24" s="20">
        <f>DBNPA!BO19</f>
        <v>4.4992104022822179</v>
      </c>
      <c r="DE24" s="20">
        <f>DBNPA!BP19</f>
        <v>4.4505429362880893</v>
      </c>
      <c r="DF24" s="20">
        <f>DBNPA!BQ19</f>
        <v>4.4505429362880893</v>
      </c>
      <c r="DG24" s="20">
        <f>DBNPA!BR19</f>
        <v>4.4505429362880893</v>
      </c>
      <c r="DH24" s="20">
        <f>DBNPA!BS19</f>
        <v>4.2189229751519406</v>
      </c>
      <c r="DI24" s="20">
        <f>DBNPA!BT19</f>
        <v>4.2189229751519406</v>
      </c>
      <c r="DJ24" s="20">
        <f>DBNPA!BU19</f>
        <v>4.4189229751519408</v>
      </c>
      <c r="DK24" s="20">
        <f>DBNPA!BV19</f>
        <v>4.4189229751519408</v>
      </c>
      <c r="DL24" s="20">
        <f>DBNPA!BW19</f>
        <v>4.3989229751519403</v>
      </c>
      <c r="DM24" s="20">
        <f>DBNPA!BX19</f>
        <v>4.3989229751519403</v>
      </c>
      <c r="DN24" s="20">
        <f>DBNPA!BY19</f>
        <v>4.3989229751519403</v>
      </c>
      <c r="DO24" s="20">
        <f>DBNPA!BZ19</f>
        <v>4.4163042130069865</v>
      </c>
      <c r="DP24" s="20">
        <f>DBNPA!CA19</f>
        <v>4.4163042130069865</v>
      </c>
      <c r="DQ24" s="20">
        <f>DBNPA!CB19</f>
        <v>4.4163042130069865</v>
      </c>
      <c r="DR24" s="20">
        <f>DBNPA!CC19</f>
        <v>4.4023992227229503</v>
      </c>
      <c r="DS24" s="20">
        <f>DBNPA!CD19</f>
        <v>4.4023992227229503</v>
      </c>
      <c r="DT24" s="20">
        <f>DBNPA!CE19</f>
        <v>4.4023992227229503</v>
      </c>
      <c r="DU24" s="20">
        <f>DBNPA!CF19</f>
        <v>4.4023992227229503</v>
      </c>
      <c r="DV24" s="20">
        <f>DBNPA!CG19</f>
        <v>4.4023992227229503</v>
      </c>
      <c r="DW24" s="20">
        <f>DBNPA!CH19</f>
        <v>4.4023992227229503</v>
      </c>
      <c r="DX24" s="20">
        <f>DBNPA!CI19</f>
        <v>4.2415417372968953</v>
      </c>
      <c r="DY24" s="20">
        <f>DBNPA!CJ19</f>
        <v>4.2074467275809315</v>
      </c>
      <c r="DZ24" s="20">
        <f>DBNPA!CK19</f>
        <v>4.2554467275809316</v>
      </c>
      <c r="EA24" s="20">
        <f>DBNPA!CL19</f>
        <v>4.1930179848679039</v>
      </c>
      <c r="EB24" s="20">
        <f>DBNPA!CM19</f>
        <v>4.1930179848679039</v>
      </c>
      <c r="EC24" s="20">
        <f>DBNPA!CN19</f>
        <v>4.1930179848679039</v>
      </c>
      <c r="ED24" s="20">
        <f>DBNPA!CO19</f>
        <v>4.1930179848679039</v>
      </c>
      <c r="EE24" s="20">
        <f>DBNPA!CP19</f>
        <v>4.1930179848679039</v>
      </c>
      <c r="EF24" s="20">
        <f>DBNPA!CQ19</f>
        <v>4.1930179848679039</v>
      </c>
      <c r="EG24" s="20">
        <f>DBNPA!CR19</f>
        <v>4.1930179848679039</v>
      </c>
      <c r="EH24" s="20">
        <f>DBNPA!CS19</f>
        <v>4.1667792615868029</v>
      </c>
      <c r="EI24" s="20">
        <f>DBNPA!CT19</f>
        <v>4.1667792615868029</v>
      </c>
      <c r="EJ24" s="20">
        <f>DBNPA!CU19</f>
        <v>4.1667792615868029</v>
      </c>
      <c r="EK24" s="20">
        <f>DBNPA!CV19</f>
        <v>4.1667792615868029</v>
      </c>
      <c r="EL24" s="20">
        <f>DBNPA!CW19</f>
        <v>4.1198267664447847</v>
      </c>
      <c r="EM24" s="20">
        <f>DBNPA!CX19</f>
        <v>4.1198267664447847</v>
      </c>
      <c r="EN24" s="20">
        <f>DBNPA!CY19</f>
        <v>4.1476367470128581</v>
      </c>
      <c r="EO24" s="20">
        <f>DBNPA!CZ19</f>
        <v>4.1476367470128581</v>
      </c>
      <c r="EP24" s="20">
        <f>DBNPA!DA19</f>
        <v>4.1476367470128581</v>
      </c>
      <c r="EQ24" s="20">
        <f>DBNPA!DB19</f>
        <v>4.1476367470128581</v>
      </c>
      <c r="ER24" s="20">
        <f>DBNPA!DC19</f>
        <v>4.1916367470128577</v>
      </c>
      <c r="ES24" s="20">
        <f>DBNPA!DD19</f>
        <v>4.1916367470128577</v>
      </c>
      <c r="ET24" s="20">
        <f>DBNPA!DE19</f>
        <v>4.1916367470128577</v>
      </c>
      <c r="EU24" s="20">
        <f>DBNPA!DF19</f>
        <v>4.1916367470128577</v>
      </c>
      <c r="EV24" s="20">
        <f>DBNPA!DG19</f>
        <v>4.1916367470128577</v>
      </c>
      <c r="EW24" s="20">
        <f>DBNPA!DH19</f>
        <v>4.1841604994418482</v>
      </c>
      <c r="EX24" s="20">
        <f>DBNPA!DI19</f>
        <v>4.1841604994418482</v>
      </c>
      <c r="EY24" s="20">
        <f>DBNPA!DJ19</f>
        <v>4.1841604994418482</v>
      </c>
      <c r="EZ24" s="20">
        <f>DBNPA!DK19</f>
        <v>4.1841604994418482</v>
      </c>
      <c r="FA24" s="20">
        <f>DBNPA!DL19</f>
        <v>4.1841604994418482</v>
      </c>
      <c r="FB24" s="20">
        <f>DBNPA!DM19</f>
        <v>4.3076367470128574</v>
      </c>
      <c r="FC24" s="20">
        <f>DBNPA!DN19</f>
        <v>4.3076367470128574</v>
      </c>
      <c r="FD24" s="20">
        <f>DBNPA!DO19</f>
        <v>4.3076367470128574</v>
      </c>
      <c r="FE24" s="20">
        <f>DBNPA!DP19</f>
        <v>4.3076367470128574</v>
      </c>
      <c r="FF24" s="20">
        <f>DBNPA!DQ19</f>
        <v>4.286779261586803</v>
      </c>
      <c r="FG24" s="20">
        <f>DBNPA!DR19</f>
        <v>4.286779261586803</v>
      </c>
      <c r="FH24" s="20">
        <f>DBNPA!DS19</f>
        <v>4.1483505188737748</v>
      </c>
    </row>
    <row r="25" spans="1:164">
      <c r="A25" s="8" t="s">
        <v>203</v>
      </c>
      <c r="B25" s="263" t="s">
        <v>226</v>
      </c>
      <c r="C25" s="19">
        <f t="shared" si="48"/>
        <v>3.7965013354996024E-2</v>
      </c>
      <c r="D25" s="19">
        <f t="shared" si="49"/>
        <v>-7.5476912495722193E-3</v>
      </c>
      <c r="E25" s="19">
        <f t="shared" si="50"/>
        <v>2.0467345310014817E-2</v>
      </c>
      <c r="F25" s="19">
        <f t="shared" si="51"/>
        <v>-5.2317516561762645E-2</v>
      </c>
      <c r="G25" s="19">
        <f t="shared" si="52"/>
        <v>8.4128250028840945E-3</v>
      </c>
      <c r="H25" s="19">
        <f t="shared" si="53"/>
        <v>5.4811739828195094E-2</v>
      </c>
      <c r="I25" s="19">
        <f t="shared" si="54"/>
        <v>1.1410027769146236E-2</v>
      </c>
      <c r="J25" s="19">
        <f t="shared" si="54"/>
        <v>5.4730001593645827E-3</v>
      </c>
      <c r="K25" s="19">
        <f t="shared" si="44"/>
        <v>-2.6380775739687223E-4</v>
      </c>
      <c r="L25" s="19">
        <f t="shared" si="1"/>
        <v>3.6010713390191018E-3</v>
      </c>
      <c r="M25" s="19">
        <f t="shared" si="2"/>
        <v>-1.0921259591326837E-2</v>
      </c>
      <c r="N25" s="19">
        <f t="shared" si="3"/>
        <v>-5.3354076209202184E-3</v>
      </c>
      <c r="O25" s="19">
        <f t="shared" si="4"/>
        <v>0</v>
      </c>
      <c r="P25" s="19">
        <f t="shared" si="5"/>
        <v>-5.7229552348569968E-4</v>
      </c>
      <c r="Q25" s="19">
        <f t="shared" si="5"/>
        <v>-8.5644709628636129E-2</v>
      </c>
      <c r="R25" s="19">
        <f t="shared" si="6"/>
        <v>3.1249232250338821E-3</v>
      </c>
      <c r="S25" s="19">
        <f t="shared" si="7"/>
        <v>-3.2392705850790016E-3</v>
      </c>
      <c r="T25" s="19">
        <f t="shared" si="8"/>
        <v>3.136621149688601E-4</v>
      </c>
      <c r="U25" s="19">
        <f t="shared" si="8"/>
        <v>-1.2913336491483074E-2</v>
      </c>
      <c r="V25" s="19">
        <f t="shared" si="8"/>
        <v>-1.4304801209611862E-2</v>
      </c>
      <c r="W25" s="19">
        <f t="shared" si="8"/>
        <v>1.7417168457663168E-2</v>
      </c>
      <c r="X25" s="19">
        <f t="shared" si="55"/>
        <v>2.3998767205359872E-2</v>
      </c>
      <c r="Y25" s="19">
        <f t="shared" si="55"/>
        <v>1.4293013767556539E-2</v>
      </c>
      <c r="Z25" s="19">
        <f t="shared" si="9"/>
        <v>-3.3662822805924364E-5</v>
      </c>
      <c r="AA25" s="19">
        <f t="shared" si="10"/>
        <v>0</v>
      </c>
      <c r="AB25" s="19">
        <f t="shared" si="10"/>
        <v>1.5688580181083545E-4</v>
      </c>
      <c r="AC25" s="19">
        <f t="shared" si="10"/>
        <v>7.824538280942761E-5</v>
      </c>
      <c r="AD25" s="19">
        <f t="shared" si="10"/>
        <v>7.9889453777897135E-3</v>
      </c>
      <c r="AE25" s="19">
        <f t="shared" si="11"/>
        <v>-1.6069667255133924E-2</v>
      </c>
      <c r="AF25" s="19">
        <f t="shared" si="11"/>
        <v>8.3426213500104041E-5</v>
      </c>
      <c r="AG25" s="19">
        <f t="shared" si="12"/>
        <v>-3.5049900504345421E-2</v>
      </c>
      <c r="AH25" s="19">
        <f t="shared" si="13"/>
        <v>-1.5487081459313323E-2</v>
      </c>
      <c r="AI25" s="19">
        <f t="shared" si="14"/>
        <v>1.0641829886504084E-4</v>
      </c>
      <c r="AJ25" s="19">
        <f t="shared" si="15"/>
        <v>-1.814945299770665E-3</v>
      </c>
      <c r="AK25" s="19">
        <f t="shared" si="16"/>
        <v>-6.5278381305322597E-5</v>
      </c>
      <c r="AL25" s="19">
        <f t="shared" si="16"/>
        <v>1.0886283482225423E-5</v>
      </c>
      <c r="AM25" s="19">
        <f t="shared" si="17"/>
        <v>-1.1989356838881804E-4</v>
      </c>
      <c r="AN25" s="19">
        <f t="shared" si="18"/>
        <v>1.433785979572999E-3</v>
      </c>
      <c r="AO25" s="19">
        <f t="shared" si="19"/>
        <v>4.6398473478084235E-3</v>
      </c>
      <c r="AP25" s="19">
        <f t="shared" si="20"/>
        <v>4.3635881459138659E-3</v>
      </c>
      <c r="AQ25" s="19">
        <f t="shared" si="20"/>
        <v>2.6323244731262685E-2</v>
      </c>
      <c r="AR25" s="19">
        <f t="shared" si="20"/>
        <v>1.3291345888455375E-4</v>
      </c>
      <c r="AS25" s="19">
        <f t="shared" si="21"/>
        <v>-9.9338892651659183E-3</v>
      </c>
      <c r="AT25" s="19">
        <f t="shared" si="22"/>
        <v>1.9435155351410494E-4</v>
      </c>
      <c r="AU25" s="60" t="s">
        <v>78</v>
      </c>
      <c r="AV25" s="19">
        <f t="shared" si="23"/>
        <v>2.1378193752052965E-4</v>
      </c>
      <c r="AW25" s="19">
        <f t="shared" si="24"/>
        <v>-2.2574916851172411E-3</v>
      </c>
      <c r="AX25" s="19">
        <f t="shared" si="25"/>
        <v>2.9521769794489394E-3</v>
      </c>
      <c r="AY25" s="19">
        <f t="shared" si="26"/>
        <v>-1.5643656218716995E-2</v>
      </c>
      <c r="AZ25" s="19">
        <f t="shared" si="27"/>
        <v>4.8207628669252323E-3</v>
      </c>
      <c r="BA25" s="19">
        <f t="shared" si="28"/>
        <v>0</v>
      </c>
      <c r="BB25" s="19">
        <f t="shared" si="29"/>
        <v>0</v>
      </c>
      <c r="BC25" s="19">
        <f t="shared" si="30"/>
        <v>5.3787507968072745E-4</v>
      </c>
      <c r="BD25" s="19">
        <f t="shared" si="31"/>
        <v>-8.2878095047316247E-3</v>
      </c>
      <c r="BE25" s="19">
        <f t="shared" si="32"/>
        <v>1.0385833411241663E-4</v>
      </c>
      <c r="BF25" s="19">
        <f t="shared" si="33"/>
        <v>-3.2618887458115697E-3</v>
      </c>
      <c r="BG25" s="19">
        <f t="shared" si="33"/>
        <v>2.1535818712337118E-5</v>
      </c>
      <c r="BH25" s="19">
        <f t="shared" si="56"/>
        <v>8.6040170989232223E-5</v>
      </c>
      <c r="BI25" s="19">
        <f t="shared" si="57"/>
        <v>1.8966515221584324E-2</v>
      </c>
      <c r="BJ25" s="19">
        <f t="shared" si="35"/>
        <v>1.1501821724056782E-2</v>
      </c>
      <c r="BK25" s="19">
        <f t="shared" si="36"/>
        <v>-2.9603123665766784E-3</v>
      </c>
      <c r="BL25" s="19">
        <f t="shared" si="45"/>
        <v>1.083133139800907E-5</v>
      </c>
      <c r="BM25" s="19">
        <f t="shared" si="45"/>
        <v>-6.5026717821270452E-5</v>
      </c>
      <c r="BN25" s="19">
        <f t="shared" si="45"/>
        <v>2.0062156884385729E-2</v>
      </c>
      <c r="BO25" s="19">
        <f t="shared" si="45"/>
        <v>3.5930200540501556E-2</v>
      </c>
      <c r="BP25" s="19">
        <f t="shared" si="58"/>
        <v>0</v>
      </c>
      <c r="BQ25" s="19">
        <f t="shared" si="58"/>
        <v>4.4267220085887349E-3</v>
      </c>
      <c r="BR25" s="19">
        <f t="shared" si="58"/>
        <v>7.5853404424286452E-5</v>
      </c>
      <c r="BS25" s="19">
        <f t="shared" si="38"/>
        <v>2.9256677056532787E-4</v>
      </c>
      <c r="BT25" s="19">
        <f t="shared" si="46"/>
        <v>2.1441332971815275E-2</v>
      </c>
      <c r="BU25" s="19">
        <f t="shared" si="59"/>
        <v>-5.735143918291552E-3</v>
      </c>
      <c r="BV25" s="19">
        <f t="shared" si="60"/>
        <v>9.5688059231768818E-6</v>
      </c>
      <c r="BW25" s="19">
        <f t="shared" si="40"/>
        <v>2.9058244324682292E-3</v>
      </c>
      <c r="BX25" s="19">
        <f t="shared" si="41"/>
        <v>2.6675208173743137E-4</v>
      </c>
      <c r="BY25" s="19">
        <f t="shared" si="41"/>
        <v>2.0432880341867188E-2</v>
      </c>
      <c r="BZ25" s="19">
        <f t="shared" si="41"/>
        <v>3.5156742505471072E-4</v>
      </c>
      <c r="CA25" s="19">
        <f t="shared" si="41"/>
        <v>-3.1046871982591817E-3</v>
      </c>
      <c r="CB25" s="19">
        <f t="shared" si="42"/>
        <v>-1.9371872190907524E-3</v>
      </c>
      <c r="CC25" s="19">
        <f t="shared" si="42"/>
        <v>8.6922393577550938E-3</v>
      </c>
      <c r="CD25" s="19">
        <f t="shared" si="42"/>
        <v>3.1251326772578913E-3</v>
      </c>
      <c r="CE25" s="65"/>
      <c r="CG25" s="20">
        <f t="shared" si="47"/>
        <v>1.6707520009890515</v>
      </c>
      <c r="CH25" s="20">
        <f>DNBA!AS15</f>
        <v>1.6327869876340555</v>
      </c>
      <c r="CI25" s="20">
        <f>DNBA!AT15</f>
        <v>1.6403346788836277</v>
      </c>
      <c r="CJ25" s="20">
        <f>DNBA!AU15</f>
        <v>1.6198673335736129</v>
      </c>
      <c r="CK25" s="20">
        <f>DNBA!AV15</f>
        <v>1.6721848501353755</v>
      </c>
      <c r="CL25" s="20">
        <f>DNBA!AW15</f>
        <v>1.6637720251324914</v>
      </c>
      <c r="CM25" s="20">
        <f>DNBA!AX15</f>
        <v>1.6089602853042964</v>
      </c>
      <c r="CN25" s="20">
        <f>DNBA!AY15</f>
        <v>1.5975502575351501</v>
      </c>
      <c r="CO25" s="20">
        <f>DNBA!AZ15</f>
        <v>1.5920772573757855</v>
      </c>
      <c r="CP25" s="20">
        <f>DNBA!BA15</f>
        <v>1.5923410651331824</v>
      </c>
      <c r="CQ25" s="20">
        <f>DNBA!BB15</f>
        <v>1.5887399937941633</v>
      </c>
      <c r="CR25" s="20">
        <f>DNBA!BC15</f>
        <v>1.5996612533854901</v>
      </c>
      <c r="CS25" s="20">
        <f>DNBA!BD15</f>
        <v>1.6049966610064104</v>
      </c>
      <c r="CT25" s="20">
        <f>DNBA!BE15</f>
        <v>1.6049966610064104</v>
      </c>
      <c r="CU25" s="20">
        <f>DNBA!BF15</f>
        <v>1.6055689565298961</v>
      </c>
      <c r="CV25" s="20">
        <f>DNBA!BG15</f>
        <v>1.6912136661585322</v>
      </c>
      <c r="CW25" s="20">
        <f>DNBA!BH15</f>
        <v>1.6880887429334983</v>
      </c>
      <c r="CX25" s="20">
        <f>DNBA!BI15</f>
        <v>1.6913280135185773</v>
      </c>
      <c r="CY25" s="20">
        <f>DNBA!BJ15</f>
        <v>1.6910143514036085</v>
      </c>
      <c r="CZ25" s="20">
        <f>DNBA!BK15</f>
        <v>1.7039276878950915</v>
      </c>
      <c r="DA25" s="20">
        <f>DNBA!BL15</f>
        <v>1.7182324891047034</v>
      </c>
      <c r="DB25" s="20">
        <f>DNBA!BM15</f>
        <v>1.7008153206470402</v>
      </c>
      <c r="DC25" s="20">
        <f>DNBA!BN15</f>
        <v>1.6768165534416803</v>
      </c>
      <c r="DD25" s="20">
        <f>DNBA!BO15</f>
        <v>1.6625235396741238</v>
      </c>
      <c r="DE25" s="20">
        <f>DNBA!BP15</f>
        <v>1.6625572024969297</v>
      </c>
      <c r="DF25" s="20">
        <f>DNBA!BQ15</f>
        <v>1.6625572024969297</v>
      </c>
      <c r="DG25" s="20">
        <f>DNBA!BR15</f>
        <v>1.6624003166951189</v>
      </c>
      <c r="DH25" s="20">
        <f>DNBA!BS15</f>
        <v>1.6623220713123095</v>
      </c>
      <c r="DI25" s="20">
        <f>DNBA!BT15</f>
        <v>1.6543331259345198</v>
      </c>
      <c r="DJ25" s="20">
        <f>DNBA!BU15</f>
        <v>1.6704027931896537</v>
      </c>
      <c r="DK25" s="20">
        <f>DNBA!BV15</f>
        <v>1.6703193669761536</v>
      </c>
      <c r="DL25" s="20">
        <f>DNBA!BW15</f>
        <v>1.705369267480499</v>
      </c>
      <c r="DM25" s="20">
        <f>DNBA!BX15</f>
        <v>1.7208563489398123</v>
      </c>
      <c r="DN25" s="20">
        <f>DNBA!BY15</f>
        <v>1.7207499306409473</v>
      </c>
      <c r="DO25" s="20">
        <f>DNBA!BZ15</f>
        <v>1.7225648759407179</v>
      </c>
      <c r="DP25" s="20">
        <f>DNBA!CA15</f>
        <v>1.7226301543220233</v>
      </c>
      <c r="DQ25" s="20">
        <f>DNBA!CB15</f>
        <v>1.722619268038541</v>
      </c>
      <c r="DR25" s="20">
        <f>DNBA!CC15</f>
        <v>1.7227391616069299</v>
      </c>
      <c r="DS25" s="20">
        <f>DNBA!CD15</f>
        <v>1.7213053756273569</v>
      </c>
      <c r="DT25" s="20">
        <f>DNBA!CE15</f>
        <v>1.7166655282795484</v>
      </c>
      <c r="DU25" s="20">
        <f>DNBA!CF15</f>
        <v>1.7123019401336346</v>
      </c>
      <c r="DV25" s="20">
        <f>DNBA!CG15</f>
        <v>1.6859786954023719</v>
      </c>
      <c r="DW25" s="20">
        <f>DNBA!CH15</f>
        <v>1.6858457819434873</v>
      </c>
      <c r="DX25" s="20">
        <f>DNBA!CI15</f>
        <v>1.6957796712086532</v>
      </c>
      <c r="DY25" s="20">
        <f>DNBA!CJ15</f>
        <v>1.6955853196551391</v>
      </c>
      <c r="DZ25" s="20">
        <f>DNBA!CK15</f>
        <v>1.6953715377176186</v>
      </c>
      <c r="EA25" s="20">
        <f>DNBA!CL15</f>
        <v>1.6976290294027359</v>
      </c>
      <c r="EB25" s="20">
        <f>DNBA!CM15</f>
        <v>1.6946768524232869</v>
      </c>
      <c r="EC25" s="20">
        <f>DNBA!CN15</f>
        <v>1.7103205086420039</v>
      </c>
      <c r="ED25" s="20">
        <f>DNBA!CO15</f>
        <v>1.7054997457750787</v>
      </c>
      <c r="EE25" s="20">
        <f>DNBA!CP15</f>
        <v>1.7054997457750787</v>
      </c>
      <c r="EF25" s="20">
        <f>DNBA!CQ15</f>
        <v>1.7054997457750787</v>
      </c>
      <c r="EG25" s="20">
        <f>DNBA!CR15</f>
        <v>1.704961870695398</v>
      </c>
      <c r="EH25" s="20">
        <f>DNBA!CS15</f>
        <v>1.7132496802001296</v>
      </c>
      <c r="EI25" s="20">
        <f>DNBA!CT15</f>
        <v>1.7131458218660172</v>
      </c>
      <c r="EJ25" s="20">
        <f>DNBA!CU15</f>
        <v>1.7164077106118287</v>
      </c>
      <c r="EK25" s="20">
        <f>DNBA!CV15</f>
        <v>1.7163861747931164</v>
      </c>
      <c r="EL25" s="20">
        <f>DNBA!CW15</f>
        <v>1.7163001346221272</v>
      </c>
      <c r="EM25" s="20">
        <f>DNBA!CX15</f>
        <v>1.6973336194005428</v>
      </c>
      <c r="EN25" s="20">
        <f>DNBA!CY15</f>
        <v>1.6858317976764861</v>
      </c>
      <c r="EO25" s="20">
        <f>DNBA!CZ15</f>
        <v>1.6887921100430627</v>
      </c>
      <c r="EP25" s="20">
        <f>DNBA!DA15</f>
        <v>1.6887812787116647</v>
      </c>
      <c r="EQ25" s="20">
        <f>DNBA!DB15</f>
        <v>1.688846305429486</v>
      </c>
      <c r="ER25" s="20">
        <f>DNBA!DC15</f>
        <v>1.6687841485451003</v>
      </c>
      <c r="ES25" s="20">
        <f>DNBA!DD15</f>
        <v>1.6328539480045987</v>
      </c>
      <c r="ET25" s="20">
        <f>DNBA!DE15</f>
        <v>1.6328539480045987</v>
      </c>
      <c r="EU25" s="20">
        <f>DNBA!DF15</f>
        <v>1.62842722599601</v>
      </c>
      <c r="EV25" s="20">
        <f>DNBA!DG15</f>
        <v>1.6283513725915857</v>
      </c>
      <c r="EW25" s="20">
        <f>DNBA!DH15</f>
        <v>1.6280588058210204</v>
      </c>
      <c r="EX25" s="20">
        <f>DNBA!DI15</f>
        <v>1.6066174728492051</v>
      </c>
      <c r="EY25" s="20">
        <f>DNBA!DJ15</f>
        <v>1.6123526167674966</v>
      </c>
      <c r="EZ25" s="20">
        <f>DNBA!DK15</f>
        <v>1.6123430479615735</v>
      </c>
      <c r="FA25" s="20">
        <f>DNBA!DL15</f>
        <v>1.6094372235291052</v>
      </c>
      <c r="FB25" s="20">
        <f>DNBA!DM15</f>
        <v>1.6091704714473678</v>
      </c>
      <c r="FC25" s="20">
        <f>DNBA!DN15</f>
        <v>1.5887375911055006</v>
      </c>
      <c r="FD25" s="20">
        <f>DNBA!DO15</f>
        <v>1.5883860236804459</v>
      </c>
      <c r="FE25" s="20">
        <f>DNBA!DP15</f>
        <v>1.5914907108787051</v>
      </c>
      <c r="FF25" s="20">
        <f>DNBA!DQ15</f>
        <v>1.5934278980977958</v>
      </c>
      <c r="FG25" s="20">
        <f>DNBA!DR15</f>
        <v>1.5847356587400407</v>
      </c>
      <c r="FH25" s="20">
        <f>DNBA!DS15</f>
        <v>1.5816105260627829</v>
      </c>
    </row>
    <row r="26" spans="1:164">
      <c r="A26" s="8" t="s">
        <v>212</v>
      </c>
      <c r="B26" s="263" t="s">
        <v>227</v>
      </c>
      <c r="C26" s="19">
        <f t="shared" si="48"/>
        <v>4.0289723746659512E-2</v>
      </c>
      <c r="D26" s="19">
        <f t="shared" si="49"/>
        <v>-0.14948292466359936</v>
      </c>
      <c r="E26" s="19">
        <f t="shared" si="50"/>
        <v>3.8985304174649738E-2</v>
      </c>
      <c r="F26" s="19">
        <f t="shared" si="51"/>
        <v>5.6970617558120829E-2</v>
      </c>
      <c r="G26" s="19">
        <f t="shared" si="52"/>
        <v>5.1720619860326389E-2</v>
      </c>
      <c r="H26" s="19">
        <f t="shared" si="53"/>
        <v>0.19849396991817247</v>
      </c>
      <c r="I26" s="19">
        <f t="shared" si="54"/>
        <v>7.7451036937548068E-4</v>
      </c>
      <c r="J26" s="19">
        <f t="shared" si="54"/>
        <v>-2.4009821450641455E-2</v>
      </c>
      <c r="K26" s="19">
        <f t="shared" si="44"/>
        <v>-3.8725518468776254E-3</v>
      </c>
      <c r="L26" s="19">
        <f t="shared" si="1"/>
        <v>-4.5612747723361213E-2</v>
      </c>
      <c r="M26" s="19">
        <f t="shared" si="2"/>
        <v>-1.1617655540632876E-2</v>
      </c>
      <c r="N26" s="19">
        <f t="shared" si="3"/>
        <v>-8.8712380872986607E-2</v>
      </c>
      <c r="O26" s="19">
        <f t="shared" si="4"/>
        <v>4.3741146808486953E-3</v>
      </c>
      <c r="P26" s="19">
        <f t="shared" si="5"/>
        <v>-1.5490207387510502E-2</v>
      </c>
      <c r="Q26" s="19">
        <f t="shared" si="5"/>
        <v>-1.5490207387510502E-2</v>
      </c>
      <c r="R26" s="19">
        <f t="shared" si="6"/>
        <v>-9.1868901276100479E-2</v>
      </c>
      <c r="S26" s="19">
        <f t="shared" si="7"/>
        <v>-2.71078629281436E-2</v>
      </c>
      <c r="T26" s="19">
        <f t="shared" si="8"/>
        <v>-3.8725518468776254E-3</v>
      </c>
      <c r="U26" s="19">
        <f t="shared" si="8"/>
        <v>-1.1403186930840192E-2</v>
      </c>
      <c r="V26" s="19">
        <f t="shared" si="8"/>
        <v>0</v>
      </c>
      <c r="W26" s="19">
        <f t="shared" si="8"/>
        <v>0</v>
      </c>
      <c r="X26" s="19">
        <f t="shared" si="55"/>
        <v>5.4132361786491945E-2</v>
      </c>
      <c r="Y26" s="19">
        <f t="shared" si="55"/>
        <v>2.2806373861680607E-2</v>
      </c>
      <c r="Z26" s="19">
        <f t="shared" si="9"/>
        <v>5.0343174009408465E-3</v>
      </c>
      <c r="AA26" s="19">
        <f t="shared" si="10"/>
        <v>2.7107862928144044E-3</v>
      </c>
      <c r="AB26" s="19">
        <f t="shared" si="10"/>
        <v>1.8588248865012869E-2</v>
      </c>
      <c r="AC26" s="19">
        <f t="shared" si="10"/>
        <v>2.323531108126442E-3</v>
      </c>
      <c r="AD26" s="19">
        <f t="shared" si="10"/>
        <v>1.0068634801881915E-2</v>
      </c>
      <c r="AE26" s="19">
        <f t="shared" si="11"/>
        <v>1.2607846206862172E-2</v>
      </c>
      <c r="AF26" s="19">
        <f t="shared" si="11"/>
        <v>0</v>
      </c>
      <c r="AG26" s="19">
        <f t="shared" si="12"/>
        <v>-1.8975504049700609E-2</v>
      </c>
      <c r="AH26" s="19">
        <f t="shared" si="13"/>
        <v>-3.1754925144396706E-2</v>
      </c>
      <c r="AI26" s="19">
        <f t="shared" si="14"/>
        <v>-5.8088277703163271E-3</v>
      </c>
      <c r="AJ26" s="19">
        <f t="shared" si="15"/>
        <v>4.691167625272552E-3</v>
      </c>
      <c r="AK26" s="19">
        <f t="shared" si="16"/>
        <v>-1.1617655540632876E-2</v>
      </c>
      <c r="AL26" s="19">
        <f t="shared" si="16"/>
        <v>-1.35539314640718E-2</v>
      </c>
      <c r="AM26" s="19">
        <f t="shared" si="17"/>
        <v>-3.537132634658402E-2</v>
      </c>
      <c r="AN26" s="19">
        <f t="shared" si="18"/>
        <v>-2.71078629281436E-2</v>
      </c>
      <c r="AO26" s="19">
        <f t="shared" si="19"/>
        <v>-2.4009821450641455E-2</v>
      </c>
      <c r="AP26" s="19">
        <f t="shared" si="20"/>
        <v>-2.3235311081265975E-2</v>
      </c>
      <c r="AQ26" s="19">
        <f t="shared" si="20"/>
        <v>-1.5490207387510724E-2</v>
      </c>
      <c r="AR26" s="19">
        <f t="shared" si="20"/>
        <v>-7.6152108408187313E-3</v>
      </c>
      <c r="AS26" s="19">
        <f t="shared" si="21"/>
        <v>-1.161765554063221E-3</v>
      </c>
      <c r="AT26" s="19">
        <f t="shared" si="22"/>
        <v>0</v>
      </c>
      <c r="AU26" s="60" t="s">
        <v>291</v>
      </c>
      <c r="AV26" s="19">
        <f t="shared" si="23"/>
        <v>0</v>
      </c>
      <c r="AW26" s="19">
        <f t="shared" si="24"/>
        <v>-1.0155633932859898E-2</v>
      </c>
      <c r="AX26" s="19">
        <f t="shared" si="25"/>
        <v>1.9362759234389237E-3</v>
      </c>
      <c r="AY26" s="19">
        <f t="shared" si="26"/>
        <v>1.4715697018135021E-2</v>
      </c>
      <c r="AZ26" s="19">
        <f t="shared" si="27"/>
        <v>0</v>
      </c>
      <c r="BA26" s="19">
        <f t="shared" si="28"/>
        <v>0</v>
      </c>
      <c r="BB26" s="19">
        <f t="shared" si="29"/>
        <v>1.35539314640718E-2</v>
      </c>
      <c r="BC26" s="19">
        <f t="shared" si="30"/>
        <v>2.5645841320370399E-2</v>
      </c>
      <c r="BD26" s="19">
        <f t="shared" si="31"/>
        <v>-3.8725518468776476E-2</v>
      </c>
      <c r="BE26" s="19">
        <f t="shared" si="32"/>
        <v>-2.4009821450641455E-2</v>
      </c>
      <c r="BF26" s="19">
        <f t="shared" si="33"/>
        <v>-9.1225495446722871E-3</v>
      </c>
      <c r="BG26" s="19">
        <f t="shared" si="33"/>
        <v>0</v>
      </c>
      <c r="BH26" s="19">
        <f t="shared" si="56"/>
        <v>5.0343174009408465E-3</v>
      </c>
      <c r="BI26" s="19">
        <f t="shared" si="57"/>
        <v>0</v>
      </c>
      <c r="BJ26" s="19">
        <f t="shared" si="35"/>
        <v>-6.2401883640235134E-3</v>
      </c>
      <c r="BK26" s="19">
        <f t="shared" si="36"/>
        <v>-2.0525736475512479E-2</v>
      </c>
      <c r="BL26" s="19">
        <f t="shared" si="45"/>
        <v>3.4852966621898851E-3</v>
      </c>
      <c r="BM26" s="19">
        <f t="shared" si="45"/>
        <v>1.3511037742113041E-2</v>
      </c>
      <c r="BN26" s="19">
        <f t="shared" si="45"/>
        <v>-3.6490198178688926E-2</v>
      </c>
      <c r="BO26" s="19">
        <f t="shared" si="45"/>
        <v>0</v>
      </c>
      <c r="BP26" s="19">
        <f t="shared" si="58"/>
        <v>-1.4715697018135021E-2</v>
      </c>
      <c r="BQ26" s="19">
        <f t="shared" si="58"/>
        <v>9.5110164164211586E-3</v>
      </c>
      <c r="BR26" s="19">
        <f t="shared" si="58"/>
        <v>7.7451036937548068E-4</v>
      </c>
      <c r="BS26" s="19">
        <f t="shared" si="38"/>
        <v>1.3598036873091246E-2</v>
      </c>
      <c r="BT26" s="19">
        <f t="shared" si="46"/>
        <v>2.2203438380139273E-2</v>
      </c>
      <c r="BU26" s="19">
        <f t="shared" si="59"/>
        <v>2.5904415339182529E-2</v>
      </c>
      <c r="BV26" s="19">
        <f t="shared" si="60"/>
        <v>2.7796585853602007E-2</v>
      </c>
      <c r="BW26" s="19">
        <f t="shared" si="40"/>
        <v>2.5171587004704676E-2</v>
      </c>
      <c r="BX26" s="19">
        <f t="shared" si="41"/>
        <v>3.6444881082608571E-2</v>
      </c>
      <c r="BY26" s="19">
        <f t="shared" si="41"/>
        <v>6.3595637732710708E-2</v>
      </c>
      <c r="BZ26" s="19">
        <f t="shared" si="41"/>
        <v>1.8072312514449296E-2</v>
      </c>
      <c r="CA26" s="19">
        <f t="shared" si="41"/>
        <v>0</v>
      </c>
      <c r="CB26" s="19">
        <f t="shared" si="42"/>
        <v>-1.0800251449299081E-2</v>
      </c>
      <c r="CC26" s="19">
        <f t="shared" si="42"/>
        <v>-2.2460800711890272E-2</v>
      </c>
      <c r="CD26" s="19">
        <f t="shared" si="42"/>
        <v>-3.0980414775021226E-2</v>
      </c>
      <c r="CE26" s="65"/>
      <c r="CG26" s="20">
        <f t="shared" si="47"/>
        <v>1.1945326350138465</v>
      </c>
      <c r="CH26" s="20">
        <f>DTBP!AS18</f>
        <v>1.154242911267187</v>
      </c>
      <c r="CI26" s="20">
        <f>DTBP!AT18</f>
        <v>1.3037258359307864</v>
      </c>
      <c r="CJ26" s="20">
        <f>DTBP!AU18</f>
        <v>1.2647405317561367</v>
      </c>
      <c r="CK26" s="20">
        <f>DTBP!AV18</f>
        <v>1.2077699141980158</v>
      </c>
      <c r="CL26" s="20">
        <f>DTBP!AW18</f>
        <v>1.1560492943376894</v>
      </c>
      <c r="CM26" s="20">
        <f>DTBP!AX18</f>
        <v>0.95755532441951696</v>
      </c>
      <c r="CN26" s="20">
        <f>DTBP!AY18</f>
        <v>0.95678081405014148</v>
      </c>
      <c r="CO26" s="20">
        <f>DTBP!AZ18</f>
        <v>0.98079063550078294</v>
      </c>
      <c r="CP26" s="20">
        <f>DTBP!BA18</f>
        <v>0.98466318734766056</v>
      </c>
      <c r="CQ26" s="20">
        <f>DTBP!BB18</f>
        <v>1.0302759350710218</v>
      </c>
      <c r="CR26" s="20">
        <f>DTBP!BC18</f>
        <v>1.0418935906116547</v>
      </c>
      <c r="CS26" s="20">
        <f>DTBP!BD18</f>
        <v>1.1306059714846413</v>
      </c>
      <c r="CT26" s="20">
        <f>DTBP!BE18</f>
        <v>1.1262318568037926</v>
      </c>
      <c r="CU26" s="20">
        <f>DTBP!BF18</f>
        <v>1.1417220641913031</v>
      </c>
      <c r="CV26" s="20">
        <f>DTBP!BG18</f>
        <v>1.1572122715788136</v>
      </c>
      <c r="CW26" s="20">
        <f>DTBP!BH18</f>
        <v>1.249081172854914</v>
      </c>
      <c r="CX26" s="20">
        <f>DTBP!BI18</f>
        <v>1.2761890357830576</v>
      </c>
      <c r="CY26" s="20">
        <f>DTBP!BJ18</f>
        <v>1.2800615876299353</v>
      </c>
      <c r="CZ26" s="20">
        <f>DTBP!BK18</f>
        <v>1.2914647745607755</v>
      </c>
      <c r="DA26" s="20">
        <f>DTBP!BL18</f>
        <v>1.2914647745607755</v>
      </c>
      <c r="DB26" s="20">
        <f>DTBP!BM18</f>
        <v>1.2914647745607755</v>
      </c>
      <c r="DC26" s="20">
        <f>DTBP!BN18</f>
        <v>1.2373324127742835</v>
      </c>
      <c r="DD26" s="20">
        <f>DTBP!BO18</f>
        <v>1.2145260389126029</v>
      </c>
      <c r="DE26" s="20">
        <f>DTBP!BP18</f>
        <v>1.2094917215116621</v>
      </c>
      <c r="DF26" s="20">
        <f>DTBP!BQ18</f>
        <v>1.2067809352188477</v>
      </c>
      <c r="DG26" s="20">
        <f>DTBP!BR18</f>
        <v>1.1881926863538348</v>
      </c>
      <c r="DH26" s="20">
        <f>DTBP!BS18</f>
        <v>1.1858691552457084</v>
      </c>
      <c r="DI26" s="20">
        <f>DTBP!BT18</f>
        <v>1.1758005204438264</v>
      </c>
      <c r="DJ26" s="20">
        <f>DTBP!BU18</f>
        <v>1.1631926742369643</v>
      </c>
      <c r="DK26" s="20">
        <f>DTBP!BV18</f>
        <v>1.1631926742369643</v>
      </c>
      <c r="DL26" s="20">
        <f>DTBP!BW18</f>
        <v>1.1821681782866649</v>
      </c>
      <c r="DM26" s="20">
        <f>DTBP!BX18</f>
        <v>1.2139231034310616</v>
      </c>
      <c r="DN26" s="20">
        <f>DTBP!BY18</f>
        <v>1.2197319312013779</v>
      </c>
      <c r="DO26" s="20">
        <f>DTBP!BZ18</f>
        <v>1.2150407635761054</v>
      </c>
      <c r="DP26" s="20">
        <f>DTBP!CA18</f>
        <v>1.2266584191167382</v>
      </c>
      <c r="DQ26" s="20">
        <f>DTBP!CB18</f>
        <v>1.24021235058081</v>
      </c>
      <c r="DR26" s="20">
        <f>DTBP!CC18</f>
        <v>1.2755836769273941</v>
      </c>
      <c r="DS26" s="20">
        <f>DTBP!CD18</f>
        <v>1.3026915398555377</v>
      </c>
      <c r="DT26" s="20">
        <f>DTBP!CE18</f>
        <v>1.3267013613061791</v>
      </c>
      <c r="DU26" s="20">
        <f>DTBP!CF18</f>
        <v>1.3499366723874451</v>
      </c>
      <c r="DV26" s="20">
        <f>DTBP!CG18</f>
        <v>1.3654268797749558</v>
      </c>
      <c r="DW26" s="20">
        <f>DTBP!CH18</f>
        <v>1.3730420906157745</v>
      </c>
      <c r="DX26" s="20">
        <f>DTBP!CI18</f>
        <v>1.3742038561698378</v>
      </c>
      <c r="DY26" s="20">
        <f>DTBP!CJ18</f>
        <v>1.3742038561698378</v>
      </c>
      <c r="DZ26" s="20">
        <f>DTBP!CK18</f>
        <v>1.3742038561698378</v>
      </c>
      <c r="EA26" s="20">
        <f>DTBP!CL18</f>
        <v>1.3843594901026977</v>
      </c>
      <c r="EB26" s="20">
        <f>DTBP!CM18</f>
        <v>1.3824232141792587</v>
      </c>
      <c r="EC26" s="20">
        <f>DTBP!CN18</f>
        <v>1.3677075171611237</v>
      </c>
      <c r="ED26" s="20">
        <f>DTBP!CO18</f>
        <v>1.3677075171611237</v>
      </c>
      <c r="EE26" s="20">
        <f>DTBP!CP18</f>
        <v>1.3677075171611237</v>
      </c>
      <c r="EF26" s="20">
        <f>DTBP!CQ18</f>
        <v>1.3541535856970519</v>
      </c>
      <c r="EG26" s="20">
        <f>DTBP!CR18</f>
        <v>1.3285077443766815</v>
      </c>
      <c r="EH26" s="20">
        <f>DTBP!CS18</f>
        <v>1.367233262845458</v>
      </c>
      <c r="EI26" s="20">
        <f>DTBP!CT18</f>
        <v>1.3912430842960994</v>
      </c>
      <c r="EJ26" s="20">
        <f>DTBP!CU18</f>
        <v>1.4003656338407717</v>
      </c>
      <c r="EK26" s="20">
        <f>DTBP!CV18</f>
        <v>1.4003656338407717</v>
      </c>
      <c r="EL26" s="20">
        <f>DTBP!CW18</f>
        <v>1.3953313164398309</v>
      </c>
      <c r="EM26" s="20">
        <f>DTBP!CX18</f>
        <v>1.3953313164398309</v>
      </c>
      <c r="EN26" s="20">
        <f>DTBP!CY18</f>
        <v>1.4015715048038544</v>
      </c>
      <c r="EO26" s="20">
        <f>DTBP!CZ18</f>
        <v>1.4220972412793669</v>
      </c>
      <c r="EP26" s="20">
        <f>DTBP!DA18</f>
        <v>1.418611944617177</v>
      </c>
      <c r="EQ26" s="20">
        <f>DTBP!DB18</f>
        <v>1.4051009068750639</v>
      </c>
      <c r="ER26" s="20">
        <f>DTBP!DC18</f>
        <v>1.4415911050537529</v>
      </c>
      <c r="ES26" s="20">
        <f>DTBP!DD18</f>
        <v>1.4415911050537529</v>
      </c>
      <c r="ET26" s="20">
        <f>DTBP!DE18</f>
        <v>1.4563068020718879</v>
      </c>
      <c r="EU26" s="20">
        <f>DTBP!DF18</f>
        <v>1.4467957856554667</v>
      </c>
      <c r="EV26" s="20">
        <f>DTBP!DG18</f>
        <v>1.4460212752860913</v>
      </c>
      <c r="EW26" s="20">
        <f>DTBP!DH18</f>
        <v>1.432423238413</v>
      </c>
      <c r="EX26" s="20">
        <f>DTBP!DI18</f>
        <v>1.4102198000328607</v>
      </c>
      <c r="EY26" s="20">
        <f>DTBP!DJ18</f>
        <v>1.3843153846936782</v>
      </c>
      <c r="EZ26" s="20">
        <f>DTBP!DK18</f>
        <v>1.3565187988400762</v>
      </c>
      <c r="FA26" s="20">
        <f>DTBP!DL18</f>
        <v>1.3313472118353715</v>
      </c>
      <c r="FB26" s="20">
        <f>DTBP!DM18</f>
        <v>1.294902330752763</v>
      </c>
      <c r="FC26" s="20">
        <f>DTBP!DN18</f>
        <v>1.2313066930200522</v>
      </c>
      <c r="FD26" s="20">
        <f>DTBP!DO18</f>
        <v>1.2132343805056029</v>
      </c>
      <c r="FE26" s="20">
        <f>DTBP!DP18</f>
        <v>1.2132343805056029</v>
      </c>
      <c r="FF26" s="20">
        <f>DTBP!DQ18</f>
        <v>1.224034631954902</v>
      </c>
      <c r="FG26" s="20">
        <f>DTBP!DR18</f>
        <v>1.2464954326667923</v>
      </c>
      <c r="FH26" s="20">
        <f>DTBP!DS18</f>
        <v>1.2774758474418135</v>
      </c>
    </row>
    <row r="27" spans="1:164">
      <c r="A27" s="8" t="s">
        <v>212</v>
      </c>
      <c r="B27" s="263" t="s">
        <v>228</v>
      </c>
      <c r="C27" s="19">
        <f t="shared" si="48"/>
        <v>1.2820512820510555E-4</v>
      </c>
      <c r="D27" s="19">
        <f t="shared" si="49"/>
        <v>-1.1249999999999982E-2</v>
      </c>
      <c r="E27" s="19">
        <f t="shared" si="50"/>
        <v>-7.5000000000000622E-3</v>
      </c>
      <c r="F27" s="19">
        <f t="shared" si="51"/>
        <v>1.375000000000004E-2</v>
      </c>
      <c r="G27" s="19">
        <f t="shared" si="52"/>
        <v>1.2499999999999956E-2</v>
      </c>
      <c r="H27" s="19">
        <f t="shared" si="53"/>
        <v>5.0000000000000044E-3</v>
      </c>
      <c r="I27" s="19">
        <f t="shared" si="54"/>
        <v>0</v>
      </c>
      <c r="J27" s="19">
        <f t="shared" si="54"/>
        <v>5.0000000000000044E-3</v>
      </c>
      <c r="K27" s="19">
        <f t="shared" si="44"/>
        <v>0</v>
      </c>
      <c r="L27" s="19">
        <f t="shared" si="1"/>
        <v>0</v>
      </c>
      <c r="M27" s="19">
        <f t="shared" si="2"/>
        <v>0</v>
      </c>
      <c r="N27" s="19">
        <f t="shared" si="3"/>
        <v>-1.0000000000000009E-2</v>
      </c>
      <c r="O27" s="19">
        <f t="shared" si="4"/>
        <v>0</v>
      </c>
      <c r="P27" s="19">
        <f t="shared" si="5"/>
        <v>0</v>
      </c>
      <c r="Q27" s="19">
        <f t="shared" si="5"/>
        <v>0</v>
      </c>
      <c r="R27" s="19">
        <f t="shared" si="6"/>
        <v>0</v>
      </c>
      <c r="S27" s="19">
        <f t="shared" si="7"/>
        <v>-1.0000000000000009E-2</v>
      </c>
      <c r="T27" s="19">
        <f t="shared" si="8"/>
        <v>0</v>
      </c>
      <c r="U27" s="19">
        <f t="shared" si="8"/>
        <v>0</v>
      </c>
      <c r="V27" s="19">
        <f t="shared" si="8"/>
        <v>0</v>
      </c>
      <c r="W27" s="19">
        <f t="shared" si="8"/>
        <v>0</v>
      </c>
      <c r="X27" s="19">
        <f t="shared" si="55"/>
        <v>0</v>
      </c>
      <c r="Y27" s="19">
        <f t="shared" si="55"/>
        <v>0</v>
      </c>
      <c r="Z27" s="19">
        <f t="shared" si="9"/>
        <v>7.5000000000000622E-3</v>
      </c>
      <c r="AA27" s="19">
        <f t="shared" si="10"/>
        <v>0</v>
      </c>
      <c r="AB27" s="19">
        <f t="shared" si="10"/>
        <v>0</v>
      </c>
      <c r="AC27" s="19">
        <f t="shared" si="10"/>
        <v>0</v>
      </c>
      <c r="AD27" s="19">
        <f t="shared" si="10"/>
        <v>-1.0000000000000009E-2</v>
      </c>
      <c r="AE27" s="19">
        <f t="shared" si="11"/>
        <v>0</v>
      </c>
      <c r="AF27" s="19">
        <f t="shared" si="11"/>
        <v>0</v>
      </c>
      <c r="AG27" s="19">
        <f t="shared" si="12"/>
        <v>-1.2500000000000844E-3</v>
      </c>
      <c r="AH27" s="19">
        <f t="shared" si="13"/>
        <v>0</v>
      </c>
      <c r="AI27" s="19">
        <f t="shared" si="14"/>
        <v>0</v>
      </c>
      <c r="AJ27" s="19">
        <f t="shared" si="15"/>
        <v>-4.9999999999998934E-3</v>
      </c>
      <c r="AK27" s="19">
        <f t="shared" si="16"/>
        <v>0</v>
      </c>
      <c r="AL27" s="19">
        <f t="shared" si="16"/>
        <v>0</v>
      </c>
      <c r="AM27" s="19">
        <f t="shared" si="17"/>
        <v>0</v>
      </c>
      <c r="AN27" s="19">
        <f t="shared" si="18"/>
        <v>0</v>
      </c>
      <c r="AO27" s="19">
        <f t="shared" si="19"/>
        <v>0</v>
      </c>
      <c r="AP27" s="19">
        <f t="shared" si="20"/>
        <v>0</v>
      </c>
      <c r="AQ27" s="19">
        <f t="shared" si="20"/>
        <v>-3.7500000000000311E-3</v>
      </c>
      <c r="AR27" s="19">
        <f t="shared" si="20"/>
        <v>0</v>
      </c>
      <c r="AS27" s="19">
        <f t="shared" si="21"/>
        <v>5.0000000000000044E-3</v>
      </c>
      <c r="AT27" s="19">
        <f t="shared" si="22"/>
        <v>0</v>
      </c>
      <c r="AU27" s="60" t="s">
        <v>36</v>
      </c>
      <c r="AV27" s="19">
        <f t="shared" si="23"/>
        <v>0</v>
      </c>
      <c r="AW27" s="19">
        <f t="shared" si="24"/>
        <v>0</v>
      </c>
      <c r="AX27" s="19">
        <f t="shared" si="25"/>
        <v>1.2499999999999734E-3</v>
      </c>
      <c r="AY27" s="19">
        <f t="shared" si="26"/>
        <v>0</v>
      </c>
      <c r="AZ27" s="19">
        <f t="shared" si="27"/>
        <v>0</v>
      </c>
      <c r="BA27" s="19">
        <f t="shared" si="28"/>
        <v>0</v>
      </c>
      <c r="BB27" s="19">
        <f t="shared" si="29"/>
        <v>0</v>
      </c>
      <c r="BC27" s="19">
        <f t="shared" si="30"/>
        <v>0</v>
      </c>
      <c r="BD27" s="19">
        <f t="shared" si="31"/>
        <v>1.2499999999999734E-3</v>
      </c>
      <c r="BE27" s="19">
        <f t="shared" si="32"/>
        <v>0</v>
      </c>
      <c r="BF27" s="19">
        <f t="shared" si="33"/>
        <v>0</v>
      </c>
      <c r="BG27" s="19">
        <f t="shared" si="33"/>
        <v>0</v>
      </c>
      <c r="BH27" s="19">
        <f t="shared" si="56"/>
        <v>2.5000000000000577E-3</v>
      </c>
      <c r="BI27" s="19">
        <f t="shared" si="57"/>
        <v>0</v>
      </c>
      <c r="BJ27" s="19">
        <f t="shared" si="35"/>
        <v>0</v>
      </c>
      <c r="BK27" s="19">
        <f t="shared" si="36"/>
        <v>0</v>
      </c>
      <c r="BL27" s="19">
        <f t="shared" si="45"/>
        <v>0</v>
      </c>
      <c r="BM27" s="19">
        <f t="shared" si="45"/>
        <v>0</v>
      </c>
      <c r="BN27" s="19">
        <f t="shared" si="45"/>
        <v>0</v>
      </c>
      <c r="BO27" s="19">
        <f t="shared" si="45"/>
        <v>0</v>
      </c>
      <c r="BP27" s="19">
        <f t="shared" si="58"/>
        <v>0</v>
      </c>
      <c r="BQ27" s="19">
        <f t="shared" si="58"/>
        <v>0</v>
      </c>
      <c r="BR27" s="19">
        <f t="shared" si="58"/>
        <v>0</v>
      </c>
      <c r="BS27" s="19">
        <f t="shared" si="38"/>
        <v>0</v>
      </c>
      <c r="BT27" s="19">
        <f t="shared" si="46"/>
        <v>0</v>
      </c>
      <c r="BU27" s="19">
        <f t="shared" si="59"/>
        <v>-5.0000000000000044E-3</v>
      </c>
      <c r="BV27" s="19">
        <f t="shared" si="60"/>
        <v>0</v>
      </c>
      <c r="BW27" s="19">
        <f t="shared" si="40"/>
        <v>0</v>
      </c>
      <c r="BX27" s="19">
        <f t="shared" si="41"/>
        <v>0</v>
      </c>
      <c r="BY27" s="19">
        <f t="shared" si="41"/>
        <v>7.4999999999999512E-3</v>
      </c>
      <c r="BZ27" s="19">
        <f t="shared" si="41"/>
        <v>0</v>
      </c>
      <c r="CA27" s="19">
        <f t="shared" si="41"/>
        <v>0</v>
      </c>
      <c r="CB27" s="19">
        <f t="shared" si="42"/>
        <v>0</v>
      </c>
      <c r="CC27" s="19">
        <f t="shared" si="42"/>
        <v>0</v>
      </c>
      <c r="CD27" s="19">
        <f t="shared" si="42"/>
        <v>-8.7499999999999245E-3</v>
      </c>
      <c r="CE27" s="65"/>
      <c r="CG27" s="20">
        <f t="shared" si="47"/>
        <v>0.53262820512820508</v>
      </c>
      <c r="CH27" s="20">
        <f>Paraformaldehyde!AS15</f>
        <v>0.53249999999999997</v>
      </c>
      <c r="CI27" s="20">
        <f>Paraformaldehyde!AT15</f>
        <v>0.54374999999999996</v>
      </c>
      <c r="CJ27" s="20">
        <f>Paraformaldehyde!AU15</f>
        <v>0.55125000000000002</v>
      </c>
      <c r="CK27" s="20">
        <f>Paraformaldehyde!AV15</f>
        <v>0.53749999999999998</v>
      </c>
      <c r="CL27" s="20">
        <f>Paraformaldehyde!AW15</f>
        <v>0.52500000000000002</v>
      </c>
      <c r="CM27" s="20">
        <f>Paraformaldehyde!AX15</f>
        <v>0.52</v>
      </c>
      <c r="CN27" s="20">
        <f>Paraformaldehyde!AY15</f>
        <v>0.52</v>
      </c>
      <c r="CO27" s="20">
        <f>Paraformaldehyde!AZ15</f>
        <v>0.51500000000000001</v>
      </c>
      <c r="CP27" s="20">
        <f>Paraformaldehyde!BA15</f>
        <v>0.51500000000000001</v>
      </c>
      <c r="CQ27" s="20">
        <f>Paraformaldehyde!BB15</f>
        <v>0.51500000000000001</v>
      </c>
      <c r="CR27" s="20">
        <f>Paraformaldehyde!BC15</f>
        <v>0.51500000000000001</v>
      </c>
      <c r="CS27" s="20">
        <f>Paraformaldehyde!BD15</f>
        <v>0.52500000000000002</v>
      </c>
      <c r="CT27" s="20">
        <f>Paraformaldehyde!BE15</f>
        <v>0.52500000000000002</v>
      </c>
      <c r="CU27" s="20">
        <f>Paraformaldehyde!BF15</f>
        <v>0.52500000000000002</v>
      </c>
      <c r="CV27" s="20">
        <f>Paraformaldehyde!BG15</f>
        <v>0.52500000000000002</v>
      </c>
      <c r="CW27" s="20">
        <f>Paraformaldehyde!BH15</f>
        <v>0.52500000000000002</v>
      </c>
      <c r="CX27" s="20">
        <f>Paraformaldehyde!BI15</f>
        <v>0.53500000000000003</v>
      </c>
      <c r="CY27" s="20">
        <f>Paraformaldehyde!BJ15</f>
        <v>0.53500000000000003</v>
      </c>
      <c r="CZ27" s="20">
        <f>Paraformaldehyde!BK15</f>
        <v>0.53500000000000003</v>
      </c>
      <c r="DA27" s="20">
        <f>Paraformaldehyde!BL15</f>
        <v>0.53500000000000003</v>
      </c>
      <c r="DB27" s="20">
        <f>Paraformaldehyde!BM15</f>
        <v>0.53500000000000003</v>
      </c>
      <c r="DC27" s="20">
        <f>Paraformaldehyde!BN15</f>
        <v>0.53500000000000003</v>
      </c>
      <c r="DD27" s="20">
        <f>Paraformaldehyde!BO15</f>
        <v>0.53500000000000003</v>
      </c>
      <c r="DE27" s="20">
        <f>Paraformaldehyde!BP15</f>
        <v>0.52749999999999997</v>
      </c>
      <c r="DF27" s="20">
        <f>Paraformaldehyde!BQ15</f>
        <v>0.52749999999999997</v>
      </c>
      <c r="DG27" s="20">
        <f>Paraformaldehyde!BR15</f>
        <v>0.52749999999999997</v>
      </c>
      <c r="DH27" s="20">
        <f>Paraformaldehyde!BS15</f>
        <v>0.52749999999999997</v>
      </c>
      <c r="DI27" s="20">
        <f>Paraformaldehyde!BT15</f>
        <v>0.53749999999999998</v>
      </c>
      <c r="DJ27" s="20">
        <f>Paraformaldehyde!BU15</f>
        <v>0.53749999999999998</v>
      </c>
      <c r="DK27" s="20">
        <f>Paraformaldehyde!BV15</f>
        <v>0.53749999999999998</v>
      </c>
      <c r="DL27" s="20">
        <f>Paraformaldehyde!BW15</f>
        <v>0.53875000000000006</v>
      </c>
      <c r="DM27" s="20">
        <f>Paraformaldehyde!BX15</f>
        <v>0.53875000000000006</v>
      </c>
      <c r="DN27" s="20">
        <f>Paraformaldehyde!BY15</f>
        <v>0.53875000000000006</v>
      </c>
      <c r="DO27" s="20">
        <f>Paraformaldehyde!BZ15</f>
        <v>0.54374999999999996</v>
      </c>
      <c r="DP27" s="20">
        <f>Paraformaldehyde!CA15</f>
        <v>0.54374999999999996</v>
      </c>
      <c r="DQ27" s="20">
        <f>Paraformaldehyde!CB15</f>
        <v>0.54374999999999996</v>
      </c>
      <c r="DR27" s="20">
        <f>Paraformaldehyde!CC15</f>
        <v>0.54374999999999996</v>
      </c>
      <c r="DS27" s="20">
        <f>Paraformaldehyde!CD15</f>
        <v>0.54374999999999996</v>
      </c>
      <c r="DT27" s="20">
        <f>Paraformaldehyde!CE15</f>
        <v>0.54374999999999996</v>
      </c>
      <c r="DU27" s="20">
        <f>Paraformaldehyde!CF15</f>
        <v>0.54374999999999996</v>
      </c>
      <c r="DV27" s="20">
        <f>Paraformaldehyde!CG15</f>
        <v>0.54749999999999999</v>
      </c>
      <c r="DW27" s="20">
        <f>Paraformaldehyde!CH15</f>
        <v>0.54749999999999999</v>
      </c>
      <c r="DX27" s="20">
        <f>Paraformaldehyde!CI15</f>
        <v>0.54249999999999998</v>
      </c>
      <c r="DY27" s="20">
        <f>Paraformaldehyde!CJ15</f>
        <v>0.54249999999999998</v>
      </c>
      <c r="DZ27" s="20">
        <f>Paraformaldehyde!CK15</f>
        <v>0.54249999999999998</v>
      </c>
      <c r="EA27" s="20">
        <f>Paraformaldehyde!CL15</f>
        <v>0.54249999999999998</v>
      </c>
      <c r="EB27" s="20">
        <f>Paraformaldehyde!CM15</f>
        <v>0.54125000000000001</v>
      </c>
      <c r="EC27" s="20">
        <f>Paraformaldehyde!CN15</f>
        <v>0.54125000000000001</v>
      </c>
      <c r="ED27" s="20">
        <f>Paraformaldehyde!CO15</f>
        <v>0.54125000000000001</v>
      </c>
      <c r="EE27" s="20">
        <f>Paraformaldehyde!CP15</f>
        <v>0.54125000000000001</v>
      </c>
      <c r="EF27" s="20">
        <f>Paraformaldehyde!CQ15</f>
        <v>0.54125000000000001</v>
      </c>
      <c r="EG27" s="20">
        <f>Paraformaldehyde!CR15</f>
        <v>0.54125000000000001</v>
      </c>
      <c r="EH27" s="20">
        <f>Paraformaldehyde!CS15</f>
        <v>0.54</v>
      </c>
      <c r="EI27" s="20">
        <f>Paraformaldehyde!CT15</f>
        <v>0.54</v>
      </c>
      <c r="EJ27" s="20">
        <f>Paraformaldehyde!CU15</f>
        <v>0.54</v>
      </c>
      <c r="EK27" s="20">
        <f>Paraformaldehyde!CV15</f>
        <v>0.54</v>
      </c>
      <c r="EL27" s="20">
        <f>Paraformaldehyde!CW15</f>
        <v>0.53749999999999998</v>
      </c>
      <c r="EM27" s="20">
        <f>Paraformaldehyde!CX15</f>
        <v>0.53749999999999998</v>
      </c>
      <c r="EN27" s="20">
        <f>Paraformaldehyde!CY15</f>
        <v>0.53749999999999998</v>
      </c>
      <c r="EO27" s="20">
        <f>Paraformaldehyde!CZ15</f>
        <v>0.53749999999999998</v>
      </c>
      <c r="EP27" s="20">
        <f>Paraformaldehyde!DA15</f>
        <v>0.53749999999999998</v>
      </c>
      <c r="EQ27" s="20">
        <f>Paraformaldehyde!DB15</f>
        <v>0.53749999999999998</v>
      </c>
      <c r="ER27" s="20">
        <f>Paraformaldehyde!DC15</f>
        <v>0.53749999999999998</v>
      </c>
      <c r="ES27" s="20">
        <f>Paraformaldehyde!DD15</f>
        <v>0.53749999999999998</v>
      </c>
      <c r="ET27" s="20">
        <f>Paraformaldehyde!DE15</f>
        <v>0.53749999999999998</v>
      </c>
      <c r="EU27" s="20">
        <f>Paraformaldehyde!DF15</f>
        <v>0.53749999999999998</v>
      </c>
      <c r="EV27" s="20">
        <f>Paraformaldehyde!DG15</f>
        <v>0.53749999999999998</v>
      </c>
      <c r="EW27" s="20">
        <f>Paraformaldehyde!DH15</f>
        <v>0.53749999999999998</v>
      </c>
      <c r="EX27" s="20">
        <f>Paraformaldehyde!DI15</f>
        <v>0.53749999999999998</v>
      </c>
      <c r="EY27" s="20">
        <f>Paraformaldehyde!DJ15</f>
        <v>0.54249999999999998</v>
      </c>
      <c r="EZ27" s="20">
        <f>Paraformaldehyde!DK15</f>
        <v>0.54249999999999998</v>
      </c>
      <c r="FA27" s="20">
        <f>Paraformaldehyde!DL15</f>
        <v>0.54249999999999998</v>
      </c>
      <c r="FB27" s="20">
        <f>Paraformaldehyde!DM15</f>
        <v>0.54249999999999998</v>
      </c>
      <c r="FC27" s="20">
        <f>Paraformaldehyde!DN15</f>
        <v>0.53500000000000003</v>
      </c>
      <c r="FD27" s="20">
        <f>Paraformaldehyde!DO15</f>
        <v>0.53500000000000003</v>
      </c>
      <c r="FE27" s="20">
        <f>Paraformaldehyde!DP15</f>
        <v>0.53500000000000003</v>
      </c>
      <c r="FF27" s="20">
        <f>Paraformaldehyde!DQ15</f>
        <v>0.53500000000000003</v>
      </c>
      <c r="FG27" s="20">
        <f>Paraformaldehyde!DR15</f>
        <v>0.53500000000000003</v>
      </c>
      <c r="FH27" s="20">
        <f>Paraformaldehyde!DS15</f>
        <v>0.54374999999999996</v>
      </c>
    </row>
    <row r="28" spans="1:164">
      <c r="A28" s="8" t="s">
        <v>229</v>
      </c>
      <c r="B28" s="263" t="s">
        <v>118</v>
      </c>
      <c r="C28" s="19">
        <f t="shared" si="48"/>
        <v>0.14469230769230801</v>
      </c>
      <c r="D28" s="19">
        <f t="shared" si="49"/>
        <v>-4.8180000000000001E-2</v>
      </c>
      <c r="E28" s="19">
        <f t="shared" si="50"/>
        <v>-8.9320000000000066E-2</v>
      </c>
      <c r="F28" s="19">
        <f t="shared" si="51"/>
        <v>0</v>
      </c>
      <c r="G28" s="19">
        <f t="shared" si="52"/>
        <v>-1.9249999999999989E-2</v>
      </c>
      <c r="H28" s="19">
        <f t="shared" si="53"/>
        <v>1.1000000000000121E-2</v>
      </c>
      <c r="I28" s="19">
        <f t="shared" si="54"/>
        <v>0.13474999999999993</v>
      </c>
      <c r="J28" s="19">
        <f t="shared" si="54"/>
        <v>-1.6499999999999848E-2</v>
      </c>
      <c r="K28" s="19">
        <f t="shared" si="44"/>
        <v>0</v>
      </c>
      <c r="L28" s="19">
        <f t="shared" si="1"/>
        <v>-1.100000000000001E-2</v>
      </c>
      <c r="M28" s="19">
        <f t="shared" si="2"/>
        <v>-2.200000000000002E-2</v>
      </c>
      <c r="N28" s="19">
        <f t="shared" si="3"/>
        <v>-1.650000000000007E-2</v>
      </c>
      <c r="O28" s="19">
        <f t="shared" si="4"/>
        <v>-5.4999999999999494E-3</v>
      </c>
      <c r="P28" s="19">
        <f t="shared" si="5"/>
        <v>0</v>
      </c>
      <c r="Q28" s="19">
        <f t="shared" si="5"/>
        <v>0</v>
      </c>
      <c r="R28" s="19">
        <f t="shared" si="6"/>
        <v>-1.1000000000000121E-2</v>
      </c>
      <c r="S28" s="19">
        <f t="shared" si="7"/>
        <v>0</v>
      </c>
      <c r="T28" s="19">
        <f t="shared" si="8"/>
        <v>-5.4999999999999938E-2</v>
      </c>
      <c r="U28" s="19">
        <f t="shared" si="8"/>
        <v>-1.6499999999999959E-2</v>
      </c>
      <c r="V28" s="19">
        <f t="shared" si="8"/>
        <v>-1.0999999999999899E-2</v>
      </c>
      <c r="W28" s="19">
        <f t="shared" si="8"/>
        <v>3.2999999999999696E-2</v>
      </c>
      <c r="X28" s="19">
        <f t="shared" si="55"/>
        <v>0</v>
      </c>
      <c r="Y28" s="19">
        <f t="shared" si="55"/>
        <v>0</v>
      </c>
      <c r="Z28" s="19">
        <f t="shared" si="9"/>
        <v>-1.0999999999999899E-2</v>
      </c>
      <c r="AA28" s="19">
        <f t="shared" si="10"/>
        <v>0</v>
      </c>
      <c r="AB28" s="19">
        <f t="shared" si="10"/>
        <v>0</v>
      </c>
      <c r="AC28" s="19">
        <f t="shared" si="10"/>
        <v>2.750000000000008E-2</v>
      </c>
      <c r="AD28" s="19">
        <f t="shared" si="10"/>
        <v>0</v>
      </c>
      <c r="AE28" s="19">
        <f t="shared" si="11"/>
        <v>0</v>
      </c>
      <c r="AF28" s="19">
        <f t="shared" si="11"/>
        <v>0</v>
      </c>
      <c r="AG28" s="19">
        <f t="shared" si="12"/>
        <v>-2.750000000000008E-2</v>
      </c>
      <c r="AH28" s="19">
        <f t="shared" si="13"/>
        <v>5.5000000000000604E-3</v>
      </c>
      <c r="AI28" s="19">
        <f t="shared" si="14"/>
        <v>0</v>
      </c>
      <c r="AJ28" s="19">
        <f t="shared" si="15"/>
        <v>-3.8499999999999979E-2</v>
      </c>
      <c r="AK28" s="19">
        <f t="shared" si="16"/>
        <v>0</v>
      </c>
      <c r="AL28" s="19">
        <f t="shared" si="16"/>
        <v>-2.200000000000002E-2</v>
      </c>
      <c r="AM28" s="19">
        <f t="shared" si="17"/>
        <v>-5.500000000000016E-2</v>
      </c>
      <c r="AN28" s="19">
        <f t="shared" si="18"/>
        <v>0</v>
      </c>
      <c r="AO28" s="19">
        <f t="shared" si="19"/>
        <v>0</v>
      </c>
      <c r="AP28" s="19">
        <f t="shared" si="20"/>
        <v>0</v>
      </c>
      <c r="AQ28" s="19">
        <f t="shared" si="20"/>
        <v>-1.0999999999999899E-2</v>
      </c>
      <c r="AR28" s="19">
        <f t="shared" si="20"/>
        <v>0</v>
      </c>
      <c r="AS28" s="19">
        <f t="shared" si="21"/>
        <v>0</v>
      </c>
      <c r="AT28" s="19">
        <f t="shared" si="22"/>
        <v>0</v>
      </c>
      <c r="AU28" s="60" t="s">
        <v>64</v>
      </c>
      <c r="AV28" s="19">
        <f t="shared" si="23"/>
        <v>0</v>
      </c>
      <c r="AW28" s="19">
        <f t="shared" si="24"/>
        <v>-2.200000000000002E-2</v>
      </c>
      <c r="AX28" s="19">
        <f t="shared" si="25"/>
        <v>0</v>
      </c>
      <c r="AY28" s="19">
        <f t="shared" si="26"/>
        <v>-1.1000000000000121E-2</v>
      </c>
      <c r="AZ28" s="19">
        <f t="shared" si="27"/>
        <v>0</v>
      </c>
      <c r="BA28" s="19">
        <f t="shared" si="28"/>
        <v>0</v>
      </c>
      <c r="BB28" s="19">
        <f t="shared" si="29"/>
        <v>0</v>
      </c>
      <c r="BC28" s="19">
        <f t="shared" si="30"/>
        <v>0</v>
      </c>
      <c r="BD28" s="19">
        <f t="shared" si="31"/>
        <v>5.5000000000002824E-3</v>
      </c>
      <c r="BE28" s="19">
        <f t="shared" si="32"/>
        <v>-1.1000000000000121E-2</v>
      </c>
      <c r="BF28" s="19">
        <f t="shared" si="33"/>
        <v>5.4999999999998384E-3</v>
      </c>
      <c r="BG28" s="19">
        <f t="shared" si="33"/>
        <v>0</v>
      </c>
      <c r="BH28" s="19">
        <f t="shared" si="56"/>
        <v>0</v>
      </c>
      <c r="BI28" s="19">
        <f t="shared" si="57"/>
        <v>3.300000000000014E-2</v>
      </c>
      <c r="BJ28" s="19">
        <f t="shared" si="35"/>
        <v>2.200000000000002E-2</v>
      </c>
      <c r="BK28" s="19">
        <f t="shared" si="36"/>
        <v>0</v>
      </c>
      <c r="BL28" s="19">
        <f t="shared" si="45"/>
        <v>0</v>
      </c>
      <c r="BM28" s="19">
        <f t="shared" si="45"/>
        <v>0</v>
      </c>
      <c r="BN28" s="19">
        <f t="shared" si="45"/>
        <v>8.2500000000000906E-3</v>
      </c>
      <c r="BO28" s="19">
        <f t="shared" si="45"/>
        <v>5.7749999999999968E-2</v>
      </c>
      <c r="BP28" s="19">
        <f t="shared" si="58"/>
        <v>5.5000000000000604E-3</v>
      </c>
      <c r="BQ28" s="19">
        <f t="shared" si="58"/>
        <v>8.7999999999999856E-2</v>
      </c>
      <c r="BR28" s="19">
        <f t="shared" si="58"/>
        <v>2.750000000000008E-2</v>
      </c>
      <c r="BS28" s="19">
        <f t="shared" si="38"/>
        <v>-1.6499999999999959E-2</v>
      </c>
      <c r="BT28" s="19">
        <f t="shared" si="46"/>
        <v>1.100000000000001E-2</v>
      </c>
      <c r="BU28" s="19">
        <f t="shared" si="59"/>
        <v>1.6499999999999959E-2</v>
      </c>
      <c r="BV28" s="19">
        <f t="shared" si="60"/>
        <v>0</v>
      </c>
      <c r="BW28" s="19">
        <f t="shared" si="40"/>
        <v>0</v>
      </c>
      <c r="BX28" s="19">
        <f t="shared" si="41"/>
        <v>2.200000000000002E-2</v>
      </c>
      <c r="BY28" s="19">
        <f t="shared" si="41"/>
        <v>3.2999999999999918E-2</v>
      </c>
      <c r="BZ28" s="19">
        <f t="shared" si="41"/>
        <v>1.100000000000001E-2</v>
      </c>
      <c r="CA28" s="19">
        <f t="shared" si="41"/>
        <v>0</v>
      </c>
      <c r="CB28" s="19">
        <f t="shared" si="42"/>
        <v>2.200000000000002E-2</v>
      </c>
      <c r="CC28" s="19">
        <f t="shared" si="42"/>
        <v>1.100000000000001E-2</v>
      </c>
      <c r="CD28" s="19">
        <f t="shared" si="42"/>
        <v>5.5000000000000604E-3</v>
      </c>
      <c r="CE28" s="65"/>
      <c r="CG28" s="20">
        <f t="shared" si="47"/>
        <v>1.0236923076923081</v>
      </c>
      <c r="CH28" s="20">
        <f>IPA!AS15</f>
        <v>0.87900000000000011</v>
      </c>
      <c r="CI28" s="20">
        <f>IPA!AT15</f>
        <v>0.92718000000000012</v>
      </c>
      <c r="CJ28" s="20">
        <f>IPA!AU15</f>
        <v>1.0165000000000002</v>
      </c>
      <c r="CK28" s="20">
        <f>IPA!AV15</f>
        <v>1.0165000000000002</v>
      </c>
      <c r="CL28" s="20">
        <f>IPA!AW15</f>
        <v>1.0357500000000002</v>
      </c>
      <c r="CM28" s="20">
        <f>IPA!AX15</f>
        <v>1.02475</v>
      </c>
      <c r="CN28" s="20">
        <f>IPA!AY15</f>
        <v>0.89000000000000012</v>
      </c>
      <c r="CO28" s="20">
        <f>IPA!AZ15</f>
        <v>0.90649999999999997</v>
      </c>
      <c r="CP28" s="20">
        <f>IPA!BA15</f>
        <v>0.90649999999999997</v>
      </c>
      <c r="CQ28" s="20">
        <f>IPA!BB15</f>
        <v>0.91749999999999998</v>
      </c>
      <c r="CR28" s="20">
        <f>IPA!BC15</f>
        <v>0.9395</v>
      </c>
      <c r="CS28" s="20">
        <f>IPA!BD15</f>
        <v>0.95600000000000007</v>
      </c>
      <c r="CT28" s="20">
        <f>IPA!BE15</f>
        <v>0.96150000000000002</v>
      </c>
      <c r="CU28" s="20">
        <f>IPA!BF15</f>
        <v>0.96150000000000002</v>
      </c>
      <c r="CV28" s="20">
        <f>IPA!BG15</f>
        <v>0.96150000000000002</v>
      </c>
      <c r="CW28" s="20">
        <f>IPA!BH15</f>
        <v>0.97250000000000014</v>
      </c>
      <c r="CX28" s="20">
        <f>IPA!BI15</f>
        <v>0.97250000000000014</v>
      </c>
      <c r="CY28" s="20">
        <f>IPA!BJ15</f>
        <v>1.0275000000000001</v>
      </c>
      <c r="CZ28" s="20">
        <f>IPA!BK15</f>
        <v>1.044</v>
      </c>
      <c r="DA28" s="20">
        <f>IPA!BL15</f>
        <v>1.0549999999999999</v>
      </c>
      <c r="DB28" s="20">
        <f>IPA!BM15</f>
        <v>1.0220000000000002</v>
      </c>
      <c r="DC28" s="20">
        <f>IPA!BN15</f>
        <v>1.0220000000000002</v>
      </c>
      <c r="DD28" s="20">
        <f>IPA!BO15</f>
        <v>1.0220000000000002</v>
      </c>
      <c r="DE28" s="20">
        <f>IPA!BP15</f>
        <v>1.0330000000000001</v>
      </c>
      <c r="DF28" s="20">
        <f>IPA!BQ15</f>
        <v>1.0330000000000001</v>
      </c>
      <c r="DG28" s="20">
        <f>IPA!BR15</f>
        <v>1.0330000000000001</v>
      </c>
      <c r="DH28" s="20">
        <f>IPA!BS15</f>
        <v>1.0055000000000001</v>
      </c>
      <c r="DI28" s="20">
        <f>IPA!BT15</f>
        <v>1.0055000000000001</v>
      </c>
      <c r="DJ28" s="20">
        <f>IPA!BU15</f>
        <v>1.0055000000000001</v>
      </c>
      <c r="DK28" s="20">
        <f>IPA!BV15</f>
        <v>1.0055000000000001</v>
      </c>
      <c r="DL28" s="20">
        <f>IPA!BW15</f>
        <v>1.0330000000000001</v>
      </c>
      <c r="DM28" s="20">
        <f>IPA!BX15</f>
        <v>1.0275000000000001</v>
      </c>
      <c r="DN28" s="20">
        <f>IPA!BY15</f>
        <v>1.0275000000000001</v>
      </c>
      <c r="DO28" s="20">
        <f>IPA!BZ15</f>
        <v>1.0660000000000001</v>
      </c>
      <c r="DP28" s="20">
        <f>IPA!CA15</f>
        <v>1.0660000000000001</v>
      </c>
      <c r="DQ28" s="20">
        <f>IPA!CB15</f>
        <v>1.0880000000000001</v>
      </c>
      <c r="DR28" s="20">
        <f>IPA!CC15</f>
        <v>1.1430000000000002</v>
      </c>
      <c r="DS28" s="20">
        <f>IPA!CD15</f>
        <v>1.1430000000000002</v>
      </c>
      <c r="DT28" s="20">
        <f>IPA!CE15</f>
        <v>1.1430000000000002</v>
      </c>
      <c r="DU28" s="20">
        <f>IPA!CF15</f>
        <v>1.1430000000000002</v>
      </c>
      <c r="DV28" s="20">
        <f>IPA!CG15</f>
        <v>1.1540000000000001</v>
      </c>
      <c r="DW28" s="20">
        <f>IPA!CH15</f>
        <v>1.1540000000000001</v>
      </c>
      <c r="DX28" s="20">
        <f>IPA!CI15</f>
        <v>1.1540000000000001</v>
      </c>
      <c r="DY28" s="20">
        <f>IPA!CJ15</f>
        <v>1.1540000000000001</v>
      </c>
      <c r="DZ28" s="20">
        <f>IPA!CK15</f>
        <v>1.1540000000000001</v>
      </c>
      <c r="EA28" s="20">
        <f>IPA!CL15</f>
        <v>1.1760000000000002</v>
      </c>
      <c r="EB28" s="20">
        <f>IPA!CM15</f>
        <v>1.1760000000000002</v>
      </c>
      <c r="EC28" s="20">
        <f>IPA!CN15</f>
        <v>1.1870000000000003</v>
      </c>
      <c r="ED28" s="20">
        <f>IPA!CO15</f>
        <v>1.1870000000000003</v>
      </c>
      <c r="EE28" s="20">
        <f>IPA!CP15</f>
        <v>1.1870000000000003</v>
      </c>
      <c r="EF28" s="20">
        <f>IPA!CQ15</f>
        <v>1.1870000000000003</v>
      </c>
      <c r="EG28" s="20">
        <f>IPA!CR15</f>
        <v>1.1870000000000003</v>
      </c>
      <c r="EH28" s="20">
        <f>IPA!CS15</f>
        <v>1.1815</v>
      </c>
      <c r="EI28" s="20">
        <f>IPA!CT15</f>
        <v>1.1925000000000001</v>
      </c>
      <c r="EJ28" s="20">
        <f>IPA!CU15</f>
        <v>1.1870000000000003</v>
      </c>
      <c r="EK28" s="20">
        <f>IPA!CV15</f>
        <v>1.1870000000000003</v>
      </c>
      <c r="EL28" s="20">
        <f>IPA!CW15</f>
        <v>1.1870000000000003</v>
      </c>
      <c r="EM28" s="20">
        <f>IPA!CX15</f>
        <v>1.1540000000000001</v>
      </c>
      <c r="EN28" s="20">
        <f>IPA!CY15</f>
        <v>1.1320000000000001</v>
      </c>
      <c r="EO28" s="20">
        <f>IPA!CZ15</f>
        <v>1.1320000000000001</v>
      </c>
      <c r="EP28" s="20">
        <f>IPA!DA15</f>
        <v>1.1320000000000001</v>
      </c>
      <c r="EQ28" s="20">
        <f>IPA!DB15</f>
        <v>1.1320000000000001</v>
      </c>
      <c r="ER28" s="20">
        <f>IPA!DC15</f>
        <v>1.12375</v>
      </c>
      <c r="ES28" s="20">
        <f>IPA!DD15</f>
        <v>1.0660000000000001</v>
      </c>
      <c r="ET28" s="20">
        <f>IPA!DE15</f>
        <v>1.0605</v>
      </c>
      <c r="EU28" s="20">
        <f>IPA!DF15</f>
        <v>0.97250000000000014</v>
      </c>
      <c r="EV28" s="20">
        <f>IPA!DG15</f>
        <v>0.94500000000000006</v>
      </c>
      <c r="EW28" s="20">
        <f>IPA!DH15</f>
        <v>0.96150000000000002</v>
      </c>
      <c r="EX28" s="20">
        <f>IPA!DI15</f>
        <v>0.95050000000000001</v>
      </c>
      <c r="EY28" s="20">
        <f>IPA!DJ15</f>
        <v>0.93400000000000005</v>
      </c>
      <c r="EZ28" s="20">
        <f>IPA!DK15</f>
        <v>0.93400000000000005</v>
      </c>
      <c r="FA28" s="20">
        <f>IPA!DL15</f>
        <v>0.93400000000000005</v>
      </c>
      <c r="FB28" s="20">
        <f>IPA!DM15</f>
        <v>0.91200000000000003</v>
      </c>
      <c r="FC28" s="20">
        <f>IPA!DN15</f>
        <v>0.87900000000000011</v>
      </c>
      <c r="FD28" s="20">
        <f>IPA!DO15</f>
        <v>0.8680000000000001</v>
      </c>
      <c r="FE28" s="20">
        <f>IPA!DP15</f>
        <v>0.8680000000000001</v>
      </c>
      <c r="FF28" s="20">
        <f>IPA!DQ15</f>
        <v>0.84600000000000009</v>
      </c>
      <c r="FG28" s="20">
        <f>IPA!DR15</f>
        <v>0.83500000000000008</v>
      </c>
      <c r="FH28" s="20">
        <f>IPA!DS15</f>
        <v>0.82950000000000002</v>
      </c>
    </row>
    <row r="29" spans="1:164">
      <c r="A29" s="8" t="s">
        <v>212</v>
      </c>
      <c r="B29" s="263" t="s">
        <v>230</v>
      </c>
      <c r="C29" s="19">
        <f t="shared" si="48"/>
        <v>-0.10435018249600736</v>
      </c>
      <c r="D29" s="19">
        <f t="shared" si="49"/>
        <v>1.9464325290033724E-2</v>
      </c>
      <c r="E29" s="19">
        <f t="shared" si="50"/>
        <v>4.554585844022796E-3</v>
      </c>
      <c r="F29" s="19">
        <f t="shared" si="51"/>
        <v>3.6798684172673291E-2</v>
      </c>
      <c r="G29" s="19">
        <f t="shared" si="52"/>
        <v>2.427247832690238E-2</v>
      </c>
      <c r="H29" s="19">
        <f t="shared" si="53"/>
        <v>5.2511632348767545E-2</v>
      </c>
      <c r="I29" s="19">
        <f t="shared" si="54"/>
        <v>1.6759281861427056E-3</v>
      </c>
      <c r="J29" s="19">
        <f t="shared" si="54"/>
        <v>2.821972850645782E-3</v>
      </c>
      <c r="K29" s="19">
        <f t="shared" si="44"/>
        <v>2.9794102045377358E-4</v>
      </c>
      <c r="L29" s="19">
        <f t="shared" si="1"/>
        <v>-1.9919248244208987E-3</v>
      </c>
      <c r="M29" s="19">
        <f t="shared" si="2"/>
        <v>3.2843549173362518E-3</v>
      </c>
      <c r="N29" s="19">
        <f t="shared" si="3"/>
        <v>-4.067256839150879E-3</v>
      </c>
      <c r="O29" s="19">
        <f t="shared" si="4"/>
        <v>-8.0297241312679013E-3</v>
      </c>
      <c r="P29" s="19">
        <f t="shared" si="5"/>
        <v>-7.6160565608303088E-3</v>
      </c>
      <c r="Q29" s="19">
        <f t="shared" si="5"/>
        <v>8.6689313561993941E-4</v>
      </c>
      <c r="R29" s="19">
        <f t="shared" si="6"/>
        <v>-1.8891993957909747E-2</v>
      </c>
      <c r="S29" s="19">
        <f t="shared" si="7"/>
        <v>-9.6599038139419946E-3</v>
      </c>
      <c r="T29" s="19">
        <f t="shared" si="8"/>
        <v>4.4345898626931834E-3</v>
      </c>
      <c r="U29" s="19">
        <f t="shared" si="8"/>
        <v>-1.1953252907261902E-2</v>
      </c>
      <c r="V29" s="19">
        <f t="shared" si="8"/>
        <v>-3.7589201985017695E-3</v>
      </c>
      <c r="W29" s="19">
        <f t="shared" si="8"/>
        <v>8.1811185287290478E-3</v>
      </c>
      <c r="X29" s="19">
        <f t="shared" si="55"/>
        <v>3.5971923095061697E-3</v>
      </c>
      <c r="Y29" s="19">
        <f t="shared" si="55"/>
        <v>-5.4855078848259353E-4</v>
      </c>
      <c r="Z29" s="19">
        <f t="shared" si="9"/>
        <v>8.8807456789159467E-3</v>
      </c>
      <c r="AA29" s="19">
        <f t="shared" si="10"/>
        <v>0</v>
      </c>
      <c r="AB29" s="19">
        <f t="shared" si="10"/>
        <v>-7.1972987295962909E-3</v>
      </c>
      <c r="AC29" s="19">
        <f t="shared" si="10"/>
        <v>1.1968007025524585E-3</v>
      </c>
      <c r="AD29" s="19">
        <f t="shared" si="10"/>
        <v>-9.0778027671092332E-3</v>
      </c>
      <c r="AE29" s="19">
        <f t="shared" si="11"/>
        <v>2.7524039219914975E-3</v>
      </c>
      <c r="AF29" s="19">
        <f t="shared" si="11"/>
        <v>-1.0526785084802093E-2</v>
      </c>
      <c r="AG29" s="19">
        <f t="shared" si="12"/>
        <v>-3.9050946554208821E-5</v>
      </c>
      <c r="AH29" s="19">
        <f t="shared" si="13"/>
        <v>1.0786906857989109E-3</v>
      </c>
      <c r="AI29" s="19">
        <f t="shared" si="14"/>
        <v>4.6057669894570274E-3</v>
      </c>
      <c r="AJ29" s="19">
        <f t="shared" si="15"/>
        <v>-1.1791749438598842E-3</v>
      </c>
      <c r="AK29" s="19">
        <f t="shared" si="16"/>
        <v>-5.8623193899265402E-6</v>
      </c>
      <c r="AL29" s="19">
        <f t="shared" si="16"/>
        <v>3.6627537829008183E-3</v>
      </c>
      <c r="AM29" s="19">
        <f t="shared" si="17"/>
        <v>6.0168177389874344E-4</v>
      </c>
      <c r="AN29" s="19">
        <f t="shared" si="18"/>
        <v>6.0034903838572795E-3</v>
      </c>
      <c r="AO29" s="19">
        <f t="shared" si="19"/>
        <v>-1.9649802980303832E-5</v>
      </c>
      <c r="AP29" s="19">
        <f t="shared" si="20"/>
        <v>3.9666464212961827E-4</v>
      </c>
      <c r="AQ29" s="19">
        <f t="shared" si="20"/>
        <v>8.1556182248250231E-3</v>
      </c>
      <c r="AR29" s="19">
        <f t="shared" si="20"/>
        <v>1.2080600319212209E-2</v>
      </c>
      <c r="AS29" s="19">
        <f t="shared" si="21"/>
        <v>9.392047026722139E-3</v>
      </c>
      <c r="AT29" s="19">
        <f t="shared" si="22"/>
        <v>4.1838830252949322E-4</v>
      </c>
      <c r="AU29" s="60" t="s">
        <v>30</v>
      </c>
      <c r="AV29" s="19">
        <f t="shared" si="23"/>
        <v>2.0285385499363429E-5</v>
      </c>
      <c r="AW29" s="19">
        <f t="shared" si="24"/>
        <v>4.0440156222398826E-4</v>
      </c>
      <c r="AX29" s="19">
        <f t="shared" si="25"/>
        <v>-4.8171738449909185E-4</v>
      </c>
      <c r="AY29" s="19">
        <f t="shared" si="26"/>
        <v>2.6925388305798492E-3</v>
      </c>
      <c r="AZ29" s="19">
        <f t="shared" si="27"/>
        <v>1.9050089548224847E-3</v>
      </c>
      <c r="BA29" s="19">
        <f t="shared" si="28"/>
        <v>0</v>
      </c>
      <c r="BB29" s="19">
        <f t="shared" si="29"/>
        <v>0</v>
      </c>
      <c r="BC29" s="19">
        <f t="shared" si="30"/>
        <v>4.4611896230906112E-4</v>
      </c>
      <c r="BD29" s="19">
        <f t="shared" si="31"/>
        <v>1.2989069918392104E-3</v>
      </c>
      <c r="BE29" s="19">
        <f t="shared" si="32"/>
        <v>1.0036604278345074E-3</v>
      </c>
      <c r="BF29" s="19">
        <f t="shared" si="33"/>
        <v>5.2264284970715558E-3</v>
      </c>
      <c r="BG29" s="19">
        <f t="shared" si="33"/>
        <v>3.7909889723701795E-3</v>
      </c>
      <c r="BH29" s="19">
        <f t="shared" si="56"/>
        <v>8.7992450112173159E-3</v>
      </c>
      <c r="BI29" s="19">
        <f t="shared" si="57"/>
        <v>6.0568687287214651E-3</v>
      </c>
      <c r="BJ29" s="19">
        <f t="shared" si="35"/>
        <v>4.7604629853479352E-3</v>
      </c>
      <c r="BK29" s="19">
        <f t="shared" si="36"/>
        <v>-1.9087249697293807E-3</v>
      </c>
      <c r="BL29" s="19">
        <f t="shared" si="45"/>
        <v>1.8523452142109598E-3</v>
      </c>
      <c r="BM29" s="19">
        <f t="shared" si="45"/>
        <v>6.3160104206350098E-4</v>
      </c>
      <c r="BN29" s="19">
        <f t="shared" si="45"/>
        <v>-1.4387007478298131E-3</v>
      </c>
      <c r="BO29" s="19">
        <f t="shared" si="45"/>
        <v>-1.5816502424126355E-3</v>
      </c>
      <c r="BP29" s="19">
        <f t="shared" si="58"/>
        <v>7.273840725976477E-4</v>
      </c>
      <c r="BQ29" s="19">
        <f t="shared" si="58"/>
        <v>-1.862662495879519E-3</v>
      </c>
      <c r="BR29" s="19">
        <f t="shared" si="58"/>
        <v>-1.2539738913557308E-3</v>
      </c>
      <c r="BS29" s="19">
        <f t="shared" si="38"/>
        <v>2.477236462681276E-4</v>
      </c>
      <c r="BT29" s="19">
        <f t="shared" si="46"/>
        <v>2.0184493489483479E-3</v>
      </c>
      <c r="BU29" s="19">
        <f t="shared" si="59"/>
        <v>-2.1221042547749924E-3</v>
      </c>
      <c r="BV29" s="19">
        <f t="shared" si="60"/>
        <v>-7.0939120343949114E-4</v>
      </c>
      <c r="BW29" s="19">
        <f t="shared" si="40"/>
        <v>-2.1639660127195093E-3</v>
      </c>
      <c r="BX29" s="19">
        <f t="shared" si="41"/>
        <v>4.3563740611229917E-3</v>
      </c>
      <c r="BY29" s="19">
        <f t="shared" si="41"/>
        <v>4.613761036603492E-3</v>
      </c>
      <c r="BZ29" s="19">
        <f t="shared" si="41"/>
        <v>1.7937150896822907E-3</v>
      </c>
      <c r="CA29" s="19">
        <f t="shared" si="41"/>
        <v>3.5560732632688996E-4</v>
      </c>
      <c r="CB29" s="19">
        <f t="shared" si="42"/>
        <v>1.6971504911644786E-3</v>
      </c>
      <c r="CC29" s="19">
        <f t="shared" si="42"/>
        <v>4.4795117241904769E-3</v>
      </c>
      <c r="CD29" s="19">
        <f t="shared" si="42"/>
        <v>-3.3620315029665448E-3</v>
      </c>
      <c r="CE29" s="65"/>
      <c r="CG29" s="20">
        <f t="shared" si="47"/>
        <v>2.7430879172670322</v>
      </c>
      <c r="CH29" s="20">
        <f>'60000CST'!AS18</f>
        <v>2.8474380997630395</v>
      </c>
      <c r="CI29" s="20">
        <f>'60000CST'!AT18</f>
        <v>2.8279737744730058</v>
      </c>
      <c r="CJ29" s="20">
        <f>'60000CST'!AU18</f>
        <v>2.823419188628983</v>
      </c>
      <c r="CK29" s="20">
        <f>'60000CST'!AV18</f>
        <v>2.7866205044563097</v>
      </c>
      <c r="CL29" s="20">
        <f>'60000CST'!AW18</f>
        <v>2.7623480261294073</v>
      </c>
      <c r="CM29" s="20">
        <f>'60000CST'!AX18</f>
        <v>2.7098363937806398</v>
      </c>
      <c r="CN29" s="20">
        <f>'60000CST'!AY18</f>
        <v>2.7081604655944971</v>
      </c>
      <c r="CO29" s="20">
        <f>'60000CST'!AZ18</f>
        <v>2.7053384927438513</v>
      </c>
      <c r="CP29" s="20">
        <f>'60000CST'!BA18</f>
        <v>2.7050405517233975</v>
      </c>
      <c r="CQ29" s="20">
        <f>'60000CST'!BB18</f>
        <v>2.7070324765478184</v>
      </c>
      <c r="CR29" s="20">
        <f>'60000CST'!BC18</f>
        <v>2.7037481216304822</v>
      </c>
      <c r="CS29" s="20">
        <f>'60000CST'!BD18</f>
        <v>2.707815378469633</v>
      </c>
      <c r="CT29" s="20">
        <f>'60000CST'!BE18</f>
        <v>2.715845102600901</v>
      </c>
      <c r="CU29" s="20">
        <f>'60000CST'!BF18</f>
        <v>2.7234611591617313</v>
      </c>
      <c r="CV29" s="20">
        <f>'60000CST'!BG18</f>
        <v>2.7225942660261113</v>
      </c>
      <c r="CW29" s="20">
        <f>'60000CST'!BH18</f>
        <v>2.7414862599840211</v>
      </c>
      <c r="CX29" s="20">
        <f>'60000CST'!BI18</f>
        <v>2.7511461637979631</v>
      </c>
      <c r="CY29" s="20">
        <f>'60000CST'!BJ18</f>
        <v>2.7467115739352699</v>
      </c>
      <c r="CZ29" s="20">
        <f>'60000CST'!BK18</f>
        <v>2.7586648268425318</v>
      </c>
      <c r="DA29" s="20">
        <f>'60000CST'!BL18</f>
        <v>2.7624237470410336</v>
      </c>
      <c r="DB29" s="20">
        <f>'60000CST'!BM18</f>
        <v>2.7542426285123045</v>
      </c>
      <c r="DC29" s="20">
        <f>'60000CST'!BN18</f>
        <v>2.7506454362027983</v>
      </c>
      <c r="DD29" s="20">
        <f>'60000CST'!BO18</f>
        <v>2.7511939869912809</v>
      </c>
      <c r="DE29" s="20">
        <f>'60000CST'!BP18</f>
        <v>2.742313241312365</v>
      </c>
      <c r="DF29" s="20">
        <f>'60000CST'!BQ18</f>
        <v>2.742313241312365</v>
      </c>
      <c r="DG29" s="20">
        <f>'60000CST'!BR18</f>
        <v>2.7495105400419613</v>
      </c>
      <c r="DH29" s="20">
        <f>'60000CST'!BS18</f>
        <v>2.7483137393394088</v>
      </c>
      <c r="DI29" s="20">
        <f>'60000CST'!BT18</f>
        <v>2.757391542106518</v>
      </c>
      <c r="DJ29" s="20">
        <f>'60000CST'!BU18</f>
        <v>2.7546391381845265</v>
      </c>
      <c r="DK29" s="20">
        <f>'60000CST'!BV18</f>
        <v>2.7651659232693286</v>
      </c>
      <c r="DL29" s="20">
        <f>'60000CST'!BW18</f>
        <v>2.7652049742158828</v>
      </c>
      <c r="DM29" s="20">
        <f>'60000CST'!BX18</f>
        <v>2.7641262835300839</v>
      </c>
      <c r="DN29" s="20">
        <f>'60000CST'!BY18</f>
        <v>2.7595205165406269</v>
      </c>
      <c r="DO29" s="20">
        <f>'60000CST'!BZ18</f>
        <v>2.7606996914844868</v>
      </c>
      <c r="DP29" s="20">
        <f>'60000CST'!CA18</f>
        <v>2.7607055538038767</v>
      </c>
      <c r="DQ29" s="20">
        <f>'60000CST'!CB18</f>
        <v>2.7570428000209759</v>
      </c>
      <c r="DR29" s="20">
        <f>'60000CST'!CC18</f>
        <v>2.7564411182470772</v>
      </c>
      <c r="DS29" s="20">
        <f>'60000CST'!CD18</f>
        <v>2.7504376278632199</v>
      </c>
      <c r="DT29" s="20">
        <f>'60000CST'!CE18</f>
        <v>2.7504572776662002</v>
      </c>
      <c r="DU29" s="20">
        <f>'60000CST'!CF18</f>
        <v>2.7500606130240706</v>
      </c>
      <c r="DV29" s="20">
        <f>'60000CST'!CG18</f>
        <v>2.7419049947992455</v>
      </c>
      <c r="DW29" s="20">
        <f>'60000CST'!CH18</f>
        <v>2.7298243944800333</v>
      </c>
      <c r="DX29" s="20">
        <f>'60000CST'!CI18</f>
        <v>2.7204323474533112</v>
      </c>
      <c r="DY29" s="20">
        <f>'60000CST'!CJ18</f>
        <v>2.7200139591507817</v>
      </c>
      <c r="DZ29" s="20">
        <f>'60000CST'!CK18</f>
        <v>2.7199936737652823</v>
      </c>
      <c r="EA29" s="20">
        <f>'60000CST'!CL18</f>
        <v>2.7195892722030583</v>
      </c>
      <c r="EB29" s="20">
        <f>'60000CST'!CM18</f>
        <v>2.7200709895875574</v>
      </c>
      <c r="EC29" s="20">
        <f>'60000CST'!CN18</f>
        <v>2.7173784507569776</v>
      </c>
      <c r="ED29" s="20">
        <f>'60000CST'!CO18</f>
        <v>2.7154734418021551</v>
      </c>
      <c r="EE29" s="20">
        <f>'60000CST'!CP18</f>
        <v>2.7154734418021551</v>
      </c>
      <c r="EF29" s="20">
        <f>'60000CST'!CQ18</f>
        <v>2.7154734418021551</v>
      </c>
      <c r="EG29" s="20">
        <f>'60000CST'!CR18</f>
        <v>2.715027322839846</v>
      </c>
      <c r="EH29" s="20">
        <f>'60000CST'!CS18</f>
        <v>2.7137284158480068</v>
      </c>
      <c r="EI29" s="20">
        <f>'60000CST'!CT18</f>
        <v>2.7127247554201723</v>
      </c>
      <c r="EJ29" s="20">
        <f>'60000CST'!CU18</f>
        <v>2.7074983269231008</v>
      </c>
      <c r="EK29" s="20">
        <f>'60000CST'!CV18</f>
        <v>2.7037073379507306</v>
      </c>
      <c r="EL29" s="20">
        <f>'60000CST'!CW18</f>
        <v>2.6949080929395133</v>
      </c>
      <c r="EM29" s="20">
        <f>'60000CST'!CX18</f>
        <v>2.6888512242107918</v>
      </c>
      <c r="EN29" s="20">
        <f>'60000CST'!CY18</f>
        <v>2.6840907612254439</v>
      </c>
      <c r="EO29" s="20">
        <f>'60000CST'!CZ18</f>
        <v>2.6859994861951733</v>
      </c>
      <c r="EP29" s="20">
        <f>'60000CST'!DA18</f>
        <v>2.6841471409809623</v>
      </c>
      <c r="EQ29" s="20">
        <f>'60000CST'!DB18</f>
        <v>2.6835155399388988</v>
      </c>
      <c r="ER29" s="20">
        <f>'60000CST'!DC18</f>
        <v>2.6849542406867286</v>
      </c>
      <c r="ES29" s="20">
        <f>'60000CST'!DD18</f>
        <v>2.6865358909291412</v>
      </c>
      <c r="ET29" s="20">
        <f>'60000CST'!DE18</f>
        <v>2.6858085068565436</v>
      </c>
      <c r="EU29" s="20">
        <f>'60000CST'!DF18</f>
        <v>2.6876711693524231</v>
      </c>
      <c r="EV29" s="20">
        <f>'60000CST'!DG18</f>
        <v>2.6889251432437788</v>
      </c>
      <c r="EW29" s="20">
        <f>'60000CST'!DH18</f>
        <v>2.6886774195975107</v>
      </c>
      <c r="EX29" s="20">
        <f>'60000CST'!DI18</f>
        <v>2.6866589702485624</v>
      </c>
      <c r="EY29" s="20">
        <f>'60000CST'!DJ18</f>
        <v>2.6887810745033374</v>
      </c>
      <c r="EZ29" s="20">
        <f>'60000CST'!DK18</f>
        <v>2.6894904657067769</v>
      </c>
      <c r="FA29" s="20">
        <f>'60000CST'!DL18</f>
        <v>2.6916544317194964</v>
      </c>
      <c r="FB29" s="20">
        <f>'60000CST'!DM18</f>
        <v>2.6872980576583734</v>
      </c>
      <c r="FC29" s="20">
        <f>'60000CST'!DN18</f>
        <v>2.6826842966217699</v>
      </c>
      <c r="FD29" s="20">
        <f>'60000CST'!DO18</f>
        <v>2.6808905815320876</v>
      </c>
      <c r="FE29" s="20">
        <f>'60000CST'!DP18</f>
        <v>2.6805349742057607</v>
      </c>
      <c r="FF29" s="20">
        <f>'60000CST'!DQ18</f>
        <v>2.6788378237145962</v>
      </c>
      <c r="FG29" s="20">
        <f>'60000CST'!DR18</f>
        <v>2.6743583119904057</v>
      </c>
      <c r="FH29" s="20">
        <f>'60000CST'!DS18</f>
        <v>2.6777203434933723</v>
      </c>
    </row>
    <row r="30" spans="1:164">
      <c r="A30" s="8" t="s">
        <v>212</v>
      </c>
      <c r="B30" s="263" t="s">
        <v>231</v>
      </c>
      <c r="C30" s="19">
        <f t="shared" si="48"/>
        <v>-6.865384615384662E-2</v>
      </c>
      <c r="D30" s="19">
        <f t="shared" si="49"/>
        <v>-3.0000000000001137E-3</v>
      </c>
      <c r="E30" s="19">
        <f t="shared" si="50"/>
        <v>3.2000000000000917E-3</v>
      </c>
      <c r="F30" s="19">
        <f t="shared" si="51"/>
        <v>2.9300000000000104E-2</v>
      </c>
      <c r="G30" s="19">
        <f t="shared" si="52"/>
        <v>1.5000000000000568E-3</v>
      </c>
      <c r="H30" s="19">
        <f t="shared" si="53"/>
        <v>1.5999999999999792E-2</v>
      </c>
      <c r="I30" s="19">
        <f t="shared" si="54"/>
        <v>0</v>
      </c>
      <c r="J30" s="19">
        <f t="shared" si="54"/>
        <v>3.0000000000000027E-2</v>
      </c>
      <c r="K30" s="19">
        <f t="shared" si="44"/>
        <v>0</v>
      </c>
      <c r="L30" s="19">
        <f t="shared" si="1"/>
        <v>1.0000000000000009E-2</v>
      </c>
      <c r="M30" s="19">
        <f t="shared" si="2"/>
        <v>0</v>
      </c>
      <c r="N30" s="19">
        <f t="shared" si="3"/>
        <v>0</v>
      </c>
      <c r="O30" s="19">
        <f t="shared" si="4"/>
        <v>0</v>
      </c>
      <c r="P30" s="19">
        <f t="shared" si="5"/>
        <v>0</v>
      </c>
      <c r="Q30" s="19">
        <f t="shared" si="5"/>
        <v>-2.0000000000000018E-2</v>
      </c>
      <c r="R30" s="19">
        <f t="shared" si="6"/>
        <v>0</v>
      </c>
      <c r="S30" s="19">
        <f t="shared" si="7"/>
        <v>0</v>
      </c>
      <c r="T30" s="19">
        <f t="shared" si="8"/>
        <v>0</v>
      </c>
      <c r="U30" s="19">
        <f t="shared" si="8"/>
        <v>0</v>
      </c>
      <c r="V30" s="19">
        <f t="shared" si="8"/>
        <v>0</v>
      </c>
      <c r="W30" s="19">
        <f t="shared" si="8"/>
        <v>0</v>
      </c>
      <c r="X30" s="19">
        <f t="shared" si="55"/>
        <v>0</v>
      </c>
      <c r="Y30" s="19">
        <f t="shared" si="55"/>
        <v>0</v>
      </c>
      <c r="Z30" s="19">
        <f t="shared" si="9"/>
        <v>4.0000000000000036E-3</v>
      </c>
      <c r="AA30" s="19">
        <f t="shared" si="10"/>
        <v>0</v>
      </c>
      <c r="AB30" s="19">
        <f t="shared" si="10"/>
        <v>0</v>
      </c>
      <c r="AC30" s="19">
        <f t="shared" si="10"/>
        <v>0</v>
      </c>
      <c r="AD30" s="19">
        <f t="shared" si="10"/>
        <v>0</v>
      </c>
      <c r="AE30" s="19">
        <f t="shared" si="11"/>
        <v>0</v>
      </c>
      <c r="AF30" s="19">
        <f t="shared" si="11"/>
        <v>0</v>
      </c>
      <c r="AG30" s="19">
        <f t="shared" si="12"/>
        <v>0</v>
      </c>
      <c r="AH30" s="19">
        <f t="shared" si="13"/>
        <v>0</v>
      </c>
      <c r="AI30" s="19">
        <f t="shared" si="14"/>
        <v>0</v>
      </c>
      <c r="AJ30" s="19">
        <f t="shared" si="15"/>
        <v>-2.0000000000000018E-3</v>
      </c>
      <c r="AK30" s="19">
        <f t="shared" si="16"/>
        <v>0</v>
      </c>
      <c r="AL30" s="19">
        <f t="shared" si="16"/>
        <v>0</v>
      </c>
      <c r="AM30" s="19">
        <f t="shared" si="17"/>
        <v>0</v>
      </c>
      <c r="AN30" s="19">
        <f t="shared" si="18"/>
        <v>0</v>
      </c>
      <c r="AO30" s="19">
        <f t="shared" si="19"/>
        <v>0</v>
      </c>
      <c r="AP30" s="19">
        <f t="shared" si="20"/>
        <v>0</v>
      </c>
      <c r="AQ30" s="19">
        <f t="shared" si="20"/>
        <v>0</v>
      </c>
      <c r="AR30" s="19">
        <f t="shared" si="20"/>
        <v>0</v>
      </c>
      <c r="AS30" s="19">
        <f t="shared" si="21"/>
        <v>0</v>
      </c>
      <c r="AT30" s="19">
        <f t="shared" si="22"/>
        <v>0</v>
      </c>
      <c r="AU30" s="60" t="s">
        <v>40</v>
      </c>
      <c r="AV30" s="19">
        <f t="shared" si="23"/>
        <v>0</v>
      </c>
      <c r="AW30" s="19">
        <f t="shared" si="24"/>
        <v>0</v>
      </c>
      <c r="AX30" s="19">
        <f t="shared" si="25"/>
        <v>0</v>
      </c>
      <c r="AY30" s="19">
        <f t="shared" si="26"/>
        <v>0</v>
      </c>
      <c r="AZ30" s="19">
        <f t="shared" si="27"/>
        <v>0</v>
      </c>
      <c r="BA30" s="19">
        <f t="shared" si="28"/>
        <v>0</v>
      </c>
      <c r="BB30" s="19">
        <f t="shared" si="29"/>
        <v>0</v>
      </c>
      <c r="BC30" s="19">
        <f t="shared" si="30"/>
        <v>1.8000000000000016E-2</v>
      </c>
      <c r="BD30" s="19">
        <f t="shared" si="31"/>
        <v>0</v>
      </c>
      <c r="BE30" s="19">
        <f t="shared" si="32"/>
        <v>0</v>
      </c>
      <c r="BF30" s="19">
        <f t="shared" si="33"/>
        <v>0</v>
      </c>
      <c r="BG30" s="19">
        <f t="shared" si="33"/>
        <v>0</v>
      </c>
      <c r="BH30" s="19">
        <f t="shared" si="56"/>
        <v>0</v>
      </c>
      <c r="BI30" s="19">
        <f t="shared" si="57"/>
        <v>0</v>
      </c>
      <c r="BJ30" s="19">
        <f t="shared" si="35"/>
        <v>0</v>
      </c>
      <c r="BK30" s="19">
        <f t="shared" si="36"/>
        <v>0</v>
      </c>
      <c r="BL30" s="19">
        <f t="shared" si="45"/>
        <v>0</v>
      </c>
      <c r="BM30" s="19">
        <f t="shared" si="45"/>
        <v>0</v>
      </c>
      <c r="BN30" s="19">
        <f t="shared" si="45"/>
        <v>0</v>
      </c>
      <c r="BO30" s="19">
        <f t="shared" si="45"/>
        <v>0</v>
      </c>
      <c r="BP30" s="19">
        <f t="shared" si="58"/>
        <v>0</v>
      </c>
      <c r="BQ30" s="19">
        <f t="shared" si="58"/>
        <v>1.2000000000000011E-2</v>
      </c>
      <c r="BR30" s="19">
        <f t="shared" si="58"/>
        <v>0</v>
      </c>
      <c r="BS30" s="19">
        <f t="shared" si="38"/>
        <v>0</v>
      </c>
      <c r="BT30" s="19">
        <f t="shared" si="46"/>
        <v>0</v>
      </c>
      <c r="BU30" s="19">
        <f t="shared" si="59"/>
        <v>0</v>
      </c>
      <c r="BV30" s="19">
        <f t="shared" si="60"/>
        <v>0</v>
      </c>
      <c r="BW30" s="19">
        <f t="shared" si="40"/>
        <v>-1.2000000000000011E-2</v>
      </c>
      <c r="BX30" s="19">
        <f t="shared" si="41"/>
        <v>0</v>
      </c>
      <c r="BY30" s="19">
        <f t="shared" si="41"/>
        <v>0</v>
      </c>
      <c r="BZ30" s="19">
        <f t="shared" si="41"/>
        <v>0</v>
      </c>
      <c r="CA30" s="19">
        <f t="shared" si="41"/>
        <v>0</v>
      </c>
      <c r="CB30" s="19">
        <f t="shared" si="42"/>
        <v>0</v>
      </c>
      <c r="CC30" s="19">
        <f t="shared" si="42"/>
        <v>0</v>
      </c>
      <c r="CD30" s="19">
        <f t="shared" si="42"/>
        <v>0</v>
      </c>
      <c r="CE30" s="65"/>
      <c r="CG30" s="20">
        <f t="shared" si="47"/>
        <v>1.6083461538461534</v>
      </c>
      <c r="CH30" s="20">
        <f>CMIT!AS18</f>
        <v>1.677</v>
      </c>
      <c r="CI30" s="20">
        <f>CMIT!AT18</f>
        <v>1.6800000000000002</v>
      </c>
      <c r="CJ30" s="20">
        <f>CMIT!AU18</f>
        <v>1.6768000000000001</v>
      </c>
      <c r="CK30" s="20">
        <f>CMIT!AV18</f>
        <v>1.6475</v>
      </c>
      <c r="CL30" s="20">
        <f>CMIT!AW18</f>
        <v>1.6459999999999999</v>
      </c>
      <c r="CM30" s="20">
        <f>CMIT!AX18</f>
        <v>1.6300000000000001</v>
      </c>
      <c r="CN30" s="20">
        <f>CMIT!AY18</f>
        <v>1.6300000000000001</v>
      </c>
      <c r="CO30" s="20">
        <f>CMIT!AZ18</f>
        <v>1.6</v>
      </c>
      <c r="CP30" s="20">
        <f>CMIT!BA18</f>
        <v>1.6</v>
      </c>
      <c r="CQ30" s="20">
        <f>CMIT!BB18</f>
        <v>1.59</v>
      </c>
      <c r="CR30" s="20">
        <f>CMIT!BC18</f>
        <v>1.59</v>
      </c>
      <c r="CS30" s="20">
        <f>CMIT!BD18</f>
        <v>1.59</v>
      </c>
      <c r="CT30" s="20">
        <f>CMIT!BE18</f>
        <v>1.59</v>
      </c>
      <c r="CU30" s="20">
        <f>CMIT!BF18</f>
        <v>1.59</v>
      </c>
      <c r="CV30" s="20">
        <f>CMIT!BG18</f>
        <v>1.61</v>
      </c>
      <c r="CW30" s="20">
        <f>CMIT!BH18</f>
        <v>1.61</v>
      </c>
      <c r="CX30" s="20">
        <f>CMIT!BI18</f>
        <v>1.61</v>
      </c>
      <c r="CY30" s="20">
        <f>CMIT!BJ18</f>
        <v>1.61</v>
      </c>
      <c r="CZ30" s="20">
        <f>CMIT!BK18</f>
        <v>1.61</v>
      </c>
      <c r="DA30" s="20">
        <f>CMIT!BL18</f>
        <v>1.61</v>
      </c>
      <c r="DB30" s="20">
        <f>CMIT!BM18</f>
        <v>1.61</v>
      </c>
      <c r="DC30" s="20">
        <f>CMIT!BN18</f>
        <v>1.61</v>
      </c>
      <c r="DD30" s="20">
        <f>CMIT!BO18</f>
        <v>1.61</v>
      </c>
      <c r="DE30" s="20">
        <f>CMIT!BP18</f>
        <v>1.6060000000000001</v>
      </c>
      <c r="DF30" s="20">
        <f>CMIT!BQ18</f>
        <v>1.6060000000000001</v>
      </c>
      <c r="DG30" s="20">
        <f>CMIT!BR18</f>
        <v>1.6060000000000001</v>
      </c>
      <c r="DH30" s="20">
        <f>CMIT!BS18</f>
        <v>1.6060000000000001</v>
      </c>
      <c r="DI30" s="20">
        <f>CMIT!BT18</f>
        <v>1.6060000000000001</v>
      </c>
      <c r="DJ30" s="20">
        <f>CMIT!BU18</f>
        <v>1.6060000000000001</v>
      </c>
      <c r="DK30" s="20">
        <f>CMIT!BV18</f>
        <v>1.6060000000000001</v>
      </c>
      <c r="DL30" s="20">
        <f>CMIT!BW18</f>
        <v>1.6060000000000001</v>
      </c>
      <c r="DM30" s="20">
        <f>CMIT!BX18</f>
        <v>1.6060000000000001</v>
      </c>
      <c r="DN30" s="20">
        <f>CMIT!BY18</f>
        <v>1.6060000000000001</v>
      </c>
      <c r="DO30" s="20">
        <f>CMIT!BZ18</f>
        <v>1.6080000000000001</v>
      </c>
      <c r="DP30" s="20">
        <f>CMIT!CA18</f>
        <v>1.6080000000000001</v>
      </c>
      <c r="DQ30" s="20">
        <f>CMIT!CB18</f>
        <v>1.6080000000000001</v>
      </c>
      <c r="DR30" s="20">
        <f>CMIT!CC18</f>
        <v>1.6080000000000001</v>
      </c>
      <c r="DS30" s="20">
        <f>CMIT!CD18</f>
        <v>1.6080000000000001</v>
      </c>
      <c r="DT30" s="20">
        <f>CMIT!CE18</f>
        <v>1.6080000000000001</v>
      </c>
      <c r="DU30" s="20">
        <f>CMIT!CF18</f>
        <v>1.6080000000000001</v>
      </c>
      <c r="DV30" s="20">
        <f>CMIT!CG18</f>
        <v>1.6080000000000001</v>
      </c>
      <c r="DW30" s="20">
        <f>CMIT!CH18</f>
        <v>1.6080000000000001</v>
      </c>
      <c r="DX30" s="20">
        <f>CMIT!CI18</f>
        <v>1.6080000000000001</v>
      </c>
      <c r="DY30" s="20">
        <f>CMIT!CJ18</f>
        <v>1.6080000000000001</v>
      </c>
      <c r="DZ30" s="20">
        <f>CMIT!CK18</f>
        <v>1.6080000000000001</v>
      </c>
      <c r="EA30" s="20">
        <f>CMIT!CL18</f>
        <v>1.6080000000000001</v>
      </c>
      <c r="EB30" s="20">
        <f>CMIT!CM18</f>
        <v>1.6080000000000001</v>
      </c>
      <c r="EC30" s="20">
        <f>CMIT!CN18</f>
        <v>1.6080000000000001</v>
      </c>
      <c r="ED30" s="20">
        <f>CMIT!CO18</f>
        <v>1.6080000000000001</v>
      </c>
      <c r="EE30" s="20">
        <f>CMIT!CP18</f>
        <v>1.6080000000000001</v>
      </c>
      <c r="EF30" s="20">
        <f>CMIT!CQ18</f>
        <v>1.6080000000000001</v>
      </c>
      <c r="EG30" s="20">
        <f>CMIT!CR18</f>
        <v>1.59</v>
      </c>
      <c r="EH30" s="20">
        <f>CMIT!CS18</f>
        <v>1.59</v>
      </c>
      <c r="EI30" s="20">
        <f>CMIT!CT18</f>
        <v>1.59</v>
      </c>
      <c r="EJ30" s="20">
        <f>CMIT!CU18</f>
        <v>1.59</v>
      </c>
      <c r="EK30" s="20">
        <f>CMIT!CV18</f>
        <v>1.59</v>
      </c>
      <c r="EL30" s="20">
        <f>CMIT!CW18</f>
        <v>1.59</v>
      </c>
      <c r="EM30" s="20">
        <f>CMIT!CX18</f>
        <v>1.59</v>
      </c>
      <c r="EN30" s="20">
        <f>CMIT!CY18</f>
        <v>1.59</v>
      </c>
      <c r="EO30" s="20">
        <f>CMIT!CZ18</f>
        <v>1.59</v>
      </c>
      <c r="EP30" s="20">
        <f>CMIT!DA18</f>
        <v>1.59</v>
      </c>
      <c r="EQ30" s="20">
        <f>CMIT!DB18</f>
        <v>1.59</v>
      </c>
      <c r="ER30" s="20">
        <f>CMIT!DC18</f>
        <v>1.59</v>
      </c>
      <c r="ES30" s="20">
        <f>CMIT!DD18</f>
        <v>1.59</v>
      </c>
      <c r="ET30" s="20">
        <f>CMIT!DE18</f>
        <v>1.59</v>
      </c>
      <c r="EU30" s="20">
        <f>CMIT!DF18</f>
        <v>1.5780000000000001</v>
      </c>
      <c r="EV30" s="20">
        <f>CMIT!DG18</f>
        <v>1.5780000000000001</v>
      </c>
      <c r="EW30" s="20">
        <f>CMIT!DH18</f>
        <v>1.5780000000000001</v>
      </c>
      <c r="EX30" s="20">
        <f>CMIT!DI18</f>
        <v>1.5780000000000001</v>
      </c>
      <c r="EY30" s="20">
        <f>CMIT!DJ18</f>
        <v>1.5780000000000001</v>
      </c>
      <c r="EZ30" s="20">
        <f>CMIT!DK18</f>
        <v>1.5780000000000001</v>
      </c>
      <c r="FA30" s="20">
        <f>CMIT!DL18</f>
        <v>1.59</v>
      </c>
      <c r="FB30" s="20">
        <f>CMIT!DM18</f>
        <v>1.59</v>
      </c>
      <c r="FC30" s="20">
        <f>CMIT!DN18</f>
        <v>1.59</v>
      </c>
      <c r="FD30" s="20">
        <f>CMIT!DO18</f>
        <v>1.59</v>
      </c>
      <c r="FE30" s="20">
        <f>CMIT!DP18</f>
        <v>1.59</v>
      </c>
      <c r="FF30" s="20">
        <f>CMIT!DQ18</f>
        <v>1.59</v>
      </c>
      <c r="FG30" s="20">
        <f>CMIT!DR18</f>
        <v>1.59</v>
      </c>
      <c r="FH30" s="20">
        <f>CMIT!DS18</f>
        <v>1.59</v>
      </c>
    </row>
    <row r="31" spans="1:164">
      <c r="A31" s="8" t="s">
        <v>207</v>
      </c>
      <c r="B31" s="263" t="s">
        <v>232</v>
      </c>
      <c r="C31" s="19">
        <f t="shared" si="48"/>
        <v>-9.1059338089552133E-2</v>
      </c>
      <c r="D31" s="19">
        <f t="shared" si="49"/>
        <v>-7.3307684032581921E-3</v>
      </c>
      <c r="E31" s="19">
        <f t="shared" si="50"/>
        <v>1.6207838481635095E-2</v>
      </c>
      <c r="F31" s="19">
        <f t="shared" si="51"/>
        <v>-1.597347164591989E-2</v>
      </c>
      <c r="G31" s="19">
        <f t="shared" si="52"/>
        <v>2.7540970493314942E-2</v>
      </c>
      <c r="H31" s="19">
        <f t="shared" si="53"/>
        <v>4.2012267558014349E-2</v>
      </c>
      <c r="I31" s="19">
        <f t="shared" si="54"/>
        <v>3.0764177040110807E-2</v>
      </c>
      <c r="J31" s="19">
        <f t="shared" si="54"/>
        <v>9.694747963731265E-3</v>
      </c>
      <c r="K31" s="19">
        <f t="shared" si="44"/>
        <v>-4.6142615644688689E-3</v>
      </c>
      <c r="L31" s="19">
        <f t="shared" si="1"/>
        <v>9.2285231289379599E-3</v>
      </c>
      <c r="M31" s="19">
        <f t="shared" si="2"/>
        <v>2.7623236514522365E-3</v>
      </c>
      <c r="N31" s="19">
        <f t="shared" si="3"/>
        <v>-4.6941233287228989E-2</v>
      </c>
      <c r="O31" s="19">
        <f t="shared" si="4"/>
        <v>-1.1535653911172616E-2</v>
      </c>
      <c r="P31" s="19">
        <f t="shared" si="5"/>
        <v>-6.9213923467035254E-3</v>
      </c>
      <c r="Q31" s="19">
        <f t="shared" si="5"/>
        <v>-9.3133863531582595E-3</v>
      </c>
      <c r="R31" s="19">
        <f t="shared" si="6"/>
        <v>-5.7678269555863082E-3</v>
      </c>
      <c r="S31" s="19">
        <f t="shared" si="7"/>
        <v>-7.197076302443528E-2</v>
      </c>
      <c r="T31" s="19">
        <f t="shared" si="8"/>
        <v>-1.3842784693407051E-2</v>
      </c>
      <c r="U31" s="19">
        <f t="shared" si="8"/>
        <v>8.9228523128938031E-2</v>
      </c>
      <c r="V31" s="19">
        <f t="shared" si="8"/>
        <v>-2.8324831719686472E-2</v>
      </c>
      <c r="W31" s="19">
        <f t="shared" si="8"/>
        <v>2.4917012448132825E-2</v>
      </c>
      <c r="X31" s="19">
        <f t="shared" si="55"/>
        <v>1.6149915475641707E-2</v>
      </c>
      <c r="Y31" s="19">
        <f t="shared" si="55"/>
        <v>7.1434968495466489E-2</v>
      </c>
      <c r="Z31" s="19">
        <f t="shared" si="9"/>
        <v>9.2285231289379599E-3</v>
      </c>
      <c r="AA31" s="19">
        <f t="shared" si="10"/>
        <v>0</v>
      </c>
      <c r="AB31" s="19">
        <f t="shared" si="10"/>
        <v>0</v>
      </c>
      <c r="AC31" s="19">
        <f t="shared" si="10"/>
        <v>2.4021383125864437E-2</v>
      </c>
      <c r="AD31" s="19">
        <f t="shared" si="10"/>
        <v>-2.0764177040110576E-2</v>
      </c>
      <c r="AE31" s="19">
        <f t="shared" si="11"/>
        <v>1.3842784693407051E-2</v>
      </c>
      <c r="AF31" s="19">
        <f t="shared" si="11"/>
        <v>-1.1535653911172172E-3</v>
      </c>
      <c r="AG31" s="19">
        <f t="shared" si="12"/>
        <v>-8.3588481635161749E-3</v>
      </c>
      <c r="AH31" s="19">
        <f t="shared" si="13"/>
        <v>2.3071307822344345E-3</v>
      </c>
      <c r="AI31" s="19">
        <f t="shared" si="14"/>
        <v>0</v>
      </c>
      <c r="AJ31" s="19">
        <f t="shared" si="15"/>
        <v>-4.614261564469091E-3</v>
      </c>
      <c r="AK31" s="19">
        <f t="shared" si="16"/>
        <v>0</v>
      </c>
      <c r="AL31" s="19">
        <f t="shared" si="16"/>
        <v>-3.2299830951283415E-3</v>
      </c>
      <c r="AM31" s="19">
        <f t="shared" si="17"/>
        <v>2.0764177040111242E-3</v>
      </c>
      <c r="AN31" s="19">
        <f t="shared" si="18"/>
        <v>-3.4606961733518737E-3</v>
      </c>
      <c r="AO31" s="19">
        <f t="shared" si="19"/>
        <v>3.5747717842324889E-3</v>
      </c>
      <c r="AP31" s="19">
        <f t="shared" si="20"/>
        <v>0</v>
      </c>
      <c r="AQ31" s="19">
        <f t="shared" si="20"/>
        <v>3.60221522975257E-2</v>
      </c>
      <c r="AR31" s="19">
        <f t="shared" si="20"/>
        <v>4.4778323344090154E-3</v>
      </c>
      <c r="AS31" s="19">
        <f t="shared" si="21"/>
        <v>2.0137303672967732E-2</v>
      </c>
      <c r="AT31" s="19">
        <f t="shared" si="22"/>
        <v>-2.3071307822346565E-3</v>
      </c>
      <c r="AU31" s="60" t="s">
        <v>292</v>
      </c>
      <c r="AV31" s="19">
        <f t="shared" si="23"/>
        <v>0</v>
      </c>
      <c r="AW31" s="19">
        <f t="shared" si="24"/>
        <v>2.9112724757953679E-3</v>
      </c>
      <c r="AX31" s="19">
        <f t="shared" si="25"/>
        <v>0</v>
      </c>
      <c r="AY31" s="19">
        <f t="shared" si="26"/>
        <v>6.9213923467035254E-3</v>
      </c>
      <c r="AZ31" s="19">
        <f t="shared" si="27"/>
        <v>0</v>
      </c>
      <c r="BA31" s="19">
        <f t="shared" si="28"/>
        <v>0</v>
      </c>
      <c r="BB31" s="19">
        <f t="shared" si="29"/>
        <v>4.614261564469091E-3</v>
      </c>
      <c r="BC31" s="19">
        <f t="shared" si="30"/>
        <v>-2.3509051790380209E-3</v>
      </c>
      <c r="BD31" s="19">
        <f t="shared" si="31"/>
        <v>5.5739203934201953E-5</v>
      </c>
      <c r="BE31" s="19">
        <f t="shared" si="32"/>
        <v>2.3071307822346565E-3</v>
      </c>
      <c r="BF31" s="19">
        <f t="shared" si="33"/>
        <v>5.6991017365912722E-3</v>
      </c>
      <c r="BG31" s="19">
        <f t="shared" si="33"/>
        <v>1.1535653911174393E-3</v>
      </c>
      <c r="BH31" s="19">
        <f t="shared" si="56"/>
        <v>-2.342558782849391E-3</v>
      </c>
      <c r="BI31" s="19">
        <f t="shared" si="57"/>
        <v>-1.1535653911172172E-3</v>
      </c>
      <c r="BJ31" s="19">
        <f t="shared" si="35"/>
        <v>-6.7823659136314607E-3</v>
      </c>
      <c r="BK31" s="19">
        <f t="shared" si="36"/>
        <v>0</v>
      </c>
      <c r="BL31" s="19">
        <f t="shared" si="45"/>
        <v>0</v>
      </c>
      <c r="BM31" s="19">
        <f t="shared" si="45"/>
        <v>-3.2299830951283415E-3</v>
      </c>
      <c r="BN31" s="19">
        <f t="shared" si="45"/>
        <v>0</v>
      </c>
      <c r="BO31" s="19">
        <f t="shared" si="45"/>
        <v>4.614261564469091E-3</v>
      </c>
      <c r="BP31" s="19">
        <f t="shared" si="58"/>
        <v>0</v>
      </c>
      <c r="BQ31" s="19">
        <f t="shared" si="58"/>
        <v>9.2285231289368497E-4</v>
      </c>
      <c r="BR31" s="19">
        <f t="shared" si="58"/>
        <v>3.4606961733518737E-3</v>
      </c>
      <c r="BS31" s="19">
        <f t="shared" si="38"/>
        <v>3.1279253112033167E-2</v>
      </c>
      <c r="BT31" s="19">
        <f t="shared" si="46"/>
        <v>2.3071307822344345E-3</v>
      </c>
      <c r="BU31" s="19">
        <f t="shared" si="59"/>
        <v>1.1535653911174393E-3</v>
      </c>
      <c r="BV31" s="19">
        <f t="shared" si="60"/>
        <v>2.3071307822344345E-3</v>
      </c>
      <c r="BW31" s="19">
        <f t="shared" si="40"/>
        <v>1.1535653911172172E-3</v>
      </c>
      <c r="BX31" s="19">
        <f t="shared" si="41"/>
        <v>-1.8146250960503929E-2</v>
      </c>
      <c r="BY31" s="19">
        <f t="shared" si="41"/>
        <v>3.0756356231750326E-2</v>
      </c>
      <c r="BZ31" s="19">
        <f t="shared" si="41"/>
        <v>0</v>
      </c>
      <c r="CA31" s="19">
        <f t="shared" si="41"/>
        <v>0</v>
      </c>
      <c r="CB31" s="19">
        <f t="shared" si="42"/>
        <v>1.5592233748271012E-2</v>
      </c>
      <c r="CC31" s="19">
        <f t="shared" si="42"/>
        <v>1.1535653911174393E-3</v>
      </c>
      <c r="CD31" s="19">
        <f t="shared" si="42"/>
        <v>0</v>
      </c>
      <c r="CE31" s="65"/>
      <c r="CG31" s="20">
        <f t="shared" si="47"/>
        <v>1.3373770849932816</v>
      </c>
      <c r="CH31" s="20">
        <f>'Ethyl Acetoacetate'!AS19</f>
        <v>1.4284364230828337</v>
      </c>
      <c r="CI31" s="20">
        <f>'Ethyl Acetoacetate'!AT19</f>
        <v>1.4357671914860919</v>
      </c>
      <c r="CJ31" s="20">
        <f>'Ethyl Acetoacetate'!AU19</f>
        <v>1.4195593530044568</v>
      </c>
      <c r="CK31" s="20">
        <f>'Ethyl Acetoacetate'!AV19</f>
        <v>1.4355328246503767</v>
      </c>
      <c r="CL31" s="20">
        <f>'Ethyl Acetoacetate'!AW19</f>
        <v>1.4079918541570617</v>
      </c>
      <c r="CM31" s="20">
        <f>'Ethyl Acetoacetate'!AX19</f>
        <v>1.3659795865990474</v>
      </c>
      <c r="CN31" s="20">
        <f>'Ethyl Acetoacetate'!AY19</f>
        <v>1.3352154095589366</v>
      </c>
      <c r="CO31" s="20">
        <f>'Ethyl Acetoacetate'!AZ19</f>
        <v>1.3255206615952053</v>
      </c>
      <c r="CP31" s="20">
        <f>'Ethyl Acetoacetate'!BA19</f>
        <v>1.3301349231596742</v>
      </c>
      <c r="CQ31" s="20">
        <f>'Ethyl Acetoacetate'!BB19</f>
        <v>1.3209064000307362</v>
      </c>
      <c r="CR31" s="20">
        <f>'Ethyl Acetoacetate'!BC19</f>
        <v>1.318144076379284</v>
      </c>
      <c r="CS31" s="20">
        <f>'Ethyl Acetoacetate'!BD19</f>
        <v>1.365085309666513</v>
      </c>
      <c r="CT31" s="20">
        <f>'Ethyl Acetoacetate'!BE19</f>
        <v>1.3766209635776856</v>
      </c>
      <c r="CU31" s="20">
        <f>'Ethyl Acetoacetate'!BF19</f>
        <v>1.3835423559243891</v>
      </c>
      <c r="CV31" s="20">
        <f>'Ethyl Acetoacetate'!BG19</f>
        <v>1.3928557422775474</v>
      </c>
      <c r="CW31" s="20">
        <f>'Ethyl Acetoacetate'!BH19</f>
        <v>1.3986235692331337</v>
      </c>
      <c r="CX31" s="20">
        <f>'Ethyl Acetoacetate'!BI19</f>
        <v>1.470594332257569</v>
      </c>
      <c r="CY31" s="20">
        <f>'Ethyl Acetoacetate'!BJ19</f>
        <v>1.484437116950976</v>
      </c>
      <c r="CZ31" s="20">
        <f>'Ethyl Acetoacetate'!BK19</f>
        <v>1.395208593822038</v>
      </c>
      <c r="DA31" s="20">
        <f>'Ethyl Acetoacetate'!BL19</f>
        <v>1.4235334255417245</v>
      </c>
      <c r="DB31" s="20">
        <f>'Ethyl Acetoacetate'!BM19</f>
        <v>1.3986164130935916</v>
      </c>
      <c r="DC31" s="20">
        <f>'Ethyl Acetoacetate'!BN19</f>
        <v>1.3824664976179499</v>
      </c>
      <c r="DD31" s="20">
        <f>'Ethyl Acetoacetate'!BO19</f>
        <v>1.3110315291224834</v>
      </c>
      <c r="DE31" s="20">
        <f>'Ethyl Acetoacetate'!BP19</f>
        <v>1.3018030059935455</v>
      </c>
      <c r="DF31" s="20">
        <f>'Ethyl Acetoacetate'!BQ19</f>
        <v>1.3018030059935455</v>
      </c>
      <c r="DG31" s="20">
        <f>'Ethyl Acetoacetate'!BR19</f>
        <v>1.3018030059935455</v>
      </c>
      <c r="DH31" s="20">
        <f>'Ethyl Acetoacetate'!BS19</f>
        <v>1.277781622867681</v>
      </c>
      <c r="DI31" s="20">
        <f>'Ethyl Acetoacetate'!BT19</f>
        <v>1.2985457999077916</v>
      </c>
      <c r="DJ31" s="20">
        <f>'Ethyl Acetoacetate'!BU19</f>
        <v>1.2847030152143846</v>
      </c>
      <c r="DK31" s="20">
        <f>'Ethyl Acetoacetate'!BV19</f>
        <v>1.2858565806055018</v>
      </c>
      <c r="DL31" s="20">
        <f>'Ethyl Acetoacetate'!BW19</f>
        <v>1.294215428769018</v>
      </c>
      <c r="DM31" s="20">
        <f>'Ethyl Acetoacetate'!BX19</f>
        <v>1.2919082979867835</v>
      </c>
      <c r="DN31" s="20">
        <f>'Ethyl Acetoacetate'!BY19</f>
        <v>1.2919082979867835</v>
      </c>
      <c r="DO31" s="20">
        <f>'Ethyl Acetoacetate'!BZ19</f>
        <v>1.2965225595512526</v>
      </c>
      <c r="DP31" s="20">
        <f>'Ethyl Acetoacetate'!CA19</f>
        <v>1.2965225595512526</v>
      </c>
      <c r="DQ31" s="20">
        <f>'Ethyl Acetoacetate'!CB19</f>
        <v>1.299752542646381</v>
      </c>
      <c r="DR31" s="20">
        <f>'Ethyl Acetoacetate'!CC19</f>
        <v>1.2976761249423698</v>
      </c>
      <c r="DS31" s="20">
        <f>'Ethyl Acetoacetate'!CD19</f>
        <v>1.3011368211157217</v>
      </c>
      <c r="DT31" s="20">
        <f>'Ethyl Acetoacetate'!CE19</f>
        <v>1.2975620493314892</v>
      </c>
      <c r="DU31" s="20">
        <f>'Ethyl Acetoacetate'!CF19</f>
        <v>1.2975620493314892</v>
      </c>
      <c r="DV31" s="20">
        <f>'Ethyl Acetoacetate'!CG19</f>
        <v>1.2615398970339635</v>
      </c>
      <c r="DW31" s="20">
        <f>'Ethyl Acetoacetate'!CH19</f>
        <v>1.2570620646995545</v>
      </c>
      <c r="DX31" s="20">
        <f>'Ethyl Acetoacetate'!CI19</f>
        <v>1.2369247610265868</v>
      </c>
      <c r="DY31" s="20">
        <f>'Ethyl Acetoacetate'!CJ19</f>
        <v>1.2392318918088214</v>
      </c>
      <c r="DZ31" s="20">
        <f>'Ethyl Acetoacetate'!CK19</f>
        <v>1.2392318918088214</v>
      </c>
      <c r="EA31" s="20">
        <f>'Ethyl Acetoacetate'!CL19</f>
        <v>1.2363206193330261</v>
      </c>
      <c r="EB31" s="20">
        <f>'Ethyl Acetoacetate'!CM19</f>
        <v>1.2363206193330261</v>
      </c>
      <c r="EC31" s="20">
        <f>'Ethyl Acetoacetate'!CN19</f>
        <v>1.2293992269863225</v>
      </c>
      <c r="ED31" s="20">
        <f>'Ethyl Acetoacetate'!CO19</f>
        <v>1.2293992269863225</v>
      </c>
      <c r="EE31" s="20">
        <f>'Ethyl Acetoacetate'!CP19</f>
        <v>1.2293992269863225</v>
      </c>
      <c r="EF31" s="20">
        <f>'Ethyl Acetoacetate'!CQ19</f>
        <v>1.2247849654218534</v>
      </c>
      <c r="EG31" s="20">
        <f>'Ethyl Acetoacetate'!CR19</f>
        <v>1.2271358706008915</v>
      </c>
      <c r="EH31" s="20">
        <f>'Ethyl Acetoacetate'!CS19</f>
        <v>1.2270801313969573</v>
      </c>
      <c r="EI31" s="20">
        <f>'Ethyl Acetoacetate'!CT19</f>
        <v>1.2247730006147226</v>
      </c>
      <c r="EJ31" s="20">
        <f>'Ethyl Acetoacetate'!CU19</f>
        <v>1.2190738988781313</v>
      </c>
      <c r="EK31" s="20">
        <f>'Ethyl Acetoacetate'!CV19</f>
        <v>1.2179203334870139</v>
      </c>
      <c r="EL31" s="20">
        <f>'Ethyl Acetoacetate'!CW19</f>
        <v>1.2202628922698633</v>
      </c>
      <c r="EM31" s="20">
        <f>'Ethyl Acetoacetate'!CX19</f>
        <v>1.2214164576609805</v>
      </c>
      <c r="EN31" s="20">
        <f>'Ethyl Acetoacetate'!CY19</f>
        <v>1.228198823574612</v>
      </c>
      <c r="EO31" s="20">
        <f>'Ethyl Acetoacetate'!CZ19</f>
        <v>1.228198823574612</v>
      </c>
      <c r="EP31" s="20">
        <f>'Ethyl Acetoacetate'!DA19</f>
        <v>1.228198823574612</v>
      </c>
      <c r="EQ31" s="20">
        <f>'Ethyl Acetoacetate'!DB19</f>
        <v>1.2314288066697403</v>
      </c>
      <c r="ER31" s="20">
        <f>'Ethyl Acetoacetate'!DC19</f>
        <v>1.2314288066697403</v>
      </c>
      <c r="ES31" s="20">
        <f>'Ethyl Acetoacetate'!DD19</f>
        <v>1.2268145451052712</v>
      </c>
      <c r="ET31" s="20">
        <f>'Ethyl Acetoacetate'!DE19</f>
        <v>1.2268145451052712</v>
      </c>
      <c r="EU31" s="20">
        <f>'Ethyl Acetoacetate'!DF19</f>
        <v>1.2258916927923775</v>
      </c>
      <c r="EV31" s="20">
        <f>'Ethyl Acetoacetate'!DG19</f>
        <v>1.2224309966190257</v>
      </c>
      <c r="EW31" s="20">
        <f>'Ethyl Acetoacetate'!DH19</f>
        <v>1.1911517435069925</v>
      </c>
      <c r="EX31" s="20">
        <f>'Ethyl Acetoacetate'!DI19</f>
        <v>1.1888446127247581</v>
      </c>
      <c r="EY31" s="20">
        <f>'Ethyl Acetoacetate'!DJ19</f>
        <v>1.1876910473336406</v>
      </c>
      <c r="EZ31" s="20">
        <f>'Ethyl Acetoacetate'!DK19</f>
        <v>1.1853839165514062</v>
      </c>
      <c r="FA31" s="20">
        <f>'Ethyl Acetoacetate'!DL19</f>
        <v>1.184230351160289</v>
      </c>
      <c r="FB31" s="20">
        <f>'Ethyl Acetoacetate'!DM19</f>
        <v>1.2023766021207929</v>
      </c>
      <c r="FC31" s="20">
        <f>'Ethyl Acetoacetate'!DN19</f>
        <v>1.1716202458890426</v>
      </c>
      <c r="FD31" s="20">
        <f>'Ethyl Acetoacetate'!DO19</f>
        <v>1.1716202458890426</v>
      </c>
      <c r="FE31" s="20">
        <f>'Ethyl Acetoacetate'!DP19</f>
        <v>1.1716202458890426</v>
      </c>
      <c r="FF31" s="20">
        <f>'Ethyl Acetoacetate'!DQ19</f>
        <v>1.1560280121407716</v>
      </c>
      <c r="FG31" s="20">
        <f>'Ethyl Acetoacetate'!DR19</f>
        <v>1.1548744467496541</v>
      </c>
      <c r="FH31" s="20">
        <f>'Ethyl Acetoacetate'!DS19</f>
        <v>1.1548744467496541</v>
      </c>
    </row>
    <row r="32" spans="1:164">
      <c r="A32" s="8" t="s">
        <v>207</v>
      </c>
      <c r="B32" s="263" t="s">
        <v>233</v>
      </c>
      <c r="C32" s="19">
        <f t="shared" si="48"/>
        <v>-0.87516825531386089</v>
      </c>
      <c r="D32" s="19">
        <f t="shared" si="49"/>
        <v>5.5568211083395935E-2</v>
      </c>
      <c r="E32" s="19">
        <f t="shared" si="50"/>
        <v>-1.4931405185420354E-2</v>
      </c>
      <c r="F32" s="19">
        <f t="shared" si="51"/>
        <v>-0.13650784271090655</v>
      </c>
      <c r="G32" s="19">
        <f t="shared" si="52"/>
        <v>0</v>
      </c>
      <c r="H32" s="19">
        <f t="shared" si="53"/>
        <v>8.3500620999377162E-5</v>
      </c>
      <c r="I32" s="19">
        <f t="shared" si="54"/>
        <v>-1.3190671385165942E-5</v>
      </c>
      <c r="J32" s="19">
        <f t="shared" si="54"/>
        <v>-5.7382149186935294E-5</v>
      </c>
      <c r="K32" s="19">
        <f t="shared" si="44"/>
        <v>-5.7746391344704051E-5</v>
      </c>
      <c r="L32" s="19">
        <f t="shared" si="1"/>
        <v>7.5441071922144332E-5</v>
      </c>
      <c r="M32" s="19">
        <f t="shared" si="2"/>
        <v>1.1833562762574963</v>
      </c>
      <c r="N32" s="19">
        <f t="shared" si="3"/>
        <v>9.1072019943239102E-5</v>
      </c>
      <c r="O32" s="19">
        <f t="shared" si="4"/>
        <v>0</v>
      </c>
      <c r="P32" s="19">
        <f t="shared" si="5"/>
        <v>-1.3038623130065541E-4</v>
      </c>
      <c r="Q32" s="19">
        <f t="shared" si="5"/>
        <v>8.7133483891471686E-5</v>
      </c>
      <c r="R32" s="19">
        <f t="shared" si="6"/>
        <v>-2.3877925874105088E-5</v>
      </c>
      <c r="S32" s="19">
        <f t="shared" si="7"/>
        <v>-2.1738615742228351E-6</v>
      </c>
      <c r="T32" s="19">
        <f t="shared" si="8"/>
        <v>7.1461717581711159E-5</v>
      </c>
      <c r="U32" s="19">
        <f t="shared" si="8"/>
        <v>-8.6318414702912794E-6</v>
      </c>
      <c r="V32" s="19">
        <f t="shared" si="8"/>
        <v>6.4746587460917659E-6</v>
      </c>
      <c r="W32" s="19">
        <f t="shared" si="8"/>
        <v>-2.8090609203779149E-5</v>
      </c>
      <c r="X32" s="19">
        <f t="shared" si="55"/>
        <v>3.0247791927978662E-5</v>
      </c>
      <c r="Y32" s="19">
        <f t="shared" si="55"/>
        <v>-8.6318414702912794E-6</v>
      </c>
      <c r="Z32" s="19">
        <f t="shared" si="9"/>
        <v>-6.4793285324271643E-6</v>
      </c>
      <c r="AA32" s="19">
        <f t="shared" si="10"/>
        <v>0</v>
      </c>
      <c r="AB32" s="19">
        <f t="shared" si="10"/>
        <v>3.0196952224309515E-5</v>
      </c>
      <c r="AC32" s="19">
        <f t="shared" si="10"/>
        <v>1.5060458366550344E-5</v>
      </c>
      <c r="AD32" s="19">
        <f t="shared" si="10"/>
        <v>-8.6028790491077256E-6</v>
      </c>
      <c r="AE32" s="19">
        <f t="shared" si="11"/>
        <v>-2.585824529180436E-5</v>
      </c>
      <c r="AF32" s="19">
        <f t="shared" si="11"/>
        <v>1.724710615719216E-5</v>
      </c>
      <c r="AG32" s="19">
        <f t="shared" si="12"/>
        <v>-3.8852664327376774E-5</v>
      </c>
      <c r="AH32" s="19">
        <f t="shared" si="13"/>
        <v>2.1628943621121444E-6</v>
      </c>
      <c r="AI32" s="19">
        <f t="shared" si="14"/>
        <v>2.1600364836643626E-5</v>
      </c>
      <c r="AJ32" s="19">
        <f t="shared" si="15"/>
        <v>-4.1085162999221492E-5</v>
      </c>
      <c r="AK32" s="19">
        <f t="shared" si="16"/>
        <v>-1.3013341102180442E-5</v>
      </c>
      <c r="AL32" s="19">
        <f t="shared" si="16"/>
        <v>2.1701965866594009E-6</v>
      </c>
      <c r="AM32" s="19">
        <f t="shared" si="17"/>
        <v>-2.3900958789041526E-5</v>
      </c>
      <c r="AN32" s="19">
        <f t="shared" si="18"/>
        <v>0</v>
      </c>
      <c r="AO32" s="19">
        <f t="shared" si="19"/>
        <v>-4.3619184106308273E-5</v>
      </c>
      <c r="AP32" s="19">
        <f t="shared" si="20"/>
        <v>1.3107891598890253E-5</v>
      </c>
      <c r="AQ32" s="19">
        <f t="shared" si="20"/>
        <v>1.0849774153540159E-4</v>
      </c>
      <c r="AR32" s="19">
        <f t="shared" si="20"/>
        <v>2.7996294558824131E-5</v>
      </c>
      <c r="AS32" s="19">
        <f t="shared" si="21"/>
        <v>-3.8787393092043487E-5</v>
      </c>
      <c r="AT32" s="19">
        <f t="shared" si="22"/>
        <v>4.0937339121360772E-5</v>
      </c>
      <c r="AU32" s="60" t="s">
        <v>289</v>
      </c>
      <c r="AV32" s="19">
        <f t="shared" si="23"/>
        <v>4.5030068018814262E-5</v>
      </c>
      <c r="AW32" s="19">
        <f t="shared" si="24"/>
        <v>-4.0731722313142038E-5</v>
      </c>
      <c r="AX32" s="19">
        <f t="shared" si="25"/>
        <v>1.7172791945047061E-5</v>
      </c>
      <c r="AY32" s="19">
        <f t="shared" si="26"/>
        <v>-3.2226026635939764E-5</v>
      </c>
      <c r="AZ32" s="19">
        <f t="shared" si="27"/>
        <v>0</v>
      </c>
      <c r="BA32" s="19">
        <f t="shared" si="28"/>
        <v>0</v>
      </c>
      <c r="BB32" s="19">
        <f t="shared" si="29"/>
        <v>0</v>
      </c>
      <c r="BC32" s="19">
        <f t="shared" si="30"/>
        <v>1.154743545924708E-4</v>
      </c>
      <c r="BD32" s="19">
        <f t="shared" si="31"/>
        <v>-1.0471946560725032E-4</v>
      </c>
      <c r="BE32" s="19">
        <f t="shared" si="32"/>
        <v>2.1471137650719285E-5</v>
      </c>
      <c r="BF32" s="19">
        <f t="shared" si="33"/>
        <v>-1.0729136489334712E-5</v>
      </c>
      <c r="BG32" s="19">
        <f t="shared" si="33"/>
        <v>4.2931970617443582E-6</v>
      </c>
      <c r="BH32" s="19">
        <f t="shared" si="56"/>
        <v>1.7152234341233363E-5</v>
      </c>
      <c r="BI32" s="19">
        <f t="shared" si="57"/>
        <v>3.2072065422550367E-5</v>
      </c>
      <c r="BJ32" s="19">
        <f t="shared" si="35"/>
        <v>6.4006235902525077E-6</v>
      </c>
      <c r="BK32" s="19">
        <f t="shared" si="36"/>
        <v>4.679812697663821E-5</v>
      </c>
      <c r="BL32" s="19">
        <f t="shared" si="45"/>
        <v>2.1213603727809893E-6</v>
      </c>
      <c r="BM32" s="19">
        <f t="shared" si="45"/>
        <v>-1.273574755381035E-5</v>
      </c>
      <c r="BN32" s="19">
        <f t="shared" si="45"/>
        <v>-2.1243957655237011E-6</v>
      </c>
      <c r="BO32" s="19">
        <f t="shared" si="45"/>
        <v>1.4860143319334052E-5</v>
      </c>
      <c r="BP32" s="19">
        <f t="shared" si="58"/>
        <v>0</v>
      </c>
      <c r="BQ32" s="19">
        <f t="shared" si="58"/>
        <v>-8.0968553782978514E-5</v>
      </c>
      <c r="BR32" s="19">
        <f t="shared" si="58"/>
        <v>1.7107137349453572E-5</v>
      </c>
      <c r="BS32" s="19">
        <f t="shared" si="38"/>
        <v>6.5982271540032666E-5</v>
      </c>
      <c r="BT32" s="19">
        <f t="shared" si="46"/>
        <v>2.1180801087566925E-5</v>
      </c>
      <c r="BU32" s="19">
        <f t="shared" si="59"/>
        <v>0</v>
      </c>
      <c r="BV32" s="19">
        <f t="shared" si="60"/>
        <v>0.22778551867322991</v>
      </c>
      <c r="BW32" s="19">
        <f t="shared" si="40"/>
        <v>0</v>
      </c>
      <c r="BX32" s="19">
        <f t="shared" si="41"/>
        <v>0</v>
      </c>
      <c r="BY32" s="19">
        <f t="shared" si="41"/>
        <v>0</v>
      </c>
      <c r="BZ32" s="19">
        <f t="shared" si="41"/>
        <v>0</v>
      </c>
      <c r="CA32" s="19">
        <f t="shared" si="41"/>
        <v>0</v>
      </c>
      <c r="CB32" s="19">
        <f t="shared" si="42"/>
        <v>0</v>
      </c>
      <c r="CC32" s="19">
        <f t="shared" si="42"/>
        <v>0</v>
      </c>
      <c r="CD32" s="19">
        <f t="shared" si="42"/>
        <v>0</v>
      </c>
      <c r="CE32" s="65"/>
      <c r="CG32" s="20">
        <f t="shared" si="47"/>
        <v>0.44039938199331519</v>
      </c>
      <c r="CH32" s="20">
        <f>TICL4!AS17</f>
        <v>1.3155676373071761</v>
      </c>
      <c r="CI32" s="20">
        <f>TICL4!AT17</f>
        <v>1.2599994262237801</v>
      </c>
      <c r="CJ32" s="20">
        <f>TICL4!AU17</f>
        <v>1.2749308314092005</v>
      </c>
      <c r="CK32" s="20">
        <f>TICL4!AV17</f>
        <v>1.411438674120107</v>
      </c>
      <c r="CL32" s="20">
        <f>TICL4!AW17</f>
        <v>1.411438674120107</v>
      </c>
      <c r="CM32" s="20">
        <f>TICL4!AX17</f>
        <v>1.4113551734991077</v>
      </c>
      <c r="CN32" s="20">
        <f>TICL4!AY17</f>
        <v>1.4113683641704928</v>
      </c>
      <c r="CO32" s="20">
        <f>TICL4!AZ17</f>
        <v>1.4114257463196798</v>
      </c>
      <c r="CP32" s="20">
        <f>TICL4!BA17</f>
        <v>1.4114834927110245</v>
      </c>
      <c r="CQ32" s="20">
        <f>TICL4!BB17</f>
        <v>1.4114080516391023</v>
      </c>
      <c r="CR32" s="20">
        <f>TICL4!BC17</f>
        <v>0.22805177538160615</v>
      </c>
      <c r="CS32" s="20">
        <f>TICL4!BD17</f>
        <v>0.22796070336166291</v>
      </c>
      <c r="CT32" s="20">
        <f>TICL4!BE17</f>
        <v>0.22796070336166291</v>
      </c>
      <c r="CU32" s="20">
        <f>TICL4!BF17</f>
        <v>0.22809108959296356</v>
      </c>
      <c r="CV32" s="20">
        <f>TICL4!BG17</f>
        <v>0.22800395610907209</v>
      </c>
      <c r="CW32" s="20">
        <f>TICL4!BH17</f>
        <v>0.2280278340349462</v>
      </c>
      <c r="CX32" s="20">
        <f>TICL4!BI17</f>
        <v>0.22803000789652042</v>
      </c>
      <c r="CY32" s="20">
        <f>TICL4!BJ17</f>
        <v>0.22795854617893871</v>
      </c>
      <c r="CZ32" s="20">
        <f>TICL4!BK17</f>
        <v>0.227967178020409</v>
      </c>
      <c r="DA32" s="20">
        <f>TICL4!BL17</f>
        <v>0.22796070336166291</v>
      </c>
      <c r="DB32" s="20">
        <f>TICL4!BM17</f>
        <v>0.22798879397086669</v>
      </c>
      <c r="DC32" s="20">
        <f>TICL4!BN17</f>
        <v>0.22795854617893871</v>
      </c>
      <c r="DD32" s="20">
        <f>TICL4!BO17</f>
        <v>0.227967178020409</v>
      </c>
      <c r="DE32" s="20">
        <f>TICL4!BP17</f>
        <v>0.22797365734894143</v>
      </c>
      <c r="DF32" s="20">
        <f>TICL4!BQ17</f>
        <v>0.22797365734894143</v>
      </c>
      <c r="DG32" s="20">
        <f>TICL4!BR17</f>
        <v>0.22794346039671712</v>
      </c>
      <c r="DH32" s="20">
        <f>TICL4!BS17</f>
        <v>0.22792839993835057</v>
      </c>
      <c r="DI32" s="20">
        <f>TICL4!BT17</f>
        <v>0.22793700281739968</v>
      </c>
      <c r="DJ32" s="20">
        <f>TICL4!BU17</f>
        <v>0.22796286106269148</v>
      </c>
      <c r="DK32" s="20">
        <f>TICL4!BV17</f>
        <v>0.22794561395653429</v>
      </c>
      <c r="DL32" s="20">
        <f>TICL4!BW17</f>
        <v>0.22798446662086166</v>
      </c>
      <c r="DM32" s="20">
        <f>TICL4!BX17</f>
        <v>0.22798230372649955</v>
      </c>
      <c r="DN32" s="20">
        <f>TICL4!BY17</f>
        <v>0.22796070336166291</v>
      </c>
      <c r="DO32" s="20">
        <f>TICL4!BZ17</f>
        <v>0.22800178852466213</v>
      </c>
      <c r="DP32" s="20">
        <f>TICL4!CA17</f>
        <v>0.22801480186576431</v>
      </c>
      <c r="DQ32" s="20">
        <f>TICL4!CB17</f>
        <v>0.22801263166917765</v>
      </c>
      <c r="DR32" s="20">
        <f>TICL4!CC17</f>
        <v>0.22803653262796669</v>
      </c>
      <c r="DS32" s="20">
        <f>TICL4!CD17</f>
        <v>0.22803653262796669</v>
      </c>
      <c r="DT32" s="20">
        <f>TICL4!CE17</f>
        <v>0.228080151812073</v>
      </c>
      <c r="DU32" s="20">
        <f>TICL4!CF17</f>
        <v>0.22806704392047411</v>
      </c>
      <c r="DV32" s="20">
        <f>TICL4!CG17</f>
        <v>0.22795854617893871</v>
      </c>
      <c r="DW32" s="20">
        <f>TICL4!CH17</f>
        <v>0.22793054988437988</v>
      </c>
      <c r="DX32" s="20">
        <f>TICL4!CI17</f>
        <v>0.22796933727747193</v>
      </c>
      <c r="DY32" s="20">
        <f>TICL4!CJ17</f>
        <v>0.22792839993835057</v>
      </c>
      <c r="DZ32" s="20">
        <f>TICL4!CK17</f>
        <v>0.22788336987033175</v>
      </c>
      <c r="EA32" s="20">
        <f>TICL4!CL17</f>
        <v>0.2279241015926449</v>
      </c>
      <c r="EB32" s="20">
        <f>TICL4!CM17</f>
        <v>0.22790692880069985</v>
      </c>
      <c r="EC32" s="20">
        <f>TICL4!CN17</f>
        <v>0.22793915482733579</v>
      </c>
      <c r="ED32" s="20">
        <f>TICL4!CO17</f>
        <v>0.22793915482733579</v>
      </c>
      <c r="EE32" s="20">
        <f>TICL4!CP17</f>
        <v>0.22793915482733579</v>
      </c>
      <c r="EF32" s="20">
        <f>TICL4!CQ17</f>
        <v>0.22793915482733579</v>
      </c>
      <c r="EG32" s="20">
        <f>TICL4!CR17</f>
        <v>0.22782368047274332</v>
      </c>
      <c r="EH32" s="20">
        <f>TICL4!CS17</f>
        <v>0.22792839993835057</v>
      </c>
      <c r="EI32" s="20">
        <f>TICL4!CT17</f>
        <v>0.22790692880069985</v>
      </c>
      <c r="EJ32" s="20">
        <f>TICL4!CU17</f>
        <v>0.22791765793718918</v>
      </c>
      <c r="EK32" s="20">
        <f>TICL4!CV17</f>
        <v>0.22791336474012744</v>
      </c>
      <c r="EL32" s="20">
        <f>TICL4!CW17</f>
        <v>0.22789621250578621</v>
      </c>
      <c r="EM32" s="20">
        <f>TICL4!CX17</f>
        <v>0.22786414044036366</v>
      </c>
      <c r="EN32" s="20">
        <f>TICL4!CY17</f>
        <v>0.2278577398167734</v>
      </c>
      <c r="EO32" s="20">
        <f>TICL4!CZ17</f>
        <v>0.22781094168979676</v>
      </c>
      <c r="EP32" s="20">
        <f>TICL4!DA17</f>
        <v>0.22780882032942398</v>
      </c>
      <c r="EQ32" s="20">
        <f>TICL4!DB17</f>
        <v>0.22782155607697779</v>
      </c>
      <c r="ER32" s="20">
        <f>TICL4!DC17</f>
        <v>0.22782368047274332</v>
      </c>
      <c r="ES32" s="20">
        <f>TICL4!DD17</f>
        <v>0.22780882032942398</v>
      </c>
      <c r="ET32" s="20">
        <f>TICL4!DE17</f>
        <v>0.22780882032942398</v>
      </c>
      <c r="EU32" s="20">
        <f>TICL4!DF17</f>
        <v>0.22788978888320696</v>
      </c>
      <c r="EV32" s="20">
        <f>TICL4!DG17</f>
        <v>0.22787268174585751</v>
      </c>
      <c r="EW32" s="20">
        <f>TICL4!DH17</f>
        <v>0.22780669947431748</v>
      </c>
      <c r="EX32" s="20">
        <f>TICL4!DI17</f>
        <v>0.22778551867322991</v>
      </c>
      <c r="EY32" s="20">
        <f>TICL4!DJ17</f>
        <v>0.22778551867322991</v>
      </c>
      <c r="EZ32" s="20">
        <f>TICL4!DK17</f>
        <v>0</v>
      </c>
      <c r="FA32" s="20">
        <f>TICL4!DL17</f>
        <v>0</v>
      </c>
      <c r="FB32" s="20">
        <f>TICL4!DM17</f>
        <v>0</v>
      </c>
      <c r="FC32" s="20">
        <f>TICL4!DN17</f>
        <v>0</v>
      </c>
      <c r="FD32" s="20">
        <f>TICL4!DO17</f>
        <v>0</v>
      </c>
      <c r="FE32" s="20">
        <f>TICL4!DP17</f>
        <v>0</v>
      </c>
      <c r="FF32" s="20">
        <f>TICL4!DQ17</f>
        <v>0</v>
      </c>
      <c r="FG32" s="20">
        <f>TICL4!DR17</f>
        <v>0</v>
      </c>
      <c r="FH32" s="20">
        <f>TICL4!DS17</f>
        <v>0</v>
      </c>
    </row>
    <row r="33" spans="1:164">
      <c r="A33" s="8" t="s">
        <v>229</v>
      </c>
      <c r="B33" s="263" t="s">
        <v>234</v>
      </c>
      <c r="C33" s="19">
        <f t="shared" si="48"/>
        <v>1.6643966267048116E-2</v>
      </c>
      <c r="D33" s="19">
        <f t="shared" si="49"/>
        <v>-2.6531606050103074E-2</v>
      </c>
      <c r="E33" s="19">
        <f t="shared" si="50"/>
        <v>-1.8087897300350431E-2</v>
      </c>
      <c r="F33" s="19">
        <f t="shared" si="51"/>
        <v>-2.7220348122315219E-2</v>
      </c>
      <c r="G33" s="19">
        <f t="shared" si="52"/>
        <v>-8.6822961818251443E-3</v>
      </c>
      <c r="H33" s="19">
        <f t="shared" si="53"/>
        <v>6.0850697783056962E-2</v>
      </c>
      <c r="I33" s="19">
        <f t="shared" si="54"/>
        <v>-1.1788503853527033E-5</v>
      </c>
      <c r="J33" s="19">
        <f t="shared" si="54"/>
        <v>-5.1282430366672571E-5</v>
      </c>
      <c r="K33" s="19">
        <f t="shared" si="44"/>
        <v>-5.1607953606147561E-5</v>
      </c>
      <c r="L33" s="19">
        <f t="shared" si="1"/>
        <v>-5.8972192345649876E-2</v>
      </c>
      <c r="M33" s="19">
        <f t="shared" si="2"/>
        <v>2.4422217997388529E-2</v>
      </c>
      <c r="N33" s="19">
        <f t="shared" si="3"/>
        <v>8.1391069997716059E-5</v>
      </c>
      <c r="O33" s="19">
        <f t="shared" si="4"/>
        <v>-1.7364592363650067E-2</v>
      </c>
      <c r="P33" s="19">
        <f t="shared" si="5"/>
        <v>-1.1652618318058749E-4</v>
      </c>
      <c r="Q33" s="19">
        <f t="shared" si="5"/>
        <v>2.6124759745553616E-2</v>
      </c>
      <c r="R33" s="19">
        <f t="shared" si="6"/>
        <v>-5.3851576031182846E-2</v>
      </c>
      <c r="S33" s="19">
        <f t="shared" si="7"/>
        <v>-3.5599357125709163E-2</v>
      </c>
      <c r="T33" s="19">
        <f t="shared" si="8"/>
        <v>3.7397738923381274E-2</v>
      </c>
      <c r="U33" s="19">
        <f t="shared" si="8"/>
        <v>0.11459859532282102</v>
      </c>
      <c r="V33" s="19">
        <f t="shared" si="8"/>
        <v>-1.9095265197083044E-2</v>
      </c>
      <c r="W33" s="19">
        <f t="shared" si="8"/>
        <v>5.1842731298685774E-3</v>
      </c>
      <c r="X33" s="19">
        <f t="shared" si="55"/>
        <v>1.3918706344483889E-2</v>
      </c>
      <c r="Y33" s="19">
        <f t="shared" si="55"/>
        <v>-7.7142772694216433E-6</v>
      </c>
      <c r="Z33" s="19">
        <f t="shared" si="9"/>
        <v>-5.7905763202192873E-6</v>
      </c>
      <c r="AA33" s="19">
        <f t="shared" si="10"/>
        <v>0</v>
      </c>
      <c r="AB33" s="19">
        <f t="shared" si="10"/>
        <v>3.1283253272687883E-2</v>
      </c>
      <c r="AC33" s="19">
        <f t="shared" si="10"/>
        <v>6.0910668598745943E-3</v>
      </c>
      <c r="AD33" s="19">
        <f t="shared" si="10"/>
        <v>-1.9976969611749329E-2</v>
      </c>
      <c r="AE33" s="19">
        <f t="shared" si="11"/>
        <v>4.6861289866398481E-2</v>
      </c>
      <c r="AF33" s="19">
        <f t="shared" si="11"/>
        <v>-5.7287741060179087E-2</v>
      </c>
      <c r="AG33" s="19">
        <f t="shared" si="12"/>
        <v>4.3064254623395026E-3</v>
      </c>
      <c r="AH33" s="19">
        <f t="shared" si="13"/>
        <v>-1.3021511293908716E-2</v>
      </c>
      <c r="AI33" s="19">
        <f t="shared" si="14"/>
        <v>-6.9265326980361142E-3</v>
      </c>
      <c r="AJ33" s="19">
        <f t="shared" si="15"/>
        <v>-8.7190139946022871E-3</v>
      </c>
      <c r="AK33" s="19">
        <f t="shared" si="16"/>
        <v>-1.1630023768027797E-5</v>
      </c>
      <c r="AL33" s="19">
        <f t="shared" si="16"/>
        <v>-9.5485862951805167E-3</v>
      </c>
      <c r="AM33" s="19">
        <f t="shared" si="17"/>
        <v>-4.3625083792979691E-3</v>
      </c>
      <c r="AN33" s="19">
        <f t="shared" si="18"/>
        <v>0</v>
      </c>
      <c r="AO33" s="19">
        <f t="shared" si="19"/>
        <v>3.0349054168786083E-2</v>
      </c>
      <c r="AP33" s="19">
        <f t="shared" si="20"/>
        <v>1.1714523552974754E-5</v>
      </c>
      <c r="AQ33" s="19">
        <f t="shared" si="20"/>
        <v>-5.112858303427803E-2</v>
      </c>
      <c r="AR33" s="19">
        <f t="shared" si="20"/>
        <v>-1.0393735127967707E-2</v>
      </c>
      <c r="AS33" s="19">
        <f t="shared" si="21"/>
        <v>-2.8686241695688341E-2</v>
      </c>
      <c r="AT33" s="19">
        <f t="shared" si="22"/>
        <v>2.6412745571160468E-3</v>
      </c>
      <c r="AU33" s="60" t="s">
        <v>85</v>
      </c>
      <c r="AV33" s="19">
        <f t="shared" si="23"/>
        <v>4.0243374643589291E-5</v>
      </c>
      <c r="AW33" s="19">
        <f t="shared" si="24"/>
        <v>5.6398523239048703E-2</v>
      </c>
      <c r="AX33" s="19">
        <f t="shared" si="25"/>
        <v>-2.8636230074772229E-2</v>
      </c>
      <c r="AY33" s="19">
        <f t="shared" si="26"/>
        <v>3.4441180706821228E-3</v>
      </c>
      <c r="AZ33" s="19">
        <f t="shared" si="27"/>
        <v>1.7364592363648956E-3</v>
      </c>
      <c r="BA33" s="19">
        <f t="shared" si="28"/>
        <v>1.9101051600015184E-2</v>
      </c>
      <c r="BB33" s="19">
        <f t="shared" si="29"/>
        <v>0</v>
      </c>
      <c r="BC33" s="19">
        <f t="shared" si="30"/>
        <v>-7.7108671256214123E-3</v>
      </c>
      <c r="BD33" s="19">
        <f t="shared" si="31"/>
        <v>-2.4404017102163333E-2</v>
      </c>
      <c r="BE33" s="19">
        <f t="shared" si="32"/>
        <v>1.477909226618257E-2</v>
      </c>
      <c r="BF33" s="19">
        <f t="shared" si="33"/>
        <v>2.4300840679149172E-2</v>
      </c>
      <c r="BG33" s="19">
        <f t="shared" si="33"/>
        <v>-1.3019607442251058E-2</v>
      </c>
      <c r="BH33" s="19">
        <f t="shared" si="56"/>
        <v>4.3564770438306866E-3</v>
      </c>
      <c r="BI33" s="19">
        <f t="shared" si="57"/>
        <v>1.218387746145666E-2</v>
      </c>
      <c r="BJ33" s="19">
        <f t="shared" si="35"/>
        <v>1.1292705274080994E-2</v>
      </c>
      <c r="BK33" s="19">
        <f t="shared" si="36"/>
        <v>1.778282725411362E-3</v>
      </c>
      <c r="BL33" s="19">
        <f t="shared" si="45"/>
        <v>1.8958598997365073E-6</v>
      </c>
      <c r="BM33" s="19">
        <f t="shared" si="45"/>
        <v>-5.2207596474915796E-3</v>
      </c>
      <c r="BN33" s="19">
        <f t="shared" si="45"/>
        <v>5.2091878518319978E-2</v>
      </c>
      <c r="BO33" s="19">
        <f t="shared" si="45"/>
        <v>1.6509643256494178E-2</v>
      </c>
      <c r="BP33" s="19">
        <f t="shared" si="58"/>
        <v>7.2931287927330501E-2</v>
      </c>
      <c r="BQ33" s="19">
        <f t="shared" si="58"/>
        <v>-1.396403549256986E-2</v>
      </c>
      <c r="BR33" s="19">
        <f t="shared" si="58"/>
        <v>-1.0403466768456271E-2</v>
      </c>
      <c r="BS33" s="19">
        <f t="shared" si="38"/>
        <v>-6.5926482621611049E-2</v>
      </c>
      <c r="BT33" s="19">
        <f t="shared" si="46"/>
        <v>1.8929283274848885E-5</v>
      </c>
      <c r="BU33" s="19">
        <f t="shared" si="59"/>
        <v>0</v>
      </c>
      <c r="BV33" s="19">
        <f t="shared" si="60"/>
        <v>8.7012007003384184E-4</v>
      </c>
      <c r="BW33" s="19">
        <f t="shared" si="40"/>
        <v>0.10853625958556323</v>
      </c>
      <c r="BX33" s="19">
        <f t="shared" si="41"/>
        <v>5.2700616023582114E-5</v>
      </c>
      <c r="BY33" s="19">
        <f t="shared" si="41"/>
        <v>-3.7358298171880744E-2</v>
      </c>
      <c r="BZ33" s="19">
        <f t="shared" si="41"/>
        <v>6.7453507445636163E-5</v>
      </c>
      <c r="CA33" s="19">
        <f t="shared" si="41"/>
        <v>1.118649795817106E-5</v>
      </c>
      <c r="CB33" s="19">
        <f t="shared" si="42"/>
        <v>-9.5244855105840465E-3</v>
      </c>
      <c r="CC33" s="19">
        <f t="shared" si="42"/>
        <v>1.6694846411535735E-5</v>
      </c>
      <c r="CD33" s="19">
        <f t="shared" si="42"/>
        <v>7.8620979473109642E-3</v>
      </c>
      <c r="CE33" s="65"/>
      <c r="CG33" s="20">
        <f t="shared" si="47"/>
        <v>1.5666703541450619</v>
      </c>
      <c r="CH33" s="20">
        <f>Benzaldehyde!AS18</f>
        <v>1.5500263878780138</v>
      </c>
      <c r="CI33" s="20">
        <f>Benzaldehyde!AT18</f>
        <v>1.5765579939281169</v>
      </c>
      <c r="CJ33" s="20">
        <f>Benzaldehyde!AU18</f>
        <v>1.5946458912284673</v>
      </c>
      <c r="CK33" s="20">
        <f>Benzaldehyde!AV18</f>
        <v>1.6218662393507826</v>
      </c>
      <c r="CL33" s="20">
        <f>Benzaldehyde!AW18</f>
        <v>1.6305485355326077</v>
      </c>
      <c r="CM33" s="20">
        <f>Benzaldehyde!AX18</f>
        <v>1.5696978377495507</v>
      </c>
      <c r="CN33" s="20">
        <f>Benzaldehyde!AY18</f>
        <v>1.5697096262534043</v>
      </c>
      <c r="CO33" s="20">
        <f>Benzaldehyde!AZ18</f>
        <v>1.5697609086837709</v>
      </c>
      <c r="CP33" s="20">
        <f>Benzaldehyde!BA18</f>
        <v>1.5698125166373771</v>
      </c>
      <c r="CQ33" s="20">
        <f>Benzaldehyde!BB18</f>
        <v>1.628784708983027</v>
      </c>
      <c r="CR33" s="20">
        <f>Benzaldehyde!BC18</f>
        <v>1.6043624909856384</v>
      </c>
      <c r="CS33" s="20">
        <f>Benzaldehyde!BD18</f>
        <v>1.6042810999156407</v>
      </c>
      <c r="CT33" s="20">
        <f>Benzaldehyde!BE18</f>
        <v>1.6216456922792908</v>
      </c>
      <c r="CU33" s="20">
        <f>Benzaldehyde!BF18</f>
        <v>1.6217622184624714</v>
      </c>
      <c r="CV33" s="20">
        <f>Benzaldehyde!BG18</f>
        <v>1.5956374587169178</v>
      </c>
      <c r="CW33" s="20">
        <f>Benzaldehyde!BH18</f>
        <v>1.6494890347481006</v>
      </c>
      <c r="CX33" s="20">
        <f>Benzaldehyde!BI18</f>
        <v>1.6850883918738098</v>
      </c>
      <c r="CY33" s="20">
        <f>Benzaldehyde!BJ18</f>
        <v>1.6476906529504285</v>
      </c>
      <c r="CZ33" s="20">
        <f>Benzaldehyde!BK18</f>
        <v>1.5330920576276075</v>
      </c>
      <c r="DA33" s="20">
        <f>Benzaldehyde!BL18</f>
        <v>1.5521873228246905</v>
      </c>
      <c r="DB33" s="20">
        <f>Benzaldehyde!BM18</f>
        <v>1.5470030496948219</v>
      </c>
      <c r="DC33" s="20">
        <f>Benzaldehyde!BN18</f>
        <v>1.5330843433503381</v>
      </c>
      <c r="DD33" s="20">
        <f>Benzaldehyde!BO18</f>
        <v>1.5330920576276075</v>
      </c>
      <c r="DE33" s="20">
        <f>Benzaldehyde!BP18</f>
        <v>1.5330978482039277</v>
      </c>
      <c r="DF33" s="20">
        <f>Benzaldehyde!BQ18</f>
        <v>1.5330978482039277</v>
      </c>
      <c r="DG33" s="20">
        <f>Benzaldehyde!BR18</f>
        <v>1.5018145949312398</v>
      </c>
      <c r="DH33" s="20">
        <f>Benzaldehyde!BS18</f>
        <v>1.4957235280713652</v>
      </c>
      <c r="DI33" s="20">
        <f>Benzaldehyde!BT18</f>
        <v>1.5157004976831145</v>
      </c>
      <c r="DJ33" s="20">
        <f>Benzaldehyde!BU18</f>
        <v>1.4688392078167161</v>
      </c>
      <c r="DK33" s="20">
        <f>Benzaldehyde!BV18</f>
        <v>1.5261269488768952</v>
      </c>
      <c r="DL33" s="20">
        <f>Benzaldehyde!BW18</f>
        <v>1.5218205234145556</v>
      </c>
      <c r="DM33" s="20">
        <f>Benzaldehyde!BX18</f>
        <v>1.5348420347084644</v>
      </c>
      <c r="DN33" s="20">
        <f>Benzaldehyde!BY18</f>
        <v>1.5417685674065005</v>
      </c>
      <c r="DO33" s="20">
        <f>Benzaldehyde!BZ18</f>
        <v>1.5504875814011028</v>
      </c>
      <c r="DP33" s="20">
        <f>Benzaldehyde!CA18</f>
        <v>1.5504992114248708</v>
      </c>
      <c r="DQ33" s="20">
        <f>Benzaldehyde!CB18</f>
        <v>1.5600477977200513</v>
      </c>
      <c r="DR33" s="20">
        <f>Benzaldehyde!CC18</f>
        <v>1.5644103060993493</v>
      </c>
      <c r="DS33" s="20">
        <f>Benzaldehyde!CD18</f>
        <v>1.5644103060993493</v>
      </c>
      <c r="DT33" s="20">
        <f>Benzaldehyde!CE18</f>
        <v>1.5340612519305632</v>
      </c>
      <c r="DU33" s="20">
        <f>Benzaldehyde!CF18</f>
        <v>1.5340495374070102</v>
      </c>
      <c r="DV33" s="20">
        <f>Benzaldehyde!CG18</f>
        <v>1.5851781204412883</v>
      </c>
      <c r="DW33" s="20">
        <f>Benzaldehyde!CH18</f>
        <v>1.595571855569256</v>
      </c>
      <c r="DX33" s="20">
        <f>Benzaldehyde!CI18</f>
        <v>1.6242580972649443</v>
      </c>
      <c r="DY33" s="20">
        <f>Benzaldehyde!CJ18</f>
        <v>1.6216168227078283</v>
      </c>
      <c r="DZ33" s="20">
        <f>Benzaldehyde!CK18</f>
        <v>1.6215765793331847</v>
      </c>
      <c r="EA33" s="20">
        <f>Benzaldehyde!CL18</f>
        <v>1.565178056094136</v>
      </c>
      <c r="EB33" s="20">
        <f>Benzaldehyde!CM18</f>
        <v>1.5938142861689082</v>
      </c>
      <c r="EC33" s="20">
        <f>Benzaldehyde!CN18</f>
        <v>1.5903701680982261</v>
      </c>
      <c r="ED33" s="20">
        <f>Benzaldehyde!CO18</f>
        <v>1.5886337088618612</v>
      </c>
      <c r="EE33" s="20">
        <f>Benzaldehyde!CP18</f>
        <v>1.569532657261846</v>
      </c>
      <c r="EF33" s="20">
        <f>Benzaldehyde!CQ18</f>
        <v>1.569532657261846</v>
      </c>
      <c r="EG33" s="20">
        <f>Benzaldehyde!CR18</f>
        <v>1.5772435243874674</v>
      </c>
      <c r="EH33" s="20">
        <f>Benzaldehyde!CS18</f>
        <v>1.6016475414896307</v>
      </c>
      <c r="EI33" s="20">
        <f>Benzaldehyde!CT18</f>
        <v>1.5868684492234482</v>
      </c>
      <c r="EJ33" s="20">
        <f>Benzaldehyde!CU18</f>
        <v>1.562567608544299</v>
      </c>
      <c r="EK33" s="20">
        <f>Benzaldehyde!CV18</f>
        <v>1.57558721598655</v>
      </c>
      <c r="EL33" s="20">
        <f>Benzaldehyde!CW18</f>
        <v>1.5712307389427194</v>
      </c>
      <c r="EM33" s="20">
        <f>Benzaldehyde!CX18</f>
        <v>1.5590468614812627</v>
      </c>
      <c r="EN33" s="20">
        <f>Benzaldehyde!CY18</f>
        <v>1.5477541562071817</v>
      </c>
      <c r="EO33" s="20">
        <f>Benzaldehyde!CZ18</f>
        <v>1.5459758734817703</v>
      </c>
      <c r="EP33" s="20">
        <f>Benzaldehyde!DA18</f>
        <v>1.5459739776218706</v>
      </c>
      <c r="EQ33" s="20">
        <f>Benzaldehyde!DB18</f>
        <v>1.5511947372693622</v>
      </c>
      <c r="ER33" s="20">
        <f>Benzaldehyde!DC18</f>
        <v>1.4991028587510422</v>
      </c>
      <c r="ES33" s="20">
        <f>Benzaldehyde!DD18</f>
        <v>1.482593215494548</v>
      </c>
      <c r="ET33" s="20">
        <f>Benzaldehyde!DE18</f>
        <v>1.4096619275672175</v>
      </c>
      <c r="EU33" s="20">
        <f>Benzaldehyde!DF18</f>
        <v>1.4236259630597874</v>
      </c>
      <c r="EV33" s="20">
        <f>Benzaldehyde!DG18</f>
        <v>1.4340294298282437</v>
      </c>
      <c r="EW33" s="20">
        <f>Benzaldehyde!DH18</f>
        <v>1.4999559124498547</v>
      </c>
      <c r="EX33" s="20">
        <f>Benzaldehyde!DI18</f>
        <v>1.4999369831665799</v>
      </c>
      <c r="EY33" s="20">
        <f>Benzaldehyde!DJ18</f>
        <v>1.4999369831665799</v>
      </c>
      <c r="EZ33" s="20">
        <f>Benzaldehyde!DK18</f>
        <v>1.499066863096546</v>
      </c>
      <c r="FA33" s="20">
        <f>Benzaldehyde!DL18</f>
        <v>1.3905306035109828</v>
      </c>
      <c r="FB33" s="20">
        <f>Benzaldehyde!DM18</f>
        <v>1.3904779028949592</v>
      </c>
      <c r="FC33" s="20">
        <f>Benzaldehyde!DN18</f>
        <v>1.4278362010668399</v>
      </c>
      <c r="FD33" s="20">
        <f>Benzaldehyde!DO18</f>
        <v>1.4277687475593943</v>
      </c>
      <c r="FE33" s="20">
        <f>Benzaldehyde!DP18</f>
        <v>1.4277575610614361</v>
      </c>
      <c r="FF33" s="20">
        <f>Benzaldehyde!DQ18</f>
        <v>1.4372820465720202</v>
      </c>
      <c r="FG33" s="20">
        <f>Benzaldehyde!DR18</f>
        <v>1.4372653517256087</v>
      </c>
      <c r="FH33" s="20">
        <f>Benzaldehyde!DS18</f>
        <v>1.4294032537782977</v>
      </c>
    </row>
    <row r="34" spans="1:164">
      <c r="A34" s="8" t="s">
        <v>212</v>
      </c>
      <c r="B34" s="263" t="s">
        <v>235</v>
      </c>
      <c r="C34" s="19">
        <f t="shared" si="48"/>
        <v>-6.529666666666567E-2</v>
      </c>
      <c r="D34" s="19">
        <f t="shared" si="49"/>
        <v>-1.3000000000000123E-2</v>
      </c>
      <c r="E34" s="19">
        <f t="shared" si="50"/>
        <v>0.16900000000000004</v>
      </c>
      <c r="F34" s="19">
        <f t="shared" si="51"/>
        <v>-0.13649999999999984</v>
      </c>
      <c r="G34" s="19">
        <f t="shared" si="52"/>
        <v>0.14559999999999995</v>
      </c>
      <c r="H34" s="19">
        <f t="shared" si="53"/>
        <v>4.2899999999999938E-2</v>
      </c>
      <c r="I34" s="19">
        <f t="shared" si="54"/>
        <v>2.729999999999988E-2</v>
      </c>
      <c r="J34" s="19">
        <f t="shared" si="54"/>
        <v>-0.12480000000000002</v>
      </c>
      <c r="K34" s="19">
        <f t="shared" si="44"/>
        <v>-2.5999999999999357E-3</v>
      </c>
      <c r="L34" s="19">
        <f t="shared" si="1"/>
        <v>-1.4299999999999979E-2</v>
      </c>
      <c r="M34" s="19">
        <f t="shared" si="2"/>
        <v>-5.0700000000000189E-2</v>
      </c>
      <c r="N34" s="19">
        <f t="shared" si="3"/>
        <v>4.8100000000000254E-2</v>
      </c>
      <c r="O34" s="19">
        <f t="shared" si="4"/>
        <v>-6.4999999999999503E-3</v>
      </c>
      <c r="P34" s="19">
        <f t="shared" si="5"/>
        <v>-2.6000000000000245E-2</v>
      </c>
      <c r="Q34" s="19">
        <f t="shared" si="5"/>
        <v>0</v>
      </c>
      <c r="R34" s="19">
        <f t="shared" si="6"/>
        <v>-5.1999999999999824E-2</v>
      </c>
      <c r="S34" s="19">
        <f t="shared" si="7"/>
        <v>0</v>
      </c>
      <c r="T34" s="19">
        <f t="shared" si="8"/>
        <v>6.5000000000001723E-3</v>
      </c>
      <c r="U34" s="19">
        <f t="shared" si="8"/>
        <v>7.1499999999999897E-2</v>
      </c>
      <c r="V34" s="19">
        <f t="shared" si="8"/>
        <v>-1.5600000000000058E-2</v>
      </c>
      <c r="W34" s="19">
        <f t="shared" si="8"/>
        <v>-2.8599999999999959E-2</v>
      </c>
      <c r="X34" s="19">
        <f t="shared" si="55"/>
        <v>2.8599999999999959E-2</v>
      </c>
      <c r="Y34" s="19">
        <f t="shared" si="55"/>
        <v>0</v>
      </c>
      <c r="Z34" s="19">
        <f t="shared" si="9"/>
        <v>9.099999999999886E-3</v>
      </c>
      <c r="AA34" s="19">
        <f t="shared" si="10"/>
        <v>0</v>
      </c>
      <c r="AB34" s="19">
        <f t="shared" si="10"/>
        <v>-3.9000000000000146E-3</v>
      </c>
      <c r="AC34" s="19">
        <f t="shared" si="10"/>
        <v>3.9000000000000146E-3</v>
      </c>
      <c r="AD34" s="19">
        <f t="shared" si="10"/>
        <v>1.4950000000000019E-2</v>
      </c>
      <c r="AE34" s="19">
        <f t="shared" si="11"/>
        <v>-6.8249999999999922E-2</v>
      </c>
      <c r="AF34" s="19">
        <f t="shared" si="11"/>
        <v>2.4699999999999944E-2</v>
      </c>
      <c r="AG34" s="19">
        <f t="shared" si="12"/>
        <v>4.1600000000000081E-2</v>
      </c>
      <c r="AH34" s="19">
        <f t="shared" si="13"/>
        <v>-2.3400000000000087E-2</v>
      </c>
      <c r="AI34" s="19">
        <f t="shared" si="14"/>
        <v>-7.8000000000000291E-3</v>
      </c>
      <c r="AJ34" s="19">
        <f t="shared" si="15"/>
        <v>-3.379999999999983E-2</v>
      </c>
      <c r="AK34" s="19">
        <f t="shared" si="16"/>
        <v>5.1999999999999824E-2</v>
      </c>
      <c r="AL34" s="19">
        <f t="shared" si="16"/>
        <v>-5.1999999999999824E-2</v>
      </c>
      <c r="AM34" s="19">
        <f t="shared" si="17"/>
        <v>1.8199999999999772E-2</v>
      </c>
      <c r="AN34" s="19">
        <f t="shared" si="18"/>
        <v>-8.57999999999981E-3</v>
      </c>
      <c r="AO34" s="19">
        <f t="shared" si="19"/>
        <v>-1.6119999999999912E-2</v>
      </c>
      <c r="AP34" s="19">
        <f t="shared" si="20"/>
        <v>-1.6900000000000137E-2</v>
      </c>
      <c r="AQ34" s="19">
        <f t="shared" si="20"/>
        <v>-1.2999999999999901E-2</v>
      </c>
      <c r="AR34" s="19">
        <f t="shared" si="20"/>
        <v>9.099999999999886E-3</v>
      </c>
      <c r="AS34" s="19">
        <f t="shared" si="21"/>
        <v>5.2000000000000934E-3</v>
      </c>
      <c r="AT34" s="19">
        <f t="shared" si="22"/>
        <v>2.5999999999999357E-3</v>
      </c>
      <c r="AU34" s="100" t="s">
        <v>91</v>
      </c>
      <c r="AV34" s="19">
        <f t="shared" si="23"/>
        <v>1.0399999999999965E-2</v>
      </c>
      <c r="AW34" s="19">
        <f t="shared" si="24"/>
        <v>-2.079999999999993E-2</v>
      </c>
      <c r="AX34" s="19">
        <f t="shared" si="25"/>
        <v>4.1599999999999859E-2</v>
      </c>
      <c r="AY34" s="19">
        <f t="shared" si="26"/>
        <v>1.9499999999999851E-2</v>
      </c>
      <c r="AZ34" s="19">
        <f t="shared" si="27"/>
        <v>-1.5599999999999836E-2</v>
      </c>
      <c r="BA34" s="19">
        <f t="shared" si="28"/>
        <v>-9.099999999999886E-3</v>
      </c>
      <c r="BB34" s="19">
        <f t="shared" si="29"/>
        <v>1.2999999999999901E-2</v>
      </c>
      <c r="BC34" s="19">
        <f t="shared" si="30"/>
        <v>3.5099999999999909E-2</v>
      </c>
      <c r="BD34" s="19">
        <f t="shared" si="31"/>
        <v>-4.1599999999999859E-2</v>
      </c>
      <c r="BE34" s="19">
        <f t="shared" si="32"/>
        <v>-2.9900000000000038E-2</v>
      </c>
      <c r="BF34" s="19">
        <f t="shared" si="33"/>
        <v>-1.9499999999999851E-2</v>
      </c>
      <c r="BG34" s="19">
        <f t="shared" si="33"/>
        <v>-3.9000000000002366E-3</v>
      </c>
      <c r="BH34" s="19">
        <f t="shared" si="56"/>
        <v>3.3800000000000274E-2</v>
      </c>
      <c r="BI34" s="19">
        <f t="shared" si="57"/>
        <v>1.5599999999999614E-2</v>
      </c>
      <c r="BJ34" s="19">
        <f t="shared" si="35"/>
        <v>2.8600000000000181E-2</v>
      </c>
      <c r="BK34" s="19">
        <f t="shared" si="36"/>
        <v>-3.9000000000000146E-3</v>
      </c>
      <c r="BL34" s="19">
        <f t="shared" si="45"/>
        <v>-1.0399999999999965E-2</v>
      </c>
      <c r="BM34" s="19">
        <f t="shared" si="45"/>
        <v>0</v>
      </c>
      <c r="BN34" s="19">
        <f t="shared" si="45"/>
        <v>1.2999999999998568E-3</v>
      </c>
      <c r="BO34" s="19">
        <f t="shared" si="45"/>
        <v>3.1200000000000117E-2</v>
      </c>
      <c r="BP34" s="19">
        <f t="shared" si="58"/>
        <v>2.4700000000000166E-2</v>
      </c>
      <c r="BQ34" s="19">
        <f t="shared" si="58"/>
        <v>-2.8600000000000181E-2</v>
      </c>
      <c r="BR34" s="19">
        <f t="shared" si="58"/>
        <v>-1.1700000000000044E-2</v>
      </c>
      <c r="BS34" s="19">
        <f t="shared" si="38"/>
        <v>-5.7199999999999918E-2</v>
      </c>
      <c r="BT34" s="19">
        <f t="shared" si="46"/>
        <v>5.3300000000000125E-2</v>
      </c>
      <c r="BU34" s="19">
        <f t="shared" si="59"/>
        <v>5.1999999999998714E-3</v>
      </c>
      <c r="BV34" s="19">
        <f t="shared" si="60"/>
        <v>-1.4299999999999979E-2</v>
      </c>
      <c r="BW34" s="19">
        <f t="shared" si="40"/>
        <v>-5.2000000000000934E-3</v>
      </c>
      <c r="BX34" s="19">
        <f t="shared" si="41"/>
        <v>2.0800000000000152E-2</v>
      </c>
      <c r="BY34" s="19">
        <f t="shared" si="41"/>
        <v>7.8000000000000291E-3</v>
      </c>
      <c r="BZ34" s="19">
        <f t="shared" si="41"/>
        <v>2.2100000000000009E-2</v>
      </c>
      <c r="CA34" s="19">
        <f t="shared" si="41"/>
        <v>6.4999999999999503E-3</v>
      </c>
      <c r="CB34" s="19">
        <f t="shared" si="42"/>
        <v>-5.2000000000000934E-3</v>
      </c>
      <c r="CC34" s="19">
        <f t="shared" si="42"/>
        <v>-7.7999999999998071E-3</v>
      </c>
      <c r="CD34" s="19">
        <f t="shared" si="42"/>
        <v>5.1999999999998714E-3</v>
      </c>
      <c r="CE34" s="65"/>
      <c r="CG34" s="20">
        <f t="shared" si="47"/>
        <v>1.7277033333333343</v>
      </c>
      <c r="CH34" s="20">
        <f>PIB!AS19</f>
        <v>1.7929999999999999</v>
      </c>
      <c r="CI34" s="20">
        <f>PIB!AT19</f>
        <v>1.806</v>
      </c>
      <c r="CJ34" s="20">
        <f>PIB!AU19</f>
        <v>1.637</v>
      </c>
      <c r="CK34" s="20">
        <f>PIB!AV19</f>
        <v>1.7734999999999999</v>
      </c>
      <c r="CL34" s="20">
        <f>PIB!AW19</f>
        <v>1.6278999999999999</v>
      </c>
      <c r="CM34" s="20">
        <f>PIB!AX19</f>
        <v>1.585</v>
      </c>
      <c r="CN34" s="20">
        <f>PIB!AY19</f>
        <v>1.5577000000000001</v>
      </c>
      <c r="CO34" s="20">
        <f>PIB!AZ19</f>
        <v>1.6825000000000001</v>
      </c>
      <c r="CP34" s="20">
        <f>PIB!BA19</f>
        <v>1.6851</v>
      </c>
      <c r="CQ34" s="20">
        <f>PIB!BB19</f>
        <v>1.6994</v>
      </c>
      <c r="CR34" s="20">
        <f>PIB!BC19</f>
        <v>1.7501000000000002</v>
      </c>
      <c r="CS34" s="20">
        <f>PIB!BD19</f>
        <v>1.702</v>
      </c>
      <c r="CT34" s="20">
        <f>PIB!BE19</f>
        <v>1.7084999999999999</v>
      </c>
      <c r="CU34" s="20">
        <f>PIB!BF19</f>
        <v>1.7345000000000002</v>
      </c>
      <c r="CV34" s="20">
        <f>PIB!BG19</f>
        <v>1.7345000000000002</v>
      </c>
      <c r="CW34" s="20">
        <f>PIB!BH19</f>
        <v>1.7865</v>
      </c>
      <c r="CX34" s="20">
        <f>PIB!BI19</f>
        <v>1.7865</v>
      </c>
      <c r="CY34" s="20">
        <f>PIB!BJ19</f>
        <v>1.7799999999999998</v>
      </c>
      <c r="CZ34" s="20">
        <f>PIB!BK19</f>
        <v>1.7084999999999999</v>
      </c>
      <c r="DA34" s="20">
        <f>PIB!BL19</f>
        <v>1.7241</v>
      </c>
      <c r="DB34" s="20">
        <f>PIB!BM19</f>
        <v>1.7526999999999999</v>
      </c>
      <c r="DC34" s="20">
        <f>PIB!BN19</f>
        <v>1.7241</v>
      </c>
      <c r="DD34" s="20">
        <f>PIB!BO19</f>
        <v>1.7241</v>
      </c>
      <c r="DE34" s="20">
        <f>PIB!BP19</f>
        <v>1.7150000000000001</v>
      </c>
      <c r="DF34" s="20">
        <f>PIB!BQ19</f>
        <v>1.7150000000000001</v>
      </c>
      <c r="DG34" s="20">
        <f>PIB!BR19</f>
        <v>1.7189000000000001</v>
      </c>
      <c r="DH34" s="20">
        <f>PIB!BS19</f>
        <v>1.7150000000000001</v>
      </c>
      <c r="DI34" s="20">
        <f>PIB!BT19</f>
        <v>1.7000500000000001</v>
      </c>
      <c r="DJ34" s="20">
        <f>PIB!BU19</f>
        <v>1.7683</v>
      </c>
      <c r="DK34" s="20">
        <f>PIB!BV19</f>
        <v>1.7436</v>
      </c>
      <c r="DL34" s="20">
        <f>PIB!BW19</f>
        <v>1.702</v>
      </c>
      <c r="DM34" s="20">
        <f>PIB!BX19</f>
        <v>1.7254</v>
      </c>
      <c r="DN34" s="20">
        <f>PIB!BY19</f>
        <v>1.7332000000000001</v>
      </c>
      <c r="DO34" s="20">
        <f>PIB!BZ19</f>
        <v>1.7669999999999999</v>
      </c>
      <c r="DP34" s="20">
        <f>PIB!CA19</f>
        <v>1.7150000000000001</v>
      </c>
      <c r="DQ34" s="20">
        <f>PIB!CB19</f>
        <v>1.7669999999999999</v>
      </c>
      <c r="DR34" s="20">
        <f>PIB!CC19</f>
        <v>1.7488000000000001</v>
      </c>
      <c r="DS34" s="20">
        <f>PIB!CD19</f>
        <v>1.7573799999999999</v>
      </c>
      <c r="DT34" s="20">
        <f>PIB!CE19</f>
        <v>1.7734999999999999</v>
      </c>
      <c r="DU34" s="20">
        <f>PIB!CF19</f>
        <v>1.7904</v>
      </c>
      <c r="DV34" s="20">
        <f>PIB!CG19</f>
        <v>1.8033999999999999</v>
      </c>
      <c r="DW34" s="20">
        <f>PIB!CH19</f>
        <v>1.7943</v>
      </c>
      <c r="DX34" s="20">
        <f>PIB!CI19</f>
        <v>1.7890999999999999</v>
      </c>
      <c r="DY34" s="20">
        <f>PIB!CJ19</f>
        <v>1.7865</v>
      </c>
      <c r="DZ34" s="20">
        <f>PIB!CK19</f>
        <v>1.7761</v>
      </c>
      <c r="EA34" s="20">
        <f>PIB!CL19</f>
        <v>1.7968999999999999</v>
      </c>
      <c r="EB34" s="20">
        <f>PIB!CM19</f>
        <v>1.7553000000000001</v>
      </c>
      <c r="EC34" s="20">
        <f>PIB!CN19</f>
        <v>1.7358000000000002</v>
      </c>
      <c r="ED34" s="20">
        <f>PIB!CO19</f>
        <v>1.7514000000000001</v>
      </c>
      <c r="EE34" s="20">
        <f>PIB!CP19</f>
        <v>1.7605</v>
      </c>
      <c r="EF34" s="20">
        <f>PIB!CQ19</f>
        <v>1.7475000000000001</v>
      </c>
      <c r="EG34" s="20">
        <f>PIB!CR19</f>
        <v>1.7124000000000001</v>
      </c>
      <c r="EH34" s="20">
        <f>PIB!CS19</f>
        <v>1.754</v>
      </c>
      <c r="EI34" s="20">
        <f>PIB!CT19</f>
        <v>1.7839</v>
      </c>
      <c r="EJ34" s="20">
        <f>PIB!CU19</f>
        <v>1.8033999999999999</v>
      </c>
      <c r="EK34" s="20">
        <f>PIB!CV19</f>
        <v>1.8073000000000001</v>
      </c>
      <c r="EL34" s="20">
        <f>PIB!CW19</f>
        <v>1.7734999999999999</v>
      </c>
      <c r="EM34" s="20">
        <f>PIB!CX19</f>
        <v>1.7579000000000002</v>
      </c>
      <c r="EN34" s="20">
        <f>PIB!CY19</f>
        <v>1.7293000000000001</v>
      </c>
      <c r="EO34" s="20">
        <f>PIB!CZ19</f>
        <v>1.7332000000000001</v>
      </c>
      <c r="EP34" s="20">
        <f>PIB!DA19</f>
        <v>1.7436</v>
      </c>
      <c r="EQ34" s="20">
        <f>PIB!DB19</f>
        <v>1.7436</v>
      </c>
      <c r="ER34" s="20">
        <f>PIB!DC19</f>
        <v>1.7423000000000002</v>
      </c>
      <c r="ES34" s="20">
        <f>PIB!DD19</f>
        <v>1.7111000000000001</v>
      </c>
      <c r="ET34" s="20">
        <f>PIB!DE19</f>
        <v>1.6863999999999999</v>
      </c>
      <c r="EU34" s="20">
        <f>PIB!DF19</f>
        <v>1.7150000000000001</v>
      </c>
      <c r="EV34" s="20">
        <f>PIB!DG19</f>
        <v>1.7267000000000001</v>
      </c>
      <c r="EW34" s="20">
        <f>PIB!DH19</f>
        <v>1.7839</v>
      </c>
      <c r="EX34" s="20">
        <f>PIB!DI19</f>
        <v>1.7305999999999999</v>
      </c>
      <c r="EY34" s="20">
        <f>PIB!DJ19</f>
        <v>1.7254</v>
      </c>
      <c r="EZ34" s="20">
        <f>PIB!DK19</f>
        <v>1.7397</v>
      </c>
      <c r="FA34" s="20">
        <f>PIB!DL19</f>
        <v>1.7449000000000001</v>
      </c>
      <c r="FB34" s="20">
        <f>PIB!DM19</f>
        <v>1.7241</v>
      </c>
      <c r="FC34" s="20">
        <f>PIB!DN19</f>
        <v>1.7162999999999999</v>
      </c>
      <c r="FD34" s="20">
        <f>PIB!DO19</f>
        <v>1.6941999999999999</v>
      </c>
      <c r="FE34" s="20">
        <f>PIB!DP19</f>
        <v>1.6877</v>
      </c>
      <c r="FF34" s="20">
        <f>PIB!DQ19</f>
        <v>1.6929000000000001</v>
      </c>
      <c r="FG34" s="20">
        <f>PIB!DR19</f>
        <v>1.7006999999999999</v>
      </c>
      <c r="FH34" s="20">
        <f>PIB!DS19</f>
        <v>1.6955</v>
      </c>
    </row>
    <row r="35" spans="1:164">
      <c r="A35" s="8" t="s">
        <v>203</v>
      </c>
      <c r="B35" s="263" t="s">
        <v>236</v>
      </c>
      <c r="C35" s="19">
        <f t="shared" si="48"/>
        <v>-8.3858524722197902E-2</v>
      </c>
      <c r="D35" s="19">
        <f t="shared" si="49"/>
        <v>-2.4750001325176907E-2</v>
      </c>
      <c r="E35" s="19">
        <f t="shared" si="50"/>
        <v>-1.3247254603449221E-2</v>
      </c>
      <c r="F35" s="19">
        <f t="shared" si="51"/>
        <v>4.6105083899060872E-2</v>
      </c>
      <c r="G35" s="19">
        <f t="shared" si="52"/>
        <v>2.9073134237151077E-2</v>
      </c>
      <c r="H35" s="19">
        <f t="shared" si="53"/>
        <v>5.9118859195824047E-2</v>
      </c>
      <c r="I35" s="19">
        <f t="shared" si="54"/>
        <v>-8.6830163146700556E-5</v>
      </c>
      <c r="J35" s="19">
        <f t="shared" si="54"/>
        <v>3.2574792515207562E-3</v>
      </c>
      <c r="K35" s="19">
        <f t="shared" si="44"/>
        <v>-3.8012686657129535E-4</v>
      </c>
      <c r="L35" s="19">
        <f t="shared" si="1"/>
        <v>1.8683048847686123E-2</v>
      </c>
      <c r="M35" s="19">
        <f t="shared" si="2"/>
        <v>7.9110784530334044E-4</v>
      </c>
      <c r="N35" s="19">
        <f t="shared" si="3"/>
        <v>-6.6944273163800361E-3</v>
      </c>
      <c r="O35" s="19">
        <f t="shared" si="4"/>
        <v>0</v>
      </c>
      <c r="P35" s="19">
        <f t="shared" si="5"/>
        <v>-8.2463421941092463E-4</v>
      </c>
      <c r="Q35" s="19">
        <f t="shared" si="5"/>
        <v>1.0046984212649601E-2</v>
      </c>
      <c r="R35" s="19">
        <f t="shared" si="6"/>
        <v>4.5027761333837901E-3</v>
      </c>
      <c r="S35" s="19">
        <f t="shared" si="7"/>
        <v>-2.9430413821779577E-2</v>
      </c>
      <c r="T35" s="19">
        <f t="shared" si="8"/>
        <v>4.519631951005465E-4</v>
      </c>
      <c r="U35" s="19">
        <f t="shared" si="8"/>
        <v>-1.8607133413839794E-2</v>
      </c>
      <c r="V35" s="19">
        <f t="shared" si="8"/>
        <v>4.7634902316850969E-5</v>
      </c>
      <c r="W35" s="19">
        <f t="shared" si="8"/>
        <v>4.4370490254621586E-3</v>
      </c>
      <c r="X35" s="19">
        <f t="shared" si="55"/>
        <v>-2.6230724562451346E-2</v>
      </c>
      <c r="Y35" s="19">
        <f t="shared" si="55"/>
        <v>-6.4619707682567196E-5</v>
      </c>
      <c r="Z35" s="19">
        <f t="shared" si="9"/>
        <v>5.4043070734119958E-3</v>
      </c>
      <c r="AA35" s="19">
        <f t="shared" si="10"/>
        <v>0</v>
      </c>
      <c r="AB35" s="19">
        <f t="shared" si="10"/>
        <v>2.2606047995044065E-4</v>
      </c>
      <c r="AC35" s="19">
        <f t="shared" si="10"/>
        <v>9.1088653528035302E-3</v>
      </c>
      <c r="AD35" s="19">
        <f t="shared" si="10"/>
        <v>7.7395353948581658E-3</v>
      </c>
      <c r="AE35" s="19">
        <f t="shared" si="11"/>
        <v>-3.9947558085771107E-3</v>
      </c>
      <c r="AF35" s="19">
        <f t="shared" si="11"/>
        <v>-2.8784957602687733E-3</v>
      </c>
      <c r="AG35" s="19">
        <f t="shared" si="12"/>
        <v>2.3023468819363124E-3</v>
      </c>
      <c r="AH35" s="19">
        <f t="shared" si="13"/>
        <v>-5.7878933831934098E-3</v>
      </c>
      <c r="AI35" s="19">
        <f t="shared" si="14"/>
        <v>1.5334065568328725E-4</v>
      </c>
      <c r="AJ35" s="19">
        <f t="shared" si="15"/>
        <v>1.4740539781822548E-2</v>
      </c>
      <c r="AK35" s="19">
        <f t="shared" si="16"/>
        <v>-9.4061170852199893E-5</v>
      </c>
      <c r="AL35" s="19">
        <f t="shared" si="16"/>
        <v>1.5686304563722331E-5</v>
      </c>
      <c r="AM35" s="19">
        <f t="shared" si="17"/>
        <v>-1.7275749175604815E-4</v>
      </c>
      <c r="AN35" s="19">
        <f t="shared" si="18"/>
        <v>0</v>
      </c>
      <c r="AO35" s="19">
        <f t="shared" si="19"/>
        <v>1.3682648306950984E-2</v>
      </c>
      <c r="AP35" s="19">
        <f t="shared" si="20"/>
        <v>8.9668984341706448E-5</v>
      </c>
      <c r="AQ35" s="19">
        <f t="shared" si="20"/>
        <v>-1.9841906670898801E-3</v>
      </c>
      <c r="AR35" s="19">
        <f t="shared" si="20"/>
        <v>-1.7800721281325149E-2</v>
      </c>
      <c r="AS35" s="19">
        <f t="shared" si="21"/>
        <v>1.3369870087268865E-2</v>
      </c>
      <c r="AT35" s="19">
        <f t="shared" si="22"/>
        <v>2.8004577188944779E-4</v>
      </c>
      <c r="AU35" s="60" t="s">
        <v>40</v>
      </c>
      <c r="AV35" s="19">
        <f t="shared" si="23"/>
        <v>3.0804347393420528E-4</v>
      </c>
      <c r="AW35" s="19">
        <f t="shared" si="24"/>
        <v>-7.4045765908583583E-3</v>
      </c>
      <c r="AX35" s="19">
        <f t="shared" si="25"/>
        <v>1.0307114900363068E-3</v>
      </c>
      <c r="AY35" s="19">
        <f t="shared" si="26"/>
        <v>-4.2270474960601767E-3</v>
      </c>
      <c r="AZ35" s="19">
        <f t="shared" si="27"/>
        <v>6.9463517721017887E-3</v>
      </c>
      <c r="BA35" s="19">
        <f t="shared" si="28"/>
        <v>0</v>
      </c>
      <c r="BB35" s="19">
        <f t="shared" ref="BB35:BB66" si="61">+EE35-EF35</f>
        <v>0</v>
      </c>
      <c r="BC35" s="19">
        <f t="shared" si="30"/>
        <v>-1.7238851608287753E-3</v>
      </c>
      <c r="BD35" s="19">
        <f t="shared" si="31"/>
        <v>-4.4221754289677229E-3</v>
      </c>
      <c r="BE35" s="19">
        <f t="shared" si="32"/>
        <v>1.4965194163707451E-4</v>
      </c>
      <c r="BF35" s="19">
        <f t="shared" si="33"/>
        <v>1.1292968719814667E-2</v>
      </c>
      <c r="BG35" s="19">
        <f t="shared" si="33"/>
        <v>3.103147294414299E-5</v>
      </c>
      <c r="BH35" s="19">
        <f t="shared" si="56"/>
        <v>1.941581538552839E-3</v>
      </c>
      <c r="BI35" s="19">
        <f t="shared" si="57"/>
        <v>2.5375870163055758E-3</v>
      </c>
      <c r="BJ35" s="19">
        <f t="shared" si="35"/>
        <v>-5.9519752197547682E-3</v>
      </c>
      <c r="BK35" s="19">
        <f t="shared" si="36"/>
        <v>-4.2655844357391004E-3</v>
      </c>
      <c r="BL35" s="19">
        <f t="shared" si="45"/>
        <v>-9.984392877200321E-3</v>
      </c>
      <c r="BM35" s="19">
        <f t="shared" si="45"/>
        <v>-9.3698542957376674E-5</v>
      </c>
      <c r="BN35" s="19">
        <f t="shared" si="45"/>
        <v>-1.5629454576782109E-5</v>
      </c>
      <c r="BO35" s="19">
        <f t="shared" si="45"/>
        <v>-9.0384387398265709E-3</v>
      </c>
      <c r="BP35" s="19">
        <f t="shared" si="58"/>
        <v>0</v>
      </c>
      <c r="BQ35" s="19">
        <f t="shared" si="58"/>
        <v>6.3785689356206099E-3</v>
      </c>
      <c r="BR35" s="19">
        <f t="shared" si="58"/>
        <v>1.0929897296030333E-4</v>
      </c>
      <c r="BS35" s="19">
        <f t="shared" si="38"/>
        <v>4.9196262727280171E-3</v>
      </c>
      <c r="BT35" s="19">
        <f t="shared" si="46"/>
        <v>-2.1602944353045217E-3</v>
      </c>
      <c r="BU35" s="19">
        <f t="shared" si="59"/>
        <v>-3.6352084231543458E-3</v>
      </c>
      <c r="BV35" s="19">
        <f t="shared" si="60"/>
        <v>1.3787919840968499E-5</v>
      </c>
      <c r="BW35" s="19">
        <f t="shared" si="40"/>
        <v>2.8043046919779879E-2</v>
      </c>
      <c r="BX35" s="19">
        <f t="shared" si="41"/>
        <v>-6.1128281630469239E-3</v>
      </c>
      <c r="BY35" s="19">
        <f t="shared" si="41"/>
        <v>1.2334887849028142E-2</v>
      </c>
      <c r="BZ35" s="19">
        <f t="shared" si="41"/>
        <v>2.0059351440484541E-3</v>
      </c>
      <c r="CA35" s="19">
        <f t="shared" si="41"/>
        <v>-4.4736175615307516E-3</v>
      </c>
      <c r="CB35" s="19">
        <f t="shared" si="42"/>
        <v>1.3406134809406112E-3</v>
      </c>
      <c r="CC35" s="19">
        <f t="shared" si="42"/>
        <v>1.289965101616275E-4</v>
      </c>
      <c r="CD35" s="19">
        <f t="shared" si="42"/>
        <v>3.0056303400414208E-3</v>
      </c>
      <c r="CE35" s="65"/>
      <c r="CG35" s="20">
        <f t="shared" si="47"/>
        <v>2.0704874598261975</v>
      </c>
      <c r="CH35" s="20">
        <f>Dimethylethanolamine!AR16</f>
        <v>2.1543459845483954</v>
      </c>
      <c r="CI35" s="20">
        <f>Dimethylethanolamine!AS16</f>
        <v>2.1790959858735723</v>
      </c>
      <c r="CJ35" s="20">
        <f>Dimethylethanolamine!AT16</f>
        <v>2.1923432404770216</v>
      </c>
      <c r="CK35" s="20">
        <f>Dimethylethanolamine!AU16</f>
        <v>2.1462381565779607</v>
      </c>
      <c r="CL35" s="20">
        <f>Dimethylethanolamine!AV16</f>
        <v>2.1171650223408096</v>
      </c>
      <c r="CM35" s="20">
        <f>Dimethylethanolamine!AW16</f>
        <v>2.0580461631449856</v>
      </c>
      <c r="CN35" s="20">
        <f>Dimethylethanolamine!AX16</f>
        <v>2.0581329933081323</v>
      </c>
      <c r="CO35" s="20">
        <f>Dimethylethanolamine!AY16</f>
        <v>2.0548755140566115</v>
      </c>
      <c r="CP35" s="20">
        <f>Dimethylethanolamine!AZ16</f>
        <v>2.0552556409231828</v>
      </c>
      <c r="CQ35" s="20">
        <f>Dimethylethanolamine!BA16</f>
        <v>2.0365725920754967</v>
      </c>
      <c r="CR35" s="20">
        <f>Dimethylethanolamine!BB16</f>
        <v>2.0357814842301933</v>
      </c>
      <c r="CS35" s="20">
        <f>Dimethylethanolamine!BC16</f>
        <v>2.0424759115465734</v>
      </c>
      <c r="CT35" s="20">
        <f>Dimethylethanolamine!BD16</f>
        <v>2.0424759115465734</v>
      </c>
      <c r="CU35" s="20">
        <f>Dimethylethanolamine!BE16</f>
        <v>2.0433005457659843</v>
      </c>
      <c r="CV35" s="20">
        <f>Dimethylethanolamine!BF16</f>
        <v>2.0332535615533347</v>
      </c>
      <c r="CW35" s="20">
        <f>Dimethylethanolamine!BG16</f>
        <v>2.0287507854199509</v>
      </c>
      <c r="CX35" s="20">
        <f>Dimethylethanolamine!BH16</f>
        <v>2.0581811992417305</v>
      </c>
      <c r="CY35" s="20">
        <f>Dimethylethanolamine!BI16</f>
        <v>2.0577292360466299</v>
      </c>
      <c r="CZ35" s="20">
        <f>Dimethylethanolamine!BJ16</f>
        <v>2.0763363694604697</v>
      </c>
      <c r="DA35" s="20">
        <f>Dimethylethanolamine!BK16</f>
        <v>2.0762887345581529</v>
      </c>
      <c r="DB35" s="20">
        <f>Dimethylethanolamine!BL16</f>
        <v>2.0718516855326907</v>
      </c>
      <c r="DC35" s="20">
        <f>Dimethylethanolamine!BM16</f>
        <v>2.0980824100951421</v>
      </c>
      <c r="DD35" s="20">
        <f>Dimethylethanolamine!BN16</f>
        <v>2.0981470298028246</v>
      </c>
      <c r="DE35" s="20">
        <f>Dimethylethanolamine!BO16</f>
        <v>2.0927427227294126</v>
      </c>
      <c r="DF35" s="20">
        <f>Dimethylethanolamine!BP16</f>
        <v>2.0927427227294126</v>
      </c>
      <c r="DG35" s="20">
        <f>Dimethylethanolamine!BQ16</f>
        <v>2.0925166622494622</v>
      </c>
      <c r="DH35" s="20">
        <f>Dimethylethanolamine!BR16</f>
        <v>2.0834077968966587</v>
      </c>
      <c r="DI35" s="20">
        <f>Dimethylethanolamine!BS16</f>
        <v>2.0756682615018005</v>
      </c>
      <c r="DJ35" s="20">
        <f>Dimethylethanolamine!BT16</f>
        <v>2.0796630173103776</v>
      </c>
      <c r="DK35" s="20">
        <f>Dimethylethanolamine!BU16</f>
        <v>2.0825415130706464</v>
      </c>
      <c r="DL35" s="20">
        <f>Dimethylethanolamine!BV16</f>
        <v>2.0802391661887101</v>
      </c>
      <c r="DM35" s="20">
        <f>Dimethylethanolamine!BW16</f>
        <v>2.0860270595719035</v>
      </c>
      <c r="DN35" s="20">
        <f>Dimethylethanolamine!BX16</f>
        <v>2.0858737189162202</v>
      </c>
      <c r="DO35" s="20">
        <f>Dimethylethanolamine!BY16</f>
        <v>2.0711331791343977</v>
      </c>
      <c r="DP35" s="20">
        <f>Dimethylethanolamine!BZ16</f>
        <v>2.0712272403052499</v>
      </c>
      <c r="DQ35" s="20">
        <f>Dimethylethanolamine!CA16</f>
        <v>2.0712115540006861</v>
      </c>
      <c r="DR35" s="20">
        <f>Dimethylethanolamine!CB16</f>
        <v>2.0713843114924422</v>
      </c>
      <c r="DS35" s="20">
        <f>Dimethylethanolamine!CC16</f>
        <v>2.0713843114924422</v>
      </c>
      <c r="DT35" s="20">
        <f>Dimethylethanolamine!CD16</f>
        <v>2.0577016631854912</v>
      </c>
      <c r="DU35" s="20">
        <f>Dimethylethanolamine!CE16</f>
        <v>2.0576119942011495</v>
      </c>
      <c r="DV35" s="20">
        <f>Dimethylethanolamine!CF16</f>
        <v>2.0595961848682394</v>
      </c>
      <c r="DW35" s="20">
        <f>Dimethylethanolamine!CG16</f>
        <v>2.0773969061495645</v>
      </c>
      <c r="DX35" s="20">
        <f>Dimethylethanolamine!CH16</f>
        <v>2.0640270360622957</v>
      </c>
      <c r="DY35" s="20">
        <f>Dimethylethanolamine!CI16</f>
        <v>2.0637469902904062</v>
      </c>
      <c r="DZ35" s="20">
        <f>Dimethylethanolamine!CJ16</f>
        <v>2.063438946816472</v>
      </c>
      <c r="EA35" s="20">
        <f>Dimethylethanolamine!CK16</f>
        <v>2.0708435234073304</v>
      </c>
      <c r="EB35" s="20">
        <f>Dimethylethanolamine!CL16</f>
        <v>2.069812811917294</v>
      </c>
      <c r="EC35" s="20">
        <f>Dimethylethanolamine!CM16</f>
        <v>2.0740398594133542</v>
      </c>
      <c r="ED35" s="20">
        <f>Dimethylethanolamine!CN16</f>
        <v>2.0670935076412524</v>
      </c>
      <c r="EE35" s="20">
        <f>Dimethylethanolamine!CO16</f>
        <v>2.0670935076412524</v>
      </c>
      <c r="EF35" s="20">
        <f>Dimethylethanolamine!CP16</f>
        <v>2.0670935076412524</v>
      </c>
      <c r="EG35" s="20">
        <f>Dimethylethanolamine!CQ16</f>
        <v>2.0688173928020812</v>
      </c>
      <c r="EH35" s="20">
        <f>Dimethylethanolamine!CR16</f>
        <v>2.0732395682310489</v>
      </c>
      <c r="EI35" s="20">
        <f>Dimethylethanolamine!CS16</f>
        <v>2.0730899162894119</v>
      </c>
      <c r="EJ35" s="20">
        <f>Dimethylethanolamine!CT16</f>
        <v>2.0617969475695972</v>
      </c>
      <c r="EK35" s="20">
        <f>Dimethylethanolamine!CU16</f>
        <v>2.0617659160966531</v>
      </c>
      <c r="EL35" s="20">
        <f>Dimethylethanolamine!CV16</f>
        <v>2.0598243345581002</v>
      </c>
      <c r="EM35" s="20">
        <f>Dimethylethanolamine!CW16</f>
        <v>2.0572867475417946</v>
      </c>
      <c r="EN35" s="20">
        <f>Dimethylethanolamine!CX16</f>
        <v>2.0632387227615494</v>
      </c>
      <c r="EO35" s="20">
        <f>Dimethylethanolamine!CY16</f>
        <v>2.0675043071972885</v>
      </c>
      <c r="EP35" s="20">
        <f>Dimethylethanolamine!CZ16</f>
        <v>2.0774887000744888</v>
      </c>
      <c r="EQ35" s="20">
        <f>Dimethylethanolamine!DA16</f>
        <v>2.0775823986174462</v>
      </c>
      <c r="ER35" s="20">
        <f>Dimethylethanolamine!DB16</f>
        <v>2.077598028072023</v>
      </c>
      <c r="ES35" s="20">
        <f>Dimethylethanolamine!DC16</f>
        <v>2.0866364668118496</v>
      </c>
      <c r="ET35" s="20">
        <f>Dimethylethanolamine!DD16</f>
        <v>2.0866364668118496</v>
      </c>
      <c r="EU35" s="20">
        <f>Dimethylethanolamine!DE16</f>
        <v>2.0802578978762289</v>
      </c>
      <c r="EV35" s="20">
        <f>Dimethylethanolamine!DF16</f>
        <v>2.0801485989032686</v>
      </c>
      <c r="EW35" s="20">
        <f>Dimethylethanolamine!DG16</f>
        <v>2.0752289726305406</v>
      </c>
      <c r="EX35" s="20">
        <f>Dimethylethanolamine!DH16</f>
        <v>2.0773892670658451</v>
      </c>
      <c r="EY35" s="20">
        <f>Dimethylethanolamine!DI16</f>
        <v>2.0810244754889995</v>
      </c>
      <c r="EZ35" s="20">
        <f>Dimethylethanolamine!DJ16</f>
        <v>2.0810106875691585</v>
      </c>
      <c r="FA35" s="20">
        <f>Dimethylethanolamine!DK16</f>
        <v>2.0529676406493786</v>
      </c>
      <c r="FB35" s="20">
        <f>Dimethylethanolamine!DL16</f>
        <v>2.0590804688124256</v>
      </c>
      <c r="FC35" s="20">
        <f>Dimethylethanolamine!DM16</f>
        <v>2.0467455809633974</v>
      </c>
      <c r="FD35" s="20">
        <f>Dimethylethanolamine!DN16</f>
        <v>2.044739645819349</v>
      </c>
      <c r="FE35" s="20">
        <f>Dimethylethanolamine!DO16</f>
        <v>2.0492132633808797</v>
      </c>
      <c r="FF35" s="20">
        <f>Dimethylethanolamine!DP16</f>
        <v>2.0478726498999391</v>
      </c>
      <c r="FG35" s="20">
        <f>Dimethylethanolamine!DQ16</f>
        <v>2.0477436533897775</v>
      </c>
      <c r="FH35" s="20">
        <f>Dimethylethanolamine!DR16</f>
        <v>2.0447380230497361</v>
      </c>
    </row>
    <row r="36" spans="1:164">
      <c r="A36" s="8" t="s">
        <v>207</v>
      </c>
      <c r="B36" s="263" t="s">
        <v>74</v>
      </c>
      <c r="C36" s="19">
        <f t="shared" si="48"/>
        <v>0.16565794526723487</v>
      </c>
      <c r="D36" s="19">
        <f t="shared" si="49"/>
        <v>-5.5161189494247642E-2</v>
      </c>
      <c r="E36" s="19">
        <f t="shared" si="50"/>
        <v>-0.10226229650531815</v>
      </c>
      <c r="F36" s="19">
        <f t="shared" si="51"/>
        <v>0</v>
      </c>
      <c r="G36" s="19">
        <f t="shared" si="52"/>
        <v>-2.2039288039939153E-2</v>
      </c>
      <c r="H36" s="19">
        <f t="shared" si="53"/>
        <v>1.2593878879965326E-2</v>
      </c>
      <c r="I36" s="19">
        <f t="shared" si="54"/>
        <v>0.15427501627957452</v>
      </c>
      <c r="J36" s="19">
        <f t="shared" si="54"/>
        <v>-1.8890818319947877E-2</v>
      </c>
      <c r="K36" s="19">
        <f t="shared" si="44"/>
        <v>0</v>
      </c>
      <c r="L36" s="19">
        <f t="shared" si="1"/>
        <v>-1.2593878879965326E-2</v>
      </c>
      <c r="M36" s="19">
        <f t="shared" si="2"/>
        <v>-2.5187757759930429E-2</v>
      </c>
      <c r="N36" s="19">
        <f t="shared" si="3"/>
        <v>-1.8890818319947877E-2</v>
      </c>
      <c r="O36" s="19">
        <f t="shared" si="4"/>
        <v>-6.2969394399827738E-3</v>
      </c>
      <c r="P36" s="19">
        <f t="shared" si="5"/>
        <v>0</v>
      </c>
      <c r="Q36" s="19">
        <f t="shared" si="5"/>
        <v>0</v>
      </c>
      <c r="R36" s="19">
        <f t="shared" si="6"/>
        <v>-1.2593878879965326E-2</v>
      </c>
      <c r="S36" s="19">
        <f t="shared" si="7"/>
        <v>0</v>
      </c>
      <c r="T36" s="19">
        <f t="shared" si="8"/>
        <v>-6.2969394399826406E-2</v>
      </c>
      <c r="U36" s="19">
        <f t="shared" si="8"/>
        <v>-1.8890818319947655E-2</v>
      </c>
      <c r="V36" s="19">
        <f t="shared" si="8"/>
        <v>-1.2593878879965326E-2</v>
      </c>
      <c r="W36" s="19">
        <f t="shared" si="8"/>
        <v>3.7781636639895755E-2</v>
      </c>
      <c r="X36" s="19">
        <f t="shared" si="55"/>
        <v>0</v>
      </c>
      <c r="Y36" s="19">
        <f t="shared" si="55"/>
        <v>0</v>
      </c>
      <c r="Z36" s="19">
        <f t="shared" si="9"/>
        <v>-1.2593878879965326E-2</v>
      </c>
      <c r="AA36" s="19">
        <f t="shared" si="10"/>
        <v>0</v>
      </c>
      <c r="AB36" s="19">
        <f t="shared" si="10"/>
        <v>0</v>
      </c>
      <c r="AC36" s="19">
        <f t="shared" si="10"/>
        <v>3.1484697199913203E-2</v>
      </c>
      <c r="AD36" s="19">
        <f t="shared" si="10"/>
        <v>0</v>
      </c>
      <c r="AE36" s="19">
        <f t="shared" si="11"/>
        <v>0</v>
      </c>
      <c r="AF36" s="19">
        <f t="shared" si="11"/>
        <v>0</v>
      </c>
      <c r="AG36" s="19">
        <f t="shared" si="12"/>
        <v>-3.1484697199913203E-2</v>
      </c>
      <c r="AH36" s="19">
        <f t="shared" si="13"/>
        <v>6.2969394399825518E-3</v>
      </c>
      <c r="AI36" s="19">
        <f t="shared" si="14"/>
        <v>0</v>
      </c>
      <c r="AJ36" s="19">
        <f t="shared" si="15"/>
        <v>-4.4078576079878307E-2</v>
      </c>
      <c r="AK36" s="19">
        <f t="shared" si="16"/>
        <v>0</v>
      </c>
      <c r="AL36" s="19">
        <f t="shared" si="16"/>
        <v>-2.5187757759930429E-2</v>
      </c>
      <c r="AM36" s="19">
        <f t="shared" si="17"/>
        <v>-6.2969394399826406E-2</v>
      </c>
      <c r="AN36" s="19">
        <f t="shared" si="18"/>
        <v>0</v>
      </c>
      <c r="AO36" s="19">
        <f t="shared" si="19"/>
        <v>0</v>
      </c>
      <c r="AP36" s="19">
        <f t="shared" si="20"/>
        <v>0</v>
      </c>
      <c r="AQ36" s="19">
        <f t="shared" si="20"/>
        <v>-1.2593878879965326E-2</v>
      </c>
      <c r="AR36" s="19">
        <f t="shared" si="20"/>
        <v>0</v>
      </c>
      <c r="AS36" s="19">
        <f t="shared" si="21"/>
        <v>0</v>
      </c>
      <c r="AT36" s="19">
        <f t="shared" si="22"/>
        <v>0</v>
      </c>
      <c r="AU36" s="60" t="s">
        <v>64</v>
      </c>
      <c r="AV36" s="19">
        <f t="shared" si="23"/>
        <v>0</v>
      </c>
      <c r="AW36" s="19">
        <f t="shared" si="24"/>
        <v>-2.5187757759930651E-2</v>
      </c>
      <c r="AX36" s="19">
        <f t="shared" si="25"/>
        <v>0</v>
      </c>
      <c r="AY36" s="19">
        <f t="shared" si="26"/>
        <v>-1.2593878879965326E-2</v>
      </c>
      <c r="AZ36" s="19">
        <f t="shared" si="27"/>
        <v>0</v>
      </c>
      <c r="BA36" s="19">
        <f t="shared" si="28"/>
        <v>0</v>
      </c>
      <c r="BB36" s="19">
        <f t="shared" si="61"/>
        <v>0</v>
      </c>
      <c r="BC36" s="19">
        <f t="shared" si="30"/>
        <v>0</v>
      </c>
      <c r="BD36" s="19">
        <f t="shared" si="31"/>
        <v>6.2969394399827738E-3</v>
      </c>
      <c r="BE36" s="19">
        <f t="shared" si="32"/>
        <v>-1.2593878879965104E-2</v>
      </c>
      <c r="BF36" s="19">
        <f t="shared" si="33"/>
        <v>6.2969394399823297E-3</v>
      </c>
      <c r="BG36" s="19">
        <f t="shared" si="33"/>
        <v>0</v>
      </c>
      <c r="BH36" s="19">
        <f t="shared" si="56"/>
        <v>0</v>
      </c>
      <c r="BI36" s="19">
        <f t="shared" si="57"/>
        <v>3.7781636639895977E-2</v>
      </c>
      <c r="BJ36" s="19">
        <f t="shared" si="35"/>
        <v>2.5187757759930429E-2</v>
      </c>
      <c r="BK36" s="19">
        <f t="shared" si="36"/>
        <v>0</v>
      </c>
      <c r="BL36" s="19">
        <f t="shared" si="45"/>
        <v>0</v>
      </c>
      <c r="BM36" s="19">
        <f t="shared" si="45"/>
        <v>0</v>
      </c>
      <c r="BN36" s="19">
        <f t="shared" si="45"/>
        <v>9.4454091599740497E-3</v>
      </c>
      <c r="BO36" s="19">
        <f t="shared" si="45"/>
        <v>6.6117864119817682E-2</v>
      </c>
      <c r="BP36" s="19">
        <f t="shared" si="58"/>
        <v>6.2969394399827738E-3</v>
      </c>
      <c r="BQ36" s="19">
        <f t="shared" si="58"/>
        <v>0.10075103103972194</v>
      </c>
      <c r="BR36" s="19">
        <f t="shared" si="58"/>
        <v>3.1484697199913203E-2</v>
      </c>
      <c r="BS36" s="19">
        <f t="shared" si="38"/>
        <v>-1.8890818319947877E-2</v>
      </c>
      <c r="BT36" s="19">
        <f t="shared" si="46"/>
        <v>1.2593878879965326E-2</v>
      </c>
      <c r="BU36" s="19">
        <f t="shared" si="59"/>
        <v>1.8890818319947877E-2</v>
      </c>
      <c r="BV36" s="19">
        <f t="shared" si="60"/>
        <v>0</v>
      </c>
      <c r="BW36" s="19">
        <f t="shared" si="40"/>
        <v>0</v>
      </c>
      <c r="BX36" s="19">
        <f t="shared" si="41"/>
        <v>2.5187757759930651E-2</v>
      </c>
      <c r="BY36" s="19">
        <f t="shared" si="41"/>
        <v>3.7781636639895533E-2</v>
      </c>
      <c r="BZ36" s="19">
        <f t="shared" si="41"/>
        <v>1.2593878879965326E-2</v>
      </c>
      <c r="CA36" s="19">
        <f t="shared" si="41"/>
        <v>0</v>
      </c>
      <c r="CB36" s="19">
        <f t="shared" si="42"/>
        <v>2.5187757759930651E-2</v>
      </c>
      <c r="CC36" s="19">
        <f t="shared" si="42"/>
        <v>1.2593878879965326E-2</v>
      </c>
      <c r="CD36" s="19">
        <f t="shared" si="42"/>
        <v>6.2969394399825518E-3</v>
      </c>
      <c r="CE36" s="65"/>
      <c r="CG36" s="20">
        <f t="shared" si="47"/>
        <v>1.5705743767844913</v>
      </c>
      <c r="CH36" s="20">
        <f>ISOPHORONE!AR15</f>
        <v>1.4049164315172564</v>
      </c>
      <c r="CI36" s="20">
        <f>ISOPHORONE!AS15</f>
        <v>1.4600776210115041</v>
      </c>
      <c r="CJ36" s="20">
        <f>ISOPHORONE!AT15</f>
        <v>1.5623399175168222</v>
      </c>
      <c r="CK36" s="20">
        <f>ISOPHORONE!AU15</f>
        <v>1.5623399175168222</v>
      </c>
      <c r="CL36" s="20">
        <f>ISOPHORONE!AV15</f>
        <v>1.5843792055567614</v>
      </c>
      <c r="CM36" s="20">
        <f>ISOPHORONE!AW15</f>
        <v>1.571785326676796</v>
      </c>
      <c r="CN36" s="20">
        <f>ISOPHORONE!AX15</f>
        <v>1.4175103103972215</v>
      </c>
      <c r="CO36" s="20">
        <f>ISOPHORONE!AY15</f>
        <v>1.4364011287171694</v>
      </c>
      <c r="CP36" s="20">
        <f>ISOPHORONE!AZ15</f>
        <v>1.4364011287171694</v>
      </c>
      <c r="CQ36" s="20">
        <f>ISOPHORONE!BA15</f>
        <v>1.4489950075971347</v>
      </c>
      <c r="CR36" s="20">
        <f>ISOPHORONE!BB15</f>
        <v>1.4741827653570652</v>
      </c>
      <c r="CS36" s="20">
        <f>ISOPHORONE!BC15</f>
        <v>1.493073583677013</v>
      </c>
      <c r="CT36" s="20">
        <f>ISOPHORONE!BD15</f>
        <v>1.4993705231169958</v>
      </c>
      <c r="CU36" s="20">
        <f>ISOPHORONE!BE15</f>
        <v>1.4993705231169958</v>
      </c>
      <c r="CV36" s="20">
        <f>ISOPHORONE!BF15</f>
        <v>1.4993705231169958</v>
      </c>
      <c r="CW36" s="20">
        <f>ISOPHORONE!BG15</f>
        <v>1.5119644019969611</v>
      </c>
      <c r="CX36" s="20">
        <f>ISOPHORONE!BH15</f>
        <v>1.5119644019969611</v>
      </c>
      <c r="CY36" s="20">
        <f>ISOPHORONE!BI15</f>
        <v>1.5749337963967875</v>
      </c>
      <c r="CZ36" s="20">
        <f>ISOPHORONE!BJ15</f>
        <v>1.5938246147167352</v>
      </c>
      <c r="DA36" s="20">
        <f>ISOPHORONE!BK15</f>
        <v>1.6064184935967005</v>
      </c>
      <c r="DB36" s="20">
        <f>ISOPHORONE!BL15</f>
        <v>1.5686368569568048</v>
      </c>
      <c r="DC36" s="20">
        <f>ISOPHORONE!BM15</f>
        <v>1.5686368569568048</v>
      </c>
      <c r="DD36" s="20">
        <f>ISOPHORONE!BN15</f>
        <v>1.5686368569568048</v>
      </c>
      <c r="DE36" s="20">
        <f>ISOPHORONE!BO15</f>
        <v>1.5812307358367701</v>
      </c>
      <c r="DF36" s="20">
        <f>ISOPHORONE!BP15</f>
        <v>1.5812307358367701</v>
      </c>
      <c r="DG36" s="20">
        <f>ISOPHORONE!BQ15</f>
        <v>1.5812307358367701</v>
      </c>
      <c r="DH36" s="20">
        <f>ISOPHORONE!BR15</f>
        <v>1.5497460386368569</v>
      </c>
      <c r="DI36" s="20">
        <f>ISOPHORONE!BS15</f>
        <v>1.5497460386368569</v>
      </c>
      <c r="DJ36" s="20">
        <f>ISOPHORONE!BT15</f>
        <v>1.5497460386368569</v>
      </c>
      <c r="DK36" s="20">
        <f>ISOPHORONE!BU15</f>
        <v>1.5497460386368569</v>
      </c>
      <c r="DL36" s="20">
        <f>ISOPHORONE!BV15</f>
        <v>1.5812307358367701</v>
      </c>
      <c r="DM36" s="20">
        <f>ISOPHORONE!BW15</f>
        <v>1.5749337963967875</v>
      </c>
      <c r="DN36" s="20">
        <f>ISOPHORONE!BX15</f>
        <v>1.5749337963967875</v>
      </c>
      <c r="DO36" s="20">
        <f>ISOPHORONE!BY15</f>
        <v>1.6190123724766659</v>
      </c>
      <c r="DP36" s="20">
        <f>ISOPHORONE!BZ15</f>
        <v>1.6190123724766659</v>
      </c>
      <c r="DQ36" s="20">
        <f>ISOPHORONE!CA15</f>
        <v>1.6442001302365963</v>
      </c>
      <c r="DR36" s="20">
        <f>ISOPHORONE!CB15</f>
        <v>1.7071695246364227</v>
      </c>
      <c r="DS36" s="20">
        <f>ISOPHORONE!CC15</f>
        <v>1.7071695246364227</v>
      </c>
      <c r="DT36" s="20">
        <f>ISOPHORONE!CD15</f>
        <v>1.7071695246364227</v>
      </c>
      <c r="DU36" s="20">
        <f>ISOPHORONE!CE15</f>
        <v>1.7071695246364227</v>
      </c>
      <c r="DV36" s="20">
        <f>ISOPHORONE!CF15</f>
        <v>1.719763403516388</v>
      </c>
      <c r="DW36" s="20">
        <f>ISOPHORONE!CG15</f>
        <v>1.719763403516388</v>
      </c>
      <c r="DX36" s="20">
        <f>ISOPHORONE!CH15</f>
        <v>1.719763403516388</v>
      </c>
      <c r="DY36" s="20">
        <f>ISOPHORONE!CI15</f>
        <v>1.719763403516388</v>
      </c>
      <c r="DZ36" s="20">
        <f>ISOPHORONE!CJ15</f>
        <v>1.719763403516388</v>
      </c>
      <c r="EA36" s="20">
        <f>ISOPHORONE!CK15</f>
        <v>1.7449511612763187</v>
      </c>
      <c r="EB36" s="20">
        <f>ISOPHORONE!CL15</f>
        <v>1.7449511612763187</v>
      </c>
      <c r="EC36" s="20">
        <f>ISOPHORONE!CM15</f>
        <v>1.757545040156284</v>
      </c>
      <c r="ED36" s="20">
        <f>ISOPHORONE!CN15</f>
        <v>1.757545040156284</v>
      </c>
      <c r="EE36" s="20">
        <f>ISOPHORONE!CO15</f>
        <v>1.757545040156284</v>
      </c>
      <c r="EF36" s="20">
        <f>ISOPHORONE!CP15</f>
        <v>1.757545040156284</v>
      </c>
      <c r="EG36" s="20">
        <f>ISOPHORONE!CQ15</f>
        <v>1.757545040156284</v>
      </c>
      <c r="EH36" s="20">
        <f>ISOPHORONE!CR15</f>
        <v>1.7512481007163012</v>
      </c>
      <c r="EI36" s="20">
        <f>ISOPHORONE!CS15</f>
        <v>1.7638419795962663</v>
      </c>
      <c r="EJ36" s="20">
        <f>ISOPHORONE!CT15</f>
        <v>1.757545040156284</v>
      </c>
      <c r="EK36" s="20">
        <f>ISOPHORONE!CU15</f>
        <v>1.757545040156284</v>
      </c>
      <c r="EL36" s="20">
        <f>ISOPHORONE!CV15</f>
        <v>1.757545040156284</v>
      </c>
      <c r="EM36" s="20">
        <f>ISOPHORONE!CW15</f>
        <v>1.719763403516388</v>
      </c>
      <c r="EN36" s="20">
        <f>ISOPHORONE!CX15</f>
        <v>1.6945756457564576</v>
      </c>
      <c r="EO36" s="20">
        <f>ISOPHORONE!CY15</f>
        <v>1.6945756457564576</v>
      </c>
      <c r="EP36" s="20">
        <f>ISOPHORONE!CZ15</f>
        <v>1.6945756457564576</v>
      </c>
      <c r="EQ36" s="20">
        <f>ISOPHORONE!DA15</f>
        <v>1.6945756457564576</v>
      </c>
      <c r="ER36" s="20">
        <f>ISOPHORONE!DB15</f>
        <v>1.6851302365964835</v>
      </c>
      <c r="ES36" s="20">
        <f>ISOPHORONE!DC15</f>
        <v>1.6190123724766659</v>
      </c>
      <c r="ET36" s="20">
        <f>ISOPHORONE!DD15</f>
        <v>1.6127154330366831</v>
      </c>
      <c r="EU36" s="20">
        <f>ISOPHORONE!DE15</f>
        <v>1.5119644019969611</v>
      </c>
      <c r="EV36" s="20">
        <f>ISOPHORONE!DF15</f>
        <v>1.4804797047970479</v>
      </c>
      <c r="EW36" s="20">
        <f>ISOPHORONE!DG15</f>
        <v>1.4993705231169958</v>
      </c>
      <c r="EX36" s="20">
        <f>ISOPHORONE!DH15</f>
        <v>1.4867766442370305</v>
      </c>
      <c r="EY36" s="20">
        <f>ISOPHORONE!DI15</f>
        <v>1.4678858259170826</v>
      </c>
      <c r="EZ36" s="20">
        <f>ISOPHORONE!DJ15</f>
        <v>1.4678858259170826</v>
      </c>
      <c r="FA36" s="20">
        <f>ISOPHORONE!DK15</f>
        <v>1.4678858259170826</v>
      </c>
      <c r="FB36" s="20">
        <f>ISOPHORONE!DL15</f>
        <v>1.442698068157152</v>
      </c>
      <c r="FC36" s="20">
        <f>ISOPHORONE!DM15</f>
        <v>1.4049164315172564</v>
      </c>
      <c r="FD36" s="20">
        <f>ISOPHORONE!DN15</f>
        <v>1.3923225526372911</v>
      </c>
      <c r="FE36" s="20">
        <f>ISOPHORONE!DO15</f>
        <v>1.3923225526372911</v>
      </c>
      <c r="FF36" s="20">
        <f>ISOPHORONE!DP15</f>
        <v>1.3671347948773604</v>
      </c>
      <c r="FG36" s="20">
        <f>ISOPHORONE!DQ15</f>
        <v>1.3545409159973951</v>
      </c>
      <c r="FH36" s="20">
        <f>ISOPHORONE!DR15</f>
        <v>1.3482439765574126</v>
      </c>
    </row>
    <row r="37" spans="1:164">
      <c r="A37" s="8" t="s">
        <v>207</v>
      </c>
      <c r="B37" s="263" t="s">
        <v>237</v>
      </c>
      <c r="C37" s="19">
        <f t="shared" si="48"/>
        <v>-0.2921177588836712</v>
      </c>
      <c r="D37" s="19">
        <f t="shared" si="49"/>
        <v>-0.11691761095869513</v>
      </c>
      <c r="E37" s="19">
        <f t="shared" si="50"/>
        <v>1.1082296397970792</v>
      </c>
      <c r="F37" s="19">
        <f t="shared" si="51"/>
        <v>-0.90250059208325717</v>
      </c>
      <c r="G37" s="19">
        <f t="shared" si="52"/>
        <v>-0.17480520008108114</v>
      </c>
      <c r="H37" s="19">
        <f t="shared" si="53"/>
        <v>0</v>
      </c>
      <c r="I37" s="19">
        <f t="shared" si="54"/>
        <v>0.37346150502394604</v>
      </c>
      <c r="J37" s="19">
        <f t="shared" si="54"/>
        <v>0</v>
      </c>
      <c r="K37" s="19">
        <f t="shared" si="44"/>
        <v>0</v>
      </c>
      <c r="L37" s="19">
        <f t="shared" si="1"/>
        <v>0</v>
      </c>
      <c r="M37" s="19">
        <f t="shared" si="2"/>
        <v>1.0596494035811643E-2</v>
      </c>
      <c r="N37" s="19">
        <f t="shared" si="3"/>
        <v>0</v>
      </c>
      <c r="O37" s="19">
        <f t="shared" si="4"/>
        <v>0</v>
      </c>
      <c r="P37" s="19">
        <f t="shared" si="5"/>
        <v>0</v>
      </c>
      <c r="Q37" s="19">
        <f t="shared" si="5"/>
        <v>-6.5490919506896894E-2</v>
      </c>
      <c r="R37" s="19">
        <f t="shared" si="6"/>
        <v>0</v>
      </c>
      <c r="S37" s="19">
        <f t="shared" si="7"/>
        <v>0</v>
      </c>
      <c r="T37" s="19">
        <f t="shared" si="8"/>
        <v>0</v>
      </c>
      <c r="U37" s="19">
        <f t="shared" si="8"/>
        <v>-8.5482800714627993E-2</v>
      </c>
      <c r="V37" s="19">
        <f t="shared" si="8"/>
        <v>0</v>
      </c>
      <c r="W37" s="19">
        <f t="shared" si="8"/>
        <v>0</v>
      </c>
      <c r="X37" s="19">
        <f t="shared" si="55"/>
        <v>0.33976818446665691</v>
      </c>
      <c r="Y37" s="19">
        <f t="shared" si="55"/>
        <v>0</v>
      </c>
      <c r="Z37" s="19">
        <f t="shared" si="9"/>
        <v>0</v>
      </c>
      <c r="AA37" s="19">
        <f t="shared" si="10"/>
        <v>0</v>
      </c>
      <c r="AB37" s="19">
        <f t="shared" si="10"/>
        <v>7.170747770007746E-2</v>
      </c>
      <c r="AC37" s="19">
        <f t="shared" si="10"/>
        <v>-8.3658723983423666E-2</v>
      </c>
      <c r="AD37" s="19">
        <f t="shared" si="10"/>
        <v>0</v>
      </c>
      <c r="AE37" s="19">
        <f t="shared" si="11"/>
        <v>-0.27487866451696297</v>
      </c>
      <c r="AF37" s="19">
        <f t="shared" si="11"/>
        <v>0</v>
      </c>
      <c r="AG37" s="19">
        <f t="shared" si="12"/>
        <v>0.13146370911680827</v>
      </c>
      <c r="AH37" s="19">
        <f t="shared" si="13"/>
        <v>0</v>
      </c>
      <c r="AI37" s="19">
        <f t="shared" si="14"/>
        <v>0</v>
      </c>
      <c r="AJ37" s="19">
        <f t="shared" si="15"/>
        <v>0</v>
      </c>
      <c r="AK37" s="19">
        <f t="shared" si="16"/>
        <v>0</v>
      </c>
      <c r="AL37" s="19">
        <f t="shared" si="16"/>
        <v>0</v>
      </c>
      <c r="AM37" s="19">
        <f t="shared" si="17"/>
        <v>-1.1951246283346206E-2</v>
      </c>
      <c r="AN37" s="19">
        <f t="shared" si="18"/>
        <v>0</v>
      </c>
      <c r="AO37" s="19">
        <f t="shared" si="19"/>
        <v>0</v>
      </c>
      <c r="AP37" s="19">
        <f t="shared" si="20"/>
        <v>0</v>
      </c>
      <c r="AQ37" s="19">
        <f t="shared" si="20"/>
        <v>0</v>
      </c>
      <c r="AR37" s="19">
        <f t="shared" si="20"/>
        <v>0</v>
      </c>
      <c r="AS37" s="19">
        <f t="shared" si="21"/>
        <v>1.1951246283346206E-2</v>
      </c>
      <c r="AT37" s="19">
        <f t="shared" si="22"/>
        <v>0</v>
      </c>
      <c r="AU37" s="60" t="s">
        <v>94</v>
      </c>
      <c r="AV37" s="19">
        <f t="shared" si="23"/>
        <v>0</v>
      </c>
      <c r="AW37" s="19">
        <f t="shared" si="24"/>
        <v>-0.19121994053353952</v>
      </c>
      <c r="AX37" s="19">
        <f t="shared" si="25"/>
        <v>0</v>
      </c>
      <c r="AY37" s="19">
        <f t="shared" si="26"/>
        <v>0</v>
      </c>
      <c r="AZ37" s="19">
        <f t="shared" si="27"/>
        <v>0</v>
      </c>
      <c r="BA37" s="19">
        <f t="shared" si="28"/>
        <v>0</v>
      </c>
      <c r="BB37" s="19">
        <f t="shared" si="61"/>
        <v>0</v>
      </c>
      <c r="BC37" s="19">
        <f t="shared" si="30"/>
        <v>0</v>
      </c>
      <c r="BD37" s="19">
        <f t="shared" si="31"/>
        <v>1.1951246283346206E-2</v>
      </c>
      <c r="BE37" s="19">
        <f t="shared" si="32"/>
        <v>0</v>
      </c>
      <c r="BF37" s="19">
        <f t="shared" si="33"/>
        <v>0</v>
      </c>
      <c r="BG37" s="19">
        <f t="shared" si="33"/>
        <v>0</v>
      </c>
      <c r="BH37" s="19">
        <f t="shared" si="56"/>
        <v>0</v>
      </c>
      <c r="BI37" s="19">
        <f t="shared" si="57"/>
        <v>0</v>
      </c>
      <c r="BJ37" s="19">
        <f t="shared" si="35"/>
        <v>-5.9756231416731032E-2</v>
      </c>
      <c r="BK37" s="19">
        <f t="shared" si="36"/>
        <v>0</v>
      </c>
      <c r="BL37" s="19">
        <f t="shared" si="45"/>
        <v>0</v>
      </c>
      <c r="BM37" s="19">
        <f t="shared" si="45"/>
        <v>0</v>
      </c>
      <c r="BN37" s="19">
        <f t="shared" si="45"/>
        <v>0.25097617195027055</v>
      </c>
      <c r="BO37" s="19">
        <f t="shared" si="45"/>
        <v>-0.17926869425019332</v>
      </c>
      <c r="BP37" s="19">
        <f t="shared" si="58"/>
        <v>-3.5853738850038619E-2</v>
      </c>
      <c r="BQ37" s="19">
        <f t="shared" si="58"/>
        <v>0</v>
      </c>
      <c r="BR37" s="19">
        <f t="shared" si="58"/>
        <v>0</v>
      </c>
      <c r="BS37" s="19">
        <f t="shared" si="38"/>
        <v>0.13146370911680849</v>
      </c>
      <c r="BT37" s="19">
        <f t="shared" si="46"/>
        <v>0</v>
      </c>
      <c r="BU37" s="19">
        <f t="shared" si="59"/>
        <v>0</v>
      </c>
      <c r="BV37" s="19">
        <f t="shared" si="60"/>
        <v>0</v>
      </c>
      <c r="BW37" s="19">
        <f t="shared" si="40"/>
        <v>0</v>
      </c>
      <c r="BX37" s="19">
        <f t="shared" si="41"/>
        <v>0.11951246283346229</v>
      </c>
      <c r="BY37" s="19">
        <f t="shared" si="41"/>
        <v>0</v>
      </c>
      <c r="BZ37" s="19">
        <f t="shared" si="41"/>
        <v>0</v>
      </c>
      <c r="CA37" s="19">
        <f t="shared" si="41"/>
        <v>0</v>
      </c>
      <c r="CB37" s="19">
        <f t="shared" si="42"/>
        <v>0</v>
      </c>
      <c r="CC37" s="19">
        <f t="shared" si="42"/>
        <v>0</v>
      </c>
      <c r="CD37" s="19">
        <f t="shared" si="42"/>
        <v>-1.1951246283346206E-2</v>
      </c>
      <c r="CE37" s="65"/>
      <c r="CG37" s="20">
        <f t="shared" si="47"/>
        <v>1.1269381511962695</v>
      </c>
      <c r="CH37" s="20">
        <f>'Phosphonic acid'!AR16</f>
        <v>1.4190559100799407</v>
      </c>
      <c r="CI37" s="20">
        <f>'Phosphonic acid'!AS16</f>
        <v>1.5359735210386358</v>
      </c>
      <c r="CJ37" s="20">
        <f>'Phosphonic acid'!AT16</f>
        <v>0.42774388124155666</v>
      </c>
      <c r="CK37" s="20">
        <f>'Phosphonic acid'!AU16</f>
        <v>1.3302444733248138</v>
      </c>
      <c r="CL37" s="20">
        <f>'Phosphonic acid'!AV16</f>
        <v>1.5050496734058949</v>
      </c>
      <c r="CM37" s="20">
        <f>'Phosphonic acid'!AW16</f>
        <v>1.5050496734058949</v>
      </c>
      <c r="CN37" s="20">
        <f>'Phosphonic acid'!AX16</f>
        <v>1.1315881683819489</v>
      </c>
      <c r="CO37" s="20">
        <f>'Phosphonic acid'!AY16</f>
        <v>1.1315881683819489</v>
      </c>
      <c r="CP37" s="20">
        <f>'Phosphonic acid'!AZ16</f>
        <v>1.1315881683819489</v>
      </c>
      <c r="CQ37" s="20">
        <f>'Phosphonic acid'!BA16</f>
        <v>1.1315881683819489</v>
      </c>
      <c r="CR37" s="20">
        <f>'Phosphonic acid'!BB16</f>
        <v>1.1209916743461372</v>
      </c>
      <c r="CS37" s="20">
        <f>'Phosphonic acid'!BC16</f>
        <v>1.1209916743461372</v>
      </c>
      <c r="CT37" s="20">
        <f>'Phosphonic acid'!BD16</f>
        <v>1.1209916743461372</v>
      </c>
      <c r="CU37" s="20">
        <f>'Phosphonic acid'!BE16</f>
        <v>1.1209916743461372</v>
      </c>
      <c r="CV37" s="20">
        <f>'Phosphonic acid'!BF16</f>
        <v>1.1864825938530341</v>
      </c>
      <c r="CW37" s="20">
        <f>'Phosphonic acid'!BG16</f>
        <v>1.1864825938530341</v>
      </c>
      <c r="CX37" s="20">
        <f>'Phosphonic acid'!BH16</f>
        <v>1.1864825938530341</v>
      </c>
      <c r="CY37" s="20">
        <f>'Phosphonic acid'!BI16</f>
        <v>1.1864825938530341</v>
      </c>
      <c r="CZ37" s="20">
        <f>'Phosphonic acid'!BJ16</f>
        <v>1.2719653945676621</v>
      </c>
      <c r="DA37" s="20">
        <f>'Phosphonic acid'!BK16</f>
        <v>1.2719653945676621</v>
      </c>
      <c r="DB37" s="20">
        <f>'Phosphonic acid'!BL16</f>
        <v>1.2719653945676621</v>
      </c>
      <c r="DC37" s="20">
        <f>'Phosphonic acid'!BM16</f>
        <v>0.9321972101010052</v>
      </c>
      <c r="DD37" s="20">
        <f>'Phosphonic acid'!BN16</f>
        <v>0.9321972101010052</v>
      </c>
      <c r="DE37" s="20">
        <f>'Phosphonic acid'!BO16</f>
        <v>0.9321972101010052</v>
      </c>
      <c r="DF37" s="20">
        <f>'Phosphonic acid'!BP16</f>
        <v>0.9321972101010052</v>
      </c>
      <c r="DG37" s="20">
        <f>'Phosphonic acid'!BQ16</f>
        <v>0.86048973240092774</v>
      </c>
      <c r="DH37" s="20">
        <f>'Phosphonic acid'!BR16</f>
        <v>0.94414845638435141</v>
      </c>
      <c r="DI37" s="20">
        <f>'Phosphonic acid'!BS16</f>
        <v>0.94414845638435141</v>
      </c>
      <c r="DJ37" s="20">
        <f>'Phosphonic acid'!BT16</f>
        <v>1.2190271209013144</v>
      </c>
      <c r="DK37" s="20">
        <f>'Phosphonic acid'!BU16</f>
        <v>1.2190271209013144</v>
      </c>
      <c r="DL37" s="20">
        <f>'Phosphonic acid'!BV16</f>
        <v>1.0875634117845061</v>
      </c>
      <c r="DM37" s="20">
        <f>'Phosphonic acid'!BW16</f>
        <v>1.0875634117845061</v>
      </c>
      <c r="DN37" s="20">
        <f>'Phosphonic acid'!BX16</f>
        <v>1.0875634117845061</v>
      </c>
      <c r="DO37" s="20">
        <f>'Phosphonic acid'!BY16</f>
        <v>1.0875634117845061</v>
      </c>
      <c r="DP37" s="20">
        <f>'Phosphonic acid'!BZ16</f>
        <v>1.0875634117845061</v>
      </c>
      <c r="DQ37" s="20">
        <f>'Phosphonic acid'!CA16</f>
        <v>1.0875634117845061</v>
      </c>
      <c r="DR37" s="20">
        <f>'Phosphonic acid'!CB16</f>
        <v>1.0995146580678523</v>
      </c>
      <c r="DS37" s="20">
        <f>'Phosphonic acid'!CC16</f>
        <v>1.0995146580678523</v>
      </c>
      <c r="DT37" s="20">
        <f>'Phosphonic acid'!CD16</f>
        <v>1.0995146580678523</v>
      </c>
      <c r="DU37" s="20">
        <f>'Phosphonic acid'!CE16</f>
        <v>1.0995146580678523</v>
      </c>
      <c r="DV37" s="20">
        <f>'Phosphonic acid'!CF16</f>
        <v>1.0995146580678523</v>
      </c>
      <c r="DW37" s="20">
        <f>'Phosphonic acid'!CG16</f>
        <v>1.0995146580678523</v>
      </c>
      <c r="DX37" s="20">
        <f>'Phosphonic acid'!CH16</f>
        <v>1.0875634117845061</v>
      </c>
      <c r="DY37" s="20">
        <f>'Phosphonic acid'!CI16</f>
        <v>1.0875634117845061</v>
      </c>
      <c r="DZ37" s="20">
        <f>'Phosphonic acid'!CJ16</f>
        <v>1.0875634117845061</v>
      </c>
      <c r="EA37" s="20">
        <f>'Phosphonic acid'!CK16</f>
        <v>1.2787833523180456</v>
      </c>
      <c r="EB37" s="20">
        <f>'Phosphonic acid'!CL16</f>
        <v>1.2787833523180456</v>
      </c>
      <c r="EC37" s="20">
        <f>'Phosphonic acid'!CM16</f>
        <v>1.2787833523180456</v>
      </c>
      <c r="ED37" s="20">
        <f>'Phosphonic acid'!CN16</f>
        <v>1.2787833523180456</v>
      </c>
      <c r="EE37" s="20">
        <f>'Phosphonic acid'!CO16</f>
        <v>1.2787833523180456</v>
      </c>
      <c r="EF37" s="20">
        <f>'Phosphonic acid'!CP16</f>
        <v>1.2787833523180456</v>
      </c>
      <c r="EG37" s="20">
        <f>'Phosphonic acid'!CQ16</f>
        <v>1.2787833523180456</v>
      </c>
      <c r="EH37" s="20">
        <f>'Phosphonic acid'!CR16</f>
        <v>1.2668321060346994</v>
      </c>
      <c r="EI37" s="20">
        <f>'Phosphonic acid'!CS16</f>
        <v>1.2668321060346994</v>
      </c>
      <c r="EJ37" s="20">
        <f>'Phosphonic acid'!CT16</f>
        <v>1.2668321060346994</v>
      </c>
      <c r="EK37" s="20">
        <f>'Phosphonic acid'!CU16</f>
        <v>1.2668321060346994</v>
      </c>
      <c r="EL37" s="20">
        <f>'Phosphonic acid'!CV16</f>
        <v>1.2668321060346994</v>
      </c>
      <c r="EM37" s="20">
        <f>'Phosphonic acid'!CW16</f>
        <v>1.2668321060346994</v>
      </c>
      <c r="EN37" s="20">
        <f>'Phosphonic acid'!CX16</f>
        <v>1.3265883374514305</v>
      </c>
      <c r="EO37" s="20">
        <f>'Phosphonic acid'!CY16</f>
        <v>1.3265883374514305</v>
      </c>
      <c r="EP37" s="20">
        <f>'Phosphonic acid'!CZ16</f>
        <v>1.3265883374514305</v>
      </c>
      <c r="EQ37" s="20">
        <f>'Phosphonic acid'!DA16</f>
        <v>1.3265883374514305</v>
      </c>
      <c r="ER37" s="20">
        <f>'Phosphonic acid'!DB16</f>
        <v>1.0756121655011599</v>
      </c>
      <c r="ES37" s="20">
        <f>'Phosphonic acid'!DC16</f>
        <v>1.2548808597513532</v>
      </c>
      <c r="ET37" s="20">
        <f>'Phosphonic acid'!DD16</f>
        <v>1.2907345986013918</v>
      </c>
      <c r="EU37" s="20">
        <f>'Phosphonic acid'!DE16</f>
        <v>1.2907345986013918</v>
      </c>
      <c r="EV37" s="20">
        <f>'Phosphonic acid'!DF16</f>
        <v>1.2907345986013918</v>
      </c>
      <c r="EW37" s="20">
        <f>'Phosphonic acid'!DG16</f>
        <v>1.1592708894845833</v>
      </c>
      <c r="EX37" s="20">
        <f>'Phosphonic acid'!DH16</f>
        <v>1.1592708894845833</v>
      </c>
      <c r="EY37" s="20">
        <f>'Phosphonic acid'!DI16</f>
        <v>1.1592708894845833</v>
      </c>
      <c r="EZ37" s="20">
        <f>'Phosphonic acid'!DJ16</f>
        <v>1.1592708894845833</v>
      </c>
      <c r="FA37" s="20">
        <f>'Phosphonic acid'!DK16</f>
        <v>1.1592708894845833</v>
      </c>
      <c r="FB37" s="20">
        <f>'Phosphonic acid'!DL16</f>
        <v>1.0397584266511211</v>
      </c>
      <c r="FC37" s="20">
        <f>'Phosphonic acid'!DM16</f>
        <v>1.0397584266511211</v>
      </c>
      <c r="FD37" s="20">
        <f>'Phosphonic acid'!DN16</f>
        <v>1.0397584266511211</v>
      </c>
      <c r="FE37" s="20">
        <f>'Phosphonic acid'!DO16</f>
        <v>1.0397584266511211</v>
      </c>
      <c r="FF37" s="20">
        <f>'Phosphonic acid'!DP16</f>
        <v>1.0397584266511211</v>
      </c>
      <c r="FG37" s="20">
        <f>'Phosphonic acid'!DQ16</f>
        <v>1.0397584266511211</v>
      </c>
      <c r="FH37" s="20">
        <f>'Phosphonic acid'!DR16</f>
        <v>1.0517096729344673</v>
      </c>
    </row>
    <row r="38" spans="1:164">
      <c r="A38" s="8" t="s">
        <v>203</v>
      </c>
      <c r="B38" s="263" t="s">
        <v>238</v>
      </c>
      <c r="C38" s="19">
        <f t="shared" si="48"/>
        <v>-0.57308280459975247</v>
      </c>
      <c r="D38" s="19">
        <f t="shared" si="49"/>
        <v>0.44099084608780004</v>
      </c>
      <c r="E38" s="19">
        <f t="shared" si="50"/>
        <v>2.0570965045874967E-2</v>
      </c>
      <c r="F38" s="19">
        <f t="shared" si="51"/>
        <v>-7.4101071025411969E-3</v>
      </c>
      <c r="G38" s="19">
        <f t="shared" si="52"/>
        <v>-2.5227433378929298E-2</v>
      </c>
      <c r="H38" s="19">
        <f t="shared" si="53"/>
        <v>0.15049500659836434</v>
      </c>
      <c r="I38" s="19">
        <f t="shared" si="54"/>
        <v>-3.7136657615288726E-5</v>
      </c>
      <c r="J38" s="19">
        <f t="shared" si="54"/>
        <v>-1.6155214282553843E-4</v>
      </c>
      <c r="K38" s="19">
        <f t="shared" si="44"/>
        <v>9.385696904714802E-3</v>
      </c>
      <c r="L38" s="19">
        <f t="shared" si="1"/>
        <v>3.0864066915658128E-2</v>
      </c>
      <c r="M38" s="19">
        <f t="shared" si="2"/>
        <v>-7.6047844870044123E-2</v>
      </c>
      <c r="N38" s="19">
        <f t="shared" si="3"/>
        <v>2.4634672085976916E-4</v>
      </c>
      <c r="O38" s="19">
        <f t="shared" si="4"/>
        <v>0</v>
      </c>
      <c r="P38" s="19">
        <f t="shared" si="5"/>
        <v>-3.5269032734941419E-4</v>
      </c>
      <c r="Q38" s="19">
        <f t="shared" si="5"/>
        <v>2.3569311460436282E-4</v>
      </c>
      <c r="R38" s="19">
        <f t="shared" si="6"/>
        <v>6.8763727748940795E-2</v>
      </c>
      <c r="S38" s="19">
        <f t="shared" si="7"/>
        <v>-1.9962752741218281E-3</v>
      </c>
      <c r="T38" s="19">
        <f t="shared" si="8"/>
        <v>1.9330151899810133E-4</v>
      </c>
      <c r="U38" s="19">
        <f t="shared" si="8"/>
        <v>-7.9581417073040228E-3</v>
      </c>
      <c r="V38" s="19">
        <f t="shared" si="8"/>
        <v>2.0373116826455373E-5</v>
      </c>
      <c r="W38" s="19">
        <f t="shared" si="8"/>
        <v>1.8976950463862607E-3</v>
      </c>
      <c r="X38" s="19">
        <f t="shared" si="55"/>
        <v>-1.243055439678642E-2</v>
      </c>
      <c r="Y38" s="19">
        <f t="shared" si="55"/>
        <v>-2.7637400097368925E-5</v>
      </c>
      <c r="Z38" s="19">
        <f t="shared" si="9"/>
        <v>-2.0745491634777125E-5</v>
      </c>
      <c r="AA38" s="19">
        <f t="shared" si="10"/>
        <v>0</v>
      </c>
      <c r="AB38" s="19">
        <f t="shared" si="10"/>
        <v>-1.8999864553065127E-2</v>
      </c>
      <c r="AC38" s="19">
        <f t="shared" si="10"/>
        <v>4.822052339070737E-5</v>
      </c>
      <c r="AD38" s="19">
        <f t="shared" si="10"/>
        <v>4.9233720077141996E-3</v>
      </c>
      <c r="AE38" s="19">
        <f t="shared" si="11"/>
        <v>-1.0672663242998759E-3</v>
      </c>
      <c r="AF38" s="19">
        <f t="shared" si="11"/>
        <v>5.1413329899219207E-5</v>
      </c>
      <c r="AG38" s="19">
        <f t="shared" si="12"/>
        <v>1.3733861159170857E-3</v>
      </c>
      <c r="AH38" s="19">
        <f t="shared" si="13"/>
        <v>-2.4754417945946905E-3</v>
      </c>
      <c r="AI38" s="19">
        <f t="shared" si="14"/>
        <v>6.5582733260072246E-5</v>
      </c>
      <c r="AJ38" s="19">
        <f t="shared" si="15"/>
        <v>-1.1185019375981042E-3</v>
      </c>
      <c r="AK38" s="19">
        <f t="shared" si="16"/>
        <v>-4.0229309380634959E-5</v>
      </c>
      <c r="AL38" s="19">
        <f t="shared" si="16"/>
        <v>6.7089234976336343E-6</v>
      </c>
      <c r="AM38" s="19">
        <f t="shared" si="17"/>
        <v>-7.3887179170561978E-5</v>
      </c>
      <c r="AN38" s="19">
        <f t="shared" si="18"/>
        <v>0</v>
      </c>
      <c r="AO38" s="19">
        <f t="shared" si="19"/>
        <v>2.859413035389835E-3</v>
      </c>
      <c r="AP38" s="19">
        <f t="shared" si="20"/>
        <v>3.8350801720099525E-5</v>
      </c>
      <c r="AQ38" s="19">
        <f t="shared" si="20"/>
        <v>3.1744047784876273E-4</v>
      </c>
      <c r="AR38" s="19">
        <f t="shared" si="20"/>
        <v>8.1910987241862188E-5</v>
      </c>
      <c r="AS38" s="19">
        <f t="shared" si="21"/>
        <v>-8.6047954088181555E-2</v>
      </c>
      <c r="AT38" s="19">
        <f t="shared" si="22"/>
        <v>1.1977363130899477E-4</v>
      </c>
      <c r="AU38" s="60" t="s">
        <v>40</v>
      </c>
      <c r="AV38" s="19">
        <f t="shared" si="23"/>
        <v>1.3174805398818989E-4</v>
      </c>
      <c r="AW38" s="19">
        <f t="shared" si="24"/>
        <v>-2.098114329616152E-3</v>
      </c>
      <c r="AX38" s="19">
        <f t="shared" si="25"/>
        <v>5.2139796803629679E-5</v>
      </c>
      <c r="AY38" s="19">
        <f t="shared" si="26"/>
        <v>-9.7844222765708366E-5</v>
      </c>
      <c r="AZ38" s="19">
        <f t="shared" si="27"/>
        <v>2.9709064003409225E-3</v>
      </c>
      <c r="BA38" s="19">
        <f t="shared" si="28"/>
        <v>0</v>
      </c>
      <c r="BB38" s="19">
        <f t="shared" si="61"/>
        <v>0</v>
      </c>
      <c r="BC38" s="19">
        <f t="shared" si="30"/>
        <v>0.13400732128442083</v>
      </c>
      <c r="BD38" s="19">
        <f t="shared" si="31"/>
        <v>-2.2800220601681964E-3</v>
      </c>
      <c r="BE38" s="19">
        <f t="shared" si="32"/>
        <v>6.4005095886443542E-5</v>
      </c>
      <c r="BF38" s="19">
        <f t="shared" si="33"/>
        <v>-2.0102142377957932E-3</v>
      </c>
      <c r="BG38" s="19">
        <f t="shared" si="33"/>
        <v>1.3271945419113251E-5</v>
      </c>
      <c r="BH38" s="19">
        <f t="shared" si="56"/>
        <v>-7.6333171958534507E-2</v>
      </c>
      <c r="BI38" s="19">
        <f t="shared" si="57"/>
        <v>1.0633582864625346E-2</v>
      </c>
      <c r="BJ38" s="19">
        <f t="shared" si="35"/>
        <v>-6.6818488188976843E-2</v>
      </c>
      <c r="BK38" s="19">
        <f t="shared" si="36"/>
        <v>-1.8243608324337579E-3</v>
      </c>
      <c r="BL38" s="19">
        <f t="shared" si="45"/>
        <v>6.67505800677759E-6</v>
      </c>
      <c r="BM38" s="19">
        <f t="shared" si="45"/>
        <v>1.9056474834070247E-2</v>
      </c>
      <c r="BN38" s="19">
        <f t="shared" si="45"/>
        <v>-1.9103233659172325E-2</v>
      </c>
      <c r="BO38" s="19">
        <f t="shared" si="45"/>
        <v>0.16759598369094686</v>
      </c>
      <c r="BP38" s="19">
        <f t="shared" si="58"/>
        <v>0</v>
      </c>
      <c r="BQ38" s="19">
        <f t="shared" si="58"/>
        <v>2.7280696252609538E-3</v>
      </c>
      <c r="BR38" s="19">
        <f t="shared" si="58"/>
        <v>4.674641149415848E-5</v>
      </c>
      <c r="BS38" s="19">
        <f t="shared" si="38"/>
        <v>1.8030102603949771E-4</v>
      </c>
      <c r="BT38" s="19">
        <f t="shared" si="46"/>
        <v>-9.2394292357056429E-4</v>
      </c>
      <c r="BU38" s="19">
        <f t="shared" si="59"/>
        <v>-0.16312524234199355</v>
      </c>
      <c r="BV38" s="19">
        <f t="shared" si="60"/>
        <v>5.8969975391676144E-6</v>
      </c>
      <c r="BW38" s="19">
        <f t="shared" si="40"/>
        <v>2.3573969713641674E-5</v>
      </c>
      <c r="BX38" s="19">
        <f t="shared" si="41"/>
        <v>-9.3838823968726004E-3</v>
      </c>
      <c r="BY38" s="19">
        <f t="shared" si="41"/>
        <v>3.6647672963910249E-2</v>
      </c>
      <c r="BZ38" s="19">
        <f t="shared" si="41"/>
        <v>2.1666154135324689E-4</v>
      </c>
      <c r="CA38" s="19">
        <f t="shared" si="41"/>
        <v>-1.913335155240059E-3</v>
      </c>
      <c r="CB38" s="19">
        <f t="shared" si="42"/>
        <v>-8.9749034517354609E-3</v>
      </c>
      <c r="CC38" s="19">
        <f t="shared" si="42"/>
        <v>5.5170911326563044E-5</v>
      </c>
      <c r="CD38" s="19">
        <f t="shared" si="42"/>
        <v>9.7070022631369213E-3</v>
      </c>
      <c r="CE38" s="65"/>
      <c r="CG38" s="20">
        <f t="shared" si="47"/>
        <v>3.0203110575850753</v>
      </c>
      <c r="CH38" s="20">
        <f>'DETA EDA'!AR14</f>
        <v>3.5933938621848278</v>
      </c>
      <c r="CI38" s="20">
        <f>'DETA EDA'!AS14</f>
        <v>3.1524030160970278</v>
      </c>
      <c r="CJ38" s="20">
        <f>'DETA EDA'!AT14</f>
        <v>3.1318320510511528</v>
      </c>
      <c r="CK38" s="20">
        <f>'DETA EDA'!AU14</f>
        <v>3.139242158153694</v>
      </c>
      <c r="CL38" s="20">
        <f>'DETA EDA'!AV14</f>
        <v>3.1644695915326233</v>
      </c>
      <c r="CM38" s="20">
        <f>'DETA EDA'!AW14</f>
        <v>3.013974584934259</v>
      </c>
      <c r="CN38" s="20">
        <f>'DETA EDA'!AX14</f>
        <v>3.0140117215918742</v>
      </c>
      <c r="CO38" s="20">
        <f>'DETA EDA'!AY14</f>
        <v>3.0141732737346998</v>
      </c>
      <c r="CP38" s="20">
        <f>'DETA EDA'!AZ14</f>
        <v>3.004787576829985</v>
      </c>
      <c r="CQ38" s="20">
        <f>'DETA EDA'!BA14</f>
        <v>2.9739235099143269</v>
      </c>
      <c r="CR38" s="20">
        <f>'DETA EDA'!BB14</f>
        <v>3.049971354784371</v>
      </c>
      <c r="CS38" s="20">
        <f>'DETA EDA'!BC14</f>
        <v>3.0497250080635112</v>
      </c>
      <c r="CT38" s="20">
        <f>'DETA EDA'!BD14</f>
        <v>3.0497250080635112</v>
      </c>
      <c r="CU38" s="20">
        <f>'DETA EDA'!BE14</f>
        <v>3.0500776983908606</v>
      </c>
      <c r="CV38" s="20">
        <f>'DETA EDA'!BF14</f>
        <v>3.0498420052762563</v>
      </c>
      <c r="CW38" s="20">
        <f>'DETA EDA'!BG14</f>
        <v>2.9810782775273155</v>
      </c>
      <c r="CX38" s="20">
        <f>'DETA EDA'!BH14</f>
        <v>2.9830745528014373</v>
      </c>
      <c r="CY38" s="20">
        <f>'DETA EDA'!BI14</f>
        <v>2.9828812512824392</v>
      </c>
      <c r="CZ38" s="20">
        <f>'DETA EDA'!BJ14</f>
        <v>2.9908393929897432</v>
      </c>
      <c r="DA38" s="20">
        <f>'DETA EDA'!BK14</f>
        <v>2.9908190198729168</v>
      </c>
      <c r="DB38" s="20">
        <f>'DETA EDA'!BL14</f>
        <v>2.9889213248265305</v>
      </c>
      <c r="DC38" s="20">
        <f>'DETA EDA'!BM14</f>
        <v>3.0013518792233169</v>
      </c>
      <c r="DD38" s="20">
        <f>'DETA EDA'!BN14</f>
        <v>3.0013795166234143</v>
      </c>
      <c r="DE38" s="20">
        <f>'DETA EDA'!BO14</f>
        <v>3.0014002621150491</v>
      </c>
      <c r="DF38" s="20">
        <f>'DETA EDA'!BP14</f>
        <v>3.0014002621150491</v>
      </c>
      <c r="DG38" s="20">
        <f>'DETA EDA'!BQ14</f>
        <v>3.0204001266681142</v>
      </c>
      <c r="DH38" s="20">
        <f>'DETA EDA'!BR14</f>
        <v>3.0203519061447235</v>
      </c>
      <c r="DI38" s="20">
        <f>'DETA EDA'!BS14</f>
        <v>3.0154285341370093</v>
      </c>
      <c r="DJ38" s="20">
        <f>'DETA EDA'!BT14</f>
        <v>3.0164958004613092</v>
      </c>
      <c r="DK38" s="20">
        <f>'DETA EDA'!BU14</f>
        <v>3.0164443871314099</v>
      </c>
      <c r="DL38" s="20">
        <f>'DETA EDA'!BV14</f>
        <v>3.0150710010154929</v>
      </c>
      <c r="DM38" s="20">
        <f>'DETA EDA'!BW14</f>
        <v>3.0175464428100875</v>
      </c>
      <c r="DN38" s="20">
        <f>'DETA EDA'!BX14</f>
        <v>3.0174808600768275</v>
      </c>
      <c r="DO38" s="20">
        <f>'DETA EDA'!BY14</f>
        <v>3.0185993620144256</v>
      </c>
      <c r="DP38" s="20">
        <f>'DETA EDA'!BZ14</f>
        <v>3.0186395913238062</v>
      </c>
      <c r="DQ38" s="20">
        <f>'DETA EDA'!CA14</f>
        <v>3.0186328824003086</v>
      </c>
      <c r="DR38" s="20">
        <f>'DETA EDA'!CB14</f>
        <v>3.0187067695794791</v>
      </c>
      <c r="DS38" s="20">
        <f>'DETA EDA'!CC14</f>
        <v>3.0187067695794791</v>
      </c>
      <c r="DT38" s="20">
        <f>'DETA EDA'!CD14</f>
        <v>3.0158473565440893</v>
      </c>
      <c r="DU38" s="20">
        <f>'DETA EDA'!CE14</f>
        <v>3.0158090057423692</v>
      </c>
      <c r="DV38" s="20">
        <f>'DETA EDA'!CF14</f>
        <v>3.0154915652645204</v>
      </c>
      <c r="DW38" s="20">
        <f>'DETA EDA'!CG14</f>
        <v>3.0154096542772786</v>
      </c>
      <c r="DX38" s="20">
        <f>'DETA EDA'!CH14</f>
        <v>3.1014576083654601</v>
      </c>
      <c r="DY38" s="20">
        <f>'DETA EDA'!CI14</f>
        <v>3.1013378347341511</v>
      </c>
      <c r="DZ38" s="20">
        <f>'DETA EDA'!CJ14</f>
        <v>3.101206086680163</v>
      </c>
      <c r="EA38" s="20">
        <f>'DETA EDA'!CK14</f>
        <v>3.1033042010097791</v>
      </c>
      <c r="EB38" s="20">
        <f>'DETA EDA'!CL14</f>
        <v>3.1032520612129755</v>
      </c>
      <c r="EC38" s="20">
        <f>'DETA EDA'!CM14</f>
        <v>3.1033499054357412</v>
      </c>
      <c r="ED38" s="20">
        <f>'DETA EDA'!CN14</f>
        <v>3.1003789990354003</v>
      </c>
      <c r="EE38" s="20">
        <f>'DETA EDA'!CO14</f>
        <v>3.1003789990354003</v>
      </c>
      <c r="EF38" s="20">
        <f>'DETA EDA'!CP14</f>
        <v>3.1003789990354003</v>
      </c>
      <c r="EG38" s="20">
        <f>'DETA EDA'!CQ14</f>
        <v>2.9663716777509794</v>
      </c>
      <c r="EH38" s="20">
        <f>'DETA EDA'!CR14</f>
        <v>2.9686516998111476</v>
      </c>
      <c r="EI38" s="20">
        <f>'DETA EDA'!CS14</f>
        <v>2.9685876947152612</v>
      </c>
      <c r="EJ38" s="20">
        <f>'DETA EDA'!CT14</f>
        <v>2.970597908953057</v>
      </c>
      <c r="EK38" s="20">
        <f>'DETA EDA'!CU14</f>
        <v>2.9705846370076379</v>
      </c>
      <c r="EL38" s="20">
        <f>'DETA EDA'!CV14</f>
        <v>3.0469178089661724</v>
      </c>
      <c r="EM38" s="20">
        <f>'DETA EDA'!CW14</f>
        <v>3.036284226101547</v>
      </c>
      <c r="EN38" s="20">
        <f>'DETA EDA'!CX14</f>
        <v>3.1031027142905239</v>
      </c>
      <c r="EO38" s="20">
        <f>'DETA EDA'!CY14</f>
        <v>3.1049270751229576</v>
      </c>
      <c r="EP38" s="20">
        <f>'DETA EDA'!CZ14</f>
        <v>3.1049204000649508</v>
      </c>
      <c r="EQ38" s="20">
        <f>'DETA EDA'!DA14</f>
        <v>3.0858639252308806</v>
      </c>
      <c r="ER38" s="20">
        <f>'DETA EDA'!DB14</f>
        <v>3.1049671588900529</v>
      </c>
      <c r="ES38" s="20">
        <f>'DETA EDA'!DC14</f>
        <v>2.9373711751991061</v>
      </c>
      <c r="ET38" s="20">
        <f>'DETA EDA'!DD14</f>
        <v>2.9373711751991061</v>
      </c>
      <c r="EU38" s="20">
        <f>'DETA EDA'!DE14</f>
        <v>2.9346431055738451</v>
      </c>
      <c r="EV38" s="20">
        <f>'DETA EDA'!DF14</f>
        <v>2.934596359162351</v>
      </c>
      <c r="EW38" s="20">
        <f>'DETA EDA'!DG14</f>
        <v>2.9344160581363115</v>
      </c>
      <c r="EX38" s="20">
        <f>'DETA EDA'!DH14</f>
        <v>2.935340001059882</v>
      </c>
      <c r="EY38" s="20">
        <f>'DETA EDA'!DI14</f>
        <v>3.0984652434018756</v>
      </c>
      <c r="EZ38" s="20">
        <f>'DETA EDA'!DJ14</f>
        <v>3.0984593464043364</v>
      </c>
      <c r="FA38" s="20">
        <f>'DETA EDA'!DK14</f>
        <v>3.0984357724346228</v>
      </c>
      <c r="FB38" s="20">
        <f>'DETA EDA'!DL14</f>
        <v>3.1078196548314954</v>
      </c>
      <c r="FC38" s="20">
        <f>'DETA EDA'!DM14</f>
        <v>3.0711719818675851</v>
      </c>
      <c r="FD38" s="20">
        <f>'DETA EDA'!DN14</f>
        <v>3.0709553203262319</v>
      </c>
      <c r="FE38" s="20">
        <f>'DETA EDA'!DO14</f>
        <v>3.0728686554814719</v>
      </c>
      <c r="FF38" s="20">
        <f>'DETA EDA'!DP14</f>
        <v>3.0818435589332074</v>
      </c>
      <c r="FG38" s="20">
        <f>'DETA EDA'!DQ14</f>
        <v>3.0817883880218808</v>
      </c>
      <c r="FH38" s="20">
        <f>'DETA EDA'!DR14</f>
        <v>3.0720813857587439</v>
      </c>
    </row>
    <row r="39" spans="1:164">
      <c r="A39" s="8" t="s">
        <v>203</v>
      </c>
      <c r="B39" s="263" t="s">
        <v>239</v>
      </c>
      <c r="C39" s="19">
        <f t="shared" si="48"/>
        <v>0.10503368192039275</v>
      </c>
      <c r="D39" s="19">
        <f t="shared" si="49"/>
        <v>-5.2856228029127816E-2</v>
      </c>
      <c r="E39" s="19">
        <f t="shared" si="50"/>
        <v>-9.4044440131496376E-2</v>
      </c>
      <c r="F39" s="19">
        <f t="shared" si="51"/>
        <v>2.5328892041679207E-2</v>
      </c>
      <c r="G39" s="19">
        <f t="shared" si="52"/>
        <v>6.8347803921988692E-3</v>
      </c>
      <c r="H39" s="19">
        <f t="shared" si="53"/>
        <v>4.4146275313828198E-2</v>
      </c>
      <c r="I39" s="19">
        <f t="shared" si="54"/>
        <v>-7.4273315230133363E-5</v>
      </c>
      <c r="J39" s="19">
        <f t="shared" si="54"/>
        <v>2.9281393581739312E-2</v>
      </c>
      <c r="K39" s="19">
        <f t="shared" si="44"/>
        <v>-3.2515524058940315E-4</v>
      </c>
      <c r="L39" s="19">
        <f t="shared" si="1"/>
        <v>4.4384866812574586E-3</v>
      </c>
      <c r="M39" s="19">
        <f t="shared" si="2"/>
        <v>-1.4125546273628053E-2</v>
      </c>
      <c r="N39" s="19">
        <f t="shared" si="3"/>
        <v>-1.4309555491975878E-2</v>
      </c>
      <c r="O39" s="19">
        <f t="shared" si="4"/>
        <v>0</v>
      </c>
      <c r="P39" s="19">
        <f t="shared" si="5"/>
        <v>-7.4716625323175023E-2</v>
      </c>
      <c r="Q39" s="19">
        <f t="shared" si="5"/>
        <v>-1.4330862704486691E-2</v>
      </c>
      <c r="R39" s="19">
        <f t="shared" si="6"/>
        <v>-2.575288571964407E-2</v>
      </c>
      <c r="S39" s="19">
        <f t="shared" si="7"/>
        <v>-3.9925505482432122E-3</v>
      </c>
      <c r="T39" s="19">
        <f t="shared" si="8"/>
        <v>3.8660303799575857E-4</v>
      </c>
      <c r="U39" s="19">
        <f t="shared" si="8"/>
        <v>1.3688214452782343E-2</v>
      </c>
      <c r="V39" s="19">
        <f t="shared" si="8"/>
        <v>4.0746233653354835E-5</v>
      </c>
      <c r="W39" s="19">
        <f t="shared" si="8"/>
        <v>3.7953900927716333E-3</v>
      </c>
      <c r="X39" s="19">
        <f t="shared" si="55"/>
        <v>-5.764559743553388E-3</v>
      </c>
      <c r="Y39" s="19">
        <f t="shared" si="55"/>
        <v>-5.5274800194293761E-5</v>
      </c>
      <c r="Z39" s="19">
        <f t="shared" si="9"/>
        <v>2.9563006884121279E-2</v>
      </c>
      <c r="AA39" s="19">
        <f t="shared" si="10"/>
        <v>0</v>
      </c>
      <c r="AB39" s="19">
        <f t="shared" si="10"/>
        <v>2.9797866861298594E-2</v>
      </c>
      <c r="AC39" s="19">
        <f t="shared" si="10"/>
        <v>2.9700938914171804E-2</v>
      </c>
      <c r="AD39" s="19">
        <f t="shared" si="10"/>
        <v>9.8467440154279551E-3</v>
      </c>
      <c r="AE39" s="19">
        <f t="shared" si="11"/>
        <v>1.2667716285096109E-2</v>
      </c>
      <c r="AF39" s="19">
        <f t="shared" si="11"/>
        <v>1.028266597988825E-4</v>
      </c>
      <c r="AG39" s="19">
        <f t="shared" si="12"/>
        <v>2.7467722318337273E-3</v>
      </c>
      <c r="AH39" s="19">
        <f t="shared" si="13"/>
        <v>-4.950883589189381E-3</v>
      </c>
      <c r="AI39" s="19">
        <f t="shared" si="14"/>
        <v>1.3116546652014449E-4</v>
      </c>
      <c r="AJ39" s="19">
        <f t="shared" si="15"/>
        <v>-1.7039252808891181E-2</v>
      </c>
      <c r="AK39" s="19">
        <f t="shared" si="16"/>
        <v>-8.0458618761714007E-5</v>
      </c>
      <c r="AL39" s="19">
        <f t="shared" si="16"/>
        <v>1.3417846994823179E-5</v>
      </c>
      <c r="AM39" s="19">
        <f t="shared" si="17"/>
        <v>-1.4777435834023578E-4</v>
      </c>
      <c r="AN39" s="19">
        <f t="shared" si="18"/>
        <v>-2.9604497867390389E-2</v>
      </c>
      <c r="AO39" s="19">
        <f t="shared" si="19"/>
        <v>5.718826070779226E-3</v>
      </c>
      <c r="AP39" s="19">
        <f t="shared" si="20"/>
        <v>7.670160344064314E-5</v>
      </c>
      <c r="AQ39" s="19">
        <f t="shared" si="20"/>
        <v>-1.4167367977998779E-2</v>
      </c>
      <c r="AR39" s="19">
        <f t="shared" si="20"/>
        <v>1.4966070908180473E-2</v>
      </c>
      <c r="AS39" s="19">
        <f t="shared" si="21"/>
        <v>-2.2696672618982561E-4</v>
      </c>
      <c r="AT39" s="19">
        <f t="shared" si="22"/>
        <v>-2.0483601244555505E-2</v>
      </c>
      <c r="AU39" s="60" t="s">
        <v>40</v>
      </c>
      <c r="AV39" s="19">
        <f t="shared" si="23"/>
        <v>2.6349610797726797E-4</v>
      </c>
      <c r="AW39" s="19">
        <f t="shared" si="24"/>
        <v>-4.1962286592323039E-3</v>
      </c>
      <c r="AX39" s="19">
        <f t="shared" si="25"/>
        <v>1.0427959360725936E-4</v>
      </c>
      <c r="AY39" s="19">
        <f t="shared" si="26"/>
        <v>-1.9568844553141673E-4</v>
      </c>
      <c r="AZ39" s="19">
        <f t="shared" si="27"/>
        <v>5.9418128006814008E-3</v>
      </c>
      <c r="BA39" s="19">
        <f t="shared" si="28"/>
        <v>0</v>
      </c>
      <c r="BB39" s="19">
        <f t="shared" si="61"/>
        <v>0</v>
      </c>
      <c r="BC39" s="19">
        <f t="shared" si="30"/>
        <v>-8.2183934916466583E-3</v>
      </c>
      <c r="BD39" s="19">
        <f t="shared" si="31"/>
        <v>3.3925803107271335E-2</v>
      </c>
      <c r="BE39" s="19">
        <f t="shared" si="32"/>
        <v>6.0489097652509649E-3</v>
      </c>
      <c r="BF39" s="19">
        <f t="shared" si="33"/>
        <v>-4.0204284755915864E-3</v>
      </c>
      <c r="BG39" s="19">
        <f t="shared" si="33"/>
        <v>2.6543890838226503E-5</v>
      </c>
      <c r="BH39" s="19">
        <f t="shared" si="56"/>
        <v>7.4117293151562347E-2</v>
      </c>
      <c r="BI39" s="19">
        <f t="shared" si="57"/>
        <v>2.1706166792307968E-3</v>
      </c>
      <c r="BJ39" s="19">
        <f t="shared" si="35"/>
        <v>7.7010561427397484E-2</v>
      </c>
      <c r="BK39" s="19">
        <f t="shared" si="36"/>
        <v>-8.0620416120083416E-2</v>
      </c>
      <c r="BL39" s="19">
        <f t="shared" si="45"/>
        <v>1.3350116014443358E-5</v>
      </c>
      <c r="BM39" s="19">
        <f t="shared" si="45"/>
        <v>-8.0148431898408035E-5</v>
      </c>
      <c r="BN39" s="19">
        <f t="shared" si="45"/>
        <v>-1.3369218306191755E-5</v>
      </c>
      <c r="BO39" s="19">
        <f t="shared" si="45"/>
        <v>8.9414826979079542E-3</v>
      </c>
      <c r="BP39" s="19">
        <f t="shared" si="58"/>
        <v>0</v>
      </c>
      <c r="BQ39" s="19">
        <f t="shared" si="58"/>
        <v>5.4561392505223516E-3</v>
      </c>
      <c r="BR39" s="19">
        <f t="shared" si="58"/>
        <v>9.3492822987428781E-5</v>
      </c>
      <c r="BS39" s="19">
        <f t="shared" si="38"/>
        <v>3.6060205207899543E-4</v>
      </c>
      <c r="BT39" s="19">
        <f t="shared" si="46"/>
        <v>2.7756612020249261E-2</v>
      </c>
      <c r="BU39" s="19">
        <f t="shared" si="59"/>
        <v>0</v>
      </c>
      <c r="BV39" s="19">
        <f t="shared" si="60"/>
        <v>1.179399507744705E-5</v>
      </c>
      <c r="BW39" s="19">
        <f t="shared" si="40"/>
        <v>4.7147939427727437E-5</v>
      </c>
      <c r="BX39" s="19">
        <f t="shared" si="41"/>
        <v>2.993328212366464E-2</v>
      </c>
      <c r="BY39" s="19">
        <f t="shared" si="41"/>
        <v>-3.090850272256862E-3</v>
      </c>
      <c r="BZ39" s="19">
        <f t="shared" si="41"/>
        <v>4.3332308270649378E-4</v>
      </c>
      <c r="CA39" s="19">
        <f t="shared" si="41"/>
        <v>-3.8266703104805622E-3</v>
      </c>
      <c r="CB39" s="19">
        <f t="shared" si="42"/>
        <v>1.1467421465485295E-3</v>
      </c>
      <c r="CC39" s="19">
        <f t="shared" si="42"/>
        <v>1.10341822652682E-4</v>
      </c>
      <c r="CD39" s="19">
        <f t="shared" si="42"/>
        <v>3.1745547625483539E-4</v>
      </c>
      <c r="CE39" s="65"/>
      <c r="CG39" s="20">
        <f t="shared" si="47"/>
        <v>3.4358159390533878</v>
      </c>
      <c r="CH39" s="20">
        <f>DETA!AR16</f>
        <v>3.330782257132995</v>
      </c>
      <c r="CI39" s="20">
        <f>DETA!AS16</f>
        <v>3.3836384851621228</v>
      </c>
      <c r="CJ39" s="20">
        <f>DETA!AT16</f>
        <v>3.4776829252936192</v>
      </c>
      <c r="CK39" s="20">
        <f>DETA!AU16</f>
        <v>3.45235403325194</v>
      </c>
      <c r="CL39" s="20">
        <f>DETA!AV16</f>
        <v>3.4455192528597411</v>
      </c>
      <c r="CM39" s="20">
        <f>DETA!AW16</f>
        <v>3.4013729775459129</v>
      </c>
      <c r="CN39" s="20">
        <f>DETA!AX16</f>
        <v>3.4014472508611431</v>
      </c>
      <c r="CO39" s="20">
        <f>DETA!AY16</f>
        <v>3.3721658572794038</v>
      </c>
      <c r="CP39" s="20">
        <f>DETA!AZ16</f>
        <v>3.3724910125199932</v>
      </c>
      <c r="CQ39" s="20">
        <f>DETA!BA16</f>
        <v>3.3680525258387357</v>
      </c>
      <c r="CR39" s="20">
        <f>DETA!BB16</f>
        <v>3.3821780721123638</v>
      </c>
      <c r="CS39" s="20">
        <f>DETA!BC16</f>
        <v>3.3964876276043396</v>
      </c>
      <c r="CT39" s="20">
        <f>DETA!BD16</f>
        <v>3.3964876276043396</v>
      </c>
      <c r="CU39" s="20">
        <f>DETA!BE16</f>
        <v>3.4712042529275147</v>
      </c>
      <c r="CV39" s="20">
        <f>DETA!BF16</f>
        <v>3.4855351156320014</v>
      </c>
      <c r="CW39" s="20">
        <f>DETA!BG16</f>
        <v>3.5112880013516454</v>
      </c>
      <c r="CX39" s="20">
        <f>DETA!BH16</f>
        <v>3.5152805518998886</v>
      </c>
      <c r="CY39" s="20">
        <f>DETA!BI16</f>
        <v>3.5148939488618929</v>
      </c>
      <c r="CZ39" s="20">
        <f>DETA!BJ16</f>
        <v>3.5012057344091105</v>
      </c>
      <c r="DA39" s="20">
        <f>DETA!BK16</f>
        <v>3.5011649881754572</v>
      </c>
      <c r="DB39" s="20">
        <f>DETA!BL16</f>
        <v>3.4973695980826855</v>
      </c>
      <c r="DC39" s="20">
        <f>DETA!BM16</f>
        <v>3.5031341578262389</v>
      </c>
      <c r="DD39" s="20">
        <f>DETA!BN16</f>
        <v>3.5031894326264332</v>
      </c>
      <c r="DE39" s="20">
        <f>DETA!BO16</f>
        <v>3.473626425742312</v>
      </c>
      <c r="DF39" s="20">
        <f>DETA!BP16</f>
        <v>3.473626425742312</v>
      </c>
      <c r="DG39" s="20">
        <f>DETA!BQ16</f>
        <v>3.4438285588810134</v>
      </c>
      <c r="DH39" s="20">
        <f>DETA!BR16</f>
        <v>3.4141276199668416</v>
      </c>
      <c r="DI39" s="20">
        <f>DETA!BS16</f>
        <v>3.4042808759514136</v>
      </c>
      <c r="DJ39" s="20">
        <f>DETA!BT16</f>
        <v>3.3916131596663175</v>
      </c>
      <c r="DK39" s="20">
        <f>DETA!BU16</f>
        <v>3.3915103330065186</v>
      </c>
      <c r="DL39" s="20">
        <f>DETA!BV16</f>
        <v>3.3887635607746849</v>
      </c>
      <c r="DM39" s="20">
        <f>DETA!BW16</f>
        <v>3.3937144443638743</v>
      </c>
      <c r="DN39" s="20">
        <f>DETA!BX16</f>
        <v>3.3935832788973541</v>
      </c>
      <c r="DO39" s="20">
        <f>DETA!BY16</f>
        <v>3.4106225317062453</v>
      </c>
      <c r="DP39" s="20">
        <f>DETA!BZ16</f>
        <v>3.410702990325007</v>
      </c>
      <c r="DQ39" s="20">
        <f>DETA!CA16</f>
        <v>3.4106895724780122</v>
      </c>
      <c r="DR39" s="20">
        <f>DETA!CB16</f>
        <v>3.4108373468363524</v>
      </c>
      <c r="DS39" s="20">
        <f>DETA!CC16</f>
        <v>3.4404418447037428</v>
      </c>
      <c r="DT39" s="20">
        <f>DETA!CD16</f>
        <v>3.4347230186329636</v>
      </c>
      <c r="DU39" s="20">
        <f>DETA!CE16</f>
        <v>3.4346463170295229</v>
      </c>
      <c r="DV39" s="20">
        <f>DETA!CF16</f>
        <v>3.4488136850075217</v>
      </c>
      <c r="DW39" s="20">
        <f>DETA!CG16</f>
        <v>3.4338476140993412</v>
      </c>
      <c r="DX39" s="20">
        <f>DETA!CH16</f>
        <v>3.4340745808255311</v>
      </c>
      <c r="DY39" s="20">
        <f>DETA!CI16</f>
        <v>3.4545581820700866</v>
      </c>
      <c r="DZ39" s="20">
        <f>DETA!CJ16</f>
        <v>3.4542946859621093</v>
      </c>
      <c r="EA39" s="20">
        <f>DETA!CK16</f>
        <v>3.4584909146213416</v>
      </c>
      <c r="EB39" s="20">
        <f>DETA!CL16</f>
        <v>3.4583866350277344</v>
      </c>
      <c r="EC39" s="20">
        <f>DETA!CM16</f>
        <v>3.4585823234732658</v>
      </c>
      <c r="ED39" s="20">
        <f>DETA!CN16</f>
        <v>3.4526405106725844</v>
      </c>
      <c r="EE39" s="20">
        <f>DETA!CO16</f>
        <v>3.4526405106725844</v>
      </c>
      <c r="EF39" s="20">
        <f>DETA!CP16</f>
        <v>3.4526405106725844</v>
      </c>
      <c r="EG39" s="20">
        <f>DETA!CQ16</f>
        <v>3.460858904164231</v>
      </c>
      <c r="EH39" s="20">
        <f>DETA!CR16</f>
        <v>3.4269331010569597</v>
      </c>
      <c r="EI39" s="20">
        <f>DETA!CS16</f>
        <v>3.4208841912917087</v>
      </c>
      <c r="EJ39" s="20">
        <f>DETA!CT16</f>
        <v>3.4249046197673003</v>
      </c>
      <c r="EK39" s="20">
        <f>DETA!CU16</f>
        <v>3.4248780758764621</v>
      </c>
      <c r="EL39" s="20">
        <f>DETA!CV16</f>
        <v>3.3507607827248997</v>
      </c>
      <c r="EM39" s="20">
        <f>DETA!CW16</f>
        <v>3.3485901660456689</v>
      </c>
      <c r="EN39" s="20">
        <f>DETA!CX16</f>
        <v>3.2715796046182715</v>
      </c>
      <c r="EO39" s="20">
        <f>DETA!CY16</f>
        <v>3.3522000207383549</v>
      </c>
      <c r="EP39" s="20">
        <f>DETA!CZ16</f>
        <v>3.3521866706223404</v>
      </c>
      <c r="EQ39" s="20">
        <f>DETA!DA16</f>
        <v>3.3522668190542388</v>
      </c>
      <c r="ER39" s="20">
        <f>DETA!DB16</f>
        <v>3.352280188272545</v>
      </c>
      <c r="ES39" s="20">
        <f>DETA!DC16</f>
        <v>3.3433387055746371</v>
      </c>
      <c r="ET39" s="20">
        <f>DETA!DD16</f>
        <v>3.3433387055746371</v>
      </c>
      <c r="EU39" s="20">
        <f>DETA!DE16</f>
        <v>3.3378825663241147</v>
      </c>
      <c r="EV39" s="20">
        <f>DETA!DF16</f>
        <v>3.3377890735011273</v>
      </c>
      <c r="EW39" s="20">
        <f>DETA!DG16</f>
        <v>3.3374284714490483</v>
      </c>
      <c r="EX39" s="20">
        <f>DETA!DH16</f>
        <v>3.309671859428799</v>
      </c>
      <c r="EY39" s="20">
        <f>DETA!DI16</f>
        <v>3.309671859428799</v>
      </c>
      <c r="EZ39" s="20">
        <f>DETA!DJ16</f>
        <v>3.3096600654337216</v>
      </c>
      <c r="FA39" s="20">
        <f>DETA!DK16</f>
        <v>3.3096129174942939</v>
      </c>
      <c r="FB39" s="20">
        <f>DETA!DL16</f>
        <v>3.2796796353706292</v>
      </c>
      <c r="FC39" s="20">
        <f>DETA!DM16</f>
        <v>3.2827704856428861</v>
      </c>
      <c r="FD39" s="20">
        <f>DETA!DN16</f>
        <v>3.2823371625601796</v>
      </c>
      <c r="FE39" s="20">
        <f>DETA!DO16</f>
        <v>3.2861638328706602</v>
      </c>
      <c r="FF39" s="20">
        <f>DETA!DP16</f>
        <v>3.2850170907241116</v>
      </c>
      <c r="FG39" s="20">
        <f>DETA!DQ16</f>
        <v>3.284906748901459</v>
      </c>
      <c r="FH39" s="20">
        <f>DETA!DR16</f>
        <v>3.2845892934252041</v>
      </c>
    </row>
    <row r="40" spans="1:164">
      <c r="A40" s="8" t="s">
        <v>203</v>
      </c>
      <c r="B40" s="263" t="s">
        <v>240</v>
      </c>
      <c r="C40" s="19">
        <f t="shared" si="48"/>
        <v>-5.5369886148577185E-2</v>
      </c>
      <c r="D40" s="19">
        <f t="shared" si="49"/>
        <v>-6.8250051139615797E-2</v>
      </c>
      <c r="E40" s="19">
        <f t="shared" si="50"/>
        <v>-3.8445920580668203E-2</v>
      </c>
      <c r="F40" s="19">
        <f t="shared" si="51"/>
        <v>4.831540739904705E-2</v>
      </c>
      <c r="G40" s="19">
        <f t="shared" si="52"/>
        <v>9.950725078231426E-2</v>
      </c>
      <c r="H40" s="19">
        <f t="shared" si="53"/>
        <v>7.0200616785744518E-2</v>
      </c>
      <c r="I40" s="19">
        <f t="shared" si="54"/>
        <v>-7.2878876860804631E-5</v>
      </c>
      <c r="J40" s="19">
        <f t="shared" si="54"/>
        <v>-3.1703819028616742E-4</v>
      </c>
      <c r="K40" s="19">
        <f t="shared" si="44"/>
        <v>-3.1905063973636238E-4</v>
      </c>
      <c r="L40" s="19">
        <f t="shared" si="1"/>
        <v>-3.7811473047972832E-3</v>
      </c>
      <c r="M40" s="19">
        <f t="shared" si="2"/>
        <v>5.1317049238797097E-4</v>
      </c>
      <c r="N40" s="19">
        <f t="shared" si="3"/>
        <v>4.8344340841466327E-4</v>
      </c>
      <c r="O40" s="19">
        <f t="shared" si="4"/>
        <v>0</v>
      </c>
      <c r="P40" s="19">
        <f t="shared" si="5"/>
        <v>-6.9213754245933679E-4</v>
      </c>
      <c r="Q40" s="19">
        <f t="shared" si="5"/>
        <v>-3.475567758371001E-2</v>
      </c>
      <c r="R40" s="19">
        <f t="shared" si="6"/>
        <v>3.7793003659630786E-3</v>
      </c>
      <c r="S40" s="19">
        <f t="shared" si="7"/>
        <v>-2.1455475552724312E-2</v>
      </c>
      <c r="T40" s="19">
        <f t="shared" si="8"/>
        <v>3.7934479042400771E-4</v>
      </c>
      <c r="U40" s="19">
        <f t="shared" si="8"/>
        <v>-1.5617464434678485E-2</v>
      </c>
      <c r="V40" s="19">
        <f t="shared" si="8"/>
        <v>3.9981246774067891E-5</v>
      </c>
      <c r="W40" s="19">
        <f t="shared" si="8"/>
        <v>3.7241338474278685E-3</v>
      </c>
      <c r="X40" s="19">
        <f t="shared" si="55"/>
        <v>-3.5947516665664314E-2</v>
      </c>
      <c r="Y40" s="19">
        <f t="shared" si="55"/>
        <v>2.2729089944667269E-2</v>
      </c>
      <c r="Z40" s="19">
        <f t="shared" si="9"/>
        <v>-4.0712014148125419E-5</v>
      </c>
      <c r="AA40" s="19">
        <f t="shared" si="10"/>
        <v>0</v>
      </c>
      <c r="AB40" s="19">
        <f t="shared" si="10"/>
        <v>1.8973860331916725E-4</v>
      </c>
      <c r="AC40" s="19">
        <f t="shared" si="10"/>
        <v>3.0846675314647354E-2</v>
      </c>
      <c r="AD40" s="19">
        <f t="shared" si="10"/>
        <v>9.6618771136728343E-3</v>
      </c>
      <c r="AE40" s="19">
        <f t="shared" si="11"/>
        <v>-2.1710408199145714E-2</v>
      </c>
      <c r="AF40" s="19">
        <f t="shared" si="11"/>
        <v>-4.1552015388912622E-5</v>
      </c>
      <c r="AG40" s="19">
        <f t="shared" si="12"/>
        <v>2.6952031779892138E-3</v>
      </c>
      <c r="AH40" s="19">
        <f t="shared" si="13"/>
        <v>-4.8579336243430582E-3</v>
      </c>
      <c r="AI40" s="19">
        <f t="shared" si="14"/>
        <v>1.2870291104238873E-4</v>
      </c>
      <c r="AJ40" s="19">
        <f t="shared" si="15"/>
        <v>-1.0431861047346391E-2</v>
      </c>
      <c r="AK40" s="19">
        <f t="shared" si="16"/>
        <v>-7.8948054909377952E-5</v>
      </c>
      <c r="AL40" s="19">
        <f t="shared" si="16"/>
        <v>1.3165934708236904E-5</v>
      </c>
      <c r="AM40" s="19">
        <f t="shared" si="17"/>
        <v>-1.4499998056227703E-4</v>
      </c>
      <c r="AN40" s="19">
        <f t="shared" si="18"/>
        <v>0</v>
      </c>
      <c r="AO40" s="19">
        <f t="shared" si="19"/>
        <v>-1.3768809253305037E-3</v>
      </c>
      <c r="AP40" s="19">
        <f t="shared" si="20"/>
        <v>7.5261575370078049E-5</v>
      </c>
      <c r="AQ40" s="19">
        <f t="shared" si="20"/>
        <v>6.229614343725709E-4</v>
      </c>
      <c r="AR40" s="19">
        <f t="shared" si="20"/>
        <v>-9.9614526607673115E-3</v>
      </c>
      <c r="AS40" s="19">
        <f t="shared" si="21"/>
        <v>-2.2270555768488798E-4</v>
      </c>
      <c r="AT40" s="19">
        <f t="shared" si="22"/>
        <v>2.3504990184630703E-4</v>
      </c>
      <c r="AU40" s="60" t="s">
        <v>40</v>
      </c>
      <c r="AV40" s="19">
        <f t="shared" si="23"/>
        <v>2.5854912153855381E-4</v>
      </c>
      <c r="AW40" s="19">
        <f t="shared" si="24"/>
        <v>-1.7314850364584577E-2</v>
      </c>
      <c r="AX40" s="19">
        <f t="shared" si="25"/>
        <v>-2.447417619788006E-2</v>
      </c>
      <c r="AY40" s="19">
        <f t="shared" si="26"/>
        <v>2.4384483494077402E-2</v>
      </c>
      <c r="AZ40" s="19">
        <f t="shared" si="27"/>
        <v>5.8302587152342378E-3</v>
      </c>
      <c r="BA40" s="19">
        <f t="shared" si="28"/>
        <v>0</v>
      </c>
      <c r="BB40" s="19">
        <f t="shared" si="61"/>
        <v>0</v>
      </c>
      <c r="BC40" s="19">
        <f t="shared" si="30"/>
        <v>1.1359259494836293E-2</v>
      </c>
      <c r="BD40" s="19">
        <f t="shared" si="31"/>
        <v>-4.4744319395917387E-3</v>
      </c>
      <c r="BE40" s="19">
        <f t="shared" si="32"/>
        <v>1.2560687474638677E-4</v>
      </c>
      <c r="BF40" s="19">
        <f t="shared" si="33"/>
        <v>1.5428003086641828E-2</v>
      </c>
      <c r="BG40" s="19">
        <f t="shared" si="33"/>
        <v>2.6045544699648815E-5</v>
      </c>
      <c r="BH40" s="19">
        <f t="shared" si="56"/>
        <v>1.0405748438924167E-4</v>
      </c>
      <c r="BI40" s="19">
        <f t="shared" si="57"/>
        <v>2.1298646113635522E-3</v>
      </c>
      <c r="BJ40" s="19">
        <f t="shared" si="35"/>
        <v>-2.45383607353169E-2</v>
      </c>
      <c r="BK40" s="19">
        <f t="shared" si="36"/>
        <v>-3.5802190341004403E-3</v>
      </c>
      <c r="BL40" s="19">
        <f t="shared" si="45"/>
        <v>1.3099475337008393E-5</v>
      </c>
      <c r="BM40" s="19">
        <f t="shared" si="45"/>
        <v>-7.8643691624358247E-5</v>
      </c>
      <c r="BN40" s="19">
        <f t="shared" si="45"/>
        <v>-9.6911256848963845E-5</v>
      </c>
      <c r="BO40" s="19">
        <f t="shared" si="45"/>
        <v>-6.6862039323327682E-3</v>
      </c>
      <c r="BP40" s="19">
        <f t="shared" si="58"/>
        <v>0</v>
      </c>
      <c r="BQ40" s="19">
        <f t="shared" si="58"/>
        <v>5.3537034039915499E-3</v>
      </c>
      <c r="BR40" s="19">
        <f t="shared" si="58"/>
        <v>9.1737549519077533E-5</v>
      </c>
      <c r="BS40" s="19">
        <f t="shared" si="38"/>
        <v>-8.1846785994311722E-3</v>
      </c>
      <c r="BT40" s="19">
        <f t="shared" si="46"/>
        <v>-1.8131928632652006E-3</v>
      </c>
      <c r="BU40" s="19">
        <f t="shared" si="59"/>
        <v>-4.7594445501235594E-3</v>
      </c>
      <c r="BV40" s="19">
        <f t="shared" si="60"/>
        <v>1.1572569667550603E-5</v>
      </c>
      <c r="BW40" s="19">
        <f t="shared" si="40"/>
        <v>4.6262764239579646E-5</v>
      </c>
      <c r="BX40" s="19">
        <f t="shared" si="41"/>
        <v>8.0023183852784285E-4</v>
      </c>
      <c r="BY40" s="19">
        <f t="shared" si="41"/>
        <v>-3.0328213529788872E-3</v>
      </c>
      <c r="BZ40" s="19">
        <f t="shared" si="41"/>
        <v>2.2487894560455524E-2</v>
      </c>
      <c r="CA40" s="19">
        <f t="shared" si="41"/>
        <v>-3.7548267972103977E-3</v>
      </c>
      <c r="CB40" s="19">
        <f t="shared" si="42"/>
        <v>1.1252127285586999E-3</v>
      </c>
      <c r="CC40" s="19">
        <f t="shared" si="42"/>
        <v>1.0827021899817435E-4</v>
      </c>
      <c r="CD40" s="19">
        <f t="shared" si="42"/>
        <v>-4.4264190668208414E-4</v>
      </c>
      <c r="CE40" s="65"/>
      <c r="CG40" s="20">
        <f t="shared" si="47"/>
        <v>0.90869761631314416</v>
      </c>
      <c r="CH40" s="20">
        <f>'DIETHANOL AMINE'!AR17</f>
        <v>0.96406750246172135</v>
      </c>
      <c r="CI40" s="20">
        <f>'DIETHANOL AMINE'!AS17</f>
        <v>1.0323175536013371</v>
      </c>
      <c r="CJ40" s="20">
        <f>'DIETHANOL AMINE'!AT17</f>
        <v>1.0707634741820053</v>
      </c>
      <c r="CK40" s="20">
        <f>'DIETHANOL AMINE'!AU17</f>
        <v>1.0224480667829583</v>
      </c>
      <c r="CL40" s="20">
        <f>'DIETHANOL AMINE'!AV17</f>
        <v>0.92294081600064404</v>
      </c>
      <c r="CM40" s="20">
        <f>'DIETHANOL AMINE'!AW17</f>
        <v>0.85274019921489952</v>
      </c>
      <c r="CN40" s="20">
        <f>'DIETHANOL AMINE'!AX17</f>
        <v>0.85281307809176032</v>
      </c>
      <c r="CO40" s="20">
        <f>'DIETHANOL AMINE'!AY17</f>
        <v>0.85313011628204649</v>
      </c>
      <c r="CP40" s="20">
        <f>'DIETHANOL AMINE'!AZ17</f>
        <v>0.85344916692178285</v>
      </c>
      <c r="CQ40" s="20">
        <f>'DIETHANOL AMINE'!BA17</f>
        <v>0.85723031422658014</v>
      </c>
      <c r="CR40" s="20">
        <f>'DIETHANOL AMINE'!BB17</f>
        <v>0.85671714373419217</v>
      </c>
      <c r="CS40" s="20">
        <f>'DIETHANOL AMINE'!BC17</f>
        <v>0.8562337003257775</v>
      </c>
      <c r="CT40" s="20">
        <f>'DIETHANOL AMINE'!BD17</f>
        <v>0.8562337003257775</v>
      </c>
      <c r="CU40" s="20">
        <f>'DIETHANOL AMINE'!BE17</f>
        <v>0.85692583786823684</v>
      </c>
      <c r="CV40" s="20">
        <f>'DIETHANOL AMINE'!BF17</f>
        <v>0.89168151545194685</v>
      </c>
      <c r="CW40" s="20">
        <f>'DIETHANOL AMINE'!BG17</f>
        <v>0.88790221508598377</v>
      </c>
      <c r="CX40" s="20">
        <f>'DIETHANOL AMINE'!BH17</f>
        <v>0.90935769063870808</v>
      </c>
      <c r="CY40" s="20">
        <f>'DIETHANOL AMINE'!BI17</f>
        <v>0.90897834584828408</v>
      </c>
      <c r="CZ40" s="20">
        <f>'DIETHANOL AMINE'!BJ17</f>
        <v>0.92459581028296256</v>
      </c>
      <c r="DA40" s="20">
        <f>'DIETHANOL AMINE'!BK17</f>
        <v>0.92455582903618849</v>
      </c>
      <c r="DB40" s="20">
        <f>'DIETHANOL AMINE'!BL17</f>
        <v>0.92083169518876062</v>
      </c>
      <c r="DC40" s="20">
        <f>'DIETHANOL AMINE'!BM17</f>
        <v>0.95677921185442494</v>
      </c>
      <c r="DD40" s="20">
        <f>'DIETHANOL AMINE'!BN17</f>
        <v>0.93405012190975767</v>
      </c>
      <c r="DE40" s="20">
        <f>'DIETHANOL AMINE'!BO17</f>
        <v>0.93409083392390579</v>
      </c>
      <c r="DF40" s="20">
        <f>'DIETHANOL AMINE'!BP17</f>
        <v>0.93409083392390579</v>
      </c>
      <c r="DG40" s="20">
        <f>'DIETHANOL AMINE'!BQ17</f>
        <v>0.93390109532058663</v>
      </c>
      <c r="DH40" s="20">
        <f>'DIETHANOL AMINE'!BR17</f>
        <v>0.90305442000593927</v>
      </c>
      <c r="DI40" s="20">
        <f>'DIETHANOL AMINE'!BS17</f>
        <v>0.89339254289226644</v>
      </c>
      <c r="DJ40" s="20">
        <f>'DIETHANOL AMINE'!BT17</f>
        <v>0.91510295109141215</v>
      </c>
      <c r="DK40" s="20">
        <f>'DIETHANOL AMINE'!BU17</f>
        <v>0.91514450310680107</v>
      </c>
      <c r="DL40" s="20">
        <f>'DIETHANOL AMINE'!BV17</f>
        <v>0.91244929992881185</v>
      </c>
      <c r="DM40" s="20">
        <f>'DIETHANOL AMINE'!BW17</f>
        <v>0.91730723355315491</v>
      </c>
      <c r="DN40" s="20">
        <f>'DIETHANOL AMINE'!BX17</f>
        <v>0.91717853064211252</v>
      </c>
      <c r="DO40" s="20">
        <f>'DIETHANOL AMINE'!BY17</f>
        <v>0.92761039168945891</v>
      </c>
      <c r="DP40" s="20">
        <f>'DIETHANOL AMINE'!BZ17</f>
        <v>0.92768933974436829</v>
      </c>
      <c r="DQ40" s="20">
        <f>'DIETHANOL AMINE'!CA17</f>
        <v>0.92767617380966005</v>
      </c>
      <c r="DR40" s="20">
        <f>'DIETHANOL AMINE'!CB17</f>
        <v>0.92782117379022233</v>
      </c>
      <c r="DS40" s="20">
        <f>'DIETHANOL AMINE'!CC17</f>
        <v>0.92782117379022233</v>
      </c>
      <c r="DT40" s="20">
        <f>'DIETHANOL AMINE'!CD17</f>
        <v>0.92919805471555283</v>
      </c>
      <c r="DU40" s="20">
        <f>'DIETHANOL AMINE'!CE17</f>
        <v>0.92912279314018276</v>
      </c>
      <c r="DV40" s="20">
        <f>'DIETHANOL AMINE'!CF17</f>
        <v>0.92849983170581019</v>
      </c>
      <c r="DW40" s="20">
        <f>'DIETHANOL AMINE'!CG17</f>
        <v>0.9384612843665775</v>
      </c>
      <c r="DX40" s="20">
        <f>'DIETHANOL AMINE'!CH17</f>
        <v>0.93868398992426239</v>
      </c>
      <c r="DY40" s="20">
        <f>'DIETHANOL AMINE'!CI17</f>
        <v>0.93844894002241608</v>
      </c>
      <c r="DZ40" s="20">
        <f>'DIETHANOL AMINE'!CJ17</f>
        <v>0.93819039090087752</v>
      </c>
      <c r="EA40" s="20">
        <f>'DIETHANOL AMINE'!CK17</f>
        <v>0.9555052412654621</v>
      </c>
      <c r="EB40" s="20">
        <f>'DIETHANOL AMINE'!CL17</f>
        <v>0.97997941746334216</v>
      </c>
      <c r="EC40" s="20">
        <f>'DIETHANOL AMINE'!CM17</f>
        <v>0.95559493396926476</v>
      </c>
      <c r="ED40" s="20">
        <f>'DIETHANOL AMINE'!CN17</f>
        <v>0.94976467525403052</v>
      </c>
      <c r="EE40" s="20">
        <f>'DIETHANOL AMINE'!CO17</f>
        <v>0.94976467525403052</v>
      </c>
      <c r="EF40" s="20">
        <f>'DIETHANOL AMINE'!CP17</f>
        <v>0.94976467525403052</v>
      </c>
      <c r="EG40" s="20">
        <f>'DIETHANOL AMINE'!CQ17</f>
        <v>0.93840541575919423</v>
      </c>
      <c r="EH40" s="20">
        <f>'DIETHANOL AMINE'!CR17</f>
        <v>0.94287984769878597</v>
      </c>
      <c r="EI40" s="20">
        <f>'DIETHANOL AMINE'!CS17</f>
        <v>0.94275424082403958</v>
      </c>
      <c r="EJ40" s="20">
        <f>'DIETHANOL AMINE'!CT17</f>
        <v>0.92732623773739775</v>
      </c>
      <c r="EK40" s="20">
        <f>'DIETHANOL AMINE'!CU17</f>
        <v>0.9273001921926981</v>
      </c>
      <c r="EL40" s="20">
        <f>'DIETHANOL AMINE'!CV17</f>
        <v>0.92719613470830886</v>
      </c>
      <c r="EM40" s="20">
        <f>'DIETHANOL AMINE'!CW17</f>
        <v>0.92506627009694531</v>
      </c>
      <c r="EN40" s="20">
        <f>'DIETHANOL AMINE'!CX17</f>
        <v>0.94960463083226221</v>
      </c>
      <c r="EO40" s="20">
        <f>'DIETHANOL AMINE'!CY17</f>
        <v>0.95318484986636265</v>
      </c>
      <c r="EP40" s="20">
        <f>'DIETHANOL AMINE'!CZ17</f>
        <v>0.95317175039102564</v>
      </c>
      <c r="EQ40" s="20">
        <f>'DIETHANOL AMINE'!DA17</f>
        <v>0.95325039408265</v>
      </c>
      <c r="ER40" s="20">
        <f>'DIETHANOL AMINE'!DB17</f>
        <v>0.95334730533949896</v>
      </c>
      <c r="ES40" s="20">
        <f>'DIETHANOL AMINE'!DC17</f>
        <v>0.96003350927183173</v>
      </c>
      <c r="ET40" s="20">
        <f>'DIETHANOL AMINE'!DD17</f>
        <v>0.96003350927183173</v>
      </c>
      <c r="EU40" s="20">
        <f>'DIETHANOL AMINE'!DE17</f>
        <v>0.95467980586784018</v>
      </c>
      <c r="EV40" s="20">
        <f>'DIETHANOL AMINE'!DF17</f>
        <v>0.9545880683183211</v>
      </c>
      <c r="EW40" s="20">
        <f>'DIETHANOL AMINE'!DG17</f>
        <v>0.96277274691775228</v>
      </c>
      <c r="EX40" s="20">
        <f>'DIETHANOL AMINE'!DH17</f>
        <v>0.96458593978101748</v>
      </c>
      <c r="EY40" s="20">
        <f>'DIETHANOL AMINE'!DI17</f>
        <v>0.96934538433114104</v>
      </c>
      <c r="EZ40" s="20">
        <f>'DIETHANOL AMINE'!DJ17</f>
        <v>0.96933381176147349</v>
      </c>
      <c r="FA40" s="20">
        <f>'DIETHANOL AMINE'!DK17</f>
        <v>0.96928754899723391</v>
      </c>
      <c r="FB40" s="20">
        <f>'DIETHANOL AMINE'!DL17</f>
        <v>0.96848731715870606</v>
      </c>
      <c r="FC40" s="20">
        <f>'DIETHANOL AMINE'!DM17</f>
        <v>0.97152013851168495</v>
      </c>
      <c r="FD40" s="20">
        <f>'DIETHANOL AMINE'!DN17</f>
        <v>0.94903224395122943</v>
      </c>
      <c r="FE40" s="20">
        <f>'DIETHANOL AMINE'!DO17</f>
        <v>0.95278707074843982</v>
      </c>
      <c r="FF40" s="20">
        <f>'DIETHANOL AMINE'!DP17</f>
        <v>0.95166185801988112</v>
      </c>
      <c r="FG40" s="20">
        <f>'DIETHANOL AMINE'!DQ17</f>
        <v>0.95155358780088295</v>
      </c>
      <c r="FH40" s="20">
        <f>'DIETHANOL AMINE'!DR17</f>
        <v>0.95199622970756503</v>
      </c>
    </row>
    <row r="41" spans="1:164">
      <c r="A41" s="8" t="s">
        <v>207</v>
      </c>
      <c r="B41" s="263" t="s">
        <v>241</v>
      </c>
      <c r="C41" s="19">
        <f t="shared" si="48"/>
        <v>-0.57964964850264278</v>
      </c>
      <c r="D41" s="19">
        <f t="shared" si="49"/>
        <v>0.13474163288705121</v>
      </c>
      <c r="E41" s="19">
        <f t="shared" si="50"/>
        <v>6.478396635842909E-2</v>
      </c>
      <c r="F41" s="19">
        <f t="shared" si="51"/>
        <v>0.14775290950591247</v>
      </c>
      <c r="G41" s="19">
        <f t="shared" si="52"/>
        <v>0.44944965255791747</v>
      </c>
      <c r="H41" s="19">
        <f t="shared" si="53"/>
        <v>-0.16427208058661869</v>
      </c>
      <c r="I41" s="19">
        <f t="shared" si="54"/>
        <v>4.3133386416037034E-2</v>
      </c>
      <c r="J41" s="19">
        <f t="shared" si="54"/>
        <v>-2.6634297242108751E-2</v>
      </c>
      <c r="K41" s="19">
        <f t="shared" si="44"/>
        <v>-1.9383849659534658E-2</v>
      </c>
      <c r="L41" s="19">
        <f t="shared" si="1"/>
        <v>-8.8522304936380358E-3</v>
      </c>
      <c r="M41" s="19">
        <f t="shared" si="2"/>
        <v>-1.2603175618060902E-2</v>
      </c>
      <c r="N41" s="19">
        <f t="shared" si="3"/>
        <v>-8.8536751492567234E-3</v>
      </c>
      <c r="O41" s="19">
        <f t="shared" si="4"/>
        <v>3.5560440105655289E-3</v>
      </c>
      <c r="P41" s="19">
        <f t="shared" si="5"/>
        <v>-0.10028415745542141</v>
      </c>
      <c r="Q41" s="19">
        <f t="shared" si="5"/>
        <v>-1.8419957681548027E-3</v>
      </c>
      <c r="R41" s="19">
        <f t="shared" si="6"/>
        <v>1.9747989016930312E-2</v>
      </c>
      <c r="S41" s="19">
        <f t="shared" si="7"/>
        <v>2.2633996236427922E-2</v>
      </c>
      <c r="T41" s="19">
        <f t="shared" si="8"/>
        <v>0</v>
      </c>
      <c r="U41" s="19">
        <f t="shared" si="8"/>
        <v>0</v>
      </c>
      <c r="V41" s="19">
        <f t="shared" si="8"/>
        <v>-3.1346612847897415E-2</v>
      </c>
      <c r="W41" s="19">
        <f t="shared" si="8"/>
        <v>3.4404227987661073E-3</v>
      </c>
      <c r="X41" s="19">
        <f t="shared" si="55"/>
        <v>1.0643644401687968E-2</v>
      </c>
      <c r="Y41" s="19">
        <f t="shared" si="55"/>
        <v>-9.4197297899474286E-3</v>
      </c>
      <c r="Z41" s="19">
        <f t="shared" si="9"/>
        <v>-1.9613524606887367E-2</v>
      </c>
      <c r="AA41" s="19">
        <f t="shared" si="10"/>
        <v>0</v>
      </c>
      <c r="AB41" s="19">
        <f t="shared" si="10"/>
        <v>-6.1535947830400062E-3</v>
      </c>
      <c r="AC41" s="19">
        <f t="shared" si="10"/>
        <v>1.3153013122445323E-2</v>
      </c>
      <c r="AD41" s="19">
        <f t="shared" si="10"/>
        <v>4.2604531730139783E-2</v>
      </c>
      <c r="AE41" s="19">
        <f t="shared" si="11"/>
        <v>7.9954240120038822E-2</v>
      </c>
      <c r="AF41" s="19">
        <f t="shared" si="11"/>
        <v>1.831091464146839E-2</v>
      </c>
      <c r="AG41" s="19">
        <f t="shared" si="12"/>
        <v>1.7616800859490134E-3</v>
      </c>
      <c r="AH41" s="19">
        <f t="shared" si="13"/>
        <v>-4.8918144621381998E-2</v>
      </c>
      <c r="AI41" s="19">
        <f t="shared" si="14"/>
        <v>-3.6223950885148071E-3</v>
      </c>
      <c r="AJ41" s="19">
        <f t="shared" si="15"/>
        <v>1.8086501496803464E-3</v>
      </c>
      <c r="AK41" s="19">
        <f t="shared" si="16"/>
        <v>-3.8565413517228642E-3</v>
      </c>
      <c r="AL41" s="19">
        <f t="shared" si="16"/>
        <v>1.4504807920445284E-2</v>
      </c>
      <c r="AM41" s="19">
        <f t="shared" si="17"/>
        <v>-1.7954245180078487E-3</v>
      </c>
      <c r="AN41" s="19">
        <f t="shared" si="18"/>
        <v>-1.3936232040583363E-2</v>
      </c>
      <c r="AO41" s="19">
        <f t="shared" si="19"/>
        <v>2.8625266449075593E-2</v>
      </c>
      <c r="AP41" s="19">
        <f t="shared" si="20"/>
        <v>-3.5549336881315341E-3</v>
      </c>
      <c r="AQ41" s="19">
        <f t="shared" si="20"/>
        <v>5.523111137376846E-2</v>
      </c>
      <c r="AR41" s="19">
        <f t="shared" si="20"/>
        <v>1.4139615960719887E-2</v>
      </c>
      <c r="AS41" s="19">
        <f t="shared" si="21"/>
        <v>-7.2645690403101426E-3</v>
      </c>
      <c r="AT41" s="19">
        <f t="shared" si="22"/>
        <v>-1.2400468252550034E-2</v>
      </c>
      <c r="AU41" s="60" t="s">
        <v>94</v>
      </c>
      <c r="AV41" s="19">
        <f t="shared" si="23"/>
        <v>-2.8448979467947666E-2</v>
      </c>
      <c r="AW41" s="19">
        <f t="shared" si="24"/>
        <v>0</v>
      </c>
      <c r="AX41" s="19">
        <f t="shared" si="25"/>
        <v>-5.2365579077124913E-3</v>
      </c>
      <c r="AY41" s="19">
        <f t="shared" si="26"/>
        <v>4.9771706097191171E-2</v>
      </c>
      <c r="AZ41" s="19">
        <f t="shared" si="27"/>
        <v>3.5788685713291635E-3</v>
      </c>
      <c r="BA41" s="19">
        <f t="shared" si="28"/>
        <v>0</v>
      </c>
      <c r="BB41" s="19">
        <f t="shared" si="61"/>
        <v>1.8161422600768695E-3</v>
      </c>
      <c r="BC41" s="19">
        <f t="shared" si="30"/>
        <v>2.994067222195218E-2</v>
      </c>
      <c r="BD41" s="19">
        <f t="shared" si="31"/>
        <v>0</v>
      </c>
      <c r="BE41" s="19">
        <f t="shared" si="32"/>
        <v>1.2787425961184873E-3</v>
      </c>
      <c r="BF41" s="19">
        <f t="shared" si="33"/>
        <v>1.6194908436242272E-3</v>
      </c>
      <c r="BG41" s="19">
        <f t="shared" si="33"/>
        <v>3.7716656135833304E-3</v>
      </c>
      <c r="BH41" s="19">
        <f t="shared" si="56"/>
        <v>-3.1873230537323938E-2</v>
      </c>
      <c r="BI41" s="19">
        <f t="shared" si="57"/>
        <v>1.6536427436739665E-3</v>
      </c>
      <c r="BJ41" s="19">
        <f t="shared" si="35"/>
        <v>-1.3655552521937508E-2</v>
      </c>
      <c r="BK41" s="19">
        <f t="shared" si="36"/>
        <v>-2.8380184158153021E-2</v>
      </c>
      <c r="BL41" s="19">
        <f t="shared" si="45"/>
        <v>1.7329164503219197E-3</v>
      </c>
      <c r="BM41" s="19">
        <f t="shared" si="45"/>
        <v>-1.5943794511490417E-3</v>
      </c>
      <c r="BN41" s="19">
        <f t="shared" si="45"/>
        <v>-2.8508854252808469E-2</v>
      </c>
      <c r="BO41" s="19">
        <f t="shared" si="45"/>
        <v>-5.4411026348598845E-2</v>
      </c>
      <c r="BP41" s="19">
        <f t="shared" si="58"/>
        <v>3.7328139379280145E-3</v>
      </c>
      <c r="BQ41" s="19">
        <f t="shared" si="58"/>
        <v>-9.3716893838204918E-3</v>
      </c>
      <c r="BR41" s="19">
        <f t="shared" si="58"/>
        <v>8.9106871492878881E-3</v>
      </c>
      <c r="BS41" s="19">
        <f t="shared" si="38"/>
        <v>2.2005544729947868E-2</v>
      </c>
      <c r="BT41" s="19">
        <f t="shared" si="46"/>
        <v>3.1686591655128549E-2</v>
      </c>
      <c r="BU41" s="19">
        <f t="shared" si="59"/>
        <v>-2.6824076126092056E-2</v>
      </c>
      <c r="BV41" s="19">
        <f t="shared" si="60"/>
        <v>1.8163522170464574E-3</v>
      </c>
      <c r="BW41" s="19">
        <f t="shared" si="40"/>
        <v>-1.355768960818482E-2</v>
      </c>
      <c r="BX41" s="19">
        <f t="shared" si="41"/>
        <v>3.3791785685456155E-2</v>
      </c>
      <c r="BY41" s="19">
        <f t="shared" si="41"/>
        <v>1.6163193929505937E-2</v>
      </c>
      <c r="BZ41" s="19">
        <f t="shared" si="41"/>
        <v>1.4106432343947262E-2</v>
      </c>
      <c r="CA41" s="19">
        <f t="shared" si="41"/>
        <v>2.4556143637113337E-3</v>
      </c>
      <c r="CB41" s="19">
        <f t="shared" si="42"/>
        <v>1.9123938322391787E-3</v>
      </c>
      <c r="CC41" s="19">
        <f t="shared" si="42"/>
        <v>2.2103072488049769E-2</v>
      </c>
      <c r="CD41" s="19">
        <f t="shared" si="42"/>
        <v>5.2131593216300232E-3</v>
      </c>
      <c r="CE41" s="65"/>
      <c r="CG41" s="20">
        <f t="shared" si="47"/>
        <v>1.9557906323246697</v>
      </c>
      <c r="CH41" s="20">
        <f>P2O5!AR14</f>
        <v>2.5354402808273124</v>
      </c>
      <c r="CI41" s="20">
        <f>P2O5!AS14</f>
        <v>2.4006986479402612</v>
      </c>
      <c r="CJ41" s="20">
        <f>P2O5!AT14</f>
        <v>2.3359146815818321</v>
      </c>
      <c r="CK41" s="20">
        <f>P2O5!AU14</f>
        <v>2.1881617720759197</v>
      </c>
      <c r="CL41" s="20">
        <f>P2O5!AV14</f>
        <v>1.7387121195180022</v>
      </c>
      <c r="CM41" s="20">
        <f>P2O5!AW14</f>
        <v>1.9029842001046209</v>
      </c>
      <c r="CN41" s="20">
        <f>P2O5!AX14</f>
        <v>1.8598508136885838</v>
      </c>
      <c r="CO41" s="20">
        <f>P2O5!AY14</f>
        <v>1.8864851109306926</v>
      </c>
      <c r="CP41" s="20">
        <f>P2O5!AZ14</f>
        <v>1.9058689605902273</v>
      </c>
      <c r="CQ41" s="20">
        <f>P2O5!BA14</f>
        <v>1.9147211910838653</v>
      </c>
      <c r="CR41" s="20">
        <f>P2O5!BB14</f>
        <v>1.9273243667019262</v>
      </c>
      <c r="CS41" s="20">
        <f>P2O5!BC14</f>
        <v>1.9361780418511829</v>
      </c>
      <c r="CT41" s="20">
        <f>P2O5!BD14</f>
        <v>1.9326219978406174</v>
      </c>
      <c r="CU41" s="20">
        <f>P2O5!BE14</f>
        <v>2.0329061552960388</v>
      </c>
      <c r="CV41" s="20">
        <f>P2O5!BF14</f>
        <v>2.0347481510641936</v>
      </c>
      <c r="CW41" s="20">
        <f>P2O5!BG14</f>
        <v>2.0150001620472633</v>
      </c>
      <c r="CX41" s="20">
        <f>P2O5!BH14</f>
        <v>1.9923661658108354</v>
      </c>
      <c r="CY41" s="20">
        <f>P2O5!BI14</f>
        <v>1.9923661658108354</v>
      </c>
      <c r="CZ41" s="20">
        <f>P2O5!BJ14</f>
        <v>1.9923661658108354</v>
      </c>
      <c r="DA41" s="20">
        <f>P2O5!BK14</f>
        <v>2.0237127786587328</v>
      </c>
      <c r="DB41" s="20">
        <f>P2O5!BL14</f>
        <v>2.0202723558599667</v>
      </c>
      <c r="DC41" s="20">
        <f>P2O5!BM14</f>
        <v>2.0096287114582787</v>
      </c>
      <c r="DD41" s="20">
        <f>P2O5!BN14</f>
        <v>2.0190484412482261</v>
      </c>
      <c r="DE41" s="20">
        <f>P2O5!BO14</f>
        <v>2.0386619658551135</v>
      </c>
      <c r="DF41" s="20">
        <f>P2O5!BP14</f>
        <v>2.0386619658551135</v>
      </c>
      <c r="DG41" s="20">
        <f>P2O5!BQ14</f>
        <v>2.0448155606381535</v>
      </c>
      <c r="DH41" s="20">
        <f>P2O5!BR14</f>
        <v>2.0316625475157082</v>
      </c>
      <c r="DI41" s="20">
        <f>P2O5!BS14</f>
        <v>1.9890580157855684</v>
      </c>
      <c r="DJ41" s="20">
        <f>P2O5!BT14</f>
        <v>1.9091037756655296</v>
      </c>
      <c r="DK41" s="20">
        <f>P2O5!BU14</f>
        <v>1.8907928610240612</v>
      </c>
      <c r="DL41" s="20">
        <f>P2O5!BV14</f>
        <v>1.8890311809381122</v>
      </c>
      <c r="DM41" s="20">
        <f>P2O5!BW14</f>
        <v>1.9379493255594942</v>
      </c>
      <c r="DN41" s="20">
        <f>P2O5!BX14</f>
        <v>1.941571720648009</v>
      </c>
      <c r="DO41" s="20">
        <f>P2O5!BY14</f>
        <v>1.9397630704983286</v>
      </c>
      <c r="DP41" s="20">
        <f>P2O5!BZ14</f>
        <v>1.9436196118500515</v>
      </c>
      <c r="DQ41" s="20">
        <f>P2O5!CA14</f>
        <v>1.9291148039296062</v>
      </c>
      <c r="DR41" s="20">
        <f>P2O5!CB14</f>
        <v>1.9309102284476141</v>
      </c>
      <c r="DS41" s="20">
        <f>P2O5!CC14</f>
        <v>1.9448464604881974</v>
      </c>
      <c r="DT41" s="20">
        <f>P2O5!CD14</f>
        <v>1.9162211940391218</v>
      </c>
      <c r="DU41" s="20">
        <f>P2O5!CE14</f>
        <v>1.9197761277272534</v>
      </c>
      <c r="DV41" s="20">
        <f>P2O5!CF14</f>
        <v>1.8645450163534849</v>
      </c>
      <c r="DW41" s="20">
        <f>P2O5!CG14</f>
        <v>1.850405400392765</v>
      </c>
      <c r="DX41" s="20">
        <f>P2O5!CH14</f>
        <v>1.8576699694330752</v>
      </c>
      <c r="DY41" s="20">
        <f>P2O5!CI14</f>
        <v>1.8700704376856252</v>
      </c>
      <c r="DZ41" s="20">
        <f>P2O5!CJ14</f>
        <v>1.8985194171535729</v>
      </c>
      <c r="EA41" s="20">
        <f>P2O5!CK14</f>
        <v>1.8985194171535729</v>
      </c>
      <c r="EB41" s="20">
        <f>P2O5!CL14</f>
        <v>1.9037559750612854</v>
      </c>
      <c r="EC41" s="20">
        <f>P2O5!CM14</f>
        <v>1.8539842689640942</v>
      </c>
      <c r="ED41" s="20">
        <f>P2O5!CN14</f>
        <v>1.850405400392765</v>
      </c>
      <c r="EE41" s="20">
        <f>P2O5!CO14</f>
        <v>1.850405400392765</v>
      </c>
      <c r="EF41" s="20">
        <f>P2O5!CP14</f>
        <v>1.8485892581326882</v>
      </c>
      <c r="EG41" s="20">
        <f>P2O5!CQ14</f>
        <v>1.818648585910736</v>
      </c>
      <c r="EH41" s="20">
        <f>P2O5!CR14</f>
        <v>1.818648585910736</v>
      </c>
      <c r="EI41" s="20">
        <f>P2O5!CS14</f>
        <v>1.8173698433146175</v>
      </c>
      <c r="EJ41" s="20">
        <f>P2O5!CT14</f>
        <v>1.8157503524709933</v>
      </c>
      <c r="EK41" s="20">
        <f>P2O5!CU14</f>
        <v>1.8119786868574099</v>
      </c>
      <c r="EL41" s="20">
        <f>P2O5!CV14</f>
        <v>1.8438519173947339</v>
      </c>
      <c r="EM41" s="20">
        <f>P2O5!CW14</f>
        <v>1.8421982746510599</v>
      </c>
      <c r="EN41" s="20">
        <f>P2O5!CX14</f>
        <v>1.8558538271729974</v>
      </c>
      <c r="EO41" s="20">
        <f>P2O5!CY14</f>
        <v>1.8842340113311504</v>
      </c>
      <c r="EP41" s="20">
        <f>P2O5!CZ14</f>
        <v>1.8825010948808285</v>
      </c>
      <c r="EQ41" s="20">
        <f>P2O5!DA14</f>
        <v>1.8840954743319775</v>
      </c>
      <c r="ER41" s="20">
        <f>P2O5!DB14</f>
        <v>1.912604328584786</v>
      </c>
      <c r="ES41" s="20">
        <f>P2O5!DC14</f>
        <v>1.9670153549333849</v>
      </c>
      <c r="ET41" s="20">
        <f>P2O5!DD14</f>
        <v>1.9632825409954568</v>
      </c>
      <c r="EU41" s="20">
        <f>P2O5!DE14</f>
        <v>1.9726542303792773</v>
      </c>
      <c r="EV41" s="20">
        <f>P2O5!DF14</f>
        <v>1.9637435432299895</v>
      </c>
      <c r="EW41" s="20">
        <f>P2O5!DG14</f>
        <v>1.9417379985000416</v>
      </c>
      <c r="EX41" s="20">
        <f>P2O5!DH14</f>
        <v>1.910051406844913</v>
      </c>
      <c r="EY41" s="20">
        <f>P2O5!DI14</f>
        <v>1.9368754829710051</v>
      </c>
      <c r="EZ41" s="20">
        <f>P2O5!DJ14</f>
        <v>1.9350591307539586</v>
      </c>
      <c r="FA41" s="20">
        <f>P2O5!DK14</f>
        <v>1.9486168203621435</v>
      </c>
      <c r="FB41" s="20">
        <f>P2O5!DL14</f>
        <v>1.9148250346766873</v>
      </c>
      <c r="FC41" s="20">
        <f>P2O5!DM14</f>
        <v>1.8986618407471814</v>
      </c>
      <c r="FD41" s="20">
        <f>P2O5!DN14</f>
        <v>1.8845554084032341</v>
      </c>
      <c r="FE41" s="20">
        <f>P2O5!DO14</f>
        <v>1.8820997940395228</v>
      </c>
      <c r="FF41" s="20">
        <f>P2O5!DP14</f>
        <v>1.8801874002072836</v>
      </c>
      <c r="FG41" s="20">
        <f>P2O5!DQ14</f>
        <v>1.8580843277192338</v>
      </c>
      <c r="FH41" s="20">
        <f>P2O5!DR14</f>
        <v>1.8528711683976038</v>
      </c>
    </row>
    <row r="42" spans="1:164" ht="15">
      <c r="A42" s="8" t="s">
        <v>207</v>
      </c>
      <c r="B42" s="264" t="s">
        <v>242</v>
      </c>
      <c r="C42" s="19">
        <f t="shared" si="48"/>
        <v>-4.1898324626854055E-2</v>
      </c>
      <c r="D42" s="19">
        <f t="shared" si="49"/>
        <v>-3.1939432863549833E-2</v>
      </c>
      <c r="E42" s="19">
        <f t="shared" si="50"/>
        <v>-2.1839027338014461E-2</v>
      </c>
      <c r="F42" s="19">
        <f t="shared" si="51"/>
        <v>-2.3462674670635231E-2</v>
      </c>
      <c r="G42" s="19">
        <f t="shared" si="52"/>
        <v>8.0146297831537261E-2</v>
      </c>
      <c r="H42" s="19">
        <f t="shared" si="53"/>
        <v>2.4414699801232231E-2</v>
      </c>
      <c r="I42" s="19">
        <f t="shared" si="54"/>
        <v>7.1064854120678866E-2</v>
      </c>
      <c r="J42" s="19">
        <f t="shared" si="54"/>
        <v>1.5896146508585396E-2</v>
      </c>
      <c r="K42" s="19">
        <f t="shared" si="44"/>
        <v>0</v>
      </c>
      <c r="L42" s="19">
        <f t="shared" si="1"/>
        <v>-5.8012125812800797E-3</v>
      </c>
      <c r="M42" s="19">
        <f t="shared" si="2"/>
        <v>-8.0117382662288072E-3</v>
      </c>
      <c r="N42" s="19">
        <f t="shared" si="3"/>
        <v>-6.0722775352837211E-2</v>
      </c>
      <c r="O42" s="19">
        <f t="shared" si="4"/>
        <v>-2.9006062906398178E-3</v>
      </c>
      <c r="P42" s="19">
        <f t="shared" si="5"/>
        <v>0</v>
      </c>
      <c r="Q42" s="19">
        <f t="shared" si="5"/>
        <v>5.8876704256021206E-3</v>
      </c>
      <c r="R42" s="19">
        <f t="shared" si="6"/>
        <v>-5.8012125812800797E-3</v>
      </c>
      <c r="S42" s="19">
        <f t="shared" si="7"/>
        <v>-5.7565399482605084E-2</v>
      </c>
      <c r="T42" s="19">
        <f t="shared" si="8"/>
        <v>-2.900606290639951E-2</v>
      </c>
      <c r="U42" s="19">
        <f t="shared" si="8"/>
        <v>-8.7018188719198974E-3</v>
      </c>
      <c r="V42" s="19">
        <f t="shared" si="8"/>
        <v>-5.971432024531298E-2</v>
      </c>
      <c r="W42" s="19">
        <f t="shared" si="8"/>
        <v>1.7403637743839795E-2</v>
      </c>
      <c r="X42" s="19">
        <f t="shared" si="55"/>
        <v>0</v>
      </c>
      <c r="Y42" s="19">
        <f t="shared" si="55"/>
        <v>8.0860860792872025E-2</v>
      </c>
      <c r="Z42" s="19">
        <f t="shared" si="9"/>
        <v>-5.8012125812796356E-3</v>
      </c>
      <c r="AA42" s="19">
        <f t="shared" si="10"/>
        <v>0</v>
      </c>
      <c r="AB42" s="19">
        <f t="shared" si="10"/>
        <v>0</v>
      </c>
      <c r="AC42" s="19">
        <f t="shared" si="10"/>
        <v>4.5727926326198265E-2</v>
      </c>
      <c r="AD42" s="19">
        <f t="shared" si="10"/>
        <v>0</v>
      </c>
      <c r="AE42" s="19">
        <f t="shared" si="11"/>
        <v>0</v>
      </c>
      <c r="AF42" s="19">
        <f t="shared" si="11"/>
        <v>0.12999999999999989</v>
      </c>
      <c r="AG42" s="19">
        <f t="shared" si="12"/>
        <v>-1.6868019417281666E-2</v>
      </c>
      <c r="AH42" s="19">
        <f t="shared" si="13"/>
        <v>2.9006062906398178E-3</v>
      </c>
      <c r="AI42" s="19">
        <f t="shared" si="14"/>
        <v>0</v>
      </c>
      <c r="AJ42" s="19">
        <f t="shared" si="15"/>
        <v>-2.0304244034479613E-2</v>
      </c>
      <c r="AK42" s="19">
        <f t="shared" si="16"/>
        <v>0</v>
      </c>
      <c r="AL42" s="19">
        <f t="shared" si="16"/>
        <v>-1.1602425162560159E-2</v>
      </c>
      <c r="AM42" s="19">
        <f t="shared" si="17"/>
        <v>-2.9006062906399066E-2</v>
      </c>
      <c r="AN42" s="19">
        <f t="shared" si="18"/>
        <v>0</v>
      </c>
      <c r="AO42" s="19">
        <f t="shared" si="19"/>
        <v>4.6467712776054881E-3</v>
      </c>
      <c r="AP42" s="19">
        <f t="shared" si="20"/>
        <v>0</v>
      </c>
      <c r="AQ42" s="19">
        <f t="shared" si="20"/>
        <v>3.5025249458133345E-2</v>
      </c>
      <c r="AR42" s="19">
        <f t="shared" si="20"/>
        <v>4.3211452600457889E-3</v>
      </c>
      <c r="AS42" s="19">
        <f t="shared" si="21"/>
        <v>0.10667253013973665</v>
      </c>
      <c r="AT42" s="19">
        <f t="shared" si="22"/>
        <v>0</v>
      </c>
      <c r="AU42" s="60" t="s">
        <v>293</v>
      </c>
      <c r="AV42" s="19">
        <f t="shared" si="23"/>
        <v>0</v>
      </c>
      <c r="AW42" s="19">
        <f t="shared" si="24"/>
        <v>-7.8181227963280975E-3</v>
      </c>
      <c r="AX42" s="19">
        <f t="shared" si="25"/>
        <v>0</v>
      </c>
      <c r="AY42" s="19">
        <f t="shared" si="26"/>
        <v>-5.8012125812800797E-3</v>
      </c>
      <c r="AZ42" s="19">
        <f t="shared" si="27"/>
        <v>0</v>
      </c>
      <c r="BA42" s="19">
        <f t="shared" si="28"/>
        <v>0</v>
      </c>
      <c r="BB42" s="19">
        <f t="shared" si="61"/>
        <v>0</v>
      </c>
      <c r="BC42" s="19">
        <f t="shared" si="30"/>
        <v>-6.0548837859704108E-3</v>
      </c>
      <c r="BD42" s="19">
        <f t="shared" si="31"/>
        <v>5.972051699511649E-3</v>
      </c>
      <c r="BE42" s="19">
        <f t="shared" si="32"/>
        <v>-5.8012125812800797E-3</v>
      </c>
      <c r="BF42" s="19">
        <f t="shared" si="33"/>
        <v>7.3097585824588585E-3</v>
      </c>
      <c r="BG42" s="19">
        <f t="shared" si="33"/>
        <v>0</v>
      </c>
      <c r="BH42" s="19">
        <f t="shared" si="56"/>
        <v>-3.0450432993398557E-3</v>
      </c>
      <c r="BI42" s="19">
        <f t="shared" si="57"/>
        <v>1.7403637743839795E-2</v>
      </c>
      <c r="BJ42" s="19">
        <f t="shared" si="35"/>
        <v>5.7851603623757519E-3</v>
      </c>
      <c r="BK42" s="19">
        <f t="shared" si="36"/>
        <v>0</v>
      </c>
      <c r="BL42" s="19">
        <f t="shared" si="45"/>
        <v>0</v>
      </c>
      <c r="BM42" s="19">
        <f t="shared" si="45"/>
        <v>0</v>
      </c>
      <c r="BN42" s="19">
        <f t="shared" si="45"/>
        <v>4.3509094359599487E-3</v>
      </c>
      <c r="BO42" s="19">
        <f t="shared" si="45"/>
        <v>3.0456366051719641E-2</v>
      </c>
      <c r="BP42" s="19">
        <f t="shared" si="58"/>
        <v>2.9006062906398178E-3</v>
      </c>
      <c r="BQ42" s="19">
        <f t="shared" si="58"/>
        <v>4.6409700650239305E-2</v>
      </c>
      <c r="BR42" s="19">
        <f t="shared" si="58"/>
        <v>1.4503031453199977E-2</v>
      </c>
      <c r="BS42" s="19">
        <f t="shared" si="38"/>
        <v>3.1957429807125237E-2</v>
      </c>
      <c r="BT42" s="19">
        <f t="shared" si="46"/>
        <v>5.8012125812800797E-3</v>
      </c>
      <c r="BU42" s="19">
        <f t="shared" si="59"/>
        <v>8.7018188719198974E-3</v>
      </c>
      <c r="BV42" s="19">
        <f t="shared" si="60"/>
        <v>0</v>
      </c>
      <c r="BW42" s="19">
        <f t="shared" si="40"/>
        <v>0</v>
      </c>
      <c r="BX42" s="19">
        <f t="shared" si="41"/>
        <v>-1.4984499136010854E-2</v>
      </c>
      <c r="BY42" s="19">
        <f t="shared" si="41"/>
        <v>5.4384192494781214E-2</v>
      </c>
      <c r="BZ42" s="19">
        <f t="shared" si="41"/>
        <v>5.8012125812796356E-3</v>
      </c>
      <c r="CA42" s="19">
        <f t="shared" si="41"/>
        <v>0</v>
      </c>
      <c r="CB42" s="19">
        <f t="shared" si="42"/>
        <v>3.1870444579841894E-2</v>
      </c>
      <c r="CC42" s="19">
        <f t="shared" si="42"/>
        <v>5.8012125812796356E-3</v>
      </c>
      <c r="CD42" s="19">
        <f t="shared" si="42"/>
        <v>2.9006062906402619E-3</v>
      </c>
      <c r="CE42" s="65"/>
      <c r="CG42" s="20">
        <f t="shared" si="47"/>
        <v>2.4423522631854055</v>
      </c>
      <c r="CH42" s="20">
        <f>Acetylacetone!AS19</f>
        <v>2.4842505878122596</v>
      </c>
      <c r="CI42" s="20">
        <f>Acetylacetone!AT19</f>
        <v>2.5161900206758094</v>
      </c>
      <c r="CJ42" s="20">
        <f>Acetylacetone!AU19</f>
        <v>2.5380290480138239</v>
      </c>
      <c r="CK42" s="20">
        <f>Acetylacetone!AV19</f>
        <v>2.5614917226844591</v>
      </c>
      <c r="CL42" s="20">
        <f>Acetylacetone!AW19</f>
        <v>2.4813454248529219</v>
      </c>
      <c r="CM42" s="20">
        <f>Acetylacetone!AX19</f>
        <v>2.4569307250516896</v>
      </c>
      <c r="CN42" s="20">
        <f>Acetylacetone!AY19</f>
        <v>2.3858658709310108</v>
      </c>
      <c r="CO42" s="20">
        <f>Acetylacetone!AZ19</f>
        <v>2.3699697244224254</v>
      </c>
      <c r="CP42" s="20">
        <f>Acetylacetone!BA19</f>
        <v>2.3699697244224254</v>
      </c>
      <c r="CQ42" s="20">
        <f>Acetylacetone!BB19</f>
        <v>2.3757709370037055</v>
      </c>
      <c r="CR42" s="20">
        <f>Acetylacetone!BC19</f>
        <v>2.3837826752699343</v>
      </c>
      <c r="CS42" s="20">
        <f>Acetylacetone!BD19</f>
        <v>2.4445054506227715</v>
      </c>
      <c r="CT42" s="20">
        <f>Acetylacetone!BE19</f>
        <v>2.4474060569134113</v>
      </c>
      <c r="CU42" s="20">
        <f>Acetylacetone!BF19</f>
        <v>2.4474060569134113</v>
      </c>
      <c r="CV42" s="20">
        <f>Acetylacetone!BG19</f>
        <v>2.4415183864878092</v>
      </c>
      <c r="CW42" s="20">
        <f>Acetylacetone!BH19</f>
        <v>2.4473195990690892</v>
      </c>
      <c r="CX42" s="20">
        <f>Acetylacetone!BI19</f>
        <v>2.5048849985516943</v>
      </c>
      <c r="CY42" s="20">
        <f>Acetylacetone!BJ19</f>
        <v>2.5338910614580938</v>
      </c>
      <c r="CZ42" s="20">
        <f>Acetylacetone!BK19</f>
        <v>2.5425928803300137</v>
      </c>
      <c r="DA42" s="20">
        <f>Acetylacetone!BL19</f>
        <v>2.6023072005753267</v>
      </c>
      <c r="DB42" s="20">
        <f>Acetylacetone!BM19</f>
        <v>2.5849035628314869</v>
      </c>
      <c r="DC42" s="20">
        <f>Acetylacetone!BN19</f>
        <v>2.5849035628314869</v>
      </c>
      <c r="DD42" s="20">
        <f>Acetylacetone!BO19</f>
        <v>2.5040427020386149</v>
      </c>
      <c r="DE42" s="20">
        <f>Acetylacetone!BP19</f>
        <v>2.5098439146198945</v>
      </c>
      <c r="DF42" s="20">
        <f>Acetylacetone!BQ19</f>
        <v>2.5098439146198945</v>
      </c>
      <c r="DG42" s="20">
        <f>Acetylacetone!BR19</f>
        <v>2.5098439146198945</v>
      </c>
      <c r="DH42" s="20">
        <f>Acetylacetone!BS19</f>
        <v>2.4641159882936963</v>
      </c>
      <c r="DI42" s="20">
        <f>Acetylacetone!BT19</f>
        <v>2.4641159882936963</v>
      </c>
      <c r="DJ42" s="20">
        <f>Acetylacetone!BU19</f>
        <v>2.4641159882936963</v>
      </c>
      <c r="DK42" s="20">
        <f>Acetylacetone!BV19</f>
        <v>2.3341159882936964</v>
      </c>
      <c r="DL42" s="20">
        <f>Acetylacetone!BW19</f>
        <v>2.350984007710978</v>
      </c>
      <c r="DM42" s="20">
        <f>Acetylacetone!BX19</f>
        <v>2.3480834014203382</v>
      </c>
      <c r="DN42" s="20">
        <f>Acetylacetone!BY19</f>
        <v>2.3480834014203382</v>
      </c>
      <c r="DO42" s="20">
        <f>Acetylacetone!BZ19</f>
        <v>2.3683876454548178</v>
      </c>
      <c r="DP42" s="20">
        <f>Acetylacetone!CA19</f>
        <v>2.3683876454548178</v>
      </c>
      <c r="DQ42" s="20">
        <f>Acetylacetone!CB19</f>
        <v>2.379990070617378</v>
      </c>
      <c r="DR42" s="20">
        <f>Acetylacetone!CC19</f>
        <v>2.4089961335237771</v>
      </c>
      <c r="DS42" s="20">
        <f>Acetylacetone!CD19</f>
        <v>2.4089961335237771</v>
      </c>
      <c r="DT42" s="20">
        <f>Acetylacetone!CE19</f>
        <v>2.4043493622461716</v>
      </c>
      <c r="DU42" s="20">
        <f>Acetylacetone!CF19</f>
        <v>2.4043493622461716</v>
      </c>
      <c r="DV42" s="20">
        <f>Acetylacetone!CG19</f>
        <v>2.3693241127880382</v>
      </c>
      <c r="DW42" s="20">
        <f>Acetylacetone!CH19</f>
        <v>2.3650029675279924</v>
      </c>
      <c r="DX42" s="20">
        <f>Acetylacetone!CI19</f>
        <v>2.2583304373882558</v>
      </c>
      <c r="DY42" s="20">
        <f>Acetylacetone!CJ19</f>
        <v>2.2583304373882558</v>
      </c>
      <c r="DZ42" s="20">
        <f>Acetylacetone!CK19</f>
        <v>2.2583304373882558</v>
      </c>
      <c r="EA42" s="20">
        <f>Acetylacetone!CL19</f>
        <v>2.2661485601845839</v>
      </c>
      <c r="EB42" s="20">
        <f>Acetylacetone!CM19</f>
        <v>2.2661485601845839</v>
      </c>
      <c r="EC42" s="20">
        <f>Acetylacetone!CN19</f>
        <v>2.271949772765864</v>
      </c>
      <c r="ED42" s="20">
        <f>Acetylacetone!CO19</f>
        <v>2.271949772765864</v>
      </c>
      <c r="EE42" s="20">
        <f>Acetylacetone!CP19</f>
        <v>2.271949772765864</v>
      </c>
      <c r="EF42" s="20">
        <f>Acetylacetone!CQ19</f>
        <v>2.271949772765864</v>
      </c>
      <c r="EG42" s="20">
        <f>Acetylacetone!CR19</f>
        <v>2.2780046565518344</v>
      </c>
      <c r="EH42" s="20">
        <f>Acetylacetone!CS19</f>
        <v>2.2720326048523227</v>
      </c>
      <c r="EI42" s="20">
        <f>Acetylacetone!CT19</f>
        <v>2.2778338174336028</v>
      </c>
      <c r="EJ42" s="20">
        <f>Acetylacetone!CU19</f>
        <v>2.2705240588511439</v>
      </c>
      <c r="EK42" s="20">
        <f>Acetylacetone!CV19</f>
        <v>2.2705240588511439</v>
      </c>
      <c r="EL42" s="20">
        <f>Acetylacetone!CW19</f>
        <v>2.2735691021504838</v>
      </c>
      <c r="EM42" s="20">
        <f>Acetylacetone!CX19</f>
        <v>2.256165464406644</v>
      </c>
      <c r="EN42" s="20">
        <f>Acetylacetone!CY19</f>
        <v>2.2503803040442683</v>
      </c>
      <c r="EO42" s="20">
        <f>Acetylacetone!CZ19</f>
        <v>2.2503803040442683</v>
      </c>
      <c r="EP42" s="20">
        <f>Acetylacetone!DA19</f>
        <v>2.2503803040442683</v>
      </c>
      <c r="EQ42" s="20">
        <f>Acetylacetone!DB19</f>
        <v>2.2503803040442683</v>
      </c>
      <c r="ER42" s="20">
        <f>Acetylacetone!DC19</f>
        <v>2.2460293946083083</v>
      </c>
      <c r="ES42" s="20">
        <f>Acetylacetone!DD19</f>
        <v>2.2155730285565887</v>
      </c>
      <c r="ET42" s="20">
        <f>Acetylacetone!DE19</f>
        <v>2.2126724222659488</v>
      </c>
      <c r="EU42" s="20">
        <f>Acetylacetone!DF19</f>
        <v>2.1662627216157095</v>
      </c>
      <c r="EV42" s="20">
        <f>Acetylacetone!DG19</f>
        <v>2.1517596901625096</v>
      </c>
      <c r="EW42" s="20">
        <f>Acetylacetone!DH19</f>
        <v>2.1198022603553843</v>
      </c>
      <c r="EX42" s="20">
        <f>Acetylacetone!DI19</f>
        <v>2.1140010477741042</v>
      </c>
      <c r="EY42" s="20">
        <f>Acetylacetone!DJ19</f>
        <v>2.1052992289021843</v>
      </c>
      <c r="EZ42" s="20">
        <f>Acetylacetone!DK19</f>
        <v>2.1052992289021843</v>
      </c>
      <c r="FA42" s="20">
        <f>Acetylacetone!DL19</f>
        <v>2.1052992289021843</v>
      </c>
      <c r="FB42" s="20">
        <f>Acetylacetone!DM19</f>
        <v>2.1202837280381952</v>
      </c>
      <c r="FC42" s="20">
        <f>Acetylacetone!DN19</f>
        <v>2.065899535543414</v>
      </c>
      <c r="FD42" s="20">
        <f>Acetylacetone!DO19</f>
        <v>2.0600983229621344</v>
      </c>
      <c r="FE42" s="20">
        <f>Acetylacetone!DP19</f>
        <v>2.0600983229621344</v>
      </c>
      <c r="FF42" s="20">
        <f>Acetylacetone!DQ19</f>
        <v>2.0282278783822925</v>
      </c>
      <c r="FG42" s="20">
        <f>Acetylacetone!DR19</f>
        <v>2.0224266658010128</v>
      </c>
      <c r="FH42" s="20">
        <f>Acetylacetone!DS19</f>
        <v>2.0195260595103726</v>
      </c>
    </row>
    <row r="43" spans="1:164">
      <c r="A43" s="8" t="s">
        <v>207</v>
      </c>
      <c r="B43" s="263" t="s">
        <v>243</v>
      </c>
      <c r="C43" s="19">
        <f t="shared" si="48"/>
        <v>-0.30727241025641083</v>
      </c>
      <c r="D43" s="19">
        <f t="shared" si="49"/>
        <v>-3.0649999999999622E-2</v>
      </c>
      <c r="E43" s="19">
        <f t="shared" si="50"/>
        <v>6.4899999999994407E-3</v>
      </c>
      <c r="F43" s="19">
        <f t="shared" si="51"/>
        <v>0.394285</v>
      </c>
      <c r="G43" s="19">
        <f t="shared" si="52"/>
        <v>4.8644999999999605E-2</v>
      </c>
      <c r="H43" s="19">
        <f t="shared" si="53"/>
        <v>2.7737000000000123E-2</v>
      </c>
      <c r="I43" s="19">
        <f t="shared" si="54"/>
        <v>0.10485000000000033</v>
      </c>
      <c r="J43" s="19">
        <f t="shared" si="54"/>
        <v>5.9610000000000163E-2</v>
      </c>
      <c r="K43" s="19">
        <f t="shared" si="44"/>
        <v>-2.330000000000032E-2</v>
      </c>
      <c r="L43" s="19">
        <f t="shared" si="1"/>
        <v>4.6600000000000197E-2</v>
      </c>
      <c r="M43" s="19">
        <f t="shared" si="2"/>
        <v>7.3340000000001737E-3</v>
      </c>
      <c r="N43" s="19">
        <f t="shared" si="3"/>
        <v>-0.24636300000000011</v>
      </c>
      <c r="O43" s="19">
        <f t="shared" si="4"/>
        <v>-5.8250000000000135E-2</v>
      </c>
      <c r="P43" s="19">
        <f t="shared" si="5"/>
        <v>-3.4949999999999815E-2</v>
      </c>
      <c r="Q43" s="19">
        <f t="shared" si="5"/>
        <v>-5.7074999999999765E-2</v>
      </c>
      <c r="R43" s="19">
        <f t="shared" si="6"/>
        <v>-2.9125000000000068E-2</v>
      </c>
      <c r="S43" s="19">
        <f t="shared" si="7"/>
        <v>-0.13980000000000015</v>
      </c>
      <c r="T43" s="19">
        <f t="shared" si="8"/>
        <v>-6.9900000000000073E-2</v>
      </c>
      <c r="U43" s="19">
        <f t="shared" si="8"/>
        <v>4.6086999999999989E-2</v>
      </c>
      <c r="V43" s="19">
        <f t="shared" si="8"/>
        <v>-0.19484499999999993</v>
      </c>
      <c r="W43" s="19">
        <f t="shared" si="8"/>
        <v>0.12582000000000004</v>
      </c>
      <c r="X43" s="19">
        <f t="shared" si="55"/>
        <v>1.8850000000000033E-2</v>
      </c>
      <c r="Y43" s="19">
        <f t="shared" si="55"/>
        <v>0.41881000000000013</v>
      </c>
      <c r="Z43" s="19">
        <f t="shared" si="9"/>
        <v>0.17709200000000003</v>
      </c>
      <c r="AA43" s="19">
        <f t="shared" si="10"/>
        <v>0</v>
      </c>
      <c r="AB43" s="19">
        <f t="shared" si="10"/>
        <v>0</v>
      </c>
      <c r="AC43" s="19">
        <f t="shared" si="10"/>
        <v>-1.3965000000000227E-2</v>
      </c>
      <c r="AD43" s="19">
        <f t="shared" si="10"/>
        <v>-0.11801700000000048</v>
      </c>
      <c r="AE43" s="19">
        <f t="shared" si="11"/>
        <v>6.9900000000000517E-2</v>
      </c>
      <c r="AF43" s="19">
        <f t="shared" si="11"/>
        <v>-5.8250000000001911E-3</v>
      </c>
      <c r="AG43" s="19">
        <f t="shared" si="12"/>
        <v>-0.15090599999999998</v>
      </c>
      <c r="AH43" s="19">
        <f t="shared" si="13"/>
        <v>-0.17608899999999972</v>
      </c>
      <c r="AI43" s="19">
        <f t="shared" si="14"/>
        <v>0</v>
      </c>
      <c r="AJ43" s="19">
        <f t="shared" si="15"/>
        <v>-3.6599999999999966E-2</v>
      </c>
      <c r="AK43" s="19">
        <f t="shared" si="16"/>
        <v>0</v>
      </c>
      <c r="AL43" s="19">
        <f t="shared" si="16"/>
        <v>-1.6309999999999825E-2</v>
      </c>
      <c r="AM43" s="19">
        <f t="shared" si="17"/>
        <v>1.0485000000000078E-2</v>
      </c>
      <c r="AN43" s="19">
        <f t="shared" si="18"/>
        <v>-1.7475000000000129E-2</v>
      </c>
      <c r="AO43" s="19">
        <f t="shared" si="19"/>
        <v>-7.2200000000000042E-2</v>
      </c>
      <c r="AP43" s="19">
        <f t="shared" si="20"/>
        <v>0</v>
      </c>
      <c r="AQ43" s="19">
        <f t="shared" si="20"/>
        <v>2.3299999999999876E-2</v>
      </c>
      <c r="AR43" s="19">
        <f t="shared" si="20"/>
        <v>1.7225000000000268E-2</v>
      </c>
      <c r="AS43" s="19">
        <f t="shared" si="21"/>
        <v>-2.747500000000036E-2</v>
      </c>
      <c r="AT43" s="19">
        <f t="shared" si="22"/>
        <v>-1.1649999999999938E-2</v>
      </c>
      <c r="AU43" s="60" t="s">
        <v>93</v>
      </c>
      <c r="AV43" s="19">
        <f t="shared" si="23"/>
        <v>0</v>
      </c>
      <c r="AW43" s="19">
        <f t="shared" si="24"/>
        <v>0.35799800000000026</v>
      </c>
      <c r="AX43" s="19">
        <f t="shared" si="25"/>
        <v>0</v>
      </c>
      <c r="AY43" s="19">
        <f t="shared" si="26"/>
        <v>3.494999999999937E-2</v>
      </c>
      <c r="AZ43" s="19">
        <f t="shared" si="27"/>
        <v>0</v>
      </c>
      <c r="BA43" s="19">
        <f t="shared" si="28"/>
        <v>0</v>
      </c>
      <c r="BB43" s="19">
        <f t="shared" si="61"/>
        <v>2.330000000000032E-2</v>
      </c>
      <c r="BC43" s="19">
        <f t="shared" si="30"/>
        <v>-2.08699999999995E-3</v>
      </c>
      <c r="BD43" s="19">
        <f t="shared" si="31"/>
        <v>0.10746099999999981</v>
      </c>
      <c r="BE43" s="19">
        <f t="shared" si="32"/>
        <v>1.1649999999999938E-2</v>
      </c>
      <c r="BF43" s="19">
        <f t="shared" si="33"/>
        <v>2.0979000000000081E-2</v>
      </c>
      <c r="BG43" s="19">
        <f t="shared" si="33"/>
        <v>5.824999999999747E-3</v>
      </c>
      <c r="BH43" s="19">
        <f t="shared" si="56"/>
        <v>-1.3166999999999707E-2</v>
      </c>
      <c r="BI43" s="19">
        <f t="shared" si="57"/>
        <v>-5.8250000000001911E-3</v>
      </c>
      <c r="BJ43" s="19">
        <f t="shared" si="35"/>
        <v>-9.9589999999998291E-3</v>
      </c>
      <c r="BK43" s="19">
        <f t="shared" si="36"/>
        <v>0</v>
      </c>
      <c r="BL43" s="19">
        <f t="shared" si="45"/>
        <v>0</v>
      </c>
      <c r="BM43" s="19">
        <f t="shared" si="45"/>
        <v>-1.6310000000000269E-2</v>
      </c>
      <c r="BN43" s="19">
        <f t="shared" si="45"/>
        <v>0</v>
      </c>
      <c r="BO43" s="19">
        <f t="shared" si="45"/>
        <v>9.2459999999999987E-2</v>
      </c>
      <c r="BP43" s="19">
        <f t="shared" si="58"/>
        <v>0</v>
      </c>
      <c r="BQ43" s="19">
        <f t="shared" si="58"/>
        <v>4.6600000000003305E-3</v>
      </c>
      <c r="BR43" s="19">
        <f t="shared" si="58"/>
        <v>0.11979000000000006</v>
      </c>
      <c r="BS43" s="19">
        <f t="shared" si="38"/>
        <v>-1.9000000000000128E-2</v>
      </c>
      <c r="BT43" s="19">
        <f t="shared" si="46"/>
        <v>1.1650000000000382E-2</v>
      </c>
      <c r="BU43" s="19">
        <f t="shared" si="59"/>
        <v>5.824999999999747E-3</v>
      </c>
      <c r="BV43" s="19">
        <f t="shared" si="60"/>
        <v>1.639999999999997E-2</v>
      </c>
      <c r="BW43" s="19">
        <f t="shared" si="40"/>
        <v>1.0575000000000223E-2</v>
      </c>
      <c r="BX43" s="19">
        <f t="shared" si="41"/>
        <v>2.1149999999999558E-2</v>
      </c>
      <c r="BY43" s="19">
        <f t="shared" si="41"/>
        <v>-1.684999999999981E-2</v>
      </c>
      <c r="BZ43" s="19">
        <f t="shared" si="41"/>
        <v>0</v>
      </c>
      <c r="CA43" s="19">
        <f t="shared" si="41"/>
        <v>0</v>
      </c>
      <c r="CB43" s="19">
        <f t="shared" si="42"/>
        <v>-3.7999999999999812E-2</v>
      </c>
      <c r="CC43" s="19">
        <f t="shared" si="42"/>
        <v>5.824999999999747E-3</v>
      </c>
      <c r="CD43" s="19">
        <f t="shared" si="42"/>
        <v>1.8999999999999684E-2</v>
      </c>
      <c r="CE43" s="65"/>
      <c r="CG43" s="20">
        <f t="shared" si="47"/>
        <v>2.8440275897435892</v>
      </c>
      <c r="CH43" s="20">
        <f>PVA!AS16</f>
        <v>3.1513</v>
      </c>
      <c r="CI43" s="20">
        <f>PVA!AT16</f>
        <v>3.1819499999999996</v>
      </c>
      <c r="CJ43" s="20">
        <f>PVA!AU16</f>
        <v>3.1754600000000002</v>
      </c>
      <c r="CK43" s="20">
        <f>PVA!AV16</f>
        <v>2.7811750000000002</v>
      </c>
      <c r="CL43" s="20">
        <f>PVA!AW16</f>
        <v>2.7325300000000006</v>
      </c>
      <c r="CM43" s="20">
        <f>PVA!AX16</f>
        <v>2.7047930000000004</v>
      </c>
      <c r="CN43" s="20">
        <f>PVA!AY16</f>
        <v>2.5999430000000001</v>
      </c>
      <c r="CO43" s="20">
        <f>PVA!AZ16</f>
        <v>2.540333</v>
      </c>
      <c r="CP43" s="20">
        <f>PVA!BA16</f>
        <v>2.5636330000000003</v>
      </c>
      <c r="CQ43" s="20">
        <f>PVA!BB16</f>
        <v>2.5170330000000001</v>
      </c>
      <c r="CR43" s="20">
        <f>PVA!BC16</f>
        <v>2.5096989999999999</v>
      </c>
      <c r="CS43" s="20">
        <f>PVA!BD16</f>
        <v>2.756062</v>
      </c>
      <c r="CT43" s="20">
        <f>PVA!BE16</f>
        <v>2.8143120000000001</v>
      </c>
      <c r="CU43" s="20">
        <f>PVA!BF16</f>
        <v>2.849262</v>
      </c>
      <c r="CV43" s="20">
        <f>PVA!BG16</f>
        <v>2.9063369999999997</v>
      </c>
      <c r="CW43" s="20">
        <f>PVA!BH16</f>
        <v>2.9354619999999998</v>
      </c>
      <c r="CX43" s="20">
        <f>PVA!BI16</f>
        <v>3.0752619999999999</v>
      </c>
      <c r="CY43" s="20">
        <f>PVA!BJ16</f>
        <v>3.145162</v>
      </c>
      <c r="CZ43" s="20">
        <f>PVA!BK16</f>
        <v>3.099075</v>
      </c>
      <c r="DA43" s="20">
        <f>PVA!BL16</f>
        <v>3.29392</v>
      </c>
      <c r="DB43" s="20">
        <f>PVA!BM16</f>
        <v>3.1680999999999999</v>
      </c>
      <c r="DC43" s="20">
        <f>PVA!BN16</f>
        <v>3.1492499999999999</v>
      </c>
      <c r="DD43" s="20">
        <f>PVA!BO16</f>
        <v>2.7304399999999998</v>
      </c>
      <c r="DE43" s="20">
        <f>PVA!BP16</f>
        <v>2.5533479999999997</v>
      </c>
      <c r="DF43" s="20">
        <f>PVA!BQ16</f>
        <v>2.5533479999999997</v>
      </c>
      <c r="DG43" s="20">
        <f>PVA!BR16</f>
        <v>2.5533479999999997</v>
      </c>
      <c r="DH43" s="20">
        <f>PVA!BS16</f>
        <v>2.567313</v>
      </c>
      <c r="DI43" s="20">
        <f>PVA!BT16</f>
        <v>2.6853300000000004</v>
      </c>
      <c r="DJ43" s="20">
        <f>PVA!BU16</f>
        <v>2.6154299999999999</v>
      </c>
      <c r="DK43" s="20">
        <f>PVA!BV16</f>
        <v>2.6212550000000001</v>
      </c>
      <c r="DL43" s="20">
        <f>PVA!BW16</f>
        <v>2.7721610000000001</v>
      </c>
      <c r="DM43" s="20">
        <f>PVA!BX16</f>
        <v>2.9482499999999998</v>
      </c>
      <c r="DN43" s="20">
        <f>PVA!BY16</f>
        <v>2.9482499999999998</v>
      </c>
      <c r="DO43" s="20">
        <f>PVA!BZ16</f>
        <v>2.9848499999999998</v>
      </c>
      <c r="DP43" s="20">
        <f>PVA!CA16</f>
        <v>2.9848499999999998</v>
      </c>
      <c r="DQ43" s="20">
        <f>PVA!CB16</f>
        <v>3.0011599999999996</v>
      </c>
      <c r="DR43" s="20">
        <f>PVA!CC16</f>
        <v>2.9906749999999995</v>
      </c>
      <c r="DS43" s="20">
        <f>PVA!CD16</f>
        <v>3.0081499999999997</v>
      </c>
      <c r="DT43" s="20">
        <f>PVA!CE16</f>
        <v>3.0803499999999997</v>
      </c>
      <c r="DU43" s="20">
        <f>PVA!CF16</f>
        <v>3.0803499999999997</v>
      </c>
      <c r="DV43" s="20">
        <f>PVA!CG16</f>
        <v>3.0570499999999998</v>
      </c>
      <c r="DW43" s="20">
        <f>PVA!CH16</f>
        <v>3.0398249999999996</v>
      </c>
      <c r="DX43" s="20">
        <f>PVA!CI16</f>
        <v>3.0672999999999999</v>
      </c>
      <c r="DY43" s="20">
        <f>PVA!CJ16</f>
        <v>3.0789499999999999</v>
      </c>
      <c r="DZ43" s="20">
        <f>PVA!CK16</f>
        <v>3.0789499999999999</v>
      </c>
      <c r="EA43" s="20">
        <f>PVA!CL16</f>
        <v>2.7209519999999996</v>
      </c>
      <c r="EB43" s="20">
        <f>PVA!CM16</f>
        <v>2.7209519999999996</v>
      </c>
      <c r="EC43" s="20">
        <f>PVA!CN16</f>
        <v>2.6860020000000002</v>
      </c>
      <c r="ED43" s="20">
        <f>PVA!CO16</f>
        <v>2.6860020000000002</v>
      </c>
      <c r="EE43" s="20">
        <f>PVA!CP16</f>
        <v>2.6860020000000002</v>
      </c>
      <c r="EF43" s="20">
        <f>PVA!CQ16</f>
        <v>2.6627019999999999</v>
      </c>
      <c r="EG43" s="20">
        <f>PVA!CR16</f>
        <v>2.6647889999999999</v>
      </c>
      <c r="EH43" s="20">
        <f>PVA!CS16</f>
        <v>2.557328</v>
      </c>
      <c r="EI43" s="20">
        <f>PVA!CT16</f>
        <v>2.5456780000000001</v>
      </c>
      <c r="EJ43" s="20">
        <f>PVA!CU16</f>
        <v>2.524699</v>
      </c>
      <c r="EK43" s="20">
        <f>PVA!CV16</f>
        <v>2.5188740000000003</v>
      </c>
      <c r="EL43" s="20">
        <f>PVA!CW16</f>
        <v>2.532041</v>
      </c>
      <c r="EM43" s="20">
        <f>PVA!CX16</f>
        <v>2.5378660000000002</v>
      </c>
      <c r="EN43" s="20">
        <f>PVA!CY16</f>
        <v>2.547825</v>
      </c>
      <c r="EO43" s="20">
        <f>PVA!CZ16</f>
        <v>2.547825</v>
      </c>
      <c r="EP43" s="20">
        <f>PVA!DA16</f>
        <v>2.547825</v>
      </c>
      <c r="EQ43" s="20">
        <f>PVA!DB16</f>
        <v>2.5641350000000003</v>
      </c>
      <c r="ER43" s="20">
        <f>PVA!DC16</f>
        <v>2.5641350000000003</v>
      </c>
      <c r="ES43" s="20">
        <f>PVA!DD16</f>
        <v>2.4716750000000003</v>
      </c>
      <c r="ET43" s="20">
        <f>PVA!DE16</f>
        <v>2.4716750000000003</v>
      </c>
      <c r="EU43" s="20">
        <f>PVA!DF16</f>
        <v>2.467015</v>
      </c>
      <c r="EV43" s="20">
        <f>PVA!DG16</f>
        <v>2.3472249999999999</v>
      </c>
      <c r="EW43" s="20">
        <f>PVA!DH16</f>
        <v>2.366225</v>
      </c>
      <c r="EX43" s="20">
        <f>PVA!DI16</f>
        <v>2.3545749999999996</v>
      </c>
      <c r="EY43" s="20">
        <f>PVA!DJ16</f>
        <v>2.3487499999999999</v>
      </c>
      <c r="EZ43" s="20">
        <f>PVA!DK16</f>
        <v>2.3323499999999999</v>
      </c>
      <c r="FA43" s="20">
        <f>PVA!DL16</f>
        <v>2.3217749999999997</v>
      </c>
      <c r="FB43" s="20">
        <f>PVA!DM16</f>
        <v>2.3006250000000001</v>
      </c>
      <c r="FC43" s="20">
        <f>PVA!DN16</f>
        <v>2.317475</v>
      </c>
      <c r="FD43" s="20">
        <f>PVA!DO16</f>
        <v>2.317475</v>
      </c>
      <c r="FE43" s="20">
        <f>PVA!DP16</f>
        <v>2.317475</v>
      </c>
      <c r="FF43" s="20">
        <f>PVA!DQ16</f>
        <v>2.3554749999999998</v>
      </c>
      <c r="FG43" s="20">
        <f>PVA!DR16</f>
        <v>2.34965</v>
      </c>
      <c r="FH43" s="20">
        <f>PVA!DS16</f>
        <v>2.3306500000000003</v>
      </c>
    </row>
    <row r="44" spans="1:164">
      <c r="A44" s="8" t="s">
        <v>207</v>
      </c>
      <c r="B44" s="263" t="s">
        <v>244</v>
      </c>
      <c r="C44" s="19">
        <f t="shared" si="48"/>
        <v>-0.64748443532005684</v>
      </c>
      <c r="D44" s="19">
        <f t="shared" si="49"/>
        <v>0.11253338539189128</v>
      </c>
      <c r="E44" s="19">
        <f t="shared" si="50"/>
        <v>0.1805949423249138</v>
      </c>
      <c r="F44" s="19">
        <f t="shared" si="51"/>
        <v>0.12649101717243694</v>
      </c>
      <c r="G44" s="19">
        <f t="shared" si="52"/>
        <v>0.44843049646742861</v>
      </c>
      <c r="H44" s="19">
        <f t="shared" si="53"/>
        <v>-0.10543197797615811</v>
      </c>
      <c r="I44" s="19">
        <f t="shared" si="54"/>
        <v>-6.0041888780486552E-3</v>
      </c>
      <c r="J44" s="19">
        <f t="shared" si="54"/>
        <v>-4.0814361614634365E-2</v>
      </c>
      <c r="K44" s="19">
        <f t="shared" si="44"/>
        <v>4.4602084800000164E-2</v>
      </c>
      <c r="L44" s="19">
        <f t="shared" si="1"/>
        <v>-0.10679073338414646</v>
      </c>
      <c r="M44" s="19">
        <f t="shared" si="2"/>
        <v>-2.6140918906097266E-2</v>
      </c>
      <c r="N44" s="19">
        <f t="shared" si="3"/>
        <v>0.14603524978170723</v>
      </c>
      <c r="O44" s="19">
        <f t="shared" si="4"/>
        <v>-6.9703367103659097E-2</v>
      </c>
      <c r="P44" s="19">
        <f t="shared" si="5"/>
        <v>1.5095208731707555E-2</v>
      </c>
      <c r="Q44" s="19">
        <f t="shared" si="5"/>
        <v>-7.58293647530488E-2</v>
      </c>
      <c r="R44" s="19">
        <f t="shared" si="6"/>
        <v>-2.9775662379877943E-2</v>
      </c>
      <c r="S44" s="19">
        <f t="shared" si="7"/>
        <v>3.191440247560795E-3</v>
      </c>
      <c r="T44" s="19">
        <f t="shared" si="8"/>
        <v>-0.1195487268585369</v>
      </c>
      <c r="U44" s="19">
        <f t="shared" si="8"/>
        <v>0.11107971353414658</v>
      </c>
      <c r="V44" s="19">
        <f t="shared" si="8"/>
        <v>5.2117812087804971E-2</v>
      </c>
      <c r="W44" s="19">
        <f t="shared" si="8"/>
        <v>6.2735300121952164E-3</v>
      </c>
      <c r="X44" s="19">
        <f t="shared" si="55"/>
        <v>-2.2908421789023858E-2</v>
      </c>
      <c r="Y44" s="19">
        <f t="shared" si="55"/>
        <v>-4.8495123395122075E-2</v>
      </c>
      <c r="Z44" s="19">
        <f t="shared" si="9"/>
        <v>-6.2564919157317433E-2</v>
      </c>
      <c r="AA44" s="19">
        <f t="shared" si="10"/>
        <v>0</v>
      </c>
      <c r="AB44" s="19">
        <f t="shared" si="10"/>
        <v>4.8724769496951037E-2</v>
      </c>
      <c r="AC44" s="19">
        <f t="shared" si="10"/>
        <v>9.5729841246951608E-2</v>
      </c>
      <c r="AD44" s="19">
        <f t="shared" si="10"/>
        <v>-3.1871025439023093E-3</v>
      </c>
      <c r="AE44" s="19">
        <f t="shared" si="11"/>
        <v>-9.8125312873171389E-2</v>
      </c>
      <c r="AF44" s="19">
        <f t="shared" si="11"/>
        <v>-9.5432305039023557E-2</v>
      </c>
      <c r="AG44" s="19">
        <f t="shared" si="12"/>
        <v>8.5102820352438879E-2</v>
      </c>
      <c r="AH44" s="19">
        <f t="shared" si="13"/>
        <v>8.402989439634112E-2</v>
      </c>
      <c r="AI44" s="19">
        <f t="shared" si="14"/>
        <v>-2.5844643658539113E-3</v>
      </c>
      <c r="AJ44" s="19">
        <f t="shared" si="15"/>
        <v>1.4127194678049015E-2</v>
      </c>
      <c r="AK44" s="19">
        <f t="shared" si="16"/>
        <v>0.1112273972121951</v>
      </c>
      <c r="AL44" s="19">
        <f t="shared" si="16"/>
        <v>-2.4412192682943257E-4</v>
      </c>
      <c r="AM44" s="19">
        <f t="shared" si="17"/>
        <v>-4.5818255853658396E-2</v>
      </c>
      <c r="AN44" s="19">
        <f t="shared" si="18"/>
        <v>-3.6795832243902371E-2</v>
      </c>
      <c r="AO44" s="19">
        <f t="shared" si="19"/>
        <v>-0.11587822254878022</v>
      </c>
      <c r="AP44" s="19">
        <f t="shared" si="20"/>
        <v>-1.6142310219513512E-3</v>
      </c>
      <c r="AQ44" s="19">
        <f t="shared" si="20"/>
        <v>3.6102203165853552E-2</v>
      </c>
      <c r="AR44" s="19">
        <f t="shared" si="20"/>
        <v>5.4623491650000133E-2</v>
      </c>
      <c r="AS44" s="19">
        <f t="shared" si="21"/>
        <v>-0.24049338728048797</v>
      </c>
      <c r="AT44" s="19">
        <f t="shared" si="22"/>
        <v>-0.10301834347682925</v>
      </c>
      <c r="AU44" s="60" t="s">
        <v>294</v>
      </c>
      <c r="AV44" s="19">
        <f t="shared" si="23"/>
        <v>4.3519474668292535E-2</v>
      </c>
      <c r="AW44" s="19">
        <f t="shared" si="24"/>
        <v>-7.3567050541463619E-2</v>
      </c>
      <c r="AX44" s="19">
        <f t="shared" si="25"/>
        <v>-8.3027683097554039E-3</v>
      </c>
      <c r="AY44" s="19">
        <f t="shared" si="26"/>
        <v>-5.5174581768292708E-2</v>
      </c>
      <c r="AZ44" s="19">
        <f t="shared" si="27"/>
        <v>-0.11182751346951214</v>
      </c>
      <c r="BA44" s="19">
        <f t="shared" si="28"/>
        <v>6.8105478128047903E-2</v>
      </c>
      <c r="BB44" s="19">
        <f t="shared" si="61"/>
        <v>2.270182604268367E-2</v>
      </c>
      <c r="BC44" s="19">
        <f t="shared" si="30"/>
        <v>6.4435478202439E-2</v>
      </c>
      <c r="BD44" s="19">
        <f t="shared" si="31"/>
        <v>7.5349039730487011E-2</v>
      </c>
      <c r="BE44" s="19">
        <f t="shared" si="32"/>
        <v>-2.7369901317072731E-2</v>
      </c>
      <c r="BF44" s="19">
        <f t="shared" si="33"/>
        <v>-1.1141341408536842E-2</v>
      </c>
      <c r="BG44" s="19">
        <f t="shared" si="33"/>
        <v>-0.11848003772926807</v>
      </c>
      <c r="BH44" s="19">
        <f t="shared" si="56"/>
        <v>9.526525300975619E-2</v>
      </c>
      <c r="BI44" s="19">
        <f t="shared" si="57"/>
        <v>0.16139586545121931</v>
      </c>
      <c r="BJ44" s="19">
        <f t="shared" si="35"/>
        <v>-1.6469756407317071E-2</v>
      </c>
      <c r="BK44" s="19">
        <f t="shared" si="36"/>
        <v>2.2390621024395152E-3</v>
      </c>
      <c r="BL44" s="19">
        <f t="shared" si="45"/>
        <v>-1.4680504086585611E-2</v>
      </c>
      <c r="BM44" s="19">
        <f t="shared" si="45"/>
        <v>1.8630336336585174E-2</v>
      </c>
      <c r="BN44" s="19">
        <f t="shared" si="45"/>
        <v>-0.10042258090609701</v>
      </c>
      <c r="BO44" s="19">
        <f t="shared" si="45"/>
        <v>8.1792244569511841E-2</v>
      </c>
      <c r="BP44" s="19">
        <f t="shared" si="58"/>
        <v>-1.0163542302439321E-2</v>
      </c>
      <c r="BQ44" s="19">
        <f t="shared" si="58"/>
        <v>-0.12575386238048702</v>
      </c>
      <c r="BR44" s="19">
        <f t="shared" si="58"/>
        <v>-0.20664376371219584</v>
      </c>
      <c r="BS44" s="19">
        <f t="shared" si="38"/>
        <v>3.0558214382927051E-2</v>
      </c>
      <c r="BT44" s="19">
        <f t="shared" si="46"/>
        <v>2.7320673424390485E-2</v>
      </c>
      <c r="BU44" s="19">
        <f t="shared" si="59"/>
        <v>-0.16198165719878022</v>
      </c>
      <c r="BV44" s="19">
        <f t="shared" si="60"/>
        <v>0.1116221282451213</v>
      </c>
      <c r="BW44" s="19">
        <f t="shared" si="40"/>
        <v>6.404710240975664E-2</v>
      </c>
      <c r="BX44" s="19">
        <f t="shared" si="41"/>
        <v>3.2032024858536179E-2</v>
      </c>
      <c r="BY44" s="19">
        <f t="shared" si="41"/>
        <v>1.764053288780465E-2</v>
      </c>
      <c r="BZ44" s="19">
        <f t="shared" si="41"/>
        <v>-0.11869591414390213</v>
      </c>
      <c r="CA44" s="19">
        <f t="shared" si="41"/>
        <v>7.4668020256098977E-3</v>
      </c>
      <c r="CB44" s="19">
        <f t="shared" si="42"/>
        <v>1.1769400547561037E-2</v>
      </c>
      <c r="CC44" s="19">
        <f t="shared" si="42"/>
        <v>1.8547213829267939E-2</v>
      </c>
      <c r="CD44" s="19">
        <f t="shared" si="42"/>
        <v>3.5600240063415001E-2</v>
      </c>
      <c r="CE44" s="65"/>
      <c r="CG44" s="20">
        <f t="shared" si="47"/>
        <v>2.5471188676946022</v>
      </c>
      <c r="CH44" s="20">
        <f>'ZINC OXIDE  -  ACTIVE'!AS20/82</f>
        <v>3.194603303014659</v>
      </c>
      <c r="CI44" s="20">
        <f>'ZINC OXIDE  -  ACTIVE'!AT20/82</f>
        <v>3.0820699176227677</v>
      </c>
      <c r="CJ44" s="20">
        <f>'ZINC OXIDE  -  ACTIVE'!AU20/82</f>
        <v>2.9014749752978539</v>
      </c>
      <c r="CK44" s="20">
        <f>'ZINC OXIDE  -  ACTIVE'!AV20/82</f>
        <v>2.774983958125417</v>
      </c>
      <c r="CL44" s="20">
        <f>'ZINC OXIDE  -  ACTIVE'!AW20/82</f>
        <v>2.3265534616579884</v>
      </c>
      <c r="CM44" s="20">
        <f>'ZINC OXIDE  -  ACTIVE'!AX20/82</f>
        <v>2.4319854396341465</v>
      </c>
      <c r="CN44" s="20">
        <f>'ZINC OXIDE  -  ACTIVE'!AY20/82</f>
        <v>2.4379896285121951</v>
      </c>
      <c r="CO44" s="20">
        <f>'ZINC OXIDE  -  ACTIVE'!AZ20/82</f>
        <v>2.4788039901268295</v>
      </c>
      <c r="CP44" s="20">
        <f>'ZINC OXIDE  -  ACTIVE'!BA20/82</f>
        <v>2.4342019053268293</v>
      </c>
      <c r="CQ44" s="20">
        <f>'ZINC OXIDE  -  ACTIVE'!BB20/82</f>
        <v>2.5409926387109758</v>
      </c>
      <c r="CR44" s="20">
        <f>'ZINC OXIDE  -  ACTIVE'!BC20/82</f>
        <v>2.5671335576170731</v>
      </c>
      <c r="CS44" s="20">
        <f>'ZINC OXIDE  -  ACTIVE'!BD20/82</f>
        <v>2.4210983078353658</v>
      </c>
      <c r="CT44" s="20">
        <f>'ZINC OXIDE  -  ACTIVE'!BE20/82</f>
        <v>2.4908016749390249</v>
      </c>
      <c r="CU44" s="20">
        <f>'ZINC OXIDE  -  ACTIVE'!BF20/82</f>
        <v>2.4757064662073174</v>
      </c>
      <c r="CV44" s="20">
        <f>'ZINC OXIDE  -  ACTIVE'!BG20/82</f>
        <v>2.5515358309603662</v>
      </c>
      <c r="CW44" s="20">
        <f>'ZINC OXIDE  -  ACTIVE'!BH20/82</f>
        <v>2.5813114933402441</v>
      </c>
      <c r="CX44" s="20">
        <f>'ZINC OXIDE  -  ACTIVE'!BI20/82</f>
        <v>2.5781200530926833</v>
      </c>
      <c r="CY44" s="20">
        <f>'ZINC OXIDE  -  ACTIVE'!BJ20/82</f>
        <v>2.6976687799512202</v>
      </c>
      <c r="CZ44" s="20">
        <f>'ZINC OXIDE  -  ACTIVE'!BK20/82</f>
        <v>2.5865890664170736</v>
      </c>
      <c r="DA44" s="20">
        <f>'ZINC OXIDE  -  ACTIVE'!BL20/82</f>
        <v>2.5344712543292687</v>
      </c>
      <c r="DB44" s="20">
        <f>'ZINC OXIDE  -  ACTIVE'!BM20/82</f>
        <v>2.5281977243170735</v>
      </c>
      <c r="DC44" s="20">
        <f>'ZINC OXIDE  -  ACTIVE'!BN20/82</f>
        <v>2.5511061461060973</v>
      </c>
      <c r="DD44" s="20">
        <f>'ZINC OXIDE  -  ACTIVE'!BO20/82</f>
        <v>2.5996012695012194</v>
      </c>
      <c r="DE44" s="20">
        <f>'ZINC OXIDE  -  ACTIVE'!BP20/82</f>
        <v>2.6621661886585368</v>
      </c>
      <c r="DF44" s="20">
        <f>'ZINC OXIDE  -  ACTIVE'!BQ20/82</f>
        <v>2.6621661886585368</v>
      </c>
      <c r="DG44" s="20">
        <f>'ZINC OXIDE  -  ACTIVE'!BR20/82</f>
        <v>2.6134414191615858</v>
      </c>
      <c r="DH44" s="20">
        <f>'ZINC OXIDE  -  ACTIVE'!BS20/82</f>
        <v>2.5177115779146342</v>
      </c>
      <c r="DI44" s="20">
        <f>'ZINC OXIDE  -  ACTIVE'!BT20/82</f>
        <v>2.5208986804585365</v>
      </c>
      <c r="DJ44" s="20">
        <f>'ZINC OXIDE  -  ACTIVE'!BU20/82</f>
        <v>2.6190239933317079</v>
      </c>
      <c r="DK44" s="20">
        <f>'ZINC OXIDE  -  ACTIVE'!BV20/82</f>
        <v>2.7144562983707314</v>
      </c>
      <c r="DL44" s="20">
        <f>'ZINC OXIDE  -  ACTIVE'!BW20/82</f>
        <v>2.6293534780182926</v>
      </c>
      <c r="DM44" s="20">
        <f>'ZINC OXIDE  -  ACTIVE'!BX20/82</f>
        <v>2.5453235836219514</v>
      </c>
      <c r="DN44" s="20">
        <f>'ZINC OXIDE  -  ACTIVE'!BY20/82</f>
        <v>2.5479080479878053</v>
      </c>
      <c r="DO44" s="20">
        <f>'ZINC OXIDE  -  ACTIVE'!BZ20/82</f>
        <v>2.5337808533097563</v>
      </c>
      <c r="DP44" s="20">
        <f>'ZINC OXIDE  -  ACTIVE'!CA20/82</f>
        <v>2.4225534560975612</v>
      </c>
      <c r="DQ44" s="20">
        <f>'ZINC OXIDE  -  ACTIVE'!CB20/82</f>
        <v>2.4227975780243907</v>
      </c>
      <c r="DR44" s="20">
        <f>'ZINC OXIDE  -  ACTIVE'!CC20/82</f>
        <v>2.4686158338780491</v>
      </c>
      <c r="DS44" s="20">
        <f>'ZINC OXIDE  -  ACTIVE'!CD20/82</f>
        <v>2.5054116661219514</v>
      </c>
      <c r="DT44" s="20">
        <f>'ZINC OXIDE  -  ACTIVE'!CE20/82</f>
        <v>2.6212898886707316</v>
      </c>
      <c r="DU44" s="20">
        <f>'ZINC OXIDE  -  ACTIVE'!CF20/82</f>
        <v>2.622904119692683</v>
      </c>
      <c r="DV44" s="20">
        <f>'ZINC OXIDE  -  ACTIVE'!CG20/82</f>
        <v>2.5868019165268294</v>
      </c>
      <c r="DW44" s="20">
        <f>'ZINC OXIDE  -  ACTIVE'!CH20/82</f>
        <v>2.5321784248768293</v>
      </c>
      <c r="DX44" s="20">
        <f>'ZINC OXIDE  -  ACTIVE'!CI20/82</f>
        <v>2.7726718121573173</v>
      </c>
      <c r="DY44" s="20">
        <f>'ZINC OXIDE  -  ACTIVE'!CJ20/82</f>
        <v>2.8756901556341465</v>
      </c>
      <c r="DZ44" s="20">
        <f>'ZINC OXIDE  -  ACTIVE'!CK20/82</f>
        <v>2.832170680965854</v>
      </c>
      <c r="EA44" s="20">
        <f>'ZINC OXIDE  -  ACTIVE'!CL20/82</f>
        <v>2.9057377315073176</v>
      </c>
      <c r="EB44" s="20">
        <f>'ZINC OXIDE  -  ACTIVE'!CM20/82</f>
        <v>2.914040499817073</v>
      </c>
      <c r="EC44" s="20">
        <f>'ZINC OXIDE  -  ACTIVE'!CN20/82</f>
        <v>2.9692150815853657</v>
      </c>
      <c r="ED44" s="20">
        <f>'ZINC OXIDE  -  ACTIVE'!CO20/82</f>
        <v>3.0810425950548779</v>
      </c>
      <c r="EE44" s="20">
        <f>'ZINC OXIDE  -  ACTIVE'!CP20/82</f>
        <v>3.01293711692683</v>
      </c>
      <c r="EF44" s="20">
        <f>'ZINC OXIDE  -  ACTIVE'!CQ20/82</f>
        <v>2.9902352908841463</v>
      </c>
      <c r="EG44" s="20">
        <f>'ZINC OXIDE  -  ACTIVE'!CR20/82</f>
        <v>2.9257998126817073</v>
      </c>
      <c r="EH44" s="20">
        <f>'ZINC OXIDE  -  ACTIVE'!CS20/82</f>
        <v>2.8504507729512203</v>
      </c>
      <c r="EI44" s="20">
        <f>'ZINC OXIDE  -  ACTIVE'!CT20/82</f>
        <v>2.877820674268293</v>
      </c>
      <c r="EJ44" s="20">
        <f>'ZINC OXIDE  -  ACTIVE'!CU20/82</f>
        <v>2.8889620156768299</v>
      </c>
      <c r="EK44" s="20">
        <f>'ZINC OXIDE  -  ACTIVE'!CV20/82</f>
        <v>3.0074420534060979</v>
      </c>
      <c r="EL44" s="20">
        <f>'ZINC OXIDE  -  ACTIVE'!CW20/82</f>
        <v>2.9121768003963417</v>
      </c>
      <c r="EM44" s="20">
        <f>'ZINC OXIDE  -  ACTIVE'!CX20/82</f>
        <v>2.7507809349451224</v>
      </c>
      <c r="EN44" s="20">
        <f>'ZINC OXIDE  -  ACTIVE'!CY20/82</f>
        <v>2.7672506913524395</v>
      </c>
      <c r="EO44" s="20">
        <f>'ZINC OXIDE  -  ACTIVE'!CZ20/82</f>
        <v>2.76501162925</v>
      </c>
      <c r="EP44" s="20">
        <f>'ZINC OXIDE  -  ACTIVE'!DA20/82</f>
        <v>2.7796921333365856</v>
      </c>
      <c r="EQ44" s="20">
        <f>'ZINC OXIDE  -  ACTIVE'!DB20/82</f>
        <v>2.7610617970000004</v>
      </c>
      <c r="ER44" s="20">
        <f>'ZINC OXIDE  -  ACTIVE'!DC20/82</f>
        <v>2.8614843779060974</v>
      </c>
      <c r="ES44" s="20">
        <f>'ZINC OXIDE  -  ACTIVE'!DD20/82</f>
        <v>2.7796921333365856</v>
      </c>
      <c r="ET44" s="20">
        <f>'ZINC OXIDE  -  ACTIVE'!DE20/82</f>
        <v>2.7898556756390249</v>
      </c>
      <c r="EU44" s="20">
        <f>'ZINC OXIDE  -  ACTIVE'!DF20/82</f>
        <v>2.9156095380195119</v>
      </c>
      <c r="EV44" s="20">
        <f>'ZINC OXIDE  -  ACTIVE'!DG20/82</f>
        <v>3.1222533017317078</v>
      </c>
      <c r="EW44" s="20">
        <f>'ZINC OXIDE  -  ACTIVE'!DH20/82</f>
        <v>3.0916950873487807</v>
      </c>
      <c r="EX44" s="20">
        <f>'ZINC OXIDE  -  ACTIVE'!DI20/82</f>
        <v>3.0643744139243903</v>
      </c>
      <c r="EY44" s="20">
        <f>'ZINC OXIDE  -  ACTIVE'!DJ20/82</f>
        <v>3.2263560711231705</v>
      </c>
      <c r="EZ44" s="20">
        <f>'ZINC OXIDE  -  ACTIVE'!DK20/82</f>
        <v>3.1147339428780492</v>
      </c>
      <c r="FA44" s="20">
        <f>'ZINC OXIDE  -  ACTIVE'!DL20/82</f>
        <v>3.0506868404682925</v>
      </c>
      <c r="FB44" s="20">
        <f>'ZINC OXIDE  -  ACTIVE'!DM20/82</f>
        <v>3.0186548156097563</v>
      </c>
      <c r="FC44" s="20">
        <f>'ZINC OXIDE  -  ACTIVE'!DN20/82</f>
        <v>3.0010142827219517</v>
      </c>
      <c r="FD44" s="20">
        <f>'ZINC OXIDE  -  ACTIVE'!DO20/82</f>
        <v>3.1197101968658538</v>
      </c>
      <c r="FE44" s="20">
        <f>'ZINC OXIDE  -  ACTIVE'!DP20/82</f>
        <v>3.1122433948402439</v>
      </c>
      <c r="FF44" s="20">
        <f>'ZINC OXIDE  -  ACTIVE'!DQ20/82</f>
        <v>3.1004739942926829</v>
      </c>
      <c r="FG44" s="20">
        <f>'ZINC OXIDE  -  ACTIVE'!DR20/82</f>
        <v>3.0819267804634149</v>
      </c>
      <c r="FH44" s="20">
        <f>'ZINC OXIDE  -  ACTIVE'!DS20/82</f>
        <v>3.0463265403999999</v>
      </c>
    </row>
    <row r="45" spans="1:164">
      <c r="A45" s="8" t="s">
        <v>212</v>
      </c>
      <c r="B45" s="263" t="s">
        <v>245</v>
      </c>
      <c r="C45" s="19">
        <f t="shared" si="48"/>
        <v>1.6627555327953125E-2</v>
      </c>
      <c r="D45" s="19">
        <f t="shared" si="49"/>
        <v>-4.9500055028527612E-2</v>
      </c>
      <c r="E45" s="19">
        <f t="shared" si="50"/>
        <v>3.5750008426307378E-2</v>
      </c>
      <c r="F45" s="19">
        <f t="shared" si="51"/>
        <v>-5.4998348229622351E-3</v>
      </c>
      <c r="G45" s="19">
        <f t="shared" si="52"/>
        <v>-3.9414981110738267E-2</v>
      </c>
      <c r="H45" s="19">
        <f t="shared" si="53"/>
        <v>0.12191999999999981</v>
      </c>
      <c r="I45" s="19">
        <f t="shared" si="54"/>
        <v>0</v>
      </c>
      <c r="J45" s="19">
        <f t="shared" si="54"/>
        <v>0</v>
      </c>
      <c r="K45" s="19">
        <f t="shared" si="44"/>
        <v>0</v>
      </c>
      <c r="L45" s="19">
        <f t="shared" si="1"/>
        <v>0</v>
      </c>
      <c r="M45" s="19">
        <f t="shared" si="2"/>
        <v>1.6500000000000181E-2</v>
      </c>
      <c r="N45" s="19">
        <f t="shared" si="3"/>
        <v>0</v>
      </c>
      <c r="O45" s="19">
        <f t="shared" si="4"/>
        <v>0</v>
      </c>
      <c r="P45" s="19">
        <f t="shared" si="5"/>
        <v>0</v>
      </c>
      <c r="Q45" s="19">
        <f t="shared" si="5"/>
        <v>0</v>
      </c>
      <c r="R45" s="19">
        <f t="shared" si="6"/>
        <v>-0.11275000000000013</v>
      </c>
      <c r="S45" s="19">
        <f t="shared" si="7"/>
        <v>0</v>
      </c>
      <c r="T45" s="19">
        <f t="shared" si="8"/>
        <v>0</v>
      </c>
      <c r="U45" s="19">
        <f t="shared" si="8"/>
        <v>0</v>
      </c>
      <c r="V45" s="19">
        <f t="shared" si="8"/>
        <v>0</v>
      </c>
      <c r="W45" s="19">
        <f t="shared" si="8"/>
        <v>0</v>
      </c>
      <c r="X45" s="19">
        <f t="shared" si="55"/>
        <v>0</v>
      </c>
      <c r="Y45" s="19">
        <f t="shared" si="55"/>
        <v>0</v>
      </c>
      <c r="Z45" s="19">
        <f t="shared" si="9"/>
        <v>0</v>
      </c>
      <c r="AA45" s="19">
        <f t="shared" si="10"/>
        <v>0</v>
      </c>
      <c r="AB45" s="19">
        <f t="shared" si="10"/>
        <v>0</v>
      </c>
      <c r="AC45" s="19">
        <f t="shared" si="10"/>
        <v>3.3000000000000362E-2</v>
      </c>
      <c r="AD45" s="19">
        <f t="shared" si="10"/>
        <v>-3.8500000000000423E-2</v>
      </c>
      <c r="AE45" s="19">
        <f t="shared" si="11"/>
        <v>3.8500000000000423E-2</v>
      </c>
      <c r="AF45" s="19">
        <f t="shared" si="11"/>
        <v>-1.6500000000000181E-2</v>
      </c>
      <c r="AG45" s="19">
        <f t="shared" si="12"/>
        <v>0</v>
      </c>
      <c r="AH45" s="19">
        <f t="shared" si="13"/>
        <v>0</v>
      </c>
      <c r="AI45" s="19">
        <f t="shared" si="14"/>
        <v>0</v>
      </c>
      <c r="AJ45" s="19">
        <f t="shared" si="15"/>
        <v>4.1249999999999787E-2</v>
      </c>
      <c r="AK45" s="19">
        <f t="shared" si="16"/>
        <v>0</v>
      </c>
      <c r="AL45" s="19">
        <f t="shared" si="16"/>
        <v>0</v>
      </c>
      <c r="AM45" s="19">
        <f t="shared" si="17"/>
        <v>0</v>
      </c>
      <c r="AN45" s="19">
        <f t="shared" si="18"/>
        <v>0</v>
      </c>
      <c r="AO45" s="19">
        <f t="shared" si="19"/>
        <v>-0.2629999999999999</v>
      </c>
      <c r="AP45" s="19">
        <f t="shared" si="20"/>
        <v>0</v>
      </c>
      <c r="AQ45" s="19">
        <f t="shared" si="20"/>
        <v>0</v>
      </c>
      <c r="AR45" s="19">
        <f t="shared" si="20"/>
        <v>1.1000000000000121E-2</v>
      </c>
      <c r="AS45" s="19">
        <f t="shared" si="21"/>
        <v>0</v>
      </c>
      <c r="AT45" s="19">
        <f t="shared" si="22"/>
        <v>0</v>
      </c>
      <c r="AU45" s="60" t="s">
        <v>98</v>
      </c>
      <c r="AV45" s="19">
        <f t="shared" si="23"/>
        <v>0</v>
      </c>
      <c r="AW45" s="19">
        <f t="shared" si="24"/>
        <v>-8.2500000000003126E-3</v>
      </c>
      <c r="AX45" s="19">
        <f t="shared" si="25"/>
        <v>0</v>
      </c>
      <c r="AY45" s="19">
        <f t="shared" si="26"/>
        <v>0</v>
      </c>
      <c r="AZ45" s="19">
        <f t="shared" si="27"/>
        <v>0</v>
      </c>
      <c r="BA45" s="19">
        <f t="shared" si="28"/>
        <v>0</v>
      </c>
      <c r="BB45" s="19">
        <f t="shared" si="61"/>
        <v>0</v>
      </c>
      <c r="BC45" s="19">
        <f t="shared" si="30"/>
        <v>0</v>
      </c>
      <c r="BD45" s="19">
        <f t="shared" si="31"/>
        <v>-1.3749999999999929E-2</v>
      </c>
      <c r="BE45" s="19">
        <f t="shared" si="32"/>
        <v>0</v>
      </c>
      <c r="BF45" s="19">
        <f t="shared" si="33"/>
        <v>-0.12924999999999986</v>
      </c>
      <c r="BG45" s="19">
        <f t="shared" si="33"/>
        <v>0</v>
      </c>
      <c r="BH45" s="19">
        <f t="shared" si="56"/>
        <v>-4.5000000000001705E-3</v>
      </c>
      <c r="BI45" s="19">
        <f t="shared" si="57"/>
        <v>0</v>
      </c>
      <c r="BJ45" s="19">
        <f t="shared" si="35"/>
        <v>9.6250000000000391E-2</v>
      </c>
      <c r="BK45" s="19">
        <f t="shared" si="36"/>
        <v>0.64349999999999996</v>
      </c>
      <c r="BL45" s="19">
        <f t="shared" si="45"/>
        <v>0</v>
      </c>
      <c r="BM45" s="19">
        <f t="shared" si="45"/>
        <v>0</v>
      </c>
      <c r="BN45" s="19">
        <f t="shared" si="45"/>
        <v>-4.4999999999999929E-2</v>
      </c>
      <c r="BO45" s="19">
        <f t="shared" si="45"/>
        <v>-0.12725000000000009</v>
      </c>
      <c r="BP45" s="19">
        <f t="shared" si="58"/>
        <v>0</v>
      </c>
      <c r="BQ45" s="19">
        <f t="shared" si="58"/>
        <v>0</v>
      </c>
      <c r="BR45" s="19">
        <f t="shared" si="58"/>
        <v>0</v>
      </c>
      <c r="BS45" s="19">
        <f t="shared" si="38"/>
        <v>3.1749999999999723E-2</v>
      </c>
      <c r="BT45" s="19">
        <f t="shared" si="46"/>
        <v>0</v>
      </c>
      <c r="BU45" s="19">
        <f t="shared" si="59"/>
        <v>0</v>
      </c>
      <c r="BV45" s="19">
        <f t="shared" si="60"/>
        <v>0</v>
      </c>
      <c r="BW45" s="19">
        <f t="shared" si="40"/>
        <v>-5.7749999999999968E-2</v>
      </c>
      <c r="BX45" s="19">
        <f t="shared" si="41"/>
        <v>0</v>
      </c>
      <c r="BY45" s="19">
        <f t="shared" si="41"/>
        <v>0</v>
      </c>
      <c r="BZ45" s="19">
        <f t="shared" si="41"/>
        <v>6.8750000000000089E-2</v>
      </c>
      <c r="CA45" s="19">
        <f t="shared" si="41"/>
        <v>0</v>
      </c>
      <c r="CB45" s="19">
        <f t="shared" si="42"/>
        <v>-7.2000000000000064E-2</v>
      </c>
      <c r="CC45" s="19">
        <f t="shared" si="42"/>
        <v>8.2499999999998685E-3</v>
      </c>
      <c r="CD45" s="19">
        <f t="shared" si="42"/>
        <v>0</v>
      </c>
      <c r="CE45" s="65"/>
      <c r="CG45" s="20">
        <f t="shared" si="47"/>
        <v>3.9356326927920326</v>
      </c>
      <c r="CH45" s="20">
        <f>'DDSA TPSA'!AS18</f>
        <v>3.9190051374640795</v>
      </c>
      <c r="CI45" s="20">
        <f>'DDSA TPSA'!AT18</f>
        <v>3.9685051924926071</v>
      </c>
      <c r="CJ45" s="20">
        <f>'DDSA TPSA'!AU18</f>
        <v>3.9327551840662998</v>
      </c>
      <c r="CK45" s="20">
        <f>'DDSA TPSA'!AV18</f>
        <v>3.938255018889262</v>
      </c>
      <c r="CL45" s="20">
        <f>'DDSA TPSA'!AW18</f>
        <v>3.9776700000000003</v>
      </c>
      <c r="CM45" s="20">
        <f>'DDSA TPSA'!AX18</f>
        <v>3.8557500000000005</v>
      </c>
      <c r="CN45" s="20">
        <f>'DDSA TPSA'!AY18</f>
        <v>3.8557500000000005</v>
      </c>
      <c r="CO45" s="20">
        <f>'DDSA TPSA'!AZ18</f>
        <v>3.8557500000000005</v>
      </c>
      <c r="CP45" s="20">
        <f>'DDSA TPSA'!BA18</f>
        <v>3.8557500000000005</v>
      </c>
      <c r="CQ45" s="20">
        <f>'DDSA TPSA'!BB18</f>
        <v>3.8557500000000005</v>
      </c>
      <c r="CR45" s="20">
        <f>'DDSA TPSA'!BC18</f>
        <v>3.8392500000000003</v>
      </c>
      <c r="CS45" s="20">
        <f>'DDSA TPSA'!BD18</f>
        <v>3.8392500000000003</v>
      </c>
      <c r="CT45" s="20">
        <f>'DDSA TPSA'!BE18</f>
        <v>3.8392500000000003</v>
      </c>
      <c r="CU45" s="20">
        <f>'DDSA TPSA'!BF18</f>
        <v>3.8392500000000003</v>
      </c>
      <c r="CV45" s="20">
        <f>'DDSA TPSA'!BG18</f>
        <v>3.8392500000000003</v>
      </c>
      <c r="CW45" s="20">
        <f>'DDSA TPSA'!BH18</f>
        <v>3.9520000000000004</v>
      </c>
      <c r="CX45" s="20">
        <f>'DDSA TPSA'!BI18</f>
        <v>3.9520000000000004</v>
      </c>
      <c r="CY45" s="20">
        <f>'DDSA TPSA'!BJ18</f>
        <v>3.9520000000000004</v>
      </c>
      <c r="CZ45" s="20">
        <f>'DDSA TPSA'!BK18</f>
        <v>3.9520000000000004</v>
      </c>
      <c r="DA45" s="20">
        <f>'DDSA TPSA'!BL18</f>
        <v>3.9520000000000004</v>
      </c>
      <c r="DB45" s="20">
        <f>'DDSA TPSA'!BM18</f>
        <v>3.9520000000000004</v>
      </c>
      <c r="DC45" s="20">
        <f>'DDSA TPSA'!BN18</f>
        <v>3.9520000000000004</v>
      </c>
      <c r="DD45" s="20">
        <f>'DDSA TPSA'!BO18</f>
        <v>3.9520000000000004</v>
      </c>
      <c r="DE45" s="20">
        <f>'DDSA TPSA'!BP18</f>
        <v>3.9520000000000004</v>
      </c>
      <c r="DF45" s="20">
        <f>'DDSA TPSA'!BQ18</f>
        <v>3.9520000000000004</v>
      </c>
      <c r="DG45" s="20">
        <f>'DDSA TPSA'!BR18</f>
        <v>3.9520000000000004</v>
      </c>
      <c r="DH45" s="20">
        <f>'DDSA TPSA'!BS18</f>
        <v>3.919</v>
      </c>
      <c r="DI45" s="20">
        <f>'DDSA TPSA'!BT18</f>
        <v>3.9575000000000005</v>
      </c>
      <c r="DJ45" s="20">
        <f>'DDSA TPSA'!BU18</f>
        <v>3.919</v>
      </c>
      <c r="DK45" s="20">
        <f>'DDSA TPSA'!BV18</f>
        <v>3.9355000000000002</v>
      </c>
      <c r="DL45" s="20">
        <f>'DDSA TPSA'!BW18</f>
        <v>3.9355000000000002</v>
      </c>
      <c r="DM45" s="20">
        <f>'DDSA TPSA'!BX18</f>
        <v>3.9355000000000002</v>
      </c>
      <c r="DN45" s="20">
        <f>'DDSA TPSA'!BY18</f>
        <v>3.9355000000000002</v>
      </c>
      <c r="DO45" s="20">
        <f>'DDSA TPSA'!BZ18</f>
        <v>3.8942500000000004</v>
      </c>
      <c r="DP45" s="20">
        <f>'DDSA TPSA'!CA18</f>
        <v>3.8942500000000004</v>
      </c>
      <c r="DQ45" s="20">
        <f>'DDSA TPSA'!CB18</f>
        <v>3.8942500000000004</v>
      </c>
      <c r="DR45" s="20">
        <f>'DDSA TPSA'!CC18</f>
        <v>3.8942500000000004</v>
      </c>
      <c r="DS45" s="20">
        <f>'DDSA TPSA'!CD18</f>
        <v>3.8942500000000004</v>
      </c>
      <c r="DT45" s="20">
        <f>'DDSA TPSA'!CE18</f>
        <v>4.1572500000000003</v>
      </c>
      <c r="DU45" s="20">
        <f>'DDSA TPSA'!CF18</f>
        <v>4.1572500000000003</v>
      </c>
      <c r="DV45" s="20">
        <f>'DDSA TPSA'!CG18</f>
        <v>4.1572500000000003</v>
      </c>
      <c r="DW45" s="20">
        <f>'DDSA TPSA'!CH18</f>
        <v>4.1462500000000002</v>
      </c>
      <c r="DX45" s="20">
        <f>'DDSA TPSA'!CI18</f>
        <v>4.1462500000000002</v>
      </c>
      <c r="DY45" s="20">
        <f>'DDSA TPSA'!CJ18</f>
        <v>4.1462500000000002</v>
      </c>
      <c r="DZ45" s="20">
        <f>'DDSA TPSA'!CK18</f>
        <v>4.1462500000000002</v>
      </c>
      <c r="EA45" s="20">
        <f>'DDSA TPSA'!CL18</f>
        <v>4.1545000000000005</v>
      </c>
      <c r="EB45" s="20">
        <f>'DDSA TPSA'!CM18</f>
        <v>4.1545000000000005</v>
      </c>
      <c r="EC45" s="20">
        <f>'DDSA TPSA'!CN18</f>
        <v>4.1545000000000005</v>
      </c>
      <c r="ED45" s="20">
        <f>'DDSA TPSA'!CO18</f>
        <v>4.1545000000000005</v>
      </c>
      <c r="EE45" s="20">
        <f>'DDSA TPSA'!CP18</f>
        <v>4.1545000000000005</v>
      </c>
      <c r="EF45" s="20">
        <f>'DDSA TPSA'!CQ18</f>
        <v>4.1545000000000005</v>
      </c>
      <c r="EG45" s="20">
        <f>'DDSA TPSA'!CR18</f>
        <v>4.1545000000000005</v>
      </c>
      <c r="EH45" s="20">
        <f>'DDSA TPSA'!CS18</f>
        <v>4.1682500000000005</v>
      </c>
      <c r="EI45" s="20">
        <f>'DDSA TPSA'!CT18</f>
        <v>4.1682500000000005</v>
      </c>
      <c r="EJ45" s="20">
        <f>'DDSA TPSA'!CU18</f>
        <v>4.2975000000000003</v>
      </c>
      <c r="EK45" s="20">
        <f>'DDSA TPSA'!CV18</f>
        <v>4.2975000000000003</v>
      </c>
      <c r="EL45" s="20">
        <f>'DDSA TPSA'!CW18</f>
        <v>4.3020000000000005</v>
      </c>
      <c r="EM45" s="20">
        <f>'DDSA TPSA'!CX18</f>
        <v>4.3020000000000005</v>
      </c>
      <c r="EN45" s="20">
        <f>'DDSA TPSA'!CY18</f>
        <v>4.2057500000000001</v>
      </c>
      <c r="EO45" s="20">
        <f>'DDSA TPSA'!CZ18</f>
        <v>3.5622500000000001</v>
      </c>
      <c r="EP45" s="20">
        <f>'DDSA TPSA'!DA18</f>
        <v>3.5622500000000001</v>
      </c>
      <c r="EQ45" s="20">
        <f>'DDSA TPSA'!DB18</f>
        <v>3.5622500000000001</v>
      </c>
      <c r="ER45" s="20">
        <f>'DDSA TPSA'!DC18</f>
        <v>3.6072500000000001</v>
      </c>
      <c r="ES45" s="20">
        <f>'DDSA TPSA'!DD18</f>
        <v>3.7345000000000002</v>
      </c>
      <c r="ET45" s="20">
        <f>'DDSA TPSA'!DE18</f>
        <v>3.7345000000000002</v>
      </c>
      <c r="EU45" s="20">
        <f>'DDSA TPSA'!DF18</f>
        <v>3.7345000000000002</v>
      </c>
      <c r="EV45" s="20">
        <f>'DDSA TPSA'!DG18</f>
        <v>3.7345000000000002</v>
      </c>
      <c r="EW45" s="20">
        <f>'DDSA TPSA'!DH18</f>
        <v>3.7027500000000004</v>
      </c>
      <c r="EX45" s="20">
        <f>'DDSA TPSA'!DI18</f>
        <v>3.7027500000000004</v>
      </c>
      <c r="EY45" s="20">
        <f>'DDSA TPSA'!DJ18</f>
        <v>3.7027500000000004</v>
      </c>
      <c r="EZ45" s="20">
        <f>'DDSA TPSA'!DK18</f>
        <v>3.7027500000000004</v>
      </c>
      <c r="FA45" s="20">
        <f>'DDSA TPSA'!DL18</f>
        <v>3.7605000000000004</v>
      </c>
      <c r="FB45" s="20">
        <f>'DDSA TPSA'!DM18</f>
        <v>3.7605000000000004</v>
      </c>
      <c r="FC45" s="20">
        <f>'DDSA TPSA'!DN18</f>
        <v>3.7605000000000004</v>
      </c>
      <c r="FD45" s="20">
        <f>'DDSA TPSA'!DO18</f>
        <v>3.6917500000000003</v>
      </c>
      <c r="FE45" s="20">
        <f>'DDSA TPSA'!DP18</f>
        <v>3.6917500000000003</v>
      </c>
      <c r="FF45" s="20">
        <f>'DDSA TPSA'!DQ18</f>
        <v>3.7637500000000004</v>
      </c>
      <c r="FG45" s="20">
        <f>'DDSA TPSA'!DR18</f>
        <v>3.7555000000000005</v>
      </c>
      <c r="FH45" s="20">
        <f>'DDSA TPSA'!DS18</f>
        <v>3.7555000000000005</v>
      </c>
    </row>
    <row r="46" spans="1:164">
      <c r="A46" s="8" t="s">
        <v>207</v>
      </c>
      <c r="B46" s="263" t="s">
        <v>246</v>
      </c>
      <c r="C46" s="19">
        <f t="shared" si="48"/>
        <v>-0.15507596153846137</v>
      </c>
      <c r="D46" s="19">
        <f t="shared" si="49"/>
        <v>1.1474999999999902E-2</v>
      </c>
      <c r="E46" s="19">
        <f t="shared" si="50"/>
        <v>3.0600000000000627E-2</v>
      </c>
      <c r="F46" s="19">
        <f t="shared" si="51"/>
        <v>5.6099999999998929E-3</v>
      </c>
      <c r="G46" s="19">
        <f t="shared" si="52"/>
        <v>8.1217500000000165E-2</v>
      </c>
      <c r="H46" s="19">
        <f t="shared" si="53"/>
        <v>3.2257499999999606E-2</v>
      </c>
      <c r="I46" s="19">
        <f t="shared" si="54"/>
        <v>2.9580000000000162E-2</v>
      </c>
      <c r="J46" s="19">
        <f t="shared" si="54"/>
        <v>-0.10199999999999987</v>
      </c>
      <c r="K46" s="19">
        <f t="shared" si="44"/>
        <v>5.6609999999999605E-2</v>
      </c>
      <c r="L46" s="19">
        <f t="shared" si="1"/>
        <v>-4.1309999999999736E-2</v>
      </c>
      <c r="M46" s="19">
        <f t="shared" si="2"/>
        <v>4.2839999999999989E-2</v>
      </c>
      <c r="N46" s="19">
        <f t="shared" si="3"/>
        <v>7.5734999999999886E-2</v>
      </c>
      <c r="O46" s="19">
        <f t="shared" si="4"/>
        <v>-5.9414999999999996E-2</v>
      </c>
      <c r="P46" s="19">
        <f t="shared" si="5"/>
        <v>0</v>
      </c>
      <c r="Q46" s="19">
        <f t="shared" si="5"/>
        <v>-3.2640000000000224E-2</v>
      </c>
      <c r="R46" s="19">
        <f t="shared" si="6"/>
        <v>5.4060000000000219E-2</v>
      </c>
      <c r="S46" s="19">
        <f t="shared" si="7"/>
        <v>2.2440000000000015E-2</v>
      </c>
      <c r="T46" s="19">
        <f t="shared" si="8"/>
        <v>1.9379999999999953E-2</v>
      </c>
      <c r="U46" s="19">
        <f t="shared" si="8"/>
        <v>1.6575000000000006E-2</v>
      </c>
      <c r="V46" s="19">
        <f t="shared" si="8"/>
        <v>1.4025000000000176E-2</v>
      </c>
      <c r="W46" s="19">
        <f t="shared" si="8"/>
        <v>-1.5427500000000371E-2</v>
      </c>
      <c r="X46" s="19">
        <f t="shared" si="55"/>
        <v>-1.2112499999999748E-2</v>
      </c>
      <c r="Y46" s="19">
        <f t="shared" si="55"/>
        <v>-1.9507500000000011E-2</v>
      </c>
      <c r="Z46" s="19">
        <f t="shared" si="9"/>
        <v>-1.5172499999999811E-2</v>
      </c>
      <c r="AA46" s="19">
        <f t="shared" si="10"/>
        <v>0</v>
      </c>
      <c r="AB46" s="19">
        <f t="shared" si="10"/>
        <v>-4.4497500000000301E-2</v>
      </c>
      <c r="AC46" s="19">
        <f t="shared" si="10"/>
        <v>1.9252500000000339E-2</v>
      </c>
      <c r="AD46" s="19">
        <f t="shared" si="10"/>
        <v>1.0199999999995768E-3</v>
      </c>
      <c r="AE46" s="19">
        <f t="shared" si="11"/>
        <v>-6.7702499999999777E-2</v>
      </c>
      <c r="AF46" s="19">
        <f t="shared" si="11"/>
        <v>9.3075000000002461E-3</v>
      </c>
      <c r="AG46" s="19">
        <f t="shared" si="12"/>
        <v>2.4480000000000057E-2</v>
      </c>
      <c r="AH46" s="19">
        <f t="shared" si="13"/>
        <v>2.8559999999999253E-2</v>
      </c>
      <c r="AI46" s="19">
        <f t="shared" si="14"/>
        <v>0</v>
      </c>
      <c r="AJ46" s="19">
        <f t="shared" si="15"/>
        <v>-3.3404999999999241E-2</v>
      </c>
      <c r="AK46" s="19">
        <f t="shared" si="16"/>
        <v>4.0034999999999599E-2</v>
      </c>
      <c r="AL46" s="19">
        <f t="shared" si="16"/>
        <v>0</v>
      </c>
      <c r="AM46" s="19">
        <f t="shared" si="17"/>
        <v>-2.9834999999999834E-2</v>
      </c>
      <c r="AN46" s="19">
        <f t="shared" si="18"/>
        <v>-8.1600000000001671E-3</v>
      </c>
      <c r="AO46" s="19">
        <f t="shared" si="19"/>
        <v>-3.2129999999999992E-2</v>
      </c>
      <c r="AP46" s="19">
        <f t="shared" si="20"/>
        <v>-1.3514999999999944E-2</v>
      </c>
      <c r="AQ46" s="19">
        <f t="shared" si="20"/>
        <v>-7.0125000000000437E-2</v>
      </c>
      <c r="AR46" s="19">
        <f t="shared" si="20"/>
        <v>1.5554999999999986E-2</v>
      </c>
      <c r="AS46" s="19">
        <f t="shared" si="21"/>
        <v>-0.11015999999999959</v>
      </c>
      <c r="AT46" s="19">
        <f t="shared" si="22"/>
        <v>1.5299999999999869E-2</v>
      </c>
      <c r="AU46" s="60" t="s">
        <v>62</v>
      </c>
      <c r="AV46" s="19">
        <f t="shared" si="23"/>
        <v>-4.9214999999999787E-2</v>
      </c>
      <c r="AW46" s="19">
        <f t="shared" si="24"/>
        <v>-0.12699000000000016</v>
      </c>
      <c r="AX46" s="19">
        <f t="shared" si="25"/>
        <v>5.1000000000001044E-3</v>
      </c>
      <c r="AY46" s="19">
        <f t="shared" si="26"/>
        <v>-0.1310699999999998</v>
      </c>
      <c r="AZ46" s="19">
        <f t="shared" si="27"/>
        <v>5.1764999999999617E-2</v>
      </c>
      <c r="BA46" s="19">
        <f t="shared" si="28"/>
        <v>-0.14127000000000001</v>
      </c>
      <c r="BB46" s="19">
        <f t="shared" si="61"/>
        <v>0.13234499999999993</v>
      </c>
      <c r="BC46" s="19">
        <f t="shared" si="30"/>
        <v>7.9305000000000181E-2</v>
      </c>
      <c r="BD46" s="19">
        <f t="shared" si="31"/>
        <v>7.4969999999999981E-2</v>
      </c>
      <c r="BE46" s="19">
        <f t="shared" si="32"/>
        <v>-2.5499999999998302E-3</v>
      </c>
      <c r="BF46" s="19">
        <f t="shared" si="33"/>
        <v>5.329499999999987E-2</v>
      </c>
      <c r="BG46" s="19">
        <f t="shared" si="33"/>
        <v>-0.12546000000000035</v>
      </c>
      <c r="BH46" s="19">
        <f t="shared" si="56"/>
        <v>7.1655000000000246E-2</v>
      </c>
      <c r="BI46" s="19">
        <f t="shared" si="57"/>
        <v>0.12673500000000004</v>
      </c>
      <c r="BJ46" s="19">
        <f t="shared" si="35"/>
        <v>2.9070000000000373E-2</v>
      </c>
      <c r="BK46" s="19">
        <f t="shared" si="36"/>
        <v>9.3839999999999701E-2</v>
      </c>
      <c r="BL46" s="19">
        <f t="shared" si="45"/>
        <v>-4.2329999999999757E-2</v>
      </c>
      <c r="BM46" s="19">
        <f t="shared" si="45"/>
        <v>-2.244000000000046E-2</v>
      </c>
      <c r="BN46" s="19">
        <f t="shared" si="45"/>
        <v>-5.0234999999999808E-2</v>
      </c>
      <c r="BO46" s="19">
        <f t="shared" si="45"/>
        <v>3.1109999999999971E-2</v>
      </c>
      <c r="BP46" s="19">
        <f t="shared" si="58"/>
        <v>1.5300000000002534E-3</v>
      </c>
      <c r="BQ46" s="19">
        <f t="shared" si="58"/>
        <v>-7.1909999999999918E-2</v>
      </c>
      <c r="BR46" s="19">
        <f t="shared" si="58"/>
        <v>-0.1512150000000001</v>
      </c>
      <c r="BS46" s="19">
        <f t="shared" si="38"/>
        <v>6.7319999999999602E-2</v>
      </c>
      <c r="BT46" s="19">
        <f t="shared" si="46"/>
        <v>2.6264999999999983E-2</v>
      </c>
      <c r="BU46" s="19">
        <f t="shared" si="59"/>
        <v>2.6010000000000311E-2</v>
      </c>
      <c r="BV46" s="19">
        <f t="shared" si="60"/>
        <v>3.3149999999997348E-3</v>
      </c>
      <c r="BW46" s="19">
        <f t="shared" si="40"/>
        <v>-2.6519999999999655E-2</v>
      </c>
      <c r="BX46" s="19">
        <f t="shared" si="41"/>
        <v>6.45150000000001E-2</v>
      </c>
      <c r="BY46" s="19">
        <f t="shared" si="41"/>
        <v>0.10786499999999988</v>
      </c>
      <c r="BZ46" s="19">
        <f t="shared" si="41"/>
        <v>-1.2750000000000039E-2</v>
      </c>
      <c r="CA46" s="19">
        <f t="shared" si="41"/>
        <v>-1.5810000000000102E-2</v>
      </c>
      <c r="CB46" s="19">
        <f t="shared" si="42"/>
        <v>-2.4989999999999846E-2</v>
      </c>
      <c r="CC46" s="19">
        <f t="shared" si="42"/>
        <v>1.2494999999999479E-2</v>
      </c>
      <c r="CD46" s="19">
        <f t="shared" si="42"/>
        <v>1.9635000000000069E-2</v>
      </c>
      <c r="CE46" s="65"/>
      <c r="CG46" s="20">
        <f t="shared" si="47"/>
        <v>2.4635990384615392</v>
      </c>
      <c r="CH46" s="20">
        <f>'Copper Sulphate '!AS18</f>
        <v>2.6186750000000005</v>
      </c>
      <c r="CI46" s="20">
        <f>'Copper Sulphate '!AT18</f>
        <v>2.6072000000000006</v>
      </c>
      <c r="CJ46" s="20">
        <f>'Copper Sulphate '!AU18</f>
        <v>2.5766</v>
      </c>
      <c r="CK46" s="20">
        <f>'Copper Sulphate '!AV18</f>
        <v>2.5709900000000001</v>
      </c>
      <c r="CL46" s="20">
        <f>'Copper Sulphate '!AW18</f>
        <v>2.4897724999999999</v>
      </c>
      <c r="CM46" s="20">
        <f>'Copper Sulphate '!AX18</f>
        <v>2.4575150000000003</v>
      </c>
      <c r="CN46" s="20">
        <f>'Copper Sulphate '!AY18</f>
        <v>2.4279350000000002</v>
      </c>
      <c r="CO46" s="20">
        <f>'Copper Sulphate '!AZ18</f>
        <v>2.529935</v>
      </c>
      <c r="CP46" s="20">
        <f>'Copper Sulphate '!BA18</f>
        <v>2.4733250000000004</v>
      </c>
      <c r="CQ46" s="20">
        <f>'Copper Sulphate '!BB18</f>
        <v>2.5146350000000002</v>
      </c>
      <c r="CR46" s="20">
        <f>'Copper Sulphate '!BC18</f>
        <v>2.4717950000000002</v>
      </c>
      <c r="CS46" s="20">
        <f>'Copper Sulphate '!BD18</f>
        <v>2.3960600000000003</v>
      </c>
      <c r="CT46" s="20">
        <f>'Copper Sulphate '!BE18</f>
        <v>2.4554750000000003</v>
      </c>
      <c r="CU46" s="20">
        <f>'Copper Sulphate '!BF18</f>
        <v>2.4554750000000003</v>
      </c>
      <c r="CV46" s="20">
        <f>'Copper Sulphate '!BG18</f>
        <v>2.4881150000000005</v>
      </c>
      <c r="CW46" s="20">
        <f>'Copper Sulphate '!BH18</f>
        <v>2.4340550000000003</v>
      </c>
      <c r="CX46" s="20">
        <f>'Copper Sulphate '!BI18</f>
        <v>2.4116150000000003</v>
      </c>
      <c r="CY46" s="20">
        <f>'Copper Sulphate '!BJ18</f>
        <v>2.3922350000000003</v>
      </c>
      <c r="CZ46" s="20">
        <f>'Copper Sulphate '!BK18</f>
        <v>2.3756600000000003</v>
      </c>
      <c r="DA46" s="20">
        <f>'Copper Sulphate '!BL18</f>
        <v>2.3616350000000002</v>
      </c>
      <c r="DB46" s="20">
        <f>'Copper Sulphate '!BM18</f>
        <v>2.3770625000000005</v>
      </c>
      <c r="DC46" s="20">
        <f>'Copper Sulphate '!BN18</f>
        <v>2.3891750000000003</v>
      </c>
      <c r="DD46" s="20">
        <f>'Copper Sulphate '!BO18</f>
        <v>2.4086825000000003</v>
      </c>
      <c r="DE46" s="20">
        <f>'Copper Sulphate '!BP18</f>
        <v>2.4238550000000001</v>
      </c>
      <c r="DF46" s="20">
        <f>'Copper Sulphate '!BQ18</f>
        <v>2.4238550000000001</v>
      </c>
      <c r="DG46" s="20">
        <f>'Copper Sulphate '!BR18</f>
        <v>2.4683525000000004</v>
      </c>
      <c r="DH46" s="20">
        <f>'Copper Sulphate '!BS18</f>
        <v>2.4491000000000001</v>
      </c>
      <c r="DI46" s="20">
        <f>'Copper Sulphate '!BT18</f>
        <v>2.4480800000000005</v>
      </c>
      <c r="DJ46" s="20">
        <f>'Copper Sulphate '!BU18</f>
        <v>2.5157825000000003</v>
      </c>
      <c r="DK46" s="20">
        <f>'Copper Sulphate '!BV18</f>
        <v>2.506475</v>
      </c>
      <c r="DL46" s="20">
        <f>'Copper Sulphate '!BW18</f>
        <v>2.481995</v>
      </c>
      <c r="DM46" s="20">
        <f>'Copper Sulphate '!BX18</f>
        <v>2.4534350000000007</v>
      </c>
      <c r="DN46" s="20">
        <f>'Copper Sulphate '!BY18</f>
        <v>2.4534350000000007</v>
      </c>
      <c r="DO46" s="20">
        <f>'Copper Sulphate '!BZ18</f>
        <v>2.4868399999999999</v>
      </c>
      <c r="DP46" s="20">
        <f>'Copper Sulphate '!CA18</f>
        <v>2.4468050000000003</v>
      </c>
      <c r="DQ46" s="20">
        <f>'Copper Sulphate '!CB18</f>
        <v>2.4468050000000003</v>
      </c>
      <c r="DR46" s="20">
        <f>'Copper Sulphate '!CC18</f>
        <v>2.4766400000000002</v>
      </c>
      <c r="DS46" s="20">
        <f>'Copper Sulphate '!CD18</f>
        <v>2.4848000000000003</v>
      </c>
      <c r="DT46" s="20">
        <f>'Copper Sulphate '!CE18</f>
        <v>2.5169300000000003</v>
      </c>
      <c r="DU46" s="20">
        <f>'Copper Sulphate '!CF18</f>
        <v>2.5304450000000003</v>
      </c>
      <c r="DV46" s="20">
        <f>'Copper Sulphate '!CG18</f>
        <v>2.6005700000000007</v>
      </c>
      <c r="DW46" s="20">
        <f>'Copper Sulphate '!CH18</f>
        <v>2.5850150000000007</v>
      </c>
      <c r="DX46" s="20">
        <f>'Copper Sulphate '!CI18</f>
        <v>2.6951750000000003</v>
      </c>
      <c r="DY46" s="20">
        <f>'Copper Sulphate '!CJ18</f>
        <v>2.6798750000000005</v>
      </c>
      <c r="DZ46" s="20">
        <f>'Copper Sulphate '!CK18</f>
        <v>2.7290900000000002</v>
      </c>
      <c r="EA46" s="20">
        <f>'Copper Sulphate '!CL18</f>
        <v>2.8560800000000004</v>
      </c>
      <c r="EB46" s="20">
        <f>'Copper Sulphate '!CM18</f>
        <v>2.8509800000000003</v>
      </c>
      <c r="EC46" s="20">
        <f>'Copper Sulphate '!CN18</f>
        <v>2.9820500000000001</v>
      </c>
      <c r="ED46" s="20">
        <f>'Copper Sulphate '!CO18</f>
        <v>2.9302850000000005</v>
      </c>
      <c r="EE46" s="20">
        <f>'Copper Sulphate '!CP18</f>
        <v>3.0715550000000005</v>
      </c>
      <c r="EF46" s="20">
        <f>'Copper Sulphate '!CQ18</f>
        <v>2.9392100000000005</v>
      </c>
      <c r="EG46" s="20">
        <f>'Copper Sulphate '!CR18</f>
        <v>2.8599050000000004</v>
      </c>
      <c r="EH46" s="20">
        <f>'Copper Sulphate '!CS18</f>
        <v>2.7849350000000004</v>
      </c>
      <c r="EI46" s="20">
        <f>'Copper Sulphate '!CT18</f>
        <v>2.7874850000000002</v>
      </c>
      <c r="EJ46" s="20">
        <f>'Copper Sulphate '!CU18</f>
        <v>2.7341900000000003</v>
      </c>
      <c r="EK46" s="20">
        <f>'Copper Sulphate '!CV18</f>
        <v>2.8596500000000007</v>
      </c>
      <c r="EL46" s="20">
        <f>'Copper Sulphate '!CW18</f>
        <v>2.7879950000000004</v>
      </c>
      <c r="EM46" s="20">
        <f>'Copper Sulphate '!CX18</f>
        <v>2.6612600000000004</v>
      </c>
      <c r="EN46" s="20">
        <f>'Copper Sulphate '!CY18</f>
        <v>2.63219</v>
      </c>
      <c r="EO46" s="20">
        <f>'Copper Sulphate '!CZ18</f>
        <v>2.5383500000000003</v>
      </c>
      <c r="EP46" s="20">
        <f>'Copper Sulphate '!DA18</f>
        <v>2.5806800000000001</v>
      </c>
      <c r="EQ46" s="20">
        <f>'Copper Sulphate '!DB18</f>
        <v>2.6031200000000005</v>
      </c>
      <c r="ER46" s="20">
        <f>'Copper Sulphate '!DC18</f>
        <v>2.6533550000000004</v>
      </c>
      <c r="ES46" s="20">
        <f>'Copper Sulphate '!DD18</f>
        <v>2.6222450000000004</v>
      </c>
      <c r="ET46" s="20">
        <f>'Copper Sulphate '!DE18</f>
        <v>2.6207150000000001</v>
      </c>
      <c r="EU46" s="20">
        <f>'Copper Sulphate '!DF18</f>
        <v>2.692625</v>
      </c>
      <c r="EV46" s="20">
        <f>'Copper Sulphate '!DG18</f>
        <v>2.8438400000000001</v>
      </c>
      <c r="EW46" s="20">
        <f>'Copper Sulphate '!DH18</f>
        <v>2.7765200000000005</v>
      </c>
      <c r="EX46" s="20">
        <f>'Copper Sulphate '!DI18</f>
        <v>2.7502550000000006</v>
      </c>
      <c r="EY46" s="20">
        <f>'Copper Sulphate '!DJ18</f>
        <v>2.7242450000000002</v>
      </c>
      <c r="EZ46" s="20">
        <f>'Copper Sulphate '!DK18</f>
        <v>2.7209300000000005</v>
      </c>
      <c r="FA46" s="20">
        <f>'Copper Sulphate '!DL18</f>
        <v>2.7474500000000002</v>
      </c>
      <c r="FB46" s="20">
        <f>'Copper Sulphate '!DM18</f>
        <v>2.6829350000000001</v>
      </c>
      <c r="FC46" s="20">
        <f>'Copper Sulphate '!DN18</f>
        <v>2.5750700000000002</v>
      </c>
      <c r="FD46" s="20">
        <f>'Copper Sulphate '!DO18</f>
        <v>2.5878200000000002</v>
      </c>
      <c r="FE46" s="20">
        <f>'Copper Sulphate '!DP18</f>
        <v>2.6036300000000003</v>
      </c>
      <c r="FF46" s="20">
        <f>'Copper Sulphate '!DQ18</f>
        <v>2.6286200000000002</v>
      </c>
      <c r="FG46" s="20">
        <f>'Copper Sulphate '!DR18</f>
        <v>2.6161250000000007</v>
      </c>
      <c r="FH46" s="20">
        <f>'Copper Sulphate '!DS18</f>
        <v>2.5964900000000006</v>
      </c>
    </row>
    <row r="47" spans="1:164">
      <c r="A47" s="8" t="s">
        <v>207</v>
      </c>
      <c r="B47" s="263" t="s">
        <v>247</v>
      </c>
      <c r="C47" s="19">
        <f t="shared" ref="C47:J48" si="62">+CG47-CH47</f>
        <v>0.15515512820512578</v>
      </c>
      <c r="D47" s="19">
        <f t="shared" si="62"/>
        <v>-3.774999999999995E-2</v>
      </c>
      <c r="E47" s="19">
        <f t="shared" si="62"/>
        <v>-1.9499999999999851E-2</v>
      </c>
      <c r="F47" s="19">
        <f t="shared" si="62"/>
        <v>0.4740000000000002</v>
      </c>
      <c r="G47" s="19">
        <f t="shared" si="62"/>
        <v>6.4999999999999503E-3</v>
      </c>
      <c r="H47" s="19">
        <f t="shared" si="62"/>
        <v>7.2999999999999954E-2</v>
      </c>
      <c r="I47" s="19">
        <f t="shared" si="62"/>
        <v>5.3999999999999826E-2</v>
      </c>
      <c r="J47" s="19">
        <f t="shared" si="62"/>
        <v>-0.57599999999999962</v>
      </c>
      <c r="K47" s="19">
        <f t="shared" si="44"/>
        <v>0</v>
      </c>
      <c r="L47" s="19">
        <f t="shared" si="1"/>
        <v>0</v>
      </c>
      <c r="M47" s="19">
        <f t="shared" si="2"/>
        <v>6.7899999999999849E-2</v>
      </c>
      <c r="N47" s="19">
        <f t="shared" si="3"/>
        <v>0</v>
      </c>
      <c r="O47" s="19">
        <f t="shared" si="4"/>
        <v>0</v>
      </c>
      <c r="P47" s="19">
        <f t="shared" si="5"/>
        <v>0</v>
      </c>
      <c r="Q47" s="19">
        <f t="shared" si="5"/>
        <v>-0.3116500000000002</v>
      </c>
      <c r="R47" s="19">
        <f t="shared" si="6"/>
        <v>0</v>
      </c>
      <c r="S47" s="19">
        <f t="shared" si="7"/>
        <v>0</v>
      </c>
      <c r="T47" s="19">
        <f t="shared" si="8"/>
        <v>0</v>
      </c>
      <c r="U47" s="19">
        <f t="shared" si="8"/>
        <v>-0.11609999999999987</v>
      </c>
      <c r="V47" s="19">
        <f t="shared" si="8"/>
        <v>0</v>
      </c>
      <c r="W47" s="19">
        <f t="shared" si="8"/>
        <v>0</v>
      </c>
      <c r="X47" s="19">
        <f t="shared" si="55"/>
        <v>0</v>
      </c>
      <c r="Y47" s="19">
        <f t="shared" si="55"/>
        <v>0.10659999999999981</v>
      </c>
      <c r="Z47" s="19">
        <f t="shared" si="9"/>
        <v>0</v>
      </c>
      <c r="AA47" s="19">
        <f t="shared" si="10"/>
        <v>0</v>
      </c>
      <c r="AB47" s="19">
        <f t="shared" si="10"/>
        <v>0</v>
      </c>
      <c r="AC47" s="19">
        <f t="shared" si="10"/>
        <v>0</v>
      </c>
      <c r="AD47" s="19">
        <f t="shared" si="10"/>
        <v>1.9500000000000295E-2</v>
      </c>
      <c r="AE47" s="19">
        <f t="shared" si="11"/>
        <v>0</v>
      </c>
      <c r="AF47" s="19">
        <f t="shared" si="11"/>
        <v>0</v>
      </c>
      <c r="AG47" s="19">
        <f t="shared" si="12"/>
        <v>3.4999999999998366E-3</v>
      </c>
      <c r="AH47" s="19">
        <f t="shared" si="13"/>
        <v>0</v>
      </c>
      <c r="AI47" s="19">
        <f t="shared" si="14"/>
        <v>0</v>
      </c>
      <c r="AJ47" s="19">
        <f t="shared" si="15"/>
        <v>0</v>
      </c>
      <c r="AK47" s="19">
        <f t="shared" si="16"/>
        <v>0</v>
      </c>
      <c r="AL47" s="19">
        <f t="shared" si="16"/>
        <v>0</v>
      </c>
      <c r="AM47" s="19">
        <f t="shared" si="17"/>
        <v>0</v>
      </c>
      <c r="AN47" s="19">
        <f t="shared" si="18"/>
        <v>0</v>
      </c>
      <c r="AO47" s="19">
        <f t="shared" si="19"/>
        <v>-4.074999999999962E-2</v>
      </c>
      <c r="AP47" s="19">
        <f t="shared" si="20"/>
        <v>0</v>
      </c>
      <c r="AQ47" s="19">
        <f t="shared" si="20"/>
        <v>0</v>
      </c>
      <c r="AR47" s="19">
        <f t="shared" si="20"/>
        <v>0</v>
      </c>
      <c r="AS47" s="19">
        <f t="shared" si="21"/>
        <v>-4.3000000000000149E-2</v>
      </c>
      <c r="AT47" s="19">
        <f t="shared" si="22"/>
        <v>0</v>
      </c>
      <c r="AU47" s="60" t="s">
        <v>295</v>
      </c>
      <c r="AV47" s="19">
        <f t="shared" si="23"/>
        <v>0</v>
      </c>
      <c r="AW47" s="19">
        <f t="shared" si="24"/>
        <v>0</v>
      </c>
      <c r="AX47" s="19">
        <f t="shared" si="25"/>
        <v>-4.0000000000000036E-3</v>
      </c>
      <c r="AY47" s="19">
        <f t="shared" si="26"/>
        <v>0</v>
      </c>
      <c r="AZ47" s="19">
        <f t="shared" si="27"/>
        <v>0</v>
      </c>
      <c r="BA47" s="19">
        <f t="shared" si="28"/>
        <v>0</v>
      </c>
      <c r="BB47" s="19">
        <f t="shared" si="61"/>
        <v>0</v>
      </c>
      <c r="BC47" s="19">
        <f t="shared" si="30"/>
        <v>-0.97350000000000003</v>
      </c>
      <c r="BD47" s="19">
        <f t="shared" si="31"/>
        <v>1</v>
      </c>
      <c r="BE47" s="19">
        <f t="shared" si="32"/>
        <v>0</v>
      </c>
      <c r="BF47" s="19">
        <f t="shared" si="33"/>
        <v>0</v>
      </c>
      <c r="BG47" s="19">
        <f t="shared" si="33"/>
        <v>0</v>
      </c>
      <c r="BH47" s="19">
        <f t="shared" si="56"/>
        <v>0</v>
      </c>
      <c r="BI47" s="19">
        <f t="shared" si="57"/>
        <v>0</v>
      </c>
      <c r="BJ47" s="19">
        <f t="shared" si="35"/>
        <v>0</v>
      </c>
      <c r="BK47" s="19">
        <f t="shared" si="36"/>
        <v>3.4999999999998366E-3</v>
      </c>
      <c r="BL47" s="19">
        <f t="shared" si="45"/>
        <v>0</v>
      </c>
      <c r="BM47" s="19">
        <f t="shared" si="45"/>
        <v>0</v>
      </c>
      <c r="BN47" s="19">
        <f t="shared" si="45"/>
        <v>0</v>
      </c>
      <c r="BO47" s="19">
        <f t="shared" si="45"/>
        <v>2.0750000000000046E-2</v>
      </c>
      <c r="BP47" s="19">
        <f t="shared" si="58"/>
        <v>0</v>
      </c>
      <c r="BQ47" s="19">
        <f t="shared" si="58"/>
        <v>0</v>
      </c>
      <c r="BR47" s="19">
        <f t="shared" si="58"/>
        <v>0</v>
      </c>
      <c r="BS47" s="19">
        <f t="shared" si="38"/>
        <v>3.5449999999999982E-2</v>
      </c>
      <c r="BT47" s="19">
        <f t="shared" si="46"/>
        <v>0</v>
      </c>
      <c r="BU47" s="19">
        <f t="shared" si="59"/>
        <v>0</v>
      </c>
      <c r="BV47" s="19">
        <f t="shared" si="60"/>
        <v>0</v>
      </c>
      <c r="BW47" s="19">
        <f t="shared" si="40"/>
        <v>1.3178000000000001</v>
      </c>
      <c r="BX47" s="19">
        <f t="shared" si="41"/>
        <v>0</v>
      </c>
      <c r="BY47" s="19">
        <f t="shared" si="41"/>
        <v>0</v>
      </c>
      <c r="BZ47" s="19">
        <f t="shared" si="41"/>
        <v>0</v>
      </c>
      <c r="CA47" s="19">
        <f t="shared" si="41"/>
        <v>0</v>
      </c>
      <c r="CB47" s="19">
        <f t="shared" si="42"/>
        <v>0</v>
      </c>
      <c r="CC47" s="19">
        <f t="shared" si="42"/>
        <v>0</v>
      </c>
      <c r="CD47" s="19">
        <f t="shared" si="42"/>
        <v>0</v>
      </c>
      <c r="CE47" s="65"/>
      <c r="CG47" s="20">
        <f t="shared" si="47"/>
        <v>3.0064051282051261</v>
      </c>
      <c r="CH47" s="20">
        <f>'Dodiflow 57501'!AS18</f>
        <v>2.8512500000000003</v>
      </c>
      <c r="CI47" s="20">
        <f>'Dodiflow 57501'!AT18</f>
        <v>2.8890000000000002</v>
      </c>
      <c r="CJ47" s="20">
        <f>'Dodiflow 57501'!AU18</f>
        <v>2.9085000000000001</v>
      </c>
      <c r="CK47" s="20">
        <f>'Dodiflow 57501'!AV18</f>
        <v>2.4344999999999999</v>
      </c>
      <c r="CL47" s="20">
        <f>'Dodiflow 57501'!AW18</f>
        <v>2.4279999999999999</v>
      </c>
      <c r="CM47" s="20">
        <f>'Dodiflow 57501'!AX18</f>
        <v>2.355</v>
      </c>
      <c r="CN47" s="20">
        <f>'Dodiflow 57501'!AY18</f>
        <v>2.3010000000000002</v>
      </c>
      <c r="CO47" s="20">
        <f>'Dodiflow 57501'!AZ18</f>
        <v>2.8769999999999998</v>
      </c>
      <c r="CP47" s="20">
        <f>'Dodiflow 57501'!BA18</f>
        <v>2.8769999999999998</v>
      </c>
      <c r="CQ47" s="20">
        <f>'Dodiflow 57501'!BB18</f>
        <v>2.8769999999999998</v>
      </c>
      <c r="CR47" s="20">
        <f>'Dodiflow 57501'!BC18</f>
        <v>2.8090999999999999</v>
      </c>
      <c r="CS47" s="20">
        <f>'Dodiflow 57501'!BD18</f>
        <v>2.8090999999999999</v>
      </c>
      <c r="CT47" s="20">
        <f>'Dodiflow 57501'!BE18</f>
        <v>2.8090999999999999</v>
      </c>
      <c r="CU47" s="20">
        <f>'Dodiflow 57501'!BF18</f>
        <v>2.8090999999999999</v>
      </c>
      <c r="CV47" s="20">
        <f>'Dodiflow 57501'!BG18</f>
        <v>3.1207500000000001</v>
      </c>
      <c r="CW47" s="20">
        <f>'Dodiflow 57501'!BH18</f>
        <v>3.1207500000000001</v>
      </c>
      <c r="CX47" s="20">
        <f>'Dodiflow 57501'!BI18</f>
        <v>3.1207500000000001</v>
      </c>
      <c r="CY47" s="20">
        <f>'Dodiflow 57501'!BJ18</f>
        <v>3.1207500000000001</v>
      </c>
      <c r="CZ47" s="20">
        <f>'Dodiflow 57501'!BK18</f>
        <v>3.23685</v>
      </c>
      <c r="DA47" s="20">
        <f>'Dodiflow 57501'!BL18</f>
        <v>3.23685</v>
      </c>
      <c r="DB47" s="20">
        <f>'Dodiflow 57501'!BM18</f>
        <v>3.23685</v>
      </c>
      <c r="DC47" s="20">
        <f>'Dodiflow 57501'!BN18</f>
        <v>3.23685</v>
      </c>
      <c r="DD47" s="20">
        <f>'Dodiflow 57501'!BO18</f>
        <v>3.1302500000000002</v>
      </c>
      <c r="DE47" s="20">
        <f>'Dodiflow 57501'!BP18</f>
        <v>3.1302500000000002</v>
      </c>
      <c r="DF47" s="20">
        <f>'Dodiflow 57501'!BQ18</f>
        <v>3.1302500000000002</v>
      </c>
      <c r="DG47" s="20">
        <f>'Dodiflow 57501'!BR18</f>
        <v>3.1302500000000002</v>
      </c>
      <c r="DH47" s="20">
        <f>'Dodiflow 57501'!BS18</f>
        <v>3.1302500000000002</v>
      </c>
      <c r="DI47" s="20">
        <f>'Dodiflow 57501'!BT18</f>
        <v>3.1107499999999999</v>
      </c>
      <c r="DJ47" s="20">
        <f>'Dodiflow 57501'!BU18</f>
        <v>3.1107499999999999</v>
      </c>
      <c r="DK47" s="20">
        <f>'Dodiflow 57501'!BV18</f>
        <v>3.1107499999999999</v>
      </c>
      <c r="DL47" s="20">
        <f>'Dodiflow 57501'!BW18</f>
        <v>3.1072500000000001</v>
      </c>
      <c r="DM47" s="20">
        <f>'Dodiflow 57501'!BX18</f>
        <v>3.1072500000000001</v>
      </c>
      <c r="DN47" s="20">
        <f>'Dodiflow 57501'!BY18</f>
        <v>3.1072500000000001</v>
      </c>
      <c r="DO47" s="20">
        <f>'Dodiflow 57501'!BZ18</f>
        <v>3.1072500000000001</v>
      </c>
      <c r="DP47" s="20">
        <f>'Dodiflow 57501'!CA18</f>
        <v>3.1072500000000001</v>
      </c>
      <c r="DQ47" s="20">
        <f>'Dodiflow 57501'!CB18</f>
        <v>3.1072500000000001</v>
      </c>
      <c r="DR47" s="20">
        <f>'Dodiflow 57501'!CC18</f>
        <v>3.1072500000000001</v>
      </c>
      <c r="DS47" s="20">
        <f>'Dodiflow 57501'!CD18</f>
        <v>3.1072500000000001</v>
      </c>
      <c r="DT47" s="20">
        <f>'Dodiflow 57501'!CE18</f>
        <v>3.1479999999999997</v>
      </c>
      <c r="DU47" s="20">
        <f>'Dodiflow 57501'!CF18</f>
        <v>3.1479999999999997</v>
      </c>
      <c r="DV47" s="20">
        <f>'Dodiflow 57501'!CG18</f>
        <v>3.1479999999999997</v>
      </c>
      <c r="DW47" s="20">
        <f>'Dodiflow 57501'!CH18</f>
        <v>3.1479999999999997</v>
      </c>
      <c r="DX47" s="20">
        <f>'Dodiflow 57501'!CI18</f>
        <v>3.1909999999999998</v>
      </c>
      <c r="DY47" s="20">
        <f>'Dodiflow 57501'!CJ18</f>
        <v>3.1909999999999998</v>
      </c>
      <c r="DZ47" s="20">
        <f>'Dodiflow 57501'!CK18</f>
        <v>3.1909999999999998</v>
      </c>
      <c r="EA47" s="20">
        <f>'Dodiflow 57501'!CL18</f>
        <v>3.1909999999999998</v>
      </c>
      <c r="EB47" s="20">
        <f>'Dodiflow 57501'!CM18</f>
        <v>3.1949999999999998</v>
      </c>
      <c r="EC47" s="20">
        <f>'Dodiflow 57501'!CN18</f>
        <v>3.1949999999999998</v>
      </c>
      <c r="ED47" s="20">
        <f>'Dodiflow 57501'!CO18</f>
        <v>3.1949999999999998</v>
      </c>
      <c r="EE47" s="20">
        <f>'Dodiflow 57501'!CP18</f>
        <v>3.1949999999999998</v>
      </c>
      <c r="EF47" s="20">
        <f>'Dodiflow 57501'!CQ18</f>
        <v>3.1949999999999998</v>
      </c>
      <c r="EG47" s="20">
        <f>'Dodiflow 57501'!CR18</f>
        <v>4.1684999999999999</v>
      </c>
      <c r="EH47" s="20">
        <f>'Dodiflow 57501'!CS18</f>
        <v>3.1684999999999999</v>
      </c>
      <c r="EI47" s="20">
        <f>'Dodiflow 57501'!CT18</f>
        <v>3.1684999999999999</v>
      </c>
      <c r="EJ47" s="20">
        <f>'Dodiflow 57501'!CU18</f>
        <v>3.1684999999999999</v>
      </c>
      <c r="EK47" s="20">
        <f>'Dodiflow 57501'!CV18</f>
        <v>3.1684999999999999</v>
      </c>
      <c r="EL47" s="20">
        <f>'Dodiflow 57501'!CW18</f>
        <v>3.1684999999999999</v>
      </c>
      <c r="EM47" s="20">
        <f>'Dodiflow 57501'!CX18</f>
        <v>3.1684999999999999</v>
      </c>
      <c r="EN47" s="20">
        <f>'Dodiflow 57501'!CY18</f>
        <v>3.1684999999999999</v>
      </c>
      <c r="EO47" s="20">
        <f>'Dodiflow 57501'!CZ18</f>
        <v>3.165</v>
      </c>
      <c r="EP47" s="20">
        <f>'Dodiflow 57501'!DA18</f>
        <v>3.165</v>
      </c>
      <c r="EQ47" s="20">
        <f>'Dodiflow 57501'!DB18</f>
        <v>3.165</v>
      </c>
      <c r="ER47" s="20">
        <f>'Dodiflow 57501'!DC18</f>
        <v>3.165</v>
      </c>
      <c r="ES47" s="20">
        <f>'Dodiflow 57501'!DD18</f>
        <v>3.14425</v>
      </c>
      <c r="ET47" s="20">
        <f>'Dodiflow 57501'!DE18</f>
        <v>3.14425</v>
      </c>
      <c r="EU47" s="20">
        <f>'Dodiflow 57501'!DF18</f>
        <v>3.14425</v>
      </c>
      <c r="EV47" s="20">
        <f>'Dodiflow 57501'!DG18</f>
        <v>3.14425</v>
      </c>
      <c r="EW47" s="20">
        <f>'Dodiflow 57501'!DH18</f>
        <v>3.1088</v>
      </c>
      <c r="EX47" s="20">
        <f>'Dodiflow 57501'!DI18</f>
        <v>3.1088</v>
      </c>
      <c r="EY47" s="20">
        <f>'Dodiflow 57501'!DJ18</f>
        <v>3.1088</v>
      </c>
      <c r="EZ47" s="20">
        <f>'Dodiflow 57501'!DK18</f>
        <v>3.1088</v>
      </c>
      <c r="FA47" s="20">
        <f>'Dodiflow 57501'!DL18</f>
        <v>1.7909999999999999</v>
      </c>
      <c r="FB47" s="20">
        <f>'Dodiflow 57501'!DM18</f>
        <v>1.7909999999999999</v>
      </c>
      <c r="FC47" s="20">
        <f>'Dodiflow 57501'!DN18</f>
        <v>1.7909999999999999</v>
      </c>
      <c r="FD47" s="20">
        <f>'Dodiflow 57501'!DO18</f>
        <v>1.7909999999999999</v>
      </c>
      <c r="FE47" s="20">
        <f>'Dodiflow 57501'!DP18</f>
        <v>1.7909999999999999</v>
      </c>
      <c r="FF47" s="20">
        <f>'Dodiflow 57501'!DQ18</f>
        <v>1.7909999999999999</v>
      </c>
      <c r="FG47" s="20">
        <f>'Dodiflow 57501'!DR18</f>
        <v>1.7909999999999999</v>
      </c>
      <c r="FH47" s="20">
        <f>'Dodiflow 57501'!DS18</f>
        <v>1.7909999999999999</v>
      </c>
    </row>
    <row r="48" spans="1:164">
      <c r="A48" s="8" t="s">
        <v>248</v>
      </c>
      <c r="B48" s="263" t="s">
        <v>249</v>
      </c>
      <c r="C48" s="19">
        <f t="shared" si="62"/>
        <v>-0.10269230769230753</v>
      </c>
      <c r="D48" s="19">
        <f t="shared" si="62"/>
        <v>-1.0000000000000009E-2</v>
      </c>
      <c r="E48" s="19">
        <f t="shared" si="62"/>
        <v>6.9999999999999951E-2</v>
      </c>
      <c r="F48" s="19">
        <f t="shared" si="62"/>
        <v>-1.0000000000000009E-2</v>
      </c>
      <c r="G48" s="19">
        <f t="shared" si="62"/>
        <v>-1.0000000000000009E-2</v>
      </c>
      <c r="H48" s="19">
        <f t="shared" si="62"/>
        <v>3.0000000000000027E-2</v>
      </c>
      <c r="I48" s="19">
        <f t="shared" si="62"/>
        <v>3.0000000000000027E-2</v>
      </c>
      <c r="J48" s="19">
        <f t="shared" si="62"/>
        <v>0</v>
      </c>
      <c r="K48" s="19">
        <f t="shared" si="44"/>
        <v>-1.5000000000000013E-2</v>
      </c>
      <c r="L48" s="19">
        <f t="shared" si="1"/>
        <v>-2.5000000000000022E-2</v>
      </c>
      <c r="M48" s="19">
        <f t="shared" si="2"/>
        <v>-5.0000000000000044E-3</v>
      </c>
      <c r="N48" s="19">
        <f t="shared" si="3"/>
        <v>0</v>
      </c>
      <c r="O48" s="19">
        <f t="shared" si="4"/>
        <v>5.0000000000000044E-3</v>
      </c>
      <c r="P48" s="19">
        <f t="shared" si="5"/>
        <v>1.5000000000000013E-2</v>
      </c>
      <c r="Q48" s="19">
        <f t="shared" si="5"/>
        <v>-1.5000000000000013E-2</v>
      </c>
      <c r="R48" s="19">
        <f t="shared" si="6"/>
        <v>2.0000000000000018E-2</v>
      </c>
      <c r="S48" s="19">
        <f t="shared" si="7"/>
        <v>5.0000000000000044E-3</v>
      </c>
      <c r="T48" s="19">
        <f t="shared" si="8"/>
        <v>0</v>
      </c>
      <c r="U48" s="19">
        <f t="shared" si="8"/>
        <v>0</v>
      </c>
      <c r="V48" s="19">
        <f t="shared" si="8"/>
        <v>1.0000000000000009E-2</v>
      </c>
      <c r="W48" s="19">
        <f t="shared" si="8"/>
        <v>0</v>
      </c>
      <c r="X48" s="19">
        <f t="shared" si="55"/>
        <v>1.5000000000000013E-2</v>
      </c>
      <c r="Y48" s="19">
        <f t="shared" si="55"/>
        <v>1.0000000000000009E-2</v>
      </c>
      <c r="Z48" s="19">
        <f t="shared" si="9"/>
        <v>1.0000000000000009E-2</v>
      </c>
      <c r="AA48" s="19">
        <f t="shared" si="10"/>
        <v>0</v>
      </c>
      <c r="AB48" s="19">
        <f t="shared" si="10"/>
        <v>0</v>
      </c>
      <c r="AC48" s="19">
        <f t="shared" si="10"/>
        <v>0</v>
      </c>
      <c r="AD48" s="19">
        <f t="shared" si="10"/>
        <v>0</v>
      </c>
      <c r="AE48" s="19">
        <f t="shared" si="11"/>
        <v>2.4999999999999911E-2</v>
      </c>
      <c r="AF48" s="19">
        <f t="shared" si="11"/>
        <v>0</v>
      </c>
      <c r="AG48" s="19">
        <f t="shared" si="12"/>
        <v>0</v>
      </c>
      <c r="AH48" s="19">
        <f t="shared" si="13"/>
        <v>0</v>
      </c>
      <c r="AI48" s="19">
        <f t="shared" si="14"/>
        <v>0</v>
      </c>
      <c r="AJ48" s="19">
        <f t="shared" si="15"/>
        <v>-2.9999999999999916E-2</v>
      </c>
      <c r="AK48" s="19">
        <f t="shared" si="16"/>
        <v>0</v>
      </c>
      <c r="AL48" s="19">
        <f t="shared" si="16"/>
        <v>0</v>
      </c>
      <c r="AM48" s="19">
        <f t="shared" si="17"/>
        <v>0</v>
      </c>
      <c r="AN48" s="19">
        <f t="shared" si="18"/>
        <v>-1.0000000000000009E-2</v>
      </c>
      <c r="AO48" s="19">
        <f t="shared" si="19"/>
        <v>0</v>
      </c>
      <c r="AP48" s="19">
        <f t="shared" si="20"/>
        <v>0</v>
      </c>
      <c r="AQ48" s="19">
        <f t="shared" si="20"/>
        <v>-2.0000000000000018E-2</v>
      </c>
      <c r="AR48" s="19">
        <f t="shared" si="20"/>
        <v>-2.0000000000000018E-2</v>
      </c>
      <c r="AS48" s="19">
        <f t="shared" si="21"/>
        <v>5.0000000000000044E-3</v>
      </c>
      <c r="AT48" s="19">
        <f t="shared" si="22"/>
        <v>2.4999999999999467E-3</v>
      </c>
      <c r="AU48" s="60"/>
      <c r="AV48" s="19">
        <f t="shared" si="23"/>
        <v>0</v>
      </c>
      <c r="AW48" s="19">
        <f t="shared" si="24"/>
        <v>1.2500000000000067E-2</v>
      </c>
      <c r="AX48" s="19">
        <f t="shared" si="25"/>
        <v>0</v>
      </c>
      <c r="AY48" s="19">
        <f t="shared" si="26"/>
        <v>1.0000000000000009E-2</v>
      </c>
      <c r="AZ48" s="19">
        <f t="shared" si="27"/>
        <v>0</v>
      </c>
      <c r="BA48" s="19">
        <f t="shared" si="28"/>
        <v>0</v>
      </c>
      <c r="BB48" s="19">
        <f t="shared" si="61"/>
        <v>0</v>
      </c>
      <c r="BC48" s="19">
        <f t="shared" si="30"/>
        <v>1.0000000000000009E-2</v>
      </c>
      <c r="BD48" s="19">
        <f t="shared" si="31"/>
        <v>-2.0000000000000018E-2</v>
      </c>
      <c r="BE48" s="19">
        <f t="shared" si="32"/>
        <v>0</v>
      </c>
      <c r="BF48" s="19">
        <f t="shared" si="33"/>
        <v>-3.5000000000000031E-2</v>
      </c>
      <c r="BG48" s="19">
        <f t="shared" si="33"/>
        <v>-1.0000000000000009E-2</v>
      </c>
      <c r="BH48" s="19">
        <f t="shared" si="56"/>
        <v>0</v>
      </c>
      <c r="BI48" s="19">
        <f t="shared" si="57"/>
        <v>-2.5000000000000022E-2</v>
      </c>
      <c r="BJ48" s="19">
        <f t="shared" si="35"/>
        <v>0</v>
      </c>
      <c r="BK48" s="19">
        <f t="shared" si="36"/>
        <v>-1.0000000000000009E-2</v>
      </c>
      <c r="BL48" s="19">
        <f t="shared" si="45"/>
        <v>0</v>
      </c>
      <c r="BM48" s="19">
        <f t="shared" si="45"/>
        <v>1.0000000000000009E-2</v>
      </c>
      <c r="BN48" s="19">
        <f t="shared" si="45"/>
        <v>0</v>
      </c>
      <c r="BO48" s="19">
        <f t="shared" si="45"/>
        <v>0</v>
      </c>
      <c r="BP48" s="19">
        <f t="shared" si="58"/>
        <v>0</v>
      </c>
      <c r="BQ48" s="19">
        <f t="shared" si="58"/>
        <v>5.0000000000000044E-3</v>
      </c>
      <c r="BR48" s="19">
        <f t="shared" si="58"/>
        <v>-1.0000000000000009E-2</v>
      </c>
      <c r="BS48" s="19">
        <f t="shared" si="38"/>
        <v>-9.9999999999998979E-3</v>
      </c>
      <c r="BT48" s="19">
        <f t="shared" si="46"/>
        <v>-1.5000000000000013E-2</v>
      </c>
      <c r="BU48" s="19">
        <f t="shared" si="59"/>
        <v>-8.5000000000000075E-2</v>
      </c>
      <c r="BV48" s="19">
        <f t="shared" si="60"/>
        <v>0</v>
      </c>
      <c r="BW48" s="19">
        <f t="shared" si="40"/>
        <v>-1.0000000000000009E-2</v>
      </c>
      <c r="BX48" s="19">
        <f t="shared" si="41"/>
        <v>1.0000000000000009E-2</v>
      </c>
      <c r="BY48" s="19">
        <f t="shared" si="41"/>
        <v>1.0000000000000009E-2</v>
      </c>
      <c r="BZ48" s="19">
        <f t="shared" si="41"/>
        <v>0</v>
      </c>
      <c r="CA48" s="19">
        <f t="shared" si="41"/>
        <v>0</v>
      </c>
      <c r="CB48" s="19">
        <f t="shared" si="42"/>
        <v>0</v>
      </c>
      <c r="CC48" s="19">
        <f t="shared" si="42"/>
        <v>-1.5000000000000013E-2</v>
      </c>
      <c r="CD48" s="19">
        <f t="shared" si="42"/>
        <v>0</v>
      </c>
      <c r="CE48" s="65"/>
      <c r="CG48" s="20">
        <f t="shared" si="47"/>
        <v>0.59730769230769243</v>
      </c>
      <c r="CH48" s="8">
        <f>'Input RM sheet'!AP82/1000</f>
        <v>0.7</v>
      </c>
      <c r="CI48" s="8">
        <f>'Input RM sheet'!AQ82/1000</f>
        <v>0.71</v>
      </c>
      <c r="CJ48" s="8">
        <f>'Input RM sheet'!AR82/1000</f>
        <v>0.64</v>
      </c>
      <c r="CK48" s="8">
        <f>'Input RM sheet'!AS82/1000</f>
        <v>0.65</v>
      </c>
      <c r="CL48" s="8">
        <f>'Input RM sheet'!AT82/1000</f>
        <v>0.66</v>
      </c>
      <c r="CM48" s="8">
        <f>'Input RM sheet'!AU82/1000</f>
        <v>0.63</v>
      </c>
      <c r="CN48" s="8">
        <f>'Input RM sheet'!AV82/1000</f>
        <v>0.6</v>
      </c>
      <c r="CO48" s="8">
        <f>'Input RM sheet'!AW82/1000</f>
        <v>0.6</v>
      </c>
      <c r="CP48" s="20">
        <f>'Input RM sheet'!AX82/1000</f>
        <v>0.61499999999999999</v>
      </c>
      <c r="CQ48" s="20">
        <f>'Input RM sheet'!AY82/1000</f>
        <v>0.64</v>
      </c>
      <c r="CR48" s="20">
        <f>'Input RM sheet'!AZ82/1000</f>
        <v>0.64500000000000002</v>
      </c>
      <c r="CS48" s="20">
        <f>'Input RM sheet'!BA82/1000</f>
        <v>0.64500000000000002</v>
      </c>
      <c r="CT48" s="20">
        <f>'Input RM sheet'!BB82/1000</f>
        <v>0.64</v>
      </c>
      <c r="CU48" s="20">
        <f>'Input RM sheet'!BC82/1000</f>
        <v>0.625</v>
      </c>
      <c r="CV48" s="20">
        <f>'Input RM sheet'!BD82/1000</f>
        <v>0.64</v>
      </c>
      <c r="CW48" s="20">
        <f>'Input RM sheet'!BE82/1000</f>
        <v>0.62</v>
      </c>
      <c r="CX48" s="20">
        <f>'Input RM sheet'!BF82/1000</f>
        <v>0.61499999999999999</v>
      </c>
      <c r="CY48" s="20">
        <f>'Input RM sheet'!BG82/1000</f>
        <v>0.61499999999999999</v>
      </c>
      <c r="CZ48" s="20">
        <f>'Input RM sheet'!BH82/1000</f>
        <v>0.61499999999999999</v>
      </c>
      <c r="DA48" s="20">
        <f>'Input RM sheet'!BI82/1000</f>
        <v>0.60499999999999998</v>
      </c>
      <c r="DB48" s="20">
        <f>'Input RM sheet'!BJ82/1000</f>
        <v>0.60499999999999998</v>
      </c>
      <c r="DC48" s="20">
        <f>'Input RM sheet'!BK82/1000</f>
        <v>0.59</v>
      </c>
      <c r="DD48" s="20">
        <f>'Input RM sheet'!BL82/1000</f>
        <v>0.57999999999999996</v>
      </c>
      <c r="DE48" s="20">
        <f>'Input RM sheet'!BM82/1000</f>
        <v>0.56999999999999995</v>
      </c>
      <c r="DF48" s="20">
        <f>'Input RM sheet'!BN82/1000</f>
        <v>0.56999999999999995</v>
      </c>
      <c r="DG48" s="20">
        <f>'Input RM sheet'!BO82/1000</f>
        <v>0.56999999999999995</v>
      </c>
      <c r="DH48" s="20">
        <f>'Input RM sheet'!BP82/1000</f>
        <v>0.56999999999999995</v>
      </c>
      <c r="DI48" s="20">
        <f>'Input RM sheet'!BQ82/1000</f>
        <v>0.56999999999999995</v>
      </c>
      <c r="DJ48" s="20">
        <f>'Input RM sheet'!BR82/1000</f>
        <v>0.54500000000000004</v>
      </c>
      <c r="DK48" s="20">
        <f>'Input RM sheet'!BS82/1000</f>
        <v>0.54500000000000004</v>
      </c>
      <c r="DL48" s="20">
        <f>'Input RM sheet'!BT82/1000</f>
        <v>0.54500000000000004</v>
      </c>
      <c r="DM48" s="20">
        <f>'Input RM sheet'!BU82/1000</f>
        <v>0.54500000000000004</v>
      </c>
      <c r="DN48" s="20">
        <f>'Input RM sheet'!BV82/1000</f>
        <v>0.54500000000000004</v>
      </c>
      <c r="DO48" s="20">
        <f>'Input RM sheet'!BW82/1000</f>
        <v>0.57499999999999996</v>
      </c>
      <c r="DP48" s="20">
        <f>'Input RM sheet'!BX82/1000</f>
        <v>0.57499999999999996</v>
      </c>
      <c r="DQ48" s="20">
        <f>'Input RM sheet'!BY82/1000</f>
        <v>0.57499999999999996</v>
      </c>
      <c r="DR48" s="20">
        <f>'Input RM sheet'!BZ82/1000</f>
        <v>0.57499999999999996</v>
      </c>
      <c r="DS48" s="20">
        <f>'Input RM sheet'!CA82/1000</f>
        <v>0.58499999999999996</v>
      </c>
      <c r="DT48" s="20">
        <f>'Input RM sheet'!CB82/1000</f>
        <v>0.58499999999999996</v>
      </c>
      <c r="DU48" s="20">
        <f>'Input RM sheet'!CC82/1000</f>
        <v>0.58499999999999996</v>
      </c>
      <c r="DV48" s="20">
        <f>'Input RM sheet'!CD82/1000</f>
        <v>0.60499999999999998</v>
      </c>
      <c r="DW48" s="20">
        <f>'Input RM sheet'!CE82/1000</f>
        <v>0.625</v>
      </c>
      <c r="DX48" s="20">
        <f>'Input RM sheet'!CF82/1000</f>
        <v>0.62</v>
      </c>
      <c r="DY48" s="20">
        <f>'Input RM sheet'!CG82/1000</f>
        <v>0.61750000000000005</v>
      </c>
      <c r="DZ48" s="20">
        <f>'Input RM sheet'!CH82/1000</f>
        <v>0.61750000000000005</v>
      </c>
      <c r="EA48" s="20">
        <f>'Input RM sheet'!CI82/1000</f>
        <v>0.60499999999999998</v>
      </c>
      <c r="EB48" s="20">
        <f>'Input RM sheet'!CJ82/1000</f>
        <v>0.60499999999999998</v>
      </c>
      <c r="EC48" s="20">
        <f>'Input RM sheet'!CK82/1000</f>
        <v>0.59499999999999997</v>
      </c>
      <c r="ED48" s="20">
        <f>'Input RM sheet'!CL82/1000</f>
        <v>0.59499999999999997</v>
      </c>
      <c r="EE48" s="20">
        <f>'Input RM sheet'!CM82/1000</f>
        <v>0.59499999999999997</v>
      </c>
      <c r="EF48" s="20">
        <f>'Input RM sheet'!CN82/1000</f>
        <v>0.59499999999999997</v>
      </c>
      <c r="EG48" s="20">
        <f>'Input RM sheet'!CO82/1000</f>
        <v>0.58499999999999996</v>
      </c>
      <c r="EH48" s="20">
        <f>'Input RM sheet'!CP82/1000</f>
        <v>0.60499999999999998</v>
      </c>
      <c r="EI48" s="20">
        <f>'Input RM sheet'!CQ82/1000</f>
        <v>0.60499999999999998</v>
      </c>
      <c r="EJ48" s="20">
        <f>'Input RM sheet'!CR82/1000</f>
        <v>0.64</v>
      </c>
      <c r="EK48" s="20">
        <f>'Input RM sheet'!CS82/1000</f>
        <v>0.65</v>
      </c>
      <c r="EL48" s="20">
        <f>'Input RM sheet'!CT82/1000</f>
        <v>0.65</v>
      </c>
      <c r="EM48" s="20">
        <f>'Input RM sheet'!CU82/1000</f>
        <v>0.67500000000000004</v>
      </c>
      <c r="EN48" s="20">
        <f>'Input RM sheet'!CV82/1000</f>
        <v>0.67500000000000004</v>
      </c>
      <c r="EO48" s="20">
        <f>'Input RM sheet'!CW82/1000</f>
        <v>0.68500000000000005</v>
      </c>
      <c r="EP48" s="20">
        <f>'Input RM sheet'!CX82/1000</f>
        <v>0.68500000000000005</v>
      </c>
      <c r="EQ48" s="20">
        <f>'Input RM sheet'!CY82/1000</f>
        <v>0.67500000000000004</v>
      </c>
      <c r="ER48" s="20">
        <f>'Input RM sheet'!CZ82/1000</f>
        <v>0.67500000000000004</v>
      </c>
      <c r="ES48" s="20">
        <f>'Input RM sheet'!DA82/1000</f>
        <v>0.67500000000000004</v>
      </c>
      <c r="ET48" s="20">
        <f>'Input RM sheet'!DB82/1000</f>
        <v>0.67500000000000004</v>
      </c>
      <c r="EU48" s="20">
        <f>'Input RM sheet'!DC82/1000</f>
        <v>0.67</v>
      </c>
      <c r="EV48" s="20">
        <f>'Input RM sheet'!DD82/1000</f>
        <v>0.68</v>
      </c>
      <c r="EW48" s="20">
        <f>'Input RM sheet'!DE82/1000</f>
        <v>0.69</v>
      </c>
      <c r="EX48" s="20">
        <f>'Input RM sheet'!DF82/1000</f>
        <v>0.70499999999999996</v>
      </c>
      <c r="EY48" s="20">
        <f>'Input RM sheet'!DG82/1000</f>
        <v>0.79</v>
      </c>
      <c r="EZ48" s="20">
        <f>'Input RM sheet'!DH82/1000</f>
        <v>0.79</v>
      </c>
      <c r="FA48" s="20">
        <f>'Input RM sheet'!DI82/1000</f>
        <v>0.8</v>
      </c>
      <c r="FB48" s="20">
        <f>'Input RM sheet'!DJ82/1000</f>
        <v>0.79</v>
      </c>
      <c r="FC48" s="20">
        <f>'Input RM sheet'!DK82/1000</f>
        <v>0.78</v>
      </c>
      <c r="FD48" s="20">
        <f>'Input RM sheet'!DL82/1000</f>
        <v>0.78</v>
      </c>
      <c r="FE48" s="20">
        <f>'Input RM sheet'!DM82/1000</f>
        <v>0.78</v>
      </c>
      <c r="FF48" s="20">
        <f>'Input RM sheet'!DN82/1000</f>
        <v>0.78</v>
      </c>
      <c r="FG48" s="20">
        <f>'Input RM sheet'!DO82/1000</f>
        <v>0.79500000000000004</v>
      </c>
      <c r="FH48" s="20">
        <f>'Input RM sheet'!DP82/1000</f>
        <v>0.79500000000000004</v>
      </c>
    </row>
    <row r="49" spans="1:164" hidden="1">
      <c r="A49" s="8" t="s">
        <v>248</v>
      </c>
      <c r="B49" s="263" t="s">
        <v>250</v>
      </c>
      <c r="I49" s="19">
        <f>+CM49-CN49</f>
        <v>0</v>
      </c>
      <c r="K49" s="19">
        <f t="shared" si="44"/>
        <v>0</v>
      </c>
      <c r="L49" s="19">
        <f t="shared" si="1"/>
        <v>0</v>
      </c>
      <c r="M49" s="19">
        <f t="shared" si="2"/>
        <v>0</v>
      </c>
      <c r="N49" s="19">
        <f t="shared" si="3"/>
        <v>0</v>
      </c>
      <c r="O49" s="19">
        <f t="shared" si="4"/>
        <v>0</v>
      </c>
      <c r="P49" s="19">
        <f t="shared" si="5"/>
        <v>0</v>
      </c>
      <c r="Q49" s="19">
        <f t="shared" si="5"/>
        <v>0</v>
      </c>
      <c r="R49" s="19">
        <f t="shared" si="6"/>
        <v>0</v>
      </c>
      <c r="S49" s="19">
        <f t="shared" si="7"/>
        <v>0</v>
      </c>
      <c r="T49" s="19">
        <f t="shared" si="8"/>
        <v>0</v>
      </c>
      <c r="U49" s="19">
        <f t="shared" si="8"/>
        <v>0</v>
      </c>
      <c r="V49" s="19">
        <f t="shared" si="8"/>
        <v>0</v>
      </c>
      <c r="W49" s="19">
        <f t="shared" si="8"/>
        <v>0</v>
      </c>
      <c r="X49" s="19">
        <f t="shared" si="55"/>
        <v>0</v>
      </c>
      <c r="Y49" s="19">
        <f t="shared" si="55"/>
        <v>0</v>
      </c>
      <c r="Z49" s="19">
        <f t="shared" si="9"/>
        <v>0</v>
      </c>
      <c r="AA49" s="19">
        <f t="shared" si="10"/>
        <v>0</v>
      </c>
      <c r="AB49" s="19">
        <f t="shared" si="10"/>
        <v>0</v>
      </c>
      <c r="AC49" s="19">
        <f t="shared" si="10"/>
        <v>0</v>
      </c>
      <c r="AD49" s="19">
        <f t="shared" si="10"/>
        <v>0</v>
      </c>
      <c r="AE49" s="19">
        <f t="shared" si="11"/>
        <v>0</v>
      </c>
      <c r="AF49" s="19">
        <f t="shared" si="11"/>
        <v>0</v>
      </c>
      <c r="AG49" s="19">
        <f t="shared" si="12"/>
        <v>0</v>
      </c>
      <c r="AH49" s="19">
        <f t="shared" si="13"/>
        <v>0</v>
      </c>
      <c r="AI49" s="19">
        <f t="shared" si="14"/>
        <v>0</v>
      </c>
      <c r="AJ49" s="19">
        <f t="shared" si="15"/>
        <v>0</v>
      </c>
      <c r="AK49" s="19">
        <f t="shared" si="16"/>
        <v>0</v>
      </c>
      <c r="AL49" s="19">
        <f t="shared" si="16"/>
        <v>0</v>
      </c>
      <c r="AM49" s="19">
        <f t="shared" si="17"/>
        <v>0</v>
      </c>
      <c r="AN49" s="19">
        <f t="shared" si="18"/>
        <v>0</v>
      </c>
      <c r="AO49" s="19">
        <f t="shared" si="19"/>
        <v>0</v>
      </c>
      <c r="AP49" s="19">
        <f t="shared" si="20"/>
        <v>0</v>
      </c>
      <c r="AQ49" s="19">
        <f t="shared" si="20"/>
        <v>0</v>
      </c>
      <c r="AR49" s="19">
        <f t="shared" si="20"/>
        <v>0</v>
      </c>
      <c r="AS49" s="19">
        <f t="shared" si="21"/>
        <v>0</v>
      </c>
      <c r="AT49" s="19">
        <f t="shared" si="22"/>
        <v>0</v>
      </c>
      <c r="AU49" s="60"/>
      <c r="AV49" s="19">
        <f t="shared" si="23"/>
        <v>0</v>
      </c>
      <c r="AW49" s="19">
        <f t="shared" si="24"/>
        <v>0</v>
      </c>
      <c r="AX49" s="19">
        <f t="shared" si="25"/>
        <v>0</v>
      </c>
      <c r="AY49" s="19">
        <f t="shared" si="26"/>
        <v>0</v>
      </c>
      <c r="AZ49" s="19">
        <f t="shared" si="27"/>
        <v>0</v>
      </c>
      <c r="BA49" s="19">
        <f t="shared" si="28"/>
        <v>0</v>
      </c>
      <c r="BB49" s="19">
        <f t="shared" si="61"/>
        <v>0</v>
      </c>
      <c r="BC49" s="19">
        <f t="shared" si="30"/>
        <v>0</v>
      </c>
      <c r="BD49" s="19">
        <f t="shared" si="31"/>
        <v>0</v>
      </c>
      <c r="BE49" s="19">
        <f t="shared" si="32"/>
        <v>0</v>
      </c>
      <c r="BF49" s="19">
        <f t="shared" si="33"/>
        <v>0</v>
      </c>
      <c r="BG49" s="19">
        <f t="shared" si="33"/>
        <v>0</v>
      </c>
      <c r="BH49" s="19">
        <f t="shared" si="56"/>
        <v>0</v>
      </c>
      <c r="BI49" s="19">
        <f t="shared" si="57"/>
        <v>0</v>
      </c>
      <c r="BJ49" s="19">
        <f t="shared" si="35"/>
        <v>0</v>
      </c>
      <c r="BK49" s="19">
        <f t="shared" si="36"/>
        <v>0</v>
      </c>
      <c r="BL49" s="19">
        <f t="shared" si="45"/>
        <v>0</v>
      </c>
      <c r="BM49" s="19">
        <f t="shared" si="45"/>
        <v>0</v>
      </c>
      <c r="BN49" s="19">
        <f t="shared" si="45"/>
        <v>0</v>
      </c>
      <c r="BO49" s="19">
        <f t="shared" si="45"/>
        <v>0</v>
      </c>
      <c r="BP49" s="19">
        <f t="shared" si="58"/>
        <v>0</v>
      </c>
      <c r="BQ49" s="19">
        <f t="shared" si="58"/>
        <v>0</v>
      </c>
      <c r="BR49" s="19">
        <f t="shared" si="58"/>
        <v>0</v>
      </c>
      <c r="BS49" s="19">
        <f t="shared" si="38"/>
        <v>0</v>
      </c>
      <c r="BT49" s="19">
        <f t="shared" si="46"/>
        <v>0</v>
      </c>
      <c r="BU49" s="19">
        <f t="shared" si="59"/>
        <v>0</v>
      </c>
      <c r="BV49" s="19">
        <f t="shared" si="60"/>
        <v>0</v>
      </c>
      <c r="BW49" s="19">
        <f t="shared" si="40"/>
        <v>0</v>
      </c>
      <c r="BX49" s="19">
        <f t="shared" si="41"/>
        <v>0</v>
      </c>
      <c r="BY49" s="19">
        <f t="shared" si="41"/>
        <v>0</v>
      </c>
      <c r="BZ49" s="19">
        <f t="shared" si="41"/>
        <v>0</v>
      </c>
      <c r="CA49" s="19">
        <f t="shared" si="41"/>
        <v>0</v>
      </c>
      <c r="CB49" s="19">
        <f t="shared" si="42"/>
        <v>0</v>
      </c>
      <c r="CC49" s="19">
        <f t="shared" si="42"/>
        <v>0</v>
      </c>
      <c r="CD49" s="19">
        <f t="shared" si="42"/>
        <v>0</v>
      </c>
      <c r="CE49" s="65"/>
      <c r="CG49" s="20" t="e">
        <f t="shared" si="47"/>
        <v>#DIV/0!</v>
      </c>
    </row>
    <row r="50" spans="1:164" ht="15">
      <c r="A50" s="8" t="s">
        <v>248</v>
      </c>
      <c r="B50" s="45" t="s">
        <v>251</v>
      </c>
      <c r="C50" s="19"/>
      <c r="D50" s="19"/>
      <c r="E50" s="19"/>
      <c r="F50" s="19"/>
      <c r="G50" s="19"/>
      <c r="H50" s="19"/>
      <c r="I50" s="19"/>
      <c r="J50" s="19">
        <f t="shared" ref="J50:J63" si="63">+CN50-CO50</f>
        <v>-2.7368592085939447E-2</v>
      </c>
      <c r="K50" s="19">
        <f t="shared" si="44"/>
        <v>-1.5335287250547669E-2</v>
      </c>
      <c r="L50" s="19">
        <f t="shared" si="1"/>
        <v>-8.0193042639191692E-3</v>
      </c>
      <c r="M50" s="19">
        <f t="shared" si="2"/>
        <v>1.9016390728666233E-2</v>
      </c>
      <c r="N50" s="19">
        <f t="shared" si="3"/>
        <v>4.9944910502679463E-3</v>
      </c>
      <c r="O50" s="19">
        <f t="shared" si="4"/>
        <v>-1.2012012012011963E-2</v>
      </c>
      <c r="P50" s="19">
        <f t="shared" si="5"/>
        <v>4.8614858052244969E-3</v>
      </c>
      <c r="Q50" s="19">
        <f t="shared" si="5"/>
        <v>4.7784973446923784E-3</v>
      </c>
      <c r="R50" s="19">
        <f t="shared" si="6"/>
        <v>1.0747416547827626E-2</v>
      </c>
      <c r="S50" s="19">
        <f t="shared" si="7"/>
        <v>-1.2176125599577814E-2</v>
      </c>
      <c r="T50" s="19">
        <f t="shared" si="8"/>
        <v>2.7940178820040962E-2</v>
      </c>
      <c r="U50" s="19">
        <f t="shared" si="8"/>
        <v>7.1636219397222312E-2</v>
      </c>
      <c r="V50" s="19">
        <f t="shared" si="8"/>
        <v>2.434445981670208E-2</v>
      </c>
      <c r="W50" s="19">
        <f t="shared" si="8"/>
        <v>4.0755143979398167E-2</v>
      </c>
      <c r="X50" s="19">
        <f t="shared" si="55"/>
        <v>1.3857237680033885E-3</v>
      </c>
      <c r="Y50" s="19">
        <f t="shared" si="55"/>
        <v>1.7629068013882421E-2</v>
      </c>
      <c r="Z50" s="19">
        <f t="shared" si="9"/>
        <v>-3.6352360234079839E-2</v>
      </c>
      <c r="AA50" s="19">
        <f t="shared" si="10"/>
        <v>0</v>
      </c>
      <c r="AB50" s="19">
        <f t="shared" si="10"/>
        <v>3.7415128051209279E-2</v>
      </c>
      <c r="AC50" s="19">
        <f t="shared" si="10"/>
        <v>6.7484713777055116E-4</v>
      </c>
      <c r="AD50" s="19">
        <f t="shared" si="10"/>
        <v>-1.2381649382988913E-2</v>
      </c>
      <c r="AE50" s="19">
        <f t="shared" si="11"/>
        <v>-1.1759812064369157E-3</v>
      </c>
      <c r="AF50" s="19">
        <f t="shared" si="11"/>
        <v>7.8436384516378244E-4</v>
      </c>
      <c r="AG50" s="19">
        <f t="shared" si="12"/>
        <v>1.0260963380313681E-2</v>
      </c>
      <c r="AH50" s="19">
        <f t="shared" si="13"/>
        <v>9.6917572761645587E-5</v>
      </c>
      <c r="AI50" s="19">
        <f t="shared" si="14"/>
        <v>-3.506814090097321E-2</v>
      </c>
      <c r="AJ50" s="19">
        <f t="shared" si="15"/>
        <v>-1.9234259542469934E-3</v>
      </c>
      <c r="AK50" s="19">
        <f t="shared" si="16"/>
        <v>-6.0922718081579674E-4</v>
      </c>
      <c r="AL50" s="19">
        <f t="shared" si="16"/>
        <v>1.0159902348838568E-4</v>
      </c>
      <c r="AM50" s="19">
        <f t="shared" si="17"/>
        <v>-8.5558020608501373E-2</v>
      </c>
      <c r="AN50" s="19">
        <f t="shared" si="18"/>
        <v>0</v>
      </c>
      <c r="AO50" s="19">
        <f t="shared" si="19"/>
        <v>-2.246263399180104E-3</v>
      </c>
      <c r="AP50" s="19">
        <f t="shared" si="20"/>
        <v>6.7501897942978673E-4</v>
      </c>
      <c r="AQ50" s="19">
        <f t="shared" si="20"/>
        <v>5.5873238048322893E-3</v>
      </c>
      <c r="AR50" s="19">
        <f t="shared" si="20"/>
        <v>-4.6525652971545095E-2</v>
      </c>
      <c r="AS50" s="19">
        <f t="shared" si="21"/>
        <v>-2.10120307711259E-3</v>
      </c>
      <c r="AT50" s="19">
        <f t="shared" si="22"/>
        <v>2.2176706417585956E-3</v>
      </c>
      <c r="AU50" s="60" t="s">
        <v>149</v>
      </c>
      <c r="AV50" s="19">
        <f t="shared" si="23"/>
        <v>5.028055058644143E-2</v>
      </c>
      <c r="AW50" s="19">
        <f t="shared" si="24"/>
        <v>-2.0975673638131687E-3</v>
      </c>
      <c r="AX50" s="19">
        <f t="shared" si="25"/>
        <v>-4.2264323845715435E-2</v>
      </c>
      <c r="AY50" s="19">
        <f t="shared" si="26"/>
        <v>6.6408609379641881E-2</v>
      </c>
      <c r="AZ50" s="19">
        <f t="shared" si="27"/>
        <v>-8.0542031128658098E-2</v>
      </c>
      <c r="BA50" s="19">
        <f t="shared" si="28"/>
        <v>7.9053956650543267E-4</v>
      </c>
      <c r="BB50" s="19">
        <f t="shared" si="61"/>
        <v>1.3081395348835123E-4</v>
      </c>
      <c r="BC50" s="19">
        <f t="shared" si="30"/>
        <v>6.3947047253731792E-3</v>
      </c>
      <c r="BD50" s="19">
        <f t="shared" si="31"/>
        <v>-6.6697869776931262E-2</v>
      </c>
      <c r="BE50" s="19">
        <f t="shared" si="32"/>
        <v>1.6547101408137532E-3</v>
      </c>
      <c r="BF50" s="19">
        <f t="shared" si="33"/>
        <v>-4.9994203561354311E-4</v>
      </c>
      <c r="BG50" s="19">
        <f t="shared" si="33"/>
        <v>5.1402098276431829E-4</v>
      </c>
      <c r="BH50" s="19">
        <f t="shared" si="56"/>
        <v>4.9765316810899463E-2</v>
      </c>
      <c r="BI50" s="19">
        <f t="shared" si="57"/>
        <v>3.972228864949412E-3</v>
      </c>
      <c r="BJ50" s="19">
        <f t="shared" si="35"/>
        <v>3.583509304081467E-4</v>
      </c>
      <c r="BK50" s="19">
        <f t="shared" si="36"/>
        <v>3.4049647344441825E-3</v>
      </c>
      <c r="BL50" s="19">
        <f t="shared" si="45"/>
        <v>6.4202415778702449E-4</v>
      </c>
      <c r="BM50" s="19">
        <f t="shared" si="45"/>
        <v>-4.5140683424960137E-4</v>
      </c>
      <c r="BN50" s="19">
        <f t="shared" si="45"/>
        <v>-1.7768481199797126E-2</v>
      </c>
      <c r="BO50" s="19">
        <f t="shared" si="45"/>
        <v>8.4668798677434154E-4</v>
      </c>
      <c r="BP50" s="19">
        <f t="shared" si="58"/>
        <v>-6.7677114609762556E-2</v>
      </c>
      <c r="BQ50" s="19">
        <f t="shared" si="58"/>
        <v>-5.1826787784441386E-3</v>
      </c>
      <c r="BR50" s="19">
        <f t="shared" si="58"/>
        <v>1.5629815991955454E-3</v>
      </c>
      <c r="BS50" s="19">
        <f t="shared" si="38"/>
        <v>3.9960492814444137E-2</v>
      </c>
      <c r="BT50" s="19">
        <f t="shared" si="46"/>
        <v>0.10576420881039417</v>
      </c>
      <c r="BU50" s="19">
        <f t="shared" si="59"/>
        <v>-7.3363732050534258E-3</v>
      </c>
      <c r="BV50" s="19">
        <f t="shared" si="60"/>
        <v>-6.9034831990060219E-2</v>
      </c>
      <c r="BW50" s="19">
        <f t="shared" si="40"/>
        <v>7.464192986893492E-4</v>
      </c>
      <c r="BX50" s="19">
        <f t="shared" si="41"/>
        <v>-1.0658095634086151E-2</v>
      </c>
      <c r="BY50" s="19">
        <f t="shared" si="41"/>
        <v>-4.2209989449656371E-2</v>
      </c>
      <c r="BZ50" s="19">
        <f t="shared" si="41"/>
        <v>4.8190600288473551E-3</v>
      </c>
      <c r="CA50" s="19">
        <f t="shared" si="41"/>
        <v>-1.1257913877830372E-2</v>
      </c>
      <c r="CB50" s="19">
        <f t="shared" si="42"/>
        <v>-2.4231492642897701E-2</v>
      </c>
      <c r="CC50" s="19">
        <f t="shared" si="42"/>
        <v>2.2150384098900133E-3</v>
      </c>
      <c r="CD50" s="19">
        <f t="shared" si="42"/>
        <v>3.018032636743917E-2</v>
      </c>
      <c r="CE50" s="65"/>
      <c r="CG50" s="20">
        <f t="shared" si="47"/>
        <v>0.89927322012051447</v>
      </c>
      <c r="CH50" s="20"/>
      <c r="CI50" s="20"/>
      <c r="CJ50" s="20"/>
      <c r="CK50" s="20"/>
      <c r="CL50" s="20"/>
      <c r="CM50" s="20"/>
      <c r="CN50" s="20">
        <f>SOFA!AY29</f>
        <v>0.95827268316351288</v>
      </c>
      <c r="CO50" s="20">
        <f>SOFA!AZ29</f>
        <v>0.98564127524945233</v>
      </c>
      <c r="CP50" s="20">
        <f>SOFA!BA29</f>
        <v>1.0009765625</v>
      </c>
      <c r="CQ50" s="20">
        <f>SOFA!BB29</f>
        <v>1.0089958667639192</v>
      </c>
      <c r="CR50" s="20">
        <f>SOFA!BC29</f>
        <v>0.98997947603525294</v>
      </c>
      <c r="CS50" s="20">
        <f>SOFA!BD29</f>
        <v>0.98498498498498499</v>
      </c>
      <c r="CT50" s="20">
        <f>SOFA!BE29</f>
        <v>0.99699699699699695</v>
      </c>
      <c r="CU50" s="20">
        <f>SOFA!BF29</f>
        <v>0.99213551119177246</v>
      </c>
      <c r="CV50" s="20">
        <f>SOFA!BG29</f>
        <v>0.98735701384708008</v>
      </c>
      <c r="CW50" s="20">
        <f>SOFA!BH29</f>
        <v>0.97660959729925245</v>
      </c>
      <c r="CX50" s="20">
        <f>SOFA!BI29</f>
        <v>0.98878572289883027</v>
      </c>
      <c r="CY50" s="20">
        <f>SOFA!BJ29</f>
        <v>0.9608455440787893</v>
      </c>
      <c r="CZ50" s="20">
        <f>SOFA!BK29</f>
        <v>0.88920932468156699</v>
      </c>
      <c r="DA50" s="20">
        <f>SOFA!BL29</f>
        <v>0.86486486486486491</v>
      </c>
      <c r="DB50" s="20">
        <f>SOFA!BM29</f>
        <v>0.82410972088546675</v>
      </c>
      <c r="DC50" s="20">
        <f>SOFA!BN29</f>
        <v>0.82272399711746336</v>
      </c>
      <c r="DD50" s="20">
        <f>SOFA!BO29</f>
        <v>0.80509492910358094</v>
      </c>
      <c r="DE50" s="20">
        <f>SOFA!BP29</f>
        <v>0.84144728933766078</v>
      </c>
      <c r="DF50" s="20">
        <f>SOFA!BQ29</f>
        <v>0.84144728933766078</v>
      </c>
      <c r="DG50" s="20">
        <f>SOFA!BR29</f>
        <v>0.8040321612864515</v>
      </c>
      <c r="DH50" s="20">
        <f>SOFA!BS29</f>
        <v>0.80335731414868095</v>
      </c>
      <c r="DI50" s="20">
        <f>SOFA!BT29</f>
        <v>0.81573896353166986</v>
      </c>
      <c r="DJ50" s="20">
        <f>SOFA!BU29</f>
        <v>0.81691494473810677</v>
      </c>
      <c r="DK50" s="20">
        <f>SOFA!BV29</f>
        <v>0.81613058089294299</v>
      </c>
      <c r="DL50" s="20">
        <f>SOFA!BW29</f>
        <v>0.80586961751262931</v>
      </c>
      <c r="DM50" s="20">
        <f>SOFA!BX29</f>
        <v>0.80577269993986766</v>
      </c>
      <c r="DN50" s="20">
        <f>SOFA!BY29</f>
        <v>0.84084084084084088</v>
      </c>
      <c r="DO50" s="20">
        <f>SOFA!BZ29</f>
        <v>0.84276426679508787</v>
      </c>
      <c r="DP50" s="20">
        <f>SOFA!CA29</f>
        <v>0.84337349397590367</v>
      </c>
      <c r="DQ50" s="20">
        <f>SOFA!CB29</f>
        <v>0.84327189495241528</v>
      </c>
      <c r="DR50" s="20">
        <f>SOFA!CC29</f>
        <v>0.92882991556091665</v>
      </c>
      <c r="DS50" s="20">
        <f>SOFA!CD29</f>
        <v>0.92882991556091665</v>
      </c>
      <c r="DT50" s="20">
        <f>SOFA!CE29</f>
        <v>0.93107617896009676</v>
      </c>
      <c r="DU50" s="20">
        <f>SOFA!CF29</f>
        <v>0.93040115998066697</v>
      </c>
      <c r="DV50" s="20">
        <f>SOFA!CG29</f>
        <v>0.92481383617583468</v>
      </c>
      <c r="DW50" s="20">
        <f>SOFA!CH29</f>
        <v>0.97133948914737978</v>
      </c>
      <c r="DX50" s="20">
        <f>SOFA!CI29</f>
        <v>0.97344069222449237</v>
      </c>
      <c r="DY50" s="20">
        <f>SOFA!CJ29</f>
        <v>0.97122302158273377</v>
      </c>
      <c r="DZ50" s="20">
        <f>SOFA!CK29</f>
        <v>0.92094247099629234</v>
      </c>
      <c r="EA50" s="20">
        <f>SOFA!CL29</f>
        <v>0.92304003836010551</v>
      </c>
      <c r="EB50" s="20">
        <f>SOFA!CM29</f>
        <v>0.96530436220582094</v>
      </c>
      <c r="EC50" s="20">
        <f>SOFA!CN29</f>
        <v>0.89889575282617906</v>
      </c>
      <c r="ED50" s="20">
        <f>SOFA!CO29</f>
        <v>0.97943778395483716</v>
      </c>
      <c r="EE50" s="20">
        <f>SOFA!CP29</f>
        <v>0.97864724438833173</v>
      </c>
      <c r="EF50" s="20">
        <f>SOFA!CQ29</f>
        <v>0.97851643043484338</v>
      </c>
      <c r="EG50" s="20">
        <f>SOFA!CR29</f>
        <v>0.9721217257094702</v>
      </c>
      <c r="EH50" s="20">
        <f>SOFA!CS29</f>
        <v>1.0388195954864015</v>
      </c>
      <c r="EI50" s="20">
        <f>SOFA!CT29</f>
        <v>1.0371648853455877</v>
      </c>
      <c r="EJ50" s="20">
        <f>SOFA!CU29</f>
        <v>1.0376648273812012</v>
      </c>
      <c r="EK50" s="20">
        <f>SOFA!CV29</f>
        <v>1.0371508063984369</v>
      </c>
      <c r="EL50" s="20">
        <f>SOFA!CW29</f>
        <v>0.98738548958753747</v>
      </c>
      <c r="EM50" s="20">
        <f>SOFA!CX29</f>
        <v>0.98341326072258806</v>
      </c>
      <c r="EN50" s="20">
        <f>SOFA!CY29</f>
        <v>0.98305490979217991</v>
      </c>
      <c r="EO50" s="20">
        <f>SOFA!CZ29</f>
        <v>0.97964994505773573</v>
      </c>
      <c r="EP50" s="20">
        <f>SOFA!DA29</f>
        <v>0.9790079208999487</v>
      </c>
      <c r="EQ50" s="20">
        <f>SOFA!DB29</f>
        <v>0.9794593277341983</v>
      </c>
      <c r="ER50" s="20">
        <f>SOFA!DC29</f>
        <v>0.99722780893399543</v>
      </c>
      <c r="ES50" s="20">
        <f>SOFA!DD29</f>
        <v>0.99638112094722109</v>
      </c>
      <c r="ET50" s="20">
        <f>SOFA!DE29</f>
        <v>1.0640582355569836</v>
      </c>
      <c r="EU50" s="20">
        <f>SOFA!DF29</f>
        <v>1.0692409143354278</v>
      </c>
      <c r="EV50" s="20">
        <f>SOFA!DG29</f>
        <v>1.0676779327362322</v>
      </c>
      <c r="EW50" s="20">
        <f>SOFA!DH29</f>
        <v>1.0277174399217881</v>
      </c>
      <c r="EX50" s="20">
        <f>SOFA!DI29</f>
        <v>0.92195323111139393</v>
      </c>
      <c r="EY50" s="20">
        <f>SOFA!DJ29</f>
        <v>0.92928960431644736</v>
      </c>
      <c r="EZ50" s="20">
        <f>SOFA!DK29</f>
        <v>0.99832443630650758</v>
      </c>
      <c r="FA50" s="20">
        <f>SOFA!DL29</f>
        <v>0.99757801700781823</v>
      </c>
      <c r="FB50" s="20">
        <f>SOFA!DM29</f>
        <v>1.0082361126419044</v>
      </c>
      <c r="FC50" s="20">
        <f>SOFA!DN29</f>
        <v>1.0504461020915608</v>
      </c>
      <c r="FD50" s="20">
        <f>SOFA!DO29</f>
        <v>1.0456270420627134</v>
      </c>
      <c r="FE50" s="20">
        <f>SOFA!DP29</f>
        <v>1.0568849559405438</v>
      </c>
      <c r="FF50" s="20">
        <f>SOFA!DQ29</f>
        <v>1.0811164485834415</v>
      </c>
      <c r="FG50" s="20">
        <f>SOFA!DR29</f>
        <v>1.0789014101735515</v>
      </c>
      <c r="FH50" s="20">
        <f>SOFA!DS29</f>
        <v>1.0487210838061123</v>
      </c>
    </row>
    <row r="51" spans="1:164">
      <c r="A51" s="8" t="s">
        <v>248</v>
      </c>
      <c r="B51" s="263" t="s">
        <v>112</v>
      </c>
      <c r="C51" s="19">
        <f t="shared" ref="C51:C63" si="64">+CG51-CH51</f>
        <v>8.6615384615384428E-2</v>
      </c>
      <c r="D51" s="19">
        <f t="shared" ref="D51:D63" si="65">+CH51-CI51</f>
        <v>-3.5999999999999921E-2</v>
      </c>
      <c r="E51" s="19">
        <f t="shared" ref="E51:E63" si="66">+CI51-CJ51</f>
        <v>-1.5000000000000013E-2</v>
      </c>
      <c r="F51" s="19">
        <f t="shared" ref="F51:F63" si="67">+CJ51-CK51</f>
        <v>-4.6000000000000041E-2</v>
      </c>
      <c r="G51" s="19">
        <f t="shared" ref="G51:G63" si="68">+CK51-CL51</f>
        <v>6.0000000000000053E-3</v>
      </c>
      <c r="H51" s="19">
        <f t="shared" ref="H51:H63" si="69">+CL51-CM51</f>
        <v>5.8000000000000052E-2</v>
      </c>
      <c r="I51" s="19">
        <f t="shared" ref="I51:I63" si="70">+CM51-CN51</f>
        <v>-0.10400000000000009</v>
      </c>
      <c r="J51" s="19">
        <f t="shared" si="63"/>
        <v>0</v>
      </c>
      <c r="K51" s="19">
        <f t="shared" si="44"/>
        <v>0</v>
      </c>
      <c r="L51" s="19">
        <f t="shared" si="1"/>
        <v>-2.6999999999999913E-2</v>
      </c>
      <c r="M51" s="19">
        <f t="shared" si="2"/>
        <v>-1.7000000000000015E-2</v>
      </c>
      <c r="N51" s="19">
        <f t="shared" si="3"/>
        <v>3.0000000000000027E-2</v>
      </c>
      <c r="O51" s="19">
        <f t="shared" si="4"/>
        <v>-2.0000000000000018E-3</v>
      </c>
      <c r="P51" s="19">
        <f t="shared" si="5"/>
        <v>-5.0000000000000044E-3</v>
      </c>
      <c r="Q51" s="19">
        <f t="shared" si="5"/>
        <v>2.7999999999999914E-2</v>
      </c>
      <c r="R51" s="19">
        <f t="shared" si="6"/>
        <v>1.5000000000000013E-2</v>
      </c>
      <c r="S51" s="19">
        <f t="shared" si="7"/>
        <v>2.8000000000000025E-2</v>
      </c>
      <c r="T51" s="19">
        <f t="shared" si="8"/>
        <v>0</v>
      </c>
      <c r="U51" s="19">
        <f t="shared" si="8"/>
        <v>-4.0000000000000036E-3</v>
      </c>
      <c r="V51" s="19">
        <f t="shared" si="8"/>
        <v>1.2000000000000011E-2</v>
      </c>
      <c r="W51" s="19">
        <f t="shared" si="8"/>
        <v>6.0000000000000053E-3</v>
      </c>
      <c r="X51" s="19">
        <f t="shared" si="55"/>
        <v>3.0000000000000027E-3</v>
      </c>
      <c r="Y51" s="19">
        <f t="shared" si="55"/>
        <v>7.0000000000000062E-3</v>
      </c>
      <c r="Z51" s="19">
        <f t="shared" si="9"/>
        <v>-1.6000000000000014E-2</v>
      </c>
      <c r="AA51" s="19">
        <f t="shared" si="10"/>
        <v>0</v>
      </c>
      <c r="AB51" s="19">
        <f t="shared" si="10"/>
        <v>0</v>
      </c>
      <c r="AC51" s="19">
        <f t="shared" si="10"/>
        <v>9.000000000000008E-3</v>
      </c>
      <c r="AD51" s="19">
        <f t="shared" si="10"/>
        <v>2.1000000000000019E-2</v>
      </c>
      <c r="AE51" s="19">
        <f t="shared" si="11"/>
        <v>1.7000000000000015E-2</v>
      </c>
      <c r="AF51" s="19">
        <f t="shared" si="11"/>
        <v>5.0000000000000044E-3</v>
      </c>
      <c r="AG51" s="19">
        <f t="shared" si="12"/>
        <v>2.0000000000000018E-3</v>
      </c>
      <c r="AH51" s="19">
        <f t="shared" si="13"/>
        <v>-8.0000000000000071E-3</v>
      </c>
      <c r="AI51" s="19">
        <f t="shared" si="14"/>
        <v>-3.0000000000000027E-3</v>
      </c>
      <c r="AJ51" s="19">
        <f t="shared" si="15"/>
        <v>0</v>
      </c>
      <c r="AK51" s="19">
        <f t="shared" si="16"/>
        <v>0</v>
      </c>
      <c r="AL51" s="19">
        <f t="shared" si="16"/>
        <v>1.0000000000000009E-3</v>
      </c>
      <c r="AM51" s="19">
        <f t="shared" si="17"/>
        <v>-1.8000000000000016E-2</v>
      </c>
      <c r="AN51" s="19">
        <f t="shared" si="18"/>
        <v>-7.0000000000000062E-3</v>
      </c>
      <c r="AO51" s="19">
        <f t="shared" si="19"/>
        <v>-3.0000000000000027E-3</v>
      </c>
      <c r="AP51" s="19">
        <f t="shared" si="20"/>
        <v>-3.7000000000000033E-2</v>
      </c>
      <c r="AQ51" s="19">
        <f t="shared" si="20"/>
        <v>-2.5000000000000022E-2</v>
      </c>
      <c r="AR51" s="19">
        <f t="shared" si="20"/>
        <v>-2.0000000000000018E-3</v>
      </c>
      <c r="AS51" s="19">
        <f t="shared" si="21"/>
        <v>1.7000000000000015E-2</v>
      </c>
      <c r="AT51" s="19">
        <f t="shared" si="22"/>
        <v>-2.5000000000000022E-2</v>
      </c>
      <c r="AU51" s="60"/>
      <c r="AV51" s="19">
        <f t="shared" si="23"/>
        <v>0</v>
      </c>
      <c r="AW51" s="19">
        <f t="shared" si="24"/>
        <v>3.2000000000000028E-2</v>
      </c>
      <c r="AX51" s="19">
        <f t="shared" si="25"/>
        <v>0</v>
      </c>
      <c r="AY51" s="19">
        <f t="shared" si="26"/>
        <v>-1.6000000000000014E-2</v>
      </c>
      <c r="AZ51" s="19">
        <f t="shared" si="27"/>
        <v>-9.000000000000008E-3</v>
      </c>
      <c r="BA51" s="19">
        <f t="shared" si="28"/>
        <v>-3.0000000000000027E-3</v>
      </c>
      <c r="BB51" s="19">
        <f t="shared" si="61"/>
        <v>0</v>
      </c>
      <c r="BC51" s="19">
        <f t="shared" si="30"/>
        <v>0</v>
      </c>
      <c r="BD51" s="19">
        <f t="shared" si="31"/>
        <v>-1.8999999999999906E-2</v>
      </c>
      <c r="BE51" s="19">
        <f t="shared" si="32"/>
        <v>0</v>
      </c>
      <c r="BF51" s="19">
        <f t="shared" si="33"/>
        <v>1.0000000000000009E-3</v>
      </c>
      <c r="BG51" s="19">
        <f t="shared" si="33"/>
        <v>0</v>
      </c>
      <c r="BH51" s="19">
        <f t="shared" si="56"/>
        <v>-8.0000000000000071E-3</v>
      </c>
      <c r="BI51" s="19">
        <f t="shared" si="57"/>
        <v>3.0000000000000027E-3</v>
      </c>
      <c r="BJ51" s="19">
        <f t="shared" si="35"/>
        <v>-2.0000000000000018E-3</v>
      </c>
      <c r="BK51" s="19">
        <f t="shared" si="36"/>
        <v>0</v>
      </c>
      <c r="BL51" s="19">
        <f t="shared" si="45"/>
        <v>0</v>
      </c>
      <c r="BM51" s="19">
        <f t="shared" si="45"/>
        <v>0</v>
      </c>
      <c r="BN51" s="19">
        <f t="shared" si="45"/>
        <v>-2.0000000000000018E-3</v>
      </c>
      <c r="BO51" s="19">
        <f t="shared" si="45"/>
        <v>2.0000000000000018E-3</v>
      </c>
      <c r="BP51" s="19">
        <f t="shared" si="58"/>
        <v>0</v>
      </c>
      <c r="BQ51" s="19">
        <f t="shared" si="58"/>
        <v>1.0000000000000009E-2</v>
      </c>
      <c r="BR51" s="19">
        <f t="shared" si="58"/>
        <v>-2.300000000000002E-2</v>
      </c>
      <c r="BS51" s="19">
        <f t="shared" si="38"/>
        <v>-5.0000000000000044E-2</v>
      </c>
      <c r="BT51" s="19">
        <f t="shared" si="46"/>
        <v>0</v>
      </c>
      <c r="BU51" s="19">
        <f t="shared" si="59"/>
        <v>0</v>
      </c>
      <c r="BV51" s="19">
        <f t="shared" si="60"/>
        <v>1.0000000000000009E-3</v>
      </c>
      <c r="BW51" s="19">
        <f t="shared" si="40"/>
        <v>0</v>
      </c>
      <c r="BX51" s="19">
        <f t="shared" si="41"/>
        <v>-2.7000000000000024E-2</v>
      </c>
      <c r="BY51" s="19">
        <f t="shared" si="41"/>
        <v>-5.5999999999999939E-2</v>
      </c>
      <c r="BZ51" s="19">
        <f t="shared" si="41"/>
        <v>0</v>
      </c>
      <c r="CA51" s="19">
        <f t="shared" si="41"/>
        <v>0</v>
      </c>
      <c r="CB51" s="19">
        <f t="shared" si="42"/>
        <v>-2.8999999999999915E-2</v>
      </c>
      <c r="CC51" s="19">
        <f t="shared" si="42"/>
        <v>-2.0000000000000018E-2</v>
      </c>
      <c r="CD51" s="19">
        <f t="shared" si="42"/>
        <v>0</v>
      </c>
      <c r="CE51" s="65"/>
      <c r="CG51" s="20">
        <f t="shared" si="47"/>
        <v>0.76161538461538447</v>
      </c>
      <c r="CH51" s="20">
        <f>'Input RM sheet'!AP73/1000</f>
        <v>0.67500000000000004</v>
      </c>
      <c r="CI51" s="20">
        <f>'Input RM sheet'!AQ73/1000</f>
        <v>0.71099999999999997</v>
      </c>
      <c r="CJ51" s="20">
        <f>'Input RM sheet'!AR73/1000</f>
        <v>0.72599999999999998</v>
      </c>
      <c r="CK51" s="20">
        <f>'Input RM sheet'!AS73/1000</f>
        <v>0.77200000000000002</v>
      </c>
      <c r="CL51" s="20">
        <f>'Input RM sheet'!AT73/1000</f>
        <v>0.76600000000000001</v>
      </c>
      <c r="CM51" s="20">
        <f>'Input RM sheet'!AU73/1000</f>
        <v>0.70799999999999996</v>
      </c>
      <c r="CN51" s="20">
        <f>'Input RM sheet'!AV73/1000</f>
        <v>0.81200000000000006</v>
      </c>
      <c r="CO51" s="20">
        <f>'Input RM sheet'!AW73/1000</f>
        <v>0.81200000000000006</v>
      </c>
      <c r="CP51" s="20">
        <f>'Input RM sheet'!AX73/1000</f>
        <v>0.81200000000000006</v>
      </c>
      <c r="CQ51" s="20">
        <f>'Input RM sheet'!AY73/1000</f>
        <v>0.83899999999999997</v>
      </c>
      <c r="CR51" s="20">
        <f>'Input RM sheet'!AZ73/1000</f>
        <v>0.85599999999999998</v>
      </c>
      <c r="CS51" s="20">
        <f>'Input RM sheet'!BA73/1000</f>
        <v>0.82599999999999996</v>
      </c>
      <c r="CT51" s="20">
        <f>'Input RM sheet'!BB73/1000</f>
        <v>0.82799999999999996</v>
      </c>
      <c r="CU51" s="20">
        <f>'Input RM sheet'!BC73/1000</f>
        <v>0.83299999999999996</v>
      </c>
      <c r="CV51" s="20">
        <f>'Input RM sheet'!BD73/1000</f>
        <v>0.80500000000000005</v>
      </c>
      <c r="CW51" s="20">
        <f>'Input RM sheet'!BE73/1000</f>
        <v>0.79</v>
      </c>
      <c r="CX51" s="20">
        <f>'Input RM sheet'!BF73/1000</f>
        <v>0.76200000000000001</v>
      </c>
      <c r="CY51" s="20">
        <f>'Input RM sheet'!BG73/1000</f>
        <v>0.76200000000000001</v>
      </c>
      <c r="CZ51" s="20">
        <f>'Input RM sheet'!BH73/1000</f>
        <v>0.76600000000000001</v>
      </c>
      <c r="DA51" s="20">
        <f>'Input RM sheet'!BI73/1000</f>
        <v>0.754</v>
      </c>
      <c r="DB51" s="20">
        <f>'Input RM sheet'!BJ73/1000</f>
        <v>0.748</v>
      </c>
      <c r="DC51" s="20">
        <f>'Input RM sheet'!BK73/1000</f>
        <v>0.745</v>
      </c>
      <c r="DD51" s="20">
        <f>'Input RM sheet'!BL73/1000</f>
        <v>0.73799999999999999</v>
      </c>
      <c r="DE51" s="20">
        <f>'Input RM sheet'!BM73/1000</f>
        <v>0.754</v>
      </c>
      <c r="DF51" s="20">
        <f>'Input RM sheet'!BN73/1000</f>
        <v>0.754</v>
      </c>
      <c r="DG51" s="20">
        <f>'Input RM sheet'!BO73/1000</f>
        <v>0.754</v>
      </c>
      <c r="DH51" s="20">
        <f>'Input RM sheet'!BP73/1000</f>
        <v>0.745</v>
      </c>
      <c r="DI51" s="20">
        <f>'Input RM sheet'!BQ73/1000</f>
        <v>0.72399999999999998</v>
      </c>
      <c r="DJ51" s="20">
        <f>'Input RM sheet'!BR73/1000</f>
        <v>0.70699999999999996</v>
      </c>
      <c r="DK51" s="20">
        <f>'Input RM sheet'!BS73/1000</f>
        <v>0.70199999999999996</v>
      </c>
      <c r="DL51" s="20">
        <f>'Input RM sheet'!BT73/1000</f>
        <v>0.7</v>
      </c>
      <c r="DM51" s="20">
        <f>'Input RM sheet'!BU73/1000</f>
        <v>0.70799999999999996</v>
      </c>
      <c r="DN51" s="20">
        <f>'Input RM sheet'!BV73/1000</f>
        <v>0.71099999999999997</v>
      </c>
      <c r="DO51" s="20">
        <f>'Input RM sheet'!BW73/1000</f>
        <v>0.71099999999999997</v>
      </c>
      <c r="DP51" s="20">
        <f>'Input RM sheet'!BX73/1000</f>
        <v>0.71099999999999997</v>
      </c>
      <c r="DQ51" s="20">
        <f>'Input RM sheet'!BY73/1000</f>
        <v>0.71</v>
      </c>
      <c r="DR51" s="20">
        <f>'Input RM sheet'!BZ73/1000</f>
        <v>0.72799999999999998</v>
      </c>
      <c r="DS51" s="20">
        <f>'Input RM sheet'!CA73/1000</f>
        <v>0.73499999999999999</v>
      </c>
      <c r="DT51" s="20">
        <f>'Input RM sheet'!CB73/1000</f>
        <v>0.73799999999999999</v>
      </c>
      <c r="DU51" s="20">
        <f>'Input RM sheet'!CC73/1000</f>
        <v>0.77500000000000002</v>
      </c>
      <c r="DV51" s="20">
        <f>'Input RM sheet'!CD73/1000</f>
        <v>0.8</v>
      </c>
      <c r="DW51" s="20">
        <f>'Input RM sheet'!CE73/1000</f>
        <v>0.80200000000000005</v>
      </c>
      <c r="DX51" s="20">
        <f>'Input RM sheet'!CF73/1000</f>
        <v>0.78500000000000003</v>
      </c>
      <c r="DY51" s="20">
        <f>'Input RM sheet'!CG73/1000</f>
        <v>0.81</v>
      </c>
      <c r="DZ51" s="20">
        <f>'Input RM sheet'!CH73/1000</f>
        <v>0.81</v>
      </c>
      <c r="EA51" s="20">
        <f>'Input RM sheet'!CI73/1000</f>
        <v>0.77800000000000002</v>
      </c>
      <c r="EB51" s="20">
        <f>'Input RM sheet'!CJ73/1000</f>
        <v>0.77800000000000002</v>
      </c>
      <c r="EC51" s="20">
        <f>'Input RM sheet'!CK73/1000</f>
        <v>0.79400000000000004</v>
      </c>
      <c r="ED51" s="20">
        <f>'Input RM sheet'!CL73/1000</f>
        <v>0.80300000000000005</v>
      </c>
      <c r="EE51" s="20">
        <f>'Input RM sheet'!CM73/1000</f>
        <v>0.80600000000000005</v>
      </c>
      <c r="EF51" s="20">
        <f>'Input RM sheet'!CN73/1000</f>
        <v>0.80600000000000005</v>
      </c>
      <c r="EG51" s="20">
        <f>'Input RM sheet'!CO73/1000</f>
        <v>0.80600000000000005</v>
      </c>
      <c r="EH51" s="20">
        <f>'Input RM sheet'!CP73/1000</f>
        <v>0.82499999999999996</v>
      </c>
      <c r="EI51" s="20">
        <f>'Input RM sheet'!CQ73/1000</f>
        <v>0.82499999999999996</v>
      </c>
      <c r="EJ51" s="20">
        <f>'Input RM sheet'!CR73/1000</f>
        <v>0.82399999999999995</v>
      </c>
      <c r="EK51" s="20">
        <f>'Input RM sheet'!CS73/1000</f>
        <v>0.82399999999999995</v>
      </c>
      <c r="EL51" s="20">
        <f>'Input RM sheet'!CT73/1000</f>
        <v>0.83199999999999996</v>
      </c>
      <c r="EM51" s="20">
        <f>'Input RM sheet'!CU73/1000</f>
        <v>0.82899999999999996</v>
      </c>
      <c r="EN51" s="20">
        <f>'Input RM sheet'!CV73/1000</f>
        <v>0.83099999999999996</v>
      </c>
      <c r="EO51" s="20">
        <f>'Input RM sheet'!CW73/1000</f>
        <v>0.83099999999999996</v>
      </c>
      <c r="EP51" s="20">
        <f>'Input RM sheet'!CX73/1000</f>
        <v>0.83099999999999996</v>
      </c>
      <c r="EQ51" s="20">
        <f>'Input RM sheet'!CY73/1000</f>
        <v>0.83099999999999996</v>
      </c>
      <c r="ER51" s="20">
        <f>'Input RM sheet'!CZ73/1000</f>
        <v>0.83299999999999996</v>
      </c>
      <c r="ES51" s="20">
        <f>'Input RM sheet'!DA73/1000</f>
        <v>0.83099999999999996</v>
      </c>
      <c r="ET51" s="20">
        <f>'Input RM sheet'!DB73/1000</f>
        <v>0.83099999999999996</v>
      </c>
      <c r="EU51" s="20">
        <f>'Input RM sheet'!DC73/1000</f>
        <v>0.82099999999999995</v>
      </c>
      <c r="EV51" s="20">
        <f>'Input RM sheet'!DD73/1000</f>
        <v>0.84399999999999997</v>
      </c>
      <c r="EW51" s="20">
        <f>'Input RM sheet'!DE73/1000</f>
        <v>0.89400000000000002</v>
      </c>
      <c r="EX51" s="20">
        <f>'Input RM sheet'!DF73/1000</f>
        <v>0.89400000000000002</v>
      </c>
      <c r="EY51" s="20">
        <f>'Input RM sheet'!DG73/1000</f>
        <v>0.89400000000000002</v>
      </c>
      <c r="EZ51" s="20">
        <f>'Input RM sheet'!DH73/1000</f>
        <v>0.89300000000000002</v>
      </c>
      <c r="FA51" s="20">
        <f>'Input RM sheet'!DI73/1000</f>
        <v>0.89300000000000002</v>
      </c>
      <c r="FB51" s="20">
        <f>'Input RM sheet'!DJ73/1000</f>
        <v>0.92</v>
      </c>
      <c r="FC51" s="20">
        <f>'Input RM sheet'!DK73/1000</f>
        <v>0.97599999999999998</v>
      </c>
      <c r="FD51" s="20">
        <f>'Input RM sheet'!DL73/1000</f>
        <v>0.97599999999999998</v>
      </c>
      <c r="FE51" s="20">
        <f>'Input RM sheet'!DM73/1000</f>
        <v>0.97599999999999998</v>
      </c>
      <c r="FF51" s="20">
        <f>'Input RM sheet'!DN73/1000</f>
        <v>1.0049999999999999</v>
      </c>
      <c r="FG51" s="20">
        <f>'Input RM sheet'!DO73/1000</f>
        <v>1.0249999999999999</v>
      </c>
      <c r="FH51" s="20">
        <f>'Input RM sheet'!DP73/1000</f>
        <v>1.0249999999999999</v>
      </c>
    </row>
    <row r="52" spans="1:164">
      <c r="A52" s="8" t="s">
        <v>248</v>
      </c>
      <c r="B52" s="263" t="s">
        <v>252</v>
      </c>
      <c r="C52" s="19">
        <f t="shared" si="64"/>
        <v>0.1903846153846156</v>
      </c>
      <c r="D52" s="19">
        <f t="shared" si="65"/>
        <v>-3.125E-2</v>
      </c>
      <c r="E52" s="19">
        <f t="shared" si="66"/>
        <v>-5.3749999999999964E-2</v>
      </c>
      <c r="F52" s="19">
        <f t="shared" si="67"/>
        <v>1.0000000000000009E-2</v>
      </c>
      <c r="G52" s="19">
        <f t="shared" si="68"/>
        <v>-2.5000000000000133E-2</v>
      </c>
      <c r="H52" s="19">
        <f t="shared" si="69"/>
        <v>4.0000000000000036E-2</v>
      </c>
      <c r="I52" s="19">
        <f t="shared" si="70"/>
        <v>-1.0000000000000009E-2</v>
      </c>
      <c r="J52" s="19">
        <f t="shared" si="63"/>
        <v>0</v>
      </c>
      <c r="K52" s="19">
        <f t="shared" si="44"/>
        <v>0</v>
      </c>
      <c r="L52" s="19">
        <f t="shared" si="1"/>
        <v>-1.4999999999999902E-2</v>
      </c>
      <c r="M52" s="19">
        <f t="shared" si="2"/>
        <v>-5.0000000000000044E-2</v>
      </c>
      <c r="N52" s="19">
        <f t="shared" si="3"/>
        <v>0</v>
      </c>
      <c r="O52" s="19">
        <f t="shared" si="4"/>
        <v>0</v>
      </c>
      <c r="P52" s="19">
        <f t="shared" si="5"/>
        <v>0</v>
      </c>
      <c r="Q52" s="19">
        <f t="shared" si="5"/>
        <v>0</v>
      </c>
      <c r="R52" s="19">
        <f t="shared" si="6"/>
        <v>0</v>
      </c>
      <c r="S52" s="19">
        <f t="shared" si="7"/>
        <v>0</v>
      </c>
      <c r="T52" s="19">
        <f t="shared" si="8"/>
        <v>-0.10000000000000009</v>
      </c>
      <c r="U52" s="19">
        <f t="shared" si="8"/>
        <v>0</v>
      </c>
      <c r="V52" s="19">
        <f t="shared" si="8"/>
        <v>0</v>
      </c>
      <c r="W52" s="19">
        <f t="shared" si="8"/>
        <v>-2.4999999999999911E-2</v>
      </c>
      <c r="X52" s="19">
        <f t="shared" si="55"/>
        <v>0</v>
      </c>
      <c r="Y52" s="19">
        <f t="shared" si="55"/>
        <v>0</v>
      </c>
      <c r="Z52" s="19">
        <f t="shared" si="9"/>
        <v>-2.4999999999999911E-2</v>
      </c>
      <c r="AA52" s="19">
        <f t="shared" si="10"/>
        <v>0</v>
      </c>
      <c r="AB52" s="19">
        <f t="shared" si="10"/>
        <v>0</v>
      </c>
      <c r="AC52" s="19">
        <f t="shared" si="10"/>
        <v>4.9999999999999822E-2</v>
      </c>
      <c r="AD52" s="19">
        <f t="shared" si="10"/>
        <v>0</v>
      </c>
      <c r="AE52" s="19">
        <f t="shared" si="11"/>
        <v>-2.4999999999999911E-2</v>
      </c>
      <c r="AF52" s="19">
        <f t="shared" si="11"/>
        <v>0</v>
      </c>
      <c r="AG52" s="19">
        <f t="shared" si="12"/>
        <v>0</v>
      </c>
      <c r="AH52" s="19">
        <f t="shared" si="13"/>
        <v>4.0000000000000036E-2</v>
      </c>
      <c r="AI52" s="19">
        <f t="shared" si="14"/>
        <v>0</v>
      </c>
      <c r="AJ52" s="19">
        <f t="shared" si="15"/>
        <v>2.4999999999999911E-2</v>
      </c>
      <c r="AK52" s="19">
        <f t="shared" si="16"/>
        <v>2.5000000000000133E-2</v>
      </c>
      <c r="AL52" s="19">
        <f t="shared" si="16"/>
        <v>0</v>
      </c>
      <c r="AM52" s="19">
        <f t="shared" si="17"/>
        <v>-4.0000000000000036E-2</v>
      </c>
      <c r="AN52" s="19">
        <f t="shared" si="18"/>
        <v>0</v>
      </c>
      <c r="AO52" s="19">
        <f t="shared" si="19"/>
        <v>0</v>
      </c>
      <c r="AP52" s="19">
        <f t="shared" si="20"/>
        <v>-2.5000000000000133E-2</v>
      </c>
      <c r="AQ52" s="19">
        <f t="shared" si="20"/>
        <v>0</v>
      </c>
      <c r="AR52" s="19">
        <f t="shared" si="20"/>
        <v>-4.9999999999999822E-2</v>
      </c>
      <c r="AS52" s="19">
        <f t="shared" si="21"/>
        <v>0</v>
      </c>
      <c r="AT52" s="19">
        <f t="shared" si="22"/>
        <v>2.4999999999999911E-2</v>
      </c>
      <c r="AU52" s="60"/>
      <c r="AV52" s="19">
        <f t="shared" si="23"/>
        <v>0</v>
      </c>
      <c r="AW52" s="19">
        <f t="shared" si="24"/>
        <v>0</v>
      </c>
      <c r="AX52" s="19">
        <f t="shared" si="25"/>
        <v>2.4999999999999911E-2</v>
      </c>
      <c r="AY52" s="19">
        <f t="shared" si="26"/>
        <v>0.10000000000000009</v>
      </c>
      <c r="AZ52" s="19">
        <f t="shared" si="27"/>
        <v>0</v>
      </c>
      <c r="BA52" s="19">
        <f t="shared" si="28"/>
        <v>0</v>
      </c>
      <c r="BB52" s="19">
        <f t="shared" si="61"/>
        <v>0</v>
      </c>
      <c r="BC52" s="19">
        <f t="shared" si="30"/>
        <v>-5.0000000000000044E-2</v>
      </c>
      <c r="BD52" s="19">
        <f t="shared" si="31"/>
        <v>-5.0000000000000044E-2</v>
      </c>
      <c r="BE52" s="19">
        <f t="shared" si="32"/>
        <v>-4.9999999999999822E-2</v>
      </c>
      <c r="BF52" s="19">
        <f t="shared" si="33"/>
        <v>2.4999999999999911E-2</v>
      </c>
      <c r="BG52" s="19">
        <f t="shared" si="33"/>
        <v>5.0000000000000044E-2</v>
      </c>
      <c r="BH52" s="19">
        <f t="shared" si="56"/>
        <v>-2.5000000000000133E-2</v>
      </c>
      <c r="BI52" s="19">
        <f t="shared" si="57"/>
        <v>-1.0000000000000009E-2</v>
      </c>
      <c r="BJ52" s="19">
        <f t="shared" si="35"/>
        <v>0</v>
      </c>
      <c r="BK52" s="19">
        <f t="shared" si="36"/>
        <v>0</v>
      </c>
      <c r="BL52" s="19">
        <f t="shared" si="45"/>
        <v>-2.4999999999999911E-2</v>
      </c>
      <c r="BM52" s="19">
        <f t="shared" si="45"/>
        <v>0</v>
      </c>
      <c r="BN52" s="19">
        <f t="shared" si="45"/>
        <v>6.0000000000000053E-2</v>
      </c>
      <c r="BO52" s="19">
        <f t="shared" si="45"/>
        <v>0</v>
      </c>
      <c r="BP52" s="19">
        <f t="shared" si="58"/>
        <v>0</v>
      </c>
      <c r="BQ52" s="19">
        <f t="shared" si="58"/>
        <v>2.4999999999999911E-2</v>
      </c>
      <c r="BR52" s="19">
        <f t="shared" si="58"/>
        <v>5.0000000000000044E-2</v>
      </c>
      <c r="BS52" s="19">
        <f t="shared" si="38"/>
        <v>-3.0000000000000027E-2</v>
      </c>
      <c r="BT52" s="19">
        <f t="shared" si="46"/>
        <v>-3.0000000000000027E-2</v>
      </c>
      <c r="BU52" s="19">
        <f t="shared" si="59"/>
        <v>-1.4999999999999902E-2</v>
      </c>
      <c r="BV52" s="19">
        <f t="shared" si="60"/>
        <v>0</v>
      </c>
      <c r="BW52" s="19">
        <f t="shared" si="40"/>
        <v>0</v>
      </c>
      <c r="BX52" s="19">
        <f t="shared" si="41"/>
        <v>0</v>
      </c>
      <c r="BY52" s="19">
        <f t="shared" si="41"/>
        <v>0</v>
      </c>
      <c r="BZ52" s="19">
        <f t="shared" si="41"/>
        <v>1.4999999999999902E-2</v>
      </c>
      <c r="CA52" s="19">
        <f t="shared" si="41"/>
        <v>-4.0000000000000036E-2</v>
      </c>
      <c r="CB52" s="19">
        <f t="shared" si="42"/>
        <v>0</v>
      </c>
      <c r="CC52" s="19">
        <f t="shared" si="42"/>
        <v>0</v>
      </c>
      <c r="CD52" s="19">
        <f t="shared" si="42"/>
        <v>5.0000000000000044E-2</v>
      </c>
      <c r="CE52" s="65"/>
      <c r="CG52" s="20">
        <f t="shared" si="47"/>
        <v>1.3053846153846156</v>
      </c>
      <c r="CH52" s="20">
        <f>'Input RM sheet'!AP69/1000</f>
        <v>1.115</v>
      </c>
      <c r="CI52" s="20">
        <f>'Input RM sheet'!AQ69/1000</f>
        <v>1.14625</v>
      </c>
      <c r="CJ52" s="20">
        <f>'Input RM sheet'!AR69/1000</f>
        <v>1.2</v>
      </c>
      <c r="CK52" s="20">
        <f>'Input RM sheet'!AS69/1000</f>
        <v>1.19</v>
      </c>
      <c r="CL52" s="20">
        <f>'Input RM sheet'!AT69/1000</f>
        <v>1.2150000000000001</v>
      </c>
      <c r="CM52" s="20">
        <f>'Input RM sheet'!AU69/1000</f>
        <v>1.175</v>
      </c>
      <c r="CN52" s="20">
        <f>'Input RM sheet'!AV69/1000</f>
        <v>1.1850000000000001</v>
      </c>
      <c r="CO52" s="20">
        <f>'Input RM sheet'!AW69/1000</f>
        <v>1.1850000000000001</v>
      </c>
      <c r="CP52" s="20">
        <f>'Input RM sheet'!AX69/1000</f>
        <v>1.1850000000000001</v>
      </c>
      <c r="CQ52" s="20">
        <f>'Input RM sheet'!AY69/1000</f>
        <v>1.2</v>
      </c>
      <c r="CR52" s="20">
        <f>'Input RM sheet'!AZ69/1000</f>
        <v>1.25</v>
      </c>
      <c r="CS52" s="20">
        <f>'Input RM sheet'!BA69/1000</f>
        <v>1.25</v>
      </c>
      <c r="CT52" s="20">
        <f>'Input RM sheet'!BB69/1000</f>
        <v>1.25</v>
      </c>
      <c r="CU52" s="20">
        <f>'Input RM sheet'!BC69/1000</f>
        <v>1.25</v>
      </c>
      <c r="CV52" s="20">
        <f>'Input RM sheet'!BD69/1000</f>
        <v>1.25</v>
      </c>
      <c r="CW52" s="20">
        <f>'Input RM sheet'!BE69/1000</f>
        <v>1.25</v>
      </c>
      <c r="CX52" s="20">
        <f>'Input RM sheet'!BF69/1000</f>
        <v>1.25</v>
      </c>
      <c r="CY52" s="20">
        <f>'Input RM sheet'!BG69/1000</f>
        <v>1.35</v>
      </c>
      <c r="CZ52" s="20">
        <f>'Input RM sheet'!BH69/1000</f>
        <v>1.35</v>
      </c>
      <c r="DA52" s="20">
        <f>'Input RM sheet'!BI69/1000</f>
        <v>1.35</v>
      </c>
      <c r="DB52" s="20">
        <f>'Input RM sheet'!BJ69/1000</f>
        <v>1.375</v>
      </c>
      <c r="DC52" s="20">
        <f>'Input RM sheet'!BK69/1000</f>
        <v>1.375</v>
      </c>
      <c r="DD52" s="20">
        <f>'Input RM sheet'!BL69/1000</f>
        <v>1.375</v>
      </c>
      <c r="DE52" s="20">
        <f>'Input RM sheet'!BM69/1000</f>
        <v>1.4</v>
      </c>
      <c r="DF52" s="20">
        <f>'Input RM sheet'!BN69/1000</f>
        <v>1.4</v>
      </c>
      <c r="DG52" s="20">
        <f>'Input RM sheet'!BO69/1000</f>
        <v>1.4</v>
      </c>
      <c r="DH52" s="20">
        <f>'Input RM sheet'!BP69/1000</f>
        <v>1.35</v>
      </c>
      <c r="DI52" s="20">
        <f>'Input RM sheet'!BQ69/1000</f>
        <v>1.35</v>
      </c>
      <c r="DJ52" s="20">
        <f>'Input RM sheet'!BR69/1000</f>
        <v>1.375</v>
      </c>
      <c r="DK52" s="20">
        <f>'Input RM sheet'!BS69/1000</f>
        <v>1.375</v>
      </c>
      <c r="DL52" s="20">
        <f>'Input RM sheet'!BT69/1000</f>
        <v>1.375</v>
      </c>
      <c r="DM52" s="20">
        <f>'Input RM sheet'!BU69/1000</f>
        <v>1.335</v>
      </c>
      <c r="DN52" s="20">
        <f>'Input RM sheet'!BV69/1000</f>
        <v>1.335</v>
      </c>
      <c r="DO52" s="20">
        <f>'Input RM sheet'!BW69/1000</f>
        <v>1.31</v>
      </c>
      <c r="DP52" s="20">
        <f>'Input RM sheet'!BX69/1000</f>
        <v>1.2849999999999999</v>
      </c>
      <c r="DQ52" s="20">
        <f>'Input RM sheet'!BY69/1000</f>
        <v>1.2849999999999999</v>
      </c>
      <c r="DR52" s="20">
        <f>'Input RM sheet'!BZ69/1000</f>
        <v>1.325</v>
      </c>
      <c r="DS52" s="20">
        <f>'Input RM sheet'!CA69/1000</f>
        <v>1.325</v>
      </c>
      <c r="DT52" s="20">
        <f>'Input RM sheet'!CB69/1000</f>
        <v>1.325</v>
      </c>
      <c r="DU52" s="20">
        <f>'Input RM sheet'!CC69/1000</f>
        <v>1.35</v>
      </c>
      <c r="DV52" s="20">
        <f>'Input RM sheet'!CD69/1000</f>
        <v>1.35</v>
      </c>
      <c r="DW52" s="20">
        <f>'Input RM sheet'!CE69/1000</f>
        <v>1.4</v>
      </c>
      <c r="DX52" s="20">
        <f>'Input RM sheet'!CF69/1000</f>
        <v>1.4</v>
      </c>
      <c r="DY52" s="20">
        <f>'Input RM sheet'!CG69/1000</f>
        <v>1.375</v>
      </c>
      <c r="DZ52" s="20">
        <f>'Input RM sheet'!CH69/1000</f>
        <v>1.375</v>
      </c>
      <c r="EA52" s="20">
        <f>'Input RM sheet'!CI69/1000</f>
        <v>1.375</v>
      </c>
      <c r="EB52" s="20">
        <f>'Input RM sheet'!CJ69/1000</f>
        <v>1.35</v>
      </c>
      <c r="EC52" s="20">
        <f>'Input RM sheet'!CK69/1000</f>
        <v>1.25</v>
      </c>
      <c r="ED52" s="20">
        <f>'Input RM sheet'!CL69/1000</f>
        <v>1.25</v>
      </c>
      <c r="EE52" s="20">
        <f>'Input RM sheet'!CM69/1000</f>
        <v>1.25</v>
      </c>
      <c r="EF52" s="20">
        <f>'Input RM sheet'!CN69/1000</f>
        <v>1.25</v>
      </c>
      <c r="EG52" s="20">
        <f>'Input RM sheet'!CO69/1000</f>
        <v>1.3</v>
      </c>
      <c r="EH52" s="20">
        <f>'Input RM sheet'!CP69/1000</f>
        <v>1.35</v>
      </c>
      <c r="EI52" s="20">
        <f>'Input RM sheet'!CQ69/1000</f>
        <v>1.4</v>
      </c>
      <c r="EJ52" s="20">
        <f>'Input RM sheet'!CR69/1000</f>
        <v>1.375</v>
      </c>
      <c r="EK52" s="20">
        <f>'Input RM sheet'!CS69/1000</f>
        <v>1.325</v>
      </c>
      <c r="EL52" s="20">
        <f>'Input RM sheet'!CT69/1000</f>
        <v>1.35</v>
      </c>
      <c r="EM52" s="20">
        <f>'Input RM sheet'!CU69/1000</f>
        <v>1.36</v>
      </c>
      <c r="EN52" s="20">
        <f>'Input RM sheet'!CV69/1000</f>
        <v>1.36</v>
      </c>
      <c r="EO52" s="20">
        <f>'Input RM sheet'!CW69/1000</f>
        <v>1.36</v>
      </c>
      <c r="EP52" s="20">
        <f>'Input RM sheet'!CX69/1000</f>
        <v>1.385</v>
      </c>
      <c r="EQ52" s="20">
        <f>'Input RM sheet'!CY69/1000</f>
        <v>1.385</v>
      </c>
      <c r="ER52" s="20">
        <f>'Input RM sheet'!CZ69/1000</f>
        <v>1.325</v>
      </c>
      <c r="ES52" s="20">
        <f>'Input RM sheet'!DA69/1000</f>
        <v>1.325</v>
      </c>
      <c r="ET52" s="20">
        <f>'Input RM sheet'!DB69/1000</f>
        <v>1.325</v>
      </c>
      <c r="EU52" s="20">
        <f>'Input RM sheet'!DC69/1000</f>
        <v>1.3</v>
      </c>
      <c r="EV52" s="20">
        <f>'Input RM sheet'!DD69/1000</f>
        <v>1.25</v>
      </c>
      <c r="EW52" s="20">
        <f>'Input RM sheet'!DE69/1000</f>
        <v>1.28</v>
      </c>
      <c r="EX52" s="20">
        <f>'Input RM sheet'!DF69/1000</f>
        <v>1.31</v>
      </c>
      <c r="EY52" s="20">
        <f>'Input RM sheet'!DG69/1000</f>
        <v>1.325</v>
      </c>
      <c r="EZ52" s="20">
        <f>'Input RM sheet'!DH69/1000</f>
        <v>1.325</v>
      </c>
      <c r="FA52" s="20">
        <f>'Input RM sheet'!DI69/1000</f>
        <v>1.325</v>
      </c>
      <c r="FB52" s="20">
        <f>'Input RM sheet'!DJ69/1000</f>
        <v>1.325</v>
      </c>
      <c r="FC52" s="20">
        <f>'Input RM sheet'!DK69/1000</f>
        <v>1.325</v>
      </c>
      <c r="FD52" s="20">
        <f>'Input RM sheet'!DL69/1000</f>
        <v>1.31</v>
      </c>
      <c r="FE52" s="20">
        <f>'Input RM sheet'!DM69/1000</f>
        <v>1.35</v>
      </c>
      <c r="FF52" s="20">
        <f>'Input RM sheet'!DN69/1000</f>
        <v>1.35</v>
      </c>
      <c r="FG52" s="20">
        <f>'Input RM sheet'!DO69/1000</f>
        <v>1.35</v>
      </c>
      <c r="FH52" s="20">
        <f>'Input RM sheet'!DP69/1000</f>
        <v>1.3</v>
      </c>
    </row>
    <row r="53" spans="1:164">
      <c r="A53" s="8" t="s">
        <v>229</v>
      </c>
      <c r="B53" s="263" t="s">
        <v>253</v>
      </c>
      <c r="C53" s="19">
        <f t="shared" si="64"/>
        <v>2.948717948718016E-2</v>
      </c>
      <c r="D53" s="19">
        <f t="shared" si="65"/>
        <v>-2.9999999999999916E-2</v>
      </c>
      <c r="E53" s="19">
        <f t="shared" si="66"/>
        <v>2.9999999999999916E-2</v>
      </c>
      <c r="F53" s="19">
        <f t="shared" si="67"/>
        <v>-5.0000000000000044E-3</v>
      </c>
      <c r="G53" s="19">
        <f t="shared" si="68"/>
        <v>5.0000000000000044E-3</v>
      </c>
      <c r="H53" s="19">
        <f t="shared" si="69"/>
        <v>-1.5000000000000013E-2</v>
      </c>
      <c r="I53" s="19">
        <f t="shared" si="70"/>
        <v>0.12</v>
      </c>
      <c r="J53" s="19">
        <f t="shared" si="63"/>
        <v>0</v>
      </c>
      <c r="K53" s="19">
        <f t="shared" si="44"/>
        <v>0</v>
      </c>
      <c r="L53" s="19">
        <f t="shared" si="1"/>
        <v>0</v>
      </c>
      <c r="M53" s="19">
        <f t="shared" si="2"/>
        <v>-2.0000000000000018E-2</v>
      </c>
      <c r="N53" s="19">
        <f t="shared" si="3"/>
        <v>-1.0000000000000009E-2</v>
      </c>
      <c r="O53" s="19">
        <f t="shared" si="4"/>
        <v>0</v>
      </c>
      <c r="P53" s="19">
        <f t="shared" si="5"/>
        <v>-5.9999999999999942E-2</v>
      </c>
      <c r="Q53" s="19">
        <f t="shared" si="5"/>
        <v>-9.000000000000008E-2</v>
      </c>
      <c r="R53" s="19">
        <f t="shared" si="6"/>
        <v>0</v>
      </c>
      <c r="S53" s="19">
        <f t="shared" si="7"/>
        <v>0</v>
      </c>
      <c r="T53" s="19">
        <f t="shared" si="8"/>
        <v>0</v>
      </c>
      <c r="U53" s="19">
        <f t="shared" si="8"/>
        <v>0</v>
      </c>
      <c r="V53" s="19">
        <f t="shared" si="8"/>
        <v>-2.4999999999999911E-2</v>
      </c>
      <c r="W53" s="19">
        <f t="shared" si="8"/>
        <v>2.4999999999999911E-2</v>
      </c>
      <c r="X53" s="19">
        <f t="shared" si="55"/>
        <v>5.0000000000000044E-2</v>
      </c>
      <c r="Y53" s="19">
        <f t="shared" si="55"/>
        <v>2.5000000000000022E-2</v>
      </c>
      <c r="Z53" s="19">
        <f t="shared" si="9"/>
        <v>0</v>
      </c>
      <c r="AA53" s="19">
        <f t="shared" si="10"/>
        <v>0</v>
      </c>
      <c r="AB53" s="19">
        <f t="shared" si="10"/>
        <v>0</v>
      </c>
      <c r="AC53" s="19">
        <f t="shared" si="10"/>
        <v>0</v>
      </c>
      <c r="AD53" s="19">
        <f t="shared" si="10"/>
        <v>0</v>
      </c>
      <c r="AE53" s="19">
        <f t="shared" si="11"/>
        <v>-2.5000000000000022E-2</v>
      </c>
      <c r="AF53" s="19">
        <f t="shared" si="11"/>
        <v>0</v>
      </c>
      <c r="AG53" s="19">
        <f t="shared" si="12"/>
        <v>-6.4999999999999947E-2</v>
      </c>
      <c r="AH53" s="19">
        <f t="shared" si="13"/>
        <v>-2.0000000000000018E-2</v>
      </c>
      <c r="AI53" s="19">
        <f t="shared" si="14"/>
        <v>0</v>
      </c>
      <c r="AJ53" s="19">
        <f t="shared" si="15"/>
        <v>0</v>
      </c>
      <c r="AK53" s="19">
        <f t="shared" si="16"/>
        <v>0</v>
      </c>
      <c r="AL53" s="19">
        <f t="shared" si="16"/>
        <v>0</v>
      </c>
      <c r="AM53" s="19">
        <f t="shared" si="17"/>
        <v>0</v>
      </c>
      <c r="AN53" s="19">
        <f t="shared" si="18"/>
        <v>2.4999999999999467E-3</v>
      </c>
      <c r="AO53" s="19">
        <f t="shared" si="19"/>
        <v>0</v>
      </c>
      <c r="AP53" s="19">
        <f t="shared" si="20"/>
        <v>7.5000000000000622E-3</v>
      </c>
      <c r="AQ53" s="19">
        <f t="shared" si="20"/>
        <v>4.4999999999999929E-2</v>
      </c>
      <c r="AR53" s="19">
        <f t="shared" si="20"/>
        <v>0</v>
      </c>
      <c r="AS53" s="19">
        <f t="shared" si="21"/>
        <v>-1.6999999999999904E-2</v>
      </c>
      <c r="AT53" s="19">
        <f t="shared" si="22"/>
        <v>0</v>
      </c>
      <c r="AU53" s="60"/>
      <c r="AV53" s="19">
        <f t="shared" si="23"/>
        <v>0</v>
      </c>
      <c r="AW53" s="19">
        <f t="shared" si="24"/>
        <v>2.0000000000000018E-3</v>
      </c>
      <c r="AX53" s="19">
        <f t="shared" si="25"/>
        <v>4.9999999999998934E-3</v>
      </c>
      <c r="AY53" s="19">
        <f t="shared" si="26"/>
        <v>-2.6999999999999913E-2</v>
      </c>
      <c r="AZ53" s="19">
        <f t="shared" si="27"/>
        <v>0</v>
      </c>
      <c r="BA53" s="19">
        <f t="shared" si="28"/>
        <v>0</v>
      </c>
      <c r="BB53" s="19">
        <f t="shared" si="61"/>
        <v>0</v>
      </c>
      <c r="BC53" s="19">
        <f t="shared" si="30"/>
        <v>0</v>
      </c>
      <c r="BD53" s="19">
        <f t="shared" si="31"/>
        <v>-8.0000000000000071E-3</v>
      </c>
      <c r="BE53" s="19">
        <f t="shared" si="32"/>
        <v>0</v>
      </c>
      <c r="BF53" s="19">
        <f t="shared" si="33"/>
        <v>0</v>
      </c>
      <c r="BG53" s="19">
        <f t="shared" si="33"/>
        <v>0</v>
      </c>
      <c r="BH53" s="19">
        <f t="shared" si="56"/>
        <v>0</v>
      </c>
      <c r="BI53" s="19">
        <f t="shared" si="57"/>
        <v>3.0000000000000027E-2</v>
      </c>
      <c r="BJ53" s="19">
        <f t="shared" si="35"/>
        <v>2.0000000000000018E-2</v>
      </c>
      <c r="BK53" s="19">
        <f t="shared" si="36"/>
        <v>0</v>
      </c>
      <c r="BL53" s="19">
        <f t="shared" si="45"/>
        <v>0</v>
      </c>
      <c r="BM53" s="19">
        <f t="shared" si="45"/>
        <v>0</v>
      </c>
      <c r="BN53" s="19">
        <f t="shared" si="45"/>
        <v>3.499999999999992E-2</v>
      </c>
      <c r="BO53" s="19">
        <f t="shared" si="45"/>
        <v>5.0000000000000044E-2</v>
      </c>
      <c r="BP53" s="19">
        <f t="shared" si="58"/>
        <v>0</v>
      </c>
      <c r="BQ53" s="19">
        <f t="shared" si="58"/>
        <v>0</v>
      </c>
      <c r="BR53" s="19">
        <f t="shared" si="58"/>
        <v>0</v>
      </c>
      <c r="BS53" s="19">
        <f t="shared" si="38"/>
        <v>0</v>
      </c>
      <c r="BT53" s="19">
        <f t="shared" si="46"/>
        <v>3.9999999999999925E-2</v>
      </c>
      <c r="BU53" s="19">
        <f t="shared" si="59"/>
        <v>-1.0000000000000009E-2</v>
      </c>
      <c r="BV53" s="19">
        <f t="shared" si="60"/>
        <v>0</v>
      </c>
      <c r="BW53" s="19">
        <f t="shared" si="40"/>
        <v>5.0000000000000044E-3</v>
      </c>
      <c r="BX53" s="19">
        <f t="shared" si="41"/>
        <v>0</v>
      </c>
      <c r="BY53" s="19">
        <f t="shared" si="41"/>
        <v>4.0000000000000036E-2</v>
      </c>
      <c r="BZ53" s="19">
        <f t="shared" si="41"/>
        <v>0</v>
      </c>
      <c r="CA53" s="19">
        <f t="shared" si="41"/>
        <v>0</v>
      </c>
      <c r="CB53" s="19">
        <f t="shared" si="42"/>
        <v>-5.0000000000000044E-3</v>
      </c>
      <c r="CC53" s="19">
        <f t="shared" si="42"/>
        <v>1.5000000000000013E-2</v>
      </c>
      <c r="CD53" s="19">
        <f t="shared" si="42"/>
        <v>5.0000000000000044E-3</v>
      </c>
      <c r="CE53" s="65"/>
      <c r="CG53" s="20">
        <f t="shared" si="47"/>
        <v>1.0044871794871801</v>
      </c>
      <c r="CH53" s="20">
        <f>'Input RM sheet'!AP71/1000</f>
        <v>0.97499999999999998</v>
      </c>
      <c r="CI53" s="20">
        <f>'Input RM sheet'!AQ71/1000</f>
        <v>1.0049999999999999</v>
      </c>
      <c r="CJ53" s="20">
        <f>'Input RM sheet'!AR71/1000</f>
        <v>0.97499999999999998</v>
      </c>
      <c r="CK53" s="20">
        <f>'Input RM sheet'!AS71/1000</f>
        <v>0.98</v>
      </c>
      <c r="CL53" s="20">
        <f>'Input RM sheet'!AT71/1000</f>
        <v>0.97499999999999998</v>
      </c>
      <c r="CM53" s="20">
        <f>'Input RM sheet'!AU71/1000</f>
        <v>0.99</v>
      </c>
      <c r="CN53" s="20">
        <f>'Input RM sheet'!AV71/1000</f>
        <v>0.87</v>
      </c>
      <c r="CO53" s="20">
        <f>'Input RM sheet'!AW71/1000</f>
        <v>0.87</v>
      </c>
      <c r="CP53" s="20">
        <f>'Input RM sheet'!AX71/1000</f>
        <v>0.87</v>
      </c>
      <c r="CQ53" s="20">
        <f>'Input RM sheet'!AY71/1000</f>
        <v>0.87</v>
      </c>
      <c r="CR53" s="20">
        <f>'Input RM sheet'!AZ71/1000</f>
        <v>0.89</v>
      </c>
      <c r="CS53" s="20">
        <f>'Input RM sheet'!BA71/1000</f>
        <v>0.9</v>
      </c>
      <c r="CT53" s="20">
        <f>'Input RM sheet'!BB71/1000</f>
        <v>0.9</v>
      </c>
      <c r="CU53" s="20">
        <f>'Input RM sheet'!BC71/1000</f>
        <v>0.96</v>
      </c>
      <c r="CV53" s="20">
        <f>'Input RM sheet'!BD71/1000</f>
        <v>1.05</v>
      </c>
      <c r="CW53" s="20">
        <f>'Input RM sheet'!BE71/1000</f>
        <v>1.05</v>
      </c>
      <c r="CX53" s="20">
        <f>'Input RM sheet'!BF71/1000</f>
        <v>1.05</v>
      </c>
      <c r="CY53" s="20">
        <f>'Input RM sheet'!BG71/1000</f>
        <v>1.05</v>
      </c>
      <c r="CZ53" s="20">
        <f>'Input RM sheet'!BH71/1000</f>
        <v>1.05</v>
      </c>
      <c r="DA53" s="20">
        <f>'Input RM sheet'!BI71/1000</f>
        <v>1.075</v>
      </c>
      <c r="DB53" s="20">
        <f>'Input RM sheet'!BJ71/1000</f>
        <v>1.05</v>
      </c>
      <c r="DC53" s="20">
        <f>'Input RM sheet'!BK71/1000</f>
        <v>1</v>
      </c>
      <c r="DD53" s="20">
        <f>'Input RM sheet'!BL71/1000</f>
        <v>0.97499999999999998</v>
      </c>
      <c r="DE53" s="20">
        <f>'Input RM sheet'!BM71/1000</f>
        <v>0.97499999999999998</v>
      </c>
      <c r="DF53" s="20">
        <f>'Input RM sheet'!BN71/1000</f>
        <v>0.97499999999999998</v>
      </c>
      <c r="DG53" s="20">
        <f>'Input RM sheet'!BO71/1000</f>
        <v>0.97499999999999998</v>
      </c>
      <c r="DH53" s="20">
        <f>'Input RM sheet'!BP71/1000</f>
        <v>0.97499999999999998</v>
      </c>
      <c r="DI53" s="20">
        <f>'Input RM sheet'!BQ71/1000</f>
        <v>0.97499999999999998</v>
      </c>
      <c r="DJ53" s="20">
        <f>'Input RM sheet'!BR71/1000</f>
        <v>1</v>
      </c>
      <c r="DK53" s="20">
        <f>'Input RM sheet'!BS71/1000</f>
        <v>1</v>
      </c>
      <c r="DL53" s="20">
        <f>'Input RM sheet'!BT71/1000</f>
        <v>1.0649999999999999</v>
      </c>
      <c r="DM53" s="20">
        <f>'Input RM sheet'!BU71/1000</f>
        <v>1.085</v>
      </c>
      <c r="DN53" s="20">
        <f>'Input RM sheet'!BV71/1000</f>
        <v>1.085</v>
      </c>
      <c r="DO53" s="20">
        <f>'Input RM sheet'!BW71/1000</f>
        <v>1.085</v>
      </c>
      <c r="DP53" s="20">
        <f>'Input RM sheet'!BX71/1000</f>
        <v>1.085</v>
      </c>
      <c r="DQ53" s="20">
        <f>'Input RM sheet'!BY71/1000</f>
        <v>1.085</v>
      </c>
      <c r="DR53" s="20">
        <f>'Input RM sheet'!BZ71/1000</f>
        <v>1.085</v>
      </c>
      <c r="DS53" s="20">
        <f>'Input RM sheet'!CA71/1000</f>
        <v>1.0825</v>
      </c>
      <c r="DT53" s="20">
        <f>'Input RM sheet'!CB71/1000</f>
        <v>1.0825</v>
      </c>
      <c r="DU53" s="20">
        <f>'Input RM sheet'!CC71/1000</f>
        <v>1.075</v>
      </c>
      <c r="DV53" s="20">
        <f>'Input RM sheet'!CD71/1000</f>
        <v>1.03</v>
      </c>
      <c r="DW53" s="20">
        <f>'Input RM sheet'!CE71/1000</f>
        <v>1.03</v>
      </c>
      <c r="DX53" s="20">
        <f>'Input RM sheet'!CF71/1000</f>
        <v>1.0469999999999999</v>
      </c>
      <c r="DY53" s="20">
        <f>'Input RM sheet'!CG71/1000</f>
        <v>1.0469999999999999</v>
      </c>
      <c r="DZ53" s="20">
        <f>'Input RM sheet'!CH71/1000</f>
        <v>1.0469999999999999</v>
      </c>
      <c r="EA53" s="20">
        <f>'Input RM sheet'!CI71/1000</f>
        <v>1.0449999999999999</v>
      </c>
      <c r="EB53" s="20">
        <f>'Input RM sheet'!CJ71/1000</f>
        <v>1.04</v>
      </c>
      <c r="EC53" s="20">
        <f>'Input RM sheet'!CK71/1000</f>
        <v>1.0669999999999999</v>
      </c>
      <c r="ED53" s="20">
        <f>'Input RM sheet'!CL71/1000</f>
        <v>1.0669999999999999</v>
      </c>
      <c r="EE53" s="20">
        <f>'Input RM sheet'!CM71/1000</f>
        <v>1.0669999999999999</v>
      </c>
      <c r="EF53" s="20">
        <f>'Input RM sheet'!CN71/1000</f>
        <v>1.0669999999999999</v>
      </c>
      <c r="EG53" s="20">
        <f>'Input RM sheet'!CO71/1000</f>
        <v>1.0669999999999999</v>
      </c>
      <c r="EH53" s="20">
        <f>'Input RM sheet'!CP71/1000</f>
        <v>1.075</v>
      </c>
      <c r="EI53" s="20">
        <f>'Input RM sheet'!CQ71/1000</f>
        <v>1.075</v>
      </c>
      <c r="EJ53" s="20">
        <f>'Input RM sheet'!CR71/1000</f>
        <v>1.075</v>
      </c>
      <c r="EK53" s="20">
        <f>'Input RM sheet'!CS71/1000</f>
        <v>1.075</v>
      </c>
      <c r="EL53" s="20">
        <f>'Input RM sheet'!CT71/1000</f>
        <v>1.075</v>
      </c>
      <c r="EM53" s="20">
        <f>'Input RM sheet'!CU71/1000</f>
        <v>1.0449999999999999</v>
      </c>
      <c r="EN53" s="20">
        <f>'Input RM sheet'!CV71/1000</f>
        <v>1.0249999999999999</v>
      </c>
      <c r="EO53" s="20">
        <f>'Input RM sheet'!CW71/1000</f>
        <v>1.0249999999999999</v>
      </c>
      <c r="EP53" s="20">
        <f>'Input RM sheet'!CX71/1000</f>
        <v>1.0249999999999999</v>
      </c>
      <c r="EQ53" s="20">
        <f>'Input RM sheet'!CY71/1000</f>
        <v>1.0249999999999999</v>
      </c>
      <c r="ER53" s="20">
        <f>'Input RM sheet'!CZ71/1000</f>
        <v>0.99</v>
      </c>
      <c r="ES53" s="20">
        <f>'Input RM sheet'!DA71/1000</f>
        <v>0.94</v>
      </c>
      <c r="ET53" s="20">
        <f>'Input RM sheet'!DB71/1000</f>
        <v>0.94</v>
      </c>
      <c r="EU53" s="20">
        <f>'Input RM sheet'!DC71/1000</f>
        <v>0.94</v>
      </c>
      <c r="EV53" s="20">
        <f>'Input RM sheet'!DD71/1000</f>
        <v>0.94</v>
      </c>
      <c r="EW53" s="20">
        <f>'Input RM sheet'!DE71/1000</f>
        <v>0.94</v>
      </c>
      <c r="EX53" s="20">
        <f>'Input RM sheet'!DF71/1000</f>
        <v>0.9</v>
      </c>
      <c r="EY53" s="20">
        <f>'Input RM sheet'!DG71/1000</f>
        <v>0.91</v>
      </c>
      <c r="EZ53" s="20">
        <f>'Input RM sheet'!DH71/1000</f>
        <v>0.91</v>
      </c>
      <c r="FA53" s="20">
        <f>'Input RM sheet'!DI71/1000</f>
        <v>0.90500000000000003</v>
      </c>
      <c r="FB53" s="20">
        <f>'Input RM sheet'!DJ71/1000</f>
        <v>0.90500000000000003</v>
      </c>
      <c r="FC53" s="20">
        <f>'Input RM sheet'!DK71/1000</f>
        <v>0.86499999999999999</v>
      </c>
      <c r="FD53" s="20">
        <f>'Input RM sheet'!DL71/1000</f>
        <v>0.86499999999999999</v>
      </c>
      <c r="FE53" s="20">
        <f>'Input RM sheet'!DM71/1000</f>
        <v>0.86499999999999999</v>
      </c>
      <c r="FF53" s="20">
        <f>'Input RM sheet'!DN71/1000</f>
        <v>0.87</v>
      </c>
      <c r="FG53" s="20">
        <f>'Input RM sheet'!DO71/1000</f>
        <v>0.85499999999999998</v>
      </c>
      <c r="FH53" s="20">
        <f>'Input RM sheet'!DP71/1000</f>
        <v>0.85</v>
      </c>
    </row>
    <row r="54" spans="1:164">
      <c r="A54" s="8" t="s">
        <v>229</v>
      </c>
      <c r="B54" s="263" t="s">
        <v>254</v>
      </c>
      <c r="C54" s="19">
        <f t="shared" si="64"/>
        <v>8.1777179487179774E-2</v>
      </c>
      <c r="D54" s="19">
        <f t="shared" si="65"/>
        <v>-0.11192999999999986</v>
      </c>
      <c r="E54" s="19">
        <f t="shared" si="66"/>
        <v>1.8669999999999742E-2</v>
      </c>
      <c r="F54" s="19">
        <f t="shared" si="67"/>
        <v>-8.2599999999999341E-3</v>
      </c>
      <c r="G54" s="19">
        <f t="shared" si="68"/>
        <v>-3.3800000000000274E-2</v>
      </c>
      <c r="H54" s="19">
        <f t="shared" si="69"/>
        <v>7.4490000000000389E-2</v>
      </c>
      <c r="I54" s="19">
        <f t="shared" si="70"/>
        <v>0</v>
      </c>
      <c r="J54" s="19">
        <f t="shared" si="63"/>
        <v>0</v>
      </c>
      <c r="K54" s="19">
        <f t="shared" si="44"/>
        <v>0</v>
      </c>
      <c r="L54" s="19">
        <f t="shared" si="1"/>
        <v>0</v>
      </c>
      <c r="M54" s="19">
        <f t="shared" si="2"/>
        <v>-4.8960000000000115E-2</v>
      </c>
      <c r="N54" s="19">
        <f t="shared" si="3"/>
        <v>0</v>
      </c>
      <c r="O54" s="19">
        <f t="shared" si="4"/>
        <v>0</v>
      </c>
      <c r="P54" s="19">
        <f t="shared" si="5"/>
        <v>0</v>
      </c>
      <c r="Q54" s="19">
        <f t="shared" si="5"/>
        <v>-9.7900000000000098E-2</v>
      </c>
      <c r="R54" s="19">
        <f t="shared" si="6"/>
        <v>0</v>
      </c>
      <c r="S54" s="19">
        <f t="shared" si="7"/>
        <v>0</v>
      </c>
      <c r="T54" s="19">
        <f t="shared" si="8"/>
        <v>0</v>
      </c>
      <c r="U54" s="19">
        <f t="shared" si="8"/>
        <v>1.8119999999999914E-2</v>
      </c>
      <c r="V54" s="19">
        <f t="shared" si="8"/>
        <v>0</v>
      </c>
      <c r="W54" s="19">
        <f t="shared" si="8"/>
        <v>0</v>
      </c>
      <c r="X54" s="19">
        <f t="shared" si="55"/>
        <v>0</v>
      </c>
      <c r="Y54" s="19">
        <f t="shared" si="55"/>
        <v>0.11467000000000005</v>
      </c>
      <c r="Z54" s="19">
        <f t="shared" si="9"/>
        <v>0</v>
      </c>
      <c r="AA54" s="19">
        <f t="shared" si="10"/>
        <v>0</v>
      </c>
      <c r="AB54" s="19">
        <f t="shared" si="10"/>
        <v>0</v>
      </c>
      <c r="AC54" s="19">
        <f t="shared" si="10"/>
        <v>4.8340000000000272E-2</v>
      </c>
      <c r="AD54" s="19">
        <f t="shared" si="10"/>
        <v>0</v>
      </c>
      <c r="AE54" s="19">
        <f t="shared" si="11"/>
        <v>0</v>
      </c>
      <c r="AF54" s="19">
        <f t="shared" si="11"/>
        <v>0</v>
      </c>
      <c r="AG54" s="19">
        <f t="shared" si="12"/>
        <v>5.3369999999999695E-2</v>
      </c>
      <c r="AH54" s="19">
        <f t="shared" si="13"/>
        <v>0</v>
      </c>
      <c r="AI54" s="19">
        <f t="shared" si="14"/>
        <v>0</v>
      </c>
      <c r="AJ54" s="19">
        <f t="shared" si="15"/>
        <v>0</v>
      </c>
      <c r="AK54" s="19">
        <f t="shared" si="16"/>
        <v>-3.711999999999982E-2</v>
      </c>
      <c r="AL54" s="19">
        <f t="shared" si="16"/>
        <v>0</v>
      </c>
      <c r="AM54" s="19">
        <f t="shared" si="17"/>
        <v>0</v>
      </c>
      <c r="AN54" s="19">
        <f t="shared" si="18"/>
        <v>0</v>
      </c>
      <c r="AO54" s="19">
        <f t="shared" si="19"/>
        <v>-5.9760000000000257E-2</v>
      </c>
      <c r="AP54" s="19">
        <f t="shared" si="20"/>
        <v>0</v>
      </c>
      <c r="AQ54" s="19">
        <f t="shared" si="20"/>
        <v>0</v>
      </c>
      <c r="AR54" s="19">
        <f t="shared" si="20"/>
        <v>0</v>
      </c>
      <c r="AS54" s="19">
        <f t="shared" si="21"/>
        <v>-5.5859999999999577E-2</v>
      </c>
      <c r="AT54" s="19">
        <f t="shared" si="22"/>
        <v>0</v>
      </c>
      <c r="AU54" s="60" t="s">
        <v>296</v>
      </c>
      <c r="AV54" s="19">
        <f t="shared" si="23"/>
        <v>0</v>
      </c>
      <c r="AW54" s="19">
        <f t="shared" si="24"/>
        <v>0</v>
      </c>
      <c r="AX54" s="19">
        <f t="shared" si="25"/>
        <v>-4.2590000000000128E-2</v>
      </c>
      <c r="AY54" s="19">
        <f t="shared" si="26"/>
        <v>0</v>
      </c>
      <c r="AZ54" s="19">
        <f t="shared" si="27"/>
        <v>0</v>
      </c>
      <c r="BA54" s="19">
        <f t="shared" si="28"/>
        <v>0</v>
      </c>
      <c r="BB54" s="19">
        <f t="shared" si="61"/>
        <v>0</v>
      </c>
      <c r="BC54" s="19">
        <f t="shared" si="30"/>
        <v>8.1630000000000091E-2</v>
      </c>
      <c r="BD54" s="19">
        <f t="shared" si="31"/>
        <v>0</v>
      </c>
      <c r="BE54" s="19">
        <f t="shared" si="32"/>
        <v>0</v>
      </c>
      <c r="BF54" s="19">
        <f t="shared" si="33"/>
        <v>0</v>
      </c>
      <c r="BG54" s="19">
        <f t="shared" si="33"/>
        <v>4.3429999999999858E-2</v>
      </c>
      <c r="BH54" s="19">
        <f t="shared" si="56"/>
        <v>0</v>
      </c>
      <c r="BI54" s="19">
        <f t="shared" si="57"/>
        <v>0</v>
      </c>
      <c r="BJ54" s="19">
        <f t="shared" si="35"/>
        <v>0</v>
      </c>
      <c r="BK54" s="19">
        <f t="shared" si="36"/>
        <v>-1.9659999999999789E-2</v>
      </c>
      <c r="BL54" s="19">
        <f t="shared" si="45"/>
        <v>0</v>
      </c>
      <c r="BM54" s="19">
        <f t="shared" si="45"/>
        <v>0</v>
      </c>
      <c r="BN54" s="19">
        <f t="shared" si="45"/>
        <v>0</v>
      </c>
      <c r="BO54" s="19">
        <f t="shared" si="45"/>
        <v>6.724999999999981E-2</v>
      </c>
      <c r="BP54" s="19">
        <f t="shared" si="58"/>
        <v>0</v>
      </c>
      <c r="BQ54" s="19">
        <f t="shared" si="58"/>
        <v>0</v>
      </c>
      <c r="BR54" s="19">
        <f t="shared" si="58"/>
        <v>0</v>
      </c>
      <c r="BS54" s="19">
        <f t="shared" si="38"/>
        <v>9.5230000000000148E-2</v>
      </c>
      <c r="BT54" s="19">
        <f t="shared" si="46"/>
        <v>0</v>
      </c>
      <c r="BU54" s="19">
        <f t="shared" si="59"/>
        <v>0</v>
      </c>
      <c r="BV54" s="19">
        <f t="shared" si="60"/>
        <v>0</v>
      </c>
      <c r="BW54" s="19">
        <f t="shared" si="40"/>
        <v>-6.8000000000023597E-4</v>
      </c>
      <c r="BX54" s="19">
        <f t="shared" si="41"/>
        <v>0</v>
      </c>
      <c r="BY54" s="19">
        <f t="shared" si="41"/>
        <v>0</v>
      </c>
      <c r="BZ54" s="19">
        <f t="shared" si="41"/>
        <v>0</v>
      </c>
      <c r="CA54" s="19">
        <f t="shared" si="41"/>
        <v>0.71532000000000007</v>
      </c>
      <c r="CB54" s="19">
        <f t="shared" si="42"/>
        <v>0</v>
      </c>
      <c r="CC54" s="19">
        <f t="shared" si="42"/>
        <v>0</v>
      </c>
      <c r="CD54" s="19">
        <f t="shared" si="42"/>
        <v>0</v>
      </c>
      <c r="CE54" s="65"/>
      <c r="CG54" s="20">
        <f t="shared" si="47"/>
        <v>1.2657771794871797</v>
      </c>
      <c r="CH54" s="20">
        <f>('Input RM sheet'!AP79+370)/1000</f>
        <v>1.1839999999999999</v>
      </c>
      <c r="CI54" s="20">
        <f>('Input RM sheet'!AQ79+370)/1000</f>
        <v>1.2959299999999998</v>
      </c>
      <c r="CJ54" s="20">
        <f>('Input RM sheet'!AR79+370)/1000</f>
        <v>1.2772600000000001</v>
      </c>
      <c r="CK54" s="20">
        <f>('Input RM sheet'!AS79+370)/1000</f>
        <v>1.28552</v>
      </c>
      <c r="CL54" s="20">
        <f>('Input RM sheet'!AT79+370)/1000</f>
        <v>1.3193200000000003</v>
      </c>
      <c r="CM54" s="20">
        <f>('Input RM sheet'!AU79+370)/1000</f>
        <v>1.2448299999999999</v>
      </c>
      <c r="CN54" s="20">
        <f>('Input RM sheet'!AV79+370)/1000</f>
        <v>1.2448299999999999</v>
      </c>
      <c r="CO54" s="20">
        <f>('Input RM sheet'!AW79+370)/1000</f>
        <v>1.2448299999999999</v>
      </c>
      <c r="CP54" s="20">
        <f>('Input RM sheet'!AX79+370)/1000</f>
        <v>1.2448299999999999</v>
      </c>
      <c r="CQ54" s="20">
        <f>('Input RM sheet'!AY79+370)/1000</f>
        <v>1.2448299999999999</v>
      </c>
      <c r="CR54" s="20">
        <f>('Input RM sheet'!AZ79+370)/1000</f>
        <v>1.29379</v>
      </c>
      <c r="CS54" s="20">
        <f>('Input RM sheet'!BA79+370)/1000</f>
        <v>1.29379</v>
      </c>
      <c r="CT54" s="20">
        <f>('Input RM sheet'!BB79+370)/1000</f>
        <v>1.29379</v>
      </c>
      <c r="CU54" s="20">
        <f>('Input RM sheet'!BC79+370)/1000</f>
        <v>1.29379</v>
      </c>
      <c r="CV54" s="20">
        <f>('Input RM sheet'!BD79+370)/1000</f>
        <v>1.3916900000000001</v>
      </c>
      <c r="CW54" s="20">
        <f>('Input RM sheet'!BE79+370)/1000</f>
        <v>1.3916900000000001</v>
      </c>
      <c r="CX54" s="20">
        <f>('Input RM sheet'!BF79+370)/1000</f>
        <v>1.3916900000000001</v>
      </c>
      <c r="CY54" s="20">
        <f>('Input RM sheet'!BG79+370)/1000</f>
        <v>1.3916900000000001</v>
      </c>
      <c r="CZ54" s="20">
        <f>('Input RM sheet'!BH79+370)/1000</f>
        <v>1.3735700000000002</v>
      </c>
      <c r="DA54" s="20">
        <f>('Input RM sheet'!BI79+370)/1000</f>
        <v>1.3735700000000002</v>
      </c>
      <c r="DB54" s="20">
        <f>('Input RM sheet'!BJ79+370)/1000</f>
        <v>1.3735700000000002</v>
      </c>
      <c r="DC54" s="20">
        <f>('Input RM sheet'!BK79+370)/1000</f>
        <v>1.3735700000000002</v>
      </c>
      <c r="DD54" s="20">
        <f>('Input RM sheet'!BL79+370)/1000</f>
        <v>1.2589000000000001</v>
      </c>
      <c r="DE54" s="20">
        <f>('Input RM sheet'!BM79+370)/1000</f>
        <v>1.2589000000000001</v>
      </c>
      <c r="DF54" s="20">
        <f>('Input RM sheet'!BN79+370)/1000</f>
        <v>1.2589000000000001</v>
      </c>
      <c r="DG54" s="20">
        <f>('Input RM sheet'!BO79+370)/1000</f>
        <v>1.2589000000000001</v>
      </c>
      <c r="DH54" s="20">
        <f>('Input RM sheet'!BP79+370)/1000</f>
        <v>1.2105599999999999</v>
      </c>
      <c r="DI54" s="20">
        <f>('Input RM sheet'!BQ79+370)/1000</f>
        <v>1.2105599999999999</v>
      </c>
      <c r="DJ54" s="20">
        <f>('Input RM sheet'!BR79+370)/1000</f>
        <v>1.2105599999999999</v>
      </c>
      <c r="DK54" s="20">
        <f>('Input RM sheet'!BS79+370)/1000</f>
        <v>1.2105599999999999</v>
      </c>
      <c r="DL54" s="20">
        <f>('Input RM sheet'!BT79+370)/1000</f>
        <v>1.1571900000000002</v>
      </c>
      <c r="DM54" s="20">
        <f>('Input RM sheet'!BU79+370)/1000</f>
        <v>1.1571900000000002</v>
      </c>
      <c r="DN54" s="20">
        <f>('Input RM sheet'!BV79+370)/1000</f>
        <v>1.1571900000000002</v>
      </c>
      <c r="DO54" s="20">
        <f>('Input RM sheet'!BW79+370)/1000</f>
        <v>1.1571900000000002</v>
      </c>
      <c r="DP54" s="20">
        <f>('Input RM sheet'!BX79+370)/1000</f>
        <v>1.19431</v>
      </c>
      <c r="DQ54" s="20">
        <f>('Input RM sheet'!BY79+370)/1000</f>
        <v>1.19431</v>
      </c>
      <c r="DR54" s="20">
        <f>('Input RM sheet'!BZ79+370)/1000</f>
        <v>1.19431</v>
      </c>
      <c r="DS54" s="20">
        <f>('Input RM sheet'!CA79+370)/1000</f>
        <v>1.19431</v>
      </c>
      <c r="DT54" s="20">
        <f>('Input RM sheet'!CB79+370)/1000</f>
        <v>1.2540700000000002</v>
      </c>
      <c r="DU54" s="20">
        <f>('Input RM sheet'!CC79+370)/1000</f>
        <v>1.2540700000000002</v>
      </c>
      <c r="DV54" s="20">
        <f>('Input RM sheet'!CD79+370)/1000</f>
        <v>1.2540700000000002</v>
      </c>
      <c r="DW54" s="20">
        <f>('Input RM sheet'!CE79+370)/1000</f>
        <v>1.2540700000000002</v>
      </c>
      <c r="DX54" s="20">
        <f>('Input RM sheet'!CF79+370)/1000</f>
        <v>1.3099299999999998</v>
      </c>
      <c r="DY54" s="20">
        <f>('Input RM sheet'!CG79+370)/1000</f>
        <v>1.3099299999999998</v>
      </c>
      <c r="DZ54" s="20">
        <f>('Input RM sheet'!CH79+370)/1000</f>
        <v>1.3099299999999998</v>
      </c>
      <c r="EA54" s="20">
        <f>('Input RM sheet'!CI79+370)/1000</f>
        <v>1.3099299999999998</v>
      </c>
      <c r="EB54" s="20">
        <f>('Input RM sheet'!CJ79+370)/1000</f>
        <v>1.3525199999999999</v>
      </c>
      <c r="EC54" s="20">
        <f>('Input RM sheet'!CK79+370)/1000</f>
        <v>1.3525199999999999</v>
      </c>
      <c r="ED54" s="20">
        <f>('Input RM sheet'!CL79+370)/1000</f>
        <v>1.3525199999999999</v>
      </c>
      <c r="EE54" s="20">
        <f>('Input RM sheet'!CM79+370)/1000</f>
        <v>1.3525199999999999</v>
      </c>
      <c r="EF54" s="20">
        <f>('Input RM sheet'!CN79+370)/1000</f>
        <v>1.3525199999999999</v>
      </c>
      <c r="EG54" s="20">
        <f>('Input RM sheet'!CO79+370)/1000</f>
        <v>1.2708899999999999</v>
      </c>
      <c r="EH54" s="20">
        <f>('Input RM sheet'!CP79+370)/1000</f>
        <v>1.2708899999999999</v>
      </c>
      <c r="EI54" s="20">
        <f>('Input RM sheet'!CQ79+370)/1000</f>
        <v>1.2708899999999999</v>
      </c>
      <c r="EJ54" s="20">
        <f>('Input RM sheet'!CR79+370)/1000</f>
        <v>1.2708899999999999</v>
      </c>
      <c r="EK54" s="20">
        <f>('Input RM sheet'!CS79+370)/1000</f>
        <v>1.22746</v>
      </c>
      <c r="EL54" s="20">
        <f>('Input RM sheet'!CT79+370)/1000</f>
        <v>1.22746</v>
      </c>
      <c r="EM54" s="20">
        <f>('Input RM sheet'!CU79+370)/1000</f>
        <v>1.22746</v>
      </c>
      <c r="EN54" s="20">
        <f>('Input RM sheet'!CV79+370)/1000</f>
        <v>1.22746</v>
      </c>
      <c r="EO54" s="20">
        <f>('Input RM sheet'!CW79+370)/1000</f>
        <v>1.2471199999999998</v>
      </c>
      <c r="EP54" s="20">
        <f>('Input RM sheet'!CX79+370)/1000</f>
        <v>1.2471199999999998</v>
      </c>
      <c r="EQ54" s="20">
        <f>('Input RM sheet'!CY79+370)/1000</f>
        <v>1.2471199999999998</v>
      </c>
      <c r="ER54" s="20">
        <f>('Input RM sheet'!CZ79+370)/1000</f>
        <v>1.2471199999999998</v>
      </c>
      <c r="ES54" s="20">
        <f>('Input RM sheet'!DA79+370)/1000</f>
        <v>1.17987</v>
      </c>
      <c r="ET54" s="20">
        <f>('Input RM sheet'!DB79+370)/1000</f>
        <v>1.17987</v>
      </c>
      <c r="EU54" s="20">
        <f>('Input RM sheet'!DC79+370)/1000</f>
        <v>1.17987</v>
      </c>
      <c r="EV54" s="20">
        <f>('Input RM sheet'!DD79+370)/1000</f>
        <v>1.17987</v>
      </c>
      <c r="EW54" s="20">
        <f>('Input RM sheet'!DE79+370)/1000</f>
        <v>1.0846399999999998</v>
      </c>
      <c r="EX54" s="20">
        <f>('Input RM sheet'!DF79+370)/1000</f>
        <v>1.0846399999999998</v>
      </c>
      <c r="EY54" s="20">
        <f>('Input RM sheet'!DG79+370)/1000</f>
        <v>1.0846399999999998</v>
      </c>
      <c r="EZ54" s="20">
        <f>('Input RM sheet'!DH79+370)/1000</f>
        <v>1.0846399999999998</v>
      </c>
      <c r="FA54" s="20">
        <f>('Input RM sheet'!DI79+370)/1000</f>
        <v>1.0853200000000001</v>
      </c>
      <c r="FB54" s="20">
        <f>('Input RM sheet'!DJ79+370)/1000</f>
        <v>1.0853200000000001</v>
      </c>
      <c r="FC54" s="20">
        <f>('Input RM sheet'!DK79+370)/1000</f>
        <v>1.0853200000000001</v>
      </c>
      <c r="FD54" s="20">
        <f>('Input RM sheet'!DL79+370)/1000</f>
        <v>1.0853200000000001</v>
      </c>
      <c r="FE54" s="20">
        <f>('Input RM sheet'!DM79+370)/1000</f>
        <v>0.37</v>
      </c>
      <c r="FF54" s="20">
        <f>('Input RM sheet'!DN79+370)/1000</f>
        <v>0.37</v>
      </c>
      <c r="FG54" s="20">
        <f>('Input RM sheet'!DO79+370)/1000</f>
        <v>0.37</v>
      </c>
      <c r="FH54" s="20">
        <f>('Input RM sheet'!DP79+370)/1000</f>
        <v>0.37</v>
      </c>
    </row>
    <row r="55" spans="1:164">
      <c r="A55" s="8" t="s">
        <v>229</v>
      </c>
      <c r="B55" s="263" t="s">
        <v>255</v>
      </c>
      <c r="C55" s="19">
        <f t="shared" si="64"/>
        <v>8.1777179487179552E-2</v>
      </c>
      <c r="D55" s="19">
        <f t="shared" si="65"/>
        <v>-0.11192999999999986</v>
      </c>
      <c r="E55" s="19">
        <f t="shared" si="66"/>
        <v>1.8669999999999964E-2</v>
      </c>
      <c r="F55" s="19">
        <f t="shared" si="67"/>
        <v>-8.2599999999999341E-3</v>
      </c>
      <c r="G55" s="19">
        <f t="shared" si="68"/>
        <v>-3.3800000000000274E-2</v>
      </c>
      <c r="H55" s="19">
        <f t="shared" si="69"/>
        <v>7.4490000000000167E-2</v>
      </c>
      <c r="I55" s="19">
        <f t="shared" si="70"/>
        <v>0</v>
      </c>
      <c r="J55" s="19">
        <f t="shared" si="63"/>
        <v>0</v>
      </c>
      <c r="K55" s="19">
        <f t="shared" si="44"/>
        <v>0</v>
      </c>
      <c r="L55" s="19">
        <f t="shared" si="1"/>
        <v>0</v>
      </c>
      <c r="M55" s="19">
        <f t="shared" si="2"/>
        <v>-4.8959999999999892E-2</v>
      </c>
      <c r="N55" s="19">
        <f t="shared" si="3"/>
        <v>0</v>
      </c>
      <c r="O55" s="19">
        <f t="shared" si="4"/>
        <v>0</v>
      </c>
      <c r="P55" s="19">
        <f t="shared" si="5"/>
        <v>0</v>
      </c>
      <c r="Q55" s="19">
        <f t="shared" si="5"/>
        <v>-9.7900000000000098E-2</v>
      </c>
      <c r="R55" s="19">
        <f t="shared" si="6"/>
        <v>0</v>
      </c>
      <c r="S55" s="19">
        <f t="shared" si="7"/>
        <v>0</v>
      </c>
      <c r="T55" s="19">
        <f t="shared" si="8"/>
        <v>0</v>
      </c>
      <c r="U55" s="19">
        <f t="shared" si="8"/>
        <v>1.8119999999999914E-2</v>
      </c>
      <c r="V55" s="19">
        <f t="shared" si="8"/>
        <v>0</v>
      </c>
      <c r="W55" s="19">
        <f t="shared" si="8"/>
        <v>0</v>
      </c>
      <c r="X55" s="19">
        <f t="shared" si="55"/>
        <v>0</v>
      </c>
      <c r="Y55" s="19">
        <f t="shared" si="55"/>
        <v>0.11467000000000005</v>
      </c>
      <c r="Z55" s="19">
        <f t="shared" si="9"/>
        <v>0</v>
      </c>
      <c r="AA55" s="19">
        <f t="shared" si="10"/>
        <v>0</v>
      </c>
      <c r="AB55" s="19">
        <f t="shared" si="10"/>
        <v>0</v>
      </c>
      <c r="AC55" s="19">
        <f t="shared" si="10"/>
        <v>4.834000000000005E-2</v>
      </c>
      <c r="AD55" s="19">
        <f t="shared" si="10"/>
        <v>0</v>
      </c>
      <c r="AE55" s="19">
        <f t="shared" si="11"/>
        <v>0</v>
      </c>
      <c r="AF55" s="19">
        <f t="shared" si="11"/>
        <v>0</v>
      </c>
      <c r="AG55" s="19">
        <f t="shared" si="12"/>
        <v>5.3369999999999918E-2</v>
      </c>
      <c r="AH55" s="19">
        <f t="shared" si="13"/>
        <v>0</v>
      </c>
      <c r="AI55" s="19">
        <f t="shared" si="14"/>
        <v>0</v>
      </c>
      <c r="AJ55" s="19">
        <f t="shared" si="15"/>
        <v>0</v>
      </c>
      <c r="AK55" s="19">
        <f t="shared" si="16"/>
        <v>-3.711999999999982E-2</v>
      </c>
      <c r="AL55" s="19">
        <f t="shared" si="16"/>
        <v>0</v>
      </c>
      <c r="AM55" s="19">
        <f t="shared" si="17"/>
        <v>0</v>
      </c>
      <c r="AN55" s="19">
        <f t="shared" si="18"/>
        <v>0</v>
      </c>
      <c r="AO55" s="19">
        <f t="shared" si="19"/>
        <v>-5.9760000000000257E-2</v>
      </c>
      <c r="AP55" s="19">
        <f t="shared" si="20"/>
        <v>0</v>
      </c>
      <c r="AQ55" s="19">
        <f t="shared" si="20"/>
        <v>0</v>
      </c>
      <c r="AR55" s="19">
        <f t="shared" si="20"/>
        <v>0</v>
      </c>
      <c r="AS55" s="19">
        <f t="shared" si="21"/>
        <v>-5.5859999999999799E-2</v>
      </c>
      <c r="AT55" s="19">
        <f t="shared" si="22"/>
        <v>0</v>
      </c>
      <c r="AU55" s="60" t="s">
        <v>296</v>
      </c>
      <c r="AV55" s="19">
        <f t="shared" si="23"/>
        <v>0</v>
      </c>
      <c r="AW55" s="19">
        <f t="shared" si="24"/>
        <v>0</v>
      </c>
      <c r="AX55" s="19">
        <f t="shared" si="25"/>
        <v>-4.2590000000000128E-2</v>
      </c>
      <c r="AY55" s="19">
        <f t="shared" si="26"/>
        <v>0</v>
      </c>
      <c r="AZ55" s="19">
        <f t="shared" si="27"/>
        <v>0</v>
      </c>
      <c r="BA55" s="19">
        <f t="shared" si="28"/>
        <v>0</v>
      </c>
      <c r="BB55" s="19">
        <f t="shared" si="61"/>
        <v>0</v>
      </c>
      <c r="BC55" s="19">
        <f t="shared" si="30"/>
        <v>8.1630000000000091E-2</v>
      </c>
      <c r="BD55" s="19">
        <f t="shared" si="31"/>
        <v>0</v>
      </c>
      <c r="BE55" s="19">
        <f t="shared" si="32"/>
        <v>0</v>
      </c>
      <c r="BF55" s="19">
        <f t="shared" si="33"/>
        <v>0</v>
      </c>
      <c r="BG55" s="19">
        <f t="shared" si="33"/>
        <v>4.3429999999999858E-2</v>
      </c>
      <c r="BH55" s="19">
        <f t="shared" si="56"/>
        <v>0</v>
      </c>
      <c r="BI55" s="19">
        <f t="shared" si="57"/>
        <v>0</v>
      </c>
      <c r="BJ55" s="19">
        <f t="shared" si="35"/>
        <v>0</v>
      </c>
      <c r="BK55" s="19">
        <f t="shared" si="36"/>
        <v>-1.9659999999999789E-2</v>
      </c>
      <c r="BL55" s="19">
        <f t="shared" si="45"/>
        <v>0</v>
      </c>
      <c r="BM55" s="19">
        <f t="shared" si="45"/>
        <v>0</v>
      </c>
      <c r="BN55" s="19">
        <f t="shared" si="45"/>
        <v>0</v>
      </c>
      <c r="BO55" s="19">
        <f t="shared" si="45"/>
        <v>6.7250000000000032E-2</v>
      </c>
      <c r="BP55" s="19">
        <f t="shared" si="58"/>
        <v>0</v>
      </c>
      <c r="BQ55" s="19">
        <f t="shared" si="58"/>
        <v>0</v>
      </c>
      <c r="BR55" s="19">
        <f t="shared" si="58"/>
        <v>0</v>
      </c>
      <c r="BS55" s="19">
        <f t="shared" si="38"/>
        <v>9.5229999999999926E-2</v>
      </c>
      <c r="BT55" s="19">
        <f t="shared" si="46"/>
        <v>0</v>
      </c>
      <c r="BU55" s="19">
        <f t="shared" si="59"/>
        <v>0</v>
      </c>
      <c r="BV55" s="19">
        <f t="shared" si="60"/>
        <v>0</v>
      </c>
      <c r="BW55" s="19">
        <f t="shared" si="40"/>
        <v>-6.8000000000023597E-4</v>
      </c>
      <c r="BX55" s="19">
        <f t="shared" si="41"/>
        <v>0</v>
      </c>
      <c r="BY55" s="19">
        <f t="shared" si="41"/>
        <v>0</v>
      </c>
      <c r="BZ55" s="19">
        <f t="shared" si="41"/>
        <v>0</v>
      </c>
      <c r="CA55" s="19">
        <f t="shared" si="41"/>
        <v>0.71532000000000018</v>
      </c>
      <c r="CB55" s="19">
        <f t="shared" si="42"/>
        <v>0</v>
      </c>
      <c r="CC55" s="19">
        <f t="shared" si="42"/>
        <v>0</v>
      </c>
      <c r="CD55" s="19">
        <f t="shared" si="42"/>
        <v>0</v>
      </c>
      <c r="CE55" s="65"/>
      <c r="CG55" s="20">
        <f t="shared" si="47"/>
        <v>1.3757771794871796</v>
      </c>
      <c r="CH55" s="20">
        <f>('Input RM sheet'!AP79+480)/1000</f>
        <v>1.294</v>
      </c>
      <c r="CI55" s="20">
        <f>('Input RM sheet'!AQ79+480)/1000</f>
        <v>1.4059299999999999</v>
      </c>
      <c r="CJ55" s="20">
        <f>('Input RM sheet'!AR79+480)/1000</f>
        <v>1.3872599999999999</v>
      </c>
      <c r="CK55" s="20">
        <f>('Input RM sheet'!AS79+480)/1000</f>
        <v>1.3955199999999999</v>
      </c>
      <c r="CL55" s="20">
        <f>('Input RM sheet'!AT79+480)/1000</f>
        <v>1.4293200000000001</v>
      </c>
      <c r="CM55" s="20">
        <f>('Input RM sheet'!AU79+480)/1000</f>
        <v>1.35483</v>
      </c>
      <c r="CN55" s="20">
        <f>('Input RM sheet'!AV79+480)/1000</f>
        <v>1.35483</v>
      </c>
      <c r="CO55" s="20">
        <f>('Input RM sheet'!AW79+480)/1000</f>
        <v>1.35483</v>
      </c>
      <c r="CP55" s="20">
        <f>('Input RM sheet'!AX79+480)/1000</f>
        <v>1.35483</v>
      </c>
      <c r="CQ55" s="20">
        <f>('Input RM sheet'!AY79+480)/1000</f>
        <v>1.35483</v>
      </c>
      <c r="CR55" s="20">
        <f>('Input RM sheet'!AZ79+480)/1000</f>
        <v>1.4037899999999999</v>
      </c>
      <c r="CS55" s="20">
        <f>('Input RM sheet'!BA79+480)/1000</f>
        <v>1.4037899999999999</v>
      </c>
      <c r="CT55" s="20">
        <f>('Input RM sheet'!BB79+480)/1000</f>
        <v>1.4037899999999999</v>
      </c>
      <c r="CU55" s="20">
        <f>('Input RM sheet'!BC79+480)/1000</f>
        <v>1.4037899999999999</v>
      </c>
      <c r="CV55" s="20">
        <f>('Input RM sheet'!BD79+480)/1000</f>
        <v>1.50169</v>
      </c>
      <c r="CW55" s="20">
        <f>('Input RM sheet'!BE79+480)/1000</f>
        <v>1.50169</v>
      </c>
      <c r="CX55" s="20">
        <f>('Input RM sheet'!BF79+480)/1000</f>
        <v>1.50169</v>
      </c>
      <c r="CY55" s="20">
        <f>('Input RM sheet'!BG79+480)/1000</f>
        <v>1.50169</v>
      </c>
      <c r="CZ55" s="20">
        <f>('Input RM sheet'!BH79+480)/1000</f>
        <v>1.4835700000000001</v>
      </c>
      <c r="DA55" s="20">
        <f>('Input RM sheet'!BI79+480)/1000</f>
        <v>1.4835700000000001</v>
      </c>
      <c r="DB55" s="20">
        <f>('Input RM sheet'!BJ79+480)/1000</f>
        <v>1.4835700000000001</v>
      </c>
      <c r="DC55" s="20">
        <f>('Input RM sheet'!BK79+480)/1000</f>
        <v>1.4835700000000001</v>
      </c>
      <c r="DD55" s="20">
        <f>('Input RM sheet'!BL79+480)/1000</f>
        <v>1.3689</v>
      </c>
      <c r="DE55" s="20">
        <f>('Input RM sheet'!BM79+480)/1000</f>
        <v>1.3689</v>
      </c>
      <c r="DF55" s="20">
        <f>('Input RM sheet'!BN79+480)/1000</f>
        <v>1.3689</v>
      </c>
      <c r="DG55" s="20">
        <f>('Input RM sheet'!BO79+480)/1000</f>
        <v>1.3689</v>
      </c>
      <c r="DH55" s="20">
        <f>('Input RM sheet'!BP79+480)/1000</f>
        <v>1.32056</v>
      </c>
      <c r="DI55" s="20">
        <f>('Input RM sheet'!BQ79+480)/1000</f>
        <v>1.32056</v>
      </c>
      <c r="DJ55" s="20">
        <f>('Input RM sheet'!BR79+480)/1000</f>
        <v>1.32056</v>
      </c>
      <c r="DK55" s="20">
        <f>('Input RM sheet'!BS79+480)/1000</f>
        <v>1.32056</v>
      </c>
      <c r="DL55" s="20">
        <f>('Input RM sheet'!BT79+480)/1000</f>
        <v>1.26719</v>
      </c>
      <c r="DM55" s="20">
        <f>('Input RM sheet'!BU79+480)/1000</f>
        <v>1.26719</v>
      </c>
      <c r="DN55" s="20">
        <f>('Input RM sheet'!BV79+480)/1000</f>
        <v>1.26719</v>
      </c>
      <c r="DO55" s="20">
        <f>('Input RM sheet'!BW79+480)/1000</f>
        <v>1.26719</v>
      </c>
      <c r="DP55" s="20">
        <f>('Input RM sheet'!BX79+480)/1000</f>
        <v>1.3043099999999999</v>
      </c>
      <c r="DQ55" s="20">
        <f>('Input RM sheet'!BY79+480)/1000</f>
        <v>1.3043099999999999</v>
      </c>
      <c r="DR55" s="20">
        <f>('Input RM sheet'!BZ79+480)/1000</f>
        <v>1.3043099999999999</v>
      </c>
      <c r="DS55" s="20">
        <f>('Input RM sheet'!CA79+480)/1000</f>
        <v>1.3043099999999999</v>
      </c>
      <c r="DT55" s="20">
        <f>('Input RM sheet'!CB79+480)/1000</f>
        <v>1.3640700000000001</v>
      </c>
      <c r="DU55" s="20">
        <f>('Input RM sheet'!CC79+480)/1000</f>
        <v>1.3640700000000001</v>
      </c>
      <c r="DV55" s="20">
        <f>('Input RM sheet'!CD79+480)/1000</f>
        <v>1.3640700000000001</v>
      </c>
      <c r="DW55" s="20">
        <f>('Input RM sheet'!CE79+480)/1000</f>
        <v>1.3640700000000001</v>
      </c>
      <c r="DX55" s="20">
        <f>('Input RM sheet'!CF79+480)/1000</f>
        <v>1.4199299999999999</v>
      </c>
      <c r="DY55" s="20">
        <f>('Input RM sheet'!CG79+480)/1000</f>
        <v>1.4199299999999999</v>
      </c>
      <c r="DZ55" s="20">
        <f>('Input RM sheet'!CH79+480)/1000</f>
        <v>1.4199299999999999</v>
      </c>
      <c r="EA55" s="20">
        <f>('Input RM sheet'!CI79+480)/1000</f>
        <v>1.4199299999999999</v>
      </c>
      <c r="EB55" s="20">
        <f>('Input RM sheet'!CJ79+480)/1000</f>
        <v>1.46252</v>
      </c>
      <c r="EC55" s="20">
        <f>('Input RM sheet'!CK79+480)/1000</f>
        <v>1.46252</v>
      </c>
      <c r="ED55" s="20">
        <f>('Input RM sheet'!CL79+480)/1000</f>
        <v>1.46252</v>
      </c>
      <c r="EE55" s="20">
        <f>('Input RM sheet'!CM79+480)/1000</f>
        <v>1.46252</v>
      </c>
      <c r="EF55" s="20">
        <f>('Input RM sheet'!CN79+480)/1000</f>
        <v>1.46252</v>
      </c>
      <c r="EG55" s="20">
        <f>('Input RM sheet'!CO79+480)/1000</f>
        <v>1.38089</v>
      </c>
      <c r="EH55" s="20">
        <f>('Input RM sheet'!CP79+480)/1000</f>
        <v>1.38089</v>
      </c>
      <c r="EI55" s="20">
        <f>('Input RM sheet'!CQ79+480)/1000</f>
        <v>1.38089</v>
      </c>
      <c r="EJ55" s="20">
        <f>('Input RM sheet'!CR79+480)/1000</f>
        <v>1.38089</v>
      </c>
      <c r="EK55" s="20">
        <f>('Input RM sheet'!CS79+480)/1000</f>
        <v>1.3374600000000001</v>
      </c>
      <c r="EL55" s="20">
        <f>('Input RM sheet'!CT79+480)/1000</f>
        <v>1.3374600000000001</v>
      </c>
      <c r="EM55" s="20">
        <f>('Input RM sheet'!CU79+480)/1000</f>
        <v>1.3374600000000001</v>
      </c>
      <c r="EN55" s="20">
        <f>('Input RM sheet'!CV79+480)/1000</f>
        <v>1.3374600000000001</v>
      </c>
      <c r="EO55" s="20">
        <f>('Input RM sheet'!CW79+480)/1000</f>
        <v>1.3571199999999999</v>
      </c>
      <c r="EP55" s="20">
        <f>('Input RM sheet'!CX79+480)/1000</f>
        <v>1.3571199999999999</v>
      </c>
      <c r="EQ55" s="20">
        <f>('Input RM sheet'!CY79+480)/1000</f>
        <v>1.3571199999999999</v>
      </c>
      <c r="ER55" s="20">
        <f>('Input RM sheet'!CZ79+480)/1000</f>
        <v>1.3571199999999999</v>
      </c>
      <c r="ES55" s="20">
        <f>('Input RM sheet'!DA79+480)/1000</f>
        <v>1.2898699999999999</v>
      </c>
      <c r="ET55" s="20">
        <f>('Input RM sheet'!DB79+480)/1000</f>
        <v>1.2898699999999999</v>
      </c>
      <c r="EU55" s="20">
        <f>('Input RM sheet'!DC79+480)/1000</f>
        <v>1.2898699999999999</v>
      </c>
      <c r="EV55" s="20">
        <f>('Input RM sheet'!DD79+480)/1000</f>
        <v>1.2898699999999999</v>
      </c>
      <c r="EW55" s="20">
        <f>('Input RM sheet'!DE79+480)/1000</f>
        <v>1.1946399999999999</v>
      </c>
      <c r="EX55" s="20">
        <f>('Input RM sheet'!DF79+480)/1000</f>
        <v>1.1946399999999999</v>
      </c>
      <c r="EY55" s="20">
        <f>('Input RM sheet'!DG79+480)/1000</f>
        <v>1.1946399999999999</v>
      </c>
      <c r="EZ55" s="20">
        <f>('Input RM sheet'!DH79+480)/1000</f>
        <v>1.1946399999999999</v>
      </c>
      <c r="FA55" s="20">
        <f>('Input RM sheet'!DI79+480)/1000</f>
        <v>1.1953200000000002</v>
      </c>
      <c r="FB55" s="20">
        <f>('Input RM sheet'!DJ79+480)/1000</f>
        <v>1.1953200000000002</v>
      </c>
      <c r="FC55" s="20">
        <f>('Input RM sheet'!DK79+480)/1000</f>
        <v>1.1953200000000002</v>
      </c>
      <c r="FD55" s="20">
        <f>('Input RM sheet'!DL79+480)/1000</f>
        <v>1.1953200000000002</v>
      </c>
      <c r="FE55" s="20">
        <f>('Input RM sheet'!DM79+480)/1000</f>
        <v>0.48</v>
      </c>
      <c r="FF55" s="20">
        <f>('Input RM sheet'!DN79+480)/1000</f>
        <v>0.48</v>
      </c>
      <c r="FG55" s="20">
        <f>('Input RM sheet'!DO79+480)/1000</f>
        <v>0.48</v>
      </c>
      <c r="FH55" s="20">
        <f>('Input RM sheet'!DP79+480)/1000</f>
        <v>0.48</v>
      </c>
    </row>
    <row r="56" spans="1:164">
      <c r="A56" s="8" t="s">
        <v>229</v>
      </c>
      <c r="B56" s="263" t="s">
        <v>114</v>
      </c>
      <c r="C56" s="19">
        <f t="shared" si="64"/>
        <v>-4.6923076923076845E-2</v>
      </c>
      <c r="D56" s="19">
        <f t="shared" si="65"/>
        <v>-9.9999999999999978E-2</v>
      </c>
      <c r="E56" s="19">
        <f t="shared" si="66"/>
        <v>5.9999999999999942E-2</v>
      </c>
      <c r="F56" s="19">
        <f t="shared" si="67"/>
        <v>-1.9999999999999907E-2</v>
      </c>
      <c r="G56" s="19">
        <f t="shared" si="68"/>
        <v>4.9999999999999933E-2</v>
      </c>
      <c r="H56" s="19">
        <f t="shared" si="69"/>
        <v>0.14000000000000001</v>
      </c>
      <c r="I56" s="19">
        <f t="shared" si="70"/>
        <v>2.0000000000000018E-2</v>
      </c>
      <c r="J56" s="19">
        <f t="shared" si="63"/>
        <v>0</v>
      </c>
      <c r="K56" s="19">
        <f t="shared" si="44"/>
        <v>-2.4000000000000021E-2</v>
      </c>
      <c r="L56" s="19">
        <f t="shared" si="1"/>
        <v>-2.4000000000000021E-2</v>
      </c>
      <c r="M56" s="19">
        <f t="shared" si="2"/>
        <v>-7.0000000000000062E-3</v>
      </c>
      <c r="N56" s="19">
        <f t="shared" si="3"/>
        <v>-3.9999999999999925E-2</v>
      </c>
      <c r="O56" s="19">
        <f t="shared" si="4"/>
        <v>-2.9000000000000026E-2</v>
      </c>
      <c r="P56" s="19">
        <f t="shared" si="5"/>
        <v>0</v>
      </c>
      <c r="Q56" s="19">
        <f t="shared" si="5"/>
        <v>1.2000000000000011E-2</v>
      </c>
      <c r="R56" s="19">
        <f t="shared" si="6"/>
        <v>1.2000000000000011E-2</v>
      </c>
      <c r="S56" s="19">
        <f t="shared" si="7"/>
        <v>1.6000000000000014E-2</v>
      </c>
      <c r="T56" s="19">
        <f t="shared" si="8"/>
        <v>8.999999999999897E-3</v>
      </c>
      <c r="U56" s="19">
        <f t="shared" si="8"/>
        <v>0</v>
      </c>
      <c r="V56" s="19">
        <f t="shared" si="8"/>
        <v>6.0000000000000053E-3</v>
      </c>
      <c r="W56" s="19">
        <f t="shared" si="8"/>
        <v>0</v>
      </c>
      <c r="X56" s="19">
        <f t="shared" si="55"/>
        <v>5.0000000000000044E-3</v>
      </c>
      <c r="Y56" s="19">
        <f t="shared" si="55"/>
        <v>0</v>
      </c>
      <c r="Z56" s="19">
        <f t="shared" si="9"/>
        <v>-5.0000000000000044E-3</v>
      </c>
      <c r="AA56" s="19">
        <f t="shared" si="10"/>
        <v>0</v>
      </c>
      <c r="AB56" s="19">
        <f t="shared" si="10"/>
        <v>-5.0000000000000044E-3</v>
      </c>
      <c r="AC56" s="19">
        <f t="shared" si="10"/>
        <v>5.0000000000000044E-3</v>
      </c>
      <c r="AD56" s="19">
        <f t="shared" si="10"/>
        <v>0</v>
      </c>
      <c r="AE56" s="19">
        <f t="shared" si="11"/>
        <v>1.0000000000000009E-3</v>
      </c>
      <c r="AF56" s="19">
        <f t="shared" si="11"/>
        <v>-6.0000000000000053E-3</v>
      </c>
      <c r="AG56" s="19">
        <f t="shared" si="12"/>
        <v>-3.3999999999999919E-2</v>
      </c>
      <c r="AH56" s="19">
        <f t="shared" si="13"/>
        <v>-8.2000000000000073E-2</v>
      </c>
      <c r="AI56" s="19">
        <f t="shared" si="14"/>
        <v>-1.9999999999999907E-2</v>
      </c>
      <c r="AJ56" s="19">
        <f t="shared" si="15"/>
        <v>-5.8000000000000052E-2</v>
      </c>
      <c r="AK56" s="19">
        <f t="shared" si="16"/>
        <v>3.8000000000000034E-2</v>
      </c>
      <c r="AL56" s="19">
        <f t="shared" si="16"/>
        <v>4.599999999999993E-2</v>
      </c>
      <c r="AM56" s="19">
        <f t="shared" si="17"/>
        <v>4.4000000000000039E-2</v>
      </c>
      <c r="AN56" s="19">
        <f t="shared" si="18"/>
        <v>1.0000000000000009E-2</v>
      </c>
      <c r="AO56" s="19">
        <f t="shared" si="19"/>
        <v>0</v>
      </c>
      <c r="AP56" s="19">
        <f t="shared" si="20"/>
        <v>-7.0000000000000062E-3</v>
      </c>
      <c r="AQ56" s="19">
        <f t="shared" si="20"/>
        <v>2.200000000000002E-2</v>
      </c>
      <c r="AR56" s="19">
        <f t="shared" si="20"/>
        <v>1.0000000000000009E-3</v>
      </c>
      <c r="AS56" s="19">
        <f t="shared" si="21"/>
        <v>0</v>
      </c>
      <c r="AT56" s="19">
        <f t="shared" si="22"/>
        <v>0</v>
      </c>
      <c r="AU56" s="60" t="s">
        <v>296</v>
      </c>
      <c r="AV56" s="19">
        <f t="shared" si="23"/>
        <v>0</v>
      </c>
      <c r="AW56" s="19">
        <f t="shared" si="24"/>
        <v>1.7000000000000015E-2</v>
      </c>
      <c r="AX56" s="19">
        <f t="shared" si="25"/>
        <v>9.000000000000008E-3</v>
      </c>
      <c r="AY56" s="19">
        <f t="shared" si="26"/>
        <v>4.0000000000000036E-3</v>
      </c>
      <c r="AZ56" s="19">
        <f t="shared" si="27"/>
        <v>3.9999999999998925E-3</v>
      </c>
      <c r="BA56" s="19">
        <f t="shared" si="28"/>
        <v>-1.6999999999999904E-2</v>
      </c>
      <c r="BB56" s="19">
        <f t="shared" si="61"/>
        <v>0</v>
      </c>
      <c r="BC56" s="19">
        <f t="shared" si="30"/>
        <v>0</v>
      </c>
      <c r="BD56" s="19">
        <f t="shared" si="31"/>
        <v>9.000000000000008E-3</v>
      </c>
      <c r="BE56" s="19">
        <f t="shared" si="32"/>
        <v>0</v>
      </c>
      <c r="BF56" s="19">
        <f t="shared" si="33"/>
        <v>0</v>
      </c>
      <c r="BG56" s="19">
        <f t="shared" si="33"/>
        <v>-3.2000000000000028E-2</v>
      </c>
      <c r="BH56" s="19">
        <f t="shared" si="56"/>
        <v>-5.9000000000000052E-2</v>
      </c>
      <c r="BI56" s="19">
        <f t="shared" si="57"/>
        <v>0</v>
      </c>
      <c r="BJ56" s="19">
        <f t="shared" si="35"/>
        <v>-9.000000000000008E-3</v>
      </c>
      <c r="BK56" s="19">
        <f t="shared" si="36"/>
        <v>0</v>
      </c>
      <c r="BL56" s="19">
        <f t="shared" si="45"/>
        <v>0</v>
      </c>
      <c r="BM56" s="19">
        <f t="shared" si="45"/>
        <v>0</v>
      </c>
      <c r="BN56" s="19">
        <f t="shared" si="45"/>
        <v>2.4000000000000021E-2</v>
      </c>
      <c r="BO56" s="19">
        <f t="shared" si="45"/>
        <v>6.4000000000000057E-2</v>
      </c>
      <c r="BP56" s="19">
        <f t="shared" si="58"/>
        <v>0</v>
      </c>
      <c r="BQ56" s="19">
        <f t="shared" si="58"/>
        <v>2.0999999999999908E-2</v>
      </c>
      <c r="BR56" s="19">
        <f t="shared" si="58"/>
        <v>1.0000000000000009E-2</v>
      </c>
      <c r="BS56" s="19">
        <f t="shared" si="38"/>
        <v>0</v>
      </c>
      <c r="BT56" s="19">
        <f t="shared" si="46"/>
        <v>-5.0000000000000044E-3</v>
      </c>
      <c r="BU56" s="19">
        <f t="shared" si="59"/>
        <v>-1.5999999999999903E-2</v>
      </c>
      <c r="BV56" s="19">
        <f t="shared" si="60"/>
        <v>-2.0000000000000018E-3</v>
      </c>
      <c r="BW56" s="19">
        <f t="shared" si="40"/>
        <v>-6.0000000000000053E-3</v>
      </c>
      <c r="BX56" s="19">
        <f t="shared" si="41"/>
        <v>-6.0000000000000053E-3</v>
      </c>
      <c r="BY56" s="19">
        <f t="shared" si="41"/>
        <v>1.5000000000000013E-2</v>
      </c>
      <c r="BZ56" s="19">
        <f t="shared" si="41"/>
        <v>-5.0000000000000044E-3</v>
      </c>
      <c r="CA56" s="19">
        <f t="shared" si="41"/>
        <v>0</v>
      </c>
      <c r="CB56" s="19">
        <f t="shared" si="42"/>
        <v>0</v>
      </c>
      <c r="CC56" s="19">
        <f t="shared" si="42"/>
        <v>0</v>
      </c>
      <c r="CD56" s="19">
        <f t="shared" si="42"/>
        <v>-5.0000000000000044E-3</v>
      </c>
      <c r="CE56" s="65"/>
      <c r="CG56" s="20">
        <f t="shared" si="47"/>
        <v>0.83307692307692316</v>
      </c>
      <c r="CH56" s="8">
        <f>'Input RM sheet'!AP74/1000</f>
        <v>0.88</v>
      </c>
      <c r="CI56" s="8">
        <f>'Input RM sheet'!AQ74/1000</f>
        <v>0.98</v>
      </c>
      <c r="CJ56" s="8">
        <f>'Input RM sheet'!AR74/1000</f>
        <v>0.92</v>
      </c>
      <c r="CK56" s="8">
        <f>'Input RM sheet'!AS74/1000</f>
        <v>0.94</v>
      </c>
      <c r="CL56" s="8">
        <f>'Input RM sheet'!AT74/1000</f>
        <v>0.89</v>
      </c>
      <c r="CM56" s="8">
        <f>'Input RM sheet'!AU74/1000</f>
        <v>0.75</v>
      </c>
      <c r="CN56" s="8">
        <f>'Input RM sheet'!AV74/1000</f>
        <v>0.73</v>
      </c>
      <c r="CO56" s="8">
        <f>'Input RM sheet'!AW74/1000</f>
        <v>0.73</v>
      </c>
      <c r="CP56" s="8">
        <f>'Input RM sheet'!AX74/1000</f>
        <v>0.754</v>
      </c>
      <c r="CQ56" s="8">
        <f>'Input RM sheet'!AY74/1000</f>
        <v>0.77800000000000002</v>
      </c>
      <c r="CR56" s="8">
        <f>'Input RM sheet'!AZ74/1000</f>
        <v>0.78500000000000003</v>
      </c>
      <c r="CS56" s="8">
        <f>'Input RM sheet'!BA74/1000</f>
        <v>0.82499999999999996</v>
      </c>
      <c r="CT56" s="8">
        <f>'Input RM sheet'!BB74/1000</f>
        <v>0.85399999999999998</v>
      </c>
      <c r="CU56" s="8">
        <f>'Input RM sheet'!BC74/1000</f>
        <v>0.85399999999999998</v>
      </c>
      <c r="CV56" s="8">
        <f>'Input RM sheet'!BD74/1000</f>
        <v>0.84199999999999997</v>
      </c>
      <c r="CW56" s="8">
        <f>'Input RM sheet'!BE74/1000</f>
        <v>0.83</v>
      </c>
      <c r="CX56" s="8">
        <f>'Input RM sheet'!BF74/1000</f>
        <v>0.81399999999999995</v>
      </c>
      <c r="CY56" s="8">
        <f>'Input RM sheet'!BG74/1000</f>
        <v>0.80500000000000005</v>
      </c>
      <c r="CZ56" s="8">
        <f>'Input RM sheet'!BH74/1000</f>
        <v>0.80500000000000005</v>
      </c>
      <c r="DA56" s="8">
        <f>'Input RM sheet'!BI74/1000</f>
        <v>0.79900000000000004</v>
      </c>
      <c r="DB56" s="8">
        <f>'Input RM sheet'!BJ74/1000</f>
        <v>0.79900000000000004</v>
      </c>
      <c r="DC56" s="8">
        <f>'Input RM sheet'!BK74/1000</f>
        <v>0.79400000000000004</v>
      </c>
      <c r="DD56" s="8">
        <f>'Input RM sheet'!BL74/1000</f>
        <v>0.79400000000000004</v>
      </c>
      <c r="DE56" s="8">
        <f>'Input RM sheet'!BM74/1000</f>
        <v>0.79900000000000004</v>
      </c>
      <c r="DF56" s="8">
        <f>'Input RM sheet'!BN74/1000</f>
        <v>0.79900000000000004</v>
      </c>
      <c r="DG56" s="8">
        <f>'Input RM sheet'!BO74/1000</f>
        <v>0.80400000000000005</v>
      </c>
      <c r="DH56" s="8">
        <f>'Input RM sheet'!BP74/1000</f>
        <v>0.79900000000000004</v>
      </c>
      <c r="DI56" s="8">
        <f>'Input RM sheet'!BQ74/1000</f>
        <v>0.79900000000000004</v>
      </c>
      <c r="DJ56" s="8">
        <f>'Input RM sheet'!BR74/1000</f>
        <v>0.79800000000000004</v>
      </c>
      <c r="DK56" s="8">
        <f>'Input RM sheet'!BS74/1000</f>
        <v>0.80400000000000005</v>
      </c>
      <c r="DL56" s="8">
        <f>'Input RM sheet'!BT74/1000</f>
        <v>0.83799999999999997</v>
      </c>
      <c r="DM56" s="8">
        <f>'Input RM sheet'!BU74/1000</f>
        <v>0.92</v>
      </c>
      <c r="DN56" s="8">
        <f>'Input RM sheet'!BV74/1000</f>
        <v>0.94</v>
      </c>
      <c r="DO56" s="8">
        <f>'Input RM sheet'!BW74/1000</f>
        <v>0.998</v>
      </c>
      <c r="DP56" s="8">
        <f>'Input RM sheet'!BX74/1000</f>
        <v>0.96</v>
      </c>
      <c r="DQ56" s="8">
        <f>'Input RM sheet'!BY74/1000</f>
        <v>0.91400000000000003</v>
      </c>
      <c r="DR56" s="8">
        <f>'Input RM sheet'!BZ74/1000</f>
        <v>0.87</v>
      </c>
      <c r="DS56" s="8">
        <f>'Input RM sheet'!CA74/1000</f>
        <v>0.86</v>
      </c>
      <c r="DT56" s="8">
        <f>'Input RM sheet'!CB74/1000</f>
        <v>0.86</v>
      </c>
      <c r="DU56" s="8">
        <f>'Input RM sheet'!CC74/1000</f>
        <v>0.86699999999999999</v>
      </c>
      <c r="DV56" s="8">
        <f>'Input RM sheet'!CD74/1000</f>
        <v>0.84499999999999997</v>
      </c>
      <c r="DW56" s="8">
        <f>'Input RM sheet'!CE74/1000</f>
        <v>0.84399999999999997</v>
      </c>
      <c r="DX56" s="8">
        <f>'Input RM sheet'!CF74/1000</f>
        <v>0.84399999999999997</v>
      </c>
      <c r="DY56" s="8">
        <f>'Input RM sheet'!CG74/1000</f>
        <v>0.84399999999999997</v>
      </c>
      <c r="DZ56" s="8">
        <f>'Input RM sheet'!CH74/1000</f>
        <v>0.84399999999999997</v>
      </c>
      <c r="EA56" s="8">
        <f>'Input RM sheet'!CI74/1000</f>
        <v>0.82699999999999996</v>
      </c>
      <c r="EB56" s="8">
        <f>'Input RM sheet'!CJ74/1000</f>
        <v>0.81799999999999995</v>
      </c>
      <c r="EC56" s="8">
        <f>'Input RM sheet'!CK74/1000</f>
        <v>0.81399999999999995</v>
      </c>
      <c r="ED56" s="8">
        <f>'Input RM sheet'!CL74/1000</f>
        <v>0.81</v>
      </c>
      <c r="EE56" s="8">
        <f>'Input RM sheet'!CM74/1000</f>
        <v>0.82699999999999996</v>
      </c>
      <c r="EF56" s="8">
        <f>'Input RM sheet'!CN74/1000</f>
        <v>0.82699999999999996</v>
      </c>
      <c r="EG56" s="8">
        <f>'Input RM sheet'!CO74/1000</f>
        <v>0.82699999999999996</v>
      </c>
      <c r="EH56" s="8">
        <f>'Input RM sheet'!CP74/1000</f>
        <v>0.81799999999999995</v>
      </c>
      <c r="EI56" s="8">
        <f>'Input RM sheet'!CQ74/1000</f>
        <v>0.81799999999999995</v>
      </c>
      <c r="EJ56" s="8">
        <f>'Input RM sheet'!CR74/1000</f>
        <v>0.81799999999999995</v>
      </c>
      <c r="EK56" s="8">
        <f>'Input RM sheet'!CS74/1000</f>
        <v>0.85</v>
      </c>
      <c r="EL56" s="8">
        <f>'Input RM sheet'!CT74/1000</f>
        <v>0.90900000000000003</v>
      </c>
      <c r="EM56" s="8">
        <f>'Input RM sheet'!CU74/1000</f>
        <v>0.90900000000000003</v>
      </c>
      <c r="EN56" s="8">
        <f>'Input RM sheet'!CV74/1000</f>
        <v>0.91800000000000004</v>
      </c>
      <c r="EO56" s="8">
        <f>'Input RM sheet'!CW74/1000</f>
        <v>0.91800000000000004</v>
      </c>
      <c r="EP56" s="8">
        <f>'Input RM sheet'!CX74/1000</f>
        <v>0.91800000000000004</v>
      </c>
      <c r="EQ56" s="8">
        <f>'Input RM sheet'!CY74/1000</f>
        <v>0.91800000000000004</v>
      </c>
      <c r="ER56" s="8">
        <f>'Input RM sheet'!CZ74/1000</f>
        <v>0.89400000000000002</v>
      </c>
      <c r="ES56" s="8">
        <f>'Input RM sheet'!DA74/1000</f>
        <v>0.83</v>
      </c>
      <c r="ET56" s="8">
        <f>'Input RM sheet'!DB74/1000</f>
        <v>0.83</v>
      </c>
      <c r="EU56" s="8">
        <f>'Input RM sheet'!DC74/1000</f>
        <v>0.80900000000000005</v>
      </c>
      <c r="EV56" s="8">
        <f>'Input RM sheet'!DD74/1000</f>
        <v>0.79900000000000004</v>
      </c>
      <c r="EW56" s="8">
        <f>'Input RM sheet'!DE74/1000</f>
        <v>0.79900000000000004</v>
      </c>
      <c r="EX56" s="8">
        <f>'Input RM sheet'!DF74/1000</f>
        <v>0.80400000000000005</v>
      </c>
      <c r="EY56" s="8">
        <f>'Input RM sheet'!DG74/1000</f>
        <v>0.82</v>
      </c>
      <c r="EZ56" s="8">
        <f>'Input RM sheet'!DH74/1000</f>
        <v>0.82199999999999995</v>
      </c>
      <c r="FA56" s="8">
        <f>'Input RM sheet'!DI74/1000</f>
        <v>0.82799999999999996</v>
      </c>
      <c r="FB56" s="8">
        <f>'Input RM sheet'!DJ74/1000</f>
        <v>0.83399999999999996</v>
      </c>
      <c r="FC56" s="8">
        <f>'Input RM sheet'!DK74/1000</f>
        <v>0.81899999999999995</v>
      </c>
      <c r="FD56" s="8">
        <f>'Input RM sheet'!DL74/1000</f>
        <v>0.82399999999999995</v>
      </c>
      <c r="FE56" s="8">
        <f>'Input RM sheet'!DM74/1000</f>
        <v>0.82399999999999995</v>
      </c>
      <c r="FF56" s="8">
        <f>'Input RM sheet'!DN74/1000</f>
        <v>0.82399999999999995</v>
      </c>
      <c r="FG56" s="8">
        <f>'Input RM sheet'!DO74/1000</f>
        <v>0.82399999999999995</v>
      </c>
      <c r="FH56" s="8">
        <f>'Input RM sheet'!DP74/1000</f>
        <v>0.82899999999999996</v>
      </c>
    </row>
    <row r="57" spans="1:164">
      <c r="A57" s="8" t="s">
        <v>229</v>
      </c>
      <c r="B57" s="263" t="s">
        <v>256</v>
      </c>
      <c r="C57" s="19">
        <f t="shared" si="64"/>
        <v>-1.1974358974359056E-2</v>
      </c>
      <c r="D57" s="19">
        <f t="shared" si="65"/>
        <v>-0.10312500000000013</v>
      </c>
      <c r="E57" s="19">
        <f t="shared" si="66"/>
        <v>-0.2643749999999998</v>
      </c>
      <c r="F57" s="19">
        <f t="shared" si="67"/>
        <v>0.20499999999999985</v>
      </c>
      <c r="G57" s="19">
        <f t="shared" si="68"/>
        <v>1.0000000000000009E-2</v>
      </c>
      <c r="H57" s="19">
        <f t="shared" si="69"/>
        <v>4.0000000000000036E-2</v>
      </c>
      <c r="I57" s="19">
        <f t="shared" si="70"/>
        <v>0.17500000000000004</v>
      </c>
      <c r="J57" s="19">
        <f t="shared" si="63"/>
        <v>0</v>
      </c>
      <c r="K57" s="19">
        <f t="shared" si="44"/>
        <v>0</v>
      </c>
      <c r="L57" s="19">
        <f t="shared" si="1"/>
        <v>-2.5000000000000022E-2</v>
      </c>
      <c r="M57" s="19">
        <f t="shared" si="2"/>
        <v>0</v>
      </c>
      <c r="N57" s="19">
        <f t="shared" si="3"/>
        <v>-2.0000000000000018E-2</v>
      </c>
      <c r="O57" s="19">
        <f t="shared" si="4"/>
        <v>0</v>
      </c>
      <c r="P57" s="19">
        <f t="shared" si="5"/>
        <v>1.3000000000000012E-2</v>
      </c>
      <c r="Q57" s="19">
        <f t="shared" si="5"/>
        <v>0</v>
      </c>
      <c r="R57" s="19">
        <f t="shared" si="6"/>
        <v>0</v>
      </c>
      <c r="S57" s="19">
        <f t="shared" si="7"/>
        <v>-4.2999999999999927E-2</v>
      </c>
      <c r="T57" s="19">
        <f t="shared" si="8"/>
        <v>0</v>
      </c>
      <c r="U57" s="19">
        <f t="shared" si="8"/>
        <v>0</v>
      </c>
      <c r="V57" s="19">
        <f t="shared" si="8"/>
        <v>-2.750000000000008E-2</v>
      </c>
      <c r="W57" s="19">
        <f t="shared" si="8"/>
        <v>9.2500000000000027E-2</v>
      </c>
      <c r="X57" s="19">
        <f t="shared" si="55"/>
        <v>2.0000000000000018E-2</v>
      </c>
      <c r="Y57" s="19">
        <f t="shared" si="55"/>
        <v>0</v>
      </c>
      <c r="Z57" s="19">
        <f t="shared" si="9"/>
        <v>4.9999999999998934E-3</v>
      </c>
      <c r="AA57" s="19">
        <f t="shared" si="10"/>
        <v>0</v>
      </c>
      <c r="AB57" s="19">
        <f t="shared" si="10"/>
        <v>-1.4999999999999902E-2</v>
      </c>
      <c r="AC57" s="19">
        <f t="shared" si="10"/>
        <v>0</v>
      </c>
      <c r="AD57" s="19">
        <f t="shared" si="10"/>
        <v>1.0000000000000009E-2</v>
      </c>
      <c r="AE57" s="19">
        <f t="shared" si="11"/>
        <v>9.9999999999998979E-3</v>
      </c>
      <c r="AF57" s="19">
        <f t="shared" si="11"/>
        <v>-9.9999999999998979E-3</v>
      </c>
      <c r="AG57" s="19">
        <f t="shared" si="12"/>
        <v>0</v>
      </c>
      <c r="AH57" s="19">
        <f t="shared" si="13"/>
        <v>-6.0000000000000053E-2</v>
      </c>
      <c r="AI57" s="19">
        <f t="shared" si="14"/>
        <v>0</v>
      </c>
      <c r="AJ57" s="19">
        <f t="shared" si="15"/>
        <v>-6.0000000000000053E-2</v>
      </c>
      <c r="AK57" s="19">
        <f t="shared" si="16"/>
        <v>1.0000000000000009E-2</v>
      </c>
      <c r="AL57" s="19">
        <f t="shared" si="16"/>
        <v>0</v>
      </c>
      <c r="AM57" s="19">
        <f t="shared" si="17"/>
        <v>-2.200000000000002E-2</v>
      </c>
      <c r="AN57" s="19">
        <f t="shared" si="18"/>
        <v>7.2000000000000064E-2</v>
      </c>
      <c r="AO57" s="19">
        <f t="shared" si="19"/>
        <v>-1.0000000000000009E-2</v>
      </c>
      <c r="AP57" s="19">
        <f t="shared" si="20"/>
        <v>-3.0000000000000027E-2</v>
      </c>
      <c r="AQ57" s="19">
        <f t="shared" si="20"/>
        <v>0</v>
      </c>
      <c r="AR57" s="19">
        <f t="shared" si="20"/>
        <v>3.0000000000000027E-2</v>
      </c>
      <c r="AS57" s="19">
        <f t="shared" si="21"/>
        <v>-4.9999999999998934E-3</v>
      </c>
      <c r="AT57" s="19">
        <f t="shared" si="22"/>
        <v>-1.0000000000000009E-2</v>
      </c>
      <c r="AU57" s="60"/>
      <c r="AV57" s="19">
        <f t="shared" si="23"/>
        <v>0</v>
      </c>
      <c r="AW57" s="19">
        <f t="shared" si="24"/>
        <v>0</v>
      </c>
      <c r="AX57" s="19">
        <f t="shared" si="25"/>
        <v>0</v>
      </c>
      <c r="AY57" s="19">
        <f t="shared" si="26"/>
        <v>0</v>
      </c>
      <c r="AZ57" s="19">
        <f t="shared" si="27"/>
        <v>0</v>
      </c>
      <c r="BA57" s="19">
        <f t="shared" si="28"/>
        <v>0</v>
      </c>
      <c r="BB57" s="19">
        <f t="shared" si="61"/>
        <v>0</v>
      </c>
      <c r="BC57" s="19">
        <f t="shared" si="30"/>
        <v>2.4999999999999911E-2</v>
      </c>
      <c r="BD57" s="19">
        <f t="shared" si="31"/>
        <v>2.5000000000000022E-2</v>
      </c>
      <c r="BE57" s="19">
        <f t="shared" si="32"/>
        <v>3.0000000000000027E-3</v>
      </c>
      <c r="BF57" s="19">
        <f t="shared" si="33"/>
        <v>0</v>
      </c>
      <c r="BG57" s="19">
        <f t="shared" si="33"/>
        <v>-2.8000000000000025E-2</v>
      </c>
      <c r="BH57" s="19">
        <f t="shared" si="56"/>
        <v>0</v>
      </c>
      <c r="BI57" s="19">
        <f t="shared" si="57"/>
        <v>-2.4999999999999911E-2</v>
      </c>
      <c r="BJ57" s="19">
        <f t="shared" si="35"/>
        <v>0</v>
      </c>
      <c r="BK57" s="19">
        <f t="shared" si="36"/>
        <v>0</v>
      </c>
      <c r="BL57" s="19">
        <f t="shared" si="45"/>
        <v>2.0000000000000018E-3</v>
      </c>
      <c r="BM57" s="19">
        <f t="shared" si="45"/>
        <v>2.9999999999998916E-3</v>
      </c>
      <c r="BN57" s="19">
        <f t="shared" si="45"/>
        <v>-3.0000000000000027E-2</v>
      </c>
      <c r="BO57" s="19">
        <f t="shared" si="45"/>
        <v>0</v>
      </c>
      <c r="BP57" s="19">
        <f t="shared" si="58"/>
        <v>5.7000000000000051E-2</v>
      </c>
      <c r="BQ57" s="19">
        <f t="shared" si="58"/>
        <v>-7.0000000000000062E-3</v>
      </c>
      <c r="BR57" s="19">
        <f t="shared" si="58"/>
        <v>-8.0000000000000071E-3</v>
      </c>
      <c r="BS57" s="19">
        <f t="shared" si="38"/>
        <v>2.300000000000002E-2</v>
      </c>
      <c r="BT57" s="19">
        <f t="shared" si="46"/>
        <v>0</v>
      </c>
      <c r="BU57" s="19">
        <f t="shared" si="59"/>
        <v>2.0000000000000018E-2</v>
      </c>
      <c r="BV57" s="19">
        <f t="shared" si="60"/>
        <v>0</v>
      </c>
      <c r="BW57" s="19">
        <f t="shared" si="40"/>
        <v>-5.0000000000000044E-3</v>
      </c>
      <c r="BX57" s="19">
        <f t="shared" si="41"/>
        <v>0</v>
      </c>
      <c r="BY57" s="19">
        <f t="shared" si="41"/>
        <v>-1.0000000000000009E-2</v>
      </c>
      <c r="BZ57" s="19">
        <f t="shared" si="41"/>
        <v>1.0000000000000009E-2</v>
      </c>
      <c r="CA57" s="19">
        <f t="shared" si="41"/>
        <v>0</v>
      </c>
      <c r="CB57" s="19">
        <f t="shared" si="42"/>
        <v>0</v>
      </c>
      <c r="CC57" s="19">
        <f t="shared" si="42"/>
        <v>0</v>
      </c>
      <c r="CD57" s="19">
        <f t="shared" si="42"/>
        <v>0</v>
      </c>
      <c r="CE57" s="65"/>
      <c r="CG57" s="20">
        <f t="shared" si="47"/>
        <v>1.0005256410256409</v>
      </c>
      <c r="CH57" s="20">
        <f>'Input RM sheet'!AP75/1000</f>
        <v>1.0125</v>
      </c>
      <c r="CI57" s="20">
        <f>'Input RM sheet'!AQ75/1000</f>
        <v>1.1156250000000001</v>
      </c>
      <c r="CJ57" s="20">
        <f>'Input RM sheet'!AR75/1000</f>
        <v>1.38</v>
      </c>
      <c r="CK57" s="20">
        <f>'Input RM sheet'!AS75/1000</f>
        <v>1.175</v>
      </c>
      <c r="CL57" s="20">
        <f>'Input RM sheet'!AT75/1000</f>
        <v>1.165</v>
      </c>
      <c r="CM57" s="20">
        <f>'Input RM sheet'!AU75/1000</f>
        <v>1.125</v>
      </c>
      <c r="CN57" s="20">
        <f>'Input RM sheet'!AV75/1000</f>
        <v>0.95</v>
      </c>
      <c r="CO57" s="20">
        <f>'Input RM sheet'!AW75/1000</f>
        <v>0.95</v>
      </c>
      <c r="CP57" s="20">
        <f>'Input RM sheet'!AX75/1000</f>
        <v>0.95</v>
      </c>
      <c r="CQ57" s="20">
        <f>'Input RM sheet'!AY75/1000</f>
        <v>0.97499999999999998</v>
      </c>
      <c r="CR57" s="20">
        <f>'Input RM sheet'!AZ75/1000</f>
        <v>0.97499999999999998</v>
      </c>
      <c r="CS57" s="20">
        <f>'Input RM sheet'!BA75/1000</f>
        <v>0.995</v>
      </c>
      <c r="CT57" s="20">
        <f>'Input RM sheet'!BB75/1000</f>
        <v>0.995</v>
      </c>
      <c r="CU57" s="20">
        <f>'Input RM sheet'!BC75/1000</f>
        <v>0.98199999999999998</v>
      </c>
      <c r="CV57" s="20">
        <f>'Input RM sheet'!BD75/1000</f>
        <v>0.98199999999999998</v>
      </c>
      <c r="CW57" s="20">
        <f>'Input RM sheet'!BE75/1000</f>
        <v>0.98199999999999998</v>
      </c>
      <c r="CX57" s="20">
        <f>'Input RM sheet'!BF75/1000</f>
        <v>1.0249999999999999</v>
      </c>
      <c r="CY57" s="20">
        <f>'Input RM sheet'!BG75/1000</f>
        <v>1.0249999999999999</v>
      </c>
      <c r="CZ57" s="20">
        <f>'Input RM sheet'!BH75/1000</f>
        <v>1.0249999999999999</v>
      </c>
      <c r="DA57" s="20">
        <f>'Input RM sheet'!BI75/1000</f>
        <v>1.0525</v>
      </c>
      <c r="DB57" s="20">
        <f>'Input RM sheet'!BJ75/1000</f>
        <v>0.96</v>
      </c>
      <c r="DC57" s="20">
        <f>'Input RM sheet'!BK75/1000</f>
        <v>0.94</v>
      </c>
      <c r="DD57" s="20">
        <f>'Input RM sheet'!BL75/1000</f>
        <v>0.94</v>
      </c>
      <c r="DE57" s="20">
        <f>'Input RM sheet'!BM75/1000</f>
        <v>0.93500000000000005</v>
      </c>
      <c r="DF57" s="20">
        <f>'Input RM sheet'!BN75/1000</f>
        <v>0.93500000000000005</v>
      </c>
      <c r="DG57" s="20">
        <f>'Input RM sheet'!BO75/1000</f>
        <v>0.95</v>
      </c>
      <c r="DH57" s="20">
        <f>'Input RM sheet'!BP75/1000</f>
        <v>0.95</v>
      </c>
      <c r="DI57" s="20">
        <f>'Input RM sheet'!BQ75/1000</f>
        <v>0.94</v>
      </c>
      <c r="DJ57" s="20">
        <f>'Input RM sheet'!BR75/1000</f>
        <v>0.93</v>
      </c>
      <c r="DK57" s="20">
        <f>'Input RM sheet'!BS75/1000</f>
        <v>0.94</v>
      </c>
      <c r="DL57" s="20">
        <f>'Input RM sheet'!BT75/1000</f>
        <v>0.94</v>
      </c>
      <c r="DM57" s="20">
        <f>'Input RM sheet'!BU75/1000</f>
        <v>1</v>
      </c>
      <c r="DN57" s="20">
        <f>'Input RM sheet'!BV75/1000</f>
        <v>1</v>
      </c>
      <c r="DO57" s="20">
        <f>'Input RM sheet'!BW75/1000</f>
        <v>1.06</v>
      </c>
      <c r="DP57" s="20">
        <f>'Input RM sheet'!BX75/1000</f>
        <v>1.05</v>
      </c>
      <c r="DQ57" s="20">
        <f>'Input RM sheet'!BY75/1000</f>
        <v>1.05</v>
      </c>
      <c r="DR57" s="20">
        <f>'Input RM sheet'!BZ75/1000</f>
        <v>1.0720000000000001</v>
      </c>
      <c r="DS57" s="20">
        <f>'Input RM sheet'!CA75/1000</f>
        <v>1</v>
      </c>
      <c r="DT57" s="20">
        <f>'Input RM sheet'!CB75/1000</f>
        <v>1.01</v>
      </c>
      <c r="DU57" s="20">
        <f>'Input RM sheet'!CC75/1000</f>
        <v>1.04</v>
      </c>
      <c r="DV57" s="20">
        <f>'Input RM sheet'!CD75/1000</f>
        <v>1.04</v>
      </c>
      <c r="DW57" s="20">
        <f>'Input RM sheet'!CE75/1000</f>
        <v>1.01</v>
      </c>
      <c r="DX57" s="20">
        <f>'Input RM sheet'!CF75/1000</f>
        <v>1.0149999999999999</v>
      </c>
      <c r="DY57" s="20">
        <f>'Input RM sheet'!CG75/1000</f>
        <v>1.0249999999999999</v>
      </c>
      <c r="DZ57" s="20">
        <f>'Input RM sheet'!CH75/1000</f>
        <v>1.0249999999999999</v>
      </c>
      <c r="EA57" s="20">
        <f>'Input RM sheet'!CI75/1000</f>
        <v>1.0249999999999999</v>
      </c>
      <c r="EB57" s="20">
        <f>'Input RM sheet'!CJ75/1000</f>
        <v>1.0249999999999999</v>
      </c>
      <c r="EC57" s="20">
        <f>'Input RM sheet'!CK75/1000</f>
        <v>1.0249999999999999</v>
      </c>
      <c r="ED57" s="20">
        <f>'Input RM sheet'!CL75/1000</f>
        <v>1.0249999999999999</v>
      </c>
      <c r="EE57" s="20">
        <f>'Input RM sheet'!CM75/1000</f>
        <v>1.0249999999999999</v>
      </c>
      <c r="EF57" s="20">
        <f>'Input RM sheet'!CN75/1000</f>
        <v>1.0249999999999999</v>
      </c>
      <c r="EG57" s="20">
        <f>'Input RM sheet'!CO75/1000</f>
        <v>1</v>
      </c>
      <c r="EH57" s="20">
        <f>'Input RM sheet'!CP75/1000</f>
        <v>0.97499999999999998</v>
      </c>
      <c r="EI57" s="20">
        <f>'Input RM sheet'!CQ75/1000</f>
        <v>0.97199999999999998</v>
      </c>
      <c r="EJ57" s="20">
        <f>'Input RM sheet'!CR75/1000</f>
        <v>0.97199999999999998</v>
      </c>
      <c r="EK57" s="20">
        <f>'Input RM sheet'!CS75/1000</f>
        <v>1</v>
      </c>
      <c r="EL57" s="20">
        <f>'Input RM sheet'!CT75/1000</f>
        <v>1</v>
      </c>
      <c r="EM57" s="20">
        <f>'Input RM sheet'!CU75/1000</f>
        <v>1.0249999999999999</v>
      </c>
      <c r="EN57" s="20">
        <f>'Input RM sheet'!CV75/1000</f>
        <v>1.0249999999999999</v>
      </c>
      <c r="EO57" s="20">
        <f>'Input RM sheet'!CW75/1000</f>
        <v>1.0249999999999999</v>
      </c>
      <c r="EP57" s="20">
        <f>'Input RM sheet'!CX75/1000</f>
        <v>1.0229999999999999</v>
      </c>
      <c r="EQ57" s="20">
        <f>'Input RM sheet'!CY75/1000</f>
        <v>1.02</v>
      </c>
      <c r="ER57" s="20">
        <f>'Input RM sheet'!CZ75/1000</f>
        <v>1.05</v>
      </c>
      <c r="ES57" s="20">
        <f>'Input RM sheet'!DA75/1000</f>
        <v>1.05</v>
      </c>
      <c r="ET57" s="20">
        <f>'Input RM sheet'!DB75/1000</f>
        <v>0.99299999999999999</v>
      </c>
      <c r="EU57" s="20">
        <f>'Input RM sheet'!DC75/1000</f>
        <v>1</v>
      </c>
      <c r="EV57" s="20">
        <f>'Input RM sheet'!DD75/1000</f>
        <v>1.008</v>
      </c>
      <c r="EW57" s="20">
        <f>'Input RM sheet'!DE75/1000</f>
        <v>0.98499999999999999</v>
      </c>
      <c r="EX57" s="20">
        <f>'Input RM sheet'!DF75/1000</f>
        <v>0.98499999999999999</v>
      </c>
      <c r="EY57" s="20">
        <f>'Input RM sheet'!DG75/1000</f>
        <v>0.96499999999999997</v>
      </c>
      <c r="EZ57" s="20">
        <f>'Input RM sheet'!DH75/1000</f>
        <v>0.96499999999999997</v>
      </c>
      <c r="FA57" s="20">
        <f>'Input RM sheet'!DI75/1000</f>
        <v>0.97</v>
      </c>
      <c r="FB57" s="20">
        <f>'Input RM sheet'!DJ75/1000</f>
        <v>0.97</v>
      </c>
      <c r="FC57" s="20">
        <f>'Input RM sheet'!DK75/1000</f>
        <v>0.98</v>
      </c>
      <c r="FD57" s="20">
        <f>'Input RM sheet'!DL75/1000</f>
        <v>0.97</v>
      </c>
      <c r="FE57" s="20">
        <f>'Input RM sheet'!DM75/1000</f>
        <v>0.97</v>
      </c>
      <c r="FF57" s="20">
        <f>'Input RM sheet'!DN75/1000</f>
        <v>0.97</v>
      </c>
      <c r="FG57" s="20">
        <f>'Input RM sheet'!DO75/1000</f>
        <v>0.97</v>
      </c>
      <c r="FH57" s="20">
        <f>'Input RM sheet'!DP75/1000</f>
        <v>0.97</v>
      </c>
    </row>
    <row r="58" spans="1:164">
      <c r="A58" s="8" t="s">
        <v>229</v>
      </c>
      <c r="B58" s="263" t="s">
        <v>257</v>
      </c>
      <c r="C58" s="19">
        <f t="shared" si="64"/>
        <v>0.13433333333333319</v>
      </c>
      <c r="D58" s="19">
        <f t="shared" si="65"/>
        <v>-2.8750000000000053E-2</v>
      </c>
      <c r="E58" s="19">
        <f t="shared" si="66"/>
        <v>5.3749999999999964E-2</v>
      </c>
      <c r="F58" s="19">
        <f t="shared" si="67"/>
        <v>1.0000000000000009E-2</v>
      </c>
      <c r="G58" s="19">
        <f t="shared" si="68"/>
        <v>-2.4999999999999911E-2</v>
      </c>
      <c r="H58" s="19">
        <f t="shared" si="69"/>
        <v>-4.0000000000000036E-2</v>
      </c>
      <c r="I58" s="19">
        <f t="shared" si="70"/>
        <v>0.12999999999999989</v>
      </c>
      <c r="J58" s="19">
        <f t="shared" si="63"/>
        <v>0</v>
      </c>
      <c r="K58" s="19">
        <f t="shared" si="44"/>
        <v>-1.0000000000000009E-2</v>
      </c>
      <c r="L58" s="19">
        <f t="shared" si="1"/>
        <v>-2.9999999999999805E-2</v>
      </c>
      <c r="M58" s="19">
        <f t="shared" si="2"/>
        <v>-9.000000000000008E-2</v>
      </c>
      <c r="N58" s="19">
        <f t="shared" si="3"/>
        <v>-6.4999999999999947E-2</v>
      </c>
      <c r="O58" s="19">
        <f t="shared" si="4"/>
        <v>-4.0000000000000036E-2</v>
      </c>
      <c r="P58" s="19">
        <f t="shared" si="5"/>
        <v>-5.0000000000001155E-3</v>
      </c>
      <c r="Q58" s="19">
        <f t="shared" si="5"/>
        <v>-8.4999999999999964E-2</v>
      </c>
      <c r="R58" s="19">
        <f t="shared" si="6"/>
        <v>0</v>
      </c>
      <c r="S58" s="19">
        <f t="shared" si="7"/>
        <v>9.4999999999999973E-2</v>
      </c>
      <c r="T58" s="19">
        <f t="shared" si="8"/>
        <v>-6.3999999999999835E-2</v>
      </c>
      <c r="U58" s="19">
        <f t="shared" si="8"/>
        <v>1.8999999999999906E-2</v>
      </c>
      <c r="V58" s="19">
        <f t="shared" si="8"/>
        <v>4.4999999999999929E-2</v>
      </c>
      <c r="W58" s="19">
        <f t="shared" si="8"/>
        <v>1.0000000000000009E-2</v>
      </c>
      <c r="X58" s="19">
        <f t="shared" si="55"/>
        <v>4.0000000000000036E-2</v>
      </c>
      <c r="Y58" s="19">
        <f t="shared" si="55"/>
        <v>0</v>
      </c>
      <c r="Z58" s="19">
        <f t="shared" si="9"/>
        <v>0</v>
      </c>
      <c r="AA58" s="19">
        <f t="shared" si="10"/>
        <v>0</v>
      </c>
      <c r="AB58" s="19">
        <f t="shared" si="10"/>
        <v>2.0000000000000018E-2</v>
      </c>
      <c r="AC58" s="19">
        <f t="shared" si="10"/>
        <v>0</v>
      </c>
      <c r="AD58" s="19">
        <f t="shared" si="10"/>
        <v>-1.4999999999999902E-2</v>
      </c>
      <c r="AE58" s="19">
        <f t="shared" si="11"/>
        <v>-5.500000000000016E-2</v>
      </c>
      <c r="AF58" s="19">
        <f t="shared" si="11"/>
        <v>0</v>
      </c>
      <c r="AG58" s="19">
        <f t="shared" si="12"/>
        <v>-0.125</v>
      </c>
      <c r="AH58" s="19">
        <f t="shared" si="13"/>
        <v>-4.9999999999999822E-2</v>
      </c>
      <c r="AI58" s="19">
        <f t="shared" si="14"/>
        <v>0</v>
      </c>
      <c r="AJ58" s="19">
        <f t="shared" si="15"/>
        <v>4.9999999999998934E-3</v>
      </c>
      <c r="AK58" s="19">
        <f t="shared" si="16"/>
        <v>0</v>
      </c>
      <c r="AL58" s="19">
        <f t="shared" si="16"/>
        <v>0</v>
      </c>
      <c r="AM58" s="19">
        <f t="shared" si="17"/>
        <v>3.0000000000000027E-2</v>
      </c>
      <c r="AN58" s="19">
        <f t="shared" si="18"/>
        <v>-5.0000000000001155E-3</v>
      </c>
      <c r="AO58" s="19">
        <f t="shared" si="19"/>
        <v>-1.0000000000000009E-2</v>
      </c>
      <c r="AP58" s="19">
        <f t="shared" si="20"/>
        <v>2.0000000000000018E-2</v>
      </c>
      <c r="AQ58" s="19">
        <f t="shared" si="20"/>
        <v>6.0000000000000053E-2</v>
      </c>
      <c r="AR58" s="19">
        <f t="shared" si="20"/>
        <v>4.0000000000000036E-2</v>
      </c>
      <c r="AS58" s="19">
        <f t="shared" si="21"/>
        <v>2.0000000000000018E-2</v>
      </c>
      <c r="AT58" s="19">
        <f t="shared" si="22"/>
        <v>3.0000000000000027E-2</v>
      </c>
      <c r="AU58" s="60"/>
      <c r="AV58" s="19">
        <f t="shared" si="23"/>
        <v>0</v>
      </c>
      <c r="AW58" s="19">
        <f t="shared" si="24"/>
        <v>2.0000000000000018E-2</v>
      </c>
      <c r="AX58" s="19">
        <f t="shared" si="25"/>
        <v>3.0000000000000027E-2</v>
      </c>
      <c r="AY58" s="19">
        <f t="shared" si="26"/>
        <v>1.0000000000000009E-2</v>
      </c>
      <c r="AZ58" s="19">
        <f t="shared" si="27"/>
        <v>0</v>
      </c>
      <c r="BA58" s="19">
        <f t="shared" si="28"/>
        <v>0</v>
      </c>
      <c r="BB58" s="19">
        <f t="shared" si="61"/>
        <v>0</v>
      </c>
      <c r="BC58" s="19">
        <f t="shared" si="30"/>
        <v>0</v>
      </c>
      <c r="BD58" s="19">
        <f t="shared" si="31"/>
        <v>-5.0000000000000044E-2</v>
      </c>
      <c r="BE58" s="19">
        <f t="shared" si="32"/>
        <v>7.9999999999999849E-2</v>
      </c>
      <c r="BF58" s="19">
        <f t="shared" si="33"/>
        <v>4.5000000000000151E-2</v>
      </c>
      <c r="BG58" s="19">
        <f t="shared" si="33"/>
        <v>-5.0000000000001155E-3</v>
      </c>
      <c r="BH58" s="19">
        <f t="shared" si="56"/>
        <v>2.8000000000000025E-2</v>
      </c>
      <c r="BI58" s="19">
        <f t="shared" si="57"/>
        <v>1.5000000000000124E-2</v>
      </c>
      <c r="BJ58" s="19">
        <f t="shared" si="35"/>
        <v>-9.000000000000119E-3</v>
      </c>
      <c r="BK58" s="19">
        <f t="shared" si="36"/>
        <v>4.6000000000000041E-2</v>
      </c>
      <c r="BL58" s="19">
        <f t="shared" si="45"/>
        <v>4.9999999999998934E-3</v>
      </c>
      <c r="BM58" s="19">
        <f t="shared" si="45"/>
        <v>2.5000000000000133E-2</v>
      </c>
      <c r="BN58" s="19">
        <f t="shared" si="45"/>
        <v>0.11499999999999999</v>
      </c>
      <c r="BO58" s="19">
        <f t="shared" si="45"/>
        <v>-2.0000000000000018E-2</v>
      </c>
      <c r="BP58" s="19">
        <f t="shared" si="58"/>
        <v>0</v>
      </c>
      <c r="BQ58" s="19">
        <f t="shared" si="58"/>
        <v>0</v>
      </c>
      <c r="BR58" s="19">
        <f t="shared" si="58"/>
        <v>-1.0000000000000009E-2</v>
      </c>
      <c r="BS58" s="19">
        <f t="shared" si="38"/>
        <v>-1.4999999999999902E-2</v>
      </c>
      <c r="BT58" s="19">
        <f t="shared" si="46"/>
        <v>-8.5000000000000187E-2</v>
      </c>
      <c r="BU58" s="19">
        <f t="shared" si="59"/>
        <v>-1.0000000000000009E-2</v>
      </c>
      <c r="BV58" s="19">
        <f t="shared" si="60"/>
        <v>0</v>
      </c>
      <c r="BW58" s="19">
        <f t="shared" si="40"/>
        <v>1.5000000000000124E-2</v>
      </c>
      <c r="BX58" s="19">
        <f t="shared" si="41"/>
        <v>0</v>
      </c>
      <c r="BY58" s="19">
        <f t="shared" si="41"/>
        <v>-1.5000000000000124E-2</v>
      </c>
      <c r="BZ58" s="19">
        <f t="shared" si="41"/>
        <v>5.0000000000001155E-3</v>
      </c>
      <c r="CA58" s="19">
        <f t="shared" si="41"/>
        <v>0</v>
      </c>
      <c r="CB58" s="19">
        <f t="shared" si="42"/>
        <v>4.0000000000000036E-2</v>
      </c>
      <c r="CC58" s="19">
        <f t="shared" si="42"/>
        <v>2.0000000000000018E-2</v>
      </c>
      <c r="CD58" s="19">
        <f t="shared" si="42"/>
        <v>3.499999999999992E-2</v>
      </c>
      <c r="CE58" s="65"/>
      <c r="CG58" s="20">
        <f t="shared" si="47"/>
        <v>1.3443333333333332</v>
      </c>
      <c r="CH58" s="8">
        <f>'Input RM sheet'!AP68/1000</f>
        <v>1.21</v>
      </c>
      <c r="CI58" s="8">
        <f>'Input RM sheet'!AQ68/1000</f>
        <v>1.23875</v>
      </c>
      <c r="CJ58" s="8">
        <f>'Input RM sheet'!AR68/1000</f>
        <v>1.1850000000000001</v>
      </c>
      <c r="CK58" s="8">
        <f>'Input RM sheet'!AS68/1000</f>
        <v>1.175</v>
      </c>
      <c r="CL58" s="8">
        <f>'Input RM sheet'!AT68/1000</f>
        <v>1.2</v>
      </c>
      <c r="CM58" s="8">
        <f>'Input RM sheet'!AU68/1000</f>
        <v>1.24</v>
      </c>
      <c r="CN58" s="8">
        <f>'Input RM sheet'!AV68/1000</f>
        <v>1.1100000000000001</v>
      </c>
      <c r="CO58" s="8">
        <f>'Input RM sheet'!AW68/1000</f>
        <v>1.1100000000000001</v>
      </c>
      <c r="CP58" s="8">
        <f>'Input RM sheet'!AX68/1000</f>
        <v>1.1200000000000001</v>
      </c>
      <c r="CQ58" s="8">
        <f>'Input RM sheet'!AY68/1000</f>
        <v>1.1499999999999999</v>
      </c>
      <c r="CR58" s="8">
        <f>'Input RM sheet'!AZ68/1000</f>
        <v>1.24</v>
      </c>
      <c r="CS58" s="8">
        <f>'Input RM sheet'!BA68/1000</f>
        <v>1.3049999999999999</v>
      </c>
      <c r="CT58" s="8">
        <f>'Input RM sheet'!BB68/1000</f>
        <v>1.345</v>
      </c>
      <c r="CU58" s="8">
        <f>'Input RM sheet'!BC68/1000</f>
        <v>1.35</v>
      </c>
      <c r="CV58" s="8">
        <f>'Input RM sheet'!BD68/1000</f>
        <v>1.4350000000000001</v>
      </c>
      <c r="CW58" s="8">
        <f>'Input RM sheet'!BE68/1000</f>
        <v>1.4350000000000001</v>
      </c>
      <c r="CX58" s="8">
        <f>'Input RM sheet'!BF68/1000</f>
        <v>1.34</v>
      </c>
      <c r="CY58" s="8">
        <f>'Input RM sheet'!BG68/1000</f>
        <v>1.4039999999999999</v>
      </c>
      <c r="CZ58" s="8">
        <f>'Input RM sheet'!BH68/1000</f>
        <v>1.385</v>
      </c>
      <c r="DA58" s="8">
        <f>'Input RM sheet'!BI68/1000</f>
        <v>1.34</v>
      </c>
      <c r="DB58" s="8">
        <f>'Input RM sheet'!BJ68/1000</f>
        <v>1.33</v>
      </c>
      <c r="DC58" s="8">
        <f>'Input RM sheet'!BK68/1000</f>
        <v>1.29</v>
      </c>
      <c r="DD58" s="8">
        <f>'Input RM sheet'!BL68/1000</f>
        <v>1.29</v>
      </c>
      <c r="DE58" s="8">
        <f>'Input RM sheet'!BM68/1000</f>
        <v>1.29</v>
      </c>
      <c r="DF58" s="8">
        <f>'Input RM sheet'!BN68/1000</f>
        <v>1.29</v>
      </c>
      <c r="DG58" s="8">
        <f>'Input RM sheet'!BO68/1000</f>
        <v>1.27</v>
      </c>
      <c r="DH58" s="8">
        <f>'Input RM sheet'!BP68/1000</f>
        <v>1.27</v>
      </c>
      <c r="DI58" s="8">
        <f>'Input RM sheet'!BQ68/1000</f>
        <v>1.2849999999999999</v>
      </c>
      <c r="DJ58" s="8">
        <f>'Input RM sheet'!BR68/1000</f>
        <v>1.34</v>
      </c>
      <c r="DK58" s="8">
        <f>'Input RM sheet'!BS68/1000</f>
        <v>1.34</v>
      </c>
      <c r="DL58" s="8">
        <f>'Input RM sheet'!BT68/1000</f>
        <v>1.4650000000000001</v>
      </c>
      <c r="DM58" s="8">
        <f>'Input RM sheet'!BU68/1000</f>
        <v>1.5149999999999999</v>
      </c>
      <c r="DN58" s="8">
        <f>'Input RM sheet'!BV68/1000</f>
        <v>1.5149999999999999</v>
      </c>
      <c r="DO58" s="8">
        <f>'Input RM sheet'!BW68/1000</f>
        <v>1.51</v>
      </c>
      <c r="DP58" s="8">
        <f>'Input RM sheet'!BX68/1000</f>
        <v>1.51</v>
      </c>
      <c r="DQ58" s="8">
        <f>'Input RM sheet'!BY68/1000</f>
        <v>1.51</v>
      </c>
      <c r="DR58" s="8">
        <f>'Input RM sheet'!BZ68/1000</f>
        <v>1.48</v>
      </c>
      <c r="DS58" s="8">
        <f>'Input RM sheet'!CA68/1000</f>
        <v>1.4850000000000001</v>
      </c>
      <c r="DT58" s="8">
        <f>'Input RM sheet'!CB68/1000</f>
        <v>1.4950000000000001</v>
      </c>
      <c r="DU58" s="8">
        <f>'Input RM sheet'!CC68/1000</f>
        <v>1.4750000000000001</v>
      </c>
      <c r="DV58" s="8">
        <f>'Input RM sheet'!CD68/1000</f>
        <v>1.415</v>
      </c>
      <c r="DW58" s="8">
        <f>'Input RM sheet'!CE68/1000</f>
        <v>1.375</v>
      </c>
      <c r="DX58" s="8">
        <f>'Input RM sheet'!CF68/1000</f>
        <v>1.355</v>
      </c>
      <c r="DY58" s="8">
        <f>'Input RM sheet'!CG68/1000</f>
        <v>1.325</v>
      </c>
      <c r="DZ58" s="8">
        <f>'Input RM sheet'!CH68/1000</f>
        <v>1.325</v>
      </c>
      <c r="EA58" s="8">
        <f>'Input RM sheet'!CI68/1000</f>
        <v>1.3049999999999999</v>
      </c>
      <c r="EB58" s="8">
        <f>'Input RM sheet'!CJ68/1000</f>
        <v>1.2749999999999999</v>
      </c>
      <c r="EC58" s="8">
        <f>'Input RM sheet'!CK68/1000</f>
        <v>1.2649999999999999</v>
      </c>
      <c r="ED58" s="8">
        <f>'Input RM sheet'!CL68/1000</f>
        <v>1.2649999999999999</v>
      </c>
      <c r="EE58" s="8">
        <f>'Input RM sheet'!CM68/1000</f>
        <v>1.2649999999999999</v>
      </c>
      <c r="EF58" s="8">
        <f>'Input RM sheet'!CN68/1000</f>
        <v>1.2649999999999999</v>
      </c>
      <c r="EG58" s="8">
        <f>'Input RM sheet'!CO68/1000</f>
        <v>1.2649999999999999</v>
      </c>
      <c r="EH58" s="8">
        <f>'Input RM sheet'!CP68/1000</f>
        <v>1.3149999999999999</v>
      </c>
      <c r="EI58" s="8">
        <f>'Input RM sheet'!CQ68/1000</f>
        <v>1.2350000000000001</v>
      </c>
      <c r="EJ58" s="8">
        <f>'Input RM sheet'!CR68/1000</f>
        <v>1.19</v>
      </c>
      <c r="EK58" s="8">
        <f>'Input RM sheet'!CS68/1000</f>
        <v>1.1950000000000001</v>
      </c>
      <c r="EL58" s="8">
        <f>'Input RM sheet'!CT68/1000</f>
        <v>1.167</v>
      </c>
      <c r="EM58" s="8">
        <f>'Input RM sheet'!CU68/1000</f>
        <v>1.1519999999999999</v>
      </c>
      <c r="EN58" s="8">
        <f>'Input RM sheet'!CV68/1000</f>
        <v>1.161</v>
      </c>
      <c r="EO58" s="8">
        <f>'Input RM sheet'!CW68/1000</f>
        <v>1.115</v>
      </c>
      <c r="EP58" s="8">
        <f>'Input RM sheet'!CX68/1000</f>
        <v>1.1100000000000001</v>
      </c>
      <c r="EQ58" s="8">
        <f>'Input RM sheet'!CY68/1000</f>
        <v>1.085</v>
      </c>
      <c r="ER58" s="8">
        <f>'Input RM sheet'!CZ68/1000</f>
        <v>0.97</v>
      </c>
      <c r="ES58" s="8">
        <f>'Input RM sheet'!DA68/1000</f>
        <v>0.99</v>
      </c>
      <c r="ET58" s="8">
        <f>'Input RM sheet'!DB68/1000</f>
        <v>0.99</v>
      </c>
      <c r="EU58" s="8">
        <f>'Input RM sheet'!DC68/1000</f>
        <v>0.99</v>
      </c>
      <c r="EV58" s="8">
        <f>'Input RM sheet'!DD68/1000</f>
        <v>1</v>
      </c>
      <c r="EW58" s="8">
        <f>'Input RM sheet'!DE68/1000</f>
        <v>1.0149999999999999</v>
      </c>
      <c r="EX58" s="8">
        <f>'Input RM sheet'!DF68/1000</f>
        <v>1.1000000000000001</v>
      </c>
      <c r="EY58" s="8">
        <f>'Input RM sheet'!DG68/1000</f>
        <v>1.1100000000000001</v>
      </c>
      <c r="EZ58" s="8">
        <f>'Input RM sheet'!DH68/1000</f>
        <v>1.1100000000000001</v>
      </c>
      <c r="FA58" s="8">
        <f>'Input RM sheet'!DI68/1000</f>
        <v>1.095</v>
      </c>
      <c r="FB58" s="8">
        <f>'Input RM sheet'!DJ68/1000</f>
        <v>1.095</v>
      </c>
      <c r="FC58" s="8">
        <f>'Input RM sheet'!DK68/1000</f>
        <v>1.1100000000000001</v>
      </c>
      <c r="FD58" s="8">
        <f>'Input RM sheet'!DL68/1000</f>
        <v>1.105</v>
      </c>
      <c r="FE58" s="8">
        <f>'Input RM sheet'!DM68/1000</f>
        <v>1.105</v>
      </c>
      <c r="FF58" s="8">
        <f>'Input RM sheet'!DN68/1000</f>
        <v>1.0649999999999999</v>
      </c>
      <c r="FG58" s="8">
        <f>'Input RM sheet'!DO68/1000</f>
        <v>1.0449999999999999</v>
      </c>
      <c r="FH58" s="8">
        <f>'Input RM sheet'!DP68/1000</f>
        <v>1.01</v>
      </c>
    </row>
    <row r="59" spans="1:164">
      <c r="A59" s="8" t="s">
        <v>212</v>
      </c>
      <c r="B59" s="263" t="s">
        <v>258</v>
      </c>
      <c r="C59" s="19">
        <f t="shared" si="64"/>
        <v>0.13153846153846183</v>
      </c>
      <c r="D59" s="19">
        <f t="shared" si="65"/>
        <v>-4.379999999999995E-2</v>
      </c>
      <c r="E59" s="19">
        <f t="shared" si="66"/>
        <v>-8.120000000000005E-2</v>
      </c>
      <c r="F59" s="19">
        <f t="shared" si="67"/>
        <v>0</v>
      </c>
      <c r="G59" s="19">
        <f t="shared" si="68"/>
        <v>-1.749999999999996E-2</v>
      </c>
      <c r="H59" s="19">
        <f t="shared" si="69"/>
        <v>1.0000000000000009E-2</v>
      </c>
      <c r="I59" s="19">
        <f t="shared" si="70"/>
        <v>0.12249999999999994</v>
      </c>
      <c r="J59" s="19">
        <f t="shared" si="63"/>
        <v>-1.4999999999999902E-2</v>
      </c>
      <c r="K59" s="19">
        <f t="shared" si="44"/>
        <v>0</v>
      </c>
      <c r="L59" s="19">
        <f t="shared" si="1"/>
        <v>-1.0000000000000009E-2</v>
      </c>
      <c r="M59" s="19">
        <f t="shared" si="2"/>
        <v>-2.0000000000000018E-2</v>
      </c>
      <c r="N59" s="19">
        <f t="shared" si="3"/>
        <v>-1.5000000000000013E-2</v>
      </c>
      <c r="O59" s="19">
        <f t="shared" si="4"/>
        <v>-5.0000000000000044E-3</v>
      </c>
      <c r="P59" s="19">
        <f t="shared" si="5"/>
        <v>0</v>
      </c>
      <c r="Q59" s="19">
        <f t="shared" si="5"/>
        <v>0</v>
      </c>
      <c r="R59" s="19">
        <f t="shared" si="6"/>
        <v>-1.0000000000000009E-2</v>
      </c>
      <c r="S59" s="19">
        <f t="shared" si="7"/>
        <v>0</v>
      </c>
      <c r="T59" s="19">
        <f t="shared" si="8"/>
        <v>-5.0000000000000044E-2</v>
      </c>
      <c r="U59" s="19">
        <f t="shared" si="8"/>
        <v>-1.4999999999999902E-2</v>
      </c>
      <c r="V59" s="19">
        <f t="shared" si="8"/>
        <v>-1.0000000000000009E-2</v>
      </c>
      <c r="W59" s="19">
        <f t="shared" si="8"/>
        <v>2.9999999999999916E-2</v>
      </c>
      <c r="X59" s="19">
        <f t="shared" si="55"/>
        <v>0</v>
      </c>
      <c r="Y59" s="19">
        <f t="shared" si="55"/>
        <v>0</v>
      </c>
      <c r="Z59" s="19">
        <f t="shared" si="9"/>
        <v>-1.0000000000000009E-2</v>
      </c>
      <c r="AA59" s="19">
        <f t="shared" si="10"/>
        <v>0</v>
      </c>
      <c r="AB59" s="19">
        <f t="shared" si="10"/>
        <v>0</v>
      </c>
      <c r="AC59" s="19">
        <f t="shared" si="10"/>
        <v>2.5000000000000022E-2</v>
      </c>
      <c r="AD59" s="19">
        <f t="shared" si="10"/>
        <v>0</v>
      </c>
      <c r="AE59" s="19">
        <f t="shared" si="11"/>
        <v>0</v>
      </c>
      <c r="AF59" s="19">
        <f t="shared" si="11"/>
        <v>0</v>
      </c>
      <c r="AG59" s="19">
        <f t="shared" si="12"/>
        <v>-2.5000000000000022E-2</v>
      </c>
      <c r="AH59" s="19">
        <f t="shared" si="13"/>
        <v>5.0000000000000044E-3</v>
      </c>
      <c r="AI59" s="19">
        <f t="shared" si="14"/>
        <v>0</v>
      </c>
      <c r="AJ59" s="19">
        <f t="shared" si="15"/>
        <v>-3.499999999999992E-2</v>
      </c>
      <c r="AK59" s="19">
        <f t="shared" si="16"/>
        <v>0</v>
      </c>
      <c r="AL59" s="19">
        <f t="shared" si="16"/>
        <v>-2.0000000000000018E-2</v>
      </c>
      <c r="AM59" s="19">
        <f t="shared" si="17"/>
        <v>-5.0000000000000044E-2</v>
      </c>
      <c r="AN59" s="19">
        <f t="shared" si="18"/>
        <v>0</v>
      </c>
      <c r="AO59" s="19">
        <f t="shared" si="19"/>
        <v>0</v>
      </c>
      <c r="AP59" s="19">
        <f t="shared" si="20"/>
        <v>0</v>
      </c>
      <c r="AQ59" s="19">
        <f t="shared" si="20"/>
        <v>-1.0000000000000009E-2</v>
      </c>
      <c r="AR59" s="19">
        <f t="shared" si="20"/>
        <v>0</v>
      </c>
      <c r="AS59" s="19">
        <f t="shared" si="21"/>
        <v>0</v>
      </c>
      <c r="AT59" s="19">
        <f t="shared" si="22"/>
        <v>0</v>
      </c>
      <c r="AU59" s="60"/>
      <c r="AV59" s="19">
        <f t="shared" si="23"/>
        <v>0</v>
      </c>
      <c r="AW59" s="19">
        <f t="shared" si="24"/>
        <v>-2.0000000000000018E-2</v>
      </c>
      <c r="AX59" s="19">
        <f t="shared" si="25"/>
        <v>0</v>
      </c>
      <c r="AY59" s="19">
        <f t="shared" si="26"/>
        <v>-1.0000000000000009E-2</v>
      </c>
      <c r="AZ59" s="19">
        <f t="shared" si="27"/>
        <v>0</v>
      </c>
      <c r="BA59" s="19">
        <f t="shared" si="28"/>
        <v>0</v>
      </c>
      <c r="BB59" s="19">
        <f t="shared" si="61"/>
        <v>0</v>
      </c>
      <c r="BC59" s="19">
        <f t="shared" si="30"/>
        <v>0</v>
      </c>
      <c r="BD59" s="19">
        <f t="shared" si="31"/>
        <v>5.0000000000001155E-3</v>
      </c>
      <c r="BE59" s="19">
        <f t="shared" si="32"/>
        <v>-1.0000000000000009E-2</v>
      </c>
      <c r="BF59" s="19">
        <f t="shared" si="33"/>
        <v>4.9999999999998934E-3</v>
      </c>
      <c r="BG59" s="19">
        <f t="shared" si="33"/>
        <v>0</v>
      </c>
      <c r="BH59" s="19">
        <f t="shared" si="56"/>
        <v>0</v>
      </c>
      <c r="BI59" s="19">
        <f t="shared" si="57"/>
        <v>3.0000000000000027E-2</v>
      </c>
      <c r="BJ59" s="19">
        <f t="shared" si="35"/>
        <v>2.0000000000000018E-2</v>
      </c>
      <c r="BK59" s="19">
        <f t="shared" si="36"/>
        <v>0</v>
      </c>
      <c r="BL59" s="19">
        <f t="shared" si="45"/>
        <v>0</v>
      </c>
      <c r="BM59" s="19">
        <f t="shared" si="45"/>
        <v>0</v>
      </c>
      <c r="BN59" s="19">
        <f t="shared" si="45"/>
        <v>7.5000000000000622E-3</v>
      </c>
      <c r="BO59" s="19">
        <f t="shared" si="45"/>
        <v>5.2499999999999991E-2</v>
      </c>
      <c r="BP59" s="19">
        <f t="shared" si="58"/>
        <v>5.0000000000000044E-3</v>
      </c>
      <c r="BQ59" s="19">
        <f t="shared" si="58"/>
        <v>7.999999999999996E-2</v>
      </c>
      <c r="BR59" s="19">
        <f t="shared" si="58"/>
        <v>2.5000000000000022E-2</v>
      </c>
      <c r="BS59" s="19">
        <f t="shared" si="38"/>
        <v>-1.5000000000000013E-2</v>
      </c>
      <c r="BT59" s="19">
        <f t="shared" si="46"/>
        <v>1.0000000000000009E-2</v>
      </c>
      <c r="BU59" s="19">
        <f t="shared" si="59"/>
        <v>1.5000000000000013E-2</v>
      </c>
      <c r="BV59" s="19">
        <f t="shared" si="60"/>
        <v>0</v>
      </c>
      <c r="BW59" s="19">
        <f t="shared" si="40"/>
        <v>0</v>
      </c>
      <c r="BX59" s="19">
        <f t="shared" si="41"/>
        <v>2.0000000000000018E-2</v>
      </c>
      <c r="BY59" s="19">
        <f t="shared" si="41"/>
        <v>2.9999999999999916E-2</v>
      </c>
      <c r="BZ59" s="19">
        <f t="shared" si="41"/>
        <v>1.0000000000000009E-2</v>
      </c>
      <c r="CA59" s="19">
        <f t="shared" si="41"/>
        <v>0</v>
      </c>
      <c r="CB59" s="19">
        <f t="shared" si="42"/>
        <v>2.0000000000000018E-2</v>
      </c>
      <c r="CC59" s="19">
        <f t="shared" si="42"/>
        <v>1.0000000000000009E-2</v>
      </c>
      <c r="CD59" s="19">
        <f t="shared" si="42"/>
        <v>5.0000000000000044E-3</v>
      </c>
      <c r="CE59" s="65"/>
      <c r="CG59" s="20">
        <f t="shared" si="47"/>
        <v>0.92153846153846186</v>
      </c>
      <c r="CH59" s="20">
        <f>'Input RM sheet'!AP24/1000</f>
        <v>0.79</v>
      </c>
      <c r="CI59" s="20">
        <f>'Input RM sheet'!AQ24/1000</f>
        <v>0.83379999999999999</v>
      </c>
      <c r="CJ59" s="20">
        <f>'Input RM sheet'!AR24/1000</f>
        <v>0.91500000000000004</v>
      </c>
      <c r="CK59" s="20">
        <f>'Input RM sheet'!AS24/1000</f>
        <v>0.91500000000000004</v>
      </c>
      <c r="CL59" s="20">
        <f>'Input RM sheet'!AT24/1000</f>
        <v>0.9325</v>
      </c>
      <c r="CM59" s="20">
        <f>'Input RM sheet'!AU24/1000</f>
        <v>0.92249999999999999</v>
      </c>
      <c r="CN59" s="20">
        <f>'Input RM sheet'!AV24/1000</f>
        <v>0.8</v>
      </c>
      <c r="CO59" s="20">
        <f>'Input RM sheet'!AW24/1000</f>
        <v>0.81499999999999995</v>
      </c>
      <c r="CP59" s="20">
        <f>'Input RM sheet'!AX24/1000</f>
        <v>0.81499999999999995</v>
      </c>
      <c r="CQ59" s="20">
        <f>'Input RM sheet'!AY24/1000</f>
        <v>0.82499999999999996</v>
      </c>
      <c r="CR59" s="20">
        <f>'Input RM sheet'!AZ24/1000</f>
        <v>0.84499999999999997</v>
      </c>
      <c r="CS59" s="20">
        <f>'Input RM sheet'!BA24/1000</f>
        <v>0.86</v>
      </c>
      <c r="CT59" s="20">
        <f>'Input RM sheet'!BB24/1000</f>
        <v>0.86499999999999999</v>
      </c>
      <c r="CU59" s="20">
        <f>'Input RM sheet'!BC24/1000</f>
        <v>0.86499999999999999</v>
      </c>
      <c r="CV59" s="20">
        <f>'Input RM sheet'!BD24/1000</f>
        <v>0.86499999999999999</v>
      </c>
      <c r="CW59" s="20">
        <f>'Input RM sheet'!BE24/1000</f>
        <v>0.875</v>
      </c>
      <c r="CX59" s="20">
        <f>'Input RM sheet'!BF24/1000</f>
        <v>0.875</v>
      </c>
      <c r="CY59" s="20">
        <f>'Input RM sheet'!BG24/1000</f>
        <v>0.92500000000000004</v>
      </c>
      <c r="CZ59" s="20">
        <f>'Input RM sheet'!BH24/1000</f>
        <v>0.94</v>
      </c>
      <c r="DA59" s="20">
        <f>'Input RM sheet'!BI24/1000</f>
        <v>0.95</v>
      </c>
      <c r="DB59" s="20">
        <f>'Input RM sheet'!BJ24/1000</f>
        <v>0.92</v>
      </c>
      <c r="DC59" s="20">
        <f>'Input RM sheet'!BK24/1000</f>
        <v>0.92</v>
      </c>
      <c r="DD59" s="20">
        <f>'Input RM sheet'!BL24/1000</f>
        <v>0.92</v>
      </c>
      <c r="DE59" s="20">
        <f>'Input RM sheet'!BM24/1000</f>
        <v>0.93</v>
      </c>
      <c r="DF59" s="20">
        <f>'Input RM sheet'!BN24/1000</f>
        <v>0.93</v>
      </c>
      <c r="DG59" s="20">
        <f>'Input RM sheet'!BO24/1000</f>
        <v>0.93</v>
      </c>
      <c r="DH59" s="20">
        <f>'Input RM sheet'!BP24/1000</f>
        <v>0.90500000000000003</v>
      </c>
      <c r="DI59" s="20">
        <f>'Input RM sheet'!BQ24/1000</f>
        <v>0.90500000000000003</v>
      </c>
      <c r="DJ59" s="20">
        <f>'Input RM sheet'!BR24/1000</f>
        <v>0.90500000000000003</v>
      </c>
      <c r="DK59" s="20">
        <f>'Input RM sheet'!BS24/1000</f>
        <v>0.90500000000000003</v>
      </c>
      <c r="DL59" s="20">
        <f>'Input RM sheet'!BT24/1000</f>
        <v>0.93</v>
      </c>
      <c r="DM59" s="20">
        <f>'Input RM sheet'!BU24/1000</f>
        <v>0.92500000000000004</v>
      </c>
      <c r="DN59" s="20">
        <f>'Input RM sheet'!BV24/1000</f>
        <v>0.92500000000000004</v>
      </c>
      <c r="DO59" s="20">
        <f>'Input RM sheet'!BW24/1000</f>
        <v>0.96</v>
      </c>
      <c r="DP59" s="20">
        <f>'Input RM sheet'!BX24/1000</f>
        <v>0.96</v>
      </c>
      <c r="DQ59" s="20">
        <f>'Input RM sheet'!BY24/1000</f>
        <v>0.98</v>
      </c>
      <c r="DR59" s="20">
        <f>'Input RM sheet'!BZ24/1000</f>
        <v>1.03</v>
      </c>
      <c r="DS59" s="20">
        <f>'Input RM sheet'!CA24/1000</f>
        <v>1.03</v>
      </c>
      <c r="DT59" s="20">
        <f>'Input RM sheet'!CB24/1000</f>
        <v>1.03</v>
      </c>
      <c r="DU59" s="20">
        <f>'Input RM sheet'!CC24/1000</f>
        <v>1.03</v>
      </c>
      <c r="DV59" s="20">
        <f>'Input RM sheet'!CD24/1000</f>
        <v>1.04</v>
      </c>
      <c r="DW59" s="20">
        <f>'Input RM sheet'!CE24/1000</f>
        <v>1.04</v>
      </c>
      <c r="DX59" s="20">
        <f>'Input RM sheet'!CF24/1000</f>
        <v>1.04</v>
      </c>
      <c r="DY59" s="20">
        <f>'Input RM sheet'!CG24/1000</f>
        <v>1.04</v>
      </c>
      <c r="DZ59" s="20">
        <f>'Input RM sheet'!CH24/1000</f>
        <v>1.04</v>
      </c>
      <c r="EA59" s="20">
        <f>'Input RM sheet'!CI24/1000</f>
        <v>1.06</v>
      </c>
      <c r="EB59" s="20">
        <f>'Input RM sheet'!CJ24/1000</f>
        <v>1.06</v>
      </c>
      <c r="EC59" s="20">
        <f>'Input RM sheet'!CK24/1000</f>
        <v>1.07</v>
      </c>
      <c r="ED59" s="20">
        <f>'Input RM sheet'!CL24/1000</f>
        <v>1.07</v>
      </c>
      <c r="EE59" s="20">
        <f>'Input RM sheet'!CM24/1000</f>
        <v>1.07</v>
      </c>
      <c r="EF59" s="20">
        <f>'Input RM sheet'!CN24/1000</f>
        <v>1.07</v>
      </c>
      <c r="EG59" s="20">
        <f>'Input RM sheet'!CO24/1000</f>
        <v>1.07</v>
      </c>
      <c r="EH59" s="20">
        <f>'Input RM sheet'!CP24/1000</f>
        <v>1.0649999999999999</v>
      </c>
      <c r="EI59" s="20">
        <f>'Input RM sheet'!CQ24/1000</f>
        <v>1.075</v>
      </c>
      <c r="EJ59" s="20">
        <f>'Input RM sheet'!CR24/1000</f>
        <v>1.07</v>
      </c>
      <c r="EK59" s="20">
        <f>'Input RM sheet'!CS24/1000</f>
        <v>1.07</v>
      </c>
      <c r="EL59" s="20">
        <f>'Input RM sheet'!CT24/1000</f>
        <v>1.07</v>
      </c>
      <c r="EM59" s="20">
        <f>'Input RM sheet'!CU24/1000</f>
        <v>1.04</v>
      </c>
      <c r="EN59" s="20">
        <f>'Input RM sheet'!CV24/1000</f>
        <v>1.02</v>
      </c>
      <c r="EO59" s="20">
        <f>'Input RM sheet'!CW24/1000</f>
        <v>1.02</v>
      </c>
      <c r="EP59" s="20">
        <f>'Input RM sheet'!CX24/1000</f>
        <v>1.02</v>
      </c>
      <c r="EQ59" s="20">
        <f>'Input RM sheet'!CY24/1000</f>
        <v>1.02</v>
      </c>
      <c r="ER59" s="20">
        <f>'Input RM sheet'!CZ24/1000</f>
        <v>1.0125</v>
      </c>
      <c r="ES59" s="20">
        <f>'Input RM sheet'!DA24/1000</f>
        <v>0.96</v>
      </c>
      <c r="ET59" s="20">
        <f>'Input RM sheet'!DB24/1000</f>
        <v>0.95499999999999996</v>
      </c>
      <c r="EU59" s="20">
        <f>'Input RM sheet'!DC24/1000</f>
        <v>0.875</v>
      </c>
      <c r="EV59" s="20">
        <f>'Input RM sheet'!DD24/1000</f>
        <v>0.85</v>
      </c>
      <c r="EW59" s="20">
        <f>'Input RM sheet'!DE24/1000</f>
        <v>0.86499999999999999</v>
      </c>
      <c r="EX59" s="20">
        <f>'Input RM sheet'!DF24/1000</f>
        <v>0.85499999999999998</v>
      </c>
      <c r="EY59" s="20">
        <f>'Input RM sheet'!DG24/1000</f>
        <v>0.84</v>
      </c>
      <c r="EZ59" s="20">
        <f>'Input RM sheet'!DH24/1000</f>
        <v>0.84</v>
      </c>
      <c r="FA59" s="20">
        <f>'Input RM sheet'!DI24/1000</f>
        <v>0.84</v>
      </c>
      <c r="FB59" s="20">
        <f>'Input RM sheet'!DJ24/1000</f>
        <v>0.82</v>
      </c>
      <c r="FC59" s="20">
        <f>'Input RM sheet'!DK24/1000</f>
        <v>0.79</v>
      </c>
      <c r="FD59" s="20">
        <f>'Input RM sheet'!DL24/1000</f>
        <v>0.78</v>
      </c>
      <c r="FE59" s="20">
        <f>'Input RM sheet'!DM24/1000</f>
        <v>0.78</v>
      </c>
      <c r="FF59" s="20">
        <f>'Input RM sheet'!DN24/1000</f>
        <v>0.76</v>
      </c>
      <c r="FG59" s="20">
        <f>'Input RM sheet'!DO24/1000</f>
        <v>0.75</v>
      </c>
      <c r="FH59" s="20">
        <f>'Input RM sheet'!DP24/1000</f>
        <v>0.745</v>
      </c>
    </row>
    <row r="60" spans="1:164">
      <c r="A60" s="8" t="s">
        <v>229</v>
      </c>
      <c r="B60" s="263" t="s">
        <v>259</v>
      </c>
      <c r="C60" s="19">
        <f t="shared" si="64"/>
        <v>-9.5589743589743703E-2</v>
      </c>
      <c r="D60" s="19">
        <f t="shared" si="65"/>
        <v>-0.19936999999999983</v>
      </c>
      <c r="E60" s="19">
        <f t="shared" si="66"/>
        <v>0.13936999999999977</v>
      </c>
      <c r="F60" s="19">
        <f t="shared" si="67"/>
        <v>2.8000000000000025E-2</v>
      </c>
      <c r="G60" s="19">
        <f t="shared" si="68"/>
        <v>8.2000000000000073E-2</v>
      </c>
      <c r="H60" s="19">
        <f t="shared" si="69"/>
        <v>0.14999999999999991</v>
      </c>
      <c r="I60" s="19">
        <f t="shared" si="70"/>
        <v>-1.0000000000000009E-2</v>
      </c>
      <c r="J60" s="19">
        <f t="shared" si="63"/>
        <v>0</v>
      </c>
      <c r="K60" s="19">
        <f t="shared" si="44"/>
        <v>0</v>
      </c>
      <c r="L60" s="19">
        <f t="shared" si="1"/>
        <v>0</v>
      </c>
      <c r="M60" s="19">
        <f t="shared" si="2"/>
        <v>-1.9999999999999907E-2</v>
      </c>
      <c r="N60" s="19">
        <f t="shared" si="3"/>
        <v>-2.0000000000000018E-2</v>
      </c>
      <c r="O60" s="19">
        <f t="shared" si="4"/>
        <v>2.0000000000000018E-2</v>
      </c>
      <c r="P60" s="19">
        <f t="shared" si="5"/>
        <v>-2.0000000000000018E-2</v>
      </c>
      <c r="Q60" s="19">
        <f t="shared" si="5"/>
        <v>-1.0000000000000009E-2</v>
      </c>
      <c r="R60" s="19">
        <f t="shared" si="6"/>
        <v>-3.9999999999999925E-2</v>
      </c>
      <c r="S60" s="19">
        <f t="shared" si="7"/>
        <v>-2.0000000000000018E-2</v>
      </c>
      <c r="T60" s="19">
        <f t="shared" si="8"/>
        <v>-2.5000000000000133E-2</v>
      </c>
      <c r="U60" s="19">
        <f t="shared" si="8"/>
        <v>0</v>
      </c>
      <c r="V60" s="19">
        <f t="shared" si="8"/>
        <v>0</v>
      </c>
      <c r="W60" s="19">
        <f t="shared" si="8"/>
        <v>0</v>
      </c>
      <c r="X60" s="19">
        <f t="shared" si="55"/>
        <v>0</v>
      </c>
      <c r="Y60" s="19">
        <f t="shared" si="55"/>
        <v>3.0000000000000027E-2</v>
      </c>
      <c r="Z60" s="19">
        <f t="shared" si="9"/>
        <v>1.0000000000000009E-2</v>
      </c>
      <c r="AA60" s="19">
        <f t="shared" si="10"/>
        <v>0</v>
      </c>
      <c r="AB60" s="19">
        <f t="shared" si="10"/>
        <v>4.500000000000004E-2</v>
      </c>
      <c r="AC60" s="19">
        <f t="shared" si="10"/>
        <v>-5.0000000000000044E-3</v>
      </c>
      <c r="AD60" s="19">
        <f t="shared" si="10"/>
        <v>0</v>
      </c>
      <c r="AE60" s="19">
        <f t="shared" si="11"/>
        <v>0</v>
      </c>
      <c r="AF60" s="19">
        <f t="shared" si="11"/>
        <v>-1.0000000000000009E-2</v>
      </c>
      <c r="AG60" s="19">
        <f t="shared" si="12"/>
        <v>0</v>
      </c>
      <c r="AH60" s="19">
        <f t="shared" si="13"/>
        <v>-3.499999999999992E-2</v>
      </c>
      <c r="AI60" s="19">
        <f t="shared" si="14"/>
        <v>0</v>
      </c>
      <c r="AJ60" s="19">
        <f t="shared" si="15"/>
        <v>-3.5000000000000142E-2</v>
      </c>
      <c r="AK60" s="19">
        <f t="shared" si="16"/>
        <v>-1.0000000000000009E-2</v>
      </c>
      <c r="AL60" s="19">
        <f t="shared" si="16"/>
        <v>1.0000000000000009E-2</v>
      </c>
      <c r="AM60" s="19">
        <f t="shared" si="17"/>
        <v>-1.0000000000000009E-2</v>
      </c>
      <c r="AN60" s="19">
        <f t="shared" si="18"/>
        <v>-2.0000000000000018E-2</v>
      </c>
      <c r="AO60" s="19">
        <f t="shared" si="19"/>
        <v>-1.0000000000000009E-2</v>
      </c>
      <c r="AP60" s="19">
        <f t="shared" si="20"/>
        <v>0</v>
      </c>
      <c r="AQ60" s="19">
        <f t="shared" si="20"/>
        <v>-1.0000000000000009E-2</v>
      </c>
      <c r="AR60" s="19">
        <f t="shared" si="20"/>
        <v>0</v>
      </c>
      <c r="AS60" s="19">
        <f t="shared" si="21"/>
        <v>0</v>
      </c>
      <c r="AT60" s="19">
        <f t="shared" si="22"/>
        <v>0</v>
      </c>
      <c r="AU60" s="60"/>
      <c r="AV60" s="19">
        <f t="shared" si="23"/>
        <v>-4.9999999999998934E-3</v>
      </c>
      <c r="AW60" s="19">
        <f t="shared" si="24"/>
        <v>-2.0000000000000018E-2</v>
      </c>
      <c r="AX60" s="19">
        <f t="shared" si="25"/>
        <v>-4.9999999999998934E-3</v>
      </c>
      <c r="AY60" s="19">
        <f t="shared" si="26"/>
        <v>0</v>
      </c>
      <c r="AZ60" s="19">
        <f t="shared" si="27"/>
        <v>0</v>
      </c>
      <c r="BA60" s="19">
        <f t="shared" si="28"/>
        <v>0</v>
      </c>
      <c r="BB60" s="19">
        <f t="shared" si="61"/>
        <v>0</v>
      </c>
      <c r="BC60" s="19">
        <f t="shared" si="30"/>
        <v>0</v>
      </c>
      <c r="BD60" s="19">
        <f t="shared" si="31"/>
        <v>3.499999999999992E-2</v>
      </c>
      <c r="BE60" s="19">
        <f t="shared" si="32"/>
        <v>2.4999999999999911E-2</v>
      </c>
      <c r="BF60" s="19">
        <f t="shared" si="33"/>
        <v>-1.0000000000000009E-2</v>
      </c>
      <c r="BG60" s="19">
        <f t="shared" si="33"/>
        <v>0</v>
      </c>
      <c r="BH60" s="19">
        <f t="shared" si="56"/>
        <v>-1.0000000000000009E-2</v>
      </c>
      <c r="BI60" s="19">
        <f t="shared" si="57"/>
        <v>-1.0000000000000009E-2</v>
      </c>
      <c r="BJ60" s="19">
        <f t="shared" si="35"/>
        <v>0</v>
      </c>
      <c r="BK60" s="19">
        <f t="shared" si="36"/>
        <v>1.0000000000000009E-2</v>
      </c>
      <c r="BL60" s="19">
        <f t="shared" si="45"/>
        <v>0</v>
      </c>
      <c r="BM60" s="19">
        <f t="shared" si="45"/>
        <v>3.0000000000000027E-2</v>
      </c>
      <c r="BN60" s="19">
        <f t="shared" si="45"/>
        <v>0</v>
      </c>
      <c r="BO60" s="19">
        <f t="shared" si="45"/>
        <v>3.5000000000000142E-2</v>
      </c>
      <c r="BP60" s="19">
        <f t="shared" si="58"/>
        <v>0</v>
      </c>
      <c r="BQ60" s="19">
        <f t="shared" si="58"/>
        <v>4.9999999999998934E-3</v>
      </c>
      <c r="BR60" s="19">
        <f t="shared" si="58"/>
        <v>5.0000000000001155E-3</v>
      </c>
      <c r="BS60" s="19">
        <f t="shared" si="38"/>
        <v>1.4999999999999902E-2</v>
      </c>
      <c r="BT60" s="19">
        <f t="shared" si="46"/>
        <v>0</v>
      </c>
      <c r="BU60" s="19">
        <f t="shared" si="59"/>
        <v>0</v>
      </c>
      <c r="BV60" s="19">
        <f t="shared" si="60"/>
        <v>1.3000000000000123E-2</v>
      </c>
      <c r="BW60" s="19">
        <f t="shared" si="40"/>
        <v>0</v>
      </c>
      <c r="BX60" s="19">
        <f t="shared" si="41"/>
        <v>6.9999999999998952E-3</v>
      </c>
      <c r="BY60" s="19">
        <f t="shared" si="41"/>
        <v>2.0000000000000018E-2</v>
      </c>
      <c r="BZ60" s="19">
        <f t="shared" si="41"/>
        <v>0</v>
      </c>
      <c r="CA60" s="19">
        <f t="shared" si="41"/>
        <v>0</v>
      </c>
      <c r="CB60" s="19">
        <f t="shared" si="42"/>
        <v>0</v>
      </c>
      <c r="CC60" s="19">
        <f t="shared" si="42"/>
        <v>0</v>
      </c>
      <c r="CD60" s="19">
        <f t="shared" si="42"/>
        <v>-2.0000000000000018E-2</v>
      </c>
      <c r="CE60" s="65"/>
      <c r="CG60" s="20">
        <f t="shared" si="47"/>
        <v>1.0294102564102563</v>
      </c>
      <c r="CH60" s="20">
        <f>'Input RM sheet'!AP77/1000</f>
        <v>1.125</v>
      </c>
      <c r="CI60" s="20">
        <f>'Input RM sheet'!AQ77/1000</f>
        <v>1.3243699999999998</v>
      </c>
      <c r="CJ60" s="20">
        <f>'Input RM sheet'!AR77/1000</f>
        <v>1.1850000000000001</v>
      </c>
      <c r="CK60" s="20">
        <f>'Input RM sheet'!AS77/1000</f>
        <v>1.157</v>
      </c>
      <c r="CL60" s="20">
        <f>'Input RM sheet'!AT77/1000</f>
        <v>1.075</v>
      </c>
      <c r="CM60" s="20">
        <f>'Input RM sheet'!AU77/1000</f>
        <v>0.92500000000000004</v>
      </c>
      <c r="CN60" s="20">
        <f>'Input RM sheet'!AV77/1000</f>
        <v>0.93500000000000005</v>
      </c>
      <c r="CO60" s="20">
        <f>'Input RM sheet'!AW77/1000</f>
        <v>0.93500000000000005</v>
      </c>
      <c r="CP60" s="20">
        <f>'Input RM sheet'!AX77/1000</f>
        <v>0.93500000000000005</v>
      </c>
      <c r="CQ60" s="20">
        <f>'Input RM sheet'!AY77/1000</f>
        <v>0.93500000000000005</v>
      </c>
      <c r="CR60" s="20">
        <f>'Input RM sheet'!AZ77/1000</f>
        <v>0.95499999999999996</v>
      </c>
      <c r="CS60" s="20">
        <f>'Input RM sheet'!BA77/1000</f>
        <v>0.97499999999999998</v>
      </c>
      <c r="CT60" s="20">
        <f>'Input RM sheet'!BB77/1000</f>
        <v>0.95499999999999996</v>
      </c>
      <c r="CU60" s="20">
        <f>'Input RM sheet'!BC77/1000</f>
        <v>0.97499999999999998</v>
      </c>
      <c r="CV60" s="20">
        <f>'Input RM sheet'!BD77/1000</f>
        <v>0.98499999999999999</v>
      </c>
      <c r="CW60" s="20">
        <f>'Input RM sheet'!BE77/1000</f>
        <v>1.0249999999999999</v>
      </c>
      <c r="CX60" s="20">
        <f>'Input RM sheet'!BF77/1000</f>
        <v>1.0449999999999999</v>
      </c>
      <c r="CY60" s="20">
        <f>'Input RM sheet'!BG77/1000</f>
        <v>1.07</v>
      </c>
      <c r="CZ60" s="20">
        <f>'Input RM sheet'!BH77/1000</f>
        <v>1.07</v>
      </c>
      <c r="DA60" s="20">
        <f>'Input RM sheet'!BI77/1000</f>
        <v>1.07</v>
      </c>
      <c r="DB60" s="20">
        <f>'Input RM sheet'!BJ77/1000</f>
        <v>1.07</v>
      </c>
      <c r="DC60" s="20">
        <f>'Input RM sheet'!BK77/1000</f>
        <v>1.07</v>
      </c>
      <c r="DD60" s="20">
        <f>'Input RM sheet'!BL77/1000</f>
        <v>1.04</v>
      </c>
      <c r="DE60" s="20">
        <f>'Input RM sheet'!BM77/1000</f>
        <v>1.03</v>
      </c>
      <c r="DF60" s="20">
        <f>'Input RM sheet'!BN77/1000</f>
        <v>1.03</v>
      </c>
      <c r="DG60" s="20">
        <f>'Input RM sheet'!BO77/1000</f>
        <v>0.98499999999999999</v>
      </c>
      <c r="DH60" s="20">
        <f>'Input RM sheet'!BP77/1000</f>
        <v>0.99</v>
      </c>
      <c r="DI60" s="20">
        <f>'Input RM sheet'!BQ77/1000</f>
        <v>0.99</v>
      </c>
      <c r="DJ60" s="20">
        <f>'Input RM sheet'!BR77/1000</f>
        <v>0.99</v>
      </c>
      <c r="DK60" s="20">
        <f>'Input RM sheet'!BS77/1000</f>
        <v>1</v>
      </c>
      <c r="DL60" s="20">
        <f>'Input RM sheet'!BT77/1000</f>
        <v>1</v>
      </c>
      <c r="DM60" s="20">
        <f>'Input RM sheet'!BU77/1000</f>
        <v>1.0349999999999999</v>
      </c>
      <c r="DN60" s="20">
        <f>'Input RM sheet'!BV77/1000</f>
        <v>1.0349999999999999</v>
      </c>
      <c r="DO60" s="20">
        <f>'Input RM sheet'!BW77/1000</f>
        <v>1.07</v>
      </c>
      <c r="DP60" s="20">
        <f>'Input RM sheet'!BX77/1000</f>
        <v>1.08</v>
      </c>
      <c r="DQ60" s="20">
        <f>'Input RM sheet'!BY77/1000</f>
        <v>1.07</v>
      </c>
      <c r="DR60" s="20">
        <f>'Input RM sheet'!BZ77/1000</f>
        <v>1.08</v>
      </c>
      <c r="DS60" s="20">
        <f>'Input RM sheet'!CA77/1000</f>
        <v>1.1000000000000001</v>
      </c>
      <c r="DT60" s="20">
        <f>'Input RM sheet'!CB77/1000</f>
        <v>1.1100000000000001</v>
      </c>
      <c r="DU60" s="20">
        <f>'Input RM sheet'!CC77/1000</f>
        <v>1.1100000000000001</v>
      </c>
      <c r="DV60" s="20">
        <f>'Input RM sheet'!CD77/1000</f>
        <v>1.1200000000000001</v>
      </c>
      <c r="DW60" s="20">
        <f>'Input RM sheet'!CE77/1000</f>
        <v>1.1200000000000001</v>
      </c>
      <c r="DX60" s="20">
        <f>'Input RM sheet'!CF77/1000</f>
        <v>1.1200000000000001</v>
      </c>
      <c r="DY60" s="20">
        <f>'Input RM sheet'!CG77/1000</f>
        <v>1.1200000000000001</v>
      </c>
      <c r="DZ60" s="20">
        <f>'Input RM sheet'!CH77/1000</f>
        <v>1.125</v>
      </c>
      <c r="EA60" s="20">
        <f>'Input RM sheet'!CI77/1000</f>
        <v>1.145</v>
      </c>
      <c r="EB60" s="20">
        <f>'Input RM sheet'!CJ77/1000</f>
        <v>1.1499999999999999</v>
      </c>
      <c r="EC60" s="20">
        <f>'Input RM sheet'!CK77/1000</f>
        <v>1.1499999999999999</v>
      </c>
      <c r="ED60" s="20">
        <f>'Input RM sheet'!CL77/1000</f>
        <v>1.1499999999999999</v>
      </c>
      <c r="EE60" s="20">
        <f>'Input RM sheet'!CM77/1000</f>
        <v>1.1499999999999999</v>
      </c>
      <c r="EF60" s="20">
        <f>'Input RM sheet'!CN77/1000</f>
        <v>1.1499999999999999</v>
      </c>
      <c r="EG60" s="20">
        <f>'Input RM sheet'!CO77/1000</f>
        <v>1.1499999999999999</v>
      </c>
      <c r="EH60" s="20">
        <f>'Input RM sheet'!CP77/1000</f>
        <v>1.115</v>
      </c>
      <c r="EI60" s="20">
        <f>'Input RM sheet'!CQ77/1000</f>
        <v>1.0900000000000001</v>
      </c>
      <c r="EJ60" s="20">
        <f>'Input RM sheet'!CR77/1000</f>
        <v>1.1000000000000001</v>
      </c>
      <c r="EK60" s="20">
        <f>'Input RM sheet'!CS77/1000</f>
        <v>1.1000000000000001</v>
      </c>
      <c r="EL60" s="20">
        <f>'Input RM sheet'!CT77/1000</f>
        <v>1.1100000000000001</v>
      </c>
      <c r="EM60" s="20">
        <f>'Input RM sheet'!CU77/1000</f>
        <v>1.1200000000000001</v>
      </c>
      <c r="EN60" s="20">
        <f>'Input RM sheet'!CV77/1000</f>
        <v>1.1200000000000001</v>
      </c>
      <c r="EO60" s="20">
        <f>'Input RM sheet'!CW77/1000</f>
        <v>1.1100000000000001</v>
      </c>
      <c r="EP60" s="20">
        <f>'Input RM sheet'!CX77/1000</f>
        <v>1.1100000000000001</v>
      </c>
      <c r="EQ60" s="20">
        <f>'Input RM sheet'!CY77/1000</f>
        <v>1.08</v>
      </c>
      <c r="ER60" s="20">
        <f>'Input RM sheet'!CZ77/1000</f>
        <v>1.08</v>
      </c>
      <c r="ES60" s="20">
        <f>'Input RM sheet'!DA77/1000</f>
        <v>1.0449999999999999</v>
      </c>
      <c r="ET60" s="20">
        <f>'Input RM sheet'!DB77/1000</f>
        <v>1.0449999999999999</v>
      </c>
      <c r="EU60" s="20">
        <f>'Input RM sheet'!DC77/1000</f>
        <v>1.04</v>
      </c>
      <c r="EV60" s="20">
        <f>'Input RM sheet'!DD77/1000</f>
        <v>1.0349999999999999</v>
      </c>
      <c r="EW60" s="20">
        <f>'Input RM sheet'!DE77/1000</f>
        <v>1.02</v>
      </c>
      <c r="EX60" s="20">
        <f>'Input RM sheet'!DF77/1000</f>
        <v>1.02</v>
      </c>
      <c r="EY60" s="20">
        <f>'Input RM sheet'!DG77/1000</f>
        <v>1.02</v>
      </c>
      <c r="EZ60" s="20">
        <f>'Input RM sheet'!DH77/1000</f>
        <v>1.0069999999999999</v>
      </c>
      <c r="FA60" s="20">
        <f>'Input RM sheet'!DI77/1000</f>
        <v>1.0069999999999999</v>
      </c>
      <c r="FB60" s="20">
        <f>'Input RM sheet'!DJ77/1000</f>
        <v>1</v>
      </c>
      <c r="FC60" s="20">
        <f>'Input RM sheet'!DK77/1000</f>
        <v>0.98</v>
      </c>
      <c r="FD60" s="20">
        <f>'Input RM sheet'!DL77/1000</f>
        <v>0.98</v>
      </c>
      <c r="FE60" s="20">
        <f>'Input RM sheet'!DM77/1000</f>
        <v>0.98</v>
      </c>
      <c r="FF60" s="20">
        <f>'Input RM sheet'!DN77/1000</f>
        <v>0.98</v>
      </c>
      <c r="FG60" s="20">
        <f>'Input RM sheet'!DO77/1000</f>
        <v>0.98</v>
      </c>
      <c r="FH60" s="20">
        <f>'Input RM sheet'!DP77/1000</f>
        <v>1</v>
      </c>
    </row>
    <row r="61" spans="1:164">
      <c r="A61" s="8" t="s">
        <v>207</v>
      </c>
      <c r="B61" s="263" t="s">
        <v>260</v>
      </c>
      <c r="C61" s="19">
        <f t="shared" si="64"/>
        <v>-8.5807692307692585E-2</v>
      </c>
      <c r="D61" s="19">
        <f t="shared" si="65"/>
        <v>-6.3749999999999973E-2</v>
      </c>
      <c r="E61" s="19">
        <f t="shared" si="66"/>
        <v>7.174999999999998E-2</v>
      </c>
      <c r="F61" s="19">
        <f t="shared" si="67"/>
        <v>-3.8000000000000034E-2</v>
      </c>
      <c r="G61" s="19">
        <f t="shared" si="68"/>
        <v>0.15500000000000003</v>
      </c>
      <c r="H61" s="19">
        <f t="shared" si="69"/>
        <v>0.1100000000000001</v>
      </c>
      <c r="I61" s="19">
        <f t="shared" si="70"/>
        <v>-1.5000000000000013E-2</v>
      </c>
      <c r="J61" s="19">
        <f t="shared" si="63"/>
        <v>0</v>
      </c>
      <c r="K61" s="19">
        <f t="shared" si="44"/>
        <v>0</v>
      </c>
      <c r="L61" s="19">
        <f t="shared" si="1"/>
        <v>5.0000000000000044E-3</v>
      </c>
      <c r="M61" s="19">
        <f t="shared" si="2"/>
        <v>-5.0000000000000044E-2</v>
      </c>
      <c r="N61" s="19">
        <f t="shared" si="3"/>
        <v>3.5000000000000031E-2</v>
      </c>
      <c r="O61" s="19">
        <f t="shared" si="4"/>
        <v>-2.5000000000000022E-2</v>
      </c>
      <c r="P61" s="19">
        <f t="shared" si="5"/>
        <v>0</v>
      </c>
      <c r="Q61" s="19">
        <f t="shared" si="5"/>
        <v>-3.5000000000000031E-2</v>
      </c>
      <c r="R61" s="19">
        <f t="shared" si="6"/>
        <v>-1.0000000000000009E-2</v>
      </c>
      <c r="S61" s="19">
        <f t="shared" si="7"/>
        <v>-3.9999999999999925E-2</v>
      </c>
      <c r="T61" s="19">
        <f t="shared" si="8"/>
        <v>2.5499999999999967E-2</v>
      </c>
      <c r="U61" s="19">
        <f t="shared" si="8"/>
        <v>0</v>
      </c>
      <c r="V61" s="19">
        <f t="shared" si="8"/>
        <v>0</v>
      </c>
      <c r="W61" s="19">
        <f t="shared" si="8"/>
        <v>-0.15049999999999997</v>
      </c>
      <c r="X61" s="19">
        <f t="shared" si="55"/>
        <v>0</v>
      </c>
      <c r="Y61" s="19">
        <f t="shared" si="55"/>
        <v>0</v>
      </c>
      <c r="Z61" s="19">
        <f t="shared" si="9"/>
        <v>7.999999999999996E-2</v>
      </c>
      <c r="AA61" s="19">
        <f t="shared" si="10"/>
        <v>0</v>
      </c>
      <c r="AB61" s="19">
        <f t="shared" si="10"/>
        <v>0</v>
      </c>
      <c r="AC61" s="19">
        <f t="shared" si="10"/>
        <v>0</v>
      </c>
      <c r="AD61" s="19">
        <f t="shared" si="10"/>
        <v>0</v>
      </c>
      <c r="AE61" s="19">
        <f t="shared" si="11"/>
        <v>0</v>
      </c>
      <c r="AF61" s="19">
        <f t="shared" si="11"/>
        <v>0</v>
      </c>
      <c r="AG61" s="19">
        <f t="shared" si="12"/>
        <v>-2.9999999999999916E-2</v>
      </c>
      <c r="AH61" s="19">
        <f t="shared" si="13"/>
        <v>0</v>
      </c>
      <c r="AI61" s="19">
        <f t="shared" si="14"/>
        <v>0</v>
      </c>
      <c r="AJ61" s="19">
        <f t="shared" si="15"/>
        <v>0</v>
      </c>
      <c r="AK61" s="19">
        <f t="shared" si="16"/>
        <v>0</v>
      </c>
      <c r="AL61" s="19">
        <f t="shared" si="16"/>
        <v>0</v>
      </c>
      <c r="AM61" s="19">
        <f t="shared" si="17"/>
        <v>0</v>
      </c>
      <c r="AN61" s="19">
        <f t="shared" si="18"/>
        <v>0</v>
      </c>
      <c r="AO61" s="19">
        <f t="shared" si="19"/>
        <v>0</v>
      </c>
      <c r="AP61" s="19">
        <f t="shared" si="20"/>
        <v>0</v>
      </c>
      <c r="AQ61" s="19">
        <f t="shared" si="20"/>
        <v>0</v>
      </c>
      <c r="AR61" s="19">
        <f t="shared" si="20"/>
        <v>0</v>
      </c>
      <c r="AS61" s="19">
        <f t="shared" si="21"/>
        <v>0</v>
      </c>
      <c r="AT61" s="19">
        <f t="shared" si="22"/>
        <v>0</v>
      </c>
      <c r="AU61" s="60"/>
      <c r="AV61" s="19">
        <f t="shared" si="23"/>
        <v>0</v>
      </c>
      <c r="AW61" s="19">
        <f t="shared" si="24"/>
        <v>9.9999999999999867E-2</v>
      </c>
      <c r="AX61" s="19">
        <f t="shared" si="25"/>
        <v>4.500000000000004E-2</v>
      </c>
      <c r="AY61" s="19">
        <f t="shared" si="26"/>
        <v>0</v>
      </c>
      <c r="AZ61" s="19">
        <f t="shared" si="27"/>
        <v>2.0000000000000018E-2</v>
      </c>
      <c r="BA61" s="19">
        <f t="shared" si="28"/>
        <v>0</v>
      </c>
      <c r="BB61" s="19">
        <f t="shared" si="61"/>
        <v>2.0000000000000018E-2</v>
      </c>
      <c r="BC61" s="19">
        <f t="shared" si="30"/>
        <v>3.2999999999999918E-2</v>
      </c>
      <c r="BD61" s="19">
        <f t="shared" si="31"/>
        <v>0</v>
      </c>
      <c r="BE61" s="19">
        <f t="shared" si="32"/>
        <v>2.5000000000000022E-2</v>
      </c>
      <c r="BF61" s="19">
        <f t="shared" si="33"/>
        <v>-8.0000000000000071E-3</v>
      </c>
      <c r="BG61" s="19">
        <f t="shared" si="33"/>
        <v>1.0000000000000009E-2</v>
      </c>
      <c r="BH61" s="19">
        <f t="shared" si="56"/>
        <v>0</v>
      </c>
      <c r="BI61" s="19">
        <f t="shared" si="57"/>
        <v>0</v>
      </c>
      <c r="BJ61" s="19">
        <f t="shared" si="35"/>
        <v>0</v>
      </c>
      <c r="BK61" s="19">
        <f t="shared" si="36"/>
        <v>2.0000000000000018E-2</v>
      </c>
      <c r="BL61" s="19">
        <f t="shared" si="45"/>
        <v>5.0000000000000044E-3</v>
      </c>
      <c r="BM61" s="19">
        <f t="shared" si="45"/>
        <v>1.5000000000000013E-2</v>
      </c>
      <c r="BN61" s="19">
        <f t="shared" si="45"/>
        <v>0</v>
      </c>
      <c r="BO61" s="19">
        <f t="shared" si="45"/>
        <v>-5.0000000000000044E-3</v>
      </c>
      <c r="BP61" s="19">
        <f t="shared" si="58"/>
        <v>0</v>
      </c>
      <c r="BQ61" s="19">
        <f t="shared" si="58"/>
        <v>0</v>
      </c>
      <c r="BR61" s="19">
        <f t="shared" si="58"/>
        <v>0</v>
      </c>
      <c r="BS61" s="19">
        <f t="shared" si="38"/>
        <v>0</v>
      </c>
      <c r="BT61" s="19">
        <f t="shared" si="46"/>
        <v>0</v>
      </c>
      <c r="BU61" s="19">
        <f t="shared" si="59"/>
        <v>0</v>
      </c>
      <c r="BV61" s="19">
        <f t="shared" si="60"/>
        <v>5.0000000000000044E-3</v>
      </c>
      <c r="BW61" s="19">
        <f t="shared" si="40"/>
        <v>-5.0000000000000044E-3</v>
      </c>
      <c r="BX61" s="19">
        <f t="shared" si="41"/>
        <v>0</v>
      </c>
      <c r="BY61" s="19">
        <f t="shared" si="41"/>
        <v>0</v>
      </c>
      <c r="BZ61" s="19">
        <f t="shared" si="41"/>
        <v>0</v>
      </c>
      <c r="CA61" s="19">
        <f t="shared" si="41"/>
        <v>0</v>
      </c>
      <c r="CB61" s="19">
        <f t="shared" si="42"/>
        <v>0</v>
      </c>
      <c r="CC61" s="19">
        <f t="shared" si="42"/>
        <v>-5.0000000000000044E-3</v>
      </c>
      <c r="CD61" s="19">
        <f t="shared" si="42"/>
        <v>-4.500000000000004E-2</v>
      </c>
      <c r="CE61" s="65"/>
      <c r="CG61" s="20">
        <f t="shared" si="47"/>
        <v>0.96419230769230746</v>
      </c>
      <c r="CH61" s="261">
        <f>'Input RM sheet'!AP83/1000</f>
        <v>1.05</v>
      </c>
      <c r="CI61" s="261">
        <f>'Input RM sheet'!AQ83/1000</f>
        <v>1.11375</v>
      </c>
      <c r="CJ61" s="261">
        <f>'Input RM sheet'!AR83/1000</f>
        <v>1.042</v>
      </c>
      <c r="CK61" s="261">
        <f>'Input RM sheet'!AS83/1000</f>
        <v>1.08</v>
      </c>
      <c r="CL61" s="261">
        <f>'Input RM sheet'!AT83/1000</f>
        <v>0.92500000000000004</v>
      </c>
      <c r="CM61" s="261">
        <f>'Input RM sheet'!AU83/1000</f>
        <v>0.81499999999999995</v>
      </c>
      <c r="CN61" s="261">
        <f>'Input RM sheet'!AV83/1000</f>
        <v>0.83</v>
      </c>
      <c r="CO61" s="261">
        <f>'Input RM sheet'!AW83/1000</f>
        <v>0.83</v>
      </c>
      <c r="CP61" s="261">
        <f>'Input RM sheet'!AX83/1000</f>
        <v>0.83</v>
      </c>
      <c r="CQ61" s="261">
        <f>'Input RM sheet'!AY83/1000</f>
        <v>0.82499999999999996</v>
      </c>
      <c r="CR61" s="261">
        <f>'Input RM sheet'!AZ83/1000</f>
        <v>0.875</v>
      </c>
      <c r="CS61" s="261">
        <f>'Input RM sheet'!BA83/1000</f>
        <v>0.84</v>
      </c>
      <c r="CT61" s="261">
        <f>'Input RM sheet'!BB83/1000</f>
        <v>0.86499999999999999</v>
      </c>
      <c r="CU61" s="261">
        <f>'Input RM sheet'!BC83/1000</f>
        <v>0.86499999999999999</v>
      </c>
      <c r="CV61" s="261">
        <f>'Input RM sheet'!BD83/1000</f>
        <v>0.9</v>
      </c>
      <c r="CW61" s="261">
        <f>'Input RM sheet'!BE83/1000</f>
        <v>0.91</v>
      </c>
      <c r="CX61" s="261">
        <f>'Input RM sheet'!BF83/1000</f>
        <v>0.95</v>
      </c>
      <c r="CY61" s="261">
        <f>'Input RM sheet'!BG83/1000</f>
        <v>0.92449999999999999</v>
      </c>
      <c r="CZ61" s="261">
        <f>'Input RM sheet'!BH83/1000</f>
        <v>0.92449999999999999</v>
      </c>
      <c r="DA61" s="261">
        <f>'Input RM sheet'!BI83/1000</f>
        <v>0.92449999999999999</v>
      </c>
      <c r="DB61" s="261">
        <f>'Input RM sheet'!BJ83/1000</f>
        <v>1.075</v>
      </c>
      <c r="DC61" s="261">
        <f>'Input RM sheet'!BK83/1000</f>
        <v>1.075</v>
      </c>
      <c r="DD61" s="261">
        <f>'Input RM sheet'!BL83/1000</f>
        <v>1.075</v>
      </c>
      <c r="DE61" s="261">
        <f>'Input RM sheet'!BM83/1000</f>
        <v>0.995</v>
      </c>
      <c r="DF61" s="261">
        <f>'Input RM sheet'!BN83/1000</f>
        <v>0.995</v>
      </c>
      <c r="DG61" s="261">
        <f>'Input RM sheet'!BO83/1000</f>
        <v>0.995</v>
      </c>
      <c r="DH61" s="261">
        <f>'Input RM sheet'!BP83/1000</f>
        <v>0.995</v>
      </c>
      <c r="DI61" s="261">
        <f>'Input RM sheet'!BQ83/1000</f>
        <v>0.995</v>
      </c>
      <c r="DJ61" s="261">
        <f>'Input RM sheet'!BR83/1000</f>
        <v>0.995</v>
      </c>
      <c r="DK61" s="261">
        <f>'Input RM sheet'!BS83/1000</f>
        <v>0.995</v>
      </c>
      <c r="DL61" s="261">
        <f>'Input RM sheet'!BT83/1000</f>
        <v>1.0249999999999999</v>
      </c>
      <c r="DM61" s="261">
        <f>'Input RM sheet'!BU83/1000</f>
        <v>1.0249999999999999</v>
      </c>
      <c r="DN61" s="261">
        <f>'Input RM sheet'!BV83/1000</f>
        <v>1.0249999999999999</v>
      </c>
      <c r="DO61" s="261">
        <f>'Input RM sheet'!BW83/1000</f>
        <v>1.0249999999999999</v>
      </c>
      <c r="DP61" s="261">
        <f>'Input RM sheet'!BX83/1000</f>
        <v>1.0249999999999999</v>
      </c>
      <c r="DQ61" s="261">
        <f>'Input RM sheet'!BY83/1000</f>
        <v>1.0249999999999999</v>
      </c>
      <c r="DR61" s="261">
        <f>'Input RM sheet'!BZ83/1000</f>
        <v>1.0249999999999999</v>
      </c>
      <c r="DS61" s="261">
        <f>'Input RM sheet'!CA83/1000</f>
        <v>1.0249999999999999</v>
      </c>
      <c r="DT61" s="261">
        <f>'Input RM sheet'!CB83/1000</f>
        <v>1.0249999999999999</v>
      </c>
      <c r="DU61" s="261">
        <f>'Input RM sheet'!CC83/1000</f>
        <v>1.0249999999999999</v>
      </c>
      <c r="DV61" s="261">
        <f>'Input RM sheet'!CD83/1000</f>
        <v>1.0249999999999999</v>
      </c>
      <c r="DW61" s="261">
        <f>'Input RM sheet'!CE83/1000</f>
        <v>1.0249999999999999</v>
      </c>
      <c r="DX61" s="261">
        <f>'Input RM sheet'!CF83/1000</f>
        <v>1.0249999999999999</v>
      </c>
      <c r="DY61" s="261">
        <f>'Input RM sheet'!CG83/1000</f>
        <v>1.0249999999999999</v>
      </c>
      <c r="DZ61" s="261">
        <f>'Input RM sheet'!CH83/1000</f>
        <v>1.0249999999999999</v>
      </c>
      <c r="EA61" s="261">
        <f>'Input RM sheet'!CI83/1000</f>
        <v>0.92500000000000004</v>
      </c>
      <c r="EB61" s="261">
        <f>'Input RM sheet'!CJ83/1000</f>
        <v>0.88</v>
      </c>
      <c r="EC61" s="261">
        <f>'Input RM sheet'!CK83/1000</f>
        <v>0.88</v>
      </c>
      <c r="ED61" s="261">
        <f>'Input RM sheet'!CL83/1000</f>
        <v>0.86</v>
      </c>
      <c r="EE61" s="261">
        <f>'Input RM sheet'!CM83/1000</f>
        <v>0.86</v>
      </c>
      <c r="EF61" s="261">
        <f>'Input RM sheet'!CN83/1000</f>
        <v>0.84</v>
      </c>
      <c r="EG61" s="261">
        <f>'Input RM sheet'!CO83/1000</f>
        <v>0.80700000000000005</v>
      </c>
      <c r="EH61" s="261">
        <f>'Input RM sheet'!CP83/1000</f>
        <v>0.80700000000000005</v>
      </c>
      <c r="EI61" s="261">
        <f>'Input RM sheet'!CQ83/1000</f>
        <v>0.78200000000000003</v>
      </c>
      <c r="EJ61" s="261">
        <f>'Input RM sheet'!CR83/1000</f>
        <v>0.79</v>
      </c>
      <c r="EK61" s="261">
        <f>'Input RM sheet'!CS83/1000</f>
        <v>0.78</v>
      </c>
      <c r="EL61" s="261">
        <f>'Input RM sheet'!CT83/1000</f>
        <v>0.78</v>
      </c>
      <c r="EM61" s="261">
        <f>'Input RM sheet'!CU83/1000</f>
        <v>0.78</v>
      </c>
      <c r="EN61" s="261">
        <f>'Input RM sheet'!CV83/1000</f>
        <v>0.78</v>
      </c>
      <c r="EO61" s="261">
        <f>'Input RM sheet'!CW83/1000</f>
        <v>0.76</v>
      </c>
      <c r="EP61" s="261">
        <f>'Input RM sheet'!CX83/1000</f>
        <v>0.755</v>
      </c>
      <c r="EQ61" s="261">
        <f>'Input RM sheet'!CY83/1000</f>
        <v>0.74</v>
      </c>
      <c r="ER61" s="261">
        <f>'Input RM sheet'!CZ83/1000</f>
        <v>0.74</v>
      </c>
      <c r="ES61" s="261">
        <f>'Input RM sheet'!DA83/1000</f>
        <v>0.745</v>
      </c>
      <c r="ET61" s="261">
        <f>'Input RM sheet'!DB83/1000</f>
        <v>0.745</v>
      </c>
      <c r="EU61" s="261">
        <f>'Input RM sheet'!DC83/1000</f>
        <v>0.745</v>
      </c>
      <c r="EV61" s="261">
        <f>'Input RM sheet'!DD83/1000</f>
        <v>0.745</v>
      </c>
      <c r="EW61" s="261">
        <f>'Input RM sheet'!DE83/1000</f>
        <v>0.745</v>
      </c>
      <c r="EX61" s="261">
        <f>'Input RM sheet'!DF83/1000</f>
        <v>0.745</v>
      </c>
      <c r="EY61" s="261">
        <f>'Input RM sheet'!DG83/1000</f>
        <v>0.745</v>
      </c>
      <c r="EZ61" s="261">
        <f>'Input RM sheet'!DH83/1000</f>
        <v>0.74</v>
      </c>
      <c r="FA61" s="261">
        <f>'Input RM sheet'!DI83/1000</f>
        <v>0.745</v>
      </c>
      <c r="FB61" s="261">
        <f>'Input RM sheet'!DJ83/1000</f>
        <v>0.745</v>
      </c>
      <c r="FC61" s="261">
        <f>'Input RM sheet'!DK83/1000</f>
        <v>0.745</v>
      </c>
      <c r="FD61" s="261">
        <f>'Input RM sheet'!DL83/1000</f>
        <v>0.745</v>
      </c>
      <c r="FE61" s="261">
        <f>'Input RM sheet'!DM83/1000</f>
        <v>0.745</v>
      </c>
      <c r="FF61" s="261">
        <f>'Input RM sheet'!DN83/1000</f>
        <v>0.745</v>
      </c>
      <c r="FG61" s="261">
        <f>'Input RM sheet'!DO83/1000</f>
        <v>0.75</v>
      </c>
      <c r="FH61" s="261">
        <f>'Input RM sheet'!DP83/1000</f>
        <v>0.79500000000000004</v>
      </c>
    </row>
    <row r="62" spans="1:164">
      <c r="A62" s="8" t="s">
        <v>229</v>
      </c>
      <c r="B62" s="263" t="s">
        <v>261</v>
      </c>
      <c r="C62" s="19">
        <f t="shared" si="64"/>
        <v>5.7243589743589784E-2</v>
      </c>
      <c r="D62" s="19">
        <f t="shared" si="65"/>
        <v>-1.9999999999999907E-2</v>
      </c>
      <c r="E62" s="19">
        <f t="shared" si="66"/>
        <v>-2.0000000000000018E-2</v>
      </c>
      <c r="F62" s="19">
        <f t="shared" si="67"/>
        <v>-5.0000000000000044E-3</v>
      </c>
      <c r="G62" s="19">
        <f t="shared" si="68"/>
        <v>-5.0000000000000044E-3</v>
      </c>
      <c r="H62" s="19">
        <f t="shared" si="69"/>
        <v>4.9999999999999933E-2</v>
      </c>
      <c r="I62" s="19">
        <f t="shared" si="70"/>
        <v>0.12</v>
      </c>
      <c r="J62" s="19">
        <f t="shared" si="63"/>
        <v>0</v>
      </c>
      <c r="K62" s="19">
        <f t="shared" si="44"/>
        <v>-9.9999999999998979E-3</v>
      </c>
      <c r="L62" s="19">
        <f t="shared" si="1"/>
        <v>-4.0000000000000036E-2</v>
      </c>
      <c r="M62" s="19">
        <f t="shared" si="2"/>
        <v>-4.0000000000000036E-2</v>
      </c>
      <c r="N62" s="19">
        <f t="shared" si="3"/>
        <v>-6.9999999999999951E-2</v>
      </c>
      <c r="O62" s="19">
        <f t="shared" si="4"/>
        <v>0</v>
      </c>
      <c r="P62" s="19">
        <f t="shared" si="5"/>
        <v>-3.0000000000000027E-2</v>
      </c>
      <c r="Q62" s="19">
        <f t="shared" si="5"/>
        <v>-6.0000000000000053E-2</v>
      </c>
      <c r="R62" s="19">
        <f t="shared" si="6"/>
        <v>-3.499999999999992E-2</v>
      </c>
      <c r="S62" s="19">
        <f t="shared" si="7"/>
        <v>-3.0000000000000027E-2</v>
      </c>
      <c r="T62" s="19">
        <f t="shared" si="8"/>
        <v>6.0000000000000053E-2</v>
      </c>
      <c r="U62" s="19">
        <f t="shared" si="8"/>
        <v>0</v>
      </c>
      <c r="V62" s="19">
        <f t="shared" si="8"/>
        <v>1.2499999999999956E-2</v>
      </c>
      <c r="W62" s="19">
        <f t="shared" si="8"/>
        <v>1.7500000000000071E-2</v>
      </c>
      <c r="X62" s="19">
        <f t="shared" si="55"/>
        <v>5.4999999999999938E-2</v>
      </c>
      <c r="Y62" s="19">
        <f t="shared" si="55"/>
        <v>0</v>
      </c>
      <c r="Z62" s="19">
        <f t="shared" si="9"/>
        <v>2.0000000000000018E-2</v>
      </c>
      <c r="AA62" s="19">
        <f t="shared" si="10"/>
        <v>0</v>
      </c>
      <c r="AB62" s="19">
        <f t="shared" si="10"/>
        <v>0</v>
      </c>
      <c r="AC62" s="19">
        <f t="shared" si="10"/>
        <v>0</v>
      </c>
      <c r="AD62" s="19">
        <f t="shared" si="10"/>
        <v>-1.0000000000000009E-2</v>
      </c>
      <c r="AE62" s="19">
        <f t="shared" si="11"/>
        <v>0</v>
      </c>
      <c r="AF62" s="19">
        <f t="shared" si="11"/>
        <v>0</v>
      </c>
      <c r="AG62" s="19">
        <f t="shared" si="12"/>
        <v>-5.0000000000000044E-2</v>
      </c>
      <c r="AH62" s="19">
        <f t="shared" si="13"/>
        <v>0</v>
      </c>
      <c r="AI62" s="19">
        <f t="shared" si="14"/>
        <v>1.0000000000000009E-2</v>
      </c>
      <c r="AJ62" s="19">
        <f t="shared" si="15"/>
        <v>-3.499999999999992E-2</v>
      </c>
      <c r="AK62" s="19">
        <f t="shared" si="16"/>
        <v>0</v>
      </c>
      <c r="AL62" s="19">
        <f t="shared" si="16"/>
        <v>0</v>
      </c>
      <c r="AM62" s="19">
        <f t="shared" si="17"/>
        <v>0</v>
      </c>
      <c r="AN62" s="19">
        <f t="shared" si="18"/>
        <v>-5.0000000000001155E-3</v>
      </c>
      <c r="AO62" s="19">
        <f t="shared" si="19"/>
        <v>1.0000000000000009E-2</v>
      </c>
      <c r="AP62" s="19">
        <f t="shared" si="20"/>
        <v>-2.0000000000000018E-2</v>
      </c>
      <c r="AQ62" s="19">
        <f t="shared" si="20"/>
        <v>0.1100000000000001</v>
      </c>
      <c r="AR62" s="19">
        <f t="shared" si="20"/>
        <v>1.0000000000000009E-2</v>
      </c>
      <c r="AS62" s="19">
        <f t="shared" si="21"/>
        <v>0</v>
      </c>
      <c r="AT62" s="19">
        <f t="shared" si="22"/>
        <v>0</v>
      </c>
      <c r="AU62" s="60"/>
      <c r="AV62" s="19">
        <f t="shared" si="23"/>
        <v>0</v>
      </c>
      <c r="AW62" s="19">
        <f t="shared" si="24"/>
        <v>4.9999999999998934E-3</v>
      </c>
      <c r="AX62" s="19">
        <f t="shared" si="25"/>
        <v>0</v>
      </c>
      <c r="AY62" s="19">
        <f t="shared" si="26"/>
        <v>-3.499999999999992E-2</v>
      </c>
      <c r="AZ62" s="19">
        <f t="shared" si="27"/>
        <v>0</v>
      </c>
      <c r="BA62" s="19">
        <f t="shared" si="28"/>
        <v>0</v>
      </c>
      <c r="BB62" s="19">
        <f t="shared" si="61"/>
        <v>5.0000000000000044E-3</v>
      </c>
      <c r="BC62" s="19">
        <f t="shared" si="30"/>
        <v>0</v>
      </c>
      <c r="BD62" s="19">
        <f t="shared" si="31"/>
        <v>-0.22000000000000008</v>
      </c>
      <c r="BE62" s="19">
        <f t="shared" si="32"/>
        <v>-1.4999999999999902E-2</v>
      </c>
      <c r="BF62" s="19">
        <f t="shared" si="33"/>
        <v>5.0000000000000044E-2</v>
      </c>
      <c r="BG62" s="19">
        <f t="shared" si="33"/>
        <v>0</v>
      </c>
      <c r="BH62" s="19">
        <f t="shared" si="56"/>
        <v>2.9999999999999805E-2</v>
      </c>
      <c r="BI62" s="19">
        <f t="shared" si="57"/>
        <v>7.0000000000000062E-2</v>
      </c>
      <c r="BJ62" s="19">
        <f t="shared" si="35"/>
        <v>4.5000000000000151E-2</v>
      </c>
      <c r="BK62" s="19">
        <f t="shared" si="36"/>
        <v>7.9999999999998961E-3</v>
      </c>
      <c r="BL62" s="19">
        <f t="shared" si="45"/>
        <v>0</v>
      </c>
      <c r="BM62" s="19">
        <f t="shared" si="45"/>
        <v>0</v>
      </c>
      <c r="BN62" s="19">
        <f t="shared" si="45"/>
        <v>1.4499999999999957E-2</v>
      </c>
      <c r="BO62" s="19">
        <f t="shared" si="45"/>
        <v>7.5000000000000622E-3</v>
      </c>
      <c r="BP62" s="19">
        <f t="shared" si="58"/>
        <v>0</v>
      </c>
      <c r="BQ62" s="19">
        <f t="shared" si="58"/>
        <v>1.5000000000000013E-2</v>
      </c>
      <c r="BR62" s="19">
        <f t="shared" si="58"/>
        <v>-4.0000000000000036E-2</v>
      </c>
      <c r="BS62" s="19">
        <f t="shared" si="38"/>
        <v>0</v>
      </c>
      <c r="BT62" s="19">
        <f t="shared" si="46"/>
        <v>-7.0000000000000062E-2</v>
      </c>
      <c r="BU62" s="19">
        <f t="shared" si="59"/>
        <v>4.5000000000000151E-2</v>
      </c>
      <c r="BV62" s="19">
        <f t="shared" si="60"/>
        <v>0</v>
      </c>
      <c r="BW62" s="19">
        <f t="shared" si="40"/>
        <v>0</v>
      </c>
      <c r="BX62" s="19">
        <f t="shared" si="41"/>
        <v>-5.0000000000001155E-3</v>
      </c>
      <c r="BY62" s="19">
        <f t="shared" si="41"/>
        <v>2.5000000000000133E-2</v>
      </c>
      <c r="BZ62" s="19">
        <f t="shared" si="41"/>
        <v>4.9999999999998934E-3</v>
      </c>
      <c r="CA62" s="19">
        <f t="shared" si="41"/>
        <v>0</v>
      </c>
      <c r="CB62" s="19">
        <f t="shared" si="42"/>
        <v>2.0000000000000018E-2</v>
      </c>
      <c r="CC62" s="19">
        <f t="shared" si="42"/>
        <v>2.0000000000000018E-2</v>
      </c>
      <c r="CD62" s="19">
        <f t="shared" si="42"/>
        <v>7.999999999999996E-2</v>
      </c>
      <c r="CE62" s="65"/>
      <c r="CG62" s="20">
        <f t="shared" si="47"/>
        <v>0.98724358974358983</v>
      </c>
      <c r="CH62" s="20">
        <f>'Input RM sheet'!AP84/1000</f>
        <v>0.93</v>
      </c>
      <c r="CI62" s="20">
        <f>'Input RM sheet'!AQ84/1000</f>
        <v>0.95</v>
      </c>
      <c r="CJ62" s="20">
        <f>'Input RM sheet'!AR84/1000</f>
        <v>0.97</v>
      </c>
      <c r="CK62" s="20">
        <f>'Input RM sheet'!AS84/1000</f>
        <v>0.97499999999999998</v>
      </c>
      <c r="CL62" s="20">
        <f>'Input RM sheet'!AT84/1000</f>
        <v>0.98</v>
      </c>
      <c r="CM62" s="20">
        <f>'Input RM sheet'!AU84/1000</f>
        <v>0.93</v>
      </c>
      <c r="CN62" s="20">
        <f>'Input RM sheet'!AV84/1000</f>
        <v>0.81</v>
      </c>
      <c r="CO62" s="20">
        <f>'Input RM sheet'!AW84/1000</f>
        <v>0.81</v>
      </c>
      <c r="CP62" s="20">
        <f>'Input RM sheet'!AX84/1000</f>
        <v>0.82</v>
      </c>
      <c r="CQ62" s="20">
        <f>'Input RM sheet'!AY84/1000</f>
        <v>0.86</v>
      </c>
      <c r="CR62" s="20">
        <f>'Input RM sheet'!AZ84/1000</f>
        <v>0.9</v>
      </c>
      <c r="CS62" s="20">
        <f>'Input RM sheet'!BA84/1000</f>
        <v>0.97</v>
      </c>
      <c r="CT62" s="20">
        <f>'Input RM sheet'!BB84/1000</f>
        <v>0.97</v>
      </c>
      <c r="CU62" s="20">
        <f>'Input RM sheet'!BC84/1000</f>
        <v>1</v>
      </c>
      <c r="CV62" s="20">
        <f>'Input RM sheet'!BD84/1000</f>
        <v>1.06</v>
      </c>
      <c r="CW62" s="20">
        <f>'Input RM sheet'!BE84/1000</f>
        <v>1.095</v>
      </c>
      <c r="CX62" s="20">
        <f>'Input RM sheet'!BF84/1000</f>
        <v>1.125</v>
      </c>
      <c r="CY62" s="20">
        <f>'Input RM sheet'!BG84/1000</f>
        <v>1.0649999999999999</v>
      </c>
      <c r="CZ62" s="20">
        <f>'Input RM sheet'!BH84/1000</f>
        <v>1.0649999999999999</v>
      </c>
      <c r="DA62" s="20">
        <f>'Input RM sheet'!BI84/1000</f>
        <v>1.0525</v>
      </c>
      <c r="DB62" s="20">
        <f>'Input RM sheet'!BJ84/1000</f>
        <v>1.0349999999999999</v>
      </c>
      <c r="DC62" s="20">
        <f>'Input RM sheet'!BK84/1000</f>
        <v>0.98</v>
      </c>
      <c r="DD62" s="20">
        <f>'Input RM sheet'!BL84/1000</f>
        <v>0.98</v>
      </c>
      <c r="DE62" s="20">
        <f>'Input RM sheet'!BM84/1000</f>
        <v>0.96</v>
      </c>
      <c r="DF62" s="20">
        <f>'Input RM sheet'!BN84/1000</f>
        <v>0.96</v>
      </c>
      <c r="DG62" s="20">
        <f>'Input RM sheet'!BO84/1000</f>
        <v>0.96</v>
      </c>
      <c r="DH62" s="20">
        <f>'Input RM sheet'!BP84/1000</f>
        <v>0.96</v>
      </c>
      <c r="DI62" s="20">
        <f>'Input RM sheet'!BQ84/1000</f>
        <v>0.97</v>
      </c>
      <c r="DJ62" s="20">
        <f>'Input RM sheet'!BR84/1000</f>
        <v>0.97</v>
      </c>
      <c r="DK62" s="20">
        <f>'Input RM sheet'!BS84/1000</f>
        <v>0.97</v>
      </c>
      <c r="DL62" s="20">
        <f>'Input RM sheet'!BT84/1000</f>
        <v>1.02</v>
      </c>
      <c r="DM62" s="20">
        <f>'Input RM sheet'!BU84/1000</f>
        <v>1.02</v>
      </c>
      <c r="DN62" s="20">
        <f>'Input RM sheet'!BV84/1000</f>
        <v>1.01</v>
      </c>
      <c r="DO62" s="20">
        <f>'Input RM sheet'!BW84/1000</f>
        <v>1.0449999999999999</v>
      </c>
      <c r="DP62" s="20">
        <f>'Input RM sheet'!BX84/1000</f>
        <v>1.0449999999999999</v>
      </c>
      <c r="DQ62" s="20">
        <f>'Input RM sheet'!BY84/1000</f>
        <v>1.0449999999999999</v>
      </c>
      <c r="DR62" s="20">
        <f>'Input RM sheet'!BZ84/1000</f>
        <v>1.0449999999999999</v>
      </c>
      <c r="DS62" s="20">
        <f>'Input RM sheet'!CA84/1000</f>
        <v>1.05</v>
      </c>
      <c r="DT62" s="20">
        <f>'Input RM sheet'!CB84/1000</f>
        <v>1.04</v>
      </c>
      <c r="DU62" s="20">
        <f>'Input RM sheet'!CC84/1000</f>
        <v>1.06</v>
      </c>
      <c r="DV62" s="20">
        <f>'Input RM sheet'!CD84/1000</f>
        <v>0.95</v>
      </c>
      <c r="DW62" s="20">
        <f>'Input RM sheet'!CE84/1000</f>
        <v>0.94</v>
      </c>
      <c r="DX62" s="20">
        <f>'Input RM sheet'!CF84/1000</f>
        <v>0.94</v>
      </c>
      <c r="DY62" s="20">
        <f>'Input RM sheet'!CG84/1000</f>
        <v>0.94</v>
      </c>
      <c r="DZ62" s="20">
        <f>'Input RM sheet'!CH84/1000</f>
        <v>0.94</v>
      </c>
      <c r="EA62" s="20">
        <f>'Input RM sheet'!CI84/1000</f>
        <v>0.93500000000000005</v>
      </c>
      <c r="EB62" s="20">
        <f>'Input RM sheet'!CJ84/1000</f>
        <v>0.93500000000000005</v>
      </c>
      <c r="EC62" s="20">
        <f>'Input RM sheet'!CK84/1000</f>
        <v>0.97</v>
      </c>
      <c r="ED62" s="20">
        <f>'Input RM sheet'!CL84/1000</f>
        <v>0.97</v>
      </c>
      <c r="EE62" s="20">
        <f>'Input RM sheet'!CM84/1000</f>
        <v>0.97</v>
      </c>
      <c r="EF62" s="20">
        <f>'Input RM sheet'!CN84/1000</f>
        <v>0.96499999999999997</v>
      </c>
      <c r="EG62" s="20">
        <f>'Input RM sheet'!CO84/1000</f>
        <v>0.96499999999999997</v>
      </c>
      <c r="EH62" s="20">
        <f>'Input RM sheet'!CP84/1000</f>
        <v>1.1850000000000001</v>
      </c>
      <c r="EI62" s="20">
        <f>'Input RM sheet'!CQ84/1000</f>
        <v>1.2</v>
      </c>
      <c r="EJ62" s="20">
        <f>'Input RM sheet'!CR84/1000</f>
        <v>1.1499999999999999</v>
      </c>
      <c r="EK62" s="20">
        <f>'Input RM sheet'!CS84/1000</f>
        <v>1.1499999999999999</v>
      </c>
      <c r="EL62" s="20">
        <f>'Input RM sheet'!CT84/1000</f>
        <v>1.1200000000000001</v>
      </c>
      <c r="EM62" s="20">
        <f>'Input RM sheet'!CU84/1000</f>
        <v>1.05</v>
      </c>
      <c r="EN62" s="20">
        <f>'Input RM sheet'!CV84/1000</f>
        <v>1.0049999999999999</v>
      </c>
      <c r="EO62" s="20">
        <f>'Input RM sheet'!CW84/1000</f>
        <v>0.997</v>
      </c>
      <c r="EP62" s="20">
        <f>'Input RM sheet'!CX84/1000</f>
        <v>0.997</v>
      </c>
      <c r="EQ62" s="20">
        <f>'Input RM sheet'!CY84/1000</f>
        <v>0.997</v>
      </c>
      <c r="ER62" s="20">
        <f>'Input RM sheet'!CZ84/1000</f>
        <v>0.98250000000000004</v>
      </c>
      <c r="ES62" s="20">
        <f>'Input RM sheet'!DA84/1000</f>
        <v>0.97499999999999998</v>
      </c>
      <c r="ET62" s="20">
        <f>'Input RM sheet'!DB84/1000</f>
        <v>0.97499999999999998</v>
      </c>
      <c r="EU62" s="20">
        <f>'Input RM sheet'!DC84/1000</f>
        <v>0.96</v>
      </c>
      <c r="EV62" s="20">
        <f>'Input RM sheet'!DD84/1000</f>
        <v>1</v>
      </c>
      <c r="EW62" s="20">
        <f>'Input RM sheet'!DE84/1000</f>
        <v>1</v>
      </c>
      <c r="EX62" s="20">
        <f>'Input RM sheet'!DF84/1000</f>
        <v>1.07</v>
      </c>
      <c r="EY62" s="20">
        <f>'Input RM sheet'!DG84/1000</f>
        <v>1.0249999999999999</v>
      </c>
      <c r="EZ62" s="20">
        <f>'Input RM sheet'!DH84/1000</f>
        <v>1.0249999999999999</v>
      </c>
      <c r="FA62" s="20">
        <f>'Input RM sheet'!DI84/1000</f>
        <v>1.0249999999999999</v>
      </c>
      <c r="FB62" s="20">
        <f>'Input RM sheet'!DJ84/1000</f>
        <v>1.03</v>
      </c>
      <c r="FC62" s="20">
        <f>'Input RM sheet'!DK84/1000</f>
        <v>1.0049999999999999</v>
      </c>
      <c r="FD62" s="20">
        <f>'Input RM sheet'!DL84/1000</f>
        <v>1</v>
      </c>
      <c r="FE62" s="20">
        <f>'Input RM sheet'!DM84/1000</f>
        <v>1</v>
      </c>
      <c r="FF62" s="20">
        <f>'Input RM sheet'!DN84/1000</f>
        <v>0.98</v>
      </c>
      <c r="FG62" s="20">
        <f>'Input RM sheet'!DO84/1000</f>
        <v>0.96</v>
      </c>
      <c r="FH62" s="20">
        <f>'Input RM sheet'!DP84/1000</f>
        <v>0.88</v>
      </c>
    </row>
    <row r="63" spans="1:164">
      <c r="A63" s="8" t="s">
        <v>229</v>
      </c>
      <c r="B63" s="263" t="s">
        <v>126</v>
      </c>
      <c r="C63" s="19">
        <f t="shared" si="64"/>
        <v>-1.6217948717948794E-2</v>
      </c>
      <c r="D63" s="19">
        <f t="shared" si="65"/>
        <v>-1.0000000000000009E-2</v>
      </c>
      <c r="E63" s="19">
        <f t="shared" si="66"/>
        <v>1.5000000000000013E-2</v>
      </c>
      <c r="F63" s="19">
        <f t="shared" si="67"/>
        <v>-7.4999999999999512E-3</v>
      </c>
      <c r="G63" s="19">
        <f t="shared" si="68"/>
        <v>1.749999999999996E-2</v>
      </c>
      <c r="H63" s="19">
        <f t="shared" si="69"/>
        <v>3.999999999999998E-2</v>
      </c>
      <c r="I63" s="19">
        <f t="shared" si="70"/>
        <v>0</v>
      </c>
      <c r="J63" s="19">
        <f t="shared" si="63"/>
        <v>0</v>
      </c>
      <c r="K63" s="19">
        <f t="shared" si="44"/>
        <v>0</v>
      </c>
      <c r="L63" s="19">
        <f t="shared" si="1"/>
        <v>0</v>
      </c>
      <c r="M63" s="19">
        <f t="shared" si="2"/>
        <v>-1.9999999999999962E-2</v>
      </c>
      <c r="N63" s="19">
        <f t="shared" si="3"/>
        <v>0</v>
      </c>
      <c r="O63" s="19">
        <f t="shared" si="4"/>
        <v>0</v>
      </c>
      <c r="P63" s="19">
        <f t="shared" si="5"/>
        <v>0</v>
      </c>
      <c r="Q63" s="19">
        <f t="shared" si="5"/>
        <v>9.9999999999999534E-3</v>
      </c>
      <c r="R63" s="19">
        <f t="shared" si="6"/>
        <v>-3.2499999999999973E-2</v>
      </c>
      <c r="S63" s="19">
        <f t="shared" si="7"/>
        <v>0</v>
      </c>
      <c r="T63" s="19">
        <f t="shared" si="8"/>
        <v>0</v>
      </c>
      <c r="U63" s="19">
        <f t="shared" si="8"/>
        <v>0</v>
      </c>
      <c r="V63" s="19">
        <f t="shared" si="8"/>
        <v>0</v>
      </c>
      <c r="W63" s="19">
        <f t="shared" si="8"/>
        <v>0</v>
      </c>
      <c r="X63" s="19">
        <f t="shared" si="55"/>
        <v>3.4999999999999976E-2</v>
      </c>
      <c r="Y63" s="19">
        <f t="shared" si="55"/>
        <v>0</v>
      </c>
      <c r="Z63" s="19">
        <f t="shared" si="9"/>
        <v>0</v>
      </c>
      <c r="AA63" s="19">
        <f t="shared" si="10"/>
        <v>0</v>
      </c>
      <c r="AB63" s="19">
        <f t="shared" si="10"/>
        <v>-2.2499999999999964E-2</v>
      </c>
      <c r="AC63" s="19">
        <f t="shared" si="10"/>
        <v>0</v>
      </c>
      <c r="AD63" s="19">
        <f t="shared" si="10"/>
        <v>0</v>
      </c>
      <c r="AE63" s="19">
        <f t="shared" si="11"/>
        <v>0</v>
      </c>
      <c r="AF63" s="19">
        <f t="shared" si="11"/>
        <v>0</v>
      </c>
      <c r="AG63" s="19">
        <f t="shared" si="12"/>
        <v>0</v>
      </c>
      <c r="AH63" s="19">
        <f t="shared" si="13"/>
        <v>0</v>
      </c>
      <c r="AI63" s="19">
        <f t="shared" si="14"/>
        <v>0</v>
      </c>
      <c r="AJ63" s="19">
        <f t="shared" si="15"/>
        <v>-5.7499999999999996E-2</v>
      </c>
      <c r="AK63" s="19">
        <f t="shared" si="16"/>
        <v>0</v>
      </c>
      <c r="AL63" s="19">
        <f t="shared" si="16"/>
        <v>0</v>
      </c>
      <c r="AM63" s="19">
        <f t="shared" si="17"/>
        <v>-5.0000000000000044E-3</v>
      </c>
      <c r="AN63" s="19">
        <f t="shared" si="18"/>
        <v>0</v>
      </c>
      <c r="AO63" s="19">
        <f t="shared" si="19"/>
        <v>0</v>
      </c>
      <c r="AP63" s="19">
        <f t="shared" si="20"/>
        <v>0</v>
      </c>
      <c r="AQ63" s="19">
        <f t="shared" si="20"/>
        <v>0</v>
      </c>
      <c r="AR63" s="19">
        <f t="shared" si="20"/>
        <v>1.749999999999996E-2</v>
      </c>
      <c r="AS63" s="19">
        <f t="shared" si="21"/>
        <v>0</v>
      </c>
      <c r="AT63" s="19">
        <f t="shared" si="22"/>
        <v>0</v>
      </c>
      <c r="AU63" s="60"/>
      <c r="AV63" s="19">
        <f t="shared" si="23"/>
        <v>0</v>
      </c>
      <c r="AW63" s="19">
        <f t="shared" si="24"/>
        <v>1.2500000000000067E-2</v>
      </c>
      <c r="AX63" s="19">
        <f t="shared" si="25"/>
        <v>0</v>
      </c>
      <c r="AY63" s="19">
        <f t="shared" si="26"/>
        <v>0</v>
      </c>
      <c r="AZ63" s="19">
        <f t="shared" si="27"/>
        <v>0</v>
      </c>
      <c r="BA63" s="19">
        <f t="shared" si="28"/>
        <v>0</v>
      </c>
      <c r="BB63" s="19">
        <f t="shared" si="61"/>
        <v>0</v>
      </c>
      <c r="BC63" s="19">
        <f t="shared" si="30"/>
        <v>-7.5000000000000622E-3</v>
      </c>
      <c r="BD63" s="19">
        <f t="shared" si="31"/>
        <v>0</v>
      </c>
      <c r="BE63" s="19">
        <f t="shared" si="32"/>
        <v>0</v>
      </c>
      <c r="BF63" s="19">
        <f t="shared" si="33"/>
        <v>7.5000000000000622E-3</v>
      </c>
      <c r="BG63" s="19">
        <f t="shared" si="33"/>
        <v>0</v>
      </c>
      <c r="BH63" s="19">
        <f t="shared" si="56"/>
        <v>0</v>
      </c>
      <c r="BI63" s="19">
        <f t="shared" si="57"/>
        <v>0</v>
      </c>
      <c r="BJ63" s="19">
        <f t="shared" si="35"/>
        <v>-3.2500000000000084E-2</v>
      </c>
      <c r="BK63" s="19">
        <f t="shared" si="36"/>
        <v>0</v>
      </c>
      <c r="BL63" s="19">
        <f t="shared" si="45"/>
        <v>0</v>
      </c>
      <c r="BM63" s="19">
        <f t="shared" si="45"/>
        <v>0</v>
      </c>
      <c r="BN63" s="19">
        <f t="shared" si="45"/>
        <v>2.5000000000000577E-3</v>
      </c>
      <c r="BO63" s="19">
        <f t="shared" si="45"/>
        <v>0</v>
      </c>
      <c r="BP63" s="19">
        <f t="shared" si="58"/>
        <v>0</v>
      </c>
      <c r="BQ63" s="19">
        <f t="shared" si="58"/>
        <v>0</v>
      </c>
      <c r="BR63" s="19">
        <f t="shared" si="58"/>
        <v>0</v>
      </c>
      <c r="BS63" s="19">
        <f t="shared" si="38"/>
        <v>1.5000000000000013E-2</v>
      </c>
      <c r="BT63" s="19">
        <f t="shared" si="46"/>
        <v>0</v>
      </c>
      <c r="BU63" s="19">
        <f t="shared" si="59"/>
        <v>0</v>
      </c>
      <c r="BV63" s="19">
        <f t="shared" si="60"/>
        <v>0</v>
      </c>
      <c r="BW63" s="19">
        <f t="shared" si="40"/>
        <v>0</v>
      </c>
      <c r="BX63" s="19">
        <f t="shared" si="41"/>
        <v>-2.2500000000000075E-2</v>
      </c>
      <c r="BY63" s="19">
        <f t="shared" si="41"/>
        <v>0</v>
      </c>
      <c r="BZ63" s="19">
        <f t="shared" si="41"/>
        <v>2.0000000000000018E-2</v>
      </c>
      <c r="CA63" s="19">
        <f t="shared" si="41"/>
        <v>0</v>
      </c>
      <c r="CB63" s="19">
        <f t="shared" si="42"/>
        <v>0</v>
      </c>
      <c r="CC63" s="19">
        <f t="shared" si="42"/>
        <v>0</v>
      </c>
      <c r="CD63" s="19">
        <f t="shared" si="42"/>
        <v>-1.5000000000000013E-2</v>
      </c>
      <c r="CE63" s="65"/>
      <c r="CG63" s="20">
        <f t="shared" si="47"/>
        <v>0.49378205128205122</v>
      </c>
      <c r="CH63" s="8">
        <f>'Input RM sheet'!AP85/1000</f>
        <v>0.51</v>
      </c>
      <c r="CI63" s="8">
        <f>'Input RM sheet'!AQ85/1000</f>
        <v>0.52</v>
      </c>
      <c r="CJ63" s="20">
        <f>'Input RM sheet'!AR85/1000</f>
        <v>0.505</v>
      </c>
      <c r="CK63" s="20">
        <f>'Input RM sheet'!AS85/1000</f>
        <v>0.51249999999999996</v>
      </c>
      <c r="CL63" s="20">
        <f>'Input RM sheet'!AT85/1000</f>
        <v>0.495</v>
      </c>
      <c r="CM63" s="20">
        <f>'Input RM sheet'!AU85/1000</f>
        <v>0.45500000000000002</v>
      </c>
      <c r="CN63" s="20">
        <f>'Input RM sheet'!AV85/1000</f>
        <v>0.45500000000000002</v>
      </c>
      <c r="CO63" s="20">
        <f>'Input RM sheet'!AW85/1000</f>
        <v>0.45500000000000002</v>
      </c>
      <c r="CP63" s="20">
        <f>'Input RM sheet'!AX85/1000</f>
        <v>0.45500000000000002</v>
      </c>
      <c r="CQ63" s="20">
        <f>'Input RM sheet'!AY85/1000</f>
        <v>0.45500000000000002</v>
      </c>
      <c r="CR63" s="20">
        <f>'Input RM sheet'!AZ85/1000</f>
        <v>0.47499999999999998</v>
      </c>
      <c r="CS63" s="20">
        <f>'Input RM sheet'!BA85/1000</f>
        <v>0.47499999999999998</v>
      </c>
      <c r="CT63" s="20">
        <f>'Input RM sheet'!BB85/1000</f>
        <v>0.47499999999999998</v>
      </c>
      <c r="CU63" s="20">
        <f>'Input RM sheet'!BC85/1000</f>
        <v>0.47499999999999998</v>
      </c>
      <c r="CV63" s="20">
        <f>'Input RM sheet'!BD85/1000</f>
        <v>0.46500000000000002</v>
      </c>
      <c r="CW63" s="20">
        <f>'Input RM sheet'!BE85/1000</f>
        <v>0.4975</v>
      </c>
      <c r="CX63" s="20">
        <f>'Input RM sheet'!BF85/1000</f>
        <v>0.4975</v>
      </c>
      <c r="CY63" s="20">
        <f>'Input RM sheet'!BG85/1000</f>
        <v>0.4975</v>
      </c>
      <c r="CZ63" s="20">
        <f>'Input RM sheet'!BH85/1000</f>
        <v>0.4975</v>
      </c>
      <c r="DA63" s="20">
        <f>'Input RM sheet'!BI85/1000</f>
        <v>0.4975</v>
      </c>
      <c r="DB63" s="20">
        <f>'Input RM sheet'!BJ85/1000</f>
        <v>0.4975</v>
      </c>
      <c r="DC63" s="20">
        <f>'Input RM sheet'!BK85/1000</f>
        <v>0.46250000000000002</v>
      </c>
      <c r="DD63" s="20">
        <f>'Input RM sheet'!BL85/1000</f>
        <v>0.46250000000000002</v>
      </c>
      <c r="DE63" s="20">
        <f>'Input RM sheet'!BM85/1000</f>
        <v>0.46250000000000002</v>
      </c>
      <c r="DF63" s="20">
        <f>'Input RM sheet'!BN85/1000</f>
        <v>0.46250000000000002</v>
      </c>
      <c r="DG63" s="20">
        <f>'Input RM sheet'!BO85/1000</f>
        <v>0.48499999999999999</v>
      </c>
      <c r="DH63" s="20">
        <f>'Input RM sheet'!BP85/1000</f>
        <v>0.48499999999999999</v>
      </c>
      <c r="DI63" s="20">
        <f>'Input RM sheet'!BQ85/1000</f>
        <v>0.48499999999999999</v>
      </c>
      <c r="DJ63" s="20">
        <f>'Input RM sheet'!BR85/1000</f>
        <v>0.48499999999999999</v>
      </c>
      <c r="DK63" s="20">
        <f>'Input RM sheet'!BS85/1000</f>
        <v>0.48499999999999999</v>
      </c>
      <c r="DL63" s="20">
        <f>'Input RM sheet'!BT85/1000</f>
        <v>0.48499999999999999</v>
      </c>
      <c r="DM63" s="20">
        <f>'Input RM sheet'!BU85/1000</f>
        <v>0.48499999999999999</v>
      </c>
      <c r="DN63" s="20">
        <f>'Input RM sheet'!BV85/1000</f>
        <v>0.48499999999999999</v>
      </c>
      <c r="DO63" s="20">
        <f>'Input RM sheet'!BW85/1000</f>
        <v>0.54249999999999998</v>
      </c>
      <c r="DP63" s="20">
        <f>'Input RM sheet'!BX85/1000</f>
        <v>0.54249999999999998</v>
      </c>
      <c r="DQ63" s="20">
        <f>'Input RM sheet'!BY85/1000</f>
        <v>0.54249999999999998</v>
      </c>
      <c r="DR63" s="20">
        <f>'Input RM sheet'!BZ85/1000</f>
        <v>0.54749999999999999</v>
      </c>
      <c r="DS63" s="20">
        <f>'Input RM sheet'!CA85/1000</f>
        <v>0.54749999999999999</v>
      </c>
      <c r="DT63" s="20">
        <f>'Input RM sheet'!CB85/1000</f>
        <v>0.54749999999999999</v>
      </c>
      <c r="DU63" s="20">
        <f>'Input RM sheet'!CC85/1000</f>
        <v>0.54749999999999999</v>
      </c>
      <c r="DV63" s="20">
        <f>'Input RM sheet'!CD85/1000</f>
        <v>0.54749999999999999</v>
      </c>
      <c r="DW63" s="20">
        <f>'Input RM sheet'!CE85/1000</f>
        <v>0.53</v>
      </c>
      <c r="DX63" s="20">
        <f>'Input RM sheet'!CF85/1000</f>
        <v>0.53</v>
      </c>
      <c r="DY63" s="20">
        <f>'Input RM sheet'!CG85/1000</f>
        <v>0.53</v>
      </c>
      <c r="DZ63" s="20">
        <f>'Input RM sheet'!CH85/1000</f>
        <v>0.53</v>
      </c>
      <c r="EA63" s="20">
        <f>'Input RM sheet'!CI85/1000</f>
        <v>0.51749999999999996</v>
      </c>
      <c r="EB63" s="20">
        <f>'Input RM sheet'!CJ85/1000</f>
        <v>0.51749999999999996</v>
      </c>
      <c r="EC63" s="20">
        <f>'Input RM sheet'!CK85/1000</f>
        <v>0.51749999999999996</v>
      </c>
      <c r="ED63" s="20">
        <f>'Input RM sheet'!CL85/1000</f>
        <v>0.51749999999999996</v>
      </c>
      <c r="EE63" s="20">
        <f>'Input RM sheet'!CM85/1000</f>
        <v>0.51749999999999996</v>
      </c>
      <c r="EF63" s="20">
        <f>'Input RM sheet'!CN85/1000</f>
        <v>0.51749999999999996</v>
      </c>
      <c r="EG63" s="20">
        <f>'Input RM sheet'!CO85/1000</f>
        <v>0.52500000000000002</v>
      </c>
      <c r="EH63" s="20">
        <f>'Input RM sheet'!CP85/1000</f>
        <v>0.52500000000000002</v>
      </c>
      <c r="EI63" s="20">
        <f>'Input RM sheet'!CQ85/1000</f>
        <v>0.52500000000000002</v>
      </c>
      <c r="EJ63" s="20">
        <f>'Input RM sheet'!CR85/1000</f>
        <v>0.51749999999999996</v>
      </c>
      <c r="EK63" s="20">
        <f>'Input RM sheet'!CS85/1000</f>
        <v>0.51749999999999996</v>
      </c>
      <c r="EL63" s="20">
        <f>'Input RM sheet'!CT85/1000</f>
        <v>0.51749999999999996</v>
      </c>
      <c r="EM63" s="20">
        <f>'Input RM sheet'!CU85/1000</f>
        <v>0.51749999999999996</v>
      </c>
      <c r="EN63" s="20">
        <f>'Input RM sheet'!CV85/1000</f>
        <v>0.55000000000000004</v>
      </c>
      <c r="EO63" s="20">
        <f>'Input RM sheet'!CW85/1000</f>
        <v>0.55000000000000004</v>
      </c>
      <c r="EP63" s="20">
        <f>'Input RM sheet'!CX85/1000</f>
        <v>0.55000000000000004</v>
      </c>
      <c r="EQ63" s="20">
        <f>'Input RM sheet'!CY85/1000</f>
        <v>0.55000000000000004</v>
      </c>
      <c r="ER63" s="20">
        <f>'Input RM sheet'!CZ85/1000</f>
        <v>0.54749999999999999</v>
      </c>
      <c r="ES63" s="20">
        <f>'Input RM sheet'!DA85/1000</f>
        <v>0.54749999999999999</v>
      </c>
      <c r="ET63" s="20">
        <f>'Input RM sheet'!DB85/1000</f>
        <v>0.54749999999999999</v>
      </c>
      <c r="EU63" s="20">
        <f>'Input RM sheet'!DC85/1000</f>
        <v>0.54749999999999999</v>
      </c>
      <c r="EV63" s="20">
        <f>'Input RM sheet'!DD85/1000</f>
        <v>0.54749999999999999</v>
      </c>
      <c r="EW63" s="20">
        <f>'Input RM sheet'!DE85/1000</f>
        <v>0.53249999999999997</v>
      </c>
      <c r="EX63" s="20">
        <f>'Input RM sheet'!DF85/1000</f>
        <v>0.53249999999999997</v>
      </c>
      <c r="EY63" s="20">
        <f>'Input RM sheet'!DG85/1000</f>
        <v>0.53249999999999997</v>
      </c>
      <c r="EZ63" s="20">
        <f>'Input RM sheet'!DH85/1000</f>
        <v>0.53249999999999997</v>
      </c>
      <c r="FA63" s="20">
        <f>'Input RM sheet'!DI85/1000</f>
        <v>0.53249999999999997</v>
      </c>
      <c r="FB63" s="20">
        <f>'Input RM sheet'!DJ85/1000</f>
        <v>0.55500000000000005</v>
      </c>
      <c r="FC63" s="20">
        <f>'Input RM sheet'!DK85/1000</f>
        <v>0.55500000000000005</v>
      </c>
      <c r="FD63" s="20">
        <f>'Input RM sheet'!DL85/1000</f>
        <v>0.53500000000000003</v>
      </c>
      <c r="FE63" s="20">
        <f>'Input RM sheet'!DM85/1000</f>
        <v>0.53500000000000003</v>
      </c>
      <c r="FF63" s="20">
        <f>'Input RM sheet'!DN85/1000</f>
        <v>0.53500000000000003</v>
      </c>
      <c r="FG63" s="20">
        <f>'Input RM sheet'!DO85/1000</f>
        <v>0.53500000000000003</v>
      </c>
      <c r="FH63" s="20">
        <f>'Input RM sheet'!DP85/1000</f>
        <v>0.55000000000000004</v>
      </c>
    </row>
    <row r="64" spans="1:164">
      <c r="A64" s="8" t="s">
        <v>229</v>
      </c>
      <c r="B64" s="263" t="s">
        <v>262</v>
      </c>
      <c r="C64" s="19">
        <f>+CG64-CH64</f>
        <v>-6.0646153846153905E-2</v>
      </c>
      <c r="D64" s="19">
        <f t="shared" ref="D64:D77" si="71">+CH64-CI64</f>
        <v>1.2199999999999989E-2</v>
      </c>
      <c r="E64" s="19">
        <f t="shared" ref="E64:E77" si="72">+CI64-CJ64</f>
        <v>1.5300000000000036E-2</v>
      </c>
      <c r="F64" s="19">
        <f t="shared" ref="F64:F77" si="73">+CJ64-CK64</f>
        <v>7.8999999999999626E-3</v>
      </c>
      <c r="G64" s="19">
        <f t="shared" ref="G64:G77" si="74">+CK64-CL64</f>
        <v>2.1200000000000052E-2</v>
      </c>
      <c r="H64" s="19">
        <f t="shared" ref="H64:H77" si="75">+CL64-CM64</f>
        <v>3.7599999999999967E-2</v>
      </c>
      <c r="I64" s="19">
        <f t="shared" ref="I64:I77" si="76">+CM64-CN64</f>
        <v>1.0800000000000032E-2</v>
      </c>
      <c r="J64" s="19">
        <f t="shared" ref="J64:J77" si="77">+CN64-CO64</f>
        <v>-6.5000000000000058E-3</v>
      </c>
      <c r="K64" s="19">
        <f t="shared" si="44"/>
        <v>3.0000000000000027E-3</v>
      </c>
      <c r="L64" s="19">
        <f t="shared" si="1"/>
        <v>3.0000000000000027E-3</v>
      </c>
      <c r="M64" s="19">
        <f t="shared" si="2"/>
        <v>-2.0000000000000018E-3</v>
      </c>
      <c r="N64" s="19">
        <f t="shared" si="3"/>
        <v>0</v>
      </c>
      <c r="O64" s="19">
        <f t="shared" si="4"/>
        <v>4.0999999999999925E-3</v>
      </c>
      <c r="P64" s="19">
        <f t="shared" si="5"/>
        <v>-1.0599999999999998E-2</v>
      </c>
      <c r="Q64" s="19">
        <f t="shared" si="5"/>
        <v>-3.8000000000000256E-3</v>
      </c>
      <c r="R64" s="19">
        <f t="shared" si="6"/>
        <v>-1.0199999999999987E-2</v>
      </c>
      <c r="S64" s="19">
        <f t="shared" si="7"/>
        <v>-4.0999999999999981E-2</v>
      </c>
      <c r="T64" s="19">
        <f t="shared" si="8"/>
        <v>0</v>
      </c>
      <c r="U64" s="19">
        <f t="shared" si="8"/>
        <v>-2.5000000000000022E-3</v>
      </c>
      <c r="V64" s="19">
        <f t="shared" si="8"/>
        <v>0</v>
      </c>
      <c r="W64" s="19">
        <f t="shared" si="8"/>
        <v>9.9999999999999534E-3</v>
      </c>
      <c r="X64" s="19">
        <f t="shared" si="55"/>
        <v>0</v>
      </c>
      <c r="Y64" s="19">
        <f t="shared" si="55"/>
        <v>0</v>
      </c>
      <c r="Z64" s="19">
        <f t="shared" si="9"/>
        <v>5.0000000000000044E-3</v>
      </c>
      <c r="AA64" s="19">
        <f t="shared" si="10"/>
        <v>0</v>
      </c>
      <c r="AB64" s="19">
        <f t="shared" si="10"/>
        <v>-2.5000000000000022E-3</v>
      </c>
      <c r="AC64" s="19">
        <f t="shared" si="10"/>
        <v>2.5000000000000022E-3</v>
      </c>
      <c r="AD64" s="19">
        <f t="shared" si="10"/>
        <v>1.0000000000000009E-3</v>
      </c>
      <c r="AE64" s="19">
        <f t="shared" si="11"/>
        <v>5.5000000000000049E-3</v>
      </c>
      <c r="AF64" s="19">
        <f t="shared" si="11"/>
        <v>-9.000000000000008E-3</v>
      </c>
      <c r="AG64" s="19">
        <f t="shared" si="12"/>
        <v>-1.2999999999999678E-3</v>
      </c>
      <c r="AH64" s="19">
        <f t="shared" si="13"/>
        <v>-1.2000000000000344E-3</v>
      </c>
      <c r="AI64" s="19">
        <f t="shared" si="14"/>
        <v>0</v>
      </c>
      <c r="AJ64" s="19">
        <f t="shared" si="15"/>
        <v>-1.2499999999999956E-2</v>
      </c>
      <c r="AK64" s="19">
        <f t="shared" si="16"/>
        <v>0</v>
      </c>
      <c r="AL64" s="19">
        <f t="shared" si="16"/>
        <v>0</v>
      </c>
      <c r="AM64" s="19">
        <f t="shared" si="17"/>
        <v>5.0000000000000044E-4</v>
      </c>
      <c r="AN64" s="19">
        <f t="shared" si="18"/>
        <v>-5.0000000000000044E-4</v>
      </c>
      <c r="AO64" s="19">
        <f t="shared" si="19"/>
        <v>2.5000000000000022E-3</v>
      </c>
      <c r="AP64" s="19">
        <f t="shared" si="20"/>
        <v>5.0000000000000044E-3</v>
      </c>
      <c r="AQ64" s="19">
        <f t="shared" si="20"/>
        <v>4.9999999999999489E-3</v>
      </c>
      <c r="AR64" s="19">
        <f t="shared" si="20"/>
        <v>0</v>
      </c>
      <c r="AS64" s="19">
        <f t="shared" si="21"/>
        <v>-5.0000000000000044E-4</v>
      </c>
      <c r="AT64" s="19">
        <f t="shared" si="22"/>
        <v>0</v>
      </c>
      <c r="AU64" s="60"/>
      <c r="AV64" s="19">
        <f t="shared" si="23"/>
        <v>0</v>
      </c>
      <c r="AW64" s="19">
        <f t="shared" si="24"/>
        <v>-3.999999999999948E-3</v>
      </c>
      <c r="AX64" s="19">
        <f t="shared" si="25"/>
        <v>-1.3000000000000012E-2</v>
      </c>
      <c r="AY64" s="19">
        <f t="shared" si="26"/>
        <v>-2.5000000000000022E-3</v>
      </c>
      <c r="AZ64" s="19">
        <f t="shared" si="27"/>
        <v>0</v>
      </c>
      <c r="BA64" s="19">
        <f t="shared" si="28"/>
        <v>0</v>
      </c>
      <c r="BB64" s="19">
        <f t="shared" si="61"/>
        <v>-4.0000000000000036E-3</v>
      </c>
      <c r="BC64" s="19">
        <f t="shared" si="30"/>
        <v>2.0000000000000018E-3</v>
      </c>
      <c r="BD64" s="19">
        <f t="shared" si="31"/>
        <v>4.500000000000004E-3</v>
      </c>
      <c r="BE64" s="19">
        <f t="shared" si="32"/>
        <v>5.0000000000000044E-3</v>
      </c>
      <c r="BF64" s="19">
        <f t="shared" si="33"/>
        <v>0</v>
      </c>
      <c r="BG64" s="19">
        <f t="shared" si="33"/>
        <v>2.5000000000000022E-3</v>
      </c>
      <c r="BH64" s="19">
        <f t="shared" si="56"/>
        <v>0</v>
      </c>
      <c r="BI64" s="19">
        <f t="shared" si="57"/>
        <v>3.0000000000000027E-3</v>
      </c>
      <c r="BJ64" s="19">
        <f t="shared" si="35"/>
        <v>0</v>
      </c>
      <c r="BK64" s="19">
        <f t="shared" si="36"/>
        <v>1.0000000000000009E-3</v>
      </c>
      <c r="BL64" s="19">
        <f t="shared" si="45"/>
        <v>0</v>
      </c>
      <c r="BM64" s="19">
        <f t="shared" si="45"/>
        <v>0</v>
      </c>
      <c r="BN64" s="19">
        <f t="shared" si="45"/>
        <v>0</v>
      </c>
      <c r="BO64" s="19">
        <f t="shared" si="45"/>
        <v>1.0000000000000009E-3</v>
      </c>
      <c r="BP64" s="19">
        <f t="shared" si="58"/>
        <v>0</v>
      </c>
      <c r="BQ64" s="19">
        <f t="shared" si="58"/>
        <v>2.4999999999999467E-3</v>
      </c>
      <c r="BR64" s="19">
        <f t="shared" si="58"/>
        <v>-2.4999999999999467E-3</v>
      </c>
      <c r="BS64" s="19">
        <f t="shared" si="38"/>
        <v>0</v>
      </c>
      <c r="BT64" s="19">
        <f t="shared" si="46"/>
        <v>0</v>
      </c>
      <c r="BU64" s="19">
        <f t="shared" si="59"/>
        <v>0</v>
      </c>
      <c r="BV64" s="19">
        <f t="shared" si="60"/>
        <v>2.4999999999999467E-3</v>
      </c>
      <c r="BW64" s="19">
        <f t="shared" si="40"/>
        <v>-2.4999999999999467E-3</v>
      </c>
      <c r="BX64" s="19">
        <f t="shared" si="41"/>
        <v>0</v>
      </c>
      <c r="BY64" s="19">
        <f t="shared" si="41"/>
        <v>0</v>
      </c>
      <c r="BZ64" s="19">
        <f t="shared" si="41"/>
        <v>0</v>
      </c>
      <c r="CA64" s="19">
        <f t="shared" si="41"/>
        <v>0</v>
      </c>
      <c r="CB64" s="19">
        <f t="shared" si="42"/>
        <v>0</v>
      </c>
      <c r="CC64" s="19">
        <f t="shared" si="42"/>
        <v>0</v>
      </c>
      <c r="CD64" s="19">
        <f t="shared" si="42"/>
        <v>-2.5000000000000022E-3</v>
      </c>
      <c r="CE64" s="65"/>
      <c r="CG64" s="20">
        <f t="shared" si="47"/>
        <v>0.32785384615384611</v>
      </c>
      <c r="CH64" s="20">
        <f>'Input RM sheet'!AP86/1000</f>
        <v>0.38850000000000001</v>
      </c>
      <c r="CI64" s="20">
        <f>'Input RM sheet'!AQ86/1000</f>
        <v>0.37630000000000002</v>
      </c>
      <c r="CJ64" s="20">
        <f>'Input RM sheet'!AR86/1000</f>
        <v>0.36099999999999999</v>
      </c>
      <c r="CK64" s="20">
        <f>'Input RM sheet'!AS86/1000</f>
        <v>0.35310000000000002</v>
      </c>
      <c r="CL64" s="20">
        <f>'Input RM sheet'!AT86/1000</f>
        <v>0.33189999999999997</v>
      </c>
      <c r="CM64" s="20">
        <f>'Input RM sheet'!AU86/1000</f>
        <v>0.29430000000000001</v>
      </c>
      <c r="CN64" s="20">
        <f>'Input RM sheet'!AV86/1000</f>
        <v>0.28349999999999997</v>
      </c>
      <c r="CO64" s="20">
        <f>'Input RM sheet'!AW86/1000</f>
        <v>0.28999999999999998</v>
      </c>
      <c r="CP64" s="20">
        <f>'Input RM sheet'!AX86/1000</f>
        <v>0.28699999999999998</v>
      </c>
      <c r="CQ64" s="20">
        <f>'Input RM sheet'!AY86/1000</f>
        <v>0.28399999999999997</v>
      </c>
      <c r="CR64" s="20">
        <f>'Input RM sheet'!AZ86/1000</f>
        <v>0.28599999999999998</v>
      </c>
      <c r="CS64" s="20">
        <f>'Input RM sheet'!BA86/1000</f>
        <v>0.28599999999999998</v>
      </c>
      <c r="CT64" s="20">
        <f>'Input RM sheet'!BB86/1000</f>
        <v>0.28189999999999998</v>
      </c>
      <c r="CU64" s="20">
        <f>'Input RM sheet'!BC86/1000</f>
        <v>0.29249999999999998</v>
      </c>
      <c r="CV64" s="20">
        <f>'Input RM sheet'!BD86/1000</f>
        <v>0.29630000000000001</v>
      </c>
      <c r="CW64" s="20">
        <f>'Input RM sheet'!BE86/1000</f>
        <v>0.30649999999999999</v>
      </c>
      <c r="CX64" s="20">
        <f>'Input RM sheet'!BF86/1000</f>
        <v>0.34749999999999998</v>
      </c>
      <c r="CY64" s="20">
        <f>'Input RM sheet'!BG86/1000</f>
        <v>0.34749999999999998</v>
      </c>
      <c r="CZ64" s="20">
        <f>'Input RM sheet'!BH86/1000</f>
        <v>0.35</v>
      </c>
      <c r="DA64" s="20">
        <f>'Input RM sheet'!BI86/1000</f>
        <v>0.35</v>
      </c>
      <c r="DB64" s="20">
        <f>'Input RM sheet'!BJ86/1000</f>
        <v>0.34</v>
      </c>
      <c r="DC64" s="20">
        <f>'Input RM sheet'!BK86/1000</f>
        <v>0.34</v>
      </c>
      <c r="DD64" s="20">
        <f>'Input RM sheet'!BL86/1000</f>
        <v>0.34</v>
      </c>
      <c r="DE64" s="20">
        <f>'Input RM sheet'!BM86/1000</f>
        <v>0.33500000000000002</v>
      </c>
      <c r="DF64" s="20">
        <f>'Input RM sheet'!BN86/1000</f>
        <v>0.33500000000000002</v>
      </c>
      <c r="DG64" s="20">
        <f>'Input RM sheet'!BO86/1000</f>
        <v>0.33750000000000002</v>
      </c>
      <c r="DH64" s="20">
        <f>'Input RM sheet'!BP86/1000</f>
        <v>0.33500000000000002</v>
      </c>
      <c r="DI64" s="20">
        <f>'Input RM sheet'!BQ86/1000</f>
        <v>0.33400000000000002</v>
      </c>
      <c r="DJ64" s="20">
        <f>'Input RM sheet'!BR86/1000</f>
        <v>0.32850000000000001</v>
      </c>
      <c r="DK64" s="20">
        <f>'Input RM sheet'!BS86/1000</f>
        <v>0.33750000000000002</v>
      </c>
      <c r="DL64" s="20">
        <f>'Input RM sheet'!BT86/1000</f>
        <v>0.33879999999999999</v>
      </c>
      <c r="DM64" s="20">
        <f>'Input RM sheet'!BU86/1000</f>
        <v>0.34</v>
      </c>
      <c r="DN64" s="20">
        <f>'Input RM sheet'!BV86/1000</f>
        <v>0.34</v>
      </c>
      <c r="DO64" s="20">
        <f>'Input RM sheet'!BW86/1000</f>
        <v>0.35249999999999998</v>
      </c>
      <c r="DP64" s="20">
        <f>'Input RM sheet'!BX86/1000</f>
        <v>0.35249999999999998</v>
      </c>
      <c r="DQ64" s="20">
        <f>'Input RM sheet'!BY86/1000</f>
        <v>0.35249999999999998</v>
      </c>
      <c r="DR64" s="20">
        <f>'Input RM sheet'!BZ86/1000</f>
        <v>0.35199999999999998</v>
      </c>
      <c r="DS64" s="20">
        <f>'Input RM sheet'!CA86/1000</f>
        <v>0.35249999999999998</v>
      </c>
      <c r="DT64" s="20">
        <f>'Input RM sheet'!CB86/1000</f>
        <v>0.35</v>
      </c>
      <c r="DU64" s="20">
        <f>'Input RM sheet'!CC86/1000</f>
        <v>0.34499999999999997</v>
      </c>
      <c r="DV64" s="20">
        <f>'Input RM sheet'!CD86/1000</f>
        <v>0.34</v>
      </c>
      <c r="DW64" s="20">
        <f>'Input RM sheet'!CE86/1000</f>
        <v>0.34</v>
      </c>
      <c r="DX64" s="20">
        <f>'Input RM sheet'!CF86/1000</f>
        <v>0.34050000000000002</v>
      </c>
      <c r="DY64" s="20">
        <f>'Input RM sheet'!CG86/1000</f>
        <v>0.34050000000000002</v>
      </c>
      <c r="DZ64" s="20">
        <f>'Input RM sheet'!CH86/1000</f>
        <v>0.34050000000000002</v>
      </c>
      <c r="EA64" s="20">
        <f>'Input RM sheet'!CI86/1000</f>
        <v>0.34449999999999997</v>
      </c>
      <c r="EB64" s="20">
        <f>'Input RM sheet'!CJ86/1000</f>
        <v>0.35749999999999998</v>
      </c>
      <c r="EC64" s="20">
        <f>'Input RM sheet'!CK86/1000</f>
        <v>0.36</v>
      </c>
      <c r="ED64" s="20">
        <f>'Input RM sheet'!CL86/1000</f>
        <v>0.36</v>
      </c>
      <c r="EE64" s="20">
        <f>'Input RM sheet'!CM86/1000</f>
        <v>0.36</v>
      </c>
      <c r="EF64" s="20">
        <f>'Input RM sheet'!CN86/1000</f>
        <v>0.36399999999999999</v>
      </c>
      <c r="EG64" s="20">
        <f>'Input RM sheet'!CO86/1000</f>
        <v>0.36199999999999999</v>
      </c>
      <c r="EH64" s="20">
        <f>'Input RM sheet'!CP86/1000</f>
        <v>0.35749999999999998</v>
      </c>
      <c r="EI64" s="20">
        <f>'Input RM sheet'!CQ86/1000</f>
        <v>0.35249999999999998</v>
      </c>
      <c r="EJ64" s="20">
        <f>'Input RM sheet'!CR86/1000</f>
        <v>0.35249999999999998</v>
      </c>
      <c r="EK64" s="20">
        <f>'Input RM sheet'!CS86/1000</f>
        <v>0.35</v>
      </c>
      <c r="EL64" s="20">
        <f>'Input RM sheet'!CT86/1000</f>
        <v>0.35</v>
      </c>
      <c r="EM64" s="20">
        <f>'Input RM sheet'!CU86/1000</f>
        <v>0.34699999999999998</v>
      </c>
      <c r="EN64" s="20">
        <f>'Input RM sheet'!CV86/1000</f>
        <v>0.34699999999999998</v>
      </c>
      <c r="EO64" s="20">
        <f>'Input RM sheet'!CW86/1000</f>
        <v>0.34599999999999997</v>
      </c>
      <c r="EP64" s="20">
        <f>'Input RM sheet'!CX86/1000</f>
        <v>0.34599999999999997</v>
      </c>
      <c r="EQ64" s="20">
        <f>'Input RM sheet'!CY86/1000</f>
        <v>0.34599999999999997</v>
      </c>
      <c r="ER64" s="20">
        <f>'Input RM sheet'!CZ86/1000</f>
        <v>0.34599999999999997</v>
      </c>
      <c r="ES64" s="20">
        <f>'Input RM sheet'!DA86/1000</f>
        <v>0.34499999999999997</v>
      </c>
      <c r="ET64" s="20">
        <f>'Input RM sheet'!DB86/1000</f>
        <v>0.34499999999999997</v>
      </c>
      <c r="EU64" s="20">
        <f>'Input RM sheet'!DC86/1000</f>
        <v>0.34250000000000003</v>
      </c>
      <c r="EV64" s="20">
        <f>'Input RM sheet'!DD86/1000</f>
        <v>0.34499999999999997</v>
      </c>
      <c r="EW64" s="20">
        <f>'Input RM sheet'!DE86/1000</f>
        <v>0.34499999999999997</v>
      </c>
      <c r="EX64" s="20">
        <f>'Input RM sheet'!DF86/1000</f>
        <v>0.34499999999999997</v>
      </c>
      <c r="EY64" s="20">
        <f>'Input RM sheet'!DG86/1000</f>
        <v>0.34499999999999997</v>
      </c>
      <c r="EZ64" s="20">
        <f>'Input RM sheet'!DH86/1000</f>
        <v>0.34250000000000003</v>
      </c>
      <c r="FA64" s="20">
        <f>'Input RM sheet'!DI86/1000</f>
        <v>0.34499999999999997</v>
      </c>
      <c r="FB64" s="20">
        <f>'Input RM sheet'!DJ86/1000</f>
        <v>0.34499999999999997</v>
      </c>
      <c r="FC64" s="20">
        <f>'Input RM sheet'!DK86/1000</f>
        <v>0.34499999999999997</v>
      </c>
      <c r="FD64" s="20">
        <f>'Input RM sheet'!DL86/1000</f>
        <v>0.34499999999999997</v>
      </c>
      <c r="FE64" s="20">
        <f>'Input RM sheet'!DM86/1000</f>
        <v>0.34499999999999997</v>
      </c>
      <c r="FF64" s="20">
        <f>'Input RM sheet'!DN86/1000</f>
        <v>0.34499999999999997</v>
      </c>
      <c r="FG64" s="20">
        <f>'Input RM sheet'!DO86/1000</f>
        <v>0.34499999999999997</v>
      </c>
      <c r="FH64" s="20">
        <f>'Input RM sheet'!DP86/1000</f>
        <v>0.34749999999999998</v>
      </c>
    </row>
    <row r="65" spans="1:164">
      <c r="A65" s="8" t="s">
        <v>248</v>
      </c>
      <c r="B65" s="263" t="s">
        <v>263</v>
      </c>
      <c r="C65" s="19">
        <f t="shared" ref="C65:C77" si="78">+CG65-CH65</f>
        <v>-10.30246796025553</v>
      </c>
      <c r="D65" s="19">
        <f t="shared" si="71"/>
        <v>1.1495807986890458</v>
      </c>
      <c r="E65" s="19">
        <f t="shared" si="72"/>
        <v>1.0472268884027542</v>
      </c>
      <c r="F65" s="19">
        <f t="shared" si="73"/>
        <v>0.17047879578649372</v>
      </c>
      <c r="G65" s="19">
        <f t="shared" si="74"/>
        <v>1.5830173894460238</v>
      </c>
      <c r="H65" s="19">
        <f t="shared" si="75"/>
        <v>0.16130572292704848</v>
      </c>
      <c r="I65" s="19">
        <f t="shared" si="76"/>
        <v>-0.29928984164792105</v>
      </c>
      <c r="J65" s="19">
        <f t="shared" si="77"/>
        <v>8.5226108674479661E-2</v>
      </c>
      <c r="K65" s="19">
        <f t="shared" si="44"/>
        <v>-3.6303217784134034E-2</v>
      </c>
      <c r="L65" s="19">
        <f t="shared" si="1"/>
        <v>4.7427269480914802E-2</v>
      </c>
      <c r="M65" s="19">
        <f t="shared" si="2"/>
        <v>7.8636892432038863E-2</v>
      </c>
      <c r="N65" s="19">
        <f t="shared" si="3"/>
        <v>5.7253921795755502E-2</v>
      </c>
      <c r="O65" s="19">
        <f t="shared" si="4"/>
        <v>0.18018018018018012</v>
      </c>
      <c r="P65" s="19">
        <f t="shared" si="5"/>
        <v>-0.14115749142972334</v>
      </c>
      <c r="Q65" s="19">
        <f t="shared" si="5"/>
        <v>5.4195152811754355E-2</v>
      </c>
      <c r="R65" s="19">
        <f t="shared" si="6"/>
        <v>0.34685570195960835</v>
      </c>
      <c r="S65" s="19">
        <f t="shared" si="7"/>
        <v>0.23985877031861058</v>
      </c>
      <c r="T65" s="19">
        <f t="shared" si="8"/>
        <v>4.2057992584178194E-2</v>
      </c>
      <c r="U65" s="19">
        <f t="shared" si="8"/>
        <v>9.5358955534799961</v>
      </c>
      <c r="V65" s="19">
        <f t="shared" si="8"/>
        <v>-7.1699673718419232E-2</v>
      </c>
      <c r="W65" s="19">
        <f t="shared" si="8"/>
        <v>4.0379407318772209E-2</v>
      </c>
      <c r="X65" s="19">
        <f t="shared" si="55"/>
        <v>1.790314649172231E-3</v>
      </c>
      <c r="Y65" s="19">
        <f t="shared" si="55"/>
        <v>-3.0551759376658216E-2</v>
      </c>
      <c r="Z65" s="19">
        <f t="shared" si="9"/>
        <v>-2.4435684749073427E-2</v>
      </c>
      <c r="AA65" s="19">
        <f t="shared" si="10"/>
        <v>0</v>
      </c>
      <c r="AB65" s="19">
        <f t="shared" si="10"/>
        <v>-3.4123254580381568E-2</v>
      </c>
      <c r="AC65" s="19">
        <f t="shared" si="10"/>
        <v>4.8928575848069977E-2</v>
      </c>
      <c r="AD65" s="19">
        <f t="shared" si="10"/>
        <v>-5.2932701823182882E-4</v>
      </c>
      <c r="AE65" s="19">
        <f t="shared" si="11"/>
        <v>4.0456059346929196E-2</v>
      </c>
      <c r="AF65" s="19">
        <f t="shared" si="11"/>
        <v>7.0217866285804398E-3</v>
      </c>
      <c r="AG65" s="19">
        <f t="shared" si="12"/>
        <v>-3.8370344210570506E-2</v>
      </c>
      <c r="AH65" s="19">
        <f t="shared" si="13"/>
        <v>-2.3921282100872077E-2</v>
      </c>
      <c r="AI65" s="19">
        <f t="shared" si="14"/>
        <v>1.3434962322516064E-3</v>
      </c>
      <c r="AJ65" s="19">
        <f t="shared" si="15"/>
        <v>4.5602549334791131E-2</v>
      </c>
      <c r="AK65" s="19">
        <f t="shared" si="16"/>
        <v>-2.4870974386348887E-2</v>
      </c>
      <c r="AL65" s="19">
        <f t="shared" si="16"/>
        <v>1.3207873053477925E-4</v>
      </c>
      <c r="AM65" s="19">
        <f t="shared" si="17"/>
        <v>-1.4546185883979046E-3</v>
      </c>
      <c r="AN65" s="19">
        <f t="shared" si="18"/>
        <v>0</v>
      </c>
      <c r="AO65" s="19">
        <f t="shared" si="19"/>
        <v>-5.1022268638516444E-2</v>
      </c>
      <c r="AP65" s="19">
        <f t="shared" si="20"/>
        <v>-8.3749108010634288E-2</v>
      </c>
      <c r="AQ65" s="19">
        <f t="shared" si="20"/>
        <v>3.1422528577202069E-2</v>
      </c>
      <c r="AR65" s="19">
        <f t="shared" si="20"/>
        <v>1.9860143913092543E-2</v>
      </c>
      <c r="AS65" s="19">
        <f t="shared" si="21"/>
        <v>-2.5551667048837601E-3</v>
      </c>
      <c r="AT65" s="19">
        <f t="shared" si="22"/>
        <v>2.6967970149780474E-3</v>
      </c>
      <c r="AU65" s="60"/>
      <c r="AV65" s="19">
        <f t="shared" si="23"/>
        <v>2.9664105099127536E-3</v>
      </c>
      <c r="AW65" s="19">
        <f t="shared" si="24"/>
        <v>6.9241946036688873E-2</v>
      </c>
      <c r="AX65" s="19">
        <f t="shared" si="25"/>
        <v>3.6990511903548517E-2</v>
      </c>
      <c r="AY65" s="19">
        <f t="shared" si="26"/>
        <v>-5.5918157685828307E-2</v>
      </c>
      <c r="AZ65" s="19">
        <f t="shared" si="27"/>
        <v>-1.1997600479904058E-2</v>
      </c>
      <c r="BA65" s="19">
        <f t="shared" si="28"/>
        <v>0</v>
      </c>
      <c r="BB65" s="19">
        <f t="shared" si="61"/>
        <v>0</v>
      </c>
      <c r="BC65" s="19">
        <f t="shared" si="30"/>
        <v>-2.246421618048533E-2</v>
      </c>
      <c r="BD65" s="19">
        <f t="shared" si="31"/>
        <v>5.1619212437894468E-3</v>
      </c>
      <c r="BE65" s="19">
        <f t="shared" si="32"/>
        <v>7.3737417251826809E-3</v>
      </c>
      <c r="BF65" s="19">
        <f t="shared" si="33"/>
        <v>-1.8663691191613152E-2</v>
      </c>
      <c r="BG65" s="19">
        <f t="shared" si="33"/>
        <v>6.2701244255405353E-3</v>
      </c>
      <c r="BH65" s="19">
        <f t="shared" si="56"/>
        <v>1.9066038698330123E-2</v>
      </c>
      <c r="BI65" s="19">
        <f t="shared" si="57"/>
        <v>8.022153154486622E-3</v>
      </c>
      <c r="BJ65" s="19">
        <f t="shared" si="35"/>
        <v>4.0666641838615902E-4</v>
      </c>
      <c r="BK65" s="19">
        <f t="shared" si="36"/>
        <v>8.9292656057819997E-3</v>
      </c>
      <c r="BL65" s="19">
        <f t="shared" si="45"/>
        <v>-5.8211445876976686E-3</v>
      </c>
      <c r="BM65" s="19">
        <f t="shared" si="45"/>
        <v>-8.0917128935342753E-4</v>
      </c>
      <c r="BN65" s="19">
        <f t="shared" si="45"/>
        <v>-2.3975718245031308E-2</v>
      </c>
      <c r="BO65" s="19">
        <f t="shared" si="45"/>
        <v>-1.0946411084957974E-2</v>
      </c>
      <c r="BP65" s="19">
        <f t="shared" si="58"/>
        <v>-4.7641734159123317E-2</v>
      </c>
      <c r="BQ65" s="19">
        <f t="shared" si="58"/>
        <v>-5.5234314908099158E-3</v>
      </c>
      <c r="BR65" s="19">
        <f t="shared" si="58"/>
        <v>1.1669975161829882E-3</v>
      </c>
      <c r="BS65" s="19">
        <f t="shared" si="38"/>
        <v>-0.26940623552387755</v>
      </c>
      <c r="BT65" s="19">
        <f t="shared" si="46"/>
        <v>2.5560398347277413E-2</v>
      </c>
      <c r="BU65" s="19">
        <f t="shared" si="59"/>
        <v>-2.3789699060307035E-2</v>
      </c>
      <c r="BV65" s="19">
        <f t="shared" si="60"/>
        <v>-4.7396901023873506E-2</v>
      </c>
      <c r="BW65" s="19">
        <f t="shared" si="40"/>
        <v>-7.0597121686974296E-2</v>
      </c>
      <c r="BX65" s="19">
        <f t="shared" si="41"/>
        <v>5.3241476293177659E-3</v>
      </c>
      <c r="BY65" s="19">
        <f t="shared" si="41"/>
        <v>7.4665499126312929E-2</v>
      </c>
      <c r="BZ65" s="19">
        <f t="shared" si="41"/>
        <v>6.486468205137319E-3</v>
      </c>
      <c r="CA65" s="19">
        <f t="shared" si="41"/>
        <v>-4.8281680724859832E-3</v>
      </c>
      <c r="CB65" s="19">
        <f t="shared" si="42"/>
        <v>4.9666961185816927E-2</v>
      </c>
      <c r="CC65" s="19">
        <f t="shared" si="42"/>
        <v>3.100115611789378E-2</v>
      </c>
      <c r="CD65" s="19">
        <f t="shared" si="42"/>
        <v>2.2012900668524127E-2</v>
      </c>
      <c r="CE65" s="65"/>
      <c r="CG65" s="20">
        <f t="shared" si="47"/>
        <v>5.0333840592382604</v>
      </c>
      <c r="CH65" s="20">
        <f>'Input RM sheet'!AP88</f>
        <v>15.335852019493791</v>
      </c>
      <c r="CI65" s="20">
        <f>'Input RM sheet'!AQ88</f>
        <v>14.186271220804745</v>
      </c>
      <c r="CJ65" s="20">
        <f>'Input RM sheet'!AR88</f>
        <v>13.139044332401991</v>
      </c>
      <c r="CK65" s="20">
        <f>'Input RM sheet'!AS88</f>
        <v>12.968565536615497</v>
      </c>
      <c r="CL65" s="20">
        <f>'Input RM sheet'!AT88</f>
        <v>11.385548147169473</v>
      </c>
      <c r="CM65" s="20">
        <f>'Input RM sheet'!AU88</f>
        <v>11.224242424242425</v>
      </c>
      <c r="CN65" s="20">
        <f>'Input RM sheet'!AV88</f>
        <v>11.523532265890346</v>
      </c>
      <c r="CO65" s="20">
        <f>'Input RM sheet'!AW88</f>
        <v>11.438306157215866</v>
      </c>
      <c r="CP65" s="20">
        <f>'Input RM sheet'!AX88</f>
        <v>11.474609375</v>
      </c>
      <c r="CQ65" s="20">
        <f>'Input RM sheet'!AY88</f>
        <v>11.427182105519085</v>
      </c>
      <c r="CR65" s="20">
        <f>'Input RM sheet'!AZ88</f>
        <v>11.348545213087046</v>
      </c>
      <c r="CS65" s="20">
        <f>'Input RM sheet'!BA88</f>
        <v>11.291291291291291</v>
      </c>
      <c r="CT65" s="20">
        <f>'Input RM sheet'!BB88</f>
        <v>11.111111111111111</v>
      </c>
      <c r="CU65" s="20">
        <f>'Input RM sheet'!BC88</f>
        <v>11.252268602540834</v>
      </c>
      <c r="CV65" s="20">
        <f>'Input RM sheet'!BD88</f>
        <v>11.19807344972908</v>
      </c>
      <c r="CW65" s="20">
        <f>'Input RM sheet'!BE88</f>
        <v>10.851217747769471</v>
      </c>
      <c r="CX65" s="20">
        <f>'Input RM sheet'!BF88</f>
        <v>10.611358977450861</v>
      </c>
      <c r="CY65" s="20">
        <f>'Input RM sheet'!BG88</f>
        <v>10.569300984866683</v>
      </c>
      <c r="CZ65" s="20">
        <f>'Input RM sheet'!BH88</f>
        <v>1.0334054313866858</v>
      </c>
      <c r="DA65" s="20">
        <f>'Input RM sheet'!BI88</f>
        <v>1.1051051051051051</v>
      </c>
      <c r="DB65" s="20">
        <f>'Input RM sheet'!BJ88</f>
        <v>1.0647256977863329</v>
      </c>
      <c r="DC65" s="20">
        <f>'Input RM sheet'!BK88</f>
        <v>1.0629353831371606</v>
      </c>
      <c r="DD65" s="20">
        <f>'Input RM sheet'!BL88</f>
        <v>1.0934871425138188</v>
      </c>
      <c r="DE65" s="20">
        <f>'Input RM sheet'!BM88</f>
        <v>1.1179228272628923</v>
      </c>
      <c r="DF65" s="20">
        <f>'Input RM sheet'!BN88</f>
        <v>1.1179228272628923</v>
      </c>
      <c r="DG65" s="20">
        <f>'Input RM sheet'!BO88</f>
        <v>1.1520460818432738</v>
      </c>
      <c r="DH65" s="20">
        <f>'Input RM sheet'!BP88</f>
        <v>1.1031175059952039</v>
      </c>
      <c r="DI65" s="20">
        <f>'Input RM sheet'!BQ88</f>
        <v>1.1036468330134357</v>
      </c>
      <c r="DJ65" s="20">
        <f>'Input RM sheet'!BR88</f>
        <v>1.0631907736665065</v>
      </c>
      <c r="DK65" s="20">
        <f>'Input RM sheet'!BS88</f>
        <v>1.0561689870379261</v>
      </c>
      <c r="DL65" s="20">
        <f>'Input RM sheet'!BT88</f>
        <v>1.0945393312484966</v>
      </c>
      <c r="DM65" s="20">
        <f>'Input RM sheet'!BU88</f>
        <v>1.1184606133493686</v>
      </c>
      <c r="DN65" s="20">
        <f>'Input RM sheet'!BV88</f>
        <v>1.117117117117117</v>
      </c>
      <c r="DO65" s="20">
        <f>'Input RM sheet'!BW88</f>
        <v>1.0715145677823259</v>
      </c>
      <c r="DP65" s="20">
        <f>'Input RM sheet'!BX88</f>
        <v>1.0963855421686748</v>
      </c>
      <c r="DQ65" s="20">
        <f>'Input RM sheet'!BY88</f>
        <v>1.09625346343814</v>
      </c>
      <c r="DR65" s="20">
        <f>'Input RM sheet'!BZ88</f>
        <v>1.0977080820265379</v>
      </c>
      <c r="DS65" s="20">
        <f>'Input RM sheet'!CA88</f>
        <v>1.0977080820265379</v>
      </c>
      <c r="DT65" s="20">
        <f>'Input RM sheet'!CB88</f>
        <v>1.1487303506650544</v>
      </c>
      <c r="DU65" s="20">
        <f>'Input RM sheet'!CC88</f>
        <v>1.2324794586756886</v>
      </c>
      <c r="DV65" s="20">
        <f>'Input RM sheet'!CD88</f>
        <v>1.2010569300984866</v>
      </c>
      <c r="DW65" s="20">
        <f>'Input RM sheet'!CE88</f>
        <v>1.181196786185394</v>
      </c>
      <c r="DX65" s="20">
        <f>'Input RM sheet'!CF88</f>
        <v>1.1837519528902778</v>
      </c>
      <c r="DY65" s="20">
        <f>'Input RM sheet'!CG88</f>
        <v>1.1810551558752997</v>
      </c>
      <c r="DZ65" s="20">
        <f>'Input RM sheet'!CH88</f>
        <v>1.178088745365387</v>
      </c>
      <c r="EA65" s="20">
        <f>'Input RM sheet'!CI88</f>
        <v>1.1088467993286981</v>
      </c>
      <c r="EB65" s="20">
        <f>'Input RM sheet'!CJ88</f>
        <v>1.0718562874251496</v>
      </c>
      <c r="EC65" s="20">
        <f>'Input RM sheet'!CK88</f>
        <v>1.1277744451109779</v>
      </c>
      <c r="ED65" s="20">
        <f>'Input RM sheet'!CL88</f>
        <v>1.139772045590882</v>
      </c>
      <c r="EE65" s="20">
        <f>'Input RM sheet'!CM88</f>
        <v>1.139772045590882</v>
      </c>
      <c r="EF65" s="20">
        <f>'Input RM sheet'!CN88</f>
        <v>1.139772045590882</v>
      </c>
      <c r="EG65" s="20">
        <f>'Input RM sheet'!CO88</f>
        <v>1.1622362617713673</v>
      </c>
      <c r="EH65" s="20">
        <f>'Input RM sheet'!CP88</f>
        <v>1.1570743405275778</v>
      </c>
      <c r="EI65" s="20">
        <f>'Input RM sheet'!CQ88</f>
        <v>1.1497005988023952</v>
      </c>
      <c r="EJ65" s="20">
        <f>'Input RM sheet'!CR88</f>
        <v>1.1683642899940083</v>
      </c>
      <c r="EK65" s="20">
        <f>'Input RM sheet'!CS88</f>
        <v>1.1620941655684678</v>
      </c>
      <c r="EL65" s="20">
        <f>'Input RM sheet'!CT88</f>
        <v>1.1430281268701377</v>
      </c>
      <c r="EM65" s="20">
        <f>'Input RM sheet'!CU88</f>
        <v>1.135005973715651</v>
      </c>
      <c r="EN65" s="20">
        <f>'Input RM sheet'!CV88</f>
        <v>1.1345993072972649</v>
      </c>
      <c r="EO65" s="20">
        <f>'Input RM sheet'!CW88</f>
        <v>1.1256700416914829</v>
      </c>
      <c r="EP65" s="20">
        <f>'Input RM sheet'!CX88</f>
        <v>1.1314911862791805</v>
      </c>
      <c r="EQ65" s="20">
        <f>'Input RM sheet'!CY88</f>
        <v>1.132300357568534</v>
      </c>
      <c r="ER65" s="20">
        <f>'Input RM sheet'!CZ88</f>
        <v>1.1562760758135653</v>
      </c>
      <c r="ES65" s="20">
        <f>'Input RM sheet'!DA88</f>
        <v>1.1672224868985233</v>
      </c>
      <c r="ET65" s="20">
        <f>'Input RM sheet'!DB88</f>
        <v>1.2148642210576466</v>
      </c>
      <c r="EU65" s="20">
        <f>'Input RM sheet'!DC88</f>
        <v>1.2203876525484565</v>
      </c>
      <c r="EV65" s="20">
        <f>'Input RM sheet'!DD88</f>
        <v>1.2192206550322735</v>
      </c>
      <c r="EW65" s="20">
        <f>'Input RM sheet'!DE88</f>
        <v>1.4886268905561511</v>
      </c>
      <c r="EX65" s="20">
        <f>'Input RM sheet'!DF88</f>
        <v>1.4630664922088736</v>
      </c>
      <c r="EY65" s="20">
        <f>'Input RM sheet'!DG88</f>
        <v>1.4868561912691807</v>
      </c>
      <c r="EZ65" s="20">
        <f>'Input RM sheet'!DH88</f>
        <v>1.5342530922930542</v>
      </c>
      <c r="FA65" s="20">
        <f>'Input RM sheet'!DI88</f>
        <v>1.6048502139800285</v>
      </c>
      <c r="FB65" s="20">
        <f>'Input RM sheet'!DJ88</f>
        <v>1.5995260663507107</v>
      </c>
      <c r="FC65" s="20">
        <f>'Input RM sheet'!DK88</f>
        <v>1.5248605672243978</v>
      </c>
      <c r="FD65" s="20">
        <f>'Input RM sheet'!DL88</f>
        <v>1.5183740990192605</v>
      </c>
      <c r="FE65" s="20">
        <f>'Input RM sheet'!DM88</f>
        <v>1.5232022670917464</v>
      </c>
      <c r="FF65" s="20">
        <f>'Input RM sheet'!DN88</f>
        <v>1.4735353059059295</v>
      </c>
      <c r="FG65" s="20">
        <f>'Input RM sheet'!DO88</f>
        <v>1.4425341497880357</v>
      </c>
      <c r="FH65" s="20">
        <f>'Input RM sheet'!DP88</f>
        <v>1.4205212491195116</v>
      </c>
    </row>
    <row r="66" spans="1:164">
      <c r="A66" s="8" t="s">
        <v>212</v>
      </c>
      <c r="B66" s="263" t="s">
        <v>264</v>
      </c>
      <c r="C66" s="19">
        <f t="shared" si="78"/>
        <v>-6.5296666666666781E-2</v>
      </c>
      <c r="D66" s="19">
        <f t="shared" si="71"/>
        <v>-1.2999999999999901E-2</v>
      </c>
      <c r="E66" s="19">
        <f t="shared" si="72"/>
        <v>0.16900000000000004</v>
      </c>
      <c r="F66" s="19">
        <f t="shared" si="73"/>
        <v>-0.13650000000000007</v>
      </c>
      <c r="G66" s="19">
        <f t="shared" si="74"/>
        <v>0.14559999999999995</v>
      </c>
      <c r="H66" s="19">
        <f t="shared" si="75"/>
        <v>4.2899999999999938E-2</v>
      </c>
      <c r="I66" s="19">
        <f t="shared" si="76"/>
        <v>2.7300000000000102E-2</v>
      </c>
      <c r="J66" s="19">
        <f t="shared" si="77"/>
        <v>-0.12480000000000002</v>
      </c>
      <c r="K66" s="19">
        <f t="shared" si="44"/>
        <v>-2.6000000000001577E-3</v>
      </c>
      <c r="L66" s="19">
        <f t="shared" si="1"/>
        <v>-1.4299999999999979E-2</v>
      </c>
      <c r="M66" s="19">
        <f t="shared" si="2"/>
        <v>-5.0699999999999967E-2</v>
      </c>
      <c r="N66" s="19">
        <f t="shared" si="3"/>
        <v>4.8100000000000032E-2</v>
      </c>
      <c r="O66" s="19">
        <f t="shared" si="4"/>
        <v>-6.4999999999999503E-3</v>
      </c>
      <c r="P66" s="19">
        <f t="shared" si="5"/>
        <v>-2.6000000000000023E-2</v>
      </c>
      <c r="Q66" s="19">
        <f t="shared" si="5"/>
        <v>0</v>
      </c>
      <c r="R66" s="19">
        <f t="shared" si="6"/>
        <v>-5.2000000000000046E-2</v>
      </c>
      <c r="S66" s="19">
        <f t="shared" si="7"/>
        <v>0</v>
      </c>
      <c r="T66" s="19">
        <f t="shared" si="8"/>
        <v>6.5000000000001723E-3</v>
      </c>
      <c r="U66" s="19">
        <f t="shared" si="8"/>
        <v>7.1499999999999897E-2</v>
      </c>
      <c r="V66" s="19">
        <f t="shared" si="8"/>
        <v>-1.5600000000000058E-2</v>
      </c>
      <c r="W66" s="19">
        <f t="shared" si="8"/>
        <v>-2.8599999999999959E-2</v>
      </c>
      <c r="X66" s="19">
        <f t="shared" si="55"/>
        <v>2.8599999999999959E-2</v>
      </c>
      <c r="Y66" s="19">
        <f t="shared" si="55"/>
        <v>0</v>
      </c>
      <c r="Z66" s="19">
        <f t="shared" si="9"/>
        <v>9.099999999999886E-3</v>
      </c>
      <c r="AA66" s="19">
        <f t="shared" si="10"/>
        <v>0</v>
      </c>
      <c r="AB66" s="19">
        <f t="shared" si="10"/>
        <v>-3.8999999999997925E-3</v>
      </c>
      <c r="AC66" s="19">
        <f t="shared" si="10"/>
        <v>3.8999999999997925E-3</v>
      </c>
      <c r="AD66" s="19">
        <f>+DH66-DI66</f>
        <v>1.4950000000000241E-2</v>
      </c>
      <c r="AE66" s="19">
        <f>+DI66-DJ66</f>
        <v>-6.8249999999999922E-2</v>
      </c>
      <c r="AF66" s="19">
        <f>+DJ66-DK66</f>
        <v>2.4699999999999722E-2</v>
      </c>
      <c r="AG66" s="19">
        <f t="shared" si="12"/>
        <v>4.1600000000000081E-2</v>
      </c>
      <c r="AH66" s="19">
        <f t="shared" si="13"/>
        <v>-2.3399999999999865E-2</v>
      </c>
      <c r="AI66" s="19">
        <f t="shared" si="14"/>
        <v>-7.8000000000000291E-3</v>
      </c>
      <c r="AJ66" s="19">
        <f t="shared" si="15"/>
        <v>-3.379999999999983E-2</v>
      </c>
      <c r="AK66" s="19">
        <f t="shared" si="16"/>
        <v>5.1999999999999602E-2</v>
      </c>
      <c r="AL66" s="19">
        <f t="shared" si="16"/>
        <v>-5.1999999999999602E-2</v>
      </c>
      <c r="AM66" s="19">
        <f t="shared" si="17"/>
        <v>1.8199999999999772E-2</v>
      </c>
      <c r="AN66" s="19">
        <f t="shared" si="18"/>
        <v>-8.580000000000032E-3</v>
      </c>
      <c r="AO66" s="19">
        <f t="shared" si="19"/>
        <v>-1.6119999999999912E-2</v>
      </c>
      <c r="AP66" s="19">
        <f t="shared" si="20"/>
        <v>-1.6899999999999915E-2</v>
      </c>
      <c r="AQ66" s="19">
        <f t="shared" si="20"/>
        <v>-1.3000000000000123E-2</v>
      </c>
      <c r="AR66" s="19">
        <f t="shared" si="20"/>
        <v>9.099999999999886E-3</v>
      </c>
      <c r="AS66" s="19">
        <f t="shared" si="21"/>
        <v>5.2000000000000934E-3</v>
      </c>
      <c r="AT66" s="19">
        <f t="shared" si="22"/>
        <v>2.5999999999999357E-3</v>
      </c>
      <c r="AU66" s="60"/>
      <c r="AV66" s="19">
        <f t="shared" si="23"/>
        <v>1.0400000000000187E-2</v>
      </c>
      <c r="AW66" s="19">
        <f t="shared" si="24"/>
        <v>-2.079999999999993E-2</v>
      </c>
      <c r="AX66" s="19">
        <f t="shared" si="25"/>
        <v>4.1599999999999859E-2</v>
      </c>
      <c r="AY66" s="19">
        <f t="shared" si="26"/>
        <v>1.9499999999999851E-2</v>
      </c>
      <c r="AZ66" s="19">
        <f t="shared" si="27"/>
        <v>-1.5600000000000058E-2</v>
      </c>
      <c r="BA66" s="19">
        <f t="shared" si="28"/>
        <v>-9.099999999999886E-3</v>
      </c>
      <c r="BB66" s="19">
        <f t="shared" si="61"/>
        <v>1.3000000000000123E-2</v>
      </c>
      <c r="BC66" s="19">
        <f t="shared" si="30"/>
        <v>3.5099999999999909E-2</v>
      </c>
      <c r="BD66" s="19">
        <f t="shared" si="31"/>
        <v>-4.1600000000000081E-2</v>
      </c>
      <c r="BE66" s="19">
        <f t="shared" si="32"/>
        <v>-2.9899999999999816E-2</v>
      </c>
      <c r="BF66" s="19">
        <f t="shared" si="33"/>
        <v>-1.9500000000000073E-2</v>
      </c>
      <c r="BG66" s="19">
        <f t="shared" si="33"/>
        <v>-3.9000000000000146E-3</v>
      </c>
      <c r="BH66" s="19">
        <f t="shared" si="56"/>
        <v>3.3800000000000052E-2</v>
      </c>
      <c r="BI66" s="19">
        <f t="shared" si="57"/>
        <v>1.5599999999999836E-2</v>
      </c>
      <c r="BJ66" s="19">
        <f t="shared" si="35"/>
        <v>2.8599999999999959E-2</v>
      </c>
      <c r="BK66" s="19">
        <f t="shared" si="36"/>
        <v>-3.8999999999997925E-3</v>
      </c>
      <c r="BL66" s="19">
        <f t="shared" si="45"/>
        <v>-1.0400000000000187E-2</v>
      </c>
      <c r="BM66" s="19">
        <f t="shared" si="45"/>
        <v>0</v>
      </c>
      <c r="BN66" s="19">
        <f t="shared" si="45"/>
        <v>1.3000000000000789E-3</v>
      </c>
      <c r="BO66" s="19">
        <f t="shared" si="45"/>
        <v>3.1200000000000117E-2</v>
      </c>
      <c r="BP66" s="19">
        <f t="shared" si="58"/>
        <v>2.4699999999999944E-2</v>
      </c>
      <c r="BQ66" s="19">
        <f t="shared" si="58"/>
        <v>-2.8600000000000181E-2</v>
      </c>
      <c r="BR66" s="19">
        <f t="shared" si="58"/>
        <v>-1.1699999999999822E-2</v>
      </c>
      <c r="BS66" s="19">
        <f t="shared" si="38"/>
        <v>-5.7199999999999918E-2</v>
      </c>
      <c r="BT66" s="19">
        <f t="shared" si="46"/>
        <v>5.3299999999999903E-2</v>
      </c>
      <c r="BU66" s="19">
        <f t="shared" si="59"/>
        <v>5.2000000000000934E-3</v>
      </c>
      <c r="BV66" s="19">
        <f t="shared" si="60"/>
        <v>-1.4299999999999979E-2</v>
      </c>
      <c r="BW66" s="19">
        <f t="shared" si="40"/>
        <v>-5.2000000000003155E-3</v>
      </c>
      <c r="BX66" s="19">
        <f t="shared" si="41"/>
        <v>2.0800000000000152E-2</v>
      </c>
      <c r="BY66" s="19">
        <f t="shared" si="41"/>
        <v>7.8000000000000291E-3</v>
      </c>
      <c r="BZ66" s="19">
        <f t="shared" si="41"/>
        <v>2.2100000000000009E-2</v>
      </c>
      <c r="CA66" s="19">
        <f t="shared" ref="CA66:CD81" si="79">+FD66-FE66</f>
        <v>6.5000000000001723E-3</v>
      </c>
      <c r="CB66" s="19">
        <f t="shared" si="79"/>
        <v>-5.2000000000003155E-3</v>
      </c>
      <c r="CC66" s="19">
        <f t="shared" si="79"/>
        <v>-7.7999999999998071E-3</v>
      </c>
      <c r="CD66" s="19">
        <f t="shared" si="79"/>
        <v>5.2000000000000934E-3</v>
      </c>
      <c r="CE66" s="65"/>
      <c r="CG66" s="20">
        <f t="shared" si="47"/>
        <v>1.6077033333333333</v>
      </c>
      <c r="CH66" s="20">
        <f>PIB!AS18</f>
        <v>1.673</v>
      </c>
      <c r="CI66" s="20">
        <f>PIB!AT18</f>
        <v>1.6859999999999999</v>
      </c>
      <c r="CJ66" s="20">
        <f>PIB!AU18</f>
        <v>1.5169999999999999</v>
      </c>
      <c r="CK66" s="20">
        <f>PIB!AV18</f>
        <v>1.6535</v>
      </c>
      <c r="CL66" s="20">
        <f>PIB!AW18</f>
        <v>1.5079</v>
      </c>
      <c r="CM66" s="20">
        <f>PIB!AX18</f>
        <v>1.4650000000000001</v>
      </c>
      <c r="CN66" s="20">
        <f>PIB!AY18</f>
        <v>1.4377</v>
      </c>
      <c r="CO66" s="20">
        <f>PIB!AZ18</f>
        <v>1.5625</v>
      </c>
      <c r="CP66" s="20">
        <f>PIB!BA18</f>
        <v>1.5651000000000002</v>
      </c>
      <c r="CQ66" s="20">
        <f>PIB!BB18</f>
        <v>1.5794000000000001</v>
      </c>
      <c r="CR66" s="20">
        <f>PIB!BC18</f>
        <v>1.6301000000000001</v>
      </c>
      <c r="CS66" s="20">
        <f>PIB!BD18</f>
        <v>1.5820000000000001</v>
      </c>
      <c r="CT66" s="20">
        <f>PIB!BE18</f>
        <v>1.5885</v>
      </c>
      <c r="CU66" s="20">
        <f>PIB!BF18</f>
        <v>1.6145</v>
      </c>
      <c r="CV66" s="20">
        <f>PIB!BG18</f>
        <v>1.6145</v>
      </c>
      <c r="CW66" s="20">
        <f>PIB!BH18</f>
        <v>1.6665000000000001</v>
      </c>
      <c r="CX66" s="20">
        <f>PIB!BI18</f>
        <v>1.6665000000000001</v>
      </c>
      <c r="CY66" s="20">
        <f>PIB!BJ18</f>
        <v>1.66</v>
      </c>
      <c r="CZ66" s="20">
        <f>PIB!BK18</f>
        <v>1.5885</v>
      </c>
      <c r="DA66" s="20">
        <f>PIB!BL18</f>
        <v>1.6041000000000001</v>
      </c>
      <c r="DB66" s="20">
        <f>PIB!BM18</f>
        <v>1.6327</v>
      </c>
      <c r="DC66" s="20">
        <f>PIB!BN18</f>
        <v>1.6041000000000001</v>
      </c>
      <c r="DD66" s="20">
        <f>PIB!BO18</f>
        <v>1.6041000000000001</v>
      </c>
      <c r="DE66" s="20">
        <f>PIB!BP18</f>
        <v>1.5950000000000002</v>
      </c>
      <c r="DF66" s="20">
        <f>PIB!BQ18</f>
        <v>1.5950000000000002</v>
      </c>
      <c r="DG66" s="20">
        <f>PIB!BR18</f>
        <v>1.5989</v>
      </c>
      <c r="DH66" s="20">
        <f>PIB!BS18</f>
        <v>1.5950000000000002</v>
      </c>
      <c r="DI66" s="20">
        <f>PIB!BT18</f>
        <v>1.58005</v>
      </c>
      <c r="DJ66" s="20">
        <f>PIB!BU18</f>
        <v>1.6482999999999999</v>
      </c>
      <c r="DK66" s="20">
        <f>PIB!BV18</f>
        <v>1.6236000000000002</v>
      </c>
      <c r="DL66" s="20">
        <f>PIB!BW18</f>
        <v>1.5820000000000001</v>
      </c>
      <c r="DM66" s="20">
        <f>PIB!BX18</f>
        <v>1.6053999999999999</v>
      </c>
      <c r="DN66" s="20">
        <f>PIB!BY18</f>
        <v>1.6132</v>
      </c>
      <c r="DO66" s="20">
        <f>PIB!BZ18</f>
        <v>1.6469999999999998</v>
      </c>
      <c r="DP66" s="20">
        <f>PIB!CA18</f>
        <v>1.5950000000000002</v>
      </c>
      <c r="DQ66" s="20">
        <f>PIB!CB18</f>
        <v>1.6469999999999998</v>
      </c>
      <c r="DR66" s="20">
        <f>PIB!CC18</f>
        <v>1.6288</v>
      </c>
      <c r="DS66" s="20">
        <f>PIB!CD18</f>
        <v>1.6373800000000001</v>
      </c>
      <c r="DT66" s="20">
        <f>PIB!CE18</f>
        <v>1.6535</v>
      </c>
      <c r="DU66" s="20">
        <f>PIB!CF18</f>
        <v>1.6703999999999999</v>
      </c>
      <c r="DV66" s="20">
        <f>PIB!CG18</f>
        <v>1.6834</v>
      </c>
      <c r="DW66" s="20">
        <f>PIB!CH18</f>
        <v>1.6743000000000001</v>
      </c>
      <c r="DX66" s="20">
        <f>PIB!CI18</f>
        <v>1.6691</v>
      </c>
      <c r="DY66" s="20">
        <f>PIB!CJ18</f>
        <v>1.6665000000000001</v>
      </c>
      <c r="DZ66" s="20">
        <f>PIB!CK18</f>
        <v>1.6560999999999999</v>
      </c>
      <c r="EA66" s="20">
        <f>PIB!CL18</f>
        <v>1.6768999999999998</v>
      </c>
      <c r="EB66" s="20">
        <f>PIB!CM18</f>
        <v>1.6353</v>
      </c>
      <c r="EC66" s="20">
        <f>PIB!CN18</f>
        <v>1.6158000000000001</v>
      </c>
      <c r="ED66" s="20">
        <f>PIB!CO18</f>
        <v>1.6314000000000002</v>
      </c>
      <c r="EE66" s="20">
        <f>PIB!CP18</f>
        <v>1.6405000000000001</v>
      </c>
      <c r="EF66" s="20">
        <f>PIB!CQ18</f>
        <v>1.6274999999999999</v>
      </c>
      <c r="EG66" s="20">
        <f>PIB!CR18</f>
        <v>1.5924</v>
      </c>
      <c r="EH66" s="20">
        <f>PIB!CS18</f>
        <v>1.6340000000000001</v>
      </c>
      <c r="EI66" s="20">
        <f>PIB!CT18</f>
        <v>1.6638999999999999</v>
      </c>
      <c r="EJ66" s="20">
        <f>PIB!CU18</f>
        <v>1.6834</v>
      </c>
      <c r="EK66" s="20">
        <f>PIB!CV18</f>
        <v>1.6873</v>
      </c>
      <c r="EL66" s="20">
        <f>PIB!CW18</f>
        <v>1.6535</v>
      </c>
      <c r="EM66" s="20">
        <f>PIB!CX18</f>
        <v>1.6379000000000001</v>
      </c>
      <c r="EN66" s="20">
        <f>PIB!CY18</f>
        <v>1.6093000000000002</v>
      </c>
      <c r="EO66" s="20">
        <f>PIB!CZ18</f>
        <v>1.6132</v>
      </c>
      <c r="EP66" s="20">
        <f>PIB!DA18</f>
        <v>1.6236000000000002</v>
      </c>
      <c r="EQ66" s="20">
        <f>PIB!DB18</f>
        <v>1.6236000000000002</v>
      </c>
      <c r="ER66" s="20">
        <f>PIB!DC18</f>
        <v>1.6223000000000001</v>
      </c>
      <c r="ES66" s="20">
        <f>PIB!DD18</f>
        <v>1.5911</v>
      </c>
      <c r="ET66" s="20">
        <f>PIB!DE18</f>
        <v>1.5664</v>
      </c>
      <c r="EU66" s="20">
        <f>PIB!DF18</f>
        <v>1.5950000000000002</v>
      </c>
      <c r="EV66" s="20">
        <f>PIB!DG18</f>
        <v>1.6067</v>
      </c>
      <c r="EW66" s="20">
        <f>PIB!DH18</f>
        <v>1.6638999999999999</v>
      </c>
      <c r="EX66" s="20">
        <f>PIB!DI18</f>
        <v>1.6106</v>
      </c>
      <c r="EY66" s="20">
        <f>PIB!DJ18</f>
        <v>1.6053999999999999</v>
      </c>
      <c r="EZ66" s="20">
        <f>PIB!DK18</f>
        <v>1.6196999999999999</v>
      </c>
      <c r="FA66" s="20">
        <f>PIB!DL18</f>
        <v>1.6249000000000002</v>
      </c>
      <c r="FB66" s="20">
        <f>PIB!DM18</f>
        <v>1.6041000000000001</v>
      </c>
      <c r="FC66" s="20">
        <f>PIB!DN18</f>
        <v>1.5963000000000001</v>
      </c>
      <c r="FD66" s="20">
        <f>PIB!DO18</f>
        <v>1.5742</v>
      </c>
      <c r="FE66" s="20">
        <f>PIB!DP18</f>
        <v>1.5676999999999999</v>
      </c>
      <c r="FF66" s="20">
        <f>PIB!DQ18</f>
        <v>1.5729000000000002</v>
      </c>
      <c r="FG66" s="20">
        <f>PIB!DR18</f>
        <v>1.5807</v>
      </c>
      <c r="FH66" s="20">
        <f>PIB!DS18</f>
        <v>1.5754999999999999</v>
      </c>
    </row>
    <row r="67" spans="1:164" ht="15">
      <c r="A67" s="8" t="s">
        <v>248</v>
      </c>
      <c r="B67" s="45" t="s">
        <v>265</v>
      </c>
      <c r="C67" s="19">
        <f t="shared" si="78"/>
        <v>-4.8895000000000355E-2</v>
      </c>
      <c r="D67" s="19">
        <f t="shared" si="71"/>
        <v>-1.4469000000000065E-2</v>
      </c>
      <c r="E67" s="19">
        <f t="shared" si="72"/>
        <v>-7.8119999999999745E-2</v>
      </c>
      <c r="F67" s="19">
        <f t="shared" si="73"/>
        <v>0.10995599999999972</v>
      </c>
      <c r="G67" s="19">
        <f t="shared" si="74"/>
        <v>9.5486999999999878E-2</v>
      </c>
      <c r="H67" s="19">
        <f t="shared" si="75"/>
        <v>1.157100000000022E-2</v>
      </c>
      <c r="I67" s="19">
        <f t="shared" si="76"/>
        <v>0</v>
      </c>
      <c r="J67" s="19">
        <f t="shared" si="77"/>
        <v>0</v>
      </c>
      <c r="K67" s="19">
        <f t="shared" si="44"/>
        <v>0</v>
      </c>
      <c r="L67" s="19">
        <f t="shared" ref="L67:L77" si="80">+CP67-CQ67</f>
        <v>0</v>
      </c>
      <c r="M67" s="19">
        <f t="shared" ref="M67:M77" si="81">+CQ67-CR67</f>
        <v>-5.209050000000004E-2</v>
      </c>
      <c r="N67" s="19">
        <f t="shared" ref="N67:N77" si="82">+CR67-CS67</f>
        <v>0</v>
      </c>
      <c r="O67" s="19">
        <f t="shared" ref="O67:O77" si="83">+CS67-CT67</f>
        <v>0</v>
      </c>
      <c r="P67" s="19">
        <f t="shared" ref="P67:P77" si="84">+CT67-CU67</f>
        <v>0</v>
      </c>
      <c r="Q67" s="19">
        <f t="shared" ref="Q67:Q77" si="85">+CU67-CV67</f>
        <v>-6.3651000000000124E-2</v>
      </c>
      <c r="R67" s="19">
        <f t="shared" ref="R67:R77" si="86">+CV67-CW67</f>
        <v>0</v>
      </c>
      <c r="S67" s="19">
        <f t="shared" ref="S67:S77" si="87">+CW67-CX67</f>
        <v>0</v>
      </c>
      <c r="T67" s="19">
        <f t="shared" ref="T67:Y77" si="88">+CX67-CY67</f>
        <v>0</v>
      </c>
      <c r="U67" s="19">
        <f t="shared" si="88"/>
        <v>0</v>
      </c>
      <c r="V67" s="19">
        <f t="shared" si="88"/>
        <v>0</v>
      </c>
      <c r="W67" s="19">
        <f t="shared" si="88"/>
        <v>0</v>
      </c>
      <c r="X67" s="19">
        <f t="shared" si="88"/>
        <v>-1.4468999999999843E-2</v>
      </c>
      <c r="Y67" s="19">
        <f t="shared" si="88"/>
        <v>0</v>
      </c>
      <c r="Z67" s="19">
        <f t="shared" ref="Z67:Z78" si="89">+DD67-DE67</f>
        <v>0</v>
      </c>
      <c r="AA67" s="19">
        <f t="shared" ref="AA67:AF78" si="90">+DE67-DF67</f>
        <v>0</v>
      </c>
      <c r="AB67" s="19">
        <f t="shared" si="90"/>
        <v>0</v>
      </c>
      <c r="AC67" s="19">
        <f t="shared" si="90"/>
        <v>2.8937999999999908E-2</v>
      </c>
      <c r="AD67" s="19">
        <f t="shared" si="90"/>
        <v>0</v>
      </c>
      <c r="AE67" s="19">
        <f t="shared" si="90"/>
        <v>0</v>
      </c>
      <c r="AF67" s="19">
        <f t="shared" si="90"/>
        <v>5.7865500000000125E-2</v>
      </c>
      <c r="AG67" s="19">
        <f t="shared" ref="AG67:AG83" si="91">+DK67-DL67</f>
        <v>0</v>
      </c>
      <c r="AH67" s="19">
        <f t="shared" ref="AH67:AH83" si="92">+DL67-DM67</f>
        <v>0</v>
      </c>
      <c r="AI67" s="19">
        <f t="shared" ref="AI67:AI83" si="93">+DM67-DN67</f>
        <v>0</v>
      </c>
      <c r="AJ67" s="19">
        <f t="shared" ref="AJ67:AJ83" si="94">+DN67-DO67</f>
        <v>-4.6294499999999905E-2</v>
      </c>
      <c r="AK67" s="19">
        <f t="shared" ref="AK67:AL83" si="95">+DO67-DP67</f>
        <v>0</v>
      </c>
      <c r="AL67" s="19">
        <f t="shared" si="95"/>
        <v>0</v>
      </c>
      <c r="AM67" s="19">
        <f t="shared" ref="AM67:AM84" si="96">+DQ67-DR67</f>
        <v>0</v>
      </c>
      <c r="AN67" s="19">
        <f t="shared" ref="AN67:AN84" si="97">+DR67-DS67</f>
        <v>0</v>
      </c>
      <c r="AO67" s="19">
        <f t="shared" ref="AO67:AO84" si="98">+DS67-DT67</f>
        <v>3.4723499999999907E-2</v>
      </c>
      <c r="AP67" s="19">
        <f t="shared" ref="AP67:AR84" si="99">+DT67-DU67</f>
        <v>0</v>
      </c>
      <c r="AQ67" s="19">
        <f t="shared" si="99"/>
        <v>0</v>
      </c>
      <c r="AR67" s="19">
        <f t="shared" si="99"/>
        <v>-1.1570999999999998E-2</v>
      </c>
      <c r="AS67" s="19">
        <f t="shared" ref="AS67:AS89" si="100">+DW67-DX67</f>
        <v>0</v>
      </c>
      <c r="AT67" s="19">
        <f t="shared" ref="AT67:AT89" si="101">+DX67-DY67</f>
        <v>0</v>
      </c>
      <c r="AU67" s="60" t="s">
        <v>40</v>
      </c>
      <c r="AV67" s="19">
        <f t="shared" ref="AV67:AV89" si="102">+DY67-DZ67</f>
        <v>0</v>
      </c>
      <c r="AW67" s="19">
        <f t="shared" ref="AW67:AW89" si="103">+DZ67-EA67</f>
        <v>-1.736699999999991E-2</v>
      </c>
      <c r="AX67" s="19">
        <f t="shared" ref="AX67:AX89" si="104">+EA67-EB67</f>
        <v>0</v>
      </c>
      <c r="AY67" s="19">
        <f t="shared" ref="AY67:AY89" si="105">+EB67-EC67</f>
        <v>0</v>
      </c>
      <c r="AZ67" s="19">
        <f t="shared" ref="AZ67:BA89" si="106">+EC67-ED67</f>
        <v>0</v>
      </c>
      <c r="BA67" s="19">
        <f t="shared" si="106"/>
        <v>0</v>
      </c>
      <c r="BB67" s="19">
        <f t="shared" ref="BB67:BB92" si="107">+EE67-EF67</f>
        <v>0</v>
      </c>
      <c r="BC67" s="19">
        <f t="shared" ref="BC67:BC89" si="108">+EF67-EG67</f>
        <v>-4.339650000000006E-2</v>
      </c>
      <c r="BD67" s="19">
        <f t="shared" ref="BD67:BD92" si="109">+EG67-EH67</f>
        <v>0</v>
      </c>
      <c r="BE67" s="19">
        <f t="shared" ref="BE67:BE92" si="110">+EH67-EI67</f>
        <v>0</v>
      </c>
      <c r="BF67" s="19">
        <f t="shared" ref="BF67:BG92" si="111">+EI67-EJ67</f>
        <v>-8.9701499999999879E-2</v>
      </c>
      <c r="BG67" s="19">
        <f t="shared" si="111"/>
        <v>0</v>
      </c>
      <c r="BH67" s="19">
        <f t="shared" si="56"/>
        <v>0</v>
      </c>
      <c r="BI67" s="19">
        <f t="shared" si="57"/>
        <v>0</v>
      </c>
      <c r="BJ67" s="19">
        <f t="shared" ref="BJ67:BJ95" si="112">+EM67-EN67</f>
        <v>0</v>
      </c>
      <c r="BK67" s="19">
        <f t="shared" ref="BK67:BO98" si="113">+EN67-EO67</f>
        <v>-2.3131500000000305E-2</v>
      </c>
      <c r="BL67" s="19">
        <f t="shared" si="45"/>
        <v>0</v>
      </c>
      <c r="BM67" s="19">
        <f t="shared" si="45"/>
        <v>0</v>
      </c>
      <c r="BN67" s="19">
        <f t="shared" si="45"/>
        <v>0</v>
      </c>
      <c r="BO67" s="19">
        <f>+ER67-ES67</f>
        <v>-8.7045000000001149E-3</v>
      </c>
      <c r="BP67" s="19">
        <f t="shared" si="58"/>
        <v>0</v>
      </c>
      <c r="BQ67" s="19">
        <f t="shared" si="58"/>
        <v>0</v>
      </c>
      <c r="BR67" s="19">
        <f t="shared" si="58"/>
        <v>0</v>
      </c>
      <c r="BS67" s="19">
        <f t="shared" ref="BS67:BT125" si="114">+EV67-EW67</f>
        <v>8.6835000000002882E-3</v>
      </c>
      <c r="BT67" s="19">
        <f t="shared" si="46"/>
        <v>0</v>
      </c>
      <c r="BU67" s="19">
        <f t="shared" si="59"/>
        <v>0.1276275</v>
      </c>
      <c r="BV67" s="19">
        <f t="shared" si="60"/>
        <v>0</v>
      </c>
      <c r="BW67" s="19">
        <f t="shared" ref="BW67:BW125" si="115">+EZ67-FA67</f>
        <v>0</v>
      </c>
      <c r="BX67" s="19">
        <f t="shared" ref="BX67:CB125" si="116">+FA67-FB67</f>
        <v>0</v>
      </c>
      <c r="BY67" s="19">
        <f t="shared" si="116"/>
        <v>0</v>
      </c>
      <c r="BZ67" s="19">
        <f t="shared" si="116"/>
        <v>-6.9751500000000188E-2</v>
      </c>
      <c r="CA67" s="19">
        <f t="shared" si="116"/>
        <v>0</v>
      </c>
      <c r="CB67" s="19">
        <f t="shared" si="116"/>
        <v>0</v>
      </c>
      <c r="CC67" s="19">
        <f t="shared" si="79"/>
        <v>-5.2300500000000083E-2</v>
      </c>
      <c r="CD67" s="19">
        <f t="shared" si="79"/>
        <v>0</v>
      </c>
      <c r="CE67" s="65"/>
      <c r="CG67" s="20">
        <f t="shared" si="47"/>
        <v>1.8287944999999997</v>
      </c>
      <c r="CH67" s="20">
        <f>'1-Decene'!AS18</f>
        <v>1.8776895</v>
      </c>
      <c r="CI67" s="20">
        <f>'1-Decene'!AT18</f>
        <v>1.8921585000000001</v>
      </c>
      <c r="CJ67" s="20">
        <f>'1-Decene'!AU18</f>
        <v>1.9702784999999998</v>
      </c>
      <c r="CK67" s="20">
        <f>'1-Decene'!AV18</f>
        <v>1.8603225000000001</v>
      </c>
      <c r="CL67" s="20">
        <f>'1-Decene'!AW18</f>
        <v>1.7648355000000002</v>
      </c>
      <c r="CM67" s="20">
        <f>'1-Decene'!AX18</f>
        <v>1.7532645</v>
      </c>
      <c r="CN67" s="20">
        <f>'1-Decene'!AY18</f>
        <v>1.7532645</v>
      </c>
      <c r="CO67" s="20">
        <f>'1-Decene'!AZ18</f>
        <v>1.7532645</v>
      </c>
      <c r="CP67" s="20">
        <f>'1-Decene'!BA18</f>
        <v>1.7532645</v>
      </c>
      <c r="CQ67" s="20">
        <f>'1-Decene'!BB18</f>
        <v>1.7532645</v>
      </c>
      <c r="CR67" s="20">
        <f>'1-Decene'!BC18</f>
        <v>1.805355</v>
      </c>
      <c r="CS67" s="20">
        <f>'1-Decene'!BD18</f>
        <v>1.805355</v>
      </c>
      <c r="CT67" s="20">
        <f>'1-Decene'!BE18</f>
        <v>1.805355</v>
      </c>
      <c r="CU67" s="20">
        <f>'1-Decene'!BF18</f>
        <v>1.805355</v>
      </c>
      <c r="CV67" s="20">
        <f>'1-Decene'!BG18</f>
        <v>1.8690060000000002</v>
      </c>
      <c r="CW67" s="20">
        <f>'1-Decene'!BH18</f>
        <v>1.8690060000000002</v>
      </c>
      <c r="CX67" s="20">
        <f>'1-Decene'!BI18</f>
        <v>1.8690060000000002</v>
      </c>
      <c r="CY67" s="20">
        <f>'1-Decene'!BJ18</f>
        <v>1.8690060000000002</v>
      </c>
      <c r="CZ67" s="20">
        <f>'1-Decene'!BK18</f>
        <v>1.8690060000000002</v>
      </c>
      <c r="DA67" s="20">
        <f>'1-Decene'!BL18</f>
        <v>1.8690060000000002</v>
      </c>
      <c r="DB67" s="20">
        <f>'1-Decene'!BM18</f>
        <v>1.8690060000000002</v>
      </c>
      <c r="DC67" s="20">
        <f>'1-Decene'!BN18</f>
        <v>1.883475</v>
      </c>
      <c r="DD67" s="20">
        <f>'1-Decene'!BO18</f>
        <v>1.883475</v>
      </c>
      <c r="DE67" s="20">
        <f>'1-Decene'!BP18</f>
        <v>1.883475</v>
      </c>
      <c r="DF67" s="20">
        <f>'1-Decene'!BQ18</f>
        <v>1.883475</v>
      </c>
      <c r="DG67" s="20">
        <f>'1-Decene'!BR18</f>
        <v>1.883475</v>
      </c>
      <c r="DH67" s="20">
        <f>'1-Decene'!BS18</f>
        <v>1.8545370000000001</v>
      </c>
      <c r="DI67" s="20">
        <f>'1-Decene'!BT18</f>
        <v>1.8545370000000001</v>
      </c>
      <c r="DJ67" s="20">
        <f>'1-Decene'!BU18</f>
        <v>1.8545370000000001</v>
      </c>
      <c r="DK67" s="20">
        <f>'1-Decene'!BV18</f>
        <v>1.7966715</v>
      </c>
      <c r="DL67" s="20">
        <f>'1-Decene'!BW18</f>
        <v>1.7966715</v>
      </c>
      <c r="DM67" s="20">
        <f>'1-Decene'!BX18</f>
        <v>1.7966715</v>
      </c>
      <c r="DN67" s="20">
        <f>'1-Decene'!BY18</f>
        <v>1.7966715</v>
      </c>
      <c r="DO67" s="20">
        <f>'1-Decene'!BZ18</f>
        <v>1.8429659999999999</v>
      </c>
      <c r="DP67" s="20">
        <f>'1-Decene'!CA18</f>
        <v>1.8429659999999999</v>
      </c>
      <c r="DQ67" s="20">
        <f>'1-Decene'!CB18</f>
        <v>1.8429659999999999</v>
      </c>
      <c r="DR67" s="20">
        <f>'1-Decene'!CC18</f>
        <v>1.8429659999999999</v>
      </c>
      <c r="DS67" s="20">
        <f>'1-Decene'!CD18</f>
        <v>1.8429659999999999</v>
      </c>
      <c r="DT67" s="20">
        <f>'1-Decene'!CE18</f>
        <v>1.8082425</v>
      </c>
      <c r="DU67" s="20">
        <f>'1-Decene'!CF18</f>
        <v>1.8082425</v>
      </c>
      <c r="DV67" s="20">
        <f>'1-Decene'!CG18</f>
        <v>1.8082425</v>
      </c>
      <c r="DW67" s="20">
        <f>'1-Decene'!CH18</f>
        <v>1.8198135</v>
      </c>
      <c r="DX67" s="20">
        <f>'1-Decene'!CI18</f>
        <v>1.8198135</v>
      </c>
      <c r="DY67" s="20">
        <f>'1-Decene'!CJ18</f>
        <v>1.8198135</v>
      </c>
      <c r="DZ67" s="20">
        <f>'1-Decene'!CK18</f>
        <v>1.8198135</v>
      </c>
      <c r="EA67" s="20">
        <f>'1-Decene'!CL18</f>
        <v>1.8371804999999999</v>
      </c>
      <c r="EB67" s="20">
        <f>'1-Decene'!CM18</f>
        <v>1.8371804999999999</v>
      </c>
      <c r="EC67" s="20">
        <f>'1-Decene'!CN18</f>
        <v>1.8371804999999999</v>
      </c>
      <c r="ED67" s="20">
        <f>'1-Decene'!CO18</f>
        <v>1.8371804999999999</v>
      </c>
      <c r="EE67" s="20">
        <f>'1-Decene'!CP18</f>
        <v>1.8371804999999999</v>
      </c>
      <c r="EF67" s="20">
        <f>'1-Decene'!CQ18</f>
        <v>1.8371804999999999</v>
      </c>
      <c r="EG67" s="20">
        <f>'1-Decene'!CR18</f>
        <v>1.8805769999999999</v>
      </c>
      <c r="EH67" s="20">
        <f>'1-Decene'!CS18</f>
        <v>1.8805769999999999</v>
      </c>
      <c r="EI67" s="20">
        <f>'1-Decene'!CT18</f>
        <v>1.8805769999999999</v>
      </c>
      <c r="EJ67" s="20">
        <f>'1-Decene'!CU18</f>
        <v>1.9702784999999998</v>
      </c>
      <c r="EK67" s="20">
        <f>'1-Decene'!CV18</f>
        <v>1.9702784999999998</v>
      </c>
      <c r="EL67" s="20">
        <f>'1-Decene'!CW18</f>
        <v>1.9702784999999998</v>
      </c>
      <c r="EM67" s="20">
        <f>'1-Decene'!CX18</f>
        <v>1.9702784999999998</v>
      </c>
      <c r="EN67" s="20">
        <f>'1-Decene'!CY18</f>
        <v>1.9702784999999998</v>
      </c>
      <c r="EO67" s="20">
        <f>'1-Decene'!CZ18</f>
        <v>1.9934100000000001</v>
      </c>
      <c r="EP67" s="20">
        <f>'1-Decene'!DA18</f>
        <v>1.9934100000000001</v>
      </c>
      <c r="EQ67" s="20">
        <f>'1-Decene'!DB18</f>
        <v>1.9934100000000001</v>
      </c>
      <c r="ER67" s="20">
        <f>'1-Decene'!DC18</f>
        <v>1.9934100000000001</v>
      </c>
      <c r="ES67" s="20">
        <f>'1-Decene'!DD18</f>
        <v>2.0021145000000002</v>
      </c>
      <c r="ET67" s="20">
        <f>'1-Decene'!DE18</f>
        <v>2.0021145000000002</v>
      </c>
      <c r="EU67" s="20">
        <f>'1-Decene'!DF18</f>
        <v>2.0021145000000002</v>
      </c>
      <c r="EV67" s="20">
        <f>'1-Decene'!DG18</f>
        <v>2.0021145000000002</v>
      </c>
      <c r="EW67" s="20">
        <f>'1-Decene'!DH18</f>
        <v>1.993431</v>
      </c>
      <c r="EX67" s="20">
        <f>'1-Decene'!DI18</f>
        <v>1.993431</v>
      </c>
      <c r="EY67" s="20">
        <f>'1-Decene'!DJ18</f>
        <v>1.8658034999999999</v>
      </c>
      <c r="EZ67" s="20">
        <f>'1-Decene'!DK18</f>
        <v>1.8658034999999999</v>
      </c>
      <c r="FA67" s="20">
        <f>'1-Decene'!DL18</f>
        <v>1.8658034999999999</v>
      </c>
      <c r="FB67" s="20">
        <f>'1-Decene'!DM18</f>
        <v>1.8658034999999999</v>
      </c>
      <c r="FC67" s="20">
        <f>'1-Decene'!DN18</f>
        <v>1.8658034999999999</v>
      </c>
      <c r="FD67" s="20">
        <f>'1-Decene'!DO18</f>
        <v>1.9355550000000001</v>
      </c>
      <c r="FE67" s="20">
        <f>'1-Decene'!DP18</f>
        <v>1.9355550000000001</v>
      </c>
      <c r="FF67" s="20">
        <f>'1-Decene'!DQ18</f>
        <v>1.9355550000000001</v>
      </c>
      <c r="FG67" s="20">
        <f>'1-Decene'!DR18</f>
        <v>1.9878555000000002</v>
      </c>
      <c r="FH67" s="20">
        <f>'1-Decene'!DS18</f>
        <v>1.9878555000000002</v>
      </c>
    </row>
    <row r="68" spans="1:164">
      <c r="A68" s="8" t="s">
        <v>203</v>
      </c>
      <c r="B68" s="263" t="s">
        <v>297</v>
      </c>
      <c r="C68" s="19">
        <f t="shared" si="78"/>
        <v>8.3589743589743248E-2</v>
      </c>
      <c r="D68" s="19">
        <f t="shared" si="71"/>
        <v>-7.6249999999999929E-2</v>
      </c>
      <c r="E68" s="19">
        <f t="shared" si="72"/>
        <v>-0.11375000000000002</v>
      </c>
      <c r="F68" s="19">
        <f t="shared" si="73"/>
        <v>-2.0000000000000018E-2</v>
      </c>
      <c r="G68" s="19">
        <f t="shared" si="74"/>
        <v>5.4999999999999938E-2</v>
      </c>
      <c r="H68" s="19">
        <f t="shared" si="75"/>
        <v>2.0000000000000018E-2</v>
      </c>
      <c r="I68" s="19">
        <f t="shared" si="76"/>
        <v>0</v>
      </c>
      <c r="J68" s="19">
        <f t="shared" si="77"/>
        <v>0</v>
      </c>
      <c r="K68" s="19">
        <f t="shared" ref="K68:K77" si="117">+CO68-CP68</f>
        <v>5.0000000000000044E-2</v>
      </c>
      <c r="L68" s="19">
        <f t="shared" si="80"/>
        <v>0</v>
      </c>
      <c r="M68" s="19">
        <f t="shared" si="81"/>
        <v>0.125</v>
      </c>
      <c r="N68" s="19">
        <f t="shared" si="82"/>
        <v>0</v>
      </c>
      <c r="O68" s="19">
        <f t="shared" si="83"/>
        <v>0</v>
      </c>
      <c r="P68" s="19">
        <f t="shared" si="84"/>
        <v>0</v>
      </c>
      <c r="Q68" s="19">
        <f t="shared" si="85"/>
        <v>-2.4999999999999911E-2</v>
      </c>
      <c r="R68" s="19">
        <f t="shared" si="86"/>
        <v>0</v>
      </c>
      <c r="S68" s="19">
        <f t="shared" si="87"/>
        <v>-0.20000000000000018</v>
      </c>
      <c r="T68" s="19">
        <f t="shared" si="88"/>
        <v>0</v>
      </c>
      <c r="U68" s="19">
        <f t="shared" si="88"/>
        <v>2.5000000000000133E-2</v>
      </c>
      <c r="V68" s="19">
        <f t="shared" si="88"/>
        <v>0</v>
      </c>
      <c r="W68" s="19">
        <f t="shared" si="88"/>
        <v>0</v>
      </c>
      <c r="X68" s="19">
        <f t="shared" si="88"/>
        <v>0</v>
      </c>
      <c r="Y68" s="19">
        <f t="shared" si="88"/>
        <v>0</v>
      </c>
      <c r="Z68" s="19">
        <f t="shared" si="89"/>
        <v>5.0000000000000044E-2</v>
      </c>
      <c r="AA68" s="19">
        <f t="shared" si="90"/>
        <v>0</v>
      </c>
      <c r="AB68" s="19">
        <f t="shared" si="90"/>
        <v>2.4999999999999911E-2</v>
      </c>
      <c r="AC68" s="19">
        <f t="shared" si="90"/>
        <v>0</v>
      </c>
      <c r="AD68" s="19">
        <f t="shared" si="90"/>
        <v>0</v>
      </c>
      <c r="AE68" s="19">
        <f t="shared" si="90"/>
        <v>0</v>
      </c>
      <c r="AF68" s="19">
        <f t="shared" si="90"/>
        <v>0</v>
      </c>
      <c r="AG68" s="19">
        <f t="shared" si="91"/>
        <v>0</v>
      </c>
      <c r="AH68" s="19">
        <f t="shared" si="92"/>
        <v>0</v>
      </c>
      <c r="AI68" s="19">
        <f t="shared" si="93"/>
        <v>0</v>
      </c>
      <c r="AJ68" s="19">
        <f t="shared" si="94"/>
        <v>0</v>
      </c>
      <c r="AK68" s="19">
        <f t="shared" si="95"/>
        <v>0</v>
      </c>
      <c r="AL68" s="19">
        <f t="shared" si="95"/>
        <v>0</v>
      </c>
      <c r="AM68" s="19">
        <f t="shared" si="96"/>
        <v>0</v>
      </c>
      <c r="AN68" s="19">
        <f t="shared" si="97"/>
        <v>7.4999999999999956E-2</v>
      </c>
      <c r="AO68" s="19">
        <f t="shared" si="98"/>
        <v>0</v>
      </c>
      <c r="AP68" s="19">
        <f t="shared" si="99"/>
        <v>0</v>
      </c>
      <c r="AQ68" s="19">
        <f t="shared" si="99"/>
        <v>0</v>
      </c>
      <c r="AR68" s="19">
        <f t="shared" si="99"/>
        <v>-5.0000000000000044E-2</v>
      </c>
      <c r="AS68" s="19">
        <f t="shared" si="100"/>
        <v>0</v>
      </c>
      <c r="AT68" s="19">
        <f t="shared" si="101"/>
        <v>0</v>
      </c>
      <c r="AU68" s="60" t="s">
        <v>40</v>
      </c>
      <c r="AV68" s="19">
        <f t="shared" si="102"/>
        <v>-4.9999999999999822E-2</v>
      </c>
      <c r="AW68" s="19">
        <f t="shared" si="103"/>
        <v>0</v>
      </c>
      <c r="AX68" s="19">
        <f t="shared" si="104"/>
        <v>0</v>
      </c>
      <c r="AY68" s="19">
        <f t="shared" si="105"/>
        <v>0</v>
      </c>
      <c r="AZ68" s="19">
        <f t="shared" si="106"/>
        <v>0</v>
      </c>
      <c r="BA68" s="19">
        <f t="shared" si="106"/>
        <v>0</v>
      </c>
      <c r="BB68" s="19">
        <f t="shared" si="107"/>
        <v>0</v>
      </c>
      <c r="BC68" s="19">
        <f t="shared" si="108"/>
        <v>0</v>
      </c>
      <c r="BD68" s="19">
        <f t="shared" si="109"/>
        <v>4.9999999999999822E-2</v>
      </c>
      <c r="BE68" s="19">
        <f t="shared" si="110"/>
        <v>2.5000000000000133E-2</v>
      </c>
      <c r="BF68" s="19">
        <f t="shared" si="111"/>
        <v>0</v>
      </c>
      <c r="BG68" s="19">
        <f t="shared" si="111"/>
        <v>0</v>
      </c>
      <c r="BH68" s="19">
        <f t="shared" si="56"/>
        <v>0.17499999999999993</v>
      </c>
      <c r="BI68" s="19">
        <f t="shared" si="57"/>
        <v>0</v>
      </c>
      <c r="BJ68" s="19">
        <f t="shared" si="112"/>
        <v>0</v>
      </c>
      <c r="BK68" s="19">
        <f t="shared" si="113"/>
        <v>0</v>
      </c>
      <c r="BL68" s="19">
        <f t="shared" si="113"/>
        <v>0</v>
      </c>
      <c r="BM68" s="19">
        <f t="shared" si="113"/>
        <v>5.0000000000000044E-2</v>
      </c>
      <c r="BN68" s="19">
        <f t="shared" si="113"/>
        <v>0</v>
      </c>
      <c r="BO68" s="19">
        <f t="shared" si="113"/>
        <v>0</v>
      </c>
      <c r="BP68" s="19">
        <f t="shared" si="58"/>
        <v>0</v>
      </c>
      <c r="BQ68" s="19">
        <f t="shared" si="58"/>
        <v>0</v>
      </c>
      <c r="BR68" s="19">
        <f t="shared" si="58"/>
        <v>0</v>
      </c>
      <c r="BS68" s="19">
        <f t="shared" si="114"/>
        <v>0</v>
      </c>
      <c r="BT68" s="19">
        <f t="shared" si="114"/>
        <v>0</v>
      </c>
      <c r="BU68" s="19">
        <f t="shared" si="59"/>
        <v>0</v>
      </c>
      <c r="BV68" s="19">
        <f t="shared" si="60"/>
        <v>0</v>
      </c>
      <c r="BW68" s="19">
        <f t="shared" si="115"/>
        <v>4.9999999999999933E-2</v>
      </c>
      <c r="BX68" s="19">
        <f t="shared" si="116"/>
        <v>0</v>
      </c>
      <c r="BY68" s="19">
        <f t="shared" si="116"/>
        <v>0</v>
      </c>
      <c r="BZ68" s="19">
        <f t="shared" si="116"/>
        <v>0</v>
      </c>
      <c r="CA68" s="19">
        <f t="shared" si="116"/>
        <v>0</v>
      </c>
      <c r="CB68" s="19">
        <f t="shared" si="116"/>
        <v>0</v>
      </c>
      <c r="CC68" s="19">
        <f t="shared" si="79"/>
        <v>0.125</v>
      </c>
      <c r="CD68" s="19">
        <f t="shared" si="79"/>
        <v>0</v>
      </c>
      <c r="CE68" s="65"/>
      <c r="CG68" s="20">
        <f t="shared" ref="CG68:CG125" si="118">AVERAGE(CK68:DW68)</f>
        <v>1.1235897435897433</v>
      </c>
      <c r="CH68" s="20">
        <f>'Input RM sheet'!AP90/1000</f>
        <v>1.04</v>
      </c>
      <c r="CI68" s="20">
        <f>'Input RM sheet'!AQ90/1000</f>
        <v>1.11625</v>
      </c>
      <c r="CJ68" s="20">
        <f>'Input RM sheet'!AR90/1000</f>
        <v>1.23</v>
      </c>
      <c r="CK68" s="20">
        <f>'Input RM sheet'!AS90/1000</f>
        <v>1.25</v>
      </c>
      <c r="CL68" s="20">
        <f>'Input RM sheet'!AT90/1000</f>
        <v>1.1950000000000001</v>
      </c>
      <c r="CM68" s="20">
        <f>'Input RM sheet'!AU90/1000</f>
        <v>1.175</v>
      </c>
      <c r="CN68" s="20">
        <f>'Input RM sheet'!AV90/1000</f>
        <v>1.175</v>
      </c>
      <c r="CO68" s="20">
        <f>'Input RM sheet'!AW90/1000</f>
        <v>1.175</v>
      </c>
      <c r="CP68" s="20">
        <f>'Input RM sheet'!AX90/1000</f>
        <v>1.125</v>
      </c>
      <c r="CQ68" s="20">
        <f>'Input RM sheet'!AY90/1000</f>
        <v>1.125</v>
      </c>
      <c r="CR68" s="20">
        <f>'Input RM sheet'!AZ90/1000</f>
        <v>1</v>
      </c>
      <c r="CS68" s="20">
        <f>'Input RM sheet'!BA90/1000</f>
        <v>1</v>
      </c>
      <c r="CT68" s="20">
        <f>'Input RM sheet'!BB90/1000</f>
        <v>1</v>
      </c>
      <c r="CU68" s="20">
        <f>'Input RM sheet'!BC90/1000</f>
        <v>1</v>
      </c>
      <c r="CV68" s="20">
        <f>'Input RM sheet'!BD90/1000</f>
        <v>1.0249999999999999</v>
      </c>
      <c r="CW68" s="20">
        <f>'Input RM sheet'!BE90/1000</f>
        <v>1.0249999999999999</v>
      </c>
      <c r="CX68" s="20">
        <f>'Input RM sheet'!BF90/1000</f>
        <v>1.2250000000000001</v>
      </c>
      <c r="CY68" s="20">
        <f>'Input RM sheet'!BG90/1000</f>
        <v>1.2250000000000001</v>
      </c>
      <c r="CZ68" s="20">
        <f>'Input RM sheet'!BH90/1000</f>
        <v>1.2</v>
      </c>
      <c r="DA68" s="20">
        <f>'Input RM sheet'!BI90/1000</f>
        <v>1.2</v>
      </c>
      <c r="DB68" s="20">
        <f>'Input RM sheet'!BJ90/1000</f>
        <v>1.2</v>
      </c>
      <c r="DC68" s="20">
        <f>'Input RM sheet'!BK90/1000</f>
        <v>1.2</v>
      </c>
      <c r="DD68" s="20">
        <f>'Input RM sheet'!BL90/1000</f>
        <v>1.2</v>
      </c>
      <c r="DE68" s="20">
        <f>'Input RM sheet'!BM90/1000</f>
        <v>1.1499999999999999</v>
      </c>
      <c r="DF68" s="20">
        <f>'Input RM sheet'!BN90/1000</f>
        <v>1.1499999999999999</v>
      </c>
      <c r="DG68" s="20">
        <f>'Input RM sheet'!BO90/1000</f>
        <v>1.125</v>
      </c>
      <c r="DH68" s="20">
        <f>'Input RM sheet'!BP90/1000</f>
        <v>1.125</v>
      </c>
      <c r="DI68" s="20">
        <f>'Input RM sheet'!BQ90/1000</f>
        <v>1.125</v>
      </c>
      <c r="DJ68" s="20">
        <f>'Input RM sheet'!BR90/1000</f>
        <v>1.125</v>
      </c>
      <c r="DK68" s="20">
        <f>'Input RM sheet'!BS90/1000</f>
        <v>1.125</v>
      </c>
      <c r="DL68" s="20">
        <f>'Input RM sheet'!BT90/1000</f>
        <v>1.125</v>
      </c>
      <c r="DM68" s="20">
        <f>'Input RM sheet'!BU90/1000</f>
        <v>1.125</v>
      </c>
      <c r="DN68" s="20">
        <f>'Input RM sheet'!BV90/1000</f>
        <v>1.125</v>
      </c>
      <c r="DO68" s="20">
        <f>'Input RM sheet'!BW90/1000</f>
        <v>1.125</v>
      </c>
      <c r="DP68" s="20">
        <f>'Input RM sheet'!BX90/1000</f>
        <v>1.125</v>
      </c>
      <c r="DQ68" s="20">
        <f>'Input RM sheet'!BY90/1000</f>
        <v>1.125</v>
      </c>
      <c r="DR68" s="20">
        <f>'Input RM sheet'!BZ90/1000</f>
        <v>1.125</v>
      </c>
      <c r="DS68" s="20">
        <f>'Input RM sheet'!CA90/1000</f>
        <v>1.05</v>
      </c>
      <c r="DT68" s="20">
        <f>'Input RM sheet'!CB90/1000</f>
        <v>1.05</v>
      </c>
      <c r="DU68" s="20">
        <f>'Input RM sheet'!CC90/1000</f>
        <v>1.05</v>
      </c>
      <c r="DV68" s="20">
        <f>'Input RM sheet'!CD90/1000</f>
        <v>1.05</v>
      </c>
      <c r="DW68" s="20">
        <f>'Input RM sheet'!CE90/1000</f>
        <v>1.1000000000000001</v>
      </c>
      <c r="DX68" s="20">
        <f>'Input RM sheet'!CF90/1000</f>
        <v>1.1000000000000001</v>
      </c>
      <c r="DY68" s="20">
        <f>'Input RM sheet'!CG90/1000</f>
        <v>1.1000000000000001</v>
      </c>
      <c r="DZ68" s="20">
        <f>'Input RM sheet'!CH90/1000</f>
        <v>1.1499999999999999</v>
      </c>
      <c r="EA68" s="20">
        <f>'Input RM sheet'!CI90/1000</f>
        <v>1.1499999999999999</v>
      </c>
      <c r="EB68" s="20">
        <f>'Input RM sheet'!CJ90/1000</f>
        <v>1.1499999999999999</v>
      </c>
      <c r="EC68" s="20">
        <f>'Input RM sheet'!CK90/1000</f>
        <v>1.1499999999999999</v>
      </c>
      <c r="ED68" s="20">
        <f>'Input RM sheet'!CL90/1000</f>
        <v>1.1499999999999999</v>
      </c>
      <c r="EE68" s="20">
        <f>'Input RM sheet'!CM90/1000</f>
        <v>1.1499999999999999</v>
      </c>
      <c r="EF68" s="20">
        <f>'Input RM sheet'!CN90/1000</f>
        <v>1.1499999999999999</v>
      </c>
      <c r="EG68" s="20">
        <f>'Input RM sheet'!CO90/1000</f>
        <v>1.1499999999999999</v>
      </c>
      <c r="EH68" s="20">
        <f>'Input RM sheet'!CP90/1000</f>
        <v>1.1000000000000001</v>
      </c>
      <c r="EI68" s="20">
        <f>'Input RM sheet'!CQ90/1000</f>
        <v>1.075</v>
      </c>
      <c r="EJ68" s="20">
        <f>'Input RM sheet'!CR90/1000</f>
        <v>1.075</v>
      </c>
      <c r="EK68" s="20">
        <f>'Input RM sheet'!CS90/1000</f>
        <v>1.075</v>
      </c>
      <c r="EL68" s="20">
        <f>'Input RM sheet'!CT90/1000</f>
        <v>0.9</v>
      </c>
      <c r="EM68" s="20">
        <f>'Input RM sheet'!CU90/1000</f>
        <v>0.9</v>
      </c>
      <c r="EN68" s="20">
        <f>'Input RM sheet'!CV90/1000</f>
        <v>0.9</v>
      </c>
      <c r="EO68" s="20">
        <f>'Input RM sheet'!CW90/1000</f>
        <v>0.9</v>
      </c>
      <c r="EP68" s="20">
        <f>'Input RM sheet'!CX90/1000</f>
        <v>0.9</v>
      </c>
      <c r="EQ68" s="20">
        <f>'Input RM sheet'!CY90/1000</f>
        <v>0.85</v>
      </c>
      <c r="ER68" s="20">
        <f>'Input RM sheet'!CZ90/1000</f>
        <v>0.85</v>
      </c>
      <c r="ES68" s="20">
        <f>'Input RM sheet'!DA90/1000</f>
        <v>0.85</v>
      </c>
      <c r="ET68" s="20">
        <f>'Input RM sheet'!DB90/1000</f>
        <v>0.85</v>
      </c>
      <c r="EU68" s="20">
        <f>'Input RM sheet'!DC90/1000</f>
        <v>0.85</v>
      </c>
      <c r="EV68" s="20">
        <f>'Input RM sheet'!DD90/1000</f>
        <v>0.85</v>
      </c>
      <c r="EW68" s="20">
        <f>'Input RM sheet'!DE90/1000</f>
        <v>0.85</v>
      </c>
      <c r="EX68" s="20">
        <f>'Input RM sheet'!DF90/1000</f>
        <v>0.85</v>
      </c>
      <c r="EY68" s="20">
        <f>'Input RM sheet'!DG90/1000</f>
        <v>0.85</v>
      </c>
      <c r="EZ68" s="20">
        <f>'Input RM sheet'!DH90/1000</f>
        <v>0.85</v>
      </c>
      <c r="FA68" s="20">
        <f>'Input RM sheet'!DI90/1000</f>
        <v>0.8</v>
      </c>
      <c r="FB68" s="20">
        <f>'Input RM sheet'!DJ90/1000</f>
        <v>0.8</v>
      </c>
      <c r="FC68" s="20">
        <f>'Input RM sheet'!DK90/1000</f>
        <v>0.8</v>
      </c>
      <c r="FD68" s="20">
        <f>'Input RM sheet'!DL90/1000</f>
        <v>0.8</v>
      </c>
      <c r="FE68" s="20">
        <f>'Input RM sheet'!DM90/1000</f>
        <v>0.8</v>
      </c>
      <c r="FF68" s="20">
        <f>'Input RM sheet'!DN90/1000</f>
        <v>0.8</v>
      </c>
      <c r="FG68" s="20">
        <f>'Input RM sheet'!DO90/1000</f>
        <v>0.67500000000000004</v>
      </c>
      <c r="FH68" s="20">
        <f>'Input RM sheet'!DP90/1000</f>
        <v>0.67500000000000004</v>
      </c>
    </row>
    <row r="69" spans="1:164">
      <c r="B69" s="263" t="s">
        <v>134</v>
      </c>
      <c r="C69" s="19">
        <f t="shared" si="78"/>
        <v>-0.17632724358974405</v>
      </c>
      <c r="D69" s="19">
        <f t="shared" si="71"/>
        <v>1.0062500000000085E-2</v>
      </c>
      <c r="E69" s="19">
        <f t="shared" si="72"/>
        <v>-6.0862500000000264E-2</v>
      </c>
      <c r="F69" s="19">
        <f t="shared" si="73"/>
        <v>-0.19338750000000005</v>
      </c>
      <c r="G69" s="19">
        <f t="shared" si="74"/>
        <v>-1.7112500000000086E-2</v>
      </c>
      <c r="H69" s="19">
        <f t="shared" si="75"/>
        <v>-8.9699999999999669E-2</v>
      </c>
      <c r="I69" s="19">
        <f t="shared" si="76"/>
        <v>0.20950000000000024</v>
      </c>
      <c r="J69" s="19">
        <f t="shared" si="77"/>
        <v>-8.4750000000000103E-2</v>
      </c>
      <c r="K69" s="19">
        <f t="shared" si="117"/>
        <v>-0.12875000000000014</v>
      </c>
      <c r="L69" s="19">
        <f t="shared" si="80"/>
        <v>0.12000000000000011</v>
      </c>
      <c r="M69" s="19">
        <f t="shared" si="81"/>
        <v>0.18999999999999995</v>
      </c>
      <c r="N69" s="19">
        <f t="shared" si="82"/>
        <v>2.8500000000000192E-2</v>
      </c>
      <c r="O69" s="19">
        <f t="shared" si="83"/>
        <v>4.6499999999999986E-2</v>
      </c>
      <c r="P69" s="19">
        <f t="shared" si="84"/>
        <v>-0.1120000000000001</v>
      </c>
      <c r="Q69" s="19">
        <f t="shared" si="85"/>
        <v>0</v>
      </c>
      <c r="R69" s="19">
        <f t="shared" si="86"/>
        <v>-0.17750000000000021</v>
      </c>
      <c r="S69" s="19">
        <f t="shared" si="87"/>
        <v>0.10200000000000031</v>
      </c>
      <c r="T69" s="19">
        <f t="shared" si="88"/>
        <v>0</v>
      </c>
      <c r="U69" s="19">
        <f t="shared" si="88"/>
        <v>0</v>
      </c>
      <c r="V69" s="19">
        <f t="shared" si="88"/>
        <v>0</v>
      </c>
      <c r="W69" s="19">
        <f t="shared" si="88"/>
        <v>1.2499999999999734E-2</v>
      </c>
      <c r="X69" s="19">
        <f t="shared" si="88"/>
        <v>0</v>
      </c>
      <c r="Y69" s="19">
        <f t="shared" si="88"/>
        <v>0.27</v>
      </c>
      <c r="Z69" s="19">
        <f t="shared" si="89"/>
        <v>3.0000000000000249E-2</v>
      </c>
      <c r="AA69" s="19">
        <f t="shared" si="90"/>
        <v>0</v>
      </c>
      <c r="AB69" s="19">
        <f t="shared" si="90"/>
        <v>4.7999999999999821E-2</v>
      </c>
      <c r="AC69" s="19">
        <f t="shared" si="90"/>
        <v>7.2000000000000064E-2</v>
      </c>
      <c r="AD69" s="19">
        <f t="shared" si="90"/>
        <v>0</v>
      </c>
      <c r="AE69" s="19">
        <f t="shared" si="90"/>
        <v>0.19999999999999996</v>
      </c>
      <c r="AF69" s="19">
        <f t="shared" si="90"/>
        <v>0.14999999999999991</v>
      </c>
      <c r="AG69" s="19">
        <f t="shared" si="91"/>
        <v>2.8000000000000025E-2</v>
      </c>
      <c r="AH69" s="19">
        <f t="shared" si="92"/>
        <v>-3.8000000000000034E-2</v>
      </c>
      <c r="AI69" s="19">
        <f t="shared" si="93"/>
        <v>0</v>
      </c>
      <c r="AJ69" s="19">
        <f t="shared" si="94"/>
        <v>-5.9999999999999831E-2</v>
      </c>
      <c r="AK69" s="19">
        <f t="shared" si="95"/>
        <v>0</v>
      </c>
      <c r="AL69" s="19">
        <f t="shared" si="95"/>
        <v>5.9999999999999831E-2</v>
      </c>
      <c r="AM69" s="19">
        <f t="shared" si="96"/>
        <v>7.0000000000000062E-2</v>
      </c>
      <c r="AN69" s="19">
        <f t="shared" si="97"/>
        <v>0.1100000000000001</v>
      </c>
      <c r="AO69" s="19">
        <f t="shared" si="98"/>
        <v>0</v>
      </c>
      <c r="AP69" s="19">
        <f t="shared" si="99"/>
        <v>-0.16000000000000014</v>
      </c>
      <c r="AQ69" s="19">
        <f t="shared" si="99"/>
        <v>-2.0000000000000018E-2</v>
      </c>
      <c r="AR69" s="19">
        <f t="shared" si="99"/>
        <v>3.0000000000000027E-2</v>
      </c>
      <c r="AS69" s="19">
        <f t="shared" si="100"/>
        <v>-7.0000000000000062E-2</v>
      </c>
      <c r="AT69" s="19">
        <f t="shared" si="101"/>
        <v>0</v>
      </c>
      <c r="AU69" s="60"/>
      <c r="AV69" s="19">
        <f t="shared" si="102"/>
        <v>-6.999999999999984E-2</v>
      </c>
      <c r="AW69" s="19">
        <f t="shared" si="103"/>
        <v>0</v>
      </c>
      <c r="AX69" s="19">
        <f t="shared" si="104"/>
        <v>-1.5000000000000124E-2</v>
      </c>
      <c r="AY69" s="19">
        <f t="shared" si="105"/>
        <v>-0.125</v>
      </c>
      <c r="AZ69" s="19">
        <f t="shared" si="106"/>
        <v>4.0000000000000036E-2</v>
      </c>
      <c r="BA69" s="19">
        <f t="shared" si="106"/>
        <v>-4.0000000000000036E-2</v>
      </c>
      <c r="BB69" s="19">
        <f t="shared" si="107"/>
        <v>0</v>
      </c>
      <c r="BC69" s="19">
        <f t="shared" si="108"/>
        <v>0</v>
      </c>
      <c r="BD69" s="19">
        <f t="shared" si="109"/>
        <v>-9.9999999999999867E-2</v>
      </c>
      <c r="BE69" s="19">
        <f t="shared" si="110"/>
        <v>-5.0000000000000044E-2</v>
      </c>
      <c r="BF69" s="19">
        <f t="shared" si="111"/>
        <v>-0.15000000000000013</v>
      </c>
      <c r="BG69" s="19">
        <f t="shared" si="111"/>
        <v>0.12000000000000011</v>
      </c>
      <c r="BH69" s="19">
        <f t="shared" si="56"/>
        <v>0.10000000000000009</v>
      </c>
      <c r="BI69" s="19">
        <f t="shared" si="57"/>
        <v>6.999999999999984E-2</v>
      </c>
      <c r="BJ69" s="19">
        <f t="shared" si="112"/>
        <v>0</v>
      </c>
      <c r="BK69" s="19">
        <f t="shared" si="113"/>
        <v>2.0000000000000018E-2</v>
      </c>
      <c r="BL69" s="19">
        <f t="shared" si="113"/>
        <v>0</v>
      </c>
      <c r="BM69" s="19">
        <f t="shared" si="113"/>
        <v>2.0000000000000018E-2</v>
      </c>
      <c r="BN69" s="19">
        <f t="shared" si="113"/>
        <v>-9.9999999999999867E-2</v>
      </c>
      <c r="BO69" s="19">
        <f t="shared" si="113"/>
        <v>0</v>
      </c>
      <c r="BP69" s="19">
        <f t="shared" si="58"/>
        <v>0</v>
      </c>
      <c r="BQ69" s="19">
        <f t="shared" si="58"/>
        <v>0.19999999999999996</v>
      </c>
      <c r="BR69" s="19">
        <f t="shared" si="58"/>
        <v>6.0000000000000053E-2</v>
      </c>
      <c r="BS69" s="19">
        <f t="shared" si="114"/>
        <v>9.9999999999997868E-3</v>
      </c>
      <c r="BT69" s="19">
        <f t="shared" si="114"/>
        <v>6.0000000000000053E-2</v>
      </c>
      <c r="BU69" s="19">
        <f t="shared" si="59"/>
        <v>1.0000000000000009E-2</v>
      </c>
      <c r="BV69" s="19">
        <f t="shared" si="60"/>
        <v>0</v>
      </c>
      <c r="BW69" s="19">
        <f t="shared" si="115"/>
        <v>-2.0000000000000018E-2</v>
      </c>
      <c r="BX69" s="19">
        <f t="shared" si="116"/>
        <v>-4.0000000000000036E-2</v>
      </c>
      <c r="BY69" s="19">
        <f t="shared" si="116"/>
        <v>-3.9999999999999813E-2</v>
      </c>
      <c r="BZ69" s="19">
        <f t="shared" si="116"/>
        <v>0</v>
      </c>
      <c r="CA69" s="19">
        <f t="shared" si="116"/>
        <v>0</v>
      </c>
      <c r="CB69" s="19">
        <f t="shared" si="116"/>
        <v>4.9999999999999822E-2</v>
      </c>
      <c r="CC69" s="19">
        <f t="shared" si="79"/>
        <v>-2.9999999999999805E-2</v>
      </c>
      <c r="CD69" s="19">
        <f t="shared" si="79"/>
        <v>3.9999999999999813E-2</v>
      </c>
      <c r="CE69" s="65"/>
      <c r="CG69" s="20">
        <f t="shared" si="118"/>
        <v>2.008672756410256</v>
      </c>
      <c r="CH69" s="47">
        <f>'Input RM sheet'!AP93</f>
        <v>2.1850000000000001</v>
      </c>
      <c r="CI69" s="47">
        <f>'Input RM sheet'!AQ93</f>
        <v>2.1749375</v>
      </c>
      <c r="CJ69" s="47">
        <f>'Input RM sheet'!AR93</f>
        <v>2.2358000000000002</v>
      </c>
      <c r="CK69" s="47">
        <f>'Input RM sheet'!AS93</f>
        <v>2.4291875000000003</v>
      </c>
      <c r="CL69" s="47">
        <f>'Input RM sheet'!AT93</f>
        <v>2.4463000000000004</v>
      </c>
      <c r="CM69" s="47">
        <f>'Input RM sheet'!AU93</f>
        <v>2.536</v>
      </c>
      <c r="CN69" s="47">
        <f>'Input RM sheet'!AV93</f>
        <v>2.3264999999999998</v>
      </c>
      <c r="CO69" s="47">
        <f>'Input RM sheet'!AW93</f>
        <v>2.4112499999999999</v>
      </c>
      <c r="CP69" s="47">
        <f>'Input RM sheet'!AX93</f>
        <v>2.54</v>
      </c>
      <c r="CQ69" s="47">
        <f>'Input RM sheet'!AY93</f>
        <v>2.42</v>
      </c>
      <c r="CR69" s="47">
        <f>'Input RM sheet'!AZ93</f>
        <v>2.23</v>
      </c>
      <c r="CS69" s="47">
        <f>'Input RM sheet'!BA93</f>
        <v>2.2014999999999998</v>
      </c>
      <c r="CT69" s="47">
        <f>'Input RM sheet'!BB93</f>
        <v>2.1549999999999998</v>
      </c>
      <c r="CU69" s="47">
        <f>'Input RM sheet'!BC93</f>
        <v>2.2669999999999999</v>
      </c>
      <c r="CV69" s="47">
        <f>'Input RM sheet'!BD93</f>
        <v>2.2669999999999999</v>
      </c>
      <c r="CW69" s="47">
        <f>'Input RM sheet'!BE93</f>
        <v>2.4445000000000001</v>
      </c>
      <c r="CX69" s="47">
        <f>'Input RM sheet'!BF93</f>
        <v>2.3424999999999998</v>
      </c>
      <c r="CY69" s="47">
        <f>'Input RM sheet'!BG93</f>
        <v>2.3424999999999998</v>
      </c>
      <c r="CZ69" s="47">
        <f>'Input RM sheet'!BH93</f>
        <v>2.3424999999999998</v>
      </c>
      <c r="DA69" s="47">
        <f>'Input RM sheet'!BI93</f>
        <v>2.3424999999999998</v>
      </c>
      <c r="DB69" s="47">
        <f>'Input RM sheet'!BJ93</f>
        <v>2.33</v>
      </c>
      <c r="DC69" s="47">
        <f>'Input RM sheet'!BK93</f>
        <v>2.33</v>
      </c>
      <c r="DD69" s="47">
        <f>'Input RM sheet'!BL93</f>
        <v>2.06</v>
      </c>
      <c r="DE69" s="47">
        <f>'Input RM sheet'!BM93</f>
        <v>2.0299999999999998</v>
      </c>
      <c r="DF69" s="47">
        <f>'Input RM sheet'!BN93</f>
        <v>2.0299999999999998</v>
      </c>
      <c r="DG69" s="47">
        <f>'Input RM sheet'!BO93</f>
        <v>1.982</v>
      </c>
      <c r="DH69" s="47">
        <f>'Input RM sheet'!BP93</f>
        <v>1.91</v>
      </c>
      <c r="DI69" s="47">
        <f>'Input RM sheet'!BQ93</f>
        <v>1.91</v>
      </c>
      <c r="DJ69" s="47">
        <f>'Input RM sheet'!BR93</f>
        <v>1.71</v>
      </c>
      <c r="DK69" s="47">
        <f>'Input RM sheet'!BS93</f>
        <v>1.56</v>
      </c>
      <c r="DL69" s="47">
        <f>'Input RM sheet'!BT93</f>
        <v>1.532</v>
      </c>
      <c r="DM69" s="47">
        <f>'Input RM sheet'!BU93</f>
        <v>1.57</v>
      </c>
      <c r="DN69" s="47">
        <f>'Input RM sheet'!BV93</f>
        <v>1.57</v>
      </c>
      <c r="DO69" s="47">
        <f>'Input RM sheet'!BW93</f>
        <v>1.63</v>
      </c>
      <c r="DP69" s="47">
        <f>'Input RM sheet'!BX93</f>
        <v>1.63</v>
      </c>
      <c r="DQ69" s="47">
        <f>'Input RM sheet'!BY93</f>
        <v>1.57</v>
      </c>
      <c r="DR69" s="47">
        <f>'Input RM sheet'!BZ93</f>
        <v>1.5</v>
      </c>
      <c r="DS69" s="47">
        <f>'Input RM sheet'!CA93</f>
        <v>1.39</v>
      </c>
      <c r="DT69" s="47">
        <f>'Input RM sheet'!CB93</f>
        <v>1.39</v>
      </c>
      <c r="DU69" s="47">
        <f>'Input RM sheet'!CC93</f>
        <v>1.55</v>
      </c>
      <c r="DV69" s="47">
        <f>'Input RM sheet'!CD93</f>
        <v>1.57</v>
      </c>
      <c r="DW69" s="47">
        <f>'Input RM sheet'!CE93</f>
        <v>1.54</v>
      </c>
      <c r="DX69" s="47">
        <f>'Input RM sheet'!CF93</f>
        <v>1.61</v>
      </c>
      <c r="DY69" s="47">
        <f>'Input RM sheet'!CG93</f>
        <v>1.61</v>
      </c>
      <c r="DZ69" s="47">
        <f>'Input RM sheet'!CH93</f>
        <v>1.68</v>
      </c>
      <c r="EA69" s="47">
        <f>'Input RM sheet'!CI93</f>
        <v>1.68</v>
      </c>
      <c r="EB69" s="47">
        <f>'Input RM sheet'!CJ93</f>
        <v>1.6950000000000001</v>
      </c>
      <c r="EC69" s="47">
        <f>'Input RM sheet'!CK93</f>
        <v>1.82</v>
      </c>
      <c r="ED69" s="47">
        <f>'Input RM sheet'!CL93</f>
        <v>1.78</v>
      </c>
      <c r="EE69" s="47">
        <f>'Input RM sheet'!CM93</f>
        <v>1.82</v>
      </c>
      <c r="EF69" s="47">
        <f>'Input RM sheet'!CN93</f>
        <v>1.82</v>
      </c>
      <c r="EG69" s="47">
        <f>'Input RM sheet'!CO93</f>
        <v>1.82</v>
      </c>
      <c r="EH69" s="47">
        <f>'Input RM sheet'!CP93</f>
        <v>1.92</v>
      </c>
      <c r="EI69" s="47">
        <f>'Input RM sheet'!CQ93</f>
        <v>1.97</v>
      </c>
      <c r="EJ69" s="47">
        <f>'Input RM sheet'!CR93</f>
        <v>2.12</v>
      </c>
      <c r="EK69" s="47">
        <f>'Input RM sheet'!CS93</f>
        <v>2</v>
      </c>
      <c r="EL69" s="47">
        <f>'Input RM sheet'!CT93</f>
        <v>1.9</v>
      </c>
      <c r="EM69" s="47">
        <f>'Input RM sheet'!CU93</f>
        <v>1.83</v>
      </c>
      <c r="EN69" s="47">
        <f>'Input RM sheet'!CV93</f>
        <v>1.83</v>
      </c>
      <c r="EO69" s="47">
        <f>'Input RM sheet'!CW93</f>
        <v>1.81</v>
      </c>
      <c r="EP69" s="47">
        <f>'Input RM sheet'!CX93</f>
        <v>1.81</v>
      </c>
      <c r="EQ69" s="47">
        <f>'Input RM sheet'!CY93</f>
        <v>1.79</v>
      </c>
      <c r="ER69" s="47">
        <f>'Input RM sheet'!CZ93</f>
        <v>1.89</v>
      </c>
      <c r="ES69" s="47">
        <f>'Input RM sheet'!DA93</f>
        <v>1.89</v>
      </c>
      <c r="ET69" s="47">
        <f>'Input RM sheet'!DB93</f>
        <v>1.89</v>
      </c>
      <c r="EU69" s="47">
        <f>'Input RM sheet'!DC93</f>
        <v>1.69</v>
      </c>
      <c r="EV69" s="47">
        <f>'Input RM sheet'!DD93</f>
        <v>1.63</v>
      </c>
      <c r="EW69" s="47">
        <f>'Input RM sheet'!DE93</f>
        <v>1.62</v>
      </c>
      <c r="EX69" s="47">
        <f>'Input RM sheet'!DF93</f>
        <v>1.56</v>
      </c>
      <c r="EY69" s="47">
        <f>'Input RM sheet'!DG93</f>
        <v>1.55</v>
      </c>
      <c r="EZ69" s="47">
        <f>'Input RM sheet'!DH93</f>
        <v>1.55</v>
      </c>
      <c r="FA69" s="47">
        <f>'Input RM sheet'!DI93</f>
        <v>1.57</v>
      </c>
      <c r="FB69" s="47">
        <f>'Input RM sheet'!DJ93</f>
        <v>1.61</v>
      </c>
      <c r="FC69" s="47">
        <f>'Input RM sheet'!DK93</f>
        <v>1.65</v>
      </c>
      <c r="FD69" s="47">
        <f>'Input RM sheet'!DL93</f>
        <v>1.65</v>
      </c>
      <c r="FE69" s="47">
        <f>'Input RM sheet'!DM93</f>
        <v>1.65</v>
      </c>
      <c r="FF69" s="47">
        <f>'Input RM sheet'!DN93</f>
        <v>1.6</v>
      </c>
      <c r="FG69" s="47">
        <f>'Input RM sheet'!DO93</f>
        <v>1.63</v>
      </c>
      <c r="FH69" s="47">
        <f>'Input RM sheet'!DP93</f>
        <v>1.59</v>
      </c>
    </row>
    <row r="70" spans="1:164">
      <c r="B70" s="263" t="s">
        <v>137</v>
      </c>
      <c r="C70" s="19">
        <f t="shared" si="78"/>
        <v>-2.5858974358974773E-2</v>
      </c>
      <c r="D70" s="19">
        <f t="shared" si="71"/>
        <v>0.10125000000000028</v>
      </c>
      <c r="E70" s="19">
        <f t="shared" si="72"/>
        <v>-0.15549999999999953</v>
      </c>
      <c r="F70" s="19">
        <f t="shared" si="73"/>
        <v>-1.8250000000000544E-2</v>
      </c>
      <c r="G70" s="19">
        <f t="shared" si="74"/>
        <v>0.3737499999999998</v>
      </c>
      <c r="H70" s="19">
        <f t="shared" si="75"/>
        <v>-0.13949999999999951</v>
      </c>
      <c r="I70" s="19">
        <f t="shared" si="76"/>
        <v>-0.15300000000000047</v>
      </c>
      <c r="J70" s="19">
        <f t="shared" si="77"/>
        <v>-4.9999999999999822E-2</v>
      </c>
      <c r="K70" s="19">
        <f t="shared" si="117"/>
        <v>-0.18000000000000016</v>
      </c>
      <c r="L70" s="19">
        <f t="shared" si="80"/>
        <v>-0.39500000000000002</v>
      </c>
      <c r="M70" s="19">
        <f t="shared" si="81"/>
        <v>0.24500000000000011</v>
      </c>
      <c r="N70" s="19">
        <f t="shared" si="82"/>
        <v>-0.36000000000000032</v>
      </c>
      <c r="O70" s="19">
        <f t="shared" si="83"/>
        <v>8.4999999999999964E-2</v>
      </c>
      <c r="P70" s="19">
        <f t="shared" si="84"/>
        <v>0.10500000000000043</v>
      </c>
      <c r="Q70" s="19">
        <f t="shared" si="85"/>
        <v>4.0000000000000036E-2</v>
      </c>
      <c r="R70" s="19">
        <f t="shared" si="86"/>
        <v>-4.0000000000000036E-2</v>
      </c>
      <c r="S70" s="19">
        <f t="shared" si="87"/>
        <v>4.9999999999999822E-2</v>
      </c>
      <c r="T70" s="19">
        <f t="shared" si="88"/>
        <v>0.16999999999999993</v>
      </c>
      <c r="U70" s="19">
        <f t="shared" si="88"/>
        <v>0.48000000000000043</v>
      </c>
      <c r="V70" s="19">
        <f t="shared" si="88"/>
        <v>0</v>
      </c>
      <c r="W70" s="19">
        <f t="shared" si="88"/>
        <v>9.9999999999997868E-3</v>
      </c>
      <c r="X70" s="19">
        <f t="shared" si="88"/>
        <v>0.12999999999999989</v>
      </c>
      <c r="Y70" s="19">
        <f t="shared" si="88"/>
        <v>0.19799999999999995</v>
      </c>
      <c r="Z70" s="19">
        <f t="shared" si="89"/>
        <v>0.16200000000000037</v>
      </c>
      <c r="AA70" s="19">
        <f t="shared" si="90"/>
        <v>0</v>
      </c>
      <c r="AB70" s="19">
        <f t="shared" si="90"/>
        <v>4.9999999999998934E-3</v>
      </c>
      <c r="AC70" s="19">
        <f t="shared" si="90"/>
        <v>-0.20500000000000007</v>
      </c>
      <c r="AD70" s="19">
        <f t="shared" si="90"/>
        <v>0</v>
      </c>
      <c r="AE70" s="19">
        <f t="shared" si="90"/>
        <v>-0.14999999999999991</v>
      </c>
      <c r="AF70" s="19">
        <f t="shared" si="90"/>
        <v>2.9999999999999805E-2</v>
      </c>
      <c r="AG70" s="19">
        <f t="shared" si="91"/>
        <v>-0.13999999999999968</v>
      </c>
      <c r="AH70" s="19">
        <f t="shared" si="92"/>
        <v>-0.12000000000000011</v>
      </c>
      <c r="AI70" s="19">
        <f t="shared" si="93"/>
        <v>0</v>
      </c>
      <c r="AJ70" s="19">
        <f t="shared" si="94"/>
        <v>9.4999999999999751E-2</v>
      </c>
      <c r="AK70" s="19">
        <f t="shared" si="95"/>
        <v>0</v>
      </c>
      <c r="AL70" s="19">
        <f t="shared" si="95"/>
        <v>-7.4999999999999734E-2</v>
      </c>
      <c r="AM70" s="19">
        <f t="shared" si="96"/>
        <v>-2.0000000000000018E-2</v>
      </c>
      <c r="AN70" s="19">
        <f t="shared" si="97"/>
        <v>-0.12999999999999989</v>
      </c>
      <c r="AO70" s="19">
        <f t="shared" si="98"/>
        <v>7.9999999999999627E-2</v>
      </c>
      <c r="AP70" s="19">
        <f t="shared" si="99"/>
        <v>-4.0000000000000036E-2</v>
      </c>
      <c r="AQ70" s="19">
        <f t="shared" si="99"/>
        <v>-9.9999999999997868E-3</v>
      </c>
      <c r="AR70" s="19">
        <f t="shared" si="99"/>
        <v>0</v>
      </c>
      <c r="AS70" s="19">
        <f t="shared" si="100"/>
        <v>-6.0000000000000053E-2</v>
      </c>
      <c r="AT70" s="19">
        <f t="shared" si="101"/>
        <v>1.5000000000000124E-2</v>
      </c>
      <c r="AU70" s="60"/>
      <c r="AV70" s="19">
        <f t="shared" si="102"/>
        <v>0</v>
      </c>
      <c r="AW70" s="19">
        <f t="shared" si="103"/>
        <v>0.11499999999999977</v>
      </c>
      <c r="AX70" s="19">
        <f t="shared" si="104"/>
        <v>0</v>
      </c>
      <c r="AY70" s="19">
        <f t="shared" si="105"/>
        <v>0.11000000000000032</v>
      </c>
      <c r="AZ70" s="19">
        <f t="shared" si="106"/>
        <v>0.17999999999999972</v>
      </c>
      <c r="BA70" s="19">
        <f t="shared" si="106"/>
        <v>-4.9999999999999822E-2</v>
      </c>
      <c r="BB70" s="19">
        <f t="shared" si="107"/>
        <v>0</v>
      </c>
      <c r="BC70" s="19">
        <f t="shared" si="108"/>
        <v>8.0000000000000071E-2</v>
      </c>
      <c r="BD70" s="19">
        <f t="shared" si="109"/>
        <v>0</v>
      </c>
      <c r="BE70" s="19">
        <f t="shared" si="110"/>
        <v>8.9999999999999858E-2</v>
      </c>
      <c r="BF70" s="19">
        <f t="shared" si="111"/>
        <v>-6.0000000000000053E-2</v>
      </c>
      <c r="BG70" s="19">
        <f t="shared" si="111"/>
        <v>-0.10999999999999988</v>
      </c>
      <c r="BH70" s="19">
        <f t="shared" si="56"/>
        <v>0.18999999999999995</v>
      </c>
      <c r="BI70" s="19">
        <f t="shared" si="57"/>
        <v>-2.0000000000000018E-2</v>
      </c>
      <c r="BJ70" s="19">
        <f t="shared" si="112"/>
        <v>0</v>
      </c>
      <c r="BK70" s="19">
        <f t="shared" si="113"/>
        <v>0</v>
      </c>
      <c r="BL70" s="19">
        <f t="shared" si="113"/>
        <v>-2.9999999999999805E-2</v>
      </c>
      <c r="BM70" s="19">
        <f t="shared" si="113"/>
        <v>0.14999999999999991</v>
      </c>
      <c r="BN70" s="19">
        <f t="shared" si="113"/>
        <v>0</v>
      </c>
      <c r="BO70" s="19">
        <f t="shared" si="113"/>
        <v>2.0000000000000018E-2</v>
      </c>
      <c r="BP70" s="19">
        <f t="shared" si="58"/>
        <v>0</v>
      </c>
      <c r="BQ70" s="19">
        <f t="shared" si="58"/>
        <v>0.19999999999999973</v>
      </c>
      <c r="BR70" s="19">
        <f t="shared" si="58"/>
        <v>-9.9999999999999645E-2</v>
      </c>
      <c r="BS70" s="19">
        <f t="shared" si="114"/>
        <v>-4.0000000000000036E-2</v>
      </c>
      <c r="BT70" s="19">
        <f t="shared" si="114"/>
        <v>9.9999999999997868E-3</v>
      </c>
      <c r="BU70" s="19">
        <f t="shared" si="59"/>
        <v>5.500000000000016E-2</v>
      </c>
      <c r="BV70" s="19">
        <f t="shared" si="60"/>
        <v>0</v>
      </c>
      <c r="BW70" s="19">
        <f t="shared" si="115"/>
        <v>0.19499999999999984</v>
      </c>
      <c r="BX70" s="19">
        <f t="shared" si="116"/>
        <v>4.9999999999999822E-2</v>
      </c>
      <c r="BY70" s="19">
        <f t="shared" si="116"/>
        <v>0.23000000000000043</v>
      </c>
      <c r="BZ70" s="19">
        <f t="shared" si="116"/>
        <v>-0.17000000000000037</v>
      </c>
      <c r="CA70" s="19">
        <f t="shared" si="116"/>
        <v>0</v>
      </c>
      <c r="CB70" s="19">
        <f t="shared" si="116"/>
        <v>0.14000000000000012</v>
      </c>
      <c r="CC70" s="19">
        <f t="shared" si="79"/>
        <v>-0.12999999999999989</v>
      </c>
      <c r="CD70" s="19">
        <f t="shared" si="79"/>
        <v>-0.16999999999999993</v>
      </c>
      <c r="CE70" s="65"/>
      <c r="CG70" s="20">
        <f t="shared" si="118"/>
        <v>3.6828910256410254</v>
      </c>
      <c r="CH70" s="47">
        <f>'Input RM sheet'!AP94</f>
        <v>3.7087500000000002</v>
      </c>
      <c r="CI70" s="47">
        <f>'Input RM sheet'!AQ94</f>
        <v>3.6074999999999999</v>
      </c>
      <c r="CJ70" s="47">
        <f>'Input RM sheet'!AR94</f>
        <v>3.7629999999999995</v>
      </c>
      <c r="CK70" s="47">
        <f>'Input RM sheet'!AS94</f>
        <v>3.78125</v>
      </c>
      <c r="CL70" s="47">
        <f>'Input RM sheet'!AT94</f>
        <v>3.4075000000000002</v>
      </c>
      <c r="CM70" s="47">
        <f>'Input RM sheet'!AU94</f>
        <v>3.5469999999999997</v>
      </c>
      <c r="CN70" s="47">
        <f>'Input RM sheet'!AV94</f>
        <v>3.7</v>
      </c>
      <c r="CO70" s="47">
        <f>'Input RM sheet'!AW94</f>
        <v>3.75</v>
      </c>
      <c r="CP70" s="47">
        <f>'Input RM sheet'!AX94</f>
        <v>3.93</v>
      </c>
      <c r="CQ70" s="47">
        <f>'Input RM sheet'!AY94</f>
        <v>4.3250000000000002</v>
      </c>
      <c r="CR70" s="47">
        <f>'Input RM sheet'!AZ94</f>
        <v>4.08</v>
      </c>
      <c r="CS70" s="47">
        <f>'Input RM sheet'!BA94</f>
        <v>4.4400000000000004</v>
      </c>
      <c r="CT70" s="47">
        <f>'Input RM sheet'!BB94</f>
        <v>4.3550000000000004</v>
      </c>
      <c r="CU70" s="47">
        <f>'Input RM sheet'!BC94</f>
        <v>4.25</v>
      </c>
      <c r="CV70" s="47">
        <f>'Input RM sheet'!BD94</f>
        <v>4.21</v>
      </c>
      <c r="CW70" s="47">
        <f>'Input RM sheet'!BE94</f>
        <v>4.25</v>
      </c>
      <c r="CX70" s="47">
        <f>'Input RM sheet'!BF94</f>
        <v>4.2</v>
      </c>
      <c r="CY70" s="47">
        <f>'Input RM sheet'!BG94</f>
        <v>4.03</v>
      </c>
      <c r="CZ70" s="47">
        <f>'Input RM sheet'!BH94</f>
        <v>3.55</v>
      </c>
      <c r="DA70" s="47">
        <f>'Input RM sheet'!BI94</f>
        <v>3.55</v>
      </c>
      <c r="DB70" s="47">
        <f>'Input RM sheet'!BJ94</f>
        <v>3.54</v>
      </c>
      <c r="DC70" s="47">
        <f>'Input RM sheet'!BK94</f>
        <v>3.41</v>
      </c>
      <c r="DD70" s="47">
        <f>'Input RM sheet'!BL94</f>
        <v>3.2120000000000002</v>
      </c>
      <c r="DE70" s="47">
        <f>'Input RM sheet'!BM94</f>
        <v>3.05</v>
      </c>
      <c r="DF70" s="47">
        <f>'Input RM sheet'!BN94</f>
        <v>3.05</v>
      </c>
      <c r="DG70" s="47">
        <f>'Input RM sheet'!BO94</f>
        <v>3.0449999999999999</v>
      </c>
      <c r="DH70" s="47">
        <f>'Input RM sheet'!BP94</f>
        <v>3.25</v>
      </c>
      <c r="DI70" s="47">
        <f>'Input RM sheet'!BQ94</f>
        <v>3.25</v>
      </c>
      <c r="DJ70" s="47">
        <f>'Input RM sheet'!BR94</f>
        <v>3.4</v>
      </c>
      <c r="DK70" s="47">
        <f>'Input RM sheet'!BS94</f>
        <v>3.37</v>
      </c>
      <c r="DL70" s="47">
        <f>'Input RM sheet'!BT94</f>
        <v>3.51</v>
      </c>
      <c r="DM70" s="47">
        <f>'Input RM sheet'!BU94</f>
        <v>3.63</v>
      </c>
      <c r="DN70" s="47">
        <f>'Input RM sheet'!BV94</f>
        <v>3.63</v>
      </c>
      <c r="DO70" s="47">
        <f>'Input RM sheet'!BW94</f>
        <v>3.5350000000000001</v>
      </c>
      <c r="DP70" s="47">
        <f>'Input RM sheet'!BX94</f>
        <v>3.5350000000000001</v>
      </c>
      <c r="DQ70" s="47">
        <f>'Input RM sheet'!BY94</f>
        <v>3.61</v>
      </c>
      <c r="DR70" s="47">
        <f>'Input RM sheet'!BZ94</f>
        <v>3.63</v>
      </c>
      <c r="DS70" s="47">
        <f>'Input RM sheet'!CA94</f>
        <v>3.76</v>
      </c>
      <c r="DT70" s="47">
        <f>'Input RM sheet'!CB94</f>
        <v>3.68</v>
      </c>
      <c r="DU70" s="47">
        <f>'Input RM sheet'!CC94</f>
        <v>3.72</v>
      </c>
      <c r="DV70" s="47">
        <f>'Input RM sheet'!CD94</f>
        <v>3.73</v>
      </c>
      <c r="DW70" s="47">
        <f>'Input RM sheet'!CE94</f>
        <v>3.73</v>
      </c>
      <c r="DX70" s="47">
        <f>'Input RM sheet'!CF94</f>
        <v>3.79</v>
      </c>
      <c r="DY70" s="47">
        <f>'Input RM sheet'!CG94</f>
        <v>3.7749999999999999</v>
      </c>
      <c r="DZ70" s="47">
        <f>'Input RM sheet'!CH94</f>
        <v>3.7749999999999999</v>
      </c>
      <c r="EA70" s="47">
        <f>'Input RM sheet'!CI94</f>
        <v>3.66</v>
      </c>
      <c r="EB70" s="47">
        <f>'Input RM sheet'!CJ94</f>
        <v>3.66</v>
      </c>
      <c r="EC70" s="47">
        <f>'Input RM sheet'!CK94</f>
        <v>3.55</v>
      </c>
      <c r="ED70" s="47">
        <f>'Input RM sheet'!CL94</f>
        <v>3.37</v>
      </c>
      <c r="EE70" s="47">
        <f>'Input RM sheet'!CM94</f>
        <v>3.42</v>
      </c>
      <c r="EF70" s="47">
        <f>'Input RM sheet'!CN94</f>
        <v>3.42</v>
      </c>
      <c r="EG70" s="47">
        <f>'Input RM sheet'!CO94</f>
        <v>3.34</v>
      </c>
      <c r="EH70" s="47">
        <f>'Input RM sheet'!CP94</f>
        <v>3.34</v>
      </c>
      <c r="EI70" s="47">
        <f>'Input RM sheet'!CQ94</f>
        <v>3.25</v>
      </c>
      <c r="EJ70" s="47">
        <f>'Input RM sheet'!CR94</f>
        <v>3.31</v>
      </c>
      <c r="EK70" s="47">
        <f>'Input RM sheet'!CS94</f>
        <v>3.42</v>
      </c>
      <c r="EL70" s="47">
        <f>'Input RM sheet'!CT94</f>
        <v>3.23</v>
      </c>
      <c r="EM70" s="47">
        <f>'Input RM sheet'!CU94</f>
        <v>3.25</v>
      </c>
      <c r="EN70" s="47">
        <f>'Input RM sheet'!CV94</f>
        <v>3.25</v>
      </c>
      <c r="EO70" s="47">
        <f>'Input RM sheet'!CW94</f>
        <v>3.25</v>
      </c>
      <c r="EP70" s="47">
        <f>'Input RM sheet'!CX94</f>
        <v>3.28</v>
      </c>
      <c r="EQ70" s="47">
        <f>'Input RM sheet'!CY94</f>
        <v>3.13</v>
      </c>
      <c r="ER70" s="47">
        <f>'Input RM sheet'!CZ94</f>
        <v>3.13</v>
      </c>
      <c r="ES70" s="47">
        <f>'Input RM sheet'!DA94</f>
        <v>3.11</v>
      </c>
      <c r="ET70" s="47">
        <f>'Input RM sheet'!DB94</f>
        <v>3.11</v>
      </c>
      <c r="EU70" s="47">
        <f>'Input RM sheet'!DC94</f>
        <v>2.91</v>
      </c>
      <c r="EV70" s="47">
        <f>'Input RM sheet'!DD94</f>
        <v>3.01</v>
      </c>
      <c r="EW70" s="47">
        <f>'Input RM sheet'!DE94</f>
        <v>3.05</v>
      </c>
      <c r="EX70" s="47">
        <f>'Input RM sheet'!DF94</f>
        <v>3.04</v>
      </c>
      <c r="EY70" s="47">
        <f>'Input RM sheet'!DG94</f>
        <v>2.9849999999999999</v>
      </c>
      <c r="EZ70" s="47">
        <f>'Input RM sheet'!DH94</f>
        <v>2.9849999999999999</v>
      </c>
      <c r="FA70" s="47">
        <f>'Input RM sheet'!DI94</f>
        <v>2.79</v>
      </c>
      <c r="FB70" s="47">
        <f>'Input RM sheet'!DJ94</f>
        <v>2.74</v>
      </c>
      <c r="FC70" s="47">
        <f>'Input RM sheet'!DK94</f>
        <v>2.5099999999999998</v>
      </c>
      <c r="FD70" s="47">
        <f>'Input RM sheet'!DL94</f>
        <v>2.68</v>
      </c>
      <c r="FE70" s="47">
        <f>'Input RM sheet'!DM94</f>
        <v>2.68</v>
      </c>
      <c r="FF70" s="47">
        <f>'Input RM sheet'!DN94</f>
        <v>2.54</v>
      </c>
      <c r="FG70" s="47">
        <f>'Input RM sheet'!DO94</f>
        <v>2.67</v>
      </c>
      <c r="FH70" s="47">
        <f>'Input RM sheet'!DP94</f>
        <v>2.84</v>
      </c>
    </row>
    <row r="71" spans="1:164">
      <c r="B71" s="263" t="s">
        <v>139</v>
      </c>
      <c r="C71" s="19">
        <f t="shared" si="78"/>
        <v>6.0750000000001414E-2</v>
      </c>
      <c r="D71" s="19">
        <f t="shared" si="71"/>
        <v>6.999999999999984E-2</v>
      </c>
      <c r="E71" s="19">
        <f t="shared" si="72"/>
        <v>-0.13424999999999976</v>
      </c>
      <c r="F71" s="19">
        <f t="shared" si="73"/>
        <v>-6.6999999999999726E-2</v>
      </c>
      <c r="G71" s="19">
        <f t="shared" si="74"/>
        <v>0.2825000000000002</v>
      </c>
      <c r="H71" s="19">
        <f t="shared" si="75"/>
        <v>-1.5500000000000291E-2</v>
      </c>
      <c r="I71" s="19">
        <f t="shared" si="76"/>
        <v>-0.17200000000000015</v>
      </c>
      <c r="J71" s="19">
        <f t="shared" si="77"/>
        <v>-2.4999999999999911E-2</v>
      </c>
      <c r="K71" s="19">
        <f t="shared" si="117"/>
        <v>-0.18000000000000016</v>
      </c>
      <c r="L71" s="19">
        <f t="shared" si="80"/>
        <v>-0.39000000000000012</v>
      </c>
      <c r="M71" s="19">
        <f t="shared" si="81"/>
        <v>0.16999999999999993</v>
      </c>
      <c r="N71" s="19">
        <f t="shared" si="82"/>
        <v>-0.28499999999999925</v>
      </c>
      <c r="O71" s="19">
        <f t="shared" si="83"/>
        <v>7.9999999999999183E-2</v>
      </c>
      <c r="P71" s="19">
        <f t="shared" si="84"/>
        <v>0.10500000000000043</v>
      </c>
      <c r="Q71" s="19">
        <f t="shared" si="85"/>
        <v>4.0000000000000036E-2</v>
      </c>
      <c r="R71" s="19">
        <f t="shared" si="86"/>
        <v>0.16000000000000014</v>
      </c>
      <c r="S71" s="19">
        <f t="shared" si="87"/>
        <v>0</v>
      </c>
      <c r="T71" s="19">
        <f t="shared" si="88"/>
        <v>-8.0000000000000071E-2</v>
      </c>
      <c r="U71" s="19">
        <f t="shared" si="88"/>
        <v>0.42999999999999972</v>
      </c>
      <c r="V71" s="19">
        <f t="shared" si="88"/>
        <v>0</v>
      </c>
      <c r="W71" s="19">
        <f t="shared" si="88"/>
        <v>0.13000000000000034</v>
      </c>
      <c r="X71" s="19">
        <f t="shared" si="88"/>
        <v>0.16999999999999993</v>
      </c>
      <c r="Y71" s="19">
        <f t="shared" si="88"/>
        <v>0.10000000000000009</v>
      </c>
      <c r="Z71" s="19">
        <f t="shared" si="89"/>
        <v>0.14999999999999991</v>
      </c>
      <c r="AA71" s="19">
        <f t="shared" si="90"/>
        <v>0</v>
      </c>
      <c r="AB71" s="19">
        <f t="shared" si="90"/>
        <v>-9.0000000000000302E-2</v>
      </c>
      <c r="AC71" s="19">
        <f t="shared" si="90"/>
        <v>-0.10999999999999988</v>
      </c>
      <c r="AD71" s="19">
        <f t="shared" si="90"/>
        <v>4.0000000000000036E-2</v>
      </c>
      <c r="AE71" s="19">
        <f t="shared" si="90"/>
        <v>-6.4999999999999947E-2</v>
      </c>
      <c r="AF71" s="19">
        <f t="shared" si="90"/>
        <v>-0.125</v>
      </c>
      <c r="AG71" s="19">
        <f t="shared" si="91"/>
        <v>-4.9999999999999822E-2</v>
      </c>
      <c r="AH71" s="19">
        <f t="shared" si="92"/>
        <v>-0.10000000000000009</v>
      </c>
      <c r="AI71" s="19">
        <f t="shared" si="93"/>
        <v>0</v>
      </c>
      <c r="AJ71" s="19">
        <f t="shared" si="94"/>
        <v>4.0000000000000036E-2</v>
      </c>
      <c r="AK71" s="19">
        <f t="shared" si="95"/>
        <v>-0.12000000000000011</v>
      </c>
      <c r="AL71" s="19">
        <f t="shared" si="95"/>
        <v>-6.999999999999984E-2</v>
      </c>
      <c r="AM71" s="19">
        <f t="shared" si="96"/>
        <v>-0.13000000000000034</v>
      </c>
      <c r="AN71" s="19">
        <f t="shared" si="97"/>
        <v>3.0000000000000249E-2</v>
      </c>
      <c r="AO71" s="19">
        <f t="shared" si="98"/>
        <v>2.9999999999999805E-2</v>
      </c>
      <c r="AP71" s="19">
        <f t="shared" si="99"/>
        <v>-2.9999999999999805E-2</v>
      </c>
      <c r="AQ71" s="19">
        <f t="shared" si="99"/>
        <v>6.999999999999984E-2</v>
      </c>
      <c r="AR71" s="19">
        <f t="shared" si="99"/>
        <v>3.0000000000000249E-2</v>
      </c>
      <c r="AS71" s="19">
        <f t="shared" si="100"/>
        <v>-1.0000000000000231E-2</v>
      </c>
      <c r="AT71" s="19">
        <f t="shared" si="101"/>
        <v>3.0000000000000249E-2</v>
      </c>
      <c r="AU71" s="60"/>
      <c r="AV71" s="19">
        <f t="shared" si="102"/>
        <v>0</v>
      </c>
      <c r="AW71" s="19">
        <f t="shared" si="103"/>
        <v>3.9999999999999591E-2</v>
      </c>
      <c r="AX71" s="19">
        <f t="shared" si="104"/>
        <v>0</v>
      </c>
      <c r="AY71" s="19">
        <f t="shared" si="105"/>
        <v>0.2200000000000002</v>
      </c>
      <c r="AZ71" s="19">
        <f t="shared" si="106"/>
        <v>0</v>
      </c>
      <c r="BA71" s="19">
        <f t="shared" si="106"/>
        <v>0</v>
      </c>
      <c r="BB71" s="19">
        <f t="shared" si="107"/>
        <v>0.10000000000000009</v>
      </c>
      <c r="BC71" s="19">
        <f t="shared" si="108"/>
        <v>8.0000000000000071E-2</v>
      </c>
      <c r="BD71" s="19">
        <f t="shared" si="109"/>
        <v>0.12999999999999989</v>
      </c>
      <c r="BE71" s="19">
        <f t="shared" si="110"/>
        <v>-0.10999999999999988</v>
      </c>
      <c r="BF71" s="19">
        <f t="shared" si="111"/>
        <v>7.9999999999999627E-2</v>
      </c>
      <c r="BG71" s="19">
        <f t="shared" si="111"/>
        <v>-0.13999999999999968</v>
      </c>
      <c r="BH71" s="19">
        <f t="shared" si="56"/>
        <v>0.10000000000000009</v>
      </c>
      <c r="BI71" s="19">
        <f t="shared" si="57"/>
        <v>2.9999999999999805E-2</v>
      </c>
      <c r="BJ71" s="19">
        <f t="shared" si="112"/>
        <v>0</v>
      </c>
      <c r="BK71" s="19">
        <f t="shared" si="113"/>
        <v>8.9999999999999858E-2</v>
      </c>
      <c r="BL71" s="19">
        <f t="shared" si="113"/>
        <v>3.0000000000000249E-2</v>
      </c>
      <c r="BM71" s="19">
        <f t="shared" si="113"/>
        <v>2.0000000000000018E-2</v>
      </c>
      <c r="BN71" s="19">
        <f t="shared" si="113"/>
        <v>0</v>
      </c>
      <c r="BO71" s="19">
        <f t="shared" si="113"/>
        <v>0.12999999999999989</v>
      </c>
      <c r="BP71" s="19">
        <f t="shared" si="58"/>
        <v>0</v>
      </c>
      <c r="BQ71" s="19">
        <f t="shared" si="58"/>
        <v>0.5299999999999998</v>
      </c>
      <c r="BR71" s="19">
        <f t="shared" si="58"/>
        <v>-0.17999999999999972</v>
      </c>
      <c r="BS71" s="19">
        <f t="shared" si="114"/>
        <v>-0.12000000000000011</v>
      </c>
      <c r="BT71" s="19">
        <f t="shared" si="114"/>
        <v>-0.25</v>
      </c>
      <c r="BU71" s="19">
        <f t="shared" si="59"/>
        <v>-6.999999999999984E-2</v>
      </c>
      <c r="BV71" s="19">
        <f t="shared" si="60"/>
        <v>-5.0000000000000266E-2</v>
      </c>
      <c r="BW71" s="19">
        <f t="shared" si="115"/>
        <v>0.28000000000000025</v>
      </c>
      <c r="BX71" s="19">
        <f t="shared" si="116"/>
        <v>0.36999999999999966</v>
      </c>
      <c r="BY71" s="19">
        <f t="shared" si="116"/>
        <v>-8.9999999999999858E-2</v>
      </c>
      <c r="BZ71" s="19">
        <f t="shared" si="116"/>
        <v>-2.0000000000000018E-2</v>
      </c>
      <c r="CA71" s="19">
        <f t="shared" si="116"/>
        <v>0</v>
      </c>
      <c r="CB71" s="19">
        <f t="shared" si="116"/>
        <v>0.16999999999999993</v>
      </c>
      <c r="CC71" s="19">
        <f t="shared" si="79"/>
        <v>0</v>
      </c>
      <c r="CD71" s="19">
        <f t="shared" si="79"/>
        <v>-0.31999999999999984</v>
      </c>
      <c r="CE71" s="65"/>
      <c r="CG71" s="20">
        <f t="shared" si="118"/>
        <v>3.7495000000000016</v>
      </c>
      <c r="CH71" s="47">
        <f>'Input RM sheet'!AP95</f>
        <v>3.6887500000000002</v>
      </c>
      <c r="CI71" s="47">
        <f>'Input RM sheet'!AQ95</f>
        <v>3.6187500000000004</v>
      </c>
      <c r="CJ71" s="47">
        <f>'Input RM sheet'!AR95</f>
        <v>3.7530000000000001</v>
      </c>
      <c r="CK71" s="47">
        <f>'Input RM sheet'!AS95</f>
        <v>3.82</v>
      </c>
      <c r="CL71" s="47">
        <f>'Input RM sheet'!AT95</f>
        <v>3.5374999999999996</v>
      </c>
      <c r="CM71" s="47">
        <f>'Input RM sheet'!AU95</f>
        <v>3.5529999999999999</v>
      </c>
      <c r="CN71" s="47">
        <f>'Input RM sheet'!AV95</f>
        <v>3.7250000000000001</v>
      </c>
      <c r="CO71" s="47">
        <f>'Input RM sheet'!AW95</f>
        <v>3.75</v>
      </c>
      <c r="CP71" s="47">
        <f>'Input RM sheet'!AX95</f>
        <v>3.93</v>
      </c>
      <c r="CQ71" s="47">
        <f>'Input RM sheet'!AY95</f>
        <v>4.32</v>
      </c>
      <c r="CR71" s="47">
        <f>'Input RM sheet'!AZ95</f>
        <v>4.1500000000000004</v>
      </c>
      <c r="CS71" s="47">
        <f>'Input RM sheet'!BA95</f>
        <v>4.4349999999999996</v>
      </c>
      <c r="CT71" s="47">
        <f>'Input RM sheet'!BB95</f>
        <v>4.3550000000000004</v>
      </c>
      <c r="CU71" s="47">
        <f>'Input RM sheet'!BC95</f>
        <v>4.25</v>
      </c>
      <c r="CV71" s="47">
        <f>'Input RM sheet'!BD95</f>
        <v>4.21</v>
      </c>
      <c r="CW71" s="47">
        <f>'Input RM sheet'!BE95</f>
        <v>4.05</v>
      </c>
      <c r="CX71" s="47">
        <f>'Input RM sheet'!BF95</f>
        <v>4.05</v>
      </c>
      <c r="CY71" s="47">
        <f>'Input RM sheet'!BG95</f>
        <v>4.13</v>
      </c>
      <c r="CZ71" s="47">
        <f>'Input RM sheet'!BH95</f>
        <v>3.7</v>
      </c>
      <c r="DA71" s="47">
        <f>'Input RM sheet'!BI95</f>
        <v>3.7</v>
      </c>
      <c r="DB71" s="47">
        <f>'Input RM sheet'!BJ95</f>
        <v>3.57</v>
      </c>
      <c r="DC71" s="47">
        <f>'Input RM sheet'!BK95</f>
        <v>3.4</v>
      </c>
      <c r="DD71" s="47">
        <f>'Input RM sheet'!BL95</f>
        <v>3.3</v>
      </c>
      <c r="DE71" s="47">
        <f>'Input RM sheet'!BM95</f>
        <v>3.15</v>
      </c>
      <c r="DF71" s="47">
        <f>'Input RM sheet'!BN95</f>
        <v>3.15</v>
      </c>
      <c r="DG71" s="47">
        <f>'Input RM sheet'!BO95</f>
        <v>3.24</v>
      </c>
      <c r="DH71" s="47">
        <f>'Input RM sheet'!BP95</f>
        <v>3.35</v>
      </c>
      <c r="DI71" s="47">
        <f>'Input RM sheet'!BQ95</f>
        <v>3.31</v>
      </c>
      <c r="DJ71" s="47">
        <f>'Input RM sheet'!BR95</f>
        <v>3.375</v>
      </c>
      <c r="DK71" s="47">
        <f>'Input RM sheet'!BS95</f>
        <v>3.5</v>
      </c>
      <c r="DL71" s="47">
        <f>'Input RM sheet'!BT95</f>
        <v>3.55</v>
      </c>
      <c r="DM71" s="47">
        <f>'Input RM sheet'!BU95</f>
        <v>3.65</v>
      </c>
      <c r="DN71" s="47">
        <f>'Input RM sheet'!BV95</f>
        <v>3.65</v>
      </c>
      <c r="DO71" s="47">
        <f>'Input RM sheet'!BW95</f>
        <v>3.61</v>
      </c>
      <c r="DP71" s="47">
        <f>'Input RM sheet'!BX95</f>
        <v>3.73</v>
      </c>
      <c r="DQ71" s="47">
        <f>'Input RM sheet'!BY95</f>
        <v>3.8</v>
      </c>
      <c r="DR71" s="47">
        <f>'Input RM sheet'!BZ95</f>
        <v>3.93</v>
      </c>
      <c r="DS71" s="47">
        <f>'Input RM sheet'!CA95</f>
        <v>3.9</v>
      </c>
      <c r="DT71" s="47">
        <f>'Input RM sheet'!CB95</f>
        <v>3.87</v>
      </c>
      <c r="DU71" s="47">
        <f>'Input RM sheet'!CC95</f>
        <v>3.9</v>
      </c>
      <c r="DV71" s="47">
        <f>'Input RM sheet'!CD95</f>
        <v>3.83</v>
      </c>
      <c r="DW71" s="47">
        <f>'Input RM sheet'!CE95</f>
        <v>3.8</v>
      </c>
      <c r="DX71" s="47">
        <f>'Input RM sheet'!CF95</f>
        <v>3.81</v>
      </c>
      <c r="DY71" s="47">
        <f>'Input RM sheet'!CG95</f>
        <v>3.78</v>
      </c>
      <c r="DZ71" s="47">
        <f>'Input RM sheet'!CH95</f>
        <v>3.78</v>
      </c>
      <c r="EA71" s="47">
        <f>'Input RM sheet'!CI95</f>
        <v>3.74</v>
      </c>
      <c r="EB71" s="47">
        <f>'Input RM sheet'!CJ95</f>
        <v>3.74</v>
      </c>
      <c r="EC71" s="47">
        <f>'Input RM sheet'!CK95</f>
        <v>3.52</v>
      </c>
      <c r="ED71" s="47">
        <f>'Input RM sheet'!CL95</f>
        <v>3.52</v>
      </c>
      <c r="EE71" s="47">
        <f>'Input RM sheet'!CM95</f>
        <v>3.52</v>
      </c>
      <c r="EF71" s="47">
        <f>'Input RM sheet'!CN95</f>
        <v>3.42</v>
      </c>
      <c r="EG71" s="47">
        <f>'Input RM sheet'!CO95</f>
        <v>3.34</v>
      </c>
      <c r="EH71" s="47">
        <f>'Input RM sheet'!CP95</f>
        <v>3.21</v>
      </c>
      <c r="EI71" s="47">
        <f>'Input RM sheet'!CQ95</f>
        <v>3.32</v>
      </c>
      <c r="EJ71" s="47">
        <f>'Input RM sheet'!CR95</f>
        <v>3.24</v>
      </c>
      <c r="EK71" s="47">
        <f>'Input RM sheet'!CS95</f>
        <v>3.38</v>
      </c>
      <c r="EL71" s="47">
        <f>'Input RM sheet'!CT95</f>
        <v>3.28</v>
      </c>
      <c r="EM71" s="47">
        <f>'Input RM sheet'!CU95</f>
        <v>3.25</v>
      </c>
      <c r="EN71" s="47">
        <f>'Input RM sheet'!CV95</f>
        <v>3.25</v>
      </c>
      <c r="EO71" s="47">
        <f>'Input RM sheet'!CW95</f>
        <v>3.16</v>
      </c>
      <c r="EP71" s="47">
        <f>'Input RM sheet'!CX95</f>
        <v>3.13</v>
      </c>
      <c r="EQ71" s="47">
        <f>'Input RM sheet'!CY95</f>
        <v>3.11</v>
      </c>
      <c r="ER71" s="47">
        <f>'Input RM sheet'!CZ95</f>
        <v>3.11</v>
      </c>
      <c r="ES71" s="47">
        <f>'Input RM sheet'!DA95</f>
        <v>2.98</v>
      </c>
      <c r="ET71" s="47">
        <f>'Input RM sheet'!DB95</f>
        <v>2.98</v>
      </c>
      <c r="EU71" s="47">
        <f>'Input RM sheet'!DC95</f>
        <v>2.4500000000000002</v>
      </c>
      <c r="EV71" s="47">
        <f>'Input RM sheet'!DD95</f>
        <v>2.63</v>
      </c>
      <c r="EW71" s="47">
        <f>'Input RM sheet'!DE95</f>
        <v>2.75</v>
      </c>
      <c r="EX71" s="47">
        <f>'Input RM sheet'!DF95</f>
        <v>3</v>
      </c>
      <c r="EY71" s="47">
        <f>'Input RM sheet'!DG95</f>
        <v>3.07</v>
      </c>
      <c r="EZ71" s="47">
        <f>'Input RM sheet'!DH95</f>
        <v>3.12</v>
      </c>
      <c r="FA71" s="47">
        <f>'Input RM sheet'!DI95</f>
        <v>2.84</v>
      </c>
      <c r="FB71" s="47">
        <f>'Input RM sheet'!DJ95</f>
        <v>2.4700000000000002</v>
      </c>
      <c r="FC71" s="47">
        <f>'Input RM sheet'!DK95</f>
        <v>2.56</v>
      </c>
      <c r="FD71" s="47">
        <f>'Input RM sheet'!DL95</f>
        <v>2.58</v>
      </c>
      <c r="FE71" s="47">
        <f>'Input RM sheet'!DM95</f>
        <v>2.58</v>
      </c>
      <c r="FF71" s="47">
        <f>'Input RM sheet'!DN95</f>
        <v>2.41</v>
      </c>
      <c r="FG71" s="47">
        <f>'Input RM sheet'!DO95</f>
        <v>2.41</v>
      </c>
      <c r="FH71" s="47">
        <f>'Input RM sheet'!DP95</f>
        <v>2.73</v>
      </c>
    </row>
    <row r="72" spans="1:164">
      <c r="B72" s="263" t="s">
        <v>140</v>
      </c>
      <c r="C72" s="19">
        <f t="shared" si="78"/>
        <v>-0.28769871794871782</v>
      </c>
      <c r="D72" s="19">
        <f t="shared" si="71"/>
        <v>-0.21250000000000013</v>
      </c>
      <c r="E72" s="19">
        <f t="shared" si="72"/>
        <v>-5.4999999999999938E-2</v>
      </c>
      <c r="F72" s="19">
        <f t="shared" si="73"/>
        <v>0.15874999999999995</v>
      </c>
      <c r="G72" s="19">
        <f t="shared" si="74"/>
        <v>0.23399999999999999</v>
      </c>
      <c r="H72" s="19">
        <f t="shared" si="75"/>
        <v>7.3500000000000121E-2</v>
      </c>
      <c r="I72" s="19">
        <f t="shared" si="76"/>
        <v>5.7499999999999885E-2</v>
      </c>
      <c r="J72" s="19">
        <f t="shared" si="77"/>
        <v>0</v>
      </c>
      <c r="K72" s="19">
        <f t="shared" si="117"/>
        <v>-3.499999999999992E-2</v>
      </c>
      <c r="L72" s="19">
        <f t="shared" si="80"/>
        <v>-2.5000000000000133E-2</v>
      </c>
      <c r="M72" s="19">
        <f t="shared" si="81"/>
        <v>-9.9999999999997868E-3</v>
      </c>
      <c r="N72" s="19">
        <f t="shared" si="82"/>
        <v>-2.5000000000000133E-2</v>
      </c>
      <c r="O72" s="19">
        <f t="shared" si="83"/>
        <v>0</v>
      </c>
      <c r="P72" s="19">
        <f t="shared" si="84"/>
        <v>0</v>
      </c>
      <c r="Q72" s="19">
        <f t="shared" si="85"/>
        <v>1.0000000000000009E-2</v>
      </c>
      <c r="R72" s="19">
        <f t="shared" si="86"/>
        <v>0</v>
      </c>
      <c r="S72" s="19">
        <f t="shared" si="87"/>
        <v>1.5000000000000124E-2</v>
      </c>
      <c r="T72" s="19">
        <f t="shared" si="88"/>
        <v>3.499999999999992E-2</v>
      </c>
      <c r="U72" s="19">
        <f t="shared" si="88"/>
        <v>0</v>
      </c>
      <c r="V72" s="19">
        <f t="shared" si="88"/>
        <v>6.4999999999999947E-2</v>
      </c>
      <c r="W72" s="19">
        <f t="shared" si="88"/>
        <v>2.5000000000000133E-2</v>
      </c>
      <c r="X72" s="19">
        <f t="shared" si="88"/>
        <v>0</v>
      </c>
      <c r="Y72" s="19">
        <f t="shared" si="88"/>
        <v>2.4999999999999911E-2</v>
      </c>
      <c r="Z72" s="19">
        <f t="shared" si="89"/>
        <v>1.0000000000000009E-2</v>
      </c>
      <c r="AA72" s="19">
        <f t="shared" si="90"/>
        <v>1.0000000000000009E-2</v>
      </c>
      <c r="AB72" s="19">
        <f t="shared" si="90"/>
        <v>-1.0000000000000009E-2</v>
      </c>
      <c r="AC72" s="19">
        <f t="shared" si="90"/>
        <v>3.0000000000000027E-2</v>
      </c>
      <c r="AD72" s="19">
        <f t="shared" si="90"/>
        <v>3.0000000000000027E-2</v>
      </c>
      <c r="AE72" s="19">
        <f t="shared" si="90"/>
        <v>3.0000000000000027E-2</v>
      </c>
      <c r="AF72" s="19">
        <f t="shared" si="90"/>
        <v>0</v>
      </c>
      <c r="AG72" s="19">
        <f t="shared" si="91"/>
        <v>2.9999999999999805E-2</v>
      </c>
      <c r="AH72" s="19">
        <f t="shared" si="92"/>
        <v>-1.0000000000000009E-2</v>
      </c>
      <c r="AI72" s="19">
        <f t="shared" si="93"/>
        <v>-1.0000000000000009E-2</v>
      </c>
      <c r="AJ72" s="19">
        <f t="shared" si="94"/>
        <v>-6.4999999999999947E-2</v>
      </c>
      <c r="AK72" s="19">
        <f t="shared" si="95"/>
        <v>0</v>
      </c>
      <c r="AL72" s="19">
        <f t="shared" si="95"/>
        <v>0</v>
      </c>
      <c r="AM72" s="19">
        <f t="shared" si="96"/>
        <v>-3.0000000000000027E-2</v>
      </c>
      <c r="AN72" s="19">
        <f t="shared" si="97"/>
        <v>-3.499999999999992E-2</v>
      </c>
      <c r="AO72" s="19">
        <f t="shared" si="98"/>
        <v>0</v>
      </c>
      <c r="AP72" s="19">
        <f t="shared" si="99"/>
        <v>-1.4999999999999902E-2</v>
      </c>
      <c r="AQ72" s="19">
        <f t="shared" si="99"/>
        <v>2.4999999999999911E-2</v>
      </c>
      <c r="AR72" s="19">
        <f t="shared" si="99"/>
        <v>3.499999999999992E-2</v>
      </c>
      <c r="AS72" s="19">
        <f t="shared" si="100"/>
        <v>0</v>
      </c>
      <c r="AT72" s="19">
        <f t="shared" si="101"/>
        <v>0</v>
      </c>
      <c r="AU72" s="60"/>
      <c r="AV72" s="19">
        <f t="shared" si="102"/>
        <v>0</v>
      </c>
      <c r="AW72" s="19">
        <f t="shared" si="103"/>
        <v>5.0000000000000044E-2</v>
      </c>
      <c r="AX72" s="19">
        <f t="shared" si="104"/>
        <v>0</v>
      </c>
      <c r="AY72" s="19">
        <f t="shared" si="105"/>
        <v>1.5000000000000124E-2</v>
      </c>
      <c r="AZ72" s="19">
        <f t="shared" si="106"/>
        <v>0</v>
      </c>
      <c r="BA72" s="19">
        <f t="shared" si="106"/>
        <v>0</v>
      </c>
      <c r="BB72" s="19">
        <f t="shared" si="107"/>
        <v>1.0000000000000009E-2</v>
      </c>
      <c r="BC72" s="19">
        <f t="shared" si="108"/>
        <v>2.4999999999999911E-2</v>
      </c>
      <c r="BD72" s="19">
        <f t="shared" si="109"/>
        <v>0</v>
      </c>
      <c r="BE72" s="19">
        <f t="shared" si="110"/>
        <v>4.9999999999998934E-3</v>
      </c>
      <c r="BF72" s="19">
        <f t="shared" si="111"/>
        <v>1.0000000000000009E-2</v>
      </c>
      <c r="BG72" s="19">
        <f t="shared" si="111"/>
        <v>5.0000000000001155E-3</v>
      </c>
      <c r="BH72" s="19">
        <f t="shared" si="56"/>
        <v>1.0000000000000009E-2</v>
      </c>
      <c r="BI72" s="19">
        <f t="shared" si="57"/>
        <v>0</v>
      </c>
      <c r="BJ72" s="19">
        <f t="shared" si="112"/>
        <v>0</v>
      </c>
      <c r="BK72" s="19">
        <f t="shared" si="113"/>
        <v>0</v>
      </c>
      <c r="BL72" s="19">
        <f t="shared" si="113"/>
        <v>0</v>
      </c>
      <c r="BM72" s="19">
        <f t="shared" si="113"/>
        <v>0</v>
      </c>
      <c r="BN72" s="19">
        <f t="shared" si="113"/>
        <v>-5.0000000000001155E-3</v>
      </c>
      <c r="BO72" s="19">
        <f t="shared" si="113"/>
        <v>0</v>
      </c>
      <c r="BP72" s="19">
        <f t="shared" si="58"/>
        <v>0</v>
      </c>
      <c r="BQ72" s="19">
        <f t="shared" si="58"/>
        <v>0</v>
      </c>
      <c r="BR72" s="19">
        <f t="shared" si="58"/>
        <v>0</v>
      </c>
      <c r="BS72" s="19">
        <f t="shared" si="114"/>
        <v>1.0000000000000009E-2</v>
      </c>
      <c r="BT72" s="19">
        <f t="shared" si="114"/>
        <v>4.5000000000000151E-2</v>
      </c>
      <c r="BU72" s="19">
        <f t="shared" si="59"/>
        <v>-5.0000000000000044E-2</v>
      </c>
      <c r="BV72" s="19">
        <f t="shared" si="60"/>
        <v>0</v>
      </c>
      <c r="BW72" s="19">
        <f t="shared" si="115"/>
        <v>1.0000000000000009E-2</v>
      </c>
      <c r="BX72" s="19">
        <f t="shared" si="116"/>
        <v>0</v>
      </c>
      <c r="BY72" s="19">
        <f t="shared" si="116"/>
        <v>2.0000000000000018E-2</v>
      </c>
      <c r="BZ72" s="19">
        <f t="shared" si="116"/>
        <v>-2.0000000000000018E-2</v>
      </c>
      <c r="CA72" s="19">
        <f t="shared" si="116"/>
        <v>0</v>
      </c>
      <c r="CB72" s="19">
        <f t="shared" si="116"/>
        <v>2.0000000000000018E-2</v>
      </c>
      <c r="CC72" s="19">
        <f t="shared" si="79"/>
        <v>0</v>
      </c>
      <c r="CD72" s="19">
        <f t="shared" si="79"/>
        <v>-3.5000000000000142E-2</v>
      </c>
      <c r="CE72" s="65"/>
      <c r="CG72" s="20">
        <f t="shared" si="118"/>
        <v>1.4035512820512821</v>
      </c>
      <c r="CH72" s="20">
        <f>'Input RM sheet'!AP96/1000</f>
        <v>1.6912499999999999</v>
      </c>
      <c r="CI72" s="20">
        <f>'Input RM sheet'!AQ96/1000</f>
        <v>1.9037500000000001</v>
      </c>
      <c r="CJ72" s="20">
        <f>'Input RM sheet'!AR96/1000</f>
        <v>1.95875</v>
      </c>
      <c r="CK72" s="20">
        <f>'Input RM sheet'!AS96/1000</f>
        <v>1.8</v>
      </c>
      <c r="CL72" s="20">
        <f>'Input RM sheet'!AT96/1000</f>
        <v>1.5660000000000001</v>
      </c>
      <c r="CM72" s="20">
        <f>'Input RM sheet'!AU96/1000</f>
        <v>1.4924999999999999</v>
      </c>
      <c r="CN72" s="20">
        <f>'Input RM sheet'!AV96/1000</f>
        <v>1.4350000000000001</v>
      </c>
      <c r="CO72" s="20">
        <f>'Input RM sheet'!AW96/1000</f>
        <v>1.4350000000000001</v>
      </c>
      <c r="CP72" s="20">
        <f>'Input RM sheet'!AX96/1000</f>
        <v>1.47</v>
      </c>
      <c r="CQ72" s="20">
        <f>'Input RM sheet'!AY96/1000</f>
        <v>1.4950000000000001</v>
      </c>
      <c r="CR72" s="20">
        <f>'Input RM sheet'!AZ96/1000</f>
        <v>1.5049999999999999</v>
      </c>
      <c r="CS72" s="20">
        <f>'Input RM sheet'!BA96/1000</f>
        <v>1.53</v>
      </c>
      <c r="CT72" s="20">
        <f>'Input RM sheet'!BB96/1000</f>
        <v>1.53</v>
      </c>
      <c r="CU72" s="20">
        <f>'Input RM sheet'!BC96/1000</f>
        <v>1.53</v>
      </c>
      <c r="CV72" s="20">
        <f>'Input RM sheet'!BD96/1000</f>
        <v>1.52</v>
      </c>
      <c r="CW72" s="20">
        <f>'Input RM sheet'!BE96/1000</f>
        <v>1.52</v>
      </c>
      <c r="CX72" s="20">
        <f>'Input RM sheet'!BF96/1000</f>
        <v>1.5049999999999999</v>
      </c>
      <c r="CY72" s="20">
        <f>'Input RM sheet'!BG96/1000</f>
        <v>1.47</v>
      </c>
      <c r="CZ72" s="20">
        <f>'Input RM sheet'!BH96/1000</f>
        <v>1.47</v>
      </c>
      <c r="DA72" s="20">
        <f>'Input RM sheet'!BI96/1000</f>
        <v>1.405</v>
      </c>
      <c r="DB72" s="20">
        <f>'Input RM sheet'!BJ96/1000</f>
        <v>1.38</v>
      </c>
      <c r="DC72" s="20">
        <f>'Input RM sheet'!BK96/1000</f>
        <v>1.38</v>
      </c>
      <c r="DD72" s="20">
        <f>'Input RM sheet'!BL96/1000</f>
        <v>1.355</v>
      </c>
      <c r="DE72" s="20">
        <f>'Input RM sheet'!BM96/1000</f>
        <v>1.345</v>
      </c>
      <c r="DF72" s="20">
        <f>'Input RM sheet'!BN96/1000</f>
        <v>1.335</v>
      </c>
      <c r="DG72" s="20">
        <f>'Input RM sheet'!BO96/1000</f>
        <v>1.345</v>
      </c>
      <c r="DH72" s="20">
        <f>'Input RM sheet'!BP96/1000</f>
        <v>1.3149999999999999</v>
      </c>
      <c r="DI72" s="20">
        <f>'Input RM sheet'!BQ96/1000</f>
        <v>1.2849999999999999</v>
      </c>
      <c r="DJ72" s="20">
        <f>'Input RM sheet'!BR96/1000</f>
        <v>1.2549999999999999</v>
      </c>
      <c r="DK72" s="20">
        <f>'Input RM sheet'!BS96/1000</f>
        <v>1.2549999999999999</v>
      </c>
      <c r="DL72" s="20">
        <f>'Input RM sheet'!BT96/1000</f>
        <v>1.2250000000000001</v>
      </c>
      <c r="DM72" s="20">
        <f>'Input RM sheet'!BU96/1000</f>
        <v>1.2350000000000001</v>
      </c>
      <c r="DN72" s="20">
        <f>'Input RM sheet'!BV96/1000</f>
        <v>1.2450000000000001</v>
      </c>
      <c r="DO72" s="20">
        <f>'Input RM sheet'!BW96/1000</f>
        <v>1.31</v>
      </c>
      <c r="DP72" s="20">
        <f>'Input RM sheet'!BX96/1000</f>
        <v>1.31</v>
      </c>
      <c r="DQ72" s="20">
        <f>'Input RM sheet'!BY96/1000</f>
        <v>1.31</v>
      </c>
      <c r="DR72" s="20">
        <f>'Input RM sheet'!BZ96/1000</f>
        <v>1.34</v>
      </c>
      <c r="DS72" s="20">
        <f>'Input RM sheet'!CA96/1000</f>
        <v>1.375</v>
      </c>
      <c r="DT72" s="20">
        <f>'Input RM sheet'!CB96/1000</f>
        <v>1.375</v>
      </c>
      <c r="DU72" s="20">
        <f>'Input RM sheet'!CC96/1000</f>
        <v>1.39</v>
      </c>
      <c r="DV72" s="20">
        <f>'Input RM sheet'!CD96/1000</f>
        <v>1.365</v>
      </c>
      <c r="DW72" s="20">
        <f>'Input RM sheet'!CE96/1000</f>
        <v>1.33</v>
      </c>
      <c r="DX72" s="20">
        <f>'Input RM sheet'!CF96/1000</f>
        <v>1.33</v>
      </c>
      <c r="DY72" s="20">
        <f>'Input RM sheet'!CG96/1000</f>
        <v>1.33</v>
      </c>
      <c r="DZ72" s="20">
        <f>'Input RM sheet'!CH96/1000</f>
        <v>1.33</v>
      </c>
      <c r="EA72" s="20">
        <f>'Input RM sheet'!CI96/1000</f>
        <v>1.28</v>
      </c>
      <c r="EB72" s="20">
        <f>'Input RM sheet'!CJ96/1000</f>
        <v>1.28</v>
      </c>
      <c r="EC72" s="20">
        <f>'Input RM sheet'!CK96/1000</f>
        <v>1.2649999999999999</v>
      </c>
      <c r="ED72" s="20">
        <f>'Input RM sheet'!CL96/1000</f>
        <v>1.2649999999999999</v>
      </c>
      <c r="EE72" s="20">
        <f>'Input RM sheet'!CM96/1000</f>
        <v>1.2649999999999999</v>
      </c>
      <c r="EF72" s="20">
        <f>'Input RM sheet'!CN96/1000</f>
        <v>1.2549999999999999</v>
      </c>
      <c r="EG72" s="20">
        <f>'Input RM sheet'!CO96/1000</f>
        <v>1.23</v>
      </c>
      <c r="EH72" s="20">
        <f>'Input RM sheet'!CP96/1000</f>
        <v>1.23</v>
      </c>
      <c r="EI72" s="20">
        <f>'Input RM sheet'!CQ96/1000</f>
        <v>1.2250000000000001</v>
      </c>
      <c r="EJ72" s="20">
        <f>'Input RM sheet'!CR96/1000</f>
        <v>1.2150000000000001</v>
      </c>
      <c r="EK72" s="20">
        <f>'Input RM sheet'!CS96/1000</f>
        <v>1.21</v>
      </c>
      <c r="EL72" s="20">
        <f>'Input RM sheet'!CT96/1000</f>
        <v>1.2</v>
      </c>
      <c r="EM72" s="20">
        <f>'Input RM sheet'!CU96/1000</f>
        <v>1.2</v>
      </c>
      <c r="EN72" s="20">
        <f>'Input RM sheet'!CV96/1000</f>
        <v>1.2</v>
      </c>
      <c r="EO72" s="20">
        <f>'Input RM sheet'!CW96/1000</f>
        <v>1.2</v>
      </c>
      <c r="EP72" s="20">
        <f>'Input RM sheet'!CX96/1000</f>
        <v>1.2</v>
      </c>
      <c r="EQ72" s="20">
        <f>'Input RM sheet'!CY96/1000</f>
        <v>1.2</v>
      </c>
      <c r="ER72" s="20">
        <f>'Input RM sheet'!CZ96/1000</f>
        <v>1.2050000000000001</v>
      </c>
      <c r="ES72" s="20">
        <f>'Input RM sheet'!DA96/1000</f>
        <v>1.2050000000000001</v>
      </c>
      <c r="ET72" s="20">
        <f>'Input RM sheet'!DB96/1000</f>
        <v>1.2050000000000001</v>
      </c>
      <c r="EU72" s="20">
        <f>'Input RM sheet'!DC96/1000</f>
        <v>1.2050000000000001</v>
      </c>
      <c r="EV72" s="20">
        <f>'Input RM sheet'!DD96/1000</f>
        <v>1.2050000000000001</v>
      </c>
      <c r="EW72" s="20">
        <f>'Input RM sheet'!DE96/1000</f>
        <v>1.1950000000000001</v>
      </c>
      <c r="EX72" s="20">
        <f>'Input RM sheet'!DF96/1000</f>
        <v>1.1499999999999999</v>
      </c>
      <c r="EY72" s="20">
        <f>'Input RM sheet'!DG96/1000</f>
        <v>1.2</v>
      </c>
      <c r="EZ72" s="20">
        <f>'Input RM sheet'!DH96/1000</f>
        <v>1.2</v>
      </c>
      <c r="FA72" s="20">
        <f>'Input RM sheet'!DI96/1000</f>
        <v>1.19</v>
      </c>
      <c r="FB72" s="20">
        <f>'Input RM sheet'!DJ96/1000</f>
        <v>1.19</v>
      </c>
      <c r="FC72" s="20">
        <f>'Input RM sheet'!DK96/1000</f>
        <v>1.17</v>
      </c>
      <c r="FD72" s="20">
        <f>'Input RM sheet'!DL96/1000</f>
        <v>1.19</v>
      </c>
      <c r="FE72" s="20">
        <f>'Input RM sheet'!DM96/1000</f>
        <v>1.19</v>
      </c>
      <c r="FF72" s="20">
        <f>'Input RM sheet'!DN96/1000</f>
        <v>1.17</v>
      </c>
      <c r="FG72" s="20">
        <f>'Input RM sheet'!DO96/1000</f>
        <v>1.17</v>
      </c>
      <c r="FH72" s="20">
        <f>'Input RM sheet'!DP96/1000</f>
        <v>1.2050000000000001</v>
      </c>
    </row>
    <row r="73" spans="1:164">
      <c r="B73" s="263" t="s">
        <v>141</v>
      </c>
      <c r="C73" s="19">
        <f t="shared" si="78"/>
        <v>0.14389743589743609</v>
      </c>
      <c r="D73" s="19">
        <f t="shared" si="71"/>
        <v>-0.12250000000000005</v>
      </c>
      <c r="E73" s="19">
        <f t="shared" si="72"/>
        <v>-1.4000000000000012E-2</v>
      </c>
      <c r="F73" s="19">
        <f t="shared" si="73"/>
        <v>7.8999999999999959E-2</v>
      </c>
      <c r="G73" s="19">
        <f t="shared" si="74"/>
        <v>5.3000000000000158E-2</v>
      </c>
      <c r="H73" s="19">
        <f t="shared" si="75"/>
        <v>5.9499999999999886E-2</v>
      </c>
      <c r="I73" s="19">
        <f t="shared" si="76"/>
        <v>2.750000000000008E-2</v>
      </c>
      <c r="J73" s="19">
        <f t="shared" si="77"/>
        <v>0</v>
      </c>
      <c r="K73" s="19">
        <f t="shared" si="117"/>
        <v>0</v>
      </c>
      <c r="L73" s="19">
        <f t="shared" si="80"/>
        <v>-1.0000000000000009E-2</v>
      </c>
      <c r="M73" s="19">
        <f t="shared" si="81"/>
        <v>-1.0000000000000009E-2</v>
      </c>
      <c r="N73" s="19">
        <f t="shared" si="82"/>
        <v>0</v>
      </c>
      <c r="O73" s="19">
        <f t="shared" si="83"/>
        <v>-1.5000000000000124E-2</v>
      </c>
      <c r="P73" s="19">
        <f t="shared" si="84"/>
        <v>-1.4999999999999902E-2</v>
      </c>
      <c r="Q73" s="19">
        <f t="shared" si="85"/>
        <v>-0.13500000000000001</v>
      </c>
      <c r="R73" s="19">
        <f t="shared" si="86"/>
        <v>0</v>
      </c>
      <c r="S73" s="19">
        <f t="shared" si="87"/>
        <v>-5.0000000000000044E-2</v>
      </c>
      <c r="T73" s="19">
        <f t="shared" si="88"/>
        <v>0</v>
      </c>
      <c r="U73" s="19">
        <f t="shared" si="88"/>
        <v>0</v>
      </c>
      <c r="V73" s="19">
        <f t="shared" si="88"/>
        <v>0</v>
      </c>
      <c r="W73" s="19">
        <f t="shared" si="88"/>
        <v>9.000000000000008E-2</v>
      </c>
      <c r="X73" s="19">
        <f t="shared" si="88"/>
        <v>1.0000000000000009E-2</v>
      </c>
      <c r="Y73" s="19">
        <f t="shared" si="88"/>
        <v>2.4999999999999911E-2</v>
      </c>
      <c r="Z73" s="19">
        <f t="shared" si="89"/>
        <v>0</v>
      </c>
      <c r="AA73" s="19">
        <f t="shared" si="90"/>
        <v>-5.0000000000000044E-2</v>
      </c>
      <c r="AB73" s="19">
        <f t="shared" si="90"/>
        <v>-1.4999999999999902E-2</v>
      </c>
      <c r="AC73" s="19">
        <f t="shared" si="90"/>
        <v>0</v>
      </c>
      <c r="AD73" s="19">
        <f t="shared" si="90"/>
        <v>-6.0000000000000053E-2</v>
      </c>
      <c r="AE73" s="19">
        <f t="shared" si="90"/>
        <v>-7.9999999999999849E-2</v>
      </c>
      <c r="AF73" s="19">
        <f t="shared" si="90"/>
        <v>0</v>
      </c>
      <c r="AG73" s="19">
        <f t="shared" si="91"/>
        <v>-2.0000000000000018E-2</v>
      </c>
      <c r="AH73" s="19">
        <f t="shared" si="92"/>
        <v>-0.12000000000000011</v>
      </c>
      <c r="AI73" s="19">
        <f t="shared" si="93"/>
        <v>0</v>
      </c>
      <c r="AJ73" s="19">
        <f t="shared" si="94"/>
        <v>0</v>
      </c>
      <c r="AK73" s="19">
        <f t="shared" si="95"/>
        <v>-1.4999999999999902E-2</v>
      </c>
      <c r="AL73" s="19">
        <f t="shared" si="95"/>
        <v>0</v>
      </c>
      <c r="AM73" s="19">
        <f t="shared" si="96"/>
        <v>0</v>
      </c>
      <c r="AN73" s="19">
        <f t="shared" si="97"/>
        <v>0</v>
      </c>
      <c r="AO73" s="19">
        <f t="shared" si="98"/>
        <v>0</v>
      </c>
      <c r="AP73" s="19">
        <f t="shared" si="99"/>
        <v>3.499999999999992E-2</v>
      </c>
      <c r="AQ73" s="19">
        <f t="shared" si="99"/>
        <v>3.499999999999992E-2</v>
      </c>
      <c r="AR73" s="19">
        <f t="shared" si="99"/>
        <v>3.0000000000000027E-2</v>
      </c>
      <c r="AS73" s="19">
        <f t="shared" si="100"/>
        <v>2.5000000000000133E-2</v>
      </c>
      <c r="AT73" s="19">
        <f t="shared" si="101"/>
        <v>2.0000000000000018E-2</v>
      </c>
      <c r="AU73" s="60"/>
      <c r="AV73" s="19">
        <f t="shared" si="102"/>
        <v>0</v>
      </c>
      <c r="AW73" s="19">
        <f t="shared" si="103"/>
        <v>0</v>
      </c>
      <c r="AX73" s="19">
        <f t="shared" si="104"/>
        <v>0</v>
      </c>
      <c r="AY73" s="19">
        <f t="shared" si="105"/>
        <v>5.4999999999999938E-2</v>
      </c>
      <c r="AZ73" s="19">
        <f t="shared" si="106"/>
        <v>0</v>
      </c>
      <c r="BA73" s="19">
        <f t="shared" si="106"/>
        <v>0</v>
      </c>
      <c r="BB73" s="19">
        <f t="shared" si="107"/>
        <v>0</v>
      </c>
      <c r="BC73" s="19">
        <f t="shared" si="108"/>
        <v>-1.5000000000000124E-2</v>
      </c>
      <c r="BD73" s="19">
        <f t="shared" si="109"/>
        <v>-2.9999999999999805E-2</v>
      </c>
      <c r="BE73" s="19">
        <f t="shared" si="110"/>
        <v>0</v>
      </c>
      <c r="BF73" s="19">
        <f t="shared" si="111"/>
        <v>0</v>
      </c>
      <c r="BG73" s="19">
        <f t="shared" si="111"/>
        <v>2.9999999999999805E-2</v>
      </c>
      <c r="BH73" s="19">
        <f t="shared" si="56"/>
        <v>0</v>
      </c>
      <c r="BI73" s="19">
        <f t="shared" si="57"/>
        <v>2.0000000000000018E-2</v>
      </c>
      <c r="BJ73" s="19">
        <f t="shared" si="112"/>
        <v>0</v>
      </c>
      <c r="BK73" s="19">
        <f t="shared" si="113"/>
        <v>3.0000000000000027E-2</v>
      </c>
      <c r="BL73" s="19">
        <f t="shared" si="113"/>
        <v>0</v>
      </c>
      <c r="BM73" s="19">
        <f t="shared" si="113"/>
        <v>0</v>
      </c>
      <c r="BN73" s="19">
        <f t="shared" si="113"/>
        <v>6.4999999999999947E-2</v>
      </c>
      <c r="BO73" s="19">
        <f t="shared" si="113"/>
        <v>3.5000000000000142E-2</v>
      </c>
      <c r="BP73" s="19">
        <f t="shared" si="58"/>
        <v>0</v>
      </c>
      <c r="BQ73" s="19">
        <f t="shared" si="58"/>
        <v>3.499999999999992E-2</v>
      </c>
      <c r="BR73" s="19">
        <f t="shared" si="58"/>
        <v>0</v>
      </c>
      <c r="BS73" s="19">
        <f t="shared" si="114"/>
        <v>0</v>
      </c>
      <c r="BT73" s="19">
        <f t="shared" si="114"/>
        <v>-4.4999999999999929E-2</v>
      </c>
      <c r="BU73" s="19">
        <f t="shared" si="59"/>
        <v>0</v>
      </c>
      <c r="BV73" s="19">
        <f t="shared" si="60"/>
        <v>0</v>
      </c>
      <c r="BW73" s="19">
        <f t="shared" si="115"/>
        <v>-1.0000000000000009E-2</v>
      </c>
      <c r="BX73" s="19">
        <f t="shared" si="116"/>
        <v>0</v>
      </c>
      <c r="BY73" s="19">
        <f t="shared" si="116"/>
        <v>0</v>
      </c>
      <c r="BZ73" s="19">
        <f t="shared" si="116"/>
        <v>0</v>
      </c>
      <c r="CA73" s="19">
        <f t="shared" si="116"/>
        <v>0</v>
      </c>
      <c r="CB73" s="19">
        <f t="shared" si="116"/>
        <v>0</v>
      </c>
      <c r="CC73" s="19">
        <f t="shared" si="79"/>
        <v>2.0000000000000018E-2</v>
      </c>
      <c r="CD73" s="19">
        <f t="shared" si="79"/>
        <v>0</v>
      </c>
      <c r="CE73" s="65"/>
      <c r="CG73" s="20">
        <f t="shared" si="118"/>
        <v>1.5413974358974361</v>
      </c>
      <c r="CH73" s="20">
        <f>'Input RM sheet'!AP97/1000</f>
        <v>1.3975</v>
      </c>
      <c r="CI73" s="20">
        <f>'Input RM sheet'!AQ97/1000</f>
        <v>1.52</v>
      </c>
      <c r="CJ73" s="20">
        <f>'Input RM sheet'!AR97/1000</f>
        <v>1.534</v>
      </c>
      <c r="CK73" s="20">
        <f>'Input RM sheet'!AS97/1000</f>
        <v>1.4550000000000001</v>
      </c>
      <c r="CL73" s="20">
        <f>'Input RM sheet'!AT97/1000</f>
        <v>1.4019999999999999</v>
      </c>
      <c r="CM73" s="20">
        <f>'Input RM sheet'!AU97/1000</f>
        <v>1.3425</v>
      </c>
      <c r="CN73" s="20">
        <f>'Input RM sheet'!AV97/1000</f>
        <v>1.3149999999999999</v>
      </c>
      <c r="CO73" s="20">
        <f>'Input RM sheet'!AW97/1000</f>
        <v>1.3149999999999999</v>
      </c>
      <c r="CP73" s="20">
        <f>'Input RM sheet'!AX97/1000</f>
        <v>1.3149999999999999</v>
      </c>
      <c r="CQ73" s="20">
        <f>'Input RM sheet'!AY97/1000</f>
        <v>1.325</v>
      </c>
      <c r="CR73" s="20">
        <f>'Input RM sheet'!AZ97/1000</f>
        <v>1.335</v>
      </c>
      <c r="CS73" s="20">
        <f>'Input RM sheet'!BA97/1000</f>
        <v>1.335</v>
      </c>
      <c r="CT73" s="20">
        <f>'Input RM sheet'!BB97/1000</f>
        <v>1.35</v>
      </c>
      <c r="CU73" s="20">
        <f>'Input RM sheet'!BC97/1000</f>
        <v>1.365</v>
      </c>
      <c r="CV73" s="20">
        <f>'Input RM sheet'!BD97/1000</f>
        <v>1.5</v>
      </c>
      <c r="CW73" s="20">
        <f>'Input RM sheet'!BE97/1000</f>
        <v>1.5</v>
      </c>
      <c r="CX73" s="20">
        <f>'Input RM sheet'!BF97/1000</f>
        <v>1.55</v>
      </c>
      <c r="CY73" s="20">
        <f>'Input RM sheet'!BG97/1000</f>
        <v>1.55</v>
      </c>
      <c r="CZ73" s="20">
        <f>'Input RM sheet'!BH97/1000</f>
        <v>1.55</v>
      </c>
      <c r="DA73" s="20">
        <f>'Input RM sheet'!BI97/1000</f>
        <v>1.55</v>
      </c>
      <c r="DB73" s="20">
        <f>'Input RM sheet'!BJ97/1000</f>
        <v>1.46</v>
      </c>
      <c r="DC73" s="20">
        <f>'Input RM sheet'!BK97/1000</f>
        <v>1.45</v>
      </c>
      <c r="DD73" s="20">
        <f>'Input RM sheet'!BL97/1000</f>
        <v>1.425</v>
      </c>
      <c r="DE73" s="20">
        <f>'Input RM sheet'!BM97/1000</f>
        <v>1.425</v>
      </c>
      <c r="DF73" s="20">
        <f>'Input RM sheet'!BN97/1000</f>
        <v>1.4750000000000001</v>
      </c>
      <c r="DG73" s="20">
        <f>'Input RM sheet'!BO97/1000</f>
        <v>1.49</v>
      </c>
      <c r="DH73" s="20">
        <f>'Input RM sheet'!BP97/1000</f>
        <v>1.49</v>
      </c>
      <c r="DI73" s="20">
        <f>'Input RM sheet'!BQ97/1000</f>
        <v>1.55</v>
      </c>
      <c r="DJ73" s="20">
        <f>'Input RM sheet'!BR97/1000</f>
        <v>1.63</v>
      </c>
      <c r="DK73" s="20">
        <f>'Input RM sheet'!BS97/1000</f>
        <v>1.63</v>
      </c>
      <c r="DL73" s="20">
        <f>'Input RM sheet'!BT97/1000</f>
        <v>1.65</v>
      </c>
      <c r="DM73" s="20">
        <f>'Input RM sheet'!BU97/1000</f>
        <v>1.77</v>
      </c>
      <c r="DN73" s="20">
        <f>'Input RM sheet'!BV97/1000</f>
        <v>1.77</v>
      </c>
      <c r="DO73" s="20">
        <f>'Input RM sheet'!BW97/1000</f>
        <v>1.77</v>
      </c>
      <c r="DP73" s="20">
        <f>'Input RM sheet'!BX97/1000</f>
        <v>1.7849999999999999</v>
      </c>
      <c r="DQ73" s="20">
        <f>'Input RM sheet'!BY97/1000</f>
        <v>1.7849999999999999</v>
      </c>
      <c r="DR73" s="20">
        <f>'Input RM sheet'!BZ97/1000</f>
        <v>1.7849999999999999</v>
      </c>
      <c r="DS73" s="20">
        <f>'Input RM sheet'!CA97/1000</f>
        <v>1.7849999999999999</v>
      </c>
      <c r="DT73" s="20">
        <f>'Input RM sheet'!CB97/1000</f>
        <v>1.7849999999999999</v>
      </c>
      <c r="DU73" s="20">
        <f>'Input RM sheet'!CC97/1000</f>
        <v>1.75</v>
      </c>
      <c r="DV73" s="20">
        <f>'Input RM sheet'!CD97/1000</f>
        <v>1.7150000000000001</v>
      </c>
      <c r="DW73" s="20">
        <f>'Input RM sheet'!CE97/1000</f>
        <v>1.6850000000000001</v>
      </c>
      <c r="DX73" s="20">
        <f>'Input RM sheet'!CF97/1000</f>
        <v>1.66</v>
      </c>
      <c r="DY73" s="20">
        <f>'Input RM sheet'!CG97/1000</f>
        <v>1.64</v>
      </c>
      <c r="DZ73" s="20">
        <f>'Input RM sheet'!CH97/1000</f>
        <v>1.64</v>
      </c>
      <c r="EA73" s="20">
        <f>'Input RM sheet'!CI97/1000</f>
        <v>1.64</v>
      </c>
      <c r="EB73" s="20">
        <f>'Input RM sheet'!CJ97/1000</f>
        <v>1.64</v>
      </c>
      <c r="EC73" s="20">
        <f>'Input RM sheet'!CK97/1000</f>
        <v>1.585</v>
      </c>
      <c r="ED73" s="20">
        <f>'Input RM sheet'!CL97/1000</f>
        <v>1.585</v>
      </c>
      <c r="EE73" s="20">
        <f>'Input RM sheet'!CM97/1000</f>
        <v>1.585</v>
      </c>
      <c r="EF73" s="20">
        <f>'Input RM sheet'!CN97/1000</f>
        <v>1.585</v>
      </c>
      <c r="EG73" s="20">
        <f>'Input RM sheet'!CO97/1000</f>
        <v>1.6</v>
      </c>
      <c r="EH73" s="20">
        <f>'Input RM sheet'!CP97/1000</f>
        <v>1.63</v>
      </c>
      <c r="EI73" s="20">
        <f>'Input RM sheet'!CQ97/1000</f>
        <v>1.63</v>
      </c>
      <c r="EJ73" s="20">
        <f>'Input RM sheet'!CR97/1000</f>
        <v>1.63</v>
      </c>
      <c r="EK73" s="20">
        <f>'Input RM sheet'!CS97/1000</f>
        <v>1.6</v>
      </c>
      <c r="EL73" s="20">
        <f>'Input RM sheet'!CT97/1000</f>
        <v>1.6</v>
      </c>
      <c r="EM73" s="20">
        <f>'Input RM sheet'!CU97/1000</f>
        <v>1.58</v>
      </c>
      <c r="EN73" s="20">
        <f>'Input RM sheet'!CV97/1000</f>
        <v>1.58</v>
      </c>
      <c r="EO73" s="20">
        <f>'Input RM sheet'!CW97/1000</f>
        <v>1.55</v>
      </c>
      <c r="EP73" s="20">
        <f>'Input RM sheet'!CX97/1000</f>
        <v>1.55</v>
      </c>
      <c r="EQ73" s="20">
        <f>'Input RM sheet'!CY97/1000</f>
        <v>1.55</v>
      </c>
      <c r="ER73" s="20">
        <f>'Input RM sheet'!CZ97/1000</f>
        <v>1.4850000000000001</v>
      </c>
      <c r="ES73" s="20">
        <f>'Input RM sheet'!DA97/1000</f>
        <v>1.45</v>
      </c>
      <c r="ET73" s="20">
        <f>'Input RM sheet'!DB97/1000</f>
        <v>1.45</v>
      </c>
      <c r="EU73" s="20">
        <f>'Input RM sheet'!DC97/1000</f>
        <v>1.415</v>
      </c>
      <c r="EV73" s="20">
        <f>'Input RM sheet'!DD97/1000</f>
        <v>1.415</v>
      </c>
      <c r="EW73" s="20">
        <f>'Input RM sheet'!DE97/1000</f>
        <v>1.415</v>
      </c>
      <c r="EX73" s="20">
        <f>'Input RM sheet'!DF97/1000</f>
        <v>1.46</v>
      </c>
      <c r="EY73" s="20">
        <f>'Input RM sheet'!DG97/1000</f>
        <v>1.46</v>
      </c>
      <c r="EZ73" s="20">
        <f>'Input RM sheet'!DH97/1000</f>
        <v>1.46</v>
      </c>
      <c r="FA73" s="20">
        <f>'Input RM sheet'!DI97/1000</f>
        <v>1.47</v>
      </c>
      <c r="FB73" s="20">
        <f>'Input RM sheet'!DJ97/1000</f>
        <v>1.47</v>
      </c>
      <c r="FC73" s="20">
        <f>'Input RM sheet'!DK97/1000</f>
        <v>1.47</v>
      </c>
      <c r="FD73" s="20">
        <f>'Input RM sheet'!DL97/1000</f>
        <v>1.47</v>
      </c>
      <c r="FE73" s="20">
        <f>'Input RM sheet'!DM97/1000</f>
        <v>1.47</v>
      </c>
      <c r="FF73" s="20">
        <f>'Input RM sheet'!DN97/1000</f>
        <v>1.47</v>
      </c>
      <c r="FG73" s="20">
        <f>'Input RM sheet'!DO97/1000</f>
        <v>1.45</v>
      </c>
      <c r="FH73" s="20">
        <f>'Input RM sheet'!DP97/1000</f>
        <v>1.45</v>
      </c>
    </row>
    <row r="74" spans="1:164">
      <c r="B74" s="263" t="s">
        <v>142</v>
      </c>
      <c r="C74" s="19">
        <f t="shared" si="78"/>
        <v>-0.16862820512820553</v>
      </c>
      <c r="D74" s="19">
        <f t="shared" si="71"/>
        <v>-5.7500000000000107E-2</v>
      </c>
      <c r="E74" s="19">
        <f t="shared" si="72"/>
        <v>-2.6499999999999968E-2</v>
      </c>
      <c r="F74" s="19">
        <f t="shared" si="73"/>
        <v>9.650000000000003E-2</v>
      </c>
      <c r="G74" s="19">
        <f t="shared" si="74"/>
        <v>7.1499999999999897E-2</v>
      </c>
      <c r="H74" s="19">
        <f t="shared" si="75"/>
        <v>9.6000000000000085E-2</v>
      </c>
      <c r="I74" s="19">
        <f t="shared" si="76"/>
        <v>4.500000000000004E-2</v>
      </c>
      <c r="J74" s="19">
        <f t="shared" si="77"/>
        <v>3.5000000000000031E-2</v>
      </c>
      <c r="K74" s="19">
        <f t="shared" si="117"/>
        <v>0</v>
      </c>
      <c r="L74" s="19">
        <f t="shared" si="80"/>
        <v>0</v>
      </c>
      <c r="M74" s="19">
        <f t="shared" si="81"/>
        <v>-3.5000000000000031E-2</v>
      </c>
      <c r="N74" s="19">
        <f t="shared" si="82"/>
        <v>0</v>
      </c>
      <c r="O74" s="19">
        <f t="shared" si="83"/>
        <v>-2.5000000000000022E-2</v>
      </c>
      <c r="P74" s="19">
        <f t="shared" si="84"/>
        <v>-0.10000000000000009</v>
      </c>
      <c r="Q74" s="19">
        <f t="shared" si="85"/>
        <v>0</v>
      </c>
      <c r="R74" s="19">
        <f t="shared" si="86"/>
        <v>0</v>
      </c>
      <c r="S74" s="19">
        <f t="shared" si="87"/>
        <v>0</v>
      </c>
      <c r="T74" s="19">
        <f t="shared" si="88"/>
        <v>0</v>
      </c>
      <c r="U74" s="19">
        <f t="shared" si="88"/>
        <v>0</v>
      </c>
      <c r="V74" s="19">
        <f t="shared" si="88"/>
        <v>2.5000000000000133E-2</v>
      </c>
      <c r="W74" s="19">
        <f t="shared" si="88"/>
        <v>0</v>
      </c>
      <c r="X74" s="19">
        <f t="shared" si="88"/>
        <v>1.0000000000000009E-2</v>
      </c>
      <c r="Y74" s="19">
        <f t="shared" si="88"/>
        <v>1.4999999999999902E-2</v>
      </c>
      <c r="Z74" s="19">
        <f t="shared" si="89"/>
        <v>3.0000000000000027E-2</v>
      </c>
      <c r="AA74" s="19">
        <f t="shared" si="90"/>
        <v>0</v>
      </c>
      <c r="AB74" s="19">
        <f t="shared" si="90"/>
        <v>0</v>
      </c>
      <c r="AC74" s="19">
        <f t="shared" si="90"/>
        <v>0</v>
      </c>
      <c r="AD74" s="19">
        <f t="shared" si="90"/>
        <v>0</v>
      </c>
      <c r="AE74" s="19">
        <f t="shared" si="90"/>
        <v>0</v>
      </c>
      <c r="AF74" s="19">
        <f t="shared" si="90"/>
        <v>0</v>
      </c>
      <c r="AG74" s="19">
        <f t="shared" si="91"/>
        <v>0</v>
      </c>
      <c r="AH74" s="19">
        <f t="shared" si="92"/>
        <v>0</v>
      </c>
      <c r="AI74" s="19">
        <f t="shared" si="93"/>
        <v>0</v>
      </c>
      <c r="AJ74" s="19">
        <f t="shared" si="94"/>
        <v>1.0000000000000009E-2</v>
      </c>
      <c r="AK74" s="19">
        <f t="shared" si="95"/>
        <v>0</v>
      </c>
      <c r="AL74" s="19">
        <f t="shared" si="95"/>
        <v>0</v>
      </c>
      <c r="AM74" s="19">
        <f t="shared" si="96"/>
        <v>0</v>
      </c>
      <c r="AN74" s="19">
        <f t="shared" si="97"/>
        <v>0</v>
      </c>
      <c r="AO74" s="19">
        <f t="shared" si="98"/>
        <v>0</v>
      </c>
      <c r="AP74" s="19">
        <f t="shared" si="99"/>
        <v>0</v>
      </c>
      <c r="AQ74" s="19">
        <f t="shared" si="99"/>
        <v>0</v>
      </c>
      <c r="AR74" s="19">
        <f t="shared" si="99"/>
        <v>0</v>
      </c>
      <c r="AS74" s="19">
        <f t="shared" si="100"/>
        <v>0</v>
      </c>
      <c r="AT74" s="19">
        <f t="shared" si="101"/>
        <v>0</v>
      </c>
      <c r="AU74" s="60"/>
      <c r="AV74" s="19">
        <f t="shared" si="102"/>
        <v>0</v>
      </c>
      <c r="AW74" s="19">
        <f t="shared" si="103"/>
        <v>-2.4999999999999911E-2</v>
      </c>
      <c r="AX74" s="19">
        <f t="shared" si="104"/>
        <v>-1.5000000000000124E-2</v>
      </c>
      <c r="AY74" s="19">
        <f t="shared" si="105"/>
        <v>0</v>
      </c>
      <c r="AZ74" s="19">
        <f t="shared" si="106"/>
        <v>0</v>
      </c>
      <c r="BA74" s="19">
        <f t="shared" si="106"/>
        <v>0</v>
      </c>
      <c r="BB74" s="19">
        <f t="shared" si="107"/>
        <v>0</v>
      </c>
      <c r="BC74" s="19">
        <f t="shared" si="108"/>
        <v>0</v>
      </c>
      <c r="BD74" s="19">
        <f t="shared" si="109"/>
        <v>0</v>
      </c>
      <c r="BE74" s="19">
        <f t="shared" si="110"/>
        <v>0</v>
      </c>
      <c r="BF74" s="19">
        <f t="shared" si="111"/>
        <v>0</v>
      </c>
      <c r="BG74" s="19">
        <f t="shared" si="111"/>
        <v>0</v>
      </c>
      <c r="BH74" s="19">
        <f t="shared" si="56"/>
        <v>0</v>
      </c>
      <c r="BI74" s="19">
        <f t="shared" si="57"/>
        <v>0</v>
      </c>
      <c r="BJ74" s="19">
        <f t="shared" si="112"/>
        <v>0</v>
      </c>
      <c r="BK74" s="19">
        <f t="shared" si="113"/>
        <v>0</v>
      </c>
      <c r="BL74" s="19">
        <f t="shared" si="113"/>
        <v>0</v>
      </c>
      <c r="BM74" s="19">
        <f t="shared" si="113"/>
        <v>0</v>
      </c>
      <c r="BN74" s="19">
        <f t="shared" si="113"/>
        <v>0</v>
      </c>
      <c r="BO74" s="19">
        <f t="shared" si="113"/>
        <v>0</v>
      </c>
      <c r="BP74" s="19">
        <f t="shared" si="58"/>
        <v>0</v>
      </c>
      <c r="BQ74" s="19">
        <f t="shared" si="58"/>
        <v>1.0000000000000009E-2</v>
      </c>
      <c r="BR74" s="19">
        <f t="shared" si="58"/>
        <v>0</v>
      </c>
      <c r="BS74" s="19">
        <f t="shared" si="114"/>
        <v>0</v>
      </c>
      <c r="BT74" s="19">
        <f t="shared" si="114"/>
        <v>0</v>
      </c>
      <c r="BU74" s="19">
        <f t="shared" si="59"/>
        <v>0</v>
      </c>
      <c r="BV74" s="19">
        <f t="shared" si="60"/>
        <v>0</v>
      </c>
      <c r="BW74" s="19">
        <f t="shared" si="115"/>
        <v>0</v>
      </c>
      <c r="BX74" s="19">
        <f t="shared" si="116"/>
        <v>0</v>
      </c>
      <c r="BY74" s="19">
        <f t="shared" si="116"/>
        <v>0</v>
      </c>
      <c r="BZ74" s="19">
        <f t="shared" si="116"/>
        <v>0</v>
      </c>
      <c r="CA74" s="19">
        <f t="shared" si="116"/>
        <v>0</v>
      </c>
      <c r="CB74" s="19">
        <f t="shared" si="116"/>
        <v>0</v>
      </c>
      <c r="CC74" s="19">
        <f t="shared" si="79"/>
        <v>0</v>
      </c>
      <c r="CD74" s="19">
        <f t="shared" si="79"/>
        <v>0</v>
      </c>
      <c r="CE74" s="65"/>
      <c r="CG74" s="20">
        <f t="shared" si="118"/>
        <v>1.0313717948717944</v>
      </c>
      <c r="CH74" s="20">
        <f>'Input RM sheet'!AP98/1000</f>
        <v>1.2</v>
      </c>
      <c r="CI74" s="20">
        <f>'Input RM sheet'!AQ98/1000</f>
        <v>1.2575000000000001</v>
      </c>
      <c r="CJ74" s="20">
        <f>'Input RM sheet'!AR98/1000</f>
        <v>1.284</v>
      </c>
      <c r="CK74" s="20">
        <f>'Input RM sheet'!AS98/1000</f>
        <v>1.1875</v>
      </c>
      <c r="CL74" s="20">
        <f>'Input RM sheet'!AT98/1000</f>
        <v>1.1160000000000001</v>
      </c>
      <c r="CM74" s="20">
        <f>'Input RM sheet'!AU98/1000</f>
        <v>1.02</v>
      </c>
      <c r="CN74" s="20">
        <f>'Input RM sheet'!AV98/1000</f>
        <v>0.97499999999999998</v>
      </c>
      <c r="CO74" s="20">
        <f>'Input RM sheet'!AW98/1000</f>
        <v>0.94</v>
      </c>
      <c r="CP74" s="20">
        <f>'Input RM sheet'!AX98/1000</f>
        <v>0.94</v>
      </c>
      <c r="CQ74" s="20">
        <f>'Input RM sheet'!AY98/1000</f>
        <v>0.94</v>
      </c>
      <c r="CR74" s="20">
        <f>'Input RM sheet'!AZ98/1000</f>
        <v>0.97499999999999998</v>
      </c>
      <c r="CS74" s="20">
        <f>'Input RM sheet'!BA98/1000</f>
        <v>0.97499999999999998</v>
      </c>
      <c r="CT74" s="20">
        <f>'Input RM sheet'!BB98/1000</f>
        <v>1</v>
      </c>
      <c r="CU74" s="20">
        <f>'Input RM sheet'!BC98/1000</f>
        <v>1.1000000000000001</v>
      </c>
      <c r="CV74" s="20">
        <f>'Input RM sheet'!BD98/1000</f>
        <v>1.1000000000000001</v>
      </c>
      <c r="CW74" s="20">
        <f>'Input RM sheet'!BE98/1000</f>
        <v>1.1000000000000001</v>
      </c>
      <c r="CX74" s="20">
        <f>'Input RM sheet'!BF98/1000</f>
        <v>1.1000000000000001</v>
      </c>
      <c r="CY74" s="20">
        <f>'Input RM sheet'!BG98/1000</f>
        <v>1.1000000000000001</v>
      </c>
      <c r="CZ74" s="20">
        <f>'Input RM sheet'!BH98/1000</f>
        <v>1.1000000000000001</v>
      </c>
      <c r="DA74" s="20">
        <f>'Input RM sheet'!BI98/1000</f>
        <v>1.075</v>
      </c>
      <c r="DB74" s="20">
        <f>'Input RM sheet'!BJ98/1000</f>
        <v>1.075</v>
      </c>
      <c r="DC74" s="20">
        <f>'Input RM sheet'!BK98/1000</f>
        <v>1.0649999999999999</v>
      </c>
      <c r="DD74" s="20">
        <f>'Input RM sheet'!BL98/1000</f>
        <v>1.05</v>
      </c>
      <c r="DE74" s="20">
        <f>'Input RM sheet'!BM98/1000</f>
        <v>1.02</v>
      </c>
      <c r="DF74" s="20">
        <f>'Input RM sheet'!BN98/1000</f>
        <v>1.02</v>
      </c>
      <c r="DG74" s="20">
        <f>'Input RM sheet'!BO98/1000</f>
        <v>1.02</v>
      </c>
      <c r="DH74" s="20">
        <f>'Input RM sheet'!BP98/1000</f>
        <v>1.02</v>
      </c>
      <c r="DI74" s="20">
        <f>'Input RM sheet'!BQ98/1000</f>
        <v>1.02</v>
      </c>
      <c r="DJ74" s="20">
        <f>'Input RM sheet'!BR98/1000</f>
        <v>1.02</v>
      </c>
      <c r="DK74" s="20">
        <f>'Input RM sheet'!BS98/1000</f>
        <v>1.02</v>
      </c>
      <c r="DL74" s="20">
        <f>'Input RM sheet'!BT98/1000</f>
        <v>1.02</v>
      </c>
      <c r="DM74" s="20">
        <f>'Input RM sheet'!BU98/1000</f>
        <v>1.02</v>
      </c>
      <c r="DN74" s="20">
        <f>'Input RM sheet'!BV98/1000</f>
        <v>1.02</v>
      </c>
      <c r="DO74" s="20">
        <f>'Input RM sheet'!BW98/1000</f>
        <v>1.01</v>
      </c>
      <c r="DP74" s="20">
        <f>'Input RM sheet'!BX98/1000</f>
        <v>1.01</v>
      </c>
      <c r="DQ74" s="20">
        <f>'Input RM sheet'!BY98/1000</f>
        <v>1.01</v>
      </c>
      <c r="DR74" s="20">
        <f>'Input RM sheet'!BZ98/1000</f>
        <v>1.01</v>
      </c>
      <c r="DS74" s="20">
        <f>'Input RM sheet'!CA98/1000</f>
        <v>1.01</v>
      </c>
      <c r="DT74" s="20">
        <f>'Input RM sheet'!CB98/1000</f>
        <v>1.01</v>
      </c>
      <c r="DU74" s="20">
        <f>'Input RM sheet'!CC98/1000</f>
        <v>1.01</v>
      </c>
      <c r="DV74" s="20">
        <f>'Input RM sheet'!CD98/1000</f>
        <v>1.01</v>
      </c>
      <c r="DW74" s="20">
        <f>'Input RM sheet'!CE98/1000</f>
        <v>1.01</v>
      </c>
      <c r="DX74" s="20">
        <f>'Input RM sheet'!CF98/1000</f>
        <v>1.01</v>
      </c>
      <c r="DY74" s="20">
        <f>'Input RM sheet'!CG98/1000</f>
        <v>1.01</v>
      </c>
      <c r="DZ74" s="20">
        <f>'Input RM sheet'!CH98/1000</f>
        <v>1.01</v>
      </c>
      <c r="EA74" s="20">
        <f>'Input RM sheet'!CI98/1000</f>
        <v>1.0349999999999999</v>
      </c>
      <c r="EB74" s="20">
        <f>'Input RM sheet'!CJ98/1000</f>
        <v>1.05</v>
      </c>
      <c r="EC74" s="20">
        <f>'Input RM sheet'!CK98/1000</f>
        <v>1.05</v>
      </c>
      <c r="ED74" s="20">
        <f>'Input RM sheet'!CL98/1000</f>
        <v>1.05</v>
      </c>
      <c r="EE74" s="20">
        <f>'Input RM sheet'!CM98/1000</f>
        <v>1.05</v>
      </c>
      <c r="EF74" s="20">
        <f>'Input RM sheet'!CN98/1000</f>
        <v>1.05</v>
      </c>
      <c r="EG74" s="20">
        <f>'Input RM sheet'!CO98/1000</f>
        <v>1.05</v>
      </c>
      <c r="EH74" s="20">
        <f>'Input RM sheet'!CP98/1000</f>
        <v>1.05</v>
      </c>
      <c r="EI74" s="20">
        <f>'Input RM sheet'!CQ98/1000</f>
        <v>1.05</v>
      </c>
      <c r="EJ74" s="20">
        <f>'Input RM sheet'!CR98/1000</f>
        <v>1.05</v>
      </c>
      <c r="EK74" s="20">
        <f>'Input RM sheet'!CS98/1000</f>
        <v>1.05</v>
      </c>
      <c r="EL74" s="20">
        <f>'Input RM sheet'!CT98/1000</f>
        <v>1.05</v>
      </c>
      <c r="EM74" s="20">
        <f>'Input RM sheet'!CU98/1000</f>
        <v>1.05</v>
      </c>
      <c r="EN74" s="20">
        <f>'Input RM sheet'!CV98/1000</f>
        <v>1.05</v>
      </c>
      <c r="EO74" s="20">
        <f>'Input RM sheet'!CW98/1000</f>
        <v>1.05</v>
      </c>
      <c r="EP74" s="20">
        <f>'Input RM sheet'!CX98/1000</f>
        <v>1.05</v>
      </c>
      <c r="EQ74" s="20">
        <f>'Input RM sheet'!CY98/1000</f>
        <v>1.05</v>
      </c>
      <c r="ER74" s="20">
        <f>'Input RM sheet'!CZ98/1000</f>
        <v>1.05</v>
      </c>
      <c r="ES74" s="20">
        <f>'Input RM sheet'!DA98/1000</f>
        <v>1.05</v>
      </c>
      <c r="ET74" s="20">
        <f>'Input RM sheet'!DB98/1000</f>
        <v>1.05</v>
      </c>
      <c r="EU74" s="20">
        <f>'Input RM sheet'!DC98/1000</f>
        <v>1.04</v>
      </c>
      <c r="EV74" s="20">
        <f>'Input RM sheet'!DD98/1000</f>
        <v>1.04</v>
      </c>
      <c r="EW74" s="20">
        <f>'Input RM sheet'!DE98/1000</f>
        <v>1.04</v>
      </c>
      <c r="EX74" s="20">
        <f>'Input RM sheet'!DF98/1000</f>
        <v>1.04</v>
      </c>
      <c r="EY74" s="20">
        <f>'Input RM sheet'!DG98/1000</f>
        <v>1.04</v>
      </c>
      <c r="EZ74" s="20">
        <f>'Input RM sheet'!DH98/1000</f>
        <v>1.04</v>
      </c>
      <c r="FA74" s="20">
        <f>'Input RM sheet'!DI98/1000</f>
        <v>1.04</v>
      </c>
      <c r="FB74" s="20">
        <f>'Input RM sheet'!DJ98/1000</f>
        <v>1.04</v>
      </c>
      <c r="FC74" s="20">
        <f>'Input RM sheet'!DK98/1000</f>
        <v>1.04</v>
      </c>
      <c r="FD74" s="20">
        <f>'Input RM sheet'!DL98/1000</f>
        <v>1.04</v>
      </c>
      <c r="FE74" s="20">
        <f>'Input RM sheet'!DM98/1000</f>
        <v>1.04</v>
      </c>
      <c r="FF74" s="20">
        <f>'Input RM sheet'!DN98/1000</f>
        <v>1.04</v>
      </c>
      <c r="FG74" s="20">
        <f>'Input RM sheet'!DO98/1000</f>
        <v>1.04</v>
      </c>
      <c r="FH74" s="20">
        <f>'Input RM sheet'!DP98/1000</f>
        <v>1.04</v>
      </c>
    </row>
    <row r="75" spans="1:164">
      <c r="B75" s="263" t="s">
        <v>143</v>
      </c>
      <c r="C75" s="19">
        <f>+CG75-CH75</f>
        <v>6.9871794871856352E-4</v>
      </c>
      <c r="D75" s="19">
        <f>+CH75-CI75</f>
        <v>-0.10624999999999996</v>
      </c>
      <c r="E75" s="19">
        <f t="shared" si="72"/>
        <v>-6.0000000000000053E-2</v>
      </c>
      <c r="F75" s="19">
        <f t="shared" si="73"/>
        <v>0.16000000000000014</v>
      </c>
      <c r="G75" s="19">
        <f t="shared" si="74"/>
        <v>2.8999999999999915E-2</v>
      </c>
      <c r="H75" s="19">
        <f t="shared" si="75"/>
        <v>4.8499999999999988E-2</v>
      </c>
      <c r="I75" s="19">
        <f t="shared" si="76"/>
        <v>3.2499999999999973E-2</v>
      </c>
      <c r="J75" s="19">
        <f t="shared" si="77"/>
        <v>1.0000000000000009E-2</v>
      </c>
      <c r="K75" s="19">
        <f t="shared" si="117"/>
        <v>0</v>
      </c>
      <c r="L75" s="19">
        <f t="shared" si="80"/>
        <v>-2.0000000000000018E-2</v>
      </c>
      <c r="M75" s="19">
        <f t="shared" si="81"/>
        <v>-1.4999999999999902E-2</v>
      </c>
      <c r="N75" s="19">
        <f t="shared" si="82"/>
        <v>-1.0000000000000009E-2</v>
      </c>
      <c r="O75" s="19">
        <f t="shared" si="83"/>
        <v>-2.0000000000000018E-2</v>
      </c>
      <c r="P75" s="19">
        <f t="shared" si="84"/>
        <v>-6.0000000000000053E-2</v>
      </c>
      <c r="Q75" s="19">
        <f t="shared" si="85"/>
        <v>-2.0000000000000018E-2</v>
      </c>
      <c r="R75" s="19">
        <f t="shared" si="86"/>
        <v>-2.4999999999999911E-2</v>
      </c>
      <c r="S75" s="19">
        <f t="shared" si="87"/>
        <v>-1.5000000000000124E-2</v>
      </c>
      <c r="T75" s="19">
        <f t="shared" si="88"/>
        <v>1.5000000000000124E-2</v>
      </c>
      <c r="U75" s="19">
        <f t="shared" si="88"/>
        <v>0</v>
      </c>
      <c r="V75" s="19">
        <f t="shared" si="88"/>
        <v>1.0000000000000009E-2</v>
      </c>
      <c r="W75" s="19">
        <f t="shared" si="88"/>
        <v>4.0000000000000036E-2</v>
      </c>
      <c r="X75" s="19">
        <f t="shared" si="88"/>
        <v>2.9999999999999805E-2</v>
      </c>
      <c r="Y75" s="19">
        <f t="shared" si="88"/>
        <v>1.0000000000000009E-2</v>
      </c>
      <c r="Z75" s="19">
        <f t="shared" si="89"/>
        <v>0</v>
      </c>
      <c r="AA75" s="19">
        <f t="shared" si="90"/>
        <v>1.0000000000000009E-2</v>
      </c>
      <c r="AB75" s="19">
        <f t="shared" si="90"/>
        <v>0</v>
      </c>
      <c r="AC75" s="19">
        <f t="shared" si="90"/>
        <v>0</v>
      </c>
      <c r="AD75" s="19">
        <f t="shared" si="90"/>
        <v>-3.499999999999992E-2</v>
      </c>
      <c r="AE75" s="19">
        <f t="shared" si="90"/>
        <v>0</v>
      </c>
      <c r="AF75" s="19">
        <f t="shared" si="90"/>
        <v>0</v>
      </c>
      <c r="AG75" s="19">
        <f t="shared" si="91"/>
        <v>0</v>
      </c>
      <c r="AH75" s="19">
        <f t="shared" si="92"/>
        <v>-4.4999999999999929E-2</v>
      </c>
      <c r="AI75" s="19">
        <f t="shared" si="93"/>
        <v>0</v>
      </c>
      <c r="AJ75" s="19">
        <f t="shared" si="94"/>
        <v>-3.5000000000000142E-2</v>
      </c>
      <c r="AK75" s="19">
        <f t="shared" si="95"/>
        <v>0</v>
      </c>
      <c r="AL75" s="19">
        <f t="shared" si="95"/>
        <v>0</v>
      </c>
      <c r="AM75" s="19">
        <f t="shared" si="96"/>
        <v>0</v>
      </c>
      <c r="AN75" s="19">
        <f t="shared" si="97"/>
        <v>0</v>
      </c>
      <c r="AO75" s="19">
        <f t="shared" si="98"/>
        <v>0</v>
      </c>
      <c r="AP75" s="19">
        <f t="shared" si="99"/>
        <v>0</v>
      </c>
      <c r="AQ75" s="19">
        <f t="shared" si="99"/>
        <v>2.0000000000000018E-2</v>
      </c>
      <c r="AR75" s="19">
        <f t="shared" si="99"/>
        <v>1.5000000000000124E-2</v>
      </c>
      <c r="AS75" s="19">
        <f t="shared" si="100"/>
        <v>0</v>
      </c>
      <c r="AT75" s="19">
        <f t="shared" si="101"/>
        <v>1.4999999999999902E-2</v>
      </c>
      <c r="AU75" s="60"/>
      <c r="AV75" s="19">
        <f t="shared" si="102"/>
        <v>0</v>
      </c>
      <c r="AW75" s="19">
        <f t="shared" si="103"/>
        <v>0</v>
      </c>
      <c r="AX75" s="19">
        <f t="shared" si="104"/>
        <v>0</v>
      </c>
      <c r="AY75" s="19">
        <f t="shared" si="105"/>
        <v>0</v>
      </c>
      <c r="AZ75" s="19">
        <f t="shared" si="106"/>
        <v>0</v>
      </c>
      <c r="BA75" s="19">
        <f t="shared" si="106"/>
        <v>0</v>
      </c>
      <c r="BB75" s="19">
        <f t="shared" si="107"/>
        <v>0</v>
      </c>
      <c r="BC75" s="19">
        <f t="shared" si="108"/>
        <v>-3.499999999999992E-2</v>
      </c>
      <c r="BD75" s="19">
        <f t="shared" si="109"/>
        <v>-7.4999999999999956E-2</v>
      </c>
      <c r="BE75" s="19">
        <f t="shared" si="110"/>
        <v>0</v>
      </c>
      <c r="BF75" s="19">
        <f t="shared" si="111"/>
        <v>0</v>
      </c>
      <c r="BG75" s="19">
        <f t="shared" si="111"/>
        <v>2.0000000000000018E-2</v>
      </c>
      <c r="BH75" s="19">
        <f t="shared" si="56"/>
        <v>0</v>
      </c>
      <c r="BI75" s="19">
        <f t="shared" si="57"/>
        <v>3.499999999999992E-2</v>
      </c>
      <c r="BJ75" s="19">
        <f t="shared" si="112"/>
        <v>0</v>
      </c>
      <c r="BK75" s="19">
        <f t="shared" si="113"/>
        <v>0</v>
      </c>
      <c r="BL75" s="19">
        <f t="shared" si="113"/>
        <v>2.0000000000000018E-2</v>
      </c>
      <c r="BM75" s="19">
        <f t="shared" si="113"/>
        <v>0</v>
      </c>
      <c r="BN75" s="19">
        <f t="shared" si="113"/>
        <v>3.0000000000000027E-2</v>
      </c>
      <c r="BO75" s="19">
        <f t="shared" si="113"/>
        <v>3.0000000000000027E-2</v>
      </c>
      <c r="BP75" s="19">
        <f t="shared" si="58"/>
        <v>0</v>
      </c>
      <c r="BQ75" s="19">
        <f t="shared" si="58"/>
        <v>0</v>
      </c>
      <c r="BR75" s="19">
        <f t="shared" si="58"/>
        <v>0</v>
      </c>
      <c r="BS75" s="19">
        <f t="shared" si="114"/>
        <v>0</v>
      </c>
      <c r="BT75" s="19">
        <f t="shared" si="114"/>
        <v>0</v>
      </c>
      <c r="BU75" s="19">
        <f t="shared" si="59"/>
        <v>0</v>
      </c>
      <c r="BV75" s="19">
        <f t="shared" si="60"/>
        <v>0</v>
      </c>
      <c r="BW75" s="19">
        <f t="shared" si="115"/>
        <v>0</v>
      </c>
      <c r="BX75" s="19">
        <f t="shared" si="116"/>
        <v>0</v>
      </c>
      <c r="BY75" s="19">
        <f t="shared" si="116"/>
        <v>0</v>
      </c>
      <c r="BZ75" s="19">
        <f t="shared" si="116"/>
        <v>0</v>
      </c>
      <c r="CA75" s="19">
        <f t="shared" si="116"/>
        <v>0</v>
      </c>
      <c r="CB75" s="19">
        <f t="shared" si="116"/>
        <v>0</v>
      </c>
      <c r="CC75" s="19">
        <f t="shared" si="79"/>
        <v>1.0000000000000009E-2</v>
      </c>
      <c r="CD75" s="19">
        <f t="shared" si="79"/>
        <v>9.9999999999997868E-3</v>
      </c>
      <c r="CE75" s="65"/>
      <c r="CG75" s="20">
        <f t="shared" si="118"/>
        <v>1.2694487179487186</v>
      </c>
      <c r="CH75" s="20">
        <f>'Input RM sheet'!AP99/1000</f>
        <v>1.26875</v>
      </c>
      <c r="CI75" s="20">
        <f>'Input RM sheet'!AQ99/1000</f>
        <v>1.375</v>
      </c>
      <c r="CJ75" s="20">
        <f>'Input RM sheet'!AR99/1000</f>
        <v>1.4350000000000001</v>
      </c>
      <c r="CK75" s="20">
        <f>'Input RM sheet'!AS99/1000</f>
        <v>1.2749999999999999</v>
      </c>
      <c r="CL75" s="20">
        <f>'Input RM sheet'!AT99/1000</f>
        <v>1.246</v>
      </c>
      <c r="CM75" s="20">
        <f>'Input RM sheet'!AU99/1000</f>
        <v>1.1975</v>
      </c>
      <c r="CN75" s="20">
        <f>'Input RM sheet'!AV99/1000</f>
        <v>1.165</v>
      </c>
      <c r="CO75" s="20">
        <f>'Input RM sheet'!AW99/1000</f>
        <v>1.155</v>
      </c>
      <c r="CP75" s="20">
        <f>'Input RM sheet'!AX99/1000</f>
        <v>1.155</v>
      </c>
      <c r="CQ75" s="20">
        <f>'Input RM sheet'!AY99/1000</f>
        <v>1.175</v>
      </c>
      <c r="CR75" s="20">
        <f>'Input RM sheet'!AZ99/1000</f>
        <v>1.19</v>
      </c>
      <c r="CS75" s="20">
        <f>'Input RM sheet'!BA99/1000</f>
        <v>1.2</v>
      </c>
      <c r="CT75" s="20">
        <f>'Input RM sheet'!BB99/1000</f>
        <v>1.22</v>
      </c>
      <c r="CU75" s="20">
        <f>'Input RM sheet'!BC99/1000</f>
        <v>1.28</v>
      </c>
      <c r="CV75" s="20">
        <f>'Input RM sheet'!BD99/1000</f>
        <v>1.3</v>
      </c>
      <c r="CW75" s="20">
        <f>'Input RM sheet'!BE99/1000</f>
        <v>1.325</v>
      </c>
      <c r="CX75" s="20">
        <f>'Input RM sheet'!BF99/1000</f>
        <v>1.34</v>
      </c>
      <c r="CY75" s="20">
        <f>'Input RM sheet'!BG99/1000</f>
        <v>1.325</v>
      </c>
      <c r="CZ75" s="20">
        <f>'Input RM sheet'!BH99/1000</f>
        <v>1.325</v>
      </c>
      <c r="DA75" s="20">
        <f>'Input RM sheet'!BI99/1000</f>
        <v>1.3149999999999999</v>
      </c>
      <c r="DB75" s="20">
        <f>'Input RM sheet'!BJ99/1000</f>
        <v>1.2749999999999999</v>
      </c>
      <c r="DC75" s="20">
        <f>'Input RM sheet'!BK99/1000</f>
        <v>1.2450000000000001</v>
      </c>
      <c r="DD75" s="20">
        <f>'Input RM sheet'!BL99/1000</f>
        <v>1.2350000000000001</v>
      </c>
      <c r="DE75" s="20">
        <f>'Input RM sheet'!BM99/1000</f>
        <v>1.2350000000000001</v>
      </c>
      <c r="DF75" s="20">
        <f>'Input RM sheet'!BN99/1000</f>
        <v>1.2250000000000001</v>
      </c>
      <c r="DG75" s="20">
        <f>'Input RM sheet'!BO99/1000</f>
        <v>1.2250000000000001</v>
      </c>
      <c r="DH75" s="20">
        <f>'Input RM sheet'!BP99/1000</f>
        <v>1.2250000000000001</v>
      </c>
      <c r="DI75" s="20">
        <f>'Input RM sheet'!BQ99/1000</f>
        <v>1.26</v>
      </c>
      <c r="DJ75" s="20">
        <f>'Input RM sheet'!BR99/1000</f>
        <v>1.26</v>
      </c>
      <c r="DK75" s="20">
        <f>'Input RM sheet'!BS99/1000</f>
        <v>1.26</v>
      </c>
      <c r="DL75" s="20">
        <f>'Input RM sheet'!BT99/1000</f>
        <v>1.26</v>
      </c>
      <c r="DM75" s="20">
        <f>'Input RM sheet'!BU99/1000</f>
        <v>1.3049999999999999</v>
      </c>
      <c r="DN75" s="20">
        <f>'Input RM sheet'!BV99/1000</f>
        <v>1.3049999999999999</v>
      </c>
      <c r="DO75" s="20">
        <f>'Input RM sheet'!BW99/1000</f>
        <v>1.34</v>
      </c>
      <c r="DP75" s="20">
        <f>'Input RM sheet'!BX99/1000</f>
        <v>1.34</v>
      </c>
      <c r="DQ75" s="20">
        <f>'Input RM sheet'!BY99/1000</f>
        <v>1.34</v>
      </c>
      <c r="DR75" s="20">
        <f>'Input RM sheet'!BZ99/1000</f>
        <v>1.34</v>
      </c>
      <c r="DS75" s="20">
        <f>'Input RM sheet'!CA99/1000</f>
        <v>1.34</v>
      </c>
      <c r="DT75" s="20">
        <f>'Input RM sheet'!CB99/1000</f>
        <v>1.34</v>
      </c>
      <c r="DU75" s="20">
        <f>'Input RM sheet'!CC99/1000</f>
        <v>1.34</v>
      </c>
      <c r="DV75" s="20">
        <f>'Input RM sheet'!CD99/1000</f>
        <v>1.32</v>
      </c>
      <c r="DW75" s="20">
        <f>'Input RM sheet'!CE99/1000</f>
        <v>1.3049999999999999</v>
      </c>
      <c r="DX75" s="20">
        <f>'Input RM sheet'!CF99/1000</f>
        <v>1.3049999999999999</v>
      </c>
      <c r="DY75" s="20">
        <f>'Input RM sheet'!CG99/1000</f>
        <v>1.29</v>
      </c>
      <c r="DZ75" s="20">
        <f>'Input RM sheet'!CH99/1000</f>
        <v>1.29</v>
      </c>
      <c r="EA75" s="20">
        <f>'Input RM sheet'!CI99/1000</f>
        <v>1.29</v>
      </c>
      <c r="EB75" s="20">
        <f>'Input RM sheet'!CJ99/1000</f>
        <v>1.29</v>
      </c>
      <c r="EC75" s="20">
        <f>'Input RM sheet'!CK99/1000</f>
        <v>1.29</v>
      </c>
      <c r="ED75" s="20">
        <f>'Input RM sheet'!CL99/1000</f>
        <v>1.29</v>
      </c>
      <c r="EE75" s="20">
        <f>'Input RM sheet'!CM99/1000</f>
        <v>1.29</v>
      </c>
      <c r="EF75" s="20">
        <f>'Input RM sheet'!CN99/1000</f>
        <v>1.29</v>
      </c>
      <c r="EG75" s="20">
        <f>'Input RM sheet'!CO99/1000</f>
        <v>1.325</v>
      </c>
      <c r="EH75" s="20">
        <f>'Input RM sheet'!CP99/1000</f>
        <v>1.4</v>
      </c>
      <c r="EI75" s="20">
        <f>'Input RM sheet'!CQ99/1000</f>
        <v>1.4</v>
      </c>
      <c r="EJ75" s="20">
        <f>'Input RM sheet'!CR99/1000</f>
        <v>1.4</v>
      </c>
      <c r="EK75" s="20">
        <f>'Input RM sheet'!CS99/1000</f>
        <v>1.38</v>
      </c>
      <c r="EL75" s="20">
        <f>'Input RM sheet'!CT99/1000</f>
        <v>1.38</v>
      </c>
      <c r="EM75" s="20">
        <f>'Input RM sheet'!CU99/1000</f>
        <v>1.345</v>
      </c>
      <c r="EN75" s="20">
        <f>'Input RM sheet'!CV99/1000</f>
        <v>1.345</v>
      </c>
      <c r="EO75" s="20">
        <f>'Input RM sheet'!CW99/1000</f>
        <v>1.345</v>
      </c>
      <c r="EP75" s="20">
        <f>'Input RM sheet'!CX99/1000</f>
        <v>1.325</v>
      </c>
      <c r="EQ75" s="20">
        <f>'Input RM sheet'!CY99/1000</f>
        <v>1.325</v>
      </c>
      <c r="ER75" s="20">
        <f>'Input RM sheet'!CZ99/1000</f>
        <v>1.2949999999999999</v>
      </c>
      <c r="ES75" s="20">
        <f>'Input RM sheet'!DA99/1000</f>
        <v>1.2649999999999999</v>
      </c>
      <c r="ET75" s="20">
        <f>'Input RM sheet'!DB99/1000</f>
        <v>1.2649999999999999</v>
      </c>
      <c r="EU75" s="20">
        <f>'Input RM sheet'!DC99/1000</f>
        <v>1.2649999999999999</v>
      </c>
      <c r="EV75" s="20">
        <f>'Input RM sheet'!DD99/1000</f>
        <v>1.2649999999999999</v>
      </c>
      <c r="EW75" s="20">
        <f>'Input RM sheet'!DE99/1000</f>
        <v>1.2649999999999999</v>
      </c>
      <c r="EX75" s="20">
        <f>'Input RM sheet'!DF99/1000</f>
        <v>1.2649999999999999</v>
      </c>
      <c r="EY75" s="20">
        <f>'Input RM sheet'!DG99/1000</f>
        <v>1.2649999999999999</v>
      </c>
      <c r="EZ75" s="20">
        <f>'Input RM sheet'!DH99/1000</f>
        <v>1.2649999999999999</v>
      </c>
      <c r="FA75" s="20">
        <f>'Input RM sheet'!DI99/1000</f>
        <v>1.2649999999999999</v>
      </c>
      <c r="FB75" s="20">
        <f>'Input RM sheet'!DJ99/1000</f>
        <v>1.2649999999999999</v>
      </c>
      <c r="FC75" s="20">
        <f>'Input RM sheet'!DK99/1000</f>
        <v>1.2649999999999999</v>
      </c>
      <c r="FD75" s="20">
        <f>'Input RM sheet'!DL99/1000</f>
        <v>1.2649999999999999</v>
      </c>
      <c r="FE75" s="20">
        <f>'Input RM sheet'!DM99/1000</f>
        <v>1.2649999999999999</v>
      </c>
      <c r="FF75" s="20">
        <f>'Input RM sheet'!DN99/1000</f>
        <v>1.2649999999999999</v>
      </c>
      <c r="FG75" s="20">
        <f>'Input RM sheet'!DO99/1000</f>
        <v>1.2549999999999999</v>
      </c>
      <c r="FH75" s="20">
        <f>'Input RM sheet'!DP99/1000</f>
        <v>1.2450000000000001</v>
      </c>
    </row>
    <row r="76" spans="1:164">
      <c r="B76" s="263" t="s">
        <v>144</v>
      </c>
      <c r="C76" s="19">
        <f t="shared" si="78"/>
        <v>-0.25086538461538388</v>
      </c>
      <c r="D76" s="19">
        <f t="shared" si="71"/>
        <v>0</v>
      </c>
      <c r="E76" s="19">
        <f t="shared" si="72"/>
        <v>0</v>
      </c>
      <c r="F76" s="19">
        <f t="shared" si="73"/>
        <v>7.6249999999999929E-2</v>
      </c>
      <c r="G76" s="19">
        <f t="shared" si="74"/>
        <v>8.7500000000000355E-3</v>
      </c>
      <c r="H76" s="19">
        <f t="shared" si="75"/>
        <v>8.7499999999999911E-2</v>
      </c>
      <c r="I76" s="19">
        <f t="shared" si="76"/>
        <v>1.2500000000000178E-2</v>
      </c>
      <c r="J76" s="19">
        <f t="shared" si="77"/>
        <v>7.4999999999999956E-2</v>
      </c>
      <c r="K76" s="19">
        <f t="shared" si="117"/>
        <v>0</v>
      </c>
      <c r="L76" s="19">
        <f t="shared" si="80"/>
        <v>2.4999999999999911E-2</v>
      </c>
      <c r="M76" s="19">
        <f t="shared" si="81"/>
        <v>0</v>
      </c>
      <c r="N76" s="19">
        <f t="shared" si="82"/>
        <v>0</v>
      </c>
      <c r="O76" s="19">
        <f t="shared" si="83"/>
        <v>0</v>
      </c>
      <c r="P76" s="19">
        <f t="shared" si="84"/>
        <v>0</v>
      </c>
      <c r="Q76" s="19">
        <f t="shared" si="85"/>
        <v>-5.0000000000000044E-2</v>
      </c>
      <c r="R76" s="19">
        <f t="shared" si="86"/>
        <v>0</v>
      </c>
      <c r="S76" s="19">
        <f t="shared" si="87"/>
        <v>0</v>
      </c>
      <c r="T76" s="19">
        <f t="shared" si="88"/>
        <v>0</v>
      </c>
      <c r="U76" s="19">
        <f t="shared" si="88"/>
        <v>0</v>
      </c>
      <c r="V76" s="19">
        <f t="shared" si="88"/>
        <v>0</v>
      </c>
      <c r="W76" s="19">
        <f t="shared" si="88"/>
        <v>0</v>
      </c>
      <c r="X76" s="19">
        <f t="shared" si="88"/>
        <v>0</v>
      </c>
      <c r="Y76" s="19">
        <f t="shared" si="88"/>
        <v>0</v>
      </c>
      <c r="Z76" s="19">
        <f t="shared" si="89"/>
        <v>1.0000000000000009E-2</v>
      </c>
      <c r="AA76" s="19">
        <f t="shared" si="90"/>
        <v>0</v>
      </c>
      <c r="AB76" s="19">
        <f t="shared" si="90"/>
        <v>0</v>
      </c>
      <c r="AC76" s="19">
        <f t="shared" si="90"/>
        <v>0</v>
      </c>
      <c r="AD76" s="19">
        <f t="shared" si="90"/>
        <v>0</v>
      </c>
      <c r="AE76" s="19">
        <f t="shared" si="90"/>
        <v>0</v>
      </c>
      <c r="AF76" s="19">
        <f t="shared" si="90"/>
        <v>0</v>
      </c>
      <c r="AG76" s="19">
        <f t="shared" si="91"/>
        <v>0</v>
      </c>
      <c r="AH76" s="19">
        <f t="shared" si="92"/>
        <v>5.0000000000000044E-2</v>
      </c>
      <c r="AI76" s="19">
        <f t="shared" si="93"/>
        <v>0</v>
      </c>
      <c r="AJ76" s="19">
        <f t="shared" si="94"/>
        <v>0</v>
      </c>
      <c r="AK76" s="19">
        <f t="shared" si="95"/>
        <v>0</v>
      </c>
      <c r="AL76" s="19">
        <f t="shared" si="95"/>
        <v>0</v>
      </c>
      <c r="AM76" s="19">
        <f t="shared" si="96"/>
        <v>0</v>
      </c>
      <c r="AN76" s="19">
        <f t="shared" si="97"/>
        <v>0</v>
      </c>
      <c r="AO76" s="19">
        <f t="shared" si="98"/>
        <v>0</v>
      </c>
      <c r="AP76" s="19">
        <f t="shared" si="99"/>
        <v>0</v>
      </c>
      <c r="AQ76" s="19">
        <f t="shared" si="99"/>
        <v>0</v>
      </c>
      <c r="AR76" s="19">
        <f t="shared" si="99"/>
        <v>0</v>
      </c>
      <c r="AS76" s="19">
        <f t="shared" si="100"/>
        <v>0</v>
      </c>
      <c r="AT76" s="19">
        <f t="shared" si="101"/>
        <v>0</v>
      </c>
      <c r="AU76" s="60"/>
      <c r="AV76" s="19">
        <f t="shared" si="102"/>
        <v>0</v>
      </c>
      <c r="AW76" s="19">
        <f t="shared" si="103"/>
        <v>0</v>
      </c>
      <c r="AX76" s="19">
        <f t="shared" si="104"/>
        <v>0</v>
      </c>
      <c r="AY76" s="19">
        <f t="shared" si="105"/>
        <v>0</v>
      </c>
      <c r="AZ76" s="19">
        <f t="shared" si="106"/>
        <v>0</v>
      </c>
      <c r="BA76" s="19">
        <f t="shared" si="106"/>
        <v>0</v>
      </c>
      <c r="BB76" s="19">
        <f t="shared" si="107"/>
        <v>0</v>
      </c>
      <c r="BC76" s="19">
        <f t="shared" si="108"/>
        <v>4.0000000000000036E-2</v>
      </c>
      <c r="BD76" s="19">
        <f t="shared" si="109"/>
        <v>0</v>
      </c>
      <c r="BE76" s="19">
        <f t="shared" si="110"/>
        <v>0</v>
      </c>
      <c r="BF76" s="19">
        <f t="shared" si="111"/>
        <v>0</v>
      </c>
      <c r="BG76" s="19">
        <f t="shared" si="111"/>
        <v>0</v>
      </c>
      <c r="BH76" s="19">
        <f t="shared" si="56"/>
        <v>0</v>
      </c>
      <c r="BI76" s="19">
        <f t="shared" si="57"/>
        <v>0</v>
      </c>
      <c r="BJ76" s="19">
        <f t="shared" si="112"/>
        <v>0</v>
      </c>
      <c r="BK76" s="19">
        <f t="shared" si="113"/>
        <v>0</v>
      </c>
      <c r="BL76" s="19">
        <f t="shared" si="113"/>
        <v>0</v>
      </c>
      <c r="BM76" s="19">
        <f t="shared" si="113"/>
        <v>0</v>
      </c>
      <c r="BN76" s="19">
        <f t="shared" si="113"/>
        <v>0</v>
      </c>
      <c r="BO76" s="19">
        <f t="shared" si="113"/>
        <v>0</v>
      </c>
      <c r="BP76" s="19">
        <f t="shared" si="58"/>
        <v>0</v>
      </c>
      <c r="BQ76" s="19">
        <f t="shared" si="58"/>
        <v>0</v>
      </c>
      <c r="BR76" s="19">
        <f t="shared" si="58"/>
        <v>0</v>
      </c>
      <c r="BS76" s="19">
        <f t="shared" si="114"/>
        <v>0</v>
      </c>
      <c r="BT76" s="19">
        <f t="shared" si="114"/>
        <v>0</v>
      </c>
      <c r="BU76" s="19">
        <f t="shared" si="59"/>
        <v>0</v>
      </c>
      <c r="BV76" s="19">
        <f t="shared" si="60"/>
        <v>0</v>
      </c>
      <c r="BW76" s="19">
        <f t="shared" si="115"/>
        <v>0</v>
      </c>
      <c r="BX76" s="19">
        <f t="shared" si="116"/>
        <v>0</v>
      </c>
      <c r="BY76" s="19">
        <f t="shared" si="116"/>
        <v>0</v>
      </c>
      <c r="BZ76" s="19">
        <f t="shared" si="116"/>
        <v>0</v>
      </c>
      <c r="CA76" s="19">
        <f t="shared" si="116"/>
        <v>0</v>
      </c>
      <c r="CB76" s="19">
        <f t="shared" si="116"/>
        <v>0</v>
      </c>
      <c r="CC76" s="19">
        <f t="shared" si="79"/>
        <v>0</v>
      </c>
      <c r="CD76" s="19">
        <f t="shared" si="79"/>
        <v>0</v>
      </c>
      <c r="CE76" s="65"/>
      <c r="CG76" s="20">
        <f t="shared" si="118"/>
        <v>1.4591346153846161</v>
      </c>
      <c r="CH76" s="20">
        <f>'Input RM sheet'!AP100/1000</f>
        <v>1.71</v>
      </c>
      <c r="CI76" s="20">
        <f>'Input RM sheet'!AQ100/1000</f>
        <v>1.71</v>
      </c>
      <c r="CJ76" s="20">
        <f>'Input RM sheet'!AR100/1000</f>
        <v>1.71</v>
      </c>
      <c r="CK76" s="20">
        <f>'Input RM sheet'!AS100/1000</f>
        <v>1.63375</v>
      </c>
      <c r="CL76" s="20">
        <f>'Input RM sheet'!AT100/1000</f>
        <v>1.625</v>
      </c>
      <c r="CM76" s="20">
        <f>'Input RM sheet'!AU100/1000</f>
        <v>1.5375000000000001</v>
      </c>
      <c r="CN76" s="20">
        <f>'Input RM sheet'!AV100/1000</f>
        <v>1.5249999999999999</v>
      </c>
      <c r="CO76" s="20">
        <f>'Input RM sheet'!AW100/1000</f>
        <v>1.45</v>
      </c>
      <c r="CP76" s="20">
        <f>'Input RM sheet'!AX100/1000</f>
        <v>1.45</v>
      </c>
      <c r="CQ76" s="20">
        <f>'Input RM sheet'!AY100/1000</f>
        <v>1.425</v>
      </c>
      <c r="CR76" s="20">
        <f>'Input RM sheet'!AZ100/1000</f>
        <v>1.425</v>
      </c>
      <c r="CS76" s="20">
        <f>'Input RM sheet'!BA100/1000</f>
        <v>1.425</v>
      </c>
      <c r="CT76" s="20">
        <f>'Input RM sheet'!BB100/1000</f>
        <v>1.425</v>
      </c>
      <c r="CU76" s="20">
        <f>'Input RM sheet'!BC100/1000</f>
        <v>1.425</v>
      </c>
      <c r="CV76" s="20">
        <f>'Input RM sheet'!BD100/1000</f>
        <v>1.4750000000000001</v>
      </c>
      <c r="CW76" s="20">
        <f>'Input RM sheet'!BE100/1000</f>
        <v>1.4750000000000001</v>
      </c>
      <c r="CX76" s="20">
        <f>'Input RM sheet'!BF100/1000</f>
        <v>1.4750000000000001</v>
      </c>
      <c r="CY76" s="20">
        <f>'Input RM sheet'!BG100/1000</f>
        <v>1.4750000000000001</v>
      </c>
      <c r="CZ76" s="20">
        <f>'Input RM sheet'!BH100/1000</f>
        <v>1.4750000000000001</v>
      </c>
      <c r="DA76" s="20">
        <f>'Input RM sheet'!BI100/1000</f>
        <v>1.4750000000000001</v>
      </c>
      <c r="DB76" s="20">
        <f>'Input RM sheet'!BJ100/1000</f>
        <v>1.4750000000000001</v>
      </c>
      <c r="DC76" s="20">
        <f>'Input RM sheet'!BK100/1000</f>
        <v>1.4750000000000001</v>
      </c>
      <c r="DD76" s="20">
        <f>'Input RM sheet'!BL100/1000</f>
        <v>1.4750000000000001</v>
      </c>
      <c r="DE76" s="20">
        <f>'Input RM sheet'!BM100/1000</f>
        <v>1.4650000000000001</v>
      </c>
      <c r="DF76" s="20">
        <f>'Input RM sheet'!BN100/1000</f>
        <v>1.4650000000000001</v>
      </c>
      <c r="DG76" s="20">
        <f>'Input RM sheet'!BO100/1000</f>
        <v>1.4650000000000001</v>
      </c>
      <c r="DH76" s="20">
        <f>'Input RM sheet'!BP100/1000</f>
        <v>1.4650000000000001</v>
      </c>
      <c r="DI76" s="20">
        <f>'Input RM sheet'!BQ100/1000</f>
        <v>1.4650000000000001</v>
      </c>
      <c r="DJ76" s="20">
        <f>'Input RM sheet'!BR100/1000</f>
        <v>1.4650000000000001</v>
      </c>
      <c r="DK76" s="20">
        <f>'Input RM sheet'!BS100/1000</f>
        <v>1.4650000000000001</v>
      </c>
      <c r="DL76" s="20">
        <f>'Input RM sheet'!BT100/1000</f>
        <v>1.4650000000000001</v>
      </c>
      <c r="DM76" s="20">
        <f>'Input RM sheet'!BU100/1000</f>
        <v>1.415</v>
      </c>
      <c r="DN76" s="20">
        <f>'Input RM sheet'!BV100/1000</f>
        <v>1.415</v>
      </c>
      <c r="DO76" s="20">
        <f>'Input RM sheet'!BW100/1000</f>
        <v>1.415</v>
      </c>
      <c r="DP76" s="20">
        <f>'Input RM sheet'!BX100/1000</f>
        <v>1.415</v>
      </c>
      <c r="DQ76" s="20">
        <f>'Input RM sheet'!BY100/1000</f>
        <v>1.415</v>
      </c>
      <c r="DR76" s="20">
        <f>'Input RM sheet'!BZ100/1000</f>
        <v>1.415</v>
      </c>
      <c r="DS76" s="20">
        <f>'Input RM sheet'!CA100/1000</f>
        <v>1.415</v>
      </c>
      <c r="DT76" s="20">
        <f>'Input RM sheet'!CB100/1000</f>
        <v>1.415</v>
      </c>
      <c r="DU76" s="20">
        <f>'Input RM sheet'!CC100/1000</f>
        <v>1.415</v>
      </c>
      <c r="DV76" s="20">
        <f>'Input RM sheet'!CD100/1000</f>
        <v>1.415</v>
      </c>
      <c r="DW76" s="20">
        <f>'Input RM sheet'!CE100/1000</f>
        <v>1.415</v>
      </c>
      <c r="DX76" s="20">
        <f>'Input RM sheet'!CF100/1000</f>
        <v>1.415</v>
      </c>
      <c r="DY76" s="20">
        <f>'Input RM sheet'!CG100/1000</f>
        <v>1.415</v>
      </c>
      <c r="DZ76" s="20">
        <f>'Input RM sheet'!CH100/1000</f>
        <v>1.415</v>
      </c>
      <c r="EA76" s="20">
        <f>'Input RM sheet'!CI100/1000</f>
        <v>1.415</v>
      </c>
      <c r="EB76" s="20">
        <f>'Input RM sheet'!CJ100/1000</f>
        <v>1.415</v>
      </c>
      <c r="EC76" s="20">
        <f>'Input RM sheet'!CK100/1000</f>
        <v>1.415</v>
      </c>
      <c r="ED76" s="20">
        <f>'Input RM sheet'!CL100/1000</f>
        <v>1.415</v>
      </c>
      <c r="EE76" s="20">
        <f>'Input RM sheet'!CM100/1000</f>
        <v>1.415</v>
      </c>
      <c r="EF76" s="20">
        <f>'Input RM sheet'!CN100/1000</f>
        <v>1.415</v>
      </c>
      <c r="EG76" s="20">
        <f>'Input RM sheet'!CO100/1000</f>
        <v>1.375</v>
      </c>
      <c r="EH76" s="20">
        <f>'Input RM sheet'!CP100/1000</f>
        <v>1.375</v>
      </c>
      <c r="EI76" s="20">
        <f>'Input RM sheet'!CQ100/1000</f>
        <v>1.375</v>
      </c>
      <c r="EJ76" s="20">
        <f>'Input RM sheet'!CR100/1000</f>
        <v>1.375</v>
      </c>
      <c r="EK76" s="20">
        <f>'Input RM sheet'!CS100/1000</f>
        <v>1.375</v>
      </c>
      <c r="EL76" s="20">
        <f>'Input RM sheet'!CT100/1000</f>
        <v>1.375</v>
      </c>
      <c r="EM76" s="20">
        <f>'Input RM sheet'!CU100/1000</f>
        <v>1.375</v>
      </c>
      <c r="EN76" s="20">
        <f>'Input RM sheet'!CV100/1000</f>
        <v>1.375</v>
      </c>
      <c r="EO76" s="20">
        <f>'Input RM sheet'!CW100/1000</f>
        <v>1.375</v>
      </c>
      <c r="EP76" s="20">
        <f>'Input RM sheet'!CX100/1000</f>
        <v>1.375</v>
      </c>
      <c r="EQ76" s="20">
        <f>'Input RM sheet'!CY100/1000</f>
        <v>1.375</v>
      </c>
      <c r="ER76" s="20">
        <f>'Input RM sheet'!CZ100/1000</f>
        <v>1.375</v>
      </c>
      <c r="ES76" s="20">
        <f>'Input RM sheet'!DA100/1000</f>
        <v>1.375</v>
      </c>
      <c r="ET76" s="20">
        <f>'Input RM sheet'!DB100/1000</f>
        <v>1.375</v>
      </c>
      <c r="EU76" s="20">
        <f>'Input RM sheet'!DC100/1000</f>
        <v>1.375</v>
      </c>
      <c r="EV76" s="20">
        <f>'Input RM sheet'!DD100/1000</f>
        <v>1.375</v>
      </c>
      <c r="EW76" s="20">
        <f>'Input RM sheet'!DE100/1000</f>
        <v>1.375</v>
      </c>
      <c r="EX76" s="20">
        <f>'Input RM sheet'!DF100/1000</f>
        <v>1.375</v>
      </c>
      <c r="EY76" s="20">
        <f>'Input RM sheet'!DG100/1000</f>
        <v>1.375</v>
      </c>
      <c r="EZ76" s="20">
        <f>'Input RM sheet'!DH100/1000</f>
        <v>1.375</v>
      </c>
      <c r="FA76" s="20">
        <f>'Input RM sheet'!DI100/1000</f>
        <v>1.375</v>
      </c>
      <c r="FB76" s="20">
        <f>'Input RM sheet'!DJ100/1000</f>
        <v>1.375</v>
      </c>
      <c r="FC76" s="20">
        <f>'Input RM sheet'!DK100/1000</f>
        <v>1.375</v>
      </c>
      <c r="FD76" s="20">
        <f>'Input RM sheet'!DL100/1000</f>
        <v>1.375</v>
      </c>
      <c r="FE76" s="20">
        <f>'Input RM sheet'!DM100/1000</f>
        <v>1.375</v>
      </c>
      <c r="FF76" s="20">
        <f>'Input RM sheet'!DN100/1000</f>
        <v>1.375</v>
      </c>
      <c r="FG76" s="20">
        <f>'Input RM sheet'!DO100/1000</f>
        <v>1.375</v>
      </c>
      <c r="FH76" s="20">
        <f>'Input RM sheet'!DP100/1000</f>
        <v>1.375</v>
      </c>
    </row>
    <row r="77" spans="1:164">
      <c r="B77" s="263" t="s">
        <v>82</v>
      </c>
      <c r="C77" s="19">
        <f t="shared" si="78"/>
        <v>-0.17163461538461511</v>
      </c>
      <c r="D77" s="19">
        <f t="shared" si="71"/>
        <v>-7.5000000000000622E-3</v>
      </c>
      <c r="E77" s="19">
        <f t="shared" si="72"/>
        <v>8.0000000000000071E-3</v>
      </c>
      <c r="F77" s="19">
        <f t="shared" si="73"/>
        <v>7.3250000000000037E-2</v>
      </c>
      <c r="G77" s="19">
        <f t="shared" si="74"/>
        <v>3.7500000000001421E-3</v>
      </c>
      <c r="H77" s="19">
        <f t="shared" si="75"/>
        <v>3.9999999999999813E-2</v>
      </c>
      <c r="I77" s="19">
        <f t="shared" si="76"/>
        <v>0</v>
      </c>
      <c r="J77" s="19">
        <f t="shared" si="77"/>
        <v>7.5000000000000178E-2</v>
      </c>
      <c r="K77" s="19">
        <f t="shared" si="117"/>
        <v>0</v>
      </c>
      <c r="L77" s="19">
        <f t="shared" si="80"/>
        <v>2.4999999999999911E-2</v>
      </c>
      <c r="M77" s="19">
        <f t="shared" si="81"/>
        <v>0</v>
      </c>
      <c r="N77" s="19">
        <f t="shared" si="82"/>
        <v>0</v>
      </c>
      <c r="O77" s="19">
        <f t="shared" si="83"/>
        <v>0</v>
      </c>
      <c r="P77" s="19">
        <f t="shared" si="84"/>
        <v>0</v>
      </c>
      <c r="Q77" s="19">
        <f t="shared" si="85"/>
        <v>-5.0000000000000044E-2</v>
      </c>
      <c r="R77" s="19">
        <f t="shared" si="86"/>
        <v>0</v>
      </c>
      <c r="S77" s="19">
        <f t="shared" si="87"/>
        <v>0</v>
      </c>
      <c r="T77" s="19">
        <f t="shared" si="88"/>
        <v>0</v>
      </c>
      <c r="U77" s="19">
        <f t="shared" si="88"/>
        <v>0</v>
      </c>
      <c r="V77" s="19">
        <f t="shared" si="88"/>
        <v>0</v>
      </c>
      <c r="W77" s="19">
        <f t="shared" si="88"/>
        <v>0</v>
      </c>
      <c r="X77" s="19">
        <f t="shared" si="88"/>
        <v>0</v>
      </c>
      <c r="Y77" s="19">
        <f t="shared" si="88"/>
        <v>0</v>
      </c>
      <c r="Z77" s="19">
        <f t="shared" si="89"/>
        <v>1.0000000000000009E-2</v>
      </c>
      <c r="AA77" s="19">
        <f t="shared" si="90"/>
        <v>0</v>
      </c>
      <c r="AB77" s="19">
        <f t="shared" si="90"/>
        <v>0</v>
      </c>
      <c r="AC77" s="19">
        <f t="shared" si="90"/>
        <v>0</v>
      </c>
      <c r="AD77" s="19">
        <f t="shared" si="90"/>
        <v>0</v>
      </c>
      <c r="AE77" s="19">
        <f t="shared" si="90"/>
        <v>0</v>
      </c>
      <c r="AF77" s="19">
        <f t="shared" si="90"/>
        <v>0</v>
      </c>
      <c r="AG77" s="19">
        <f t="shared" si="91"/>
        <v>0</v>
      </c>
      <c r="AH77" s="19">
        <f t="shared" si="92"/>
        <v>0</v>
      </c>
      <c r="AI77" s="19">
        <f t="shared" si="93"/>
        <v>0</v>
      </c>
      <c r="AJ77" s="19">
        <f t="shared" si="94"/>
        <v>-4.9999999999998934E-3</v>
      </c>
      <c r="AK77" s="19">
        <f t="shared" si="95"/>
        <v>0</v>
      </c>
      <c r="AL77" s="19">
        <f t="shared" si="95"/>
        <v>0</v>
      </c>
      <c r="AM77" s="19">
        <f t="shared" si="96"/>
        <v>0</v>
      </c>
      <c r="AN77" s="19">
        <f t="shared" si="97"/>
        <v>0</v>
      </c>
      <c r="AO77" s="19">
        <f t="shared" si="98"/>
        <v>0</v>
      </c>
      <c r="AP77" s="19">
        <f t="shared" si="99"/>
        <v>0</v>
      </c>
      <c r="AQ77" s="19">
        <f t="shared" si="99"/>
        <v>0</v>
      </c>
      <c r="AR77" s="19">
        <f t="shared" si="99"/>
        <v>0</v>
      </c>
      <c r="AS77" s="19">
        <f t="shared" si="100"/>
        <v>0</v>
      </c>
      <c r="AT77" s="19">
        <f t="shared" si="101"/>
        <v>0</v>
      </c>
      <c r="AU77" s="60"/>
      <c r="AV77" s="19">
        <f t="shared" si="102"/>
        <v>0</v>
      </c>
      <c r="AW77" s="19">
        <f t="shared" si="103"/>
        <v>0</v>
      </c>
      <c r="AX77" s="19">
        <f t="shared" si="104"/>
        <v>0</v>
      </c>
      <c r="AY77" s="19">
        <f t="shared" si="105"/>
        <v>0</v>
      </c>
      <c r="AZ77" s="19">
        <f t="shared" si="106"/>
        <v>0</v>
      </c>
      <c r="BA77" s="19">
        <f t="shared" si="106"/>
        <v>0</v>
      </c>
      <c r="BB77" s="19">
        <f t="shared" si="107"/>
        <v>0</v>
      </c>
      <c r="BC77" s="19">
        <f t="shared" si="108"/>
        <v>4.4999999999999929E-2</v>
      </c>
      <c r="BD77" s="19">
        <f t="shared" si="109"/>
        <v>0</v>
      </c>
      <c r="BE77" s="19">
        <f t="shared" si="110"/>
        <v>0</v>
      </c>
      <c r="BF77" s="19">
        <f t="shared" si="111"/>
        <v>0</v>
      </c>
      <c r="BG77" s="19">
        <f t="shared" si="111"/>
        <v>0</v>
      </c>
      <c r="BH77" s="19">
        <f t="shared" si="56"/>
        <v>0</v>
      </c>
      <c r="BI77" s="19">
        <f t="shared" si="57"/>
        <v>0</v>
      </c>
      <c r="BJ77" s="19">
        <f t="shared" si="112"/>
        <v>0</v>
      </c>
      <c r="BK77" s="19">
        <f t="shared" si="113"/>
        <v>0</v>
      </c>
      <c r="BL77" s="19">
        <f t="shared" si="113"/>
        <v>0</v>
      </c>
      <c r="BM77" s="19">
        <f t="shared" si="113"/>
        <v>0</v>
      </c>
      <c r="BN77" s="19">
        <f t="shared" si="113"/>
        <v>0</v>
      </c>
      <c r="BO77" s="19">
        <f t="shared" si="113"/>
        <v>0</v>
      </c>
      <c r="BP77" s="19">
        <f t="shared" si="58"/>
        <v>0</v>
      </c>
      <c r="BQ77" s="19">
        <f t="shared" si="58"/>
        <v>3.0000000000000027E-2</v>
      </c>
      <c r="BR77" s="19">
        <f t="shared" si="58"/>
        <v>0</v>
      </c>
      <c r="BS77" s="19">
        <f t="shared" si="114"/>
        <v>0</v>
      </c>
      <c r="BT77" s="19">
        <f t="shared" si="114"/>
        <v>0</v>
      </c>
      <c r="BU77" s="19">
        <f t="shared" si="59"/>
        <v>0</v>
      </c>
      <c r="BV77" s="19">
        <f t="shared" si="60"/>
        <v>0</v>
      </c>
      <c r="BW77" s="19">
        <f t="shared" si="115"/>
        <v>-3.0000000000000027E-2</v>
      </c>
      <c r="BX77" s="19">
        <f t="shared" si="116"/>
        <v>0</v>
      </c>
      <c r="BY77" s="19">
        <f t="shared" si="116"/>
        <v>0</v>
      </c>
      <c r="BZ77" s="19">
        <f t="shared" si="116"/>
        <v>0</v>
      </c>
      <c r="CA77" s="19">
        <f t="shared" si="116"/>
        <v>0</v>
      </c>
      <c r="CB77" s="19">
        <f t="shared" si="116"/>
        <v>0</v>
      </c>
      <c r="CC77" s="19">
        <f t="shared" si="79"/>
        <v>0</v>
      </c>
      <c r="CD77" s="19">
        <f t="shared" si="79"/>
        <v>0</v>
      </c>
      <c r="CE77" s="65"/>
      <c r="CG77" s="20">
        <f t="shared" si="118"/>
        <v>1.4208653846153849</v>
      </c>
      <c r="CH77" s="20">
        <f>'Input RM sheet'!AP101/1000</f>
        <v>1.5925</v>
      </c>
      <c r="CI77" s="20">
        <f>'Input RM sheet'!AQ101/1000</f>
        <v>1.6</v>
      </c>
      <c r="CJ77" s="20">
        <f>'Input RM sheet'!AR101/1000</f>
        <v>1.5920000000000001</v>
      </c>
      <c r="CK77" s="20">
        <f>'Input RM sheet'!AS101/1000</f>
        <v>1.51875</v>
      </c>
      <c r="CL77" s="20">
        <f>'Input RM sheet'!AT101/1000</f>
        <v>1.5149999999999999</v>
      </c>
      <c r="CM77" s="20">
        <f>'Input RM sheet'!AU101/1000</f>
        <v>1.4750000000000001</v>
      </c>
      <c r="CN77" s="20">
        <f>'Input RM sheet'!AV101/1000</f>
        <v>1.4750000000000001</v>
      </c>
      <c r="CO77" s="20">
        <f>'Input RM sheet'!AW101/1000</f>
        <v>1.4</v>
      </c>
      <c r="CP77" s="20">
        <f>'Input RM sheet'!AX101/1000</f>
        <v>1.4</v>
      </c>
      <c r="CQ77" s="20">
        <f>'Input RM sheet'!AY101/1000</f>
        <v>1.375</v>
      </c>
      <c r="CR77" s="20">
        <f>'Input RM sheet'!AZ101/1000</f>
        <v>1.375</v>
      </c>
      <c r="CS77" s="20">
        <f>'Input RM sheet'!BA101/1000</f>
        <v>1.375</v>
      </c>
      <c r="CT77" s="20">
        <f>'Input RM sheet'!BB101/1000</f>
        <v>1.375</v>
      </c>
      <c r="CU77" s="20">
        <f>'Input RM sheet'!BC101/1000</f>
        <v>1.375</v>
      </c>
      <c r="CV77" s="20">
        <f>'Input RM sheet'!BD101/1000</f>
        <v>1.425</v>
      </c>
      <c r="CW77" s="20">
        <f>'Input RM sheet'!BE101/1000</f>
        <v>1.425</v>
      </c>
      <c r="CX77" s="20">
        <f>'Input RM sheet'!BF101/1000</f>
        <v>1.425</v>
      </c>
      <c r="CY77" s="20">
        <f>'Input RM sheet'!BG101/1000</f>
        <v>1.425</v>
      </c>
      <c r="CZ77" s="20">
        <f>'Input RM sheet'!BH101/1000</f>
        <v>1.425</v>
      </c>
      <c r="DA77" s="20">
        <f>'Input RM sheet'!BI101/1000</f>
        <v>1.425</v>
      </c>
      <c r="DB77" s="20">
        <f>'Input RM sheet'!BJ101/1000</f>
        <v>1.425</v>
      </c>
      <c r="DC77" s="20">
        <f>'Input RM sheet'!BK101/1000</f>
        <v>1.425</v>
      </c>
      <c r="DD77" s="20">
        <f>'Input RM sheet'!BL101/1000</f>
        <v>1.425</v>
      </c>
      <c r="DE77" s="20">
        <f>'Input RM sheet'!BM101/1000</f>
        <v>1.415</v>
      </c>
      <c r="DF77" s="20">
        <f>'Input RM sheet'!BN101/1000</f>
        <v>1.415</v>
      </c>
      <c r="DG77" s="20">
        <f>'Input RM sheet'!BO101/1000</f>
        <v>1.415</v>
      </c>
      <c r="DH77" s="20">
        <f>'Input RM sheet'!BP101/1000</f>
        <v>1.415</v>
      </c>
      <c r="DI77" s="20">
        <f>'Input RM sheet'!BQ101/1000</f>
        <v>1.415</v>
      </c>
      <c r="DJ77" s="20">
        <f>'Input RM sheet'!BR101/1000</f>
        <v>1.415</v>
      </c>
      <c r="DK77" s="20">
        <f>'Input RM sheet'!BS101/1000</f>
        <v>1.415</v>
      </c>
      <c r="DL77" s="20">
        <f>'Input RM sheet'!BT101/1000</f>
        <v>1.415</v>
      </c>
      <c r="DM77" s="20">
        <f>'Input RM sheet'!BU101/1000</f>
        <v>1.415</v>
      </c>
      <c r="DN77" s="20">
        <f>'Input RM sheet'!BV101/1000</f>
        <v>1.415</v>
      </c>
      <c r="DO77" s="20">
        <f>'Input RM sheet'!BW101/1000</f>
        <v>1.42</v>
      </c>
      <c r="DP77" s="20">
        <f>'Input RM sheet'!BX101/1000</f>
        <v>1.42</v>
      </c>
      <c r="DQ77" s="20">
        <f>'Input RM sheet'!BY101/1000</f>
        <v>1.42</v>
      </c>
      <c r="DR77" s="20">
        <f>'Input RM sheet'!BZ101/1000</f>
        <v>1.42</v>
      </c>
      <c r="DS77" s="20">
        <f>'Input RM sheet'!CA101/1000</f>
        <v>1.42</v>
      </c>
      <c r="DT77" s="20">
        <f>'Input RM sheet'!CB101/1000</f>
        <v>1.42</v>
      </c>
      <c r="DU77" s="20">
        <f>'Input RM sheet'!CC101/1000</f>
        <v>1.42</v>
      </c>
      <c r="DV77" s="20">
        <f>'Input RM sheet'!CD101/1000</f>
        <v>1.42</v>
      </c>
      <c r="DW77" s="20">
        <f>'Input RM sheet'!CE101/1000</f>
        <v>1.42</v>
      </c>
      <c r="DX77" s="20">
        <f>'Input RM sheet'!CF101/1000</f>
        <v>1.42</v>
      </c>
      <c r="DY77" s="20">
        <f>'Input RM sheet'!CG101/1000</f>
        <v>1.42</v>
      </c>
      <c r="DZ77" s="20">
        <f>'Input RM sheet'!CH101/1000</f>
        <v>1.42</v>
      </c>
      <c r="EA77" s="20">
        <f>'Input RM sheet'!CI101/1000</f>
        <v>1.42</v>
      </c>
      <c r="EB77" s="20">
        <f>'Input RM sheet'!CJ101/1000</f>
        <v>1.42</v>
      </c>
      <c r="EC77" s="20">
        <f>'Input RM sheet'!CK101/1000</f>
        <v>1.42</v>
      </c>
      <c r="ED77" s="20">
        <f>'Input RM sheet'!CL101/1000</f>
        <v>1.42</v>
      </c>
      <c r="EE77" s="20">
        <f>'Input RM sheet'!CM101/1000</f>
        <v>1.42</v>
      </c>
      <c r="EF77" s="20">
        <f>'Input RM sheet'!CN101/1000</f>
        <v>1.42</v>
      </c>
      <c r="EG77" s="20">
        <f>'Input RM sheet'!CO101/1000</f>
        <v>1.375</v>
      </c>
      <c r="EH77" s="20">
        <f>'Input RM sheet'!CP101/1000</f>
        <v>1.375</v>
      </c>
      <c r="EI77" s="20">
        <f>'Input RM sheet'!CQ101/1000</f>
        <v>1.375</v>
      </c>
      <c r="EJ77" s="20">
        <f>'Input RM sheet'!CR101/1000</f>
        <v>1.375</v>
      </c>
      <c r="EK77" s="20">
        <f>'Input RM sheet'!CS101/1000</f>
        <v>1.375</v>
      </c>
      <c r="EL77" s="20">
        <f>'Input RM sheet'!CT101/1000</f>
        <v>1.375</v>
      </c>
      <c r="EM77" s="20">
        <f>'Input RM sheet'!CU101/1000</f>
        <v>1.375</v>
      </c>
      <c r="EN77" s="20">
        <f>'Input RM sheet'!CV101/1000</f>
        <v>1.375</v>
      </c>
      <c r="EO77" s="20">
        <f>'Input RM sheet'!CW101/1000</f>
        <v>1.375</v>
      </c>
      <c r="EP77" s="20">
        <f>'Input RM sheet'!CX101/1000</f>
        <v>1.375</v>
      </c>
      <c r="EQ77" s="20">
        <f>'Input RM sheet'!CY101/1000</f>
        <v>1.375</v>
      </c>
      <c r="ER77" s="20">
        <f>'Input RM sheet'!CZ101/1000</f>
        <v>1.375</v>
      </c>
      <c r="ES77" s="20">
        <f>'Input RM sheet'!DA101/1000</f>
        <v>1.375</v>
      </c>
      <c r="ET77" s="20">
        <f>'Input RM sheet'!DB101/1000</f>
        <v>1.375</v>
      </c>
      <c r="EU77" s="20">
        <f>'Input RM sheet'!DC101/1000</f>
        <v>1.345</v>
      </c>
      <c r="EV77" s="20">
        <f>'Input RM sheet'!DD101/1000</f>
        <v>1.345</v>
      </c>
      <c r="EW77" s="20">
        <f>'Input RM sheet'!DE101/1000</f>
        <v>1.345</v>
      </c>
      <c r="EX77" s="20">
        <f>'Input RM sheet'!DF101/1000</f>
        <v>1.345</v>
      </c>
      <c r="EY77" s="20">
        <f>'Input RM sheet'!DG101/1000</f>
        <v>1.345</v>
      </c>
      <c r="EZ77" s="20">
        <f>'Input RM sheet'!DH101/1000</f>
        <v>1.345</v>
      </c>
      <c r="FA77" s="20">
        <f>'Input RM sheet'!DI101/1000</f>
        <v>1.375</v>
      </c>
      <c r="FB77" s="20">
        <f>'Input RM sheet'!DJ101/1000</f>
        <v>1.375</v>
      </c>
      <c r="FC77" s="20">
        <f>'Input RM sheet'!DK101/1000</f>
        <v>1.375</v>
      </c>
      <c r="FD77" s="20">
        <f>'Input RM sheet'!DL101/1000</f>
        <v>1.375</v>
      </c>
      <c r="FE77" s="20">
        <f>'Input RM sheet'!DM101/1000</f>
        <v>1.375</v>
      </c>
      <c r="FF77" s="20">
        <f>'Input RM sheet'!DN101/1000</f>
        <v>1.375</v>
      </c>
      <c r="FG77" s="20">
        <f>'Input RM sheet'!DO101/1000</f>
        <v>1.375</v>
      </c>
      <c r="FH77" s="20">
        <f>'Input RM sheet'!DP101/1000</f>
        <v>1.375</v>
      </c>
    </row>
    <row r="78" spans="1:164" ht="15">
      <c r="A78" s="8" t="s">
        <v>203</v>
      </c>
      <c r="B78" s="45" t="s">
        <v>266</v>
      </c>
      <c r="C78" s="19">
        <f t="shared" ref="C78:Y78" si="119">+CG78-CH78</f>
        <v>9.7679004026231642E-2</v>
      </c>
      <c r="D78" s="19">
        <f t="shared" si="119"/>
        <v>-0.25297780418268934</v>
      </c>
      <c r="E78" s="19">
        <f t="shared" si="119"/>
        <v>-9.8497239332957509E-2</v>
      </c>
      <c r="F78" s="19">
        <f t="shared" si="119"/>
        <v>0.26305556488770332</v>
      </c>
      <c r="G78" s="19">
        <f t="shared" si="119"/>
        <v>-3.3611517164697791E-2</v>
      </c>
      <c r="H78" s="19">
        <f t="shared" si="119"/>
        <v>6.339720772307933E-2</v>
      </c>
      <c r="I78" s="19">
        <f t="shared" si="119"/>
        <v>0.18624608830410416</v>
      </c>
      <c r="J78" s="19">
        <f t="shared" si="119"/>
        <v>0</v>
      </c>
      <c r="K78" s="19">
        <f t="shared" si="119"/>
        <v>-4.7096556810090284E-2</v>
      </c>
      <c r="L78" s="19">
        <f t="shared" si="119"/>
        <v>-1.3891768261237392E-2</v>
      </c>
      <c r="M78" s="19">
        <f t="shared" si="119"/>
        <v>-8.7401622722740768E-2</v>
      </c>
      <c r="N78" s="19">
        <f t="shared" si="119"/>
        <v>-4.1360507528111601E-2</v>
      </c>
      <c r="O78" s="19">
        <f t="shared" si="119"/>
        <v>-1.3763623975983297E-2</v>
      </c>
      <c r="P78" s="19">
        <f t="shared" si="119"/>
        <v>1.4415431491799247E-2</v>
      </c>
      <c r="Q78" s="19">
        <f t="shared" si="119"/>
        <v>-9.5153364414950481E-2</v>
      </c>
      <c r="R78" s="19">
        <f t="shared" si="119"/>
        <v>-0.14794847226276264</v>
      </c>
      <c r="S78" s="19">
        <f t="shared" si="119"/>
        <v>2.0971490745602672E-3</v>
      </c>
      <c r="T78" s="19">
        <f t="shared" si="119"/>
        <v>-5.1824463571341628E-2</v>
      </c>
      <c r="U78" s="19">
        <f t="shared" si="119"/>
        <v>0</v>
      </c>
      <c r="V78" s="19">
        <f t="shared" si="119"/>
        <v>-2.1953418596193597E-2</v>
      </c>
      <c r="W78" s="19">
        <f t="shared" si="119"/>
        <v>0.27713317010278082</v>
      </c>
      <c r="X78" s="19">
        <f t="shared" si="119"/>
        <v>1.8107464309009558E-3</v>
      </c>
      <c r="Y78" s="19">
        <f t="shared" si="119"/>
        <v>-4.6686777241403021E-2</v>
      </c>
      <c r="Z78" s="19">
        <f t="shared" si="89"/>
        <v>-0.10610751960384146</v>
      </c>
      <c r="AA78" s="19">
        <f t="shared" si="90"/>
        <v>0</v>
      </c>
      <c r="AB78" s="19">
        <f t="shared" si="90"/>
        <v>-3.3272111275125749E-2</v>
      </c>
      <c r="AC78" s="19">
        <f t="shared" si="90"/>
        <v>0.2027390789295902</v>
      </c>
      <c r="AD78" s="19">
        <f t="shared" si="90"/>
        <v>5.007120363778883E-2</v>
      </c>
      <c r="AE78" s="19">
        <f t="shared" si="90"/>
        <v>2.677376295210232E-2</v>
      </c>
      <c r="AF78" s="19">
        <f t="shared" si="90"/>
        <v>-6.6793359292454113E-2</v>
      </c>
      <c r="AG78" s="19">
        <f t="shared" si="91"/>
        <v>-7.0540540445516164E-3</v>
      </c>
      <c r="AH78" s="19">
        <f t="shared" si="92"/>
        <v>7.9926461423407869E-2</v>
      </c>
      <c r="AI78" s="19">
        <f t="shared" si="93"/>
        <v>4.8644381952467342E-4</v>
      </c>
      <c r="AJ78" s="19">
        <f t="shared" si="94"/>
        <v>-9.1111073002037024E-3</v>
      </c>
      <c r="AK78" s="19">
        <f t="shared" si="95"/>
        <v>-6.6511706060266462E-2</v>
      </c>
      <c r="AL78" s="19">
        <f t="shared" si="95"/>
        <v>1.4455580807164026E-2</v>
      </c>
      <c r="AM78" s="19">
        <f t="shared" si="96"/>
        <v>1.1379250240497463E-3</v>
      </c>
      <c r="AN78" s="19">
        <f t="shared" si="97"/>
        <v>6.4643573183476022E-4</v>
      </c>
      <c r="AO78" s="19">
        <f t="shared" si="98"/>
        <v>5.260263028515233E-2</v>
      </c>
      <c r="AP78" s="19">
        <f t="shared" si="99"/>
        <v>2.4273458448709206E-3</v>
      </c>
      <c r="AQ78" s="19">
        <f t="shared" si="99"/>
        <v>-0.10381655818249991</v>
      </c>
      <c r="AR78" s="19">
        <f t="shared" si="99"/>
        <v>-2.3507180723077337E-2</v>
      </c>
      <c r="AS78" s="19">
        <f t="shared" si="100"/>
        <v>-0.10319893756349519</v>
      </c>
      <c r="AT78" s="19">
        <f t="shared" si="101"/>
        <v>2.0144310549996547E-3</v>
      </c>
      <c r="AU78" s="60" t="s">
        <v>51</v>
      </c>
      <c r="AV78" s="19">
        <f t="shared" si="102"/>
        <v>0</v>
      </c>
      <c r="AW78" s="19">
        <f t="shared" si="103"/>
        <v>2.9029971153375911E-2</v>
      </c>
      <c r="AX78" s="19">
        <f t="shared" si="104"/>
        <v>6.9852713806214162E-2</v>
      </c>
      <c r="AY78" s="19">
        <f t="shared" si="105"/>
        <v>4.7418652844269715E-2</v>
      </c>
      <c r="AZ78" s="19">
        <f t="shared" si="106"/>
        <v>0</v>
      </c>
      <c r="BA78" s="19">
        <f t="shared" si="106"/>
        <v>0</v>
      </c>
      <c r="BB78" s="19">
        <f t="shared" si="107"/>
        <v>0</v>
      </c>
      <c r="BC78" s="19">
        <f t="shared" si="108"/>
        <v>-9.6892326900813952E-2</v>
      </c>
      <c r="BD78" s="19">
        <f t="shared" si="109"/>
        <v>-5.8059942306751822E-3</v>
      </c>
      <c r="BE78" s="19">
        <f t="shared" si="110"/>
        <v>3.8920954162326993E-3</v>
      </c>
      <c r="BF78" s="19">
        <f t="shared" si="111"/>
        <v>9.4450585569212819E-2</v>
      </c>
      <c r="BG78" s="19">
        <f t="shared" si="111"/>
        <v>3.7583230879721707E-2</v>
      </c>
      <c r="BH78" s="19">
        <f t="shared" si="56"/>
        <v>0</v>
      </c>
      <c r="BI78" s="19">
        <f t="shared" si="57"/>
        <v>6.145811331612494E-2</v>
      </c>
      <c r="BJ78" s="19">
        <f t="shared" si="112"/>
        <v>7.2990766898433979E-2</v>
      </c>
      <c r="BK78" s="19">
        <f t="shared" si="113"/>
        <v>-9.4569124822461603E-2</v>
      </c>
      <c r="BL78" s="19">
        <f t="shared" si="113"/>
        <v>1.7228760011636091E-3</v>
      </c>
      <c r="BM78" s="19">
        <f t="shared" si="113"/>
        <v>5.8075779324577415E-2</v>
      </c>
      <c r="BN78" s="19">
        <f t="shared" si="113"/>
        <v>-1.9984395575299629E-2</v>
      </c>
      <c r="BO78" s="19">
        <f t="shared" si="113"/>
        <v>-6.8594301087823606E-2</v>
      </c>
      <c r="BP78" s="19">
        <f t="shared" si="58"/>
        <v>3.1643353276564312E-2</v>
      </c>
      <c r="BQ78" s="19">
        <f t="shared" si="58"/>
        <v>5.3836253902751263E-2</v>
      </c>
      <c r="BR78" s="19">
        <f t="shared" si="58"/>
        <v>-6.7255008717563847E-3</v>
      </c>
      <c r="BS78" s="19">
        <f t="shared" si="114"/>
        <v>-1.7963845397473754E-2</v>
      </c>
      <c r="BT78" s="19">
        <f t="shared" si="114"/>
        <v>-6.0185703794978895E-2</v>
      </c>
      <c r="BU78" s="19">
        <f t="shared" si="59"/>
        <v>0.11120201693444143</v>
      </c>
      <c r="BV78" s="19">
        <f t="shared" si="60"/>
        <v>8.2507893003171517E-2</v>
      </c>
      <c r="BW78" s="19">
        <f t="shared" si="115"/>
        <v>-4.5210571439655567E-3</v>
      </c>
      <c r="BX78" s="19">
        <f t="shared" si="116"/>
        <v>-2.8653083514390776E-2</v>
      </c>
      <c r="BY78" s="19">
        <f t="shared" si="116"/>
        <v>4.9425232353040638E-2</v>
      </c>
      <c r="BZ78" s="19">
        <f t="shared" si="116"/>
        <v>-2.5985103049536828E-2</v>
      </c>
      <c r="CA78" s="19">
        <f t="shared" si="116"/>
        <v>1.4872414779567578E-3</v>
      </c>
      <c r="CB78" s="19">
        <f t="shared" si="116"/>
        <v>-2.174045355503873E-2</v>
      </c>
      <c r="CC78" s="19">
        <f t="shared" si="79"/>
        <v>5.7800526545524811E-2</v>
      </c>
      <c r="CD78" s="19">
        <f t="shared" si="79"/>
        <v>-3.599908439664512E-2</v>
      </c>
      <c r="CE78" s="65"/>
      <c r="CG78" s="20">
        <f t="shared" si="118"/>
        <v>2.3740096442058456</v>
      </c>
      <c r="CH78" s="20">
        <f>'n-methylaniline'!AS18</f>
        <v>2.276330640179614</v>
      </c>
      <c r="CI78" s="20">
        <f>'n-methylaniline'!AT18</f>
        <v>2.5293084443623033</v>
      </c>
      <c r="CJ78" s="20">
        <f>'n-methylaniline'!AU18</f>
        <v>2.6278056836952608</v>
      </c>
      <c r="CK78" s="20">
        <f>'n-methylaniline'!AV18</f>
        <v>2.3647501188075575</v>
      </c>
      <c r="CL78" s="20">
        <f>'n-methylaniline'!AW18</f>
        <v>2.3983616359722553</v>
      </c>
      <c r="CM78" s="20">
        <f>'n-methylaniline'!AX18</f>
        <v>2.3349644282491759</v>
      </c>
      <c r="CN78" s="20">
        <f>'n-methylaniline'!AY18</f>
        <v>2.1487183399450718</v>
      </c>
      <c r="CO78" s="20">
        <f>'n-methylaniline'!AZ18</f>
        <v>2.1487183399450718</v>
      </c>
      <c r="CP78" s="20">
        <f>'n-methylaniline'!BA18</f>
        <v>2.1958148967551621</v>
      </c>
      <c r="CQ78" s="20">
        <f>'n-methylaniline'!BB18</f>
        <v>2.2097066650163995</v>
      </c>
      <c r="CR78" s="20">
        <f>'n-methylaniline'!BC18</f>
        <v>2.2971082877391402</v>
      </c>
      <c r="CS78" s="20">
        <f>'n-methylaniline'!BD18</f>
        <v>2.3384687952672518</v>
      </c>
      <c r="CT78" s="20">
        <f>'n-methylaniline'!BE18</f>
        <v>2.3522324192432351</v>
      </c>
      <c r="CU78" s="20">
        <f>'n-methylaniline'!BF18</f>
        <v>2.3378169877514359</v>
      </c>
      <c r="CV78" s="20">
        <f>'n-methylaniline'!BG18</f>
        <v>2.4329703521663864</v>
      </c>
      <c r="CW78" s="20">
        <f>'n-methylaniline'!BH18</f>
        <v>2.580918824429149</v>
      </c>
      <c r="CX78" s="20">
        <f>'n-methylaniline'!BI18</f>
        <v>2.5788216753545887</v>
      </c>
      <c r="CY78" s="20">
        <f>'n-methylaniline'!BJ18</f>
        <v>2.6306461389259304</v>
      </c>
      <c r="CZ78" s="20">
        <f>'n-methylaniline'!BK18</f>
        <v>2.6306461389259304</v>
      </c>
      <c r="DA78" s="20">
        <f>'n-methylaniline'!BL18</f>
        <v>2.652599557522124</v>
      </c>
      <c r="DB78" s="20">
        <f>'n-methylaniline'!BM18</f>
        <v>2.3754663874193431</v>
      </c>
      <c r="DC78" s="20">
        <f>'n-methylaniline'!BN18</f>
        <v>2.3736556409884422</v>
      </c>
      <c r="DD78" s="20">
        <f>'n-methylaniline'!BO18</f>
        <v>2.4203424182298452</v>
      </c>
      <c r="DE78" s="20">
        <f>'n-methylaniline'!BP18</f>
        <v>2.5264499378336867</v>
      </c>
      <c r="DF78" s="20">
        <f>'n-methylaniline'!BQ18</f>
        <v>2.5264499378336867</v>
      </c>
      <c r="DG78" s="20">
        <f>'n-methylaniline'!BR18</f>
        <v>2.5597220491088124</v>
      </c>
      <c r="DH78" s="20">
        <f>'n-methylaniline'!BS18</f>
        <v>2.3569829701792222</v>
      </c>
      <c r="DI78" s="20">
        <f>'n-methylaniline'!BT18</f>
        <v>2.3069117665414334</v>
      </c>
      <c r="DJ78" s="20">
        <f>'n-methylaniline'!BU18</f>
        <v>2.2801380035893311</v>
      </c>
      <c r="DK78" s="20">
        <f>'n-methylaniline'!BV18</f>
        <v>2.3469313628817852</v>
      </c>
      <c r="DL78" s="20">
        <f>'n-methylaniline'!BW18</f>
        <v>2.3539854169263368</v>
      </c>
      <c r="DM78" s="20">
        <f>'n-methylaniline'!BX18</f>
        <v>2.2740589555029289</v>
      </c>
      <c r="DN78" s="20">
        <f>'n-methylaniline'!BY18</f>
        <v>2.2735725116834042</v>
      </c>
      <c r="DO78" s="20">
        <f>'n-methylaniline'!BZ18</f>
        <v>2.2826836189836079</v>
      </c>
      <c r="DP78" s="20">
        <f>'n-methylaniline'!CA18</f>
        <v>2.3491953250438744</v>
      </c>
      <c r="DQ78" s="20">
        <f>'n-methylaniline'!CB18</f>
        <v>2.3347397442367104</v>
      </c>
      <c r="DR78" s="20">
        <f>'n-methylaniline'!CC18</f>
        <v>2.3336018192126606</v>
      </c>
      <c r="DS78" s="20">
        <f>'n-methylaniline'!CD18</f>
        <v>2.3329553834808259</v>
      </c>
      <c r="DT78" s="20">
        <f>'n-methylaniline'!CE18</f>
        <v>2.2803527531956735</v>
      </c>
      <c r="DU78" s="20">
        <f>'n-methylaniline'!CF18</f>
        <v>2.2779254073508026</v>
      </c>
      <c r="DV78" s="20">
        <f>'n-methylaniline'!CG18</f>
        <v>2.3817419655333025</v>
      </c>
      <c r="DW78" s="20">
        <f>'n-methylaniline'!CH18</f>
        <v>2.4052491462563799</v>
      </c>
      <c r="DX78" s="20">
        <f>'n-methylaniline'!CI18</f>
        <v>2.5084480838198751</v>
      </c>
      <c r="DY78" s="20">
        <f>'n-methylaniline'!CJ18</f>
        <v>2.5064336527648754</v>
      </c>
      <c r="DZ78" s="20">
        <f>'n-methylaniline'!CK18</f>
        <v>2.5064336527648754</v>
      </c>
      <c r="EA78" s="20">
        <f>'n-methylaniline'!CL18</f>
        <v>2.4774036816114995</v>
      </c>
      <c r="EB78" s="20">
        <f>'n-methylaniline'!CM18</f>
        <v>2.4075509678052853</v>
      </c>
      <c r="EC78" s="20">
        <f>'n-methylaniline'!CN18</f>
        <v>2.3601323149610156</v>
      </c>
      <c r="ED78" s="20">
        <f>'n-methylaniline'!CO18</f>
        <v>2.3601323149610156</v>
      </c>
      <c r="EE78" s="20">
        <f>'n-methylaniline'!CP18</f>
        <v>2.3601323149610156</v>
      </c>
      <c r="EF78" s="20">
        <f>'n-methylaniline'!CQ18</f>
        <v>2.3601323149610156</v>
      </c>
      <c r="EG78" s="20">
        <f>'n-methylaniline'!CR18</f>
        <v>2.4570246418618296</v>
      </c>
      <c r="EH78" s="20">
        <f>'n-methylaniline'!CS18</f>
        <v>2.4628306360925047</v>
      </c>
      <c r="EI78" s="20">
        <f>'n-methylaniline'!CT18</f>
        <v>2.458938540676272</v>
      </c>
      <c r="EJ78" s="20">
        <f>'n-methylaniline'!CU18</f>
        <v>2.3644879551070592</v>
      </c>
      <c r="EK78" s="20">
        <f>'n-methylaniline'!CV18</f>
        <v>2.3269047242273375</v>
      </c>
      <c r="EL78" s="20">
        <f>'n-methylaniline'!CW18</f>
        <v>2.3269047242273375</v>
      </c>
      <c r="EM78" s="20">
        <f>'n-methylaniline'!CX18</f>
        <v>2.2654466109112126</v>
      </c>
      <c r="EN78" s="20">
        <f>'n-methylaniline'!CY18</f>
        <v>2.1924558440127786</v>
      </c>
      <c r="EO78" s="20">
        <f>'n-methylaniline'!CZ18</f>
        <v>2.2870249688352402</v>
      </c>
      <c r="EP78" s="20">
        <f>'n-methylaniline'!DA18</f>
        <v>2.2853020928340766</v>
      </c>
      <c r="EQ78" s="20">
        <f>'n-methylaniline'!DB18</f>
        <v>2.2272263135094992</v>
      </c>
      <c r="ER78" s="20">
        <f>'n-methylaniline'!DC18</f>
        <v>2.2472107090847988</v>
      </c>
      <c r="ES78" s="20">
        <f>'n-methylaniline'!DD18</f>
        <v>2.3158050101726224</v>
      </c>
      <c r="ET78" s="20">
        <f>'n-methylaniline'!DE18</f>
        <v>2.2841616568960581</v>
      </c>
      <c r="EU78" s="20">
        <f>'n-methylaniline'!DF18</f>
        <v>2.2303254029933068</v>
      </c>
      <c r="EV78" s="20">
        <f>'n-methylaniline'!DG18</f>
        <v>2.2370509038650632</v>
      </c>
      <c r="EW78" s="20">
        <f>'n-methylaniline'!DH18</f>
        <v>2.255014749262537</v>
      </c>
      <c r="EX78" s="20">
        <f>'n-methylaniline'!DI18</f>
        <v>2.3152004530575159</v>
      </c>
      <c r="EY78" s="20">
        <f>'n-methylaniline'!DJ18</f>
        <v>2.2039984361230744</v>
      </c>
      <c r="EZ78" s="20">
        <f>'n-methylaniline'!DK18</f>
        <v>2.1214905431199029</v>
      </c>
      <c r="FA78" s="20">
        <f>'n-methylaniline'!DL18</f>
        <v>2.1260116002638685</v>
      </c>
      <c r="FB78" s="20">
        <f>'n-methylaniline'!DM18</f>
        <v>2.1546646837782593</v>
      </c>
      <c r="FC78" s="20">
        <f>'n-methylaniline'!DN18</f>
        <v>2.1052394514252186</v>
      </c>
      <c r="FD78" s="20">
        <f>'n-methylaniline'!DO18</f>
        <v>2.1312245544747555</v>
      </c>
      <c r="FE78" s="20">
        <f>'n-methylaniline'!DP18</f>
        <v>2.1297373129967987</v>
      </c>
      <c r="FF78" s="20">
        <f>'n-methylaniline'!DQ18</f>
        <v>2.1514777665518374</v>
      </c>
      <c r="FG78" s="20">
        <f>'n-methylaniline'!DR18</f>
        <v>2.0936772400063126</v>
      </c>
      <c r="FH78" s="20">
        <f>'n-methylaniline'!DS18</f>
        <v>2.1296763244029577</v>
      </c>
    </row>
    <row r="79" spans="1:164" ht="15">
      <c r="A79" s="8" t="s">
        <v>229</v>
      </c>
      <c r="B79" s="45" t="s">
        <v>267</v>
      </c>
      <c r="C79" s="19">
        <f t="shared" ref="C79:R83" si="120">+CG79-CH79</f>
        <v>-3.2846153846153747E-2</v>
      </c>
      <c r="D79" s="19">
        <f t="shared" si="120"/>
        <v>-6.9999999999999951E-2</v>
      </c>
      <c r="E79" s="19">
        <f t="shared" si="120"/>
        <v>4.1999999999999926E-2</v>
      </c>
      <c r="F79" s="19">
        <f t="shared" si="120"/>
        <v>-1.3999999999999901E-2</v>
      </c>
      <c r="G79" s="19">
        <f t="shared" si="120"/>
        <v>3.499999999999992E-2</v>
      </c>
      <c r="H79" s="19">
        <f t="shared" si="120"/>
        <v>9.8000000000000087E-2</v>
      </c>
      <c r="I79" s="19">
        <f t="shared" si="120"/>
        <v>1.3999999999999901E-2</v>
      </c>
      <c r="J79" s="19">
        <f t="shared" si="120"/>
        <v>0</v>
      </c>
      <c r="K79" s="19">
        <f t="shared" si="120"/>
        <v>-1.6799999999999926E-2</v>
      </c>
      <c r="L79" s="19">
        <f t="shared" si="120"/>
        <v>-1.6800000000000037E-2</v>
      </c>
      <c r="M79" s="19">
        <f t="shared" si="120"/>
        <v>-4.9000000000000155E-3</v>
      </c>
      <c r="N79" s="19">
        <f t="shared" si="120"/>
        <v>-2.7999999999999914E-2</v>
      </c>
      <c r="O79" s="19">
        <f t="shared" si="120"/>
        <v>-2.0300000000000096E-2</v>
      </c>
      <c r="P79" s="19">
        <f t="shared" si="120"/>
        <v>0</v>
      </c>
      <c r="Q79" s="19">
        <f t="shared" si="120"/>
        <v>8.4000000000000741E-3</v>
      </c>
      <c r="R79" s="19">
        <f t="shared" si="120"/>
        <v>8.3999999999999631E-3</v>
      </c>
      <c r="S79" s="19">
        <f t="shared" ref="S79:W81" si="121">+CW79-CX79</f>
        <v>1.1199999999999988E-2</v>
      </c>
      <c r="T79" s="19">
        <f t="shared" si="121"/>
        <v>6.2999999999999723E-3</v>
      </c>
      <c r="U79" s="19">
        <f t="shared" si="121"/>
        <v>0</v>
      </c>
      <c r="V79" s="19">
        <f t="shared" si="121"/>
        <v>4.1999999999999815E-3</v>
      </c>
      <c r="W79" s="19">
        <f t="shared" si="121"/>
        <v>0</v>
      </c>
      <c r="X79" s="19">
        <f t="shared" ref="X79:Z83" si="122">+DB79-DC79</f>
        <v>3.5000000000000586E-3</v>
      </c>
      <c r="Y79" s="19">
        <f t="shared" si="122"/>
        <v>0</v>
      </c>
      <c r="Z79" s="19">
        <f t="shared" si="122"/>
        <v>-3.5000000000000586E-3</v>
      </c>
      <c r="AA79" s="19">
        <f t="shared" ref="AA79:AF80" si="123">+DE79-DF79</f>
        <v>0</v>
      </c>
      <c r="AB79" s="19">
        <f t="shared" si="123"/>
        <v>-3.4999999999999476E-3</v>
      </c>
      <c r="AC79" s="19">
        <f t="shared" si="123"/>
        <v>3.4999999999999476E-3</v>
      </c>
      <c r="AD79" s="19">
        <f t="shared" si="123"/>
        <v>0</v>
      </c>
      <c r="AE79" s="19">
        <f t="shared" si="123"/>
        <v>7.0000000000003393E-4</v>
      </c>
      <c r="AF79" s="19">
        <f t="shared" si="123"/>
        <v>-4.1999999999999815E-3</v>
      </c>
      <c r="AG79" s="19">
        <f t="shared" si="91"/>
        <v>-2.3799999999999932E-2</v>
      </c>
      <c r="AH79" s="19">
        <f t="shared" si="92"/>
        <v>-5.7400000000000118E-2</v>
      </c>
      <c r="AI79" s="19">
        <f t="shared" si="93"/>
        <v>-1.3999999999999901E-2</v>
      </c>
      <c r="AJ79" s="19">
        <f t="shared" si="94"/>
        <v>-4.060000000000008E-2</v>
      </c>
      <c r="AK79" s="19">
        <f t="shared" si="95"/>
        <v>2.6600000000000068E-2</v>
      </c>
      <c r="AL79" s="19">
        <f t="shared" si="95"/>
        <v>3.2199999999999895E-2</v>
      </c>
      <c r="AM79" s="19">
        <f t="shared" si="96"/>
        <v>3.080000000000005E-2</v>
      </c>
      <c r="AN79" s="19">
        <f t="shared" si="97"/>
        <v>7.0000000000000062E-3</v>
      </c>
      <c r="AO79" s="19">
        <f t="shared" si="98"/>
        <v>0</v>
      </c>
      <c r="AP79" s="19">
        <f t="shared" si="99"/>
        <v>-4.9000000000000155E-3</v>
      </c>
      <c r="AQ79" s="19">
        <f t="shared" si="99"/>
        <v>1.540000000000008E-2</v>
      </c>
      <c r="AR79" s="19">
        <f t="shared" si="99"/>
        <v>6.9999999999992291E-4</v>
      </c>
      <c r="AS79" s="19">
        <f t="shared" si="100"/>
        <v>0</v>
      </c>
      <c r="AT79" s="19">
        <f t="shared" si="101"/>
        <v>0</v>
      </c>
      <c r="AU79" s="60" t="s">
        <v>114</v>
      </c>
      <c r="AV79" s="19">
        <f t="shared" si="102"/>
        <v>0</v>
      </c>
      <c r="AW79" s="19">
        <f t="shared" si="103"/>
        <v>1.1900000000000022E-2</v>
      </c>
      <c r="AX79" s="19">
        <f t="shared" si="104"/>
        <v>6.3000000000000833E-3</v>
      </c>
      <c r="AY79" s="19">
        <f t="shared" si="105"/>
        <v>2.7999999999999137E-3</v>
      </c>
      <c r="AZ79" s="19">
        <f t="shared" si="106"/>
        <v>2.8000000000000247E-3</v>
      </c>
      <c r="BA79" s="19">
        <f t="shared" si="106"/>
        <v>-1.1900000000000022E-2</v>
      </c>
      <c r="BB79" s="19">
        <f t="shared" si="107"/>
        <v>0</v>
      </c>
      <c r="BC79" s="19">
        <f t="shared" si="108"/>
        <v>0</v>
      </c>
      <c r="BD79" s="19">
        <f t="shared" si="109"/>
        <v>6.3000000000000833E-3</v>
      </c>
      <c r="BE79" s="19">
        <f t="shared" si="110"/>
        <v>0</v>
      </c>
      <c r="BF79" s="19">
        <f t="shared" si="111"/>
        <v>0</v>
      </c>
      <c r="BG79" s="19">
        <f t="shared" si="111"/>
        <v>-2.2400000000000087E-2</v>
      </c>
      <c r="BH79" s="19">
        <f t="shared" si="56"/>
        <v>-4.1300000000000003E-2</v>
      </c>
      <c r="BI79" s="19">
        <f t="shared" si="57"/>
        <v>0</v>
      </c>
      <c r="BJ79" s="19">
        <f t="shared" si="112"/>
        <v>-6.2999999999999723E-3</v>
      </c>
      <c r="BK79" s="19">
        <f t="shared" si="113"/>
        <v>0</v>
      </c>
      <c r="BL79" s="19">
        <f t="shared" si="113"/>
        <v>0</v>
      </c>
      <c r="BM79" s="19">
        <f t="shared" si="113"/>
        <v>0</v>
      </c>
      <c r="BN79" s="19">
        <f t="shared" si="113"/>
        <v>1.6799999999999926E-2</v>
      </c>
      <c r="BO79" s="19">
        <f t="shared" si="113"/>
        <v>4.4800000000000062E-2</v>
      </c>
      <c r="BP79" s="19">
        <f t="shared" si="58"/>
        <v>0</v>
      </c>
      <c r="BQ79" s="19">
        <f t="shared" si="58"/>
        <v>1.4699999999999935E-2</v>
      </c>
      <c r="BR79" s="19">
        <f t="shared" si="58"/>
        <v>7.0000000000000062E-3</v>
      </c>
      <c r="BS79" s="19">
        <f t="shared" si="114"/>
        <v>0</v>
      </c>
      <c r="BT79" s="19">
        <f t="shared" si="114"/>
        <v>-3.4999999999999476E-3</v>
      </c>
      <c r="BU79" s="19">
        <f t="shared" si="59"/>
        <v>-1.1199999999999988E-2</v>
      </c>
      <c r="BV79" s="19">
        <f t="shared" si="60"/>
        <v>-1.3999999999999568E-3</v>
      </c>
      <c r="BW79" s="19">
        <f t="shared" si="115"/>
        <v>-4.1999999999999815E-3</v>
      </c>
      <c r="BX79" s="19">
        <f t="shared" si="116"/>
        <v>-4.2000000000000925E-3</v>
      </c>
      <c r="BY79" s="19">
        <f t="shared" si="116"/>
        <v>1.0500000000000065E-2</v>
      </c>
      <c r="BZ79" s="19">
        <f t="shared" si="116"/>
        <v>-3.5000000000000586E-3</v>
      </c>
      <c r="CA79" s="19">
        <f t="shared" si="116"/>
        <v>0</v>
      </c>
      <c r="CB79" s="19">
        <f t="shared" si="116"/>
        <v>0</v>
      </c>
      <c r="CC79" s="19">
        <f t="shared" si="79"/>
        <v>0</v>
      </c>
      <c r="CD79" s="19">
        <f t="shared" si="79"/>
        <v>-3.4999999999999476E-3</v>
      </c>
      <c r="CE79" s="65"/>
      <c r="CG79" s="20">
        <f t="shared" si="118"/>
        <v>0.83315384615384624</v>
      </c>
      <c r="CH79" s="20">
        <f>'N butanol'!AS16</f>
        <v>0.86599999999999999</v>
      </c>
      <c r="CI79" s="20">
        <f>'N butanol'!AT16</f>
        <v>0.93599999999999994</v>
      </c>
      <c r="CJ79" s="20">
        <f>'N butanol'!AU16</f>
        <v>0.89400000000000002</v>
      </c>
      <c r="CK79" s="20">
        <f>'N butanol'!AV16</f>
        <v>0.90799999999999992</v>
      </c>
      <c r="CL79" s="20">
        <f>'N butanol'!AW16</f>
        <v>0.873</v>
      </c>
      <c r="CM79" s="20">
        <f>'N butanol'!AX16</f>
        <v>0.77499999999999991</v>
      </c>
      <c r="CN79" s="20">
        <f>'N butanol'!AY16</f>
        <v>0.76100000000000001</v>
      </c>
      <c r="CO79" s="20">
        <f>'N butanol'!AZ16</f>
        <v>0.76100000000000001</v>
      </c>
      <c r="CP79" s="20">
        <f>'N butanol'!BA16</f>
        <v>0.77779999999999994</v>
      </c>
      <c r="CQ79" s="20">
        <f>'N butanol'!BB16</f>
        <v>0.79459999999999997</v>
      </c>
      <c r="CR79" s="20">
        <f>'N butanol'!BC16</f>
        <v>0.79949999999999999</v>
      </c>
      <c r="CS79" s="20">
        <f>'N butanol'!BD16</f>
        <v>0.8274999999999999</v>
      </c>
      <c r="CT79" s="20">
        <f>'N butanol'!BE16</f>
        <v>0.8478</v>
      </c>
      <c r="CU79" s="20">
        <f>'N butanol'!BF16</f>
        <v>0.8478</v>
      </c>
      <c r="CV79" s="20">
        <f>'N butanol'!BG16</f>
        <v>0.83939999999999992</v>
      </c>
      <c r="CW79" s="20">
        <f>'N butanol'!BH16</f>
        <v>0.83099999999999996</v>
      </c>
      <c r="CX79" s="20">
        <f>'N butanol'!BI16</f>
        <v>0.81979999999999997</v>
      </c>
      <c r="CY79" s="20">
        <f>'N butanol'!BJ16</f>
        <v>0.8135</v>
      </c>
      <c r="CZ79" s="20">
        <f>'N butanol'!BK16</f>
        <v>0.8135</v>
      </c>
      <c r="DA79" s="20">
        <f>'N butanol'!BL16</f>
        <v>0.80930000000000002</v>
      </c>
      <c r="DB79" s="20">
        <f>'N butanol'!BM16</f>
        <v>0.80930000000000002</v>
      </c>
      <c r="DC79" s="20">
        <f>'N butanol'!BN16</f>
        <v>0.80579999999999996</v>
      </c>
      <c r="DD79" s="20">
        <f>'N butanol'!BO16</f>
        <v>0.80579999999999996</v>
      </c>
      <c r="DE79" s="20">
        <f>'N butanol'!BP16</f>
        <v>0.80930000000000002</v>
      </c>
      <c r="DF79" s="20">
        <f>'N butanol'!BQ16</f>
        <v>0.80930000000000002</v>
      </c>
      <c r="DG79" s="20">
        <f>'N butanol'!BR16</f>
        <v>0.81279999999999997</v>
      </c>
      <c r="DH79" s="20">
        <f>'N butanol'!BS16</f>
        <v>0.80930000000000002</v>
      </c>
      <c r="DI79" s="20">
        <f>'N butanol'!BT16</f>
        <v>0.80930000000000002</v>
      </c>
      <c r="DJ79" s="20">
        <f>'N butanol'!BU16</f>
        <v>0.80859999999999999</v>
      </c>
      <c r="DK79" s="20">
        <f>'N butanol'!BV16</f>
        <v>0.81279999999999997</v>
      </c>
      <c r="DL79" s="20">
        <f>'N butanol'!BW16</f>
        <v>0.8365999999999999</v>
      </c>
      <c r="DM79" s="20">
        <f>'N butanol'!BX16</f>
        <v>0.89400000000000002</v>
      </c>
      <c r="DN79" s="20">
        <f>'N butanol'!BY16</f>
        <v>0.90799999999999992</v>
      </c>
      <c r="DO79" s="20">
        <f>'N butanol'!BZ16</f>
        <v>0.9486</v>
      </c>
      <c r="DP79" s="20">
        <f>'N butanol'!CA16</f>
        <v>0.92199999999999993</v>
      </c>
      <c r="DQ79" s="20">
        <f>'N butanol'!CB16</f>
        <v>0.88980000000000004</v>
      </c>
      <c r="DR79" s="20">
        <f>'N butanol'!CC16</f>
        <v>0.85899999999999999</v>
      </c>
      <c r="DS79" s="20">
        <f>'N butanol'!CD16</f>
        <v>0.85199999999999998</v>
      </c>
      <c r="DT79" s="20">
        <f>'N butanol'!CE16</f>
        <v>0.85199999999999998</v>
      </c>
      <c r="DU79" s="20">
        <f>'N butanol'!CF16</f>
        <v>0.8569</v>
      </c>
      <c r="DV79" s="20">
        <f>'N butanol'!CG16</f>
        <v>0.84149999999999991</v>
      </c>
      <c r="DW79" s="20">
        <f>'N butanol'!CH16</f>
        <v>0.84079999999999999</v>
      </c>
      <c r="DX79" s="20">
        <f>'N butanol'!CI16</f>
        <v>0.84079999999999999</v>
      </c>
      <c r="DY79" s="20">
        <f>'N butanol'!CJ16</f>
        <v>0.84079999999999999</v>
      </c>
      <c r="DZ79" s="20">
        <f>'N butanol'!CK16</f>
        <v>0.84079999999999999</v>
      </c>
      <c r="EA79" s="20">
        <f>'N butanol'!CL16</f>
        <v>0.82889999999999997</v>
      </c>
      <c r="EB79" s="20">
        <f>'N butanol'!CM16</f>
        <v>0.82259999999999989</v>
      </c>
      <c r="EC79" s="20">
        <f>'N butanol'!CN16</f>
        <v>0.81979999999999997</v>
      </c>
      <c r="ED79" s="20">
        <f>'N butanol'!CO16</f>
        <v>0.81699999999999995</v>
      </c>
      <c r="EE79" s="20">
        <f>'N butanol'!CP16</f>
        <v>0.82889999999999997</v>
      </c>
      <c r="EF79" s="20">
        <f>'N butanol'!CQ16</f>
        <v>0.82889999999999997</v>
      </c>
      <c r="EG79" s="20">
        <f>'N butanol'!CR16</f>
        <v>0.82889999999999997</v>
      </c>
      <c r="EH79" s="20">
        <f>'N butanol'!CS16</f>
        <v>0.82259999999999989</v>
      </c>
      <c r="EI79" s="20">
        <f>'N butanol'!CT16</f>
        <v>0.82259999999999989</v>
      </c>
      <c r="EJ79" s="20">
        <f>'N butanol'!CU16</f>
        <v>0.82259999999999989</v>
      </c>
      <c r="EK79" s="20">
        <f>'N butanol'!CV16</f>
        <v>0.84499999999999997</v>
      </c>
      <c r="EL79" s="20">
        <f>'N butanol'!CW16</f>
        <v>0.88629999999999998</v>
      </c>
      <c r="EM79" s="20">
        <f>'N butanol'!CX16</f>
        <v>0.88629999999999998</v>
      </c>
      <c r="EN79" s="20">
        <f>'N butanol'!CY16</f>
        <v>0.89259999999999995</v>
      </c>
      <c r="EO79" s="20">
        <f>'N butanol'!CZ16</f>
        <v>0.89259999999999995</v>
      </c>
      <c r="EP79" s="20">
        <f>'N butanol'!DA16</f>
        <v>0.89259999999999995</v>
      </c>
      <c r="EQ79" s="20">
        <f>'N butanol'!DB16</f>
        <v>0.89259999999999995</v>
      </c>
      <c r="ER79" s="20">
        <f>'N butanol'!DC16</f>
        <v>0.87580000000000002</v>
      </c>
      <c r="ES79" s="20">
        <f>'N butanol'!DD16</f>
        <v>0.83099999999999996</v>
      </c>
      <c r="ET79" s="20">
        <f>'N butanol'!DE16</f>
        <v>0.83099999999999996</v>
      </c>
      <c r="EU79" s="20">
        <f>'N butanol'!DF16</f>
        <v>0.81630000000000003</v>
      </c>
      <c r="EV79" s="20">
        <f>'N butanol'!DG16</f>
        <v>0.80930000000000002</v>
      </c>
      <c r="EW79" s="20">
        <f>'N butanol'!DH16</f>
        <v>0.80930000000000002</v>
      </c>
      <c r="EX79" s="20">
        <f>'N butanol'!DI16</f>
        <v>0.81279999999999997</v>
      </c>
      <c r="EY79" s="20">
        <f>'N butanol'!DJ16</f>
        <v>0.82399999999999995</v>
      </c>
      <c r="EZ79" s="20">
        <f>'N butanol'!DK16</f>
        <v>0.82539999999999991</v>
      </c>
      <c r="FA79" s="20">
        <f>'N butanol'!DL16</f>
        <v>0.82959999999999989</v>
      </c>
      <c r="FB79" s="20">
        <f>'N butanol'!DM16</f>
        <v>0.83379999999999999</v>
      </c>
      <c r="FC79" s="20">
        <f>'N butanol'!DN16</f>
        <v>0.82329999999999992</v>
      </c>
      <c r="FD79" s="20">
        <f>'N butanol'!DO16</f>
        <v>0.82679999999999998</v>
      </c>
      <c r="FE79" s="20">
        <f>'N butanol'!DP16</f>
        <v>0.82679999999999998</v>
      </c>
      <c r="FF79" s="20">
        <f>'N butanol'!DQ16</f>
        <v>0.82679999999999998</v>
      </c>
      <c r="FG79" s="20">
        <f>'N butanol'!DR16</f>
        <v>0.82679999999999998</v>
      </c>
      <c r="FH79" s="20">
        <f>'N butanol'!DS16</f>
        <v>0.83029999999999993</v>
      </c>
    </row>
    <row r="80" spans="1:164" ht="15">
      <c r="A80" s="8" t="s">
        <v>229</v>
      </c>
      <c r="B80" s="45" t="s">
        <v>106</v>
      </c>
      <c r="C80" s="19">
        <f t="shared" si="120"/>
        <v>-3.2846153846154191E-2</v>
      </c>
      <c r="D80" s="19">
        <f t="shared" si="120"/>
        <v>-7.0000000000000062E-2</v>
      </c>
      <c r="E80" s="19">
        <f t="shared" si="120"/>
        <v>4.2000000000000037E-2</v>
      </c>
      <c r="F80" s="19">
        <f t="shared" si="120"/>
        <v>-1.4000000000000012E-2</v>
      </c>
      <c r="G80" s="19">
        <f t="shared" si="120"/>
        <v>3.5000000000000031E-2</v>
      </c>
      <c r="H80" s="19">
        <f t="shared" si="120"/>
        <v>9.8000000000000087E-2</v>
      </c>
      <c r="I80" s="19">
        <f t="shared" si="120"/>
        <v>1.3999999999999901E-2</v>
      </c>
      <c r="J80" s="19">
        <f t="shared" si="120"/>
        <v>0</v>
      </c>
      <c r="K80" s="19">
        <f t="shared" si="120"/>
        <v>-1.6799999999999926E-2</v>
      </c>
      <c r="L80" s="19">
        <f t="shared" si="120"/>
        <v>-1.6800000000000037E-2</v>
      </c>
      <c r="M80" s="19">
        <f t="shared" si="120"/>
        <v>-4.9000000000000155E-3</v>
      </c>
      <c r="N80" s="19">
        <f t="shared" si="120"/>
        <v>-2.7999999999999914E-2</v>
      </c>
      <c r="O80" s="19">
        <f t="shared" si="120"/>
        <v>-2.0300000000000096E-2</v>
      </c>
      <c r="P80" s="19">
        <f t="shared" si="120"/>
        <v>0</v>
      </c>
      <c r="Q80" s="19">
        <f t="shared" si="120"/>
        <v>8.4000000000000741E-3</v>
      </c>
      <c r="R80" s="19">
        <f t="shared" si="120"/>
        <v>8.3999999999999631E-3</v>
      </c>
      <c r="S80" s="19">
        <f t="shared" si="121"/>
        <v>1.1199999999999988E-2</v>
      </c>
      <c r="T80" s="19">
        <f t="shared" si="121"/>
        <v>6.2999999999999723E-3</v>
      </c>
      <c r="U80" s="19">
        <f t="shared" si="121"/>
        <v>0</v>
      </c>
      <c r="V80" s="19">
        <f t="shared" si="121"/>
        <v>4.1999999999999815E-3</v>
      </c>
      <c r="W80" s="19">
        <f t="shared" si="121"/>
        <v>0</v>
      </c>
      <c r="X80" s="19">
        <f t="shared" si="122"/>
        <v>3.5000000000000586E-3</v>
      </c>
      <c r="Y80" s="19">
        <f t="shared" si="122"/>
        <v>0</v>
      </c>
      <c r="Z80" s="19">
        <f t="shared" si="122"/>
        <v>-3.5000000000000586E-3</v>
      </c>
      <c r="AA80" s="19">
        <f t="shared" si="123"/>
        <v>0</v>
      </c>
      <c r="AB80" s="19">
        <f t="shared" si="123"/>
        <v>-3.4999999999999476E-3</v>
      </c>
      <c r="AC80" s="19">
        <f t="shared" si="123"/>
        <v>3.4999999999999476E-3</v>
      </c>
      <c r="AD80" s="19">
        <f t="shared" si="123"/>
        <v>0</v>
      </c>
      <c r="AE80" s="19">
        <f t="shared" si="123"/>
        <v>7.0000000000003393E-4</v>
      </c>
      <c r="AF80" s="19">
        <f t="shared" si="123"/>
        <v>-4.1999999999999815E-3</v>
      </c>
      <c r="AG80" s="19">
        <f t="shared" si="91"/>
        <v>-2.3799999999999932E-2</v>
      </c>
      <c r="AH80" s="19">
        <f t="shared" si="92"/>
        <v>-5.7400000000000118E-2</v>
      </c>
      <c r="AI80" s="19">
        <f t="shared" si="93"/>
        <v>-1.4000000000000012E-2</v>
      </c>
      <c r="AJ80" s="19">
        <f t="shared" si="94"/>
        <v>-4.0599999999999969E-2</v>
      </c>
      <c r="AK80" s="19">
        <f t="shared" si="95"/>
        <v>2.6600000000000179E-2</v>
      </c>
      <c r="AL80" s="19">
        <f t="shared" si="95"/>
        <v>3.2199999999999784E-2</v>
      </c>
      <c r="AM80" s="19">
        <f t="shared" si="96"/>
        <v>3.080000000000005E-2</v>
      </c>
      <c r="AN80" s="19">
        <f t="shared" si="97"/>
        <v>7.0000000000000062E-3</v>
      </c>
      <c r="AO80" s="19">
        <f t="shared" si="98"/>
        <v>0</v>
      </c>
      <c r="AP80" s="19">
        <f t="shared" si="99"/>
        <v>-4.9000000000000155E-3</v>
      </c>
      <c r="AQ80" s="19">
        <f t="shared" si="99"/>
        <v>1.540000000000008E-2</v>
      </c>
      <c r="AR80" s="19">
        <f t="shared" si="99"/>
        <v>6.9999999999992291E-4</v>
      </c>
      <c r="AS80" s="19">
        <f t="shared" si="100"/>
        <v>0</v>
      </c>
      <c r="AT80" s="19">
        <f t="shared" si="101"/>
        <v>0</v>
      </c>
      <c r="AU80" s="60" t="s">
        <v>114</v>
      </c>
      <c r="AV80" s="19">
        <f t="shared" si="102"/>
        <v>0</v>
      </c>
      <c r="AW80" s="19">
        <f t="shared" si="103"/>
        <v>1.1900000000000022E-2</v>
      </c>
      <c r="AX80" s="19">
        <f t="shared" si="104"/>
        <v>6.3000000000000833E-3</v>
      </c>
      <c r="AY80" s="19">
        <f t="shared" si="105"/>
        <v>2.7999999999999137E-3</v>
      </c>
      <c r="AZ80" s="19">
        <f t="shared" si="106"/>
        <v>2.8000000000000247E-3</v>
      </c>
      <c r="BA80" s="19">
        <f t="shared" si="106"/>
        <v>-1.1900000000000022E-2</v>
      </c>
      <c r="BB80" s="19">
        <f t="shared" si="107"/>
        <v>0</v>
      </c>
      <c r="BC80" s="19">
        <f t="shared" si="108"/>
        <v>0</v>
      </c>
      <c r="BD80" s="19">
        <f t="shared" si="109"/>
        <v>6.3000000000000833E-3</v>
      </c>
      <c r="BE80" s="19">
        <f t="shared" si="110"/>
        <v>0</v>
      </c>
      <c r="BF80" s="19">
        <f t="shared" si="111"/>
        <v>0</v>
      </c>
      <c r="BG80" s="19">
        <f t="shared" si="111"/>
        <v>-2.2400000000000087E-2</v>
      </c>
      <c r="BH80" s="19">
        <f t="shared" si="56"/>
        <v>-4.1300000000000003E-2</v>
      </c>
      <c r="BI80" s="19">
        <f t="shared" si="57"/>
        <v>0</v>
      </c>
      <c r="BJ80" s="19">
        <f t="shared" si="112"/>
        <v>-6.2999999999999723E-3</v>
      </c>
      <c r="BK80" s="19">
        <f t="shared" si="113"/>
        <v>0</v>
      </c>
      <c r="BL80" s="19">
        <f t="shared" si="113"/>
        <v>0</v>
      </c>
      <c r="BM80" s="19">
        <f t="shared" si="113"/>
        <v>0</v>
      </c>
      <c r="BN80" s="19">
        <f t="shared" si="113"/>
        <v>1.6799999999999926E-2</v>
      </c>
      <c r="BO80" s="19">
        <f t="shared" si="113"/>
        <v>4.4800000000000062E-2</v>
      </c>
      <c r="BP80" s="19">
        <f t="shared" si="58"/>
        <v>0</v>
      </c>
      <c r="BQ80" s="19">
        <f t="shared" si="58"/>
        <v>1.4699999999999935E-2</v>
      </c>
      <c r="BR80" s="19">
        <f t="shared" si="58"/>
        <v>7.0000000000000062E-3</v>
      </c>
      <c r="BS80" s="19">
        <f t="shared" si="114"/>
        <v>0</v>
      </c>
      <c r="BT80" s="19">
        <f t="shared" si="114"/>
        <v>-3.4999999999999476E-3</v>
      </c>
      <c r="BU80" s="19">
        <f t="shared" si="59"/>
        <v>-1.1199999999999988E-2</v>
      </c>
      <c r="BV80" s="19">
        <f t="shared" si="60"/>
        <v>-1.3999999999999568E-3</v>
      </c>
      <c r="BW80" s="19">
        <f t="shared" si="115"/>
        <v>-4.1999999999999815E-3</v>
      </c>
      <c r="BX80" s="19">
        <f t="shared" si="116"/>
        <v>-4.2000000000000925E-3</v>
      </c>
      <c r="BY80" s="19">
        <f t="shared" si="116"/>
        <v>1.0500000000000065E-2</v>
      </c>
      <c r="BZ80" s="19">
        <f t="shared" si="116"/>
        <v>-3.5000000000000586E-3</v>
      </c>
      <c r="CA80" s="19">
        <f t="shared" si="116"/>
        <v>0</v>
      </c>
      <c r="CB80" s="19">
        <f t="shared" si="116"/>
        <v>0</v>
      </c>
      <c r="CC80" s="19">
        <f t="shared" si="79"/>
        <v>0</v>
      </c>
      <c r="CD80" s="19">
        <f t="shared" si="79"/>
        <v>-3.4999999999999476E-3</v>
      </c>
      <c r="CE80" s="65"/>
      <c r="CG80" s="20">
        <f t="shared" si="118"/>
        <v>0.93315384615384578</v>
      </c>
      <c r="CH80" s="20">
        <f>'2EH'!AS16</f>
        <v>0.96599999999999997</v>
      </c>
      <c r="CI80" s="20">
        <f>'2EH'!AT16</f>
        <v>1.036</v>
      </c>
      <c r="CJ80" s="20">
        <f>'2EH'!AU16</f>
        <v>0.99399999999999999</v>
      </c>
      <c r="CK80" s="20">
        <f>'2EH'!AV16</f>
        <v>1.008</v>
      </c>
      <c r="CL80" s="20">
        <f>'2EH'!AW16</f>
        <v>0.97299999999999998</v>
      </c>
      <c r="CM80" s="20">
        <f>'2EH'!AX16</f>
        <v>0.87499999999999989</v>
      </c>
      <c r="CN80" s="20">
        <f>'2EH'!AY16</f>
        <v>0.86099999999999999</v>
      </c>
      <c r="CO80" s="20">
        <f>'2EH'!AZ16</f>
        <v>0.86099999999999999</v>
      </c>
      <c r="CP80" s="20">
        <f>'2EH'!BA16</f>
        <v>0.87779999999999991</v>
      </c>
      <c r="CQ80" s="20">
        <f>'2EH'!BB16</f>
        <v>0.89459999999999995</v>
      </c>
      <c r="CR80" s="20">
        <f>'2EH'!BC16</f>
        <v>0.89949999999999997</v>
      </c>
      <c r="CS80" s="20">
        <f>'2EH'!BD16</f>
        <v>0.92749999999999988</v>
      </c>
      <c r="CT80" s="20">
        <f>'2EH'!BE16</f>
        <v>0.94779999999999998</v>
      </c>
      <c r="CU80" s="20">
        <f>'2EH'!BF16</f>
        <v>0.94779999999999998</v>
      </c>
      <c r="CV80" s="20">
        <f>'2EH'!BG16</f>
        <v>0.9393999999999999</v>
      </c>
      <c r="CW80" s="20">
        <f>'2EH'!BH16</f>
        <v>0.93099999999999994</v>
      </c>
      <c r="CX80" s="20">
        <f>'2EH'!BI16</f>
        <v>0.91979999999999995</v>
      </c>
      <c r="CY80" s="20">
        <f>'2EH'!BJ16</f>
        <v>0.91349999999999998</v>
      </c>
      <c r="CZ80" s="20">
        <f>'2EH'!BK16</f>
        <v>0.91349999999999998</v>
      </c>
      <c r="DA80" s="20">
        <f>'2EH'!BL16</f>
        <v>0.9093</v>
      </c>
      <c r="DB80" s="20">
        <f>'2EH'!BM16</f>
        <v>0.9093</v>
      </c>
      <c r="DC80" s="20">
        <f>'2EH'!BN16</f>
        <v>0.90579999999999994</v>
      </c>
      <c r="DD80" s="20">
        <f>'2EH'!BO16</f>
        <v>0.90579999999999994</v>
      </c>
      <c r="DE80" s="20">
        <f>'2EH'!BP16</f>
        <v>0.9093</v>
      </c>
      <c r="DF80" s="20">
        <f>'2EH'!BQ16</f>
        <v>0.9093</v>
      </c>
      <c r="DG80" s="20">
        <f>'2EH'!BR16</f>
        <v>0.91279999999999994</v>
      </c>
      <c r="DH80" s="20">
        <f>'2EH'!BS16</f>
        <v>0.9093</v>
      </c>
      <c r="DI80" s="20">
        <f>'2EH'!BT16</f>
        <v>0.9093</v>
      </c>
      <c r="DJ80" s="20">
        <f>'2EH'!BU16</f>
        <v>0.90859999999999996</v>
      </c>
      <c r="DK80" s="20">
        <f>'2EH'!BV16</f>
        <v>0.91279999999999994</v>
      </c>
      <c r="DL80" s="20">
        <f>'2EH'!BW16</f>
        <v>0.93659999999999988</v>
      </c>
      <c r="DM80" s="20">
        <f>'2EH'!BX16</f>
        <v>0.99399999999999999</v>
      </c>
      <c r="DN80" s="20">
        <f>'2EH'!BY16</f>
        <v>1.008</v>
      </c>
      <c r="DO80" s="20">
        <f>'2EH'!BZ16</f>
        <v>1.0486</v>
      </c>
      <c r="DP80" s="20">
        <f>'2EH'!CA16</f>
        <v>1.0219999999999998</v>
      </c>
      <c r="DQ80" s="20">
        <f>'2EH'!CB16</f>
        <v>0.98980000000000001</v>
      </c>
      <c r="DR80" s="20">
        <f>'2EH'!CC16</f>
        <v>0.95899999999999996</v>
      </c>
      <c r="DS80" s="20">
        <f>'2EH'!CD16</f>
        <v>0.95199999999999996</v>
      </c>
      <c r="DT80" s="20">
        <f>'2EH'!CE16</f>
        <v>0.95199999999999996</v>
      </c>
      <c r="DU80" s="20">
        <f>'2EH'!CF16</f>
        <v>0.95689999999999997</v>
      </c>
      <c r="DV80" s="20">
        <f>'2EH'!CG16</f>
        <v>0.94149999999999989</v>
      </c>
      <c r="DW80" s="20">
        <f>'2EH'!CH16</f>
        <v>0.94079999999999997</v>
      </c>
      <c r="DX80" s="20">
        <f>'2EH'!CI16</f>
        <v>0.94079999999999997</v>
      </c>
      <c r="DY80" s="20">
        <f>'2EH'!CJ16</f>
        <v>0.94079999999999997</v>
      </c>
      <c r="DZ80" s="20">
        <f>'2EH'!CK16</f>
        <v>0.94079999999999997</v>
      </c>
      <c r="EA80" s="20">
        <f>'2EH'!CL16</f>
        <v>0.92889999999999995</v>
      </c>
      <c r="EB80" s="20">
        <f>'2EH'!CM16</f>
        <v>0.92259999999999986</v>
      </c>
      <c r="EC80" s="20">
        <f>'2EH'!CN16</f>
        <v>0.91979999999999995</v>
      </c>
      <c r="ED80" s="20">
        <f>'2EH'!CO16</f>
        <v>0.91699999999999993</v>
      </c>
      <c r="EE80" s="20">
        <f>'2EH'!CP16</f>
        <v>0.92889999999999995</v>
      </c>
      <c r="EF80" s="20">
        <f>'2EH'!CQ16</f>
        <v>0.92889999999999995</v>
      </c>
      <c r="EG80" s="20">
        <f>'2EH'!CR16</f>
        <v>0.92889999999999995</v>
      </c>
      <c r="EH80" s="20">
        <f>'2EH'!CS16</f>
        <v>0.92259999999999986</v>
      </c>
      <c r="EI80" s="20">
        <f>'2EH'!CT16</f>
        <v>0.92259999999999986</v>
      </c>
      <c r="EJ80" s="20">
        <f>'2EH'!CU16</f>
        <v>0.92259999999999986</v>
      </c>
      <c r="EK80" s="20">
        <f>'2EH'!CV16</f>
        <v>0.94499999999999995</v>
      </c>
      <c r="EL80" s="20">
        <f>'2EH'!CW16</f>
        <v>0.98629999999999995</v>
      </c>
      <c r="EM80" s="20">
        <f>'2EH'!CX16</f>
        <v>0.98629999999999995</v>
      </c>
      <c r="EN80" s="20">
        <f>'2EH'!CY16</f>
        <v>0.99259999999999993</v>
      </c>
      <c r="EO80" s="20">
        <f>'2EH'!CZ16</f>
        <v>0.99259999999999993</v>
      </c>
      <c r="EP80" s="20">
        <f>'2EH'!DA16</f>
        <v>0.99259999999999993</v>
      </c>
      <c r="EQ80" s="20">
        <f>'2EH'!DB16</f>
        <v>0.99259999999999993</v>
      </c>
      <c r="ER80" s="20">
        <f>'2EH'!DC16</f>
        <v>0.9758</v>
      </c>
      <c r="ES80" s="20">
        <f>'2EH'!DD16</f>
        <v>0.93099999999999994</v>
      </c>
      <c r="ET80" s="20">
        <f>'2EH'!DE16</f>
        <v>0.93099999999999994</v>
      </c>
      <c r="EU80" s="20">
        <f>'2EH'!DF16</f>
        <v>0.9163</v>
      </c>
      <c r="EV80" s="20">
        <f>'2EH'!DG16</f>
        <v>0.9093</v>
      </c>
      <c r="EW80" s="20">
        <f>'2EH'!DH16</f>
        <v>0.9093</v>
      </c>
      <c r="EX80" s="20">
        <f>'2EH'!DI16</f>
        <v>0.91279999999999994</v>
      </c>
      <c r="EY80" s="20">
        <f>'2EH'!DJ16</f>
        <v>0.92399999999999993</v>
      </c>
      <c r="EZ80" s="20">
        <f>'2EH'!DK16</f>
        <v>0.92539999999999989</v>
      </c>
      <c r="FA80" s="20">
        <f>'2EH'!DL16</f>
        <v>0.92959999999999987</v>
      </c>
      <c r="FB80" s="20">
        <f>'2EH'!DM16</f>
        <v>0.93379999999999996</v>
      </c>
      <c r="FC80" s="20">
        <f>'2EH'!DN16</f>
        <v>0.9232999999999999</v>
      </c>
      <c r="FD80" s="20">
        <f>'2EH'!DO16</f>
        <v>0.92679999999999996</v>
      </c>
      <c r="FE80" s="20">
        <f>'2EH'!DP16</f>
        <v>0.92679999999999996</v>
      </c>
      <c r="FF80" s="20">
        <f>'2EH'!DQ16</f>
        <v>0.92679999999999996</v>
      </c>
      <c r="FG80" s="20">
        <f>'2EH'!DR16</f>
        <v>0.92679999999999996</v>
      </c>
      <c r="FH80" s="20">
        <f>'2EH'!DS16</f>
        <v>0.9302999999999999</v>
      </c>
    </row>
    <row r="81" spans="1:164" ht="15">
      <c r="A81" s="8" t="s">
        <v>229</v>
      </c>
      <c r="B81" s="45" t="s">
        <v>268</v>
      </c>
      <c r="C81" s="19">
        <f t="shared" si="120"/>
        <v>4.0186762098144424E-3</v>
      </c>
      <c r="D81" s="19">
        <f t="shared" si="120"/>
        <v>-4.1554332502356406E-2</v>
      </c>
      <c r="E81" s="19">
        <f t="shared" si="120"/>
        <v>9.497419910606375E-3</v>
      </c>
      <c r="F81" s="19">
        <f t="shared" si="120"/>
        <v>1.7097640601755337E-3</v>
      </c>
      <c r="G81" s="19">
        <f t="shared" si="120"/>
        <v>1.2082163450228611E-2</v>
      </c>
      <c r="H81" s="19">
        <f t="shared" si="120"/>
        <v>7.5742844038715562E-2</v>
      </c>
      <c r="I81" s="19">
        <f t="shared" si="120"/>
        <v>1.2544193233379408E-2</v>
      </c>
      <c r="J81" s="19">
        <f t="shared" si="120"/>
        <v>6.2720966166895931E-3</v>
      </c>
      <c r="K81" s="19">
        <f t="shared" si="120"/>
        <v>0</v>
      </c>
      <c r="L81" s="19">
        <f t="shared" si="120"/>
        <v>1.0064379534619139E-2</v>
      </c>
      <c r="M81" s="19">
        <f t="shared" si="120"/>
        <v>-1.2544193233379186E-2</v>
      </c>
      <c r="N81" s="19">
        <f t="shared" si="120"/>
        <v>-6.2720966166898151E-3</v>
      </c>
      <c r="O81" s="19">
        <f t="shared" si="120"/>
        <v>0</v>
      </c>
      <c r="P81" s="19">
        <f t="shared" si="120"/>
        <v>0</v>
      </c>
      <c r="Q81" s="19">
        <f t="shared" si="120"/>
        <v>-8.6999108096352362E-2</v>
      </c>
      <c r="R81" s="19">
        <f t="shared" si="120"/>
        <v>0</v>
      </c>
      <c r="S81" s="19">
        <f t="shared" si="121"/>
        <v>-1.304641791524741E-2</v>
      </c>
      <c r="T81" s="19">
        <f t="shared" si="121"/>
        <v>0</v>
      </c>
      <c r="U81" s="19">
        <f t="shared" si="121"/>
        <v>0</v>
      </c>
      <c r="V81" s="19">
        <f t="shared" si="121"/>
        <v>-1.568024154172365E-2</v>
      </c>
      <c r="W81" s="19">
        <f t="shared" si="121"/>
        <v>1.568024154172365E-2</v>
      </c>
      <c r="X81" s="19">
        <f t="shared" si="122"/>
        <v>1.6823045977887086E-2</v>
      </c>
      <c r="Y81" s="19">
        <f t="shared" si="122"/>
        <v>1.5680241541723872E-2</v>
      </c>
      <c r="Z81" s="19">
        <f t="shared" si="122"/>
        <v>0</v>
      </c>
      <c r="AA81" s="19">
        <f t="shared" ref="AA81:AF81" si="124">+DE81-DF81</f>
        <v>0</v>
      </c>
      <c r="AB81" s="19">
        <f t="shared" si="124"/>
        <v>0</v>
      </c>
      <c r="AC81" s="19">
        <f t="shared" si="124"/>
        <v>6.7095863564130553E-3</v>
      </c>
      <c r="AD81" s="19">
        <f t="shared" si="124"/>
        <v>2.6092835830491268E-3</v>
      </c>
      <c r="AE81" s="19">
        <f t="shared" si="124"/>
        <v>-1.6798505934459307E-2</v>
      </c>
      <c r="AF81" s="19">
        <f t="shared" si="124"/>
        <v>-2.2365287854708704E-3</v>
      </c>
      <c r="AG81" s="19">
        <f t="shared" si="91"/>
        <v>-4.0768628008482466E-2</v>
      </c>
      <c r="AH81" s="19">
        <f t="shared" si="92"/>
        <v>-1.2544193233379186E-2</v>
      </c>
      <c r="AI81" s="19">
        <f t="shared" si="93"/>
        <v>0</v>
      </c>
      <c r="AJ81" s="19">
        <f t="shared" si="94"/>
        <v>1.5655701498296537E-2</v>
      </c>
      <c r="AK81" s="19">
        <f t="shared" si="95"/>
        <v>0</v>
      </c>
      <c r="AL81" s="19">
        <f t="shared" si="95"/>
        <v>0</v>
      </c>
      <c r="AM81" s="19">
        <f t="shared" si="96"/>
        <v>0</v>
      </c>
      <c r="AN81" s="19">
        <f t="shared" si="97"/>
        <v>1.5680241541724538E-3</v>
      </c>
      <c r="AO81" s="19">
        <f t="shared" si="98"/>
        <v>5.2185671660989197E-3</v>
      </c>
      <c r="AP81" s="19">
        <f t="shared" si="99"/>
        <v>4.7040724625171393E-3</v>
      </c>
      <c r="AQ81" s="19">
        <f t="shared" si="99"/>
        <v>2.822443477510328E-2</v>
      </c>
      <c r="AR81" s="19">
        <f t="shared" si="99"/>
        <v>-1.3419172712825667E-2</v>
      </c>
      <c r="AS81" s="19">
        <f t="shared" si="100"/>
        <v>-1.0662564248372419E-2</v>
      </c>
      <c r="AT81" s="19">
        <f t="shared" si="101"/>
        <v>0</v>
      </c>
      <c r="AU81" s="60" t="s">
        <v>298</v>
      </c>
      <c r="AV81" s="19">
        <f t="shared" si="102"/>
        <v>0</v>
      </c>
      <c r="AW81" s="19">
        <f t="shared" si="103"/>
        <v>-6.093546645544734E-4</v>
      </c>
      <c r="AX81" s="19">
        <f t="shared" si="104"/>
        <v>3.1360483083449076E-3</v>
      </c>
      <c r="AY81" s="19">
        <f t="shared" si="105"/>
        <v>-1.9916699245690062E-2</v>
      </c>
      <c r="AZ81" s="19">
        <f t="shared" si="106"/>
        <v>0</v>
      </c>
      <c r="BA81" s="19">
        <f t="shared" si="106"/>
        <v>0</v>
      </c>
      <c r="BB81" s="19">
        <f t="shared" si="107"/>
        <v>0</v>
      </c>
      <c r="BC81" s="19">
        <f t="shared" si="108"/>
        <v>-1.86377398789217E-3</v>
      </c>
      <c r="BD81" s="19">
        <f t="shared" si="109"/>
        <v>-5.0176772933516745E-3</v>
      </c>
      <c r="BE81" s="19">
        <f t="shared" si="110"/>
        <v>0</v>
      </c>
      <c r="BF81" s="19">
        <f t="shared" si="111"/>
        <v>1.1928153522511531E-2</v>
      </c>
      <c r="BG81" s="19">
        <f t="shared" si="111"/>
        <v>0</v>
      </c>
      <c r="BH81" s="19">
        <f t="shared" si="56"/>
        <v>0</v>
      </c>
      <c r="BI81" s="19">
        <f t="shared" si="57"/>
        <v>1.8816289850068779E-2</v>
      </c>
      <c r="BJ81" s="19">
        <f t="shared" si="112"/>
        <v>8.0711356624374453E-3</v>
      </c>
      <c r="BK81" s="19">
        <f t="shared" si="113"/>
        <v>0</v>
      </c>
      <c r="BL81" s="19">
        <f t="shared" si="113"/>
        <v>0</v>
      </c>
      <c r="BM81" s="19">
        <f t="shared" si="113"/>
        <v>0</v>
      </c>
      <c r="BN81" s="19">
        <f t="shared" si="113"/>
        <v>2.1952338158413465E-2</v>
      </c>
      <c r="BO81" s="19">
        <f t="shared" si="113"/>
        <v>1.6823045977886864E-2</v>
      </c>
      <c r="BP81" s="19">
        <f t="shared" si="58"/>
        <v>0</v>
      </c>
      <c r="BQ81" s="19">
        <f t="shared" si="58"/>
        <v>0</v>
      </c>
      <c r="BR81" s="19">
        <f t="shared" si="58"/>
        <v>0</v>
      </c>
      <c r="BS81" s="19">
        <f t="shared" si="114"/>
        <v>3.3547931782065277E-3</v>
      </c>
      <c r="BT81" s="19">
        <f t="shared" si="114"/>
        <v>2.5088386466758372E-2</v>
      </c>
      <c r="BU81" s="19">
        <f t="shared" si="59"/>
        <v>-6.2720966166898151E-3</v>
      </c>
      <c r="BV81" s="19">
        <f t="shared" si="60"/>
        <v>0</v>
      </c>
      <c r="BW81" s="19">
        <f t="shared" si="115"/>
        <v>2.4010316972740364E-2</v>
      </c>
      <c r="BX81" s="19">
        <f t="shared" si="116"/>
        <v>-4.8458123685204413E-3</v>
      </c>
      <c r="BY81" s="19">
        <f t="shared" si="116"/>
        <v>3.2916237215906863E-2</v>
      </c>
      <c r="BZ81" s="19">
        <f t="shared" si="116"/>
        <v>1.1182643927354352E-3</v>
      </c>
      <c r="CA81" s="19">
        <f t="shared" si="116"/>
        <v>0</v>
      </c>
      <c r="CB81" s="19">
        <f t="shared" si="116"/>
        <v>-3.1360483083446855E-3</v>
      </c>
      <c r="CC81" s="19">
        <f t="shared" si="79"/>
        <v>9.4081449250342786E-3</v>
      </c>
      <c r="CD81" s="19">
        <f t="shared" si="79"/>
        <v>9.8456346647575188E-3</v>
      </c>
      <c r="CE81" s="65"/>
      <c r="CG81" s="20">
        <f t="shared" si="118"/>
        <v>1.2402072351338438</v>
      </c>
      <c r="CH81" s="20">
        <f>'Butyl cellosolve'!AS17</f>
        <v>1.2361885589240293</v>
      </c>
      <c r="CI81" s="20">
        <f>'Butyl cellosolve'!AT17</f>
        <v>1.2777428914263858</v>
      </c>
      <c r="CJ81" s="20">
        <f>'Butyl cellosolve'!AU17</f>
        <v>1.2682454715157794</v>
      </c>
      <c r="CK81" s="20">
        <f>'Butyl cellosolve'!AV17</f>
        <v>1.2665357074556038</v>
      </c>
      <c r="CL81" s="20">
        <f>'Butyl cellosolve'!AW17</f>
        <v>1.2544535440053752</v>
      </c>
      <c r="CM81" s="20">
        <f>'Butyl cellosolve'!AX17</f>
        <v>1.1787106999666597</v>
      </c>
      <c r="CN81" s="20">
        <f>'Butyl cellosolve'!AY17</f>
        <v>1.1661665067332803</v>
      </c>
      <c r="CO81" s="20">
        <f>'Butyl cellosolve'!AZ17</f>
        <v>1.1598944101165907</v>
      </c>
      <c r="CP81" s="20">
        <f>'Butyl cellosolve'!BA17</f>
        <v>1.1598944101165907</v>
      </c>
      <c r="CQ81" s="20">
        <f>'Butyl cellosolve'!BB17</f>
        <v>1.1498300305819715</v>
      </c>
      <c r="CR81" s="20">
        <f>'Butyl cellosolve'!BC17</f>
        <v>1.1623742238153507</v>
      </c>
      <c r="CS81" s="20">
        <f>'Butyl cellosolve'!BD17</f>
        <v>1.1686463204320405</v>
      </c>
      <c r="CT81" s="20">
        <f>'Butyl cellosolve'!BE17</f>
        <v>1.1686463204320405</v>
      </c>
      <c r="CU81" s="20">
        <f>'Butyl cellosolve'!BF17</f>
        <v>1.1686463204320405</v>
      </c>
      <c r="CV81" s="20">
        <f>'Butyl cellosolve'!BG17</f>
        <v>1.2556454285283929</v>
      </c>
      <c r="CW81" s="20">
        <f>'Butyl cellosolve'!BH17</f>
        <v>1.2556454285283929</v>
      </c>
      <c r="CX81" s="20">
        <f>'Butyl cellosolve'!BI17</f>
        <v>1.2686918464436403</v>
      </c>
      <c r="CY81" s="20">
        <f>'Butyl cellosolve'!BJ17</f>
        <v>1.2686918464436403</v>
      </c>
      <c r="CZ81" s="20">
        <f>'Butyl cellosolve'!BK17</f>
        <v>1.2686918464436403</v>
      </c>
      <c r="DA81" s="20">
        <f>'Butyl cellosolve'!BL17</f>
        <v>1.284372087985364</v>
      </c>
      <c r="DB81" s="20">
        <f>'Butyl cellosolve'!BM17</f>
        <v>1.2686918464436403</v>
      </c>
      <c r="DC81" s="20">
        <f>'Butyl cellosolve'!BN17</f>
        <v>1.2518688004657532</v>
      </c>
      <c r="DD81" s="20">
        <f>'Butyl cellosolve'!BO17</f>
        <v>1.2361885589240293</v>
      </c>
      <c r="DE81" s="20">
        <f>'Butyl cellosolve'!BP17</f>
        <v>1.2361885589240293</v>
      </c>
      <c r="DF81" s="20">
        <f>'Butyl cellosolve'!BQ17</f>
        <v>1.2361885589240293</v>
      </c>
      <c r="DG81" s="20">
        <f>'Butyl cellosolve'!BR17</f>
        <v>1.2361885589240293</v>
      </c>
      <c r="DH81" s="20">
        <f>'Butyl cellosolve'!BS17</f>
        <v>1.2294789725676163</v>
      </c>
      <c r="DI81" s="20">
        <f>'Butyl cellosolve'!BT17</f>
        <v>1.2268696889845672</v>
      </c>
      <c r="DJ81" s="20">
        <f>'Butyl cellosolve'!BU17</f>
        <v>1.2436681949190265</v>
      </c>
      <c r="DK81" s="20">
        <f>'Butyl cellosolve'!BV17</f>
        <v>1.2459047237044973</v>
      </c>
      <c r="DL81" s="20">
        <f>'Butyl cellosolve'!BW17</f>
        <v>1.2866733517129798</v>
      </c>
      <c r="DM81" s="20">
        <f>'Butyl cellosolve'!BX17</f>
        <v>1.299217544946359</v>
      </c>
      <c r="DN81" s="20">
        <f>'Butyl cellosolve'!BY17</f>
        <v>1.299217544946359</v>
      </c>
      <c r="DO81" s="20">
        <f>'Butyl cellosolve'!BZ17</f>
        <v>1.2835618434480625</v>
      </c>
      <c r="DP81" s="20">
        <f>'Butyl cellosolve'!CA17</f>
        <v>1.2835618434480625</v>
      </c>
      <c r="DQ81" s="20">
        <f>'Butyl cellosolve'!CB17</f>
        <v>1.2835618434480625</v>
      </c>
      <c r="DR81" s="20">
        <f>'Butyl cellosolve'!CC17</f>
        <v>1.2835618434480625</v>
      </c>
      <c r="DS81" s="20">
        <f>'Butyl cellosolve'!CD17</f>
        <v>1.28199381929389</v>
      </c>
      <c r="DT81" s="20">
        <f>'Butyl cellosolve'!CE17</f>
        <v>1.2767752521277911</v>
      </c>
      <c r="DU81" s="20">
        <f>'Butyl cellosolve'!CF17</f>
        <v>1.2720711796652739</v>
      </c>
      <c r="DV81" s="20">
        <f>'Butyl cellosolve'!CG17</f>
        <v>1.2438467448901707</v>
      </c>
      <c r="DW81" s="20">
        <f>'Butyl cellosolve'!CH17</f>
        <v>1.2572659176029963</v>
      </c>
      <c r="DX81" s="20">
        <f>'Butyl cellosolve'!CI17</f>
        <v>1.2679284818513687</v>
      </c>
      <c r="DY81" s="20">
        <f>'Butyl cellosolve'!CJ17</f>
        <v>1.2679284818513687</v>
      </c>
      <c r="DZ81" s="20">
        <f>'Butyl cellosolve'!CK17</f>
        <v>1.2679284818513687</v>
      </c>
      <c r="EA81" s="20">
        <f>'Butyl cellosolve'!CL17</f>
        <v>1.2685378365159232</v>
      </c>
      <c r="EB81" s="20">
        <f>'Butyl cellosolve'!CM17</f>
        <v>1.2654017882075783</v>
      </c>
      <c r="EC81" s="20">
        <f>'Butyl cellosolve'!CN17</f>
        <v>1.2853184874532684</v>
      </c>
      <c r="ED81" s="20">
        <f>'Butyl cellosolve'!CO17</f>
        <v>1.2853184874532684</v>
      </c>
      <c r="EE81" s="20">
        <f>'Butyl cellosolve'!CP17</f>
        <v>1.2853184874532684</v>
      </c>
      <c r="EF81" s="20">
        <f>'Butyl cellosolve'!CQ17</f>
        <v>1.2853184874532684</v>
      </c>
      <c r="EG81" s="20">
        <f>'Butyl cellosolve'!CR17</f>
        <v>1.2871822614411605</v>
      </c>
      <c r="EH81" s="20">
        <f>'Butyl cellosolve'!CS17</f>
        <v>1.2921999387345122</v>
      </c>
      <c r="EI81" s="20">
        <f>'Butyl cellosolve'!CT17</f>
        <v>1.2921999387345122</v>
      </c>
      <c r="EJ81" s="20">
        <f>'Butyl cellosolve'!CU17</f>
        <v>1.2802717852120007</v>
      </c>
      <c r="EK81" s="20">
        <f>'Butyl cellosolve'!CV17</f>
        <v>1.2802717852120007</v>
      </c>
      <c r="EL81" s="20">
        <f>'Butyl cellosolve'!CW17</f>
        <v>1.2802717852120007</v>
      </c>
      <c r="EM81" s="20">
        <f>'Butyl cellosolve'!CX17</f>
        <v>1.2614554953619319</v>
      </c>
      <c r="EN81" s="20">
        <f>'Butyl cellosolve'!CY17</f>
        <v>1.2533843596994945</v>
      </c>
      <c r="EO81" s="20">
        <f>'Butyl cellosolve'!CZ17</f>
        <v>1.2533843596994945</v>
      </c>
      <c r="EP81" s="20">
        <f>'Butyl cellosolve'!DA17</f>
        <v>1.2533843596994945</v>
      </c>
      <c r="EQ81" s="20">
        <f>'Butyl cellosolve'!DB17</f>
        <v>1.2533843596994945</v>
      </c>
      <c r="ER81" s="20">
        <f>'Butyl cellosolve'!DC17</f>
        <v>1.231432021541081</v>
      </c>
      <c r="ES81" s="20">
        <f>'Butyl cellosolve'!DD17</f>
        <v>1.2146089755631941</v>
      </c>
      <c r="ET81" s="20">
        <f>'Butyl cellosolve'!DE17</f>
        <v>1.2146089755631941</v>
      </c>
      <c r="EU81" s="20">
        <f>'Butyl cellosolve'!DF17</f>
        <v>1.2146089755631941</v>
      </c>
      <c r="EV81" s="20">
        <f>'Butyl cellosolve'!DG17</f>
        <v>1.2146089755631941</v>
      </c>
      <c r="EW81" s="20">
        <f>'Butyl cellosolve'!DH17</f>
        <v>1.2112541823849876</v>
      </c>
      <c r="EX81" s="20">
        <f>'Butyl cellosolve'!DI17</f>
        <v>1.1861657959182292</v>
      </c>
      <c r="EY81" s="20">
        <f>'Butyl cellosolve'!DJ17</f>
        <v>1.1924378925349191</v>
      </c>
      <c r="EZ81" s="20">
        <f>'Butyl cellosolve'!DK17</f>
        <v>1.1924378925349191</v>
      </c>
      <c r="FA81" s="20">
        <f>'Butyl cellosolve'!DL17</f>
        <v>1.1684275755621787</v>
      </c>
      <c r="FB81" s="20">
        <f>'Butyl cellosolve'!DM17</f>
        <v>1.1732733879306991</v>
      </c>
      <c r="FC81" s="20">
        <f>'Butyl cellosolve'!DN17</f>
        <v>1.1403571507147923</v>
      </c>
      <c r="FD81" s="20">
        <f>'Butyl cellosolve'!DO17</f>
        <v>1.1392388863220568</v>
      </c>
      <c r="FE81" s="20">
        <f>'Butyl cellosolve'!DP17</f>
        <v>1.1392388863220568</v>
      </c>
      <c r="FF81" s="20">
        <f>'Butyl cellosolve'!DQ17</f>
        <v>1.1423749346304015</v>
      </c>
      <c r="FG81" s="20">
        <f>'Butyl cellosolve'!DR17</f>
        <v>1.1329667897053672</v>
      </c>
      <c r="FH81" s="20">
        <f>'Butyl cellosolve'!DS17</f>
        <v>1.1231211550406097</v>
      </c>
    </row>
    <row r="82" spans="1:164">
      <c r="A82" s="8" t="s">
        <v>207</v>
      </c>
      <c r="B82" s="263" t="s">
        <v>156</v>
      </c>
      <c r="C82" s="19">
        <f t="shared" si="120"/>
        <v>0.14103805726897178</v>
      </c>
      <c r="D82" s="19">
        <f t="shared" si="120"/>
        <v>-0.66385136253600763</v>
      </c>
      <c r="E82" s="19">
        <f t="shared" si="120"/>
        <v>-5.4480889152653589E-2</v>
      </c>
      <c r="F82" s="19">
        <f t="shared" si="120"/>
        <v>0.34235052217628947</v>
      </c>
      <c r="G82" s="19">
        <f t="shared" si="120"/>
        <v>0.15972325843053703</v>
      </c>
      <c r="H82" s="19">
        <f t="shared" si="120"/>
        <v>0.20348816020321436</v>
      </c>
      <c r="I82" s="19">
        <f t="shared" si="120"/>
        <v>0.69701545555665412</v>
      </c>
      <c r="J82" s="19">
        <f t="shared" si="120"/>
        <v>0</v>
      </c>
      <c r="K82" s="19">
        <f t="shared" si="120"/>
        <v>-6.571020484279444E-2</v>
      </c>
      <c r="L82" s="19">
        <f t="shared" si="120"/>
        <v>-6.6629228686752029E-2</v>
      </c>
      <c r="M82" s="19">
        <f t="shared" si="120"/>
        <v>-4.6180517483715988E-2</v>
      </c>
      <c r="N82" s="19">
        <f t="shared" si="120"/>
        <v>5.3044233553649178E-2</v>
      </c>
      <c r="O82" s="19">
        <f t="shared" si="120"/>
        <v>2.630382774985307E-2</v>
      </c>
      <c r="P82" s="19">
        <f t="shared" si="120"/>
        <v>0</v>
      </c>
      <c r="Q82" s="19">
        <f t="shared" si="120"/>
        <v>-0.2690559487214248</v>
      </c>
      <c r="R82" s="19">
        <f t="shared" si="120"/>
        <v>-2.6969814364315781E-2</v>
      </c>
      <c r="S82" s="19">
        <f t="shared" ref="S82:W83" si="125">+CW82-CX82</f>
        <v>1.3503379657750614E-2</v>
      </c>
      <c r="T82" s="19">
        <f t="shared" si="125"/>
        <v>0</v>
      </c>
      <c r="U82" s="19">
        <f t="shared" si="125"/>
        <v>-0.15724849765339677</v>
      </c>
      <c r="V82" s="19">
        <f t="shared" si="125"/>
        <v>-0.13890572594657868</v>
      </c>
      <c r="W82" s="19">
        <f t="shared" si="125"/>
        <v>0.15258727487702117</v>
      </c>
      <c r="X82" s="19">
        <f t="shared" si="122"/>
        <v>1.3644167649212946E-2</v>
      </c>
      <c r="Y82" s="19">
        <f t="shared" si="122"/>
        <v>-6.8596193614677503E-2</v>
      </c>
      <c r="Z82" s="19">
        <f t="shared" si="122"/>
        <v>1.6641062066282686E-2</v>
      </c>
      <c r="AA82" s="19">
        <f t="shared" ref="AA82:AF83" si="126">+DE82-DF82</f>
        <v>9.1421048782272862E-2</v>
      </c>
      <c r="AB82" s="19">
        <f t="shared" si="126"/>
        <v>-0.22387426781611808</v>
      </c>
      <c r="AC82" s="19">
        <f t="shared" si="126"/>
        <v>5.690921513813052E-2</v>
      </c>
      <c r="AD82" s="19">
        <f t="shared" si="126"/>
        <v>5.3580601955074414E-2</v>
      </c>
      <c r="AE82" s="19">
        <f t="shared" si="126"/>
        <v>2.2432227831831852E-2</v>
      </c>
      <c r="AF82" s="19">
        <f t="shared" si="126"/>
        <v>-8.4840955068248292E-2</v>
      </c>
      <c r="AG82" s="19">
        <f t="shared" si="91"/>
        <v>1.4239737763800164E-2</v>
      </c>
      <c r="AH82" s="19">
        <f t="shared" si="92"/>
        <v>-1.3087373800324045</v>
      </c>
      <c r="AI82" s="19">
        <f t="shared" si="93"/>
        <v>0.46705609014532534</v>
      </c>
      <c r="AJ82" s="19">
        <f t="shared" si="94"/>
        <v>-0.35766594546108266</v>
      </c>
      <c r="AK82" s="19">
        <f t="shared" si="95"/>
        <v>-9.3349762891602239E-2</v>
      </c>
      <c r="AL82" s="19">
        <f t="shared" si="95"/>
        <v>0.12671678523255103</v>
      </c>
      <c r="AM82" s="19">
        <f t="shared" si="96"/>
        <v>-1.5685173102427896E-2</v>
      </c>
      <c r="AN82" s="19">
        <f t="shared" si="97"/>
        <v>3.1326776279570367E-2</v>
      </c>
      <c r="AO82" s="19">
        <f t="shared" si="98"/>
        <v>0</v>
      </c>
      <c r="AP82" s="19">
        <f t="shared" si="99"/>
        <v>-3.1326776279570367E-2</v>
      </c>
      <c r="AQ82" s="19">
        <f t="shared" si="99"/>
        <v>6.2479997011884336E-2</v>
      </c>
      <c r="AR82" s="19">
        <f t="shared" si="99"/>
        <v>1.551197712812602E-2</v>
      </c>
      <c r="AS82" s="19">
        <f t="shared" si="100"/>
        <v>0</v>
      </c>
      <c r="AT82" s="19">
        <f t="shared" si="101"/>
        <v>4.6026990734551632E-2</v>
      </c>
      <c r="AU82" s="60"/>
      <c r="AV82" s="19">
        <f t="shared" si="102"/>
        <v>-0.15278932185987593</v>
      </c>
      <c r="AW82" s="19">
        <f t="shared" si="103"/>
        <v>-0.61115728743949482</v>
      </c>
      <c r="AX82" s="19">
        <f t="shared" si="104"/>
        <v>-4.9587657857435019E-2</v>
      </c>
      <c r="AY82" s="19">
        <f t="shared" si="105"/>
        <v>3.3104162553051708E-2</v>
      </c>
      <c r="AZ82" s="19">
        <f t="shared" si="106"/>
        <v>-0.36720155693460121</v>
      </c>
      <c r="BA82" s="19">
        <f t="shared" si="106"/>
        <v>-1.9890084333957585</v>
      </c>
      <c r="BB82" s="19">
        <f t="shared" si="107"/>
        <v>-1.8360077846730061</v>
      </c>
      <c r="BC82" s="19">
        <f t="shared" si="108"/>
        <v>-1.9945451972031307</v>
      </c>
      <c r="BD82" s="19">
        <f t="shared" si="109"/>
        <v>0</v>
      </c>
      <c r="BE82" s="19">
        <f t="shared" si="110"/>
        <v>-0.37671196436525278</v>
      </c>
      <c r="BF82" s="19">
        <f t="shared" si="111"/>
        <v>-0.76578227427937762</v>
      </c>
      <c r="BG82" s="19">
        <f t="shared" si="111"/>
        <v>0.1217270635780423</v>
      </c>
      <c r="BH82" s="19">
        <f t="shared" si="56"/>
        <v>0</v>
      </c>
      <c r="BI82" s="19">
        <f t="shared" si="57"/>
        <v>-0.1560464039618239</v>
      </c>
      <c r="BJ82" s="19">
        <f t="shared" si="112"/>
        <v>-0.13345523617986998</v>
      </c>
      <c r="BK82" s="19">
        <f t="shared" si="113"/>
        <v>-0.22431559544959256</v>
      </c>
      <c r="BL82" s="19">
        <f t="shared" si="113"/>
        <v>2.7375206104789385E-2</v>
      </c>
      <c r="BM82" s="19">
        <f t="shared" si="113"/>
        <v>-0.20612537559809851</v>
      </c>
      <c r="BN82" s="19">
        <f t="shared" si="113"/>
        <v>-0.11158451844012518</v>
      </c>
      <c r="BO82" s="19">
        <f t="shared" si="113"/>
        <v>-5.6264408099217178E-2</v>
      </c>
      <c r="BP82" s="19">
        <f t="shared" si="58"/>
        <v>-3.7085354792385061E-2</v>
      </c>
      <c r="BQ82" s="19">
        <f t="shared" si="58"/>
        <v>-0.14191984726674534</v>
      </c>
      <c r="BR82" s="19">
        <f t="shared" si="58"/>
        <v>-0.11499146599048871</v>
      </c>
      <c r="BS82" s="19">
        <f t="shared" si="114"/>
        <v>6.3031036482367853E-2</v>
      </c>
      <c r="BT82" s="19">
        <f t="shared" si="114"/>
        <v>1.4074271943656953</v>
      </c>
      <c r="BU82" s="19">
        <f t="shared" si="59"/>
        <v>0.61133402458418118</v>
      </c>
      <c r="BV82" s="19">
        <f t="shared" si="60"/>
        <v>2.5510086123091469E-2</v>
      </c>
      <c r="BW82" s="19">
        <f t="shared" si="115"/>
        <v>-7.674553335765566E-2</v>
      </c>
      <c r="BX82" s="19">
        <f t="shared" si="116"/>
        <v>0.30316077907258787</v>
      </c>
      <c r="BY82" s="19">
        <f t="shared" si="116"/>
        <v>0.81931424737307168</v>
      </c>
      <c r="BZ82" s="19">
        <f t="shared" si="116"/>
        <v>4.7225790393049749E-2</v>
      </c>
      <c r="CA82" s="19">
        <f t="shared" si="116"/>
        <v>2.3515455463940071E-2</v>
      </c>
      <c r="CB82" s="19">
        <f t="shared" si="116"/>
        <v>0</v>
      </c>
      <c r="CC82" s="19">
        <f t="shared" ref="CC82:CD88" si="127">+FF82-FG82</f>
        <v>4.6837368084560183E-2</v>
      </c>
      <c r="CD82" s="19">
        <f t="shared" si="127"/>
        <v>2.3322442874981419E-2</v>
      </c>
      <c r="CE82" s="65"/>
      <c r="CG82" s="20">
        <f t="shared" si="118"/>
        <v>10.287552699309575</v>
      </c>
      <c r="CH82" s="20">
        <f>'Input RM sheet'!AP116</f>
        <v>10.146514642040604</v>
      </c>
      <c r="CI82" s="20">
        <f>'Input RM sheet'!AQ116</f>
        <v>10.810366004576611</v>
      </c>
      <c r="CJ82" s="20">
        <f>'Input RM sheet'!AR116</f>
        <v>10.864846893729265</v>
      </c>
      <c r="CK82" s="20">
        <f>'Input RM sheet'!AS116</f>
        <v>10.522496371552975</v>
      </c>
      <c r="CL82" s="20">
        <f>'Input RM sheet'!AT116</f>
        <v>10.362773113122438</v>
      </c>
      <c r="CM82" s="20">
        <f>'Input RM sheet'!AU116</f>
        <v>10.159284952919224</v>
      </c>
      <c r="CN82" s="20">
        <f>'Input RM sheet'!AV116</f>
        <v>9.4622694973625698</v>
      </c>
      <c r="CO82" s="20">
        <f>'Input RM sheet'!AW116</f>
        <v>9.4622694973625698</v>
      </c>
      <c r="CP82" s="20">
        <f>'Input RM sheet'!AX116</f>
        <v>9.5279797022053643</v>
      </c>
      <c r="CQ82" s="20">
        <f>'Input RM sheet'!AY116</f>
        <v>9.5946089308921163</v>
      </c>
      <c r="CR82" s="20">
        <f>'Input RM sheet'!AZ116</f>
        <v>9.6407894483758323</v>
      </c>
      <c r="CS82" s="20">
        <f>'Input RM sheet'!BA116</f>
        <v>9.5877452148221831</v>
      </c>
      <c r="CT82" s="20">
        <f>'Input RM sheet'!BB116</f>
        <v>9.56144138707233</v>
      </c>
      <c r="CU82" s="20">
        <f>'Input RM sheet'!BC116</f>
        <v>9.56144138707233</v>
      </c>
      <c r="CV82" s="20">
        <f>'Input RM sheet'!BD116</f>
        <v>9.8304973357937548</v>
      </c>
      <c r="CW82" s="20">
        <f>'Input RM sheet'!BE116</f>
        <v>9.8574671501580706</v>
      </c>
      <c r="CX82" s="20">
        <f>'Input RM sheet'!BF116</f>
        <v>9.84396377050032</v>
      </c>
      <c r="CY82" s="20">
        <f>'Input RM sheet'!BG116</f>
        <v>9.84396377050032</v>
      </c>
      <c r="CZ82" s="20">
        <f>'Input RM sheet'!BH116</f>
        <v>10.001212268153717</v>
      </c>
      <c r="DA82" s="20">
        <f>'Input RM sheet'!BI116</f>
        <v>10.140117994100295</v>
      </c>
      <c r="DB82" s="20">
        <f>'Input RM sheet'!BJ116</f>
        <v>9.9875307192232743</v>
      </c>
      <c r="DC82" s="20">
        <f>'Input RM sheet'!BK116</f>
        <v>9.9738865515740613</v>
      </c>
      <c r="DD82" s="20">
        <f>'Input RM sheet'!BL116</f>
        <v>10.042482745188739</v>
      </c>
      <c r="DE82" s="20">
        <f>'Input RM sheet'!BM116</f>
        <v>10.025841683122456</v>
      </c>
      <c r="DF82" s="20">
        <f>'Input RM sheet'!BN116</f>
        <v>9.9344206343401833</v>
      </c>
      <c r="DG82" s="20">
        <f>'Input RM sheet'!BO116</f>
        <v>10.158294902156301</v>
      </c>
      <c r="DH82" s="20">
        <f>'Input RM sheet'!BP116</f>
        <v>10.101385687018171</v>
      </c>
      <c r="DI82" s="20">
        <f>'Input RM sheet'!BQ116</f>
        <v>10.047805085063096</v>
      </c>
      <c r="DJ82" s="20">
        <f>'Input RM sheet'!BR116</f>
        <v>10.025372857231265</v>
      </c>
      <c r="DK82" s="20">
        <f>'Input RM sheet'!BS116</f>
        <v>10.110213812299513</v>
      </c>
      <c r="DL82" s="20">
        <f>'Input RM sheet'!BT116</f>
        <v>10.095974074535713</v>
      </c>
      <c r="DM82" s="20">
        <f>'Input RM sheet'!BU116</f>
        <v>11.404711454568117</v>
      </c>
      <c r="DN82" s="20">
        <f>'Input RM sheet'!BV116</f>
        <v>10.937655364422792</v>
      </c>
      <c r="DO82" s="20">
        <f>'Input RM sheet'!BW116</f>
        <v>11.295321309883875</v>
      </c>
      <c r="DP82" s="20">
        <f>'Input RM sheet'!BX116</f>
        <v>11.388671072775477</v>
      </c>
      <c r="DQ82" s="20">
        <f>'Input RM sheet'!BY116</f>
        <v>11.261954287542926</v>
      </c>
      <c r="DR82" s="20">
        <f>'Input RM sheet'!BZ116</f>
        <v>11.277639460645354</v>
      </c>
      <c r="DS82" s="20">
        <f>'Input RM sheet'!CA116</f>
        <v>11.246312684365783</v>
      </c>
      <c r="DT82" s="20">
        <f>'Input RM sheet'!CB116</f>
        <v>11.246312684365783</v>
      </c>
      <c r="DU82" s="20">
        <f>'Input RM sheet'!CC116</f>
        <v>11.277639460645354</v>
      </c>
      <c r="DV82" s="20">
        <f>'Input RM sheet'!CD116</f>
        <v>11.215159463633469</v>
      </c>
      <c r="DW82" s="20">
        <f>'Input RM sheet'!CE116</f>
        <v>11.199647486505343</v>
      </c>
      <c r="DX82" s="20">
        <f>'Input RM sheet'!CF116</f>
        <v>11.199647486505343</v>
      </c>
      <c r="DY82" s="20">
        <f>'Input RM sheet'!CG116</f>
        <v>11.153620495770792</v>
      </c>
      <c r="DZ82" s="20">
        <f>'Input RM sheet'!CH116</f>
        <v>11.306409817630668</v>
      </c>
      <c r="EA82" s="20">
        <f>'Input RM sheet'!CI116</f>
        <v>11.917567105070162</v>
      </c>
      <c r="EB82" s="20">
        <f>'Input RM sheet'!CJ116</f>
        <v>11.967154762927597</v>
      </c>
      <c r="EC82" s="20">
        <f>'Input RM sheet'!CK116</f>
        <v>11.934050600374546</v>
      </c>
      <c r="ED82" s="20">
        <f>'Input RM sheet'!CL116</f>
        <v>12.301252157309147</v>
      </c>
      <c r="EE82" s="20">
        <f>'Input RM sheet'!CM116</f>
        <v>14.290260590704905</v>
      </c>
      <c r="EF82" s="20">
        <f>'Input RM sheet'!CN116</f>
        <v>16.126268375377911</v>
      </c>
      <c r="EG82" s="20">
        <f>'Input RM sheet'!CO116</f>
        <v>18.120813572581042</v>
      </c>
      <c r="EH82" s="20">
        <f>'Input RM sheet'!CP116</f>
        <v>18.120813572581042</v>
      </c>
      <c r="EI82" s="20">
        <f>'Input RM sheet'!CQ116</f>
        <v>18.497525536946295</v>
      </c>
      <c r="EJ82" s="20">
        <f>'Input RM sheet'!CR116</f>
        <v>19.263307811225673</v>
      </c>
      <c r="EK82" s="20">
        <f>'Input RM sheet'!CS116</f>
        <v>19.14158074764763</v>
      </c>
      <c r="EL82" s="20">
        <f>'Input RM sheet'!CT116</f>
        <v>19.14158074764763</v>
      </c>
      <c r="EM82" s="20">
        <f>'Input RM sheet'!CU116</f>
        <v>19.297627151609454</v>
      </c>
      <c r="EN82" s="20">
        <f>'Input RM sheet'!CV116</f>
        <v>19.431082387789324</v>
      </c>
      <c r="EO82" s="20">
        <f>'Input RM sheet'!CW116</f>
        <v>19.655397983238917</v>
      </c>
      <c r="EP82" s="20">
        <f>'Input RM sheet'!CX116</f>
        <v>19.628022777134127</v>
      </c>
      <c r="EQ82" s="20">
        <f>'Input RM sheet'!CY116</f>
        <v>19.834148152732226</v>
      </c>
      <c r="ER82" s="20">
        <f>'Input RM sheet'!CZ116</f>
        <v>19.945732671172351</v>
      </c>
      <c r="ES82" s="20">
        <f>'Input RM sheet'!DA116</f>
        <v>20.001997079271568</v>
      </c>
      <c r="ET82" s="20">
        <f>'Input RM sheet'!DB116</f>
        <v>20.039082434063953</v>
      </c>
      <c r="EU82" s="20">
        <f>'Input RM sheet'!DC116</f>
        <v>20.181002281330699</v>
      </c>
      <c r="EV82" s="20">
        <f>'Input RM sheet'!DD116</f>
        <v>20.295993747321187</v>
      </c>
      <c r="EW82" s="20">
        <f>'Input RM sheet'!DE116</f>
        <v>20.232962710838819</v>
      </c>
      <c r="EX82" s="20">
        <f>'Input RM sheet'!DF116</f>
        <v>18.825535516473124</v>
      </c>
      <c r="EY82" s="20">
        <f>'Input RM sheet'!DG116</f>
        <v>18.214201491888943</v>
      </c>
      <c r="EZ82" s="20">
        <f>'Input RM sheet'!DH116</f>
        <v>18.188691405765852</v>
      </c>
      <c r="FA82" s="20">
        <f>'Input RM sheet'!DI116</f>
        <v>18.265436939123507</v>
      </c>
      <c r="FB82" s="20">
        <f>'Input RM sheet'!DJ116</f>
        <v>17.962276160050919</v>
      </c>
      <c r="FC82" s="20">
        <f>'Input RM sheet'!DK116</f>
        <v>17.142961912677848</v>
      </c>
      <c r="FD82" s="20">
        <f>'Input RM sheet'!DL116</f>
        <v>17.095736122284798</v>
      </c>
      <c r="FE82" s="20">
        <f>'Input RM sheet'!DM116</f>
        <v>17.072220666820858</v>
      </c>
      <c r="FF82" s="20">
        <f>'Input RM sheet'!DN116</f>
        <v>17.072220666820858</v>
      </c>
      <c r="FG82" s="20">
        <f>'Input RM sheet'!DO116</f>
        <v>17.025383298736298</v>
      </c>
      <c r="FH82" s="20">
        <f>'Input RM sheet'!DP116</f>
        <v>17.002060855861316</v>
      </c>
    </row>
    <row r="83" spans="1:164" ht="15">
      <c r="A83" s="8" t="s">
        <v>207</v>
      </c>
      <c r="B83" s="45" t="s">
        <v>269</v>
      </c>
      <c r="C83" s="19">
        <f t="shared" si="120"/>
        <v>3.2103382935992242E-2</v>
      </c>
      <c r="D83" s="19">
        <f t="shared" si="120"/>
        <v>-7.4681296421336807E-2</v>
      </c>
      <c r="E83" s="19">
        <f t="shared" si="120"/>
        <v>-2.6138453747468038E-2</v>
      </c>
      <c r="F83" s="19">
        <f t="shared" si="120"/>
        <v>-3.7340648210666405E-3</v>
      </c>
      <c r="G83" s="19">
        <f t="shared" si="120"/>
        <v>4.4808777852801907E-2</v>
      </c>
      <c r="H83" s="19">
        <f t="shared" si="120"/>
        <v>2.98725185685349E-2</v>
      </c>
      <c r="I83" s="19">
        <f t="shared" si="120"/>
        <v>0</v>
      </c>
      <c r="J83" s="19">
        <f t="shared" si="120"/>
        <v>0</v>
      </c>
      <c r="K83" s="19">
        <f t="shared" si="120"/>
        <v>-7.4681296421341692E-4</v>
      </c>
      <c r="L83" s="19">
        <f t="shared" si="120"/>
        <v>-8.1402613099257115E-2</v>
      </c>
      <c r="M83" s="19">
        <f t="shared" si="120"/>
        <v>0</v>
      </c>
      <c r="N83" s="19">
        <f t="shared" si="120"/>
        <v>1.493625928426745E-2</v>
      </c>
      <c r="O83" s="19">
        <f t="shared" si="120"/>
        <v>0</v>
      </c>
      <c r="P83" s="19">
        <f t="shared" si="120"/>
        <v>0</v>
      </c>
      <c r="Q83" s="19">
        <f t="shared" si="120"/>
        <v>3.7340648210666405E-3</v>
      </c>
      <c r="R83" s="19">
        <f t="shared" si="120"/>
        <v>-2.4644827819040982E-2</v>
      </c>
      <c r="S83" s="19">
        <f t="shared" si="125"/>
        <v>0</v>
      </c>
      <c r="T83" s="19">
        <f t="shared" si="125"/>
        <v>2.2404388926400287E-3</v>
      </c>
      <c r="U83" s="19">
        <f t="shared" si="125"/>
        <v>1.3442633355840616E-2</v>
      </c>
      <c r="V83" s="19">
        <f t="shared" si="125"/>
        <v>4.2568338960161878E-2</v>
      </c>
      <c r="W83" s="19">
        <f t="shared" si="125"/>
        <v>5.750459824442955E-2</v>
      </c>
      <c r="X83" s="19">
        <f t="shared" si="122"/>
        <v>2.9872518568536677E-3</v>
      </c>
      <c r="Y83" s="19">
        <f t="shared" si="122"/>
        <v>1.1202194463200366E-2</v>
      </c>
      <c r="Z83" s="19">
        <f t="shared" si="122"/>
        <v>3.7340648210668625E-3</v>
      </c>
      <c r="AA83" s="19">
        <f t="shared" si="126"/>
        <v>1.1202194463200588E-2</v>
      </c>
      <c r="AB83" s="19">
        <f t="shared" si="126"/>
        <v>0</v>
      </c>
      <c r="AC83" s="19">
        <f t="shared" si="126"/>
        <v>1.493625928426745E-2</v>
      </c>
      <c r="AD83" s="19">
        <f t="shared" si="126"/>
        <v>3.7340648210668625E-3</v>
      </c>
      <c r="AE83" s="19">
        <f t="shared" si="126"/>
        <v>0</v>
      </c>
      <c r="AF83" s="19">
        <f t="shared" si="126"/>
        <v>0</v>
      </c>
      <c r="AG83" s="19">
        <f t="shared" si="91"/>
        <v>-3.5100209318028375E-2</v>
      </c>
      <c r="AH83" s="19">
        <f t="shared" si="92"/>
        <v>-4.4808777852802795E-3</v>
      </c>
      <c r="AI83" s="19">
        <f t="shared" si="93"/>
        <v>-5.9745037137071133E-3</v>
      </c>
      <c r="AJ83" s="19">
        <f t="shared" si="94"/>
        <v>-5.9745037137068913E-3</v>
      </c>
      <c r="AK83" s="19">
        <f t="shared" si="95"/>
        <v>2.9872518568534456E-3</v>
      </c>
      <c r="AL83" s="19">
        <f t="shared" si="95"/>
        <v>7.4681296421337251E-3</v>
      </c>
      <c r="AM83" s="19">
        <f t="shared" si="96"/>
        <v>-1.4189446320053811E-2</v>
      </c>
      <c r="AN83" s="19">
        <f t="shared" si="97"/>
        <v>-4.4808777852802795E-3</v>
      </c>
      <c r="AO83" s="19">
        <f t="shared" si="98"/>
        <v>-3.7340648210668625E-3</v>
      </c>
      <c r="AP83" s="19">
        <f t="shared" si="99"/>
        <v>0</v>
      </c>
      <c r="AQ83" s="19">
        <f t="shared" si="99"/>
        <v>-1.082878798109399E-2</v>
      </c>
      <c r="AR83" s="19">
        <f t="shared" si="99"/>
        <v>1.8670324105334313E-3</v>
      </c>
      <c r="AS83" s="19">
        <f t="shared" si="100"/>
        <v>-7.4681296421337251E-3</v>
      </c>
      <c r="AT83" s="19">
        <f t="shared" si="101"/>
        <v>0</v>
      </c>
      <c r="AU83" s="60" t="s">
        <v>155</v>
      </c>
      <c r="AV83" s="19">
        <f t="shared" si="102"/>
        <v>-5.9745037137068913E-3</v>
      </c>
      <c r="AW83" s="19">
        <f t="shared" si="103"/>
        <v>-5.2276907494934743E-3</v>
      </c>
      <c r="AX83" s="19">
        <f t="shared" si="104"/>
        <v>1.4936259284266118E-3</v>
      </c>
      <c r="AY83" s="19">
        <f t="shared" si="105"/>
        <v>0</v>
      </c>
      <c r="AZ83" s="19">
        <f t="shared" si="106"/>
        <v>0</v>
      </c>
      <c r="BA83" s="19">
        <f t="shared" si="106"/>
        <v>0</v>
      </c>
      <c r="BB83" s="19">
        <f t="shared" si="107"/>
        <v>-1.5683072248480867E-2</v>
      </c>
      <c r="BC83" s="19">
        <f t="shared" si="108"/>
        <v>-6.7213166779200861E-3</v>
      </c>
      <c r="BD83" s="19">
        <f t="shared" si="109"/>
        <v>-3.8834274139095237E-2</v>
      </c>
      <c r="BE83" s="19">
        <f t="shared" si="110"/>
        <v>1.4936259284266118E-3</v>
      </c>
      <c r="BF83" s="19">
        <f t="shared" si="111"/>
        <v>-7.4681296421319487E-4</v>
      </c>
      <c r="BG83" s="19">
        <f t="shared" si="111"/>
        <v>1.6429885212694062E-2</v>
      </c>
      <c r="BH83" s="19">
        <f t="shared" ref="BH83:BH95" si="128">+EK83-EL83</f>
        <v>2.8378892640107845E-2</v>
      </c>
      <c r="BI83" s="19">
        <f t="shared" ref="BI83:BI95" si="129">+EL83-EM83</f>
        <v>7.4681296421337251E-3</v>
      </c>
      <c r="BJ83" s="19">
        <f t="shared" si="112"/>
        <v>2.2404388926401175E-2</v>
      </c>
      <c r="BK83" s="19">
        <f t="shared" si="113"/>
        <v>0</v>
      </c>
      <c r="BL83" s="19">
        <f t="shared" si="113"/>
        <v>1.5683072248480867E-2</v>
      </c>
      <c r="BM83" s="19">
        <f t="shared" si="113"/>
        <v>2.1657575962187536E-2</v>
      </c>
      <c r="BN83" s="19">
        <f t="shared" si="113"/>
        <v>2.2404388926401175E-2</v>
      </c>
      <c r="BO83" s="19">
        <f t="shared" si="113"/>
        <v>1.4936259284268338E-3</v>
      </c>
      <c r="BP83" s="19">
        <f t="shared" ref="BP83:BP125" si="130">+ES83-ET83</f>
        <v>1.7923511141120896E-2</v>
      </c>
      <c r="BQ83" s="19">
        <f t="shared" ref="BQ83:BR125" si="131">+ET83-EU83</f>
        <v>4.7796029709655574E-2</v>
      </c>
      <c r="BR83" s="19">
        <f t="shared" si="131"/>
        <v>0</v>
      </c>
      <c r="BS83" s="19">
        <f t="shared" si="114"/>
        <v>-9.7085685347739759E-3</v>
      </c>
      <c r="BT83" s="19">
        <f t="shared" si="114"/>
        <v>0</v>
      </c>
      <c r="BU83" s="19">
        <f t="shared" ref="BU83:BU125" si="132">+EX83-EY83</f>
        <v>2.1657575962187758E-2</v>
      </c>
      <c r="BV83" s="19">
        <f t="shared" ref="BV83:BV125" si="133">+EY83-EZ83</f>
        <v>0</v>
      </c>
      <c r="BW83" s="19">
        <f t="shared" si="115"/>
        <v>1.1202194463200588E-2</v>
      </c>
      <c r="BX83" s="19">
        <f t="shared" si="116"/>
        <v>0</v>
      </c>
      <c r="BY83" s="19">
        <f t="shared" si="116"/>
        <v>0</v>
      </c>
      <c r="BZ83" s="19">
        <f t="shared" si="116"/>
        <v>6.7213166779203082E-3</v>
      </c>
      <c r="CA83" s="19">
        <f t="shared" si="116"/>
        <v>7.4681296421341692E-4</v>
      </c>
      <c r="CB83" s="19">
        <f t="shared" si="116"/>
        <v>-7.4681296421341692E-4</v>
      </c>
      <c r="CC83" s="19">
        <f t="shared" si="127"/>
        <v>0</v>
      </c>
      <c r="CD83" s="19">
        <f t="shared" si="127"/>
        <v>-2.9872518568534456E-3</v>
      </c>
      <c r="CE83" s="65"/>
      <c r="CG83" s="20">
        <f t="shared" si="118"/>
        <v>1.1338526064336292</v>
      </c>
      <c r="CH83" s="20">
        <f>'Phthalic Anhydride'!AS16</f>
        <v>1.1017492234976369</v>
      </c>
      <c r="CI83" s="20">
        <f>'Phthalic Anhydride'!AT16</f>
        <v>1.1764305199189737</v>
      </c>
      <c r="CJ83" s="20">
        <f>'Phthalic Anhydride'!AU16</f>
        <v>1.2025689736664418</v>
      </c>
      <c r="CK83" s="20">
        <f>'Phthalic Anhydride'!AV16</f>
        <v>1.2063030384875084</v>
      </c>
      <c r="CL83" s="20">
        <f>'Phthalic Anhydride'!AW16</f>
        <v>1.1614942606347065</v>
      </c>
      <c r="CM83" s="20">
        <f>'Phthalic Anhydride'!AX16</f>
        <v>1.1316217420661716</v>
      </c>
      <c r="CN83" s="20">
        <f>'Phthalic Anhydride'!AY16</f>
        <v>1.1316217420661716</v>
      </c>
      <c r="CO83" s="20">
        <f>'Phthalic Anhydride'!AZ16</f>
        <v>1.1316217420661716</v>
      </c>
      <c r="CP83" s="20">
        <f>'Phthalic Anhydride'!BA16</f>
        <v>1.132368555030385</v>
      </c>
      <c r="CQ83" s="20">
        <f>'Phthalic Anhydride'!BB16</f>
        <v>1.2137711681296421</v>
      </c>
      <c r="CR83" s="20">
        <f>'Phthalic Anhydride'!BC16</f>
        <v>1.2137711681296421</v>
      </c>
      <c r="CS83" s="20">
        <f>'Phthalic Anhydride'!BD16</f>
        <v>1.1988349088453747</v>
      </c>
      <c r="CT83" s="20">
        <f>'Phthalic Anhydride'!BE16</f>
        <v>1.1988349088453747</v>
      </c>
      <c r="CU83" s="20">
        <f>'Phthalic Anhydride'!BF16</f>
        <v>1.1988349088453747</v>
      </c>
      <c r="CV83" s="20">
        <f>'Phthalic Anhydride'!BG16</f>
        <v>1.1951008440243081</v>
      </c>
      <c r="CW83" s="20">
        <f>'Phthalic Anhydride'!BH16</f>
        <v>1.219745671843349</v>
      </c>
      <c r="CX83" s="20">
        <f>'Phthalic Anhydride'!BI16</f>
        <v>1.219745671843349</v>
      </c>
      <c r="CY83" s="20">
        <f>'Phthalic Anhydride'!BJ16</f>
        <v>1.217505232950709</v>
      </c>
      <c r="CZ83" s="20">
        <f>'Phthalic Anhydride'!BK16</f>
        <v>1.2040625995948684</v>
      </c>
      <c r="DA83" s="20">
        <f>'Phthalic Anhydride'!BL16</f>
        <v>1.1614942606347065</v>
      </c>
      <c r="DB83" s="20">
        <f>'Phthalic Anhydride'!BM16</f>
        <v>1.103989662390277</v>
      </c>
      <c r="DC83" s="20">
        <f>'Phthalic Anhydride'!BN16</f>
        <v>1.1010024105334233</v>
      </c>
      <c r="DD83" s="20">
        <f>'Phthalic Anhydride'!BO16</f>
        <v>1.0898002160702229</v>
      </c>
      <c r="DE83" s="20">
        <f>'Phthalic Anhydride'!BP16</f>
        <v>1.0860661512491561</v>
      </c>
      <c r="DF83" s="20">
        <f>'Phthalic Anhydride'!BQ16</f>
        <v>1.0748639567859555</v>
      </c>
      <c r="DG83" s="20">
        <f>'Phthalic Anhydride'!BR16</f>
        <v>1.0748639567859555</v>
      </c>
      <c r="DH83" s="20">
        <f>'Phthalic Anhydride'!BS16</f>
        <v>1.059927697501688</v>
      </c>
      <c r="DI83" s="20">
        <f>'Phthalic Anhydride'!BT16</f>
        <v>1.0561936326806212</v>
      </c>
      <c r="DJ83" s="20">
        <f>'Phthalic Anhydride'!BU16</f>
        <v>1.0561936326806212</v>
      </c>
      <c r="DK83" s="20">
        <f>'Phthalic Anhydride'!BV16</f>
        <v>1.0561936326806212</v>
      </c>
      <c r="DL83" s="20">
        <f>'Phthalic Anhydride'!BW16</f>
        <v>1.0912938419986495</v>
      </c>
      <c r="DM83" s="20">
        <f>'Phthalic Anhydride'!BX16</f>
        <v>1.0957747197839298</v>
      </c>
      <c r="DN83" s="20">
        <f>'Phthalic Anhydride'!BY16</f>
        <v>1.1017492234976369</v>
      </c>
      <c r="DO83" s="20">
        <f>'Phthalic Anhydride'!BZ16</f>
        <v>1.1077237272113438</v>
      </c>
      <c r="DP83" s="20">
        <f>'Phthalic Anhydride'!CA16</f>
        <v>1.1047364753544904</v>
      </c>
      <c r="DQ83" s="20">
        <f>'Phthalic Anhydride'!CB16</f>
        <v>1.0972683457123567</v>
      </c>
      <c r="DR83" s="20">
        <f>'Phthalic Anhydride'!CC16</f>
        <v>1.1114577920324105</v>
      </c>
      <c r="DS83" s="20">
        <f>'Phthalic Anhydride'!CD16</f>
        <v>1.1159386698176907</v>
      </c>
      <c r="DT83" s="20">
        <f>'Phthalic Anhydride'!CE16</f>
        <v>1.1196727346387576</v>
      </c>
      <c r="DU83" s="20">
        <f>'Phthalic Anhydride'!CF16</f>
        <v>1.1196727346387576</v>
      </c>
      <c r="DV83" s="20">
        <f>'Phthalic Anhydride'!CG16</f>
        <v>1.1305015226198516</v>
      </c>
      <c r="DW83" s="20">
        <f>'Phthalic Anhydride'!CH16</f>
        <v>1.1286344902093182</v>
      </c>
      <c r="DX83" s="20">
        <f>'Phthalic Anhydride'!CI16</f>
        <v>1.1361026198514519</v>
      </c>
      <c r="DY83" s="20">
        <f>'Phthalic Anhydride'!CJ16</f>
        <v>1.1361026198514519</v>
      </c>
      <c r="DZ83" s="20">
        <f>'Phthalic Anhydride'!CK16</f>
        <v>1.1420771235651588</v>
      </c>
      <c r="EA83" s="20">
        <f>'Phthalic Anhydride'!CL16</f>
        <v>1.1473048143146523</v>
      </c>
      <c r="EB83" s="20">
        <f>'Phthalic Anhydride'!CM16</f>
        <v>1.1458111883862256</v>
      </c>
      <c r="EC83" s="20">
        <f>'Phthalic Anhydride'!CN16</f>
        <v>1.1458111883862256</v>
      </c>
      <c r="ED83" s="20">
        <f>'Phthalic Anhydride'!CO16</f>
        <v>1.1458111883862256</v>
      </c>
      <c r="EE83" s="20">
        <f>'Phthalic Anhydride'!CP16</f>
        <v>1.1458111883862256</v>
      </c>
      <c r="EF83" s="20">
        <f>'Phthalic Anhydride'!CQ16</f>
        <v>1.1614942606347065</v>
      </c>
      <c r="EG83" s="20">
        <f>'Phthalic Anhydride'!CR16</f>
        <v>1.1682155773126266</v>
      </c>
      <c r="EH83" s="20">
        <f>'Phthalic Anhydride'!CS16</f>
        <v>1.2070498514517218</v>
      </c>
      <c r="EI83" s="20">
        <f>'Phthalic Anhydride'!CT16</f>
        <v>1.2055562255232952</v>
      </c>
      <c r="EJ83" s="20">
        <f>'Phthalic Anhydride'!CU16</f>
        <v>1.2063030384875084</v>
      </c>
      <c r="EK83" s="20">
        <f>'Phthalic Anhydride'!CV16</f>
        <v>1.1898731532748144</v>
      </c>
      <c r="EL83" s="20">
        <f>'Phthalic Anhydride'!CW16</f>
        <v>1.1614942606347065</v>
      </c>
      <c r="EM83" s="20">
        <f>'Phthalic Anhydride'!CX16</f>
        <v>1.1540261309925728</v>
      </c>
      <c r="EN83" s="20">
        <f>'Phthalic Anhydride'!CY16</f>
        <v>1.1316217420661716</v>
      </c>
      <c r="EO83" s="20">
        <f>'Phthalic Anhydride'!CZ16</f>
        <v>1.1316217420661716</v>
      </c>
      <c r="EP83" s="20">
        <f>'Phthalic Anhydride'!DA16</f>
        <v>1.1159386698176907</v>
      </c>
      <c r="EQ83" s="20">
        <f>'Phthalic Anhydride'!DB16</f>
        <v>1.0942810938555032</v>
      </c>
      <c r="ER83" s="20">
        <f>'Phthalic Anhydride'!DC16</f>
        <v>1.071876704929102</v>
      </c>
      <c r="ES83" s="20">
        <f>'Phthalic Anhydride'!DD16</f>
        <v>1.0703830790006752</v>
      </c>
      <c r="ET83" s="20">
        <f>'Phthalic Anhydride'!DE16</f>
        <v>1.0524595678595543</v>
      </c>
      <c r="EU83" s="20">
        <f>'Phthalic Anhydride'!DF16</f>
        <v>1.0046635381498987</v>
      </c>
      <c r="EV83" s="20">
        <f>'Phthalic Anhydride'!DG16</f>
        <v>1.0046635381498987</v>
      </c>
      <c r="EW83" s="20">
        <f>'Phthalic Anhydride'!DH16</f>
        <v>1.0143721066846727</v>
      </c>
      <c r="EX83" s="20">
        <f>'Phthalic Anhydride'!DI16</f>
        <v>1.0143721066846727</v>
      </c>
      <c r="EY83" s="20">
        <f>'Phthalic Anhydride'!DJ16</f>
        <v>0.99271453072248494</v>
      </c>
      <c r="EZ83" s="20">
        <f>'Phthalic Anhydride'!DK16</f>
        <v>0.99271453072248494</v>
      </c>
      <c r="FA83" s="20">
        <f>'Phthalic Anhydride'!DL16</f>
        <v>0.98151233625928436</v>
      </c>
      <c r="FB83" s="20">
        <f>'Phthalic Anhydride'!DM16</f>
        <v>0.98151233625928436</v>
      </c>
      <c r="FC83" s="20">
        <f>'Phthalic Anhydride'!DN16</f>
        <v>0.98151233625928436</v>
      </c>
      <c r="FD83" s="20">
        <f>'Phthalic Anhydride'!DO16</f>
        <v>0.97479101958136405</v>
      </c>
      <c r="FE83" s="20">
        <f>'Phthalic Anhydride'!DP16</f>
        <v>0.97404420661715063</v>
      </c>
      <c r="FF83" s="20">
        <f>'Phthalic Anhydride'!DQ16</f>
        <v>0.97479101958136405</v>
      </c>
      <c r="FG83" s="20">
        <f>'Phthalic Anhydride'!DR16</f>
        <v>0.97479101958136405</v>
      </c>
      <c r="FH83" s="20">
        <f>'Phthalic Anhydride'!DS16</f>
        <v>0.97777827143821749</v>
      </c>
    </row>
    <row r="84" spans="1:164" ht="15">
      <c r="A84" s="8" t="s">
        <v>212</v>
      </c>
      <c r="B84" s="45" t="s">
        <v>270</v>
      </c>
      <c r="C84" s="8">
        <f>+CG84-CH84</f>
        <v>-1.3876164344924335E-2</v>
      </c>
      <c r="Y84" s="19">
        <f t="shared" ref="Y84:AL84" si="134">+DC84-DD84</f>
        <v>0</v>
      </c>
      <c r="Z84" s="19">
        <f t="shared" si="134"/>
        <v>0</v>
      </c>
      <c r="AA84" s="19">
        <f t="shared" si="134"/>
        <v>0</v>
      </c>
      <c r="AB84" s="19">
        <f t="shared" si="134"/>
        <v>-1.9251121284855399E-2</v>
      </c>
      <c r="AC84" s="19">
        <f t="shared" si="134"/>
        <v>0</v>
      </c>
      <c r="AD84" s="19">
        <f t="shared" si="134"/>
        <v>0</v>
      </c>
      <c r="AE84" s="19">
        <f t="shared" si="134"/>
        <v>0</v>
      </c>
      <c r="AF84" s="19">
        <f t="shared" si="134"/>
        <v>0</v>
      </c>
      <c r="AG84" s="19">
        <f t="shared" si="134"/>
        <v>0</v>
      </c>
      <c r="AH84" s="19">
        <f t="shared" si="134"/>
        <v>0</v>
      </c>
      <c r="AI84" s="19">
        <f t="shared" si="134"/>
        <v>0</v>
      </c>
      <c r="AJ84" s="19">
        <f t="shared" si="134"/>
        <v>-4.919730995018623E-2</v>
      </c>
      <c r="AK84" s="19">
        <f t="shared" si="134"/>
        <v>0</v>
      </c>
      <c r="AL84" s="19">
        <f t="shared" si="134"/>
        <v>0</v>
      </c>
      <c r="AM84" s="19">
        <f t="shared" si="96"/>
        <v>-4.2780269521901504E-3</v>
      </c>
      <c r="AN84" s="19">
        <f t="shared" si="97"/>
        <v>0</v>
      </c>
      <c r="AO84" s="19">
        <f t="shared" si="98"/>
        <v>0</v>
      </c>
      <c r="AP84" s="19">
        <f t="shared" si="99"/>
        <v>0</v>
      </c>
      <c r="AQ84" s="19">
        <f t="shared" si="99"/>
        <v>0</v>
      </c>
      <c r="AR84" s="19">
        <f t="shared" si="99"/>
        <v>1.497309433266536E-2</v>
      </c>
      <c r="AS84" s="19">
        <f t="shared" si="100"/>
        <v>0</v>
      </c>
      <c r="AT84" s="19">
        <f t="shared" si="101"/>
        <v>0</v>
      </c>
      <c r="AU84" s="60" t="s">
        <v>126</v>
      </c>
      <c r="AV84" s="19">
        <f t="shared" si="102"/>
        <v>0</v>
      </c>
      <c r="AW84" s="19">
        <f t="shared" si="103"/>
        <v>1.069506738047532E-2</v>
      </c>
      <c r="AX84" s="19">
        <f t="shared" si="104"/>
        <v>0</v>
      </c>
      <c r="AY84" s="19">
        <f t="shared" si="105"/>
        <v>0</v>
      </c>
      <c r="AZ84" s="19">
        <f t="shared" si="106"/>
        <v>0</v>
      </c>
      <c r="BA84" s="19">
        <f t="shared" si="106"/>
        <v>0</v>
      </c>
      <c r="BB84" s="19">
        <f t="shared" si="107"/>
        <v>0</v>
      </c>
      <c r="BC84" s="19">
        <f t="shared" si="108"/>
        <v>-6.4170404282851701E-3</v>
      </c>
      <c r="BD84" s="19">
        <f t="shared" si="109"/>
        <v>0</v>
      </c>
      <c r="BE84" s="19">
        <f t="shared" si="110"/>
        <v>0</v>
      </c>
      <c r="BF84" s="19">
        <f t="shared" si="111"/>
        <v>6.4170404282851701E-3</v>
      </c>
      <c r="BG84" s="19">
        <f t="shared" si="111"/>
        <v>0</v>
      </c>
      <c r="BH84" s="19">
        <f t="shared" si="128"/>
        <v>0</v>
      </c>
      <c r="BI84" s="19">
        <f t="shared" si="129"/>
        <v>0</v>
      </c>
      <c r="BJ84" s="19">
        <f t="shared" si="112"/>
        <v>-2.78071751892357E-2</v>
      </c>
      <c r="BK84" s="19">
        <f t="shared" si="113"/>
        <v>0</v>
      </c>
      <c r="BL84" s="19">
        <f t="shared" si="113"/>
        <v>0</v>
      </c>
      <c r="BM84" s="19">
        <f t="shared" si="113"/>
        <v>0</v>
      </c>
      <c r="BN84" s="19">
        <f t="shared" si="113"/>
        <v>2.1390134760950197E-3</v>
      </c>
      <c r="BO84" s="19">
        <f t="shared" si="113"/>
        <v>0</v>
      </c>
      <c r="BP84" s="19">
        <f t="shared" si="130"/>
        <v>0</v>
      </c>
      <c r="BQ84" s="19">
        <f t="shared" si="131"/>
        <v>0</v>
      </c>
      <c r="BR84" s="19">
        <f t="shared" si="131"/>
        <v>0</v>
      </c>
      <c r="BS84" s="19">
        <f t="shared" si="114"/>
        <v>1.283408085657034E-2</v>
      </c>
      <c r="BT84" s="19">
        <f t="shared" si="114"/>
        <v>0</v>
      </c>
      <c r="BU84" s="19">
        <f t="shared" si="132"/>
        <v>0</v>
      </c>
      <c r="BV84" s="19">
        <f t="shared" si="133"/>
        <v>0</v>
      </c>
      <c r="BW84" s="19">
        <f t="shared" si="115"/>
        <v>0</v>
      </c>
      <c r="BX84" s="19">
        <f t="shared" si="116"/>
        <v>-1.925112128485551E-2</v>
      </c>
      <c r="BY84" s="19">
        <f t="shared" si="116"/>
        <v>0</v>
      </c>
      <c r="BZ84" s="19">
        <f t="shared" si="116"/>
        <v>1.7112107808760491E-2</v>
      </c>
      <c r="CA84" s="19">
        <f t="shared" si="116"/>
        <v>0</v>
      </c>
      <c r="CB84" s="19">
        <f t="shared" si="116"/>
        <v>0</v>
      </c>
      <c r="CC84" s="19">
        <f t="shared" si="127"/>
        <v>0</v>
      </c>
      <c r="CD84" s="19">
        <f t="shared" si="127"/>
        <v>-1.283408085657034E-2</v>
      </c>
      <c r="CE84" s="65"/>
      <c r="CG84" s="20">
        <f t="shared" si="118"/>
        <v>0.64248258477846609</v>
      </c>
      <c r="CH84" s="20">
        <f>'Glyoxal 40'!AS17</f>
        <v>0.65635874912339043</v>
      </c>
      <c r="CI84" s="20">
        <f>'Glyoxal 40'!AT17</f>
        <v>0.66491480302777073</v>
      </c>
      <c r="CJ84" s="20">
        <f>'Glyoxal 40'!AU17</f>
        <v>0.65208072217120039</v>
      </c>
      <c r="CK84" s="20">
        <f>'Glyoxal 40'!AV17</f>
        <v>0.65849776259948545</v>
      </c>
      <c r="CL84" s="20">
        <f>'Glyoxal 40'!AW17</f>
        <v>0.6435246682668202</v>
      </c>
      <c r="CM84" s="20">
        <f>'Glyoxal 40'!AX17</f>
        <v>0.60930045264929933</v>
      </c>
      <c r="CN84" s="20">
        <f>'Glyoxal 40'!AY17</f>
        <v>0.60930045264929933</v>
      </c>
      <c r="CO84" s="20">
        <f>'Glyoxal 40'!AZ17</f>
        <v>0.60930045264929933</v>
      </c>
      <c r="CP84" s="20">
        <f>'Glyoxal 40'!BA17</f>
        <v>0.60930045264929933</v>
      </c>
      <c r="CQ84" s="20">
        <f>'Glyoxal 40'!BB17</f>
        <v>0.60930045264929933</v>
      </c>
      <c r="CR84" s="20">
        <f>'Glyoxal 40'!BC17</f>
        <v>0.62641256045805971</v>
      </c>
      <c r="CS84" s="20">
        <f>'Glyoxal 40'!BD17</f>
        <v>0.62641256045805971</v>
      </c>
      <c r="CT84" s="20">
        <f>'Glyoxal 40'!BE17</f>
        <v>0.62641256045805971</v>
      </c>
      <c r="CU84" s="20">
        <f>'Glyoxal 40'!BF17</f>
        <v>0.62641256045805971</v>
      </c>
      <c r="CV84" s="20">
        <f>'Glyoxal 40'!BG17</f>
        <v>0.61785650655367952</v>
      </c>
      <c r="CW84" s="20">
        <f>'Glyoxal 40'!BH17</f>
        <v>0.64566368174291522</v>
      </c>
      <c r="CX84" s="20">
        <f>'Glyoxal 40'!BI17</f>
        <v>0.64566368174291522</v>
      </c>
      <c r="CY84" s="20">
        <f>'Glyoxal 40'!BJ17</f>
        <v>0.64566368174291522</v>
      </c>
      <c r="CZ84" s="20">
        <f>'Glyoxal 40'!BK17</f>
        <v>0.64566368174291522</v>
      </c>
      <c r="DA84" s="20">
        <f>'Glyoxal 40'!BL17</f>
        <v>0.64566368174291522</v>
      </c>
      <c r="DB84" s="20">
        <f>'Glyoxal 40'!BM17</f>
        <v>0.64566368174291522</v>
      </c>
      <c r="DC84" s="20">
        <f>'Glyoxal 40'!BN17</f>
        <v>0.6157174930775845</v>
      </c>
      <c r="DD84" s="20">
        <f>'Glyoxal 40'!BO17</f>
        <v>0.6157174930775845</v>
      </c>
      <c r="DE84" s="20">
        <f>'Glyoxal 40'!BP17</f>
        <v>0.6157174930775845</v>
      </c>
      <c r="DF84" s="20">
        <f>'Glyoxal 40'!BQ17</f>
        <v>0.6157174930775845</v>
      </c>
      <c r="DG84" s="20">
        <f>'Glyoxal 40'!BR17</f>
        <v>0.6349686143624399</v>
      </c>
      <c r="DH84" s="20">
        <f>'Glyoxal 40'!BS17</f>
        <v>0.6349686143624399</v>
      </c>
      <c r="DI84" s="20">
        <f>'Glyoxal 40'!BT17</f>
        <v>0.6349686143624399</v>
      </c>
      <c r="DJ84" s="20">
        <f>'Glyoxal 40'!BU17</f>
        <v>0.6349686143624399</v>
      </c>
      <c r="DK84" s="20">
        <f>'Glyoxal 40'!BV17</f>
        <v>0.6349686143624399</v>
      </c>
      <c r="DL84" s="20">
        <f>'Glyoxal 40'!BW17</f>
        <v>0.6349686143624399</v>
      </c>
      <c r="DM84" s="20">
        <f>'Glyoxal 40'!BX17</f>
        <v>0.6349686143624399</v>
      </c>
      <c r="DN84" s="20">
        <f>'Glyoxal 40'!BY17</f>
        <v>0.6349686143624399</v>
      </c>
      <c r="DO84" s="20">
        <f>'Glyoxal 40'!BZ17</f>
        <v>0.68416592431262613</v>
      </c>
      <c r="DP84" s="20">
        <f>'Glyoxal 40'!CA17</f>
        <v>0.68416592431262613</v>
      </c>
      <c r="DQ84" s="20">
        <f>'Glyoxal 40'!CB17</f>
        <v>0.68416592431262613</v>
      </c>
      <c r="DR84" s="20">
        <f>'Glyoxal 40'!CC17</f>
        <v>0.68844395126481628</v>
      </c>
      <c r="DS84" s="20">
        <f>'Glyoxal 40'!CD17</f>
        <v>0.68844395126481628</v>
      </c>
      <c r="DT84" s="20">
        <f>'Glyoxal 40'!CE17</f>
        <v>0.68844395126481628</v>
      </c>
      <c r="DU84" s="20">
        <f>'Glyoxal 40'!CF17</f>
        <v>0.68844395126481628</v>
      </c>
      <c r="DV84" s="20">
        <f>'Glyoxal 40'!CG17</f>
        <v>0.68844395126481628</v>
      </c>
      <c r="DW84" s="20">
        <f>'Glyoxal 40'!CH17</f>
        <v>0.67347085693215092</v>
      </c>
      <c r="DX84" s="20">
        <f>'Glyoxal 40'!CI17</f>
        <v>0.67347085693215092</v>
      </c>
      <c r="DY84" s="20">
        <f>'Glyoxal 40'!CJ17</f>
        <v>0.67347085693215092</v>
      </c>
      <c r="DZ84" s="20">
        <f>'Glyoxal 40'!CK17</f>
        <v>0.67347085693215092</v>
      </c>
      <c r="EA84" s="20">
        <f>'Glyoxal 40'!CL17</f>
        <v>0.6627757895516756</v>
      </c>
      <c r="EB84" s="20">
        <f>'Glyoxal 40'!CM17</f>
        <v>0.6627757895516756</v>
      </c>
      <c r="EC84" s="20">
        <f>'Glyoxal 40'!CN17</f>
        <v>0.6627757895516756</v>
      </c>
      <c r="ED84" s="20">
        <f>'Glyoxal 40'!CO17</f>
        <v>0.6627757895516756</v>
      </c>
      <c r="EE84" s="20">
        <f>'Glyoxal 40'!CP17</f>
        <v>0.6627757895516756</v>
      </c>
      <c r="EF84" s="20">
        <f>'Glyoxal 40'!CQ17</f>
        <v>0.6627757895516756</v>
      </c>
      <c r="EG84" s="20">
        <f>'Glyoxal 40'!CR17</f>
        <v>0.66919282997996077</v>
      </c>
      <c r="EH84" s="20">
        <f>'Glyoxal 40'!CS17</f>
        <v>0.66919282997996077</v>
      </c>
      <c r="EI84" s="20">
        <f>'Glyoxal 40'!CT17</f>
        <v>0.66919282997996077</v>
      </c>
      <c r="EJ84" s="20">
        <f>'Glyoxal 40'!CU17</f>
        <v>0.6627757895516756</v>
      </c>
      <c r="EK84" s="20">
        <f>'Glyoxal 40'!CV17</f>
        <v>0.6627757895516756</v>
      </c>
      <c r="EL84" s="20">
        <f>'Glyoxal 40'!CW17</f>
        <v>0.6627757895516756</v>
      </c>
      <c r="EM84" s="20">
        <f>'Glyoxal 40'!CX17</f>
        <v>0.6627757895516756</v>
      </c>
      <c r="EN84" s="20">
        <f>'Glyoxal 40'!CY17</f>
        <v>0.6905829647409113</v>
      </c>
      <c r="EO84" s="20">
        <f>'Glyoxal 40'!CZ17</f>
        <v>0.6905829647409113</v>
      </c>
      <c r="EP84" s="20">
        <f>'Glyoxal 40'!DA17</f>
        <v>0.6905829647409113</v>
      </c>
      <c r="EQ84" s="20">
        <f>'Glyoxal 40'!DB17</f>
        <v>0.6905829647409113</v>
      </c>
      <c r="ER84" s="20">
        <f>'Glyoxal 40'!DC17</f>
        <v>0.68844395126481628</v>
      </c>
      <c r="ES84" s="20">
        <f>'Glyoxal 40'!DD17</f>
        <v>0.68844395126481628</v>
      </c>
      <c r="ET84" s="20">
        <f>'Glyoxal 40'!DE17</f>
        <v>0.68844395126481628</v>
      </c>
      <c r="EU84" s="20">
        <f>'Glyoxal 40'!DF17</f>
        <v>0.68844395126481628</v>
      </c>
      <c r="EV84" s="20">
        <f>'Glyoxal 40'!DG17</f>
        <v>0.68844395126481628</v>
      </c>
      <c r="EW84" s="20">
        <f>'Glyoxal 40'!DH17</f>
        <v>0.67560987040824594</v>
      </c>
      <c r="EX84" s="20">
        <f>'Glyoxal 40'!DI17</f>
        <v>0.67560987040824594</v>
      </c>
      <c r="EY84" s="20">
        <f>'Glyoxal 40'!DJ17</f>
        <v>0.67560987040824594</v>
      </c>
      <c r="EZ84" s="20">
        <f>'Glyoxal 40'!DK17</f>
        <v>0.67560987040824594</v>
      </c>
      <c r="FA84" s="20">
        <f>'Glyoxal 40'!DL17</f>
        <v>0.67560987040824594</v>
      </c>
      <c r="FB84" s="20">
        <f>'Glyoxal 40'!DM17</f>
        <v>0.69486099169310145</v>
      </c>
      <c r="FC84" s="20">
        <f>'Glyoxal 40'!DN17</f>
        <v>0.69486099169310145</v>
      </c>
      <c r="FD84" s="20">
        <f>'Glyoxal 40'!DO17</f>
        <v>0.67774888388434096</v>
      </c>
      <c r="FE84" s="20">
        <f>'Glyoxal 40'!DP17</f>
        <v>0.67774888388434096</v>
      </c>
      <c r="FF84" s="20">
        <f>'Glyoxal 40'!DQ17</f>
        <v>0.67774888388434096</v>
      </c>
      <c r="FG84" s="20">
        <f>'Glyoxal 40'!DR17</f>
        <v>0.67774888388434096</v>
      </c>
      <c r="FH84" s="20">
        <f>'Glyoxal 40'!DS17</f>
        <v>0.6905829647409113</v>
      </c>
    </row>
    <row r="85" spans="1:164" ht="15">
      <c r="A85" s="8" t="s">
        <v>207</v>
      </c>
      <c r="B85" s="45" t="s">
        <v>299</v>
      </c>
      <c r="AF85" s="19">
        <f t="shared" ref="AF85:AP89" si="135">+DJ85-DK85</f>
        <v>-1.1249999999998206E-3</v>
      </c>
      <c r="AG85" s="19">
        <f t="shared" si="135"/>
        <v>-3.4624999999999906E-2</v>
      </c>
      <c r="AH85" s="19">
        <f t="shared" si="135"/>
        <v>-8.7500000000000355E-3</v>
      </c>
      <c r="AI85" s="19">
        <f t="shared" si="135"/>
        <v>0</v>
      </c>
      <c r="AJ85" s="19">
        <f t="shared" si="135"/>
        <v>-4.5000000000001705E-3</v>
      </c>
      <c r="AK85" s="19">
        <f t="shared" si="135"/>
        <v>0</v>
      </c>
      <c r="AL85" s="19">
        <f t="shared" si="135"/>
        <v>-3.1499999999997641E-3</v>
      </c>
      <c r="AM85" s="19">
        <f t="shared" si="135"/>
        <v>2.0249999999997215E-3</v>
      </c>
      <c r="AN85" s="19">
        <f t="shared" si="135"/>
        <v>-2.0000000000000018E-3</v>
      </c>
      <c r="AO85" s="19">
        <f t="shared" si="135"/>
        <v>0</v>
      </c>
      <c r="AP85" s="19">
        <f t="shared" si="135"/>
        <v>4.1249999999999343E-3</v>
      </c>
      <c r="AQ85" s="19">
        <f t="shared" ref="AQ85:AR88" si="136">+DU85-DV85</f>
        <v>2.925000000000022E-2</v>
      </c>
      <c r="AR85" s="19">
        <f t="shared" si="136"/>
        <v>1.1249999999998206E-3</v>
      </c>
      <c r="AS85" s="19">
        <f t="shared" si="100"/>
        <v>-1.7224999999999824E-2</v>
      </c>
      <c r="AT85" s="19">
        <f t="shared" si="101"/>
        <v>-2.2499999999998632E-3</v>
      </c>
      <c r="AU85" s="60" t="s">
        <v>78</v>
      </c>
      <c r="AV85" s="19">
        <f t="shared" si="102"/>
        <v>0</v>
      </c>
      <c r="AW85" s="19">
        <f t="shared" si="103"/>
        <v>1.0999999999998789E-3</v>
      </c>
      <c r="AX85" s="19">
        <f t="shared" si="104"/>
        <v>2.7500000000000302E-3</v>
      </c>
      <c r="AY85" s="19">
        <f t="shared" si="105"/>
        <v>-8.0999999999999961E-3</v>
      </c>
      <c r="AZ85" s="19">
        <f t="shared" si="106"/>
        <v>0</v>
      </c>
      <c r="BA85" s="19">
        <f t="shared" si="106"/>
        <v>0</v>
      </c>
      <c r="BB85" s="19">
        <f t="shared" si="107"/>
        <v>4.4999999999999485E-3</v>
      </c>
      <c r="BC85" s="19">
        <f t="shared" si="108"/>
        <v>2.2500000000000853E-3</v>
      </c>
      <c r="BD85" s="19">
        <f t="shared" si="109"/>
        <v>-6.6500000000000448E-3</v>
      </c>
      <c r="BE85" s="19">
        <f t="shared" si="110"/>
        <v>2.2499999999998632E-3</v>
      </c>
      <c r="BF85" s="19">
        <f t="shared" si="111"/>
        <v>2.2500000000000853E-3</v>
      </c>
      <c r="BG85" s="19">
        <f t="shared" si="111"/>
        <v>1.1249999999998206E-3</v>
      </c>
      <c r="BH85" s="19">
        <f t="shared" si="128"/>
        <v>0</v>
      </c>
      <c r="BI85" s="19">
        <f t="shared" si="129"/>
        <v>1.5375000000000139E-2</v>
      </c>
      <c r="BJ85" s="19">
        <f t="shared" si="112"/>
        <v>8.7500000000000355E-3</v>
      </c>
      <c r="BK85" s="19">
        <f t="shared" si="113"/>
        <v>0</v>
      </c>
      <c r="BL85" s="19">
        <f t="shared" si="113"/>
        <v>0</v>
      </c>
      <c r="BM85" s="19">
        <f t="shared" si="113"/>
        <v>-3.1499999999999861E-3</v>
      </c>
      <c r="BN85" s="19">
        <f t="shared" si="113"/>
        <v>1.9249999999999989E-2</v>
      </c>
      <c r="BO85" s="19">
        <f t="shared" si="113"/>
        <v>3.2000000000000028E-2</v>
      </c>
      <c r="BP85" s="19">
        <f t="shared" si="130"/>
        <v>0</v>
      </c>
      <c r="BQ85" s="19">
        <f t="shared" si="131"/>
        <v>8.9999999999990088E-4</v>
      </c>
      <c r="BR85" s="19">
        <f t="shared" si="131"/>
        <v>3.3750000000001279E-3</v>
      </c>
      <c r="BS85" s="19">
        <f t="shared" si="114"/>
        <v>0</v>
      </c>
      <c r="BT85" s="19">
        <f t="shared" si="114"/>
        <v>2.4249999999999883E-2</v>
      </c>
      <c r="BU85" s="19">
        <f t="shared" si="132"/>
        <v>-4.3750000000000178E-3</v>
      </c>
      <c r="BV85" s="19">
        <f t="shared" si="133"/>
        <v>2.2500000000000853E-3</v>
      </c>
      <c r="BW85" s="19">
        <f t="shared" si="115"/>
        <v>3.8749999999998508E-3</v>
      </c>
      <c r="BX85" s="19">
        <f t="shared" si="116"/>
        <v>2.2500000000000853E-3</v>
      </c>
      <c r="BY85" s="19">
        <f t="shared" si="116"/>
        <v>2.4250000000000105E-2</v>
      </c>
      <c r="BZ85" s="19">
        <f t="shared" si="116"/>
        <v>0</v>
      </c>
      <c r="CA85" s="19">
        <f t="shared" si="116"/>
        <v>0</v>
      </c>
      <c r="CB85" s="19">
        <f t="shared" si="116"/>
        <v>-2.7500000000000302E-3</v>
      </c>
      <c r="CC85" s="19">
        <f t="shared" si="127"/>
        <v>9.3749999999999112E-3</v>
      </c>
      <c r="CD85" s="19">
        <f t="shared" si="127"/>
        <v>2.7500000000000302E-3</v>
      </c>
      <c r="CE85" s="65"/>
      <c r="CG85" s="20">
        <f t="shared" si="118"/>
        <v>1.3117743589743589</v>
      </c>
      <c r="CH85" s="20">
        <f>'Butyl Acetate'!AS17</f>
        <v>1.2842500000000001</v>
      </c>
      <c r="CI85" s="20">
        <f>'Butyl Acetate'!AT17</f>
        <v>1.3029999999999999</v>
      </c>
      <c r="CJ85" s="20">
        <f>'Butyl Acetate'!AU17</f>
        <v>1.28965</v>
      </c>
      <c r="CK85" s="20">
        <f>'Butyl Acetate'!AV17</f>
        <v>1.290375</v>
      </c>
      <c r="CL85" s="20">
        <f>'Butyl Acetate'!AW17</f>
        <v>1.2909999999999999</v>
      </c>
      <c r="CM85" s="20">
        <f>'Butyl Acetate'!AX17</f>
        <v>1.2520000000000002</v>
      </c>
      <c r="CN85" s="20">
        <f>'Butyl Acetate'!AY17</f>
        <v>1.2207500000000002</v>
      </c>
      <c r="CO85" s="20">
        <f>'Butyl Acetate'!AZ17</f>
        <v>1.2242500000000001</v>
      </c>
      <c r="CP85" s="20">
        <f>'Butyl Acetate'!BA17</f>
        <v>1.2287500000000002</v>
      </c>
      <c r="CQ85" s="20">
        <f>'Butyl Acetate'!BB17</f>
        <v>1.2197500000000001</v>
      </c>
      <c r="CR85" s="20">
        <f>'Butyl Acetate'!BC17</f>
        <v>1.23075</v>
      </c>
      <c r="CS85" s="20">
        <f>'Butyl Acetate'!BD17</f>
        <v>1.2430000000000001</v>
      </c>
      <c r="CT85" s="20">
        <f>'Butyl Acetate'!BE17</f>
        <v>1.2542500000000001</v>
      </c>
      <c r="CU85" s="20">
        <f>'Butyl Acetate'!BF17</f>
        <v>1.2610000000000001</v>
      </c>
      <c r="CV85" s="20">
        <f>'Butyl Acetate'!BG17</f>
        <v>1.3570000000000002</v>
      </c>
      <c r="CW85" s="20">
        <f>'Butyl Acetate'!BH17</f>
        <v>1.3626250000000002</v>
      </c>
      <c r="CX85" s="20">
        <f>'Butyl Acetate'!BI17</f>
        <v>1.3896250000000001</v>
      </c>
      <c r="CY85" s="20">
        <f>'Butyl Acetate'!BJ17</f>
        <v>1.4031250000000002</v>
      </c>
      <c r="CZ85" s="20">
        <f>'Butyl Acetate'!BK17</f>
        <v>1.3941250000000003</v>
      </c>
      <c r="DA85" s="20">
        <f>'Butyl Acetate'!BL17</f>
        <v>1.3950500000000001</v>
      </c>
      <c r="DB85" s="20">
        <f>'Butyl Acetate'!BM17</f>
        <v>1.3570000000000002</v>
      </c>
      <c r="DC85" s="20">
        <f>'Butyl Acetate'!BN17</f>
        <v>1.3137500000000002</v>
      </c>
      <c r="DD85" s="20">
        <f>'Butyl Acetate'!BO17</f>
        <v>1.2909999999999999</v>
      </c>
      <c r="DE85" s="20">
        <f>'Butyl Acetate'!BP17</f>
        <v>1.282</v>
      </c>
      <c r="DF85" s="20">
        <f>'Butyl Acetate'!BQ17</f>
        <v>1.282</v>
      </c>
      <c r="DG85" s="20">
        <f>'Butyl Acetate'!BR17</f>
        <v>1.282</v>
      </c>
      <c r="DH85" s="20">
        <f>'Butyl Acetate'!BS17</f>
        <v>1.282</v>
      </c>
      <c r="DI85" s="20">
        <f>'Butyl Acetate'!BT17</f>
        <v>1.3022499999999999</v>
      </c>
      <c r="DJ85" s="20">
        <f>'Butyl Acetate'!BU17</f>
        <v>1.3025000000000002</v>
      </c>
      <c r="DK85" s="20">
        <f>'Butyl Acetate'!BV17</f>
        <v>1.303625</v>
      </c>
      <c r="DL85" s="20">
        <f>'Butyl Acetate'!BW17</f>
        <v>1.3382499999999999</v>
      </c>
      <c r="DM85" s="20">
        <f>'Butyl Acetate'!BX17</f>
        <v>1.347</v>
      </c>
      <c r="DN85" s="20">
        <f>'Butyl Acetate'!BY17</f>
        <v>1.347</v>
      </c>
      <c r="DO85" s="20">
        <f>'Butyl Acetate'!BZ17</f>
        <v>1.3515000000000001</v>
      </c>
      <c r="DP85" s="20">
        <f>'Butyl Acetate'!CA17</f>
        <v>1.3515000000000001</v>
      </c>
      <c r="DQ85" s="20">
        <f>'Butyl Acetate'!CB17</f>
        <v>1.3546499999999999</v>
      </c>
      <c r="DR85" s="20">
        <f>'Butyl Acetate'!CC17</f>
        <v>1.3526250000000002</v>
      </c>
      <c r="DS85" s="20">
        <f>'Butyl Acetate'!CD17</f>
        <v>1.3546250000000002</v>
      </c>
      <c r="DT85" s="20">
        <f>'Butyl Acetate'!CE17</f>
        <v>1.3546250000000002</v>
      </c>
      <c r="DU85" s="20">
        <f>'Butyl Acetate'!CF17</f>
        <v>1.3505000000000003</v>
      </c>
      <c r="DV85" s="20">
        <f>'Butyl Acetate'!CG17</f>
        <v>1.32125</v>
      </c>
      <c r="DW85" s="20">
        <f>'Butyl Acetate'!CH17</f>
        <v>1.3201250000000002</v>
      </c>
      <c r="DX85" s="20">
        <f>'Butyl Acetate'!CI17</f>
        <v>1.33735</v>
      </c>
      <c r="DY85" s="20">
        <f>'Butyl Acetate'!CJ17</f>
        <v>1.3395999999999999</v>
      </c>
      <c r="DZ85" s="20">
        <f>'Butyl Acetate'!CK17</f>
        <v>1.3395999999999999</v>
      </c>
      <c r="EA85" s="20">
        <f>'Butyl Acetate'!CL17</f>
        <v>1.3385</v>
      </c>
      <c r="EB85" s="20">
        <f>'Butyl Acetate'!CM17</f>
        <v>1.33575</v>
      </c>
      <c r="EC85" s="20">
        <f>'Butyl Acetate'!CN17</f>
        <v>1.34385</v>
      </c>
      <c r="ED85" s="20">
        <f>'Butyl Acetate'!CO17</f>
        <v>1.34385</v>
      </c>
      <c r="EE85" s="20">
        <f>'Butyl Acetate'!CP17</f>
        <v>1.34385</v>
      </c>
      <c r="EF85" s="20">
        <f>'Butyl Acetate'!CQ17</f>
        <v>1.33935</v>
      </c>
      <c r="EG85" s="20">
        <f>'Butyl Acetate'!CR17</f>
        <v>1.3371</v>
      </c>
      <c r="EH85" s="20">
        <f>'Butyl Acetate'!CS17</f>
        <v>1.34375</v>
      </c>
      <c r="EI85" s="20">
        <f>'Butyl Acetate'!CT17</f>
        <v>1.3415000000000001</v>
      </c>
      <c r="EJ85" s="20">
        <f>'Butyl Acetate'!CU17</f>
        <v>1.3392500000000001</v>
      </c>
      <c r="EK85" s="20">
        <f>'Butyl Acetate'!CV17</f>
        <v>1.3381250000000002</v>
      </c>
      <c r="EL85" s="20">
        <f>'Butyl Acetate'!CW17</f>
        <v>1.3381250000000002</v>
      </c>
      <c r="EM85" s="20">
        <f>'Butyl Acetate'!CX17</f>
        <v>1.3227500000000001</v>
      </c>
      <c r="EN85" s="20">
        <f>'Butyl Acetate'!CY17</f>
        <v>1.3140000000000001</v>
      </c>
      <c r="EO85" s="20">
        <f>'Butyl Acetate'!CZ17</f>
        <v>1.3140000000000001</v>
      </c>
      <c r="EP85" s="20">
        <f>'Butyl Acetate'!DA17</f>
        <v>1.3140000000000001</v>
      </c>
      <c r="EQ85" s="20">
        <f>'Butyl Acetate'!DB17</f>
        <v>1.31715</v>
      </c>
      <c r="ER85" s="20">
        <f>'Butyl Acetate'!DC17</f>
        <v>1.2979000000000001</v>
      </c>
      <c r="ES85" s="20">
        <f>'Butyl Acetate'!DD17</f>
        <v>1.2659</v>
      </c>
      <c r="ET85" s="20">
        <f>'Butyl Acetate'!DE17</f>
        <v>1.2659</v>
      </c>
      <c r="EU85" s="20">
        <f>'Butyl Acetate'!DF17</f>
        <v>1.2650000000000001</v>
      </c>
      <c r="EV85" s="20">
        <f>'Butyl Acetate'!DG17</f>
        <v>1.261625</v>
      </c>
      <c r="EW85" s="20">
        <f>'Butyl Acetate'!DH17</f>
        <v>1.261625</v>
      </c>
      <c r="EX85" s="20">
        <f>'Butyl Acetate'!DI17</f>
        <v>1.2373750000000001</v>
      </c>
      <c r="EY85" s="20">
        <f>'Butyl Acetate'!DJ17</f>
        <v>1.2417500000000001</v>
      </c>
      <c r="EZ85" s="20">
        <f>'Butyl Acetate'!DK17</f>
        <v>1.2395</v>
      </c>
      <c r="FA85" s="20">
        <f>'Butyl Acetate'!DL17</f>
        <v>1.2356250000000002</v>
      </c>
      <c r="FB85" s="20">
        <f>'Butyl Acetate'!DM17</f>
        <v>1.2333750000000001</v>
      </c>
      <c r="FC85" s="20">
        <f>'Butyl Acetate'!DN17</f>
        <v>1.209125</v>
      </c>
      <c r="FD85" s="20">
        <f>'Butyl Acetate'!DO17</f>
        <v>1.209125</v>
      </c>
      <c r="FE85" s="20">
        <f>'Butyl Acetate'!DP17</f>
        <v>1.209125</v>
      </c>
      <c r="FF85" s="20">
        <f>'Butyl Acetate'!DQ17</f>
        <v>1.211875</v>
      </c>
      <c r="FG85" s="20">
        <f>'Butyl Acetate'!DR17</f>
        <v>1.2025000000000001</v>
      </c>
      <c r="FH85" s="20">
        <f>'Butyl Acetate'!DS17</f>
        <v>1.1997500000000001</v>
      </c>
    </row>
    <row r="86" spans="1:164" ht="15">
      <c r="A86" s="8" t="s">
        <v>212</v>
      </c>
      <c r="B86" s="45" t="s">
        <v>300</v>
      </c>
      <c r="AF86" s="19">
        <f t="shared" si="135"/>
        <v>0</v>
      </c>
      <c r="AG86" s="19">
        <f t="shared" si="135"/>
        <v>0</v>
      </c>
      <c r="AH86" s="19">
        <f t="shared" si="135"/>
        <v>0</v>
      </c>
      <c r="AI86" s="19">
        <f t="shared" si="135"/>
        <v>0</v>
      </c>
      <c r="AJ86" s="19">
        <f t="shared" si="135"/>
        <v>1.4344385669027293E-2</v>
      </c>
      <c r="AK86" s="19">
        <f t="shared" si="135"/>
        <v>0</v>
      </c>
      <c r="AL86" s="19">
        <f t="shared" si="135"/>
        <v>0</v>
      </c>
      <c r="AM86" s="19">
        <f t="shared" si="135"/>
        <v>-2.689572312942623E-2</v>
      </c>
      <c r="AN86" s="19">
        <f t="shared" si="135"/>
        <v>0</v>
      </c>
      <c r="AO86" s="19">
        <f t="shared" si="135"/>
        <v>0</v>
      </c>
      <c r="AP86" s="19">
        <f t="shared" si="135"/>
        <v>0</v>
      </c>
      <c r="AQ86" s="19">
        <f t="shared" si="136"/>
        <v>0</v>
      </c>
      <c r="AR86" s="19">
        <f t="shared" si="136"/>
        <v>1.0758289251770581E-2</v>
      </c>
      <c r="AS86" s="19">
        <f t="shared" si="100"/>
        <v>0</v>
      </c>
      <c r="AT86" s="19">
        <f t="shared" si="101"/>
        <v>0</v>
      </c>
      <c r="AU86" s="60" t="s">
        <v>301</v>
      </c>
      <c r="AV86" s="19">
        <f t="shared" si="102"/>
        <v>0</v>
      </c>
      <c r="AW86" s="19">
        <f t="shared" si="103"/>
        <v>-1.2551337460398937E-2</v>
      </c>
      <c r="AX86" s="19">
        <f t="shared" si="104"/>
        <v>0</v>
      </c>
      <c r="AY86" s="19">
        <f t="shared" si="105"/>
        <v>0</v>
      </c>
      <c r="AZ86" s="19">
        <f t="shared" si="106"/>
        <v>0</v>
      </c>
      <c r="BA86" s="19">
        <f t="shared" si="106"/>
        <v>0</v>
      </c>
      <c r="BB86" s="19">
        <f t="shared" si="107"/>
        <v>0</v>
      </c>
      <c r="BC86" s="19">
        <f t="shared" si="108"/>
        <v>1.2551337460398937E-2</v>
      </c>
      <c r="BD86" s="19">
        <f t="shared" si="109"/>
        <v>0</v>
      </c>
      <c r="BE86" s="19">
        <f t="shared" si="110"/>
        <v>0</v>
      </c>
      <c r="BF86" s="19">
        <f t="shared" si="111"/>
        <v>-7.1721928345138686E-3</v>
      </c>
      <c r="BG86" s="19">
        <f t="shared" si="111"/>
        <v>0</v>
      </c>
      <c r="BH86" s="19">
        <f t="shared" si="128"/>
        <v>0</v>
      </c>
      <c r="BI86" s="19">
        <f t="shared" si="129"/>
        <v>0</v>
      </c>
      <c r="BJ86" s="19">
        <f t="shared" si="112"/>
        <v>-1.4344385669027293E-2</v>
      </c>
      <c r="BK86" s="19">
        <f t="shared" si="113"/>
        <v>-1.6137433877656093E-2</v>
      </c>
      <c r="BL86" s="19">
        <f t="shared" si="113"/>
        <v>0</v>
      </c>
      <c r="BM86" s="19">
        <f t="shared" si="113"/>
        <v>1.7930482086283561E-3</v>
      </c>
      <c r="BN86" s="19">
        <f t="shared" si="113"/>
        <v>-2.8688771338054586E-2</v>
      </c>
      <c r="BO86" s="19">
        <f t="shared" si="113"/>
        <v>0</v>
      </c>
      <c r="BP86" s="19">
        <f t="shared" si="130"/>
        <v>0</v>
      </c>
      <c r="BQ86" s="19">
        <f t="shared" si="131"/>
        <v>2.3309626712169518E-2</v>
      </c>
      <c r="BR86" s="19">
        <f t="shared" si="131"/>
        <v>0</v>
      </c>
      <c r="BS86" s="19">
        <f t="shared" si="114"/>
        <v>1.4344385669027293E-2</v>
      </c>
      <c r="BT86" s="19">
        <f t="shared" si="114"/>
        <v>1.0758289251770581E-2</v>
      </c>
      <c r="BU86" s="19">
        <f t="shared" si="132"/>
        <v>1.7930482086284449E-2</v>
      </c>
      <c r="BV86" s="19">
        <f t="shared" si="133"/>
        <v>3.5860964172567122E-3</v>
      </c>
      <c r="BW86" s="19">
        <f t="shared" si="115"/>
        <v>0</v>
      </c>
      <c r="BX86" s="19">
        <f t="shared" si="116"/>
        <v>-1.7930482086283561E-3</v>
      </c>
      <c r="BY86" s="19">
        <f t="shared" si="116"/>
        <v>-3.5860964172567122E-3</v>
      </c>
      <c r="BZ86" s="19">
        <f t="shared" si="116"/>
        <v>5.3791446258850684E-3</v>
      </c>
      <c r="CA86" s="19">
        <f t="shared" si="116"/>
        <v>0</v>
      </c>
      <c r="CB86" s="19">
        <f t="shared" si="116"/>
        <v>-1.7930482086283561E-3</v>
      </c>
      <c r="CC86" s="19">
        <f t="shared" si="127"/>
        <v>0</v>
      </c>
      <c r="CD86" s="19">
        <f t="shared" si="127"/>
        <v>0</v>
      </c>
      <c r="CE86" s="65"/>
      <c r="CG86" s="20">
        <f t="shared" si="118"/>
        <v>2.0183764581972645</v>
      </c>
      <c r="CH86" s="20">
        <f>'4-Dodecylphenol'!AS17</f>
        <v>2.0163347739703736</v>
      </c>
      <c r="CI86" s="20">
        <f>'4-Dodecylphenol'!AT17</f>
        <v>2.0486096417256854</v>
      </c>
      <c r="CJ86" s="20">
        <f>'4-Dodecylphenol'!AU17</f>
        <v>2.0270930632221442</v>
      </c>
      <c r="CK86" s="20">
        <f>'4-Dodecylphenol'!AV17</f>
        <v>2.0127486775531169</v>
      </c>
      <c r="CL86" s="20">
        <f>'4-Dodecylphenol'!AW17</f>
        <v>2.0055764847186031</v>
      </c>
      <c r="CM86" s="20">
        <f>'4-Dodecylphenol'!AX17</f>
        <v>1.9499919902511218</v>
      </c>
      <c r="CN86" s="20">
        <f>'4-Dodecylphenol'!AY17</f>
        <v>1.9499919902511218</v>
      </c>
      <c r="CO86" s="20">
        <f>'4-Dodecylphenol'!AZ17</f>
        <v>1.9499919902511218</v>
      </c>
      <c r="CP86" s="20">
        <f>'4-Dodecylphenol'!BA17</f>
        <v>1.9499919902511218</v>
      </c>
      <c r="CQ86" s="20">
        <f>'4-Dodecylphenol'!BB17</f>
        <v>1.9858529544236905</v>
      </c>
      <c r="CR86" s="20">
        <f>'4-Dodecylphenol'!BC17</f>
        <v>1.9858529544236905</v>
      </c>
      <c r="CS86" s="20">
        <f>'4-Dodecylphenol'!BD17</f>
        <v>2.0403759643516635</v>
      </c>
      <c r="CT86" s="20">
        <f>'4-Dodecylphenol'!BE17</f>
        <v>2.0217139185962592</v>
      </c>
      <c r="CU86" s="20">
        <f>'4-Dodecylphenol'!BF17</f>
        <v>2.0217139185962592</v>
      </c>
      <c r="CV86" s="20">
        <f>'4-Dodecylphenol'!BG17</f>
        <v>2.0217139185962592</v>
      </c>
      <c r="CW86" s="20">
        <f>'4-Dodecylphenol'!BH17</f>
        <v>2.0665401238119698</v>
      </c>
      <c r="CX86" s="20">
        <f>'4-Dodecylphenol'!BI17</f>
        <v>2.0665401238119698</v>
      </c>
      <c r="CY86" s="20">
        <f>'4-Dodecylphenol'!BJ17</f>
        <v>2.0665401238119698</v>
      </c>
      <c r="CZ86" s="20">
        <f>'4-Dodecylphenol'!BK17</f>
        <v>2.0755053648551121</v>
      </c>
      <c r="DA86" s="20">
        <f>'4-Dodecylphenol'!BL17</f>
        <v>2.0755053648551121</v>
      </c>
      <c r="DB86" s="20">
        <f>'4-Dodecylphenol'!BM17</f>
        <v>2.0755053648551121</v>
      </c>
      <c r="DC86" s="20">
        <f>'4-Dodecylphenol'!BN17</f>
        <v>2.0396444006825432</v>
      </c>
      <c r="DD86" s="20">
        <f>'4-Dodecylphenol'!BO17</f>
        <v>2.0217139185962592</v>
      </c>
      <c r="DE86" s="20">
        <f>'4-Dodecylphenol'!BP17</f>
        <v>2.0217139185962592</v>
      </c>
      <c r="DF86" s="20">
        <f>'4-Dodecylphenol'!BQ17</f>
        <v>2.0217139185962592</v>
      </c>
      <c r="DG86" s="20">
        <f>'4-Dodecylphenol'!BR17</f>
        <v>2.0217139185962592</v>
      </c>
      <c r="DH86" s="20">
        <f>'4-Dodecylphenol'!BS17</f>
        <v>2.0217139185962592</v>
      </c>
      <c r="DI86" s="20">
        <f>'4-Dodecylphenol'!BT17</f>
        <v>2.0217139185962592</v>
      </c>
      <c r="DJ86" s="20">
        <f>'4-Dodecylphenol'!BU17</f>
        <v>2.0145417257617453</v>
      </c>
      <c r="DK86" s="20">
        <f>'4-Dodecylphenol'!BV17</f>
        <v>2.0145417257617453</v>
      </c>
      <c r="DL86" s="20">
        <f>'4-Dodecylphenol'!BW17</f>
        <v>2.0145417257617453</v>
      </c>
      <c r="DM86" s="20">
        <f>'4-Dodecylphenol'!BX17</f>
        <v>2.0145417257617453</v>
      </c>
      <c r="DN86" s="20">
        <f>'4-Dodecylphenol'!BY17</f>
        <v>2.0145417257617453</v>
      </c>
      <c r="DO86" s="20">
        <f>'4-Dodecylphenol'!BZ17</f>
        <v>2.000197340092718</v>
      </c>
      <c r="DP86" s="20">
        <f>'4-Dodecylphenol'!CA17</f>
        <v>2.000197340092718</v>
      </c>
      <c r="DQ86" s="20">
        <f>'4-Dodecylphenol'!CB17</f>
        <v>2.000197340092718</v>
      </c>
      <c r="DR86" s="20">
        <f>'4-Dodecylphenol'!CC17</f>
        <v>2.0270930632221442</v>
      </c>
      <c r="DS86" s="20">
        <f>'4-Dodecylphenol'!CD17</f>
        <v>2.0270930632221442</v>
      </c>
      <c r="DT86" s="20">
        <f>'4-Dodecylphenol'!CE17</f>
        <v>2.0270930632221442</v>
      </c>
      <c r="DU86" s="20">
        <f>'4-Dodecylphenol'!CF17</f>
        <v>2.0270930632221442</v>
      </c>
      <c r="DV86" s="20">
        <f>'4-Dodecylphenol'!CG17</f>
        <v>2.0270930632221442</v>
      </c>
      <c r="DW86" s="20">
        <f>'4-Dodecylphenol'!CH17</f>
        <v>2.0163347739703736</v>
      </c>
      <c r="DX86" s="20">
        <f>'4-Dodecylphenol'!CI17</f>
        <v>2.0163347739703736</v>
      </c>
      <c r="DY86" s="20">
        <f>'4-Dodecylphenol'!CJ17</f>
        <v>2.0163347739703736</v>
      </c>
      <c r="DZ86" s="20">
        <f>'4-Dodecylphenol'!CK17</f>
        <v>2.0163347739703736</v>
      </c>
      <c r="EA86" s="20">
        <f>'4-Dodecylphenol'!CL17</f>
        <v>2.0288861114307726</v>
      </c>
      <c r="EB86" s="20">
        <f>'4-Dodecylphenol'!CM17</f>
        <v>2.0288861114307726</v>
      </c>
      <c r="EC86" s="20">
        <f>'4-Dodecylphenol'!CN17</f>
        <v>2.0288861114307726</v>
      </c>
      <c r="ED86" s="20">
        <f>'4-Dodecylphenol'!CO17</f>
        <v>2.0288861114307726</v>
      </c>
      <c r="EE86" s="20">
        <f>'4-Dodecylphenol'!CP17</f>
        <v>2.0288861114307726</v>
      </c>
      <c r="EF86" s="20">
        <f>'4-Dodecylphenol'!CQ17</f>
        <v>2.0288861114307726</v>
      </c>
      <c r="EG86" s="20">
        <f>'4-Dodecylphenol'!CR17</f>
        <v>2.0163347739703736</v>
      </c>
      <c r="EH86" s="20">
        <f>'4-Dodecylphenol'!CS17</f>
        <v>2.0163347739703736</v>
      </c>
      <c r="EI86" s="20">
        <f>'4-Dodecylphenol'!CT17</f>
        <v>2.0163347739703736</v>
      </c>
      <c r="EJ86" s="20">
        <f>'4-Dodecylphenol'!CU17</f>
        <v>2.0235069668048875</v>
      </c>
      <c r="EK86" s="20">
        <f>'4-Dodecylphenol'!CV17</f>
        <v>2.0235069668048875</v>
      </c>
      <c r="EL86" s="20">
        <f>'4-Dodecylphenol'!CW17</f>
        <v>2.0235069668048875</v>
      </c>
      <c r="EM86" s="20">
        <f>'4-Dodecylphenol'!CX17</f>
        <v>2.0235069668048875</v>
      </c>
      <c r="EN86" s="20">
        <f>'4-Dodecylphenol'!CY17</f>
        <v>2.0378513524739148</v>
      </c>
      <c r="EO86" s="20">
        <f>'4-Dodecylphenol'!CZ17</f>
        <v>2.0539887863515709</v>
      </c>
      <c r="EP86" s="20">
        <f>'4-Dodecylphenol'!DA17</f>
        <v>2.0539887863515709</v>
      </c>
      <c r="EQ86" s="20">
        <f>'4-Dodecylphenol'!DB17</f>
        <v>2.0521957381429425</v>
      </c>
      <c r="ER86" s="20">
        <f>'4-Dodecylphenol'!DC17</f>
        <v>2.0808845094809971</v>
      </c>
      <c r="ES86" s="20">
        <f>'4-Dodecylphenol'!DD17</f>
        <v>2.0808845094809971</v>
      </c>
      <c r="ET86" s="20">
        <f>'4-Dodecylphenol'!DE17</f>
        <v>2.0808845094809971</v>
      </c>
      <c r="EU86" s="20">
        <f>'4-Dodecylphenol'!DF17</f>
        <v>2.0575748827688276</v>
      </c>
      <c r="EV86" s="20">
        <f>'4-Dodecylphenol'!DG17</f>
        <v>2.0575748827688276</v>
      </c>
      <c r="EW86" s="20">
        <f>'4-Dodecylphenol'!DH17</f>
        <v>2.0432304970998003</v>
      </c>
      <c r="EX86" s="20">
        <f>'4-Dodecylphenol'!DI17</f>
        <v>2.0324722078480297</v>
      </c>
      <c r="EY86" s="20">
        <f>'4-Dodecylphenol'!DJ17</f>
        <v>2.0145417257617453</v>
      </c>
      <c r="EZ86" s="20">
        <f>'4-Dodecylphenol'!DK17</f>
        <v>2.0109556293444886</v>
      </c>
      <c r="FA86" s="20">
        <f>'4-Dodecylphenol'!DL17</f>
        <v>2.0109556293444886</v>
      </c>
      <c r="FB86" s="20">
        <f>'4-Dodecylphenol'!DM17</f>
        <v>2.0127486775531169</v>
      </c>
      <c r="FC86" s="20">
        <f>'4-Dodecylphenol'!DN17</f>
        <v>2.0163347739703736</v>
      </c>
      <c r="FD86" s="20">
        <f>'4-Dodecylphenol'!DO17</f>
        <v>2.0109556293444886</v>
      </c>
      <c r="FE86" s="20">
        <f>'4-Dodecylphenol'!DP17</f>
        <v>2.0109556293444886</v>
      </c>
      <c r="FF86" s="20">
        <f>'4-Dodecylphenol'!DQ17</f>
        <v>2.0127486775531169</v>
      </c>
      <c r="FG86" s="20">
        <f>'4-Dodecylphenol'!DR17</f>
        <v>2.0127486775531169</v>
      </c>
      <c r="FH86" s="20">
        <f>'4-Dodecylphenol'!DS17</f>
        <v>2.0127486775531169</v>
      </c>
    </row>
    <row r="87" spans="1:164" ht="15">
      <c r="A87" s="8" t="s">
        <v>212</v>
      </c>
      <c r="B87" s="45" t="s">
        <v>302</v>
      </c>
      <c r="AF87" s="19">
        <f t="shared" si="135"/>
        <v>-4.3995006242198986E-3</v>
      </c>
      <c r="AG87" s="19">
        <f t="shared" si="135"/>
        <v>-6.6666666666681529E-4</v>
      </c>
      <c r="AH87" s="19">
        <f t="shared" si="135"/>
        <v>0</v>
      </c>
      <c r="AI87" s="19">
        <f t="shared" si="135"/>
        <v>0</v>
      </c>
      <c r="AJ87" s="19">
        <f t="shared" si="135"/>
        <v>2.8129837702871585E-2</v>
      </c>
      <c r="AK87" s="19">
        <f t="shared" si="135"/>
        <v>0</v>
      </c>
      <c r="AL87" s="19">
        <f t="shared" si="135"/>
        <v>0</v>
      </c>
      <c r="AM87" s="19">
        <f t="shared" si="135"/>
        <v>0</v>
      </c>
      <c r="AN87" s="19">
        <f t="shared" si="135"/>
        <v>0</v>
      </c>
      <c r="AO87" s="19">
        <f t="shared" si="135"/>
        <v>1.0265501456512727E-2</v>
      </c>
      <c r="AP87" s="19">
        <f t="shared" si="135"/>
        <v>0</v>
      </c>
      <c r="AQ87" s="19">
        <f t="shared" si="136"/>
        <v>-2.0000000000000018E-3</v>
      </c>
      <c r="AR87" s="19">
        <f t="shared" si="136"/>
        <v>-2.6397003745318504E-2</v>
      </c>
      <c r="AS87" s="19">
        <f t="shared" si="100"/>
        <v>2.666666666666595E-3</v>
      </c>
      <c r="AT87" s="19">
        <f t="shared" si="101"/>
        <v>0</v>
      </c>
      <c r="AU87" s="60" t="s">
        <v>40</v>
      </c>
      <c r="AV87" s="19">
        <f t="shared" si="102"/>
        <v>0</v>
      </c>
      <c r="AW87" s="19">
        <f t="shared" si="103"/>
        <v>-3.6662505201832118E-3</v>
      </c>
      <c r="AX87" s="19">
        <f t="shared" si="104"/>
        <v>6.6666666666681529E-4</v>
      </c>
      <c r="AY87" s="19">
        <f t="shared" si="105"/>
        <v>-5.8660008322928281E-3</v>
      </c>
      <c r="AZ87" s="19">
        <f t="shared" si="106"/>
        <v>0</v>
      </c>
      <c r="BA87" s="19">
        <f t="shared" si="106"/>
        <v>0</v>
      </c>
      <c r="BB87" s="19">
        <f t="shared" si="107"/>
        <v>0</v>
      </c>
      <c r="BC87" s="19">
        <f t="shared" si="108"/>
        <v>-3.6662505201829898E-3</v>
      </c>
      <c r="BD87" s="19">
        <f t="shared" si="109"/>
        <v>6.6666666666659324E-4</v>
      </c>
      <c r="BE87" s="19">
        <f t="shared" si="110"/>
        <v>0</v>
      </c>
      <c r="BF87" s="19">
        <f t="shared" si="111"/>
        <v>2.3464003329171756E-2</v>
      </c>
      <c r="BG87" s="19">
        <f t="shared" si="111"/>
        <v>0</v>
      </c>
      <c r="BH87" s="19">
        <f t="shared" si="128"/>
        <v>1.3333333333334085E-3</v>
      </c>
      <c r="BI87" s="19">
        <f t="shared" si="129"/>
        <v>0</v>
      </c>
      <c r="BJ87" s="19">
        <f t="shared" si="112"/>
        <v>-8.7990012484393532E-3</v>
      </c>
      <c r="BK87" s="19">
        <f t="shared" si="113"/>
        <v>0</v>
      </c>
      <c r="BL87" s="19">
        <f t="shared" si="113"/>
        <v>0</v>
      </c>
      <c r="BM87" s="19">
        <f t="shared" si="113"/>
        <v>0</v>
      </c>
      <c r="BN87" s="19">
        <f t="shared" si="113"/>
        <v>0</v>
      </c>
      <c r="BO87" s="19">
        <f t="shared" si="113"/>
        <v>-2.8596754057428342E-2</v>
      </c>
      <c r="BP87" s="19">
        <f t="shared" si="130"/>
        <v>0</v>
      </c>
      <c r="BQ87" s="19">
        <f t="shared" si="131"/>
        <v>0</v>
      </c>
      <c r="BR87" s="19">
        <f t="shared" si="131"/>
        <v>0</v>
      </c>
      <c r="BS87" s="19">
        <f t="shared" si="114"/>
        <v>6.5992509363297369E-3</v>
      </c>
      <c r="BT87" s="19">
        <f t="shared" si="114"/>
        <v>0</v>
      </c>
      <c r="BU87" s="19">
        <f t="shared" si="132"/>
        <v>-2.6666666666668171E-3</v>
      </c>
      <c r="BV87" s="19">
        <f t="shared" si="133"/>
        <v>0</v>
      </c>
      <c r="BW87" s="19">
        <f t="shared" si="115"/>
        <v>4.1062005826050685E-2</v>
      </c>
      <c r="BX87" s="19">
        <f t="shared" si="116"/>
        <v>-9.5322513524760399E-3</v>
      </c>
      <c r="BY87" s="19">
        <f t="shared" si="116"/>
        <v>1.9398252184769094E-2</v>
      </c>
      <c r="BZ87" s="19">
        <f t="shared" si="116"/>
        <v>2.1997503121098383E-3</v>
      </c>
      <c r="CA87" s="19">
        <f t="shared" si="116"/>
        <v>0</v>
      </c>
      <c r="CB87" s="19">
        <f t="shared" si="116"/>
        <v>0</v>
      </c>
      <c r="CC87" s="19">
        <f t="shared" si="127"/>
        <v>0</v>
      </c>
      <c r="CD87" s="19">
        <f t="shared" si="127"/>
        <v>8.5318352059924329E-3</v>
      </c>
      <c r="CE87" s="65"/>
      <c r="CG87" s="20">
        <f t="shared" si="118"/>
        <v>1.4937643543860766</v>
      </c>
      <c r="CH87" s="20">
        <f>'Methyl Carbitol'!AS18</f>
        <v>1.5177428214731585</v>
      </c>
      <c r="CI87" s="20">
        <f>'Methyl Carbitol'!AT18</f>
        <v>1.5684710778193924</v>
      </c>
      <c r="CJ87" s="20">
        <f>'Methyl Carbitol'!AU18</f>
        <v>1.5908023304203081</v>
      </c>
      <c r="CK87" s="20">
        <f>'Methyl Carbitol'!AV18</f>
        <v>1.5739367457344984</v>
      </c>
      <c r="CL87" s="20">
        <f>'Methyl Carbitol'!AW18</f>
        <v>1.5496720765709529</v>
      </c>
      <c r="CM87" s="20">
        <f>'Methyl Carbitol'!AX18</f>
        <v>1.4905451518934665</v>
      </c>
      <c r="CN87" s="20">
        <f>'Methyl Carbitol'!AY18</f>
        <v>1.4905451518934665</v>
      </c>
      <c r="CO87" s="20">
        <f>'Methyl Carbitol'!AZ18</f>
        <v>1.4878784852267997</v>
      </c>
      <c r="CP87" s="20">
        <f>'Methyl Carbitol'!BA18</f>
        <v>1.4878784852267997</v>
      </c>
      <c r="CQ87" s="20">
        <f>'Methyl Carbitol'!BB18</f>
        <v>1.4680807324178111</v>
      </c>
      <c r="CR87" s="20">
        <f>'Methyl Carbitol'!BC18</f>
        <v>1.4680807324178111</v>
      </c>
      <c r="CS87" s="20">
        <f>'Methyl Carbitol'!BD18</f>
        <v>1.4734140657511445</v>
      </c>
      <c r="CT87" s="20">
        <f>'Methyl Carbitol'!BE18</f>
        <v>1.4734140657511445</v>
      </c>
      <c r="CU87" s="20">
        <f>'Methyl Carbitol'!BF18</f>
        <v>1.4734140657511445</v>
      </c>
      <c r="CV87" s="20">
        <f>'Methyl Carbitol'!BG18</f>
        <v>1.4594823137744486</v>
      </c>
      <c r="CW87" s="20">
        <f>'Methyl Carbitol'!BH18</f>
        <v>1.4594823137744486</v>
      </c>
      <c r="CX87" s="20">
        <f>'Methyl Carbitol'!BI18</f>
        <v>1.4904794007490638</v>
      </c>
      <c r="CY87" s="20">
        <f>'Methyl Carbitol'!BJ18</f>
        <v>1.4904794007490638</v>
      </c>
      <c r="CZ87" s="20">
        <f>'Methyl Carbitol'!BK18</f>
        <v>1.4904794007490638</v>
      </c>
      <c r="DA87" s="20">
        <f>'Methyl Carbitol'!BL18</f>
        <v>1.4904794007490638</v>
      </c>
      <c r="DB87" s="20">
        <f>'Methyl Carbitol'!BM18</f>
        <v>1.4904794007490638</v>
      </c>
      <c r="DC87" s="20">
        <f>'Methyl Carbitol'!BN18</f>
        <v>1.5190761548064919</v>
      </c>
      <c r="DD87" s="20">
        <f>'Methyl Carbitol'!BO18</f>
        <v>1.5190761548064919</v>
      </c>
      <c r="DE87" s="20">
        <f>'Methyl Carbitol'!BP18</f>
        <v>1.5150761548064919</v>
      </c>
      <c r="DF87" s="20">
        <f>'Methyl Carbitol'!BQ18</f>
        <v>1.5150761548064919</v>
      </c>
      <c r="DG87" s="20">
        <f>'Methyl Carbitol'!BR18</f>
        <v>1.5150761548064919</v>
      </c>
      <c r="DH87" s="20">
        <f>'Methyl Carbitol'!BS18</f>
        <v>1.5018776529338327</v>
      </c>
      <c r="DI87" s="20">
        <f>'Methyl Carbitol'!BT18</f>
        <v>1.5020782355389097</v>
      </c>
      <c r="DJ87" s="20">
        <f>'Methyl Carbitol'!BU18</f>
        <v>1.5042779858510194</v>
      </c>
      <c r="DK87" s="20">
        <f>'Methyl Carbitol'!BV18</f>
        <v>1.5086774864752392</v>
      </c>
      <c r="DL87" s="20">
        <f>'Methyl Carbitol'!BW18</f>
        <v>1.5093441531419061</v>
      </c>
      <c r="DM87" s="20">
        <f>'Methyl Carbitol'!BX18</f>
        <v>1.5093441531419061</v>
      </c>
      <c r="DN87" s="20">
        <f>'Methyl Carbitol'!BY18</f>
        <v>1.5093441531419061</v>
      </c>
      <c r="DO87" s="20">
        <f>'Methyl Carbitol'!BZ18</f>
        <v>1.4812143154390345</v>
      </c>
      <c r="DP87" s="20">
        <f>'Methyl Carbitol'!CA18</f>
        <v>1.4812143154390345</v>
      </c>
      <c r="DQ87" s="20">
        <f>'Methyl Carbitol'!CB18</f>
        <v>1.4812143154390345</v>
      </c>
      <c r="DR87" s="20">
        <f>'Methyl Carbitol'!CC18</f>
        <v>1.4812143154390345</v>
      </c>
      <c r="DS87" s="20">
        <f>'Methyl Carbitol'!CD18</f>
        <v>1.4812143154390345</v>
      </c>
      <c r="DT87" s="20">
        <f>'Methyl Carbitol'!CE18</f>
        <v>1.4709488139825218</v>
      </c>
      <c r="DU87" s="20">
        <f>'Methyl Carbitol'!CF18</f>
        <v>1.4709488139825218</v>
      </c>
      <c r="DV87" s="20">
        <f>'Methyl Carbitol'!CG18</f>
        <v>1.4729488139825218</v>
      </c>
      <c r="DW87" s="20">
        <f>'Methyl Carbitol'!CH18</f>
        <v>1.4993458177278403</v>
      </c>
      <c r="DX87" s="20">
        <f>'Methyl Carbitol'!CI18</f>
        <v>1.4966791510611737</v>
      </c>
      <c r="DY87" s="20">
        <f>'Methyl Carbitol'!CJ18</f>
        <v>1.4966791510611737</v>
      </c>
      <c r="DZ87" s="20">
        <f>'Methyl Carbitol'!CK18</f>
        <v>1.4966791510611737</v>
      </c>
      <c r="EA87" s="20">
        <f>'Methyl Carbitol'!CL18</f>
        <v>1.5003454015813569</v>
      </c>
      <c r="EB87" s="20">
        <f>'Methyl Carbitol'!CM18</f>
        <v>1.4996787349146901</v>
      </c>
      <c r="EC87" s="20">
        <f>'Methyl Carbitol'!CN18</f>
        <v>1.5055447357469829</v>
      </c>
      <c r="ED87" s="20">
        <f>'Methyl Carbitol'!CO18</f>
        <v>1.5055447357469829</v>
      </c>
      <c r="EE87" s="20">
        <f>'Methyl Carbitol'!CP18</f>
        <v>1.5055447357469829</v>
      </c>
      <c r="EF87" s="20">
        <f>'Methyl Carbitol'!CQ18</f>
        <v>1.5055447357469829</v>
      </c>
      <c r="EG87" s="20">
        <f>'Methyl Carbitol'!CR18</f>
        <v>1.5092109862671659</v>
      </c>
      <c r="EH87" s="20">
        <f>'Methyl Carbitol'!CS18</f>
        <v>1.5085443196004993</v>
      </c>
      <c r="EI87" s="20">
        <f>'Methyl Carbitol'!CT18</f>
        <v>1.5085443196004993</v>
      </c>
      <c r="EJ87" s="20">
        <f>'Methyl Carbitol'!CU18</f>
        <v>1.4850803162713275</v>
      </c>
      <c r="EK87" s="20">
        <f>'Methyl Carbitol'!CV18</f>
        <v>1.4850803162713275</v>
      </c>
      <c r="EL87" s="20">
        <f>'Methyl Carbitol'!CW18</f>
        <v>1.4837469829379941</v>
      </c>
      <c r="EM87" s="20">
        <f>'Methyl Carbitol'!CX18</f>
        <v>1.4837469829379941</v>
      </c>
      <c r="EN87" s="20">
        <f>'Methyl Carbitol'!CY18</f>
        <v>1.4925459841864335</v>
      </c>
      <c r="EO87" s="20">
        <f>'Methyl Carbitol'!CZ18</f>
        <v>1.4925459841864335</v>
      </c>
      <c r="EP87" s="20">
        <f>'Methyl Carbitol'!DA18</f>
        <v>1.4925459841864335</v>
      </c>
      <c r="EQ87" s="20">
        <f>'Methyl Carbitol'!DB18</f>
        <v>1.4925459841864335</v>
      </c>
      <c r="ER87" s="20">
        <f>'Methyl Carbitol'!DC18</f>
        <v>1.4925459841864335</v>
      </c>
      <c r="ES87" s="20">
        <f>'Methyl Carbitol'!DD18</f>
        <v>1.5211427382438618</v>
      </c>
      <c r="ET87" s="20">
        <f>'Methyl Carbitol'!DE18</f>
        <v>1.5211427382438618</v>
      </c>
      <c r="EU87" s="20">
        <f>'Methyl Carbitol'!DF18</f>
        <v>1.5211427382438618</v>
      </c>
      <c r="EV87" s="20">
        <f>'Methyl Carbitol'!DG18</f>
        <v>1.5211427382438618</v>
      </c>
      <c r="EW87" s="20">
        <f>'Methyl Carbitol'!DH18</f>
        <v>1.5145434873075321</v>
      </c>
      <c r="EX87" s="20">
        <f>'Methyl Carbitol'!DI18</f>
        <v>1.5145434873075321</v>
      </c>
      <c r="EY87" s="20">
        <f>'Methyl Carbitol'!DJ18</f>
        <v>1.5172101539741989</v>
      </c>
      <c r="EZ87" s="20">
        <f>'Methyl Carbitol'!DK18</f>
        <v>1.5172101539741989</v>
      </c>
      <c r="FA87" s="20">
        <f>'Methyl Carbitol'!DL18</f>
        <v>1.4761481481481482</v>
      </c>
      <c r="FB87" s="20">
        <f>'Methyl Carbitol'!DM18</f>
        <v>1.4856803995006242</v>
      </c>
      <c r="FC87" s="20">
        <f>'Methyl Carbitol'!DN18</f>
        <v>1.4662821473158552</v>
      </c>
      <c r="FD87" s="20">
        <f>'Methyl Carbitol'!DO18</f>
        <v>1.4640823970037453</v>
      </c>
      <c r="FE87" s="20">
        <f>'Methyl Carbitol'!DP18</f>
        <v>1.4640823970037453</v>
      </c>
      <c r="FF87" s="20">
        <f>'Methyl Carbitol'!DQ18</f>
        <v>1.4640823970037453</v>
      </c>
      <c r="FG87" s="20">
        <f>'Methyl Carbitol'!DR18</f>
        <v>1.4640823970037453</v>
      </c>
      <c r="FH87" s="20">
        <f>'Methyl Carbitol'!DS18</f>
        <v>1.4555505617977529</v>
      </c>
    </row>
    <row r="88" spans="1:164" ht="15">
      <c r="A88" s="8" t="s">
        <v>212</v>
      </c>
      <c r="B88" s="45" t="s">
        <v>303</v>
      </c>
      <c r="AF88" s="19">
        <f t="shared" si="135"/>
        <v>0</v>
      </c>
      <c r="AG88" s="19">
        <f t="shared" si="135"/>
        <v>-9.2903136057527647E-2</v>
      </c>
      <c r="AH88" s="19">
        <f t="shared" si="135"/>
        <v>-3.7161254423010881E-2</v>
      </c>
      <c r="AI88" s="19">
        <f t="shared" si="135"/>
        <v>0</v>
      </c>
      <c r="AJ88" s="19">
        <f t="shared" si="135"/>
        <v>3.7161254423010437E-3</v>
      </c>
      <c r="AK88" s="19">
        <f t="shared" si="135"/>
        <v>0</v>
      </c>
      <c r="AL88" s="19">
        <f t="shared" si="135"/>
        <v>0</v>
      </c>
      <c r="AM88" s="19">
        <f t="shared" si="135"/>
        <v>2.2296752653806706E-2</v>
      </c>
      <c r="AN88" s="19">
        <f t="shared" si="135"/>
        <v>-3.7161254423012657E-3</v>
      </c>
      <c r="AO88" s="19">
        <f t="shared" si="135"/>
        <v>-7.4322508846020874E-3</v>
      </c>
      <c r="AP88" s="19">
        <f t="shared" si="135"/>
        <v>1.4864501769204397E-2</v>
      </c>
      <c r="AQ88" s="19">
        <f t="shared" si="136"/>
        <v>4.4593505307613412E-2</v>
      </c>
      <c r="AR88" s="19">
        <f t="shared" si="136"/>
        <v>2.9729003538408794E-2</v>
      </c>
      <c r="AS88" s="19">
        <f t="shared" si="100"/>
        <v>1.4864501769204397E-2</v>
      </c>
      <c r="AT88" s="19">
        <f t="shared" si="101"/>
        <v>2.2296752653806706E-2</v>
      </c>
      <c r="AU88" s="60" t="s">
        <v>114</v>
      </c>
      <c r="AV88" s="19">
        <f t="shared" si="102"/>
        <v>0</v>
      </c>
      <c r="AW88" s="19">
        <f t="shared" si="103"/>
        <v>1.4864501769204397E-2</v>
      </c>
      <c r="AX88" s="19">
        <f t="shared" si="104"/>
        <v>2.2296752653806706E-2</v>
      </c>
      <c r="AY88" s="19">
        <f t="shared" si="105"/>
        <v>7.4322508846020874E-3</v>
      </c>
      <c r="AZ88" s="19">
        <f t="shared" si="106"/>
        <v>0</v>
      </c>
      <c r="BA88" s="19">
        <f t="shared" si="106"/>
        <v>0</v>
      </c>
      <c r="BB88" s="19">
        <f t="shared" si="107"/>
        <v>0</v>
      </c>
      <c r="BC88" s="19">
        <f t="shared" si="108"/>
        <v>0</v>
      </c>
      <c r="BD88" s="19">
        <f t="shared" si="109"/>
        <v>-3.7161254423011103E-2</v>
      </c>
      <c r="BE88" s="19">
        <f t="shared" si="110"/>
        <v>5.9458007076817587E-2</v>
      </c>
      <c r="BF88" s="19">
        <f t="shared" si="111"/>
        <v>3.3445128980710281E-2</v>
      </c>
      <c r="BG88" s="19">
        <f t="shared" si="111"/>
        <v>-3.7161254423012657E-3</v>
      </c>
      <c r="BH88" s="19">
        <f t="shared" si="128"/>
        <v>2.08103024768862E-2</v>
      </c>
      <c r="BI88" s="19">
        <f t="shared" si="129"/>
        <v>1.1148376326903353E-2</v>
      </c>
      <c r="BJ88" s="19">
        <f t="shared" si="112"/>
        <v>-6.6890257961420563E-3</v>
      </c>
      <c r="BK88" s="19">
        <f t="shared" si="113"/>
        <v>3.4188354069170312E-2</v>
      </c>
      <c r="BL88" s="19">
        <f t="shared" si="113"/>
        <v>3.7161254423010437E-3</v>
      </c>
      <c r="BM88" s="19">
        <f t="shared" si="113"/>
        <v>1.858062721150544E-2</v>
      </c>
      <c r="BN88" s="19">
        <f t="shared" si="113"/>
        <v>8.547088517292567E-2</v>
      </c>
      <c r="BO88" s="19">
        <f t="shared" si="113"/>
        <v>-1.4864501769204508E-2</v>
      </c>
      <c r="BP88" s="19">
        <f t="shared" si="130"/>
        <v>0</v>
      </c>
      <c r="BQ88" s="19">
        <f t="shared" si="131"/>
        <v>0</v>
      </c>
      <c r="BR88" s="19">
        <f t="shared" si="131"/>
        <v>-7.4322508846021984E-3</v>
      </c>
      <c r="BS88" s="19">
        <f t="shared" si="114"/>
        <v>-1.1148376326903242E-2</v>
      </c>
      <c r="BT88" s="19">
        <f t="shared" si="114"/>
        <v>-6.3174132519119075E-2</v>
      </c>
      <c r="BU88" s="19">
        <f t="shared" si="132"/>
        <v>-7.4322508846020874E-3</v>
      </c>
      <c r="BV88" s="19">
        <f t="shared" si="133"/>
        <v>0</v>
      </c>
      <c r="BW88" s="19">
        <f t="shared" si="115"/>
        <v>1.1148376326903353E-2</v>
      </c>
      <c r="BX88" s="19">
        <f t="shared" si="116"/>
        <v>0</v>
      </c>
      <c r="BY88" s="19">
        <f t="shared" si="116"/>
        <v>-1.1148376326903353E-2</v>
      </c>
      <c r="BZ88" s="19">
        <f t="shared" si="116"/>
        <v>3.7161254423010437E-3</v>
      </c>
      <c r="CA88" s="19">
        <f t="shared" si="116"/>
        <v>0</v>
      </c>
      <c r="CB88" s="19">
        <f t="shared" si="116"/>
        <v>2.9729003538409016E-2</v>
      </c>
      <c r="CC88" s="19">
        <f t="shared" si="127"/>
        <v>1.4864501769204397E-2</v>
      </c>
      <c r="CD88" s="19">
        <f t="shared" si="127"/>
        <v>2.601287809610775E-2</v>
      </c>
      <c r="CE88" s="65"/>
      <c r="CG88" s="20">
        <f t="shared" si="118"/>
        <v>1.2091422605866915</v>
      </c>
      <c r="CH88" s="20">
        <f>'2-Ethyl hexyl nitrate'!AS18</f>
        <v>1.1093023570368681</v>
      </c>
      <c r="CI88" s="20">
        <f>'2-Ethyl hexyl nitrate'!AT18</f>
        <v>1.1306700783300994</v>
      </c>
      <c r="CJ88" s="20">
        <f>'2-Ethyl hexyl nitrate'!AU18</f>
        <v>1.0907217298253626</v>
      </c>
      <c r="CK88" s="20">
        <f>'2-Ethyl hexyl nitrate'!AV18</f>
        <v>1.0832894789407603</v>
      </c>
      <c r="CL88" s="20">
        <f>'2-Ethyl hexyl nitrate'!AW18</f>
        <v>1.1018701061522658</v>
      </c>
      <c r="CM88" s="20">
        <f>'2-Ethyl hexyl nitrate'!AX18</f>
        <v>1.1315991096906748</v>
      </c>
      <c r="CN88" s="20">
        <f>'2-Ethyl hexyl nitrate'!AY18</f>
        <v>1.0349798481908459</v>
      </c>
      <c r="CO88" s="20">
        <f>'2-Ethyl hexyl nitrate'!AZ18</f>
        <v>1.0349798481908459</v>
      </c>
      <c r="CP88" s="20">
        <f>'2-Ethyl hexyl nitrate'!BA18</f>
        <v>1.0424120990754482</v>
      </c>
      <c r="CQ88" s="20">
        <f>'2-Ethyl hexyl nitrate'!BB18</f>
        <v>1.0647088517292547</v>
      </c>
      <c r="CR88" s="20">
        <f>'2-Ethyl hexyl nitrate'!BC18</f>
        <v>1.1315991096906748</v>
      </c>
      <c r="CS88" s="20">
        <f>'2-Ethyl hexyl nitrate'!BD18</f>
        <v>1.179908740440589</v>
      </c>
      <c r="CT88" s="20">
        <f>'2-Ethyl hexyl nitrate'!BE18</f>
        <v>1.2096377439789978</v>
      </c>
      <c r="CU88" s="20">
        <f>'2-Ethyl hexyl nitrate'!BF18</f>
        <v>1.2133538694212991</v>
      </c>
      <c r="CV88" s="20">
        <f>'2-Ethyl hexyl nitrate'!BG18</f>
        <v>1.2765280019404179</v>
      </c>
      <c r="CW88" s="20">
        <f>'2-Ethyl hexyl nitrate'!BH18</f>
        <v>1.2765280019404179</v>
      </c>
      <c r="CX88" s="20">
        <f>'2-Ethyl hexyl nitrate'!BI18</f>
        <v>1.205921618536697</v>
      </c>
      <c r="CY88" s="20">
        <f>'2-Ethyl hexyl nitrate'!BJ18</f>
        <v>1.253488024198151</v>
      </c>
      <c r="CZ88" s="20">
        <f>'2-Ethyl hexyl nitrate'!BK18</f>
        <v>1.2393667475174068</v>
      </c>
      <c r="DA88" s="20">
        <f>'2-Ethyl hexyl nitrate'!BL18</f>
        <v>1.205921618536697</v>
      </c>
      <c r="DB88" s="20">
        <f>'2-Ethyl hexyl nitrate'!BM18</f>
        <v>1.1984893676520947</v>
      </c>
      <c r="DC88" s="20">
        <f>'2-Ethyl hexyl nitrate'!BN18</f>
        <v>1.1687603641136859</v>
      </c>
      <c r="DD88" s="20">
        <f>'2-Ethyl hexyl nitrate'!BO18</f>
        <v>1.1687603641136859</v>
      </c>
      <c r="DE88" s="20">
        <f>'2-Ethyl hexyl nitrate'!BP18</f>
        <v>1.1687603641136859</v>
      </c>
      <c r="DF88" s="20">
        <f>'2-Ethyl hexyl nitrate'!BQ18</f>
        <v>1.1687603641136859</v>
      </c>
      <c r="DG88" s="20">
        <f>'2-Ethyl hexyl nitrate'!BR18</f>
        <v>1.1538958623444813</v>
      </c>
      <c r="DH88" s="20">
        <f>'2-Ethyl hexyl nitrate'!BS18</f>
        <v>1.1538958623444813</v>
      </c>
      <c r="DI88" s="20">
        <f>'2-Ethyl hexyl nitrate'!BT18</f>
        <v>1.1650442386713846</v>
      </c>
      <c r="DJ88" s="20">
        <f>'2-Ethyl hexyl nitrate'!BU18</f>
        <v>1.205921618536697</v>
      </c>
      <c r="DK88" s="20">
        <f>'2-Ethyl hexyl nitrate'!BV18</f>
        <v>1.205921618536697</v>
      </c>
      <c r="DL88" s="20">
        <f>'2-Ethyl hexyl nitrate'!BW18</f>
        <v>1.2988247545942246</v>
      </c>
      <c r="DM88" s="20">
        <f>'2-Ethyl hexyl nitrate'!BX18</f>
        <v>1.3359860090172355</v>
      </c>
      <c r="DN88" s="20">
        <f>'2-Ethyl hexyl nitrate'!BY18</f>
        <v>1.3359860090172355</v>
      </c>
      <c r="DO88" s="20">
        <f>'2-Ethyl hexyl nitrate'!BZ18</f>
        <v>1.3322698835749345</v>
      </c>
      <c r="DP88" s="20">
        <f>'2-Ethyl hexyl nitrate'!CA18</f>
        <v>1.3322698835749345</v>
      </c>
      <c r="DQ88" s="20">
        <f>'2-Ethyl hexyl nitrate'!CB18</f>
        <v>1.3322698835749345</v>
      </c>
      <c r="DR88" s="20">
        <f>'2-Ethyl hexyl nitrate'!CC18</f>
        <v>1.3099731309211278</v>
      </c>
      <c r="DS88" s="20">
        <f>'2-Ethyl hexyl nitrate'!CD18</f>
        <v>1.313689256363429</v>
      </c>
      <c r="DT88" s="20">
        <f>'2-Ethyl hexyl nitrate'!CE18</f>
        <v>1.3211215072480311</v>
      </c>
      <c r="DU88" s="20">
        <f>'2-Ethyl hexyl nitrate'!CF18</f>
        <v>1.3062570054788267</v>
      </c>
      <c r="DV88" s="20">
        <f>'2-Ethyl hexyl nitrate'!CG18</f>
        <v>1.2616635001712133</v>
      </c>
      <c r="DW88" s="20">
        <f>'2-Ethyl hexyl nitrate'!CH18</f>
        <v>1.2319344966328045</v>
      </c>
      <c r="DX88" s="20">
        <f>'2-Ethyl hexyl nitrate'!CI18</f>
        <v>1.2170699948636001</v>
      </c>
      <c r="DY88" s="20">
        <f>'2-Ethyl hexyl nitrate'!CJ18</f>
        <v>1.1947732422097934</v>
      </c>
      <c r="DZ88" s="20">
        <f>'2-Ethyl hexyl nitrate'!CK18</f>
        <v>1.1947732422097934</v>
      </c>
      <c r="EA88" s="20">
        <f>'2-Ethyl hexyl nitrate'!CL18</f>
        <v>1.179908740440589</v>
      </c>
      <c r="EB88" s="20">
        <f>'2-Ethyl hexyl nitrate'!CM18</f>
        <v>1.1576119877867823</v>
      </c>
      <c r="EC88" s="20">
        <f>'2-Ethyl hexyl nitrate'!CN18</f>
        <v>1.1501797369021802</v>
      </c>
      <c r="ED88" s="20">
        <f>'2-Ethyl hexyl nitrate'!CO18</f>
        <v>1.1501797369021802</v>
      </c>
      <c r="EE88" s="20">
        <f>'2-Ethyl hexyl nitrate'!CP18</f>
        <v>1.1501797369021802</v>
      </c>
      <c r="EF88" s="20">
        <f>'2-Ethyl hexyl nitrate'!CQ18</f>
        <v>1.1501797369021802</v>
      </c>
      <c r="EG88" s="20">
        <f>'2-Ethyl hexyl nitrate'!CR18</f>
        <v>1.1501797369021802</v>
      </c>
      <c r="EH88" s="20">
        <f>'2-Ethyl hexyl nitrate'!CS18</f>
        <v>1.1873409913251913</v>
      </c>
      <c r="EI88" s="20">
        <f>'2-Ethyl hexyl nitrate'!CT18</f>
        <v>1.1278829842483737</v>
      </c>
      <c r="EJ88" s="20">
        <f>'2-Ethyl hexyl nitrate'!CU18</f>
        <v>1.0944378552676635</v>
      </c>
      <c r="EK88" s="20">
        <f>'2-Ethyl hexyl nitrate'!CV18</f>
        <v>1.0981539807099647</v>
      </c>
      <c r="EL88" s="20">
        <f>'2-Ethyl hexyl nitrate'!CW18</f>
        <v>1.0773436782330785</v>
      </c>
      <c r="EM88" s="20">
        <f>'2-Ethyl hexyl nitrate'!CX18</f>
        <v>1.0661953019061752</v>
      </c>
      <c r="EN88" s="20">
        <f>'2-Ethyl hexyl nitrate'!CY18</f>
        <v>1.0728843277023172</v>
      </c>
      <c r="EO88" s="20">
        <f>'2-Ethyl hexyl nitrate'!CZ18</f>
        <v>1.0386959736331469</v>
      </c>
      <c r="EP88" s="20">
        <f>'2-Ethyl hexyl nitrate'!DA18</f>
        <v>1.0349798481908459</v>
      </c>
      <c r="EQ88" s="20">
        <f>'2-Ethyl hexyl nitrate'!DB18</f>
        <v>1.0163992209793404</v>
      </c>
      <c r="ER88" s="20">
        <f>'2-Ethyl hexyl nitrate'!DC18</f>
        <v>0.93092833580641476</v>
      </c>
      <c r="ES88" s="20">
        <f>'2-Ethyl hexyl nitrate'!DD18</f>
        <v>0.94579283757561927</v>
      </c>
      <c r="ET88" s="20">
        <f>'2-Ethyl hexyl nitrate'!DE18</f>
        <v>0.94579283757561927</v>
      </c>
      <c r="EU88" s="20">
        <f>'2-Ethyl hexyl nitrate'!DF18</f>
        <v>0.94579283757561927</v>
      </c>
      <c r="EV88" s="20">
        <f>'2-Ethyl hexyl nitrate'!DG18</f>
        <v>0.95322508846022147</v>
      </c>
      <c r="EW88" s="20">
        <f>'2-Ethyl hexyl nitrate'!DH18</f>
        <v>0.96437346478712471</v>
      </c>
      <c r="EX88" s="20">
        <f>'2-Ethyl hexyl nitrate'!DI18</f>
        <v>1.0275475973062438</v>
      </c>
      <c r="EY88" s="20">
        <f>'2-Ethyl hexyl nitrate'!DJ18</f>
        <v>1.0349798481908459</v>
      </c>
      <c r="EZ88" s="20">
        <f>'2-Ethyl hexyl nitrate'!DK18</f>
        <v>1.0349798481908459</v>
      </c>
      <c r="FA88" s="20">
        <f>'2-Ethyl hexyl nitrate'!DL18</f>
        <v>1.0238314718639425</v>
      </c>
      <c r="FB88" s="20">
        <f>'2-Ethyl hexyl nitrate'!DM18</f>
        <v>1.0238314718639425</v>
      </c>
      <c r="FC88" s="20">
        <f>'2-Ethyl hexyl nitrate'!DN18</f>
        <v>1.0349798481908459</v>
      </c>
      <c r="FD88" s="20">
        <f>'2-Ethyl hexyl nitrate'!DO18</f>
        <v>1.0312637227485448</v>
      </c>
      <c r="FE88" s="20">
        <f>'2-Ethyl hexyl nitrate'!DP18</f>
        <v>1.0312637227485448</v>
      </c>
      <c r="FF88" s="20">
        <f>'2-Ethyl hexyl nitrate'!DQ18</f>
        <v>1.0015347192101358</v>
      </c>
      <c r="FG88" s="20">
        <f>'2-Ethyl hexyl nitrate'!DR18</f>
        <v>0.98667021744093142</v>
      </c>
      <c r="FH88" s="20">
        <f>'2-Ethyl hexyl nitrate'!DS18</f>
        <v>0.96065733934482367</v>
      </c>
    </row>
    <row r="89" spans="1:164" ht="15">
      <c r="A89" s="8" t="s">
        <v>212</v>
      </c>
      <c r="B89" s="45" t="s">
        <v>304</v>
      </c>
      <c r="AF89" s="19">
        <f t="shared" si="135"/>
        <v>0</v>
      </c>
      <c r="AG89" s="19">
        <f t="shared" si="135"/>
        <v>-3.7589432702135328E-2</v>
      </c>
      <c r="AH89" s="19">
        <f t="shared" si="135"/>
        <v>-1.1565979292964768E-2</v>
      </c>
      <c r="AI89" s="19">
        <f t="shared" si="135"/>
        <v>0</v>
      </c>
      <c r="AJ89" s="19">
        <f t="shared" si="135"/>
        <v>0</v>
      </c>
      <c r="AK89" s="19">
        <f t="shared" si="135"/>
        <v>0</v>
      </c>
      <c r="AL89" s="19">
        <f t="shared" si="135"/>
        <v>0</v>
      </c>
      <c r="AM89" s="19">
        <f t="shared" si="135"/>
        <v>0</v>
      </c>
      <c r="AN89" s="19">
        <f t="shared" si="135"/>
        <v>1.4457474116205127E-3</v>
      </c>
      <c r="AO89" s="19">
        <f t="shared" si="135"/>
        <v>0</v>
      </c>
      <c r="AP89" s="19">
        <f t="shared" si="135"/>
        <v>4.3372422348619821E-3</v>
      </c>
      <c r="AQ89" s="19">
        <f t="shared" ref="AQ89:AR92" si="137">+DU89-DV89</f>
        <v>2.602345340917056E-2</v>
      </c>
      <c r="AR89" s="19">
        <f t="shared" si="137"/>
        <v>0</v>
      </c>
      <c r="AS89" s="19">
        <f t="shared" si="100"/>
        <v>-9.8310823990199747E-3</v>
      </c>
      <c r="AT89" s="19">
        <f t="shared" si="101"/>
        <v>0</v>
      </c>
      <c r="AU89" s="60" t="s">
        <v>78</v>
      </c>
      <c r="AV89" s="19">
        <f t="shared" si="102"/>
        <v>0</v>
      </c>
      <c r="AW89" s="19">
        <f t="shared" si="103"/>
        <v>1.1565979292964546E-3</v>
      </c>
      <c r="AX89" s="19">
        <f t="shared" si="104"/>
        <v>2.8914948232410254E-3</v>
      </c>
      <c r="AY89" s="19">
        <f t="shared" si="105"/>
        <v>-1.5614072045502247E-2</v>
      </c>
      <c r="AZ89" s="19">
        <f t="shared" si="106"/>
        <v>0</v>
      </c>
      <c r="BA89" s="19">
        <f t="shared" si="106"/>
        <v>0</v>
      </c>
      <c r="BB89" s="19">
        <f t="shared" si="107"/>
        <v>0</v>
      </c>
      <c r="BC89" s="19">
        <f t="shared" si="108"/>
        <v>0</v>
      </c>
      <c r="BD89" s="19">
        <f t="shared" si="109"/>
        <v>-4.6263917171858182E-3</v>
      </c>
      <c r="BE89" s="19">
        <f t="shared" si="110"/>
        <v>0</v>
      </c>
      <c r="BF89" s="19">
        <f t="shared" si="111"/>
        <v>0</v>
      </c>
      <c r="BG89" s="19">
        <f t="shared" si="111"/>
        <v>0</v>
      </c>
      <c r="BH89" s="19">
        <f t="shared" si="128"/>
        <v>0</v>
      </c>
      <c r="BI89" s="19">
        <f t="shared" si="129"/>
        <v>1.734896893944704E-2</v>
      </c>
      <c r="BJ89" s="19">
        <f t="shared" si="112"/>
        <v>1.1565979292964768E-2</v>
      </c>
      <c r="BK89" s="19">
        <f t="shared" si="113"/>
        <v>0</v>
      </c>
      <c r="BL89" s="19">
        <f t="shared" si="113"/>
        <v>0</v>
      </c>
      <c r="BM89" s="19">
        <f t="shared" si="113"/>
        <v>0</v>
      </c>
      <c r="BN89" s="19">
        <f t="shared" si="113"/>
        <v>2.0240463762688288E-2</v>
      </c>
      <c r="BO89" s="19">
        <f t="shared" si="113"/>
        <v>2.891494823241203E-2</v>
      </c>
      <c r="BP89" s="19">
        <f t="shared" si="130"/>
        <v>0</v>
      </c>
      <c r="BQ89" s="19">
        <f t="shared" si="131"/>
        <v>0</v>
      </c>
      <c r="BR89" s="19">
        <f t="shared" si="131"/>
        <v>0</v>
      </c>
      <c r="BS89" s="19">
        <f t="shared" si="114"/>
        <v>0</v>
      </c>
      <c r="BT89" s="19">
        <f t="shared" si="114"/>
        <v>2.3131958585929313E-2</v>
      </c>
      <c r="BU89" s="19">
        <f t="shared" si="132"/>
        <v>-5.7829896464822728E-3</v>
      </c>
      <c r="BV89" s="19">
        <f t="shared" si="133"/>
        <v>0</v>
      </c>
      <c r="BW89" s="19">
        <f t="shared" si="115"/>
        <v>2.8914948232410254E-3</v>
      </c>
      <c r="BX89" s="19">
        <f t="shared" si="116"/>
        <v>0</v>
      </c>
      <c r="BY89" s="19">
        <f t="shared" si="116"/>
        <v>2.3131958585929535E-2</v>
      </c>
      <c r="BZ89" s="19">
        <f t="shared" si="116"/>
        <v>0</v>
      </c>
      <c r="CA89" s="19">
        <f t="shared" si="116"/>
        <v>0</v>
      </c>
      <c r="CB89" s="19">
        <f t="shared" ref="CB89:CD125" si="138">+FE89-FF89</f>
        <v>-2.8914948232410254E-3</v>
      </c>
      <c r="CC89" s="19">
        <f t="shared" si="138"/>
        <v>8.6744844697235202E-3</v>
      </c>
      <c r="CD89" s="19">
        <f t="shared" si="138"/>
        <v>2.8914948232412474E-3</v>
      </c>
      <c r="CE89" s="65"/>
      <c r="CG89" s="20">
        <f t="shared" si="118"/>
        <v>1.1388179508985634</v>
      </c>
      <c r="CH89" s="20">
        <f>'Butyl acrylate'!AS17</f>
        <v>1.123841490532032</v>
      </c>
      <c r="CI89" s="20">
        <f>'Butyl acrylate'!AT17</f>
        <v>1.141190459471479</v>
      </c>
      <c r="CJ89" s="20">
        <f>'Butyl acrylate'!AU17</f>
        <v>1.123841490532032</v>
      </c>
      <c r="CK89" s="20">
        <f>'Butyl acrylate'!AV17</f>
        <v>1.126732985355273</v>
      </c>
      <c r="CL89" s="20">
        <f>'Butyl acrylate'!AW17</f>
        <v>1.123841490532032</v>
      </c>
      <c r="CM89" s="20">
        <f>'Butyl acrylate'!AX17</f>
        <v>1.0804690681834141</v>
      </c>
      <c r="CN89" s="20">
        <f>'Butyl acrylate'!AY17</f>
        <v>1.0689030888904494</v>
      </c>
      <c r="CO89" s="20">
        <f>'Butyl acrylate'!AZ17</f>
        <v>1.0631200992439669</v>
      </c>
      <c r="CP89" s="20">
        <f>'Butyl acrylate'!BA17</f>
        <v>1.0631200992439669</v>
      </c>
      <c r="CQ89" s="20">
        <f>'Butyl acrylate'!BB17</f>
        <v>1.0631200992439669</v>
      </c>
      <c r="CR89" s="20">
        <f>'Butyl acrylate'!BC17</f>
        <v>1.0746860785369319</v>
      </c>
      <c r="CS89" s="20">
        <f>'Butyl acrylate'!BD17</f>
        <v>1.0804690681834141</v>
      </c>
      <c r="CT89" s="20">
        <f>'Butyl acrylate'!BE17</f>
        <v>1.0804690681834141</v>
      </c>
      <c r="CU89" s="20">
        <f>'Butyl acrylate'!BF17</f>
        <v>1.0804690681834141</v>
      </c>
      <c r="CV89" s="20">
        <f>'Butyl acrylate'!BG17</f>
        <v>1.1672139128806498</v>
      </c>
      <c r="CW89" s="20">
        <f>'Butyl acrylate'!BH17</f>
        <v>1.1672139128806498</v>
      </c>
      <c r="CX89" s="20">
        <f>'Butyl acrylate'!BI17</f>
        <v>1.1672139128806498</v>
      </c>
      <c r="CY89" s="20">
        <f>'Butyl acrylate'!BJ17</f>
        <v>1.1672139128806498</v>
      </c>
      <c r="CZ89" s="20">
        <f>'Butyl acrylate'!BK17</f>
        <v>1.1672139128806498</v>
      </c>
      <c r="DA89" s="20">
        <f>'Butyl acrylate'!BL17</f>
        <v>1.1816713869968556</v>
      </c>
      <c r="DB89" s="20">
        <f>'Butyl acrylate'!BM17</f>
        <v>1.1672139128806498</v>
      </c>
      <c r="DC89" s="20">
        <f>'Butyl acrylate'!BN17</f>
        <v>1.138298964648238</v>
      </c>
      <c r="DD89" s="20">
        <f>'Butyl acrylate'!BO17</f>
        <v>1.123841490532032</v>
      </c>
      <c r="DE89" s="20">
        <f>'Butyl acrylate'!BP17</f>
        <v>1.123841490532032</v>
      </c>
      <c r="DF89" s="20">
        <f>'Butyl acrylate'!BQ17</f>
        <v>1.123841490532032</v>
      </c>
      <c r="DG89" s="20">
        <f>'Butyl acrylate'!BR17</f>
        <v>1.123841490532032</v>
      </c>
      <c r="DH89" s="20">
        <f>'Butyl acrylate'!BS17</f>
        <v>1.123841490532032</v>
      </c>
      <c r="DI89" s="20">
        <f>'Butyl acrylate'!BT17</f>
        <v>1.123841490532032</v>
      </c>
      <c r="DJ89" s="20">
        <f>'Butyl acrylate'!BU17</f>
        <v>1.138298964648238</v>
      </c>
      <c r="DK89" s="20">
        <f>'Butyl acrylate'!BV17</f>
        <v>1.138298964648238</v>
      </c>
      <c r="DL89" s="20">
        <f>'Butyl acrylate'!BW17</f>
        <v>1.1758883973503733</v>
      </c>
      <c r="DM89" s="20">
        <f>'Butyl acrylate'!BX17</f>
        <v>1.1874543766433381</v>
      </c>
      <c r="DN89" s="20">
        <f>'Butyl acrylate'!BY17</f>
        <v>1.1874543766433381</v>
      </c>
      <c r="DO89" s="20">
        <f>'Butyl acrylate'!BZ17</f>
        <v>1.1874543766433381</v>
      </c>
      <c r="DP89" s="20">
        <f>'Butyl acrylate'!CA17</f>
        <v>1.1874543766433381</v>
      </c>
      <c r="DQ89" s="20">
        <f>'Butyl acrylate'!CB17</f>
        <v>1.1874543766433381</v>
      </c>
      <c r="DR89" s="20">
        <f>'Butyl acrylate'!CC17</f>
        <v>1.1874543766433381</v>
      </c>
      <c r="DS89" s="20">
        <f>'Butyl acrylate'!CD17</f>
        <v>1.1860086292317176</v>
      </c>
      <c r="DT89" s="20">
        <f>'Butyl acrylate'!CE17</f>
        <v>1.1860086292317176</v>
      </c>
      <c r="DU89" s="20">
        <f>'Butyl acrylate'!CF17</f>
        <v>1.1816713869968556</v>
      </c>
      <c r="DV89" s="20">
        <f>'Butyl acrylate'!CG17</f>
        <v>1.155647933587685</v>
      </c>
      <c r="DW89" s="20">
        <f>'Butyl acrylate'!CH17</f>
        <v>1.155647933587685</v>
      </c>
      <c r="DX89" s="20">
        <f>'Butyl acrylate'!CI17</f>
        <v>1.165479015986705</v>
      </c>
      <c r="DY89" s="20">
        <f>'Butyl acrylate'!CJ17</f>
        <v>1.165479015986705</v>
      </c>
      <c r="DZ89" s="20">
        <f>'Butyl acrylate'!CK17</f>
        <v>1.165479015986705</v>
      </c>
      <c r="EA89" s="20">
        <f>'Butyl acrylate'!CL17</f>
        <v>1.1643224180574085</v>
      </c>
      <c r="EB89" s="20">
        <f>'Butyl acrylate'!CM17</f>
        <v>1.1614309232341675</v>
      </c>
      <c r="EC89" s="20">
        <f>'Butyl acrylate'!CN17</f>
        <v>1.1770449952796698</v>
      </c>
      <c r="ED89" s="20">
        <f>'Butyl acrylate'!CO17</f>
        <v>1.1770449952796698</v>
      </c>
      <c r="EE89" s="20">
        <f>'Butyl acrylate'!CP17</f>
        <v>1.1770449952796698</v>
      </c>
      <c r="EF89" s="20">
        <f>'Butyl acrylate'!CQ17</f>
        <v>1.1770449952796698</v>
      </c>
      <c r="EG89" s="20">
        <f>'Butyl acrylate'!CR17</f>
        <v>1.1770449952796698</v>
      </c>
      <c r="EH89" s="20">
        <f>'Butyl acrylate'!CS17</f>
        <v>1.1816713869968556</v>
      </c>
      <c r="EI89" s="20">
        <f>'Butyl acrylate'!CT17</f>
        <v>1.1816713869968556</v>
      </c>
      <c r="EJ89" s="20">
        <f>'Butyl acrylate'!CU17</f>
        <v>1.1816713869968556</v>
      </c>
      <c r="EK89" s="20">
        <f>'Butyl acrylate'!CV17</f>
        <v>1.1816713869968556</v>
      </c>
      <c r="EL89" s="20">
        <f>'Butyl acrylate'!CW17</f>
        <v>1.1816713869968556</v>
      </c>
      <c r="EM89" s="20">
        <f>'Butyl acrylate'!CX17</f>
        <v>1.1643224180574085</v>
      </c>
      <c r="EN89" s="20">
        <f>'Butyl acrylate'!CY17</f>
        <v>1.1527564387644438</v>
      </c>
      <c r="EO89" s="20">
        <f>'Butyl acrylate'!CZ17</f>
        <v>1.1527564387644438</v>
      </c>
      <c r="EP89" s="20">
        <f>'Butyl acrylate'!DA17</f>
        <v>1.1527564387644438</v>
      </c>
      <c r="EQ89" s="20">
        <f>'Butyl acrylate'!DB17</f>
        <v>1.1527564387644438</v>
      </c>
      <c r="ER89" s="20">
        <f>'Butyl acrylate'!DC17</f>
        <v>1.1325159750017555</v>
      </c>
      <c r="ES89" s="20">
        <f>'Butyl acrylate'!DD17</f>
        <v>1.1036010267693435</v>
      </c>
      <c r="ET89" s="20">
        <f>'Butyl acrylate'!DE17</f>
        <v>1.1036010267693435</v>
      </c>
      <c r="EU89" s="20">
        <f>'Butyl acrylate'!DF17</f>
        <v>1.1036010267693435</v>
      </c>
      <c r="EV89" s="20">
        <f>'Butyl acrylate'!DG17</f>
        <v>1.1036010267693435</v>
      </c>
      <c r="EW89" s="20">
        <f>'Butyl acrylate'!DH17</f>
        <v>1.1036010267693435</v>
      </c>
      <c r="EX89" s="20">
        <f>'Butyl acrylate'!DI17</f>
        <v>1.0804690681834141</v>
      </c>
      <c r="EY89" s="20">
        <f>'Butyl acrylate'!DJ17</f>
        <v>1.0862520578298964</v>
      </c>
      <c r="EZ89" s="20">
        <f>'Butyl acrylate'!DK17</f>
        <v>1.0862520578298964</v>
      </c>
      <c r="FA89" s="20">
        <f>'Butyl acrylate'!DL17</f>
        <v>1.0833605630066554</v>
      </c>
      <c r="FB89" s="20">
        <f>'Butyl acrylate'!DM17</f>
        <v>1.0833605630066554</v>
      </c>
      <c r="FC89" s="20">
        <f>'Butyl acrylate'!DN17</f>
        <v>1.0602286044207259</v>
      </c>
      <c r="FD89" s="20">
        <f>'Butyl acrylate'!DO17</f>
        <v>1.0602286044207259</v>
      </c>
      <c r="FE89" s="20">
        <f>'Butyl acrylate'!DP17</f>
        <v>1.0602286044207259</v>
      </c>
      <c r="FF89" s="20">
        <f>'Butyl acrylate'!DQ17</f>
        <v>1.0631200992439669</v>
      </c>
      <c r="FG89" s="20">
        <f>'Butyl acrylate'!DR17</f>
        <v>1.0544456147742434</v>
      </c>
      <c r="FH89" s="20">
        <f>'Butyl acrylate'!DS17</f>
        <v>1.0515541199510021</v>
      </c>
    </row>
    <row r="90" spans="1:164" ht="15">
      <c r="A90" s="8" t="s">
        <v>212</v>
      </c>
      <c r="B90" s="45" t="s">
        <v>305</v>
      </c>
      <c r="AK90" s="19">
        <f t="shared" ref="AK90:AP92" si="139">+DO90-DP90</f>
        <v>0</v>
      </c>
      <c r="AL90" s="19">
        <f t="shared" si="139"/>
        <v>0</v>
      </c>
      <c r="AM90" s="19">
        <f t="shared" si="139"/>
        <v>0</v>
      </c>
      <c r="AN90" s="19">
        <f t="shared" si="139"/>
        <v>0</v>
      </c>
      <c r="AO90" s="19">
        <f t="shared" si="139"/>
        <v>0</v>
      </c>
      <c r="AP90" s="19">
        <f t="shared" si="139"/>
        <v>0</v>
      </c>
      <c r="AQ90" s="19">
        <f t="shared" si="137"/>
        <v>-2.9607392607392535E-3</v>
      </c>
      <c r="AR90" s="19">
        <f t="shared" si="137"/>
        <v>0</v>
      </c>
      <c r="AS90" s="19">
        <f t="shared" ref="AS90:AT92" si="140">+DW90-DX90</f>
        <v>3.9476523476523195E-3</v>
      </c>
      <c r="AT90" s="19">
        <f t="shared" si="140"/>
        <v>0</v>
      </c>
      <c r="AU90" s="60" t="s">
        <v>36</v>
      </c>
      <c r="AV90" s="19">
        <f t="shared" ref="AV90:BA95" si="141">+DY90-DZ90</f>
        <v>0</v>
      </c>
      <c r="AW90" s="19">
        <f t="shared" si="141"/>
        <v>0</v>
      </c>
      <c r="AX90" s="19">
        <f t="shared" si="141"/>
        <v>9.8691308691312152E-4</v>
      </c>
      <c r="AY90" s="19">
        <f t="shared" si="141"/>
        <v>0</v>
      </c>
      <c r="AZ90" s="19">
        <f t="shared" si="141"/>
        <v>0</v>
      </c>
      <c r="BA90" s="19">
        <f t="shared" si="141"/>
        <v>0</v>
      </c>
      <c r="BB90" s="19">
        <f t="shared" si="107"/>
        <v>0</v>
      </c>
      <c r="BC90" s="19">
        <f t="shared" ref="BC90:BC95" si="142">+EF90-EG90</f>
        <v>0</v>
      </c>
      <c r="BD90" s="19">
        <f t="shared" si="109"/>
        <v>9.8691308691306601E-4</v>
      </c>
      <c r="BE90" s="19">
        <f t="shared" si="110"/>
        <v>0</v>
      </c>
      <c r="BF90" s="19">
        <f t="shared" si="111"/>
        <v>0</v>
      </c>
      <c r="BG90" s="19">
        <f t="shared" si="111"/>
        <v>0</v>
      </c>
      <c r="BH90" s="19">
        <f t="shared" si="128"/>
        <v>1.9738261738261875E-3</v>
      </c>
      <c r="BI90" s="19">
        <f t="shared" si="129"/>
        <v>0</v>
      </c>
      <c r="BJ90" s="19">
        <f t="shared" si="112"/>
        <v>0</v>
      </c>
      <c r="BK90" s="19">
        <f t="shared" si="113"/>
        <v>0</v>
      </c>
      <c r="BL90" s="19">
        <f t="shared" si="113"/>
        <v>0</v>
      </c>
      <c r="BM90" s="19">
        <f t="shared" si="113"/>
        <v>0</v>
      </c>
      <c r="BN90" s="19">
        <f t="shared" si="113"/>
        <v>0</v>
      </c>
      <c r="BO90" s="19">
        <f t="shared" si="113"/>
        <v>0</v>
      </c>
      <c r="BP90" s="19">
        <f t="shared" si="130"/>
        <v>0</v>
      </c>
      <c r="BQ90" s="19">
        <f t="shared" si="131"/>
        <v>0</v>
      </c>
      <c r="BR90" s="19">
        <f t="shared" si="131"/>
        <v>0</v>
      </c>
      <c r="BS90" s="19">
        <f t="shared" si="114"/>
        <v>0</v>
      </c>
      <c r="BT90" s="19">
        <f t="shared" si="114"/>
        <v>0</v>
      </c>
      <c r="BU90" s="19">
        <f t="shared" si="132"/>
        <v>-3.947652347652375E-3</v>
      </c>
      <c r="BV90" s="19">
        <f t="shared" si="133"/>
        <v>0</v>
      </c>
      <c r="BW90" s="19">
        <f t="shared" si="115"/>
        <v>0</v>
      </c>
      <c r="BX90" s="19">
        <f t="shared" si="116"/>
        <v>0</v>
      </c>
      <c r="BY90" s="19">
        <f t="shared" si="116"/>
        <v>5.9214785214785071E-3</v>
      </c>
      <c r="BZ90" s="19">
        <f t="shared" si="116"/>
        <v>0</v>
      </c>
      <c r="CA90" s="19">
        <f t="shared" si="116"/>
        <v>0</v>
      </c>
      <c r="CB90" s="19">
        <f t="shared" si="138"/>
        <v>0</v>
      </c>
      <c r="CC90" s="19">
        <f t="shared" si="138"/>
        <v>0</v>
      </c>
      <c r="CD90" s="19">
        <f t="shared" si="138"/>
        <v>-6.9083916083915731E-3</v>
      </c>
      <c r="CE90" s="65"/>
      <c r="CG90" s="20">
        <f t="shared" si="118"/>
        <v>0.24839992315376927</v>
      </c>
      <c r="CH90" s="20">
        <f>'Formaldehyde 37%'!AS16</f>
        <v>0.2482987012987013</v>
      </c>
      <c r="CI90" s="20">
        <f>'Formaldehyde 37%'!AT16</f>
        <v>0.25718091908091906</v>
      </c>
      <c r="CJ90" s="20">
        <f>'Formaldehyde 37%'!AU16</f>
        <v>0.26310239760239762</v>
      </c>
      <c r="CK90" s="20">
        <f>'Formaldehyde 37%'!AV16</f>
        <v>0.25224635364635362</v>
      </c>
      <c r="CL90" s="20">
        <f>'Formaldehyde 37%'!AW16</f>
        <v>0.24237722277722276</v>
      </c>
      <c r="CM90" s="20">
        <f>'Formaldehyde 37%'!AX16</f>
        <v>0.23842957042957041</v>
      </c>
      <c r="CN90" s="20">
        <f>'Formaldehyde 37%'!AY16</f>
        <v>0.23842957042957041</v>
      </c>
      <c r="CO90" s="20">
        <f>'Formaldehyde 37%'!AZ16</f>
        <v>0.23448191808191804</v>
      </c>
      <c r="CP90" s="20">
        <f>'Formaldehyde 37%'!BA16</f>
        <v>0.23448191808191804</v>
      </c>
      <c r="CQ90" s="20">
        <f>'Formaldehyde 37%'!BB16</f>
        <v>0.23448191808191804</v>
      </c>
      <c r="CR90" s="20">
        <f>'Formaldehyde 37%'!BC16</f>
        <v>0.23448191808191804</v>
      </c>
      <c r="CS90" s="20">
        <f>'Formaldehyde 37%'!BD16</f>
        <v>0.24237722277722276</v>
      </c>
      <c r="CT90" s="20">
        <f>'Formaldehyde 37%'!BE16</f>
        <v>0.24237722277722276</v>
      </c>
      <c r="CU90" s="20">
        <f>'Formaldehyde 37%'!BF16</f>
        <v>0.24237722277722276</v>
      </c>
      <c r="CV90" s="20">
        <f>'Formaldehyde 37%'!BG16</f>
        <v>0.24237722277722276</v>
      </c>
      <c r="CW90" s="20">
        <f>'Formaldehyde 37%'!BH16</f>
        <v>0.24237722277722276</v>
      </c>
      <c r="CX90" s="20">
        <f>'Formaldehyde 37%'!BI16</f>
        <v>0.25027252747252748</v>
      </c>
      <c r="CY90" s="20">
        <f>'Formaldehyde 37%'!BJ16</f>
        <v>0.25027252747252748</v>
      </c>
      <c r="CZ90" s="20">
        <f>'Formaldehyde 37%'!BK16</f>
        <v>0.25027252747252748</v>
      </c>
      <c r="DA90" s="20">
        <f>'Formaldehyde 37%'!BL16</f>
        <v>0.25027252747252748</v>
      </c>
      <c r="DB90" s="20">
        <f>'Formaldehyde 37%'!BM16</f>
        <v>0.25027252747252748</v>
      </c>
      <c r="DC90" s="20">
        <f>'Formaldehyde 37%'!BN16</f>
        <v>0.25027252747252748</v>
      </c>
      <c r="DD90" s="20">
        <f>'Formaldehyde 37%'!BO16</f>
        <v>0.25027252747252748</v>
      </c>
      <c r="DE90" s="20">
        <f>'Formaldehyde 37%'!BP16</f>
        <v>0.24435104895104892</v>
      </c>
      <c r="DF90" s="20">
        <f>'Formaldehyde 37%'!BQ16</f>
        <v>0.24435104895104892</v>
      </c>
      <c r="DG90" s="20">
        <f>'Formaldehyde 37%'!BR16</f>
        <v>0.24435104895104892</v>
      </c>
      <c r="DH90" s="20">
        <f>'Formaldehyde 37%'!BS16</f>
        <v>0.24435104895104892</v>
      </c>
      <c r="DI90" s="20">
        <f>'Formaldehyde 37%'!BT16</f>
        <v>0.25224635364635362</v>
      </c>
      <c r="DJ90" s="20">
        <f>'Formaldehyde 37%'!BU16</f>
        <v>0.25224635364635362</v>
      </c>
      <c r="DK90" s="20">
        <f>'Formaldehyde 37%'!BV16</f>
        <v>0.25224635364635362</v>
      </c>
      <c r="DL90" s="20">
        <f>'Formaldehyde 37%'!BW16</f>
        <v>0.25323326673326674</v>
      </c>
      <c r="DM90" s="20">
        <f>'Formaldehyde 37%'!BX16</f>
        <v>0.25323326673326674</v>
      </c>
      <c r="DN90" s="20">
        <f>'Formaldehyde 37%'!BY16</f>
        <v>0.25323326673326674</v>
      </c>
      <c r="DO90" s="20">
        <f>'Formaldehyde 37%'!BZ16</f>
        <v>0.25718091908091906</v>
      </c>
      <c r="DP90" s="20">
        <f>'Formaldehyde 37%'!CA16</f>
        <v>0.25718091908091906</v>
      </c>
      <c r="DQ90" s="20">
        <f>'Formaldehyde 37%'!CB16</f>
        <v>0.25718091908091906</v>
      </c>
      <c r="DR90" s="20">
        <f>'Formaldehyde 37%'!CC16</f>
        <v>0.25718091908091906</v>
      </c>
      <c r="DS90" s="20">
        <f>'Formaldehyde 37%'!CD16</f>
        <v>0.25718091908091906</v>
      </c>
      <c r="DT90" s="20">
        <f>'Formaldehyde 37%'!CE16</f>
        <v>0.25718091908091906</v>
      </c>
      <c r="DU90" s="20">
        <f>'Formaldehyde 37%'!CF16</f>
        <v>0.25718091908091906</v>
      </c>
      <c r="DV90" s="20">
        <f>'Formaldehyde 37%'!CG16</f>
        <v>0.26014165834165831</v>
      </c>
      <c r="DW90" s="20">
        <f>'Formaldehyde 37%'!CH16</f>
        <v>0.26014165834165831</v>
      </c>
      <c r="DX90" s="20">
        <f>'Formaldehyde 37%'!CI16</f>
        <v>0.25619400599400599</v>
      </c>
      <c r="DY90" s="20">
        <f>'Formaldehyde 37%'!CJ16</f>
        <v>0.25619400599400599</v>
      </c>
      <c r="DZ90" s="20">
        <f>'Formaldehyde 37%'!CK16</f>
        <v>0.25619400599400599</v>
      </c>
      <c r="EA90" s="20">
        <f>'Formaldehyde 37%'!CL16</f>
        <v>0.25619400599400599</v>
      </c>
      <c r="EB90" s="20">
        <f>'Formaldehyde 37%'!CM16</f>
        <v>0.25520709290709287</v>
      </c>
      <c r="EC90" s="20">
        <f>'Formaldehyde 37%'!CN16</f>
        <v>0.25520709290709287</v>
      </c>
      <c r="ED90" s="20">
        <f>'Formaldehyde 37%'!CO16</f>
        <v>0.25520709290709287</v>
      </c>
      <c r="EE90" s="20">
        <f>'Formaldehyde 37%'!CP16</f>
        <v>0.25520709290709287</v>
      </c>
      <c r="EF90" s="20">
        <f>'Formaldehyde 37%'!CQ16</f>
        <v>0.25520709290709287</v>
      </c>
      <c r="EG90" s="20">
        <f>'Formaldehyde 37%'!CR16</f>
        <v>0.25520709290709287</v>
      </c>
      <c r="EH90" s="20">
        <f>'Formaldehyde 37%'!CS16</f>
        <v>0.2542201798201798</v>
      </c>
      <c r="EI90" s="20">
        <f>'Formaldehyde 37%'!CT16</f>
        <v>0.2542201798201798</v>
      </c>
      <c r="EJ90" s="20">
        <f>'Formaldehyde 37%'!CU16</f>
        <v>0.2542201798201798</v>
      </c>
      <c r="EK90" s="20">
        <f>'Formaldehyde 37%'!CV16</f>
        <v>0.2542201798201798</v>
      </c>
      <c r="EL90" s="20">
        <f>'Formaldehyde 37%'!CW16</f>
        <v>0.25224635364635362</v>
      </c>
      <c r="EM90" s="20">
        <f>'Formaldehyde 37%'!CX16</f>
        <v>0.25224635364635362</v>
      </c>
      <c r="EN90" s="20">
        <f>'Formaldehyde 37%'!CY16</f>
        <v>0.25224635364635362</v>
      </c>
      <c r="EO90" s="20">
        <f>'Formaldehyde 37%'!CZ16</f>
        <v>0.25224635364635362</v>
      </c>
      <c r="EP90" s="20">
        <f>'Formaldehyde 37%'!DA16</f>
        <v>0.25224635364635362</v>
      </c>
      <c r="EQ90" s="20">
        <f>'Formaldehyde 37%'!DB16</f>
        <v>0.25224635364635362</v>
      </c>
      <c r="ER90" s="20">
        <f>'Formaldehyde 37%'!DC16</f>
        <v>0.25224635364635362</v>
      </c>
      <c r="ES90" s="20">
        <f>'Formaldehyde 37%'!DD16</f>
        <v>0.25224635364635362</v>
      </c>
      <c r="ET90" s="20">
        <f>'Formaldehyde 37%'!DE16</f>
        <v>0.25224635364635362</v>
      </c>
      <c r="EU90" s="20">
        <f>'Formaldehyde 37%'!DF16</f>
        <v>0.25224635364635362</v>
      </c>
      <c r="EV90" s="20">
        <f>'Formaldehyde 37%'!DG16</f>
        <v>0.25224635364635362</v>
      </c>
      <c r="EW90" s="20">
        <f>'Formaldehyde 37%'!DH16</f>
        <v>0.25224635364635362</v>
      </c>
      <c r="EX90" s="20">
        <f>'Formaldehyde 37%'!DI16</f>
        <v>0.25224635364635362</v>
      </c>
      <c r="EY90" s="20">
        <f>'Formaldehyde 37%'!DJ16</f>
        <v>0.25619400599400599</v>
      </c>
      <c r="EZ90" s="20">
        <f>'Formaldehyde 37%'!DK16</f>
        <v>0.25619400599400599</v>
      </c>
      <c r="FA90" s="20">
        <f>'Formaldehyde 37%'!DL16</f>
        <v>0.25619400599400599</v>
      </c>
      <c r="FB90" s="20">
        <f>'Formaldehyde 37%'!DM16</f>
        <v>0.25619400599400599</v>
      </c>
      <c r="FC90" s="20">
        <f>'Formaldehyde 37%'!DN16</f>
        <v>0.25027252747252748</v>
      </c>
      <c r="FD90" s="20">
        <f>'Formaldehyde 37%'!DO16</f>
        <v>0.25027252747252748</v>
      </c>
      <c r="FE90" s="20">
        <f>'Formaldehyde 37%'!DP16</f>
        <v>0.25027252747252748</v>
      </c>
      <c r="FF90" s="20">
        <f>'Formaldehyde 37%'!DQ16</f>
        <v>0.25027252747252748</v>
      </c>
      <c r="FG90" s="20">
        <f>'Formaldehyde 37%'!DR16</f>
        <v>0.25027252747252748</v>
      </c>
      <c r="FH90" s="20">
        <f>'Formaldehyde 37%'!DS16</f>
        <v>0.25718091908091906</v>
      </c>
    </row>
    <row r="91" spans="1:164" ht="15">
      <c r="A91" s="8" t="s">
        <v>203</v>
      </c>
      <c r="B91" s="45" t="s">
        <v>306</v>
      </c>
      <c r="AK91" s="19">
        <f t="shared" si="139"/>
        <v>0</v>
      </c>
      <c r="AL91" s="19">
        <f t="shared" si="139"/>
        <v>0</v>
      </c>
      <c r="AM91" s="19">
        <f t="shared" si="139"/>
        <v>3.0227466150870352E-2</v>
      </c>
      <c r="AN91" s="19">
        <f t="shared" si="139"/>
        <v>-5.0379110251448367E-3</v>
      </c>
      <c r="AO91" s="19">
        <f t="shared" si="139"/>
        <v>-1.0075822050290562E-2</v>
      </c>
      <c r="AP91" s="19">
        <f t="shared" si="139"/>
        <v>2.0151644100580235E-2</v>
      </c>
      <c r="AQ91" s="19">
        <f t="shared" si="137"/>
        <v>6.0454932301741149E-2</v>
      </c>
      <c r="AR91" s="19">
        <f t="shared" si="137"/>
        <v>4.030328820116047E-2</v>
      </c>
      <c r="AS91" s="19">
        <f t="shared" si="140"/>
        <v>2.0151644100580235E-2</v>
      </c>
      <c r="AT91" s="19">
        <f t="shared" si="140"/>
        <v>3.0227466150870352E-2</v>
      </c>
      <c r="AU91" s="60" t="s">
        <v>114</v>
      </c>
      <c r="AV91" s="19">
        <f t="shared" si="141"/>
        <v>0</v>
      </c>
      <c r="AW91" s="19">
        <f t="shared" si="141"/>
        <v>2.0151644100580235E-2</v>
      </c>
      <c r="AX91" s="19">
        <f t="shared" si="141"/>
        <v>3.0227466150870796E-2</v>
      </c>
      <c r="AY91" s="19">
        <f t="shared" si="141"/>
        <v>1.0075822050289673E-2</v>
      </c>
      <c r="AZ91" s="19">
        <f t="shared" si="141"/>
        <v>0</v>
      </c>
      <c r="BA91" s="19">
        <f t="shared" si="141"/>
        <v>0</v>
      </c>
      <c r="BB91" s="19">
        <f t="shared" si="107"/>
        <v>0</v>
      </c>
      <c r="BC91" s="19">
        <f t="shared" si="142"/>
        <v>0</v>
      </c>
      <c r="BD91" s="19">
        <f t="shared" si="109"/>
        <v>-5.0379110251450143E-2</v>
      </c>
      <c r="BE91" s="19">
        <f t="shared" si="110"/>
        <v>8.060657640232094E-2</v>
      </c>
      <c r="BF91" s="19">
        <f t="shared" si="111"/>
        <v>4.5341199226305307E-2</v>
      </c>
      <c r="BG91" s="19">
        <f t="shared" si="111"/>
        <v>-5.0379110251448367E-3</v>
      </c>
      <c r="BH91" s="19">
        <f t="shared" si="128"/>
        <v>2.821230174081224E-2</v>
      </c>
      <c r="BI91" s="19">
        <f t="shared" si="129"/>
        <v>1.5113733075435398E-2</v>
      </c>
      <c r="BJ91" s="19">
        <f t="shared" si="112"/>
        <v>-9.0682398452615054E-3</v>
      </c>
      <c r="BK91" s="19">
        <f t="shared" si="113"/>
        <v>4.6348781431334807E-2</v>
      </c>
      <c r="BL91" s="19">
        <f t="shared" si="113"/>
        <v>5.0379110251448367E-3</v>
      </c>
      <c r="BM91" s="19">
        <f t="shared" si="113"/>
        <v>2.5189555125725516E-2</v>
      </c>
      <c r="BN91" s="19">
        <f t="shared" si="113"/>
        <v>0.11587195357833657</v>
      </c>
      <c r="BO91" s="19">
        <f t="shared" si="113"/>
        <v>-2.0151644100580235E-2</v>
      </c>
      <c r="BP91" s="19">
        <f t="shared" si="130"/>
        <v>0</v>
      </c>
      <c r="BQ91" s="19">
        <f t="shared" si="131"/>
        <v>0</v>
      </c>
      <c r="BR91" s="19">
        <f t="shared" si="131"/>
        <v>-1.0075822050290117E-2</v>
      </c>
      <c r="BS91" s="19">
        <f t="shared" si="114"/>
        <v>-1.5113733075435398E-2</v>
      </c>
      <c r="BT91" s="19">
        <f t="shared" si="114"/>
        <v>-8.5644487427465776E-2</v>
      </c>
      <c r="BU91" s="19">
        <f t="shared" si="132"/>
        <v>-1.0075822050290562E-2</v>
      </c>
      <c r="BV91" s="19">
        <f t="shared" si="133"/>
        <v>0</v>
      </c>
      <c r="BW91" s="19">
        <f t="shared" si="115"/>
        <v>1.5113733075435398E-2</v>
      </c>
      <c r="BX91" s="19">
        <f t="shared" si="116"/>
        <v>0</v>
      </c>
      <c r="BY91" s="19">
        <f t="shared" si="116"/>
        <v>-1.5113733075435398E-2</v>
      </c>
      <c r="BZ91" s="19">
        <f t="shared" si="116"/>
        <v>5.0379110251452808E-3</v>
      </c>
      <c r="CA91" s="19">
        <f t="shared" si="116"/>
        <v>0</v>
      </c>
      <c r="CB91" s="19">
        <f t="shared" si="138"/>
        <v>4.0303288201160914E-2</v>
      </c>
      <c r="CC91" s="19">
        <f t="shared" si="138"/>
        <v>2.0151644100580235E-2</v>
      </c>
      <c r="CD91" s="19">
        <f t="shared" si="138"/>
        <v>3.5265377176015189E-2</v>
      </c>
      <c r="CE91" s="65"/>
      <c r="CG91" s="20">
        <f t="shared" si="118"/>
        <v>2.474526344294004</v>
      </c>
      <c r="CH91" s="20">
        <f>'2-Ethylhexyl Amine (2EHA)'!AS16</f>
        <v>2.3391744680851065</v>
      </c>
      <c r="CI91" s="20">
        <f>'2-Ethylhexyl Amine (2EHA)'!AT16</f>
        <v>2.3681424564796907</v>
      </c>
      <c r="CJ91" s="20">
        <f>'2-Ethylhexyl Amine (2EHA)'!AU16</f>
        <v>2.3139849129593815</v>
      </c>
      <c r="CK91" s="20">
        <f>'2-Ethylhexyl Amine (2EHA)'!AV16</f>
        <v>2.3039090909090909</v>
      </c>
      <c r="CL91" s="20">
        <f>'2-Ethylhexyl Amine (2EHA)'!AW16</f>
        <v>2.329098646034816</v>
      </c>
      <c r="CM91" s="20">
        <f>'2-Ethylhexyl Amine (2EHA)'!AX16</f>
        <v>2.3694019342359769</v>
      </c>
      <c r="CN91" s="20">
        <f>'2-Ethylhexyl Amine (2EHA)'!AY16</f>
        <v>2.2384162475822054</v>
      </c>
      <c r="CO91" s="20">
        <f>'2-Ethylhexyl Amine (2EHA)'!AZ16</f>
        <v>2.2384162475822054</v>
      </c>
      <c r="CP91" s="20">
        <f>'2-Ethylhexyl Amine (2EHA)'!BA16</f>
        <v>2.248492069632495</v>
      </c>
      <c r="CQ91" s="20">
        <f>'2-Ethylhexyl Amine (2EHA)'!BB16</f>
        <v>2.2787195357833658</v>
      </c>
      <c r="CR91" s="20">
        <f>'2-Ethylhexyl Amine (2EHA)'!BC16</f>
        <v>2.3694019342359769</v>
      </c>
      <c r="CS91" s="20">
        <f>'2-Ethylhexyl Amine (2EHA)'!BD16</f>
        <v>2.4348947775628629</v>
      </c>
      <c r="CT91" s="20">
        <f>'2-Ethylhexyl Amine (2EHA)'!BE16</f>
        <v>2.4751980657640233</v>
      </c>
      <c r="CU91" s="20">
        <f>'2-Ethylhexyl Amine (2EHA)'!BF16</f>
        <v>2.4802359767891682</v>
      </c>
      <c r="CV91" s="20">
        <f>'2-Ethylhexyl Amine (2EHA)'!BG16</f>
        <v>2.5658804642166348</v>
      </c>
      <c r="CW91" s="20">
        <f>'2-Ethylhexyl Amine (2EHA)'!BH16</f>
        <v>2.5658804642166348</v>
      </c>
      <c r="CX91" s="20">
        <f>'2-Ethylhexyl Amine (2EHA)'!BI16</f>
        <v>2.4701601547388785</v>
      </c>
      <c r="CY91" s="20">
        <f>'2-Ethylhexyl Amine (2EHA)'!BJ16</f>
        <v>2.534645415860735</v>
      </c>
      <c r="CZ91" s="20">
        <f>'2-Ethylhexyl Amine (2EHA)'!BK16</f>
        <v>2.5155013539651838</v>
      </c>
      <c r="DA91" s="20">
        <f>'2-Ethylhexyl Amine (2EHA)'!BL16</f>
        <v>2.4701601547388785</v>
      </c>
      <c r="DB91" s="20">
        <f>'2-Ethylhexyl Amine (2EHA)'!BM16</f>
        <v>2.4600843326885879</v>
      </c>
      <c r="DC91" s="20">
        <f>'2-Ethylhexyl Amine (2EHA)'!BN16</f>
        <v>2.4197810444874275</v>
      </c>
      <c r="DD91" s="20">
        <f>'2-Ethylhexyl Amine (2EHA)'!BO16</f>
        <v>2.4197810444874275</v>
      </c>
      <c r="DE91" s="20">
        <f>'2-Ethylhexyl Amine (2EHA)'!BP16</f>
        <v>2.4197810444874275</v>
      </c>
      <c r="DF91" s="20">
        <f>'2-Ethylhexyl Amine (2EHA)'!BQ16</f>
        <v>2.4197810444874275</v>
      </c>
      <c r="DG91" s="20">
        <f>'2-Ethylhexyl Amine (2EHA)'!BR16</f>
        <v>2.3996294003868472</v>
      </c>
      <c r="DH91" s="20">
        <f>'2-Ethylhexyl Amine (2EHA)'!BS16</f>
        <v>2.3996294003868472</v>
      </c>
      <c r="DI91" s="20">
        <f>'2-Ethylhexyl Amine (2EHA)'!BT16</f>
        <v>2.4147431334622826</v>
      </c>
      <c r="DJ91" s="20">
        <f>'2-Ethylhexyl Amine (2EHA)'!BU16</f>
        <v>2.4701601547388785</v>
      </c>
      <c r="DK91" s="20">
        <f>'2-Ethylhexyl Amine (2EHA)'!BV16</f>
        <v>2.4701601547388785</v>
      </c>
      <c r="DL91" s="20">
        <f>'2-Ethylhexyl Amine (2EHA)'!BW16</f>
        <v>2.5961079303675048</v>
      </c>
      <c r="DM91" s="20">
        <f>'2-Ethylhexyl Amine (2EHA)'!BX16</f>
        <v>2.6464870406189558</v>
      </c>
      <c r="DN91" s="20">
        <f>'2-Ethylhexyl Amine (2EHA)'!BY16</f>
        <v>2.6464870406189558</v>
      </c>
      <c r="DO91" s="20">
        <f>'2-Ethylhexyl Amine (2EHA)'!BZ16</f>
        <v>2.6414491295938105</v>
      </c>
      <c r="DP91" s="20">
        <f>'2-Ethylhexyl Amine (2EHA)'!CA16</f>
        <v>2.6414491295938105</v>
      </c>
      <c r="DQ91" s="20">
        <f>'2-Ethylhexyl Amine (2EHA)'!CB16</f>
        <v>2.6414491295938105</v>
      </c>
      <c r="DR91" s="20">
        <f>'2-Ethylhexyl Amine (2EHA)'!CC16</f>
        <v>2.6112216634429402</v>
      </c>
      <c r="DS91" s="20">
        <f>'2-Ethylhexyl Amine (2EHA)'!CD16</f>
        <v>2.616259574468085</v>
      </c>
      <c r="DT91" s="20">
        <f>'2-Ethylhexyl Amine (2EHA)'!CE16</f>
        <v>2.6263353965183756</v>
      </c>
      <c r="DU91" s="20">
        <f>'2-Ethylhexyl Amine (2EHA)'!CF16</f>
        <v>2.6061837524177953</v>
      </c>
      <c r="DV91" s="20">
        <f>'2-Ethylhexyl Amine (2EHA)'!CG16</f>
        <v>2.5457288201160542</v>
      </c>
      <c r="DW91" s="20">
        <f>'2-Ethylhexyl Amine (2EHA)'!CH16</f>
        <v>2.5054255319148937</v>
      </c>
      <c r="DX91" s="20">
        <f>'2-Ethylhexyl Amine (2EHA)'!CI16</f>
        <v>2.4852738878143135</v>
      </c>
      <c r="DY91" s="20">
        <f>'2-Ethylhexyl Amine (2EHA)'!CJ16</f>
        <v>2.4550464216634431</v>
      </c>
      <c r="DZ91" s="20">
        <f>'2-Ethylhexyl Amine (2EHA)'!CK16</f>
        <v>2.4550464216634431</v>
      </c>
      <c r="EA91" s="20">
        <f>'2-Ethylhexyl Amine (2EHA)'!CL16</f>
        <v>2.4348947775628629</v>
      </c>
      <c r="EB91" s="20">
        <f>'2-Ethylhexyl Amine (2EHA)'!CM16</f>
        <v>2.4046673114119921</v>
      </c>
      <c r="EC91" s="20">
        <f>'2-Ethylhexyl Amine (2EHA)'!CN16</f>
        <v>2.3945914893617024</v>
      </c>
      <c r="ED91" s="20">
        <f>'2-Ethylhexyl Amine (2EHA)'!CO16</f>
        <v>2.3945914893617024</v>
      </c>
      <c r="EE91" s="20">
        <f>'2-Ethylhexyl Amine (2EHA)'!CP16</f>
        <v>2.3945914893617024</v>
      </c>
      <c r="EF91" s="20">
        <f>'2-Ethylhexyl Amine (2EHA)'!CQ16</f>
        <v>2.3945914893617024</v>
      </c>
      <c r="EG91" s="20">
        <f>'2-Ethylhexyl Amine (2EHA)'!CR16</f>
        <v>2.3945914893617024</v>
      </c>
      <c r="EH91" s="20">
        <f>'2-Ethylhexyl Amine (2EHA)'!CS16</f>
        <v>2.4449705996131526</v>
      </c>
      <c r="EI91" s="20">
        <f>'2-Ethylhexyl Amine (2EHA)'!CT16</f>
        <v>2.3643640232108316</v>
      </c>
      <c r="EJ91" s="20">
        <f>'2-Ethylhexyl Amine (2EHA)'!CU16</f>
        <v>2.3190228239845263</v>
      </c>
      <c r="EK91" s="20">
        <f>'2-Ethylhexyl Amine (2EHA)'!CV16</f>
        <v>2.3240607350096711</v>
      </c>
      <c r="EL91" s="20">
        <f>'2-Ethylhexyl Amine (2EHA)'!CW16</f>
        <v>2.2958484332688589</v>
      </c>
      <c r="EM91" s="20">
        <f>'2-Ethylhexyl Amine (2EHA)'!CX16</f>
        <v>2.2807347001934235</v>
      </c>
      <c r="EN91" s="20">
        <f>'2-Ethylhexyl Amine (2EHA)'!CY16</f>
        <v>2.289802940038685</v>
      </c>
      <c r="EO91" s="20">
        <f>'2-Ethylhexyl Amine (2EHA)'!CZ16</f>
        <v>2.2434541586073502</v>
      </c>
      <c r="EP91" s="20">
        <f>'2-Ethylhexyl Amine (2EHA)'!DA16</f>
        <v>2.2384162475822054</v>
      </c>
      <c r="EQ91" s="20">
        <f>'2-Ethylhexyl Amine (2EHA)'!DB16</f>
        <v>2.2132266924564798</v>
      </c>
      <c r="ER91" s="20">
        <f>'2-Ethylhexyl Amine (2EHA)'!DC16</f>
        <v>2.0973547388781433</v>
      </c>
      <c r="ES91" s="20">
        <f>'2-Ethylhexyl Amine (2EHA)'!DD16</f>
        <v>2.1175063829787235</v>
      </c>
      <c r="ET91" s="20">
        <f>'2-Ethylhexyl Amine (2EHA)'!DE16</f>
        <v>2.1175063829787235</v>
      </c>
      <c r="EU91" s="20">
        <f>'2-Ethylhexyl Amine (2EHA)'!DF16</f>
        <v>2.1175063829787235</v>
      </c>
      <c r="EV91" s="20">
        <f>'2-Ethylhexyl Amine (2EHA)'!DG16</f>
        <v>2.1275822050290136</v>
      </c>
      <c r="EW91" s="20">
        <f>'2-Ethylhexyl Amine (2EHA)'!DH16</f>
        <v>2.142695938104449</v>
      </c>
      <c r="EX91" s="20">
        <f>'2-Ethylhexyl Amine (2EHA)'!DI16</f>
        <v>2.2283404255319148</v>
      </c>
      <c r="EY91" s="20">
        <f>'2-Ethylhexyl Amine (2EHA)'!DJ16</f>
        <v>2.2384162475822054</v>
      </c>
      <c r="EZ91" s="20">
        <f>'2-Ethylhexyl Amine (2EHA)'!DK16</f>
        <v>2.2384162475822054</v>
      </c>
      <c r="FA91" s="20">
        <f>'2-Ethylhexyl Amine (2EHA)'!DL16</f>
        <v>2.22330251450677</v>
      </c>
      <c r="FB91" s="20">
        <f>'2-Ethylhexyl Amine (2EHA)'!DM16</f>
        <v>2.22330251450677</v>
      </c>
      <c r="FC91" s="20">
        <f>'2-Ethylhexyl Amine (2EHA)'!DN16</f>
        <v>2.2384162475822054</v>
      </c>
      <c r="FD91" s="20">
        <f>'2-Ethylhexyl Amine (2EHA)'!DO16</f>
        <v>2.2333783365570601</v>
      </c>
      <c r="FE91" s="20">
        <f>'2-Ethylhexyl Amine (2EHA)'!DP16</f>
        <v>2.2333783365570601</v>
      </c>
      <c r="FF91" s="20">
        <f>'2-Ethylhexyl Amine (2EHA)'!DQ16</f>
        <v>2.1930750483558992</v>
      </c>
      <c r="FG91" s="20">
        <f>'2-Ethylhexyl Amine (2EHA)'!DR16</f>
        <v>2.1729234042553189</v>
      </c>
      <c r="FH91" s="20">
        <f>'2-Ethylhexyl Amine (2EHA)'!DS16</f>
        <v>2.1376580270793037</v>
      </c>
    </row>
    <row r="92" spans="1:164" ht="15">
      <c r="A92" s="8" t="s">
        <v>203</v>
      </c>
      <c r="B92" s="45" t="s">
        <v>307</v>
      </c>
      <c r="AK92" s="19">
        <f t="shared" si="139"/>
        <v>0</v>
      </c>
      <c r="AL92" s="19">
        <f t="shared" si="139"/>
        <v>-4.0464468183929903E-2</v>
      </c>
      <c r="AM92" s="19">
        <f t="shared" si="139"/>
        <v>-0.10116117045982342</v>
      </c>
      <c r="AN92" s="19">
        <f t="shared" si="139"/>
        <v>0</v>
      </c>
      <c r="AO92" s="19">
        <f t="shared" si="139"/>
        <v>0</v>
      </c>
      <c r="AP92" s="19">
        <f t="shared" si="139"/>
        <v>0</v>
      </c>
      <c r="AQ92" s="19">
        <f t="shared" si="137"/>
        <v>-2.0232234091964507E-2</v>
      </c>
      <c r="AR92" s="19">
        <f t="shared" si="137"/>
        <v>0</v>
      </c>
      <c r="AS92" s="19">
        <f t="shared" si="140"/>
        <v>0</v>
      </c>
      <c r="AT92" s="19">
        <f t="shared" si="140"/>
        <v>0</v>
      </c>
      <c r="AU92" s="60" t="s">
        <v>64</v>
      </c>
      <c r="AV92" s="19">
        <f t="shared" si="141"/>
        <v>0</v>
      </c>
      <c r="AW92" s="19">
        <f t="shared" si="141"/>
        <v>-4.0464468183929903E-2</v>
      </c>
      <c r="AX92" s="19">
        <f t="shared" si="141"/>
        <v>0</v>
      </c>
      <c r="AY92" s="19">
        <f t="shared" si="141"/>
        <v>-2.0232234091964507E-2</v>
      </c>
      <c r="AZ92" s="19">
        <f t="shared" si="141"/>
        <v>0</v>
      </c>
      <c r="BA92" s="19">
        <f t="shared" si="141"/>
        <v>0</v>
      </c>
      <c r="BB92" s="19">
        <f t="shared" si="107"/>
        <v>0</v>
      </c>
      <c r="BC92" s="19">
        <f t="shared" si="142"/>
        <v>0</v>
      </c>
      <c r="BD92" s="19">
        <f t="shared" si="109"/>
        <v>1.0116117045982698E-2</v>
      </c>
      <c r="BE92" s="19">
        <f t="shared" si="110"/>
        <v>-2.0232234091964507E-2</v>
      </c>
      <c r="BF92" s="19">
        <f t="shared" si="111"/>
        <v>1.0116117045981809E-2</v>
      </c>
      <c r="BG92" s="19">
        <f t="shared" si="111"/>
        <v>0</v>
      </c>
      <c r="BH92" s="19">
        <f t="shared" si="128"/>
        <v>0</v>
      </c>
      <c r="BI92" s="19">
        <f t="shared" si="129"/>
        <v>6.069670227589441E-2</v>
      </c>
      <c r="BJ92" s="19">
        <f t="shared" si="112"/>
        <v>4.0464468183929014E-2</v>
      </c>
      <c r="BK92" s="19">
        <f t="shared" si="113"/>
        <v>0</v>
      </c>
      <c r="BL92" s="19">
        <f t="shared" si="113"/>
        <v>0</v>
      </c>
      <c r="BM92" s="19">
        <f t="shared" si="113"/>
        <v>0</v>
      </c>
      <c r="BN92" s="19">
        <f t="shared" si="113"/>
        <v>1.5174175568973602E-2</v>
      </c>
      <c r="BO92" s="19">
        <f t="shared" si="113"/>
        <v>0.10621922898281522</v>
      </c>
      <c r="BP92" s="19">
        <f t="shared" si="130"/>
        <v>1.0116117045981809E-2</v>
      </c>
      <c r="BQ92" s="19">
        <f t="shared" si="131"/>
        <v>0.16185787273571783</v>
      </c>
      <c r="BR92" s="19">
        <f t="shared" si="131"/>
        <v>5.0580585229911712E-2</v>
      </c>
      <c r="BS92" s="19">
        <f t="shared" si="114"/>
        <v>-3.0348351137947205E-2</v>
      </c>
      <c r="BT92" s="19">
        <f t="shared" si="114"/>
        <v>2.0232234091964951E-2</v>
      </c>
      <c r="BU92" s="19">
        <f t="shared" si="132"/>
        <v>3.0348351137946761E-2</v>
      </c>
      <c r="BV92" s="19">
        <f t="shared" si="133"/>
        <v>0</v>
      </c>
      <c r="BW92" s="19">
        <f t="shared" si="115"/>
        <v>0</v>
      </c>
      <c r="BX92" s="19">
        <f t="shared" si="116"/>
        <v>4.0464468183929903E-2</v>
      </c>
      <c r="BY92" s="19">
        <f t="shared" si="116"/>
        <v>6.0696702275893522E-2</v>
      </c>
      <c r="BZ92" s="19">
        <f t="shared" si="116"/>
        <v>2.0232234091964951E-2</v>
      </c>
      <c r="CA92" s="19">
        <f t="shared" si="116"/>
        <v>0</v>
      </c>
      <c r="CB92" s="19">
        <f t="shared" si="138"/>
        <v>4.0464468183929458E-2</v>
      </c>
      <c r="CC92" s="19">
        <f t="shared" si="138"/>
        <v>2.0232234091964507E-2</v>
      </c>
      <c r="CD92" s="19">
        <f t="shared" si="138"/>
        <v>1.0116117045982698E-2</v>
      </c>
      <c r="CE92" s="65"/>
      <c r="CG92" s="20">
        <f t="shared" si="118"/>
        <v>3.7544781878595144</v>
      </c>
      <c r="CH92" s="20">
        <f>'4 HT'!AS19</f>
        <v>3.4883464932652117</v>
      </c>
      <c r="CI92" s="20">
        <f>'4 HT'!AT19</f>
        <v>3.576963678588017</v>
      </c>
      <c r="CJ92" s="20">
        <f>'4 HT'!AU19</f>
        <v>3.7412494194147703</v>
      </c>
      <c r="CK92" s="20">
        <f>'4 HT'!AV19</f>
        <v>3.7412494194147703</v>
      </c>
      <c r="CL92" s="20">
        <f>'4 HT'!AW19</f>
        <v>3.7766558290757084</v>
      </c>
      <c r="CM92" s="20">
        <f>'4 HT'!AX19</f>
        <v>3.7564235949837439</v>
      </c>
      <c r="CN92" s="20">
        <f>'4 HT'!AY19</f>
        <v>3.5085787273571762</v>
      </c>
      <c r="CO92" s="20">
        <f>'4 HT'!AZ19</f>
        <v>3.538927078495123</v>
      </c>
      <c r="CP92" s="20">
        <f>'4 HT'!BA19</f>
        <v>3.538927078495123</v>
      </c>
      <c r="CQ92" s="20">
        <f>'4 HT'!BB19</f>
        <v>3.559159312587088</v>
      </c>
      <c r="CR92" s="20">
        <f>'4 HT'!BC19</f>
        <v>3.599623780771017</v>
      </c>
      <c r="CS92" s="20">
        <f>'4 HT'!BD19</f>
        <v>3.6299721319089642</v>
      </c>
      <c r="CT92" s="20">
        <f>'4 HT'!BE19</f>
        <v>3.6400882489549469</v>
      </c>
      <c r="CU92" s="20">
        <f>'4 HT'!BF19</f>
        <v>3.6400882489549469</v>
      </c>
      <c r="CV92" s="20">
        <f>'4 HT'!BG19</f>
        <v>3.6400882489549469</v>
      </c>
      <c r="CW92" s="20">
        <f>'4 HT'!BH19</f>
        <v>3.6603204830469114</v>
      </c>
      <c r="CX92" s="20">
        <f>'4 HT'!BI19</f>
        <v>3.6603204830469114</v>
      </c>
      <c r="CY92" s="20">
        <f>'4 HT'!BJ19</f>
        <v>3.7614816535067348</v>
      </c>
      <c r="CZ92" s="20">
        <f>'4 HT'!BK19</f>
        <v>3.791830004644682</v>
      </c>
      <c r="DA92" s="20">
        <f>'4 HT'!BL19</f>
        <v>3.8120622387366465</v>
      </c>
      <c r="DB92" s="20">
        <f>'4 HT'!BM19</f>
        <v>3.7513655364607525</v>
      </c>
      <c r="DC92" s="20">
        <f>'4 HT'!BN19</f>
        <v>3.7513655364607525</v>
      </c>
      <c r="DD92" s="20">
        <f>'4 HT'!BO19</f>
        <v>3.7513655364607525</v>
      </c>
      <c r="DE92" s="20">
        <f>'4 HT'!BP19</f>
        <v>3.7715977705527175</v>
      </c>
      <c r="DF92" s="20">
        <f>'4 HT'!BQ19</f>
        <v>3.7715977705527175</v>
      </c>
      <c r="DG92" s="20">
        <f>'4 HT'!BR19</f>
        <v>3.7715977705527175</v>
      </c>
      <c r="DH92" s="20">
        <f>'4 HT'!BS19</f>
        <v>3.7210171853228058</v>
      </c>
      <c r="DI92" s="20">
        <f>'4 HT'!BT19</f>
        <v>3.7210171853228058</v>
      </c>
      <c r="DJ92" s="20">
        <f>'4 HT'!BU19</f>
        <v>3.7210171853228058</v>
      </c>
      <c r="DK92" s="20">
        <f>'4 HT'!BV19</f>
        <v>3.7210171853228058</v>
      </c>
      <c r="DL92" s="20">
        <f>'4 HT'!BW19</f>
        <v>3.7715977705527175</v>
      </c>
      <c r="DM92" s="20">
        <f>'4 HT'!BX19</f>
        <v>3.7614816535067348</v>
      </c>
      <c r="DN92" s="20">
        <f>'4 HT'!BY19</f>
        <v>3.7614816535067348</v>
      </c>
      <c r="DO92" s="20">
        <f>'4 HT'!BZ19</f>
        <v>3.832294472828611</v>
      </c>
      <c r="DP92" s="20">
        <f>'4 HT'!CA19</f>
        <v>3.832294472828611</v>
      </c>
      <c r="DQ92" s="20">
        <f>'4 HT'!CB19</f>
        <v>3.8727589410125409</v>
      </c>
      <c r="DR92" s="20">
        <f>'4 HT'!CC19</f>
        <v>3.9739201114723643</v>
      </c>
      <c r="DS92" s="20">
        <f>'4 HT'!CD19</f>
        <v>3.9739201114723643</v>
      </c>
      <c r="DT92" s="20">
        <f>'4 HT'!CE19</f>
        <v>3.9739201114723643</v>
      </c>
      <c r="DU92" s="20">
        <f>'4 HT'!CF19</f>
        <v>3.9739201114723643</v>
      </c>
      <c r="DV92" s="20">
        <f>'4 HT'!CG19</f>
        <v>3.9941523455643289</v>
      </c>
      <c r="DW92" s="20">
        <f>'4 HT'!CH19</f>
        <v>3.9941523455643289</v>
      </c>
      <c r="DX92" s="20">
        <f>'4 HT'!CI19</f>
        <v>3.9941523455643289</v>
      </c>
      <c r="DY92" s="20">
        <f>'4 HT'!CJ19</f>
        <v>3.9941523455643289</v>
      </c>
      <c r="DZ92" s="20">
        <f>'4 HT'!CK19</f>
        <v>3.9941523455643289</v>
      </c>
      <c r="EA92" s="20">
        <f>'4 HT'!CL19</f>
        <v>4.0346168137482588</v>
      </c>
      <c r="EB92" s="20">
        <f>'4 HT'!CM19</f>
        <v>4.0346168137482588</v>
      </c>
      <c r="EC92" s="20">
        <f>'4 HT'!CN19</f>
        <v>4.0548490478402233</v>
      </c>
      <c r="ED92" s="20">
        <f>'4 HT'!CO19</f>
        <v>4.0548490478402233</v>
      </c>
      <c r="EE92" s="20">
        <f>'4 HT'!CP19</f>
        <v>4.0548490478402233</v>
      </c>
      <c r="EF92" s="20">
        <f>'4 HT'!CQ19</f>
        <v>4.0548490478402233</v>
      </c>
      <c r="EG92" s="20">
        <f>'4 HT'!CR19</f>
        <v>4.0548490478402233</v>
      </c>
      <c r="EH92" s="20">
        <f>'4 HT'!CS19</f>
        <v>4.0447329307942406</v>
      </c>
      <c r="EI92" s="20">
        <f>'4 HT'!CT19</f>
        <v>4.0649651648862051</v>
      </c>
      <c r="EJ92" s="20">
        <f>'4 HT'!CU19</f>
        <v>4.0548490478402233</v>
      </c>
      <c r="EK92" s="20">
        <f>'4 HT'!CV19</f>
        <v>4.0548490478402233</v>
      </c>
      <c r="EL92" s="20">
        <f>'4 HT'!CW19</f>
        <v>4.0548490478402233</v>
      </c>
      <c r="EM92" s="20">
        <f>'4 HT'!CX19</f>
        <v>3.9941523455643289</v>
      </c>
      <c r="EN92" s="20">
        <f>'4 HT'!CY19</f>
        <v>3.9536878773803998</v>
      </c>
      <c r="EO92" s="20">
        <f>'4 HT'!CZ19</f>
        <v>3.9536878773803998</v>
      </c>
      <c r="EP92" s="20">
        <f>'4 HT'!DA19</f>
        <v>3.9536878773803998</v>
      </c>
      <c r="EQ92" s="20">
        <f>'4 HT'!DB19</f>
        <v>3.9536878773803998</v>
      </c>
      <c r="ER92" s="20">
        <f>'4 HT'!DC19</f>
        <v>3.9385137018114262</v>
      </c>
      <c r="ES92" s="20">
        <f>'4 HT'!DD19</f>
        <v>3.832294472828611</v>
      </c>
      <c r="ET92" s="20">
        <f>'4 HT'!DE19</f>
        <v>3.8221783557826292</v>
      </c>
      <c r="EU92" s="20">
        <f>'4 HT'!DF19</f>
        <v>3.6603204830469114</v>
      </c>
      <c r="EV92" s="20">
        <f>'4 HT'!DG19</f>
        <v>3.6097398978169997</v>
      </c>
      <c r="EW92" s="20">
        <f>'4 HT'!DH19</f>
        <v>3.6400882489549469</v>
      </c>
      <c r="EX92" s="20">
        <f>'4 HT'!DI19</f>
        <v>3.6198560148629819</v>
      </c>
      <c r="EY92" s="20">
        <f>'4 HT'!DJ19</f>
        <v>3.5895076637250352</v>
      </c>
      <c r="EZ92" s="20">
        <f>'4 HT'!DK19</f>
        <v>3.5895076637250352</v>
      </c>
      <c r="FA92" s="20">
        <f>'4 HT'!DL19</f>
        <v>3.5895076637250352</v>
      </c>
      <c r="FB92" s="20">
        <f>'4 HT'!DM19</f>
        <v>3.5490431955411053</v>
      </c>
      <c r="FC92" s="20">
        <f>'4 HT'!DN19</f>
        <v>3.4883464932652117</v>
      </c>
      <c r="FD92" s="20">
        <f>'4 HT'!DO19</f>
        <v>3.4681142591732468</v>
      </c>
      <c r="FE92" s="20">
        <f>'4 HT'!DP19</f>
        <v>3.4681142591732468</v>
      </c>
      <c r="FF92" s="20">
        <f>'4 HT'!DQ19</f>
        <v>3.4276497909893173</v>
      </c>
      <c r="FG92" s="20">
        <f>'4 HT'!DR19</f>
        <v>3.4074175568973528</v>
      </c>
      <c r="FH92" s="20">
        <f>'4 HT'!DS19</f>
        <v>3.3973014398513701</v>
      </c>
    </row>
    <row r="93" spans="1:164" ht="15">
      <c r="A93" s="8" t="s">
        <v>212</v>
      </c>
      <c r="B93" s="45" t="s">
        <v>277</v>
      </c>
      <c r="AU93" s="60" t="s">
        <v>308</v>
      </c>
      <c r="AV93" s="19">
        <f t="shared" si="141"/>
        <v>0</v>
      </c>
      <c r="AW93" s="19">
        <f t="shared" si="141"/>
        <v>8.7819148936172375E-3</v>
      </c>
      <c r="AX93" s="19">
        <f t="shared" si="141"/>
        <v>3.4759009986995437E-4</v>
      </c>
      <c r="AY93" s="19">
        <f t="shared" si="141"/>
        <v>0</v>
      </c>
      <c r="AZ93" s="19">
        <f t="shared" si="141"/>
        <v>0</v>
      </c>
      <c r="BA93" s="19">
        <f t="shared" si="141"/>
        <v>0</v>
      </c>
      <c r="BB93" s="19">
        <f t="shared" ref="BB93:BB98" si="143">+EE93-EF93</f>
        <v>0</v>
      </c>
      <c r="BC93" s="19">
        <f t="shared" si="142"/>
        <v>0</v>
      </c>
      <c r="BD93" s="19">
        <f t="shared" ref="BD93:BG98" si="144">+EG93-EH93</f>
        <v>-0.35971092053842879</v>
      </c>
      <c r="BE93" s="19">
        <f t="shared" si="144"/>
        <v>0.24589361702127688</v>
      </c>
      <c r="BF93" s="19">
        <f t="shared" si="144"/>
        <v>0</v>
      </c>
      <c r="BG93" s="19">
        <f t="shared" si="144"/>
        <v>0</v>
      </c>
      <c r="BH93" s="19">
        <f t="shared" si="128"/>
        <v>-8.0867346938777729E-3</v>
      </c>
      <c r="BI93" s="19">
        <f t="shared" si="129"/>
        <v>0</v>
      </c>
      <c r="BJ93" s="19">
        <f t="shared" si="112"/>
        <v>-3.5127659574468062E-2</v>
      </c>
      <c r="BK93" s="19">
        <f t="shared" si="113"/>
        <v>0</v>
      </c>
      <c r="BL93" s="19">
        <f t="shared" si="113"/>
        <v>0</v>
      </c>
      <c r="BM93" s="19">
        <f t="shared" si="113"/>
        <v>0</v>
      </c>
      <c r="BN93" s="19">
        <f t="shared" si="113"/>
        <v>-0.28102127659574494</v>
      </c>
      <c r="BO93" s="19">
        <f t="shared" si="113"/>
        <v>-2.6345744680851269E-2</v>
      </c>
      <c r="BP93" s="19">
        <f t="shared" si="130"/>
        <v>0</v>
      </c>
      <c r="BQ93" s="19">
        <f t="shared" si="131"/>
        <v>0</v>
      </c>
      <c r="BR93" s="19">
        <f t="shared" si="131"/>
        <v>0</v>
      </c>
      <c r="BS93" s="19">
        <f t="shared" si="114"/>
        <v>0.11416489361702187</v>
      </c>
      <c r="BT93" s="19">
        <f t="shared" si="114"/>
        <v>0</v>
      </c>
      <c r="BU93" s="19">
        <f t="shared" si="132"/>
        <v>-1.3903603994789293E-3</v>
      </c>
      <c r="BV93" s="19">
        <f t="shared" si="133"/>
        <v>0</v>
      </c>
      <c r="BW93" s="19">
        <f t="shared" si="115"/>
        <v>0</v>
      </c>
      <c r="BX93" s="19">
        <f t="shared" si="116"/>
        <v>0.20198404255319158</v>
      </c>
      <c r="BY93" s="19">
        <f t="shared" si="116"/>
        <v>2.085540599218394E-3</v>
      </c>
      <c r="BZ93" s="19">
        <f t="shared" si="116"/>
        <v>0</v>
      </c>
      <c r="CA93" s="19">
        <f t="shared" si="116"/>
        <v>0</v>
      </c>
      <c r="CB93" s="19">
        <f t="shared" si="138"/>
        <v>3.5127659574468062E-2</v>
      </c>
      <c r="CC93" s="19">
        <f t="shared" si="138"/>
        <v>0</v>
      </c>
      <c r="CD93" s="19">
        <f t="shared" si="138"/>
        <v>-2.4331306990879042E-3</v>
      </c>
      <c r="CE93" s="65"/>
      <c r="CG93" s="20">
        <f t="shared" si="118"/>
        <v>2.1327950582851796</v>
      </c>
      <c r="CH93" s="20">
        <f>'Dimethyl sebacate '!AS17</f>
        <v>0.67518671298306554</v>
      </c>
      <c r="CI93" s="20">
        <f>'Dimethyl sebacate '!AT17</f>
        <v>0.67831502388189324</v>
      </c>
      <c r="CJ93" s="20">
        <f>'Dimethyl sebacate '!AU17</f>
        <v>0.68040056448111164</v>
      </c>
      <c r="CK93" s="20">
        <f>'Dimethyl sebacate '!AV17</f>
        <v>0.67657707338254447</v>
      </c>
      <c r="CL93" s="20">
        <f>'Dimethyl sebacate '!AW17</f>
        <v>0.67310117238384715</v>
      </c>
      <c r="CM93" s="20">
        <f>'Dimethyl sebacate '!AX17</f>
        <v>0.67171081198436822</v>
      </c>
      <c r="CN93" s="20">
        <f>'Dimethyl sebacate '!AY17</f>
        <v>0.67171081198436822</v>
      </c>
      <c r="CO93" s="20">
        <f>'Dimethyl sebacate '!AZ17</f>
        <v>0.67032045158488929</v>
      </c>
      <c r="CP93" s="20">
        <f>'Dimethyl sebacate '!BA17</f>
        <v>0.67032045158488929</v>
      </c>
      <c r="CQ93" s="20">
        <f>'Dimethyl sebacate '!BB17</f>
        <v>0.67032045158488929</v>
      </c>
      <c r="CR93" s="20">
        <f>'Dimethyl sebacate '!BC17</f>
        <v>0.67032045158488929</v>
      </c>
      <c r="CS93" s="20">
        <f>'Dimethyl sebacate '!BD17</f>
        <v>5.2396969170646974</v>
      </c>
      <c r="CT93" s="20">
        <f>'Dimethyl sebacate '!BE17</f>
        <v>0.67310117238384715</v>
      </c>
      <c r="CU93" s="20">
        <f>'Dimethyl sebacate '!BF17</f>
        <v>0.67310117238384715</v>
      </c>
      <c r="CV93" s="20">
        <f>'Dimethyl sebacate '!BG17</f>
        <v>0.67310117238384715</v>
      </c>
      <c r="CW93" s="20">
        <f>'Dimethyl sebacate '!BH17</f>
        <v>0.67310117238384715</v>
      </c>
      <c r="CX93" s="20">
        <f>'Dimethyl sebacate '!BI17</f>
        <v>0.675881893182805</v>
      </c>
      <c r="CY93" s="20">
        <f>'Dimethyl sebacate '!BJ17</f>
        <v>0.675881893182805</v>
      </c>
      <c r="CZ93" s="20">
        <f>'Dimethyl sebacate '!BK17</f>
        <v>0.675881893182805</v>
      </c>
      <c r="DA93" s="20">
        <f>'Dimethyl sebacate '!BL17</f>
        <v>0.675881893182805</v>
      </c>
      <c r="DB93" s="20">
        <f>'Dimethyl sebacate '!BM17</f>
        <v>0.675881893182805</v>
      </c>
      <c r="DC93" s="20">
        <f>'Dimethyl sebacate '!BN17</f>
        <v>0.675881893182805</v>
      </c>
      <c r="DD93" s="20">
        <f>'Dimethyl sebacate '!BO17</f>
        <v>0.675881893182805</v>
      </c>
      <c r="DE93" s="20">
        <f>'Dimethyl sebacate '!BP17</f>
        <v>0.67379635258358661</v>
      </c>
      <c r="DF93" s="20">
        <f>'Dimethyl sebacate '!BQ17</f>
        <v>0.67379635258358661</v>
      </c>
      <c r="DG93" s="20">
        <f>'Dimethyl sebacate '!BR17</f>
        <v>4.0899612462006081</v>
      </c>
      <c r="DH93" s="20">
        <f>'Dimethyl sebacate '!BS17</f>
        <v>3.8440676291793312</v>
      </c>
      <c r="DI93" s="20">
        <f>'Dimethyl sebacate '!BT17</f>
        <v>3.8468483499782891</v>
      </c>
      <c r="DJ93" s="20">
        <f>'Dimethyl sebacate '!BU17</f>
        <v>3.7326834563612676</v>
      </c>
      <c r="DK93" s="20">
        <f>'Dimethyl sebacate '!BV17</f>
        <v>3.7326834563612676</v>
      </c>
      <c r="DL93" s="20">
        <f>'Dimethyl sebacate '!BW17</f>
        <v>3.7330310464611371</v>
      </c>
      <c r="DM93" s="20">
        <f>'Dimethyl sebacate '!BX17</f>
        <v>3.7330310464611371</v>
      </c>
      <c r="DN93" s="20">
        <f>'Dimethyl sebacate '!BY17</f>
        <v>3.7330310464611371</v>
      </c>
      <c r="DO93" s="20">
        <f>'Dimethyl sebacate '!BZ17</f>
        <v>3.7344214068606161</v>
      </c>
      <c r="DP93" s="20">
        <f>'Dimethyl sebacate '!CA17</f>
        <v>3.7344214068606161</v>
      </c>
      <c r="DQ93" s="20">
        <f>'Dimethyl sebacate '!CB17</f>
        <v>3.7344214068606161</v>
      </c>
      <c r="DR93" s="20">
        <f>'Dimethyl sebacate '!CC17</f>
        <v>3.6905118323925312</v>
      </c>
      <c r="DS93" s="20">
        <f>'Dimethyl sebacate '!CD17</f>
        <v>3.6905118323925312</v>
      </c>
      <c r="DT93" s="20">
        <f>'Dimethyl sebacate '!CE17</f>
        <v>3.6905118323925312</v>
      </c>
      <c r="DU93" s="20">
        <f>'Dimethyl sebacate '!CF17</f>
        <v>3.6905118323925312</v>
      </c>
      <c r="DV93" s="20">
        <f>'Dimethyl sebacate '!CG17</f>
        <v>3.6915546026921406</v>
      </c>
      <c r="DW93" s="20">
        <f>'Dimethyl sebacate '!CH17</f>
        <v>3.6915546026921406</v>
      </c>
      <c r="DX93" s="20">
        <f>'Dimethyl sebacate '!CI17</f>
        <v>3.6901642422926617</v>
      </c>
      <c r="DY93" s="20">
        <f>'Dimethyl sebacate '!CJ17</f>
        <v>3.6901642422926617</v>
      </c>
      <c r="DZ93" s="20">
        <f>'Dimethyl sebacate '!CK17</f>
        <v>3.6901642422926617</v>
      </c>
      <c r="EA93" s="20">
        <f>'Dimethyl sebacate '!CL17</f>
        <v>3.6813823273990445</v>
      </c>
      <c r="EB93" s="20">
        <f>'Dimethyl sebacate '!CM17</f>
        <v>3.6810347372991745</v>
      </c>
      <c r="EC93" s="20">
        <f>'Dimethyl sebacate '!CN17</f>
        <v>3.6810347372991745</v>
      </c>
      <c r="ED93" s="20">
        <f>'Dimethyl sebacate '!CO17</f>
        <v>3.6810347372991745</v>
      </c>
      <c r="EE93" s="20">
        <f>'Dimethyl sebacate '!CP17</f>
        <v>3.6810347372991745</v>
      </c>
      <c r="EF93" s="20">
        <f>'Dimethyl sebacate '!CQ17</f>
        <v>3.6810347372991745</v>
      </c>
      <c r="EG93" s="20">
        <f>'Dimethyl sebacate '!CR17</f>
        <v>3.6810347372991745</v>
      </c>
      <c r="EH93" s="20">
        <f>'Dimethyl sebacate '!CS17</f>
        <v>4.0407456578376033</v>
      </c>
      <c r="EI93" s="20">
        <f>'Dimethyl sebacate '!CT17</f>
        <v>3.7948520408163264</v>
      </c>
      <c r="EJ93" s="20">
        <f>'Dimethyl sebacate '!CU17</f>
        <v>3.7948520408163264</v>
      </c>
      <c r="EK93" s="20">
        <f>'Dimethyl sebacate '!CV17</f>
        <v>3.7948520408163264</v>
      </c>
      <c r="EL93" s="20">
        <f>'Dimethyl sebacate '!CW17</f>
        <v>3.8029387755102042</v>
      </c>
      <c r="EM93" s="20">
        <f>'Dimethyl sebacate '!CX17</f>
        <v>3.8029387755102042</v>
      </c>
      <c r="EN93" s="20">
        <f>'Dimethyl sebacate '!CY17</f>
        <v>3.8380664350846723</v>
      </c>
      <c r="EO93" s="20">
        <f>'Dimethyl sebacate '!CZ17</f>
        <v>3.8380664350846723</v>
      </c>
      <c r="EP93" s="20">
        <f>'Dimethyl sebacate '!DA17</f>
        <v>3.8380664350846723</v>
      </c>
      <c r="EQ93" s="20">
        <f>'Dimethyl sebacate '!DB17</f>
        <v>3.8380664350846723</v>
      </c>
      <c r="ER93" s="20">
        <f>'Dimethyl sebacate '!DC17</f>
        <v>4.1190877116804172</v>
      </c>
      <c r="ES93" s="20">
        <f>'Dimethyl sebacate '!DD17</f>
        <v>4.1454334563612685</v>
      </c>
      <c r="ET93" s="20">
        <f>'Dimethyl sebacate '!DE17</f>
        <v>4.1454334563612685</v>
      </c>
      <c r="EU93" s="20">
        <f>'Dimethyl sebacate '!DF17</f>
        <v>4.1454334563612685</v>
      </c>
      <c r="EV93" s="20">
        <f>'Dimethyl sebacate '!DG17</f>
        <v>4.1454334563612685</v>
      </c>
      <c r="EW93" s="20">
        <f>'Dimethyl sebacate '!DH17</f>
        <v>4.0312685627442466</v>
      </c>
      <c r="EX93" s="20">
        <f>'Dimethyl sebacate '!DI17</f>
        <v>4.0312685627442466</v>
      </c>
      <c r="EY93" s="20">
        <f>'Dimethyl sebacate '!DJ17</f>
        <v>4.0326589231437255</v>
      </c>
      <c r="EZ93" s="20">
        <f>'Dimethyl sebacate '!DK17</f>
        <v>4.0326589231437255</v>
      </c>
      <c r="FA93" s="20">
        <f>'Dimethyl sebacate '!DL17</f>
        <v>4.0326589231437255</v>
      </c>
      <c r="FB93" s="20">
        <f>'Dimethyl sebacate '!DM17</f>
        <v>3.830674880590534</v>
      </c>
      <c r="FC93" s="20">
        <f>'Dimethyl sebacate '!DN17</f>
        <v>3.8285893399913156</v>
      </c>
      <c r="FD93" s="20">
        <f>'Dimethyl sebacate '!DO17</f>
        <v>3.8285893399913156</v>
      </c>
      <c r="FE93" s="20">
        <f>'Dimethyl sebacate '!DP17</f>
        <v>3.8285893399913156</v>
      </c>
      <c r="FF93" s="20">
        <f>'Dimethyl sebacate '!DQ17</f>
        <v>3.7934616804168475</v>
      </c>
      <c r="FG93" s="20">
        <f>'Dimethyl sebacate '!DR17</f>
        <v>3.7934616804168475</v>
      </c>
      <c r="FH93" s="20">
        <f>'Dimethyl sebacate '!DS17</f>
        <v>3.7958948111159354</v>
      </c>
    </row>
    <row r="94" spans="1:164" ht="15">
      <c r="A94" s="8" t="s">
        <v>212</v>
      </c>
      <c r="B94" s="45" t="s">
        <v>276</v>
      </c>
      <c r="AU94" s="60" t="s">
        <v>309</v>
      </c>
      <c r="AV94" s="19">
        <f t="shared" si="141"/>
        <v>0</v>
      </c>
      <c r="AW94" s="19">
        <f t="shared" si="141"/>
        <v>0</v>
      </c>
      <c r="AX94" s="19">
        <f t="shared" si="141"/>
        <v>-0.26196577576884028</v>
      </c>
      <c r="AY94" s="19">
        <f t="shared" si="141"/>
        <v>0</v>
      </c>
      <c r="AZ94" s="19">
        <f t="shared" si="141"/>
        <v>0</v>
      </c>
      <c r="BA94" s="19">
        <f t="shared" si="141"/>
        <v>0</v>
      </c>
      <c r="BB94" s="19">
        <f t="shared" si="143"/>
        <v>0</v>
      </c>
      <c r="BC94" s="19">
        <f t="shared" si="142"/>
        <v>0.53898226467286481</v>
      </c>
      <c r="BD94" s="19">
        <f t="shared" si="144"/>
        <v>-9.9364701211038575E-2</v>
      </c>
      <c r="BE94" s="19">
        <f t="shared" si="144"/>
        <v>0</v>
      </c>
      <c r="BF94" s="19">
        <f t="shared" si="144"/>
        <v>9.2740387796969248E-2</v>
      </c>
      <c r="BG94" s="19">
        <f t="shared" si="144"/>
        <v>-7.9491760968830594E-2</v>
      </c>
      <c r="BH94" s="19">
        <f t="shared" si="128"/>
        <v>-0.89895660305001179</v>
      </c>
      <c r="BI94" s="19">
        <f t="shared" si="129"/>
        <v>0.97844836401884239</v>
      </c>
      <c r="BJ94" s="19">
        <f t="shared" si="112"/>
        <v>0</v>
      </c>
      <c r="BK94" s="19">
        <f t="shared" si="113"/>
        <v>0</v>
      </c>
      <c r="BL94" s="19">
        <f t="shared" si="113"/>
        <v>0</v>
      </c>
      <c r="BM94" s="19">
        <f t="shared" si="113"/>
        <v>0</v>
      </c>
      <c r="BN94" s="19">
        <f t="shared" si="113"/>
        <v>0</v>
      </c>
      <c r="BO94" s="19">
        <f t="shared" si="113"/>
        <v>6.6243134140693272E-3</v>
      </c>
      <c r="BP94" s="19">
        <f t="shared" si="130"/>
        <v>0</v>
      </c>
      <c r="BQ94" s="19">
        <f t="shared" si="131"/>
        <v>0</v>
      </c>
      <c r="BR94" s="19">
        <f t="shared" si="131"/>
        <v>0</v>
      </c>
      <c r="BS94" s="19">
        <f t="shared" si="114"/>
        <v>-6.6243134140693272E-3</v>
      </c>
      <c r="BT94" s="19">
        <f t="shared" si="114"/>
        <v>0</v>
      </c>
      <c r="BU94" s="19">
        <f t="shared" si="132"/>
        <v>0</v>
      </c>
      <c r="BV94" s="19">
        <f t="shared" si="133"/>
        <v>0</v>
      </c>
      <c r="BW94" s="19">
        <f t="shared" si="115"/>
        <v>0</v>
      </c>
      <c r="BX94" s="19">
        <f t="shared" si="116"/>
        <v>3.3121567070346192E-2</v>
      </c>
      <c r="BY94" s="19">
        <f t="shared" si="116"/>
        <v>0</v>
      </c>
      <c r="BZ94" s="19">
        <f t="shared" si="116"/>
        <v>0</v>
      </c>
      <c r="CA94" s="19">
        <f t="shared" si="116"/>
        <v>0</v>
      </c>
      <c r="CB94" s="19">
        <f t="shared" si="138"/>
        <v>0</v>
      </c>
      <c r="CC94" s="19">
        <f t="shared" si="138"/>
        <v>0</v>
      </c>
      <c r="CD94" s="19">
        <f t="shared" si="138"/>
        <v>-0.34446429753159924</v>
      </c>
      <c r="CE94" s="65"/>
      <c r="CG94" s="20">
        <f t="shared" si="118"/>
        <v>4.3987641701765581</v>
      </c>
      <c r="CH94" s="20">
        <f>'tertiary butyl hydroquinone'!AS17</f>
        <v>6.337919884141451</v>
      </c>
      <c r="CI94" s="20">
        <f>'tertiary butyl hydroquinone'!AT17</f>
        <v>5.8272110694362844</v>
      </c>
      <c r="CJ94" s="20">
        <f>'tertiary butyl hydroquinone'!AU17</f>
        <v>5.7159667447221141</v>
      </c>
      <c r="CK94" s="20">
        <f>'tertiary butyl hydroquinone'!AV17</f>
        <v>5.681911416165998</v>
      </c>
      <c r="CL94" s="20">
        <f>'tertiary butyl hydroquinone'!AW17</f>
        <v>5.2582214072600344</v>
      </c>
      <c r="CM94" s="20">
        <f>'tertiary butyl hydroquinone'!AX17</f>
        <v>5.4017329032154171</v>
      </c>
      <c r="CN94" s="20">
        <f>'tertiary butyl hydroquinone'!AY17</f>
        <v>5.869300684090895</v>
      </c>
      <c r="CO94" s="20">
        <f>'tertiary butyl hydroquinone'!AZ17</f>
        <v>5.869300684090895</v>
      </c>
      <c r="CP94" s="20">
        <f>'tertiary butyl hydroquinone'!BA17</f>
        <v>5.869300684090895</v>
      </c>
      <c r="CQ94" s="20">
        <f>'tertiary butyl hydroquinone'!BB17</f>
        <v>5.869300684090895</v>
      </c>
      <c r="CR94" s="20">
        <f>'tertiary butyl hydroquinone'!BC17</f>
        <v>5.6274316126997626</v>
      </c>
      <c r="CS94" s="20">
        <f>'tertiary butyl hydroquinone'!BD17</f>
        <v>5.6274316126997626</v>
      </c>
      <c r="CT94" s="20">
        <f>'tertiary butyl hydroquinone'!BE17</f>
        <v>5.6274316126997626</v>
      </c>
      <c r="CU94" s="20">
        <f>'tertiary butyl hydroquinone'!BF17</f>
        <v>5.6274316126997626</v>
      </c>
      <c r="CV94" s="20">
        <f>'tertiary butyl hydroquinone'!BG17</f>
        <v>3.6404233295363704</v>
      </c>
      <c r="CW94" s="20">
        <f>'tertiary butyl hydroquinone'!BH17</f>
        <v>3.6404233295363704</v>
      </c>
      <c r="CX94" s="20">
        <f>'tertiary butyl hydroquinone'!BI17</f>
        <v>3.6404233295363704</v>
      </c>
      <c r="CY94" s="20">
        <f>'tertiary butyl hydroquinone'!BJ17</f>
        <v>3.6404233295363704</v>
      </c>
      <c r="CZ94" s="20">
        <f>'tertiary butyl hydroquinone'!BK17</f>
        <v>4.0057621598073574</v>
      </c>
      <c r="DA94" s="20">
        <f>'tertiary butyl hydroquinone'!BL17</f>
        <v>4.0057621598073574</v>
      </c>
      <c r="DB94" s="20">
        <f>'tertiary butyl hydroquinone'!BM17</f>
        <v>4.0057621598073574</v>
      </c>
      <c r="DC94" s="20">
        <f>'tertiary butyl hydroquinone'!BN17</f>
        <v>4.0057621598073574</v>
      </c>
      <c r="DD94" s="20">
        <f>'tertiary butyl hydroquinone'!BO17</f>
        <v>3.9432483938170555</v>
      </c>
      <c r="DE94" s="20">
        <f>'tertiary butyl hydroquinone'!BP17</f>
        <v>3.9432483938170555</v>
      </c>
      <c r="DF94" s="20">
        <f>'tertiary butyl hydroquinone'!BQ17</f>
        <v>3.9432483938170555</v>
      </c>
      <c r="DG94" s="20">
        <f>'tertiary butyl hydroquinone'!BR17</f>
        <v>3.9432483938170555</v>
      </c>
      <c r="DH94" s="20">
        <f>'tertiary butyl hydroquinone'!BS17</f>
        <v>4.4093172349934662</v>
      </c>
      <c r="DI94" s="20">
        <f>'tertiary butyl hydroquinone'!BT17</f>
        <v>4.4093172349934662</v>
      </c>
      <c r="DJ94" s="20">
        <f>'tertiary butyl hydroquinone'!BU17</f>
        <v>4.4093172349934662</v>
      </c>
      <c r="DK94" s="20">
        <f>'tertiary butyl hydroquinone'!BV17</f>
        <v>4.4093172349934662</v>
      </c>
      <c r="DL94" s="20">
        <f>'tertiary butyl hydroquinone'!BW17</f>
        <v>4.0188494754856299</v>
      </c>
      <c r="DM94" s="20">
        <f>'tertiary butyl hydroquinone'!BX17</f>
        <v>4.0188494754856299</v>
      </c>
      <c r="DN94" s="20">
        <f>'tertiary butyl hydroquinone'!BY17</f>
        <v>4.0188494754856299</v>
      </c>
      <c r="DO94" s="20">
        <f>'tertiary butyl hydroquinone'!BZ17</f>
        <v>4.0188494754856299</v>
      </c>
      <c r="DP94" s="20">
        <f>'tertiary butyl hydroquinone'!CA17</f>
        <v>3.7956443913312992</v>
      </c>
      <c r="DQ94" s="20">
        <f>'tertiary butyl hydroquinone'!CB17</f>
        <v>3.7956443913312992</v>
      </c>
      <c r="DR94" s="20">
        <f>'tertiary butyl hydroquinone'!CC17</f>
        <v>3.7956443913312992</v>
      </c>
      <c r="DS94" s="20">
        <f>'tertiary butyl hydroquinone'!CD17</f>
        <v>3.7956443913312992</v>
      </c>
      <c r="DT94" s="20">
        <f>'tertiary butyl hydroquinone'!CE17</f>
        <v>3.4925069457992288</v>
      </c>
      <c r="DU94" s="20">
        <f>'tertiary butyl hydroquinone'!CF17</f>
        <v>3.4925069457992288</v>
      </c>
      <c r="DV94" s="20">
        <f>'tertiary butyl hydroquinone'!CG17</f>
        <v>3.4925069457992288</v>
      </c>
      <c r="DW94" s="20">
        <f>'tertiary butyl hydroquinone'!CH17</f>
        <v>3.4925069457992288</v>
      </c>
      <c r="DX94" s="20">
        <f>'tertiary butyl hydroquinone'!CI17</f>
        <v>3.4500626142431812</v>
      </c>
      <c r="DY94" s="20">
        <f>'tertiary butyl hydroquinone'!CJ17</f>
        <v>3.4500626142431812</v>
      </c>
      <c r="DZ94" s="20">
        <f>'tertiary butyl hydroquinone'!CK17</f>
        <v>3.4500626142431812</v>
      </c>
      <c r="EA94" s="20">
        <f>'tertiary butyl hydroquinone'!CL17</f>
        <v>3.4500626142431812</v>
      </c>
      <c r="EB94" s="20">
        <f>'tertiary butyl hydroquinone'!CM17</f>
        <v>3.7120283900120215</v>
      </c>
      <c r="EC94" s="20">
        <f>'tertiary butyl hydroquinone'!CN17</f>
        <v>3.7120283900120215</v>
      </c>
      <c r="ED94" s="20">
        <f>'tertiary butyl hydroquinone'!CO17</f>
        <v>3.7120283900120215</v>
      </c>
      <c r="EE94" s="20">
        <f>'tertiary butyl hydroquinone'!CP17</f>
        <v>3.7120283900120215</v>
      </c>
      <c r="EF94" s="20">
        <f>'tertiary butyl hydroquinone'!CQ17</f>
        <v>3.7120283900120215</v>
      </c>
      <c r="EG94" s="20">
        <f>'tertiary butyl hydroquinone'!CR17</f>
        <v>3.1730461253391566</v>
      </c>
      <c r="EH94" s="20">
        <f>'tertiary butyl hydroquinone'!CS17</f>
        <v>3.2724108265501952</v>
      </c>
      <c r="EI94" s="20">
        <f>'tertiary butyl hydroquinone'!CT17</f>
        <v>3.2724108265501952</v>
      </c>
      <c r="EJ94" s="20">
        <f>'tertiary butyl hydroquinone'!CU17</f>
        <v>3.179670438753226</v>
      </c>
      <c r="EK94" s="20">
        <f>'tertiary butyl hydroquinone'!CV17</f>
        <v>3.2591621997220566</v>
      </c>
      <c r="EL94" s="20">
        <f>'tertiary butyl hydroquinone'!CW17</f>
        <v>4.1581188027720684</v>
      </c>
      <c r="EM94" s="20">
        <f>'tertiary butyl hydroquinone'!CX17</f>
        <v>3.179670438753226</v>
      </c>
      <c r="EN94" s="20">
        <f>'tertiary butyl hydroquinone'!CY17</f>
        <v>3.179670438753226</v>
      </c>
      <c r="EO94" s="20">
        <f>'tertiary butyl hydroquinone'!CZ17</f>
        <v>3.179670438753226</v>
      </c>
      <c r="EP94" s="20">
        <f>'tertiary butyl hydroquinone'!DA17</f>
        <v>3.179670438753226</v>
      </c>
      <c r="EQ94" s="20">
        <f>'tertiary butyl hydroquinone'!DB17</f>
        <v>3.179670438753226</v>
      </c>
      <c r="ER94" s="20">
        <f>'tertiary butyl hydroquinone'!DC17</f>
        <v>3.179670438753226</v>
      </c>
      <c r="ES94" s="20">
        <f>'tertiary butyl hydroquinone'!DD17</f>
        <v>3.1730461253391566</v>
      </c>
      <c r="ET94" s="20">
        <f>'tertiary butyl hydroquinone'!DE17</f>
        <v>3.1730461253391566</v>
      </c>
      <c r="EU94" s="20">
        <f>'tertiary butyl hydroquinone'!DF17</f>
        <v>3.1730461253391566</v>
      </c>
      <c r="EV94" s="20">
        <f>'tertiary butyl hydroquinone'!DG17</f>
        <v>3.1730461253391566</v>
      </c>
      <c r="EW94" s="20">
        <f>'tertiary butyl hydroquinone'!DH17</f>
        <v>3.179670438753226</v>
      </c>
      <c r="EX94" s="20">
        <f>'tertiary butyl hydroquinone'!DI17</f>
        <v>3.179670438753226</v>
      </c>
      <c r="EY94" s="20">
        <f>'tertiary butyl hydroquinone'!DJ17</f>
        <v>3.179670438753226</v>
      </c>
      <c r="EZ94" s="20">
        <f>'tertiary butyl hydroquinone'!DK17</f>
        <v>3.179670438753226</v>
      </c>
      <c r="FA94" s="20">
        <f>'tertiary butyl hydroquinone'!DL17</f>
        <v>3.179670438753226</v>
      </c>
      <c r="FB94" s="20">
        <f>'tertiary butyl hydroquinone'!DM17</f>
        <v>3.1465488716828798</v>
      </c>
      <c r="FC94" s="20">
        <f>'tertiary butyl hydroquinone'!DN17</f>
        <v>3.1465488716828798</v>
      </c>
      <c r="FD94" s="20">
        <f>'tertiary butyl hydroquinone'!DO17</f>
        <v>3.1465488716828798</v>
      </c>
      <c r="FE94" s="20">
        <f>'tertiary butyl hydroquinone'!DP17</f>
        <v>3.1465488716828798</v>
      </c>
      <c r="FF94" s="20">
        <f>'tertiary butyl hydroquinone'!DQ17</f>
        <v>3.1465488716828798</v>
      </c>
      <c r="FG94" s="20">
        <f>'tertiary butyl hydroquinone'!DR17</f>
        <v>3.1465488716828798</v>
      </c>
      <c r="FH94" s="20">
        <f>'tertiary butyl hydroquinone'!DS17</f>
        <v>3.491013169214479</v>
      </c>
    </row>
    <row r="95" spans="1:164" ht="15">
      <c r="A95" s="8" t="s">
        <v>203</v>
      </c>
      <c r="B95" s="45" t="s">
        <v>310</v>
      </c>
      <c r="AU95" s="60" t="s">
        <v>40</v>
      </c>
      <c r="AV95" s="19">
        <f t="shared" si="141"/>
        <v>0</v>
      </c>
      <c r="AW95" s="19">
        <f t="shared" si="141"/>
        <v>-9.6494465772604787E-2</v>
      </c>
      <c r="AX95" s="19">
        <f t="shared" si="141"/>
        <v>0</v>
      </c>
      <c r="AY95" s="19">
        <f t="shared" si="141"/>
        <v>0</v>
      </c>
      <c r="AZ95" s="19">
        <f t="shared" si="141"/>
        <v>0</v>
      </c>
      <c r="BA95" s="19">
        <f t="shared" si="141"/>
        <v>0</v>
      </c>
      <c r="BB95" s="19">
        <f t="shared" si="143"/>
        <v>0</v>
      </c>
      <c r="BC95" s="19">
        <f t="shared" si="142"/>
        <v>4.8247232886302172E-2</v>
      </c>
      <c r="BD95" s="19">
        <f t="shared" si="144"/>
        <v>4.8247232886302616E-2</v>
      </c>
      <c r="BE95" s="19">
        <f t="shared" si="144"/>
        <v>2.4123616443150642E-2</v>
      </c>
      <c r="BF95" s="19">
        <f t="shared" si="144"/>
        <v>0</v>
      </c>
      <c r="BG95" s="19">
        <f t="shared" si="144"/>
        <v>0</v>
      </c>
      <c r="BH95" s="19">
        <f t="shared" si="128"/>
        <v>0.12061808221575543</v>
      </c>
      <c r="BI95" s="19">
        <f t="shared" si="129"/>
        <v>0</v>
      </c>
      <c r="BJ95" s="19">
        <f t="shared" si="112"/>
        <v>0</v>
      </c>
      <c r="BK95" s="19">
        <f t="shared" si="113"/>
        <v>-4.8247232886302172E-2</v>
      </c>
      <c r="BL95" s="19">
        <f t="shared" si="113"/>
        <v>0</v>
      </c>
      <c r="BM95" s="19">
        <f t="shared" si="113"/>
        <v>0</v>
      </c>
      <c r="BN95" s="19">
        <f t="shared" si="113"/>
        <v>4.8247232886302172E-2</v>
      </c>
      <c r="BO95" s="19">
        <f t="shared" si="113"/>
        <v>0</v>
      </c>
      <c r="BP95" s="19">
        <f t="shared" si="130"/>
        <v>0</v>
      </c>
      <c r="BQ95" s="19">
        <f t="shared" si="131"/>
        <v>0</v>
      </c>
      <c r="BR95" s="19">
        <f t="shared" si="131"/>
        <v>0</v>
      </c>
      <c r="BS95" s="19">
        <f t="shared" si="114"/>
        <v>0</v>
      </c>
      <c r="BT95" s="19">
        <f t="shared" si="114"/>
        <v>0</v>
      </c>
      <c r="BU95" s="19">
        <f t="shared" si="132"/>
        <v>0</v>
      </c>
      <c r="BV95" s="19">
        <f t="shared" si="133"/>
        <v>0</v>
      </c>
      <c r="BW95" s="19">
        <f t="shared" si="115"/>
        <v>0</v>
      </c>
      <c r="BX95" s="19">
        <f t="shared" si="116"/>
        <v>0</v>
      </c>
      <c r="BY95" s="19">
        <f t="shared" si="116"/>
        <v>0</v>
      </c>
      <c r="BZ95" s="19">
        <f t="shared" si="116"/>
        <v>0</v>
      </c>
      <c r="CA95" s="19">
        <f t="shared" si="116"/>
        <v>0</v>
      </c>
      <c r="CB95" s="19">
        <f t="shared" si="138"/>
        <v>0</v>
      </c>
      <c r="CC95" s="19">
        <f t="shared" si="138"/>
        <v>4.8247232886302172E-2</v>
      </c>
      <c r="CD95" s="19">
        <f t="shared" si="138"/>
        <v>0</v>
      </c>
      <c r="CE95" s="65"/>
      <c r="CG95" s="20">
        <f t="shared" si="118"/>
        <v>4.0178510366935418</v>
      </c>
      <c r="CH95" s="20">
        <f>'DEHA 85 % '!AS20</f>
        <v>3.8531918906123437</v>
      </c>
      <c r="CI95" s="20">
        <f>'DEHA 85 % '!AT20</f>
        <v>3.9472739947406326</v>
      </c>
      <c r="CJ95" s="20">
        <f>'DEHA 85 % '!AU20</f>
        <v>4.0944280550438545</v>
      </c>
      <c r="CK95" s="20">
        <f>'DEHA 85 % '!AV20</f>
        <v>4.0944280550438545</v>
      </c>
      <c r="CL95" s="20">
        <f>'DEHA 85 % '!AW20</f>
        <v>4.0510055454461824</v>
      </c>
      <c r="CM95" s="20">
        <f>'DEHA 85 % '!AX20</f>
        <v>4.0220572057144013</v>
      </c>
      <c r="CN95" s="20">
        <f>'DEHA 85 % '!AY20</f>
        <v>4.0220572057144013</v>
      </c>
      <c r="CO95" s="20">
        <f>'DEHA 85 % '!AZ20</f>
        <v>4.0220572057144013</v>
      </c>
      <c r="CP95" s="20">
        <f>'DEHA 85 % '!BA20</f>
        <v>4.0220572057144013</v>
      </c>
      <c r="CQ95" s="20">
        <f>'DEHA 85 % '!BB20</f>
        <v>4.0220572057144013</v>
      </c>
      <c r="CR95" s="20">
        <f>'DEHA 85 % '!BC20</f>
        <v>4.0461808221575524</v>
      </c>
      <c r="CS95" s="20">
        <f>'DEHA 85 % '!BD20</f>
        <v>4.0461808221575524</v>
      </c>
      <c r="CT95" s="20">
        <f>'DEHA 85 % '!BE20</f>
        <v>4.0703044386007026</v>
      </c>
      <c r="CU95" s="20">
        <f>'DEHA 85 % '!BF20</f>
        <v>4.0703044386007026</v>
      </c>
      <c r="CV95" s="20">
        <f>'DEHA 85 % '!BG20</f>
        <v>4.0703044386007026</v>
      </c>
      <c r="CW95" s="20">
        <f>'DEHA 85 % '!BH20</f>
        <v>4.0703044386007026</v>
      </c>
      <c r="CX95" s="20">
        <f>'DEHA 85 % '!BI20</f>
        <v>4.0703044386007026</v>
      </c>
      <c r="CY95" s="20">
        <f>'DEHA 85 % '!BJ20</f>
        <v>4.0703044386007026</v>
      </c>
      <c r="CZ95" s="20">
        <f>'DEHA 85 % '!BK20</f>
        <v>4.0461808221575524</v>
      </c>
      <c r="DA95" s="20">
        <f>'DEHA 85 % '!BL20</f>
        <v>4.0461808221575524</v>
      </c>
      <c r="DB95" s="20">
        <f>'DEHA 85 % '!BM20</f>
        <v>4.0461808221575524</v>
      </c>
      <c r="DC95" s="20">
        <f>'DEHA 85 % '!BN20</f>
        <v>4.0461808221575524</v>
      </c>
      <c r="DD95" s="20">
        <f>'DEHA 85 % '!BO20</f>
        <v>4.0461808221575524</v>
      </c>
      <c r="DE95" s="20">
        <f>'DEHA 85 % '!BP20</f>
        <v>4.0220572057144013</v>
      </c>
      <c r="DF95" s="20">
        <f>'DEHA 85 % '!BQ20</f>
        <v>3.9979335892712498</v>
      </c>
      <c r="DG95" s="20">
        <f>'DEHA 85 % '!BR20</f>
        <v>3.9979335892712498</v>
      </c>
      <c r="DH95" s="20">
        <f>'DEHA 85 % '!BS20</f>
        <v>3.9979335892712498</v>
      </c>
      <c r="DI95" s="20">
        <f>'DEHA 85 % '!BT20</f>
        <v>3.9979335892712498</v>
      </c>
      <c r="DJ95" s="20">
        <f>'DEHA 85 % '!BU20</f>
        <v>3.9738099728280991</v>
      </c>
      <c r="DK95" s="20">
        <f>'DEHA 85 % '!BV20</f>
        <v>3.9738099728280991</v>
      </c>
      <c r="DL95" s="20">
        <f>'DEHA 85 % '!BW20</f>
        <v>3.9738099728280991</v>
      </c>
      <c r="DM95" s="20">
        <f>'DEHA 85 % '!BX20</f>
        <v>3.9738099728280991</v>
      </c>
      <c r="DN95" s="20">
        <f>'DEHA 85 % '!BY20</f>
        <v>3.9738099728280991</v>
      </c>
      <c r="DO95" s="20">
        <f>'DEHA 85 % '!BZ20</f>
        <v>3.9738099728280991</v>
      </c>
      <c r="DP95" s="20">
        <f>'DEHA 85 % '!CA20</f>
        <v>3.9738099728280991</v>
      </c>
      <c r="DQ95" s="20">
        <f>'DEHA 85 % '!CB20</f>
        <v>3.9738099728280991</v>
      </c>
      <c r="DR95" s="20">
        <f>'DEHA 85 % '!CC20</f>
        <v>3.9738099728280991</v>
      </c>
      <c r="DS95" s="20">
        <f>'DEHA 85 % '!CD20</f>
        <v>3.9738099728280991</v>
      </c>
      <c r="DT95" s="20">
        <f>'DEHA 85 % '!CE20</f>
        <v>3.9738099728280991</v>
      </c>
      <c r="DU95" s="20">
        <f>'DEHA 85 % '!CF20</f>
        <v>3.9738099728280991</v>
      </c>
      <c r="DV95" s="20">
        <f>'DEHA 85 % '!CG20</f>
        <v>3.9979335892712498</v>
      </c>
      <c r="DW95" s="20">
        <f>'DEHA 85 % '!CH20</f>
        <v>3.9979335892712498</v>
      </c>
      <c r="DX95" s="20">
        <f>'DEHA 85 % '!CI20</f>
        <v>3.9979335892712498</v>
      </c>
      <c r="DY95" s="20">
        <f>'DEHA 85 % '!CJ20</f>
        <v>3.9979335892712498</v>
      </c>
      <c r="DZ95" s="20">
        <f>'DEHA 85 % '!CK20</f>
        <v>3.9979335892712498</v>
      </c>
      <c r="EA95" s="20">
        <f>'DEHA 85 % '!CL20</f>
        <v>4.0944280550438545</v>
      </c>
      <c r="EB95" s="20">
        <f>'DEHA 85 % '!CM20</f>
        <v>4.0944280550438545</v>
      </c>
      <c r="EC95" s="20">
        <f>'DEHA 85 % '!CN20</f>
        <v>4.0944280550438545</v>
      </c>
      <c r="ED95" s="20">
        <f>'DEHA 85 % '!CO20</f>
        <v>4.0944280550438545</v>
      </c>
      <c r="EE95" s="20">
        <f>'DEHA 85 % '!CP20</f>
        <v>4.0944280550438545</v>
      </c>
      <c r="EF95" s="20">
        <f>'DEHA 85 % '!CQ20</f>
        <v>4.0944280550438545</v>
      </c>
      <c r="EG95" s="20">
        <f>'DEHA 85 % '!CR20</f>
        <v>4.0461808221575524</v>
      </c>
      <c r="EH95" s="20">
        <f>'DEHA 85 % '!CS20</f>
        <v>3.9979335892712498</v>
      </c>
      <c r="EI95" s="20">
        <f>'DEHA 85 % '!CT20</f>
        <v>3.9738099728280991</v>
      </c>
      <c r="EJ95" s="20">
        <f>'DEHA 85 % '!CU20</f>
        <v>3.9738099728280991</v>
      </c>
      <c r="EK95" s="20">
        <f>'DEHA 85 % '!CV20</f>
        <v>3.9738099728280991</v>
      </c>
      <c r="EL95" s="20">
        <f>'DEHA 85 % '!CW20</f>
        <v>3.8531918906123437</v>
      </c>
      <c r="EM95" s="20">
        <f>'DEHA 85 % '!CX20</f>
        <v>3.8531918906123437</v>
      </c>
      <c r="EN95" s="20">
        <f>'DEHA 85 % '!CY20</f>
        <v>3.8531918906123437</v>
      </c>
      <c r="EO95" s="20">
        <f>'DEHA 85 % '!CZ20</f>
        <v>3.9014391234986459</v>
      </c>
      <c r="EP95" s="20">
        <f>'DEHA 85 % '!DA20</f>
        <v>3.9014391234986459</v>
      </c>
      <c r="EQ95" s="20">
        <f>'DEHA 85 % '!DB20</f>
        <v>3.9014391234986459</v>
      </c>
      <c r="ER95" s="20">
        <f>'DEHA 85 % '!DC20</f>
        <v>3.8531918906123437</v>
      </c>
      <c r="ES95" s="20">
        <f>'DEHA 85 % '!DD20</f>
        <v>3.8531918906123437</v>
      </c>
      <c r="ET95" s="20">
        <f>'DEHA 85 % '!DE20</f>
        <v>3.8531918906123437</v>
      </c>
      <c r="EU95" s="20">
        <f>'DEHA 85 % '!DF20</f>
        <v>3.8531918906123437</v>
      </c>
      <c r="EV95" s="20">
        <f>'DEHA 85 % '!DG20</f>
        <v>3.8531918906123437</v>
      </c>
      <c r="EW95" s="20">
        <f>'DEHA 85 % '!DH20</f>
        <v>3.8531918906123437</v>
      </c>
      <c r="EX95" s="20">
        <f>'DEHA 85 % '!DI20</f>
        <v>3.8531918906123437</v>
      </c>
      <c r="EY95" s="20">
        <f>'DEHA 85 % '!DJ20</f>
        <v>3.8531918906123437</v>
      </c>
      <c r="EZ95" s="20">
        <f>'DEHA 85 % '!DK20</f>
        <v>3.8531918906123437</v>
      </c>
      <c r="FA95" s="20">
        <f>'DEHA 85 % '!DL20</f>
        <v>3.8531918906123437</v>
      </c>
      <c r="FB95" s="20">
        <f>'DEHA 85 % '!DM20</f>
        <v>3.8531918906123437</v>
      </c>
      <c r="FC95" s="20">
        <f>'DEHA 85 % '!DN20</f>
        <v>3.8531918906123437</v>
      </c>
      <c r="FD95" s="20">
        <f>'DEHA 85 % '!DO20</f>
        <v>3.8531918906123437</v>
      </c>
      <c r="FE95" s="20">
        <f>'DEHA 85 % '!DP20</f>
        <v>3.8531918906123437</v>
      </c>
      <c r="FF95" s="20">
        <f>'DEHA 85 % '!DQ20</f>
        <v>3.8531918906123437</v>
      </c>
      <c r="FG95" s="20">
        <f>'DEHA 85 % '!DR20</f>
        <v>3.8049446577260415</v>
      </c>
      <c r="FH95" s="20">
        <f>'DEHA 85 % '!DS20</f>
        <v>3.8049446577260415</v>
      </c>
    </row>
    <row r="96" spans="1:164" ht="15" hidden="1">
      <c r="A96" s="8" t="s">
        <v>248</v>
      </c>
      <c r="B96" s="45" t="s">
        <v>311</v>
      </c>
      <c r="AU96" s="60"/>
      <c r="BA96" s="19">
        <f t="shared" ref="BA96:BA105" si="145">+ED96-EE96</f>
        <v>0</v>
      </c>
      <c r="BB96" s="19">
        <f t="shared" si="143"/>
        <v>0</v>
      </c>
      <c r="BC96" s="19">
        <f>+EF96-EG96</f>
        <v>0</v>
      </c>
      <c r="BD96" s="19">
        <f t="shared" si="144"/>
        <v>0</v>
      </c>
      <c r="BE96" s="19">
        <f t="shared" si="144"/>
        <v>0</v>
      </c>
      <c r="BF96" s="19">
        <f t="shared" si="144"/>
        <v>0</v>
      </c>
      <c r="BG96" s="19">
        <f t="shared" si="144"/>
        <v>0</v>
      </c>
      <c r="BH96" s="19">
        <f t="shared" ref="BH96:BK98" si="146">+EK96-EL96</f>
        <v>0</v>
      </c>
      <c r="BI96" s="19">
        <f t="shared" si="146"/>
        <v>0</v>
      </c>
      <c r="BJ96" s="19">
        <f t="shared" si="146"/>
        <v>0</v>
      </c>
      <c r="BK96" s="19">
        <f t="shared" si="146"/>
        <v>0</v>
      </c>
      <c r="BL96" s="19">
        <f t="shared" si="113"/>
        <v>0</v>
      </c>
      <c r="BM96" s="19">
        <f t="shared" si="113"/>
        <v>0</v>
      </c>
      <c r="BN96" s="19">
        <f t="shared" si="113"/>
        <v>0</v>
      </c>
      <c r="BO96" s="19">
        <f t="shared" si="113"/>
        <v>0</v>
      </c>
      <c r="BP96" s="19">
        <f t="shared" si="130"/>
        <v>0</v>
      </c>
      <c r="BQ96" s="19">
        <f t="shared" si="131"/>
        <v>0</v>
      </c>
      <c r="BR96" s="19">
        <f t="shared" si="131"/>
        <v>0</v>
      </c>
      <c r="BS96" s="19">
        <f t="shared" si="114"/>
        <v>0</v>
      </c>
      <c r="BT96" s="19">
        <f t="shared" si="114"/>
        <v>0</v>
      </c>
      <c r="BU96" s="19">
        <f t="shared" si="132"/>
        <v>0</v>
      </c>
      <c r="BV96" s="19">
        <f t="shared" si="133"/>
        <v>0</v>
      </c>
      <c r="BW96" s="19">
        <f t="shared" si="115"/>
        <v>0</v>
      </c>
      <c r="BX96" s="19">
        <f t="shared" si="116"/>
        <v>0</v>
      </c>
      <c r="BY96" s="19">
        <f t="shared" si="116"/>
        <v>0</v>
      </c>
      <c r="BZ96" s="19">
        <f t="shared" si="116"/>
        <v>0</v>
      </c>
      <c r="CA96" s="19">
        <f t="shared" si="116"/>
        <v>0</v>
      </c>
      <c r="CB96" s="19">
        <f t="shared" si="138"/>
        <v>0</v>
      </c>
      <c r="CC96" s="19">
        <f t="shared" si="138"/>
        <v>0</v>
      </c>
      <c r="CD96" s="19">
        <f t="shared" si="138"/>
        <v>0</v>
      </c>
      <c r="CE96" s="65"/>
      <c r="CG96" s="20" t="e">
        <f t="shared" si="118"/>
        <v>#DIV/0!</v>
      </c>
    </row>
    <row r="97" spans="1:164" ht="15">
      <c r="A97" s="8" t="s">
        <v>203</v>
      </c>
      <c r="B97" s="45" t="s">
        <v>312</v>
      </c>
      <c r="AU97" s="44" t="s">
        <v>313</v>
      </c>
      <c r="BA97" s="19">
        <f t="shared" si="145"/>
        <v>3.9000000000000146E-2</v>
      </c>
      <c r="BB97" s="19">
        <f t="shared" si="143"/>
        <v>-1.2999999999999901E-2</v>
      </c>
      <c r="BC97" s="19">
        <f>+EF97-EG97</f>
        <v>-2.0000000000000018E-2</v>
      </c>
      <c r="BD97" s="19">
        <f t="shared" si="144"/>
        <v>0.92599999999999993</v>
      </c>
      <c r="BE97" s="19">
        <f t="shared" si="144"/>
        <v>0</v>
      </c>
      <c r="BF97" s="19">
        <f t="shared" si="144"/>
        <v>0</v>
      </c>
      <c r="BG97" s="19">
        <f t="shared" si="144"/>
        <v>0</v>
      </c>
      <c r="BH97" s="19">
        <f t="shared" si="146"/>
        <v>0</v>
      </c>
      <c r="BI97" s="19">
        <f t="shared" si="146"/>
        <v>0</v>
      </c>
      <c r="BJ97" s="19">
        <f t="shared" si="146"/>
        <v>0</v>
      </c>
      <c r="BK97" s="19">
        <f t="shared" si="146"/>
        <v>0</v>
      </c>
      <c r="BL97" s="19">
        <f t="shared" si="113"/>
        <v>0</v>
      </c>
      <c r="BM97" s="19">
        <f t="shared" si="113"/>
        <v>0</v>
      </c>
      <c r="BN97" s="19">
        <f t="shared" si="113"/>
        <v>0</v>
      </c>
      <c r="BO97" s="19">
        <f t="shared" si="113"/>
        <v>0</v>
      </c>
      <c r="BP97" s="19">
        <f t="shared" si="130"/>
        <v>0</v>
      </c>
      <c r="BQ97" s="19">
        <f t="shared" si="131"/>
        <v>0</v>
      </c>
      <c r="BR97" s="19">
        <f t="shared" si="131"/>
        <v>0</v>
      </c>
      <c r="BS97" s="19">
        <f t="shared" si="114"/>
        <v>0</v>
      </c>
      <c r="BT97" s="19">
        <f t="shared" si="114"/>
        <v>0</v>
      </c>
      <c r="BU97" s="19">
        <f t="shared" si="132"/>
        <v>0</v>
      </c>
      <c r="BV97" s="19">
        <f t="shared" si="133"/>
        <v>0</v>
      </c>
      <c r="BW97" s="19">
        <f t="shared" si="115"/>
        <v>0</v>
      </c>
      <c r="BX97" s="19">
        <f t="shared" si="116"/>
        <v>0</v>
      </c>
      <c r="BY97" s="19">
        <f t="shared" si="116"/>
        <v>0</v>
      </c>
      <c r="BZ97" s="19">
        <f t="shared" si="116"/>
        <v>0</v>
      </c>
      <c r="CA97" s="19">
        <f t="shared" si="116"/>
        <v>0</v>
      </c>
      <c r="CB97" s="19">
        <f t="shared" si="138"/>
        <v>0</v>
      </c>
      <c r="CC97" s="19">
        <f t="shared" si="138"/>
        <v>0</v>
      </c>
      <c r="CD97" s="19">
        <f t="shared" si="138"/>
        <v>0</v>
      </c>
      <c r="CE97" s="65"/>
      <c r="CG97" s="20">
        <f t="shared" si="118"/>
        <v>2.2059743589743581</v>
      </c>
      <c r="CH97" s="20">
        <f>'ARMEEN 2HT'!AS19</f>
        <v>2.5329999999999999</v>
      </c>
      <c r="CI97" s="20">
        <f>'ARMEEN 2HT'!AT19</f>
        <v>2.327</v>
      </c>
      <c r="CJ97" s="20">
        <f>'ARMEEN 2HT'!AU19</f>
        <v>2.2250000000000001</v>
      </c>
      <c r="CK97" s="20">
        <f>'ARMEEN 2HT'!AV19</f>
        <v>2.1310000000000002</v>
      </c>
      <c r="CL97" s="20">
        <f>'ARMEEN 2HT'!AW19</f>
        <v>2.2400000000000002</v>
      </c>
      <c r="CM97" s="20">
        <f>'ARMEEN 2HT'!AX19</f>
        <v>2.2469999999999999</v>
      </c>
      <c r="CN97" s="20">
        <f>'ARMEEN 2HT'!AY19</f>
        <v>2.3899999999999997</v>
      </c>
      <c r="CO97" s="20">
        <f>'ARMEEN 2HT'!AZ19</f>
        <v>2.423</v>
      </c>
      <c r="CP97" s="20">
        <f>'ARMEEN 2HT'!BA19</f>
        <v>2.4710000000000001</v>
      </c>
      <c r="CQ97" s="20">
        <f>'ARMEEN 2HT'!BB19</f>
        <v>2.4779999999999998</v>
      </c>
      <c r="CR97" s="20">
        <f>'ARMEEN 2HT'!BC19</f>
        <v>2.4779999999999998</v>
      </c>
      <c r="CS97" s="20">
        <f>'ARMEEN 2HT'!BD19</f>
        <v>2.4909999999999997</v>
      </c>
      <c r="CT97" s="20">
        <f>'ARMEEN 2HT'!BE19</f>
        <v>2.5129999999999999</v>
      </c>
      <c r="CU97" s="20">
        <f>'ARMEEN 2HT'!BF19</f>
        <v>2.5220000000000002</v>
      </c>
      <c r="CV97" s="20">
        <f>'ARMEEN 2HT'!BG19</f>
        <v>2.5220000000000002</v>
      </c>
      <c r="CW97" s="20">
        <f>'ARMEEN 2HT'!BH19</f>
        <v>2.5220000000000002</v>
      </c>
      <c r="CX97" s="20">
        <f>'ARMEEN 2HT'!BI19</f>
        <v>2.5289999999999999</v>
      </c>
      <c r="CY97" s="20">
        <f>'ARMEEN 2HT'!BJ19</f>
        <v>2.5329999999999999</v>
      </c>
      <c r="CZ97" s="20">
        <f>'ARMEEN 2HT'!BK19</f>
        <v>2.5</v>
      </c>
      <c r="DA97" s="20">
        <f>'ARMEEN 2HT'!BL19</f>
        <v>2.4710000000000001</v>
      </c>
      <c r="DB97" s="20">
        <f>'ARMEEN 2HT'!BM19</f>
        <v>2.359</v>
      </c>
      <c r="DC97" s="20">
        <f>'ARMEEN 2HT'!BN19</f>
        <v>2.2690000000000001</v>
      </c>
      <c r="DD97" s="20">
        <f>'ARMEEN 2HT'!BO19</f>
        <v>2.2010000000000001</v>
      </c>
      <c r="DE97" s="20">
        <f>'ARMEEN 2HT'!BP19</f>
        <v>2.1680000000000001</v>
      </c>
      <c r="DF97" s="20">
        <f>'ARMEEN 2HT'!BQ19</f>
        <v>2.1459999999999999</v>
      </c>
      <c r="DG97" s="20">
        <f>'ARMEEN 2HT'!BR19</f>
        <v>2.1139999999999999</v>
      </c>
      <c r="DH97" s="20">
        <f>'ARMEEN 2HT'!BS19</f>
        <v>2.1139999999999999</v>
      </c>
      <c r="DI97" s="20">
        <f>'ARMEEN 2HT'!BT19</f>
        <v>2.1139999999999999</v>
      </c>
      <c r="DJ97" s="20">
        <f>'ARMEEN 2HT'!BU19</f>
        <v>2.048</v>
      </c>
      <c r="DK97" s="20">
        <f>'ARMEEN 2HT'!BV19</f>
        <v>1.9889999999999999</v>
      </c>
      <c r="DL97" s="20">
        <f>'ARMEEN 2HT'!BW19</f>
        <v>1.958</v>
      </c>
      <c r="DM97" s="20">
        <f>'ARMEEN 2HT'!BX19</f>
        <v>1.9489999999999998</v>
      </c>
      <c r="DN97" s="20">
        <f>'ARMEEN 2HT'!BY19</f>
        <v>1.9489999999999998</v>
      </c>
      <c r="DO97" s="20">
        <f>'ARMEEN 2HT'!BZ19</f>
        <v>1.9289999999999998</v>
      </c>
      <c r="DP97" s="20">
        <f>'ARMEEN 2HT'!CA19</f>
        <v>1.9159999999999999</v>
      </c>
      <c r="DQ97" s="20">
        <f>'ARMEEN 2HT'!CB19</f>
        <v>1.9159999999999999</v>
      </c>
      <c r="DR97" s="20">
        <f>'ARMEEN 2HT'!CC19</f>
        <v>1.883</v>
      </c>
      <c r="DS97" s="20">
        <f>'ARMEEN 2HT'!CD19</f>
        <v>1.873</v>
      </c>
      <c r="DT97" s="20">
        <f>'ARMEEN 2HT'!CE19</f>
        <v>1.9140000000000001</v>
      </c>
      <c r="DU97" s="20">
        <f>'ARMEEN 2HT'!CF19</f>
        <v>1.919</v>
      </c>
      <c r="DV97" s="20">
        <f>'ARMEEN 2HT'!CG19</f>
        <v>1.919</v>
      </c>
      <c r="DW97" s="20">
        <f>'ARMEEN 2HT'!CH19</f>
        <v>1.925</v>
      </c>
      <c r="DX97" s="20">
        <f>'ARMEEN 2HT'!CI19</f>
        <v>1.9449999999999998</v>
      </c>
      <c r="DY97" s="20">
        <f>'ARMEEN 2HT'!CJ19</f>
        <v>1.9489999999999998</v>
      </c>
      <c r="DZ97" s="20">
        <f>'ARMEEN 2HT'!CK19</f>
        <v>1.9489999999999998</v>
      </c>
      <c r="EA97" s="20">
        <f>'ARMEEN 2HT'!CL19</f>
        <v>1.9489999999999998</v>
      </c>
      <c r="EB97" s="20">
        <f>'ARMEEN 2HT'!CM19</f>
        <v>1.9489999999999998</v>
      </c>
      <c r="EC97" s="20">
        <f>'ARMEEN 2HT'!CN19</f>
        <v>1.9489999999999998</v>
      </c>
      <c r="ED97" s="20">
        <f>'ARMEEN 2HT'!CO19</f>
        <v>1.9220000000000002</v>
      </c>
      <c r="EE97" s="20">
        <f>'ARMEEN 2HT'!CP19</f>
        <v>1.883</v>
      </c>
      <c r="EF97" s="20">
        <f>'ARMEEN 2HT'!CQ19</f>
        <v>1.8959999999999999</v>
      </c>
      <c r="EG97" s="20">
        <f>'ARMEEN 2HT'!CR19</f>
        <v>1.9159999999999999</v>
      </c>
      <c r="EH97" s="20">
        <f>'ARMEEN 2HT'!CS19</f>
        <v>0.99</v>
      </c>
      <c r="EI97" s="20">
        <f>'ARMEEN 2HT'!CT19</f>
        <v>0.99</v>
      </c>
      <c r="EJ97" s="20">
        <f>'ARMEEN 2HT'!CU19</f>
        <v>0.99</v>
      </c>
      <c r="EK97" s="20">
        <f>'ARMEEN 2HT'!CV19</f>
        <v>0.99</v>
      </c>
      <c r="EL97" s="20">
        <f>'ARMEEN 2HT'!CW19</f>
        <v>0.99</v>
      </c>
      <c r="EM97" s="20">
        <f>'ARMEEN 2HT'!CX19</f>
        <v>0.99</v>
      </c>
      <c r="EN97" s="20">
        <f>'ARMEEN 2HT'!CY19</f>
        <v>0.99</v>
      </c>
      <c r="EO97" s="20">
        <f>'ARMEEN 2HT'!CZ19</f>
        <v>0.99</v>
      </c>
      <c r="EP97" s="20">
        <f>'ARMEEN 2HT'!DA19</f>
        <v>0.99</v>
      </c>
      <c r="EQ97" s="20">
        <f>'ARMEEN 2HT'!DB19</f>
        <v>0.99</v>
      </c>
      <c r="ER97" s="20">
        <f>'ARMEEN 2HT'!DC19</f>
        <v>0.99</v>
      </c>
      <c r="ES97" s="20">
        <f>'ARMEEN 2HT'!DD19</f>
        <v>0.99</v>
      </c>
      <c r="ET97" s="20">
        <f>'ARMEEN 2HT'!DE19</f>
        <v>0.99</v>
      </c>
      <c r="EU97" s="20">
        <f>'ARMEEN 2HT'!DF19</f>
        <v>0.99</v>
      </c>
      <c r="EV97" s="20">
        <f>'ARMEEN 2HT'!DG19</f>
        <v>0.99</v>
      </c>
      <c r="EW97" s="20">
        <f>'ARMEEN 2HT'!DH19</f>
        <v>0.99</v>
      </c>
      <c r="EX97" s="20">
        <f>'ARMEEN 2HT'!DI19</f>
        <v>0.99</v>
      </c>
      <c r="EY97" s="20">
        <f>'ARMEEN 2HT'!DJ19</f>
        <v>0.99</v>
      </c>
      <c r="EZ97" s="20">
        <f>'ARMEEN 2HT'!DK19</f>
        <v>0.99</v>
      </c>
      <c r="FA97" s="20">
        <f>'ARMEEN 2HT'!DL19</f>
        <v>0.99</v>
      </c>
      <c r="FB97" s="20">
        <f>'ARMEEN 2HT'!DM19</f>
        <v>0.99</v>
      </c>
      <c r="FC97" s="20">
        <f>'ARMEEN 2HT'!DN19</f>
        <v>0.99</v>
      </c>
      <c r="FD97" s="20">
        <f>'ARMEEN 2HT'!DO19</f>
        <v>0.99</v>
      </c>
      <c r="FE97" s="20">
        <f>'ARMEEN 2HT'!DP19</f>
        <v>0.99</v>
      </c>
      <c r="FF97" s="20">
        <f>'ARMEEN 2HT'!DQ19</f>
        <v>0.99</v>
      </c>
      <c r="FG97" s="20">
        <f>'ARMEEN 2HT'!DR19</f>
        <v>0.99</v>
      </c>
      <c r="FH97" s="20">
        <f>'ARMEEN 2HT'!DS19</f>
        <v>0.99</v>
      </c>
    </row>
    <row r="98" spans="1:164" ht="15">
      <c r="A98" s="8" t="s">
        <v>229</v>
      </c>
      <c r="B98" s="45" t="s">
        <v>314</v>
      </c>
      <c r="AU98" s="60" t="s">
        <v>40</v>
      </c>
      <c r="AV98" s="19">
        <f>+DY98-DZ98</f>
        <v>0</v>
      </c>
      <c r="AW98" s="19">
        <f>+DZ98-EA98</f>
        <v>1.0825198637911537E-2</v>
      </c>
      <c r="AX98" s="19">
        <f>+EA98-EB98</f>
        <v>0</v>
      </c>
      <c r="AY98" s="19">
        <f>+EB98-EC98</f>
        <v>-4.4574347332577702E-3</v>
      </c>
      <c r="AZ98" s="19">
        <f>+EC98-ED98</f>
        <v>0</v>
      </c>
      <c r="BA98" s="19">
        <f t="shared" si="145"/>
        <v>0</v>
      </c>
      <c r="BB98" s="19">
        <f t="shared" si="143"/>
        <v>0</v>
      </c>
      <c r="BC98" s="19">
        <f>+EF98-EG98</f>
        <v>1.4009080590238421E-2</v>
      </c>
      <c r="BD98" s="19">
        <f t="shared" si="144"/>
        <v>6.3677639046537671E-3</v>
      </c>
      <c r="BE98" s="19">
        <f t="shared" si="144"/>
        <v>0</v>
      </c>
      <c r="BF98" s="19">
        <f t="shared" si="144"/>
        <v>3.1838819523268835E-3</v>
      </c>
      <c r="BG98" s="19">
        <f t="shared" si="144"/>
        <v>0</v>
      </c>
      <c r="BH98" s="19">
        <f t="shared" si="146"/>
        <v>-6.3677639046537671E-3</v>
      </c>
      <c r="BI98" s="19">
        <f t="shared" si="146"/>
        <v>-3.1838819523268835E-3</v>
      </c>
      <c r="BJ98" s="19">
        <f t="shared" si="146"/>
        <v>0</v>
      </c>
      <c r="BK98" s="19">
        <f t="shared" si="146"/>
        <v>-1.6556186152099972E-2</v>
      </c>
      <c r="BL98" s="19">
        <f t="shared" si="113"/>
        <v>0</v>
      </c>
      <c r="BM98" s="19">
        <f t="shared" si="113"/>
        <v>-4.4574347332575481E-3</v>
      </c>
      <c r="BN98" s="19">
        <f t="shared" si="113"/>
        <v>-5.0942111237231025E-3</v>
      </c>
      <c r="BO98" s="19">
        <f t="shared" si="113"/>
        <v>1.2098751418842202E-2</v>
      </c>
      <c r="BP98" s="19">
        <f t="shared" si="130"/>
        <v>0</v>
      </c>
      <c r="BQ98" s="19">
        <f t="shared" si="131"/>
        <v>0</v>
      </c>
      <c r="BR98" s="19">
        <f t="shared" si="131"/>
        <v>0</v>
      </c>
      <c r="BS98" s="19">
        <f t="shared" si="114"/>
        <v>2.2287173666288407E-2</v>
      </c>
      <c r="BT98" s="19">
        <f t="shared" si="114"/>
        <v>5.7309875141882127E-3</v>
      </c>
      <c r="BU98" s="19">
        <f t="shared" si="132"/>
        <v>0</v>
      </c>
      <c r="BV98" s="19">
        <f t="shared" si="133"/>
        <v>7.6413166855846537E-3</v>
      </c>
      <c r="BW98" s="19">
        <f t="shared" si="115"/>
        <v>-1.5282633371169085E-2</v>
      </c>
      <c r="BX98" s="19">
        <f t="shared" si="116"/>
        <v>2.5471055618615512E-3</v>
      </c>
      <c r="BY98" s="19">
        <f t="shared" si="116"/>
        <v>1.2098751418842202E-2</v>
      </c>
      <c r="BZ98" s="19">
        <f t="shared" si="116"/>
        <v>1.9103291713959969E-3</v>
      </c>
      <c r="CA98" s="19">
        <f t="shared" si="116"/>
        <v>0</v>
      </c>
      <c r="CB98" s="19">
        <f t="shared" si="138"/>
        <v>1.146197502837687E-2</v>
      </c>
      <c r="CC98" s="19">
        <f t="shared" si="138"/>
        <v>1.2735527809308866E-3</v>
      </c>
      <c r="CD98" s="19">
        <f t="shared" si="138"/>
        <v>1.9103291713962189E-3</v>
      </c>
      <c r="CE98" s="65"/>
      <c r="CG98" s="20">
        <f t="shared" si="118"/>
        <v>1.0003639221164764</v>
      </c>
      <c r="CH98" s="20">
        <f>'Ethylene Oxide'!AS19</f>
        <v>0.9867956867196368</v>
      </c>
      <c r="CI98" s="20">
        <f>'Ethylene Oxide'!AT19</f>
        <v>1.0383745743473327</v>
      </c>
      <c r="CJ98" s="20">
        <f>'Ethylene Oxide'!AU19</f>
        <v>1.0593881952326902</v>
      </c>
      <c r="CK98" s="20">
        <f>'Ethylene Oxide'!AV19</f>
        <v>1.0549307604994325</v>
      </c>
      <c r="CL98" s="20">
        <f>'Ethylene Oxide'!AW19</f>
        <v>1.039011350737798</v>
      </c>
      <c r="CM98" s="20">
        <f>'Ethylene Oxide'!AX19</f>
        <v>0.97851759364358681</v>
      </c>
      <c r="CN98" s="20">
        <f>'Ethylene Oxide'!AY19</f>
        <v>0.97851759364358681</v>
      </c>
      <c r="CO98" s="20">
        <f>'Ethylene Oxide'!AZ19</f>
        <v>0.96450851305334839</v>
      </c>
      <c r="CP98" s="20">
        <f>'Ethylene Oxide'!BA19</f>
        <v>0.96896594778660616</v>
      </c>
      <c r="CQ98" s="20">
        <f>'Ethylene Oxide'!BB19</f>
        <v>0.96832917139614083</v>
      </c>
      <c r="CR98" s="20">
        <f>'Ethylene Oxide'!BC19</f>
        <v>0.96450851305334839</v>
      </c>
      <c r="CS98" s="20">
        <f>'Ethylene Oxide'!BD19</f>
        <v>0.9625981838819524</v>
      </c>
      <c r="CT98" s="20">
        <f>'Ethylene Oxide'!BE19</f>
        <v>0.96005107832009084</v>
      </c>
      <c r="CU98" s="20">
        <f>'Ethylene Oxide'!BF19</f>
        <v>0.95877752553916018</v>
      </c>
      <c r="CV98" s="20">
        <f>'Ethylene Oxide'!BG19</f>
        <v>0.95814074914869463</v>
      </c>
      <c r="CW98" s="20">
        <f>'Ethylene Oxide'!BH19</f>
        <v>0.99953121452894433</v>
      </c>
      <c r="CX98" s="20">
        <f>'Ethylene Oxide'!BI19</f>
        <v>0.99316345062429057</v>
      </c>
      <c r="CY98" s="20">
        <f>'Ethylene Oxide'!BJ19</f>
        <v>0.99316345062429057</v>
      </c>
      <c r="CZ98" s="20">
        <f>'Ethylene Oxide'!BK19</f>
        <v>0.99316345062429057</v>
      </c>
      <c r="DA98" s="20">
        <f>'Ethylene Oxide'!BL19</f>
        <v>1.0269125993189558</v>
      </c>
      <c r="DB98" s="20">
        <f>'Ethylene Oxide'!BM19</f>
        <v>1.0275493757094212</v>
      </c>
      <c r="DC98" s="20">
        <f>'Ethylene Oxide'!BN19</f>
        <v>1.0275493757094212</v>
      </c>
      <c r="DD98" s="20">
        <f>'Ethylene Oxide'!BO19</f>
        <v>1.0281861520998865</v>
      </c>
      <c r="DE98" s="20">
        <f>'Ethylene Oxide'!BP19</f>
        <v>1.007172531214529</v>
      </c>
      <c r="DF98" s="20">
        <f>'Ethylene Oxide'!BQ19</f>
        <v>1.007172531214529</v>
      </c>
      <c r="DG98" s="20">
        <f>'Ethylene Oxide'!BR19</f>
        <v>1.0141770715096481</v>
      </c>
      <c r="DH98" s="20">
        <f>'Ethylene Oxide'!BS19</f>
        <v>1.0033518728717365</v>
      </c>
      <c r="DI98" s="20">
        <f>'Ethylene Oxide'!BT19</f>
        <v>0.998894438138479</v>
      </c>
      <c r="DJ98" s="20">
        <f>'Ethylene Oxide'!BU19</f>
        <v>1.000804767309875</v>
      </c>
      <c r="DK98" s="20">
        <f>'Ethylene Oxide'!BV19</f>
        <v>1.0039886492622021</v>
      </c>
      <c r="DL98" s="20">
        <f>'Ethylene Oxide'!BW19</f>
        <v>1.0103564131668559</v>
      </c>
      <c r="DM98" s="20">
        <f>'Ethylene Oxide'!BX19</f>
        <v>1.0052622020431328</v>
      </c>
      <c r="DN98" s="20">
        <f>'Ethylene Oxide'!BY19</f>
        <v>1.0052622020431328</v>
      </c>
      <c r="DO98" s="20">
        <f>'Ethylene Oxide'!BZ19</f>
        <v>1.0052622020431328</v>
      </c>
      <c r="DP98" s="20">
        <f>'Ethylene Oxide'!CA19</f>
        <v>1.0052622020431328</v>
      </c>
      <c r="DQ98" s="20">
        <f>'Ethylene Oxide'!CB19</f>
        <v>1.0052622020431328</v>
      </c>
      <c r="DR98" s="20">
        <f>'Ethylene Oxide'!CC19</f>
        <v>0.99762088535754834</v>
      </c>
      <c r="DS98" s="20">
        <f>'Ethylene Oxide'!CD19</f>
        <v>0.99762088535754834</v>
      </c>
      <c r="DT98" s="20">
        <f>'Ethylene Oxide'!CE19</f>
        <v>1.0250022701475596</v>
      </c>
      <c r="DU98" s="20">
        <f>'Ethylene Oxide'!CF19</f>
        <v>1.0250022701475596</v>
      </c>
      <c r="DV98" s="20">
        <f>'Ethylene Oxide'!CG19</f>
        <v>1.0262758229284903</v>
      </c>
      <c r="DW98" s="20">
        <f>'Ethylene Oxide'!CH19</f>
        <v>1.0243654937570943</v>
      </c>
      <c r="DX98" s="20">
        <f>'Ethylene Oxide'!CI19</f>
        <v>1.0434687854710556</v>
      </c>
      <c r="DY98" s="20">
        <f>'Ethylene Oxide'!CJ19</f>
        <v>1.0434687854710556</v>
      </c>
      <c r="DZ98" s="20">
        <f>'Ethylene Oxide'!CK19</f>
        <v>1.0434687854710556</v>
      </c>
      <c r="EA98" s="20">
        <f>'Ethylene Oxide'!CL19</f>
        <v>1.0326435868331441</v>
      </c>
      <c r="EB98" s="20">
        <f>'Ethylene Oxide'!CM19</f>
        <v>1.0326435868331441</v>
      </c>
      <c r="EC98" s="20">
        <f>'Ethylene Oxide'!CN19</f>
        <v>1.0371010215664018</v>
      </c>
      <c r="ED98" s="20">
        <f>'Ethylene Oxide'!CO19</f>
        <v>1.0371010215664018</v>
      </c>
      <c r="EE98" s="20">
        <f>'Ethylene Oxide'!CP19</f>
        <v>1.0371010215664018</v>
      </c>
      <c r="EF98" s="20">
        <f>'Ethylene Oxide'!CQ19</f>
        <v>1.0371010215664018</v>
      </c>
      <c r="EG98" s="20">
        <f>'Ethylene Oxide'!CR19</f>
        <v>1.0230919409761634</v>
      </c>
      <c r="EH98" s="20">
        <f>'Ethylene Oxide'!CS19</f>
        <v>1.0167241770715096</v>
      </c>
      <c r="EI98" s="20">
        <f>'Ethylene Oxide'!CT19</f>
        <v>1.0167241770715096</v>
      </c>
      <c r="EJ98" s="20">
        <f>'Ethylene Oxide'!CU19</f>
        <v>1.0135402951191828</v>
      </c>
      <c r="EK98" s="20">
        <f>'Ethylene Oxide'!CV19</f>
        <v>1.0135402951191828</v>
      </c>
      <c r="EL98" s="20">
        <f>'Ethylene Oxide'!CW19</f>
        <v>1.0199080590238365</v>
      </c>
      <c r="EM98" s="20">
        <f>'Ethylene Oxide'!CX19</f>
        <v>1.0230919409761634</v>
      </c>
      <c r="EN98" s="20">
        <f>'Ethylene Oxide'!CY19</f>
        <v>1.0230919409761634</v>
      </c>
      <c r="EO98" s="20">
        <f>'Ethylene Oxide'!CZ19</f>
        <v>1.0396481271282634</v>
      </c>
      <c r="EP98" s="20">
        <f>'Ethylene Oxide'!DA19</f>
        <v>1.0396481271282634</v>
      </c>
      <c r="EQ98" s="20">
        <f>'Ethylene Oxide'!DB19</f>
        <v>1.0441055618615209</v>
      </c>
      <c r="ER98" s="20">
        <f>'Ethylene Oxide'!DC19</f>
        <v>1.049199772985244</v>
      </c>
      <c r="ES98" s="20">
        <f>'Ethylene Oxide'!DD19</f>
        <v>1.0371010215664018</v>
      </c>
      <c r="ET98" s="20">
        <f>'Ethylene Oxide'!DE19</f>
        <v>1.0371010215664018</v>
      </c>
      <c r="EU98" s="20">
        <f>'Ethylene Oxide'!DF19</f>
        <v>1.0371010215664018</v>
      </c>
      <c r="EV98" s="20">
        <f>'Ethylene Oxide'!DG19</f>
        <v>1.0371010215664018</v>
      </c>
      <c r="EW98" s="20">
        <f>'Ethylene Oxide'!DH19</f>
        <v>1.0148138479001134</v>
      </c>
      <c r="EX98" s="20">
        <f>'Ethylene Oxide'!DI19</f>
        <v>1.0090828603859252</v>
      </c>
      <c r="EY98" s="20">
        <f>'Ethylene Oxide'!DJ19</f>
        <v>1.0090828603859252</v>
      </c>
      <c r="EZ98" s="20">
        <f>'Ethylene Oxide'!DK19</f>
        <v>1.0014415437003406</v>
      </c>
      <c r="FA98" s="20">
        <f>'Ethylene Oxide'!DL19</f>
        <v>1.0167241770715096</v>
      </c>
      <c r="FB98" s="20">
        <f>'Ethylene Oxide'!DM19</f>
        <v>1.0141770715096481</v>
      </c>
      <c r="FC98" s="20">
        <f>'Ethylene Oxide'!DN19</f>
        <v>1.0020783200908059</v>
      </c>
      <c r="FD98" s="20">
        <f>'Ethylene Oxide'!DO19</f>
        <v>1.0001679909194099</v>
      </c>
      <c r="FE98" s="20">
        <f>'Ethylene Oxide'!DP19</f>
        <v>1.0001679909194099</v>
      </c>
      <c r="FF98" s="20">
        <f>'Ethylene Oxide'!DQ19</f>
        <v>0.98870601589103302</v>
      </c>
      <c r="FG98" s="20">
        <f>'Ethylene Oxide'!DR19</f>
        <v>0.98743246311010213</v>
      </c>
      <c r="FH98" s="20">
        <f>'Ethylene Oxide'!DS19</f>
        <v>0.98552213393870591</v>
      </c>
    </row>
    <row r="99" spans="1:164" hidden="1">
      <c r="A99" s="8" t="s">
        <v>248</v>
      </c>
      <c r="B99" s="8" t="s">
        <v>315</v>
      </c>
      <c r="AU99" s="60"/>
      <c r="BA99" s="19">
        <f t="shared" si="145"/>
        <v>0</v>
      </c>
      <c r="BL99" s="19">
        <f t="shared" ref="BL99:BO101" si="147">+EO99-EP99</f>
        <v>0</v>
      </c>
      <c r="BM99" s="19">
        <f t="shared" si="147"/>
        <v>0</v>
      </c>
      <c r="BN99" s="19">
        <f t="shared" si="147"/>
        <v>0</v>
      </c>
      <c r="BO99" s="19">
        <f t="shared" si="147"/>
        <v>0</v>
      </c>
      <c r="BP99" s="19">
        <f t="shared" si="130"/>
        <v>0</v>
      </c>
      <c r="BQ99" s="19">
        <f t="shared" si="131"/>
        <v>0</v>
      </c>
      <c r="BR99" s="19">
        <f t="shared" si="131"/>
        <v>0</v>
      </c>
      <c r="BS99" s="19">
        <f t="shared" si="114"/>
        <v>0</v>
      </c>
      <c r="BT99" s="19">
        <f t="shared" si="114"/>
        <v>0</v>
      </c>
      <c r="BU99" s="19">
        <f t="shared" si="132"/>
        <v>0</v>
      </c>
      <c r="BV99" s="19">
        <f t="shared" si="133"/>
        <v>0</v>
      </c>
      <c r="BW99" s="19">
        <f t="shared" si="115"/>
        <v>0</v>
      </c>
      <c r="BX99" s="19">
        <f t="shared" si="116"/>
        <v>0</v>
      </c>
      <c r="BY99" s="19">
        <f t="shared" si="116"/>
        <v>0</v>
      </c>
      <c r="BZ99" s="19">
        <f t="shared" si="116"/>
        <v>0</v>
      </c>
      <c r="CA99" s="19">
        <f t="shared" si="116"/>
        <v>0</v>
      </c>
      <c r="CB99" s="19">
        <f t="shared" si="138"/>
        <v>0</v>
      </c>
      <c r="CC99" s="19">
        <f t="shared" si="138"/>
        <v>0</v>
      </c>
      <c r="CD99" s="19">
        <f t="shared" si="138"/>
        <v>0</v>
      </c>
      <c r="CE99" s="65"/>
      <c r="CG99" s="20" t="e">
        <f t="shared" si="118"/>
        <v>#DIV/0!</v>
      </c>
    </row>
    <row r="100" spans="1:164" ht="15">
      <c r="A100" s="8" t="s">
        <v>203</v>
      </c>
      <c r="B100" s="45" t="s">
        <v>316</v>
      </c>
      <c r="AU100" s="60" t="s">
        <v>36</v>
      </c>
      <c r="BA100" s="19">
        <f t="shared" si="145"/>
        <v>0</v>
      </c>
      <c r="BB100" s="19">
        <f t="shared" ref="BB100:BK101" si="148">+EE100-EF100</f>
        <v>0</v>
      </c>
      <c r="BC100" s="19">
        <f t="shared" si="148"/>
        <v>1.7053405063963467E-2</v>
      </c>
      <c r="BD100" s="19">
        <f t="shared" si="148"/>
        <v>1.1907514567490729E-2</v>
      </c>
      <c r="BE100" s="19">
        <f t="shared" si="148"/>
        <v>2.1024852073510125E-3</v>
      </c>
      <c r="BF100" s="19">
        <f t="shared" si="148"/>
        <v>-4.6527642084588372E-3</v>
      </c>
      <c r="BG100" s="19">
        <f t="shared" si="148"/>
        <v>-1.8209801797409941E-2</v>
      </c>
      <c r="BH100" s="19">
        <f t="shared" si="148"/>
        <v>1.9199008471524337E-3</v>
      </c>
      <c r="BI100" s="19">
        <f t="shared" si="148"/>
        <v>-1.3774166293140322E-2</v>
      </c>
      <c r="BJ100" s="19">
        <f t="shared" si="148"/>
        <v>4.4979996077110229E-5</v>
      </c>
      <c r="BK100" s="19">
        <f t="shared" si="148"/>
        <v>-4.2225950970138371E-3</v>
      </c>
      <c r="BL100" s="19">
        <f t="shared" si="147"/>
        <v>1.3183441549027286E-3</v>
      </c>
      <c r="BM100" s="19">
        <f t="shared" si="147"/>
        <v>1.861587253369823E-3</v>
      </c>
      <c r="BN100" s="19">
        <f t="shared" si="147"/>
        <v>-1.95588867911205E-2</v>
      </c>
      <c r="BO100" s="19">
        <f t="shared" si="147"/>
        <v>1.0347805195380033E-2</v>
      </c>
      <c r="BP100" s="19">
        <f t="shared" si="130"/>
        <v>3.7132488220776416E-2</v>
      </c>
      <c r="BQ100" s="19">
        <f t="shared" si="131"/>
        <v>1.7541544209542792E-3</v>
      </c>
      <c r="BR100" s="19">
        <f t="shared" si="131"/>
        <v>-5.1033798561879173E-3</v>
      </c>
      <c r="BS100" s="19">
        <f t="shared" si="114"/>
        <v>1.54006025094513E-2</v>
      </c>
      <c r="BT100" s="19">
        <f t="shared" si="114"/>
        <v>-2.1385225935732777E-3</v>
      </c>
      <c r="BU100" s="19">
        <f t="shared" si="132"/>
        <v>9.4345972627332131E-3</v>
      </c>
      <c r="BV100" s="19">
        <f t="shared" si="133"/>
        <v>1.3648962667645037E-5</v>
      </c>
      <c r="BW100" s="19">
        <f t="shared" si="115"/>
        <v>-3.202672409341023E-3</v>
      </c>
      <c r="BX100" s="19">
        <f t="shared" si="116"/>
        <v>3.8049566835551829E-4</v>
      </c>
      <c r="BY100" s="19">
        <f t="shared" si="116"/>
        <v>-4.6999339700022347E-3</v>
      </c>
      <c r="BZ100" s="19">
        <f t="shared" si="116"/>
        <v>7.0159480503928506E-3</v>
      </c>
      <c r="CA100" s="19">
        <f t="shared" si="116"/>
        <v>-4.4285316269818686E-3</v>
      </c>
      <c r="CB100" s="19">
        <f t="shared" si="138"/>
        <v>1.3271025335193087E-3</v>
      </c>
      <c r="CC100" s="19">
        <f t="shared" si="138"/>
        <v>1.2769645978094601E-4</v>
      </c>
      <c r="CD100" s="19">
        <f t="shared" si="138"/>
        <v>-5.9227203620100255E-3</v>
      </c>
      <c r="CE100" s="65"/>
      <c r="CG100" s="20">
        <f t="shared" si="118"/>
        <v>2.4423997266291431</v>
      </c>
      <c r="CH100" s="20">
        <f>'3 Methoxy Propylamine'!AS23</f>
        <v>2.5169886991904837</v>
      </c>
      <c r="CI100" s="20">
        <f>'3 Methoxy Propylamine'!AT23</f>
        <v>2.5784806470644446</v>
      </c>
      <c r="CJ100" s="20">
        <f>'3 Methoxy Propylamine'!AU23</f>
        <v>2.7514457098192699</v>
      </c>
      <c r="CK100" s="20">
        <f>'3 Methoxy Propylamine'!AV23</f>
        <v>2.5787019527739528</v>
      </c>
      <c r="CL100" s="20">
        <f>'3 Methoxy Propylamine'!AW23</f>
        <v>2.5552918569105998</v>
      </c>
      <c r="CM100" s="20">
        <f>'3 Methoxy Propylamine'!AX23</f>
        <v>2.508810706345483</v>
      </c>
      <c r="CN100" s="20">
        <f>'3 Methoxy Propylamine'!AY23</f>
        <v>2.3948934081089917</v>
      </c>
      <c r="CO100" s="20">
        <f>'3 Methoxy Propylamine'!AZ23</f>
        <v>2.3916729844844435</v>
      </c>
      <c r="CP100" s="20">
        <f>'3 Methoxy Propylamine'!BA23</f>
        <v>2.3920492803630524</v>
      </c>
      <c r="CQ100" s="20">
        <f>'3 Methoxy Propylamine'!BB23</f>
        <v>2.4031988845133938</v>
      </c>
      <c r="CR100" s="20">
        <f>'3 Methoxy Propylamine'!BC23</f>
        <v>2.4024157495973908</v>
      </c>
      <c r="CS100" s="20">
        <f>'3 Methoxy Propylamine'!BD23</f>
        <v>2.4220632001757196</v>
      </c>
      <c r="CT100" s="20">
        <f>'3 Methoxy Propylamine'!BE23</f>
        <v>2.4220632001757196</v>
      </c>
      <c r="CU100" s="20">
        <f>'3 Methoxy Propylamine'!BF23</f>
        <v>2.4144107104779273</v>
      </c>
      <c r="CV100" s="20">
        <f>'3 Methoxy Propylamine'!BG23</f>
        <v>2.4138651843010681</v>
      </c>
      <c r="CW100" s="20">
        <f>'3 Methoxy Propylamine'!BH23</f>
        <v>2.4094077879676434</v>
      </c>
      <c r="CX100" s="20">
        <f>'3 Methoxy Propylamine'!BI23</f>
        <v>2.4492292094906052</v>
      </c>
      <c r="CY100" s="20">
        <f>'3 Methoxy Propylamine'!BJ23</f>
        <v>2.4487818012631011</v>
      </c>
      <c r="CZ100" s="20">
        <f>'3 Methoxy Propylamine'!BK23</f>
        <v>2.4672014085892284</v>
      </c>
      <c r="DA100" s="20">
        <f>'3 Methoxy Propylamine'!BL23</f>
        <v>2.4850690507087747</v>
      </c>
      <c r="DB100" s="20">
        <f>'3 Methoxy Propylamine'!BM23</f>
        <v>2.4204178566099372</v>
      </c>
      <c r="DC100" s="20">
        <f>'3 Methoxy Propylamine'!BN23</f>
        <v>2.4140601270064481</v>
      </c>
      <c r="DD100" s="20">
        <f>'3 Methoxy Propylamine'!BO23</f>
        <v>2.4141240954649184</v>
      </c>
      <c r="DE100" s="20">
        <f>'3 Methoxy Propylamine'!BP23</f>
        <v>2.405523357410555</v>
      </c>
      <c r="DF100" s="20">
        <f>'3 Methoxy Propylamine'!BQ23</f>
        <v>2.405523357410555</v>
      </c>
      <c r="DG100" s="20">
        <f>'3 Methoxy Propylamine'!BR23</f>
        <v>2.415071282635914</v>
      </c>
      <c r="DH100" s="20">
        <f>'3 Methoxy Propylamine'!BS23</f>
        <v>2.4149596732755145</v>
      </c>
      <c r="DI100" s="20">
        <f>'3 Methoxy Propylamine'!BT23</f>
        <v>2.4042384469727147</v>
      </c>
      <c r="DJ100" s="20">
        <f>'3 Methoxy Propylamine'!BU23</f>
        <v>2.4001942287545135</v>
      </c>
      <c r="DK100" s="20">
        <f>'3 Methoxy Propylamine'!BV23</f>
        <v>2.4065897010652062</v>
      </c>
      <c r="DL100" s="20">
        <f>'3 Methoxy Propylamine'!BW23</f>
        <v>2.4043095011164066</v>
      </c>
      <c r="DM100" s="20">
        <f>'3 Methoxy Propylamine'!BX23</f>
        <v>2.449125892759449</v>
      </c>
      <c r="DN100" s="20">
        <f>'3 Methoxy Propylamine'!BY23</f>
        <v>2.4489740974988901</v>
      </c>
      <c r="DO100" s="20">
        <f>'3 Methoxy Propylamine'!BZ23</f>
        <v>2.4942441145480849</v>
      </c>
      <c r="DP100" s="20">
        <f>'3 Methoxy Propylamine'!CA23</f>
        <v>2.4878227561356034</v>
      </c>
      <c r="DQ100" s="20">
        <f>'3 Methoxy Propylamine'!CB23</f>
        <v>2.4878072279204813</v>
      </c>
      <c r="DR100" s="20">
        <f>'3 Methoxy Propylamine'!CC23</f>
        <v>2.5023100818895907</v>
      </c>
      <c r="DS100" s="20">
        <f>'3 Methoxy Propylamine'!CD23</f>
        <v>2.4554058862422945</v>
      </c>
      <c r="DT100" s="20">
        <f>'3 Methoxy Propylamine'!CE23</f>
        <v>2.4553020709241253</v>
      </c>
      <c r="DU100" s="20">
        <f>'3 Methoxy Propylamine'!CF23</f>
        <v>2.4747567204932195</v>
      </c>
      <c r="DV100" s="20">
        <f>'3 Methoxy Propylamine'!CG23</f>
        <v>2.4767177445072464</v>
      </c>
      <c r="DW100" s="20">
        <f>'3 Methoxy Propylamine'!CH23</f>
        <v>2.4569847416478359</v>
      </c>
      <c r="DX100" s="20">
        <f>'3 Methoxy Propylamine'!CI23</f>
        <v>2.456910295691741</v>
      </c>
      <c r="DY100" s="20">
        <f>'3 Methoxy Propylamine'!CJ23</f>
        <v>2.4631475438899497</v>
      </c>
      <c r="DZ100" s="20">
        <f>'3 Methoxy Propylamine'!CK23</f>
        <v>2.4628426049343863</v>
      </c>
      <c r="EA100" s="20">
        <f>'3 Methoxy Propylamine'!CL23</f>
        <v>2.4676988192992768</v>
      </c>
      <c r="EB100" s="20">
        <f>'3 Methoxy Propylamine'!CM23</f>
        <v>2.4666795520469043</v>
      </c>
      <c r="EC100" s="20">
        <f>'3 Methoxy Propylamine'!CN23</f>
        <v>2.466906018504623</v>
      </c>
      <c r="ED100" s="20">
        <f>'3 Methoxy Propylamine'!CO23</f>
        <v>2.4600296733338993</v>
      </c>
      <c r="EE100" s="20">
        <f>'3 Methoxy Propylamine'!CP23</f>
        <v>2.4600296733338993</v>
      </c>
      <c r="EF100" s="20">
        <f>'3 Methoxy Propylamine'!CQ23</f>
        <v>2.4600296733338993</v>
      </c>
      <c r="EG100" s="20">
        <f>'3 Methoxy Propylamine'!CR23</f>
        <v>2.4429762682699359</v>
      </c>
      <c r="EH100" s="20">
        <f>'3 Methoxy Propylamine'!CS23</f>
        <v>2.4310687537024451</v>
      </c>
      <c r="EI100" s="20">
        <f>'3 Methoxy Propylamine'!CT23</f>
        <v>2.4289662684950941</v>
      </c>
      <c r="EJ100" s="20">
        <f>'3 Methoxy Propylamine'!CU23</f>
        <v>2.433619032703553</v>
      </c>
      <c r="EK100" s="20">
        <f>'3 Methoxy Propylamine'!CV23</f>
        <v>2.4518288345009629</v>
      </c>
      <c r="EL100" s="20">
        <f>'3 Methoxy Propylamine'!CW23</f>
        <v>2.4499089336538105</v>
      </c>
      <c r="EM100" s="20">
        <f>'3 Methoxy Propylamine'!CX23</f>
        <v>2.4636830999469508</v>
      </c>
      <c r="EN100" s="20">
        <f>'3 Methoxy Propylamine'!CY23</f>
        <v>2.4636381199508737</v>
      </c>
      <c r="EO100" s="20">
        <f>'3 Methoxy Propylamine'!CZ23</f>
        <v>2.4678607150478875</v>
      </c>
      <c r="EP100" s="20">
        <f>'3 Methoxy Propylamine'!DA23</f>
        <v>2.4665423708929848</v>
      </c>
      <c r="EQ100" s="20">
        <f>'3 Methoxy Propylamine'!DB23</f>
        <v>2.464680783639615</v>
      </c>
      <c r="ER100" s="20">
        <f>'3 Methoxy Propylamine'!DC23</f>
        <v>2.4842396704307355</v>
      </c>
      <c r="ES100" s="20">
        <f>'3 Methoxy Propylamine'!DD23</f>
        <v>2.4738918652353554</v>
      </c>
      <c r="ET100" s="20">
        <f>'3 Methoxy Propylamine'!DE23</f>
        <v>2.436759377014579</v>
      </c>
      <c r="EU100" s="20">
        <f>'3 Methoxy Propylamine'!DF23</f>
        <v>2.4350052225936247</v>
      </c>
      <c r="EV100" s="20">
        <f>'3 Methoxy Propylamine'!DG23</f>
        <v>2.4401086024498126</v>
      </c>
      <c r="EW100" s="20">
        <f>'3 Methoxy Propylamine'!DH23</f>
        <v>2.4247079999403613</v>
      </c>
      <c r="EX100" s="20">
        <f>'3 Methoxy Propylamine'!DI23</f>
        <v>2.4268465225339346</v>
      </c>
      <c r="EY100" s="20">
        <f>'3 Methoxy Propylamine'!DJ23</f>
        <v>2.4174119252712014</v>
      </c>
      <c r="EZ100" s="20">
        <f>'3 Methoxy Propylamine'!DK23</f>
        <v>2.4173982763085338</v>
      </c>
      <c r="FA100" s="20">
        <f>'3 Methoxy Propylamine'!DL23</f>
        <v>2.4206009487178748</v>
      </c>
      <c r="FB100" s="20">
        <f>'3 Methoxy Propylamine'!DM23</f>
        <v>2.4202204530495193</v>
      </c>
      <c r="FC100" s="20">
        <f>'3 Methoxy Propylamine'!DN23</f>
        <v>2.4249203870195215</v>
      </c>
      <c r="FD100" s="20">
        <f>'3 Methoxy Propylamine'!DO23</f>
        <v>2.4179044389691287</v>
      </c>
      <c r="FE100" s="20">
        <f>'3 Methoxy Propylamine'!DP23</f>
        <v>2.4223329705961105</v>
      </c>
      <c r="FF100" s="20">
        <f>'3 Methoxy Propylamine'!DQ23</f>
        <v>2.4210058680625912</v>
      </c>
      <c r="FG100" s="20">
        <f>'3 Methoxy Propylamine'!DR23</f>
        <v>2.4208781716028103</v>
      </c>
      <c r="FH100" s="20">
        <f>'3 Methoxy Propylamine'!DS23</f>
        <v>2.4268008919648203</v>
      </c>
    </row>
    <row r="101" spans="1:164">
      <c r="A101" s="8" t="s">
        <v>207</v>
      </c>
      <c r="B101" s="8" t="s">
        <v>86</v>
      </c>
      <c r="AU101" s="60" t="s">
        <v>36</v>
      </c>
      <c r="BA101" s="19">
        <f t="shared" si="145"/>
        <v>0</v>
      </c>
      <c r="BB101" s="19">
        <f t="shared" si="148"/>
        <v>0</v>
      </c>
      <c r="BC101" s="19">
        <f t="shared" si="148"/>
        <v>0</v>
      </c>
      <c r="BD101" s="19">
        <f t="shared" si="148"/>
        <v>0.1827427144046628</v>
      </c>
      <c r="BE101" s="19">
        <f t="shared" si="148"/>
        <v>0</v>
      </c>
      <c r="BF101" s="19">
        <f t="shared" si="148"/>
        <v>0</v>
      </c>
      <c r="BG101" s="19">
        <f t="shared" si="148"/>
        <v>0</v>
      </c>
      <c r="BH101" s="19">
        <f t="shared" si="148"/>
        <v>0</v>
      </c>
      <c r="BI101" s="19">
        <f t="shared" si="148"/>
        <v>0</v>
      </c>
      <c r="BJ101" s="19">
        <f t="shared" si="148"/>
        <v>0</v>
      </c>
      <c r="BK101" s="19">
        <f t="shared" si="148"/>
        <v>0</v>
      </c>
      <c r="BL101" s="19">
        <f t="shared" si="147"/>
        <v>0</v>
      </c>
      <c r="BM101" s="19">
        <f t="shared" si="147"/>
        <v>0</v>
      </c>
      <c r="BN101" s="19">
        <f t="shared" si="147"/>
        <v>0</v>
      </c>
      <c r="BO101" s="19">
        <f t="shared" si="147"/>
        <v>0</v>
      </c>
      <c r="BP101" s="19">
        <f t="shared" si="130"/>
        <v>0</v>
      </c>
      <c r="BQ101" s="19">
        <f t="shared" si="131"/>
        <v>0</v>
      </c>
      <c r="BR101" s="19">
        <f t="shared" si="131"/>
        <v>0</v>
      </c>
      <c r="BS101" s="19">
        <f t="shared" si="114"/>
        <v>0</v>
      </c>
      <c r="BT101" s="19">
        <f t="shared" si="114"/>
        <v>0</v>
      </c>
      <c r="BU101" s="19">
        <f t="shared" si="132"/>
        <v>0</v>
      </c>
      <c r="BV101" s="19">
        <f t="shared" si="133"/>
        <v>0</v>
      </c>
      <c r="BW101" s="19">
        <f t="shared" si="115"/>
        <v>0</v>
      </c>
      <c r="BX101" s="19">
        <f t="shared" si="116"/>
        <v>0</v>
      </c>
      <c r="BY101" s="19">
        <f t="shared" si="116"/>
        <v>0</v>
      </c>
      <c r="BZ101" s="19">
        <f t="shared" si="116"/>
        <v>0</v>
      </c>
      <c r="CA101" s="19">
        <f t="shared" si="116"/>
        <v>0</v>
      </c>
      <c r="CB101" s="19">
        <f t="shared" si="138"/>
        <v>0</v>
      </c>
      <c r="CC101" s="19">
        <f t="shared" si="138"/>
        <v>0</v>
      </c>
      <c r="CD101" s="19">
        <f t="shared" si="138"/>
        <v>0</v>
      </c>
      <c r="CE101" s="65"/>
      <c r="CG101" s="20">
        <f t="shared" si="118"/>
        <v>0.17354230448984825</v>
      </c>
      <c r="CH101" s="20">
        <f>'acetic acid'!AS19</f>
        <v>0.17340549542048295</v>
      </c>
      <c r="CI101" s="20">
        <f>'acetic acid'!AT19</f>
        <v>0.18541049125728559</v>
      </c>
      <c r="CJ101" s="20">
        <f>'acetic acid'!AU19</f>
        <v>0.19341382181515404</v>
      </c>
      <c r="CK101" s="20">
        <f>'acetic acid'!AV19</f>
        <v>0.17874104912572858</v>
      </c>
      <c r="CL101" s="20">
        <f>'acetic acid'!AW19</f>
        <v>0.1654021648626145</v>
      </c>
      <c r="CM101" s="20">
        <f>'acetic acid'!AX19</f>
        <v>0.16006661115736887</v>
      </c>
      <c r="CN101" s="20">
        <f>'acetic acid'!AY19</f>
        <v>0.16006661115736887</v>
      </c>
      <c r="CO101" s="20">
        <f>'acetic acid'!AZ19</f>
        <v>0.15473105745212323</v>
      </c>
      <c r="CP101" s="20">
        <f>'acetic acid'!BA19</f>
        <v>0.15473105745212323</v>
      </c>
      <c r="CQ101" s="20">
        <f>'acetic acid'!BB19</f>
        <v>0.15473105745212323</v>
      </c>
      <c r="CR101" s="20">
        <f>'acetic acid'!BC19</f>
        <v>0.15473105745212323</v>
      </c>
      <c r="CS101" s="20">
        <f>'acetic acid'!BD19</f>
        <v>0.1654021648626145</v>
      </c>
      <c r="CT101" s="20">
        <f>'acetic acid'!BE19</f>
        <v>0.1654021648626145</v>
      </c>
      <c r="CU101" s="20">
        <f>'acetic acid'!BF19</f>
        <v>0.1654021648626145</v>
      </c>
      <c r="CV101" s="20">
        <f>'acetic acid'!BG19</f>
        <v>0.1654021648626145</v>
      </c>
      <c r="CW101" s="20">
        <f>'acetic acid'!BH19</f>
        <v>0.1654021648626145</v>
      </c>
      <c r="CX101" s="20">
        <f>'acetic acid'!BI19</f>
        <v>0.17607327227310576</v>
      </c>
      <c r="CY101" s="20">
        <f>'acetic acid'!BJ19</f>
        <v>0.17607327227310576</v>
      </c>
      <c r="CZ101" s="20">
        <f>'acetic acid'!BK19</f>
        <v>0.17607327227310576</v>
      </c>
      <c r="DA101" s="20">
        <f>'acetic acid'!BL19</f>
        <v>0.17607327227310576</v>
      </c>
      <c r="DB101" s="20">
        <f>'acetic acid'!BM19</f>
        <v>0.17607327227310576</v>
      </c>
      <c r="DC101" s="20">
        <f>'acetic acid'!BN19</f>
        <v>0.17607327227310576</v>
      </c>
      <c r="DD101" s="20">
        <f>'acetic acid'!BO19</f>
        <v>0.17607327227310576</v>
      </c>
      <c r="DE101" s="20">
        <f>'acetic acid'!BP19</f>
        <v>0.16806994171523731</v>
      </c>
      <c r="DF101" s="20">
        <f>'acetic acid'!BQ19</f>
        <v>0.16806994171523731</v>
      </c>
      <c r="DG101" s="20">
        <f>'acetic acid'!BR19</f>
        <v>0.16806994171523731</v>
      </c>
      <c r="DH101" s="20">
        <f>'acetic acid'!BS19</f>
        <v>0.16806994171523731</v>
      </c>
      <c r="DI101" s="20">
        <f>'acetic acid'!BT19</f>
        <v>0.17874104912572858</v>
      </c>
      <c r="DJ101" s="20">
        <f>'acetic acid'!BU19</f>
        <v>0.17874104912572858</v>
      </c>
      <c r="DK101" s="20">
        <f>'acetic acid'!BV19</f>
        <v>0.17874104912572858</v>
      </c>
      <c r="DL101" s="20">
        <f>'acetic acid'!BW19</f>
        <v>0.18007493755203999</v>
      </c>
      <c r="DM101" s="20">
        <f>'acetic acid'!BX19</f>
        <v>0.18007493755203999</v>
      </c>
      <c r="DN101" s="20">
        <f>'acetic acid'!BY19</f>
        <v>0.18007493755203999</v>
      </c>
      <c r="DO101" s="20">
        <f>'acetic acid'!BZ19</f>
        <v>0.18541049125728559</v>
      </c>
      <c r="DP101" s="20">
        <f>'acetic acid'!CA19</f>
        <v>0.18541049125728559</v>
      </c>
      <c r="DQ101" s="20">
        <f>'acetic acid'!CB19</f>
        <v>0.18541049125728559</v>
      </c>
      <c r="DR101" s="20">
        <f>'acetic acid'!CC19</f>
        <v>0.18541049125728559</v>
      </c>
      <c r="DS101" s="20">
        <f>'acetic acid'!CD19</f>
        <v>0.18541049125728559</v>
      </c>
      <c r="DT101" s="20">
        <f>'acetic acid'!CE19</f>
        <v>0.18541049125728559</v>
      </c>
      <c r="DU101" s="20">
        <f>'acetic acid'!CF19</f>
        <v>0.18541049125728559</v>
      </c>
      <c r="DV101" s="20">
        <f>'acetic acid'!CG19</f>
        <v>0.18941215653621982</v>
      </c>
      <c r="DW101" s="20">
        <f>'acetic acid'!CH19</f>
        <v>0.18941215653621982</v>
      </c>
      <c r="DX101" s="20">
        <f>'acetic acid'!CI19</f>
        <v>0.18407660283097418</v>
      </c>
      <c r="DY101" s="20">
        <f>'acetic acid'!CJ19</f>
        <v>0.18407660283097418</v>
      </c>
      <c r="DZ101" s="20">
        <f>'acetic acid'!CK19</f>
        <v>0.18407660283097418</v>
      </c>
      <c r="EA101" s="20">
        <f>'acetic acid'!CL19</f>
        <v>0.18407660283097418</v>
      </c>
      <c r="EB101" s="20">
        <f>'acetic acid'!CM19</f>
        <v>0.1827427144046628</v>
      </c>
      <c r="EC101" s="20">
        <f>'acetic acid'!CN19</f>
        <v>0.1827427144046628</v>
      </c>
      <c r="ED101" s="20">
        <f>'acetic acid'!CO19</f>
        <v>0.1827427144046628</v>
      </c>
      <c r="EE101" s="20">
        <f>'acetic acid'!CP19</f>
        <v>0.1827427144046628</v>
      </c>
      <c r="EF101" s="20">
        <f>'acetic acid'!CQ19</f>
        <v>0.1827427144046628</v>
      </c>
      <c r="EG101" s="20">
        <f>'acetic acid'!CR19</f>
        <v>0.1827427144046628</v>
      </c>
      <c r="EH101" s="20">
        <f>'acetic acid'!CS19</f>
        <v>0</v>
      </c>
      <c r="EI101" s="20">
        <f>'acetic acid'!CT19</f>
        <v>0</v>
      </c>
      <c r="EJ101" s="20">
        <f>'acetic acid'!CU19</f>
        <v>0</v>
      </c>
      <c r="EK101" s="20">
        <f>'acetic acid'!CV19</f>
        <v>0</v>
      </c>
      <c r="EL101" s="20">
        <f>'acetic acid'!CW19</f>
        <v>0</v>
      </c>
      <c r="EM101" s="261">
        <f>'acetic acid'!CX19</f>
        <v>0</v>
      </c>
      <c r="EN101" s="20">
        <f>'acetic acid'!CY19</f>
        <v>0</v>
      </c>
      <c r="EO101" s="20">
        <f>'acetic acid'!CZ19</f>
        <v>0</v>
      </c>
      <c r="EP101" s="20">
        <f>'acetic acid'!DA19</f>
        <v>0</v>
      </c>
      <c r="EQ101" s="20">
        <f>'acetic acid'!DB19</f>
        <v>0</v>
      </c>
      <c r="ER101" s="20">
        <f>'acetic acid'!DC19</f>
        <v>0</v>
      </c>
      <c r="ES101" s="20">
        <f>'acetic acid'!DD19</f>
        <v>0</v>
      </c>
      <c r="ET101" s="20">
        <f>'acetic acid'!DE19</f>
        <v>0</v>
      </c>
      <c r="EU101" s="20">
        <f>'acetic acid'!DF19</f>
        <v>0</v>
      </c>
      <c r="EV101" s="20">
        <f>'acetic acid'!DG19</f>
        <v>0</v>
      </c>
      <c r="EW101" s="20">
        <f>'acetic acid'!DH19</f>
        <v>0</v>
      </c>
      <c r="EX101" s="20">
        <f>'acetic acid'!DI19</f>
        <v>0</v>
      </c>
      <c r="EY101" s="20">
        <f>'acetic acid'!DJ19</f>
        <v>0</v>
      </c>
      <c r="EZ101" s="20">
        <f>'acetic acid'!DK19</f>
        <v>0</v>
      </c>
      <c r="FA101" s="20">
        <f>'acetic acid'!DL19</f>
        <v>0</v>
      </c>
      <c r="FB101" s="20">
        <f>'acetic acid'!DM19</f>
        <v>0</v>
      </c>
      <c r="FC101" s="20">
        <f>'acetic acid'!DN19</f>
        <v>0</v>
      </c>
      <c r="FD101" s="20">
        <f>'acetic acid'!DO19</f>
        <v>0</v>
      </c>
      <c r="FE101" s="20">
        <f>'acetic acid'!DP19</f>
        <v>0</v>
      </c>
      <c r="FF101" s="20">
        <f>'acetic acid'!DQ19</f>
        <v>0</v>
      </c>
      <c r="FG101" s="20">
        <f>'acetic acid'!DR19</f>
        <v>0</v>
      </c>
      <c r="FH101" s="20">
        <f>'acetic acid'!DS19</f>
        <v>0</v>
      </c>
    </row>
    <row r="102" spans="1:164" hidden="1">
      <c r="A102" s="8" t="s">
        <v>229</v>
      </c>
      <c r="B102" s="8" t="s">
        <v>317</v>
      </c>
      <c r="AU102" s="60"/>
      <c r="BA102" s="19">
        <f t="shared" si="145"/>
        <v>0</v>
      </c>
      <c r="BB102" s="19">
        <f t="shared" ref="BB102:BB124" si="149">+EE102-EF102</f>
        <v>0</v>
      </c>
      <c r="BC102" s="19">
        <f t="shared" ref="BC102:BC124" si="150">+EF102-EG102</f>
        <v>0</v>
      </c>
      <c r="BD102" s="19">
        <f t="shared" ref="BD102:BD124" si="151">+EG102-EH102</f>
        <v>0</v>
      </c>
      <c r="BE102" s="19">
        <f t="shared" ref="BE102:BE124" si="152">+EH102-EI102</f>
        <v>0</v>
      </c>
      <c r="BF102" s="19">
        <f t="shared" ref="BF102:BF124" si="153">+EI102-EJ102</f>
        <v>0</v>
      </c>
      <c r="BG102" s="19">
        <f t="shared" ref="BG102:BG124" si="154">+EJ102-EK102</f>
        <v>0</v>
      </c>
      <c r="BH102" s="19">
        <f t="shared" ref="BH102:BH124" si="155">+EK102-EL102</f>
        <v>0</v>
      </c>
      <c r="BI102" s="19">
        <f t="shared" ref="BI102:BI124" si="156">+EL102-EM102</f>
        <v>0</v>
      </c>
      <c r="BJ102" s="19">
        <f t="shared" ref="BJ102:BJ124" si="157">+EM102-EN102</f>
        <v>0</v>
      </c>
      <c r="BK102" s="19">
        <f t="shared" ref="BK102:BK124" si="158">+EN102-EO102</f>
        <v>0</v>
      </c>
      <c r="BL102" s="19">
        <f t="shared" ref="BL102:BL124" si="159">+EO102-EP102</f>
        <v>0</v>
      </c>
      <c r="BM102" s="19">
        <f t="shared" ref="BM102:BO124" si="160">+EP102-EQ102</f>
        <v>0</v>
      </c>
      <c r="BN102" s="19">
        <f t="shared" si="160"/>
        <v>0</v>
      </c>
      <c r="BO102" s="19">
        <f t="shared" si="160"/>
        <v>0</v>
      </c>
      <c r="BP102" s="19">
        <f t="shared" si="130"/>
        <v>0</v>
      </c>
      <c r="BQ102" s="19">
        <f t="shared" si="131"/>
        <v>0</v>
      </c>
      <c r="BR102" s="19">
        <f t="shared" si="131"/>
        <v>0</v>
      </c>
      <c r="BS102" s="19">
        <f t="shared" si="114"/>
        <v>0</v>
      </c>
      <c r="BT102" s="19">
        <f t="shared" si="114"/>
        <v>0</v>
      </c>
      <c r="BU102" s="19">
        <f t="shared" si="132"/>
        <v>0</v>
      </c>
      <c r="BV102" s="19">
        <f t="shared" si="133"/>
        <v>0</v>
      </c>
      <c r="BW102" s="19">
        <f t="shared" si="115"/>
        <v>0</v>
      </c>
      <c r="BX102" s="19">
        <f t="shared" si="116"/>
        <v>0</v>
      </c>
      <c r="BY102" s="19">
        <f t="shared" si="116"/>
        <v>0</v>
      </c>
      <c r="BZ102" s="19">
        <f t="shared" si="116"/>
        <v>0</v>
      </c>
      <c r="CA102" s="19">
        <f t="shared" si="116"/>
        <v>0</v>
      </c>
      <c r="CB102" s="19">
        <f t="shared" si="138"/>
        <v>0</v>
      </c>
      <c r="CC102" s="19">
        <f t="shared" si="138"/>
        <v>0</v>
      </c>
      <c r="CD102" s="19">
        <f t="shared" si="138"/>
        <v>0</v>
      </c>
      <c r="CE102" s="65"/>
      <c r="CG102" s="20" t="e">
        <f t="shared" si="118"/>
        <v>#DIV/0!</v>
      </c>
    </row>
    <row r="103" spans="1:164" hidden="1">
      <c r="A103" s="8" t="s">
        <v>212</v>
      </c>
      <c r="B103" s="8" t="s">
        <v>318</v>
      </c>
      <c r="AU103" s="60"/>
      <c r="BA103" s="19">
        <f t="shared" si="145"/>
        <v>0</v>
      </c>
      <c r="BB103" s="19">
        <f t="shared" si="149"/>
        <v>0</v>
      </c>
      <c r="BC103" s="19">
        <f t="shared" si="150"/>
        <v>0</v>
      </c>
      <c r="BD103" s="19">
        <f t="shared" si="151"/>
        <v>0</v>
      </c>
      <c r="BE103" s="19">
        <f t="shared" si="152"/>
        <v>0</v>
      </c>
      <c r="BF103" s="19">
        <f t="shared" si="153"/>
        <v>0</v>
      </c>
      <c r="BG103" s="19">
        <f t="shared" si="154"/>
        <v>0</v>
      </c>
      <c r="BH103" s="19">
        <f t="shared" si="155"/>
        <v>0</v>
      </c>
      <c r="BI103" s="19">
        <f t="shared" si="156"/>
        <v>0</v>
      </c>
      <c r="BJ103" s="19">
        <f t="shared" si="157"/>
        <v>0</v>
      </c>
      <c r="BK103" s="19">
        <f t="shared" si="158"/>
        <v>0</v>
      </c>
      <c r="BL103" s="19">
        <f t="shared" si="159"/>
        <v>0</v>
      </c>
      <c r="BM103" s="19">
        <f t="shared" si="160"/>
        <v>0</v>
      </c>
      <c r="BN103" s="19">
        <f t="shared" si="160"/>
        <v>0</v>
      </c>
      <c r="BO103" s="19">
        <f t="shared" si="160"/>
        <v>0</v>
      </c>
      <c r="BP103" s="19">
        <f t="shared" si="130"/>
        <v>0</v>
      </c>
      <c r="BQ103" s="19">
        <f t="shared" si="131"/>
        <v>0</v>
      </c>
      <c r="BR103" s="19">
        <f t="shared" si="131"/>
        <v>0</v>
      </c>
      <c r="BS103" s="19">
        <f t="shared" si="114"/>
        <v>0</v>
      </c>
      <c r="BT103" s="19">
        <f t="shared" si="114"/>
        <v>0</v>
      </c>
      <c r="BU103" s="19">
        <f t="shared" si="132"/>
        <v>0</v>
      </c>
      <c r="BV103" s="19">
        <f t="shared" si="133"/>
        <v>0</v>
      </c>
      <c r="BW103" s="19">
        <f t="shared" si="115"/>
        <v>0</v>
      </c>
      <c r="BX103" s="19">
        <f t="shared" si="116"/>
        <v>0</v>
      </c>
      <c r="BY103" s="19">
        <f t="shared" si="116"/>
        <v>0</v>
      </c>
      <c r="BZ103" s="19">
        <f t="shared" si="116"/>
        <v>0</v>
      </c>
      <c r="CA103" s="19">
        <f t="shared" si="116"/>
        <v>0</v>
      </c>
      <c r="CB103" s="19">
        <f t="shared" si="138"/>
        <v>0</v>
      </c>
      <c r="CC103" s="19">
        <f t="shared" si="138"/>
        <v>0</v>
      </c>
      <c r="CD103" s="19">
        <f t="shared" si="138"/>
        <v>0</v>
      </c>
      <c r="CE103" s="65"/>
      <c r="CG103" s="20" t="e">
        <f t="shared" si="118"/>
        <v>#DIV/0!</v>
      </c>
    </row>
    <row r="104" spans="1:164">
      <c r="A104" s="8" t="s">
        <v>212</v>
      </c>
      <c r="B104" s="8" t="s">
        <v>301</v>
      </c>
      <c r="AU104" s="60" t="s">
        <v>319</v>
      </c>
      <c r="BA104" s="19">
        <f t="shared" si="145"/>
        <v>-1.0921262352566075E-2</v>
      </c>
      <c r="BB104" s="19">
        <f t="shared" si="149"/>
        <v>-1.2449792795664827E-2</v>
      </c>
      <c r="BC104" s="19">
        <f t="shared" si="150"/>
        <v>0</v>
      </c>
      <c r="BD104" s="19">
        <f t="shared" si="151"/>
        <v>3.3903729678036454E-2</v>
      </c>
      <c r="BE104" s="19">
        <f t="shared" si="152"/>
        <v>1.9089682286685727E-2</v>
      </c>
      <c r="BF104" s="19">
        <f t="shared" si="153"/>
        <v>-3.9009350759749317E-2</v>
      </c>
      <c r="BG104" s="19">
        <f t="shared" si="154"/>
        <v>4.7813197322283951E-3</v>
      </c>
      <c r="BH104" s="19">
        <f t="shared" si="155"/>
        <v>-1.8911167782382554E-2</v>
      </c>
      <c r="BI104" s="19">
        <f t="shared" si="156"/>
        <v>3.3199447455105613E-3</v>
      </c>
      <c r="BJ104" s="19">
        <f t="shared" si="157"/>
        <v>2.1705344809265892E-2</v>
      </c>
      <c r="BK104" s="19">
        <f t="shared" si="158"/>
        <v>-3.4859419827860894E-2</v>
      </c>
      <c r="BL104" s="19">
        <f t="shared" si="159"/>
        <v>-6.6398894910211226E-3</v>
      </c>
      <c r="BM104" s="19">
        <f t="shared" si="160"/>
        <v>1.9919668473063368E-2</v>
      </c>
      <c r="BN104" s="19">
        <f t="shared" si="160"/>
        <v>4.0913824248218766E-3</v>
      </c>
      <c r="BO104" s="19">
        <f t="shared" si="160"/>
        <v>4.1066517904579936E-2</v>
      </c>
      <c r="BP104" s="19">
        <f t="shared" si="130"/>
        <v>3.7349378386993815E-2</v>
      </c>
      <c r="BQ104" s="19">
        <f t="shared" si="131"/>
        <v>3.5799596217194196E-3</v>
      </c>
      <c r="BR104" s="19">
        <f t="shared" si="131"/>
        <v>1.1941238975666568E-2</v>
      </c>
      <c r="BS104" s="19">
        <f t="shared" si="114"/>
        <v>1.1316390394219531</v>
      </c>
      <c r="BT104" s="19">
        <f t="shared" si="114"/>
        <v>0</v>
      </c>
      <c r="BU104" s="19">
        <f t="shared" si="132"/>
        <v>0</v>
      </c>
      <c r="BV104" s="19">
        <f t="shared" si="133"/>
        <v>0</v>
      </c>
      <c r="BW104" s="19">
        <f t="shared" si="115"/>
        <v>0</v>
      </c>
      <c r="BX104" s="19">
        <f t="shared" si="116"/>
        <v>0</v>
      </c>
      <c r="BY104" s="19">
        <f t="shared" si="116"/>
        <v>0</v>
      </c>
      <c r="BZ104" s="19">
        <f t="shared" si="116"/>
        <v>0</v>
      </c>
      <c r="CA104" s="19">
        <f t="shared" si="116"/>
        <v>0</v>
      </c>
      <c r="CB104" s="19">
        <f t="shared" si="138"/>
        <v>0</v>
      </c>
      <c r="CC104" s="19">
        <f t="shared" si="138"/>
        <v>0</v>
      </c>
      <c r="CD104" s="19">
        <f t="shared" si="138"/>
        <v>0</v>
      </c>
      <c r="CE104" s="65"/>
      <c r="CG104" s="20">
        <f t="shared" si="118"/>
        <v>1.11698592618022</v>
      </c>
      <c r="CH104" s="20">
        <f>Phenol!AS20</f>
        <v>0.98277016257570926</v>
      </c>
      <c r="CI104" s="20">
        <f>Phenol!AT20</f>
        <v>1.0357836574221655</v>
      </c>
      <c r="CJ104" s="20">
        <f>Phenol!AU20</f>
        <v>1.1085538199978748</v>
      </c>
      <c r="CK104" s="20">
        <f>Phenol!AV20</f>
        <v>1.2295446817553926</v>
      </c>
      <c r="CL104" s="20">
        <f>Phenol!AW20</f>
        <v>1.0909897991711826</v>
      </c>
      <c r="CM104" s="20">
        <f>Phenol!AX20</f>
        <v>0.89144299224311985</v>
      </c>
      <c r="CN104" s="20">
        <f>Phenol!AY20</f>
        <v>0.91777467856763373</v>
      </c>
      <c r="CO104" s="20">
        <f>Phenol!AZ20</f>
        <v>0.97379874614812456</v>
      </c>
      <c r="CP104" s="20">
        <f>Phenol!BA20</f>
        <v>1.0044496865370312</v>
      </c>
      <c r="CQ104" s="20">
        <f>Phenol!BB20</f>
        <v>1.0467204335352247</v>
      </c>
      <c r="CR104" s="20">
        <f>Phenol!BC20</f>
        <v>1.0755799596217193</v>
      </c>
      <c r="CS104" s="20">
        <f>Phenol!BD20</f>
        <v>1.0851655509510147</v>
      </c>
      <c r="CT104" s="20">
        <f>Phenol!BE20</f>
        <v>1.1089223249389013</v>
      </c>
      <c r="CU104" s="20">
        <f>Phenol!BF20</f>
        <v>1.1089223249389013</v>
      </c>
      <c r="CV104" s="20">
        <f>Phenol!BG20</f>
        <v>1.0944268409308255</v>
      </c>
      <c r="CW104" s="20">
        <f>Phenol!BH20</f>
        <v>1.1430103070874509</v>
      </c>
      <c r="CX104" s="20">
        <f>Phenol!BI20</f>
        <v>1.2022550207204334</v>
      </c>
      <c r="CY104" s="20">
        <f>Phenol!BJ20</f>
        <v>1.1484316225693338</v>
      </c>
      <c r="CZ104" s="20">
        <f>Phenol!BK20</f>
        <v>1.0969724790139199</v>
      </c>
      <c r="DA104" s="20">
        <f>Phenol!BL20</f>
        <v>1.1050794814578686</v>
      </c>
      <c r="DB104" s="20">
        <f>Phenol!BM20</f>
        <v>1.0893097439166932</v>
      </c>
      <c r="DC104" s="20">
        <f>Phenol!BN20</f>
        <v>1.0870740622675592</v>
      </c>
      <c r="DD104" s="20">
        <f>Phenol!BO20</f>
        <v>1.0870740622675592</v>
      </c>
      <c r="DE104" s="20">
        <f>Phenol!BP20</f>
        <v>1.0569402826479652</v>
      </c>
      <c r="DF104" s="20">
        <f>Phenol!BQ20</f>
        <v>1.0768599511210286</v>
      </c>
      <c r="DG104" s="20">
        <f>Phenol!BR20</f>
        <v>1.061665922856232</v>
      </c>
      <c r="DH104" s="20">
        <f>Phenol!BS20</f>
        <v>1.0428305174795451</v>
      </c>
      <c r="DI104" s="20">
        <f>Phenol!BT20</f>
        <v>1.0337006694293911</v>
      </c>
      <c r="DJ104" s="20">
        <f>Phenol!BU20</f>
        <v>1.0730928700456912</v>
      </c>
      <c r="DK104" s="20">
        <f>Phenol!BV20</f>
        <v>1.0691357985336309</v>
      </c>
      <c r="DL104" s="20">
        <f>Phenol!BW20</f>
        <v>1.0984481989161621</v>
      </c>
      <c r="DM104" s="20">
        <f>Phenol!BX20</f>
        <v>1.1749527149080863</v>
      </c>
      <c r="DN104" s="20">
        <f>Phenol!BY20</f>
        <v>1.1855554138773776</v>
      </c>
      <c r="DO104" s="20">
        <f>Phenol!BZ20</f>
        <v>1.2554785888853468</v>
      </c>
      <c r="DP104" s="20">
        <f>Phenol!CA20</f>
        <v>1.246787270215705</v>
      </c>
      <c r="DQ104" s="20">
        <f>Phenol!CB20</f>
        <v>1.2585884603124005</v>
      </c>
      <c r="DR104" s="20">
        <f>Phenol!CC20</f>
        <v>1.2372544894272659</v>
      </c>
      <c r="DS104" s="20">
        <f>Phenol!CD20</f>
        <v>1.2228232918924662</v>
      </c>
      <c r="DT104" s="20">
        <f>Phenol!CE20</f>
        <v>1.2103734990968016</v>
      </c>
      <c r="DU104" s="20">
        <f>Phenol!CF20</f>
        <v>1.2292731909467645</v>
      </c>
      <c r="DV104" s="20">
        <f>Phenol!CG20</f>
        <v>1.2194361916905749</v>
      </c>
      <c r="DW104" s="20">
        <f>Phenol!CH20</f>
        <v>1.2223090001062586</v>
      </c>
      <c r="DX104" s="20">
        <f>Phenol!CI20</f>
        <v>1.2613183508660077</v>
      </c>
      <c r="DY104" s="20">
        <f>Phenol!CJ20</f>
        <v>1.2505285304430986</v>
      </c>
      <c r="DZ104" s="20">
        <f>Phenol!CK20</f>
        <v>1.2438886409520773</v>
      </c>
      <c r="EA104" s="20">
        <f>Phenol!CL20</f>
        <v>1.2288174476676228</v>
      </c>
      <c r="EB104" s="20">
        <f>Phenol!CM20</f>
        <v>1.2164933588354052</v>
      </c>
      <c r="EC104" s="20">
        <f>Phenol!CN20</f>
        <v>1.205574965465944</v>
      </c>
      <c r="ED104" s="20">
        <f>Phenol!CO20</f>
        <v>1.2095963234512803</v>
      </c>
      <c r="EE104" s="20">
        <f>Phenol!CP20</f>
        <v>1.2205175858038464</v>
      </c>
      <c r="EF104" s="20">
        <f>Phenol!CQ20</f>
        <v>1.2329673785995112</v>
      </c>
      <c r="EG104" s="20">
        <f>Phenol!CR20</f>
        <v>1.2329673785995112</v>
      </c>
      <c r="EH104" s="20">
        <f>Phenol!CS20</f>
        <v>1.1990636489214748</v>
      </c>
      <c r="EI104" s="20">
        <f>Phenol!CT20</f>
        <v>1.179973966634789</v>
      </c>
      <c r="EJ104" s="20">
        <f>Phenol!CU20</f>
        <v>1.2189833173945384</v>
      </c>
      <c r="EK104" s="20">
        <f>Phenol!CV20</f>
        <v>1.21420199766231</v>
      </c>
      <c r="EL104" s="20">
        <f>Phenol!CW20</f>
        <v>1.2331131654446925</v>
      </c>
      <c r="EM104" s="20">
        <f>Phenol!CX20</f>
        <v>1.229793220699182</v>
      </c>
      <c r="EN104" s="20">
        <f>Phenol!CY20</f>
        <v>1.2080878758899161</v>
      </c>
      <c r="EO104" s="20">
        <f>Phenol!CZ20</f>
        <v>1.242947295717777</v>
      </c>
      <c r="EP104" s="20">
        <f>Phenol!DA20</f>
        <v>1.2495871852087981</v>
      </c>
      <c r="EQ104" s="20">
        <f>Phenol!DB20</f>
        <v>1.2296675167357347</v>
      </c>
      <c r="ER104" s="20">
        <f>Phenol!DC20</f>
        <v>1.2255761343109128</v>
      </c>
      <c r="ES104" s="20">
        <f>Phenol!DD20</f>
        <v>1.1845096164063329</v>
      </c>
      <c r="ET104" s="20">
        <f>Phenol!DE20</f>
        <v>1.1471602380193391</v>
      </c>
      <c r="EU104" s="20">
        <f>Phenol!DF20</f>
        <v>1.1435802783976197</v>
      </c>
      <c r="EV104" s="20">
        <f>Phenol!DG20</f>
        <v>1.1316390394219531</v>
      </c>
      <c r="EW104" s="20">
        <f>Phenol!DH20</f>
        <v>0</v>
      </c>
      <c r="EX104" s="20">
        <f>Phenol!DI20</f>
        <v>0</v>
      </c>
      <c r="EY104" s="20">
        <f>Phenol!DJ20</f>
        <v>0</v>
      </c>
      <c r="EZ104" s="20">
        <f>Phenol!DK20</f>
        <v>0</v>
      </c>
      <c r="FA104" s="20">
        <f>Phenol!DL20</f>
        <v>0</v>
      </c>
      <c r="FB104" s="20">
        <f>Phenol!DM20</f>
        <v>0</v>
      </c>
      <c r="FC104" s="20">
        <f>Phenol!DN20</f>
        <v>0</v>
      </c>
      <c r="FD104" s="20">
        <f>Phenol!DO20</f>
        <v>0</v>
      </c>
      <c r="FE104" s="20">
        <f>Phenol!DP20</f>
        <v>0</v>
      </c>
      <c r="FF104" s="20">
        <f>Phenol!DQ20</f>
        <v>0</v>
      </c>
      <c r="FG104" s="20">
        <f>Phenol!DR20</f>
        <v>0</v>
      </c>
      <c r="FH104" s="20">
        <f>Phenol!DS20</f>
        <v>0</v>
      </c>
    </row>
    <row r="105" spans="1:164" hidden="1">
      <c r="A105" s="8" t="s">
        <v>207</v>
      </c>
      <c r="B105" s="8" t="s">
        <v>320</v>
      </c>
      <c r="AU105" s="60" t="s">
        <v>321</v>
      </c>
      <c r="BA105" s="19">
        <f t="shared" si="145"/>
        <v>0</v>
      </c>
      <c r="BB105" s="19">
        <f t="shared" si="149"/>
        <v>0</v>
      </c>
      <c r="BC105" s="19">
        <f t="shared" si="150"/>
        <v>0</v>
      </c>
      <c r="BD105" s="19">
        <f t="shared" si="151"/>
        <v>0</v>
      </c>
      <c r="BE105" s="19">
        <f t="shared" si="152"/>
        <v>0</v>
      </c>
      <c r="BF105" s="19">
        <f t="shared" si="153"/>
        <v>0</v>
      </c>
      <c r="BG105" s="19">
        <f t="shared" si="154"/>
        <v>0</v>
      </c>
      <c r="BH105" s="19">
        <f t="shared" si="155"/>
        <v>0</v>
      </c>
      <c r="BI105" s="19">
        <f t="shared" si="156"/>
        <v>0</v>
      </c>
      <c r="BJ105" s="19">
        <f t="shared" si="157"/>
        <v>0</v>
      </c>
      <c r="BK105" s="19">
        <f t="shared" si="158"/>
        <v>0</v>
      </c>
      <c r="BL105" s="19">
        <f t="shared" si="159"/>
        <v>0</v>
      </c>
      <c r="BM105" s="19">
        <f t="shared" si="160"/>
        <v>0</v>
      </c>
      <c r="BN105" s="19">
        <f t="shared" si="160"/>
        <v>0</v>
      </c>
      <c r="BO105" s="19">
        <f t="shared" si="160"/>
        <v>0</v>
      </c>
      <c r="BP105" s="19">
        <f t="shared" si="130"/>
        <v>0</v>
      </c>
      <c r="BQ105" s="19">
        <f t="shared" si="131"/>
        <v>0</v>
      </c>
      <c r="BR105" s="19">
        <f t="shared" si="131"/>
        <v>0</v>
      </c>
      <c r="BS105" s="19">
        <f t="shared" si="114"/>
        <v>0</v>
      </c>
      <c r="BT105" s="19">
        <f t="shared" si="114"/>
        <v>0</v>
      </c>
      <c r="BU105" s="19">
        <f t="shared" si="132"/>
        <v>0</v>
      </c>
      <c r="BV105" s="19">
        <f t="shared" si="133"/>
        <v>0</v>
      </c>
      <c r="BW105" s="19">
        <f t="shared" si="115"/>
        <v>0</v>
      </c>
      <c r="BX105" s="19">
        <f t="shared" si="116"/>
        <v>0</v>
      </c>
      <c r="BY105" s="19">
        <f t="shared" si="116"/>
        <v>0</v>
      </c>
      <c r="BZ105" s="19">
        <f t="shared" si="116"/>
        <v>0</v>
      </c>
      <c r="CA105" s="19">
        <f t="shared" si="116"/>
        <v>0</v>
      </c>
      <c r="CB105" s="19">
        <f t="shared" si="138"/>
        <v>0</v>
      </c>
      <c r="CC105" s="19">
        <f t="shared" si="138"/>
        <v>0</v>
      </c>
      <c r="CD105" s="19">
        <f t="shared" si="138"/>
        <v>0</v>
      </c>
      <c r="CE105" s="65"/>
      <c r="CG105" s="20" t="e">
        <f t="shared" si="118"/>
        <v>#DIV/0!</v>
      </c>
      <c r="CH105" s="20">
        <f>'2-Ethyl-1,3-hexanediol'!AS20</f>
        <v>1.0608910620255763</v>
      </c>
    </row>
    <row r="106" spans="1:164">
      <c r="A106" s="8" t="s">
        <v>207</v>
      </c>
      <c r="B106" s="8" t="s">
        <v>322</v>
      </c>
      <c r="AU106" s="60" t="s">
        <v>40</v>
      </c>
      <c r="BA106" s="19">
        <f t="shared" ref="BA106:BA124" si="161">+ED106-EE106</f>
        <v>0</v>
      </c>
      <c r="BB106" s="19">
        <f t="shared" si="149"/>
        <v>0</v>
      </c>
      <c r="BC106" s="19">
        <f t="shared" si="150"/>
        <v>7.2054140535007249E-3</v>
      </c>
      <c r="BD106" s="19">
        <f t="shared" si="151"/>
        <v>0</v>
      </c>
      <c r="BE106" s="19">
        <f t="shared" si="152"/>
        <v>0</v>
      </c>
      <c r="BF106" s="19">
        <f t="shared" si="153"/>
        <v>1.303514655062088E-2</v>
      </c>
      <c r="BG106" s="19">
        <f t="shared" si="154"/>
        <v>0</v>
      </c>
      <c r="BH106" s="19">
        <f t="shared" si="155"/>
        <v>0</v>
      </c>
      <c r="BI106" s="19">
        <f t="shared" si="156"/>
        <v>0</v>
      </c>
      <c r="BJ106" s="19">
        <f t="shared" si="157"/>
        <v>-1.6536368872392071E-2</v>
      </c>
      <c r="BK106" s="19">
        <f t="shared" si="158"/>
        <v>0</v>
      </c>
      <c r="BL106" s="19">
        <f t="shared" si="159"/>
        <v>0</v>
      </c>
      <c r="BM106" s="19">
        <f t="shared" si="160"/>
        <v>0</v>
      </c>
      <c r="BN106" s="19">
        <f t="shared" si="160"/>
        <v>-5.6380391655119766E-5</v>
      </c>
      <c r="BO106" s="19">
        <f t="shared" si="160"/>
        <v>-1.0402182260335291E-2</v>
      </c>
      <c r="BP106" s="19">
        <f t="shared" si="130"/>
        <v>0</v>
      </c>
      <c r="BQ106" s="19">
        <f t="shared" si="131"/>
        <v>0</v>
      </c>
      <c r="BR106" s="19">
        <f t="shared" si="131"/>
        <v>0</v>
      </c>
      <c r="BS106" s="19">
        <f t="shared" si="114"/>
        <v>-5.7451619096378082E-3</v>
      </c>
      <c r="BT106" s="19">
        <f t="shared" si="114"/>
        <v>0</v>
      </c>
      <c r="BU106" s="19">
        <f t="shared" si="132"/>
        <v>-3.2024062460001002E-3</v>
      </c>
      <c r="BV106" s="19">
        <f t="shared" si="133"/>
        <v>0</v>
      </c>
      <c r="BW106" s="19">
        <f t="shared" si="115"/>
        <v>0</v>
      </c>
      <c r="BX106" s="19">
        <f t="shared" si="116"/>
        <v>3.2136823243300583E-4</v>
      </c>
      <c r="BY106" s="19">
        <f t="shared" si="116"/>
        <v>0</v>
      </c>
      <c r="BZ106" s="19">
        <f t="shared" si="116"/>
        <v>1.4844957122744251E-2</v>
      </c>
      <c r="CA106" s="19">
        <f t="shared" si="116"/>
        <v>0</v>
      </c>
      <c r="CB106" s="19">
        <f t="shared" si="138"/>
        <v>0</v>
      </c>
      <c r="CC106" s="19">
        <f t="shared" si="138"/>
        <v>0</v>
      </c>
      <c r="CD106" s="19">
        <f t="shared" si="138"/>
        <v>-5.0742352489452358E-4</v>
      </c>
      <c r="CE106" s="65"/>
      <c r="CG106" s="20">
        <f t="shared" si="118"/>
        <v>1.5772062435388754</v>
      </c>
      <c r="CH106" s="20">
        <f>'2 Mercapto Ethanol'!AS20</f>
        <v>1.5763071931396391</v>
      </c>
      <c r="CI106" s="20">
        <f>'2 Mercapto Ethanol'!AT20</f>
        <v>1.6300884487392806</v>
      </c>
      <c r="CJ106" s="20">
        <f>'2 Mercapto Ethanol'!AU20</f>
        <v>1.6586112888775117</v>
      </c>
      <c r="CK106" s="20">
        <f>'2 Mercapto Ethanol'!AV20</f>
        <v>1.6428247792141302</v>
      </c>
      <c r="CL106" s="20">
        <f>'2 Mercapto Ethanol'!AW20</f>
        <v>1.580383495456291</v>
      </c>
      <c r="CM106" s="20">
        <f>'2 Mercapto Ethanol'!AX20</f>
        <v>1.5427495840266223</v>
      </c>
      <c r="CN106" s="20">
        <f>'2 Mercapto Ethanol'!AY20</f>
        <v>1.5427495840266223</v>
      </c>
      <c r="CO106" s="20">
        <f>'2 Mercapto Ethanol'!AZ20</f>
        <v>1.5427495840266223</v>
      </c>
      <c r="CP106" s="20">
        <f>'2 Mercapto Ethanol'!BA20</f>
        <v>1.5427495840266223</v>
      </c>
      <c r="CQ106" s="20">
        <f>'2 Mercapto Ethanol'!BB20</f>
        <v>1.5482241200563165</v>
      </c>
      <c r="CR106" s="20">
        <f>'2 Mercapto Ethanol'!BC20</f>
        <v>1.5483256047612954</v>
      </c>
      <c r="CS106" s="20">
        <f>'2 Mercapto Ethanol'!BD20</f>
        <v>1.5483256047612954</v>
      </c>
      <c r="CT106" s="20">
        <f>'2 Mercapto Ethanol'!BE20</f>
        <v>1.5483256047612954</v>
      </c>
      <c r="CU106" s="20">
        <f>'2 Mercapto Ethanol'!BF20</f>
        <v>1.5483256047612954</v>
      </c>
      <c r="CV106" s="20">
        <f>'2 Mercapto Ethanol'!BG20</f>
        <v>1.572022283373864</v>
      </c>
      <c r="CW106" s="20">
        <f>'2 Mercapto Ethanol'!BH20</f>
        <v>1.572022283373864</v>
      </c>
      <c r="CX106" s="20">
        <f>'2 Mercapto Ethanol'!BI20</f>
        <v>1.583822699347242</v>
      </c>
      <c r="CY106" s="20">
        <f>'2 Mercapto Ethanol'!BJ20</f>
        <v>1.583822699347242</v>
      </c>
      <c r="CZ106" s="20">
        <f>'2 Mercapto Ethanol'!BK20</f>
        <v>1.583822699347242</v>
      </c>
      <c r="DA106" s="20">
        <f>'2 Mercapto Ethanol'!BL20</f>
        <v>1.583822699347242</v>
      </c>
      <c r="DB106" s="20">
        <f>'2 Mercapto Ethanol'!BM20</f>
        <v>1.583822699347242</v>
      </c>
      <c r="DC106" s="20">
        <f>'2 Mercapto Ethanol'!BN20</f>
        <v>1.6042042109305004</v>
      </c>
      <c r="DD106" s="20">
        <f>'2 Mercapto Ethanol'!BO20</f>
        <v>1.5888743824395237</v>
      </c>
      <c r="DE106" s="20">
        <f>'2 Mercapto Ethanol'!BP20</f>
        <v>1.5888743824395237</v>
      </c>
      <c r="DF106" s="20">
        <f>'2 Mercapto Ethanol'!BQ20</f>
        <v>1.5888743824395237</v>
      </c>
      <c r="DG106" s="20">
        <f>'2 Mercapto Ethanol'!BR20</f>
        <v>1.5888743824395237</v>
      </c>
      <c r="DH106" s="20">
        <f>'2 Mercapto Ethanol'!BS20</f>
        <v>1.5681827787021632</v>
      </c>
      <c r="DI106" s="20">
        <f>'2 Mercapto Ethanol'!BT20</f>
        <v>1.5681827787021632</v>
      </c>
      <c r="DJ106" s="20">
        <f>'2 Mercapto Ethanol'!BU20</f>
        <v>1.5813814283885832</v>
      </c>
      <c r="DK106" s="20">
        <f>'2 Mercapto Ethanol'!BV20</f>
        <v>1.5814772750543966</v>
      </c>
      <c r="DL106" s="20">
        <f>'2 Mercapto Ethanol'!BW20</f>
        <v>1.5814772750543966</v>
      </c>
      <c r="DM106" s="20">
        <f>'2 Mercapto Ethanol'!BX20</f>
        <v>1.5814772750543966</v>
      </c>
      <c r="DN106" s="20">
        <f>'2 Mercapto Ethanol'!BY20</f>
        <v>1.5814772750543966</v>
      </c>
      <c r="DO106" s="20">
        <f>'2 Mercapto Ethanol'!BZ20</f>
        <v>1.5870194675540765</v>
      </c>
      <c r="DP106" s="20">
        <f>'2 Mercapto Ethanol'!CA20</f>
        <v>1.5870194675540765</v>
      </c>
      <c r="DQ106" s="20">
        <f>'2 Mercapto Ethanol'!CB20</f>
        <v>1.5870194675540765</v>
      </c>
      <c r="DR106" s="20">
        <f>'2 Mercapto Ethanol'!CC20</f>
        <v>1.5870194675540765</v>
      </c>
      <c r="DS106" s="20">
        <f>'2 Mercapto Ethanol'!CD20</f>
        <v>1.5870194675540765</v>
      </c>
      <c r="DT106" s="20">
        <f>'2 Mercapto Ethanol'!CE20</f>
        <v>1.5917215922180981</v>
      </c>
      <c r="DU106" s="20">
        <f>'2 Mercapto Ethanol'!CF20</f>
        <v>1.5917215922180981</v>
      </c>
      <c r="DV106" s="20">
        <f>'2 Mercapto Ethanol'!CG20</f>
        <v>1.5917215922180981</v>
      </c>
      <c r="DW106" s="20">
        <f>'2 Mercapto Ethanol'!CH20</f>
        <v>1.5985323435300143</v>
      </c>
      <c r="DX106" s="20">
        <f>'2 Mercapto Ethanol'!CI20</f>
        <v>1.5985323435300143</v>
      </c>
      <c r="DY106" s="20">
        <f>'2 Mercapto Ethanol'!CJ20</f>
        <v>1.5985323435300143</v>
      </c>
      <c r="DZ106" s="20">
        <f>'2 Mercapto Ethanol'!CK20</f>
        <v>1.5985323435300143</v>
      </c>
      <c r="EA106" s="20">
        <f>'2 Mercapto Ethanol'!CL20</f>
        <v>1.6074122552156664</v>
      </c>
      <c r="EB106" s="20">
        <f>'2 Mercapto Ethanol'!CM20</f>
        <v>1.6239486240880585</v>
      </c>
      <c r="EC106" s="20">
        <f>'2 Mercapto Ethanol'!CN20</f>
        <v>1.6074122552156664</v>
      </c>
      <c r="ED106" s="20">
        <f>'2 Mercapto Ethanol'!CO20</f>
        <v>1.6074122552156664</v>
      </c>
      <c r="EE106" s="20">
        <f>'2 Mercapto Ethanol'!CP20</f>
        <v>1.6074122552156664</v>
      </c>
      <c r="EF106" s="20">
        <f>'2 Mercapto Ethanol'!CQ20</f>
        <v>1.6074122552156664</v>
      </c>
      <c r="EG106" s="20">
        <f>'2 Mercapto Ethanol'!CR20</f>
        <v>1.6002068411621657</v>
      </c>
      <c r="EH106" s="20">
        <f>'2 Mercapto Ethanol'!CS20</f>
        <v>1.6002068411621657</v>
      </c>
      <c r="EI106" s="20">
        <f>'2 Mercapto Ethanol'!CT20</f>
        <v>1.6002068411621657</v>
      </c>
      <c r="EJ106" s="20">
        <f>'2 Mercapto Ethanol'!CU20</f>
        <v>1.5871716946115448</v>
      </c>
      <c r="EK106" s="20">
        <f>'2 Mercapto Ethanol'!CV20</f>
        <v>1.5871716946115448</v>
      </c>
      <c r="EL106" s="20">
        <f>'2 Mercapto Ethanol'!CW20</f>
        <v>1.5871716946115448</v>
      </c>
      <c r="EM106" s="20">
        <f>'2 Mercapto Ethanol'!CX20</f>
        <v>1.5871716946115448</v>
      </c>
      <c r="EN106" s="20">
        <f>'2 Mercapto Ethanol'!CY20</f>
        <v>1.6037080634839369</v>
      </c>
      <c r="EO106" s="20">
        <f>'2 Mercapto Ethanol'!CZ20</f>
        <v>1.6037080634839369</v>
      </c>
      <c r="EP106" s="20">
        <f>'2 Mercapto Ethanol'!DA20</f>
        <v>1.6037080634839369</v>
      </c>
      <c r="EQ106" s="20">
        <f>'2 Mercapto Ethanol'!DB20</f>
        <v>1.6037080634839369</v>
      </c>
      <c r="ER106" s="20">
        <f>'2 Mercapto Ethanol'!DC20</f>
        <v>1.603764443875592</v>
      </c>
      <c r="ES106" s="20">
        <f>'2 Mercapto Ethanol'!DD20</f>
        <v>1.6141666261359273</v>
      </c>
      <c r="ET106" s="20">
        <f>'2 Mercapto Ethanol'!DE20</f>
        <v>1.6141666261359273</v>
      </c>
      <c r="EU106" s="20">
        <f>'2 Mercapto Ethanol'!DF20</f>
        <v>1.6141666261359273</v>
      </c>
      <c r="EV106" s="20">
        <f>'2 Mercapto Ethanol'!DG20</f>
        <v>1.6141666261359273</v>
      </c>
      <c r="EW106" s="20">
        <f>'2 Mercapto Ethanol'!DH20</f>
        <v>1.6199117880455651</v>
      </c>
      <c r="EX106" s="20">
        <f>'2 Mercapto Ethanol'!DI20</f>
        <v>1.6199117880455651</v>
      </c>
      <c r="EY106" s="20">
        <f>'2 Mercapto Ethanol'!DJ20</f>
        <v>1.6231141942915652</v>
      </c>
      <c r="EZ106" s="20">
        <f>'2 Mercapto Ethanol'!DK20</f>
        <v>1.6231141942915652</v>
      </c>
      <c r="FA106" s="20">
        <f>'2 Mercapto Ethanol'!DL20</f>
        <v>1.6231141942915652</v>
      </c>
      <c r="FB106" s="20">
        <f>'2 Mercapto Ethanol'!DM20</f>
        <v>1.6227928260591322</v>
      </c>
      <c r="FC106" s="20">
        <f>'2 Mercapto Ethanol'!DN20</f>
        <v>1.6227928260591322</v>
      </c>
      <c r="FD106" s="20">
        <f>'2 Mercapto Ethanol'!DO20</f>
        <v>1.607947868936388</v>
      </c>
      <c r="FE106" s="20">
        <f>'2 Mercapto Ethanol'!DP20</f>
        <v>1.607947868936388</v>
      </c>
      <c r="FF106" s="20">
        <f>'2 Mercapto Ethanol'!DQ20</f>
        <v>1.607947868936388</v>
      </c>
      <c r="FG106" s="20">
        <f>'2 Mercapto Ethanol'!DR20</f>
        <v>1.607947868936388</v>
      </c>
      <c r="FH106" s="20">
        <f>'2 Mercapto Ethanol'!DS20</f>
        <v>1.6084552924612825</v>
      </c>
    </row>
    <row r="107" spans="1:164">
      <c r="A107" s="8" t="s">
        <v>248</v>
      </c>
      <c r="B107" s="8" t="s">
        <v>323</v>
      </c>
      <c r="AU107" s="60" t="s">
        <v>114</v>
      </c>
      <c r="BA107" s="19">
        <f t="shared" si="161"/>
        <v>0</v>
      </c>
      <c r="BB107" s="19">
        <f t="shared" si="149"/>
        <v>0</v>
      </c>
      <c r="BC107" s="19">
        <f t="shared" si="150"/>
        <v>0</v>
      </c>
      <c r="BD107" s="19">
        <f t="shared" si="151"/>
        <v>-4.4443288962839667E-2</v>
      </c>
      <c r="BE107" s="19">
        <f t="shared" si="152"/>
        <v>7.1109262340543378E-2</v>
      </c>
      <c r="BF107" s="19">
        <f t="shared" si="153"/>
        <v>3.9998960066555789E-2</v>
      </c>
      <c r="BG107" s="19">
        <f t="shared" si="154"/>
        <v>-4.4443288962840999E-3</v>
      </c>
      <c r="BH107" s="19">
        <f t="shared" si="155"/>
        <v>2.4888241819190249E-2</v>
      </c>
      <c r="BI107" s="19">
        <f t="shared" si="156"/>
        <v>1.3332986688852078E-2</v>
      </c>
      <c r="BJ107" s="19">
        <f t="shared" si="157"/>
        <v>-7.9997920133112466E-3</v>
      </c>
      <c r="BK107" s="19">
        <f t="shared" si="158"/>
        <v>4.0887825845812742E-2</v>
      </c>
      <c r="BL107" s="19">
        <f t="shared" si="159"/>
        <v>4.4443288962838778E-3</v>
      </c>
      <c r="BM107" s="19">
        <f t="shared" si="160"/>
        <v>2.2221644481419833E-2</v>
      </c>
      <c r="BN107" s="19">
        <f t="shared" si="160"/>
        <v>0.10221956461453141</v>
      </c>
      <c r="BO107" s="19">
        <f t="shared" si="160"/>
        <v>-1.7777315585135955E-2</v>
      </c>
      <c r="BP107" s="19">
        <f t="shared" si="130"/>
        <v>0</v>
      </c>
      <c r="BQ107" s="19">
        <f t="shared" si="131"/>
        <v>0</v>
      </c>
      <c r="BR107" s="19">
        <f t="shared" si="131"/>
        <v>-8.8886577925679777E-3</v>
      </c>
      <c r="BS107" s="19">
        <f t="shared" si="114"/>
        <v>-1.3332986688851856E-2</v>
      </c>
      <c r="BT107" s="19">
        <f t="shared" si="114"/>
        <v>-7.55535912368277E-2</v>
      </c>
      <c r="BU107" s="19">
        <f t="shared" si="132"/>
        <v>-8.8886577925677557E-3</v>
      </c>
      <c r="BV107" s="19">
        <f t="shared" si="133"/>
        <v>0</v>
      </c>
      <c r="BW107" s="19">
        <f t="shared" si="115"/>
        <v>1.3332986688851856E-2</v>
      </c>
      <c r="BX107" s="19">
        <f t="shared" si="116"/>
        <v>0</v>
      </c>
      <c r="BY107" s="19">
        <f t="shared" si="116"/>
        <v>-1.3332986688851856E-2</v>
      </c>
      <c r="BZ107" s="19">
        <f t="shared" si="116"/>
        <v>4.4443288962840999E-3</v>
      </c>
      <c r="CA107" s="19">
        <f t="shared" si="116"/>
        <v>0</v>
      </c>
      <c r="CB107" s="19">
        <f t="shared" si="138"/>
        <v>3.5554631170271689E-2</v>
      </c>
      <c r="CC107" s="19">
        <f t="shared" si="138"/>
        <v>1.7777315585135955E-2</v>
      </c>
      <c r="CD107" s="19">
        <f t="shared" si="138"/>
        <v>3.1110302273987589E-2</v>
      </c>
      <c r="CE107" s="65"/>
      <c r="CG107" s="20">
        <f t="shared" si="118"/>
        <v>1.5605729215552431</v>
      </c>
      <c r="CH107" s="20">
        <f>'2-ethylhexanoic acid'!AS20</f>
        <v>1.455527592900721</v>
      </c>
      <c r="CI107" s="20">
        <f>'2-ethylhexanoic acid'!AT20</f>
        <v>1.4810824840543537</v>
      </c>
      <c r="CJ107" s="20">
        <f>'2-ethylhexanoic acid'!AU20</f>
        <v>1.4333059484193011</v>
      </c>
      <c r="CK107" s="20">
        <f>'2-ethylhexanoic acid'!AV20</f>
        <v>1.4244172906267334</v>
      </c>
      <c r="CL107" s="20">
        <f>'2-ethylhexanoic acid'!AW20</f>
        <v>1.4466389351081532</v>
      </c>
      <c r="CM107" s="20">
        <f>'2-ethylhexanoic acid'!AX20</f>
        <v>1.4821935662784247</v>
      </c>
      <c r="CN107" s="20">
        <f>'2-ethylhexanoic acid'!AY20</f>
        <v>1.3666410149750416</v>
      </c>
      <c r="CO107" s="20">
        <f>'2-ethylhexanoic acid'!AZ20</f>
        <v>1.3666410149750416</v>
      </c>
      <c r="CP107" s="20">
        <f>'2-ethylhexanoic acid'!BA20</f>
        <v>1.3755296727676096</v>
      </c>
      <c r="CQ107" s="20">
        <f>'2-ethylhexanoic acid'!BB20</f>
        <v>1.4021956461453131</v>
      </c>
      <c r="CR107" s="20">
        <f>'2-ethylhexanoic acid'!BC20</f>
        <v>1.4821935662784247</v>
      </c>
      <c r="CS107" s="20">
        <f>'2-ethylhexanoic acid'!BD20</f>
        <v>1.5399698419301164</v>
      </c>
      <c r="CT107" s="20">
        <f>'2-ethylhexanoic acid'!BE20</f>
        <v>1.5755244731003883</v>
      </c>
      <c r="CU107" s="20">
        <f>'2-ethylhexanoic acid'!BF20</f>
        <v>1.5799688019966722</v>
      </c>
      <c r="CV107" s="20">
        <f>'2-ethylhexanoic acid'!BG20</f>
        <v>1.6555223932334999</v>
      </c>
      <c r="CW107" s="20">
        <f>'2-ethylhexanoic acid'!BH20</f>
        <v>1.6555223932334999</v>
      </c>
      <c r="CX107" s="20">
        <f>'2-ethylhexanoic acid'!BI20</f>
        <v>1.5710801442041045</v>
      </c>
      <c r="CY107" s="20">
        <f>'2-ethylhexanoic acid'!BJ20</f>
        <v>1.6279675540765388</v>
      </c>
      <c r="CZ107" s="20">
        <f>'2-ethylhexanoic acid'!BK20</f>
        <v>1.6110791042706598</v>
      </c>
      <c r="DA107" s="20">
        <f>'2-ethylhexanoic acid'!BL20</f>
        <v>1.5710801442041045</v>
      </c>
      <c r="DB107" s="20">
        <f>'2-ethylhexanoic acid'!BM20</f>
        <v>1.5621914864115363</v>
      </c>
      <c r="DC107" s="20">
        <f>'2-ethylhexanoic acid'!BN20</f>
        <v>1.5266368552412648</v>
      </c>
      <c r="DD107" s="20">
        <f>'2-ethylhexanoic acid'!BO20</f>
        <v>1.5266368552412648</v>
      </c>
      <c r="DE107" s="20">
        <f>'2-ethylhexanoic acid'!BP20</f>
        <v>1.5266368552412648</v>
      </c>
      <c r="DF107" s="20">
        <f>'2-ethylhexanoic acid'!BQ20</f>
        <v>1.5266368552412648</v>
      </c>
      <c r="DG107" s="20">
        <f>'2-ethylhexanoic acid'!BR20</f>
        <v>1.5088595396561288</v>
      </c>
      <c r="DH107" s="20">
        <f>'2-ethylhexanoic acid'!BS20</f>
        <v>1.5088595396561288</v>
      </c>
      <c r="DI107" s="20">
        <f>'2-ethylhexanoic acid'!BT20</f>
        <v>1.5221925263449805</v>
      </c>
      <c r="DJ107" s="20">
        <f>'2-ethylhexanoic acid'!BU20</f>
        <v>1.5710801442041045</v>
      </c>
      <c r="DK107" s="20">
        <f>'2-ethylhexanoic acid'!BV20</f>
        <v>1.5710801442041045</v>
      </c>
      <c r="DL107" s="20">
        <f>'2-ethylhexanoic acid'!BW20</f>
        <v>1.6821883666112036</v>
      </c>
      <c r="DM107" s="20">
        <f>'2-ethylhexanoic acid'!BX20</f>
        <v>1.7266316555740433</v>
      </c>
      <c r="DN107" s="20">
        <f>'2-ethylhexanoic acid'!BY20</f>
        <v>1.7266316555740433</v>
      </c>
      <c r="DO107" s="20">
        <f>'2-ethylhexanoic acid'!BZ20</f>
        <v>1.7221873266777594</v>
      </c>
      <c r="DP107" s="20">
        <f>'2-ethylhexanoic acid'!CA20</f>
        <v>1.6521873266777594</v>
      </c>
      <c r="DQ107" s="20">
        <f>'2-ethylhexanoic acid'!CB20</f>
        <v>1.6521873266777594</v>
      </c>
      <c r="DR107" s="20">
        <f>'2-ethylhexanoic acid'!CC20</f>
        <v>1.6255213533000554</v>
      </c>
      <c r="DS107" s="20">
        <f>'2-ethylhexanoic acid'!CD20</f>
        <v>1.6299656821963395</v>
      </c>
      <c r="DT107" s="20">
        <f>'2-ethylhexanoic acid'!CE20</f>
        <v>1.6388543399889075</v>
      </c>
      <c r="DU107" s="20">
        <f>'2-ethylhexanoic acid'!CF20</f>
        <v>1.6210770244037715</v>
      </c>
      <c r="DV107" s="20">
        <f>'2-ethylhexanoic acid'!CG20</f>
        <v>1.5677450776483639</v>
      </c>
      <c r="DW107" s="20">
        <f>'2-ethylhexanoic acid'!CH20</f>
        <v>1.5321904464780922</v>
      </c>
      <c r="DX107" s="20">
        <f>'2-ethylhexanoic acid'!CI20</f>
        <v>1.5144131308929563</v>
      </c>
      <c r="DY107" s="20">
        <f>'2-ethylhexanoic acid'!CJ20</f>
        <v>1.4877471575152523</v>
      </c>
      <c r="DZ107" s="20">
        <f>'2-ethylhexanoic acid'!CK20</f>
        <v>1.4877471575152523</v>
      </c>
      <c r="EA107" s="20">
        <f>'2-ethylhexanoic acid'!CL20</f>
        <v>1.4699698419301164</v>
      </c>
      <c r="EB107" s="20">
        <f>'2-ethylhexanoic acid'!CM20</f>
        <v>1.4433038685524127</v>
      </c>
      <c r="EC107" s="20">
        <f>'2-ethylhexanoic acid'!CN20</f>
        <v>1.4344152107598447</v>
      </c>
      <c r="ED107" s="20">
        <f>'2-ethylhexanoic acid'!CO20</f>
        <v>1.4344152107598447</v>
      </c>
      <c r="EE107" s="20">
        <f>'2-ethylhexanoic acid'!CP20</f>
        <v>1.4344152107598447</v>
      </c>
      <c r="EF107" s="20">
        <f>'2-ethylhexanoic acid'!CQ20</f>
        <v>1.4344152107598447</v>
      </c>
      <c r="EG107" s="20">
        <f>'2-ethylhexanoic acid'!CR20</f>
        <v>1.4344152107598447</v>
      </c>
      <c r="EH107" s="20">
        <f>'2-ethylhexanoic acid'!CS20</f>
        <v>1.4788584997226843</v>
      </c>
      <c r="EI107" s="20">
        <f>'2-ethylhexanoic acid'!CT20</f>
        <v>1.407749237382141</v>
      </c>
      <c r="EJ107" s="20">
        <f>'2-ethylhexanoic acid'!CU20</f>
        <v>1.3677502773155852</v>
      </c>
      <c r="EK107" s="20">
        <f>'2-ethylhexanoic acid'!CV20</f>
        <v>1.3721946062118693</v>
      </c>
      <c r="EL107" s="20">
        <f>'2-ethylhexanoic acid'!CW20</f>
        <v>1.347306364392679</v>
      </c>
      <c r="EM107" s="20">
        <f>'2-ethylhexanoic acid'!CX20</f>
        <v>1.333973377703827</v>
      </c>
      <c r="EN107" s="20">
        <f>'2-ethylhexanoic acid'!CY20</f>
        <v>1.3419731697171382</v>
      </c>
      <c r="EO107" s="20">
        <f>'2-ethylhexanoic acid'!CZ20</f>
        <v>1.3010853438713255</v>
      </c>
      <c r="EP107" s="20">
        <f>'2-ethylhexanoic acid'!DA20</f>
        <v>1.2966410149750416</v>
      </c>
      <c r="EQ107" s="20">
        <f>'2-ethylhexanoic acid'!DB20</f>
        <v>1.2744193704936218</v>
      </c>
      <c r="ER107" s="20">
        <f>'2-ethylhexanoic acid'!DC20</f>
        <v>1.1721998058790903</v>
      </c>
      <c r="ES107" s="20">
        <f>'2-ethylhexanoic acid'!DD20</f>
        <v>1.1899771214642263</v>
      </c>
      <c r="ET107" s="20">
        <f>'2-ethylhexanoic acid'!DE20</f>
        <v>1.1899771214642263</v>
      </c>
      <c r="EU107" s="20">
        <f>'2-ethylhexanoic acid'!DF20</f>
        <v>1.1899771214642263</v>
      </c>
      <c r="EV107" s="20">
        <f>'2-ethylhexanoic acid'!DG20</f>
        <v>1.1988657792567943</v>
      </c>
      <c r="EW107" s="20">
        <f>'2-ethylhexanoic acid'!DH20</f>
        <v>1.2121987659456461</v>
      </c>
      <c r="EX107" s="20">
        <f>'2-ethylhexanoic acid'!DI20</f>
        <v>1.2877523571824738</v>
      </c>
      <c r="EY107" s="20">
        <f>'2-ethylhexanoic acid'!DJ20</f>
        <v>1.2966410149750416</v>
      </c>
      <c r="EZ107" s="20">
        <f>'2-ethylhexanoic acid'!DK20</f>
        <v>1.2966410149750416</v>
      </c>
      <c r="FA107" s="20">
        <f>'2-ethylhexanoic acid'!DL20</f>
        <v>1.2833080282861897</v>
      </c>
      <c r="FB107" s="20">
        <f>'2-ethylhexanoic acid'!DM20</f>
        <v>1.2833080282861897</v>
      </c>
      <c r="FC107" s="20">
        <f>'2-ethylhexanoic acid'!DN20</f>
        <v>1.2966410149750416</v>
      </c>
      <c r="FD107" s="20">
        <f>'2-ethylhexanoic acid'!DO20</f>
        <v>1.2921966860787575</v>
      </c>
      <c r="FE107" s="20">
        <f>'2-ethylhexanoic acid'!DP20</f>
        <v>1.2921966860787575</v>
      </c>
      <c r="FF107" s="20">
        <f>'2-ethylhexanoic acid'!DQ20</f>
        <v>1.2566420549084858</v>
      </c>
      <c r="FG107" s="20">
        <f>'2-ethylhexanoic acid'!DR20</f>
        <v>1.2388647393233498</v>
      </c>
      <c r="FH107" s="20">
        <f>'2-ethylhexanoic acid'!DS20</f>
        <v>1.2077544370493623</v>
      </c>
    </row>
    <row r="108" spans="1:164">
      <c r="A108" s="8" t="s">
        <v>229</v>
      </c>
      <c r="B108" s="8" t="s">
        <v>324</v>
      </c>
      <c r="AU108" s="60" t="s">
        <v>114</v>
      </c>
      <c r="BA108" s="19">
        <f t="shared" si="161"/>
        <v>-1.2318925434819938E-2</v>
      </c>
      <c r="BB108" s="19">
        <f t="shared" si="149"/>
        <v>0</v>
      </c>
      <c r="BC108" s="19">
        <f t="shared" si="150"/>
        <v>0</v>
      </c>
      <c r="BD108" s="19">
        <f t="shared" si="151"/>
        <v>6.5217840537282745E-3</v>
      </c>
      <c r="BE108" s="19">
        <f t="shared" si="152"/>
        <v>0</v>
      </c>
      <c r="BF108" s="19">
        <f t="shared" si="153"/>
        <v>0</v>
      </c>
      <c r="BG108" s="19">
        <f t="shared" si="154"/>
        <v>-2.3188565524367211E-2</v>
      </c>
      <c r="BH108" s="19">
        <f t="shared" si="155"/>
        <v>-4.2753917685551923E-2</v>
      </c>
      <c r="BI108" s="19">
        <f t="shared" si="156"/>
        <v>0</v>
      </c>
      <c r="BJ108" s="19">
        <f t="shared" si="157"/>
        <v>-6.5217840537282745E-3</v>
      </c>
      <c r="BK108" s="19">
        <f t="shared" si="158"/>
        <v>0</v>
      </c>
      <c r="BL108" s="19">
        <f t="shared" si="159"/>
        <v>0</v>
      </c>
      <c r="BM108" s="19">
        <f t="shared" si="160"/>
        <v>0</v>
      </c>
      <c r="BN108" s="19">
        <f t="shared" si="160"/>
        <v>1.7391424143275436E-2</v>
      </c>
      <c r="BO108" s="19">
        <f t="shared" si="160"/>
        <v>4.637713104873431E-2</v>
      </c>
      <c r="BP108" s="19">
        <f t="shared" si="130"/>
        <v>0</v>
      </c>
      <c r="BQ108" s="19">
        <f t="shared" si="131"/>
        <v>1.5217496125365826E-2</v>
      </c>
      <c r="BR108" s="19">
        <f t="shared" si="131"/>
        <v>7.2464267263647741E-3</v>
      </c>
      <c r="BS108" s="19">
        <f t="shared" si="114"/>
        <v>0</v>
      </c>
      <c r="BT108" s="19">
        <f t="shared" si="114"/>
        <v>-3.6232133631823871E-3</v>
      </c>
      <c r="BU108" s="19">
        <f t="shared" si="132"/>
        <v>-1.159428276218355E-2</v>
      </c>
      <c r="BV108" s="19">
        <f t="shared" si="133"/>
        <v>-1.4492853452728882E-3</v>
      </c>
      <c r="BW108" s="19">
        <f t="shared" si="115"/>
        <v>-4.3478560358188867E-3</v>
      </c>
      <c r="BX108" s="19">
        <f t="shared" si="116"/>
        <v>-4.3478560358187757E-3</v>
      </c>
      <c r="BY108" s="19">
        <f t="shared" si="116"/>
        <v>1.086964008954705E-2</v>
      </c>
      <c r="BZ108" s="19">
        <f t="shared" si="116"/>
        <v>-3.6232133631823871E-3</v>
      </c>
      <c r="CA108" s="19">
        <f t="shared" si="116"/>
        <v>0</v>
      </c>
      <c r="CB108" s="19">
        <f t="shared" si="138"/>
        <v>0</v>
      </c>
      <c r="CC108" s="19">
        <f t="shared" si="138"/>
        <v>0</v>
      </c>
      <c r="CD108" s="19">
        <f t="shared" si="138"/>
        <v>-3.623213363182276E-3</v>
      </c>
      <c r="CE108" s="65"/>
      <c r="CG108" s="20">
        <f t="shared" si="118"/>
        <v>0.60368308805023096</v>
      </c>
      <c r="CH108" s="20">
        <f>'propylene oxide'!AS20</f>
        <v>0.63768555192009646</v>
      </c>
      <c r="CI108" s="20">
        <f>'propylene oxide'!AT20</f>
        <v>0.71014981918374376</v>
      </c>
      <c r="CJ108" s="20">
        <f>'propylene oxide'!AU20</f>
        <v>0.66667125882555534</v>
      </c>
      <c r="CK108" s="20">
        <f>'propylene oxide'!AV20</f>
        <v>0.68116411227828477</v>
      </c>
      <c r="CL108" s="20">
        <f>'propylene oxide'!AW20</f>
        <v>0.64493197864646112</v>
      </c>
      <c r="CM108" s="20">
        <f>'propylene oxide'!AX20</f>
        <v>0.54348200447735495</v>
      </c>
      <c r="CN108" s="20">
        <f>'propylene oxide'!AY20</f>
        <v>0.5289891510246254</v>
      </c>
      <c r="CO108" s="20">
        <f>'propylene oxide'!AZ20</f>
        <v>0.5289891510246254</v>
      </c>
      <c r="CP108" s="20">
        <f>'propylene oxide'!BA20</f>
        <v>0.54638057516790084</v>
      </c>
      <c r="CQ108" s="20">
        <f>'propylene oxide'!BB20</f>
        <v>0.56377199931117616</v>
      </c>
      <c r="CR108" s="20">
        <f>'propylene oxide'!BC20</f>
        <v>0.56884449801963144</v>
      </c>
      <c r="CS108" s="20">
        <f>'propylene oxide'!BD20</f>
        <v>0.59783020492509031</v>
      </c>
      <c r="CT108" s="20">
        <f>'propylene oxide'!BE20</f>
        <v>0.61884484243154814</v>
      </c>
      <c r="CU108" s="20">
        <f>'propylene oxide'!BF20</f>
        <v>0.61884484243154814</v>
      </c>
      <c r="CV108" s="20">
        <f>'propylene oxide'!BG20</f>
        <v>0.61014913035991036</v>
      </c>
      <c r="CW108" s="20">
        <f>'propylene oxide'!BH20</f>
        <v>0.6014534182882727</v>
      </c>
      <c r="CX108" s="20">
        <f>'propylene oxide'!BI20</f>
        <v>0.58985913552608915</v>
      </c>
      <c r="CY108" s="20">
        <f>'propylene oxide'!BJ20</f>
        <v>0.58333735147236099</v>
      </c>
      <c r="CZ108" s="20">
        <f>'propylene oxide'!BK20</f>
        <v>0.58333735147236099</v>
      </c>
      <c r="DA108" s="20">
        <f>'propylene oxide'!BL20</f>
        <v>0.5789894954365421</v>
      </c>
      <c r="DB108" s="20">
        <f>'propylene oxide'!BM20</f>
        <v>0.5789894954365421</v>
      </c>
      <c r="DC108" s="20">
        <f>'propylene oxide'!BN20</f>
        <v>0.57536628207335971</v>
      </c>
      <c r="DD108" s="20">
        <f>'propylene oxide'!BO20</f>
        <v>0.57536628207335971</v>
      </c>
      <c r="DE108" s="20">
        <f>'propylene oxide'!BP20</f>
        <v>0.5789894954365421</v>
      </c>
      <c r="DF108" s="20">
        <f>'propylene oxide'!BQ20</f>
        <v>0.5789894954365421</v>
      </c>
      <c r="DG108" s="20">
        <f>'propylene oxide'!BR20</f>
        <v>0.58261270879972449</v>
      </c>
      <c r="DH108" s="20">
        <f>'propylene oxide'!BS20</f>
        <v>0.5789894954365421</v>
      </c>
      <c r="DI108" s="20">
        <f>'propylene oxide'!BT20</f>
        <v>0.5789894954365421</v>
      </c>
      <c r="DJ108" s="20">
        <f>'propylene oxide'!BU20</f>
        <v>0.5782648527639056</v>
      </c>
      <c r="DK108" s="20">
        <f>'propylene oxide'!BV20</f>
        <v>0.58261270879972449</v>
      </c>
      <c r="DL108" s="20">
        <f>'propylene oxide'!BW20</f>
        <v>0.60725055966936448</v>
      </c>
      <c r="DM108" s="20">
        <f>'propylene oxide'!BX20</f>
        <v>0.66667125882555534</v>
      </c>
      <c r="DN108" s="20">
        <f>'propylene oxide'!BY20</f>
        <v>0.68116411227828477</v>
      </c>
      <c r="DO108" s="20">
        <f>'propylene oxide'!BZ20</f>
        <v>0.7231933872912002</v>
      </c>
      <c r="DP108" s="20">
        <f>'propylene oxide'!CA20</f>
        <v>0.69565696573101421</v>
      </c>
      <c r="DQ108" s="20">
        <f>'propylene oxide'!CB20</f>
        <v>0.66232340278973656</v>
      </c>
      <c r="DR108" s="20">
        <f>'propylene oxide'!CC20</f>
        <v>0.63043912519373169</v>
      </c>
      <c r="DS108" s="20">
        <f>'propylene oxide'!CD20</f>
        <v>0.62319269846736691</v>
      </c>
      <c r="DT108" s="20">
        <f>'propylene oxide'!CE20</f>
        <v>0.62319269846736691</v>
      </c>
      <c r="DU108" s="20">
        <f>'propylene oxide'!CF20</f>
        <v>0.6282651971758223</v>
      </c>
      <c r="DV108" s="20">
        <f>'propylene oxide'!CG20</f>
        <v>0.61232305837781986</v>
      </c>
      <c r="DW108" s="20">
        <f>'propylene oxide'!CH20</f>
        <v>0.61159841570518336</v>
      </c>
      <c r="DX108" s="20">
        <f>'propylene oxide'!CI20</f>
        <v>0.61159841570518336</v>
      </c>
      <c r="DY108" s="20">
        <f>'propylene oxide'!CJ20</f>
        <v>0.61159841570518336</v>
      </c>
      <c r="DZ108" s="20">
        <f>'propylene oxide'!CK20</f>
        <v>0.61159841570518336</v>
      </c>
      <c r="EA108" s="20">
        <f>'propylene oxide'!CL20</f>
        <v>0.59927949027036331</v>
      </c>
      <c r="EB108" s="20">
        <f>'propylene oxide'!CM20</f>
        <v>0.59275770621663504</v>
      </c>
      <c r="EC108" s="20">
        <f>'propylene oxide'!CN20</f>
        <v>0.58985913552608915</v>
      </c>
      <c r="ED108" s="20">
        <f>'propylene oxide'!CO20</f>
        <v>0.58696056483554337</v>
      </c>
      <c r="EE108" s="20">
        <f>'propylene oxide'!CP20</f>
        <v>0.59927949027036331</v>
      </c>
      <c r="EF108" s="20">
        <f>'propylene oxide'!CQ20</f>
        <v>0.59927949027036331</v>
      </c>
      <c r="EG108" s="20">
        <f>'propylene oxide'!CR20</f>
        <v>0.59927949027036331</v>
      </c>
      <c r="EH108" s="20">
        <f>'propylene oxide'!CS20</f>
        <v>0.59275770621663504</v>
      </c>
      <c r="EI108" s="20">
        <f>'propylene oxide'!CT20</f>
        <v>0.59275770621663504</v>
      </c>
      <c r="EJ108" s="20">
        <f>'propylene oxide'!CU20</f>
        <v>0.59275770621663504</v>
      </c>
      <c r="EK108" s="20">
        <f>'propylene oxide'!CV20</f>
        <v>0.61594627174100225</v>
      </c>
      <c r="EL108" s="20">
        <f>'propylene oxide'!CW20</f>
        <v>0.65870018942655417</v>
      </c>
      <c r="EM108" s="20">
        <f>'propylene oxide'!CX20</f>
        <v>0.65870018942655417</v>
      </c>
      <c r="EN108" s="20">
        <f>'propylene oxide'!CY20</f>
        <v>0.66522197348028245</v>
      </c>
      <c r="EO108" s="20">
        <f>'propylene oxide'!CZ20</f>
        <v>0.66522197348028245</v>
      </c>
      <c r="EP108" s="20">
        <f>'propylene oxide'!DA20</f>
        <v>0.66522197348028245</v>
      </c>
      <c r="EQ108" s="20">
        <f>'propylene oxide'!DB20</f>
        <v>0.66522197348028245</v>
      </c>
      <c r="ER108" s="20">
        <f>'propylene oxide'!DC20</f>
        <v>0.64783054933700701</v>
      </c>
      <c r="ES108" s="20">
        <f>'propylene oxide'!DD20</f>
        <v>0.6014534182882727</v>
      </c>
      <c r="ET108" s="20">
        <f>'propylene oxide'!DE20</f>
        <v>0.6014534182882727</v>
      </c>
      <c r="EU108" s="20">
        <f>'propylene oxide'!DF20</f>
        <v>0.58623592216290688</v>
      </c>
      <c r="EV108" s="20">
        <f>'propylene oxide'!DG20</f>
        <v>0.5789894954365421</v>
      </c>
      <c r="EW108" s="20">
        <f>'propylene oxide'!DH20</f>
        <v>0.5789894954365421</v>
      </c>
      <c r="EX108" s="20">
        <f>'propylene oxide'!DI20</f>
        <v>0.58261270879972449</v>
      </c>
      <c r="EY108" s="20">
        <f>'propylene oxide'!DJ20</f>
        <v>0.59420699156190804</v>
      </c>
      <c r="EZ108" s="20">
        <f>'propylene oxide'!DK20</f>
        <v>0.59565627690718093</v>
      </c>
      <c r="FA108" s="20">
        <f>'propylene oxide'!DL20</f>
        <v>0.60000413294299981</v>
      </c>
      <c r="FB108" s="20">
        <f>'propylene oxide'!DM20</f>
        <v>0.60435198897881859</v>
      </c>
      <c r="FC108" s="20">
        <f>'propylene oxide'!DN20</f>
        <v>0.59348234888927154</v>
      </c>
      <c r="FD108" s="20">
        <f>'propylene oxide'!DO20</f>
        <v>0.59710556225245393</v>
      </c>
      <c r="FE108" s="20">
        <f>'propylene oxide'!DP20</f>
        <v>0.59710556225245393</v>
      </c>
      <c r="FF108" s="20">
        <f>'propylene oxide'!DQ20</f>
        <v>0.59710556225245393</v>
      </c>
      <c r="FG108" s="20">
        <f>'propylene oxide'!DR20</f>
        <v>0.59710556225245393</v>
      </c>
      <c r="FH108" s="20">
        <f>'propylene oxide'!DS20</f>
        <v>0.6007287756156362</v>
      </c>
    </row>
    <row r="109" spans="1:164">
      <c r="A109" s="8" t="s">
        <v>207</v>
      </c>
      <c r="B109" s="8" t="s">
        <v>325</v>
      </c>
      <c r="AU109" s="60" t="s">
        <v>94</v>
      </c>
      <c r="BA109" s="19">
        <f t="shared" si="161"/>
        <v>0</v>
      </c>
      <c r="BB109" s="19">
        <f t="shared" si="149"/>
        <v>1.1597728291685705E-3</v>
      </c>
      <c r="BC109" s="19">
        <f t="shared" si="150"/>
        <v>1.911985580280906E-2</v>
      </c>
      <c r="BD109" s="19">
        <f t="shared" si="151"/>
        <v>0</v>
      </c>
      <c r="BE109" s="19">
        <f t="shared" si="152"/>
        <v>8.1659402519262958E-4</v>
      </c>
      <c r="BF109" s="19">
        <f t="shared" si="153"/>
        <v>1.034192925747246E-3</v>
      </c>
      <c r="BG109" s="19">
        <f t="shared" si="154"/>
        <v>2.408553225977772E-3</v>
      </c>
      <c r="BH109" s="19">
        <f t="shared" si="155"/>
        <v>-2.0353970923756126E-2</v>
      </c>
      <c r="BI109" s="19">
        <f t="shared" si="156"/>
        <v>1.0560020354263289E-3</v>
      </c>
      <c r="BJ109" s="19">
        <f t="shared" si="157"/>
        <v>-8.7203184080718588E-3</v>
      </c>
      <c r="BK109" s="19">
        <f t="shared" si="158"/>
        <v>-1.8123341544856952E-2</v>
      </c>
      <c r="BL109" s="19">
        <f t="shared" si="159"/>
        <v>1.1066255427685245E-3</v>
      </c>
      <c r="BM109" s="19">
        <f t="shared" si="160"/>
        <v>-1.0181570064610179E-3</v>
      </c>
      <c r="BN109" s="19">
        <f t="shared" si="160"/>
        <v>-1.8205509160791111E-2</v>
      </c>
      <c r="BO109" s="19">
        <f t="shared" si="160"/>
        <v>-3.4746413512562802E-2</v>
      </c>
      <c r="BP109" s="19">
        <f t="shared" si="130"/>
        <v>2.3837428800135285E-3</v>
      </c>
      <c r="BQ109" s="19">
        <f t="shared" si="131"/>
        <v>-5.9846802476262173E-3</v>
      </c>
      <c r="BR109" s="19">
        <f t="shared" si="131"/>
        <v>5.6902881850936504E-3</v>
      </c>
      <c r="BS109" s="19">
        <f t="shared" si="114"/>
        <v>1.4052551625423404E-2</v>
      </c>
      <c r="BT109" s="19">
        <f t="shared" si="114"/>
        <v>2.0234784938607864E-2</v>
      </c>
      <c r="BU109" s="19">
        <f t="shared" si="132"/>
        <v>-1.7129624337506422E-2</v>
      </c>
      <c r="BV109" s="19">
        <f t="shared" si="133"/>
        <v>1.1599069058836342E-3</v>
      </c>
      <c r="BW109" s="19">
        <f t="shared" si="115"/>
        <v>-8.6578239929323564E-3</v>
      </c>
      <c r="BX109" s="19">
        <f t="shared" si="116"/>
        <v>2.1579143742525564E-2</v>
      </c>
      <c r="BY109" s="19">
        <f t="shared" si="116"/>
        <v>1.0321676646204647E-2</v>
      </c>
      <c r="BZ109" s="19">
        <f t="shared" si="116"/>
        <v>9.0082463850161831E-3</v>
      </c>
      <c r="CA109" s="19">
        <f t="shared" si="116"/>
        <v>1.5681342153381905E-3</v>
      </c>
      <c r="CB109" s="19">
        <f t="shared" si="138"/>
        <v>1.2212382554251944E-3</v>
      </c>
      <c r="CC109" s="19">
        <f t="shared" si="138"/>
        <v>1.411483201304653E-2</v>
      </c>
      <c r="CD109" s="19">
        <f t="shared" si="138"/>
        <v>3.3290787116515563E-3</v>
      </c>
      <c r="CE109" s="65"/>
      <c r="CG109" s="20">
        <f t="shared" si="118"/>
        <v>0.84025258251514034</v>
      </c>
      <c r="CH109" s="20">
        <f>'Phosphorus Pentasulfide'!AS20</f>
        <v>1.2104118632875234</v>
      </c>
      <c r="CI109" s="20">
        <f>'Phosphorus Pentasulfide'!AT20</f>
        <v>1.1243670152514602</v>
      </c>
      <c r="CJ109" s="20">
        <f>'Phosphorus Pentasulfide'!AU20</f>
        <v>1.0829965314518668</v>
      </c>
      <c r="CK109" s="20">
        <f>'Phosphorus Pentasulfide'!AV20</f>
        <v>0.98864279405891453</v>
      </c>
      <c r="CL109" s="20">
        <f>'Phosphorus Pentasulfide'!AW20</f>
        <v>0.70162811102753564</v>
      </c>
      <c r="CM109" s="20">
        <f>'Phosphorus Pentasulfide'!AX20</f>
        <v>0.80653084901418426</v>
      </c>
      <c r="CN109" s="20">
        <f>'Phosphorus Pentasulfide'!AY20</f>
        <v>0.77898623937924072</v>
      </c>
      <c r="CO109" s="20">
        <f>'Phosphorus Pentasulfide'!AZ20</f>
        <v>0.7959946725534599</v>
      </c>
      <c r="CP109" s="20">
        <f>'Phosphorus Pentasulfide'!BA20</f>
        <v>0.80837303225247503</v>
      </c>
      <c r="CQ109" s="20">
        <f>'Phosphorus Pentasulfide'!BB20</f>
        <v>0.81402599051997482</v>
      </c>
      <c r="CR109" s="20">
        <f>'Phosphorus Pentasulfide'!BC20</f>
        <v>0.82207427008726275</v>
      </c>
      <c r="CS109" s="20">
        <f>'Phosphorus Pentasulfide'!BD20</f>
        <v>0.82772815089941731</v>
      </c>
      <c r="CT109" s="20">
        <f>'Phosphorus Pentasulfide'!BE20</f>
        <v>0.82545729177486471</v>
      </c>
      <c r="CU109" s="20">
        <f>'Phosphorus Pentasulfide'!BF20</f>
        <v>0.88949789232116883</v>
      </c>
      <c r="CV109" s="20">
        <f>'Phosphorus Pentasulfide'!BG20</f>
        <v>0.89067417497826562</v>
      </c>
      <c r="CW109" s="20">
        <f>'Phosphorus Pentasulfide'!BH20</f>
        <v>0.87806327901707437</v>
      </c>
      <c r="CX109" s="20">
        <f>'Phosphorus Pentasulfide'!BI20</f>
        <v>0.86360940366405115</v>
      </c>
      <c r="CY109" s="20">
        <f>'Phosphorus Pentasulfide'!BJ20</f>
        <v>0.86360940366405115</v>
      </c>
      <c r="CZ109" s="20">
        <f>'Phosphorus Pentasulfide'!BK20</f>
        <v>0.86360940366405115</v>
      </c>
      <c r="DA109" s="20">
        <f>'Phosphorus Pentasulfide'!BL20</f>
        <v>0.8836270810600465</v>
      </c>
      <c r="DB109" s="20">
        <f>'Phosphorus Pentasulfide'!BM20</f>
        <v>0.88143005664705176</v>
      </c>
      <c r="DC109" s="20">
        <f>'Phosphorus Pentasulfide'!BN20</f>
        <v>0.87463311686333367</v>
      </c>
      <c r="DD109" s="20">
        <f>'Phosphorus Pentasulfide'!BO20</f>
        <v>0.8806484753011834</v>
      </c>
      <c r="DE109" s="20">
        <f>'Phosphorus Pentasulfide'!BP20</f>
        <v>0.89317350344646285</v>
      </c>
      <c r="DF109" s="20">
        <f>'Phosphorus Pentasulfide'!BQ20</f>
        <v>0.89317350344646285</v>
      </c>
      <c r="DG109" s="20">
        <f>'Phosphorus Pentasulfide'!BR20</f>
        <v>0.89710313615639181</v>
      </c>
      <c r="DH109" s="20">
        <f>'Phosphorus Pentasulfide'!BS20</f>
        <v>0.88870373508719258</v>
      </c>
      <c r="DI109" s="20">
        <f>'Phosphorus Pentasulfide'!BT20</f>
        <v>0.86149684750671829</v>
      </c>
      <c r="DJ109" s="20">
        <f>'Phosphorus Pentasulfide'!BU20</f>
        <v>0.81043875734141224</v>
      </c>
      <c r="DK109" s="20">
        <f>'Phosphorus Pentasulfide'!BV20</f>
        <v>0.79874556471811087</v>
      </c>
      <c r="DL109" s="20">
        <f>'Phosphorus Pentasulfide'!BW20</f>
        <v>0.79762057096498684</v>
      </c>
      <c r="DM109" s="20">
        <f>'Phosphorus Pentasulfide'!BX20</f>
        <v>0.82885927744319421</v>
      </c>
      <c r="DN109" s="20">
        <f>'Phosphorus Pentasulfide'!BY20</f>
        <v>0.83117250779553187</v>
      </c>
      <c r="DO109" s="20">
        <f>'Phosphorus Pentasulfide'!BZ20</f>
        <v>0.83001751936363333</v>
      </c>
      <c r="DP109" s="20">
        <f>'Phosphorus Pentasulfide'!CA20</f>
        <v>0.83248027350608877</v>
      </c>
      <c r="DQ109" s="20">
        <f>'Phosphorus Pentasulfide'!CB20</f>
        <v>0.82321762790379571</v>
      </c>
      <c r="DR109" s="20">
        <f>'Phosphorus Pentasulfide'!CC20</f>
        <v>0.82436417056104339</v>
      </c>
      <c r="DS109" s="20">
        <f>'Phosphorus Pentasulfide'!CD20</f>
        <v>0.83326372849598784</v>
      </c>
      <c r="DT109" s="20">
        <f>'Phosphorus Pentasulfide'!CE20</f>
        <v>0.81498387950776008</v>
      </c>
      <c r="DU109" s="20">
        <f>'Phosphorus Pentasulfide'!CF20</f>
        <v>0.81725402958995452</v>
      </c>
      <c r="DV109" s="20">
        <f>'Phosphorus Pentasulfide'!CG20</f>
        <v>0.78198391683273027</v>
      </c>
      <c r="DW109" s="20">
        <f>'Phosphorus Pentasulfide'!CH20</f>
        <v>0.77295447967540953</v>
      </c>
      <c r="DX109" s="20">
        <f>'Phosphorus Pentasulfide'!CI20</f>
        <v>0.77759357099208481</v>
      </c>
      <c r="DY109" s="20">
        <f>'Phosphorus Pentasulfide'!CJ20</f>
        <v>0.78551240337896189</v>
      </c>
      <c r="DZ109" s="20">
        <f>'Phosphorus Pentasulfide'!CK20</f>
        <v>0.80367967701704079</v>
      </c>
      <c r="EA109" s="20">
        <f>'Phosphorus Pentasulfide'!CL20</f>
        <v>0.80367967701704079</v>
      </c>
      <c r="EB109" s="20">
        <f>'Phosphorus Pentasulfide'!CM20</f>
        <v>0.80702369786454586</v>
      </c>
      <c r="EC109" s="20">
        <f>'Phosphorus Pentasulfide'!CN20</f>
        <v>0.77523991436818329</v>
      </c>
      <c r="ED109" s="20">
        <f>'Phosphorus Pentasulfide'!CO20</f>
        <v>0.77295447967540953</v>
      </c>
      <c r="EE109" s="20">
        <f>'Phosphorus Pentasulfide'!CP20</f>
        <v>0.77295447967540953</v>
      </c>
      <c r="EF109" s="20">
        <f>'Phosphorus Pentasulfide'!CQ20</f>
        <v>0.77179470684624096</v>
      </c>
      <c r="EG109" s="20">
        <f>'Phosphorus Pentasulfide'!CR20</f>
        <v>0.7526748510434319</v>
      </c>
      <c r="EH109" s="20">
        <f>'Phosphorus Pentasulfide'!CS20</f>
        <v>0.7526748510434319</v>
      </c>
      <c r="EI109" s="20">
        <f>'Phosphorus Pentasulfide'!CT20</f>
        <v>0.75185825701823927</v>
      </c>
      <c r="EJ109" s="20">
        <f>'Phosphorus Pentasulfide'!CU20</f>
        <v>0.75082406409249203</v>
      </c>
      <c r="EK109" s="20">
        <f>'Phosphorus Pentasulfide'!CV20</f>
        <v>0.74841551086651426</v>
      </c>
      <c r="EL109" s="20">
        <f>'Phosphorus Pentasulfide'!CW20</f>
        <v>0.76876948179027038</v>
      </c>
      <c r="EM109" s="20">
        <f>'Phosphorus Pentasulfide'!CX20</f>
        <v>0.76771347975484405</v>
      </c>
      <c r="EN109" s="20">
        <f>'Phosphorus Pentasulfide'!CY20</f>
        <v>0.77643379816291591</v>
      </c>
      <c r="EO109" s="20">
        <f>'Phosphorus Pentasulfide'!CZ20</f>
        <v>0.79455713970777286</v>
      </c>
      <c r="EP109" s="20">
        <f>'Phosphorus Pentasulfide'!DA20</f>
        <v>0.79345051416500434</v>
      </c>
      <c r="EQ109" s="20">
        <f>'Phosphorus Pentasulfide'!DB20</f>
        <v>0.79446867117146536</v>
      </c>
      <c r="ER109" s="20">
        <f>'Phosphorus Pentasulfide'!DC20</f>
        <v>0.81267418033225647</v>
      </c>
      <c r="ES109" s="20">
        <f>'Phosphorus Pentasulfide'!DD20</f>
        <v>0.84742059384481927</v>
      </c>
      <c r="ET109" s="20">
        <f>'Phosphorus Pentasulfide'!DE20</f>
        <v>0.84503685096480574</v>
      </c>
      <c r="EU109" s="20">
        <f>'Phosphorus Pentasulfide'!DF20</f>
        <v>0.85102153121243196</v>
      </c>
      <c r="EV109" s="20">
        <f>'Phosphorus Pentasulfide'!DG20</f>
        <v>0.84533124302733831</v>
      </c>
      <c r="EW109" s="20">
        <f>'Phosphorus Pentasulfide'!DH20</f>
        <v>0.8312786914019149</v>
      </c>
      <c r="EX109" s="20">
        <f>'Phosphorus Pentasulfide'!DI20</f>
        <v>0.81104390646330704</v>
      </c>
      <c r="EY109" s="20">
        <f>'Phosphorus Pentasulfide'!DJ20</f>
        <v>0.82817353080081346</v>
      </c>
      <c r="EZ109" s="20">
        <f>'Phosphorus Pentasulfide'!DK20</f>
        <v>0.82701362389492983</v>
      </c>
      <c r="FA109" s="20">
        <f>'Phosphorus Pentasulfide'!DL20</f>
        <v>0.83567144788786218</v>
      </c>
      <c r="FB109" s="20">
        <f>'Phosphorus Pentasulfide'!DM20</f>
        <v>0.81409230414533662</v>
      </c>
      <c r="FC109" s="20">
        <f>'Phosphorus Pentasulfide'!DN20</f>
        <v>0.80377062749913197</v>
      </c>
      <c r="FD109" s="20">
        <f>'Phosphorus Pentasulfide'!DO20</f>
        <v>0.79476238111411579</v>
      </c>
      <c r="FE109" s="20">
        <f>'Phosphorus Pentasulfide'!DP20</f>
        <v>0.7931942468987776</v>
      </c>
      <c r="FF109" s="20">
        <f>'Phosphorus Pentasulfide'!DQ20</f>
        <v>0.79197300864335241</v>
      </c>
      <c r="FG109" s="20">
        <f>'Phosphorus Pentasulfide'!DR20</f>
        <v>0.77785817663030588</v>
      </c>
      <c r="FH109" s="20">
        <f>'Phosphorus Pentasulfide'!DS20</f>
        <v>0.77452909791865432</v>
      </c>
    </row>
    <row r="110" spans="1:164">
      <c r="A110" s="8" t="s">
        <v>212</v>
      </c>
      <c r="B110" s="8" t="s">
        <v>326</v>
      </c>
      <c r="AU110" s="60" t="s">
        <v>327</v>
      </c>
      <c r="BA110" s="19">
        <f t="shared" si="161"/>
        <v>0</v>
      </c>
      <c r="BB110" s="19">
        <f t="shared" si="149"/>
        <v>0</v>
      </c>
      <c r="BC110" s="19">
        <f t="shared" si="150"/>
        <v>-8.3054597287705256E-2</v>
      </c>
      <c r="BD110" s="19">
        <f t="shared" si="151"/>
        <v>0</v>
      </c>
      <c r="BE110" s="19">
        <f t="shared" si="152"/>
        <v>0</v>
      </c>
      <c r="BF110" s="19">
        <f t="shared" si="153"/>
        <v>0</v>
      </c>
      <c r="BG110" s="19">
        <f t="shared" si="154"/>
        <v>0</v>
      </c>
      <c r="BH110" s="19">
        <f t="shared" si="155"/>
        <v>0</v>
      </c>
      <c r="BI110" s="19">
        <f t="shared" si="156"/>
        <v>0</v>
      </c>
      <c r="BJ110" s="19">
        <f t="shared" si="157"/>
        <v>0.37968384715291581</v>
      </c>
      <c r="BK110" s="19">
        <f t="shared" si="158"/>
        <v>0</v>
      </c>
      <c r="BL110" s="19">
        <f t="shared" si="159"/>
        <v>0</v>
      </c>
      <c r="BM110" s="19">
        <f t="shared" si="160"/>
        <v>0</v>
      </c>
      <c r="BN110" s="19">
        <f t="shared" si="160"/>
        <v>-0.50624512953722078</v>
      </c>
      <c r="BO110" s="19">
        <f t="shared" si="160"/>
        <v>9.2044569006767496E-2</v>
      </c>
      <c r="BP110" s="19">
        <f t="shared" si="130"/>
        <v>0</v>
      </c>
      <c r="BQ110" s="19">
        <f t="shared" si="131"/>
        <v>0</v>
      </c>
      <c r="BR110" s="19">
        <f t="shared" si="131"/>
        <v>0</v>
      </c>
      <c r="BS110" s="19">
        <f t="shared" si="114"/>
        <v>0</v>
      </c>
      <c r="BT110" s="19">
        <f t="shared" si="114"/>
        <v>0</v>
      </c>
      <c r="BU110" s="19">
        <f t="shared" si="132"/>
        <v>0</v>
      </c>
      <c r="BV110" s="19">
        <f t="shared" si="133"/>
        <v>0</v>
      </c>
      <c r="BW110" s="19">
        <f t="shared" si="115"/>
        <v>0</v>
      </c>
      <c r="BX110" s="19">
        <f t="shared" si="116"/>
        <v>3.068152300225524E-2</v>
      </c>
      <c r="BY110" s="19">
        <f t="shared" si="116"/>
        <v>0</v>
      </c>
      <c r="BZ110" s="19">
        <f t="shared" si="116"/>
        <v>0</v>
      </c>
      <c r="CA110" s="19">
        <f t="shared" si="116"/>
        <v>0</v>
      </c>
      <c r="CB110" s="19">
        <f t="shared" si="138"/>
        <v>0.2684633262697389</v>
      </c>
      <c r="CC110" s="19">
        <f t="shared" si="138"/>
        <v>0</v>
      </c>
      <c r="CD110" s="19">
        <f t="shared" si="138"/>
        <v>0</v>
      </c>
      <c r="CE110" s="65"/>
      <c r="CG110" s="20">
        <f t="shared" si="118"/>
        <v>7.0077860639712304</v>
      </c>
      <c r="CH110" s="20">
        <f>'Octanethiol '!AS20</f>
        <v>7.5113375965547879</v>
      </c>
      <c r="CI110" s="20">
        <f>'Octanethiol '!AT20</f>
        <v>7.448954210154719</v>
      </c>
      <c r="CJ110" s="20">
        <f>'Octanethiol '!AU20</f>
        <v>7.2736520084860796</v>
      </c>
      <c r="CK110" s="20">
        <f>'Octanethiol '!AV20</f>
        <v>7.2736520084860796</v>
      </c>
      <c r="CL110" s="20">
        <f>'Octanethiol '!AW20</f>
        <v>7.3910441110123717</v>
      </c>
      <c r="CM110" s="20">
        <f>'Octanethiol '!AX20</f>
        <v>7.1920204312720273</v>
      </c>
      <c r="CN110" s="20">
        <f>'Octanethiol '!AY20</f>
        <v>7.0979652225892913</v>
      </c>
      <c r="CO110" s="20">
        <f>'Octanethiol '!AZ20</f>
        <v>7.0979652225892913</v>
      </c>
      <c r="CP110" s="20">
        <f>'Octanethiol '!BA20</f>
        <v>7.0979652225892913</v>
      </c>
      <c r="CQ110" s="20">
        <f>'Octanethiol '!BB20</f>
        <v>7.0979652225892913</v>
      </c>
      <c r="CR110" s="20">
        <f>'Octanethiol '!BC20</f>
        <v>7.0979652225892913</v>
      </c>
      <c r="CS110" s="20">
        <f>'Octanethiol '!BD20</f>
        <v>7.0979652225892913</v>
      </c>
      <c r="CT110" s="20">
        <f>'Octanethiol '!BE20</f>
        <v>7.0979652225892913</v>
      </c>
      <c r="CU110" s="20">
        <f>'Octanethiol '!BF20</f>
        <v>7.0979652225892913</v>
      </c>
      <c r="CV110" s="20">
        <f>'Octanethiol '!BG20</f>
        <v>6.9999976265152721</v>
      </c>
      <c r="CW110" s="20">
        <f>'Octanethiol '!BH20</f>
        <v>6.9999976265152721</v>
      </c>
      <c r="CX110" s="20">
        <f>'Octanethiol '!BI20</f>
        <v>6.9999976265152721</v>
      </c>
      <c r="CY110" s="20">
        <f>'Octanethiol '!BJ20</f>
        <v>6.9999976265152721</v>
      </c>
      <c r="CZ110" s="20">
        <f>'Octanethiol '!BK20</f>
        <v>6.8989343974297626</v>
      </c>
      <c r="DA110" s="20">
        <f>'Octanethiol '!BL20</f>
        <v>6.8989343974297626</v>
      </c>
      <c r="DB110" s="20">
        <f>'Octanethiol '!BM20</f>
        <v>6.8989343974297626</v>
      </c>
      <c r="DC110" s="20">
        <f>'Octanethiol '!BN20</f>
        <v>6.8989343974297626</v>
      </c>
      <c r="DD110" s="20">
        <f>'Octanethiol '!BO20</f>
        <v>7.0359094479647117</v>
      </c>
      <c r="DE110" s="20">
        <f>'Octanethiol '!BP20</f>
        <v>7.0359094479647117</v>
      </c>
      <c r="DF110" s="20">
        <f>'Octanethiol '!BQ20</f>
        <v>7.0359094479647117</v>
      </c>
      <c r="DG110" s="20">
        <f>'Octanethiol '!BR20</f>
        <v>7.0359094479647117</v>
      </c>
      <c r="DH110" s="20">
        <f>'Octanethiol '!BS20</f>
        <v>6.8989343974297626</v>
      </c>
      <c r="DI110" s="20">
        <f>'Octanethiol '!BT20</f>
        <v>6.8989343974297626</v>
      </c>
      <c r="DJ110" s="20">
        <f>'Octanethiol '!BU20</f>
        <v>6.8989343974297626</v>
      </c>
      <c r="DK110" s="20">
        <f>'Octanethiol '!BV20</f>
        <v>6.8989343974297626</v>
      </c>
      <c r="DL110" s="20">
        <f>'Octanethiol '!BW20</f>
        <v>7.0566936751201945</v>
      </c>
      <c r="DM110" s="20">
        <f>'Octanethiol '!BX20</f>
        <v>7.0566936751201945</v>
      </c>
      <c r="DN110" s="20">
        <f>'Octanethiol '!BY20</f>
        <v>7.0566936751201945</v>
      </c>
      <c r="DO110" s="20">
        <f>'Octanethiol '!BZ20</f>
        <v>7.0566936751201945</v>
      </c>
      <c r="DP110" s="20">
        <f>'Octanethiol '!CA20</f>
        <v>6.892778368475124</v>
      </c>
      <c r="DQ110" s="20">
        <f>'Octanethiol '!CB20</f>
        <v>6.892778368475124</v>
      </c>
      <c r="DR110" s="20">
        <f>'Octanethiol '!CC20</f>
        <v>6.892778368475124</v>
      </c>
      <c r="DS110" s="20">
        <f>'Octanethiol '!CD20</f>
        <v>6.892778368475124</v>
      </c>
      <c r="DT110" s="20">
        <f>'Octanethiol '!CE20</f>
        <v>6.8825566279134867</v>
      </c>
      <c r="DU110" s="20">
        <f>'Octanethiol '!CF20</f>
        <v>6.8825566279134867</v>
      </c>
      <c r="DV110" s="20">
        <f>'Octanethiol '!CG20</f>
        <v>6.8825566279134867</v>
      </c>
      <c r="DW110" s="20">
        <f>'Octanethiol '!CH20</f>
        <v>6.8825566279134867</v>
      </c>
      <c r="DX110" s="20">
        <f>'Octanethiol '!CI20</f>
        <v>7.0044089240676861</v>
      </c>
      <c r="DY110" s="20">
        <f>'Octanethiol '!CJ20</f>
        <v>7.0044089240676861</v>
      </c>
      <c r="DZ110" s="20">
        <f>'Octanethiol '!CK20</f>
        <v>7.0044089240676861</v>
      </c>
      <c r="EA110" s="20">
        <f>'Octanethiol '!CL20</f>
        <v>7.0044089240676861</v>
      </c>
      <c r="EB110" s="20">
        <f>'Octanethiol '!CM20</f>
        <v>6.9307053999779997</v>
      </c>
      <c r="EC110" s="20">
        <f>'Octanethiol '!CN20</f>
        <v>6.9307053999779997</v>
      </c>
      <c r="ED110" s="20">
        <f>'Octanethiol '!CO20</f>
        <v>6.9307053999779997</v>
      </c>
      <c r="EE110" s="20">
        <f>'Octanethiol '!CP20</f>
        <v>6.9307053999779997</v>
      </c>
      <c r="EF110" s="20">
        <f>'Octanethiol '!CQ20</f>
        <v>6.9307053999779997</v>
      </c>
      <c r="EG110" s="20">
        <f>'Octanethiol '!CR20</f>
        <v>7.013759997265705</v>
      </c>
      <c r="EH110" s="20">
        <f>'Octanethiol '!CS20</f>
        <v>7.013759997265705</v>
      </c>
      <c r="EI110" s="20">
        <f>'Octanethiol '!CT20</f>
        <v>7.013759997265705</v>
      </c>
      <c r="EJ110" s="20">
        <f>'Octanethiol '!CU20</f>
        <v>7.013759997265705</v>
      </c>
      <c r="EK110" s="20">
        <f>'Octanethiol '!CV20</f>
        <v>7.013759997265705</v>
      </c>
      <c r="EL110" s="20">
        <f>'Octanethiol '!CW20</f>
        <v>7.013759997265705</v>
      </c>
      <c r="EM110" s="20">
        <f>'Octanethiol '!CX20</f>
        <v>7.013759997265705</v>
      </c>
      <c r="EN110" s="20">
        <f>'Octanethiol '!CY20</f>
        <v>6.6340761501127892</v>
      </c>
      <c r="EO110" s="20">
        <f>'Octanethiol '!CZ20</f>
        <v>6.6340761501127892</v>
      </c>
      <c r="EP110" s="20">
        <f>'Octanethiol '!DA20</f>
        <v>6.6340761501127892</v>
      </c>
      <c r="EQ110" s="20">
        <f>'Octanethiol '!DB20</f>
        <v>6.6340761501127892</v>
      </c>
      <c r="ER110" s="20">
        <f>'Octanethiol '!DC20</f>
        <v>7.14032127965001</v>
      </c>
      <c r="ES110" s="20">
        <f>'Octanethiol '!DD20</f>
        <v>7.0482767106432425</v>
      </c>
      <c r="ET110" s="20">
        <f>'Octanethiol '!DE20</f>
        <v>7.0482767106432425</v>
      </c>
      <c r="EU110" s="20">
        <f>'Octanethiol '!DF20</f>
        <v>7.0482767106432425</v>
      </c>
      <c r="EV110" s="20">
        <f>'Octanethiol '!DG20</f>
        <v>7.0482767106432425</v>
      </c>
      <c r="EW110" s="20">
        <f>'Octanethiol '!DH20</f>
        <v>7.0482767106432425</v>
      </c>
      <c r="EX110" s="20">
        <f>'Octanethiol '!DI20</f>
        <v>7.0482767106432425</v>
      </c>
      <c r="EY110" s="20">
        <f>'Octanethiol '!DJ20</f>
        <v>7.0482767106432425</v>
      </c>
      <c r="EZ110" s="20">
        <f>'Octanethiol '!DK20</f>
        <v>7.0482767106432425</v>
      </c>
      <c r="FA110" s="20">
        <f>'Octanethiol '!DL20</f>
        <v>7.0482767106432425</v>
      </c>
      <c r="FB110" s="20">
        <f>'Octanethiol '!DM20</f>
        <v>7.0175951876409872</v>
      </c>
      <c r="FC110" s="20">
        <f>'Octanethiol '!DN20</f>
        <v>7.0175951876409872</v>
      </c>
      <c r="FD110" s="20">
        <f>'Octanethiol '!DO20</f>
        <v>7.0175951876409872</v>
      </c>
      <c r="FE110" s="20">
        <f>'Octanethiol '!DP20</f>
        <v>7.0175951876409872</v>
      </c>
      <c r="FF110" s="20">
        <f>'Octanethiol '!DQ20</f>
        <v>6.7491318613712483</v>
      </c>
      <c r="FG110" s="20">
        <f>'Octanethiol '!DR20</f>
        <v>6.7491318613712483</v>
      </c>
      <c r="FH110" s="20">
        <f>'Octanethiol '!DS20</f>
        <v>6.7491318613712483</v>
      </c>
    </row>
    <row r="111" spans="1:164">
      <c r="A111" s="8" t="s">
        <v>212</v>
      </c>
      <c r="B111" s="8" t="s">
        <v>328</v>
      </c>
      <c r="AU111" s="60" t="s">
        <v>329</v>
      </c>
      <c r="BA111" s="19">
        <f t="shared" si="161"/>
        <v>0</v>
      </c>
      <c r="BB111" s="19">
        <f t="shared" si="149"/>
        <v>0</v>
      </c>
      <c r="BC111" s="19">
        <f t="shared" si="150"/>
        <v>1.8819507318739159E-3</v>
      </c>
      <c r="BD111" s="19">
        <f t="shared" si="151"/>
        <v>-1.7066722358962672E-3</v>
      </c>
      <c r="BE111" s="19">
        <f t="shared" si="152"/>
        <v>3.4992724885563042E-4</v>
      </c>
      <c r="BF111" s="19">
        <f t="shared" si="153"/>
        <v>-1.7485879301726293E-4</v>
      </c>
      <c r="BG111" s="19">
        <f t="shared" si="154"/>
        <v>6.9968655646235334E-5</v>
      </c>
      <c r="BH111" s="19">
        <f t="shared" si="155"/>
        <v>2.7953964398141906E-4</v>
      </c>
      <c r="BI111" s="19">
        <f t="shared" si="156"/>
        <v>5.2269655204151277E-4</v>
      </c>
      <c r="BJ111" s="19">
        <f t="shared" si="157"/>
        <v>1.0431457523707444E-4</v>
      </c>
      <c r="BK111" s="19">
        <f t="shared" si="158"/>
        <v>7.6269548875051996E-4</v>
      </c>
      <c r="BL111" s="19">
        <f t="shared" si="159"/>
        <v>3.4573007315907844E-5</v>
      </c>
      <c r="BM111" s="19">
        <f t="shared" si="160"/>
        <v>-2.0756166609015025E-4</v>
      </c>
      <c r="BN111" s="19">
        <f t="shared" si="160"/>
        <v>-3.4622476824619497E-5</v>
      </c>
      <c r="BO111" s="19">
        <f t="shared" si="160"/>
        <v>2.4218414291476975E-4</v>
      </c>
      <c r="BP111" s="19">
        <f t="shared" si="130"/>
        <v>0</v>
      </c>
      <c r="BQ111" s="19">
        <f t="shared" si="131"/>
        <v>-1.3195902206031285E-3</v>
      </c>
      <c r="BR111" s="19">
        <f t="shared" si="131"/>
        <v>2.78804672853461E-4</v>
      </c>
      <c r="BS111" s="19">
        <f t="shared" si="114"/>
        <v>1.0753503204559145E-3</v>
      </c>
      <c r="BT111" s="19">
        <f t="shared" si="114"/>
        <v>3.4519547001687911E-4</v>
      </c>
      <c r="BU111" s="19">
        <f t="shared" si="132"/>
        <v>0</v>
      </c>
      <c r="BV111" s="19">
        <f t="shared" si="133"/>
        <v>3.4474385843585864E-5</v>
      </c>
      <c r="BW111" s="19">
        <f t="shared" si="115"/>
        <v>1.3781557859604554E-4</v>
      </c>
      <c r="BX111" s="19">
        <f t="shared" si="116"/>
        <v>9.6105138552626812E-4</v>
      </c>
      <c r="BY111" s="19">
        <f t="shared" si="116"/>
        <v>-4.4540819184790692E-4</v>
      </c>
      <c r="BZ111" s="19">
        <f t="shared" si="116"/>
        <v>1.2300859398013397E-3</v>
      </c>
      <c r="CA111" s="19">
        <f t="shared" si="116"/>
        <v>2.0399760331213379E-4</v>
      </c>
      <c r="CB111" s="19">
        <f t="shared" si="138"/>
        <v>4.748721764240571E-4</v>
      </c>
      <c r="CC111" s="19">
        <f t="shared" si="138"/>
        <v>3.0444815422270288E-4</v>
      </c>
      <c r="CD111" s="19">
        <f t="shared" si="138"/>
        <v>8.7590300277895494E-4</v>
      </c>
      <c r="CE111" s="65"/>
      <c r="CG111" s="20">
        <f t="shared" si="118"/>
        <v>1.6271350658860786</v>
      </c>
      <c r="CH111" s="20">
        <f>Mignol!AS20</f>
        <v>1.6197576580125852</v>
      </c>
      <c r="CI111" s="20">
        <f>Mignol!AT20</f>
        <v>1.6189741441942627</v>
      </c>
      <c r="CJ111" s="20">
        <f>Mignol!AU20</f>
        <v>1.6297567615149442</v>
      </c>
      <c r="CK111" s="20">
        <f>Mignol!AV20</f>
        <v>1.6297567615149442</v>
      </c>
      <c r="CL111" s="20">
        <f>Mignol!AW20</f>
        <v>1.6297567615149442</v>
      </c>
      <c r="CM111" s="20">
        <f>Mignol!AX20</f>
        <v>1.6283820588395601</v>
      </c>
      <c r="CN111" s="20">
        <f>Mignol!AY20</f>
        <v>1.6285992219100403</v>
      </c>
      <c r="CO111" s="20">
        <f>Mignol!AZ20</f>
        <v>1.629543926189629</v>
      </c>
      <c r="CP111" s="20">
        <f>Mignol!BA20</f>
        <v>1.6304946271272427</v>
      </c>
      <c r="CQ111" s="20">
        <f>Mignol!BB20</f>
        <v>1.6292526118923378</v>
      </c>
      <c r="CR111" s="20">
        <f>Mignol!BC20</f>
        <v>1.627193285696773</v>
      </c>
      <c r="CS111" s="20">
        <f>Mignol!BD20</f>
        <v>1.6256939321833479</v>
      </c>
      <c r="CT111" s="20">
        <f>Mignol!BE20</f>
        <v>1.6256939321833479</v>
      </c>
      <c r="CU111" s="20">
        <f>Mignol!BF20</f>
        <v>1.6278405306021018</v>
      </c>
      <c r="CV111" s="20">
        <f>Mignol!BG20</f>
        <v>1.6264060187147948</v>
      </c>
      <c r="CW111" s="20">
        <f>Mignol!BH20</f>
        <v>1.626799130145451</v>
      </c>
      <c r="CX111" s="20">
        <f>Mignol!BI20</f>
        <v>1.6268349192603848</v>
      </c>
      <c r="CY111" s="20">
        <f>Mignol!BJ20</f>
        <v>1.6256584176587041</v>
      </c>
      <c r="CZ111" s="20">
        <f>Mignol!BK20</f>
        <v>1.6258005269678408</v>
      </c>
      <c r="DA111" s="20">
        <f>Mignol!BL20</f>
        <v>1.6256939321833479</v>
      </c>
      <c r="DB111" s="20">
        <f>Mignol!BM20</f>
        <v>1.6261563986316616</v>
      </c>
      <c r="DC111" s="20">
        <f>Mignol!BN20</f>
        <v>1.6256584176587041</v>
      </c>
      <c r="DD111" s="20">
        <f>Mignol!BO20</f>
        <v>1.632184711003118</v>
      </c>
      <c r="DE111" s="20">
        <f>Mignol!BP20</f>
        <v>1.6322936849342407</v>
      </c>
      <c r="DF111" s="20">
        <f>Mignol!BQ20</f>
        <v>1.6322936849342407</v>
      </c>
      <c r="DG111" s="20">
        <f>Mignol!BR20</f>
        <v>1.6317858112286028</v>
      </c>
      <c r="DH111" s="20">
        <f>Mignol!BS20</f>
        <v>1.6315325137851255</v>
      </c>
      <c r="DI111" s="20">
        <f>Mignol!BT20</f>
        <v>1.6316772030911646</v>
      </c>
      <c r="DJ111" s="20">
        <f>Mignol!BU20</f>
        <v>1.6321121053541503</v>
      </c>
      <c r="DK111" s="20">
        <f>Mignol!BV20</f>
        <v>1.6318220313211651</v>
      </c>
      <c r="DL111" s="20">
        <f>Mignol!BW20</f>
        <v>1.6231030031641771</v>
      </c>
      <c r="DM111" s="20">
        <f>Mignol!BX20</f>
        <v>1.623067753253995</v>
      </c>
      <c r="DN111" s="20">
        <f>Mignol!BY20</f>
        <v>1.622715719916753</v>
      </c>
      <c r="DO111" s="20">
        <f>Mignol!BZ20</f>
        <v>1.6233853080070995</v>
      </c>
      <c r="DP111" s="20">
        <f>Mignol!CA20</f>
        <v>1.6235973937719239</v>
      </c>
      <c r="DQ111" s="20">
        <f>Mignol!CB20</f>
        <v>1.6235620248532669</v>
      </c>
      <c r="DR111" s="20">
        <f>Mignol!CC20</f>
        <v>1.6239515522686332</v>
      </c>
      <c r="DS111" s="20">
        <f>Mignol!CD20</f>
        <v>1.6239515522686332</v>
      </c>
      <c r="DT111" s="20">
        <f>Mignol!CE20</f>
        <v>1.6246624387311934</v>
      </c>
      <c r="DU111" s="20">
        <f>Mignol!CF20</f>
        <v>1.6244488120235583</v>
      </c>
      <c r="DV111" s="20">
        <f>Mignol!CG20</f>
        <v>1.6226805630923575</v>
      </c>
      <c r="DW111" s="20">
        <f>Mignol!CH20</f>
        <v>1.6222242916784948</v>
      </c>
      <c r="DX111" s="20">
        <f>Mignol!CI20</f>
        <v>1.6228564317157756</v>
      </c>
      <c r="DY111" s="20">
        <f>Mignol!CJ20</f>
        <v>1.6221892527946005</v>
      </c>
      <c r="DZ111" s="20">
        <f>Mignol!CK20</f>
        <v>1.6214553723605991</v>
      </c>
      <c r="EA111" s="20">
        <f>Mignol!CL20</f>
        <v>1.6221192002285985</v>
      </c>
      <c r="EB111" s="20">
        <f>Mignol!CM20</f>
        <v>1.6218393255457448</v>
      </c>
      <c r="EC111" s="20">
        <f>Mignol!CN20</f>
        <v>1.6223645312905781</v>
      </c>
      <c r="ED111" s="20">
        <f>Mignol!CO20</f>
        <v>1.6223645312905781</v>
      </c>
      <c r="EE111" s="20">
        <f>Mignol!CP20</f>
        <v>1.6223645312905781</v>
      </c>
      <c r="EF111" s="20">
        <f>Mignol!CQ20</f>
        <v>1.6223645312905781</v>
      </c>
      <c r="EG111" s="20">
        <f>Mignol!CR20</f>
        <v>1.6204825805587042</v>
      </c>
      <c r="EH111" s="20">
        <f>Mignol!CS20</f>
        <v>1.6221892527946005</v>
      </c>
      <c r="EI111" s="20">
        <f>Mignol!CT20</f>
        <v>1.6218393255457448</v>
      </c>
      <c r="EJ111" s="20">
        <f>Mignol!CU20</f>
        <v>1.6220141843387621</v>
      </c>
      <c r="EK111" s="20">
        <f>Mignol!CV20</f>
        <v>1.6219442156831159</v>
      </c>
      <c r="EL111" s="20">
        <f>Mignol!CW20</f>
        <v>1.6216646760391344</v>
      </c>
      <c r="EM111" s="20">
        <f>Mignol!CX20</f>
        <v>1.6211419794870929</v>
      </c>
      <c r="EN111" s="20">
        <f>Mignol!CY20</f>
        <v>1.6210376649118559</v>
      </c>
      <c r="EO111" s="20">
        <f>Mignol!CZ20</f>
        <v>1.6202749694231053</v>
      </c>
      <c r="EP111" s="20">
        <f>Mignol!DA20</f>
        <v>1.6202403964157894</v>
      </c>
      <c r="EQ111" s="20">
        <f>Mignol!DB20</f>
        <v>1.6204479580818796</v>
      </c>
      <c r="ER111" s="20">
        <f>Mignol!DC20</f>
        <v>1.6204825805587042</v>
      </c>
      <c r="ES111" s="20">
        <f>Mignol!DD20</f>
        <v>1.6202403964157894</v>
      </c>
      <c r="ET111" s="20">
        <f>Mignol!DE20</f>
        <v>1.6202403964157894</v>
      </c>
      <c r="EU111" s="20">
        <f>Mignol!DF20</f>
        <v>1.6215599866363926</v>
      </c>
      <c r="EV111" s="20">
        <f>Mignol!DG20</f>
        <v>1.6212811819635391</v>
      </c>
      <c r="EW111" s="20">
        <f>Mignol!DH20</f>
        <v>1.6202058316430832</v>
      </c>
      <c r="EX111" s="20">
        <f>Mignol!DI20</f>
        <v>1.6198606361730663</v>
      </c>
      <c r="EY111" s="20">
        <f>Mignol!DJ20</f>
        <v>1.6198606361730663</v>
      </c>
      <c r="EZ111" s="20">
        <f>Mignol!DK20</f>
        <v>1.6198261617872227</v>
      </c>
      <c r="FA111" s="20">
        <f>Mignol!DL20</f>
        <v>1.6196883462086267</v>
      </c>
      <c r="FB111" s="20">
        <f>Mignol!DM20</f>
        <v>1.6187272948231004</v>
      </c>
      <c r="FC111" s="20">
        <f>Mignol!DN20</f>
        <v>1.6191727030149483</v>
      </c>
      <c r="FD111" s="20">
        <f>Mignol!DO20</f>
        <v>1.617942617075147</v>
      </c>
      <c r="FE111" s="20">
        <f>Mignol!DP20</f>
        <v>1.6177386194718348</v>
      </c>
      <c r="FF111" s="20">
        <f>Mignol!DQ20</f>
        <v>1.6172637472954108</v>
      </c>
      <c r="FG111" s="20">
        <f>Mignol!DR20</f>
        <v>1.6169592991411881</v>
      </c>
      <c r="FH111" s="20">
        <f>Mignol!DS20</f>
        <v>1.6160833961384091</v>
      </c>
    </row>
    <row r="112" spans="1:164">
      <c r="A112" s="8" t="s">
        <v>203</v>
      </c>
      <c r="B112" s="8" t="s">
        <v>330</v>
      </c>
      <c r="AU112" s="60" t="s">
        <v>114</v>
      </c>
      <c r="BA112" s="19">
        <f t="shared" si="161"/>
        <v>0</v>
      </c>
      <c r="BB112" s="19">
        <f t="shared" si="149"/>
        <v>0</v>
      </c>
      <c r="BC112" s="19">
        <f t="shared" si="150"/>
        <v>2.2771358360347271E-2</v>
      </c>
      <c r="BD112" s="19">
        <f t="shared" si="151"/>
        <v>2.2771358360347271E-2</v>
      </c>
      <c r="BE112" s="19">
        <f t="shared" si="152"/>
        <v>2.7325630032413173E-3</v>
      </c>
      <c r="BF112" s="19">
        <f t="shared" si="153"/>
        <v>0</v>
      </c>
      <c r="BG112" s="19">
        <f t="shared" si="154"/>
        <v>-2.5503921363588589E-2</v>
      </c>
      <c r="BH112" s="19">
        <f t="shared" si="155"/>
        <v>0</v>
      </c>
      <c r="BI112" s="19">
        <f t="shared" si="156"/>
        <v>-2.2771358360347271E-2</v>
      </c>
      <c r="BJ112" s="19">
        <f t="shared" si="157"/>
        <v>0</v>
      </c>
      <c r="BK112" s="19">
        <f t="shared" si="158"/>
        <v>0</v>
      </c>
      <c r="BL112" s="19">
        <f t="shared" si="159"/>
        <v>1.8217086688276929E-3</v>
      </c>
      <c r="BM112" s="19">
        <f t="shared" si="160"/>
        <v>2.7325630032417614E-3</v>
      </c>
      <c r="BN112" s="19">
        <f t="shared" si="160"/>
        <v>-2.7325630032416726E-2</v>
      </c>
      <c r="BO112" s="19">
        <f t="shared" si="160"/>
        <v>0</v>
      </c>
      <c r="BP112" s="19">
        <f t="shared" si="130"/>
        <v>5.191869706159169E-2</v>
      </c>
      <c r="BQ112" s="19">
        <f t="shared" si="131"/>
        <v>-6.3759803408971472E-3</v>
      </c>
      <c r="BR112" s="19">
        <f t="shared" si="131"/>
        <v>-7.2868346753112156E-3</v>
      </c>
      <c r="BS112" s="19">
        <f t="shared" si="114"/>
        <v>2.0949649691519578E-2</v>
      </c>
      <c r="BT112" s="19">
        <f t="shared" si="114"/>
        <v>0</v>
      </c>
      <c r="BU112" s="19">
        <f t="shared" si="132"/>
        <v>1.8217086688277817E-2</v>
      </c>
      <c r="BV112" s="19">
        <f t="shared" si="133"/>
        <v>0</v>
      </c>
      <c r="BW112" s="19">
        <f t="shared" si="115"/>
        <v>-4.5542716720694543E-3</v>
      </c>
      <c r="BX112" s="19">
        <f t="shared" si="116"/>
        <v>0</v>
      </c>
      <c r="BY112" s="19">
        <f t="shared" si="116"/>
        <v>-9.1085433441389085E-3</v>
      </c>
      <c r="BZ112" s="19">
        <f t="shared" si="116"/>
        <v>9.1085433441389085E-3</v>
      </c>
      <c r="CA112" s="19">
        <f t="shared" si="116"/>
        <v>0</v>
      </c>
      <c r="CB112" s="19">
        <f t="shared" si="138"/>
        <v>0</v>
      </c>
      <c r="CC112" s="19">
        <f t="shared" si="138"/>
        <v>0</v>
      </c>
      <c r="CD112" s="19">
        <f t="shared" si="138"/>
        <v>0</v>
      </c>
      <c r="CE112" s="65"/>
      <c r="CG112" s="20">
        <f t="shared" si="118"/>
        <v>2.2213331168204378</v>
      </c>
      <c r="CH112" s="20">
        <f>Triisopropanolamine!AS20</f>
        <v>2.2322400135940605</v>
      </c>
      <c r="CI112" s="20">
        <f>Triisopropanolamine!AT20</f>
        <v>2.3261718668304927</v>
      </c>
      <c r="CJ112" s="20">
        <f>Triisopropanolamine!AU20</f>
        <v>2.5669789814911637</v>
      </c>
      <c r="CK112" s="20">
        <f>Triisopropanolamine!AV20</f>
        <v>2.3802538429363174</v>
      </c>
      <c r="CL112" s="20">
        <f>Triisopropanolamine!AW20</f>
        <v>2.3711452995921785</v>
      </c>
      <c r="CM112" s="20">
        <f>Triisopropanolamine!AX20</f>
        <v>2.3347111262156228</v>
      </c>
      <c r="CN112" s="20">
        <f>Triisopropanolamine!AY20</f>
        <v>2.1753116176931924</v>
      </c>
      <c r="CO112" s="20">
        <f>Triisopropanolamine!AZ20</f>
        <v>2.1753116176931924</v>
      </c>
      <c r="CP112" s="20">
        <f>Triisopropanolamine!BA20</f>
        <v>2.1753116176931924</v>
      </c>
      <c r="CQ112" s="20">
        <f>Triisopropanolamine!BB20</f>
        <v>2.1980829760535396</v>
      </c>
      <c r="CR112" s="20">
        <f>Triisopropanolamine!BC20</f>
        <v>2.1980829760535396</v>
      </c>
      <c r="CS112" s="20">
        <f>Triisopropanolamine!BD20</f>
        <v>2.2163000627418175</v>
      </c>
      <c r="CT112" s="20">
        <f>Triisopropanolamine!BE20</f>
        <v>2.2163000627418175</v>
      </c>
      <c r="CU112" s="20">
        <f>Triisopropanolamine!BF20</f>
        <v>2.2044589563944372</v>
      </c>
      <c r="CV112" s="20">
        <f>Triisopropanolamine!BG20</f>
        <v>2.2044589563944372</v>
      </c>
      <c r="CW112" s="20">
        <f>Triisopropanolamine!BH20</f>
        <v>2.2044589563944372</v>
      </c>
      <c r="CX112" s="20">
        <f>Triisopropanolamine!BI20</f>
        <v>2.2436256927742342</v>
      </c>
      <c r="CY112" s="20">
        <f>Triisopropanolamine!BJ20</f>
        <v>2.2436256927742342</v>
      </c>
      <c r="CZ112" s="20">
        <f>Triisopropanolamine!BK20</f>
        <v>2.2436256927742342</v>
      </c>
      <c r="DA112" s="20">
        <f>Triisopropanolamine!BL20</f>
        <v>2.2686741869706162</v>
      </c>
      <c r="DB112" s="20">
        <f>Triisopropanolamine!BM20</f>
        <v>2.1844201610373313</v>
      </c>
      <c r="DC112" s="20">
        <f>Triisopropanolamine!BN20</f>
        <v>2.1662030743490539</v>
      </c>
      <c r="DD112" s="20">
        <f>Triisopropanolamine!BO20</f>
        <v>2.1662030743490539</v>
      </c>
      <c r="DE112" s="20">
        <f>Triisopropanolamine!BP20</f>
        <v>2.1616488026769844</v>
      </c>
      <c r="DF112" s="20">
        <f>Triisopropanolamine!BQ20</f>
        <v>2.1616488026769844</v>
      </c>
      <c r="DG112" s="20">
        <f>Triisopropanolamine!BR20</f>
        <v>2.1753116176931924</v>
      </c>
      <c r="DH112" s="20">
        <f>Triisopropanolamine!BS20</f>
        <v>2.1753116176931924</v>
      </c>
      <c r="DI112" s="20">
        <f>Triisopropanolamine!BT20</f>
        <v>2.1662030743490539</v>
      </c>
      <c r="DJ112" s="20">
        <f>Triisopropanolamine!BU20</f>
        <v>2.157094531004915</v>
      </c>
      <c r="DK112" s="20">
        <f>Triisopropanolamine!BV20</f>
        <v>2.1662030743490539</v>
      </c>
      <c r="DL112" s="20">
        <f>Triisopropanolamine!BW20</f>
        <v>2.1662030743490539</v>
      </c>
      <c r="DM112" s="20">
        <f>Triisopropanolamine!BX20</f>
        <v>2.2208543344138869</v>
      </c>
      <c r="DN112" s="20">
        <f>Triisopropanolamine!BY20</f>
        <v>2.2208543344138869</v>
      </c>
      <c r="DO112" s="20">
        <f>Triisopropanolamine!BZ20</f>
        <v>2.2755055944787204</v>
      </c>
      <c r="DP112" s="20">
        <f>Triisopropanolamine!CA20</f>
        <v>2.2663970511345815</v>
      </c>
      <c r="DQ112" s="20">
        <f>Triisopropanolamine!CB20</f>
        <v>2.2663970511345815</v>
      </c>
      <c r="DR112" s="20">
        <f>Triisopropanolamine!CC20</f>
        <v>2.286435846491687</v>
      </c>
      <c r="DS112" s="20">
        <f>Triisopropanolamine!CD20</f>
        <v>2.2208543344138869</v>
      </c>
      <c r="DT112" s="20">
        <f>Triisopropanolamine!CE20</f>
        <v>2.2299628777580258</v>
      </c>
      <c r="DU112" s="20">
        <f>Triisopropanolamine!CF20</f>
        <v>2.2572885077904425</v>
      </c>
      <c r="DV112" s="20">
        <f>Triisopropanolamine!CG20</f>
        <v>2.2572885077904425</v>
      </c>
      <c r="DW112" s="20">
        <f>Triisopropanolamine!CH20</f>
        <v>2.2299628777580258</v>
      </c>
      <c r="DX112" s="20">
        <f>Triisopropanolamine!CI20</f>
        <v>2.2345171494300953</v>
      </c>
      <c r="DY112" s="20">
        <f>Triisopropanolamine!CJ20</f>
        <v>2.2436256927742342</v>
      </c>
      <c r="DZ112" s="20">
        <f>Triisopropanolamine!CK20</f>
        <v>2.2436256927742342</v>
      </c>
      <c r="EA112" s="20">
        <f>Triisopropanolamine!CL20</f>
        <v>2.2436256927742342</v>
      </c>
      <c r="EB112" s="20">
        <f>Triisopropanolamine!CM20</f>
        <v>2.2436256927742342</v>
      </c>
      <c r="EC112" s="20">
        <f>Triisopropanolamine!CN20</f>
        <v>2.2436256927742342</v>
      </c>
      <c r="ED112" s="20">
        <f>Triisopropanolamine!CO20</f>
        <v>2.2436256927742342</v>
      </c>
      <c r="EE112" s="20">
        <f>Triisopropanolamine!CP20</f>
        <v>2.2436256927742342</v>
      </c>
      <c r="EF112" s="20">
        <f>Triisopropanolamine!CQ20</f>
        <v>2.2436256927742342</v>
      </c>
      <c r="EG112" s="20">
        <f>Triisopropanolamine!CR20</f>
        <v>2.2208543344138869</v>
      </c>
      <c r="EH112" s="20">
        <f>Triisopropanolamine!CS20</f>
        <v>2.1980829760535396</v>
      </c>
      <c r="EI112" s="20">
        <f>Triisopropanolamine!CT20</f>
        <v>2.1953504130502983</v>
      </c>
      <c r="EJ112" s="20">
        <f>Triisopropanolamine!CU20</f>
        <v>2.1953504130502983</v>
      </c>
      <c r="EK112" s="20">
        <f>Triisopropanolamine!CV20</f>
        <v>2.2208543344138869</v>
      </c>
      <c r="EL112" s="20">
        <f>Triisopropanolamine!CW20</f>
        <v>2.2208543344138869</v>
      </c>
      <c r="EM112" s="20">
        <f>Triisopropanolamine!CX20</f>
        <v>2.2436256927742342</v>
      </c>
      <c r="EN112" s="20">
        <f>Triisopropanolamine!CY20</f>
        <v>2.2436256927742342</v>
      </c>
      <c r="EO112" s="20">
        <f>Triisopropanolamine!CZ20</f>
        <v>2.2436256927742342</v>
      </c>
      <c r="EP112" s="20">
        <f>Triisopropanolamine!DA20</f>
        <v>2.2418039841054065</v>
      </c>
      <c r="EQ112" s="20">
        <f>Triisopropanolamine!DB20</f>
        <v>2.2390714211021647</v>
      </c>
      <c r="ER112" s="20">
        <f>Triisopropanolamine!DC20</f>
        <v>2.2663970511345815</v>
      </c>
      <c r="ES112" s="20">
        <f>Triisopropanolamine!DD20</f>
        <v>2.2663970511345815</v>
      </c>
      <c r="ET112" s="20">
        <f>Triisopropanolamine!DE20</f>
        <v>2.2144783540729898</v>
      </c>
      <c r="EU112" s="20">
        <f>Triisopropanolamine!DF20</f>
        <v>2.2208543344138869</v>
      </c>
      <c r="EV112" s="20">
        <f>Triisopropanolamine!DG20</f>
        <v>2.2281411690891981</v>
      </c>
      <c r="EW112" s="20">
        <f>Triisopropanolamine!DH20</f>
        <v>2.2071915193976785</v>
      </c>
      <c r="EX112" s="20">
        <f>Triisopropanolamine!DI20</f>
        <v>2.2071915193976785</v>
      </c>
      <c r="EY112" s="20">
        <f>Triisopropanolamine!DJ20</f>
        <v>2.1889744327094007</v>
      </c>
      <c r="EZ112" s="20">
        <f>Triisopropanolamine!DK20</f>
        <v>2.1889744327094007</v>
      </c>
      <c r="FA112" s="20">
        <f>Triisopropanolamine!DL20</f>
        <v>2.1935287043814702</v>
      </c>
      <c r="FB112" s="20">
        <f>Triisopropanolamine!DM20</f>
        <v>2.1935287043814702</v>
      </c>
      <c r="FC112" s="20">
        <f>Triisopropanolamine!DN20</f>
        <v>2.2026372477256091</v>
      </c>
      <c r="FD112" s="20">
        <f>Triisopropanolamine!DO20</f>
        <v>2.1935287043814702</v>
      </c>
      <c r="FE112" s="20">
        <f>Triisopropanolamine!DP20</f>
        <v>2.1935287043814702</v>
      </c>
      <c r="FF112" s="20">
        <f>Triisopropanolamine!DQ20</f>
        <v>2.1935287043814702</v>
      </c>
      <c r="FG112" s="20">
        <f>Triisopropanolamine!DR20</f>
        <v>2.1935287043814702</v>
      </c>
      <c r="FH112" s="20">
        <f>Triisopropanolamine!DS20</f>
        <v>2.1935287043814702</v>
      </c>
    </row>
    <row r="113" spans="1:164" hidden="1">
      <c r="A113" s="8" t="s">
        <v>207</v>
      </c>
      <c r="B113" s="8" t="s">
        <v>331</v>
      </c>
      <c r="AU113" s="60"/>
      <c r="BA113" s="19">
        <f t="shared" si="161"/>
        <v>0</v>
      </c>
      <c r="BB113" s="19">
        <f t="shared" si="149"/>
        <v>0</v>
      </c>
      <c r="BC113" s="19">
        <f t="shared" si="150"/>
        <v>0</v>
      </c>
      <c r="BD113" s="19">
        <f t="shared" si="151"/>
        <v>0</v>
      </c>
      <c r="BE113" s="19">
        <f t="shared" si="152"/>
        <v>0</v>
      </c>
      <c r="BF113" s="19">
        <f t="shared" si="153"/>
        <v>0</v>
      </c>
      <c r="BG113" s="19">
        <f t="shared" si="154"/>
        <v>0</v>
      </c>
      <c r="BH113" s="19">
        <f t="shared" si="155"/>
        <v>0</v>
      </c>
      <c r="BI113" s="19">
        <f t="shared" si="156"/>
        <v>0</v>
      </c>
      <c r="BJ113" s="19">
        <f t="shared" si="157"/>
        <v>0</v>
      </c>
      <c r="BK113" s="19">
        <f t="shared" si="158"/>
        <v>0</v>
      </c>
      <c r="BL113" s="19">
        <f t="shared" si="159"/>
        <v>0</v>
      </c>
      <c r="BM113" s="19">
        <f t="shared" si="160"/>
        <v>0</v>
      </c>
      <c r="BN113" s="19">
        <f t="shared" si="160"/>
        <v>0</v>
      </c>
      <c r="BO113" s="19">
        <f t="shared" si="160"/>
        <v>0</v>
      </c>
      <c r="BP113" s="19">
        <f t="shared" si="130"/>
        <v>0</v>
      </c>
      <c r="BQ113" s="19">
        <f t="shared" si="131"/>
        <v>0</v>
      </c>
      <c r="BR113" s="19">
        <f t="shared" si="131"/>
        <v>0</v>
      </c>
      <c r="BS113" s="19">
        <f t="shared" si="114"/>
        <v>0</v>
      </c>
      <c r="BT113" s="19">
        <f t="shared" si="114"/>
        <v>0</v>
      </c>
      <c r="BU113" s="19">
        <f t="shared" si="132"/>
        <v>0</v>
      </c>
      <c r="BV113" s="19">
        <f t="shared" si="133"/>
        <v>0</v>
      </c>
      <c r="BW113" s="19">
        <f t="shared" si="115"/>
        <v>0</v>
      </c>
      <c r="BX113" s="19">
        <f t="shared" si="116"/>
        <v>0</v>
      </c>
      <c r="BY113" s="19">
        <f t="shared" si="116"/>
        <v>0</v>
      </c>
      <c r="BZ113" s="19">
        <f t="shared" si="116"/>
        <v>0</v>
      </c>
      <c r="CA113" s="19">
        <f t="shared" si="116"/>
        <v>0</v>
      </c>
      <c r="CB113" s="19">
        <f t="shared" si="138"/>
        <v>0</v>
      </c>
      <c r="CC113" s="19">
        <f t="shared" si="138"/>
        <v>0</v>
      </c>
      <c r="CD113" s="19">
        <f t="shared" si="138"/>
        <v>0</v>
      </c>
      <c r="CE113" s="65"/>
      <c r="CG113" s="20" t="e">
        <f t="shared" si="118"/>
        <v>#DIV/0!</v>
      </c>
    </row>
    <row r="114" spans="1:164" hidden="1">
      <c r="A114" s="8" t="s">
        <v>212</v>
      </c>
      <c r="B114" s="8" t="s">
        <v>332</v>
      </c>
      <c r="AU114" s="60"/>
      <c r="BA114" s="19">
        <f t="shared" si="161"/>
        <v>0</v>
      </c>
      <c r="BB114" s="19">
        <f t="shared" si="149"/>
        <v>0</v>
      </c>
      <c r="BC114" s="19">
        <f t="shared" si="150"/>
        <v>0</v>
      </c>
      <c r="BD114" s="19">
        <f t="shared" si="151"/>
        <v>0</v>
      </c>
      <c r="BE114" s="19">
        <f t="shared" si="152"/>
        <v>0</v>
      </c>
      <c r="BF114" s="19">
        <f t="shared" si="153"/>
        <v>0</v>
      </c>
      <c r="BG114" s="19">
        <f t="shared" si="154"/>
        <v>0</v>
      </c>
      <c r="BH114" s="19">
        <f t="shared" si="155"/>
        <v>0</v>
      </c>
      <c r="BI114" s="19">
        <f t="shared" si="156"/>
        <v>0</v>
      </c>
      <c r="BJ114" s="19">
        <f t="shared" si="157"/>
        <v>0</v>
      </c>
      <c r="BK114" s="19">
        <f t="shared" si="158"/>
        <v>0</v>
      </c>
      <c r="BL114" s="19">
        <f t="shared" si="159"/>
        <v>0</v>
      </c>
      <c r="BM114" s="19">
        <f t="shared" si="160"/>
        <v>0</v>
      </c>
      <c r="BN114" s="19">
        <f t="shared" si="160"/>
        <v>0</v>
      </c>
      <c r="BO114" s="19">
        <f t="shared" si="160"/>
        <v>0</v>
      </c>
      <c r="BP114" s="19">
        <f t="shared" si="130"/>
        <v>0</v>
      </c>
      <c r="BQ114" s="19">
        <f t="shared" si="131"/>
        <v>0</v>
      </c>
      <c r="BR114" s="19">
        <f t="shared" si="131"/>
        <v>0</v>
      </c>
      <c r="BS114" s="19">
        <f t="shared" si="114"/>
        <v>0</v>
      </c>
      <c r="BT114" s="19">
        <f t="shared" si="114"/>
        <v>0</v>
      </c>
      <c r="BU114" s="19">
        <f t="shared" si="132"/>
        <v>0</v>
      </c>
      <c r="BV114" s="19">
        <f t="shared" si="133"/>
        <v>0</v>
      </c>
      <c r="BW114" s="19">
        <f t="shared" si="115"/>
        <v>0</v>
      </c>
      <c r="BX114" s="19">
        <f t="shared" si="116"/>
        <v>0</v>
      </c>
      <c r="BY114" s="19">
        <f t="shared" si="116"/>
        <v>0</v>
      </c>
      <c r="BZ114" s="19">
        <f t="shared" si="116"/>
        <v>0</v>
      </c>
      <c r="CA114" s="19">
        <f t="shared" si="116"/>
        <v>0</v>
      </c>
      <c r="CB114" s="19">
        <f t="shared" si="138"/>
        <v>0</v>
      </c>
      <c r="CC114" s="19">
        <f t="shared" si="138"/>
        <v>0</v>
      </c>
      <c r="CD114" s="19">
        <f t="shared" si="138"/>
        <v>0</v>
      </c>
      <c r="CE114" s="65"/>
      <c r="CG114" s="20" t="e">
        <f t="shared" si="118"/>
        <v>#DIV/0!</v>
      </c>
    </row>
    <row r="115" spans="1:164" hidden="1">
      <c r="A115" s="8" t="s">
        <v>212</v>
      </c>
      <c r="B115" s="8" t="s">
        <v>333</v>
      </c>
      <c r="AU115" s="60"/>
      <c r="BA115" s="19">
        <f t="shared" si="161"/>
        <v>0</v>
      </c>
      <c r="BB115" s="19">
        <f t="shared" si="149"/>
        <v>0</v>
      </c>
      <c r="BC115" s="19">
        <f t="shared" si="150"/>
        <v>0</v>
      </c>
      <c r="BD115" s="19">
        <f t="shared" si="151"/>
        <v>0</v>
      </c>
      <c r="BE115" s="19">
        <f t="shared" si="152"/>
        <v>0</v>
      </c>
      <c r="BF115" s="19">
        <f t="shared" si="153"/>
        <v>0</v>
      </c>
      <c r="BG115" s="19">
        <f t="shared" si="154"/>
        <v>0</v>
      </c>
      <c r="BH115" s="19">
        <f t="shared" si="155"/>
        <v>0</v>
      </c>
      <c r="BI115" s="19">
        <f t="shared" si="156"/>
        <v>0</v>
      </c>
      <c r="BJ115" s="19">
        <f t="shared" si="157"/>
        <v>0</v>
      </c>
      <c r="BK115" s="19">
        <f t="shared" si="158"/>
        <v>0</v>
      </c>
      <c r="BL115" s="19">
        <f t="shared" si="159"/>
        <v>0</v>
      </c>
      <c r="BM115" s="19">
        <f t="shared" si="160"/>
        <v>0</v>
      </c>
      <c r="BN115" s="19">
        <f t="shared" si="160"/>
        <v>0</v>
      </c>
      <c r="BO115" s="19">
        <f t="shared" si="160"/>
        <v>0</v>
      </c>
      <c r="BP115" s="19">
        <f t="shared" si="130"/>
        <v>0</v>
      </c>
      <c r="BQ115" s="19">
        <f t="shared" si="131"/>
        <v>0</v>
      </c>
      <c r="BR115" s="19">
        <f t="shared" si="131"/>
        <v>0</v>
      </c>
      <c r="BS115" s="19">
        <f t="shared" si="114"/>
        <v>0</v>
      </c>
      <c r="BT115" s="19">
        <f t="shared" si="114"/>
        <v>0</v>
      </c>
      <c r="BU115" s="19">
        <f t="shared" si="132"/>
        <v>0</v>
      </c>
      <c r="BV115" s="19">
        <f t="shared" si="133"/>
        <v>0</v>
      </c>
      <c r="BW115" s="19">
        <f t="shared" si="115"/>
        <v>0</v>
      </c>
      <c r="BX115" s="19">
        <f t="shared" si="116"/>
        <v>0</v>
      </c>
      <c r="BY115" s="19">
        <f t="shared" si="116"/>
        <v>0</v>
      </c>
      <c r="BZ115" s="19">
        <f t="shared" si="116"/>
        <v>0</v>
      </c>
      <c r="CA115" s="19">
        <f t="shared" si="116"/>
        <v>0</v>
      </c>
      <c r="CB115" s="19">
        <f t="shared" si="138"/>
        <v>0</v>
      </c>
      <c r="CC115" s="19">
        <f t="shared" si="138"/>
        <v>0</v>
      </c>
      <c r="CD115" s="19">
        <f t="shared" si="138"/>
        <v>0</v>
      </c>
      <c r="CE115" s="65"/>
      <c r="CG115" s="20" t="e">
        <f t="shared" si="118"/>
        <v>#DIV/0!</v>
      </c>
    </row>
    <row r="116" spans="1:164">
      <c r="A116" s="8" t="s">
        <v>203</v>
      </c>
      <c r="B116" s="8" t="s">
        <v>334</v>
      </c>
      <c r="AU116" s="60"/>
      <c r="BA116" s="19">
        <f t="shared" si="161"/>
        <v>4.2899999999999938E-2</v>
      </c>
      <c r="BB116" s="19">
        <f t="shared" si="149"/>
        <v>-1.4299999999999979E-2</v>
      </c>
      <c r="BC116" s="19">
        <f t="shared" si="150"/>
        <v>-2.2000000000000242E-2</v>
      </c>
      <c r="BD116" s="19">
        <f t="shared" si="151"/>
        <v>-1.9799999999999596E-2</v>
      </c>
      <c r="BE116" s="19">
        <f t="shared" si="152"/>
        <v>-3.1899999999999817E-2</v>
      </c>
      <c r="BF116" s="19">
        <f t="shared" si="153"/>
        <v>-1.3200000000000323E-2</v>
      </c>
      <c r="BG116" s="19">
        <f t="shared" si="154"/>
        <v>-0.17709999999999981</v>
      </c>
      <c r="BH116" s="19">
        <f t="shared" si="155"/>
        <v>0</v>
      </c>
      <c r="BI116" s="19">
        <f t="shared" si="156"/>
        <v>0</v>
      </c>
      <c r="BJ116" s="19">
        <f t="shared" si="157"/>
        <v>0</v>
      </c>
      <c r="BK116" s="19">
        <f t="shared" si="158"/>
        <v>2.8599999999999515E-2</v>
      </c>
      <c r="BL116" s="19">
        <f t="shared" si="159"/>
        <v>5.9400000000000119E-2</v>
      </c>
      <c r="BM116" s="19">
        <f t="shared" si="160"/>
        <v>1.7599999999999838E-2</v>
      </c>
      <c r="BN116" s="19">
        <f t="shared" si="160"/>
        <v>0</v>
      </c>
      <c r="BO116" s="19">
        <f t="shared" si="160"/>
        <v>0</v>
      </c>
      <c r="BP116" s="19">
        <f t="shared" si="130"/>
        <v>0</v>
      </c>
      <c r="BQ116" s="19">
        <f t="shared" si="131"/>
        <v>0</v>
      </c>
      <c r="BR116" s="19">
        <f t="shared" si="131"/>
        <v>0</v>
      </c>
      <c r="BS116" s="19">
        <f t="shared" si="114"/>
        <v>0</v>
      </c>
      <c r="BT116" s="19">
        <f t="shared" si="114"/>
        <v>0</v>
      </c>
      <c r="BU116" s="19">
        <f t="shared" si="132"/>
        <v>0</v>
      </c>
      <c r="BV116" s="19">
        <f t="shared" si="133"/>
        <v>0</v>
      </c>
      <c r="BW116" s="19">
        <f t="shared" si="115"/>
        <v>0</v>
      </c>
      <c r="BX116" s="19">
        <f t="shared" si="116"/>
        <v>0.1034000000000006</v>
      </c>
      <c r="BY116" s="19">
        <f t="shared" si="116"/>
        <v>-2.7500000000000302E-2</v>
      </c>
      <c r="BZ116" s="19">
        <f t="shared" si="116"/>
        <v>0</v>
      </c>
      <c r="CA116" s="19">
        <f t="shared" si="116"/>
        <v>0</v>
      </c>
      <c r="CB116" s="19">
        <f t="shared" si="138"/>
        <v>3.6300000000000221E-2</v>
      </c>
      <c r="CC116" s="19">
        <f t="shared" si="138"/>
        <v>0</v>
      </c>
      <c r="CD116" s="19">
        <f t="shared" si="138"/>
        <v>0</v>
      </c>
      <c r="CE116" s="65"/>
      <c r="CG116" s="20">
        <f t="shared" si="118"/>
        <v>2.8275717948717949</v>
      </c>
      <c r="CH116" s="20">
        <f>'Tallow Diamine'!AS20</f>
        <v>3.1873</v>
      </c>
      <c r="CI116" s="20">
        <f>'Tallow Diamine'!AT20</f>
        <v>2.9607000000000001</v>
      </c>
      <c r="CJ116" s="20">
        <f>'Tallow Diamine'!AU20</f>
        <v>2.8485000000000005</v>
      </c>
      <c r="CK116" s="20">
        <f>'Tallow Diamine'!AV20</f>
        <v>2.7450999999999999</v>
      </c>
      <c r="CL116" s="20">
        <f>'Tallow Diamine'!AW20</f>
        <v>2.8650000000000002</v>
      </c>
      <c r="CM116" s="20">
        <f>'Tallow Diamine'!AX20</f>
        <v>2.8727</v>
      </c>
      <c r="CN116" s="20">
        <f>'Tallow Diamine'!AY20</f>
        <v>3.0300000000000002</v>
      </c>
      <c r="CO116" s="20">
        <f>'Tallow Diamine'!AZ20</f>
        <v>3.0663</v>
      </c>
      <c r="CP116" s="20">
        <f>'Tallow Diamine'!BA20</f>
        <v>3.1191000000000004</v>
      </c>
      <c r="CQ116" s="20">
        <f>'Tallow Diamine'!BB20</f>
        <v>3.1268000000000002</v>
      </c>
      <c r="CR116" s="20">
        <f>'Tallow Diamine'!BC20</f>
        <v>3.1268000000000002</v>
      </c>
      <c r="CS116" s="20">
        <f>'Tallow Diamine'!BD20</f>
        <v>3.1410999999999998</v>
      </c>
      <c r="CT116" s="20">
        <f>'Tallow Diamine'!BE20</f>
        <v>3.1653000000000002</v>
      </c>
      <c r="CU116" s="20">
        <f>'Tallow Diamine'!BF20</f>
        <v>3.1752000000000002</v>
      </c>
      <c r="CV116" s="20">
        <f>'Tallow Diamine'!BG20</f>
        <v>3.1752000000000002</v>
      </c>
      <c r="CW116" s="20">
        <f>'Tallow Diamine'!BH20</f>
        <v>3.1752000000000002</v>
      </c>
      <c r="CX116" s="20">
        <f>'Tallow Diamine'!BI20</f>
        <v>3.1829000000000001</v>
      </c>
      <c r="CY116" s="20">
        <f>'Tallow Diamine'!BJ20</f>
        <v>3.1873</v>
      </c>
      <c r="CZ116" s="20">
        <f>'Tallow Diamine'!BK20</f>
        <v>3.1510000000000002</v>
      </c>
      <c r="DA116" s="20">
        <f>'Tallow Diamine'!BL20</f>
        <v>3.1191000000000004</v>
      </c>
      <c r="DB116" s="20">
        <f>'Tallow Diamine'!BM20</f>
        <v>2.9958999999999998</v>
      </c>
      <c r="DC116" s="20">
        <f>'Tallow Diamine'!BN20</f>
        <v>2.8969</v>
      </c>
      <c r="DD116" s="20">
        <f>'Tallow Diamine'!BO20</f>
        <v>2.8221000000000003</v>
      </c>
      <c r="DE116" s="20">
        <f>'Tallow Diamine'!BP20</f>
        <v>2.7858000000000001</v>
      </c>
      <c r="DF116" s="20">
        <f>'Tallow Diamine'!BQ20</f>
        <v>2.7616000000000001</v>
      </c>
      <c r="DG116" s="20">
        <f>'Tallow Diamine'!BR20</f>
        <v>2.7263999999999999</v>
      </c>
      <c r="DH116" s="20">
        <f>'Tallow Diamine'!BS20</f>
        <v>2.7263999999999999</v>
      </c>
      <c r="DI116" s="20">
        <f>'Tallow Diamine'!BT20</f>
        <v>2.7263999999999999</v>
      </c>
      <c r="DJ116" s="20">
        <f>'Tallow Diamine'!BU20</f>
        <v>2.6538000000000004</v>
      </c>
      <c r="DK116" s="20">
        <f>'Tallow Diamine'!BV20</f>
        <v>2.5888999999999998</v>
      </c>
      <c r="DL116" s="20">
        <f>'Tallow Diamine'!BW20</f>
        <v>2.5548000000000002</v>
      </c>
      <c r="DM116" s="20">
        <f>'Tallow Diamine'!BX20</f>
        <v>2.5449000000000002</v>
      </c>
      <c r="DN116" s="20">
        <f>'Tallow Diamine'!BY20</f>
        <v>2.5449000000000002</v>
      </c>
      <c r="DO116" s="20">
        <f>'Tallow Diamine'!BZ20</f>
        <v>2.5228999999999999</v>
      </c>
      <c r="DP116" s="20">
        <f>'Tallow Diamine'!CA20</f>
        <v>2.5086000000000004</v>
      </c>
      <c r="DQ116" s="20">
        <f>'Tallow Diamine'!CB20</f>
        <v>2.5086000000000004</v>
      </c>
      <c r="DR116" s="20">
        <f>'Tallow Diamine'!CC20</f>
        <v>2.4723000000000002</v>
      </c>
      <c r="DS116" s="20">
        <f>'Tallow Diamine'!CD20</f>
        <v>2.4613</v>
      </c>
      <c r="DT116" s="20">
        <f>'Tallow Diamine'!CE20</f>
        <v>2.5064000000000002</v>
      </c>
      <c r="DU116" s="20">
        <f>'Tallow Diamine'!CF20</f>
        <v>2.5118999999999998</v>
      </c>
      <c r="DV116" s="20">
        <f>'Tallow Diamine'!CG20</f>
        <v>2.5118999999999998</v>
      </c>
      <c r="DW116" s="20">
        <f>'Tallow Diamine'!CH20</f>
        <v>2.5185000000000004</v>
      </c>
      <c r="DX116" s="20">
        <f>'Tallow Diamine'!CI20</f>
        <v>2.5404999999999998</v>
      </c>
      <c r="DY116" s="20">
        <f>'Tallow Diamine'!CJ20</f>
        <v>2.5449000000000002</v>
      </c>
      <c r="DZ116" s="20">
        <f>'Tallow Diamine'!CK20</f>
        <v>2.5449000000000002</v>
      </c>
      <c r="EA116" s="20">
        <f>'Tallow Diamine'!CL20</f>
        <v>2.5449000000000002</v>
      </c>
      <c r="EB116" s="20">
        <f>'Tallow Diamine'!CM20</f>
        <v>2.5449000000000002</v>
      </c>
      <c r="EC116" s="20">
        <f>'Tallow Diamine'!CN20</f>
        <v>2.5449000000000002</v>
      </c>
      <c r="ED116" s="20">
        <f>'Tallow Diamine'!CO20</f>
        <v>2.5152000000000001</v>
      </c>
      <c r="EE116" s="20">
        <f>'Tallow Diamine'!CP20</f>
        <v>2.4723000000000002</v>
      </c>
      <c r="EF116" s="20">
        <f>'Tallow Diamine'!CQ20</f>
        <v>2.4866000000000001</v>
      </c>
      <c r="EG116" s="20">
        <f>'Tallow Diamine'!CR20</f>
        <v>2.5086000000000004</v>
      </c>
      <c r="EH116" s="20">
        <f>'Tallow Diamine'!CS20</f>
        <v>2.5284</v>
      </c>
      <c r="EI116" s="20">
        <f>'Tallow Diamine'!CT20</f>
        <v>2.5602999999999998</v>
      </c>
      <c r="EJ116" s="20">
        <f>'Tallow Diamine'!CU20</f>
        <v>2.5735000000000001</v>
      </c>
      <c r="EK116" s="20">
        <f>'Tallow Diamine'!CV20</f>
        <v>2.7505999999999999</v>
      </c>
      <c r="EL116" s="20">
        <f>'Tallow Diamine'!CW20</f>
        <v>2.7505999999999999</v>
      </c>
      <c r="EM116" s="20">
        <f>'Tallow Diamine'!CX20</f>
        <v>2.7505999999999999</v>
      </c>
      <c r="EN116" s="20">
        <f>'Tallow Diamine'!CY20</f>
        <v>2.7505999999999999</v>
      </c>
      <c r="EO116" s="20">
        <f>'Tallow Diamine'!CZ20</f>
        <v>2.7220000000000004</v>
      </c>
      <c r="EP116" s="20">
        <f>'Tallow Diamine'!DA20</f>
        <v>2.6626000000000003</v>
      </c>
      <c r="EQ116" s="20">
        <f>'Tallow Diamine'!DB20</f>
        <v>2.6450000000000005</v>
      </c>
      <c r="ER116" s="20">
        <f>'Tallow Diamine'!DC20</f>
        <v>2.6450000000000005</v>
      </c>
      <c r="ES116" s="20">
        <f>'Tallow Diamine'!DD20</f>
        <v>2.6450000000000005</v>
      </c>
      <c r="ET116" s="20">
        <f>'Tallow Diamine'!DE20</f>
        <v>2.6450000000000005</v>
      </c>
      <c r="EU116" s="20">
        <f>'Tallow Diamine'!DF20</f>
        <v>2.6450000000000005</v>
      </c>
      <c r="EV116" s="20">
        <f>'Tallow Diamine'!DG20</f>
        <v>2.6450000000000005</v>
      </c>
      <c r="EW116" s="20">
        <f>'Tallow Diamine'!DH20</f>
        <v>2.6450000000000005</v>
      </c>
      <c r="EX116" s="20">
        <f>'Tallow Diamine'!DI20</f>
        <v>2.6450000000000005</v>
      </c>
      <c r="EY116" s="20">
        <f>'Tallow Diamine'!DJ20</f>
        <v>2.6450000000000005</v>
      </c>
      <c r="EZ116" s="20">
        <f>'Tallow Diamine'!DK20</f>
        <v>2.6450000000000005</v>
      </c>
      <c r="FA116" s="20">
        <f>'Tallow Diamine'!DL20</f>
        <v>2.6450000000000005</v>
      </c>
      <c r="FB116" s="20">
        <f>'Tallow Diamine'!DM20</f>
        <v>2.5415999999999999</v>
      </c>
      <c r="FC116" s="20">
        <f>'Tallow Diamine'!DN20</f>
        <v>2.5691000000000002</v>
      </c>
      <c r="FD116" s="20">
        <f>'Tallow Diamine'!DO20</f>
        <v>2.5691000000000002</v>
      </c>
      <c r="FE116" s="20">
        <f>'Tallow Diamine'!DP20</f>
        <v>2.5691000000000002</v>
      </c>
      <c r="FF116" s="20">
        <f>'Tallow Diamine'!DQ20</f>
        <v>2.5327999999999999</v>
      </c>
      <c r="FG116" s="20">
        <f>'Tallow Diamine'!DR20</f>
        <v>2.5327999999999999</v>
      </c>
      <c r="FH116" s="20">
        <f>'Tallow Diamine'!DS20</f>
        <v>2.5327999999999999</v>
      </c>
    </row>
    <row r="117" spans="1:164">
      <c r="A117" s="8" t="s">
        <v>207</v>
      </c>
      <c r="B117" s="8" t="s">
        <v>335</v>
      </c>
      <c r="AU117" s="60"/>
      <c r="BA117" s="19">
        <f t="shared" si="161"/>
        <v>0</v>
      </c>
      <c r="BB117" s="19">
        <f t="shared" si="149"/>
        <v>0</v>
      </c>
      <c r="BC117" s="19">
        <f t="shared" si="150"/>
        <v>0</v>
      </c>
      <c r="BD117" s="19">
        <f t="shared" si="151"/>
        <v>0</v>
      </c>
      <c r="BE117" s="19">
        <f t="shared" si="152"/>
        <v>0</v>
      </c>
      <c r="BF117" s="19">
        <f t="shared" si="153"/>
        <v>0</v>
      </c>
      <c r="BG117" s="19">
        <f t="shared" si="154"/>
        <v>0</v>
      </c>
      <c r="BH117" s="19">
        <f t="shared" si="155"/>
        <v>0</v>
      </c>
      <c r="BI117" s="19">
        <f t="shared" si="156"/>
        <v>0</v>
      </c>
      <c r="BJ117" s="19">
        <f t="shared" si="157"/>
        <v>0</v>
      </c>
      <c r="BK117" s="19">
        <f t="shared" si="158"/>
        <v>0</v>
      </c>
      <c r="BL117" s="19">
        <f t="shared" si="159"/>
        <v>0</v>
      </c>
      <c r="BM117" s="19">
        <f t="shared" si="160"/>
        <v>0</v>
      </c>
      <c r="BN117" s="19">
        <f t="shared" si="160"/>
        <v>0</v>
      </c>
      <c r="BO117" s="19">
        <f t="shared" si="160"/>
        <v>0</v>
      </c>
      <c r="BP117" s="19">
        <f t="shared" si="130"/>
        <v>0</v>
      </c>
      <c r="BQ117" s="19">
        <f t="shared" si="131"/>
        <v>0</v>
      </c>
      <c r="BR117" s="19">
        <f t="shared" si="131"/>
        <v>0</v>
      </c>
      <c r="BS117" s="19">
        <f t="shared" si="114"/>
        <v>0</v>
      </c>
      <c r="BT117" s="19">
        <f t="shared" si="114"/>
        <v>0</v>
      </c>
      <c r="BU117" s="19">
        <f t="shared" si="132"/>
        <v>0</v>
      </c>
      <c r="BV117" s="19">
        <f t="shared" si="133"/>
        <v>0</v>
      </c>
      <c r="BW117" s="19">
        <f t="shared" si="115"/>
        <v>0</v>
      </c>
      <c r="BX117" s="19">
        <f t="shared" si="116"/>
        <v>0</v>
      </c>
      <c r="BY117" s="19">
        <f t="shared" si="116"/>
        <v>0</v>
      </c>
      <c r="BZ117" s="19">
        <f t="shared" si="116"/>
        <v>0</v>
      </c>
      <c r="CA117" s="19">
        <f t="shared" si="116"/>
        <v>0</v>
      </c>
      <c r="CB117" s="19">
        <f t="shared" si="138"/>
        <v>0</v>
      </c>
      <c r="CC117" s="19">
        <f t="shared" si="138"/>
        <v>0</v>
      </c>
      <c r="CD117" s="19">
        <f t="shared" si="138"/>
        <v>0</v>
      </c>
      <c r="CE117" s="65"/>
      <c r="CG117" s="20">
        <f t="shared" si="118"/>
        <v>4.9753246023050632</v>
      </c>
      <c r="CH117" s="20">
        <f>'Boron Trifluoride Etherate'!AS20</f>
        <v>4.3549667853593874</v>
      </c>
      <c r="CI117" s="20">
        <f>'Boron Trifluoride Etherate'!AT20</f>
        <v>4.3147122844466388</v>
      </c>
      <c r="CJ117" s="20">
        <f>'Boron Trifluoride Etherate'!AU20</f>
        <v>4.2097798861480076</v>
      </c>
      <c r="CK117" s="20">
        <f>'Boron Trifluoride Etherate'!AV20</f>
        <v>4.659187456521428</v>
      </c>
      <c r="CL117" s="20">
        <f>'Boron Trifluoride Etherate'!AW20</f>
        <v>4.659187456521428</v>
      </c>
      <c r="CM117" s="20">
        <f>'Boron Trifluoride Etherate'!AX20</f>
        <v>5.2006892432595286</v>
      </c>
      <c r="CN117" s="20">
        <f>'Boron Trifluoride Etherate'!AY20</f>
        <v>5.2006949633797541</v>
      </c>
      <c r="CO117" s="20">
        <f>'Boron Trifluoride Etherate'!AZ20</f>
        <v>5.2006949633797541</v>
      </c>
      <c r="CP117" s="20">
        <f>'Boron Trifluoride Etherate'!BA20</f>
        <v>5.2006949633797541</v>
      </c>
      <c r="CQ117" s="20">
        <f>'Boron Trifluoride Etherate'!BB20</f>
        <v>5.2006949633797541</v>
      </c>
      <c r="CR117" s="20">
        <f>'Boron Trifluoride Etherate'!BC20</f>
        <v>5.2006949633797541</v>
      </c>
      <c r="CS117" s="20">
        <f>'Boron Trifluoride Etherate'!BD20</f>
        <v>5.2006949633797541</v>
      </c>
      <c r="CT117" s="20">
        <f>'Boron Trifluoride Etherate'!BE20</f>
        <v>5.2006949633797541</v>
      </c>
      <c r="CU117" s="20">
        <f>'Boron Trifluoride Etherate'!BF20</f>
        <v>5.2006949633797541</v>
      </c>
      <c r="CV117" s="20">
        <f>'Boron Trifluoride Etherate'!BG20</f>
        <v>5.2006949633797541</v>
      </c>
      <c r="CW117" s="20">
        <f>'Boron Trifluoride Etherate'!BH20</f>
        <v>5.2006949633797541</v>
      </c>
      <c r="CX117" s="20">
        <f>'Boron Trifluoride Etherate'!BI20</f>
        <v>5.2006949633797541</v>
      </c>
      <c r="CY117" s="20">
        <f>'Boron Trifluoride Etherate'!BJ20</f>
        <v>5.2006949633797541</v>
      </c>
      <c r="CZ117" s="20">
        <f>'Boron Trifluoride Etherate'!BK20</f>
        <v>4.8161821777842651</v>
      </c>
      <c r="DA117" s="20">
        <f>'Boron Trifluoride Etherate'!BL20</f>
        <v>4.8161821777842651</v>
      </c>
      <c r="DB117" s="20">
        <f>'Boron Trifluoride Etherate'!BM20</f>
        <v>4.8161821777842651</v>
      </c>
      <c r="DC117" s="20">
        <f>'Boron Trifluoride Etherate'!BN20</f>
        <v>4.8161821777842651</v>
      </c>
      <c r="DD117" s="20">
        <f>'Boron Trifluoride Etherate'!BO20</f>
        <v>4.8161821777842651</v>
      </c>
      <c r="DE117" s="20">
        <f>'Boron Trifluoride Etherate'!BP20</f>
        <v>4.8161821777842651</v>
      </c>
      <c r="DF117" s="20">
        <f>'Boron Trifluoride Etherate'!BQ20</f>
        <v>4.8161821777842651</v>
      </c>
      <c r="DG117" s="20">
        <f>'Boron Trifluoride Etherate'!BR20</f>
        <v>4.8161821777842651</v>
      </c>
      <c r="DH117" s="20">
        <f>'Boron Trifluoride Etherate'!BS20</f>
        <v>4.8161821777842651</v>
      </c>
      <c r="DI117" s="20">
        <f>'Boron Trifluoride Etherate'!BT20</f>
        <v>4.8161821777842651</v>
      </c>
      <c r="DJ117" s="20">
        <f>'Boron Trifluoride Etherate'!BU20</f>
        <v>4.8161821777842651</v>
      </c>
      <c r="DK117" s="20">
        <f>'Boron Trifluoride Etherate'!BV20</f>
        <v>4.8161821777842651</v>
      </c>
      <c r="DL117" s="20">
        <f>'Boron Trifluoride Etherate'!BW20</f>
        <v>4.8161821777842651</v>
      </c>
      <c r="DM117" s="20">
        <f>'Boron Trifluoride Etherate'!BX20</f>
        <v>4.8161821777842651</v>
      </c>
      <c r="DN117" s="20">
        <f>'Boron Trifluoride Etherate'!BY20</f>
        <v>4.8161821777842651</v>
      </c>
      <c r="DO117" s="20">
        <f>'Boron Trifluoride Etherate'!BZ20</f>
        <v>4.8161821777842651</v>
      </c>
      <c r="DP117" s="20">
        <f>'Boron Trifluoride Etherate'!CA20</f>
        <v>5.0064176160612162</v>
      </c>
      <c r="DQ117" s="20">
        <f>'Boron Trifluoride Etherate'!CB20</f>
        <v>5.0064176160612162</v>
      </c>
      <c r="DR117" s="20">
        <f>'Boron Trifluoride Etherate'!CC20</f>
        <v>5.0064176160612162</v>
      </c>
      <c r="DS117" s="20">
        <f>'Boron Trifluoride Etherate'!CD20</f>
        <v>5.0064176160612162</v>
      </c>
      <c r="DT117" s="20">
        <f>'Boron Trifluoride Etherate'!CE20</f>
        <v>5.0064176160612162</v>
      </c>
      <c r="DU117" s="20">
        <f>'Boron Trifluoride Etherate'!CF20</f>
        <v>5.0064176160612162</v>
      </c>
      <c r="DV117" s="20">
        <f>'Boron Trifluoride Etherate'!CG20</f>
        <v>5.0064176160612162</v>
      </c>
      <c r="DW117" s="20">
        <f>'Boron Trifluoride Etherate'!CH20</f>
        <v>5.0064176160612162</v>
      </c>
      <c r="DX117" s="20">
        <f>'Boron Trifluoride Etherate'!CI20</f>
        <v>5.0064176160612162</v>
      </c>
      <c r="DY117" s="20">
        <f>'Boron Trifluoride Etherate'!CJ20</f>
        <v>5.0064176160612162</v>
      </c>
      <c r="DZ117" s="20">
        <f>'Boron Trifluoride Etherate'!CK20</f>
        <v>5.0064176160612162</v>
      </c>
      <c r="EA117" s="20">
        <f>'Boron Trifluoride Etherate'!CL20</f>
        <v>5.0064176160612162</v>
      </c>
      <c r="EB117" s="20">
        <f>'Boron Trifluoride Etherate'!CM20</f>
        <v>5.0064176160612162</v>
      </c>
      <c r="EC117" s="20">
        <f>'Boron Trifluoride Etherate'!CN20</f>
        <v>5.0064176160612162</v>
      </c>
      <c r="ED117" s="20">
        <f>'Boron Trifluoride Etherate'!CO20</f>
        <v>5.0064176160612162</v>
      </c>
      <c r="EE117" s="20">
        <f>'Boron Trifluoride Etherate'!CP20</f>
        <v>5.0064176160612162</v>
      </c>
      <c r="EF117" s="20">
        <f>'Boron Trifluoride Etherate'!CQ20</f>
        <v>5.0064176160612162</v>
      </c>
      <c r="EG117" s="20">
        <f>'Boron Trifluoride Etherate'!CR20</f>
        <v>5.0064176160612162</v>
      </c>
      <c r="EH117" s="20">
        <f>'Boron Trifluoride Etherate'!CS20</f>
        <v>5.0064176160612162</v>
      </c>
      <c r="EI117" s="20">
        <f>'Boron Trifluoride Etherate'!CT20</f>
        <v>5.0064176160612162</v>
      </c>
      <c r="EJ117" s="20">
        <f>'Boron Trifluoride Etherate'!CU20</f>
        <v>5.0064176160612162</v>
      </c>
      <c r="EK117" s="20">
        <f>'Boron Trifluoride Etherate'!CV20</f>
        <v>5.0064176160612162</v>
      </c>
      <c r="EL117" s="20">
        <f>'Boron Trifluoride Etherate'!CW20</f>
        <v>5.0064176160612162</v>
      </c>
      <c r="EM117" s="20">
        <f>'Boron Trifluoride Etherate'!CX20</f>
        <v>5.0064176160612162</v>
      </c>
      <c r="EN117" s="20">
        <f>'Boron Trifluoride Etherate'!CY20</f>
        <v>5.0064176160612162</v>
      </c>
      <c r="EO117" s="20">
        <f>'Boron Trifluoride Etherate'!CZ20</f>
        <v>5.0064176160612162</v>
      </c>
      <c r="EP117" s="20">
        <f>'Boron Trifluoride Etherate'!DA20</f>
        <v>5.0064176160612162</v>
      </c>
      <c r="EQ117" s="20">
        <f>'Boron Trifluoride Etherate'!DB20</f>
        <v>5.0064176160612162</v>
      </c>
      <c r="ER117" s="20">
        <f>'Boron Trifluoride Etherate'!DC20</f>
        <v>5.0064176160612162</v>
      </c>
      <c r="ES117" s="20">
        <f>'Boron Trifluoride Etherate'!DD20</f>
        <v>5.0064176160612162</v>
      </c>
      <c r="ET117" s="20">
        <f>'Boron Trifluoride Etherate'!DE20</f>
        <v>5.0064176160612162</v>
      </c>
      <c r="EU117" s="20">
        <f>'Boron Trifluoride Etherate'!DF20</f>
        <v>5.0064176160612162</v>
      </c>
      <c r="EV117" s="20">
        <f>'Boron Trifluoride Etherate'!DG20</f>
        <v>5.0064176160612162</v>
      </c>
      <c r="EW117" s="20">
        <f>'Boron Trifluoride Etherate'!DH20</f>
        <v>5.0064176160612162</v>
      </c>
      <c r="EX117" s="20">
        <f>'Boron Trifluoride Etherate'!DI20</f>
        <v>5.0064176160612162</v>
      </c>
      <c r="EY117" s="20">
        <f>'Boron Trifluoride Etherate'!DJ20</f>
        <v>5.0064176160612162</v>
      </c>
      <c r="EZ117" s="20">
        <f>'Boron Trifluoride Etherate'!DK20</f>
        <v>5.0064176160612162</v>
      </c>
      <c r="FA117" s="20">
        <f>'Boron Trifluoride Etherate'!DL20</f>
        <v>5.0064176160612162</v>
      </c>
      <c r="FB117" s="20">
        <f>'Boron Trifluoride Etherate'!DM20</f>
        <v>5.0064176160612162</v>
      </c>
      <c r="FC117" s="20">
        <f>'Boron Trifluoride Etherate'!DN20</f>
        <v>5.0064176160612162</v>
      </c>
      <c r="FD117" s="20">
        <f>'Boron Trifluoride Etherate'!DO20</f>
        <v>5.0064176160612162</v>
      </c>
      <c r="FE117" s="20">
        <f>'Boron Trifluoride Etherate'!DP20</f>
        <v>5.0064176160612162</v>
      </c>
      <c r="FF117" s="20">
        <f>'Boron Trifluoride Etherate'!DQ20</f>
        <v>5.0064176160612162</v>
      </c>
      <c r="FG117" s="20">
        <f>'Boron Trifluoride Etherate'!DR20</f>
        <v>5.0064176160612162</v>
      </c>
      <c r="FH117" s="20">
        <f>'Boron Trifluoride Etherate'!DS20</f>
        <v>5.0064176160612162</v>
      </c>
    </row>
    <row r="118" spans="1:164">
      <c r="A118" s="8" t="s">
        <v>248</v>
      </c>
      <c r="B118" s="8" t="s">
        <v>336</v>
      </c>
      <c r="AU118" s="60"/>
      <c r="BA118" s="19">
        <f t="shared" si="161"/>
        <v>0</v>
      </c>
      <c r="BB118" s="19">
        <f t="shared" si="149"/>
        <v>0</v>
      </c>
      <c r="BC118" s="19">
        <f t="shared" si="150"/>
        <v>-3.8836650991177946E-2</v>
      </c>
      <c r="BD118" s="19">
        <f t="shared" si="151"/>
        <v>3.5815105740188979E-4</v>
      </c>
      <c r="BE118" s="19">
        <f t="shared" si="152"/>
        <v>0</v>
      </c>
      <c r="BF118" s="19">
        <f t="shared" si="153"/>
        <v>0</v>
      </c>
      <c r="BG118" s="19">
        <f t="shared" si="154"/>
        <v>9.762510066589547E-2</v>
      </c>
      <c r="BH118" s="19">
        <f t="shared" si="155"/>
        <v>7.1630211480355754E-4</v>
      </c>
      <c r="BI118" s="19">
        <f t="shared" si="156"/>
        <v>0</v>
      </c>
      <c r="BJ118" s="19">
        <f t="shared" si="157"/>
        <v>0</v>
      </c>
      <c r="BK118" s="19">
        <f t="shared" si="158"/>
        <v>0</v>
      </c>
      <c r="BL118" s="19">
        <f t="shared" si="159"/>
        <v>0</v>
      </c>
      <c r="BM118" s="19">
        <f t="shared" si="160"/>
        <v>0</v>
      </c>
      <c r="BN118" s="19">
        <f t="shared" si="160"/>
        <v>0</v>
      </c>
      <c r="BO118" s="19">
        <f t="shared" si="160"/>
        <v>0</v>
      </c>
      <c r="BP118" s="19">
        <f t="shared" si="130"/>
        <v>0</v>
      </c>
      <c r="BQ118" s="19">
        <f t="shared" si="131"/>
        <v>0</v>
      </c>
      <c r="BR118" s="19">
        <f t="shared" si="131"/>
        <v>0</v>
      </c>
      <c r="BS118" s="19">
        <f t="shared" si="114"/>
        <v>0</v>
      </c>
      <c r="BT118" s="19">
        <f t="shared" si="114"/>
        <v>0</v>
      </c>
      <c r="BU118" s="19">
        <f t="shared" si="132"/>
        <v>-1.4326042296072261E-3</v>
      </c>
      <c r="BV118" s="19">
        <f t="shared" si="133"/>
        <v>0</v>
      </c>
      <c r="BW118" s="19">
        <f t="shared" si="115"/>
        <v>0</v>
      </c>
      <c r="BX118" s="19">
        <f t="shared" si="116"/>
        <v>0</v>
      </c>
      <c r="BY118" s="19">
        <f t="shared" si="116"/>
        <v>2.1489063444108947E-3</v>
      </c>
      <c r="BZ118" s="19">
        <f t="shared" si="116"/>
        <v>0</v>
      </c>
      <c r="CA118" s="19">
        <f t="shared" si="116"/>
        <v>0</v>
      </c>
      <c r="CB118" s="19">
        <f t="shared" si="138"/>
        <v>0</v>
      </c>
      <c r="CC118" s="19">
        <f t="shared" si="138"/>
        <v>0</v>
      </c>
      <c r="CD118" s="19">
        <f t="shared" si="138"/>
        <v>-2.5070574018126734E-3</v>
      </c>
      <c r="CE118" s="65"/>
      <c r="CG118" s="20">
        <f t="shared" si="118"/>
        <v>1.0468574199373459</v>
      </c>
      <c r="CH118" s="20">
        <f>'THPS 75'!AS24</f>
        <v>1.2890329821051185</v>
      </c>
      <c r="CI118" s="20">
        <f>'THPS 75'!AT24</f>
        <v>1.1897757269824947</v>
      </c>
      <c r="CJ118" s="20">
        <f>'THPS 75'!AU24</f>
        <v>1.2549864989062287</v>
      </c>
      <c r="CK118" s="20">
        <f>'THPS 75'!AV24</f>
        <v>1.1079413534771549</v>
      </c>
      <c r="CL118" s="20">
        <f>'THPS 75'!AW24</f>
        <v>1.6064028034467632</v>
      </c>
      <c r="CM118" s="20">
        <f>'THPS 75'!AX24</f>
        <v>1.0808301004113892</v>
      </c>
      <c r="CN118" s="20">
        <f>'THPS 75'!AY24</f>
        <v>1.0150468926892886</v>
      </c>
      <c r="CO118" s="20">
        <f>'THPS 75'!AZ24</f>
        <v>1.0136142884596815</v>
      </c>
      <c r="CP118" s="20">
        <f>'THPS 75'!BA24</f>
        <v>1.0136142884596815</v>
      </c>
      <c r="CQ118" s="20">
        <f>'THPS 75'!BB24</f>
        <v>1.0136142884596815</v>
      </c>
      <c r="CR118" s="20">
        <f>'THPS 75'!BC24</f>
        <v>1.2887879519117806</v>
      </c>
      <c r="CS118" s="20">
        <f>'THPS 75'!BD24</f>
        <v>1.2916531603709951</v>
      </c>
      <c r="CT118" s="20">
        <f>'THPS 75'!BE24</f>
        <v>1.2916531603709951</v>
      </c>
      <c r="CU118" s="20">
        <f>'THPS 75'!BF24</f>
        <v>1.2916531603709951</v>
      </c>
      <c r="CV118" s="20">
        <f>'THPS 75'!BG24</f>
        <v>1.131007105431828</v>
      </c>
      <c r="CW118" s="20">
        <f>'THPS 75'!BH24</f>
        <v>1.131007105431828</v>
      </c>
      <c r="CX118" s="20">
        <f>'THPS 75'!BI24</f>
        <v>1.1338723138910427</v>
      </c>
      <c r="CY118" s="20">
        <f>'THPS 75'!BJ24</f>
        <v>1.1338723138910427</v>
      </c>
      <c r="CZ118" s="20">
        <f>'THPS 75'!BK24</f>
        <v>1.0380554513977143</v>
      </c>
      <c r="DA118" s="20">
        <f>'THPS 75'!BL24</f>
        <v>1.0380554513977143</v>
      </c>
      <c r="DB118" s="20">
        <f>'THPS 75'!BM24</f>
        <v>1.0380554513977143</v>
      </c>
      <c r="DC118" s="20">
        <f>'THPS 75'!BN24</f>
        <v>1.0380554513977143</v>
      </c>
      <c r="DD118" s="20">
        <f>'THPS 75'!BO24</f>
        <v>0.97388915146771315</v>
      </c>
      <c r="DE118" s="20">
        <f>'THPS 75'!BP24</f>
        <v>0.97174024512330226</v>
      </c>
      <c r="DF118" s="20">
        <f>'THPS 75'!BQ24</f>
        <v>0.97174024512330226</v>
      </c>
      <c r="DG118" s="20">
        <f>'THPS 75'!BR24</f>
        <v>0.97174024512330226</v>
      </c>
      <c r="DH118" s="20">
        <f>'THPS 75'!BS24</f>
        <v>1.0266306784506718</v>
      </c>
      <c r="DI118" s="20">
        <f>'THPS 75'!BT24</f>
        <v>1.0294958869098862</v>
      </c>
      <c r="DJ118" s="20">
        <f>'THPS 75'!BU24</f>
        <v>1.0294958869098862</v>
      </c>
      <c r="DK118" s="20">
        <f>'THPS 75'!BV24</f>
        <v>1.0294958869098862</v>
      </c>
      <c r="DL118" s="20">
        <f>'THPS 75'!BW24</f>
        <v>0.92357539859738458</v>
      </c>
      <c r="DM118" s="20">
        <f>'THPS 75'!BX24</f>
        <v>0.92357539859738458</v>
      </c>
      <c r="DN118" s="20">
        <f>'THPS 75'!BY24</f>
        <v>0.92357539859738458</v>
      </c>
      <c r="DO118" s="20">
        <f>'THPS 75'!BZ24</f>
        <v>0.9250080028269918</v>
      </c>
      <c r="DP118" s="20">
        <f>'THPS 75'!CA24</f>
        <v>0.89090204735130807</v>
      </c>
      <c r="DQ118" s="20">
        <f>'THPS 75'!CB24</f>
        <v>0.89090204735130807</v>
      </c>
      <c r="DR118" s="20">
        <f>'THPS 75'!CC24</f>
        <v>0.89090204735130807</v>
      </c>
      <c r="DS118" s="20">
        <f>'THPS 75'!CD24</f>
        <v>0.89090204735130807</v>
      </c>
      <c r="DT118" s="20">
        <f>'THPS 75'!CE24</f>
        <v>0.96623194112618194</v>
      </c>
      <c r="DU118" s="20">
        <f>'THPS 75'!CF24</f>
        <v>0.96623194112618194</v>
      </c>
      <c r="DV118" s="20">
        <f>'THPS 75'!CG24</f>
        <v>0.96730639429838738</v>
      </c>
      <c r="DW118" s="20">
        <f>'THPS 75'!CH24</f>
        <v>0.96730639429838738</v>
      </c>
      <c r="DX118" s="20">
        <f>'THPS 75'!CI24</f>
        <v>1.1202149775432029</v>
      </c>
      <c r="DY118" s="20">
        <f>'THPS 75'!CJ24</f>
        <v>1.1202149775432029</v>
      </c>
      <c r="DZ118" s="20">
        <f>'THPS 75'!CK24</f>
        <v>1.1202149775432029</v>
      </c>
      <c r="EA118" s="20">
        <f>'THPS 75'!CL24</f>
        <v>1.1202149775432029</v>
      </c>
      <c r="EB118" s="20">
        <f>'THPS 75'!CM24</f>
        <v>0.94158967859256992</v>
      </c>
      <c r="EC118" s="20">
        <f>'THPS 75'!CN24</f>
        <v>0.94158967859256992</v>
      </c>
      <c r="ED118" s="20">
        <f>'THPS 75'!CO24</f>
        <v>0.94158967859256992</v>
      </c>
      <c r="EE118" s="20">
        <f>'THPS 75'!CP24</f>
        <v>0.94158967859256992</v>
      </c>
      <c r="EF118" s="20">
        <f>'THPS 75'!CQ24</f>
        <v>0.94158967859256992</v>
      </c>
      <c r="EG118" s="20">
        <f>'THPS 75'!CR24</f>
        <v>0.98042632958374787</v>
      </c>
      <c r="EH118" s="20">
        <f>'THPS 75'!CS24</f>
        <v>0.98006817852634598</v>
      </c>
      <c r="EI118" s="20">
        <f>'THPS 75'!CT24</f>
        <v>0.98006817852634598</v>
      </c>
      <c r="EJ118" s="20">
        <f>'THPS 75'!CU24</f>
        <v>0.98006817852634598</v>
      </c>
      <c r="EK118" s="20">
        <f>'THPS 75'!CV24</f>
        <v>0.88244307786045051</v>
      </c>
      <c r="EL118" s="20">
        <f>'THPS 75'!CW24</f>
        <v>0.88172677574564695</v>
      </c>
      <c r="EM118" s="20">
        <f>'THPS 75'!CX24</f>
        <v>0.88172677574564695</v>
      </c>
      <c r="EN118" s="20">
        <f>'THPS 75'!CY24</f>
        <v>0.88172677574564695</v>
      </c>
      <c r="EO118" s="20">
        <f>'THPS 75'!CZ24</f>
        <v>0.88172677574564695</v>
      </c>
      <c r="EP118" s="20">
        <f>'THPS 75'!DA24</f>
        <v>0.88172677574564695</v>
      </c>
      <c r="EQ118" s="20">
        <f>'THPS 75'!DB24</f>
        <v>0.88172677574564695</v>
      </c>
      <c r="ER118" s="20">
        <f>'THPS 75'!DC24</f>
        <v>0.88172677574564695</v>
      </c>
      <c r="ES118" s="20">
        <f>'THPS 75'!DD24</f>
        <v>0.88172677574564695</v>
      </c>
      <c r="ET118" s="20">
        <f>'THPS 75'!DE24</f>
        <v>0.88172677574564695</v>
      </c>
      <c r="EU118" s="20">
        <f>'THPS 75'!DF24</f>
        <v>0.88172677574564695</v>
      </c>
      <c r="EV118" s="20">
        <f>'THPS 75'!DG24</f>
        <v>0.88172677574564695</v>
      </c>
      <c r="EW118" s="20">
        <f>'THPS 75'!DH24</f>
        <v>0.88172677574564695</v>
      </c>
      <c r="EX118" s="20">
        <f>'THPS 75'!DI24</f>
        <v>0.88172677574564695</v>
      </c>
      <c r="EY118" s="20">
        <f>'THPS 75'!DJ24</f>
        <v>0.88315937997525418</v>
      </c>
      <c r="EZ118" s="20">
        <f>'THPS 75'!DK24</f>
        <v>0.88315937997525418</v>
      </c>
      <c r="FA118" s="20">
        <f>'THPS 75'!DL24</f>
        <v>0.88315937997525418</v>
      </c>
      <c r="FB118" s="20">
        <f>'THPS 75'!DM24</f>
        <v>0.88315937997525418</v>
      </c>
      <c r="FC118" s="20">
        <f>'THPS 75'!DN24</f>
        <v>0.88101047363084328</v>
      </c>
      <c r="FD118" s="20">
        <f>'THPS 75'!DO24</f>
        <v>0.88101047363084328</v>
      </c>
      <c r="FE118" s="20">
        <f>'THPS 75'!DP24</f>
        <v>0.88101047363084328</v>
      </c>
      <c r="FF118" s="20">
        <f>'THPS 75'!DQ24</f>
        <v>0.88101047363084328</v>
      </c>
      <c r="FG118" s="20">
        <f>'THPS 75'!DR24</f>
        <v>0.88101047363084328</v>
      </c>
      <c r="FH118" s="20">
        <f>'THPS 75'!DS24</f>
        <v>0.88351753103265596</v>
      </c>
    </row>
    <row r="119" spans="1:164">
      <c r="A119" s="8" t="s">
        <v>203</v>
      </c>
      <c r="B119" s="8" t="s">
        <v>337</v>
      </c>
      <c r="AU119" s="60" t="s">
        <v>51</v>
      </c>
      <c r="BA119" s="19">
        <f t="shared" si="161"/>
        <v>-1.4138946536219166E-2</v>
      </c>
      <c r="BB119" s="19">
        <f t="shared" si="149"/>
        <v>0</v>
      </c>
      <c r="BC119" s="19">
        <f t="shared" si="150"/>
        <v>6.7586251014661869E-4</v>
      </c>
      <c r="BD119" s="19">
        <f t="shared" si="151"/>
        <v>2.8365040868276736E-3</v>
      </c>
      <c r="BE119" s="19">
        <f t="shared" si="152"/>
        <v>1.3050233603406625E-4</v>
      </c>
      <c r="BF119" s="19">
        <f t="shared" si="153"/>
        <v>-4.0986994914717911E-3</v>
      </c>
      <c r="BG119" s="19">
        <f t="shared" si="154"/>
        <v>-2.6587426941606207E-2</v>
      </c>
      <c r="BH119" s="19">
        <f t="shared" si="155"/>
        <v>-4.8962348438430947E-2</v>
      </c>
      <c r="BI119" s="19">
        <f t="shared" si="156"/>
        <v>2.2128749543379733E-3</v>
      </c>
      <c r="BJ119" s="19">
        <f t="shared" si="157"/>
        <v>-7.445700989718862E-3</v>
      </c>
      <c r="BK119" s="19">
        <f t="shared" si="158"/>
        <v>-3.7197561710424765E-3</v>
      </c>
      <c r="BL119" s="19">
        <f t="shared" si="159"/>
        <v>1.3610020436427561E-5</v>
      </c>
      <c r="BM119" s="19">
        <f t="shared" si="160"/>
        <v>-8.1708787771361813E-5</v>
      </c>
      <c r="BN119" s="19">
        <f t="shared" si="160"/>
        <v>1.994723620357286E-2</v>
      </c>
      <c r="BO119" s="19">
        <f t="shared" si="160"/>
        <v>6.2344533601306207E-2</v>
      </c>
      <c r="BP119" s="19">
        <f t="shared" si="130"/>
        <v>0</v>
      </c>
      <c r="BQ119" s="19">
        <f t="shared" si="131"/>
        <v>2.3028118639034201E-2</v>
      </c>
      <c r="BR119" s="19">
        <f t="shared" si="131"/>
        <v>8.4123403460756307E-3</v>
      </c>
      <c r="BS119" s="19">
        <f t="shared" si="114"/>
        <v>3.6762237071297221E-4</v>
      </c>
      <c r="BT119" s="19">
        <f t="shared" si="114"/>
        <v>-6.0423747800282257E-3</v>
      </c>
      <c r="BU119" s="19">
        <f t="shared" si="132"/>
        <v>-1.3307243798794666E-2</v>
      </c>
      <c r="BV119" s="19">
        <f t="shared" si="133"/>
        <v>-1.6513818704200212E-3</v>
      </c>
      <c r="BW119" s="19">
        <f t="shared" si="115"/>
        <v>-4.942150593622241E-3</v>
      </c>
      <c r="BX119" s="19">
        <f t="shared" si="116"/>
        <v>-4.6550312888897771E-3</v>
      </c>
      <c r="BY119" s="19">
        <f t="shared" si="116"/>
        <v>9.3245171055835741E-3</v>
      </c>
      <c r="BZ119" s="19">
        <f t="shared" si="116"/>
        <v>-3.7167545289853443E-3</v>
      </c>
      <c r="CA119" s="19">
        <f t="shared" si="116"/>
        <v>-3.9011691790604708E-3</v>
      </c>
      <c r="CB119" s="19">
        <f t="shared" si="138"/>
        <v>1.1690672975386285E-3</v>
      </c>
      <c r="CC119" s="19">
        <f t="shared" si="138"/>
        <v>1.124899933278023E-4</v>
      </c>
      <c r="CD119" s="19">
        <f t="shared" si="138"/>
        <v>-3.8348778838774855E-3</v>
      </c>
      <c r="CE119" s="65"/>
      <c r="CG119" s="20">
        <f t="shared" si="118"/>
        <v>2.0918433256142048</v>
      </c>
      <c r="CH119" s="20">
        <f>'di-n-propylamine'!AS24</f>
        <v>2.1897855286672572</v>
      </c>
      <c r="CI119" s="20">
        <f>'di-n-propylamine'!AT24</f>
        <v>2.2608204479624923</v>
      </c>
      <c r="CJ119" s="20">
        <f>'di-n-propylamine'!AU24</f>
        <v>2.2068195530515835</v>
      </c>
      <c r="CK119" s="20">
        <f>'di-n-propylamine'!AV24</f>
        <v>2.1976316046078677</v>
      </c>
      <c r="CL119" s="20">
        <f>'di-n-propylamine'!AW24</f>
        <v>2.1490786256054046</v>
      </c>
      <c r="CM119" s="20">
        <f>'di-n-propylamine'!AX24</f>
        <v>2.0178153608423397</v>
      </c>
      <c r="CN119" s="20">
        <f>'di-n-propylamine'!AY24</f>
        <v>2.0012570253862587</v>
      </c>
      <c r="CO119" s="20">
        <f>'di-n-propylamine'!AZ24</f>
        <v>2.001586419971769</v>
      </c>
      <c r="CP119" s="20">
        <f>'di-n-propylamine'!BA24</f>
        <v>2.02187877113907</v>
      </c>
      <c r="CQ119" s="20">
        <f>'di-n-propylamine'!BB24</f>
        <v>2.0373147402463085</v>
      </c>
      <c r="CR119" s="20">
        <f>'di-n-propylamine'!BC24</f>
        <v>2.0424467824796073</v>
      </c>
      <c r="CS119" s="20">
        <f>'di-n-propylamine'!BD24</f>
        <v>2.0752126066178835</v>
      </c>
      <c r="CT119" s="20">
        <f>'di-n-propylamine'!BE24</f>
        <v>2.0993319860031985</v>
      </c>
      <c r="CU119" s="20">
        <f>'di-n-propylamine'!BF24</f>
        <v>2.1000510992390793</v>
      </c>
      <c r="CV119" s="20">
        <f>'di-n-propylamine'!BG24</f>
        <v>2.0895901030595634</v>
      </c>
      <c r="CW119" s="20">
        <f>'di-n-propylamine'!BH24</f>
        <v>2.0756830736182996</v>
      </c>
      <c r="CX119" s="20">
        <f>'di-n-propylamine'!BI24</f>
        <v>2.0664461086470256</v>
      </c>
      <c r="CY119" s="20">
        <f>'di-n-propylamine'!BJ24</f>
        <v>2.0585666544578798</v>
      </c>
      <c r="CZ119" s="20">
        <f>'di-n-propylamine'!BK24</f>
        <v>2.074792801281192</v>
      </c>
      <c r="DA119" s="20">
        <f>'di-n-propylamine'!BL24</f>
        <v>2.0697610453619943</v>
      </c>
      <c r="DB119" s="20">
        <f>'di-n-propylamine'!BM24</f>
        <v>2.065891765374146</v>
      </c>
      <c r="DC119" s="20">
        <f>'di-n-propylamine'!BN24</f>
        <v>2.0676100377641546</v>
      </c>
      <c r="DD119" s="20">
        <f>'di-n-propylamine'!BO24</f>
        <v>2.0676663886722291</v>
      </c>
      <c r="DE119" s="20">
        <f>'di-n-propylamine'!BP24</f>
        <v>2.0718672011026475</v>
      </c>
      <c r="DF119" s="20">
        <f>'di-n-propylamine'!BQ24</f>
        <v>2.0718672011026475</v>
      </c>
      <c r="DG119" s="20">
        <f>'di-n-propylamine'!BR24</f>
        <v>2.0758285812250752</v>
      </c>
      <c r="DH119" s="20">
        <f>'di-n-propylamine'!BS24</f>
        <v>2.0715717489453445</v>
      </c>
      <c r="DI119" s="20">
        <f>'di-n-propylamine'!BT24</f>
        <v>2.0615333052984268</v>
      </c>
      <c r="DJ119" s="20">
        <f>'di-n-propylamine'!BU24</f>
        <v>2.0628776909890041</v>
      </c>
      <c r="DK119" s="20">
        <f>'di-n-propylamine'!BV24</f>
        <v>2.0677630788907253</v>
      </c>
      <c r="DL119" s="20">
        <f>'di-n-propylamine'!BW24</f>
        <v>2.0932407246715732</v>
      </c>
      <c r="DM119" s="20">
        <f>'di-n-propylamine'!BX24</f>
        <v>2.1664876181497901</v>
      </c>
      <c r="DN119" s="20">
        <f>'di-n-propylamine'!BY24</f>
        <v>2.1829879538595813</v>
      </c>
      <c r="DO119" s="20">
        <f>'di-n-propylamine'!BZ24</f>
        <v>2.233507267228148</v>
      </c>
      <c r="DP119" s="20">
        <f>'di-n-propylamine'!CA24</f>
        <v>2.2019845882194655</v>
      </c>
      <c r="DQ119" s="20">
        <f>'di-n-propylamine'!CB24</f>
        <v>2.1637125832279054</v>
      </c>
      <c r="DR119" s="20">
        <f>'di-n-propylamine'!CC24</f>
        <v>2.1272683140590782</v>
      </c>
      <c r="DS119" s="20">
        <f>'di-n-propylamine'!CD24</f>
        <v>2.1189512866848319</v>
      </c>
      <c r="DT119" s="20">
        <f>'di-n-propylamine'!CE24</f>
        <v>2.1131211246385666</v>
      </c>
      <c r="DU119" s="20">
        <f>'di-n-propylamine'!CF24</f>
        <v>2.1188648489452078</v>
      </c>
      <c r="DV119" s="20">
        <f>'di-n-propylamine'!CG24</f>
        <v>2.0999201476961749</v>
      </c>
      <c r="DW119" s="20">
        <f>'di-n-propylamine'!CH24</f>
        <v>2.0989214336445112</v>
      </c>
      <c r="DX119" s="20">
        <f>'di-n-propylamine'!CI24</f>
        <v>2.0991528190331237</v>
      </c>
      <c r="DY119" s="20">
        <f>'di-n-propylamine'!CJ24</f>
        <v>2.098908608186087</v>
      </c>
      <c r="DZ119" s="20">
        <f>'di-n-propylamine'!CK24</f>
        <v>2.0986399822497406</v>
      </c>
      <c r="EA119" s="20">
        <f>'di-n-propylamine'!CL24</f>
        <v>2.0887789579240792</v>
      </c>
      <c r="EB119" s="20">
        <f>'di-n-propylamine'!CM24</f>
        <v>2.081187323544432</v>
      </c>
      <c r="EC119" s="20">
        <f>'di-n-propylamine'!CN24</f>
        <v>2.0780600107668947</v>
      </c>
      <c r="ED119" s="20">
        <f>'di-n-propylamine'!CO24</f>
        <v>2.0686757098624744</v>
      </c>
      <c r="EE119" s="20">
        <f>'di-n-propylamine'!CP24</f>
        <v>2.0828146563986936</v>
      </c>
      <c r="EF119" s="20">
        <f>'di-n-propylamine'!CQ24</f>
        <v>2.0828146563986936</v>
      </c>
      <c r="EG119" s="20">
        <f>'di-n-propylamine'!CR24</f>
        <v>2.0821387938885469</v>
      </c>
      <c r="EH119" s="20">
        <f>'di-n-propylamine'!CS24</f>
        <v>2.0793022898017193</v>
      </c>
      <c r="EI119" s="20">
        <f>'di-n-propylamine'!CT24</f>
        <v>2.0791717874656852</v>
      </c>
      <c r="EJ119" s="20">
        <f>'di-n-propylamine'!CU24</f>
        <v>2.083270486957157</v>
      </c>
      <c r="EK119" s="20">
        <f>'di-n-propylamine'!CV24</f>
        <v>2.1098579138987632</v>
      </c>
      <c r="EL119" s="20">
        <f>'di-n-propylamine'!CW24</f>
        <v>2.1588202623371942</v>
      </c>
      <c r="EM119" s="20">
        <f>'di-n-propylamine'!CX24</f>
        <v>2.1566073873828562</v>
      </c>
      <c r="EN119" s="20">
        <f>'di-n-propylamine'!CY24</f>
        <v>2.164053088372575</v>
      </c>
      <c r="EO119" s="20">
        <f>'di-n-propylamine'!CZ24</f>
        <v>2.1677728445436175</v>
      </c>
      <c r="EP119" s="20">
        <f>'di-n-propylamine'!DA24</f>
        <v>2.1677592345231811</v>
      </c>
      <c r="EQ119" s="20">
        <f>'di-n-propylamine'!DB24</f>
        <v>2.1678409433109525</v>
      </c>
      <c r="ER119" s="20">
        <f>'di-n-propylamine'!DC24</f>
        <v>2.1478937071073796</v>
      </c>
      <c r="ES119" s="20">
        <f>'di-n-propylamine'!DD24</f>
        <v>2.0855491735060734</v>
      </c>
      <c r="ET119" s="20">
        <f>'di-n-propylamine'!DE24</f>
        <v>2.0855491735060734</v>
      </c>
      <c r="EU119" s="20">
        <f>'di-n-propylamine'!DF24</f>
        <v>2.0625210548670392</v>
      </c>
      <c r="EV119" s="20">
        <f>'di-n-propylamine'!DG24</f>
        <v>2.0541087145209636</v>
      </c>
      <c r="EW119" s="20">
        <f>'di-n-propylamine'!DH24</f>
        <v>2.0537410921502506</v>
      </c>
      <c r="EX119" s="20">
        <f>'di-n-propylamine'!DI24</f>
        <v>2.0597834669302788</v>
      </c>
      <c r="EY119" s="20">
        <f>'di-n-propylamine'!DJ24</f>
        <v>2.0730907107290735</v>
      </c>
      <c r="EZ119" s="20">
        <f>'di-n-propylamine'!DK24</f>
        <v>2.0747420925994935</v>
      </c>
      <c r="FA119" s="20">
        <f>'di-n-propylamine'!DL24</f>
        <v>2.0796842431931157</v>
      </c>
      <c r="FB119" s="20">
        <f>'di-n-propylamine'!DM24</f>
        <v>2.0843392744820055</v>
      </c>
      <c r="FC119" s="20">
        <f>'di-n-propylamine'!DN24</f>
        <v>2.0750147573764219</v>
      </c>
      <c r="FD119" s="20">
        <f>'di-n-propylamine'!DO24</f>
        <v>2.0787315119054073</v>
      </c>
      <c r="FE119" s="20">
        <f>'di-n-propylamine'!DP24</f>
        <v>2.0826326810844678</v>
      </c>
      <c r="FF119" s="20">
        <f>'di-n-propylamine'!DQ24</f>
        <v>2.0814636137869291</v>
      </c>
      <c r="FG119" s="20">
        <f>'di-n-propylamine'!DR24</f>
        <v>2.0813511237936013</v>
      </c>
      <c r="FH119" s="20">
        <f>'di-n-propylamine'!DS24</f>
        <v>2.0851860016774788</v>
      </c>
    </row>
    <row r="120" spans="1:164" ht="15">
      <c r="A120" s="8" t="s">
        <v>203</v>
      </c>
      <c r="B120" s="45" t="s">
        <v>338</v>
      </c>
      <c r="AU120" s="60" t="s">
        <v>40</v>
      </c>
      <c r="BA120" s="19">
        <f t="shared" si="161"/>
        <v>0</v>
      </c>
      <c r="BB120" s="19">
        <f t="shared" si="149"/>
        <v>0</v>
      </c>
      <c r="BC120" s="19">
        <f t="shared" si="150"/>
        <v>0</v>
      </c>
      <c r="BD120" s="19">
        <f t="shared" si="151"/>
        <v>6.0342056932965793E-2</v>
      </c>
      <c r="BE120" s="19">
        <f t="shared" si="152"/>
        <v>3.0171028466483341E-2</v>
      </c>
      <c r="BF120" s="19">
        <f t="shared" si="153"/>
        <v>0</v>
      </c>
      <c r="BG120" s="19">
        <f t="shared" si="154"/>
        <v>0</v>
      </c>
      <c r="BH120" s="19">
        <f t="shared" si="155"/>
        <v>0.21119719926538094</v>
      </c>
      <c r="BI120" s="19">
        <f t="shared" si="156"/>
        <v>0</v>
      </c>
      <c r="BJ120" s="19">
        <f t="shared" si="157"/>
        <v>0</v>
      </c>
      <c r="BK120" s="19">
        <f t="shared" si="158"/>
        <v>0</v>
      </c>
      <c r="BL120" s="19">
        <f t="shared" si="159"/>
        <v>0</v>
      </c>
      <c r="BM120" s="19">
        <f t="shared" si="160"/>
        <v>6.0342056932966015E-2</v>
      </c>
      <c r="BN120" s="19">
        <f t="shared" si="160"/>
        <v>0</v>
      </c>
      <c r="BO120" s="19">
        <f t="shared" si="160"/>
        <v>0</v>
      </c>
      <c r="BP120" s="19">
        <f t="shared" si="130"/>
        <v>0</v>
      </c>
      <c r="BQ120" s="19">
        <f t="shared" si="131"/>
        <v>0</v>
      </c>
      <c r="BR120" s="19">
        <f t="shared" si="131"/>
        <v>0</v>
      </c>
      <c r="BS120" s="19">
        <f t="shared" si="114"/>
        <v>0</v>
      </c>
      <c r="BT120" s="19">
        <f t="shared" si="114"/>
        <v>0</v>
      </c>
      <c r="BU120" s="19">
        <f t="shared" si="132"/>
        <v>0</v>
      </c>
      <c r="BV120" s="19">
        <f t="shared" si="133"/>
        <v>0</v>
      </c>
      <c r="BW120" s="19">
        <f t="shared" si="115"/>
        <v>6.0342056932966015E-2</v>
      </c>
      <c r="BX120" s="19">
        <f t="shared" si="116"/>
        <v>0</v>
      </c>
      <c r="BY120" s="19">
        <f t="shared" si="116"/>
        <v>0</v>
      </c>
      <c r="BZ120" s="19">
        <f t="shared" si="116"/>
        <v>0</v>
      </c>
      <c r="CA120" s="19">
        <f t="shared" si="116"/>
        <v>0</v>
      </c>
      <c r="CB120" s="19">
        <f t="shared" si="138"/>
        <v>0</v>
      </c>
      <c r="CC120" s="19">
        <f t="shared" si="138"/>
        <v>0.15085514233241493</v>
      </c>
      <c r="CD120" s="19">
        <f t="shared" si="138"/>
        <v>0</v>
      </c>
      <c r="CE120" s="65"/>
      <c r="CG120" s="20">
        <f t="shared" si="118"/>
        <v>1.7959943255397808</v>
      </c>
      <c r="CH120" s="20">
        <f>Morpholine!AS24</f>
        <v>1.6951147842056933</v>
      </c>
      <c r="CI120" s="20">
        <f>Morpholine!AT24</f>
        <v>1.7871364210284664</v>
      </c>
      <c r="CJ120" s="20">
        <f>Morpholine!AU24</f>
        <v>1.9244146005509641</v>
      </c>
      <c r="CK120" s="20">
        <f>Morpholine!AV24</f>
        <v>1.9485514233241505</v>
      </c>
      <c r="CL120" s="20">
        <f>Morpholine!AW24</f>
        <v>1.882175160697888</v>
      </c>
      <c r="CM120" s="20">
        <f>Morpholine!AX24</f>
        <v>1.8580383379247016</v>
      </c>
      <c r="CN120" s="20">
        <f>Morpholine!AY24</f>
        <v>1.8580383379247016</v>
      </c>
      <c r="CO120" s="20">
        <f>Morpholine!AZ24</f>
        <v>1.8580383379247016</v>
      </c>
      <c r="CP120" s="20">
        <f>Morpholine!BA24</f>
        <v>1.7976962809917356</v>
      </c>
      <c r="CQ120" s="20">
        <f>Morpholine!BB24</f>
        <v>1.7976962809917356</v>
      </c>
      <c r="CR120" s="20">
        <f>Morpholine!BC24</f>
        <v>1.6468411386593205</v>
      </c>
      <c r="CS120" s="20">
        <f>Morpholine!BD24</f>
        <v>1.6468411386593205</v>
      </c>
      <c r="CT120" s="20">
        <f>Morpholine!BE24</f>
        <v>1.6468411386593205</v>
      </c>
      <c r="CU120" s="20">
        <f>Morpholine!BF24</f>
        <v>1.6468411386593205</v>
      </c>
      <c r="CV120" s="20">
        <f>Morpholine!BG24</f>
        <v>1.6770121671258034</v>
      </c>
      <c r="CW120" s="20">
        <f>Morpholine!BH24</f>
        <v>1.6770121671258034</v>
      </c>
      <c r="CX120" s="20">
        <f>Morpholine!BI24</f>
        <v>1.9183803948576676</v>
      </c>
      <c r="CY120" s="20">
        <f>Morpholine!BJ24</f>
        <v>1.9183803948576676</v>
      </c>
      <c r="CZ120" s="20">
        <f>Morpholine!BK24</f>
        <v>1.8882093663911845</v>
      </c>
      <c r="DA120" s="20">
        <f>Morpholine!BL24</f>
        <v>1.8882093663911845</v>
      </c>
      <c r="DB120" s="20">
        <f>Morpholine!BM24</f>
        <v>1.8882093663911845</v>
      </c>
      <c r="DC120" s="20">
        <f>Morpholine!BN24</f>
        <v>1.8882093663911845</v>
      </c>
      <c r="DD120" s="20">
        <f>Morpholine!BO24</f>
        <v>1.8882093663911845</v>
      </c>
      <c r="DE120" s="20">
        <f>Morpholine!BP24</f>
        <v>1.8278673094582185</v>
      </c>
      <c r="DF120" s="20">
        <f>Morpholine!BQ24</f>
        <v>1.8278673094582185</v>
      </c>
      <c r="DG120" s="20">
        <f>Morpholine!BR24</f>
        <v>1.7976962809917356</v>
      </c>
      <c r="DH120" s="20">
        <f>Morpholine!BS24</f>
        <v>1.7976962809917356</v>
      </c>
      <c r="DI120" s="20">
        <f>Morpholine!BT24</f>
        <v>1.7976962809917356</v>
      </c>
      <c r="DJ120" s="20">
        <f>Morpholine!BU24</f>
        <v>1.7976962809917356</v>
      </c>
      <c r="DK120" s="20">
        <f>Morpholine!BV24</f>
        <v>1.7976962809917356</v>
      </c>
      <c r="DL120" s="20">
        <f>Morpholine!BW24</f>
        <v>1.7976962809917356</v>
      </c>
      <c r="DM120" s="20">
        <f>Morpholine!BX24</f>
        <v>1.7976962809917356</v>
      </c>
      <c r="DN120" s="20">
        <f>Morpholine!BY24</f>
        <v>1.7976962809917356</v>
      </c>
      <c r="DO120" s="20">
        <f>Morpholine!BZ24</f>
        <v>1.7976962809917356</v>
      </c>
      <c r="DP120" s="20">
        <f>Morpholine!CA24</f>
        <v>1.7976962809917356</v>
      </c>
      <c r="DQ120" s="20">
        <f>Morpholine!CB24</f>
        <v>1.7976962809917356</v>
      </c>
      <c r="DR120" s="20">
        <f>Morpholine!CC24</f>
        <v>1.7976962809917356</v>
      </c>
      <c r="DS120" s="20">
        <f>Morpholine!CD24</f>
        <v>1.7071831955922865</v>
      </c>
      <c r="DT120" s="20">
        <f>Morpholine!CE24</f>
        <v>1.7071831955922865</v>
      </c>
      <c r="DU120" s="20">
        <f>Morpholine!CF24</f>
        <v>1.7071831955922865</v>
      </c>
      <c r="DV120" s="20">
        <f>Morpholine!CG24</f>
        <v>1.7071831955922865</v>
      </c>
      <c r="DW120" s="20">
        <f>Morpholine!CH24</f>
        <v>1.7675252525252527</v>
      </c>
      <c r="DX120" s="20">
        <f>Morpholine!CI24</f>
        <v>1.7675252525252527</v>
      </c>
      <c r="DY120" s="20">
        <f>Morpholine!CJ24</f>
        <v>1.7675252525252527</v>
      </c>
      <c r="DZ120" s="20">
        <f>Morpholine!CK24</f>
        <v>1.8278673094582185</v>
      </c>
      <c r="EA120" s="20">
        <f>Morpholine!CL24</f>
        <v>1.8278673094582185</v>
      </c>
      <c r="EB120" s="20">
        <f>Morpholine!CM24</f>
        <v>1.8278673094582185</v>
      </c>
      <c r="EC120" s="20">
        <f>Morpholine!CN24</f>
        <v>1.8278673094582185</v>
      </c>
      <c r="ED120" s="20">
        <f>Morpholine!CO24</f>
        <v>1.8278673094582185</v>
      </c>
      <c r="EE120" s="20">
        <f>Morpholine!CP24</f>
        <v>1.8278673094582185</v>
      </c>
      <c r="EF120" s="20">
        <f>Morpholine!CQ24</f>
        <v>1.8278673094582185</v>
      </c>
      <c r="EG120" s="20">
        <f>Morpholine!CR24</f>
        <v>1.8278673094582185</v>
      </c>
      <c r="EH120" s="20">
        <f>Morpholine!CS24</f>
        <v>1.7675252525252527</v>
      </c>
      <c r="EI120" s="20">
        <f>Morpholine!CT24</f>
        <v>1.7373542240587694</v>
      </c>
      <c r="EJ120" s="20">
        <f>Morpholine!CU24</f>
        <v>1.7373542240587694</v>
      </c>
      <c r="EK120" s="20">
        <f>Morpholine!CV24</f>
        <v>1.7373542240587694</v>
      </c>
      <c r="EL120" s="20">
        <f>Morpholine!CW24</f>
        <v>1.5261570247933884</v>
      </c>
      <c r="EM120" s="20">
        <f>Morpholine!CX24</f>
        <v>1.5261570247933884</v>
      </c>
      <c r="EN120" s="20">
        <f>Morpholine!CY24</f>
        <v>1.5261570247933884</v>
      </c>
      <c r="EO120" s="20">
        <f>Morpholine!CZ24</f>
        <v>1.5261570247933884</v>
      </c>
      <c r="EP120" s="20">
        <f>Morpholine!DA24</f>
        <v>1.5261570247933884</v>
      </c>
      <c r="EQ120" s="20">
        <f>Morpholine!DB24</f>
        <v>1.4658149678604224</v>
      </c>
      <c r="ER120" s="20">
        <f>Morpholine!DC24</f>
        <v>1.4658149678604224</v>
      </c>
      <c r="ES120" s="20">
        <f>Morpholine!DD24</f>
        <v>1.4658149678604224</v>
      </c>
      <c r="ET120" s="20">
        <f>Morpholine!DE24</f>
        <v>1.4658149678604224</v>
      </c>
      <c r="EU120" s="20">
        <f>Morpholine!DF24</f>
        <v>1.4658149678604224</v>
      </c>
      <c r="EV120" s="20">
        <f>Morpholine!DG24</f>
        <v>1.4658149678604224</v>
      </c>
      <c r="EW120" s="20">
        <f>Morpholine!DH24</f>
        <v>1.4658149678604224</v>
      </c>
      <c r="EX120" s="20">
        <f>Morpholine!DI24</f>
        <v>1.4658149678604224</v>
      </c>
      <c r="EY120" s="20">
        <f>Morpholine!DJ24</f>
        <v>1.4658149678604224</v>
      </c>
      <c r="EZ120" s="20">
        <f>Morpholine!DK24</f>
        <v>1.4658149678604224</v>
      </c>
      <c r="FA120" s="20">
        <f>Morpholine!DL24</f>
        <v>1.4054729109274564</v>
      </c>
      <c r="FB120" s="20">
        <f>Morpholine!DM24</f>
        <v>1.4054729109274564</v>
      </c>
      <c r="FC120" s="20">
        <f>Morpholine!DN24</f>
        <v>1.4054729109274564</v>
      </c>
      <c r="FD120" s="20">
        <f>Morpholine!DO24</f>
        <v>1.4054729109274564</v>
      </c>
      <c r="FE120" s="20">
        <f>Morpholine!DP24</f>
        <v>1.4054729109274564</v>
      </c>
      <c r="FF120" s="20">
        <f>Morpholine!DQ24</f>
        <v>1.4054729109274564</v>
      </c>
      <c r="FG120" s="20">
        <f>Morpholine!DR24</f>
        <v>1.2546177685950415</v>
      </c>
      <c r="FH120" s="20">
        <f>Morpholine!DS24</f>
        <v>1.2546177685950415</v>
      </c>
    </row>
    <row r="121" spans="1:164" hidden="1">
      <c r="A121" s="8" t="s">
        <v>207</v>
      </c>
      <c r="B121" s="8" t="s">
        <v>339</v>
      </c>
      <c r="AU121" s="60"/>
      <c r="BA121" s="19">
        <f t="shared" si="161"/>
        <v>0</v>
      </c>
      <c r="BB121" s="19">
        <f t="shared" si="149"/>
        <v>0</v>
      </c>
      <c r="BC121" s="19">
        <f t="shared" si="150"/>
        <v>0</v>
      </c>
      <c r="BD121" s="19">
        <f t="shared" si="151"/>
        <v>0</v>
      </c>
      <c r="BE121" s="19">
        <f t="shared" si="152"/>
        <v>0</v>
      </c>
      <c r="BF121" s="19">
        <f t="shared" si="153"/>
        <v>0</v>
      </c>
      <c r="BG121" s="19">
        <f t="shared" si="154"/>
        <v>0</v>
      </c>
      <c r="BH121" s="19">
        <f t="shared" si="155"/>
        <v>0</v>
      </c>
      <c r="BI121" s="19">
        <f t="shared" si="156"/>
        <v>0</v>
      </c>
      <c r="BJ121" s="19">
        <f t="shared" si="157"/>
        <v>0</v>
      </c>
      <c r="BK121" s="19">
        <f t="shared" si="158"/>
        <v>0</v>
      </c>
      <c r="BL121" s="19">
        <f t="shared" si="159"/>
        <v>0</v>
      </c>
      <c r="BM121" s="19">
        <f t="shared" si="160"/>
        <v>0</v>
      </c>
      <c r="BN121" s="19">
        <f t="shared" si="160"/>
        <v>0</v>
      </c>
      <c r="BO121" s="19">
        <f t="shared" si="160"/>
        <v>0</v>
      </c>
      <c r="BP121" s="19">
        <f t="shared" si="130"/>
        <v>0</v>
      </c>
      <c r="BQ121" s="19">
        <f t="shared" si="131"/>
        <v>0</v>
      </c>
      <c r="BR121" s="19">
        <f t="shared" si="131"/>
        <v>0</v>
      </c>
      <c r="BS121" s="19">
        <f t="shared" si="114"/>
        <v>0</v>
      </c>
      <c r="BT121" s="19">
        <f t="shared" si="114"/>
        <v>0</v>
      </c>
      <c r="BU121" s="19">
        <f t="shared" si="132"/>
        <v>0</v>
      </c>
      <c r="BV121" s="19">
        <f t="shared" si="133"/>
        <v>0</v>
      </c>
      <c r="BW121" s="19">
        <f t="shared" si="115"/>
        <v>0</v>
      </c>
      <c r="BX121" s="19">
        <f t="shared" si="116"/>
        <v>0</v>
      </c>
      <c r="BY121" s="19">
        <f t="shared" si="116"/>
        <v>0</v>
      </c>
      <c r="BZ121" s="19">
        <f t="shared" si="116"/>
        <v>0</v>
      </c>
      <c r="CA121" s="19">
        <f t="shared" si="116"/>
        <v>0</v>
      </c>
      <c r="CB121" s="19">
        <f t="shared" si="138"/>
        <v>0</v>
      </c>
      <c r="CC121" s="19">
        <f t="shared" si="138"/>
        <v>0</v>
      </c>
      <c r="CD121" s="19">
        <f t="shared" si="138"/>
        <v>0</v>
      </c>
      <c r="CE121" s="65"/>
      <c r="CG121" s="20" t="e">
        <f t="shared" si="118"/>
        <v>#DIV/0!</v>
      </c>
    </row>
    <row r="122" spans="1:164">
      <c r="A122" s="8" t="s">
        <v>207</v>
      </c>
      <c r="B122" s="8" t="s">
        <v>340</v>
      </c>
      <c r="AU122" s="107" t="s">
        <v>301</v>
      </c>
      <c r="BA122" s="19">
        <f t="shared" si="161"/>
        <v>0</v>
      </c>
      <c r="BB122" s="19">
        <f t="shared" si="149"/>
        <v>0</v>
      </c>
      <c r="BC122" s="19">
        <f t="shared" si="150"/>
        <v>2.0055102289332716E-2</v>
      </c>
      <c r="BD122" s="19">
        <f t="shared" si="151"/>
        <v>0</v>
      </c>
      <c r="BE122" s="19">
        <f t="shared" si="152"/>
        <v>0</v>
      </c>
      <c r="BF122" s="19">
        <f t="shared" si="153"/>
        <v>-1.1460058451047139E-2</v>
      </c>
      <c r="BG122" s="19">
        <f t="shared" si="154"/>
        <v>0</v>
      </c>
      <c r="BH122" s="19">
        <f t="shared" si="155"/>
        <v>0</v>
      </c>
      <c r="BI122" s="19">
        <f t="shared" si="156"/>
        <v>0</v>
      </c>
      <c r="BJ122" s="19">
        <f t="shared" si="157"/>
        <v>-2.2920116902094723E-2</v>
      </c>
      <c r="BK122" s="19">
        <f t="shared" si="158"/>
        <v>-2.5785131514856285E-2</v>
      </c>
      <c r="BL122" s="19">
        <f t="shared" si="159"/>
        <v>0</v>
      </c>
      <c r="BM122" s="19">
        <f t="shared" si="160"/>
        <v>2.8650146127615628E-3</v>
      </c>
      <c r="BN122" s="19">
        <f t="shared" si="160"/>
        <v>-4.5840233804188557E-2</v>
      </c>
      <c r="BO122" s="19">
        <f t="shared" si="160"/>
        <v>0</v>
      </c>
      <c r="BP122" s="19">
        <f t="shared" si="130"/>
        <v>0</v>
      </c>
      <c r="BQ122" s="19">
        <f t="shared" si="131"/>
        <v>3.7245189965903425E-2</v>
      </c>
      <c r="BR122" s="19">
        <f t="shared" si="131"/>
        <v>0</v>
      </c>
      <c r="BS122" s="19">
        <f t="shared" si="114"/>
        <v>2.2920116902094723E-2</v>
      </c>
      <c r="BT122" s="19">
        <f t="shared" si="114"/>
        <v>1.7190087676570709E-2</v>
      </c>
      <c r="BU122" s="19">
        <f t="shared" si="132"/>
        <v>2.8650146127617848E-2</v>
      </c>
      <c r="BV122" s="19">
        <f t="shared" si="133"/>
        <v>5.7300292255240137E-3</v>
      </c>
      <c r="BW122" s="19">
        <f t="shared" si="115"/>
        <v>0</v>
      </c>
      <c r="BX122" s="19">
        <f t="shared" si="116"/>
        <v>-2.8650146127620069E-3</v>
      </c>
      <c r="BY122" s="19">
        <f t="shared" ref="BY122:CD122" si="162">+FB122-FC122</f>
        <v>-5.7300292255235696E-3</v>
      </c>
      <c r="BZ122" s="19">
        <f t="shared" si="162"/>
        <v>8.5950438382855765E-3</v>
      </c>
      <c r="CA122" s="19">
        <f t="shared" si="162"/>
        <v>0</v>
      </c>
      <c r="CB122" s="19">
        <f t="shared" si="162"/>
        <v>-2.8650146127620069E-3</v>
      </c>
      <c r="CC122" s="19">
        <f t="shared" si="162"/>
        <v>0</v>
      </c>
      <c r="CD122" s="19">
        <f t="shared" si="162"/>
        <v>0</v>
      </c>
      <c r="CE122" s="65"/>
      <c r="CG122" s="20">
        <f t="shared" si="118"/>
        <v>3.3946949561617137</v>
      </c>
      <c r="CH122" s="20">
        <f>'Para-tertiary amyl phenol (PTAP'!AS24</f>
        <v>3.3914326595226498</v>
      </c>
      <c r="CI122" s="20">
        <f>'Para-tertiary amyl phenol (PTAP'!AT24</f>
        <v>3.4430029225523624</v>
      </c>
      <c r="CJ122" s="20">
        <f>'Para-tertiary amyl phenol (PTAP'!AU24</f>
        <v>3.408622747199221</v>
      </c>
      <c r="CK122" s="20">
        <f>'Para-tertiary amyl phenol (PTAP'!AV24</f>
        <v>3.3857026302971263</v>
      </c>
      <c r="CL122" s="20">
        <f>'Para-tertiary amyl phenol (PTAP'!AW24</f>
        <v>3.3742425718460791</v>
      </c>
      <c r="CM122" s="20">
        <f>'Para-tertiary amyl phenol (PTAP'!AX24</f>
        <v>3.2854271188504627</v>
      </c>
      <c r="CN122" s="20">
        <f>'Para-tertiary amyl phenol (PTAP'!AY24</f>
        <v>3.2854271188504627</v>
      </c>
      <c r="CO122" s="20">
        <f>'Para-tertiary amyl phenol (PTAP'!AZ24</f>
        <v>3.2854271188504627</v>
      </c>
      <c r="CP122" s="20">
        <f>'Para-tertiary amyl phenol (PTAP'!BA24</f>
        <v>3.2854271188504627</v>
      </c>
      <c r="CQ122" s="20">
        <f>'Para-tertiary amyl phenol (PTAP'!BB24</f>
        <v>3.3427274111056988</v>
      </c>
      <c r="CR122" s="20">
        <f>'Para-tertiary amyl phenol (PTAP'!BC24</f>
        <v>3.3427274111056988</v>
      </c>
      <c r="CS122" s="20">
        <f>'Para-tertiary amyl phenol (PTAP'!BD24</f>
        <v>3.4298467754505602</v>
      </c>
      <c r="CT122" s="20">
        <f>'Para-tertiary amyl phenol (PTAP'!BE24</f>
        <v>3.4000277033609354</v>
      </c>
      <c r="CU122" s="20">
        <f>'Para-tertiary amyl phenol (PTAP'!BF24</f>
        <v>3.4000277033609354</v>
      </c>
      <c r="CV122" s="20">
        <f>'Para-tertiary amyl phenol (PTAP'!BG24</f>
        <v>3.4000277033609354</v>
      </c>
      <c r="CW122" s="20">
        <f>'Para-tertiary amyl phenol (PTAP'!BH24</f>
        <v>3.4716530686799807</v>
      </c>
      <c r="CX122" s="20">
        <f>'Para-tertiary amyl phenol (PTAP'!BI24</f>
        <v>3.4716530686799807</v>
      </c>
      <c r="CY122" s="20">
        <f>'Para-tertiary amyl phenol (PTAP'!BJ24</f>
        <v>3.4716530686799807</v>
      </c>
      <c r="CZ122" s="20">
        <f>'Para-tertiary amyl phenol (PTAP'!BK24</f>
        <v>3.4859781417437894</v>
      </c>
      <c r="DA122" s="20">
        <f>'Para-tertiary amyl phenol (PTAP'!BL24</f>
        <v>3.4859781417437894</v>
      </c>
      <c r="DB122" s="20">
        <f>'Para-tertiary amyl phenol (PTAP'!BM24</f>
        <v>3.4859781417437894</v>
      </c>
      <c r="DC122" s="20">
        <f>'Para-tertiary amyl phenol (PTAP'!BN24</f>
        <v>3.4286778494885537</v>
      </c>
      <c r="DD122" s="20">
        <f>'Para-tertiary amyl phenol (PTAP'!BO24</f>
        <v>3.4000277033609354</v>
      </c>
      <c r="DE122" s="20">
        <f>'Para-tertiary amyl phenol (PTAP'!BP24</f>
        <v>3.4000277033609354</v>
      </c>
      <c r="DF122" s="20">
        <f>'Para-tertiary amyl phenol (PTAP'!BQ24</f>
        <v>3.4000277033609354</v>
      </c>
      <c r="DG122" s="20">
        <f>'Para-tertiary amyl phenol (PTAP'!BR24</f>
        <v>3.4000277033609354</v>
      </c>
      <c r="DH122" s="20">
        <f>'Para-tertiary amyl phenol (PTAP'!BS24</f>
        <v>3.4000277033609354</v>
      </c>
      <c r="DI122" s="20">
        <f>'Para-tertiary amyl phenol (PTAP'!BT24</f>
        <v>3.4000277033609354</v>
      </c>
      <c r="DJ122" s="20">
        <f>'Para-tertiary amyl phenol (PTAP'!BU24</f>
        <v>3.3885676449098883</v>
      </c>
      <c r="DK122" s="20">
        <f>'Para-tertiary amyl phenol (PTAP'!BV24</f>
        <v>3.3885676449098883</v>
      </c>
      <c r="DL122" s="20">
        <f>'Para-tertiary amyl phenol (PTAP'!BW24</f>
        <v>3.3885676449098883</v>
      </c>
      <c r="DM122" s="20">
        <f>'Para-tertiary amyl phenol (PTAP'!BX24</f>
        <v>3.3885676449098883</v>
      </c>
      <c r="DN122" s="20">
        <f>'Para-tertiary amyl phenol (PTAP'!BY24</f>
        <v>3.3885676449098883</v>
      </c>
      <c r="DO122" s="20">
        <f>'Para-tertiary amyl phenol (PTAP'!BZ24</f>
        <v>3.3656475280077935</v>
      </c>
      <c r="DP122" s="20">
        <f>'Para-tertiary amyl phenol (PTAP'!CA24</f>
        <v>3.3656475280077935</v>
      </c>
      <c r="DQ122" s="20">
        <f>'Para-tertiary amyl phenol (PTAP'!CB24</f>
        <v>3.3656475280077935</v>
      </c>
      <c r="DR122" s="20">
        <f>'Para-tertiary amyl phenol (PTAP'!CC24</f>
        <v>3.408622747199221</v>
      </c>
      <c r="DS122" s="20">
        <f>'Para-tertiary amyl phenol (PTAP'!CD24</f>
        <v>3.408622747199221</v>
      </c>
      <c r="DT122" s="20">
        <f>'Para-tertiary amyl phenol (PTAP'!CE24</f>
        <v>3.408622747199221</v>
      </c>
      <c r="DU122" s="20">
        <f>'Para-tertiary amyl phenol (PTAP'!CF24</f>
        <v>3.408622747199221</v>
      </c>
      <c r="DV122" s="20">
        <f>'Para-tertiary amyl phenol (PTAP'!CG24</f>
        <v>3.408622747199221</v>
      </c>
      <c r="DW122" s="20">
        <f>'Para-tertiary amyl phenol (PTAP'!CH24</f>
        <v>3.3914326595226498</v>
      </c>
      <c r="DX122" s="20">
        <f>'Para-tertiary amyl phenol (PTAP'!CI24</f>
        <v>3.3914326595226498</v>
      </c>
      <c r="DY122" s="20">
        <f>'Para-tertiary amyl phenol (PTAP'!CJ24</f>
        <v>3.3914326595226498</v>
      </c>
      <c r="DZ122" s="20">
        <f>'Para-tertiary amyl phenol (PTAP'!CK24</f>
        <v>3.3914326595226498</v>
      </c>
      <c r="EA122" s="20">
        <f>'Para-tertiary amyl phenol (PTAP'!CL24</f>
        <v>3.4114877618119825</v>
      </c>
      <c r="EB122" s="20">
        <f>'Para-tertiary amyl phenol (PTAP'!CM24</f>
        <v>3.4114877618119825</v>
      </c>
      <c r="EC122" s="20">
        <f>'Para-tertiary amyl phenol (PTAP'!CN24</f>
        <v>3.4114877618119825</v>
      </c>
      <c r="ED122" s="20">
        <f>'Para-tertiary amyl phenol (PTAP'!CO24</f>
        <v>3.4114877618119825</v>
      </c>
      <c r="EE122" s="20">
        <f>'Para-tertiary amyl phenol (PTAP'!CP24</f>
        <v>3.4114877618119825</v>
      </c>
      <c r="EF122" s="20">
        <f>'Para-tertiary amyl phenol (PTAP'!CQ24</f>
        <v>3.4114877618119825</v>
      </c>
      <c r="EG122" s="20">
        <f>'Para-tertiary amyl phenol (PTAP'!CR24</f>
        <v>3.3914326595226498</v>
      </c>
      <c r="EH122" s="20">
        <f>'Para-tertiary amyl phenol (PTAP'!CS24</f>
        <v>3.3914326595226498</v>
      </c>
      <c r="EI122" s="20">
        <f>'Para-tertiary amyl phenol (PTAP'!CT24</f>
        <v>3.3914326595226498</v>
      </c>
      <c r="EJ122" s="20">
        <f>'Para-tertiary amyl phenol (PTAP'!CU24</f>
        <v>3.402892717973697</v>
      </c>
      <c r="EK122" s="20">
        <f>'Para-tertiary amyl phenol (PTAP'!CV24</f>
        <v>3.402892717973697</v>
      </c>
      <c r="EL122" s="20">
        <f>'Para-tertiary amyl phenol (PTAP'!CW24</f>
        <v>3.402892717973697</v>
      </c>
      <c r="EM122" s="20">
        <f>'Para-tertiary amyl phenol (PTAP'!CX24</f>
        <v>3.402892717973697</v>
      </c>
      <c r="EN122" s="20">
        <f>'Para-tertiary amyl phenol (PTAP'!CY24</f>
        <v>3.4258128348757917</v>
      </c>
      <c r="EO122" s="20">
        <f>'Para-tertiary amyl phenol (PTAP'!CZ24</f>
        <v>3.451597966390648</v>
      </c>
      <c r="EP122" s="20">
        <f>'Para-tertiary amyl phenol (PTAP'!DA24</f>
        <v>3.451597966390648</v>
      </c>
      <c r="EQ122" s="20">
        <f>'Para-tertiary amyl phenol (PTAP'!DB24</f>
        <v>3.4487329517778864</v>
      </c>
      <c r="ER122" s="20">
        <f>'Para-tertiary amyl phenol (PTAP'!DC24</f>
        <v>3.494573185582075</v>
      </c>
      <c r="ES122" s="20">
        <f>'Para-tertiary amyl phenol (PTAP'!DD24</f>
        <v>3.494573185582075</v>
      </c>
      <c r="ET122" s="20">
        <f>'Para-tertiary amyl phenol (PTAP'!DE24</f>
        <v>3.494573185582075</v>
      </c>
      <c r="EU122" s="20">
        <f>'Para-tertiary amyl phenol (PTAP'!DF24</f>
        <v>3.4573279956161715</v>
      </c>
      <c r="EV122" s="20">
        <f>'Para-tertiary amyl phenol (PTAP'!DG24</f>
        <v>3.4573279956161715</v>
      </c>
      <c r="EW122" s="20">
        <f>'Para-tertiary amyl phenol (PTAP'!DH24</f>
        <v>3.4344078787140768</v>
      </c>
      <c r="EX122" s="20">
        <f>'Para-tertiary amyl phenol (PTAP'!DI24</f>
        <v>3.4172177910375061</v>
      </c>
      <c r="EY122" s="20">
        <f>'Para-tertiary amyl phenol (PTAP'!DJ24</f>
        <v>3.3885676449098883</v>
      </c>
      <c r="EZ122" s="20">
        <f>'Para-tertiary amyl phenol (PTAP'!DK24</f>
        <v>3.3828376156843643</v>
      </c>
      <c r="FA122" s="20">
        <f>'Para-tertiary amyl phenol (PTAP'!DL24</f>
        <v>3.3828376156843643</v>
      </c>
      <c r="FB122" s="20">
        <f>'Para-tertiary amyl phenol (PTAP'!DM24</f>
        <v>3.3857026302971263</v>
      </c>
      <c r="FC122" s="20">
        <f>'Para-tertiary amyl phenol (PTAP'!DN24</f>
        <v>3.3914326595226498</v>
      </c>
      <c r="FD122" s="20">
        <f>'Para-tertiary amyl phenol (PTAP'!DO24</f>
        <v>3.3828376156843643</v>
      </c>
      <c r="FE122" s="20">
        <f>'Para-tertiary amyl phenol (PTAP'!DP24</f>
        <v>3.3828376156843643</v>
      </c>
      <c r="FF122" s="20">
        <f>'Para-tertiary amyl phenol (PTAP'!DQ24</f>
        <v>3.3857026302971263</v>
      </c>
      <c r="FG122" s="20">
        <f>'Para-tertiary amyl phenol (PTAP'!DR24</f>
        <v>3.3857026302971263</v>
      </c>
      <c r="FH122" s="20">
        <f>'Para-tertiary amyl phenol (PTAP'!DS24</f>
        <v>3.3857026302971263</v>
      </c>
    </row>
    <row r="123" spans="1:164">
      <c r="A123" s="8" t="s">
        <v>207</v>
      </c>
      <c r="B123" s="8" t="s">
        <v>341</v>
      </c>
      <c r="AU123" s="60" t="s">
        <v>51</v>
      </c>
      <c r="BA123" s="19">
        <f t="shared" si="161"/>
        <v>-1.1902828618968186E-2</v>
      </c>
      <c r="BB123" s="19">
        <f t="shared" si="149"/>
        <v>0</v>
      </c>
      <c r="BC123" s="19">
        <f t="shared" si="150"/>
        <v>0</v>
      </c>
      <c r="BD123" s="19">
        <f t="shared" si="151"/>
        <v>6.3014975041597587E-3</v>
      </c>
      <c r="BE123" s="19">
        <f t="shared" si="152"/>
        <v>0</v>
      </c>
      <c r="BF123" s="19">
        <f t="shared" si="153"/>
        <v>0</v>
      </c>
      <c r="BG123" s="19">
        <f t="shared" si="154"/>
        <v>-2.2405324459234599E-2</v>
      </c>
      <c r="BH123" s="19">
        <f t="shared" si="155"/>
        <v>-4.1309816971713875E-2</v>
      </c>
      <c r="BI123" s="19">
        <f t="shared" si="156"/>
        <v>0</v>
      </c>
      <c r="BJ123" s="19">
        <f t="shared" si="157"/>
        <v>-6.3014975041597587E-3</v>
      </c>
      <c r="BK123" s="19">
        <f t="shared" si="158"/>
        <v>0</v>
      </c>
      <c r="BL123" s="19">
        <f t="shared" si="159"/>
        <v>0</v>
      </c>
      <c r="BM123" s="19">
        <f t="shared" si="160"/>
        <v>0</v>
      </c>
      <c r="BN123" s="19">
        <f t="shared" si="160"/>
        <v>1.6803993344425949E-2</v>
      </c>
      <c r="BO123" s="19">
        <f t="shared" si="160"/>
        <v>4.4810648918469198E-2</v>
      </c>
      <c r="BP123" s="19">
        <f t="shared" si="130"/>
        <v>0</v>
      </c>
      <c r="BQ123" s="19">
        <f t="shared" si="131"/>
        <v>1.4703494176372622E-2</v>
      </c>
      <c r="BR123" s="19">
        <f t="shared" si="131"/>
        <v>7.0016638935108677E-3</v>
      </c>
      <c r="BS123" s="19">
        <f t="shared" si="114"/>
        <v>0</v>
      </c>
      <c r="BT123" s="19">
        <f t="shared" si="114"/>
        <v>-3.5008319467553228E-3</v>
      </c>
      <c r="BU123" s="19">
        <f t="shared" si="132"/>
        <v>-1.12026622296173E-2</v>
      </c>
      <c r="BV123" s="19">
        <f t="shared" si="133"/>
        <v>-1.400332778702218E-3</v>
      </c>
      <c r="BW123" s="19">
        <f t="shared" si="115"/>
        <v>-4.2009983361064318E-3</v>
      </c>
      <c r="BX123" s="19">
        <f t="shared" si="116"/>
        <v>-4.2009983361064318E-3</v>
      </c>
      <c r="BY123" s="19">
        <f t="shared" si="116"/>
        <v>1.0502495840265968E-2</v>
      </c>
      <c r="BZ123" s="19">
        <f t="shared" si="116"/>
        <v>-3.5008319467553228E-3</v>
      </c>
      <c r="CA123" s="19">
        <f t="shared" si="116"/>
        <v>0</v>
      </c>
      <c r="CB123" s="19">
        <f t="shared" si="138"/>
        <v>0</v>
      </c>
      <c r="CC123" s="19">
        <f t="shared" si="138"/>
        <v>0</v>
      </c>
      <c r="CD123" s="19">
        <f t="shared" si="138"/>
        <v>-3.5008319467553228E-3</v>
      </c>
      <c r="CE123" s="65"/>
      <c r="CG123" s="20">
        <f t="shared" si="118"/>
        <v>1.0632924612824777</v>
      </c>
      <c r="CH123" s="20">
        <f>'npropyl Alcohol'!AS24</f>
        <v>1.0961464226289517</v>
      </c>
      <c r="CI123" s="20">
        <f>'npropyl Alcohol'!AT24</f>
        <v>1.1661630615640597</v>
      </c>
      <c r="CJ123" s="20">
        <f>'npropyl Alcohol'!AU24</f>
        <v>1.1241530782029949</v>
      </c>
      <c r="CK123" s="20">
        <f>'npropyl Alcohol'!AV24</f>
        <v>1.1381564059900167</v>
      </c>
      <c r="CL123" s="20">
        <f>'npropyl Alcohol'!AW24</f>
        <v>1.1031480865224625</v>
      </c>
      <c r="CM123" s="20">
        <f>'npropyl Alcohol'!AX24</f>
        <v>1.0051247920133111</v>
      </c>
      <c r="CN123" s="20">
        <f>'npropyl Alcohol'!AY24</f>
        <v>0.99112146422628944</v>
      </c>
      <c r="CO123" s="20">
        <f>'npropyl Alcohol'!AZ24</f>
        <v>0.99112146422628944</v>
      </c>
      <c r="CP123" s="20">
        <f>'npropyl Alcohol'!BA24</f>
        <v>1.0079254575707153</v>
      </c>
      <c r="CQ123" s="20">
        <f>'npropyl Alcohol'!BB24</f>
        <v>1.0247294509151414</v>
      </c>
      <c r="CR123" s="20">
        <f>'npropyl Alcohol'!BC24</f>
        <v>1.029630615640599</v>
      </c>
      <c r="CS123" s="20">
        <f>'npropyl Alcohol'!BD24</f>
        <v>1.057637271214642</v>
      </c>
      <c r="CT123" s="20">
        <f>'npropyl Alcohol'!BE24</f>
        <v>1.0779420965058235</v>
      </c>
      <c r="CU123" s="20">
        <f>'npropyl Alcohol'!BF24</f>
        <v>1.0779420965058235</v>
      </c>
      <c r="CV123" s="20">
        <f>'npropyl Alcohol'!BG24</f>
        <v>1.0695400998336106</v>
      </c>
      <c r="CW123" s="20">
        <f>'npropyl Alcohol'!BH24</f>
        <v>1.0611381031613976</v>
      </c>
      <c r="CX123" s="20">
        <f>'npropyl Alcohol'!BI24</f>
        <v>1.0499354409317803</v>
      </c>
      <c r="CY123" s="20">
        <f>'npropyl Alcohol'!BJ24</f>
        <v>1.0436339434276207</v>
      </c>
      <c r="CZ123" s="20">
        <f>'npropyl Alcohol'!BK24</f>
        <v>1.0436339434276207</v>
      </c>
      <c r="DA123" s="20">
        <f>'npropyl Alcohol'!BL24</f>
        <v>1.0394329450915141</v>
      </c>
      <c r="DB123" s="20">
        <f>'npropyl Alcohol'!BM24</f>
        <v>1.0394329450915141</v>
      </c>
      <c r="DC123" s="20">
        <f>'npropyl Alcohol'!BN24</f>
        <v>1.0359321131447587</v>
      </c>
      <c r="DD123" s="20">
        <f>'npropyl Alcohol'!BO24</f>
        <v>1.0359321131447587</v>
      </c>
      <c r="DE123" s="20">
        <f>'npropyl Alcohol'!BP24</f>
        <v>1.0394329450915141</v>
      </c>
      <c r="DF123" s="20">
        <f>'npropyl Alcohol'!BQ24</f>
        <v>1.0394329450915141</v>
      </c>
      <c r="DG123" s="20">
        <f>'npropyl Alcohol'!BR24</f>
        <v>1.0429337770382694</v>
      </c>
      <c r="DH123" s="20">
        <f>'npropyl Alcohol'!BS24</f>
        <v>1.0394329450915141</v>
      </c>
      <c r="DI123" s="20">
        <f>'npropyl Alcohol'!BT24</f>
        <v>1.0394329450915141</v>
      </c>
      <c r="DJ123" s="20">
        <f>'npropyl Alcohol'!BU24</f>
        <v>1.038732778702163</v>
      </c>
      <c r="DK123" s="20">
        <f>'npropyl Alcohol'!BV24</f>
        <v>1.0429337770382694</v>
      </c>
      <c r="DL123" s="20">
        <f>'npropyl Alcohol'!BW24</f>
        <v>1.0667394342762062</v>
      </c>
      <c r="DM123" s="20">
        <f>'npropyl Alcohol'!BX24</f>
        <v>1.1241530782029949</v>
      </c>
      <c r="DN123" s="20">
        <f>'npropyl Alcohol'!BY24</f>
        <v>1.1381564059900167</v>
      </c>
      <c r="DO123" s="20">
        <f>'npropyl Alcohol'!BZ24</f>
        <v>1.1787660565723792</v>
      </c>
      <c r="DP123" s="20">
        <f>'npropyl Alcohol'!CA24</f>
        <v>1.1521597337770382</v>
      </c>
      <c r="DQ123" s="20">
        <f>'npropyl Alcohol'!CB24</f>
        <v>1.1199520798668885</v>
      </c>
      <c r="DR123" s="20">
        <f>'npropyl Alcohol'!CC24</f>
        <v>1.0891447587354408</v>
      </c>
      <c r="DS123" s="20">
        <f>'npropyl Alcohol'!CD24</f>
        <v>1.0821430948419302</v>
      </c>
      <c r="DT123" s="20">
        <f>'npropyl Alcohol'!CE24</f>
        <v>1.0821430948419302</v>
      </c>
      <c r="DU123" s="20">
        <f>'npropyl Alcohol'!CF24</f>
        <v>1.0870442595673877</v>
      </c>
      <c r="DV123" s="20">
        <f>'npropyl Alcohol'!CG24</f>
        <v>1.0716405990016638</v>
      </c>
      <c r="DW123" s="20">
        <f>'npropyl Alcohol'!CH24</f>
        <v>1.0709404326123129</v>
      </c>
      <c r="DX123" s="20">
        <f>'npropyl Alcohol'!CI24</f>
        <v>1.0709404326123129</v>
      </c>
      <c r="DY123" s="20">
        <f>'npropyl Alcohol'!CJ24</f>
        <v>1.0709404326123129</v>
      </c>
      <c r="DZ123" s="20">
        <f>'npropyl Alcohol'!CK24</f>
        <v>1.0709404326123129</v>
      </c>
      <c r="EA123" s="20">
        <f>'npropyl Alcohol'!CL24</f>
        <v>1.0590376039933442</v>
      </c>
      <c r="EB123" s="20">
        <f>'npropyl Alcohol'!CM24</f>
        <v>1.0527361064891845</v>
      </c>
      <c r="EC123" s="20">
        <f>'npropyl Alcohol'!CN24</f>
        <v>1.0499354409317803</v>
      </c>
      <c r="ED123" s="20">
        <f>'npropyl Alcohol'!CO24</f>
        <v>1.047134775374376</v>
      </c>
      <c r="EE123" s="20">
        <f>'npropyl Alcohol'!CP24</f>
        <v>1.0590376039933442</v>
      </c>
      <c r="EF123" s="20">
        <f>'npropyl Alcohol'!CQ24</f>
        <v>1.0590376039933442</v>
      </c>
      <c r="EG123" s="20">
        <f>'npropyl Alcohol'!CR24</f>
        <v>1.0590376039933442</v>
      </c>
      <c r="EH123" s="20">
        <f>'npropyl Alcohol'!CS24</f>
        <v>1.0527361064891845</v>
      </c>
      <c r="EI123" s="20">
        <f>'npropyl Alcohol'!CT24</f>
        <v>1.0527361064891845</v>
      </c>
      <c r="EJ123" s="20">
        <f>'npropyl Alcohol'!CU24</f>
        <v>1.0527361064891845</v>
      </c>
      <c r="EK123" s="20">
        <f>'npropyl Alcohol'!CV24</f>
        <v>1.0751414309484191</v>
      </c>
      <c r="EL123" s="20">
        <f>'npropyl Alcohol'!CW24</f>
        <v>1.1164512479201329</v>
      </c>
      <c r="EM123" s="20">
        <f>'npropyl Alcohol'!CX24</f>
        <v>1.1164512479201329</v>
      </c>
      <c r="EN123" s="20">
        <f>'npropyl Alcohol'!CY24</f>
        <v>1.1227527454242927</v>
      </c>
      <c r="EO123" s="20">
        <f>'npropyl Alcohol'!CZ24</f>
        <v>1.1227527454242927</v>
      </c>
      <c r="EP123" s="20">
        <f>'npropyl Alcohol'!DA24</f>
        <v>1.1227527454242927</v>
      </c>
      <c r="EQ123" s="20">
        <f>'npropyl Alcohol'!DB24</f>
        <v>1.1227527454242927</v>
      </c>
      <c r="ER123" s="20">
        <f>'npropyl Alcohol'!DC24</f>
        <v>1.1059487520798668</v>
      </c>
      <c r="ES123" s="20">
        <f>'npropyl Alcohol'!DD24</f>
        <v>1.0611381031613976</v>
      </c>
      <c r="ET123" s="20">
        <f>'npropyl Alcohol'!DE24</f>
        <v>1.0611381031613976</v>
      </c>
      <c r="EU123" s="20">
        <f>'npropyl Alcohol'!DF24</f>
        <v>1.0464346089850249</v>
      </c>
      <c r="EV123" s="20">
        <f>'npropyl Alcohol'!DG24</f>
        <v>1.0394329450915141</v>
      </c>
      <c r="EW123" s="20">
        <f>'npropyl Alcohol'!DH24</f>
        <v>1.0394329450915141</v>
      </c>
      <c r="EX123" s="20">
        <f>'npropyl Alcohol'!DI24</f>
        <v>1.0429337770382694</v>
      </c>
      <c r="EY123" s="20">
        <f>'npropyl Alcohol'!DJ24</f>
        <v>1.0541364392678867</v>
      </c>
      <c r="EZ123" s="20">
        <f>'npropyl Alcohol'!DK24</f>
        <v>1.0555367720465889</v>
      </c>
      <c r="FA123" s="20">
        <f>'npropyl Alcohol'!DL24</f>
        <v>1.0597377703826953</v>
      </c>
      <c r="FB123" s="20">
        <f>'npropyl Alcohol'!DM24</f>
        <v>1.0639387687188018</v>
      </c>
      <c r="FC123" s="20">
        <f>'npropyl Alcohol'!DN24</f>
        <v>1.0534362728785358</v>
      </c>
      <c r="FD123" s="20">
        <f>'npropyl Alcohol'!DO24</f>
        <v>1.0569371048252911</v>
      </c>
      <c r="FE123" s="20">
        <f>'npropyl Alcohol'!DP24</f>
        <v>1.0569371048252911</v>
      </c>
      <c r="FF123" s="20">
        <f>'npropyl Alcohol'!DQ24</f>
        <v>1.0569371048252911</v>
      </c>
      <c r="FG123" s="20">
        <f>'npropyl Alcohol'!DR24</f>
        <v>1.0569371048252911</v>
      </c>
      <c r="FH123" s="20">
        <f>'npropyl Alcohol'!DS24</f>
        <v>1.0604379367720465</v>
      </c>
    </row>
    <row r="124" spans="1:164">
      <c r="A124" s="8" t="s">
        <v>212</v>
      </c>
      <c r="B124" s="8" t="s">
        <v>342</v>
      </c>
      <c r="AU124" s="60"/>
      <c r="BA124" s="19">
        <f t="shared" si="161"/>
        <v>0</v>
      </c>
      <c r="BB124" s="19">
        <f t="shared" si="149"/>
        <v>0</v>
      </c>
      <c r="BC124" s="19">
        <f t="shared" si="150"/>
        <v>-0.62020909223446807</v>
      </c>
      <c r="BD124" s="19">
        <f t="shared" si="151"/>
        <v>0</v>
      </c>
      <c r="BE124" s="19">
        <f t="shared" si="152"/>
        <v>0</v>
      </c>
      <c r="BF124" s="19">
        <f t="shared" si="153"/>
        <v>0</v>
      </c>
      <c r="BG124" s="19">
        <f t="shared" si="154"/>
        <v>0.48620839001825544</v>
      </c>
      <c r="BH124" s="19">
        <f t="shared" si="155"/>
        <v>0</v>
      </c>
      <c r="BI124" s="19">
        <f t="shared" si="156"/>
        <v>0</v>
      </c>
      <c r="BJ124" s="19">
        <f t="shared" si="157"/>
        <v>0</v>
      </c>
      <c r="BK124" s="19">
        <f t="shared" si="158"/>
        <v>0</v>
      </c>
      <c r="BL124" s="19">
        <f t="shared" si="159"/>
        <v>0</v>
      </c>
      <c r="BM124" s="19">
        <f t="shared" si="160"/>
        <v>0</v>
      </c>
      <c r="BN124" s="19">
        <f t="shared" si="160"/>
        <v>0.25742103264494376</v>
      </c>
      <c r="BO124" s="19">
        <f t="shared" si="160"/>
        <v>0</v>
      </c>
      <c r="BP124" s="19">
        <f t="shared" si="130"/>
        <v>0</v>
      </c>
      <c r="BQ124" s="19">
        <f t="shared" si="131"/>
        <v>0</v>
      </c>
      <c r="BR124" s="19">
        <f t="shared" si="131"/>
        <v>0</v>
      </c>
      <c r="BS124" s="19">
        <f t="shared" si="114"/>
        <v>5.2841436599071701E-2</v>
      </c>
      <c r="BT124" s="19">
        <f t="shared" si="114"/>
        <v>0</v>
      </c>
      <c r="BU124" s="19">
        <f t="shared" si="132"/>
        <v>0</v>
      </c>
      <c r="BV124" s="19">
        <f t="shared" si="133"/>
        <v>0</v>
      </c>
      <c r="BW124" s="19">
        <f t="shared" si="115"/>
        <v>0</v>
      </c>
      <c r="BX124" s="19">
        <f t="shared" si="116"/>
        <v>0</v>
      </c>
      <c r="BY124" s="19">
        <f t="shared" si="116"/>
        <v>0</v>
      </c>
      <c r="BZ124" s="19">
        <f t="shared" si="116"/>
        <v>0</v>
      </c>
      <c r="CA124" s="19">
        <f t="shared" si="116"/>
        <v>0</v>
      </c>
      <c r="CB124" s="19">
        <f t="shared" si="138"/>
        <v>5.2841436599071478E-2</v>
      </c>
      <c r="CC124" s="19">
        <f t="shared" si="138"/>
        <v>0</v>
      </c>
      <c r="CD124" s="19">
        <f t="shared" si="138"/>
        <v>7.926215489860744E-2</v>
      </c>
      <c r="CE124" s="65"/>
      <c r="CG124" s="20">
        <f t="shared" si="118"/>
        <v>2.1219865963646543</v>
      </c>
      <c r="CH124" s="20">
        <f>'Tricresyl phosphate'!AS24</f>
        <v>4.6923876695784825</v>
      </c>
      <c r="CI124" s="20">
        <f>'Tricresyl phosphate'!AT24</f>
        <v>4.8723243479253249</v>
      </c>
      <c r="CJ124" s="20">
        <f>'Tricresyl phosphate'!AU24</f>
        <v>3.1560054958898904</v>
      </c>
      <c r="CK124" s="20">
        <f>'Tricresyl phosphate'!AV24</f>
        <v>2.9267031025280845</v>
      </c>
      <c r="CL124" s="20">
        <f>'Tricresyl phosphate'!AW24</f>
        <v>3.187228714228965</v>
      </c>
      <c r="CM124" s="20">
        <f>'Tricresyl phosphate'!AX24</f>
        <v>2.5690408950533268</v>
      </c>
      <c r="CN124" s="20">
        <f>'Tricresyl phosphate'!AY24</f>
        <v>2.6071371746719691</v>
      </c>
      <c r="CO124" s="20">
        <f>'Tricresyl phosphate'!AZ24</f>
        <v>2.6071371746719691</v>
      </c>
      <c r="CP124" s="20">
        <f>'Tricresyl phosphate'!BA24</f>
        <v>2.6071371746719691</v>
      </c>
      <c r="CQ124" s="20">
        <f>'Tricresyl phosphate'!BB24</f>
        <v>2.6071371746719691</v>
      </c>
      <c r="CR124" s="20">
        <f>'Tricresyl phosphate'!BC24</f>
        <v>2.0718817136143137</v>
      </c>
      <c r="CS124" s="20">
        <f>'Tricresyl phosphate'!BD24</f>
        <v>2.0718817136143137</v>
      </c>
      <c r="CT124" s="20">
        <f>'Tricresyl phosphate'!BE24</f>
        <v>2.0718817136143137</v>
      </c>
      <c r="CU124" s="20">
        <f>'Tricresyl phosphate'!BF24</f>
        <v>2.0718817136143137</v>
      </c>
      <c r="CV124" s="20">
        <f>'Tricresyl phosphate'!BG24</f>
        <v>2.0148721736688771</v>
      </c>
      <c r="CW124" s="20">
        <f>'Tricresyl phosphate'!BH24</f>
        <v>2.0148721736688771</v>
      </c>
      <c r="CX124" s="20">
        <f>'Tricresyl phosphate'!BI24</f>
        <v>2.0148721736688771</v>
      </c>
      <c r="CY124" s="20">
        <f>'Tricresyl phosphate'!BJ24</f>
        <v>2.0148721736688771</v>
      </c>
      <c r="CZ124" s="20">
        <f>'Tricresyl phosphate'!BK24</f>
        <v>1.8614609589158095</v>
      </c>
      <c r="DA124" s="20">
        <f>'Tricresyl phosphate'!BL24</f>
        <v>1.8614609589158095</v>
      </c>
      <c r="DB124" s="20">
        <f>'Tricresyl phosphate'!BM24</f>
        <v>1.8614609589158095</v>
      </c>
      <c r="DC124" s="20">
        <f>'Tricresyl phosphate'!BN24</f>
        <v>1.8614609589158095</v>
      </c>
      <c r="DD124" s="20">
        <f>'Tricresyl phosphate'!BO24</f>
        <v>2.0021538023556245</v>
      </c>
      <c r="DE124" s="20">
        <f>'Tricresyl phosphate'!BP24</f>
        <v>2.0021538023556245</v>
      </c>
      <c r="DF124" s="20">
        <f>'Tricresyl phosphate'!BQ24</f>
        <v>2.0021538023556245</v>
      </c>
      <c r="DG124" s="20">
        <f>'Tricresyl phosphate'!BR24</f>
        <v>2.0021538023556245</v>
      </c>
      <c r="DH124" s="20">
        <f>'Tricresyl phosphate'!BS24</f>
        <v>1.9809957330887247</v>
      </c>
      <c r="DI124" s="20">
        <f>'Tricresyl phosphate'!BT24</f>
        <v>1.9809957330887247</v>
      </c>
      <c r="DJ124" s="20">
        <f>'Tricresyl phosphate'!BU24</f>
        <v>1.9809957330887247</v>
      </c>
      <c r="DK124" s="20">
        <f>'Tricresyl phosphate'!BV24</f>
        <v>1.9809957330887247</v>
      </c>
      <c r="DL124" s="20">
        <f>'Tricresyl phosphate'!BW24</f>
        <v>1.8813903276689741</v>
      </c>
      <c r="DM124" s="20">
        <f>'Tricresyl phosphate'!BX24</f>
        <v>1.8813903276689741</v>
      </c>
      <c r="DN124" s="20">
        <f>'Tricresyl phosphate'!BY24</f>
        <v>1.8813903276689741</v>
      </c>
      <c r="DO124" s="20">
        <f>'Tricresyl phosphate'!BZ24</f>
        <v>1.8813903276689741</v>
      </c>
      <c r="DP124" s="20">
        <f>'Tricresyl phosphate'!CA24</f>
        <v>2.0858480554952754</v>
      </c>
      <c r="DQ124" s="20">
        <f>'Tricresyl phosphate'!CB24</f>
        <v>2.0858480554952754</v>
      </c>
      <c r="DR124" s="20">
        <f>'Tricresyl phosphate'!CC24</f>
        <v>2.0858480554952754</v>
      </c>
      <c r="DS124" s="20">
        <f>'Tricresyl phosphate'!CD24</f>
        <v>2.0858480554952754</v>
      </c>
      <c r="DT124" s="20">
        <f>'Tricresyl phosphate'!CE24</f>
        <v>2.0128861971232279</v>
      </c>
      <c r="DU124" s="20">
        <f>'Tricresyl phosphate'!CF24</f>
        <v>2.0128861971232279</v>
      </c>
      <c r="DV124" s="20">
        <f>'Tricresyl phosphate'!CG24</f>
        <v>2.0128861971232279</v>
      </c>
      <c r="DW124" s="20">
        <f>'Tricresyl phosphate'!CH24</f>
        <v>2.0128861971232279</v>
      </c>
      <c r="DX124" s="20">
        <f>'Tricresyl phosphate'!CI24</f>
        <v>2.1950593997981818</v>
      </c>
      <c r="DY124" s="20">
        <f>'Tricresyl phosphate'!CJ24</f>
        <v>2.1950593997981818</v>
      </c>
      <c r="DZ124" s="20">
        <f>'Tricresyl phosphate'!CK24</f>
        <v>2.1950593997981818</v>
      </c>
      <c r="EA124" s="20">
        <f>'Tricresyl phosphate'!CL24</f>
        <v>2.1950593997981818</v>
      </c>
      <c r="EB124" s="20">
        <f>'Tricresyl phosphate'!CM24</f>
        <v>2.1194012735022714</v>
      </c>
      <c r="EC124" s="20">
        <f>'Tricresyl phosphate'!CN24</f>
        <v>2.1194012735022714</v>
      </c>
      <c r="ED124" s="20">
        <f>'Tricresyl phosphate'!CO24</f>
        <v>2.1194012735022714</v>
      </c>
      <c r="EE124" s="20">
        <f>'Tricresyl phosphate'!CP24</f>
        <v>2.1194012735022714</v>
      </c>
      <c r="EF124" s="20">
        <f>'Tricresyl phosphate'!CQ24</f>
        <v>2.1194012735022714</v>
      </c>
      <c r="EG124" s="20">
        <f>'Tricresyl phosphate'!CR24</f>
        <v>2.7396103657367394</v>
      </c>
      <c r="EH124" s="20">
        <f>'Tricresyl phosphate'!CS24</f>
        <v>2.7396103657367394</v>
      </c>
      <c r="EI124" s="20">
        <f>'Tricresyl phosphate'!CT24</f>
        <v>2.7396103657367394</v>
      </c>
      <c r="EJ124" s="20">
        <f>'Tricresyl phosphate'!CU24</f>
        <v>2.7396103657367394</v>
      </c>
      <c r="EK124" s="20">
        <f>'Tricresyl phosphate'!CV24</f>
        <v>2.253401975718484</v>
      </c>
      <c r="EL124" s="20">
        <f>'Tricresyl phosphate'!CW24</f>
        <v>2.253401975718484</v>
      </c>
      <c r="EM124" s="20">
        <f>'Tricresyl phosphate'!CX24</f>
        <v>2.253401975718484</v>
      </c>
      <c r="EN124" s="20">
        <f>'Tricresyl phosphate'!CY24</f>
        <v>2.253401975718484</v>
      </c>
      <c r="EO124" s="20">
        <f>'Tricresyl phosphate'!CZ24</f>
        <v>2.253401975718484</v>
      </c>
      <c r="EP124" s="20">
        <f>'Tricresyl phosphate'!DA24</f>
        <v>2.253401975718484</v>
      </c>
      <c r="EQ124" s="20">
        <f>'Tricresyl phosphate'!DB24</f>
        <v>2.253401975718484</v>
      </c>
      <c r="ER124" s="20">
        <f>'Tricresyl phosphate'!DC24</f>
        <v>1.9959809430735402</v>
      </c>
      <c r="ES124" s="20">
        <f>'Tricresyl phosphate'!DD24</f>
        <v>1.9959809430735402</v>
      </c>
      <c r="ET124" s="20">
        <f>'Tricresyl phosphate'!DE24</f>
        <v>1.9959809430735402</v>
      </c>
      <c r="EU124" s="20">
        <f>'Tricresyl phosphate'!DF24</f>
        <v>1.9959809430735402</v>
      </c>
      <c r="EV124" s="20">
        <f>'Tricresyl phosphate'!DG24</f>
        <v>1.9959809430735402</v>
      </c>
      <c r="EW124" s="20">
        <f>'Tricresyl phosphate'!DH24</f>
        <v>1.9431395064744685</v>
      </c>
      <c r="EX124" s="20">
        <f>'Tricresyl phosphate'!DI24</f>
        <v>1.9431395064744685</v>
      </c>
      <c r="EY124" s="20">
        <f>'Tricresyl phosphate'!DJ24</f>
        <v>1.9431395064744685</v>
      </c>
      <c r="EZ124" s="20">
        <f>'Tricresyl phosphate'!DK24</f>
        <v>1.9431395064744685</v>
      </c>
      <c r="FA124" s="20">
        <f>'Tricresyl phosphate'!DL24</f>
        <v>1.9431395064744685</v>
      </c>
      <c r="FB124" s="20">
        <f>'Tricresyl phosphate'!DM24</f>
        <v>1.9431395064744685</v>
      </c>
      <c r="FC124" s="20">
        <f>'Tricresyl phosphate'!DN24</f>
        <v>1.9431395064744685</v>
      </c>
      <c r="FD124" s="20">
        <f>'Tricresyl phosphate'!DO24</f>
        <v>1.9431395064744685</v>
      </c>
      <c r="FE124" s="20">
        <f>'Tricresyl phosphate'!DP24</f>
        <v>1.9431395064744685</v>
      </c>
      <c r="FF124" s="20">
        <f>'Tricresyl phosphate'!DQ24</f>
        <v>1.8902980698753971</v>
      </c>
      <c r="FG124" s="20">
        <f>'Tricresyl phosphate'!DR24</f>
        <v>1.8902980698753971</v>
      </c>
      <c r="FH124" s="20">
        <f>'Tricresyl phosphate'!DS24</f>
        <v>1.8110359149767896</v>
      </c>
    </row>
    <row r="125" spans="1:164" ht="15">
      <c r="A125" s="8" t="s">
        <v>207</v>
      </c>
      <c r="B125" s="45" t="s">
        <v>343</v>
      </c>
      <c r="BA125" s="19">
        <f t="shared" ref="BA125:BO125" si="163">+ED125-EE125</f>
        <v>6.8720399999999238E-2</v>
      </c>
      <c r="BB125" s="19">
        <f t="shared" si="163"/>
        <v>2.2906800000000338E-2</v>
      </c>
      <c r="BC125" s="19">
        <f t="shared" si="163"/>
        <v>8.1446399999999919E-2</v>
      </c>
      <c r="BD125" s="19">
        <f t="shared" si="163"/>
        <v>6.1084800000000161E-2</v>
      </c>
      <c r="BE125" s="19">
        <f t="shared" si="163"/>
        <v>-2.4603599999999837E-2</v>
      </c>
      <c r="BF125" s="19">
        <f t="shared" si="163"/>
        <v>-1.2726000000000237E-2</v>
      </c>
      <c r="BG125" s="19">
        <f t="shared" si="163"/>
        <v>-0.11877599999999999</v>
      </c>
      <c r="BH125" s="19">
        <f t="shared" si="163"/>
        <v>9.8414400000000235E-2</v>
      </c>
      <c r="BI125" s="19">
        <f t="shared" si="163"/>
        <v>0.1667105999999996</v>
      </c>
      <c r="BJ125" s="19">
        <f t="shared" si="163"/>
        <v>-1.5695399999999804E-2</v>
      </c>
      <c r="BK125" s="19">
        <f t="shared" si="163"/>
        <v>8.4840000000001581E-3</v>
      </c>
      <c r="BL125" s="19">
        <f t="shared" si="163"/>
        <v>-1.442280000000018E-2</v>
      </c>
      <c r="BM125" s="19">
        <f t="shared" si="163"/>
        <v>1.6968000000000316E-2</v>
      </c>
      <c r="BN125" s="19">
        <f t="shared" si="163"/>
        <v>-0.10095959999999993</v>
      </c>
      <c r="BO125" s="19">
        <f t="shared" si="163"/>
        <v>8.3991599999999611E-2</v>
      </c>
      <c r="BP125" s="19">
        <f t="shared" si="130"/>
        <v>-1.0180800000000101E-2</v>
      </c>
      <c r="BQ125" s="19">
        <f t="shared" si="131"/>
        <v>-0.13744079999999981</v>
      </c>
      <c r="BR125" s="19">
        <f t="shared" si="131"/>
        <v>-0.20531280000000018</v>
      </c>
      <c r="BS125" s="19">
        <f t="shared" si="114"/>
        <v>4.0723199999999959E-2</v>
      </c>
      <c r="BT125" s="19">
        <f t="shared" si="114"/>
        <v>3.0542400000000303E-2</v>
      </c>
      <c r="BU125" s="19">
        <f t="shared" si="132"/>
        <v>-0.16204439999999964</v>
      </c>
      <c r="BV125" s="19">
        <f t="shared" si="133"/>
        <v>0.11198879999999933</v>
      </c>
      <c r="BW125" s="19">
        <f t="shared" si="115"/>
        <v>6.5326800000000684E-2</v>
      </c>
      <c r="BX125" s="19">
        <f t="shared" si="116"/>
        <v>4.0723199999999515E-2</v>
      </c>
      <c r="BY125" s="19">
        <f t="shared" si="116"/>
        <v>1.3574399999999542E-2</v>
      </c>
      <c r="BZ125" s="19">
        <f t="shared" si="116"/>
        <v>-0.10689839999999906</v>
      </c>
      <c r="CA125" s="19">
        <f t="shared" si="116"/>
        <v>9.3323999999999074E-3</v>
      </c>
      <c r="CB125" s="19">
        <f t="shared" si="138"/>
        <v>1.6119599999999235E-2</v>
      </c>
      <c r="CC125" s="19">
        <f t="shared" si="138"/>
        <v>2.1209999999999951E-2</v>
      </c>
      <c r="CD125" s="19">
        <f t="shared" si="138"/>
        <v>4.3268400000001428E-2</v>
      </c>
      <c r="CE125" s="65"/>
      <c r="CG125" s="20">
        <f t="shared" si="118"/>
        <v>2.1803947436923083</v>
      </c>
      <c r="CH125" s="20">
        <f>'ZINC OXIDE  -  WHITE R'!AS25</f>
        <v>2.8735308000000011</v>
      </c>
      <c r="CI125" s="20">
        <f>'ZINC OXIDE  -  WHITE R'!AT25</f>
        <v>2.7505127999999996</v>
      </c>
      <c r="CJ125" s="20">
        <f>'ZINC OXIDE  -  WHITE R'!AU25</f>
        <v>2.5655616000000006</v>
      </c>
      <c r="CK125" s="20">
        <f>'ZINC OXIDE  -  WHITE R'!AV25</f>
        <v>2.4360194040000001</v>
      </c>
      <c r="CL125" s="20">
        <f>'ZINC OXIDE  -  WHITE R'!AW25</f>
        <v>1.9767720000000004</v>
      </c>
      <c r="CM125" s="20">
        <f>'ZINC OXIDE  -  WHITE R'!AX25</f>
        <v>2.0751864000000002</v>
      </c>
      <c r="CN125" s="20">
        <f>'ZINC OXIDE  -  WHITE R'!AY25</f>
        <v>2.0828220000000002</v>
      </c>
      <c r="CO125" s="20">
        <f>'ZINC OXIDE  -  WHITE R'!AZ25</f>
        <v>2.1311807999999997</v>
      </c>
      <c r="CP125" s="20">
        <f>'ZINC OXIDE  -  WHITE R'!BA25</f>
        <v>2.0921544000000001</v>
      </c>
      <c r="CQ125" s="20">
        <f>'ZINC OXIDE  -  WHITE R'!BB25</f>
        <v>2.1926898000000001</v>
      </c>
      <c r="CR125" s="20">
        <f>'ZINC OXIDE  -  WHITE R'!BC25</f>
        <v>2.2041432000000003</v>
      </c>
      <c r="CS125" s="20">
        <f>'ZINC OXIDE  -  WHITE R'!BD25</f>
        <v>2.0454924000000001</v>
      </c>
      <c r="CT125" s="20">
        <f>'ZINC OXIDE  -  WHITE R'!BE25</f>
        <v>2.1159096000000006</v>
      </c>
      <c r="CU125" s="20">
        <f>'ZINC OXIDE  -  WHITE R'!BF25</f>
        <v>2.1159096000000002</v>
      </c>
      <c r="CV125" s="20">
        <f>'ZINC OXIDE  -  WHITE R'!BG25</f>
        <v>2.1825090000000005</v>
      </c>
      <c r="CW125" s="20">
        <f>'ZINC OXIDE  -  WHITE R'!BH25</f>
        <v>2.2155966000000005</v>
      </c>
      <c r="CX125" s="20">
        <f>'ZINC OXIDE  -  WHITE R'!BI25</f>
        <v>2.2126272000000005</v>
      </c>
      <c r="CY125" s="20">
        <f>'ZINC OXIDE  -  WHITE R'!BJ25</f>
        <v>2.3246160000000002</v>
      </c>
      <c r="CZ125" s="20">
        <f>'ZINC OXIDE  -  WHITE R'!BK25</f>
        <v>2.2134756000000007</v>
      </c>
      <c r="DA125" s="20">
        <f>'ZINC OXIDE  -  WHITE R'!BL25</f>
        <v>2.1600264000000005</v>
      </c>
      <c r="DB125" s="20">
        <f>'ZINC OXIDE  -  WHITE R'!BM25</f>
        <v>2.1570570000000004</v>
      </c>
      <c r="DC125" s="20">
        <f>'ZINC OXIDE  -  WHITE R'!BN25</f>
        <v>2.1765702</v>
      </c>
      <c r="DD125" s="20">
        <f>'ZINC OXIDE  -  WHITE R'!BO25</f>
        <v>2.2266257999999999</v>
      </c>
      <c r="DE125" s="20">
        <f>'ZINC OXIDE  -  WHITE R'!BP25</f>
        <v>2.2906800000000005</v>
      </c>
      <c r="DF125" s="20">
        <f>'ZINC OXIDE  -  WHITE R'!BQ25</f>
        <v>2.2906800000000005</v>
      </c>
      <c r="DG125" s="20">
        <f>'ZINC OXIDE  -  WHITE R'!BR25</f>
        <v>2.2376550000000002</v>
      </c>
      <c r="DH125" s="20">
        <f>'ZINC OXIDE  -  WHITE R'!BS25</f>
        <v>2.1392406000000004</v>
      </c>
      <c r="DI125" s="20">
        <f>'ZINC OXIDE  -  WHITE R'!BT25</f>
        <v>2.1434826000000005</v>
      </c>
      <c r="DJ125" s="20">
        <f>'ZINC OXIDE  -  WHITE R'!BU25</f>
        <v>2.2457148000000005</v>
      </c>
      <c r="DK125" s="20">
        <f>'ZINC OXIDE  -  WHITE R'!BV25</f>
        <v>2.3398871999999997</v>
      </c>
      <c r="DL125" s="20">
        <f>'ZINC OXIDE  -  WHITE R'!BW25</f>
        <v>2.2588650000000006</v>
      </c>
      <c r="DM125" s="20">
        <f>'ZINC OXIDE  -  WHITE R'!BX25</f>
        <v>2.1736008000000004</v>
      </c>
      <c r="DN125" s="20">
        <f>'ZINC OXIDE  -  WHITE R'!BY25</f>
        <v>2.1736008000000004</v>
      </c>
      <c r="DO125" s="20">
        <f>'ZINC OXIDE  -  WHITE R'!BZ25</f>
        <v>2.1642684000000001</v>
      </c>
      <c r="DP125" s="20">
        <f>'ZINC OXIDE  -  WHITE R'!CA25</f>
        <v>2.0531280000000001</v>
      </c>
      <c r="DQ125" s="20">
        <f>'ZINC OXIDE  -  WHITE R'!CB25</f>
        <v>2.0531280000000005</v>
      </c>
      <c r="DR125" s="20">
        <f>'ZINC OXIDE  -  WHITE R'!CC25</f>
        <v>2.1023352000000002</v>
      </c>
      <c r="DS125" s="20">
        <f>'ZINC OXIDE  -  WHITE R'!CD25</f>
        <v>2.1396648000000003</v>
      </c>
      <c r="DT125" s="20">
        <f>'ZINC OXIDE  -  WHITE R'!CE25</f>
        <v>2.2626827999999999</v>
      </c>
      <c r="DU125" s="20">
        <f>'ZINC OXIDE  -  WHITE R'!CF25</f>
        <v>2.2626828000000003</v>
      </c>
      <c r="DV125" s="20">
        <f>'ZINC OXIDE  -  WHITE R'!CG25</f>
        <v>2.2126272000000005</v>
      </c>
      <c r="DW125" s="20">
        <f>'ZINC OXIDE  -  WHITE R'!CH25</f>
        <v>2.1540876</v>
      </c>
      <c r="DX125" s="20">
        <f>'ZINC OXIDE  -  WHITE R'!CI25</f>
        <v>2.4018204000000005</v>
      </c>
      <c r="DY125" s="20">
        <f>'ZINC OXIDE  -  WHITE R'!CJ25</f>
        <v>2.5002348000000003</v>
      </c>
      <c r="DZ125" s="20">
        <f>'ZINC OXIDE  -  WHITE R'!CK25</f>
        <v>2.4501792000000004</v>
      </c>
      <c r="EA125" s="20">
        <f>'ZINC OXIDE  -  WHITE R'!CL25</f>
        <v>2.5299288</v>
      </c>
      <c r="EB125" s="20">
        <f>'ZINC OXIDE  -  WHITE R'!CM25</f>
        <v>2.5358676000000004</v>
      </c>
      <c r="EC125" s="20">
        <f>'ZINC OXIDE  -  WHITE R'!CN25</f>
        <v>2.5961040000000004</v>
      </c>
      <c r="ED125" s="20">
        <f>'ZINC OXIDE  -  WHITE R'!CO25</f>
        <v>2.7089411999999999</v>
      </c>
      <c r="EE125" s="20">
        <f>'ZINC OXIDE  -  WHITE R'!CP25</f>
        <v>2.6402208000000007</v>
      </c>
      <c r="EF125" s="20">
        <f>'ZINC OXIDE  -  WHITE R'!CQ25</f>
        <v>2.6173140000000004</v>
      </c>
      <c r="EG125" s="20">
        <f>'ZINC OXIDE  -  WHITE R'!CR25</f>
        <v>2.5358676000000004</v>
      </c>
      <c r="EH125" s="20">
        <f>'ZINC OXIDE  -  WHITE R'!CS25</f>
        <v>2.4747828000000003</v>
      </c>
      <c r="EI125" s="20">
        <f>'ZINC OXIDE  -  WHITE R'!CT25</f>
        <v>2.4993864000000001</v>
      </c>
      <c r="EJ125" s="20">
        <f>'ZINC OXIDE  -  WHITE R'!CU25</f>
        <v>2.5121124000000004</v>
      </c>
      <c r="EK125" s="20">
        <f>'ZINC OXIDE  -  WHITE R'!CV25</f>
        <v>2.6308884000000003</v>
      </c>
      <c r="EL125" s="20">
        <f>'ZINC OXIDE  -  WHITE R'!CW25</f>
        <v>2.5324740000000001</v>
      </c>
      <c r="EM125" s="20">
        <f>'ZINC OXIDE  -  WHITE R'!CX25</f>
        <v>2.3657634000000005</v>
      </c>
      <c r="EN125" s="20">
        <f>'ZINC OXIDE  -  WHITE R'!CY25</f>
        <v>2.3814588000000003</v>
      </c>
      <c r="EO125" s="20">
        <f>'ZINC OXIDE  -  WHITE R'!CZ25</f>
        <v>2.3729748000000002</v>
      </c>
      <c r="EP125" s="20">
        <f>'ZINC OXIDE  -  WHITE R'!DA25</f>
        <v>2.3873976000000003</v>
      </c>
      <c r="EQ125" s="20">
        <f>'ZINC OXIDE  -  WHITE R'!DB25</f>
        <v>2.3704296</v>
      </c>
      <c r="ER125" s="20">
        <f>'ZINC OXIDE  -  WHITE R'!DC25</f>
        <v>2.4713892</v>
      </c>
      <c r="ES125" s="20">
        <f>'ZINC OXIDE  -  WHITE R'!DD25</f>
        <v>2.3873976000000003</v>
      </c>
      <c r="ET125" s="20">
        <f>'ZINC OXIDE  -  WHITE R'!DE25</f>
        <v>2.3975784000000004</v>
      </c>
      <c r="EU125" s="20">
        <f>'ZINC OXIDE  -  WHITE R'!DF25</f>
        <v>2.5350192000000003</v>
      </c>
      <c r="EV125" s="20">
        <f>'ZINC OXIDE  -  WHITE R'!DG25</f>
        <v>2.7403320000000004</v>
      </c>
      <c r="EW125" s="20">
        <f>'ZINC OXIDE  -  WHITE R'!DH25</f>
        <v>2.6996088000000005</v>
      </c>
      <c r="EX125" s="20">
        <f>'ZINC OXIDE  -  WHITE R'!DI25</f>
        <v>2.6690664000000002</v>
      </c>
      <c r="EY125" s="20">
        <f>'ZINC OXIDE  -  WHITE R'!DJ25</f>
        <v>2.8311107999999998</v>
      </c>
      <c r="EZ125" s="20">
        <f>'ZINC OXIDE  -  WHITE R'!DK25</f>
        <v>2.7191220000000005</v>
      </c>
      <c r="FA125" s="20">
        <f>'ZINC OXIDE  -  WHITE R'!DL25</f>
        <v>2.6537951999999998</v>
      </c>
      <c r="FB125" s="20">
        <f>'ZINC OXIDE  -  WHITE R'!DM25</f>
        <v>2.6130720000000003</v>
      </c>
      <c r="FC125" s="20">
        <f>'ZINC OXIDE  -  WHITE R'!DN25</f>
        <v>2.5994976000000007</v>
      </c>
      <c r="FD125" s="20">
        <f>'ZINC OXIDE  -  WHITE R'!DO25</f>
        <v>2.7063959999999998</v>
      </c>
      <c r="FE125" s="20">
        <f>'ZINC OXIDE  -  WHITE R'!DP25</f>
        <v>2.6970635999999999</v>
      </c>
      <c r="FF125" s="20">
        <f>'ZINC OXIDE  -  WHITE R'!DQ25</f>
        <v>2.6809440000000007</v>
      </c>
      <c r="FG125" s="20">
        <f>'ZINC OXIDE  -  WHITE R'!DR25</f>
        <v>2.6597340000000007</v>
      </c>
      <c r="FH125" s="20">
        <f>'ZINC OXIDE  -  WHITE R'!DS25</f>
        <v>2.6164655999999993</v>
      </c>
    </row>
  </sheetData>
  <autoFilter ref="A2:FC125" xr:uid="{00000000-0009-0000-0000-000003000000}"/>
  <mergeCells count="4">
    <mergeCell ref="A1:A2"/>
    <mergeCell ref="CF1:CP1"/>
    <mergeCell ref="DX1:EH1"/>
    <mergeCell ref="EO1:EX1"/>
  </mergeCells>
  <phoneticPr fontId="52" type="noConversion"/>
  <conditionalFormatting sqref="K1:L1 C1:J64 AR3:BB3 BC3:BL9 K3:AK64 AL3:AP83 AQ3:AQ84 AU3:AU124 BM3:BM124 BN3:CD125 AR4:AT89 BB4:BB92 AV4:AZ95 BA4:BA125 BC10:BK92 BL10:BL124 C65:AK83 Y84:AP84 C84:J1048576 AF85:AQ89 AK90:AT92 BL125:BM125">
    <cfRule type="cellIs" dxfId="32" priority="6" operator="lessThan">
      <formula>0</formula>
    </cfRule>
  </conditionalFormatting>
  <conditionalFormatting sqref="AR3:BB3 BC3:BL9 C3:AP83 AQ3:AQ84 AU3:AU124 BM3:BM124 BN3:CD125 AR4:AT89 BB4:BB92 AV4:AZ95 BA4:BA125 BC10:BK92 BL10:BL124 Y84:AP84 AF85:AQ89 AK90:AT92 BL125:BM125">
    <cfRule type="cellIs" dxfId="31" priority="5" operator="greaterThan">
      <formula>0</formula>
    </cfRule>
  </conditionalFormatting>
  <conditionalFormatting sqref="BB93:BK98 AV98:AZ98">
    <cfRule type="cellIs" dxfId="30" priority="3" operator="greaterThan">
      <formula>0</formula>
    </cfRule>
    <cfRule type="cellIs" dxfId="29" priority="4" operator="lessThan">
      <formula>0</formula>
    </cfRule>
  </conditionalFormatting>
  <conditionalFormatting sqref="BB100:BK125">
    <cfRule type="cellIs" dxfId="28" priority="1" operator="greaterThan">
      <formula>0</formula>
    </cfRule>
    <cfRule type="cellIs" dxfId="27" priority="2" operator="lessThan">
      <formula>0</formula>
    </cfRule>
  </conditionalFormatting>
  <hyperlinks>
    <hyperlink ref="B3" location="EDC!A1" display="EDC" xr:uid="{00000000-0004-0000-0300-000000000000}"/>
    <hyperlink ref="B13" location="IPDA!A1" display="IPDA" xr:uid="{00000000-0004-0000-0300-000001000000}"/>
    <hyperlink ref="B14" location="DIMETHYLAMINE!A1" display="DIMETHYLAMINE" xr:uid="{00000000-0004-0000-0300-000002000000}"/>
    <hyperlink ref="B15" location="'Nonyl phenol'!A1" display="NONYL PHENOL" xr:uid="{00000000-0004-0000-0300-000003000000}"/>
    <hyperlink ref="B4" location="EDA!A1" display="EDA" xr:uid="{00000000-0004-0000-0300-000004000000}"/>
    <hyperlink ref="B6" location="TEPA!A1" display="TEPA" xr:uid="{00000000-0004-0000-0300-000005000000}"/>
    <hyperlink ref="B7" location="'CHROMIC ACID FLAKES'!A1" display="Chromic acid" xr:uid="{00000000-0004-0000-0300-000006000000}"/>
    <hyperlink ref="B8" location="'Copper II Nitrate trihydrate'!A1" display="CopperII" xr:uid="{00000000-0004-0000-0300-000007000000}"/>
    <hyperlink ref="B9" location="AEEA!A1" display="AEEA" xr:uid="{00000000-0004-0000-0300-000008000000}"/>
    <hyperlink ref="B10" location="MonoEthanolamine!A1" display="Mono ethanolamine" xr:uid="{00000000-0004-0000-0300-000009000000}"/>
    <hyperlink ref="B11" location="MTMS!A1" display="MTMS" xr:uid="{00000000-0004-0000-0300-00000A000000}"/>
    <hyperlink ref="B12" location="ISOPHORONENITRILE!A1" display="ISOPHORONENITRILE" xr:uid="{00000000-0004-0000-0300-00000B000000}"/>
    <hyperlink ref="B16" location="TEA!A1" display="TEA" xr:uid="{00000000-0004-0000-0300-00000C000000}"/>
    <hyperlink ref="B17" location="'Ethyl benzene'!A1" display="ETHYL BEZENE" xr:uid="{00000000-0004-0000-0300-00000D000000}"/>
    <hyperlink ref="B18" location="'Maleic Anhydride'!A1" display="MELEIC ANDHYDRIDE" xr:uid="{00000000-0004-0000-0300-00000E000000}"/>
    <hyperlink ref="B19" location="MDA!A1" display="MDA" xr:uid="{00000000-0004-0000-0300-00000F000000}"/>
    <hyperlink ref="B20" location="PNA!A1" display="PNA" xr:uid="{00000000-0004-0000-0300-000010000000}"/>
    <hyperlink ref="B21" location="PANA!A1" display="PANA" xr:uid="{00000000-0004-0000-0300-000011000000}"/>
    <hyperlink ref="B22" location="'Hexylene Glycol'!A1" display="Hexylene Glycol" xr:uid="{00000000-0004-0000-0300-000012000000}"/>
    <hyperlink ref="B23" location="'Diacetone alcohol '!A1" display="Diacetone alcohol" xr:uid="{00000000-0004-0000-0300-000013000000}"/>
    <hyperlink ref="B24" location="DBNPA!A1" display="DBNPA" xr:uid="{00000000-0004-0000-0300-000014000000}"/>
    <hyperlink ref="B25" location="DNBA!A1" display="DNBA" xr:uid="{00000000-0004-0000-0300-000015000000}"/>
    <hyperlink ref="B26" location="DTBP!A1" display="DTBP" xr:uid="{00000000-0004-0000-0300-000016000000}"/>
    <hyperlink ref="B27" location="Paraformaldehyde!A1" display="Paraformaldehyde" xr:uid="{00000000-0004-0000-0300-000017000000}"/>
    <hyperlink ref="B28" location="IPA!A1" display="IPA" xr:uid="{00000000-0004-0000-0300-000018000000}"/>
    <hyperlink ref="B29" location="'60000CST'!A1" display="60000 CST" xr:uid="{00000000-0004-0000-0300-000019000000}"/>
    <hyperlink ref="B30" location="CMIT!A1" display="CMIT" xr:uid="{00000000-0004-0000-0300-00001A000000}"/>
    <hyperlink ref="B31" location="'Ethyl Acetoacetate'!A1" display="Ethyl Acetoacetate" xr:uid="{00000000-0004-0000-0300-00001B000000}"/>
    <hyperlink ref="B32" location="TICL4!A1" display="Ticl4" xr:uid="{00000000-0004-0000-0300-00001C000000}"/>
    <hyperlink ref="B33" location="Benzaldehyde!A1" display="Benzaldehyde" xr:uid="{00000000-0004-0000-0300-00001D000000}"/>
    <hyperlink ref="B34" location="PIB!A1" display="PIB" xr:uid="{00000000-0004-0000-0300-00001E000000}"/>
    <hyperlink ref="B35" location="Dimethylethanolamine!A1" display="Dimethylethanolamine" xr:uid="{00000000-0004-0000-0300-00001F000000}"/>
    <hyperlink ref="B36" location="ISOPHORONE!A1" display="ISOPHORONE" xr:uid="{00000000-0004-0000-0300-000020000000}"/>
    <hyperlink ref="B5" location="'EDA (2)'!A1" display="EDC MEK-Route" xr:uid="{00000000-0004-0000-0300-000021000000}"/>
    <hyperlink ref="B37" location="'Phosphonic acid'!A1" display="Phosphonic Acid" xr:uid="{00000000-0004-0000-0300-000022000000}"/>
    <hyperlink ref="B38" location="'DETA EDA'!A1" display="DETA-EDA" xr:uid="{00000000-0004-0000-0300-000023000000}"/>
    <hyperlink ref="B40" location="'DIETHANOL AMINE'!A1" display="DIETHANOL AMINE" xr:uid="{00000000-0004-0000-0300-000024000000}"/>
    <hyperlink ref="B39" location="'DETA EDA'!A1" display="DETA-EDA" xr:uid="{00000000-0004-0000-0300-000025000000}"/>
    <hyperlink ref="B41" location="P2O5!A1" display="P205" xr:uid="{00000000-0004-0000-0300-000026000000}"/>
    <hyperlink ref="B42" location="Acetylacetone!A1" display="Acetylacetone" xr:uid="{00000000-0004-0000-0300-000027000000}"/>
    <hyperlink ref="B43" location="PVA!A1" display="PVA" xr:uid="{00000000-0004-0000-0300-000028000000}"/>
    <hyperlink ref="B44" location="'ZINC OXIDE  -  ACTIVE'!A1" display="ZINC OXIDE" xr:uid="{00000000-0004-0000-0300-000029000000}"/>
    <hyperlink ref="B45" location="'DDSA TPSA'!A1" display="DDSA" xr:uid="{00000000-0004-0000-0300-00002A000000}"/>
    <hyperlink ref="B46" location="'Copper Sulphate '!A1" display="Copper Sulphate" xr:uid="{00000000-0004-0000-0300-00002B000000}"/>
    <hyperlink ref="B47" location="'Dodiflow 57501'!A1" display="Dodiflow 57501" xr:uid="{00000000-0004-0000-0300-00002C000000}"/>
    <hyperlink ref="B66" location="PIB!A1" display="PIB" xr:uid="{00000000-0004-0000-0300-00002D000000}"/>
    <hyperlink ref="B67" location="'1-Decene'!A1" display="1-Decene" xr:uid="{00000000-0004-0000-0300-00002E000000}"/>
    <hyperlink ref="B50" location="SOFA!A1" display="SOFA" xr:uid="{00000000-0004-0000-0300-00002F000000}"/>
    <hyperlink ref="B78" location="'n-methylaniline'!A1" display="N-methyl Aniline - 99%" xr:uid="{00000000-0004-0000-0300-000030000000}"/>
    <hyperlink ref="B79" location="'N butanol'!A1" display="N butanol" xr:uid="{00000000-0004-0000-0300-000031000000}"/>
    <hyperlink ref="B80" location="'2EH'!A1" display="2EH " xr:uid="{00000000-0004-0000-0300-000032000000}"/>
    <hyperlink ref="B81" location="'Butyl cellosolve'!A1" display="Butyl cellosolve" xr:uid="{00000000-0004-0000-0300-000033000000}"/>
    <hyperlink ref="B83" location="'Phthalic Anhydride'!A1" display="Phthalic Anhydride" xr:uid="{00000000-0004-0000-0300-000034000000}"/>
    <hyperlink ref="B85" location="'Butyl Acetate'!A1" display="Butyl acetate" xr:uid="{00000000-0004-0000-0300-000035000000}"/>
    <hyperlink ref="B86" location="'4-Dodecylphenol'!A1" display="4-Dodecylphenol" xr:uid="{00000000-0004-0000-0300-000036000000}"/>
    <hyperlink ref="B87" location="'Methyl Carbitol'!A1" display="Methyl Carbitol" xr:uid="{00000000-0004-0000-0300-000037000000}"/>
    <hyperlink ref="B88" location="'2-Ethyl hexyl nitrate'!A1" display="2-Ethyl hexyl nitrate" xr:uid="{00000000-0004-0000-0300-000038000000}"/>
    <hyperlink ref="B89" location="'Butyl acrylate'!A1" display="Butyl acrylate" xr:uid="{00000000-0004-0000-0300-000039000000}"/>
    <hyperlink ref="B100" location="'3 Methoxy Propylamine'!A1" display="3 Methoxy Proplamine" xr:uid="{00000000-0004-0000-0300-00003A000000}"/>
    <hyperlink ref="B120" location="Morpholine!A1" display="Morpholine" xr:uid="{00000000-0004-0000-0300-00003B000000}"/>
    <hyperlink ref="B125" location="'ZINC OXIDE  -  WHITE R'!A1" display="ZINC OXIDE WHITE -R" xr:uid="{00000000-0004-0000-0300-00003C000000}"/>
    <hyperlink ref="B94" location="'tertiary butyl hydroquinone'!A1" display="tertiary butyl hydroquinone" xr:uid="{00000000-0004-0000-0300-00003D000000}"/>
    <hyperlink ref="B84" location="'Glyoxal 40'!A1" display="Glyoxal 40" xr:uid="{00000000-0004-0000-0300-00003E000000}"/>
  </hyperlinks>
  <pageMargins left="0.7" right="0.7" top="0.75" bottom="0.75" header="0.3" footer="0.3"/>
  <pageSetup orientation="portrait" r:id="rId1"/>
  <drawing r:id="rId2"/>
  <extLst>
    <ext xmlns:x14="http://schemas.microsoft.com/office/spreadsheetml/2009/9/main" uri="{05C60535-1F16-4fd2-B633-F4F36F0B64E0}">
      <x14:sparklineGroups xmlns:xm="http://schemas.microsoft.com/office/excel/2006/main">
        <x14:sparklineGroup manualMax="0" manualMin="0" type="stacked" displayEmptyCellsAs="gap" negative="1" xr2:uid="{00000000-0003-0000-0300-000001000000}">
          <x14:colorSeries rgb="FF00B050"/>
          <x14:colorNegative rgb="FFFF0000"/>
          <x14:colorAxis rgb="FF000000"/>
          <x14:colorMarkers rgb="FF0070C0"/>
          <x14:colorFirst rgb="FFFFC000"/>
          <x14:colorLast rgb="FFFFC000"/>
          <x14:colorHigh rgb="FF00B050"/>
          <x14:colorLow rgb="FFFF0000"/>
          <x14:sparklines>
            <x14:sparkline>
              <xm:f>'Clean sheet dashboard'!BS3:CD3</xm:f>
              <xm:sqref>CE3</xm:sqref>
            </x14:sparkline>
            <x14:sparkline>
              <xm:f>'Clean sheet dashboard'!BS4:CD4</xm:f>
              <xm:sqref>CE4</xm:sqref>
            </x14:sparkline>
            <x14:sparkline>
              <xm:f>'Clean sheet dashboard'!BS5:CD5</xm:f>
              <xm:sqref>CE5</xm:sqref>
            </x14:sparkline>
            <x14:sparkline>
              <xm:f>'Clean sheet dashboard'!BS6:CD6</xm:f>
              <xm:sqref>CE6</xm:sqref>
            </x14:sparkline>
            <x14:sparkline>
              <xm:f>'Clean sheet dashboard'!BS7:CD7</xm:f>
              <xm:sqref>CE7</xm:sqref>
            </x14:sparkline>
            <x14:sparkline>
              <xm:f>'Clean sheet dashboard'!BS8:CD8</xm:f>
              <xm:sqref>CE8</xm:sqref>
            </x14:sparkline>
            <x14:sparkline>
              <xm:f>'Clean sheet dashboard'!BS9:CD9</xm:f>
              <xm:sqref>CE9</xm:sqref>
            </x14:sparkline>
            <x14:sparkline>
              <xm:f>'Clean sheet dashboard'!BS10:CD10</xm:f>
              <xm:sqref>CE10</xm:sqref>
            </x14:sparkline>
            <x14:sparkline>
              <xm:f>'Clean sheet dashboard'!BS11:CD11</xm:f>
              <xm:sqref>CE11</xm:sqref>
            </x14:sparkline>
            <x14:sparkline>
              <xm:f>'Clean sheet dashboard'!BS12:CD12</xm:f>
              <xm:sqref>CE12</xm:sqref>
            </x14:sparkline>
            <x14:sparkline>
              <xm:f>'Clean sheet dashboard'!BS13:CD13</xm:f>
              <xm:sqref>CE13</xm:sqref>
            </x14:sparkline>
            <x14:sparkline>
              <xm:f>'Clean sheet dashboard'!BS14:CD14</xm:f>
              <xm:sqref>CE14</xm:sqref>
            </x14:sparkline>
            <x14:sparkline>
              <xm:f>'Clean sheet dashboard'!BS15:CD15</xm:f>
              <xm:sqref>CE15</xm:sqref>
            </x14:sparkline>
            <x14:sparkline>
              <xm:f>'Clean sheet dashboard'!BS16:CD16</xm:f>
              <xm:sqref>CE16</xm:sqref>
            </x14:sparkline>
            <x14:sparkline>
              <xm:f>'Clean sheet dashboard'!BS17:CD17</xm:f>
              <xm:sqref>CE17</xm:sqref>
            </x14:sparkline>
            <x14:sparkline>
              <xm:f>'Clean sheet dashboard'!BS18:CD18</xm:f>
              <xm:sqref>CE18</xm:sqref>
            </x14:sparkline>
            <x14:sparkline>
              <xm:f>'Clean sheet dashboard'!BS19:CD19</xm:f>
              <xm:sqref>CE19</xm:sqref>
            </x14:sparkline>
            <x14:sparkline>
              <xm:f>'Clean sheet dashboard'!BS20:CD20</xm:f>
              <xm:sqref>CE20</xm:sqref>
            </x14:sparkline>
            <x14:sparkline>
              <xm:f>'Clean sheet dashboard'!BS21:CD21</xm:f>
              <xm:sqref>CE21</xm:sqref>
            </x14:sparkline>
            <x14:sparkline>
              <xm:f>'Clean sheet dashboard'!BS22:CD22</xm:f>
              <xm:sqref>CE22</xm:sqref>
            </x14:sparkline>
            <x14:sparkline>
              <xm:f>'Clean sheet dashboard'!BS23:CD23</xm:f>
              <xm:sqref>CE23</xm:sqref>
            </x14:sparkline>
            <x14:sparkline>
              <xm:f>'Clean sheet dashboard'!BS24:CD24</xm:f>
              <xm:sqref>CE24</xm:sqref>
            </x14:sparkline>
            <x14:sparkline>
              <xm:f>'Clean sheet dashboard'!BS25:CD25</xm:f>
              <xm:sqref>CE25</xm:sqref>
            </x14:sparkline>
            <x14:sparkline>
              <xm:f>'Clean sheet dashboard'!BS26:CD26</xm:f>
              <xm:sqref>CE26</xm:sqref>
            </x14:sparkline>
            <x14:sparkline>
              <xm:f>'Clean sheet dashboard'!BS27:CD27</xm:f>
              <xm:sqref>CE27</xm:sqref>
            </x14:sparkline>
            <x14:sparkline>
              <xm:f>'Clean sheet dashboard'!BS28:CD28</xm:f>
              <xm:sqref>CE28</xm:sqref>
            </x14:sparkline>
            <x14:sparkline>
              <xm:f>'Clean sheet dashboard'!BS29:CD29</xm:f>
              <xm:sqref>CE29</xm:sqref>
            </x14:sparkline>
            <x14:sparkline>
              <xm:f>'Clean sheet dashboard'!BS30:CD30</xm:f>
              <xm:sqref>CE30</xm:sqref>
            </x14:sparkline>
            <x14:sparkline>
              <xm:f>'Clean sheet dashboard'!BS31:CD31</xm:f>
              <xm:sqref>CE31</xm:sqref>
            </x14:sparkline>
            <x14:sparkline>
              <xm:f>'Clean sheet dashboard'!BS32:CD32</xm:f>
              <xm:sqref>CE32</xm:sqref>
            </x14:sparkline>
            <x14:sparkline>
              <xm:f>'Clean sheet dashboard'!BS33:CD33</xm:f>
              <xm:sqref>CE33</xm:sqref>
            </x14:sparkline>
            <x14:sparkline>
              <xm:f>'Clean sheet dashboard'!BS34:CD34</xm:f>
              <xm:sqref>CE34</xm:sqref>
            </x14:sparkline>
            <x14:sparkline>
              <xm:f>'Clean sheet dashboard'!BS35:CD35</xm:f>
              <xm:sqref>CE35</xm:sqref>
            </x14:sparkline>
            <x14:sparkline>
              <xm:f>'Clean sheet dashboard'!BS36:CD36</xm:f>
              <xm:sqref>CE36</xm:sqref>
            </x14:sparkline>
            <x14:sparkline>
              <xm:f>'Clean sheet dashboard'!BS37:CD37</xm:f>
              <xm:sqref>CE37</xm:sqref>
            </x14:sparkline>
            <x14:sparkline>
              <xm:f>'Clean sheet dashboard'!BS38:CD38</xm:f>
              <xm:sqref>CE38</xm:sqref>
            </x14:sparkline>
            <x14:sparkline>
              <xm:f>'Clean sheet dashboard'!BS39:CD39</xm:f>
              <xm:sqref>CE39</xm:sqref>
            </x14:sparkline>
            <x14:sparkline>
              <xm:f>'Clean sheet dashboard'!BS40:CD40</xm:f>
              <xm:sqref>CE40</xm:sqref>
            </x14:sparkline>
            <x14:sparkline>
              <xm:f>'Clean sheet dashboard'!BS41:CD41</xm:f>
              <xm:sqref>CE41</xm:sqref>
            </x14:sparkline>
            <x14:sparkline>
              <xm:f>'Clean sheet dashboard'!BS42:CD42</xm:f>
              <xm:sqref>CE42</xm:sqref>
            </x14:sparkline>
            <x14:sparkline>
              <xm:f>'Clean sheet dashboard'!BS43:CD43</xm:f>
              <xm:sqref>CE43</xm:sqref>
            </x14:sparkline>
            <x14:sparkline>
              <xm:f>'Clean sheet dashboard'!BS44:CD44</xm:f>
              <xm:sqref>CE44</xm:sqref>
            </x14:sparkline>
            <x14:sparkline>
              <xm:f>'Clean sheet dashboard'!BS45:CD45</xm:f>
              <xm:sqref>CE45</xm:sqref>
            </x14:sparkline>
            <x14:sparkline>
              <xm:f>'Clean sheet dashboard'!BS46:CD46</xm:f>
              <xm:sqref>CE46</xm:sqref>
            </x14:sparkline>
            <x14:sparkline>
              <xm:f>'Clean sheet dashboard'!BS47:CD47</xm:f>
              <xm:sqref>CE47</xm:sqref>
            </x14:sparkline>
            <x14:sparkline>
              <xm:f>'Clean sheet dashboard'!BS48:CD48</xm:f>
              <xm:sqref>CE48</xm:sqref>
            </x14:sparkline>
            <x14:sparkline>
              <xm:f>'Clean sheet dashboard'!BS49:CD49</xm:f>
              <xm:sqref>CE49</xm:sqref>
            </x14:sparkline>
            <x14:sparkline>
              <xm:f>'Clean sheet dashboard'!BS50:CD50</xm:f>
              <xm:sqref>CE50</xm:sqref>
            </x14:sparkline>
            <x14:sparkline>
              <xm:f>'Clean sheet dashboard'!BS51:CD51</xm:f>
              <xm:sqref>CE51</xm:sqref>
            </x14:sparkline>
            <x14:sparkline>
              <xm:f>'Clean sheet dashboard'!BS52:CD52</xm:f>
              <xm:sqref>CE52</xm:sqref>
            </x14:sparkline>
            <x14:sparkline>
              <xm:f>'Clean sheet dashboard'!BS53:CD53</xm:f>
              <xm:sqref>CE53</xm:sqref>
            </x14:sparkline>
            <x14:sparkline>
              <xm:f>'Clean sheet dashboard'!BS54:CD54</xm:f>
              <xm:sqref>CE54</xm:sqref>
            </x14:sparkline>
            <x14:sparkline>
              <xm:f>'Clean sheet dashboard'!BS55:CD55</xm:f>
              <xm:sqref>CE55</xm:sqref>
            </x14:sparkline>
            <x14:sparkline>
              <xm:f>'Clean sheet dashboard'!BS56:CD56</xm:f>
              <xm:sqref>CE56</xm:sqref>
            </x14:sparkline>
            <x14:sparkline>
              <xm:f>'Clean sheet dashboard'!BS57:CD57</xm:f>
              <xm:sqref>CE57</xm:sqref>
            </x14:sparkline>
            <x14:sparkline>
              <xm:f>'Clean sheet dashboard'!BS58:CD58</xm:f>
              <xm:sqref>CE58</xm:sqref>
            </x14:sparkline>
            <x14:sparkline>
              <xm:f>'Clean sheet dashboard'!BS59:CD59</xm:f>
              <xm:sqref>CE59</xm:sqref>
            </x14:sparkline>
            <x14:sparkline>
              <xm:f>'Clean sheet dashboard'!BS60:CD60</xm:f>
              <xm:sqref>CE60</xm:sqref>
            </x14:sparkline>
            <x14:sparkline>
              <xm:f>'Clean sheet dashboard'!BS61:CD61</xm:f>
              <xm:sqref>CE61</xm:sqref>
            </x14:sparkline>
            <x14:sparkline>
              <xm:f>'Clean sheet dashboard'!BS62:CD62</xm:f>
              <xm:sqref>CE62</xm:sqref>
            </x14:sparkline>
            <x14:sparkline>
              <xm:f>'Clean sheet dashboard'!BS63:CD63</xm:f>
              <xm:sqref>CE63</xm:sqref>
            </x14:sparkline>
            <x14:sparkline>
              <xm:f>'Clean sheet dashboard'!BS64:CD64</xm:f>
              <xm:sqref>CE64</xm:sqref>
            </x14:sparkline>
            <x14:sparkline>
              <xm:f>'Clean sheet dashboard'!BS65:CD65</xm:f>
              <xm:sqref>CE65</xm:sqref>
            </x14:sparkline>
            <x14:sparkline>
              <xm:f>'Clean sheet dashboard'!BS66:CD66</xm:f>
              <xm:sqref>CE66</xm:sqref>
            </x14:sparkline>
            <x14:sparkline>
              <xm:f>'Clean sheet dashboard'!BS67:CD67</xm:f>
              <xm:sqref>CE67</xm:sqref>
            </x14:sparkline>
            <x14:sparkline>
              <xm:f>'Clean sheet dashboard'!BS68:CD68</xm:f>
              <xm:sqref>CE68</xm:sqref>
            </x14:sparkline>
            <x14:sparkline>
              <xm:f>'Clean sheet dashboard'!BS69:CD69</xm:f>
              <xm:sqref>CE69</xm:sqref>
            </x14:sparkline>
            <x14:sparkline>
              <xm:f>'Clean sheet dashboard'!BS70:CD70</xm:f>
              <xm:sqref>CE70</xm:sqref>
            </x14:sparkline>
            <x14:sparkline>
              <xm:f>'Clean sheet dashboard'!BS71:CD71</xm:f>
              <xm:sqref>CE71</xm:sqref>
            </x14:sparkline>
            <x14:sparkline>
              <xm:f>'Clean sheet dashboard'!BS72:CD72</xm:f>
              <xm:sqref>CE72</xm:sqref>
            </x14:sparkline>
            <x14:sparkline>
              <xm:f>'Clean sheet dashboard'!BS73:CD73</xm:f>
              <xm:sqref>CE73</xm:sqref>
            </x14:sparkline>
            <x14:sparkline>
              <xm:f>'Clean sheet dashboard'!BS74:CD74</xm:f>
              <xm:sqref>CE74</xm:sqref>
            </x14:sparkline>
            <x14:sparkline>
              <xm:f>'Clean sheet dashboard'!BS75:CD75</xm:f>
              <xm:sqref>CE75</xm:sqref>
            </x14:sparkline>
            <x14:sparkline>
              <xm:f>'Clean sheet dashboard'!BS76:CD76</xm:f>
              <xm:sqref>CE76</xm:sqref>
            </x14:sparkline>
            <x14:sparkline>
              <xm:f>'Clean sheet dashboard'!BS77:CD77</xm:f>
              <xm:sqref>CE77</xm:sqref>
            </x14:sparkline>
            <x14:sparkline>
              <xm:f>'Clean sheet dashboard'!BS78:CD78</xm:f>
              <xm:sqref>CE78</xm:sqref>
            </x14:sparkline>
            <x14:sparkline>
              <xm:f>'Clean sheet dashboard'!BS79:CD79</xm:f>
              <xm:sqref>CE79</xm:sqref>
            </x14:sparkline>
            <x14:sparkline>
              <xm:f>'Clean sheet dashboard'!BS80:CD80</xm:f>
              <xm:sqref>CE80</xm:sqref>
            </x14:sparkline>
            <x14:sparkline>
              <xm:f>'Clean sheet dashboard'!BS81:CD81</xm:f>
              <xm:sqref>CE81</xm:sqref>
            </x14:sparkline>
            <x14:sparkline>
              <xm:f>'Clean sheet dashboard'!BS82:CD82</xm:f>
              <xm:sqref>CE82</xm:sqref>
            </x14:sparkline>
            <x14:sparkline>
              <xm:f>'Clean sheet dashboard'!BS83:CD83</xm:f>
              <xm:sqref>CE83</xm:sqref>
            </x14:sparkline>
            <x14:sparkline>
              <xm:f>'Clean sheet dashboard'!BS84:CD84</xm:f>
              <xm:sqref>CE84</xm:sqref>
            </x14:sparkline>
            <x14:sparkline>
              <xm:f>'Clean sheet dashboard'!BS85:CD85</xm:f>
              <xm:sqref>CE85</xm:sqref>
            </x14:sparkline>
            <x14:sparkline>
              <xm:f>'Clean sheet dashboard'!BS86:CD86</xm:f>
              <xm:sqref>CE86</xm:sqref>
            </x14:sparkline>
            <x14:sparkline>
              <xm:f>'Clean sheet dashboard'!BS87:CD87</xm:f>
              <xm:sqref>CE87</xm:sqref>
            </x14:sparkline>
            <x14:sparkline>
              <xm:f>'Clean sheet dashboard'!BS88:CD88</xm:f>
              <xm:sqref>CE88</xm:sqref>
            </x14:sparkline>
            <x14:sparkline>
              <xm:f>'Clean sheet dashboard'!BS89:CD89</xm:f>
              <xm:sqref>CE89</xm:sqref>
            </x14:sparkline>
            <x14:sparkline>
              <xm:f>'Clean sheet dashboard'!BS90:CD90</xm:f>
              <xm:sqref>CE90</xm:sqref>
            </x14:sparkline>
            <x14:sparkline>
              <xm:f>'Clean sheet dashboard'!BS91:CD91</xm:f>
              <xm:sqref>CE91</xm:sqref>
            </x14:sparkline>
            <x14:sparkline>
              <xm:f>'Clean sheet dashboard'!BS92:CD92</xm:f>
              <xm:sqref>CE92</xm:sqref>
            </x14:sparkline>
            <x14:sparkline>
              <xm:f>'Clean sheet dashboard'!BS93:CD93</xm:f>
              <xm:sqref>CE93</xm:sqref>
            </x14:sparkline>
            <x14:sparkline>
              <xm:f>'Clean sheet dashboard'!BS94:CD94</xm:f>
              <xm:sqref>CE94</xm:sqref>
            </x14:sparkline>
            <x14:sparkline>
              <xm:f>'Clean sheet dashboard'!BS95:CD95</xm:f>
              <xm:sqref>CE95</xm:sqref>
            </x14:sparkline>
            <x14:sparkline>
              <xm:f>'Clean sheet dashboard'!BS96:CD96</xm:f>
              <xm:sqref>CE96</xm:sqref>
            </x14:sparkline>
            <x14:sparkline>
              <xm:f>'Clean sheet dashboard'!BS97:CD97</xm:f>
              <xm:sqref>CE97</xm:sqref>
            </x14:sparkline>
            <x14:sparkline>
              <xm:f>'Clean sheet dashboard'!BS98:CD98</xm:f>
              <xm:sqref>CE98</xm:sqref>
            </x14:sparkline>
            <x14:sparkline>
              <xm:f>'Clean sheet dashboard'!BS99:CD99</xm:f>
              <xm:sqref>CE99</xm:sqref>
            </x14:sparkline>
            <x14:sparkline>
              <xm:f>'Clean sheet dashboard'!BS100:CD100</xm:f>
              <xm:sqref>CE100</xm:sqref>
            </x14:sparkline>
            <x14:sparkline>
              <xm:f>'Clean sheet dashboard'!BS101:CD101</xm:f>
              <xm:sqref>CE101</xm:sqref>
            </x14:sparkline>
            <x14:sparkline>
              <xm:f>'Clean sheet dashboard'!BS102:CD102</xm:f>
              <xm:sqref>CE102</xm:sqref>
            </x14:sparkline>
            <x14:sparkline>
              <xm:f>'Clean sheet dashboard'!BS103:CD103</xm:f>
              <xm:sqref>CE103</xm:sqref>
            </x14:sparkline>
            <x14:sparkline>
              <xm:f>'Clean sheet dashboard'!BS104:CD104</xm:f>
              <xm:sqref>CE104</xm:sqref>
            </x14:sparkline>
            <x14:sparkline>
              <xm:f>'Clean sheet dashboard'!BS105:CD105</xm:f>
              <xm:sqref>CE105</xm:sqref>
            </x14:sparkline>
            <x14:sparkline>
              <xm:f>'Clean sheet dashboard'!BS106:CD106</xm:f>
              <xm:sqref>CE106</xm:sqref>
            </x14:sparkline>
            <x14:sparkline>
              <xm:f>'Clean sheet dashboard'!BS107:CD107</xm:f>
              <xm:sqref>CE107</xm:sqref>
            </x14:sparkline>
            <x14:sparkline>
              <xm:f>'Clean sheet dashboard'!BS108:CD108</xm:f>
              <xm:sqref>CE108</xm:sqref>
            </x14:sparkline>
            <x14:sparkline>
              <xm:f>'Clean sheet dashboard'!BS109:CD109</xm:f>
              <xm:sqref>CE109</xm:sqref>
            </x14:sparkline>
            <x14:sparkline>
              <xm:f>'Clean sheet dashboard'!BS110:CD110</xm:f>
              <xm:sqref>CE110</xm:sqref>
            </x14:sparkline>
            <x14:sparkline>
              <xm:f>'Clean sheet dashboard'!BS111:CD111</xm:f>
              <xm:sqref>CE111</xm:sqref>
            </x14:sparkline>
            <x14:sparkline>
              <xm:f>'Clean sheet dashboard'!BS112:CD112</xm:f>
              <xm:sqref>CE112</xm:sqref>
            </x14:sparkline>
            <x14:sparkline>
              <xm:f>'Clean sheet dashboard'!BS113:CD113</xm:f>
              <xm:sqref>CE113</xm:sqref>
            </x14:sparkline>
            <x14:sparkline>
              <xm:f>'Clean sheet dashboard'!BS114:CD114</xm:f>
              <xm:sqref>CE114</xm:sqref>
            </x14:sparkline>
            <x14:sparkline>
              <xm:f>'Clean sheet dashboard'!BS115:CD115</xm:f>
              <xm:sqref>CE115</xm:sqref>
            </x14:sparkline>
            <x14:sparkline>
              <xm:f>'Clean sheet dashboard'!BS116:CD116</xm:f>
              <xm:sqref>CE116</xm:sqref>
            </x14:sparkline>
            <x14:sparkline>
              <xm:f>'Clean sheet dashboard'!BS117:CD117</xm:f>
              <xm:sqref>CE117</xm:sqref>
            </x14:sparkline>
            <x14:sparkline>
              <xm:f>'Clean sheet dashboard'!BS118:CD118</xm:f>
              <xm:sqref>CE118</xm:sqref>
            </x14:sparkline>
            <x14:sparkline>
              <xm:f>'Clean sheet dashboard'!BS119:CD119</xm:f>
              <xm:sqref>CE119</xm:sqref>
            </x14:sparkline>
            <x14:sparkline>
              <xm:f>'Clean sheet dashboard'!BS120:CD120</xm:f>
              <xm:sqref>CE120</xm:sqref>
            </x14:sparkline>
            <x14:sparkline>
              <xm:f>'Clean sheet dashboard'!BS121:CD121</xm:f>
              <xm:sqref>CE121</xm:sqref>
            </x14:sparkline>
            <x14:sparkline>
              <xm:f>'Clean sheet dashboard'!BS122:CD122</xm:f>
              <xm:sqref>CE122</xm:sqref>
            </x14:sparkline>
            <x14:sparkline>
              <xm:f>'Clean sheet dashboard'!BS123:CD123</xm:f>
              <xm:sqref>CE123</xm:sqref>
            </x14:sparkline>
            <x14:sparkline>
              <xm:f>'Clean sheet dashboard'!BS124:CD124</xm:f>
              <xm:sqref>CE124</xm:sqref>
            </x14:sparkline>
            <x14:sparkline>
              <xm:f>'Clean sheet dashboard'!BS125:CD125</xm:f>
              <xm:sqref>CE125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XFD157"/>
  <sheetViews>
    <sheetView zoomScaleNormal="100" workbookViewId="0">
      <pane xSplit="4" ySplit="8" topLeftCell="M146" activePane="bottomRight" state="frozen"/>
      <selection pane="topRight" activeCell="E1" sqref="E1"/>
      <selection pane="bottomLeft" activeCell="A8" sqref="A8"/>
      <selection pane="bottomRight" activeCell="D157" sqref="D157"/>
    </sheetView>
  </sheetViews>
  <sheetFormatPr baseColWidth="10" defaultColWidth="8.6640625" defaultRowHeight="11"/>
  <cols>
    <col min="1" max="1" width="20.5" style="44" bestFit="1" customWidth="1"/>
    <col min="2" max="2" width="25.1640625" style="44" customWidth="1"/>
    <col min="3" max="3" width="17.5" style="44" bestFit="1" customWidth="1"/>
    <col min="4" max="4" width="4.83203125" style="44" customWidth="1"/>
    <col min="5" max="5" width="7" style="44" bestFit="1" customWidth="1"/>
    <col min="6" max="29" width="7" style="44" customWidth="1"/>
    <col min="30" max="40" width="9.5" style="44" bestFit="1" customWidth="1"/>
    <col min="41" max="41" width="7.83203125" style="44" bestFit="1" customWidth="1"/>
    <col min="42" max="52" width="8.83203125" style="44" bestFit="1" customWidth="1"/>
    <col min="53" max="53" width="8.5" style="44" bestFit="1" customWidth="1"/>
    <col min="54" max="59" width="8.83203125" style="44" bestFit="1" customWidth="1"/>
    <col min="60" max="60" width="8.83203125" style="174" bestFit="1" customWidth="1"/>
    <col min="61" max="66" width="8.83203125" style="44" bestFit="1" customWidth="1"/>
    <col min="67" max="67" width="10.83203125" style="44" bestFit="1" customWidth="1"/>
    <col min="68" max="69" width="9.5" style="44" bestFit="1" customWidth="1"/>
    <col min="70" max="70" width="9.5" style="174" bestFit="1" customWidth="1"/>
    <col min="71" max="71" width="9.5" style="44" bestFit="1" customWidth="1"/>
    <col min="72" max="75" width="9.1640625" style="44" bestFit="1" customWidth="1"/>
    <col min="76" max="77" width="9.5" style="44" bestFit="1" customWidth="1"/>
    <col min="78" max="79" width="9.33203125" style="44" bestFit="1" customWidth="1"/>
    <col min="80" max="86" width="8.83203125" style="44" bestFit="1" customWidth="1"/>
    <col min="87" max="88" width="8.83203125" style="174" bestFit="1" customWidth="1"/>
    <col min="89" max="89" width="9.83203125" style="174" bestFit="1" customWidth="1"/>
    <col min="90" max="97" width="8.83203125" style="44" bestFit="1" customWidth="1"/>
    <col min="98" max="98" width="8.83203125" style="174" bestFit="1" customWidth="1"/>
    <col min="99" max="99" width="8.83203125" style="44" bestFit="1" customWidth="1"/>
    <col min="100" max="102" width="8.83203125" style="174" bestFit="1" customWidth="1"/>
    <col min="103" max="103" width="8.5" style="44" bestFit="1" customWidth="1"/>
    <col min="104" max="104" width="9.83203125" style="174" bestFit="1" customWidth="1"/>
    <col min="105" max="105" width="8.83203125" style="174" bestFit="1" customWidth="1"/>
    <col min="106" max="108" width="8.83203125" style="214" bestFit="1" customWidth="1"/>
    <col min="109" max="110" width="9" style="214" bestFit="1" customWidth="1"/>
    <col min="111" max="112" width="8.83203125" style="214" bestFit="1" customWidth="1"/>
    <col min="113" max="120" width="8.83203125" style="174" bestFit="1" customWidth="1"/>
    <col min="121" max="122" width="8.83203125" style="44" bestFit="1" customWidth="1"/>
    <col min="123" max="16384" width="8.6640625" style="44"/>
  </cols>
  <sheetData>
    <row r="1" spans="1:124" ht="16.5" customHeight="1">
      <c r="A1" s="233" t="s">
        <v>0</v>
      </c>
      <c r="B1" s="234" t="s">
        <v>1</v>
      </c>
      <c r="C1" s="235" t="s">
        <v>2</v>
      </c>
      <c r="F1" s="184">
        <v>71.288635483870962</v>
      </c>
      <c r="G1" s="184">
        <v>71.551458620689672</v>
      </c>
      <c r="H1" s="184">
        <v>74.453006451612936</v>
      </c>
      <c r="I1" s="184">
        <v>76.251620000000003</v>
      </c>
      <c r="J1" s="184">
        <v>75.626248387096766</v>
      </c>
      <c r="K1" s="184">
        <v>75.745880000000014</v>
      </c>
      <c r="L1" s="184">
        <v>74.924238709677397</v>
      </c>
      <c r="M1" s="184">
        <v>74.586893548387096</v>
      </c>
      <c r="N1" s="184">
        <v>73.533860000000018</v>
      </c>
      <c r="O1" s="184">
        <v>73.517161290322591</v>
      </c>
      <c r="P1" s="184">
        <v>74.232196666666638</v>
      </c>
      <c r="Q1" s="184">
        <v>73.731764285714277</v>
      </c>
      <c r="R1" s="184">
        <v>73.13</v>
      </c>
      <c r="S1" s="184">
        <v>72.8</v>
      </c>
      <c r="T1" s="184">
        <v>72.8</v>
      </c>
      <c r="U1" s="184">
        <v>74.45</v>
      </c>
      <c r="V1" s="184">
        <v>73.25</v>
      </c>
      <c r="W1" s="184">
        <v>73.540000000000006</v>
      </c>
      <c r="X1" s="184">
        <v>74.53</v>
      </c>
      <c r="Y1" s="184">
        <v>74.16</v>
      </c>
      <c r="Z1" s="184">
        <v>73.55</v>
      </c>
      <c r="AA1" s="184">
        <v>74.91</v>
      </c>
      <c r="AB1" s="184">
        <v>74.47</v>
      </c>
      <c r="AC1" s="184">
        <v>75.42</v>
      </c>
      <c r="AD1" s="184">
        <v>74.45</v>
      </c>
      <c r="AE1" s="184">
        <v>74.959999999999994</v>
      </c>
      <c r="AF1" s="184">
        <v>76.209999999999994</v>
      </c>
      <c r="AG1" s="184">
        <v>76.410525000000007</v>
      </c>
      <c r="AH1" s="184">
        <v>77.31927499999999</v>
      </c>
      <c r="AI1" s="184">
        <v>78.074577272727254</v>
      </c>
      <c r="AJ1" s="184">
        <v>79.60155238095237</v>
      </c>
      <c r="AK1" s="184">
        <v>79.546933333333328</v>
      </c>
      <c r="AL1" s="184">
        <v>80.231554545454557</v>
      </c>
      <c r="AM1" s="184">
        <v>82.340116666666688</v>
      </c>
      <c r="AN1" s="184">
        <v>81.810519047619053</v>
      </c>
      <c r="AO1" s="184">
        <v>82.464213636363624</v>
      </c>
      <c r="AP1" s="184">
        <v>81.899590476190468</v>
      </c>
      <c r="AQ1" s="184">
        <v>82.121650000000002</v>
      </c>
      <c r="AR1" s="184">
        <v>82.121650000000002</v>
      </c>
      <c r="AS1" s="184">
        <v>82.121650000000002</v>
      </c>
      <c r="AT1" s="184">
        <v>82.121650000000002</v>
      </c>
      <c r="AU1" s="213">
        <v>82.5</v>
      </c>
      <c r="AV1" s="213">
        <v>82.44</v>
      </c>
      <c r="AW1" s="213">
        <v>82.18</v>
      </c>
      <c r="AX1" s="213">
        <v>81.92</v>
      </c>
      <c r="AY1" s="213">
        <v>82.26</v>
      </c>
      <c r="AZ1" s="213">
        <v>82.83</v>
      </c>
      <c r="BA1" s="213">
        <v>83.25</v>
      </c>
      <c r="BB1" s="213">
        <v>83.25</v>
      </c>
      <c r="BC1" s="213">
        <v>82.65</v>
      </c>
      <c r="BD1" s="213">
        <v>83.05</v>
      </c>
      <c r="BE1" s="213">
        <v>82.94</v>
      </c>
      <c r="BF1" s="213">
        <v>82.93</v>
      </c>
      <c r="BG1" s="213">
        <v>83.26</v>
      </c>
      <c r="BH1" s="270">
        <v>83.22</v>
      </c>
      <c r="BI1" s="213">
        <v>83.25</v>
      </c>
      <c r="BJ1" s="213">
        <v>83.12</v>
      </c>
      <c r="BK1" s="213">
        <v>83.26</v>
      </c>
      <c r="BL1" s="213">
        <v>83.22</v>
      </c>
      <c r="BM1" s="213">
        <v>83.19</v>
      </c>
      <c r="BN1" s="213">
        <v>83.19</v>
      </c>
      <c r="BO1" s="213">
        <v>83.33</v>
      </c>
      <c r="BP1" s="213">
        <v>83.4</v>
      </c>
      <c r="BQ1" s="213">
        <v>83.36</v>
      </c>
      <c r="BR1" s="270">
        <v>83.24</v>
      </c>
      <c r="BS1" s="213">
        <v>83.32</v>
      </c>
      <c r="BT1" s="44">
        <v>83.14</v>
      </c>
      <c r="BU1" s="44">
        <v>83.15</v>
      </c>
      <c r="BV1" s="44">
        <v>83.25</v>
      </c>
      <c r="BW1" s="44">
        <v>83.06</v>
      </c>
      <c r="BX1" s="44">
        <v>83</v>
      </c>
      <c r="BY1" s="44">
        <v>83.01</v>
      </c>
      <c r="BZ1" s="44">
        <v>82.9</v>
      </c>
      <c r="CA1" s="44">
        <v>82.9</v>
      </c>
      <c r="CB1" s="44">
        <v>82.7</v>
      </c>
      <c r="CC1" s="44">
        <v>82.76</v>
      </c>
      <c r="CD1" s="44">
        <v>83.26</v>
      </c>
      <c r="CE1" s="44">
        <v>83.39</v>
      </c>
      <c r="CF1" s="44">
        <v>83.21</v>
      </c>
      <c r="CG1" s="44">
        <v>83.4</v>
      </c>
      <c r="CH1" s="44">
        <v>83.61</v>
      </c>
      <c r="CI1" s="174">
        <v>83.42</v>
      </c>
      <c r="CJ1" s="174">
        <v>83.5</v>
      </c>
      <c r="CK1" s="174">
        <v>83.35</v>
      </c>
      <c r="CL1" s="174">
        <v>83.35</v>
      </c>
      <c r="CM1" s="174">
        <v>83.35</v>
      </c>
      <c r="CN1" s="174">
        <v>83.35</v>
      </c>
      <c r="CO1" s="44">
        <v>83.89</v>
      </c>
      <c r="CP1" s="44">
        <v>83.4</v>
      </c>
      <c r="CQ1" s="44">
        <v>83.5</v>
      </c>
      <c r="CR1" s="44">
        <v>83.45</v>
      </c>
      <c r="CS1" s="44">
        <v>83.47</v>
      </c>
      <c r="CT1" s="174">
        <v>83.55</v>
      </c>
      <c r="CU1" s="44">
        <v>83.7</v>
      </c>
      <c r="CV1" s="174">
        <v>83.73</v>
      </c>
      <c r="CW1" s="174">
        <v>83.95</v>
      </c>
      <c r="CX1" s="174">
        <v>83.96</v>
      </c>
      <c r="CY1" s="44">
        <v>83.9</v>
      </c>
      <c r="CZ1" s="174">
        <v>83.89</v>
      </c>
      <c r="DA1" s="174">
        <v>83.96</v>
      </c>
      <c r="DB1" s="214">
        <v>83.96</v>
      </c>
      <c r="DC1" s="214">
        <v>83.58</v>
      </c>
      <c r="DD1" s="214">
        <v>83.66</v>
      </c>
      <c r="DE1" s="214">
        <v>83.97</v>
      </c>
      <c r="DF1" s="214">
        <v>84.07</v>
      </c>
      <c r="DG1" s="214">
        <v>84.07</v>
      </c>
      <c r="DH1" s="214">
        <v>84.08</v>
      </c>
      <c r="DI1" s="174">
        <v>84.12</v>
      </c>
      <c r="DJ1" s="174">
        <v>84.4</v>
      </c>
      <c r="DK1" s="174">
        <v>84.27</v>
      </c>
      <c r="DL1" s="174">
        <v>84.63</v>
      </c>
      <c r="DM1" s="174">
        <v>84.69</v>
      </c>
      <c r="DN1" s="174">
        <v>84.83</v>
      </c>
      <c r="DO1" s="174">
        <v>84.92</v>
      </c>
      <c r="DP1" s="174">
        <v>85.18</v>
      </c>
    </row>
    <row r="2" spans="1:124" ht="17.25" customHeight="1">
      <c r="A2" s="236" t="s">
        <v>0</v>
      </c>
      <c r="B2" s="237" t="s">
        <v>3</v>
      </c>
      <c r="AD2" s="238">
        <v>11.5</v>
      </c>
      <c r="AE2" s="238">
        <v>11.5</v>
      </c>
      <c r="AF2" s="238">
        <v>11.5</v>
      </c>
      <c r="AG2" s="238">
        <v>11.5</v>
      </c>
      <c r="AH2" s="238">
        <v>11.5</v>
      </c>
      <c r="AI2" s="175">
        <v>11.660071428571428</v>
      </c>
      <c r="AJ2" s="175">
        <v>11.807161290322579</v>
      </c>
      <c r="AK2" s="175">
        <v>11.692709677419355</v>
      </c>
      <c r="AL2" s="175">
        <v>11.438966666666666</v>
      </c>
      <c r="AM2" s="175">
        <v>11.442064516129033</v>
      </c>
      <c r="AN2" s="175">
        <v>11.363931034482757</v>
      </c>
    </row>
    <row r="3" spans="1:124" ht="17.25" customHeight="1">
      <c r="A3" s="236"/>
      <c r="B3" s="237" t="s">
        <v>4</v>
      </c>
      <c r="F3" s="240">
        <v>6.9367000000000001</v>
      </c>
      <c r="G3" s="239">
        <v>6.9919000000000002</v>
      </c>
      <c r="H3" s="239">
        <v>7.0824999999999996</v>
      </c>
      <c r="I3" s="240">
        <v>7.0621999999999998</v>
      </c>
      <c r="J3" s="239">
        <v>7.1372</v>
      </c>
      <c r="K3" s="240">
        <v>7.0655000000000001</v>
      </c>
      <c r="L3" s="240">
        <v>6.9752000000000001</v>
      </c>
      <c r="M3" s="240">
        <v>6.8483999999999998</v>
      </c>
      <c r="N3" s="240">
        <v>6.7907999999999999</v>
      </c>
      <c r="O3" s="240">
        <v>6.6927000000000003</v>
      </c>
      <c r="P3" s="240">
        <v>6.5789</v>
      </c>
      <c r="Q3" s="240">
        <v>6.5266999999999999</v>
      </c>
      <c r="R3" s="240">
        <v>6.4276999999999997</v>
      </c>
      <c r="S3" s="239">
        <v>6.4751000000000003</v>
      </c>
      <c r="T3" s="239">
        <v>6.5526</v>
      </c>
      <c r="U3" s="240">
        <v>6.4734999999999996</v>
      </c>
      <c r="V3" s="240">
        <v>6.37</v>
      </c>
      <c r="W3" s="239">
        <v>6.4572000000000003</v>
      </c>
      <c r="X3" s="239">
        <v>6.4614000000000003</v>
      </c>
      <c r="Y3" s="240">
        <v>6.4607000000000001</v>
      </c>
      <c r="Z3" s="240">
        <v>6.4466000000000001</v>
      </c>
      <c r="AA3" s="240">
        <v>6.4058000000000002</v>
      </c>
      <c r="AB3" s="240">
        <v>6.3643000000000001</v>
      </c>
      <c r="AC3" s="240">
        <v>6.3560999999999996</v>
      </c>
      <c r="AD3" s="239">
        <v>6.3609999999999998</v>
      </c>
      <c r="AE3" s="240">
        <v>6.3093000000000004</v>
      </c>
      <c r="AF3" s="239">
        <v>6.34</v>
      </c>
      <c r="AG3" s="239">
        <v>6.6085000000000003</v>
      </c>
      <c r="AH3" s="239">
        <v>6.6719999999999997</v>
      </c>
      <c r="AI3" s="239">
        <v>6.6993</v>
      </c>
      <c r="AJ3" s="239">
        <v>6.7442000000000002</v>
      </c>
      <c r="AK3" s="239">
        <v>6.8903999999999996</v>
      </c>
      <c r="AL3" s="239">
        <v>7.1135000000000002</v>
      </c>
      <c r="AM3" s="239">
        <v>7.3014999999999999</v>
      </c>
      <c r="AN3" s="240">
        <v>7.0879000000000003</v>
      </c>
      <c r="AO3" s="240">
        <v>6.8971999999999998</v>
      </c>
      <c r="AP3" s="240">
        <v>6.7546999999999997</v>
      </c>
      <c r="AQ3" s="239">
        <v>6.9333999999999998</v>
      </c>
      <c r="AR3" s="239">
        <v>6.9668000000000001</v>
      </c>
      <c r="AS3" s="239">
        <v>6.89</v>
      </c>
      <c r="AT3" s="239">
        <v>7.03</v>
      </c>
      <c r="AU3" s="44">
        <v>7.14</v>
      </c>
      <c r="AV3" s="44">
        <v>7.25</v>
      </c>
      <c r="AW3" s="44">
        <v>7.25</v>
      </c>
      <c r="AX3" s="44">
        <v>7.2</v>
      </c>
      <c r="AY3" s="44">
        <v>7.15</v>
      </c>
      <c r="AZ3" s="44">
        <v>7.23</v>
      </c>
      <c r="BA3" s="44">
        <v>7.27</v>
      </c>
      <c r="BB3" s="44">
        <v>7.29</v>
      </c>
      <c r="BC3" s="44">
        <v>7.29</v>
      </c>
      <c r="BD3" s="44">
        <v>7.31</v>
      </c>
      <c r="BE3" s="44">
        <v>7.29</v>
      </c>
      <c r="BF3" s="44">
        <v>7.3</v>
      </c>
      <c r="BG3" s="44">
        <v>7.3</v>
      </c>
      <c r="BH3" s="44">
        <v>7.3</v>
      </c>
      <c r="BI3" s="44">
        <v>7.2</v>
      </c>
      <c r="BJ3" s="44">
        <v>7.31</v>
      </c>
      <c r="BK3" s="44">
        <v>7.32</v>
      </c>
      <c r="BL3" s="44">
        <v>7.27</v>
      </c>
      <c r="BM3" s="44">
        <v>7.26</v>
      </c>
      <c r="BN3" s="44">
        <v>7.26</v>
      </c>
      <c r="BO3" s="44">
        <v>7.1</v>
      </c>
      <c r="BP3" s="44">
        <v>7.14</v>
      </c>
      <c r="BQ3" s="44">
        <v>7.09</v>
      </c>
      <c r="BR3" s="174">
        <v>7.15</v>
      </c>
      <c r="BS3" s="44">
        <v>7.09</v>
      </c>
      <c r="BT3" s="44">
        <v>7.1</v>
      </c>
      <c r="BU3" s="44">
        <v>7.1</v>
      </c>
      <c r="BV3" s="44">
        <v>7.12</v>
      </c>
      <c r="BW3" s="44">
        <v>7.11</v>
      </c>
      <c r="BX3" s="44">
        <v>7.11</v>
      </c>
      <c r="BY3" s="44">
        <v>7.19</v>
      </c>
      <c r="BZ3" s="44">
        <v>7.18</v>
      </c>
      <c r="CA3" s="174">
        <v>7.2</v>
      </c>
      <c r="CB3" s="174">
        <v>7.2</v>
      </c>
      <c r="CC3" s="44">
        <v>7.18</v>
      </c>
      <c r="CD3" s="44">
        <v>7.22</v>
      </c>
      <c r="CE3" s="44">
        <v>7.23</v>
      </c>
      <c r="CF3" s="44">
        <v>7.23</v>
      </c>
      <c r="CG3" s="44">
        <v>7.24</v>
      </c>
      <c r="CH3" s="44">
        <v>7.24</v>
      </c>
      <c r="CI3" s="174">
        <v>7.24</v>
      </c>
      <c r="CJ3" s="174">
        <v>7.21</v>
      </c>
      <c r="CK3" s="174">
        <v>7.23</v>
      </c>
      <c r="CL3" s="174">
        <v>7.23</v>
      </c>
      <c r="CM3" s="174">
        <v>7.23</v>
      </c>
      <c r="CN3" s="174">
        <v>7.23</v>
      </c>
      <c r="CO3" s="44">
        <v>7.24</v>
      </c>
      <c r="CP3" s="44">
        <v>7.24</v>
      </c>
      <c r="CQ3" s="44">
        <v>7.26</v>
      </c>
      <c r="CR3" s="44">
        <v>7.27</v>
      </c>
      <c r="CS3" s="44">
        <v>7.27</v>
      </c>
      <c r="CT3" s="174">
        <v>7.27</v>
      </c>
      <c r="CU3" s="44">
        <v>7.28</v>
      </c>
      <c r="CV3" s="174">
        <v>7.23</v>
      </c>
      <c r="CW3" s="174">
        <v>7.17</v>
      </c>
      <c r="CX3" s="174">
        <v>7.18</v>
      </c>
      <c r="CY3" s="44">
        <v>7.15</v>
      </c>
      <c r="CZ3" s="174">
        <v>7.11</v>
      </c>
      <c r="DA3" s="174">
        <v>7.09</v>
      </c>
      <c r="DB3" s="357">
        <v>7.11</v>
      </c>
      <c r="DC3" s="357">
        <v>7.06</v>
      </c>
      <c r="DD3" s="357">
        <v>7.02</v>
      </c>
      <c r="DE3" s="357">
        <v>7.02</v>
      </c>
      <c r="DF3" s="357">
        <v>7.11</v>
      </c>
      <c r="DG3" s="357">
        <v>7.13</v>
      </c>
      <c r="DH3" s="357">
        <v>7.14</v>
      </c>
      <c r="DI3" s="174">
        <v>7.11</v>
      </c>
      <c r="DJ3" s="174">
        <v>7.23</v>
      </c>
      <c r="DK3" s="174">
        <v>7.24</v>
      </c>
      <c r="DL3" s="174">
        <v>7.26</v>
      </c>
      <c r="DM3" s="174">
        <v>7.27</v>
      </c>
      <c r="DN3" s="174">
        <v>7.27</v>
      </c>
      <c r="DO3" s="174">
        <v>7.29</v>
      </c>
      <c r="DP3" s="174">
        <v>7.3</v>
      </c>
    </row>
    <row r="4" spans="1:124" s="243" customFormat="1">
      <c r="A4" s="241" t="s">
        <v>5</v>
      </c>
      <c r="B4" s="241" t="s">
        <v>5</v>
      </c>
      <c r="C4" s="241" t="s">
        <v>6</v>
      </c>
      <c r="D4" s="241" t="s">
        <v>7</v>
      </c>
      <c r="E4" s="241" t="s">
        <v>8</v>
      </c>
      <c r="F4" s="242">
        <v>43831</v>
      </c>
      <c r="G4" s="242">
        <v>43862</v>
      </c>
      <c r="H4" s="242">
        <v>43891</v>
      </c>
      <c r="I4" s="242">
        <v>43922</v>
      </c>
      <c r="J4" s="242">
        <v>43952</v>
      </c>
      <c r="K4" s="242">
        <v>43983</v>
      </c>
      <c r="L4" s="242">
        <v>44013</v>
      </c>
      <c r="M4" s="242">
        <v>44044</v>
      </c>
      <c r="N4" s="242">
        <v>44075</v>
      </c>
      <c r="O4" s="242">
        <v>44105</v>
      </c>
      <c r="P4" s="242">
        <v>44136</v>
      </c>
      <c r="Q4" s="242">
        <v>44166</v>
      </c>
      <c r="R4" s="242">
        <v>44197</v>
      </c>
      <c r="S4" s="242">
        <v>44228</v>
      </c>
      <c r="T4" s="242">
        <v>44256</v>
      </c>
      <c r="U4" s="242">
        <v>44287</v>
      </c>
      <c r="V4" s="242">
        <v>44317</v>
      </c>
      <c r="W4" s="242">
        <v>44348</v>
      </c>
      <c r="X4" s="242">
        <v>44378</v>
      </c>
      <c r="Y4" s="242">
        <v>44409</v>
      </c>
      <c r="Z4" s="242">
        <v>44440</v>
      </c>
      <c r="AA4" s="242">
        <v>44470</v>
      </c>
      <c r="AB4" s="242">
        <v>44501</v>
      </c>
      <c r="AC4" s="242">
        <v>44531</v>
      </c>
      <c r="AD4" s="242">
        <v>44562</v>
      </c>
      <c r="AE4" s="242">
        <v>44593</v>
      </c>
      <c r="AF4" s="242">
        <v>44621</v>
      </c>
      <c r="AG4" s="242">
        <v>44652</v>
      </c>
      <c r="AH4" s="242">
        <v>44682</v>
      </c>
      <c r="AI4" s="242">
        <v>44713</v>
      </c>
      <c r="AJ4" s="242">
        <v>44743</v>
      </c>
      <c r="AK4" s="242">
        <v>44774</v>
      </c>
      <c r="AL4" s="242">
        <v>44805</v>
      </c>
      <c r="AM4" s="242">
        <v>44835</v>
      </c>
      <c r="AN4" s="242">
        <v>44866</v>
      </c>
      <c r="AO4" s="242">
        <v>44896</v>
      </c>
      <c r="AP4" s="242">
        <v>44927</v>
      </c>
      <c r="AQ4" s="242">
        <v>44958</v>
      </c>
      <c r="AR4" s="242">
        <v>44986</v>
      </c>
      <c r="AS4" s="242">
        <v>45017</v>
      </c>
      <c r="AT4" s="242">
        <v>45047</v>
      </c>
      <c r="AU4" s="242">
        <v>45078</v>
      </c>
      <c r="AV4" s="242" t="s">
        <v>9</v>
      </c>
      <c r="AW4" s="242" t="s">
        <v>10</v>
      </c>
      <c r="AX4" s="242" t="s">
        <v>11</v>
      </c>
      <c r="AY4" s="242" t="s">
        <v>12</v>
      </c>
      <c r="AZ4" s="242" t="s">
        <v>13</v>
      </c>
      <c r="BA4" s="242" t="s">
        <v>14</v>
      </c>
      <c r="BB4" s="242" t="s">
        <v>15</v>
      </c>
      <c r="BC4" s="242" t="s">
        <v>16</v>
      </c>
      <c r="BD4" s="242" t="s">
        <v>17</v>
      </c>
      <c r="BE4" s="242" t="s">
        <v>18</v>
      </c>
      <c r="BF4" s="269" t="s">
        <v>19</v>
      </c>
      <c r="BG4" s="269" t="s">
        <v>20</v>
      </c>
      <c r="BH4" s="269" t="s">
        <v>21</v>
      </c>
      <c r="BI4" s="269" t="s">
        <v>22</v>
      </c>
      <c r="BJ4" s="269" t="s">
        <v>23</v>
      </c>
      <c r="BK4" s="269" t="s">
        <v>24</v>
      </c>
      <c r="BL4" s="269" t="s">
        <v>25</v>
      </c>
      <c r="BM4" s="269" t="s">
        <v>26</v>
      </c>
      <c r="BN4" s="269" t="s">
        <v>27</v>
      </c>
      <c r="BO4" s="269" t="s">
        <v>28</v>
      </c>
      <c r="BP4" s="269">
        <v>37226</v>
      </c>
      <c r="BQ4" s="269">
        <v>37591</v>
      </c>
      <c r="BR4" s="269">
        <v>37956</v>
      </c>
      <c r="BS4" s="269">
        <v>38322</v>
      </c>
      <c r="BT4" s="269">
        <v>36892</v>
      </c>
      <c r="BU4" s="269">
        <v>37257</v>
      </c>
      <c r="BV4" s="269">
        <v>37622</v>
      </c>
      <c r="BW4" s="269">
        <v>37987</v>
      </c>
      <c r="BX4" s="269">
        <v>36923</v>
      </c>
      <c r="BY4" s="269">
        <v>37288</v>
      </c>
      <c r="BZ4" s="269">
        <v>37653</v>
      </c>
      <c r="CA4" s="269">
        <v>38018</v>
      </c>
      <c r="CB4" s="242" t="str">
        <f>Sheet8!A15</f>
        <v>Mar-w1</v>
      </c>
      <c r="CC4" s="242" t="str">
        <f>Sheet8!B15</f>
        <v>Mar-w2</v>
      </c>
      <c r="CD4" s="242" t="str">
        <f>Sheet8!C15</f>
        <v>Mar-w3</v>
      </c>
      <c r="CE4" s="242" t="str">
        <f>Sheet8!D15</f>
        <v>Mar-w4</v>
      </c>
      <c r="CF4" s="242" t="str">
        <f>Sheet8!E15</f>
        <v>Apr-w1</v>
      </c>
      <c r="CG4" s="242" t="str">
        <f>Sheet8!F15</f>
        <v>Apr-w2</v>
      </c>
      <c r="CH4" s="242" t="str">
        <f>Sheet8!G15</f>
        <v>Apr-w3</v>
      </c>
      <c r="CI4" s="269" t="str">
        <f>Sheet8!H15</f>
        <v>Apr-w4</v>
      </c>
      <c r="CJ4" s="269" t="str">
        <f>Sheet8!I15</f>
        <v>May-w1</v>
      </c>
      <c r="CK4" s="269" t="str">
        <f>Sheet8!J15</f>
        <v>May-w2</v>
      </c>
      <c r="CL4" s="242" t="str">
        <f>Sheet8!K15</f>
        <v>May-w3</v>
      </c>
      <c r="CM4" s="242" t="str">
        <f>Sheet8!L15</f>
        <v>May-w4</v>
      </c>
      <c r="CN4" s="242" t="str">
        <f>Sheet8!M15</f>
        <v>May-w5</v>
      </c>
      <c r="CO4" s="242" t="str">
        <f>Sheet8!N15</f>
        <v>june-w1</v>
      </c>
      <c r="CP4" s="242" t="str">
        <f>Sheet8!O15</f>
        <v>june-w2</v>
      </c>
      <c r="CQ4" s="242" t="str">
        <f>Sheet8!P15</f>
        <v>june-w3</v>
      </c>
      <c r="CR4" s="242" t="str">
        <f>Sheet8!Q15</f>
        <v>june-w4</v>
      </c>
      <c r="CS4" s="242" t="str">
        <f>Sheet8!R15</f>
        <v>Jul-w1</v>
      </c>
      <c r="CT4" s="269" t="str">
        <f>Sheet8!S15</f>
        <v>Jul-w2</v>
      </c>
      <c r="CU4" s="242" t="str">
        <f>Sheet8!T15</f>
        <v>Jul-w3</v>
      </c>
      <c r="CV4" s="269" t="str">
        <f>Sheet8!U15</f>
        <v>Jul-w4</v>
      </c>
      <c r="CW4" s="269" t="str">
        <f>Sheet8!V15</f>
        <v>Aug-w1</v>
      </c>
      <c r="CX4" s="269" t="str">
        <f>Sheet8!W15</f>
        <v>Aug-w2</v>
      </c>
      <c r="CY4" s="242" t="str">
        <f>Sheet8!X15</f>
        <v>Aug-w3</v>
      </c>
      <c r="CZ4" s="269" t="str">
        <f>Sheet8!Y15</f>
        <v>Aug-w4</v>
      </c>
      <c r="DA4" s="269" t="str">
        <f>Sheet8!Z15</f>
        <v>Sep-w1</v>
      </c>
      <c r="DB4" s="269" t="str">
        <f>Sheet8!AA15</f>
        <v>Sep-w2</v>
      </c>
      <c r="DC4" s="269" t="str">
        <f>Sheet8!AB15</f>
        <v>Sep-w3</v>
      </c>
      <c r="DD4" s="269" t="str">
        <f>Sheet8!AC15</f>
        <v>Sep-w4</v>
      </c>
      <c r="DE4" s="269" t="str">
        <f>Sheet8!AD15</f>
        <v>Oct-w1</v>
      </c>
      <c r="DF4" s="269" t="str">
        <f>Sheet8!AE15</f>
        <v>Oct-w2</v>
      </c>
      <c r="DG4" s="269" t="str">
        <f>Sheet8!AF15</f>
        <v>Oct-w3</v>
      </c>
      <c r="DH4" s="269" t="str">
        <f>Sheet8!AG15</f>
        <v>Oct-w4</v>
      </c>
      <c r="DI4" s="269" t="str">
        <f>Sheet8!AH15</f>
        <v>Nov-w1</v>
      </c>
      <c r="DJ4" s="269" t="str">
        <f>Sheet8!AI15</f>
        <v>Nov-w2</v>
      </c>
      <c r="DK4" s="269" t="str">
        <f>Sheet8!AJ15</f>
        <v>Nov-w3</v>
      </c>
      <c r="DL4" s="269" t="str">
        <f>Sheet8!AK15</f>
        <v>Nov-w4</v>
      </c>
      <c r="DM4" s="269" t="str">
        <f>Sheet8!AL15</f>
        <v>Dec-w1</v>
      </c>
      <c r="DN4" s="269" t="str">
        <f>Sheet8!AM15</f>
        <v>Dec-w2</v>
      </c>
      <c r="DO4" s="269" t="str">
        <f>Sheet8!AN15</f>
        <v>Dec-w3</v>
      </c>
      <c r="DP4" s="269" t="str">
        <f>Sheet8!AO15</f>
        <v>Dec-w4</v>
      </c>
      <c r="DQ4" s="242">
        <f>Sheet8!AP15</f>
        <v>0</v>
      </c>
      <c r="DR4" s="242">
        <f>Sheet8!AQ15</f>
        <v>0</v>
      </c>
    </row>
    <row r="5" spans="1:124">
      <c r="A5" s="178" t="str">
        <f t="shared" ref="A5:A68" si="0">CONCATENATE(C5,D5)</f>
        <v>Silicon MetalRMB</v>
      </c>
      <c r="B5" s="178" t="s">
        <v>29</v>
      </c>
      <c r="C5" s="178" t="s">
        <v>30</v>
      </c>
      <c r="D5" s="178" t="s">
        <v>31</v>
      </c>
      <c r="E5" s="178" t="s">
        <v>32</v>
      </c>
      <c r="F5" s="214"/>
      <c r="G5" s="214"/>
      <c r="H5" s="214"/>
      <c r="I5" s="214"/>
      <c r="J5" s="214"/>
      <c r="K5" s="214"/>
      <c r="L5" s="214"/>
      <c r="M5" s="214"/>
      <c r="N5" s="214"/>
      <c r="O5" s="214"/>
      <c r="P5" s="214"/>
      <c r="Q5" s="214"/>
      <c r="R5" s="214">
        <v>13530</v>
      </c>
      <c r="S5" s="214">
        <v>13663</v>
      </c>
      <c r="T5" s="214">
        <v>13810</v>
      </c>
      <c r="U5" s="214">
        <v>13218</v>
      </c>
      <c r="V5" s="214">
        <v>13586</v>
      </c>
      <c r="W5" s="214">
        <v>14143</v>
      </c>
      <c r="X5" s="214">
        <v>14560</v>
      </c>
      <c r="Y5" s="214">
        <v>19197</v>
      </c>
      <c r="Z5" s="214">
        <v>36220</v>
      </c>
      <c r="AA5" s="214">
        <v>52534.226071428573</v>
      </c>
      <c r="AB5" s="214">
        <v>30622.559642857141</v>
      </c>
      <c r="AC5" s="214">
        <v>23048</v>
      </c>
      <c r="AD5" s="215">
        <v>20875.714285714286</v>
      </c>
      <c r="AE5" s="215">
        <v>21182.142857142859</v>
      </c>
      <c r="AF5" s="215">
        <v>23195.714285714283</v>
      </c>
      <c r="AG5" s="215">
        <v>21068.785714285717</v>
      </c>
      <c r="AH5" s="215">
        <v>19756.547619047618</v>
      </c>
      <c r="AI5" s="215">
        <v>18003.142857142855</v>
      </c>
      <c r="AJ5" s="215">
        <v>17969.642857142855</v>
      </c>
      <c r="AK5" s="215">
        <v>20006.071428571428</v>
      </c>
      <c r="AL5" s="215">
        <v>20600.571428571428</v>
      </c>
      <c r="AM5" s="215">
        <v>21531.785714285714</v>
      </c>
      <c r="AN5" s="215">
        <v>21017.857142857145</v>
      </c>
      <c r="AO5" s="215">
        <v>19713.428571428572</v>
      </c>
      <c r="AP5" s="215">
        <v>18632.142857142855</v>
      </c>
      <c r="AQ5" s="215">
        <v>17953.928571428572</v>
      </c>
      <c r="AR5" s="215">
        <v>17638.607843137255</v>
      </c>
      <c r="AS5" s="214">
        <v>16140</v>
      </c>
      <c r="AT5" s="214">
        <v>15680</v>
      </c>
      <c r="AU5" s="214">
        <v>13610</v>
      </c>
      <c r="AV5" s="214">
        <v>13740</v>
      </c>
      <c r="AW5" s="214">
        <v>13740</v>
      </c>
      <c r="AX5" s="214">
        <v>13630</v>
      </c>
      <c r="AY5" s="214">
        <v>13630</v>
      </c>
      <c r="AZ5" s="214">
        <v>13630</v>
      </c>
      <c r="BA5" s="214">
        <v>13630</v>
      </c>
      <c r="BB5" s="214">
        <v>14050</v>
      </c>
      <c r="BC5" s="214">
        <v>14410</v>
      </c>
      <c r="BD5" s="214">
        <v>14410</v>
      </c>
      <c r="BE5" s="214">
        <v>15270</v>
      </c>
      <c r="BF5" s="214">
        <v>15480</v>
      </c>
      <c r="BG5" s="214">
        <v>15270</v>
      </c>
      <c r="BH5" s="214">
        <v>15840</v>
      </c>
      <c r="BI5" s="214">
        <v>15800</v>
      </c>
      <c r="BJ5" s="214">
        <v>15650</v>
      </c>
      <c r="BK5" s="214">
        <v>15500</v>
      </c>
      <c r="BL5" s="214">
        <v>15420</v>
      </c>
      <c r="BM5" s="214">
        <v>15180</v>
      </c>
      <c r="BN5" s="214">
        <v>15180</v>
      </c>
      <c r="BO5" s="214">
        <v>15180</v>
      </c>
      <c r="BP5" s="214">
        <v>15210</v>
      </c>
      <c r="BQ5" s="214">
        <v>15260</v>
      </c>
      <c r="BR5" s="214">
        <v>15260</v>
      </c>
      <c r="BS5" s="214">
        <v>15620</v>
      </c>
      <c r="BT5" s="214">
        <v>15610</v>
      </c>
      <c r="BU5" s="214">
        <v>15560</v>
      </c>
      <c r="BV5" s="214">
        <v>15390</v>
      </c>
      <c r="BW5" s="214">
        <v>15290</v>
      </c>
      <c r="BX5" s="214">
        <v>15290</v>
      </c>
      <c r="BY5" s="214">
        <v>15290</v>
      </c>
      <c r="BZ5" s="214">
        <v>15240</v>
      </c>
      <c r="CA5" s="214">
        <v>15000</v>
      </c>
      <c r="CB5" s="214">
        <v>15000</v>
      </c>
      <c r="CC5" s="214">
        <v>14940</v>
      </c>
      <c r="CD5" s="214">
        <v>14540</v>
      </c>
      <c r="CE5" s="214">
        <v>13990</v>
      </c>
      <c r="CF5" s="214">
        <v>13680</v>
      </c>
      <c r="CG5" s="214">
        <v>13680</v>
      </c>
      <c r="CH5" s="214">
        <v>13680</v>
      </c>
      <c r="CI5" s="214">
        <v>13660</v>
      </c>
      <c r="CJ5" s="214">
        <v>13660</v>
      </c>
      <c r="CK5" s="214">
        <v>13570</v>
      </c>
      <c r="CL5" s="178">
        <v>13480</v>
      </c>
      <c r="CM5" s="178">
        <v>13480</v>
      </c>
      <c r="CN5" s="214">
        <v>13480</v>
      </c>
      <c r="CO5" s="214">
        <v>13480</v>
      </c>
      <c r="CP5" s="214">
        <v>13450</v>
      </c>
      <c r="CQ5" s="214">
        <v>13440</v>
      </c>
      <c r="CR5" s="214">
        <v>13210</v>
      </c>
      <c r="CS5" s="214">
        <v>13030</v>
      </c>
      <c r="CT5" s="214">
        <v>12680</v>
      </c>
      <c r="CU5" s="214">
        <v>12410</v>
      </c>
      <c r="CV5" s="214">
        <v>12100</v>
      </c>
      <c r="CW5" s="214">
        <v>12090</v>
      </c>
      <c r="CX5" s="214">
        <v>12020</v>
      </c>
      <c r="CY5" s="214">
        <v>11940</v>
      </c>
      <c r="CZ5" s="214">
        <v>11940</v>
      </c>
      <c r="DA5" s="214">
        <v>11980</v>
      </c>
      <c r="DB5" s="214">
        <v>11980</v>
      </c>
      <c r="DC5" s="214">
        <v>11980</v>
      </c>
      <c r="DD5" s="279">
        <v>11970</v>
      </c>
      <c r="DE5" s="214">
        <v>11960</v>
      </c>
      <c r="DF5" s="214">
        <v>12020</v>
      </c>
      <c r="DG5" s="214">
        <v>12020</v>
      </c>
      <c r="DH5" s="214">
        <v>12070</v>
      </c>
      <c r="DI5" s="214">
        <v>12120</v>
      </c>
      <c r="DJ5" s="214">
        <v>12120</v>
      </c>
      <c r="DK5" s="214">
        <v>12120</v>
      </c>
      <c r="DL5" s="214">
        <v>12070</v>
      </c>
      <c r="DM5" s="214">
        <v>12070</v>
      </c>
      <c r="DN5" s="214">
        <v>11990</v>
      </c>
      <c r="DO5" s="214">
        <v>11810</v>
      </c>
      <c r="DP5" s="214">
        <v>11750</v>
      </c>
      <c r="DQ5" s="178"/>
      <c r="DR5" s="178"/>
    </row>
    <row r="6" spans="1:124">
      <c r="A6" s="178" t="str">
        <f t="shared" si="0"/>
        <v>Silicon MetalUSD</v>
      </c>
      <c r="B6" s="178" t="s">
        <v>29</v>
      </c>
      <c r="C6" s="178" t="s">
        <v>30</v>
      </c>
      <c r="D6" s="178" t="s">
        <v>33</v>
      </c>
      <c r="E6" s="178" t="s">
        <v>34</v>
      </c>
      <c r="F6" s="216">
        <f>(F5/1000)/F3</f>
        <v>0</v>
      </c>
      <c r="G6" s="216">
        <f t="shared" ref="G6:Q6" si="1">(G5/1000)/G3</f>
        <v>0</v>
      </c>
      <c r="H6" s="216">
        <f t="shared" si="1"/>
        <v>0</v>
      </c>
      <c r="I6" s="216">
        <f t="shared" si="1"/>
        <v>0</v>
      </c>
      <c r="J6" s="216">
        <f t="shared" si="1"/>
        <v>0</v>
      </c>
      <c r="K6" s="216">
        <f t="shared" si="1"/>
        <v>0</v>
      </c>
      <c r="L6" s="216">
        <f t="shared" si="1"/>
        <v>0</v>
      </c>
      <c r="M6" s="216">
        <f t="shared" si="1"/>
        <v>0</v>
      </c>
      <c r="N6" s="216">
        <f t="shared" si="1"/>
        <v>0</v>
      </c>
      <c r="O6" s="216">
        <f t="shared" si="1"/>
        <v>0</v>
      </c>
      <c r="P6" s="216">
        <f t="shared" si="1"/>
        <v>0</v>
      </c>
      <c r="Q6" s="216">
        <f t="shared" si="1"/>
        <v>0</v>
      </c>
      <c r="R6" s="216">
        <f>(((R5/1.13)/R3)/1000)</f>
        <v>1.8627893846062558</v>
      </c>
      <c r="S6" s="216">
        <f t="shared" ref="S6:BM6" si="2">(((S5/1.13)/S3)/1000)</f>
        <v>1.8673303026173924</v>
      </c>
      <c r="T6" s="216">
        <f t="shared" si="2"/>
        <v>1.8650976616996457</v>
      </c>
      <c r="U6" s="216">
        <f t="shared" si="2"/>
        <v>1.8069583892397256</v>
      </c>
      <c r="V6" s="216">
        <f t="shared" si="2"/>
        <v>1.8874425195537712</v>
      </c>
      <c r="W6" s="216">
        <f t="shared" si="2"/>
        <v>1.9382904670042471</v>
      </c>
      <c r="X6" s="216">
        <f t="shared" si="2"/>
        <v>1.9941430266215356</v>
      </c>
      <c r="Y6" s="216">
        <f t="shared" si="2"/>
        <v>2.629513144894708</v>
      </c>
      <c r="Z6" s="216">
        <f t="shared" si="2"/>
        <v>4.972093405071317</v>
      </c>
      <c r="AA6" s="216">
        <f t="shared" si="2"/>
        <v>7.2575580801674722</v>
      </c>
      <c r="AB6" s="216">
        <f t="shared" si="2"/>
        <v>4.2580661350680202</v>
      </c>
      <c r="AC6" s="216">
        <f t="shared" si="2"/>
        <v>3.2089583513461331</v>
      </c>
      <c r="AD6" s="216">
        <f t="shared" si="2"/>
        <v>2.904273453652761</v>
      </c>
      <c r="AE6" s="216">
        <f t="shared" si="2"/>
        <v>2.9710521239461034</v>
      </c>
      <c r="AF6" s="216">
        <f t="shared" si="2"/>
        <v>3.2377256756810651</v>
      </c>
      <c r="AG6" s="216">
        <f t="shared" si="2"/>
        <v>2.8213578134201951</v>
      </c>
      <c r="AH6" s="216">
        <f t="shared" si="2"/>
        <v>2.6204542055356983</v>
      </c>
      <c r="AI6" s="216">
        <f t="shared" si="2"/>
        <v>2.3781566476094458</v>
      </c>
      <c r="AJ6" s="216">
        <f t="shared" si="2"/>
        <v>2.3579281177353648</v>
      </c>
      <c r="AK6" s="216">
        <f t="shared" si="2"/>
        <v>2.5694427014231715</v>
      </c>
      <c r="AL6" s="216">
        <f t="shared" si="2"/>
        <v>2.5628163610847663</v>
      </c>
      <c r="AM6" s="216">
        <f t="shared" si="2"/>
        <v>2.6096935730003006</v>
      </c>
      <c r="AN6" s="216">
        <f t="shared" si="2"/>
        <v>2.6241726855274043</v>
      </c>
      <c r="AO6" s="216">
        <f t="shared" si="2"/>
        <v>2.5293614814872392</v>
      </c>
      <c r="AP6" s="216">
        <f t="shared" si="2"/>
        <v>2.4410591140200979</v>
      </c>
      <c r="AQ6" s="216">
        <f t="shared" si="2"/>
        <v>2.2915787873332105</v>
      </c>
      <c r="AR6" s="216">
        <f t="shared" si="2"/>
        <v>2.2405390526214162</v>
      </c>
      <c r="AS6" s="216">
        <f t="shared" si="2"/>
        <v>2.073031326662985</v>
      </c>
      <c r="AT6" s="216">
        <f t="shared" si="2"/>
        <v>1.973841563967321</v>
      </c>
      <c r="AU6" s="216">
        <f t="shared" si="2"/>
        <v>1.6868694380407032</v>
      </c>
      <c r="AV6" s="216">
        <f t="shared" si="2"/>
        <v>1.6771437290204458</v>
      </c>
      <c r="AW6" s="216">
        <f t="shared" si="2"/>
        <v>1.6771437290204458</v>
      </c>
      <c r="AX6" s="216">
        <f t="shared" si="2"/>
        <v>1.6752704031465095</v>
      </c>
      <c r="AY6" s="216">
        <f t="shared" si="2"/>
        <v>1.6869855807908907</v>
      </c>
      <c r="AZ6" s="216">
        <f t="shared" si="2"/>
        <v>1.6683190736728726</v>
      </c>
      <c r="BA6" s="216">
        <f t="shared" si="2"/>
        <v>1.6591398765687579</v>
      </c>
      <c r="BB6" s="216">
        <f t="shared" si="2"/>
        <v>1.7055731575561139</v>
      </c>
      <c r="BC6" s="216">
        <f t="shared" si="2"/>
        <v>1.7492746761838864</v>
      </c>
      <c r="BD6" s="216">
        <f t="shared" si="2"/>
        <v>1.7444886989576653</v>
      </c>
      <c r="BE6" s="216">
        <f t="shared" si="2"/>
        <v>1.8536727484613427</v>
      </c>
      <c r="BF6" s="216">
        <f t="shared" si="2"/>
        <v>1.8765911019517518</v>
      </c>
      <c r="BG6" s="216">
        <f t="shared" si="2"/>
        <v>1.8511334707237246</v>
      </c>
      <c r="BH6" s="216">
        <f t="shared" si="2"/>
        <v>1.9202327554855136</v>
      </c>
      <c r="BI6" s="216">
        <f t="shared" si="2"/>
        <v>1.9419862340216323</v>
      </c>
      <c r="BJ6" s="216">
        <f t="shared" si="2"/>
        <v>1.8946043121920515</v>
      </c>
      <c r="BK6" s="216">
        <f t="shared" si="2"/>
        <v>1.8738817157502781</v>
      </c>
      <c r="BL6" s="216">
        <f>(((BL5/1.13)/BL3)/1000)</f>
        <v>1.877031320373459</v>
      </c>
      <c r="BM6" s="216">
        <f t="shared" si="2"/>
        <v>1.8503620273531778</v>
      </c>
      <c r="BN6" s="216">
        <f>(((BN5/1.13)/BN3)/1000)</f>
        <v>1.8503620273531778</v>
      </c>
      <c r="BO6" s="216">
        <f>(((BO5/1.13)/BO3)/1000)</f>
        <v>1.8920603265611369</v>
      </c>
      <c r="BP6" s="216">
        <f t="shared" ref="BP6:DT6" si="3">(((BP5/1.13)/BP3)/1000)</f>
        <v>1.8851788503011826</v>
      </c>
      <c r="BQ6" s="216">
        <f t="shared" si="3"/>
        <v>1.9047143552554391</v>
      </c>
      <c r="BR6" s="216">
        <f>(((BR5/1.13)/BR3)/1000)</f>
        <v>1.8887307382882608</v>
      </c>
      <c r="BS6" s="216">
        <f t="shared" si="3"/>
        <v>1.9496486388656593</v>
      </c>
      <c r="BT6" s="216">
        <f t="shared" si="3"/>
        <v>1.945656238314845</v>
      </c>
      <c r="BU6" s="216">
        <f t="shared" si="3"/>
        <v>1.9394241555527858</v>
      </c>
      <c r="BV6" s="216">
        <f t="shared" si="3"/>
        <v>1.9128467733916674</v>
      </c>
      <c r="BW6" s="216">
        <f t="shared" si="3"/>
        <v>1.9030904994834645</v>
      </c>
      <c r="BX6" s="216">
        <f t="shared" si="3"/>
        <v>1.9030904994834645</v>
      </c>
      <c r="BY6" s="216">
        <f t="shared" si="3"/>
        <v>1.8819156399620909</v>
      </c>
      <c r="BZ6" s="216">
        <f t="shared" si="3"/>
        <v>1.8783740478714228</v>
      </c>
      <c r="CA6" s="216">
        <f t="shared" si="3"/>
        <v>1.8436578171091447</v>
      </c>
      <c r="CB6" s="216">
        <f t="shared" si="3"/>
        <v>1.8436578171091447</v>
      </c>
      <c r="CC6" s="216">
        <f t="shared" si="3"/>
        <v>1.8413981807873396</v>
      </c>
      <c r="CD6" s="216">
        <f t="shared" si="3"/>
        <v>1.7821685093030668</v>
      </c>
      <c r="CE6" s="216">
        <f t="shared" si="3"/>
        <v>1.7123832605050244</v>
      </c>
      <c r="CF6" s="216">
        <f t="shared" si="3"/>
        <v>1.6744390996217824</v>
      </c>
      <c r="CG6" s="216">
        <f t="shared" si="3"/>
        <v>1.6721263384344596</v>
      </c>
      <c r="CH6" s="216">
        <f t="shared" si="3"/>
        <v>1.6721263384344596</v>
      </c>
      <c r="CI6" s="216">
        <f t="shared" si="3"/>
        <v>1.6696817092847018</v>
      </c>
      <c r="CJ6" s="216">
        <f t="shared" si="3"/>
        <v>1.6766290672983692</v>
      </c>
      <c r="CK6" s="216">
        <f t="shared" si="3"/>
        <v>1.6609750425341807</v>
      </c>
      <c r="CL6" s="216">
        <f t="shared" si="3"/>
        <v>1.6499589958261422</v>
      </c>
      <c r="CM6" s="216">
        <f t="shared" si="3"/>
        <v>1.6499589958261422</v>
      </c>
      <c r="CN6" s="216">
        <f t="shared" si="3"/>
        <v>1.6499589958261422</v>
      </c>
      <c r="CO6" s="216">
        <f t="shared" si="3"/>
        <v>1.6476800469368797</v>
      </c>
      <c r="CP6" s="216">
        <f t="shared" si="3"/>
        <v>1.6440131032122429</v>
      </c>
      <c r="CQ6" s="216">
        <f t="shared" si="3"/>
        <v>1.638265194178308</v>
      </c>
      <c r="CR6" s="216">
        <f t="shared" si="3"/>
        <v>1.6080145098659786</v>
      </c>
      <c r="CS6" s="216">
        <f t="shared" si="3"/>
        <v>1.5861036384219305</v>
      </c>
      <c r="CT6" s="216">
        <f t="shared" si="3"/>
        <v>1.5434991661696147</v>
      </c>
      <c r="CU6" s="216">
        <f t="shared" si="3"/>
        <v>1.5085578138675484</v>
      </c>
      <c r="CV6" s="216">
        <f t="shared" si="3"/>
        <v>1.4810462796362258</v>
      </c>
      <c r="CW6" s="216">
        <f t="shared" si="3"/>
        <v>1.4922057244418114</v>
      </c>
      <c r="CX6" s="216">
        <f t="shared" si="3"/>
        <v>1.4814997411689306</v>
      </c>
      <c r="CY6" s="216">
        <f t="shared" si="3"/>
        <v>1.4778142211770533</v>
      </c>
      <c r="CZ6" s="216">
        <f t="shared" si="3"/>
        <v>1.486128225234308</v>
      </c>
      <c r="DA6" s="216">
        <f t="shared" si="3"/>
        <v>1.4953131045845454</v>
      </c>
      <c r="DB6" s="216">
        <f t="shared" si="3"/>
        <v>1.4911068792551931</v>
      </c>
      <c r="DC6" s="216">
        <f t="shared" si="3"/>
        <v>1.5016671262754144</v>
      </c>
      <c r="DD6" s="279">
        <f t="shared" si="3"/>
        <v>1.5089630133877923</v>
      </c>
      <c r="DE6" s="216">
        <f t="shared" si="3"/>
        <v>1.5077023926581452</v>
      </c>
      <c r="DF6" s="216">
        <f t="shared" si="3"/>
        <v>1.496085533276079</v>
      </c>
      <c r="DG6" s="216">
        <f t="shared" si="3"/>
        <v>1.4918889399148558</v>
      </c>
      <c r="DH6" s="216">
        <f t="shared" si="3"/>
        <v>1.4959966287399915</v>
      </c>
      <c r="DI6" s="216">
        <f t="shared" si="3"/>
        <v>1.5085321683282926</v>
      </c>
      <c r="DJ6" s="216">
        <f t="shared" si="3"/>
        <v>1.4834942900157899</v>
      </c>
      <c r="DK6" s="216">
        <f t="shared" si="3"/>
        <v>1.4814452647533372</v>
      </c>
      <c r="DL6" s="216">
        <f t="shared" si="3"/>
        <v>1.471269411736025</v>
      </c>
      <c r="DM6" s="216">
        <f t="shared" si="3"/>
        <v>1.469245657387007</v>
      </c>
      <c r="DN6" s="216">
        <f t="shared" si="3"/>
        <v>1.4595074923007636</v>
      </c>
      <c r="DO6" s="216">
        <f t="shared" si="3"/>
        <v>1.4336525972055307</v>
      </c>
      <c r="DP6" s="216">
        <f t="shared" si="3"/>
        <v>1.4244150806158324</v>
      </c>
      <c r="DQ6" s="216" t="e">
        <f t="shared" si="3"/>
        <v>#DIV/0!</v>
      </c>
      <c r="DR6" s="216" t="e">
        <f t="shared" si="3"/>
        <v>#DIV/0!</v>
      </c>
      <c r="DS6" s="216" t="e">
        <f t="shared" si="3"/>
        <v>#DIV/0!</v>
      </c>
      <c r="DT6" s="216" t="e">
        <f t="shared" si="3"/>
        <v>#DIV/0!</v>
      </c>
    </row>
    <row r="7" spans="1:124">
      <c r="A7" s="178" t="str">
        <f t="shared" si="0"/>
        <v>MethanolUSD</v>
      </c>
      <c r="B7" s="178" t="s">
        <v>35</v>
      </c>
      <c r="C7" s="178" t="s">
        <v>36</v>
      </c>
      <c r="D7" s="178" t="s">
        <v>33</v>
      </c>
      <c r="E7" s="178" t="s">
        <v>32</v>
      </c>
      <c r="F7" s="214">
        <v>262.5</v>
      </c>
      <c r="G7" s="214">
        <v>322.5</v>
      </c>
      <c r="H7" s="215">
        <v>285</v>
      </c>
      <c r="I7" s="215">
        <v>210</v>
      </c>
      <c r="J7" s="215">
        <v>175</v>
      </c>
      <c r="K7" s="214">
        <v>167.5</v>
      </c>
      <c r="L7" s="215">
        <v>180</v>
      </c>
      <c r="M7" s="215">
        <v>220</v>
      </c>
      <c r="N7" s="215">
        <v>230</v>
      </c>
      <c r="O7" s="215">
        <v>240</v>
      </c>
      <c r="P7" s="215">
        <v>270</v>
      </c>
      <c r="Q7" s="215">
        <v>300</v>
      </c>
      <c r="R7" s="215">
        <v>360</v>
      </c>
      <c r="S7" s="215">
        <v>365</v>
      </c>
      <c r="T7" s="215">
        <v>355</v>
      </c>
      <c r="U7" s="215">
        <v>340</v>
      </c>
      <c r="V7" s="214">
        <v>347.5</v>
      </c>
      <c r="W7" s="214">
        <v>357.5</v>
      </c>
      <c r="X7" s="215">
        <v>360</v>
      </c>
      <c r="Y7" s="215">
        <v>370</v>
      </c>
      <c r="Z7" s="215">
        <v>390</v>
      </c>
      <c r="AA7" s="214">
        <v>467.5</v>
      </c>
      <c r="AB7" s="214">
        <v>392.5</v>
      </c>
      <c r="AC7" s="215">
        <v>340</v>
      </c>
      <c r="AD7" s="215">
        <v>310</v>
      </c>
      <c r="AE7" s="215">
        <v>390</v>
      </c>
      <c r="AF7" s="215">
        <v>430</v>
      </c>
      <c r="AG7" s="215">
        <v>390</v>
      </c>
      <c r="AH7" s="215">
        <v>350</v>
      </c>
      <c r="AI7" s="215">
        <v>340</v>
      </c>
      <c r="AJ7" s="215">
        <v>315</v>
      </c>
      <c r="AK7" s="215">
        <v>315</v>
      </c>
      <c r="AL7" s="215">
        <v>315</v>
      </c>
      <c r="AM7" s="215">
        <v>325</v>
      </c>
      <c r="AN7" s="215">
        <v>325</v>
      </c>
      <c r="AO7" s="215">
        <v>315</v>
      </c>
      <c r="AP7" s="215">
        <v>325</v>
      </c>
      <c r="AQ7" s="214">
        <v>347.5</v>
      </c>
      <c r="AR7" s="214">
        <v>362.5</v>
      </c>
      <c r="AS7" s="214">
        <v>335</v>
      </c>
      <c r="AT7" s="214">
        <v>310</v>
      </c>
      <c r="AU7" s="214">
        <v>300</v>
      </c>
      <c r="AV7" s="214">
        <v>300</v>
      </c>
      <c r="AW7" s="214">
        <v>290</v>
      </c>
      <c r="AX7" s="214">
        <v>290</v>
      </c>
      <c r="AY7" s="214">
        <v>290</v>
      </c>
      <c r="AZ7" s="214">
        <v>290</v>
      </c>
      <c r="BA7" s="214">
        <v>310</v>
      </c>
      <c r="BB7" s="214">
        <v>310</v>
      </c>
      <c r="BC7" s="214">
        <v>310</v>
      </c>
      <c r="BD7" s="214">
        <v>310</v>
      </c>
      <c r="BE7" s="214">
        <v>310</v>
      </c>
      <c r="BF7" s="214">
        <v>330</v>
      </c>
      <c r="BG7" s="214">
        <v>330</v>
      </c>
      <c r="BH7" s="214">
        <v>330</v>
      </c>
      <c r="BI7" s="214">
        <v>330</v>
      </c>
      <c r="BJ7" s="214">
        <v>330</v>
      </c>
      <c r="BK7" s="214">
        <v>330</v>
      </c>
      <c r="BL7" s="214">
        <v>330</v>
      </c>
      <c r="BM7" s="214">
        <v>315</v>
      </c>
      <c r="BN7" s="214">
        <v>315</v>
      </c>
      <c r="BO7" s="214">
        <v>315</v>
      </c>
      <c r="BP7" s="214">
        <v>315</v>
      </c>
      <c r="BQ7" s="214">
        <v>335</v>
      </c>
      <c r="BR7" s="214">
        <v>335</v>
      </c>
      <c r="BS7" s="214">
        <v>335</v>
      </c>
      <c r="BT7" s="214">
        <v>337.5</v>
      </c>
      <c r="BU7" s="214">
        <v>337.5</v>
      </c>
      <c r="BV7" s="214">
        <v>337.5</v>
      </c>
      <c r="BW7" s="214">
        <v>347.5</v>
      </c>
      <c r="BX7" s="214">
        <v>347.5</v>
      </c>
      <c r="BY7" s="214">
        <v>347.5</v>
      </c>
      <c r="BZ7" s="214">
        <v>347.5</v>
      </c>
      <c r="CA7" s="214">
        <v>347.5</v>
      </c>
      <c r="CB7" s="214">
        <v>347.5</v>
      </c>
      <c r="CC7" s="214">
        <v>347.5</v>
      </c>
      <c r="CD7" s="214">
        <v>355</v>
      </c>
      <c r="CE7" s="214">
        <v>355</v>
      </c>
      <c r="CF7" s="214">
        <v>345</v>
      </c>
      <c r="CG7" s="214">
        <v>345</v>
      </c>
      <c r="CH7" s="214">
        <v>345</v>
      </c>
      <c r="CI7" s="214">
        <v>345</v>
      </c>
      <c r="CJ7" s="214">
        <v>342.5</v>
      </c>
      <c r="CK7" s="214">
        <v>342.5</v>
      </c>
      <c r="CL7" s="214">
        <v>342.5</v>
      </c>
      <c r="CM7" s="214">
        <v>342.5</v>
      </c>
      <c r="CN7" s="214">
        <v>342.5</v>
      </c>
      <c r="CO7" s="214">
        <v>342.5</v>
      </c>
      <c r="CP7" s="214">
        <v>340</v>
      </c>
      <c r="CQ7" s="214">
        <v>340</v>
      </c>
      <c r="CR7" s="214">
        <v>340</v>
      </c>
      <c r="CS7" s="214">
        <v>340</v>
      </c>
      <c r="CT7" s="214">
        <v>335</v>
      </c>
      <c r="CU7" s="214">
        <v>335</v>
      </c>
      <c r="CV7" s="214">
        <v>335</v>
      </c>
      <c r="CW7" s="214">
        <v>335</v>
      </c>
      <c r="CX7" s="214">
        <v>335</v>
      </c>
      <c r="CY7" s="214">
        <v>335</v>
      </c>
      <c r="CZ7" s="214">
        <v>335</v>
      </c>
      <c r="DA7" s="214">
        <v>335</v>
      </c>
      <c r="DB7" s="214">
        <v>335</v>
      </c>
      <c r="DC7" s="214">
        <v>335</v>
      </c>
      <c r="DD7" s="214">
        <v>335</v>
      </c>
      <c r="DE7" s="214">
        <v>335</v>
      </c>
      <c r="DF7" s="214">
        <v>335</v>
      </c>
      <c r="DG7" s="214">
        <v>345</v>
      </c>
      <c r="DH7" s="214">
        <v>345</v>
      </c>
      <c r="DI7" s="214">
        <v>345</v>
      </c>
      <c r="DJ7" s="214">
        <v>345</v>
      </c>
      <c r="DK7" s="214">
        <v>330</v>
      </c>
      <c r="DL7" s="214">
        <v>330</v>
      </c>
      <c r="DM7" s="214">
        <v>330</v>
      </c>
      <c r="DN7" s="214">
        <v>330</v>
      </c>
      <c r="DO7" s="214">
        <v>330</v>
      </c>
      <c r="DP7" s="214">
        <v>347.5</v>
      </c>
      <c r="DQ7" s="178"/>
      <c r="DR7" s="178"/>
    </row>
    <row r="8" spans="1:124">
      <c r="A8" s="178" t="str">
        <f t="shared" si="0"/>
        <v>Methanol-CHINAUSD</v>
      </c>
      <c r="B8" s="178" t="s">
        <v>37</v>
      </c>
      <c r="C8" s="178" t="s">
        <v>38</v>
      </c>
      <c r="D8" s="178" t="s">
        <v>33</v>
      </c>
      <c r="E8" s="178" t="s">
        <v>32</v>
      </c>
      <c r="F8" s="216">
        <v>336.49</v>
      </c>
      <c r="G8" s="216">
        <v>307.32</v>
      </c>
      <c r="H8" s="216">
        <v>286.76</v>
      </c>
      <c r="I8" s="216">
        <v>226.27</v>
      </c>
      <c r="J8" s="216">
        <v>244.95</v>
      </c>
      <c r="K8" s="216">
        <v>216.04</v>
      </c>
      <c r="L8" s="216">
        <v>230.37</v>
      </c>
      <c r="M8" s="216">
        <v>236.64</v>
      </c>
      <c r="N8" s="216">
        <v>275.17</v>
      </c>
      <c r="O8" s="216">
        <v>284.07</v>
      </c>
      <c r="P8" s="216">
        <v>297.61</v>
      </c>
      <c r="Q8" s="216">
        <v>343.26</v>
      </c>
      <c r="R8" s="214">
        <v>394.6</v>
      </c>
      <c r="S8" s="216">
        <v>369.69</v>
      </c>
      <c r="T8" s="216">
        <v>395.41</v>
      </c>
      <c r="U8" s="214">
        <v>367.9</v>
      </c>
      <c r="V8" s="214">
        <v>393.5</v>
      </c>
      <c r="W8" s="216">
        <v>435.74</v>
      </c>
      <c r="X8" s="216">
        <v>409.18</v>
      </c>
      <c r="Y8" s="216">
        <v>424.48</v>
      </c>
      <c r="Z8" s="216">
        <v>424.32</v>
      </c>
      <c r="AA8" s="216">
        <v>467.98</v>
      </c>
      <c r="AB8" s="216">
        <v>449.94</v>
      </c>
      <c r="AC8" s="216">
        <v>439.55</v>
      </c>
      <c r="AD8" s="216">
        <v>416.18</v>
      </c>
      <c r="AE8" s="216">
        <v>449.35</v>
      </c>
      <c r="AF8" s="214">
        <v>516.9</v>
      </c>
      <c r="AG8" s="216">
        <v>482.16</v>
      </c>
      <c r="AH8" s="216">
        <v>421.71</v>
      </c>
      <c r="AI8" s="216">
        <v>427.14</v>
      </c>
      <c r="AJ8" s="216">
        <v>377.24</v>
      </c>
      <c r="AK8" s="216">
        <v>374.18</v>
      </c>
      <c r="AL8" s="216">
        <v>373.62</v>
      </c>
      <c r="AM8" s="216">
        <v>397.78</v>
      </c>
      <c r="AN8" s="216">
        <v>396.14</v>
      </c>
      <c r="AO8" s="216">
        <v>392.04</v>
      </c>
      <c r="AP8" s="216">
        <v>392.33</v>
      </c>
      <c r="AQ8" s="216">
        <v>398.09</v>
      </c>
      <c r="AR8" s="214">
        <v>392.27</v>
      </c>
      <c r="AS8" s="214">
        <v>369.57</v>
      </c>
      <c r="AT8" s="214">
        <v>353.05</v>
      </c>
      <c r="AU8" s="214">
        <v>308.77999999999997</v>
      </c>
      <c r="AV8" s="214">
        <v>308.77999999999997</v>
      </c>
      <c r="AW8" s="214">
        <v>303.72000000000003</v>
      </c>
      <c r="AX8" s="214">
        <v>304.04000000000002</v>
      </c>
      <c r="AY8" s="214">
        <v>304.52</v>
      </c>
      <c r="AZ8" s="214">
        <v>305.58999999999997</v>
      </c>
      <c r="BA8" s="214">
        <v>326.83</v>
      </c>
      <c r="BB8" s="214">
        <v>325.62</v>
      </c>
      <c r="BC8" s="214">
        <v>325.24</v>
      </c>
      <c r="BD8" s="214">
        <v>325.11</v>
      </c>
      <c r="BE8" s="214">
        <v>325.11</v>
      </c>
      <c r="BF8" s="214">
        <v>350.84</v>
      </c>
      <c r="BG8" s="214">
        <v>350.84</v>
      </c>
      <c r="BH8" s="214">
        <v>350.84</v>
      </c>
      <c r="BI8" s="214">
        <v>351.01</v>
      </c>
      <c r="BJ8" s="214">
        <v>350.1</v>
      </c>
      <c r="BK8" s="214">
        <v>349.64</v>
      </c>
      <c r="BL8" s="214">
        <v>349.58</v>
      </c>
      <c r="BM8" s="214">
        <v>340.82</v>
      </c>
      <c r="BN8" s="214">
        <v>340.82</v>
      </c>
      <c r="BO8" s="214">
        <v>343.48</v>
      </c>
      <c r="BP8" s="214">
        <v>344.44</v>
      </c>
      <c r="BQ8" s="214">
        <v>349.73</v>
      </c>
      <c r="BR8" s="214">
        <v>349.54</v>
      </c>
      <c r="BS8" s="214">
        <v>349.54</v>
      </c>
      <c r="BT8" s="214">
        <v>352.51</v>
      </c>
      <c r="BU8" s="214">
        <v>352.16</v>
      </c>
      <c r="BV8" s="214">
        <v>352.16</v>
      </c>
      <c r="BW8" s="214">
        <v>360.6</v>
      </c>
      <c r="BX8" s="214">
        <v>360.6</v>
      </c>
      <c r="BY8" s="214">
        <v>360.6</v>
      </c>
      <c r="BZ8" s="214">
        <v>370.21</v>
      </c>
      <c r="CA8" s="214">
        <v>370.21</v>
      </c>
      <c r="CB8" s="214">
        <v>370.15</v>
      </c>
      <c r="CC8" s="214">
        <v>370.15</v>
      </c>
      <c r="CD8" s="214">
        <v>379.02</v>
      </c>
      <c r="CE8" s="214">
        <v>378.45</v>
      </c>
      <c r="CF8" s="214">
        <v>356.6</v>
      </c>
      <c r="CG8" s="214">
        <v>356.6</v>
      </c>
      <c r="CH8" s="214">
        <v>356.6</v>
      </c>
      <c r="CI8" s="214">
        <v>356.6</v>
      </c>
      <c r="CJ8" s="214">
        <v>371.92</v>
      </c>
      <c r="CK8" s="214">
        <v>371.92</v>
      </c>
      <c r="CL8" s="214">
        <v>371.92</v>
      </c>
      <c r="CM8" s="214">
        <v>371.92</v>
      </c>
      <c r="CN8" s="214">
        <v>371.92</v>
      </c>
      <c r="CO8" s="214">
        <v>374.77</v>
      </c>
      <c r="CP8" s="214">
        <v>370.59</v>
      </c>
      <c r="CQ8" s="214">
        <v>370.59</v>
      </c>
      <c r="CR8" s="214">
        <v>370.03</v>
      </c>
      <c r="CS8" s="214">
        <v>370.03</v>
      </c>
      <c r="CT8" s="214">
        <v>353.02</v>
      </c>
      <c r="CU8" s="214">
        <v>352.98</v>
      </c>
      <c r="CV8" s="214">
        <v>348.34</v>
      </c>
      <c r="CW8" s="214">
        <v>348.34</v>
      </c>
      <c r="CX8" s="214">
        <v>348.34</v>
      </c>
      <c r="CY8" s="214">
        <v>349.02</v>
      </c>
      <c r="CZ8" s="214">
        <v>350.01</v>
      </c>
      <c r="DA8" s="214">
        <v>347</v>
      </c>
      <c r="DB8" s="214">
        <v>347</v>
      </c>
      <c r="DC8" s="214">
        <v>347</v>
      </c>
      <c r="DD8" s="214">
        <v>347</v>
      </c>
      <c r="DE8" s="214">
        <v>348.8</v>
      </c>
      <c r="DF8" s="214">
        <v>348.8</v>
      </c>
      <c r="DG8" s="214">
        <v>369.12</v>
      </c>
      <c r="DH8" s="214">
        <v>369.12</v>
      </c>
      <c r="DI8" s="214">
        <v>368.91</v>
      </c>
      <c r="DJ8" s="214">
        <v>368.91</v>
      </c>
      <c r="DK8" s="214">
        <v>346.74</v>
      </c>
      <c r="DL8" s="214">
        <v>346.26</v>
      </c>
      <c r="DM8" s="214">
        <v>346.26</v>
      </c>
      <c r="DN8" s="214">
        <v>347.74</v>
      </c>
      <c r="DO8" s="214">
        <v>347.29</v>
      </c>
      <c r="DP8" s="214">
        <v>346.47</v>
      </c>
      <c r="DQ8" s="178"/>
      <c r="DR8" s="178"/>
    </row>
    <row r="9" spans="1:124">
      <c r="A9" s="178" t="str">
        <f t="shared" si="0"/>
        <v>EthyleneUSD</v>
      </c>
      <c r="B9" s="178" t="s">
        <v>39</v>
      </c>
      <c r="C9" s="178" t="s">
        <v>40</v>
      </c>
      <c r="D9" s="178" t="s">
        <v>33</v>
      </c>
      <c r="E9" s="178" t="s">
        <v>32</v>
      </c>
      <c r="F9" s="216">
        <v>1077</v>
      </c>
      <c r="G9" s="216">
        <v>1059</v>
      </c>
      <c r="H9" s="216">
        <v>1019</v>
      </c>
      <c r="I9" s="216">
        <v>782.44</v>
      </c>
      <c r="J9" s="216">
        <v>677.6</v>
      </c>
      <c r="K9" s="216">
        <v>765.27</v>
      </c>
      <c r="L9" s="216">
        <v>875.28</v>
      </c>
      <c r="M9" s="216">
        <v>928.66</v>
      </c>
      <c r="N9" s="216">
        <v>925.21</v>
      </c>
      <c r="O9" s="216">
        <v>911.97</v>
      </c>
      <c r="P9" s="216">
        <v>918.08</v>
      </c>
      <c r="Q9" s="216">
        <v>967.72</v>
      </c>
      <c r="R9" s="216">
        <v>1046</v>
      </c>
      <c r="S9" s="216">
        <v>1125</v>
      </c>
      <c r="T9" s="216">
        <v>1196</v>
      </c>
      <c r="U9" s="216">
        <v>1250</v>
      </c>
      <c r="V9" s="216">
        <v>1275</v>
      </c>
      <c r="W9" s="216">
        <v>1300</v>
      </c>
      <c r="X9" s="216">
        <v>1325</v>
      </c>
      <c r="Y9" s="216">
        <v>1381</v>
      </c>
      <c r="Z9" s="216">
        <v>1371</v>
      </c>
      <c r="AA9" s="216">
        <v>1380</v>
      </c>
      <c r="AB9" s="216">
        <v>1462</v>
      </c>
      <c r="AC9" s="216">
        <v>1439</v>
      </c>
      <c r="AD9" s="216">
        <v>1441</v>
      </c>
      <c r="AE9" s="216">
        <v>1520</v>
      </c>
      <c r="AF9" s="216">
        <v>1579</v>
      </c>
      <c r="AG9" s="216">
        <v>1800</v>
      </c>
      <c r="AH9" s="216">
        <v>1687</v>
      </c>
      <c r="AI9" s="216">
        <v>1685</v>
      </c>
      <c r="AJ9" s="216">
        <v>1524</v>
      </c>
      <c r="AK9" s="216">
        <v>1442</v>
      </c>
      <c r="AL9" s="216">
        <v>1295</v>
      </c>
      <c r="AM9" s="216">
        <v>1239</v>
      </c>
      <c r="AN9" s="216">
        <v>1322</v>
      </c>
      <c r="AO9" s="216">
        <v>1345</v>
      </c>
      <c r="AP9" s="216">
        <v>1267</v>
      </c>
      <c r="AQ9" s="216">
        <v>1348</v>
      </c>
      <c r="AR9" s="214">
        <v>1381</v>
      </c>
      <c r="AS9" s="214">
        <v>1374</v>
      </c>
      <c r="AT9" s="214">
        <v>1349</v>
      </c>
      <c r="AU9" s="214">
        <v>1254</v>
      </c>
      <c r="AV9" s="214">
        <v>1254</v>
      </c>
      <c r="AW9" s="214">
        <v>1232</v>
      </c>
      <c r="AX9" s="214">
        <v>1239</v>
      </c>
      <c r="AY9" s="214">
        <v>1238</v>
      </c>
      <c r="AZ9" s="214">
        <v>1232</v>
      </c>
      <c r="BA9" s="214">
        <v>1229</v>
      </c>
      <c r="BB9" s="214">
        <v>1225</v>
      </c>
      <c r="BC9" s="214">
        <v>1223</v>
      </c>
      <c r="BD9" s="214">
        <v>1222</v>
      </c>
      <c r="BE9" s="214">
        <v>1287</v>
      </c>
      <c r="BF9" s="214">
        <v>1277</v>
      </c>
      <c r="BG9" s="214">
        <v>1277</v>
      </c>
      <c r="BH9" s="214">
        <v>1277</v>
      </c>
      <c r="BI9" s="214">
        <v>1330</v>
      </c>
      <c r="BJ9" s="214">
        <v>1331</v>
      </c>
      <c r="BK9" s="214">
        <v>1331</v>
      </c>
      <c r="BL9" s="214">
        <v>1332</v>
      </c>
      <c r="BM9" s="214">
        <v>1299</v>
      </c>
      <c r="BN9" s="214">
        <v>1299</v>
      </c>
      <c r="BO9" s="214">
        <v>1310</v>
      </c>
      <c r="BP9" s="214">
        <v>1293</v>
      </c>
      <c r="BQ9" s="214">
        <v>1286</v>
      </c>
      <c r="BR9" s="214">
        <v>1289</v>
      </c>
      <c r="BS9" s="214">
        <v>1294</v>
      </c>
      <c r="BT9" s="214">
        <v>1304</v>
      </c>
      <c r="BU9" s="214">
        <v>1296</v>
      </c>
      <c r="BV9" s="214">
        <v>1296</v>
      </c>
      <c r="BW9" s="214">
        <v>1296</v>
      </c>
      <c r="BX9" s="214">
        <v>1296</v>
      </c>
      <c r="BY9" s="214">
        <v>1296</v>
      </c>
      <c r="BZ9" s="214">
        <v>1284</v>
      </c>
      <c r="CA9" s="214">
        <v>1284</v>
      </c>
      <c r="CB9" s="214">
        <v>1327</v>
      </c>
      <c r="CC9" s="214">
        <v>1327</v>
      </c>
      <c r="CD9" s="214">
        <v>1329</v>
      </c>
      <c r="CE9" s="214">
        <v>1326</v>
      </c>
      <c r="CF9" s="214">
        <v>1356</v>
      </c>
      <c r="CG9" s="214">
        <v>1356</v>
      </c>
      <c r="CH9" s="214">
        <v>1356</v>
      </c>
      <c r="CI9" s="214">
        <v>1339</v>
      </c>
      <c r="CJ9" s="214">
        <v>1339</v>
      </c>
      <c r="CK9" s="214">
        <v>1346</v>
      </c>
      <c r="CL9" s="214">
        <v>1346</v>
      </c>
      <c r="CM9" s="214">
        <v>1346</v>
      </c>
      <c r="CN9" s="214">
        <v>1346</v>
      </c>
      <c r="CO9" s="214">
        <v>1324</v>
      </c>
      <c r="CP9" s="214">
        <v>1314</v>
      </c>
      <c r="CQ9" s="214">
        <v>1314</v>
      </c>
      <c r="CR9" s="214">
        <v>1309</v>
      </c>
      <c r="CS9" s="214">
        <v>1309</v>
      </c>
      <c r="CT9" s="214">
        <v>1319</v>
      </c>
      <c r="CU9" s="214">
        <v>1324</v>
      </c>
      <c r="CV9" s="214">
        <v>1324</v>
      </c>
      <c r="CW9" s="214">
        <v>1350</v>
      </c>
      <c r="CX9" s="214">
        <v>1350</v>
      </c>
      <c r="CY9" s="214">
        <v>1357</v>
      </c>
      <c r="CZ9" s="214">
        <v>1365</v>
      </c>
      <c r="DA9" s="214">
        <v>1346</v>
      </c>
      <c r="DB9" s="214">
        <v>1346</v>
      </c>
      <c r="DC9" s="214">
        <v>1346</v>
      </c>
      <c r="DD9" s="214">
        <v>1346</v>
      </c>
      <c r="DE9" s="214">
        <v>1311</v>
      </c>
      <c r="DF9" s="214">
        <v>1302</v>
      </c>
      <c r="DG9" s="214">
        <v>1302</v>
      </c>
      <c r="DH9" s="214">
        <v>1290</v>
      </c>
      <c r="DI9" s="214">
        <v>1314</v>
      </c>
      <c r="DJ9" s="214">
        <v>1310</v>
      </c>
      <c r="DK9" s="214">
        <v>1291</v>
      </c>
      <c r="DL9" s="214">
        <v>1288</v>
      </c>
      <c r="DM9" s="214">
        <v>1288</v>
      </c>
      <c r="DN9" s="214">
        <v>1270</v>
      </c>
      <c r="DO9" s="214">
        <v>1268</v>
      </c>
      <c r="DP9" s="214">
        <v>1265</v>
      </c>
      <c r="DQ9" s="178"/>
      <c r="DR9" s="178"/>
    </row>
    <row r="10" spans="1:124">
      <c r="A10" s="178" t="str">
        <f t="shared" si="0"/>
        <v>EthyleneUSD</v>
      </c>
      <c r="B10" s="178" t="s">
        <v>39</v>
      </c>
      <c r="C10" s="178" t="s">
        <v>40</v>
      </c>
      <c r="D10" s="178" t="s">
        <v>33</v>
      </c>
      <c r="E10" s="178" t="s">
        <v>34</v>
      </c>
      <c r="F10" s="216">
        <f>F9/1000</f>
        <v>1.077</v>
      </c>
      <c r="G10" s="216">
        <f t="shared" ref="G10:BR10" si="4">G9/1000</f>
        <v>1.0589999999999999</v>
      </c>
      <c r="H10" s="216">
        <f t="shared" si="4"/>
        <v>1.0189999999999999</v>
      </c>
      <c r="I10" s="216">
        <f t="shared" si="4"/>
        <v>0.78244000000000002</v>
      </c>
      <c r="J10" s="216">
        <f t="shared" si="4"/>
        <v>0.67759999999999998</v>
      </c>
      <c r="K10" s="216">
        <f t="shared" si="4"/>
        <v>0.76527000000000001</v>
      </c>
      <c r="L10" s="216">
        <f t="shared" si="4"/>
        <v>0.87527999999999995</v>
      </c>
      <c r="M10" s="216">
        <f t="shared" si="4"/>
        <v>0.92865999999999993</v>
      </c>
      <c r="N10" s="216">
        <f t="shared" si="4"/>
        <v>0.92521000000000009</v>
      </c>
      <c r="O10" s="216">
        <f t="shared" si="4"/>
        <v>0.91197000000000006</v>
      </c>
      <c r="P10" s="216">
        <f t="shared" si="4"/>
        <v>0.91808000000000001</v>
      </c>
      <c r="Q10" s="216">
        <f t="shared" si="4"/>
        <v>0.96772000000000002</v>
      </c>
      <c r="R10" s="216">
        <f t="shared" si="4"/>
        <v>1.046</v>
      </c>
      <c r="S10" s="216">
        <f t="shared" si="4"/>
        <v>1.125</v>
      </c>
      <c r="T10" s="216">
        <f t="shared" si="4"/>
        <v>1.196</v>
      </c>
      <c r="U10" s="216">
        <f t="shared" si="4"/>
        <v>1.25</v>
      </c>
      <c r="V10" s="216">
        <f t="shared" si="4"/>
        <v>1.2749999999999999</v>
      </c>
      <c r="W10" s="216">
        <f t="shared" si="4"/>
        <v>1.3</v>
      </c>
      <c r="X10" s="216">
        <f t="shared" si="4"/>
        <v>1.325</v>
      </c>
      <c r="Y10" s="216">
        <f t="shared" si="4"/>
        <v>1.381</v>
      </c>
      <c r="Z10" s="216">
        <f t="shared" si="4"/>
        <v>1.371</v>
      </c>
      <c r="AA10" s="216">
        <f t="shared" si="4"/>
        <v>1.38</v>
      </c>
      <c r="AB10" s="216">
        <f t="shared" si="4"/>
        <v>1.462</v>
      </c>
      <c r="AC10" s="216">
        <f t="shared" si="4"/>
        <v>1.4390000000000001</v>
      </c>
      <c r="AD10" s="216">
        <f t="shared" si="4"/>
        <v>1.4410000000000001</v>
      </c>
      <c r="AE10" s="216">
        <f t="shared" si="4"/>
        <v>1.52</v>
      </c>
      <c r="AF10" s="216">
        <f t="shared" si="4"/>
        <v>1.579</v>
      </c>
      <c r="AG10" s="216">
        <f t="shared" si="4"/>
        <v>1.8</v>
      </c>
      <c r="AH10" s="216">
        <f t="shared" si="4"/>
        <v>1.6870000000000001</v>
      </c>
      <c r="AI10" s="216">
        <f t="shared" si="4"/>
        <v>1.6850000000000001</v>
      </c>
      <c r="AJ10" s="216">
        <f t="shared" si="4"/>
        <v>1.524</v>
      </c>
      <c r="AK10" s="216">
        <f t="shared" si="4"/>
        <v>1.4419999999999999</v>
      </c>
      <c r="AL10" s="216">
        <f t="shared" si="4"/>
        <v>1.2949999999999999</v>
      </c>
      <c r="AM10" s="216">
        <f t="shared" si="4"/>
        <v>1.2390000000000001</v>
      </c>
      <c r="AN10" s="216">
        <f t="shared" si="4"/>
        <v>1.3220000000000001</v>
      </c>
      <c r="AO10" s="216">
        <f t="shared" si="4"/>
        <v>1.345</v>
      </c>
      <c r="AP10" s="216">
        <f t="shared" si="4"/>
        <v>1.2669999999999999</v>
      </c>
      <c r="AQ10" s="216">
        <f t="shared" si="4"/>
        <v>1.3480000000000001</v>
      </c>
      <c r="AR10" s="216">
        <f t="shared" si="4"/>
        <v>1.381</v>
      </c>
      <c r="AS10" s="216">
        <f t="shared" si="4"/>
        <v>1.3740000000000001</v>
      </c>
      <c r="AT10" s="216">
        <f t="shared" si="4"/>
        <v>1.349</v>
      </c>
      <c r="AU10" s="216">
        <f t="shared" si="4"/>
        <v>1.254</v>
      </c>
      <c r="AV10" s="216">
        <f t="shared" si="4"/>
        <v>1.254</v>
      </c>
      <c r="AW10" s="216">
        <f t="shared" si="4"/>
        <v>1.232</v>
      </c>
      <c r="AX10" s="216">
        <f t="shared" si="4"/>
        <v>1.2390000000000001</v>
      </c>
      <c r="AY10" s="216">
        <f t="shared" si="4"/>
        <v>1.238</v>
      </c>
      <c r="AZ10" s="216">
        <f t="shared" si="4"/>
        <v>1.232</v>
      </c>
      <c r="BA10" s="216">
        <f t="shared" si="4"/>
        <v>1.2290000000000001</v>
      </c>
      <c r="BB10" s="216">
        <f t="shared" si="4"/>
        <v>1.2250000000000001</v>
      </c>
      <c r="BC10" s="216">
        <f t="shared" si="4"/>
        <v>1.2230000000000001</v>
      </c>
      <c r="BD10" s="216">
        <f t="shared" si="4"/>
        <v>1.222</v>
      </c>
      <c r="BE10" s="216">
        <f t="shared" si="4"/>
        <v>1.2869999999999999</v>
      </c>
      <c r="BF10" s="216">
        <f t="shared" si="4"/>
        <v>1.2769999999999999</v>
      </c>
      <c r="BG10" s="216">
        <f t="shared" si="4"/>
        <v>1.2769999999999999</v>
      </c>
      <c r="BH10" s="216">
        <f t="shared" si="4"/>
        <v>1.2769999999999999</v>
      </c>
      <c r="BI10" s="216">
        <f t="shared" si="4"/>
        <v>1.33</v>
      </c>
      <c r="BJ10" s="216">
        <f t="shared" si="4"/>
        <v>1.331</v>
      </c>
      <c r="BK10" s="216">
        <f t="shared" si="4"/>
        <v>1.331</v>
      </c>
      <c r="BL10" s="216">
        <f t="shared" si="4"/>
        <v>1.3320000000000001</v>
      </c>
      <c r="BM10" s="216">
        <f t="shared" si="4"/>
        <v>1.2989999999999999</v>
      </c>
      <c r="BN10" s="216">
        <f t="shared" si="4"/>
        <v>1.2989999999999999</v>
      </c>
      <c r="BO10" s="216">
        <f t="shared" si="4"/>
        <v>1.31</v>
      </c>
      <c r="BP10" s="216">
        <f t="shared" si="4"/>
        <v>1.2929999999999999</v>
      </c>
      <c r="BQ10" s="216">
        <f t="shared" si="4"/>
        <v>1.286</v>
      </c>
      <c r="BR10" s="216">
        <f t="shared" si="4"/>
        <v>1.2889999999999999</v>
      </c>
      <c r="BS10" s="216">
        <f>BS9/1000</f>
        <v>1.294</v>
      </c>
      <c r="BT10" s="216">
        <f t="shared" ref="BT10:DP10" si="5">BT9/1000</f>
        <v>1.304</v>
      </c>
      <c r="BU10" s="216">
        <f t="shared" si="5"/>
        <v>1.296</v>
      </c>
      <c r="BV10" s="216">
        <f t="shared" si="5"/>
        <v>1.296</v>
      </c>
      <c r="BW10" s="216">
        <f t="shared" si="5"/>
        <v>1.296</v>
      </c>
      <c r="BX10" s="216">
        <f t="shared" si="5"/>
        <v>1.296</v>
      </c>
      <c r="BY10" s="216">
        <f t="shared" si="5"/>
        <v>1.296</v>
      </c>
      <c r="BZ10" s="216">
        <f t="shared" si="5"/>
        <v>1.284</v>
      </c>
      <c r="CA10" s="216">
        <f t="shared" si="5"/>
        <v>1.284</v>
      </c>
      <c r="CB10" s="216">
        <f t="shared" si="5"/>
        <v>1.327</v>
      </c>
      <c r="CC10" s="216">
        <f t="shared" si="5"/>
        <v>1.327</v>
      </c>
      <c r="CD10" s="216">
        <f t="shared" si="5"/>
        <v>1.329</v>
      </c>
      <c r="CE10" s="216">
        <f t="shared" si="5"/>
        <v>1.3260000000000001</v>
      </c>
      <c r="CF10" s="216">
        <f t="shared" si="5"/>
        <v>1.3560000000000001</v>
      </c>
      <c r="CG10" s="216">
        <f t="shared" si="5"/>
        <v>1.3560000000000001</v>
      </c>
      <c r="CH10" s="216">
        <f t="shared" si="5"/>
        <v>1.3560000000000001</v>
      </c>
      <c r="CI10" s="216">
        <f t="shared" si="5"/>
        <v>1.339</v>
      </c>
      <c r="CJ10" s="216">
        <f t="shared" si="5"/>
        <v>1.339</v>
      </c>
      <c r="CK10" s="216">
        <f t="shared" si="5"/>
        <v>1.3460000000000001</v>
      </c>
      <c r="CL10" s="216">
        <f t="shared" si="5"/>
        <v>1.3460000000000001</v>
      </c>
      <c r="CM10" s="216">
        <f t="shared" si="5"/>
        <v>1.3460000000000001</v>
      </c>
      <c r="CN10" s="216">
        <f t="shared" si="5"/>
        <v>1.3460000000000001</v>
      </c>
      <c r="CO10" s="216">
        <f t="shared" si="5"/>
        <v>1.3240000000000001</v>
      </c>
      <c r="CP10" s="216">
        <f t="shared" si="5"/>
        <v>1.3140000000000001</v>
      </c>
      <c r="CQ10" s="216">
        <f t="shared" si="5"/>
        <v>1.3140000000000001</v>
      </c>
      <c r="CR10" s="216">
        <f t="shared" si="5"/>
        <v>1.3089999999999999</v>
      </c>
      <c r="CS10" s="216">
        <f t="shared" si="5"/>
        <v>1.3089999999999999</v>
      </c>
      <c r="CT10" s="216">
        <f t="shared" si="5"/>
        <v>1.319</v>
      </c>
      <c r="CU10" s="216">
        <f t="shared" si="5"/>
        <v>1.3240000000000001</v>
      </c>
      <c r="CV10" s="216">
        <f t="shared" si="5"/>
        <v>1.3240000000000001</v>
      </c>
      <c r="CW10" s="216">
        <f t="shared" si="5"/>
        <v>1.35</v>
      </c>
      <c r="CX10" s="216">
        <f t="shared" si="5"/>
        <v>1.35</v>
      </c>
      <c r="CY10" s="216">
        <f t="shared" si="5"/>
        <v>1.357</v>
      </c>
      <c r="CZ10" s="216">
        <f t="shared" si="5"/>
        <v>1.365</v>
      </c>
      <c r="DA10" s="216">
        <f t="shared" si="5"/>
        <v>1.3460000000000001</v>
      </c>
      <c r="DB10" s="216">
        <f t="shared" si="5"/>
        <v>1.3460000000000001</v>
      </c>
      <c r="DC10" s="216">
        <f t="shared" si="5"/>
        <v>1.3460000000000001</v>
      </c>
      <c r="DD10" s="216">
        <f t="shared" si="5"/>
        <v>1.3460000000000001</v>
      </c>
      <c r="DE10" s="216">
        <f t="shared" si="5"/>
        <v>1.3109999999999999</v>
      </c>
      <c r="DF10" s="216">
        <f t="shared" si="5"/>
        <v>1.302</v>
      </c>
      <c r="DG10" s="216">
        <f t="shared" si="5"/>
        <v>1.302</v>
      </c>
      <c r="DH10" s="216">
        <f t="shared" si="5"/>
        <v>1.29</v>
      </c>
      <c r="DI10" s="216">
        <f t="shared" si="5"/>
        <v>1.3140000000000001</v>
      </c>
      <c r="DJ10" s="216">
        <f t="shared" si="5"/>
        <v>1.31</v>
      </c>
      <c r="DK10" s="216">
        <f t="shared" si="5"/>
        <v>1.2909999999999999</v>
      </c>
      <c r="DL10" s="216">
        <f t="shared" si="5"/>
        <v>1.288</v>
      </c>
      <c r="DM10" s="216">
        <f t="shared" si="5"/>
        <v>1.288</v>
      </c>
      <c r="DN10" s="216">
        <f t="shared" si="5"/>
        <v>1.27</v>
      </c>
      <c r="DO10" s="216">
        <f t="shared" si="5"/>
        <v>1.268</v>
      </c>
      <c r="DP10" s="216">
        <f t="shared" si="5"/>
        <v>1.2649999999999999</v>
      </c>
      <c r="DQ10" s="178"/>
      <c r="DR10" s="178"/>
    </row>
    <row r="11" spans="1:124">
      <c r="A11" s="178" t="str">
        <f t="shared" si="0"/>
        <v>ChlorineINR</v>
      </c>
      <c r="B11" s="178" t="s">
        <v>41</v>
      </c>
      <c r="C11" s="178" t="s">
        <v>42</v>
      </c>
      <c r="D11" s="178" t="s">
        <v>43</v>
      </c>
      <c r="E11" s="178" t="s">
        <v>34</v>
      </c>
      <c r="F11" s="214">
        <v>4</v>
      </c>
      <c r="G11" s="214">
        <v>4</v>
      </c>
      <c r="H11" s="214">
        <v>4</v>
      </c>
      <c r="I11" s="214">
        <v>4</v>
      </c>
      <c r="J11" s="214">
        <v>4</v>
      </c>
      <c r="K11" s="214">
        <v>4</v>
      </c>
      <c r="L11" s="214">
        <v>4</v>
      </c>
      <c r="M11" s="214">
        <v>4</v>
      </c>
      <c r="N11" s="214">
        <v>4</v>
      </c>
      <c r="O11" s="214">
        <v>4</v>
      </c>
      <c r="P11" s="214">
        <v>4</v>
      </c>
      <c r="Q11" s="214">
        <v>4</v>
      </c>
      <c r="R11" s="214">
        <v>4</v>
      </c>
      <c r="S11" s="214">
        <v>4</v>
      </c>
      <c r="T11" s="214">
        <v>4</v>
      </c>
      <c r="U11" s="214">
        <v>4</v>
      </c>
      <c r="V11" s="214">
        <v>4</v>
      </c>
      <c r="W11" s="214">
        <v>4</v>
      </c>
      <c r="X11" s="214">
        <v>4</v>
      </c>
      <c r="Y11" s="214">
        <v>4</v>
      </c>
      <c r="Z11" s="214">
        <v>4</v>
      </c>
      <c r="AA11" s="214">
        <v>4</v>
      </c>
      <c r="AB11" s="214">
        <v>4</v>
      </c>
      <c r="AC11" s="214">
        <v>4</v>
      </c>
      <c r="AD11" s="214">
        <v>4</v>
      </c>
      <c r="AE11" s="214">
        <v>4</v>
      </c>
      <c r="AF11" s="214">
        <v>4</v>
      </c>
      <c r="AG11" s="214">
        <v>4</v>
      </c>
      <c r="AH11" s="214">
        <v>4</v>
      </c>
      <c r="AI11" s="214">
        <v>4</v>
      </c>
      <c r="AJ11" s="214">
        <v>4</v>
      </c>
      <c r="AK11" s="214">
        <v>4</v>
      </c>
      <c r="AL11" s="214">
        <v>4</v>
      </c>
      <c r="AM11" s="214">
        <v>4</v>
      </c>
      <c r="AN11" s="214">
        <v>4</v>
      </c>
      <c r="AO11" s="214">
        <v>4</v>
      </c>
      <c r="AP11" s="214">
        <v>4</v>
      </c>
      <c r="AQ11" s="214">
        <v>4</v>
      </c>
      <c r="AR11" s="214">
        <v>4</v>
      </c>
      <c r="AS11" s="214">
        <v>4</v>
      </c>
      <c r="AT11" s="214">
        <v>4</v>
      </c>
      <c r="AU11" s="214">
        <v>4</v>
      </c>
      <c r="AV11" s="214">
        <v>4</v>
      </c>
      <c r="AW11" s="214">
        <v>4</v>
      </c>
      <c r="AX11" s="214">
        <v>4</v>
      </c>
      <c r="AY11" s="214">
        <v>4</v>
      </c>
      <c r="AZ11" s="214">
        <v>4</v>
      </c>
      <c r="BA11" s="214">
        <v>4</v>
      </c>
      <c r="BB11" s="214">
        <v>4</v>
      </c>
      <c r="BC11" s="214">
        <v>4</v>
      </c>
      <c r="BD11" s="214">
        <v>4</v>
      </c>
      <c r="BE11" s="214">
        <v>4</v>
      </c>
      <c r="BF11" s="214">
        <v>4</v>
      </c>
      <c r="BG11" s="214">
        <v>4</v>
      </c>
      <c r="BH11" s="214">
        <v>4</v>
      </c>
      <c r="BI11" s="214">
        <v>4</v>
      </c>
      <c r="BJ11" s="214">
        <v>4</v>
      </c>
      <c r="BK11" s="214">
        <v>4</v>
      </c>
      <c r="BL11" s="214">
        <v>4</v>
      </c>
      <c r="BM11" s="214">
        <v>4</v>
      </c>
      <c r="BN11" s="214">
        <v>4</v>
      </c>
      <c r="BO11" s="214">
        <v>4</v>
      </c>
      <c r="BP11" s="214">
        <v>4</v>
      </c>
      <c r="BQ11" s="214">
        <v>4</v>
      </c>
      <c r="BR11" s="214">
        <v>4</v>
      </c>
      <c r="BS11" s="214">
        <v>4</v>
      </c>
      <c r="BT11" s="214">
        <v>4</v>
      </c>
      <c r="BU11" s="214">
        <v>4</v>
      </c>
      <c r="BV11" s="214">
        <v>4</v>
      </c>
      <c r="BW11" s="214">
        <v>4</v>
      </c>
      <c r="BX11" s="214">
        <v>4</v>
      </c>
      <c r="BY11" s="214">
        <v>4</v>
      </c>
      <c r="BZ11" s="214">
        <v>4</v>
      </c>
      <c r="CA11" s="214">
        <v>4</v>
      </c>
      <c r="CB11" s="214">
        <v>4</v>
      </c>
      <c r="CC11" s="214">
        <v>4</v>
      </c>
      <c r="CD11" s="214">
        <v>4</v>
      </c>
      <c r="CE11" s="214">
        <v>4</v>
      </c>
      <c r="CF11" s="214">
        <v>4</v>
      </c>
      <c r="CG11" s="214">
        <v>4</v>
      </c>
      <c r="CH11" s="214">
        <v>4</v>
      </c>
      <c r="CI11" s="214">
        <v>4</v>
      </c>
      <c r="CJ11" s="214">
        <v>4</v>
      </c>
      <c r="CK11" s="214">
        <v>4</v>
      </c>
      <c r="CL11" s="214">
        <v>4</v>
      </c>
      <c r="CM11" s="214">
        <v>4</v>
      </c>
      <c r="CN11" s="214">
        <v>4</v>
      </c>
      <c r="CO11" s="214">
        <v>4</v>
      </c>
      <c r="CP11" s="214">
        <v>4</v>
      </c>
      <c r="CQ11" s="214">
        <v>4</v>
      </c>
      <c r="CR11" s="214">
        <v>4</v>
      </c>
      <c r="CS11" s="214">
        <v>4</v>
      </c>
      <c r="CT11" s="214">
        <v>4</v>
      </c>
      <c r="CU11" s="214">
        <v>4</v>
      </c>
      <c r="CV11" s="214">
        <v>4</v>
      </c>
      <c r="CW11" s="214">
        <v>4</v>
      </c>
      <c r="CX11" s="214">
        <v>4</v>
      </c>
      <c r="CY11" s="214">
        <v>4</v>
      </c>
      <c r="CZ11" s="214">
        <v>4</v>
      </c>
      <c r="DA11" s="214">
        <v>4</v>
      </c>
      <c r="DB11" s="214">
        <v>4</v>
      </c>
      <c r="DC11" s="214">
        <v>4</v>
      </c>
      <c r="DD11" s="214">
        <v>4</v>
      </c>
      <c r="DE11" s="214">
        <v>4</v>
      </c>
      <c r="DF11" s="214">
        <v>4</v>
      </c>
      <c r="DG11" s="214">
        <v>4</v>
      </c>
      <c r="DH11" s="214">
        <v>4</v>
      </c>
      <c r="DI11" s="214">
        <v>4</v>
      </c>
      <c r="DJ11" s="214">
        <v>4</v>
      </c>
      <c r="DK11" s="214">
        <v>4</v>
      </c>
      <c r="DL11" s="214">
        <v>4</v>
      </c>
      <c r="DM11" s="214">
        <v>4</v>
      </c>
      <c r="DN11" s="214">
        <v>4</v>
      </c>
      <c r="DO11" s="214">
        <v>4</v>
      </c>
      <c r="DP11" s="214">
        <v>4</v>
      </c>
      <c r="DQ11" s="214">
        <v>4</v>
      </c>
      <c r="DR11" s="214">
        <v>4</v>
      </c>
    </row>
    <row r="12" spans="1:124">
      <c r="A12" s="178" t="str">
        <f t="shared" si="0"/>
        <v>Anhydrous Ammonia GasINR</v>
      </c>
      <c r="B12" s="178" t="s">
        <v>44</v>
      </c>
      <c r="C12" s="178" t="s">
        <v>45</v>
      </c>
      <c r="D12" s="178" t="s">
        <v>43</v>
      </c>
      <c r="E12" s="178" t="s">
        <v>34</v>
      </c>
      <c r="F12" s="216">
        <v>36.089920948616601</v>
      </c>
      <c r="G12" s="216">
        <v>36.208653846153844</v>
      </c>
      <c r="H12" s="216">
        <v>36.158999999999999</v>
      </c>
      <c r="I12" s="216">
        <v>35.536999999999999</v>
      </c>
      <c r="J12" s="216">
        <v>35.760909090909088</v>
      </c>
      <c r="K12" s="216">
        <v>33.440360739348137</v>
      </c>
      <c r="L12" s="216">
        <v>32.536999999999999</v>
      </c>
      <c r="M12" s="216">
        <v>31.726461538461539</v>
      </c>
      <c r="N12" s="216">
        <v>31.791438916547715</v>
      </c>
      <c r="O12" s="216">
        <v>31.536999999999999</v>
      </c>
      <c r="P12" s="216">
        <v>31.536999999999999</v>
      </c>
      <c r="Q12" s="216">
        <v>33.235294117647058</v>
      </c>
      <c r="R12" s="216">
        <v>34.833333333333336</v>
      </c>
      <c r="S12" s="216">
        <v>37</v>
      </c>
      <c r="T12" s="216">
        <v>37</v>
      </c>
      <c r="U12" s="216">
        <v>39.724675324675324</v>
      </c>
      <c r="V12" s="216">
        <v>43.5</v>
      </c>
      <c r="W12" s="216">
        <v>46.647798742138363</v>
      </c>
      <c r="X12" s="216">
        <v>54.102564102564102</v>
      </c>
      <c r="Y12" s="216">
        <v>54.054820415879014</v>
      </c>
      <c r="Z12" s="216">
        <v>55.061728395061728</v>
      </c>
      <c r="AA12" s="216">
        <v>59.305134352523588</v>
      </c>
      <c r="AB12" s="216">
        <v>61.130434782608695</v>
      </c>
      <c r="AC12" s="216">
        <v>63.816326530612244</v>
      </c>
      <c r="AD12" s="216">
        <v>78.654843832715727</v>
      </c>
      <c r="AE12" s="216">
        <v>90.390287608637223</v>
      </c>
      <c r="AF12" s="216">
        <v>101.21875</v>
      </c>
      <c r="AG12" s="216">
        <v>96.321766561514195</v>
      </c>
      <c r="AH12" s="216">
        <v>86.92307692307692</v>
      </c>
      <c r="AI12" s="216">
        <v>87.285714285714292</v>
      </c>
      <c r="AJ12" s="216">
        <v>86.203087885985752</v>
      </c>
      <c r="AK12" s="216">
        <v>86.348341232227483</v>
      </c>
      <c r="AL12" s="216">
        <v>84.642857142857139</v>
      </c>
      <c r="AM12" s="216">
        <v>88.433333333333337</v>
      </c>
      <c r="AN12" s="216">
        <v>93.142857142857139</v>
      </c>
      <c r="AO12" s="216">
        <v>89.2</v>
      </c>
      <c r="AP12" s="216">
        <v>81.7</v>
      </c>
      <c r="AQ12" s="216">
        <v>76</v>
      </c>
      <c r="AR12" s="216">
        <v>74</v>
      </c>
      <c r="AS12" s="216">
        <v>61.4</v>
      </c>
      <c r="AT12" s="216">
        <v>58</v>
      </c>
      <c r="AU12" s="216">
        <v>51</v>
      </c>
      <c r="AV12" s="216">
        <v>51</v>
      </c>
      <c r="AW12" s="216">
        <v>51</v>
      </c>
      <c r="AX12" s="216">
        <v>51</v>
      </c>
      <c r="AY12" s="216">
        <v>49</v>
      </c>
      <c r="AZ12" s="216">
        <v>49</v>
      </c>
      <c r="BA12" s="216">
        <v>49</v>
      </c>
      <c r="BB12" s="216">
        <v>49</v>
      </c>
      <c r="BC12" s="216">
        <v>49</v>
      </c>
      <c r="BD12" s="216">
        <v>49</v>
      </c>
      <c r="BE12" s="216">
        <v>47</v>
      </c>
      <c r="BF12" s="214">
        <v>49</v>
      </c>
      <c r="BG12" s="214">
        <v>49</v>
      </c>
      <c r="BH12" s="214">
        <v>57</v>
      </c>
      <c r="BI12" s="214">
        <v>57</v>
      </c>
      <c r="BJ12" s="214">
        <v>55</v>
      </c>
      <c r="BK12" s="214">
        <v>58</v>
      </c>
      <c r="BL12" s="214">
        <v>58</v>
      </c>
      <c r="BM12" s="214">
        <v>58</v>
      </c>
      <c r="BN12" s="214">
        <v>58</v>
      </c>
      <c r="BO12" s="214">
        <v>58</v>
      </c>
      <c r="BP12" s="214">
        <v>58</v>
      </c>
      <c r="BQ12" s="214">
        <v>53</v>
      </c>
      <c r="BR12" s="214">
        <v>54</v>
      </c>
      <c r="BS12" s="214">
        <v>54</v>
      </c>
      <c r="BT12" s="214">
        <v>52.5</v>
      </c>
      <c r="BU12" s="214">
        <v>55</v>
      </c>
      <c r="BV12" s="214">
        <v>55</v>
      </c>
      <c r="BW12" s="214">
        <v>56</v>
      </c>
      <c r="BX12" s="214">
        <v>56</v>
      </c>
      <c r="BY12" s="214">
        <v>56</v>
      </c>
      <c r="BZ12" s="214">
        <v>56</v>
      </c>
      <c r="CA12" s="214">
        <v>56</v>
      </c>
      <c r="CB12" s="214">
        <v>53</v>
      </c>
      <c r="CC12" s="214">
        <v>53</v>
      </c>
      <c r="CD12" s="214">
        <v>53</v>
      </c>
      <c r="CE12" s="214">
        <v>53</v>
      </c>
      <c r="CF12" s="214">
        <v>53</v>
      </c>
      <c r="CG12" s="214">
        <v>53</v>
      </c>
      <c r="CH12" s="214">
        <v>53</v>
      </c>
      <c r="CI12" s="214">
        <v>55</v>
      </c>
      <c r="CJ12" s="214">
        <v>55</v>
      </c>
      <c r="CK12" s="214">
        <v>55</v>
      </c>
      <c r="CL12" s="178">
        <v>52</v>
      </c>
      <c r="CM12" s="178">
        <v>52</v>
      </c>
      <c r="CN12" s="214">
        <v>52</v>
      </c>
      <c r="CO12" s="214">
        <v>52</v>
      </c>
      <c r="CP12" s="214">
        <v>54</v>
      </c>
      <c r="CQ12" s="214">
        <v>54</v>
      </c>
      <c r="CR12" s="214">
        <v>56</v>
      </c>
      <c r="CS12" s="214">
        <v>56</v>
      </c>
      <c r="CT12" s="214">
        <v>56</v>
      </c>
      <c r="CU12" s="214">
        <v>55</v>
      </c>
      <c r="CV12" s="214">
        <v>55</v>
      </c>
      <c r="CW12" s="214">
        <v>57</v>
      </c>
      <c r="CX12" s="214">
        <v>57</v>
      </c>
      <c r="CY12" s="214">
        <v>57</v>
      </c>
      <c r="CZ12" s="214">
        <v>57</v>
      </c>
      <c r="DA12" s="214">
        <v>52.5</v>
      </c>
      <c r="DB12" s="214">
        <v>52.5</v>
      </c>
      <c r="DC12" s="214">
        <v>49.5</v>
      </c>
      <c r="DD12" s="214">
        <v>49.5</v>
      </c>
      <c r="DE12" s="214">
        <v>49.5</v>
      </c>
      <c r="DF12" s="214">
        <v>50.5</v>
      </c>
      <c r="DG12" s="214">
        <v>50.5</v>
      </c>
      <c r="DH12" s="214">
        <v>50.5</v>
      </c>
      <c r="DI12" s="214">
        <v>50.5</v>
      </c>
      <c r="DJ12" s="214">
        <v>50.5</v>
      </c>
      <c r="DK12" s="214">
        <v>52</v>
      </c>
      <c r="DL12" s="214">
        <v>52</v>
      </c>
      <c r="DM12" s="214">
        <v>54</v>
      </c>
      <c r="DN12" s="214">
        <v>53.5</v>
      </c>
      <c r="DO12" s="214">
        <v>53.5</v>
      </c>
      <c r="DP12" s="214">
        <v>53.5</v>
      </c>
      <c r="DQ12" s="178"/>
      <c r="DR12" s="178"/>
    </row>
    <row r="13" spans="1:124">
      <c r="A13" s="178" t="str">
        <f t="shared" si="0"/>
        <v>EthanolamineUSD</v>
      </c>
      <c r="B13" s="178" t="s">
        <v>46</v>
      </c>
      <c r="C13" s="178" t="s">
        <v>47</v>
      </c>
      <c r="D13" s="178" t="s">
        <v>33</v>
      </c>
      <c r="E13" s="178" t="s">
        <v>32</v>
      </c>
      <c r="F13" s="215">
        <v>976.875</v>
      </c>
      <c r="G13" s="215">
        <v>965</v>
      </c>
      <c r="H13" s="215">
        <v>931.25</v>
      </c>
      <c r="I13" s="215">
        <v>870</v>
      </c>
      <c r="J13" s="215">
        <v>893.75</v>
      </c>
      <c r="K13" s="215">
        <v>932.5</v>
      </c>
      <c r="L13" s="215">
        <v>895</v>
      </c>
      <c r="M13" s="215">
        <v>855</v>
      </c>
      <c r="N13" s="215">
        <v>876</v>
      </c>
      <c r="O13" s="215">
        <v>1011.25</v>
      </c>
      <c r="P13" s="215">
        <v>1066.25</v>
      </c>
      <c r="Q13" s="215">
        <v>1050</v>
      </c>
      <c r="R13" s="215">
        <v>1090</v>
      </c>
      <c r="S13" s="215">
        <v>1151</v>
      </c>
      <c r="T13" s="215">
        <v>1255</v>
      </c>
      <c r="U13" s="215">
        <v>1310</v>
      </c>
      <c r="V13" s="215">
        <v>1325</v>
      </c>
      <c r="W13" s="215">
        <v>1331.5</v>
      </c>
      <c r="X13" s="215">
        <v>1327.5</v>
      </c>
      <c r="Y13" s="215">
        <v>1336</v>
      </c>
      <c r="Z13" s="215">
        <v>1381</v>
      </c>
      <c r="AA13" s="215">
        <v>1478.75</v>
      </c>
      <c r="AB13" s="215">
        <v>1565</v>
      </c>
      <c r="AC13" s="215">
        <v>1508.75</v>
      </c>
      <c r="AD13" s="215">
        <v>1550</v>
      </c>
      <c r="AE13" s="215">
        <v>1656.6669999999999</v>
      </c>
      <c r="AF13" s="215">
        <v>1870</v>
      </c>
      <c r="AG13" s="215">
        <v>2000</v>
      </c>
      <c r="AH13" s="215">
        <v>2087.5</v>
      </c>
      <c r="AI13" s="215">
        <v>1975</v>
      </c>
      <c r="AJ13" s="215">
        <v>1856.25</v>
      </c>
      <c r="AK13" s="215">
        <v>1645</v>
      </c>
      <c r="AL13" s="215">
        <v>1468.75</v>
      </c>
      <c r="AM13" s="215">
        <v>1341.66</v>
      </c>
      <c r="AN13" s="214">
        <v>1325</v>
      </c>
      <c r="AO13" s="214">
        <v>950</v>
      </c>
      <c r="AP13" s="215">
        <v>1250</v>
      </c>
      <c r="AQ13" s="215">
        <v>1318.75</v>
      </c>
      <c r="AR13" s="215">
        <v>1400</v>
      </c>
      <c r="AS13" s="214">
        <v>1400</v>
      </c>
      <c r="AT13" s="214">
        <v>1400</v>
      </c>
      <c r="AU13" s="214">
        <v>1350</v>
      </c>
      <c r="AV13" s="214">
        <v>1350</v>
      </c>
      <c r="AW13" s="214">
        <v>1300</v>
      </c>
      <c r="AX13" s="214">
        <v>1300</v>
      </c>
      <c r="AY13" s="215">
        <f>AY21</f>
        <v>1300</v>
      </c>
      <c r="AZ13" s="215">
        <v>1325</v>
      </c>
      <c r="BA13" s="215">
        <v>1350</v>
      </c>
      <c r="BB13" s="215">
        <v>1350</v>
      </c>
      <c r="BC13" s="214">
        <v>1475</v>
      </c>
      <c r="BD13" s="214">
        <v>1500</v>
      </c>
      <c r="BE13" s="214">
        <v>1550</v>
      </c>
      <c r="BF13" s="214">
        <v>1500</v>
      </c>
      <c r="BG13" s="214">
        <v>1550</v>
      </c>
      <c r="BH13" s="214">
        <v>1500</v>
      </c>
      <c r="BI13" s="214">
        <v>1500</v>
      </c>
      <c r="BJ13" s="214">
        <v>1500</v>
      </c>
      <c r="BK13" s="214">
        <v>1500</v>
      </c>
      <c r="BL13" s="214">
        <v>1500</v>
      </c>
      <c r="BM13" s="214">
        <v>1450</v>
      </c>
      <c r="BN13" s="214">
        <v>1450</v>
      </c>
      <c r="BO13" s="214">
        <v>1400</v>
      </c>
      <c r="BP13" s="214">
        <v>1350</v>
      </c>
      <c r="BQ13" s="214">
        <v>1350</v>
      </c>
      <c r="BR13" s="214">
        <v>1325</v>
      </c>
      <c r="BS13" s="214">
        <v>1325</v>
      </c>
      <c r="BT13" s="214">
        <v>1325</v>
      </c>
      <c r="BU13" s="214">
        <v>1325</v>
      </c>
      <c r="BV13" s="214">
        <v>1325</v>
      </c>
      <c r="BW13" s="214">
        <v>1350</v>
      </c>
      <c r="BX13" s="214">
        <v>1350</v>
      </c>
      <c r="BY13" s="214">
        <v>1350</v>
      </c>
      <c r="BZ13" s="214">
        <v>1350</v>
      </c>
      <c r="CA13" s="214">
        <v>1400</v>
      </c>
      <c r="CB13" s="214">
        <v>1400</v>
      </c>
      <c r="CC13" s="214">
        <v>1400</v>
      </c>
      <c r="CD13" s="214">
        <v>1425</v>
      </c>
      <c r="CE13" s="214">
        <v>1400</v>
      </c>
      <c r="CF13" s="214">
        <v>1400</v>
      </c>
      <c r="CG13" s="214">
        <v>1435</v>
      </c>
      <c r="CH13" s="214">
        <v>1435</v>
      </c>
      <c r="CI13" s="214">
        <v>1435</v>
      </c>
      <c r="CJ13" s="214">
        <v>1435</v>
      </c>
      <c r="CK13" s="214">
        <v>1435</v>
      </c>
      <c r="CL13" s="214">
        <v>1435</v>
      </c>
      <c r="CM13" s="214">
        <v>1435</v>
      </c>
      <c r="CN13" s="214">
        <v>1435</v>
      </c>
      <c r="CO13" s="214">
        <v>1450</v>
      </c>
      <c r="CP13" s="214">
        <v>1385</v>
      </c>
      <c r="CQ13" s="214">
        <v>1375</v>
      </c>
      <c r="CR13" s="214">
        <v>1375</v>
      </c>
      <c r="CS13" s="214">
        <v>1375</v>
      </c>
      <c r="CT13" s="214">
        <v>1250</v>
      </c>
      <c r="CU13" s="214">
        <v>1250</v>
      </c>
      <c r="CV13" s="214">
        <v>1250</v>
      </c>
      <c r="CW13" s="214">
        <v>1250</v>
      </c>
      <c r="CX13" s="214">
        <v>1250</v>
      </c>
      <c r="CY13" s="214">
        <v>1250</v>
      </c>
      <c r="CZ13" s="214">
        <v>1250</v>
      </c>
      <c r="DA13" s="214">
        <v>1250</v>
      </c>
      <c r="DB13" s="214">
        <v>1250</v>
      </c>
      <c r="DC13" s="214">
        <v>1250</v>
      </c>
      <c r="DD13" s="214">
        <v>1250</v>
      </c>
      <c r="DE13" s="214">
        <v>1250</v>
      </c>
      <c r="DF13" s="214">
        <v>1250</v>
      </c>
      <c r="DG13" s="214">
        <v>1200</v>
      </c>
      <c r="DH13" s="214">
        <v>1200</v>
      </c>
      <c r="DI13" s="214">
        <v>1200</v>
      </c>
      <c r="DJ13" s="214">
        <v>1150</v>
      </c>
      <c r="DK13" s="214">
        <v>1150</v>
      </c>
      <c r="DL13" s="214">
        <v>1150</v>
      </c>
      <c r="DM13" s="214">
        <v>1150</v>
      </c>
      <c r="DN13" s="214">
        <v>1150</v>
      </c>
      <c r="DO13" s="214">
        <v>1150</v>
      </c>
      <c r="DP13" s="214">
        <v>1150</v>
      </c>
      <c r="DQ13" s="178"/>
      <c r="DR13" s="178"/>
    </row>
    <row r="14" spans="1:124">
      <c r="A14" s="178" t="str">
        <f t="shared" si="0"/>
        <v>Ethylene Oxide-West EuropeUSD</v>
      </c>
      <c r="B14" s="178" t="s">
        <v>48</v>
      </c>
      <c r="C14" s="178" t="s">
        <v>49</v>
      </c>
      <c r="D14" s="178" t="s">
        <v>33</v>
      </c>
      <c r="E14" s="178" t="s">
        <v>32</v>
      </c>
      <c r="F14" s="218">
        <v>1317</v>
      </c>
      <c r="G14" s="218">
        <v>1295</v>
      </c>
      <c r="H14" s="218">
        <v>1269</v>
      </c>
      <c r="I14" s="218">
        <v>1072</v>
      </c>
      <c r="J14" s="216">
        <v>990.17</v>
      </c>
      <c r="K14" s="218">
        <v>1074</v>
      </c>
      <c r="L14" s="218">
        <v>1170</v>
      </c>
      <c r="M14" s="218">
        <v>1228</v>
      </c>
      <c r="N14" s="218">
        <v>1223</v>
      </c>
      <c r="O14" s="218">
        <v>1212</v>
      </c>
      <c r="P14" s="218">
        <v>1220</v>
      </c>
      <c r="Q14" s="218">
        <v>1273</v>
      </c>
      <c r="R14" s="218">
        <v>1312</v>
      </c>
      <c r="S14" s="218">
        <v>1371</v>
      </c>
      <c r="T14" s="218">
        <v>1421</v>
      </c>
      <c r="U14" s="218">
        <v>1466</v>
      </c>
      <c r="V14" s="218">
        <v>1494</v>
      </c>
      <c r="W14" s="218">
        <v>1509</v>
      </c>
      <c r="X14" s="218">
        <v>1521</v>
      </c>
      <c r="Y14" s="218">
        <v>1563</v>
      </c>
      <c r="Z14" s="218">
        <v>1556</v>
      </c>
      <c r="AA14" s="218">
        <v>1556</v>
      </c>
      <c r="AB14" s="218">
        <v>1615</v>
      </c>
      <c r="AC14" s="218">
        <v>1592</v>
      </c>
      <c r="AD14" s="218">
        <v>1594</v>
      </c>
      <c r="AE14" s="218">
        <v>1658</v>
      </c>
      <c r="AF14" s="218">
        <v>1693</v>
      </c>
      <c r="AG14" s="218">
        <v>1916</v>
      </c>
      <c r="AH14" s="218">
        <v>1815</v>
      </c>
      <c r="AI14" s="218">
        <v>1813</v>
      </c>
      <c r="AJ14" s="218">
        <v>1668</v>
      </c>
      <c r="AK14" s="218">
        <v>1599</v>
      </c>
      <c r="AL14" s="218">
        <v>1472</v>
      </c>
      <c r="AM14" s="218">
        <v>1423</v>
      </c>
      <c r="AN14" s="218">
        <v>1507</v>
      </c>
      <c r="AO14" s="218">
        <v>1542</v>
      </c>
      <c r="AP14" s="218">
        <v>1488</v>
      </c>
      <c r="AQ14" s="218">
        <v>1549</v>
      </c>
      <c r="AR14" s="214">
        <v>1574</v>
      </c>
      <c r="AS14" s="214">
        <v>1561</v>
      </c>
      <c r="AT14" s="214">
        <v>1537</v>
      </c>
      <c r="AU14" s="214">
        <v>1460</v>
      </c>
      <c r="AV14" s="214">
        <v>1460</v>
      </c>
      <c r="AW14" s="214">
        <v>1460</v>
      </c>
      <c r="AX14" s="214">
        <v>1460</v>
      </c>
      <c r="AY14" s="214">
        <v>1433</v>
      </c>
      <c r="AZ14" s="214">
        <v>1433</v>
      </c>
      <c r="BA14" s="214">
        <v>1433</v>
      </c>
      <c r="BB14" s="214">
        <v>1433</v>
      </c>
      <c r="BC14" s="214">
        <v>1433</v>
      </c>
      <c r="BD14" s="214">
        <v>1414</v>
      </c>
      <c r="BE14" s="214">
        <v>1414</v>
      </c>
      <c r="BF14" s="214">
        <v>1449</v>
      </c>
      <c r="BG14" s="214">
        <v>1449</v>
      </c>
      <c r="BH14" s="214">
        <v>1449</v>
      </c>
      <c r="BI14" s="214">
        <v>1449</v>
      </c>
      <c r="BJ14" s="214">
        <v>1449</v>
      </c>
      <c r="BK14" s="214">
        <v>1488</v>
      </c>
      <c r="BL14" s="214">
        <v>1488</v>
      </c>
      <c r="BM14" s="214">
        <v>1488</v>
      </c>
      <c r="BN14" s="214">
        <v>1488</v>
      </c>
      <c r="BO14" s="214">
        <v>1488</v>
      </c>
      <c r="BP14" s="214">
        <v>1470</v>
      </c>
      <c r="BQ14" s="214">
        <v>1463</v>
      </c>
      <c r="BR14" s="214">
        <v>1466</v>
      </c>
      <c r="BS14" s="214">
        <v>1472</v>
      </c>
      <c r="BT14" s="214">
        <v>1472</v>
      </c>
      <c r="BU14" s="214">
        <v>1472</v>
      </c>
      <c r="BV14" s="214">
        <v>1472</v>
      </c>
      <c r="BW14" s="214">
        <v>1430</v>
      </c>
      <c r="BX14" s="214">
        <v>1430</v>
      </c>
      <c r="BY14" s="214">
        <v>1430</v>
      </c>
      <c r="BZ14" s="214">
        <v>1430</v>
      </c>
      <c r="CA14" s="214">
        <v>1430</v>
      </c>
      <c r="CB14" s="214">
        <v>1416</v>
      </c>
      <c r="CC14" s="214">
        <v>1416</v>
      </c>
      <c r="CD14" s="214">
        <v>1416</v>
      </c>
      <c r="CE14" s="214">
        <v>1452</v>
      </c>
      <c r="CF14" s="214">
        <v>1452</v>
      </c>
      <c r="CG14" s="214">
        <v>1452</v>
      </c>
      <c r="CH14" s="214">
        <v>1452</v>
      </c>
      <c r="CI14" s="214">
        <v>1457</v>
      </c>
      <c r="CJ14" s="214">
        <v>1457</v>
      </c>
      <c r="CK14" s="214">
        <v>1465</v>
      </c>
      <c r="CL14" s="214">
        <v>1465</v>
      </c>
      <c r="CM14" s="214">
        <v>1465</v>
      </c>
      <c r="CN14" s="214">
        <v>1465</v>
      </c>
      <c r="CO14" s="214">
        <v>1470</v>
      </c>
      <c r="CP14" s="214">
        <v>1470</v>
      </c>
      <c r="CQ14" s="214">
        <v>1470</v>
      </c>
      <c r="CR14" s="214">
        <v>1438</v>
      </c>
      <c r="CS14" s="214">
        <v>1438</v>
      </c>
      <c r="CT14" s="214">
        <v>1438</v>
      </c>
      <c r="CU14" s="214">
        <v>1438</v>
      </c>
      <c r="CV14" s="214">
        <v>1450</v>
      </c>
      <c r="CW14" s="214">
        <v>1450</v>
      </c>
      <c r="CX14" s="214">
        <v>1450</v>
      </c>
      <c r="CY14" s="214">
        <v>1450</v>
      </c>
      <c r="CZ14" s="214">
        <v>1450</v>
      </c>
      <c r="DA14" s="214">
        <v>1489</v>
      </c>
      <c r="DB14" s="214">
        <v>1489</v>
      </c>
      <c r="DC14" s="214">
        <v>1489</v>
      </c>
      <c r="DD14" s="214">
        <v>1489</v>
      </c>
      <c r="DE14" s="214">
        <v>1480</v>
      </c>
      <c r="DF14" s="214">
        <v>1480</v>
      </c>
      <c r="DG14" s="214">
        <v>1480</v>
      </c>
      <c r="DH14" s="214">
        <v>1480</v>
      </c>
      <c r="DI14" s="214">
        <v>1424</v>
      </c>
      <c r="DJ14" s="214">
        <v>1437</v>
      </c>
      <c r="DK14" s="214">
        <v>1416</v>
      </c>
      <c r="DL14" s="214">
        <v>1413</v>
      </c>
      <c r="DM14" s="214">
        <v>1413</v>
      </c>
      <c r="DN14" s="214">
        <v>1413</v>
      </c>
      <c r="DO14" s="214">
        <v>1413</v>
      </c>
      <c r="DP14" s="214">
        <v>1395</v>
      </c>
      <c r="DQ14" s="178"/>
      <c r="DR14" s="178"/>
    </row>
    <row r="15" spans="1:124">
      <c r="A15" s="178" t="str">
        <f t="shared" si="0"/>
        <v>BenzeneUSD</v>
      </c>
      <c r="B15" s="178" t="s">
        <v>50</v>
      </c>
      <c r="C15" s="178" t="s">
        <v>51</v>
      </c>
      <c r="D15" s="178" t="s">
        <v>33</v>
      </c>
      <c r="E15" s="178" t="s">
        <v>32</v>
      </c>
      <c r="F15" s="251">
        <v>551.47500000000002</v>
      </c>
      <c r="G15" s="215">
        <v>477.74342105263156</v>
      </c>
      <c r="H15" s="215">
        <v>290.25568181818181</v>
      </c>
      <c r="I15" s="215">
        <v>194.2202380952381</v>
      </c>
      <c r="J15" s="215">
        <v>267.16666666666669</v>
      </c>
      <c r="K15" s="214">
        <v>363</v>
      </c>
      <c r="L15" s="214">
        <v>391</v>
      </c>
      <c r="M15" s="214">
        <v>400</v>
      </c>
      <c r="N15" s="214">
        <v>401</v>
      </c>
      <c r="O15" s="214">
        <v>388</v>
      </c>
      <c r="P15" s="214">
        <v>382</v>
      </c>
      <c r="Q15" s="214">
        <v>448.5</v>
      </c>
      <c r="R15" s="214">
        <v>515</v>
      </c>
      <c r="S15" s="214">
        <v>547</v>
      </c>
      <c r="T15" s="214">
        <v>560</v>
      </c>
      <c r="U15" s="214">
        <v>574</v>
      </c>
      <c r="V15" s="214">
        <v>596</v>
      </c>
      <c r="W15" s="214">
        <v>644</v>
      </c>
      <c r="X15" s="214">
        <v>684.875</v>
      </c>
      <c r="Y15" s="214">
        <v>674.5</v>
      </c>
      <c r="Z15" s="214">
        <v>662.5</v>
      </c>
      <c r="AA15" s="214">
        <v>767.55</v>
      </c>
      <c r="AB15" s="214">
        <v>755.84</v>
      </c>
      <c r="AC15" s="252">
        <v>693.2</v>
      </c>
      <c r="AD15" s="214">
        <v>775.4</v>
      </c>
      <c r="AE15" s="214">
        <v>860</v>
      </c>
      <c r="AF15" s="214">
        <v>1011</v>
      </c>
      <c r="AG15" s="214">
        <v>903</v>
      </c>
      <c r="AH15" s="214">
        <v>904</v>
      </c>
      <c r="AI15" s="214">
        <v>828</v>
      </c>
      <c r="AJ15" s="214">
        <v>791</v>
      </c>
      <c r="AK15" s="214">
        <v>701</v>
      </c>
      <c r="AL15" s="214">
        <v>661</v>
      </c>
      <c r="AM15" s="214">
        <v>683</v>
      </c>
      <c r="AN15" s="214">
        <v>693</v>
      </c>
      <c r="AO15" s="214">
        <v>625.5</v>
      </c>
      <c r="AP15" s="214">
        <v>710</v>
      </c>
      <c r="AQ15" s="214">
        <v>720</v>
      </c>
      <c r="AR15" s="214">
        <v>840</v>
      </c>
      <c r="AS15" s="214">
        <v>975</v>
      </c>
      <c r="AT15" s="214">
        <v>835</v>
      </c>
      <c r="AU15" s="214">
        <v>670</v>
      </c>
      <c r="AV15" s="214">
        <v>712.5</v>
      </c>
      <c r="AW15" s="214">
        <v>780</v>
      </c>
      <c r="AX15" s="214">
        <v>804</v>
      </c>
      <c r="AY15" s="214">
        <v>842</v>
      </c>
      <c r="AZ15" s="214">
        <v>873</v>
      </c>
      <c r="BA15" s="214">
        <v>863</v>
      </c>
      <c r="BB15" s="214">
        <v>876</v>
      </c>
      <c r="BC15" s="214">
        <v>876</v>
      </c>
      <c r="BD15" s="214">
        <v>865</v>
      </c>
      <c r="BE15" s="214">
        <v>930</v>
      </c>
      <c r="BF15" s="214">
        <v>1010</v>
      </c>
      <c r="BG15" s="214">
        <v>950</v>
      </c>
      <c r="BH15" s="214">
        <v>888</v>
      </c>
      <c r="BI15" s="214">
        <v>901</v>
      </c>
      <c r="BJ15" s="214">
        <v>882</v>
      </c>
      <c r="BK15" s="214">
        <v>882</v>
      </c>
      <c r="BL15" s="214">
        <v>882</v>
      </c>
      <c r="BM15" s="214">
        <v>843</v>
      </c>
      <c r="BN15" s="214">
        <v>867</v>
      </c>
      <c r="BO15" s="214">
        <v>846</v>
      </c>
      <c r="BP15" s="214">
        <v>826</v>
      </c>
      <c r="BQ15" s="214">
        <v>815</v>
      </c>
      <c r="BR15" s="214">
        <v>863</v>
      </c>
      <c r="BS15" s="214">
        <v>855</v>
      </c>
      <c r="BT15" s="214">
        <v>872</v>
      </c>
      <c r="BU15" s="214">
        <v>920</v>
      </c>
      <c r="BV15" s="214">
        <v>922</v>
      </c>
      <c r="BW15" s="214">
        <v>975</v>
      </c>
      <c r="BX15" s="214">
        <v>985</v>
      </c>
      <c r="BY15" s="214">
        <v>1024</v>
      </c>
      <c r="BZ15" s="214">
        <v>1022</v>
      </c>
      <c r="CA15" s="214">
        <v>1010</v>
      </c>
      <c r="CB15" s="214">
        <v>995</v>
      </c>
      <c r="CC15" s="214">
        <v>1014</v>
      </c>
      <c r="CD15" s="214">
        <v>1014</v>
      </c>
      <c r="CE15" s="214">
        <v>1018</v>
      </c>
      <c r="CF15" s="214">
        <v>1065</v>
      </c>
      <c r="CG15" s="214">
        <v>1052</v>
      </c>
      <c r="CH15" s="214">
        <v>1044</v>
      </c>
      <c r="CI15" s="214">
        <v>1035</v>
      </c>
      <c r="CJ15" s="214">
        <v>1025</v>
      </c>
      <c r="CK15" s="214">
        <v>1014</v>
      </c>
      <c r="CL15" s="178">
        <v>1021</v>
      </c>
      <c r="CM15" s="178">
        <v>1025</v>
      </c>
      <c r="CN15" s="214">
        <v>1040</v>
      </c>
      <c r="CO15" s="214">
        <v>1040</v>
      </c>
      <c r="CP15" s="214">
        <v>1004</v>
      </c>
      <c r="CQ15" s="214">
        <v>981</v>
      </c>
      <c r="CR15" s="214">
        <v>1028</v>
      </c>
      <c r="CS15" s="214">
        <v>1005</v>
      </c>
      <c r="CT15" s="214">
        <v>996</v>
      </c>
      <c r="CU15" s="214">
        <v>992</v>
      </c>
      <c r="CV15" s="214">
        <v>961</v>
      </c>
      <c r="CW15" s="214">
        <v>1003</v>
      </c>
      <c r="CX15" s="214">
        <v>1011</v>
      </c>
      <c r="CY15" s="214">
        <v>987</v>
      </c>
      <c r="CZ15" s="214">
        <v>995</v>
      </c>
      <c r="DA15" s="214">
        <v>980</v>
      </c>
      <c r="DB15" s="214">
        <v>935</v>
      </c>
      <c r="DC15" s="214">
        <v>942</v>
      </c>
      <c r="DD15" s="214">
        <v>933</v>
      </c>
      <c r="DE15" s="214">
        <v>982</v>
      </c>
      <c r="DF15" s="214">
        <v>888</v>
      </c>
      <c r="DG15" s="214">
        <v>884</v>
      </c>
      <c r="DH15" s="214">
        <v>880</v>
      </c>
      <c r="DI15" s="214">
        <v>897</v>
      </c>
      <c r="DJ15" s="214">
        <v>861</v>
      </c>
      <c r="DK15" s="214">
        <v>877</v>
      </c>
      <c r="DL15" s="214">
        <v>862</v>
      </c>
      <c r="DM15" s="214">
        <v>874</v>
      </c>
      <c r="DN15" s="214">
        <v>878</v>
      </c>
      <c r="DO15" s="214">
        <v>885</v>
      </c>
      <c r="DP15" s="214">
        <v>869</v>
      </c>
      <c r="DQ15" s="178"/>
      <c r="DR15" s="178"/>
    </row>
    <row r="16" spans="1:124">
      <c r="A16" s="178" t="str">
        <f t="shared" si="0"/>
        <v>Ethylene SEUSD</v>
      </c>
      <c r="B16" s="178" t="s">
        <v>52</v>
      </c>
      <c r="C16" s="178" t="s">
        <v>53</v>
      </c>
      <c r="D16" s="178" t="s">
        <v>33</v>
      </c>
      <c r="E16" s="178" t="s">
        <v>32</v>
      </c>
      <c r="F16" s="215">
        <v>845</v>
      </c>
      <c r="G16" s="215">
        <v>695</v>
      </c>
      <c r="H16" s="215">
        <f>G16</f>
        <v>695</v>
      </c>
      <c r="I16" s="215">
        <v>385</v>
      </c>
      <c r="J16" s="215">
        <v>685</v>
      </c>
      <c r="K16" s="215">
        <v>845</v>
      </c>
      <c r="L16" s="215">
        <v>810</v>
      </c>
      <c r="M16" s="215">
        <v>725</v>
      </c>
      <c r="N16" s="215">
        <v>870</v>
      </c>
      <c r="O16" s="215">
        <v>800</v>
      </c>
      <c r="P16" s="215">
        <v>990</v>
      </c>
      <c r="Q16" s="218">
        <v>1000</v>
      </c>
      <c r="R16" s="215">
        <v>925</v>
      </c>
      <c r="S16" s="215">
        <v>980</v>
      </c>
      <c r="T16" s="218">
        <v>1050</v>
      </c>
      <c r="U16" s="218">
        <v>1110</v>
      </c>
      <c r="V16" s="218">
        <v>1058</v>
      </c>
      <c r="W16" s="215">
        <v>870</v>
      </c>
      <c r="X16" s="218">
        <v>1005</v>
      </c>
      <c r="Y16" s="215">
        <v>960</v>
      </c>
      <c r="Z16" s="218">
        <v>1140</v>
      </c>
      <c r="AA16" s="218">
        <v>1200</v>
      </c>
      <c r="AB16" s="218">
        <v>1130</v>
      </c>
      <c r="AC16" s="218">
        <v>1055</v>
      </c>
      <c r="AD16" s="215">
        <v>920</v>
      </c>
      <c r="AE16" s="218">
        <v>1220</v>
      </c>
      <c r="AF16" s="218">
        <v>1360</v>
      </c>
      <c r="AG16" s="218">
        <v>1300</v>
      </c>
      <c r="AH16" s="218">
        <v>1090</v>
      </c>
      <c r="AI16" s="215">
        <v>980</v>
      </c>
      <c r="AJ16" s="215">
        <v>900</v>
      </c>
      <c r="AK16" s="215">
        <v>830</v>
      </c>
      <c r="AL16" s="215">
        <v>970</v>
      </c>
      <c r="AM16" s="215">
        <v>880</v>
      </c>
      <c r="AN16" s="215">
        <v>880</v>
      </c>
      <c r="AO16" s="215">
        <v>880</v>
      </c>
      <c r="AP16" s="215">
        <v>780</v>
      </c>
      <c r="AQ16" s="215">
        <v>940</v>
      </c>
      <c r="AR16" s="214">
        <v>950</v>
      </c>
      <c r="AS16" s="214">
        <v>920</v>
      </c>
      <c r="AT16" s="214">
        <v>840</v>
      </c>
      <c r="AU16" s="214">
        <v>715</v>
      </c>
      <c r="AV16" s="214">
        <v>715</v>
      </c>
      <c r="AW16" s="214">
        <v>715</v>
      </c>
      <c r="AX16" s="214">
        <v>710</v>
      </c>
      <c r="AY16" s="214">
        <v>710</v>
      </c>
      <c r="AZ16" s="214">
        <v>770</v>
      </c>
      <c r="BA16" s="214">
        <v>770</v>
      </c>
      <c r="BB16" s="214">
        <v>860</v>
      </c>
      <c r="BC16" s="214">
        <v>860</v>
      </c>
      <c r="BD16" s="214">
        <v>830</v>
      </c>
      <c r="BE16" s="214">
        <v>850</v>
      </c>
      <c r="BF16" s="214">
        <v>865</v>
      </c>
      <c r="BG16" s="214">
        <v>898</v>
      </c>
      <c r="BH16" s="214">
        <v>898</v>
      </c>
      <c r="BI16" s="214">
        <v>890</v>
      </c>
      <c r="BJ16" s="214">
        <v>890</v>
      </c>
      <c r="BK16" s="214">
        <v>880</v>
      </c>
      <c r="BL16" s="214">
        <v>944</v>
      </c>
      <c r="BM16" s="214">
        <v>938</v>
      </c>
      <c r="BN16" s="214">
        <v>938</v>
      </c>
      <c r="BO16" s="214">
        <v>938</v>
      </c>
      <c r="BP16" s="214">
        <v>938</v>
      </c>
      <c r="BQ16" s="214">
        <v>889</v>
      </c>
      <c r="BR16" s="214">
        <v>850</v>
      </c>
      <c r="BS16" s="214">
        <v>849</v>
      </c>
      <c r="BT16" s="214">
        <v>849</v>
      </c>
      <c r="BU16" s="214">
        <v>870</v>
      </c>
      <c r="BV16" s="214">
        <v>888</v>
      </c>
      <c r="BW16" s="214">
        <v>930</v>
      </c>
      <c r="BX16" s="214">
        <v>948</v>
      </c>
      <c r="BY16" s="214">
        <v>948</v>
      </c>
      <c r="BZ16" s="214">
        <v>952</v>
      </c>
      <c r="CA16" s="214">
        <v>968</v>
      </c>
      <c r="CB16" s="214">
        <v>1008</v>
      </c>
      <c r="CC16" s="214">
        <v>1008</v>
      </c>
      <c r="CD16" s="214">
        <v>1003</v>
      </c>
      <c r="CE16" s="214">
        <v>1003</v>
      </c>
      <c r="CF16" s="214">
        <v>1003</v>
      </c>
      <c r="CG16" s="214">
        <v>1003</v>
      </c>
      <c r="CH16" s="214">
        <v>1003</v>
      </c>
      <c r="CI16" s="214">
        <v>1006</v>
      </c>
      <c r="CJ16" s="214">
        <v>999</v>
      </c>
      <c r="CK16" s="214">
        <v>880</v>
      </c>
      <c r="CL16" s="178">
        <v>860</v>
      </c>
      <c r="CM16" s="178">
        <v>855</v>
      </c>
      <c r="CN16" s="214">
        <v>855</v>
      </c>
      <c r="CO16" s="214">
        <v>855</v>
      </c>
      <c r="CP16" s="214">
        <v>855</v>
      </c>
      <c r="CQ16" s="214">
        <v>855</v>
      </c>
      <c r="CR16" s="214">
        <v>929</v>
      </c>
      <c r="CS16" s="214">
        <v>929</v>
      </c>
      <c r="CT16" s="214">
        <v>924</v>
      </c>
      <c r="CU16" s="214">
        <v>924</v>
      </c>
      <c r="CV16" s="214">
        <v>924</v>
      </c>
      <c r="CW16" s="214">
        <v>924</v>
      </c>
      <c r="CX16" s="214">
        <v>929</v>
      </c>
      <c r="CY16" s="214">
        <v>924</v>
      </c>
      <c r="CZ16" s="214">
        <v>977</v>
      </c>
      <c r="DA16" s="214">
        <v>978</v>
      </c>
      <c r="DB16" s="214">
        <v>974</v>
      </c>
      <c r="DC16" s="214">
        <v>939</v>
      </c>
      <c r="DD16" s="214">
        <v>939</v>
      </c>
      <c r="DE16" s="214">
        <v>939</v>
      </c>
      <c r="DF16" s="214">
        <v>948</v>
      </c>
      <c r="DG16" s="214">
        <v>948</v>
      </c>
      <c r="DH16" s="214">
        <v>938</v>
      </c>
      <c r="DI16" s="214">
        <v>938</v>
      </c>
      <c r="DJ16" s="214">
        <v>938</v>
      </c>
      <c r="DK16" s="214">
        <v>918</v>
      </c>
      <c r="DL16" s="214">
        <v>924</v>
      </c>
      <c r="DM16" s="214">
        <v>924</v>
      </c>
      <c r="DN16" s="214">
        <v>924</v>
      </c>
      <c r="DO16" s="214">
        <v>924</v>
      </c>
      <c r="DP16" s="214">
        <v>919</v>
      </c>
      <c r="DQ16" s="178"/>
      <c r="DR16" s="178"/>
    </row>
    <row r="17" spans="1:122 16384:16384">
      <c r="A17" s="178" t="str">
        <f t="shared" si="0"/>
        <v>Ethylene Oxide-CHINA USD</v>
      </c>
      <c r="B17" s="178" t="s">
        <v>54</v>
      </c>
      <c r="C17" s="178" t="s">
        <v>55</v>
      </c>
      <c r="D17" s="178" t="s">
        <v>33</v>
      </c>
      <c r="E17" s="178" t="s">
        <v>32</v>
      </c>
      <c r="F17" s="215">
        <v>1119</v>
      </c>
      <c r="G17" s="215">
        <v>1101</v>
      </c>
      <c r="H17" s="215">
        <v>1096</v>
      </c>
      <c r="I17" s="215">
        <v>848.53</v>
      </c>
      <c r="J17" s="215">
        <v>953.75</v>
      </c>
      <c r="K17" s="215">
        <v>1059</v>
      </c>
      <c r="L17" s="215">
        <v>1013</v>
      </c>
      <c r="M17" s="215">
        <v>995.61</v>
      </c>
      <c r="N17" s="215">
        <v>1071</v>
      </c>
      <c r="O17" s="215">
        <v>1086</v>
      </c>
      <c r="P17" s="215">
        <v>1121</v>
      </c>
      <c r="Q17" s="215">
        <v>1154</v>
      </c>
      <c r="R17" s="215">
        <v>1154</v>
      </c>
      <c r="S17" s="215">
        <v>1106</v>
      </c>
      <c r="T17" s="215">
        <v>1305</v>
      </c>
      <c r="U17" s="215">
        <v>1295</v>
      </c>
      <c r="V17" s="215">
        <v>1198</v>
      </c>
      <c r="W17" s="215">
        <v>1074</v>
      </c>
      <c r="X17" s="215">
        <v>1112</v>
      </c>
      <c r="Y17" s="215">
        <v>1189</v>
      </c>
      <c r="Z17" s="215">
        <v>1200</v>
      </c>
      <c r="AA17" s="215">
        <v>1534</v>
      </c>
      <c r="AB17" s="215">
        <v>1189</v>
      </c>
      <c r="AC17" s="215">
        <v>1177</v>
      </c>
      <c r="AD17" s="215">
        <v>1094</v>
      </c>
      <c r="AE17" s="215">
        <v>1317</v>
      </c>
      <c r="AF17" s="215">
        <v>1292</v>
      </c>
      <c r="AG17" s="215">
        <v>1291</v>
      </c>
      <c r="AH17" s="215">
        <v>1239</v>
      </c>
      <c r="AI17" s="215">
        <v>1128</v>
      </c>
      <c r="AJ17" s="215">
        <v>972.8</v>
      </c>
      <c r="AK17" s="215">
        <v>955.68</v>
      </c>
      <c r="AL17" s="215">
        <v>1070</v>
      </c>
      <c r="AM17" s="215">
        <v>1015</v>
      </c>
      <c r="AN17" s="215">
        <v>941.53</v>
      </c>
      <c r="AO17" s="215">
        <v>960.4</v>
      </c>
      <c r="AP17" s="215">
        <v>898.02</v>
      </c>
      <c r="AQ17" s="215">
        <v>993.41</v>
      </c>
      <c r="AR17" s="214">
        <v>1044</v>
      </c>
      <c r="AS17" s="214">
        <v>1016</v>
      </c>
      <c r="AT17" s="214">
        <v>905.25</v>
      </c>
      <c r="AU17" s="214">
        <v>838.5</v>
      </c>
      <c r="AV17" s="214">
        <v>838.5</v>
      </c>
      <c r="AW17" s="214">
        <v>838.5</v>
      </c>
      <c r="AX17" s="214">
        <v>838.5</v>
      </c>
      <c r="AY17" s="214">
        <v>848.21</v>
      </c>
      <c r="AZ17" s="214">
        <v>848.39</v>
      </c>
      <c r="BA17" s="214">
        <v>848.39</v>
      </c>
      <c r="BB17" s="214">
        <v>848.39</v>
      </c>
      <c r="BC17" s="214">
        <v>848.39</v>
      </c>
      <c r="BD17" s="214">
        <v>890.42</v>
      </c>
      <c r="BE17" s="214">
        <v>890.42</v>
      </c>
      <c r="BF17" s="214">
        <v>911.35</v>
      </c>
      <c r="BG17" s="214">
        <v>911.35</v>
      </c>
      <c r="BH17" s="214">
        <v>911.35</v>
      </c>
      <c r="BI17" s="214">
        <v>911.35</v>
      </c>
      <c r="BJ17" s="214">
        <v>911.35</v>
      </c>
      <c r="BK17" s="214">
        <v>947.5</v>
      </c>
      <c r="BL17" s="214">
        <v>920.31</v>
      </c>
      <c r="BM17" s="214">
        <v>920.31</v>
      </c>
      <c r="BN17" s="214">
        <v>920.31</v>
      </c>
      <c r="BO17" s="214">
        <v>920.31</v>
      </c>
      <c r="BP17" s="214">
        <v>883.61</v>
      </c>
      <c r="BQ17" s="214">
        <v>883.61</v>
      </c>
      <c r="BR17" s="214">
        <v>907.02</v>
      </c>
      <c r="BS17" s="214">
        <v>907.19</v>
      </c>
      <c r="BT17" s="214">
        <v>907.19</v>
      </c>
      <c r="BU17" s="214">
        <v>907.19</v>
      </c>
      <c r="BV17" s="214">
        <v>907.19</v>
      </c>
      <c r="BW17" s="214">
        <v>917.02</v>
      </c>
      <c r="BX17" s="214">
        <v>917.02</v>
      </c>
      <c r="BY17" s="214">
        <v>917.02</v>
      </c>
      <c r="BZ17" s="214">
        <v>917.02</v>
      </c>
      <c r="CA17" s="214">
        <v>917.02</v>
      </c>
      <c r="CB17" s="214">
        <v>925.36</v>
      </c>
      <c r="CC17" s="214">
        <v>925.36</v>
      </c>
      <c r="CD17" s="214">
        <v>925.36</v>
      </c>
      <c r="CE17" s="214">
        <v>937.44</v>
      </c>
      <c r="CF17" s="214">
        <v>937.44</v>
      </c>
      <c r="CG17" s="214">
        <v>937.44</v>
      </c>
      <c r="CH17" s="214">
        <v>937.44</v>
      </c>
      <c r="CI17" s="214">
        <v>953.19</v>
      </c>
      <c r="CJ17" s="214">
        <v>982.52</v>
      </c>
      <c r="CK17" s="214">
        <v>953.19</v>
      </c>
      <c r="CL17" s="214">
        <v>953.19</v>
      </c>
      <c r="CM17" s="214">
        <v>953.19</v>
      </c>
      <c r="CN17" s="214">
        <v>953.19</v>
      </c>
      <c r="CO17" s="214">
        <v>940.41</v>
      </c>
      <c r="CP17" s="214">
        <v>940.41</v>
      </c>
      <c r="CQ17" s="214">
        <v>940.41</v>
      </c>
      <c r="CR17" s="214">
        <v>917.29</v>
      </c>
      <c r="CS17" s="214">
        <v>917.29</v>
      </c>
      <c r="CT17" s="214">
        <v>917.29</v>
      </c>
      <c r="CU17" s="214">
        <v>917.29</v>
      </c>
      <c r="CV17" s="214">
        <v>946.62</v>
      </c>
      <c r="CW17" s="214">
        <v>946.62</v>
      </c>
      <c r="CX17" s="214">
        <v>946.62</v>
      </c>
      <c r="CY17" s="214">
        <v>946.62</v>
      </c>
      <c r="CZ17" s="214">
        <v>946.72</v>
      </c>
      <c r="DA17" s="214">
        <v>965.17</v>
      </c>
      <c r="DB17" s="214">
        <v>965.17</v>
      </c>
      <c r="DC17" s="214">
        <v>965.17</v>
      </c>
      <c r="DD17" s="214">
        <v>965.17</v>
      </c>
      <c r="DE17" s="214">
        <v>975.36</v>
      </c>
      <c r="DF17" s="214">
        <v>975.36</v>
      </c>
      <c r="DG17" s="214">
        <v>981.04</v>
      </c>
      <c r="DH17" s="214">
        <v>981.04</v>
      </c>
      <c r="DI17" s="214">
        <v>981.04</v>
      </c>
      <c r="DJ17" s="214">
        <v>980.47</v>
      </c>
      <c r="DK17" s="214">
        <v>980.47</v>
      </c>
      <c r="DL17" s="214">
        <v>954.14</v>
      </c>
      <c r="DM17" s="214">
        <v>954.14</v>
      </c>
      <c r="DN17" s="214">
        <v>954.14</v>
      </c>
      <c r="DO17" s="214">
        <v>954.14</v>
      </c>
      <c r="DP17" s="214">
        <v>955.04</v>
      </c>
      <c r="DQ17" s="178"/>
      <c r="DR17" s="178"/>
      <c r="XFD17" s="214"/>
    </row>
    <row r="18" spans="1:122 16384:16384">
      <c r="A18" s="178" t="str">
        <f t="shared" si="0"/>
        <v>AnilineUSD</v>
      </c>
      <c r="B18" s="178" t="s">
        <v>56</v>
      </c>
      <c r="C18" s="178" t="s">
        <v>57</v>
      </c>
      <c r="D18" s="178" t="s">
        <v>33</v>
      </c>
      <c r="E18" s="178" t="s">
        <v>34</v>
      </c>
      <c r="F18" s="216">
        <v>0.92178271510933274</v>
      </c>
      <c r="G18" s="216">
        <v>0.95931866717527914</v>
      </c>
      <c r="H18" s="216">
        <v>0.95326509868345721</v>
      </c>
      <c r="I18" s="216">
        <v>1.0224820664230916</v>
      </c>
      <c r="J18" s="216">
        <v>0.98181206179681413</v>
      </c>
      <c r="K18" s="216">
        <v>0.80404211067412312</v>
      </c>
      <c r="L18" s="216">
        <v>0.65121762781711667</v>
      </c>
      <c r="M18" s="216">
        <v>0.6761596108044321</v>
      </c>
      <c r="N18" s="216">
        <v>0.65382571212475105</v>
      </c>
      <c r="O18" s="216">
        <v>0.65729661043609333</v>
      </c>
      <c r="P18" s="216">
        <v>0.78526989905989963</v>
      </c>
      <c r="Q18" s="216">
        <v>1.0134085204518186</v>
      </c>
      <c r="R18" s="216">
        <v>1.0872173544926353</v>
      </c>
      <c r="S18" s="216">
        <v>1.1080024228093335</v>
      </c>
      <c r="T18" s="216">
        <v>1.2078886947716043</v>
      </c>
      <c r="U18" s="216">
        <v>1.3714985056378002</v>
      </c>
      <c r="V18" s="216">
        <v>1.9372114837462757</v>
      </c>
      <c r="W18" s="216">
        <v>1.7697928882572753</v>
      </c>
      <c r="X18" s="216">
        <v>1.7108388190975701</v>
      </c>
      <c r="Y18" s="216">
        <v>1.5826042121198884</v>
      </c>
      <c r="Z18" s="216">
        <v>1.5842223806851947</v>
      </c>
      <c r="AA18" s="216">
        <v>1.5665444023784547</v>
      </c>
      <c r="AB18" s="216">
        <v>1.6034705390102322</v>
      </c>
      <c r="AC18" s="216">
        <v>2.0415001045668446</v>
      </c>
      <c r="AD18" s="217">
        <v>2.3165744297268467</v>
      </c>
      <c r="AE18" s="217">
        <v>1.7170105777455711</v>
      </c>
      <c r="AF18" s="217">
        <v>1.5401003434881704</v>
      </c>
      <c r="AG18" s="217">
        <v>1.568448886948326</v>
      </c>
      <c r="AH18" s="217">
        <v>1.9286704283631253</v>
      </c>
      <c r="AI18" s="217">
        <v>1.8057056062440915</v>
      </c>
      <c r="AJ18" s="217">
        <v>1.6513560270801291</v>
      </c>
      <c r="AK18" s="217">
        <v>1.6590997465395767</v>
      </c>
      <c r="AL18" s="217">
        <v>1.7546887044829991</v>
      </c>
      <c r="AM18" s="217">
        <v>1.6147874872722088</v>
      </c>
      <c r="AN18" s="217">
        <v>1.5466004248653711</v>
      </c>
      <c r="AO18" s="217">
        <v>1.6903416267397982</v>
      </c>
      <c r="AP18" s="216">
        <v>1.7930980101402811</v>
      </c>
      <c r="AQ18" s="216">
        <v>1.5471773815476264</v>
      </c>
      <c r="AR18" s="214">
        <v>1.69</v>
      </c>
      <c r="AS18" s="214">
        <v>1.51</v>
      </c>
      <c r="AT18" s="214">
        <v>1.75</v>
      </c>
      <c r="AU18" s="214">
        <v>1.64</v>
      </c>
      <c r="AV18" s="214">
        <v>1.64</v>
      </c>
      <c r="AW18" s="214">
        <v>1.64</v>
      </c>
      <c r="AX18" s="214">
        <v>1.64</v>
      </c>
      <c r="AY18" s="214">
        <v>1.64</v>
      </c>
      <c r="AZ18" s="214">
        <v>1.64</v>
      </c>
      <c r="BA18" s="214">
        <v>1.64</v>
      </c>
      <c r="BB18" s="214">
        <v>1.64</v>
      </c>
      <c r="BC18" s="214">
        <v>1.64</v>
      </c>
      <c r="BD18" s="214">
        <v>1.64</v>
      </c>
      <c r="BE18" s="214">
        <v>1.64</v>
      </c>
      <c r="BF18" s="214">
        <v>1.25</v>
      </c>
      <c r="BG18" s="214">
        <v>1.4</v>
      </c>
      <c r="BH18" s="214">
        <v>1.4</v>
      </c>
      <c r="BI18" s="214">
        <v>1.36</v>
      </c>
      <c r="BJ18" s="214">
        <v>1.4</v>
      </c>
      <c r="BK18" s="214">
        <v>1.38</v>
      </c>
      <c r="BL18" s="214">
        <v>1.4</v>
      </c>
      <c r="BM18" s="214">
        <v>1.4</v>
      </c>
      <c r="BN18" s="214">
        <v>1.4</v>
      </c>
      <c r="BO18" s="214">
        <v>1.4</v>
      </c>
      <c r="BP18" s="214">
        <v>1.4</v>
      </c>
      <c r="BQ18" s="214">
        <v>1.4</v>
      </c>
      <c r="BR18" s="214">
        <v>1.53</v>
      </c>
      <c r="BS18" s="214">
        <v>1.53</v>
      </c>
      <c r="BT18" s="214">
        <v>1.53</v>
      </c>
      <c r="BU18" s="214">
        <v>1.53</v>
      </c>
      <c r="BV18" s="214">
        <v>1.53</v>
      </c>
      <c r="BW18" s="214">
        <v>1.53</v>
      </c>
      <c r="BX18" s="214">
        <v>1.53</v>
      </c>
      <c r="BY18" s="214">
        <v>1.53</v>
      </c>
      <c r="BZ18" s="214">
        <v>1.53</v>
      </c>
      <c r="CA18" s="214">
        <v>1.53</v>
      </c>
      <c r="CB18" s="214">
        <v>1.53</v>
      </c>
      <c r="CC18" s="214">
        <v>1.53</v>
      </c>
      <c r="CD18" s="214">
        <v>1.53</v>
      </c>
      <c r="CE18" s="214">
        <v>1.53</v>
      </c>
      <c r="CF18" s="214">
        <v>1.53</v>
      </c>
      <c r="CG18" s="214">
        <v>1.53</v>
      </c>
      <c r="CH18" s="214">
        <v>1.53</v>
      </c>
      <c r="CI18" s="214">
        <v>1.49</v>
      </c>
      <c r="CJ18" s="214">
        <v>1.49</v>
      </c>
      <c r="CK18" s="214">
        <v>1.49</v>
      </c>
      <c r="CL18" s="214">
        <v>1.49</v>
      </c>
      <c r="CM18" s="214">
        <v>1.49</v>
      </c>
      <c r="CN18" s="214">
        <v>1.49</v>
      </c>
      <c r="CO18" s="214">
        <v>1.49</v>
      </c>
      <c r="CP18" s="214">
        <v>1.65</v>
      </c>
      <c r="CQ18" s="214">
        <v>1.65</v>
      </c>
      <c r="CR18" s="214">
        <v>1.65</v>
      </c>
      <c r="CS18" s="214">
        <v>1.72</v>
      </c>
      <c r="CT18" s="214">
        <v>1.6</v>
      </c>
      <c r="CU18" s="214">
        <v>1.6</v>
      </c>
      <c r="CV18" s="214">
        <v>1.6</v>
      </c>
      <c r="CW18" s="214">
        <v>1.6</v>
      </c>
      <c r="CX18" s="214">
        <v>1.6</v>
      </c>
      <c r="CY18" s="214">
        <v>1.6</v>
      </c>
      <c r="CZ18" s="214">
        <v>1.6</v>
      </c>
      <c r="DA18" s="214">
        <v>1.6</v>
      </c>
      <c r="DB18" s="214">
        <v>1.6</v>
      </c>
      <c r="DC18" s="214">
        <v>1.6</v>
      </c>
      <c r="DD18" s="214">
        <v>1.6</v>
      </c>
      <c r="DE18" s="214">
        <v>1.46</v>
      </c>
      <c r="DF18" s="214">
        <v>1.46</v>
      </c>
      <c r="DG18" s="214">
        <v>1.46</v>
      </c>
      <c r="DH18" s="214">
        <v>1.46</v>
      </c>
      <c r="DI18" s="214">
        <v>1.46</v>
      </c>
      <c r="DJ18" s="214">
        <v>1.52</v>
      </c>
      <c r="DK18" s="214">
        <v>1.52</v>
      </c>
      <c r="DL18" s="214">
        <v>1.52</v>
      </c>
      <c r="DM18" s="214">
        <v>1.52</v>
      </c>
      <c r="DN18" s="214">
        <v>1.38</v>
      </c>
      <c r="DO18" s="214">
        <v>1.38</v>
      </c>
      <c r="DP18" s="214">
        <v>1.39</v>
      </c>
      <c r="DQ18" s="178"/>
      <c r="DR18" s="178"/>
    </row>
    <row r="19" spans="1:122 16384:16384">
      <c r="A19" s="178" t="str">
        <f t="shared" si="0"/>
        <v>Hydrochloric acidINR</v>
      </c>
      <c r="B19" s="178" t="s">
        <v>41</v>
      </c>
      <c r="C19" s="178" t="s">
        <v>58</v>
      </c>
      <c r="D19" s="178" t="s">
        <v>43</v>
      </c>
      <c r="E19" s="178" t="s">
        <v>34</v>
      </c>
      <c r="F19" s="214">
        <v>3</v>
      </c>
      <c r="G19" s="214">
        <v>3</v>
      </c>
      <c r="H19" s="214">
        <v>3</v>
      </c>
      <c r="I19" s="214">
        <v>3</v>
      </c>
      <c r="J19" s="214">
        <v>3</v>
      </c>
      <c r="K19" s="214">
        <v>3</v>
      </c>
      <c r="L19" s="214">
        <v>3</v>
      </c>
      <c r="M19" s="214">
        <v>3</v>
      </c>
      <c r="N19" s="214">
        <v>3</v>
      </c>
      <c r="O19" s="214">
        <v>3</v>
      </c>
      <c r="P19" s="214">
        <v>3</v>
      </c>
      <c r="Q19" s="214">
        <v>3</v>
      </c>
      <c r="R19" s="214">
        <v>3</v>
      </c>
      <c r="S19" s="214">
        <v>3</v>
      </c>
      <c r="T19" s="214">
        <v>3</v>
      </c>
      <c r="U19" s="214">
        <v>3</v>
      </c>
      <c r="V19" s="214">
        <v>3</v>
      </c>
      <c r="W19" s="214">
        <v>3</v>
      </c>
      <c r="X19" s="214">
        <v>3</v>
      </c>
      <c r="Y19" s="214">
        <v>3</v>
      </c>
      <c r="Z19" s="214">
        <v>3</v>
      </c>
      <c r="AA19" s="214">
        <v>3</v>
      </c>
      <c r="AB19" s="214">
        <v>3</v>
      </c>
      <c r="AC19" s="214">
        <v>3</v>
      </c>
      <c r="AD19" s="214">
        <v>3</v>
      </c>
      <c r="AE19" s="214">
        <v>3</v>
      </c>
      <c r="AF19" s="214">
        <v>3</v>
      </c>
      <c r="AG19" s="214">
        <v>3</v>
      </c>
      <c r="AH19" s="214">
        <v>3</v>
      </c>
      <c r="AI19" s="214">
        <v>3</v>
      </c>
      <c r="AJ19" s="214">
        <v>3</v>
      </c>
      <c r="AK19" s="214">
        <v>3</v>
      </c>
      <c r="AL19" s="214">
        <v>3</v>
      </c>
      <c r="AM19" s="214">
        <v>3</v>
      </c>
      <c r="AN19" s="214">
        <v>3</v>
      </c>
      <c r="AO19" s="214">
        <v>3</v>
      </c>
      <c r="AP19" s="214">
        <v>3</v>
      </c>
      <c r="AQ19" s="214">
        <v>3</v>
      </c>
      <c r="AR19" s="214">
        <v>3</v>
      </c>
      <c r="AS19" s="214">
        <v>3</v>
      </c>
      <c r="AT19" s="214">
        <v>3</v>
      </c>
      <c r="AU19" s="214">
        <v>3</v>
      </c>
      <c r="AV19" s="214">
        <v>3</v>
      </c>
      <c r="AW19" s="214">
        <v>3</v>
      </c>
      <c r="AX19" s="214">
        <v>3</v>
      </c>
      <c r="AY19" s="214">
        <v>3</v>
      </c>
      <c r="AZ19" s="214">
        <v>3</v>
      </c>
      <c r="BA19" s="214">
        <v>3</v>
      </c>
      <c r="BB19" s="214">
        <v>3</v>
      </c>
      <c r="BC19" s="214">
        <v>3</v>
      </c>
      <c r="BD19" s="214">
        <v>3</v>
      </c>
      <c r="BE19" s="214">
        <v>3</v>
      </c>
      <c r="BF19" s="214">
        <v>3</v>
      </c>
      <c r="BG19" s="214">
        <v>3</v>
      </c>
      <c r="BH19" s="214">
        <v>3</v>
      </c>
      <c r="BI19" s="214">
        <v>3</v>
      </c>
      <c r="BJ19" s="214">
        <v>3</v>
      </c>
      <c r="BK19" s="214">
        <v>3</v>
      </c>
      <c r="BL19" s="214">
        <v>3</v>
      </c>
      <c r="BM19" s="214">
        <v>3</v>
      </c>
      <c r="BN19" s="214">
        <v>3</v>
      </c>
      <c r="BO19" s="214">
        <v>3</v>
      </c>
      <c r="BP19" s="214">
        <v>3</v>
      </c>
      <c r="BQ19" s="214">
        <v>3</v>
      </c>
      <c r="BR19" s="214">
        <v>3</v>
      </c>
      <c r="BS19" s="214">
        <v>3</v>
      </c>
      <c r="BT19" s="214">
        <v>3</v>
      </c>
      <c r="BU19" s="214">
        <v>3</v>
      </c>
      <c r="BV19" s="214">
        <v>3</v>
      </c>
      <c r="BW19" s="214">
        <v>3</v>
      </c>
      <c r="BX19" s="214">
        <v>3</v>
      </c>
      <c r="BY19" s="214">
        <v>3</v>
      </c>
      <c r="BZ19" s="214">
        <v>3</v>
      </c>
      <c r="CA19" s="214">
        <v>3</v>
      </c>
      <c r="CB19" s="214">
        <v>3</v>
      </c>
      <c r="CC19" s="214">
        <v>3</v>
      </c>
      <c r="CD19" s="214">
        <v>3</v>
      </c>
      <c r="CE19" s="214">
        <v>3</v>
      </c>
      <c r="CF19" s="214">
        <v>3</v>
      </c>
      <c r="CG19" s="214">
        <v>3</v>
      </c>
      <c r="CH19" s="214">
        <v>3</v>
      </c>
      <c r="CI19" s="214">
        <v>3</v>
      </c>
      <c r="CJ19" s="214">
        <v>3</v>
      </c>
      <c r="CK19" s="214">
        <v>3</v>
      </c>
      <c r="CL19" s="214">
        <v>3</v>
      </c>
      <c r="CM19" s="214">
        <v>3</v>
      </c>
      <c r="CN19" s="214">
        <v>3</v>
      </c>
      <c r="CO19" s="214">
        <v>3</v>
      </c>
      <c r="CP19" s="214">
        <v>3</v>
      </c>
      <c r="CQ19" s="214">
        <v>3</v>
      </c>
      <c r="CR19" s="214">
        <v>3</v>
      </c>
      <c r="CS19" s="214">
        <v>3</v>
      </c>
      <c r="CT19" s="214">
        <v>3</v>
      </c>
      <c r="CU19" s="214">
        <v>3</v>
      </c>
      <c r="CV19" s="214">
        <v>3</v>
      </c>
      <c r="CW19" s="214">
        <v>3</v>
      </c>
      <c r="CX19" s="214">
        <v>3</v>
      </c>
      <c r="CY19" s="214">
        <v>3</v>
      </c>
      <c r="CZ19" s="214">
        <v>3</v>
      </c>
      <c r="DA19" s="214">
        <v>3</v>
      </c>
      <c r="DB19" s="214">
        <v>3</v>
      </c>
      <c r="DC19" s="214">
        <v>3</v>
      </c>
      <c r="DD19" s="214">
        <v>3</v>
      </c>
      <c r="DE19" s="214">
        <v>3</v>
      </c>
      <c r="DF19" s="214">
        <v>3</v>
      </c>
      <c r="DG19" s="214">
        <v>3</v>
      </c>
      <c r="DH19" s="214">
        <v>3</v>
      </c>
      <c r="DI19" s="214">
        <v>3</v>
      </c>
      <c r="DJ19" s="214">
        <v>3</v>
      </c>
      <c r="DK19" s="214">
        <v>3</v>
      </c>
      <c r="DL19" s="214">
        <v>3</v>
      </c>
      <c r="DM19" s="214">
        <v>3</v>
      </c>
      <c r="DN19" s="214">
        <v>3</v>
      </c>
      <c r="DO19" s="214">
        <v>3</v>
      </c>
      <c r="DP19" s="214">
        <v>3</v>
      </c>
      <c r="DQ19" s="214">
        <v>3</v>
      </c>
      <c r="DR19" s="214">
        <v>3</v>
      </c>
    </row>
    <row r="20" spans="1:122 16384:16384">
      <c r="A20" s="178" t="str">
        <f t="shared" si="0"/>
        <v>FormaldehydeINR</v>
      </c>
      <c r="B20" s="178" t="s">
        <v>44</v>
      </c>
      <c r="C20" s="178" t="s">
        <v>59</v>
      </c>
      <c r="D20" s="178" t="s">
        <v>43</v>
      </c>
      <c r="E20" s="178" t="s">
        <v>34</v>
      </c>
      <c r="F20" s="214"/>
      <c r="G20" s="214"/>
      <c r="H20" s="214"/>
      <c r="I20" s="214"/>
      <c r="J20" s="214"/>
      <c r="K20" s="214"/>
      <c r="L20" s="214"/>
      <c r="M20" s="214"/>
      <c r="N20" s="214"/>
      <c r="O20" s="214"/>
      <c r="P20" s="214"/>
      <c r="Q20" s="214"/>
      <c r="R20" s="214"/>
      <c r="S20" s="214"/>
      <c r="T20" s="214"/>
      <c r="U20" s="214"/>
      <c r="V20" s="214"/>
      <c r="W20" s="214"/>
      <c r="X20" s="214"/>
      <c r="Y20" s="214"/>
      <c r="Z20" s="214"/>
      <c r="AA20" s="214"/>
      <c r="AB20" s="214"/>
      <c r="AC20" s="214"/>
      <c r="AD20" s="218">
        <v>1128</v>
      </c>
      <c r="AE20" s="215"/>
      <c r="AF20" s="215"/>
      <c r="AG20" s="215">
        <v>81</v>
      </c>
      <c r="AH20" s="215">
        <v>80.705882352941174</v>
      </c>
      <c r="AI20" s="215"/>
      <c r="AJ20" s="215"/>
      <c r="AK20" s="215">
        <v>82</v>
      </c>
      <c r="AL20" s="215"/>
      <c r="AM20" s="215">
        <v>80</v>
      </c>
      <c r="AN20" s="215"/>
      <c r="AO20" s="215"/>
      <c r="AP20" s="214"/>
      <c r="AQ20" s="214"/>
      <c r="AR20" s="214"/>
      <c r="AS20" s="214"/>
      <c r="AT20" s="214"/>
      <c r="AU20" s="214"/>
      <c r="AV20" s="214"/>
      <c r="AW20" s="214"/>
      <c r="AX20" s="178"/>
      <c r="AY20" s="214"/>
      <c r="AZ20" s="214"/>
      <c r="BA20" s="214"/>
      <c r="BB20" s="214"/>
      <c r="BC20" s="214"/>
      <c r="BD20" s="214"/>
      <c r="BE20" s="214"/>
      <c r="BF20" s="214"/>
      <c r="BG20" s="214"/>
      <c r="BH20" s="214"/>
      <c r="BI20" s="214"/>
      <c r="BJ20" s="214"/>
      <c r="BK20" s="214"/>
      <c r="BL20" s="214"/>
      <c r="BM20" s="214"/>
      <c r="BN20" s="214"/>
      <c r="BO20" s="178"/>
      <c r="BP20" s="214"/>
      <c r="BQ20" s="214"/>
      <c r="BR20" s="214"/>
      <c r="BS20" s="214"/>
      <c r="BT20" s="214"/>
      <c r="BU20" s="214"/>
      <c r="BV20" s="214"/>
      <c r="BW20" s="214"/>
      <c r="BX20" s="214"/>
      <c r="BY20" s="214"/>
      <c r="BZ20" s="214"/>
      <c r="CA20" s="214"/>
      <c r="CB20" s="214"/>
      <c r="CC20" s="214"/>
      <c r="CD20" s="214"/>
      <c r="CE20" s="214"/>
      <c r="CF20" s="214"/>
      <c r="CG20" s="214"/>
      <c r="CH20" s="214"/>
      <c r="CI20" s="214"/>
      <c r="CJ20" s="214"/>
      <c r="CK20" s="214"/>
      <c r="CL20" s="178"/>
      <c r="CM20" s="178"/>
      <c r="CN20" s="214"/>
      <c r="CO20" s="214"/>
      <c r="CP20" s="214"/>
      <c r="CQ20" s="214"/>
      <c r="CR20" s="214"/>
      <c r="CS20" s="214"/>
      <c r="CT20" s="214"/>
      <c r="CU20" s="214"/>
      <c r="CV20" s="214"/>
      <c r="CW20" s="214"/>
      <c r="CX20" s="214"/>
      <c r="CY20" s="214"/>
      <c r="CZ20" s="214"/>
      <c r="DA20" s="214"/>
      <c r="DD20" s="178"/>
      <c r="DI20" s="214"/>
      <c r="DJ20" s="214"/>
      <c r="DK20" s="214"/>
      <c r="DL20" s="214"/>
      <c r="DM20" s="214"/>
      <c r="DN20" s="214"/>
      <c r="DO20" s="214"/>
      <c r="DP20" s="214"/>
      <c r="DQ20" s="178"/>
      <c r="DR20" s="178"/>
    </row>
    <row r="21" spans="1:122 16384:16384">
      <c r="A21" s="178" t="str">
        <f t="shared" si="0"/>
        <v>MEAUSD</v>
      </c>
      <c r="B21" s="178" t="s">
        <v>46</v>
      </c>
      <c r="C21" s="178" t="s">
        <v>60</v>
      </c>
      <c r="D21" s="178" t="s">
        <v>33</v>
      </c>
      <c r="E21" s="178" t="s">
        <v>32</v>
      </c>
      <c r="F21" s="215">
        <v>1117</v>
      </c>
      <c r="G21" s="215">
        <v>1098.125</v>
      </c>
      <c r="H21" s="215">
        <v>1021.875</v>
      </c>
      <c r="I21" s="215">
        <v>885</v>
      </c>
      <c r="J21" s="215">
        <v>818.5</v>
      </c>
      <c r="K21" s="215">
        <v>868.125</v>
      </c>
      <c r="L21" s="215">
        <v>844</v>
      </c>
      <c r="M21" s="215">
        <v>810</v>
      </c>
      <c r="N21" s="215">
        <v>827.5</v>
      </c>
      <c r="O21" s="215">
        <v>855</v>
      </c>
      <c r="P21" s="215">
        <v>986.25</v>
      </c>
      <c r="Q21" s="215">
        <v>1127.5</v>
      </c>
      <c r="R21" s="215">
        <v>1078.75</v>
      </c>
      <c r="S21" s="215">
        <v>1089</v>
      </c>
      <c r="T21" s="215">
        <v>1223</v>
      </c>
      <c r="U21" s="215">
        <v>1208</v>
      </c>
      <c r="V21" s="215">
        <v>1232.5</v>
      </c>
      <c r="W21" s="215">
        <v>1167.5</v>
      </c>
      <c r="X21" s="215">
        <v>1254</v>
      </c>
      <c r="Y21" s="215">
        <v>1325</v>
      </c>
      <c r="Z21" s="215">
        <v>1311.25</v>
      </c>
      <c r="AA21" s="215">
        <v>1455</v>
      </c>
      <c r="AB21" s="215">
        <v>1600</v>
      </c>
      <c r="AC21" s="215">
        <v>1657.5</v>
      </c>
      <c r="AD21" s="215">
        <v>1790</v>
      </c>
      <c r="AE21" s="215">
        <v>1895</v>
      </c>
      <c r="AF21" s="215">
        <v>2007.5</v>
      </c>
      <c r="AG21" s="215">
        <v>2162</v>
      </c>
      <c r="AH21" s="215">
        <v>1917.5</v>
      </c>
      <c r="AI21" s="215">
        <v>1706.25</v>
      </c>
      <c r="AJ21" s="215">
        <v>1489</v>
      </c>
      <c r="AK21" s="215">
        <v>1226.875</v>
      </c>
      <c r="AL21" s="215">
        <v>1279</v>
      </c>
      <c r="AM21" s="215">
        <v>1240</v>
      </c>
      <c r="AN21" s="215">
        <v>1163.75</v>
      </c>
      <c r="AO21" s="215">
        <v>1140</v>
      </c>
      <c r="AP21" s="215">
        <v>1125</v>
      </c>
      <c r="AQ21" s="215">
        <v>1234.375</v>
      </c>
      <c r="AR21" s="215">
        <v>1400</v>
      </c>
      <c r="AS21" s="215">
        <v>1400</v>
      </c>
      <c r="AT21" s="214">
        <v>1400</v>
      </c>
      <c r="AU21" s="215">
        <v>1350</v>
      </c>
      <c r="AV21" s="214">
        <v>1350</v>
      </c>
      <c r="AW21" s="215">
        <v>1300</v>
      </c>
      <c r="AX21" s="215">
        <v>1300</v>
      </c>
      <c r="AY21" s="215">
        <v>1300</v>
      </c>
      <c r="AZ21" s="215">
        <v>1325</v>
      </c>
      <c r="BA21" s="215">
        <v>1350</v>
      </c>
      <c r="BB21" s="215">
        <v>1350</v>
      </c>
      <c r="BC21" s="214">
        <v>1475</v>
      </c>
      <c r="BD21" s="214">
        <v>1500</v>
      </c>
      <c r="BE21" s="214">
        <v>1550</v>
      </c>
      <c r="BF21" s="214">
        <v>1550</v>
      </c>
      <c r="BG21" s="214">
        <f t="shared" ref="BG21:BL21" si="6">BG13</f>
        <v>1550</v>
      </c>
      <c r="BH21" s="214">
        <f t="shared" si="6"/>
        <v>1500</v>
      </c>
      <c r="BI21" s="214">
        <f t="shared" si="6"/>
        <v>1500</v>
      </c>
      <c r="BJ21" s="214">
        <f t="shared" si="6"/>
        <v>1500</v>
      </c>
      <c r="BK21" s="214">
        <f t="shared" si="6"/>
        <v>1500</v>
      </c>
      <c r="BL21" s="214">
        <f t="shared" si="6"/>
        <v>1500</v>
      </c>
      <c r="BM21" s="214">
        <f t="shared" ref="BM21:DP21" si="7">BM13</f>
        <v>1450</v>
      </c>
      <c r="BN21" s="214">
        <f t="shared" si="7"/>
        <v>1450</v>
      </c>
      <c r="BO21" s="214">
        <f t="shared" si="7"/>
        <v>1400</v>
      </c>
      <c r="BP21" s="214">
        <f t="shared" si="7"/>
        <v>1350</v>
      </c>
      <c r="BQ21" s="214">
        <f t="shared" si="7"/>
        <v>1350</v>
      </c>
      <c r="BR21" s="214">
        <f t="shared" si="7"/>
        <v>1325</v>
      </c>
      <c r="BS21" s="214">
        <f t="shared" si="7"/>
        <v>1325</v>
      </c>
      <c r="BT21" s="214">
        <f t="shared" si="7"/>
        <v>1325</v>
      </c>
      <c r="BU21" s="214">
        <f t="shared" si="7"/>
        <v>1325</v>
      </c>
      <c r="BV21" s="214">
        <f t="shared" si="7"/>
        <v>1325</v>
      </c>
      <c r="BW21" s="214">
        <f t="shared" si="7"/>
        <v>1350</v>
      </c>
      <c r="BX21" s="214">
        <f t="shared" si="7"/>
        <v>1350</v>
      </c>
      <c r="BY21" s="214">
        <f t="shared" si="7"/>
        <v>1350</v>
      </c>
      <c r="BZ21" s="214">
        <f t="shared" si="7"/>
        <v>1350</v>
      </c>
      <c r="CA21" s="214">
        <f t="shared" si="7"/>
        <v>1400</v>
      </c>
      <c r="CB21" s="214">
        <f t="shared" si="7"/>
        <v>1400</v>
      </c>
      <c r="CC21" s="214">
        <f t="shared" si="7"/>
        <v>1400</v>
      </c>
      <c r="CD21" s="214">
        <f t="shared" si="7"/>
        <v>1425</v>
      </c>
      <c r="CE21" s="214">
        <f t="shared" si="7"/>
        <v>1400</v>
      </c>
      <c r="CF21" s="214">
        <f t="shared" si="7"/>
        <v>1400</v>
      </c>
      <c r="CG21" s="214">
        <f t="shared" si="7"/>
        <v>1435</v>
      </c>
      <c r="CH21" s="214">
        <f t="shared" si="7"/>
        <v>1435</v>
      </c>
      <c r="CI21" s="214">
        <f t="shared" si="7"/>
        <v>1435</v>
      </c>
      <c r="CJ21" s="214">
        <f t="shared" si="7"/>
        <v>1435</v>
      </c>
      <c r="CK21" s="214">
        <f t="shared" si="7"/>
        <v>1435</v>
      </c>
      <c r="CL21" s="214">
        <f t="shared" si="7"/>
        <v>1435</v>
      </c>
      <c r="CM21" s="214">
        <f t="shared" si="7"/>
        <v>1435</v>
      </c>
      <c r="CN21" s="214">
        <f t="shared" si="7"/>
        <v>1435</v>
      </c>
      <c r="CO21" s="214">
        <f t="shared" si="7"/>
        <v>1450</v>
      </c>
      <c r="CP21" s="214">
        <f t="shared" si="7"/>
        <v>1385</v>
      </c>
      <c r="CQ21" s="214">
        <f t="shared" si="7"/>
        <v>1375</v>
      </c>
      <c r="CR21" s="214">
        <f t="shared" si="7"/>
        <v>1375</v>
      </c>
      <c r="CS21" s="214">
        <f t="shared" si="7"/>
        <v>1375</v>
      </c>
      <c r="CT21" s="214">
        <f t="shared" si="7"/>
        <v>1250</v>
      </c>
      <c r="CU21" s="214">
        <f t="shared" si="7"/>
        <v>1250</v>
      </c>
      <c r="CV21" s="214">
        <f t="shared" si="7"/>
        <v>1250</v>
      </c>
      <c r="CW21" s="214">
        <f t="shared" si="7"/>
        <v>1250</v>
      </c>
      <c r="CX21" s="214">
        <f t="shared" si="7"/>
        <v>1250</v>
      </c>
      <c r="CY21" s="214">
        <f t="shared" si="7"/>
        <v>1250</v>
      </c>
      <c r="CZ21" s="214">
        <f t="shared" si="7"/>
        <v>1250</v>
      </c>
      <c r="DA21" s="214">
        <f t="shared" si="7"/>
        <v>1250</v>
      </c>
      <c r="DB21" s="214">
        <f t="shared" si="7"/>
        <v>1250</v>
      </c>
      <c r="DC21" s="214">
        <f t="shared" si="7"/>
        <v>1250</v>
      </c>
      <c r="DD21" s="214">
        <f t="shared" si="7"/>
        <v>1250</v>
      </c>
      <c r="DE21" s="214">
        <f t="shared" si="7"/>
        <v>1250</v>
      </c>
      <c r="DF21" s="214">
        <v>1200</v>
      </c>
      <c r="DG21" s="214">
        <f t="shared" si="7"/>
        <v>1200</v>
      </c>
      <c r="DH21" s="214">
        <f t="shared" si="7"/>
        <v>1200</v>
      </c>
      <c r="DI21" s="214">
        <f t="shared" si="7"/>
        <v>1200</v>
      </c>
      <c r="DJ21" s="214">
        <f t="shared" si="7"/>
        <v>1150</v>
      </c>
      <c r="DK21" s="214">
        <f t="shared" si="7"/>
        <v>1150</v>
      </c>
      <c r="DL21" s="214">
        <f t="shared" si="7"/>
        <v>1150</v>
      </c>
      <c r="DM21" s="214">
        <f t="shared" si="7"/>
        <v>1150</v>
      </c>
      <c r="DN21" s="214">
        <f t="shared" si="7"/>
        <v>1150</v>
      </c>
      <c r="DO21" s="214">
        <f t="shared" si="7"/>
        <v>1150</v>
      </c>
      <c r="DP21" s="214">
        <f t="shared" si="7"/>
        <v>1150</v>
      </c>
      <c r="DQ21" s="178"/>
      <c r="DR21" s="178"/>
    </row>
    <row r="22" spans="1:122 16384:16384">
      <c r="A22" s="178" t="str">
        <f t="shared" si="0"/>
        <v>CopperUSD</v>
      </c>
      <c r="B22" s="178" t="s">
        <v>61</v>
      </c>
      <c r="C22" s="178" t="s">
        <v>62</v>
      </c>
      <c r="D22" s="178" t="s">
        <v>33</v>
      </c>
      <c r="E22" s="178" t="s">
        <v>32</v>
      </c>
      <c r="F22" s="271">
        <v>6031.21</v>
      </c>
      <c r="G22" s="272">
        <v>5687.75</v>
      </c>
      <c r="H22" s="271">
        <v>5182.63</v>
      </c>
      <c r="I22" s="272">
        <v>5057.97</v>
      </c>
      <c r="J22" s="271">
        <v>5239.83</v>
      </c>
      <c r="K22" s="272">
        <v>5754.6</v>
      </c>
      <c r="L22" s="271">
        <v>6372.46</v>
      </c>
      <c r="M22" s="272">
        <v>6498.94</v>
      </c>
      <c r="N22" s="271">
        <v>6704.9</v>
      </c>
      <c r="O22" s="272">
        <v>6713.81</v>
      </c>
      <c r="P22" s="271">
        <v>7068.91</v>
      </c>
      <c r="Q22" s="272">
        <v>7772.24</v>
      </c>
      <c r="R22" s="271">
        <v>7972.15</v>
      </c>
      <c r="S22" s="272">
        <v>8470.94</v>
      </c>
      <c r="T22" s="271">
        <v>8988.25</v>
      </c>
      <c r="U22" s="272">
        <v>9324.82</v>
      </c>
      <c r="V22" s="271">
        <v>10161.969999999999</v>
      </c>
      <c r="W22" s="272">
        <v>9631.5</v>
      </c>
      <c r="X22" s="271">
        <v>9450.82</v>
      </c>
      <c r="Y22" s="272">
        <v>9370.14</v>
      </c>
      <c r="Z22" s="271">
        <v>9324.7099999999991</v>
      </c>
      <c r="AA22" s="272">
        <v>9829.2199999999993</v>
      </c>
      <c r="AB22" s="271">
        <v>9728.9</v>
      </c>
      <c r="AC22" s="272">
        <v>9551.18</v>
      </c>
      <c r="AD22" s="271">
        <v>9782.34</v>
      </c>
      <c r="AE22" s="272">
        <v>9943.17</v>
      </c>
      <c r="AF22" s="271">
        <v>10230.89</v>
      </c>
      <c r="AG22" s="272">
        <v>10181</v>
      </c>
      <c r="AH22" s="271">
        <v>9377.15</v>
      </c>
      <c r="AI22" s="272">
        <v>9024.4599999999991</v>
      </c>
      <c r="AJ22" s="271">
        <v>7544.81</v>
      </c>
      <c r="AK22" s="272">
        <v>7981.84</v>
      </c>
      <c r="AL22" s="271">
        <v>7746.01</v>
      </c>
      <c r="AM22" s="272">
        <v>7651.08</v>
      </c>
      <c r="AN22" s="271">
        <v>8049.86</v>
      </c>
      <c r="AO22" s="272">
        <v>8375.4</v>
      </c>
      <c r="AP22" s="214">
        <v>8999</v>
      </c>
      <c r="AQ22" s="214">
        <v>8954</v>
      </c>
      <c r="AR22" s="214">
        <v>8834</v>
      </c>
      <c r="AS22" s="214">
        <v>8812</v>
      </c>
      <c r="AT22" s="214">
        <v>8493.5</v>
      </c>
      <c r="AU22" s="214">
        <v>8367</v>
      </c>
      <c r="AV22" s="214">
        <v>8251</v>
      </c>
      <c r="AW22" s="214">
        <v>8651</v>
      </c>
      <c r="AX22" s="214">
        <v>8429</v>
      </c>
      <c r="AY22" s="214">
        <v>8591</v>
      </c>
      <c r="AZ22" s="214">
        <v>8423</v>
      </c>
      <c r="BA22" s="214">
        <v>8126</v>
      </c>
      <c r="BB22" s="214">
        <v>8359</v>
      </c>
      <c r="BC22" s="214">
        <v>8359</v>
      </c>
      <c r="BD22" s="214">
        <v>8487</v>
      </c>
      <c r="BE22" s="214">
        <v>8275</v>
      </c>
      <c r="BF22" s="214">
        <v>8187</v>
      </c>
      <c r="BG22" s="214">
        <v>8111</v>
      </c>
      <c r="BH22" s="214">
        <v>8046</v>
      </c>
      <c r="BI22" s="214">
        <v>7991</v>
      </c>
      <c r="BJ22" s="214">
        <v>8051.5</v>
      </c>
      <c r="BK22" s="214">
        <v>8099</v>
      </c>
      <c r="BL22" s="214">
        <v>8175.5</v>
      </c>
      <c r="BM22" s="214">
        <v>8235</v>
      </c>
      <c r="BN22" s="214">
        <v>8235</v>
      </c>
      <c r="BO22" s="215">
        <v>8409.5</v>
      </c>
      <c r="BP22" s="214">
        <v>8334</v>
      </c>
      <c r="BQ22" s="214">
        <v>8330</v>
      </c>
      <c r="BR22" s="214">
        <v>8595.5</v>
      </c>
      <c r="BS22" s="214">
        <v>8559</v>
      </c>
      <c r="BT22" s="214">
        <v>8463</v>
      </c>
      <c r="BU22" s="214">
        <v>8351</v>
      </c>
      <c r="BV22" s="214">
        <v>8351</v>
      </c>
      <c r="BW22" s="214">
        <v>8482</v>
      </c>
      <c r="BX22" s="214">
        <v>8325</v>
      </c>
      <c r="BY22" s="214">
        <v>8325</v>
      </c>
      <c r="BZ22" s="214">
        <v>8442</v>
      </c>
      <c r="CA22" s="214">
        <v>8474</v>
      </c>
      <c r="CB22" s="214">
        <v>8600</v>
      </c>
      <c r="CC22" s="214">
        <v>8653</v>
      </c>
      <c r="CD22" s="214">
        <v>8928</v>
      </c>
      <c r="CE22" s="214">
        <v>8867</v>
      </c>
      <c r="CF22" s="214">
        <v>9299</v>
      </c>
      <c r="CG22" s="214">
        <v>9239</v>
      </c>
      <c r="CH22" s="214">
        <v>9432</v>
      </c>
      <c r="CI22" s="214">
        <v>9930</v>
      </c>
      <c r="CJ22" s="214">
        <v>9910</v>
      </c>
      <c r="CK22" s="214">
        <v>10424</v>
      </c>
      <c r="CL22" s="178">
        <v>10221</v>
      </c>
      <c r="CM22" s="178">
        <v>10775</v>
      </c>
      <c r="CN22" s="214">
        <v>10256</v>
      </c>
      <c r="CO22" s="214">
        <v>9945</v>
      </c>
      <c r="CP22" s="214">
        <v>9651</v>
      </c>
      <c r="CQ22" s="214">
        <v>9661</v>
      </c>
      <c r="CR22" s="214">
        <v>9452</v>
      </c>
      <c r="CS22" s="214">
        <v>9944</v>
      </c>
      <c r="CT22" s="214">
        <v>9663</v>
      </c>
      <c r="CU22" s="214">
        <v>9166</v>
      </c>
      <c r="CV22" s="214">
        <v>9052</v>
      </c>
      <c r="CW22" s="214">
        <v>8684</v>
      </c>
      <c r="CX22" s="214">
        <v>8850</v>
      </c>
      <c r="CY22" s="214">
        <v>8938</v>
      </c>
      <c r="CZ22" s="214">
        <v>9135</v>
      </c>
      <c r="DA22" s="214">
        <v>9013</v>
      </c>
      <c r="DB22" s="214">
        <v>9007</v>
      </c>
      <c r="DC22" s="214">
        <v>9289</v>
      </c>
      <c r="DD22" s="178">
        <v>9882</v>
      </c>
      <c r="DE22" s="214">
        <v>9618</v>
      </c>
      <c r="DF22" s="214">
        <v>9515</v>
      </c>
      <c r="DG22" s="214">
        <v>9413</v>
      </c>
      <c r="DH22" s="214">
        <v>9400</v>
      </c>
      <c r="DI22" s="214">
        <v>9504</v>
      </c>
      <c r="DJ22" s="214">
        <v>9251</v>
      </c>
      <c r="DK22" s="214">
        <v>8828</v>
      </c>
      <c r="DL22" s="214">
        <v>8878</v>
      </c>
      <c r="DM22" s="214">
        <v>8940</v>
      </c>
      <c r="DN22" s="214">
        <v>9038</v>
      </c>
      <c r="DO22" s="214">
        <v>8989</v>
      </c>
      <c r="DP22" s="214">
        <v>8912</v>
      </c>
      <c r="DQ22" s="178"/>
      <c r="DR22" s="178"/>
    </row>
    <row r="23" spans="1:122 16384:16384">
      <c r="A23" s="178" t="str">
        <f t="shared" si="0"/>
        <v>Nitric AcidINR</v>
      </c>
      <c r="B23" s="178" t="s">
        <v>41</v>
      </c>
      <c r="C23" s="178" t="s">
        <v>63</v>
      </c>
      <c r="D23" s="178" t="s">
        <v>43</v>
      </c>
      <c r="E23" s="178" t="s">
        <v>34</v>
      </c>
      <c r="F23" s="214"/>
      <c r="G23" s="214"/>
      <c r="H23" s="214"/>
      <c r="I23" s="214"/>
      <c r="J23" s="214"/>
      <c r="K23" s="214"/>
      <c r="L23" s="214"/>
      <c r="M23" s="214"/>
      <c r="N23" s="214"/>
      <c r="O23" s="214"/>
      <c r="P23" s="214"/>
      <c r="Q23" s="214"/>
      <c r="R23" s="214"/>
      <c r="S23" s="214"/>
      <c r="T23" s="214"/>
      <c r="U23" s="214"/>
      <c r="V23" s="214"/>
      <c r="W23" s="214"/>
      <c r="X23" s="214"/>
      <c r="Y23" s="214"/>
      <c r="Z23" s="214"/>
      <c r="AA23" s="214"/>
      <c r="AB23" s="214"/>
      <c r="AC23" s="214"/>
      <c r="AD23" s="216">
        <v>941.53</v>
      </c>
      <c r="AE23" s="214">
        <v>40</v>
      </c>
      <c r="AF23" s="214">
        <v>40</v>
      </c>
      <c r="AG23" s="214">
        <v>40</v>
      </c>
      <c r="AH23" s="214">
        <v>40</v>
      </c>
      <c r="AI23" s="214">
        <v>40</v>
      </c>
      <c r="AJ23" s="214">
        <v>40</v>
      </c>
      <c r="AK23" s="214">
        <v>40</v>
      </c>
      <c r="AL23" s="214">
        <v>40</v>
      </c>
      <c r="AM23" s="214">
        <v>40</v>
      </c>
      <c r="AN23" s="214">
        <v>40</v>
      </c>
      <c r="AO23" s="214">
        <v>40</v>
      </c>
      <c r="AP23" s="214">
        <v>40</v>
      </c>
      <c r="AQ23" s="214">
        <v>40</v>
      </c>
      <c r="AR23" s="214">
        <v>40</v>
      </c>
      <c r="AS23" s="214">
        <v>40</v>
      </c>
      <c r="AT23" s="214">
        <v>40</v>
      </c>
      <c r="AU23" s="214">
        <v>40</v>
      </c>
      <c r="AV23" s="214">
        <v>40</v>
      </c>
      <c r="AW23" s="214">
        <v>40</v>
      </c>
      <c r="AX23" s="214">
        <v>40</v>
      </c>
      <c r="AY23" s="214">
        <v>40</v>
      </c>
      <c r="AZ23" s="214">
        <v>40</v>
      </c>
      <c r="BA23" s="214">
        <v>40</v>
      </c>
      <c r="BB23" s="214">
        <v>40</v>
      </c>
      <c r="BC23" s="214">
        <v>40</v>
      </c>
      <c r="BD23" s="214">
        <v>40</v>
      </c>
      <c r="BE23" s="214">
        <v>40</v>
      </c>
      <c r="BF23" s="214">
        <v>40</v>
      </c>
      <c r="BG23" s="214">
        <v>40</v>
      </c>
      <c r="BH23" s="214">
        <v>40</v>
      </c>
      <c r="BI23" s="214">
        <v>40</v>
      </c>
      <c r="BJ23" s="214">
        <v>40</v>
      </c>
      <c r="BK23" s="214">
        <v>40</v>
      </c>
      <c r="BL23" s="214">
        <v>40</v>
      </c>
      <c r="BM23" s="214">
        <v>40</v>
      </c>
      <c r="BN23" s="214">
        <v>40</v>
      </c>
      <c r="BO23" s="214">
        <v>40</v>
      </c>
      <c r="BP23" s="214">
        <v>40</v>
      </c>
      <c r="BQ23" s="214">
        <v>40</v>
      </c>
      <c r="BR23" s="214">
        <v>40</v>
      </c>
      <c r="BS23" s="214">
        <v>40</v>
      </c>
      <c r="BT23" s="214">
        <v>30</v>
      </c>
      <c r="BU23" s="214">
        <v>40</v>
      </c>
      <c r="BV23" s="214">
        <v>40</v>
      </c>
      <c r="BW23" s="214">
        <v>40</v>
      </c>
      <c r="BX23" s="214">
        <v>40</v>
      </c>
      <c r="BY23" s="214">
        <v>40</v>
      </c>
      <c r="BZ23" s="214">
        <v>40</v>
      </c>
      <c r="CA23" s="214">
        <v>40</v>
      </c>
      <c r="CB23" s="214">
        <v>40</v>
      </c>
      <c r="CC23" s="214">
        <v>40</v>
      </c>
      <c r="CD23" s="214">
        <v>40</v>
      </c>
      <c r="CE23" s="214">
        <v>40</v>
      </c>
      <c r="CF23" s="214">
        <v>40</v>
      </c>
      <c r="CG23" s="214">
        <v>40</v>
      </c>
      <c r="CH23" s="214">
        <v>40</v>
      </c>
      <c r="CI23" s="214">
        <v>40</v>
      </c>
      <c r="CJ23" s="214">
        <v>40</v>
      </c>
      <c r="CK23" s="214">
        <v>40</v>
      </c>
      <c r="CL23" s="214">
        <v>40</v>
      </c>
      <c r="CM23" s="214">
        <v>40</v>
      </c>
      <c r="CN23" s="214">
        <v>40</v>
      </c>
      <c r="CO23" s="214">
        <v>40</v>
      </c>
      <c r="CP23" s="214">
        <v>40</v>
      </c>
      <c r="CQ23" s="214">
        <v>40</v>
      </c>
      <c r="CR23" s="214">
        <v>40</v>
      </c>
      <c r="CS23" s="214">
        <v>40</v>
      </c>
      <c r="CT23" s="214">
        <v>40</v>
      </c>
      <c r="CU23" s="214">
        <v>40</v>
      </c>
      <c r="CV23" s="214">
        <v>40</v>
      </c>
      <c r="CW23" s="214">
        <v>40</v>
      </c>
      <c r="CX23" s="214">
        <v>40</v>
      </c>
      <c r="CY23" s="214">
        <v>40</v>
      </c>
      <c r="CZ23" s="214">
        <v>40</v>
      </c>
      <c r="DA23" s="214">
        <v>40</v>
      </c>
      <c r="DB23" s="214">
        <v>40</v>
      </c>
      <c r="DC23" s="214">
        <v>40</v>
      </c>
      <c r="DD23" s="214">
        <v>40</v>
      </c>
      <c r="DE23" s="214">
        <v>40</v>
      </c>
      <c r="DF23" s="214">
        <v>40</v>
      </c>
      <c r="DG23" s="214">
        <v>40</v>
      </c>
      <c r="DH23" s="214">
        <v>40</v>
      </c>
      <c r="DI23" s="214">
        <v>40</v>
      </c>
      <c r="DJ23" s="214">
        <v>40</v>
      </c>
      <c r="DK23" s="214">
        <v>40</v>
      </c>
      <c r="DL23" s="214">
        <v>40</v>
      </c>
      <c r="DM23" s="214">
        <v>40</v>
      </c>
      <c r="DN23" s="214">
        <v>40</v>
      </c>
      <c r="DO23" s="214">
        <v>40</v>
      </c>
      <c r="DP23" s="214">
        <v>40</v>
      </c>
      <c r="DQ23" s="178"/>
      <c r="DR23" s="178"/>
    </row>
    <row r="24" spans="1:122 16384:16384">
      <c r="A24" s="178" t="str">
        <f t="shared" si="0"/>
        <v>AcetoneUSD</v>
      </c>
      <c r="B24" s="178" t="s">
        <v>46</v>
      </c>
      <c r="C24" s="178" t="s">
        <v>64</v>
      </c>
      <c r="D24" s="178" t="s">
        <v>33</v>
      </c>
      <c r="E24" s="178" t="s">
        <v>32</v>
      </c>
      <c r="F24" s="215">
        <v>684</v>
      </c>
      <c r="G24" s="215">
        <v>706.3</v>
      </c>
      <c r="H24" s="215">
        <v>643.79999999999995</v>
      </c>
      <c r="I24" s="215">
        <v>590</v>
      </c>
      <c r="J24" s="215">
        <v>784</v>
      </c>
      <c r="K24" s="215">
        <v>928.8</v>
      </c>
      <c r="L24" s="215">
        <v>953.5</v>
      </c>
      <c r="M24" s="215">
        <v>892.5</v>
      </c>
      <c r="N24" s="215">
        <v>885</v>
      </c>
      <c r="O24" s="215">
        <v>908</v>
      </c>
      <c r="P24" s="215">
        <v>963.8</v>
      </c>
      <c r="Q24" s="215">
        <v>1053.8</v>
      </c>
      <c r="R24" s="215">
        <v>992.5</v>
      </c>
      <c r="S24" s="215">
        <v>1085</v>
      </c>
      <c r="T24" s="215">
        <v>1280</v>
      </c>
      <c r="U24" s="215">
        <v>1305</v>
      </c>
      <c r="V24" s="215">
        <v>1237.5</v>
      </c>
      <c r="W24" s="215">
        <v>1028.8</v>
      </c>
      <c r="X24" s="215">
        <v>864</v>
      </c>
      <c r="Y24" s="215">
        <v>822.5</v>
      </c>
      <c r="Z24" s="215">
        <v>839</v>
      </c>
      <c r="AA24" s="215">
        <v>902</v>
      </c>
      <c r="AB24" s="215">
        <v>893.8</v>
      </c>
      <c r="AC24" s="215">
        <v>835</v>
      </c>
      <c r="AD24" s="215">
        <v>822.5</v>
      </c>
      <c r="AE24" s="215">
        <v>875</v>
      </c>
      <c r="AF24" s="215">
        <v>986.3</v>
      </c>
      <c r="AG24" s="215">
        <v>962</v>
      </c>
      <c r="AH24" s="215">
        <v>955</v>
      </c>
      <c r="AI24" s="215">
        <v>960</v>
      </c>
      <c r="AJ24" s="215">
        <v>952</v>
      </c>
      <c r="AK24" s="215">
        <v>875</v>
      </c>
      <c r="AL24" s="215">
        <v>837.5</v>
      </c>
      <c r="AM24" s="215">
        <v>818.8</v>
      </c>
      <c r="AN24" s="214">
        <v>785</v>
      </c>
      <c r="AO24" s="214">
        <v>790</v>
      </c>
      <c r="AP24" s="215">
        <v>790</v>
      </c>
      <c r="AQ24" s="215">
        <v>833.8</v>
      </c>
      <c r="AR24" s="214">
        <v>915</v>
      </c>
      <c r="AS24" s="214">
        <v>915</v>
      </c>
      <c r="AT24" s="214">
        <v>932.5</v>
      </c>
      <c r="AU24" s="214">
        <v>922.5</v>
      </c>
      <c r="AV24" s="214">
        <v>800</v>
      </c>
      <c r="AW24" s="214">
        <v>815</v>
      </c>
      <c r="AX24" s="214">
        <v>815</v>
      </c>
      <c r="AY24" s="214">
        <v>825</v>
      </c>
      <c r="AZ24" s="214">
        <v>845</v>
      </c>
      <c r="BA24" s="214">
        <v>860</v>
      </c>
      <c r="BB24" s="214">
        <v>865</v>
      </c>
      <c r="BC24" s="214">
        <v>865</v>
      </c>
      <c r="BD24" s="214">
        <v>865</v>
      </c>
      <c r="BE24" s="214">
        <v>875</v>
      </c>
      <c r="BF24" s="214">
        <v>875</v>
      </c>
      <c r="BG24" s="214">
        <v>925</v>
      </c>
      <c r="BH24" s="214">
        <v>940</v>
      </c>
      <c r="BI24" s="214">
        <v>950</v>
      </c>
      <c r="BJ24" s="214">
        <v>920</v>
      </c>
      <c r="BK24" s="214">
        <v>920</v>
      </c>
      <c r="BL24" s="214">
        <v>920</v>
      </c>
      <c r="BM24" s="214">
        <v>930</v>
      </c>
      <c r="BN24" s="214">
        <v>930</v>
      </c>
      <c r="BO24" s="214">
        <v>930</v>
      </c>
      <c r="BP24" s="214">
        <v>905</v>
      </c>
      <c r="BQ24" s="214">
        <v>905</v>
      </c>
      <c r="BR24" s="214">
        <v>905</v>
      </c>
      <c r="BS24" s="214">
        <v>905</v>
      </c>
      <c r="BT24" s="214">
        <v>930</v>
      </c>
      <c r="BU24" s="214">
        <v>925</v>
      </c>
      <c r="BV24" s="214">
        <v>925</v>
      </c>
      <c r="BW24" s="214">
        <v>960</v>
      </c>
      <c r="BX24" s="214">
        <v>960</v>
      </c>
      <c r="BY24" s="214">
        <v>980</v>
      </c>
      <c r="BZ24" s="214">
        <v>1030</v>
      </c>
      <c r="CA24" s="214">
        <v>1030</v>
      </c>
      <c r="CB24" s="214">
        <v>1030</v>
      </c>
      <c r="CC24" s="214">
        <v>1030</v>
      </c>
      <c r="CD24" s="214">
        <v>1040</v>
      </c>
      <c r="CE24" s="214">
        <v>1040</v>
      </c>
      <c r="CF24" s="214">
        <v>1040</v>
      </c>
      <c r="CG24" s="214">
        <v>1040</v>
      </c>
      <c r="CH24" s="214">
        <v>1040</v>
      </c>
      <c r="CI24" s="214">
        <v>1060</v>
      </c>
      <c r="CJ24" s="214">
        <v>1060</v>
      </c>
      <c r="CK24" s="214">
        <v>1070</v>
      </c>
      <c r="CL24" s="214">
        <v>1070</v>
      </c>
      <c r="CM24" s="214">
        <v>1070</v>
      </c>
      <c r="CN24" s="214">
        <v>1070</v>
      </c>
      <c r="CO24" s="214">
        <v>1070</v>
      </c>
      <c r="CP24" s="214">
        <v>1065</v>
      </c>
      <c r="CQ24" s="214">
        <v>1075</v>
      </c>
      <c r="CR24" s="214">
        <v>1070</v>
      </c>
      <c r="CS24" s="214">
        <v>1070</v>
      </c>
      <c r="CT24" s="214">
        <v>1070</v>
      </c>
      <c r="CU24" s="214">
        <v>1040</v>
      </c>
      <c r="CV24" s="214">
        <v>1020</v>
      </c>
      <c r="CW24" s="214">
        <v>1020</v>
      </c>
      <c r="CX24" s="214">
        <v>1020</v>
      </c>
      <c r="CY24" s="214">
        <v>1020</v>
      </c>
      <c r="CZ24" s="214">
        <v>1012.5</v>
      </c>
      <c r="DA24" s="214">
        <v>960</v>
      </c>
      <c r="DB24" s="214">
        <v>955</v>
      </c>
      <c r="DC24" s="214">
        <v>875</v>
      </c>
      <c r="DD24" s="214">
        <v>850</v>
      </c>
      <c r="DE24" s="214">
        <v>865</v>
      </c>
      <c r="DF24" s="214">
        <v>855</v>
      </c>
      <c r="DG24" s="214">
        <v>840</v>
      </c>
      <c r="DH24" s="214">
        <v>840</v>
      </c>
      <c r="DI24" s="214">
        <v>840</v>
      </c>
      <c r="DJ24" s="214">
        <v>820</v>
      </c>
      <c r="DK24" s="214">
        <v>790</v>
      </c>
      <c r="DL24" s="214">
        <v>780</v>
      </c>
      <c r="DM24" s="214">
        <v>780</v>
      </c>
      <c r="DN24" s="214">
        <v>760</v>
      </c>
      <c r="DO24" s="214">
        <v>750</v>
      </c>
      <c r="DP24" s="214">
        <v>745</v>
      </c>
      <c r="DQ24" s="178"/>
      <c r="DR24" s="178"/>
    </row>
    <row r="25" spans="1:122 16384:16384">
      <c r="A25" s="178" t="str">
        <f t="shared" si="0"/>
        <v>AcetoneINR</v>
      </c>
      <c r="B25" s="178" t="s">
        <v>46</v>
      </c>
      <c r="C25" s="178" t="s">
        <v>64</v>
      </c>
      <c r="D25" s="178" t="s">
        <v>43</v>
      </c>
      <c r="E25" s="178" t="s">
        <v>34</v>
      </c>
      <c r="F25" s="214"/>
      <c r="G25" s="214"/>
      <c r="H25" s="214"/>
      <c r="I25" s="214"/>
      <c r="J25" s="214"/>
      <c r="K25" s="214"/>
      <c r="L25" s="214"/>
      <c r="M25" s="214"/>
      <c r="N25" s="214"/>
      <c r="O25" s="214"/>
      <c r="P25" s="214"/>
      <c r="Q25" s="214"/>
      <c r="R25" s="214"/>
      <c r="S25" s="214"/>
      <c r="T25" s="214"/>
      <c r="U25" s="214"/>
      <c r="V25" s="214"/>
      <c r="W25" s="214"/>
      <c r="X25" s="214"/>
      <c r="Y25" s="214"/>
      <c r="Z25" s="214"/>
      <c r="AA25" s="214"/>
      <c r="AB25" s="214"/>
      <c r="AC25" s="214"/>
      <c r="AD25" s="215">
        <f t="shared" ref="AD25:CO25" si="8">(AD24/1000)*AD1</f>
        <v>61.235125000000004</v>
      </c>
      <c r="AE25" s="215">
        <f t="shared" si="8"/>
        <v>65.589999999999989</v>
      </c>
      <c r="AF25" s="215">
        <f t="shared" si="8"/>
        <v>75.165922999999992</v>
      </c>
      <c r="AG25" s="215">
        <f t="shared" si="8"/>
        <v>73.506925050000007</v>
      </c>
      <c r="AH25" s="215">
        <f t="shared" si="8"/>
        <v>73.839907624999981</v>
      </c>
      <c r="AI25" s="215">
        <f t="shared" si="8"/>
        <v>74.951594181818166</v>
      </c>
      <c r="AJ25" s="215">
        <f t="shared" si="8"/>
        <v>75.78067786666665</v>
      </c>
      <c r="AK25" s="215">
        <f t="shared" si="8"/>
        <v>69.603566666666666</v>
      </c>
      <c r="AL25" s="215">
        <f t="shared" ref="AL25:AV25" si="9">(AL24/1000)*AL1</f>
        <v>67.193926931818197</v>
      </c>
      <c r="AM25" s="215">
        <f t="shared" si="9"/>
        <v>67.420087526666677</v>
      </c>
      <c r="AN25" s="215">
        <f t="shared" si="9"/>
        <v>64.221257452380954</v>
      </c>
      <c r="AO25" s="215">
        <f t="shared" si="9"/>
        <v>65.146728772727272</v>
      </c>
      <c r="AP25" s="215">
        <f t="shared" si="9"/>
        <v>64.700676476190466</v>
      </c>
      <c r="AQ25" s="215">
        <f t="shared" si="9"/>
        <v>68.473031770000006</v>
      </c>
      <c r="AR25" s="215">
        <f t="shared" si="9"/>
        <v>75.141309750000005</v>
      </c>
      <c r="AS25" s="215">
        <f t="shared" si="9"/>
        <v>75.141309750000005</v>
      </c>
      <c r="AT25" s="215">
        <f t="shared" si="9"/>
        <v>76.578438625000004</v>
      </c>
      <c r="AU25" s="215">
        <f t="shared" si="9"/>
        <v>76.106250000000003</v>
      </c>
      <c r="AV25" s="215">
        <f t="shared" si="9"/>
        <v>65.951999999999998</v>
      </c>
      <c r="AW25" s="215">
        <f t="shared" si="8"/>
        <v>66.976700000000008</v>
      </c>
      <c r="AX25" s="215">
        <f t="shared" si="8"/>
        <v>66.764799999999994</v>
      </c>
      <c r="AY25" s="215">
        <f t="shared" si="8"/>
        <v>67.864500000000007</v>
      </c>
      <c r="AZ25" s="215">
        <f t="shared" si="8"/>
        <v>69.991349999999997</v>
      </c>
      <c r="BA25" s="215">
        <f t="shared" si="8"/>
        <v>71.594999999999999</v>
      </c>
      <c r="BB25" s="215">
        <f t="shared" si="8"/>
        <v>72.011250000000004</v>
      </c>
      <c r="BC25" s="215">
        <f t="shared" si="8"/>
        <v>71.492249999999999</v>
      </c>
      <c r="BD25" s="215">
        <f t="shared" si="8"/>
        <v>71.838250000000002</v>
      </c>
      <c r="BE25" s="215">
        <f t="shared" si="8"/>
        <v>72.572499999999991</v>
      </c>
      <c r="BF25" s="215">
        <f t="shared" si="8"/>
        <v>72.563749999999999</v>
      </c>
      <c r="BG25" s="215">
        <f t="shared" si="8"/>
        <v>77.015500000000003</v>
      </c>
      <c r="BH25" s="215">
        <f t="shared" si="8"/>
        <v>78.226799999999997</v>
      </c>
      <c r="BI25" s="215">
        <f t="shared" si="8"/>
        <v>79.087499999999991</v>
      </c>
      <c r="BJ25" s="215">
        <f t="shared" si="8"/>
        <v>76.470400000000012</v>
      </c>
      <c r="BK25" s="215">
        <f t="shared" si="8"/>
        <v>76.59920000000001</v>
      </c>
      <c r="BL25" s="215">
        <f t="shared" si="8"/>
        <v>76.562399999999997</v>
      </c>
      <c r="BM25" s="215">
        <f t="shared" si="8"/>
        <v>77.366700000000009</v>
      </c>
      <c r="BN25" s="215">
        <f t="shared" si="8"/>
        <v>77.366700000000009</v>
      </c>
      <c r="BO25" s="215">
        <f t="shared" si="8"/>
        <v>77.496899999999997</v>
      </c>
      <c r="BP25" s="215">
        <f t="shared" si="8"/>
        <v>75.477000000000004</v>
      </c>
      <c r="BQ25" s="215">
        <f t="shared" si="8"/>
        <v>75.440799999999996</v>
      </c>
      <c r="BR25" s="215">
        <f t="shared" si="8"/>
        <v>75.3322</v>
      </c>
      <c r="BS25" s="215">
        <f t="shared" si="8"/>
        <v>75.404600000000002</v>
      </c>
      <c r="BT25" s="215">
        <f t="shared" si="8"/>
        <v>77.3202</v>
      </c>
      <c r="BU25" s="215">
        <f t="shared" si="8"/>
        <v>76.913750000000007</v>
      </c>
      <c r="BV25" s="215">
        <f t="shared" si="8"/>
        <v>77.006250000000009</v>
      </c>
      <c r="BW25" s="215">
        <f t="shared" si="8"/>
        <v>79.7376</v>
      </c>
      <c r="BX25" s="215">
        <f t="shared" si="8"/>
        <v>79.679999999999993</v>
      </c>
      <c r="BY25" s="215">
        <f t="shared" si="8"/>
        <v>81.349800000000002</v>
      </c>
      <c r="BZ25" s="215">
        <f t="shared" si="8"/>
        <v>85.387000000000015</v>
      </c>
      <c r="CA25" s="215">
        <f t="shared" si="8"/>
        <v>85.387000000000015</v>
      </c>
      <c r="CB25" s="215">
        <f t="shared" si="8"/>
        <v>85.181000000000012</v>
      </c>
      <c r="CC25" s="215">
        <f t="shared" si="8"/>
        <v>85.242800000000003</v>
      </c>
      <c r="CD25" s="215">
        <f t="shared" si="8"/>
        <v>86.590400000000002</v>
      </c>
      <c r="CE25" s="215">
        <f t="shared" si="8"/>
        <v>86.7256</v>
      </c>
      <c r="CF25" s="215">
        <f t="shared" si="8"/>
        <v>86.538399999999996</v>
      </c>
      <c r="CG25" s="215">
        <f t="shared" si="8"/>
        <v>86.736000000000004</v>
      </c>
      <c r="CH25" s="215">
        <f t="shared" si="8"/>
        <v>86.954400000000007</v>
      </c>
      <c r="CI25" s="215">
        <f t="shared" si="8"/>
        <v>88.425200000000004</v>
      </c>
      <c r="CJ25" s="215">
        <f t="shared" si="8"/>
        <v>88.51</v>
      </c>
      <c r="CK25" s="214">
        <f t="shared" si="8"/>
        <v>89.1845</v>
      </c>
      <c r="CL25" s="215">
        <f t="shared" si="8"/>
        <v>89.1845</v>
      </c>
      <c r="CM25" s="215">
        <f t="shared" si="8"/>
        <v>89.1845</v>
      </c>
      <c r="CN25" s="215">
        <f t="shared" si="8"/>
        <v>89.1845</v>
      </c>
      <c r="CO25" s="215">
        <f t="shared" si="8"/>
        <v>89.76230000000001</v>
      </c>
      <c r="CP25" s="215">
        <f t="shared" ref="CP25:DP25" si="10">(CP24/1000)*CP1</f>
        <v>88.820999999999998</v>
      </c>
      <c r="CQ25" s="215">
        <f t="shared" si="10"/>
        <v>89.762500000000003</v>
      </c>
      <c r="CR25" s="215">
        <f t="shared" si="10"/>
        <v>89.291500000000013</v>
      </c>
      <c r="CS25" s="215">
        <f t="shared" si="10"/>
        <v>89.312899999999999</v>
      </c>
      <c r="CT25" s="215">
        <f t="shared" si="10"/>
        <v>89.398499999999999</v>
      </c>
      <c r="CU25" s="215">
        <f t="shared" si="10"/>
        <v>87.048000000000002</v>
      </c>
      <c r="CV25" s="215">
        <f t="shared" si="10"/>
        <v>85.404600000000002</v>
      </c>
      <c r="CW25" s="215">
        <f t="shared" si="10"/>
        <v>85.629000000000005</v>
      </c>
      <c r="CX25" s="215">
        <f t="shared" si="10"/>
        <v>85.639199999999988</v>
      </c>
      <c r="CY25" s="215">
        <f t="shared" si="10"/>
        <v>85.578000000000003</v>
      </c>
      <c r="CZ25" s="215">
        <f t="shared" si="10"/>
        <v>84.938625000000002</v>
      </c>
      <c r="DA25" s="215">
        <f t="shared" si="10"/>
        <v>80.601599999999991</v>
      </c>
      <c r="DB25" s="215">
        <f t="shared" si="10"/>
        <v>80.181799999999996</v>
      </c>
      <c r="DC25" s="215">
        <f t="shared" si="10"/>
        <v>73.132499999999993</v>
      </c>
      <c r="DD25" s="215">
        <f t="shared" si="10"/>
        <v>71.11099999999999</v>
      </c>
      <c r="DE25" s="215">
        <f t="shared" si="10"/>
        <v>72.634050000000002</v>
      </c>
      <c r="DF25" s="215">
        <f t="shared" si="10"/>
        <v>71.87984999999999</v>
      </c>
      <c r="DG25" s="215">
        <f t="shared" si="10"/>
        <v>70.618799999999993</v>
      </c>
      <c r="DH25" s="215">
        <f t="shared" si="10"/>
        <v>70.627200000000002</v>
      </c>
      <c r="DI25" s="215">
        <f t="shared" si="10"/>
        <v>70.660799999999995</v>
      </c>
      <c r="DJ25" s="215">
        <f t="shared" si="10"/>
        <v>69.207999999999998</v>
      </c>
      <c r="DK25" s="215">
        <f t="shared" si="10"/>
        <v>66.573300000000003</v>
      </c>
      <c r="DL25" s="215">
        <f>(DL24/1000)*DL1</f>
        <v>66.011399999999995</v>
      </c>
      <c r="DM25" s="215">
        <f t="shared" si="10"/>
        <v>66.058199999999999</v>
      </c>
      <c r="DN25" s="215">
        <f t="shared" si="10"/>
        <v>64.470799999999997</v>
      </c>
      <c r="DO25" s="215">
        <f t="shared" si="10"/>
        <v>63.69</v>
      </c>
      <c r="DP25" s="215">
        <f t="shared" si="10"/>
        <v>63.459100000000007</v>
      </c>
      <c r="DQ25" s="178"/>
      <c r="DR25" s="178"/>
    </row>
    <row r="26" spans="1:122 16384:16384">
      <c r="A26" s="178" t="str">
        <f t="shared" si="0"/>
        <v>Barium hydroxide  monohydrateINR</v>
      </c>
      <c r="B26" s="178" t="s">
        <v>41</v>
      </c>
      <c r="C26" s="178" t="s">
        <v>65</v>
      </c>
      <c r="D26" s="178" t="s">
        <v>43</v>
      </c>
      <c r="E26" s="178" t="s">
        <v>34</v>
      </c>
      <c r="F26" s="214"/>
      <c r="G26" s="214"/>
      <c r="H26" s="214"/>
      <c r="I26" s="214"/>
      <c r="J26" s="214"/>
      <c r="K26" s="214"/>
      <c r="L26" s="214"/>
      <c r="M26" s="214"/>
      <c r="N26" s="214"/>
      <c r="O26" s="214"/>
      <c r="P26" s="214"/>
      <c r="Q26" s="214"/>
      <c r="R26" s="214"/>
      <c r="S26" s="214"/>
      <c r="T26" s="214"/>
      <c r="U26" s="214"/>
      <c r="V26" s="214"/>
      <c r="W26" s="214"/>
      <c r="X26" s="214"/>
      <c r="Y26" s="214"/>
      <c r="Z26" s="214"/>
      <c r="AA26" s="214"/>
      <c r="AB26" s="214"/>
      <c r="AC26" s="214"/>
      <c r="AD26" s="232">
        <v>130</v>
      </c>
      <c r="AE26" s="232">
        <v>130</v>
      </c>
      <c r="AF26" s="232">
        <v>130</v>
      </c>
      <c r="AG26" s="232">
        <v>130</v>
      </c>
      <c r="AH26" s="232">
        <v>130</v>
      </c>
      <c r="AI26" s="232">
        <v>130</v>
      </c>
      <c r="AJ26" s="232">
        <v>130</v>
      </c>
      <c r="AK26" s="232">
        <v>130</v>
      </c>
      <c r="AL26" s="232">
        <v>130</v>
      </c>
      <c r="AM26" s="232">
        <v>130</v>
      </c>
      <c r="AN26" s="232">
        <v>130</v>
      </c>
      <c r="AO26" s="214"/>
      <c r="AP26" s="214"/>
      <c r="AQ26" s="214"/>
      <c r="AR26" s="214"/>
      <c r="AS26" s="214"/>
      <c r="AT26" s="214"/>
      <c r="AU26" s="214"/>
      <c r="AV26" s="214"/>
      <c r="AW26" s="214"/>
      <c r="AX26" s="178"/>
      <c r="AY26" s="214"/>
      <c r="AZ26" s="214"/>
      <c r="BA26" s="214"/>
      <c r="BB26" s="214"/>
      <c r="BC26" s="214"/>
      <c r="BD26" s="214"/>
      <c r="BE26" s="214"/>
      <c r="BF26" s="214"/>
      <c r="BG26" s="214"/>
      <c r="BH26" s="214"/>
      <c r="BI26" s="214"/>
      <c r="BJ26" s="214"/>
      <c r="BK26" s="214"/>
      <c r="BL26" s="214"/>
      <c r="BM26" s="214"/>
      <c r="BN26" s="214"/>
      <c r="BO26" s="178"/>
      <c r="BP26" s="214"/>
      <c r="BQ26" s="214"/>
      <c r="BR26" s="214"/>
      <c r="BS26" s="214"/>
      <c r="BT26" s="214"/>
      <c r="BU26" s="214"/>
      <c r="BV26" s="214"/>
      <c r="BW26" s="214"/>
      <c r="BX26" s="214"/>
      <c r="BY26" s="214"/>
      <c r="BZ26" s="214"/>
      <c r="CA26" s="214"/>
      <c r="CB26" s="214"/>
      <c r="CC26" s="214"/>
      <c r="CD26" s="214"/>
      <c r="CE26" s="214"/>
      <c r="CF26" s="214"/>
      <c r="CG26" s="214"/>
      <c r="CH26" s="214"/>
      <c r="CI26" s="214"/>
      <c r="CJ26" s="214"/>
      <c r="CK26" s="214"/>
      <c r="CL26" s="178"/>
      <c r="CM26" s="178"/>
      <c r="CN26" s="214"/>
      <c r="CO26" s="214"/>
      <c r="CP26" s="214"/>
      <c r="CQ26" s="214"/>
      <c r="CR26" s="214"/>
      <c r="CS26" s="214"/>
      <c r="CT26" s="214"/>
      <c r="CU26" s="214"/>
      <c r="CV26" s="214"/>
      <c r="CW26" s="214"/>
      <c r="CX26" s="214"/>
      <c r="CY26" s="214"/>
      <c r="CZ26" s="214"/>
      <c r="DA26" s="214"/>
      <c r="DD26" s="178"/>
      <c r="DI26" s="214"/>
      <c r="DJ26" s="214"/>
      <c r="DK26" s="214"/>
      <c r="DL26" s="214"/>
      <c r="DM26" s="214"/>
      <c r="DN26" s="214"/>
      <c r="DO26" s="214"/>
      <c r="DP26" s="214"/>
      <c r="DQ26" s="178"/>
      <c r="DR26" s="178"/>
    </row>
    <row r="27" spans="1:122 16384:16384">
      <c r="A27" s="178" t="str">
        <f t="shared" si="0"/>
        <v>Phenol CHINA USD</v>
      </c>
      <c r="B27" s="178" t="s">
        <v>66</v>
      </c>
      <c r="C27" s="178" t="s">
        <v>67</v>
      </c>
      <c r="D27" s="178" t="s">
        <v>33</v>
      </c>
      <c r="E27" s="178" t="s">
        <v>32</v>
      </c>
      <c r="F27" s="214">
        <v>865</v>
      </c>
      <c r="G27" s="214">
        <v>920</v>
      </c>
      <c r="H27" s="214">
        <v>795</v>
      </c>
      <c r="I27" s="214">
        <v>665</v>
      </c>
      <c r="J27" s="214">
        <v>700</v>
      </c>
      <c r="K27" s="214">
        <v>840</v>
      </c>
      <c r="L27" s="214">
        <v>630</v>
      </c>
      <c r="M27" s="214">
        <v>625</v>
      </c>
      <c r="N27" s="214">
        <v>625</v>
      </c>
      <c r="O27" s="214">
        <v>645</v>
      </c>
      <c r="P27" s="214">
        <v>750</v>
      </c>
      <c r="Q27" s="214">
        <v>850</v>
      </c>
      <c r="R27" s="214">
        <v>875</v>
      </c>
      <c r="S27" s="214">
        <v>925</v>
      </c>
      <c r="T27" s="214">
        <v>1150</v>
      </c>
      <c r="U27" s="214">
        <v>1200</v>
      </c>
      <c r="V27" s="214">
        <v>1300</v>
      </c>
      <c r="W27" s="214">
        <v>1150</v>
      </c>
      <c r="X27" s="214">
        <v>1230</v>
      </c>
      <c r="Y27" s="214">
        <v>1215</v>
      </c>
      <c r="Z27" s="214">
        <v>1425</v>
      </c>
      <c r="AA27" s="214">
        <v>1375</v>
      </c>
      <c r="AB27" s="214">
        <v>1250</v>
      </c>
      <c r="AC27" s="214">
        <v>1225</v>
      </c>
      <c r="AD27" s="214">
        <v>1475</v>
      </c>
      <c r="AE27" s="214">
        <v>1495</v>
      </c>
      <c r="AF27" s="214">
        <v>1555</v>
      </c>
      <c r="AG27" s="214">
        <v>1455</v>
      </c>
      <c r="AH27" s="214">
        <v>1425</v>
      </c>
      <c r="AI27" s="214">
        <v>1475</v>
      </c>
      <c r="AJ27" s="214">
        <v>1225</v>
      </c>
      <c r="AK27" s="214">
        <v>1180</v>
      </c>
      <c r="AL27" s="214">
        <v>1240</v>
      </c>
      <c r="AM27" s="214">
        <v>1190</v>
      </c>
      <c r="AN27" s="214">
        <v>1075</v>
      </c>
      <c r="AO27" s="214">
        <v>955</v>
      </c>
      <c r="AP27" s="214">
        <v>910</v>
      </c>
      <c r="AQ27" s="214">
        <v>1000</v>
      </c>
      <c r="AR27" s="214">
        <v>940</v>
      </c>
      <c r="AS27" s="214">
        <v>900</v>
      </c>
      <c r="AT27" s="214">
        <v>880</v>
      </c>
      <c r="AU27" s="214">
        <v>725</v>
      </c>
      <c r="AV27" s="214">
        <v>725</v>
      </c>
      <c r="AW27" s="214">
        <v>725</v>
      </c>
      <c r="AX27" s="214">
        <v>725</v>
      </c>
      <c r="AY27" s="214">
        <v>825</v>
      </c>
      <c r="AZ27" s="214">
        <v>825</v>
      </c>
      <c r="BA27" s="214">
        <v>977.04</v>
      </c>
      <c r="BB27" s="214">
        <v>925</v>
      </c>
      <c r="BC27" s="214">
        <v>925</v>
      </c>
      <c r="BD27" s="214">
        <v>925</v>
      </c>
      <c r="BE27" s="214">
        <v>1050</v>
      </c>
      <c r="BF27" s="214">
        <v>1050</v>
      </c>
      <c r="BG27" s="214">
        <v>1050</v>
      </c>
      <c r="BH27" s="214">
        <v>1075</v>
      </c>
      <c r="BI27" s="214">
        <v>1075</v>
      </c>
      <c r="BJ27" s="214">
        <v>1075</v>
      </c>
      <c r="BK27" s="214">
        <v>975</v>
      </c>
      <c r="BL27" s="214">
        <v>925</v>
      </c>
      <c r="BM27" s="214">
        <v>925</v>
      </c>
      <c r="BN27" s="214">
        <v>925</v>
      </c>
      <c r="BO27" s="214">
        <v>925</v>
      </c>
      <c r="BP27" s="214">
        <v>925</v>
      </c>
      <c r="BQ27" s="214">
        <v>925</v>
      </c>
      <c r="BR27" s="214">
        <v>905</v>
      </c>
      <c r="BS27" s="214">
        <v>905</v>
      </c>
      <c r="BT27" s="214">
        <v>905</v>
      </c>
      <c r="BU27" s="214">
        <v>905</v>
      </c>
      <c r="BV27" s="214">
        <v>905</v>
      </c>
      <c r="BW27" s="214">
        <v>865</v>
      </c>
      <c r="BX27" s="214">
        <v>865</v>
      </c>
      <c r="BY27" s="214">
        <v>865</v>
      </c>
      <c r="BZ27" s="214">
        <v>940</v>
      </c>
      <c r="CA27" s="214">
        <v>940</v>
      </c>
      <c r="CB27" s="214">
        <v>940</v>
      </c>
      <c r="CC27" s="214">
        <v>940</v>
      </c>
      <c r="CD27" s="214">
        <v>940</v>
      </c>
      <c r="CE27" s="214">
        <v>910</v>
      </c>
      <c r="CF27" s="214">
        <v>910</v>
      </c>
      <c r="CG27" s="214">
        <v>910</v>
      </c>
      <c r="CH27" s="214">
        <v>910</v>
      </c>
      <c r="CI27" s="214">
        <v>945</v>
      </c>
      <c r="CJ27" s="214">
        <v>945</v>
      </c>
      <c r="CK27" s="214">
        <v>945</v>
      </c>
      <c r="CL27" s="214">
        <v>945</v>
      </c>
      <c r="CM27" s="214">
        <v>945</v>
      </c>
      <c r="CN27" s="214">
        <v>945</v>
      </c>
      <c r="CO27" s="214">
        <v>910</v>
      </c>
      <c r="CP27" s="214">
        <v>910</v>
      </c>
      <c r="CQ27" s="214">
        <v>910</v>
      </c>
      <c r="CR27" s="214">
        <v>930</v>
      </c>
      <c r="CS27" s="214">
        <v>930</v>
      </c>
      <c r="CT27" s="214">
        <v>930</v>
      </c>
      <c r="CU27" s="214">
        <v>930</v>
      </c>
      <c r="CV27" s="214">
        <v>970</v>
      </c>
      <c r="CW27" s="214">
        <v>1015</v>
      </c>
      <c r="CX27" s="214">
        <v>1015</v>
      </c>
      <c r="CY27" s="214">
        <v>1010</v>
      </c>
      <c r="CZ27" s="214">
        <v>1090</v>
      </c>
      <c r="DA27" s="214">
        <v>1090</v>
      </c>
      <c r="DB27" s="214">
        <v>1090</v>
      </c>
      <c r="DC27" s="214">
        <v>1025</v>
      </c>
      <c r="DD27" s="214">
        <v>1025</v>
      </c>
      <c r="DE27" s="214">
        <v>985</v>
      </c>
      <c r="DF27" s="214">
        <v>955</v>
      </c>
      <c r="DG27" s="214">
        <v>905</v>
      </c>
      <c r="DH27" s="214">
        <v>895</v>
      </c>
      <c r="DI27" s="214">
        <v>895</v>
      </c>
      <c r="DJ27" s="214">
        <v>900</v>
      </c>
      <c r="DK27" s="214">
        <v>910</v>
      </c>
      <c r="DL27" s="214">
        <v>895</v>
      </c>
      <c r="DM27" s="214">
        <v>895</v>
      </c>
      <c r="DN27" s="214">
        <v>900</v>
      </c>
      <c r="DO27" s="214">
        <v>900</v>
      </c>
      <c r="DP27" s="214">
        <v>900</v>
      </c>
      <c r="DQ27" s="178"/>
      <c r="DR27" s="178"/>
    </row>
    <row r="28" spans="1:122 16384:16384">
      <c r="A28" s="178" t="str">
        <f t="shared" si="0"/>
        <v>PROPYLENE TRIMERUSD</v>
      </c>
      <c r="B28" s="178" t="s">
        <v>56</v>
      </c>
      <c r="C28" s="178" t="s">
        <v>68</v>
      </c>
      <c r="D28" s="178" t="s">
        <v>33</v>
      </c>
      <c r="E28" s="178" t="s">
        <v>34</v>
      </c>
      <c r="F28" s="216">
        <v>1.1784076038003739</v>
      </c>
      <c r="G28" s="216">
        <v>1.1581715799493948</v>
      </c>
      <c r="H28" s="216">
        <v>1.1163584398313084</v>
      </c>
      <c r="I28" s="216">
        <v>0.94952529268093733</v>
      </c>
      <c r="J28" s="216">
        <v>1.2051355188756561</v>
      </c>
      <c r="K28" s="216">
        <v>1.1097750932571715</v>
      </c>
      <c r="L28" s="216">
        <v>0.90714941123433701</v>
      </c>
      <c r="M28" s="216">
        <v>1.0272154658542818</v>
      </c>
      <c r="N28" s="216">
        <v>0.88309234588671048</v>
      </c>
      <c r="O28" s="216">
        <v>0.81422544168833244</v>
      </c>
      <c r="P28" s="216">
        <v>0.81402518300498761</v>
      </c>
      <c r="Q28" s="216">
        <v>0.80551253333582085</v>
      </c>
      <c r="R28" s="216">
        <v>0.88693569611730594</v>
      </c>
      <c r="S28" s="216">
        <v>0.87395210935680478</v>
      </c>
      <c r="T28" s="216">
        <v>1.000993544882022</v>
      </c>
      <c r="U28" s="216">
        <v>1.1519594179357699</v>
      </c>
      <c r="V28" s="216">
        <v>1.9833783027638483</v>
      </c>
      <c r="W28" s="216">
        <v>1.3818268376736904</v>
      </c>
      <c r="X28" s="216">
        <v>1.3608739991321743</v>
      </c>
      <c r="Y28" s="216">
        <v>1.4707497216721062</v>
      </c>
      <c r="Z28" s="216">
        <v>1.4269011373687563</v>
      </c>
      <c r="AA28" s="216">
        <v>1.4286897826495313</v>
      </c>
      <c r="AB28" s="216">
        <v>1.6629754668583374</v>
      </c>
      <c r="AC28" s="216">
        <v>1.4152031714317914</v>
      </c>
      <c r="AD28" s="216">
        <v>1.5029287931089226</v>
      </c>
      <c r="AE28" s="216">
        <v>1.6588430958368658</v>
      </c>
      <c r="AF28" s="216">
        <v>1.6455392733640721</v>
      </c>
      <c r="AG28" s="216">
        <v>1.6880191762117951</v>
      </c>
      <c r="AH28" s="216">
        <v>1.8986910789321898</v>
      </c>
      <c r="AI28" s="216">
        <v>1.939705005661905</v>
      </c>
      <c r="AJ28" s="216">
        <v>2.0180120544072109</v>
      </c>
      <c r="AK28" s="216">
        <v>1.7776820383768484</v>
      </c>
      <c r="AL28" s="216">
        <v>1.9188085430709374</v>
      </c>
      <c r="AM28" s="216">
        <v>1.6464950247078409</v>
      </c>
      <c r="AN28" s="216">
        <v>2.0833182912040624</v>
      </c>
      <c r="AO28" s="216">
        <v>2.0088489010989012</v>
      </c>
      <c r="AP28" s="216">
        <v>1.8546604719447131</v>
      </c>
      <c r="AQ28" s="216">
        <v>1.4344275607746728</v>
      </c>
      <c r="AR28" s="216">
        <v>1.3644331809525261</v>
      </c>
      <c r="AS28" s="214">
        <v>1.41</v>
      </c>
      <c r="AT28" s="214">
        <v>1.56</v>
      </c>
      <c r="AU28" s="214">
        <v>1.6</v>
      </c>
      <c r="AV28" s="214">
        <v>1.6</v>
      </c>
      <c r="AW28" s="214">
        <v>1.6</v>
      </c>
      <c r="AX28" s="214">
        <v>1.6</v>
      </c>
      <c r="AY28" s="214">
        <v>1.64</v>
      </c>
      <c r="AZ28" s="214">
        <v>1.6</v>
      </c>
      <c r="BA28" s="214">
        <v>1.6</v>
      </c>
      <c r="BB28" s="214">
        <v>1.58</v>
      </c>
      <c r="BC28" s="214">
        <v>1.58</v>
      </c>
      <c r="BD28" s="214">
        <v>1.58</v>
      </c>
      <c r="BE28" s="214">
        <v>1.58</v>
      </c>
      <c r="BF28" s="214">
        <v>1.58</v>
      </c>
      <c r="BG28" s="214">
        <v>1.58</v>
      </c>
      <c r="BH28" s="214">
        <v>1.58</v>
      </c>
      <c r="BI28" s="214">
        <v>1.58</v>
      </c>
      <c r="BJ28" s="214">
        <v>1.47</v>
      </c>
      <c r="BK28" s="214">
        <v>1.2</v>
      </c>
      <c r="BL28" s="214">
        <v>1.3</v>
      </c>
      <c r="BM28" s="214">
        <v>1.4</v>
      </c>
      <c r="BN28" s="214">
        <v>1.4</v>
      </c>
      <c r="BO28" s="214">
        <v>1.4</v>
      </c>
      <c r="BP28" s="214">
        <v>1.4</v>
      </c>
      <c r="BQ28" s="214">
        <v>1.4</v>
      </c>
      <c r="BR28" s="214">
        <v>1.21</v>
      </c>
      <c r="BS28" s="214">
        <v>1.21</v>
      </c>
      <c r="BT28" s="214">
        <v>1.21</v>
      </c>
      <c r="BU28" s="214">
        <v>1.21</v>
      </c>
      <c r="BV28" s="214">
        <v>1.21</v>
      </c>
      <c r="BW28" s="214">
        <v>1.21</v>
      </c>
      <c r="BX28" s="214">
        <v>1.21</v>
      </c>
      <c r="BY28" s="214">
        <v>1.21</v>
      </c>
      <c r="BZ28" s="214">
        <v>1.49</v>
      </c>
      <c r="CA28" s="214">
        <v>1.49</v>
      </c>
      <c r="CB28" s="214">
        <v>1.49</v>
      </c>
      <c r="CC28" s="214">
        <v>1.49</v>
      </c>
      <c r="CD28" s="214">
        <v>1.49</v>
      </c>
      <c r="CE28" s="214">
        <v>1.49</v>
      </c>
      <c r="CF28" s="214">
        <v>1.49</v>
      </c>
      <c r="CG28" s="214">
        <v>1.49</v>
      </c>
      <c r="CH28" s="214">
        <v>1.49</v>
      </c>
      <c r="CI28" s="214">
        <v>1.49</v>
      </c>
      <c r="CJ28" s="214">
        <v>1.49</v>
      </c>
      <c r="CK28" s="214">
        <v>1.49</v>
      </c>
      <c r="CL28" s="214">
        <v>1.49</v>
      </c>
      <c r="CM28" s="214">
        <v>1.49</v>
      </c>
      <c r="CN28" s="214">
        <v>1.49</v>
      </c>
      <c r="CO28" s="214">
        <v>1.49</v>
      </c>
      <c r="CP28" s="214">
        <v>1.5</v>
      </c>
      <c r="CQ28" s="214">
        <v>1.49</v>
      </c>
      <c r="CR28" s="214">
        <v>1.49</v>
      </c>
      <c r="CS28" s="214">
        <v>1.49</v>
      </c>
      <c r="CT28" s="214">
        <v>1.49</v>
      </c>
      <c r="CU28" s="214">
        <v>1.49</v>
      </c>
      <c r="CV28" s="214">
        <v>1.49</v>
      </c>
      <c r="CW28" s="214">
        <v>1.49</v>
      </c>
      <c r="CX28" s="214">
        <v>1.49</v>
      </c>
      <c r="CY28" s="214">
        <v>1.49</v>
      </c>
      <c r="CZ28" s="214">
        <v>1.49</v>
      </c>
      <c r="DA28" s="214">
        <v>1.49</v>
      </c>
      <c r="DB28" s="214">
        <v>1.49</v>
      </c>
      <c r="DC28" s="214">
        <v>1.49</v>
      </c>
      <c r="DD28" s="214">
        <v>1.49</v>
      </c>
      <c r="DE28" s="214">
        <v>1.49</v>
      </c>
      <c r="DF28" s="214">
        <v>1.49</v>
      </c>
      <c r="DG28" s="214">
        <v>1.58</v>
      </c>
      <c r="DH28" s="214">
        <v>1.58</v>
      </c>
      <c r="DI28" s="214">
        <v>1.58</v>
      </c>
      <c r="DJ28" s="214">
        <v>1.45</v>
      </c>
      <c r="DK28" s="214">
        <v>1.45</v>
      </c>
      <c r="DL28" s="214">
        <v>1.45</v>
      </c>
      <c r="DM28" s="214">
        <v>1.45</v>
      </c>
      <c r="DN28" s="214">
        <v>1.56</v>
      </c>
      <c r="DO28" s="214">
        <v>1.56</v>
      </c>
      <c r="DP28" s="214">
        <v>1.56</v>
      </c>
      <c r="DQ28" s="178"/>
      <c r="DR28" s="178"/>
    </row>
    <row r="29" spans="1:122 16384:16384">
      <c r="A29" s="178" t="str">
        <f t="shared" si="0"/>
        <v>PROPYLENE TRIMERINR</v>
      </c>
      <c r="B29" s="178" t="s">
        <v>56</v>
      </c>
      <c r="C29" s="178" t="s">
        <v>68</v>
      </c>
      <c r="D29" s="178" t="s">
        <v>43</v>
      </c>
      <c r="E29" s="178" t="s">
        <v>34</v>
      </c>
      <c r="F29" s="214"/>
      <c r="G29" s="214"/>
      <c r="H29" s="214"/>
      <c r="I29" s="214"/>
      <c r="J29" s="214"/>
      <c r="K29" s="214"/>
      <c r="L29" s="214"/>
      <c r="M29" s="214"/>
      <c r="N29" s="214"/>
      <c r="O29" s="214"/>
      <c r="P29" s="214"/>
      <c r="Q29" s="214"/>
      <c r="R29" s="214"/>
      <c r="S29" s="214"/>
      <c r="T29" s="214"/>
      <c r="U29" s="214"/>
      <c r="V29" s="214"/>
      <c r="W29" s="214"/>
      <c r="X29" s="214"/>
      <c r="Y29" s="214"/>
      <c r="Z29" s="214"/>
      <c r="AA29" s="214"/>
      <c r="AB29" s="214"/>
      <c r="AC29" s="214"/>
      <c r="AD29" s="215">
        <f t="shared" ref="AD29:AK29" si="11">AD28*AD1</f>
        <v>111.89304864695929</v>
      </c>
      <c r="AE29" s="215">
        <f t="shared" si="11"/>
        <v>124.34687846393145</v>
      </c>
      <c r="AF29" s="215">
        <f t="shared" si="11"/>
        <v>125.40654802307593</v>
      </c>
      <c r="AG29" s="215">
        <f t="shared" si="11"/>
        <v>128.98243146441078</v>
      </c>
      <c r="AH29" s="215">
        <f t="shared" si="11"/>
        <v>146.80541767200467</v>
      </c>
      <c r="AI29" s="215">
        <f t="shared" si="11"/>
        <v>151.44164835084626</v>
      </c>
      <c r="AJ29" s="215">
        <f t="shared" si="11"/>
        <v>160.63689225428891</v>
      </c>
      <c r="AK29" s="215">
        <f t="shared" si="11"/>
        <v>141.40915459462727</v>
      </c>
      <c r="AL29" s="215">
        <f t="shared" ref="AL29:AV29" si="12">AL28*AL1</f>
        <v>153.94899228568011</v>
      </c>
      <c r="AM29" s="215">
        <f t="shared" si="12"/>
        <v>135.57259242552988</v>
      </c>
      <c r="AN29" s="215">
        <f t="shared" si="12"/>
        <v>170.43735074480313</v>
      </c>
      <c r="AO29" s="215">
        <f t="shared" si="12"/>
        <v>165.65814494339409</v>
      </c>
      <c r="AP29" s="215">
        <f t="shared" si="12"/>
        <v>151.89593312465013</v>
      </c>
      <c r="AQ29" s="215">
        <f t="shared" si="12"/>
        <v>117.79755809629141</v>
      </c>
      <c r="AR29" s="215">
        <f t="shared" si="12"/>
        <v>112.04950413457001</v>
      </c>
      <c r="AS29" s="215">
        <f t="shared" si="12"/>
        <v>115.7915265</v>
      </c>
      <c r="AT29" s="215">
        <f t="shared" si="12"/>
        <v>128.10977400000002</v>
      </c>
      <c r="AU29" s="215">
        <f t="shared" si="12"/>
        <v>132</v>
      </c>
      <c r="AV29" s="215">
        <f t="shared" si="12"/>
        <v>131.904</v>
      </c>
      <c r="AW29" s="215">
        <f t="shared" ref="AW29:DH29" si="13">AW28*AW1</f>
        <v>131.48800000000003</v>
      </c>
      <c r="AX29" s="215">
        <f t="shared" si="13"/>
        <v>131.072</v>
      </c>
      <c r="AY29" s="215">
        <f t="shared" si="13"/>
        <v>134.90639999999999</v>
      </c>
      <c r="AZ29" s="215">
        <f t="shared" si="13"/>
        <v>132.52799999999999</v>
      </c>
      <c r="BA29" s="215">
        <f t="shared" si="13"/>
        <v>133.20000000000002</v>
      </c>
      <c r="BB29" s="215">
        <f t="shared" si="13"/>
        <v>131.535</v>
      </c>
      <c r="BC29" s="215">
        <f t="shared" si="13"/>
        <v>130.58700000000002</v>
      </c>
      <c r="BD29" s="215">
        <f t="shared" si="13"/>
        <v>131.21899999999999</v>
      </c>
      <c r="BE29" s="215">
        <f t="shared" si="13"/>
        <v>131.04519999999999</v>
      </c>
      <c r="BF29" s="215">
        <f t="shared" si="13"/>
        <v>131.02940000000001</v>
      </c>
      <c r="BG29" s="215">
        <f t="shared" si="13"/>
        <v>131.55080000000001</v>
      </c>
      <c r="BH29" s="215">
        <f t="shared" si="13"/>
        <v>131.48760000000001</v>
      </c>
      <c r="BI29" s="215">
        <f t="shared" si="13"/>
        <v>131.535</v>
      </c>
      <c r="BJ29" s="215">
        <f t="shared" si="13"/>
        <v>122.18640000000001</v>
      </c>
      <c r="BK29" s="215">
        <f t="shared" si="13"/>
        <v>99.912000000000006</v>
      </c>
      <c r="BL29" s="215">
        <f t="shared" si="13"/>
        <v>108.18600000000001</v>
      </c>
      <c r="BM29" s="215">
        <f t="shared" si="13"/>
        <v>116.46599999999999</v>
      </c>
      <c r="BN29" s="215">
        <f t="shared" si="13"/>
        <v>116.46599999999999</v>
      </c>
      <c r="BO29" s="215">
        <f t="shared" si="13"/>
        <v>116.66199999999999</v>
      </c>
      <c r="BP29" s="215">
        <f t="shared" si="13"/>
        <v>116.76</v>
      </c>
      <c r="BQ29" s="215">
        <f t="shared" si="13"/>
        <v>116.70399999999999</v>
      </c>
      <c r="BR29" s="215">
        <f t="shared" si="13"/>
        <v>100.7204</v>
      </c>
      <c r="BS29" s="215">
        <f t="shared" si="13"/>
        <v>100.81719999999999</v>
      </c>
      <c r="BT29" s="215">
        <f t="shared" si="13"/>
        <v>100.5994</v>
      </c>
      <c r="BU29" s="215">
        <f t="shared" si="13"/>
        <v>100.61150000000001</v>
      </c>
      <c r="BV29" s="215">
        <f t="shared" si="13"/>
        <v>100.7325</v>
      </c>
      <c r="BW29" s="215">
        <f t="shared" si="13"/>
        <v>100.5026</v>
      </c>
      <c r="BX29" s="215">
        <f t="shared" si="13"/>
        <v>100.42999999999999</v>
      </c>
      <c r="BY29" s="215">
        <f t="shared" si="13"/>
        <v>100.4421</v>
      </c>
      <c r="BZ29" s="215">
        <f t="shared" si="13"/>
        <v>123.521</v>
      </c>
      <c r="CA29" s="215">
        <f t="shared" si="13"/>
        <v>123.521</v>
      </c>
      <c r="CB29" s="215">
        <f t="shared" si="13"/>
        <v>123.223</v>
      </c>
      <c r="CC29" s="215">
        <f t="shared" si="13"/>
        <v>123.31240000000001</v>
      </c>
      <c r="CD29" s="215">
        <f t="shared" si="13"/>
        <v>124.0574</v>
      </c>
      <c r="CE29" s="215">
        <f t="shared" si="13"/>
        <v>124.25109999999999</v>
      </c>
      <c r="CF29" s="215">
        <f t="shared" si="13"/>
        <v>123.98289999999999</v>
      </c>
      <c r="CG29" s="215">
        <f t="shared" si="13"/>
        <v>124.26600000000001</v>
      </c>
      <c r="CH29" s="215">
        <f t="shared" si="13"/>
        <v>124.5789</v>
      </c>
      <c r="CI29" s="215">
        <f t="shared" si="13"/>
        <v>124.2958</v>
      </c>
      <c r="CJ29" s="215">
        <f t="shared" si="13"/>
        <v>124.41500000000001</v>
      </c>
      <c r="CK29" s="214">
        <f t="shared" si="13"/>
        <v>124.19149999999999</v>
      </c>
      <c r="CL29" s="215">
        <f t="shared" si="13"/>
        <v>124.19149999999999</v>
      </c>
      <c r="CM29" s="215">
        <f t="shared" si="13"/>
        <v>124.19149999999999</v>
      </c>
      <c r="CN29" s="215">
        <f t="shared" si="13"/>
        <v>124.19149999999999</v>
      </c>
      <c r="CO29" s="215">
        <f t="shared" si="13"/>
        <v>124.9961</v>
      </c>
      <c r="CP29" s="215">
        <f t="shared" si="13"/>
        <v>125.10000000000001</v>
      </c>
      <c r="CQ29" s="215">
        <f t="shared" si="13"/>
        <v>124.41500000000001</v>
      </c>
      <c r="CR29" s="215">
        <f t="shared" si="13"/>
        <v>124.34050000000001</v>
      </c>
      <c r="CS29" s="215">
        <f t="shared" si="13"/>
        <v>124.3703</v>
      </c>
      <c r="CT29" s="215">
        <f t="shared" si="13"/>
        <v>124.48949999999999</v>
      </c>
      <c r="CU29" s="215">
        <f t="shared" si="13"/>
        <v>124.71300000000001</v>
      </c>
      <c r="CV29" s="215">
        <f t="shared" si="13"/>
        <v>124.7577</v>
      </c>
      <c r="CW29" s="215">
        <f t="shared" si="13"/>
        <v>125.08550000000001</v>
      </c>
      <c r="CX29" s="215">
        <f t="shared" si="13"/>
        <v>125.10039999999999</v>
      </c>
      <c r="CY29" s="215">
        <f t="shared" si="13"/>
        <v>125.01100000000001</v>
      </c>
      <c r="CZ29" s="215">
        <f t="shared" si="13"/>
        <v>124.9961</v>
      </c>
      <c r="DA29" s="215">
        <f t="shared" si="13"/>
        <v>125.10039999999999</v>
      </c>
      <c r="DB29" s="215">
        <f t="shared" si="13"/>
        <v>125.10039999999999</v>
      </c>
      <c r="DC29" s="215">
        <f t="shared" si="13"/>
        <v>124.5342</v>
      </c>
      <c r="DD29" s="215">
        <f t="shared" si="13"/>
        <v>124.65339999999999</v>
      </c>
      <c r="DE29" s="215">
        <f t="shared" si="13"/>
        <v>125.11529999999999</v>
      </c>
      <c r="DF29" s="215">
        <f t="shared" si="13"/>
        <v>125.26429999999999</v>
      </c>
      <c r="DG29" s="215">
        <f t="shared" si="13"/>
        <v>132.8306</v>
      </c>
      <c r="DH29" s="215">
        <f t="shared" si="13"/>
        <v>132.84640000000002</v>
      </c>
      <c r="DI29" s="215">
        <f t="shared" ref="DI29:DP29" si="14">DI28*DI1</f>
        <v>132.90960000000001</v>
      </c>
      <c r="DJ29" s="215">
        <f t="shared" si="14"/>
        <v>122.38000000000001</v>
      </c>
      <c r="DK29" s="215">
        <f t="shared" si="14"/>
        <v>122.19149999999999</v>
      </c>
      <c r="DL29" s="215">
        <f t="shared" si="14"/>
        <v>122.7135</v>
      </c>
      <c r="DM29" s="215">
        <f t="shared" si="14"/>
        <v>122.8005</v>
      </c>
      <c r="DN29" s="215">
        <f t="shared" si="14"/>
        <v>132.3348</v>
      </c>
      <c r="DO29" s="215">
        <f t="shared" si="14"/>
        <v>132.4752</v>
      </c>
      <c r="DP29" s="215">
        <f t="shared" si="14"/>
        <v>132.88080000000002</v>
      </c>
      <c r="DQ29" s="178"/>
      <c r="DR29" s="178"/>
    </row>
    <row r="30" spans="1:122 16384:16384">
      <c r="A30" s="178" t="str">
        <f t="shared" si="0"/>
        <v>Phenol CHINA USD</v>
      </c>
      <c r="B30" s="178" t="s">
        <v>66</v>
      </c>
      <c r="C30" s="178" t="s">
        <v>67</v>
      </c>
      <c r="D30" s="178" t="s">
        <v>33</v>
      </c>
      <c r="E30" s="178" t="s">
        <v>34</v>
      </c>
      <c r="F30" s="216">
        <f>F27/1000</f>
        <v>0.86499999999999999</v>
      </c>
      <c r="G30" s="216">
        <f t="shared" ref="G30:AK30" si="15">G27/1000</f>
        <v>0.92</v>
      </c>
      <c r="H30" s="216">
        <f t="shared" si="15"/>
        <v>0.79500000000000004</v>
      </c>
      <c r="I30" s="216">
        <f t="shared" si="15"/>
        <v>0.66500000000000004</v>
      </c>
      <c r="J30" s="216">
        <f t="shared" si="15"/>
        <v>0.7</v>
      </c>
      <c r="K30" s="216">
        <f t="shared" si="15"/>
        <v>0.84</v>
      </c>
      <c r="L30" s="216">
        <f t="shared" si="15"/>
        <v>0.63</v>
      </c>
      <c r="M30" s="216">
        <f t="shared" si="15"/>
        <v>0.625</v>
      </c>
      <c r="N30" s="216">
        <f t="shared" si="15"/>
        <v>0.625</v>
      </c>
      <c r="O30" s="216">
        <f t="shared" si="15"/>
        <v>0.64500000000000002</v>
      </c>
      <c r="P30" s="216">
        <f t="shared" si="15"/>
        <v>0.75</v>
      </c>
      <c r="Q30" s="216">
        <f t="shared" si="15"/>
        <v>0.85</v>
      </c>
      <c r="R30" s="216">
        <f t="shared" si="15"/>
        <v>0.875</v>
      </c>
      <c r="S30" s="216">
        <f t="shared" si="15"/>
        <v>0.92500000000000004</v>
      </c>
      <c r="T30" s="216">
        <f t="shared" si="15"/>
        <v>1.1499999999999999</v>
      </c>
      <c r="U30" s="216">
        <f t="shared" si="15"/>
        <v>1.2</v>
      </c>
      <c r="V30" s="216">
        <f t="shared" si="15"/>
        <v>1.3</v>
      </c>
      <c r="W30" s="216">
        <f t="shared" si="15"/>
        <v>1.1499999999999999</v>
      </c>
      <c r="X30" s="216">
        <f t="shared" si="15"/>
        <v>1.23</v>
      </c>
      <c r="Y30" s="216">
        <f t="shared" si="15"/>
        <v>1.2150000000000001</v>
      </c>
      <c r="Z30" s="216">
        <f t="shared" si="15"/>
        <v>1.425</v>
      </c>
      <c r="AA30" s="216">
        <f t="shared" si="15"/>
        <v>1.375</v>
      </c>
      <c r="AB30" s="216">
        <f t="shared" si="15"/>
        <v>1.25</v>
      </c>
      <c r="AC30" s="216">
        <f t="shared" si="15"/>
        <v>1.2250000000000001</v>
      </c>
      <c r="AD30" s="216">
        <f t="shared" si="15"/>
        <v>1.4750000000000001</v>
      </c>
      <c r="AE30" s="216">
        <f t="shared" si="15"/>
        <v>1.4950000000000001</v>
      </c>
      <c r="AF30" s="216">
        <f t="shared" si="15"/>
        <v>1.5549999999999999</v>
      </c>
      <c r="AG30" s="216">
        <f t="shared" si="15"/>
        <v>1.4550000000000001</v>
      </c>
      <c r="AH30" s="216">
        <f t="shared" si="15"/>
        <v>1.425</v>
      </c>
      <c r="AI30" s="216">
        <f t="shared" si="15"/>
        <v>1.4750000000000001</v>
      </c>
      <c r="AJ30" s="216">
        <f t="shared" si="15"/>
        <v>1.2250000000000001</v>
      </c>
      <c r="AK30" s="216">
        <f t="shared" si="15"/>
        <v>1.18</v>
      </c>
      <c r="AL30" s="216">
        <f t="shared" ref="AL30:AV30" si="16">AL27/1000</f>
        <v>1.24</v>
      </c>
      <c r="AM30" s="216">
        <f t="shared" si="16"/>
        <v>1.19</v>
      </c>
      <c r="AN30" s="216">
        <f t="shared" si="16"/>
        <v>1.075</v>
      </c>
      <c r="AO30" s="216">
        <f t="shared" si="16"/>
        <v>0.95499999999999996</v>
      </c>
      <c r="AP30" s="216">
        <f t="shared" si="16"/>
        <v>0.91</v>
      </c>
      <c r="AQ30" s="216">
        <f t="shared" si="16"/>
        <v>1</v>
      </c>
      <c r="AR30" s="216">
        <f t="shared" si="16"/>
        <v>0.94</v>
      </c>
      <c r="AS30" s="216">
        <f t="shared" si="16"/>
        <v>0.9</v>
      </c>
      <c r="AT30" s="216">
        <f t="shared" si="16"/>
        <v>0.88</v>
      </c>
      <c r="AU30" s="216">
        <f t="shared" si="16"/>
        <v>0.72499999999999998</v>
      </c>
      <c r="AV30" s="216">
        <f t="shared" si="16"/>
        <v>0.72499999999999998</v>
      </c>
      <c r="AW30" s="216">
        <f>AW27/1000</f>
        <v>0.72499999999999998</v>
      </c>
      <c r="AX30" s="216">
        <f t="shared" ref="AX30:DJ30" si="17">AX27/1000</f>
        <v>0.72499999999999998</v>
      </c>
      <c r="AY30" s="216">
        <f t="shared" si="17"/>
        <v>0.82499999999999996</v>
      </c>
      <c r="AZ30" s="216">
        <f t="shared" si="17"/>
        <v>0.82499999999999996</v>
      </c>
      <c r="BA30" s="216">
        <f t="shared" si="17"/>
        <v>0.97703999999999991</v>
      </c>
      <c r="BB30" s="216">
        <f t="shared" si="17"/>
        <v>0.92500000000000004</v>
      </c>
      <c r="BC30" s="216">
        <f t="shared" si="17"/>
        <v>0.92500000000000004</v>
      </c>
      <c r="BD30" s="216">
        <f t="shared" si="17"/>
        <v>0.92500000000000004</v>
      </c>
      <c r="BE30" s="216">
        <f t="shared" si="17"/>
        <v>1.05</v>
      </c>
      <c r="BF30" s="216">
        <f t="shared" si="17"/>
        <v>1.05</v>
      </c>
      <c r="BG30" s="216">
        <f t="shared" si="17"/>
        <v>1.05</v>
      </c>
      <c r="BH30" s="216">
        <f t="shared" si="17"/>
        <v>1.075</v>
      </c>
      <c r="BI30" s="216">
        <f t="shared" si="17"/>
        <v>1.075</v>
      </c>
      <c r="BJ30" s="216">
        <f t="shared" si="17"/>
        <v>1.075</v>
      </c>
      <c r="BK30" s="216">
        <f t="shared" si="17"/>
        <v>0.97499999999999998</v>
      </c>
      <c r="BL30" s="216">
        <f t="shared" si="17"/>
        <v>0.92500000000000004</v>
      </c>
      <c r="BM30" s="216">
        <f t="shared" si="17"/>
        <v>0.92500000000000004</v>
      </c>
      <c r="BN30" s="216">
        <f t="shared" si="17"/>
        <v>0.92500000000000004</v>
      </c>
      <c r="BO30" s="216">
        <f t="shared" si="17"/>
        <v>0.92500000000000004</v>
      </c>
      <c r="BP30" s="216">
        <f t="shared" si="17"/>
        <v>0.92500000000000004</v>
      </c>
      <c r="BQ30" s="216">
        <f t="shared" si="17"/>
        <v>0.92500000000000004</v>
      </c>
      <c r="BR30" s="216">
        <f t="shared" si="17"/>
        <v>0.90500000000000003</v>
      </c>
      <c r="BS30" s="216">
        <f t="shared" si="17"/>
        <v>0.90500000000000003</v>
      </c>
      <c r="BT30" s="216">
        <f t="shared" si="17"/>
        <v>0.90500000000000003</v>
      </c>
      <c r="BU30" s="216">
        <f t="shared" si="17"/>
        <v>0.90500000000000003</v>
      </c>
      <c r="BV30" s="216">
        <f t="shared" si="17"/>
        <v>0.90500000000000003</v>
      </c>
      <c r="BW30" s="216">
        <f t="shared" si="17"/>
        <v>0.86499999999999999</v>
      </c>
      <c r="BX30" s="216">
        <f t="shared" si="17"/>
        <v>0.86499999999999999</v>
      </c>
      <c r="BY30" s="216">
        <f t="shared" si="17"/>
        <v>0.86499999999999999</v>
      </c>
      <c r="BZ30" s="216">
        <f t="shared" si="17"/>
        <v>0.94</v>
      </c>
      <c r="CA30" s="216">
        <f t="shared" si="17"/>
        <v>0.94</v>
      </c>
      <c r="CB30" s="216">
        <f t="shared" si="17"/>
        <v>0.94</v>
      </c>
      <c r="CC30" s="216">
        <f t="shared" si="17"/>
        <v>0.94</v>
      </c>
      <c r="CD30" s="216">
        <f t="shared" si="17"/>
        <v>0.94</v>
      </c>
      <c r="CE30" s="216">
        <f t="shared" si="17"/>
        <v>0.91</v>
      </c>
      <c r="CF30" s="216">
        <f t="shared" si="17"/>
        <v>0.91</v>
      </c>
      <c r="CG30" s="216">
        <f t="shared" si="17"/>
        <v>0.91</v>
      </c>
      <c r="CH30" s="216">
        <f t="shared" si="17"/>
        <v>0.91</v>
      </c>
      <c r="CI30" s="216">
        <f t="shared" si="17"/>
        <v>0.94499999999999995</v>
      </c>
      <c r="CJ30" s="216">
        <f t="shared" si="17"/>
        <v>0.94499999999999995</v>
      </c>
      <c r="CK30" s="214">
        <f t="shared" si="17"/>
        <v>0.94499999999999995</v>
      </c>
      <c r="CL30" s="216">
        <f t="shared" si="17"/>
        <v>0.94499999999999995</v>
      </c>
      <c r="CM30" s="216">
        <f t="shared" si="17"/>
        <v>0.94499999999999995</v>
      </c>
      <c r="CN30" s="216">
        <f t="shared" si="17"/>
        <v>0.94499999999999995</v>
      </c>
      <c r="CO30" s="216">
        <f t="shared" si="17"/>
        <v>0.91</v>
      </c>
      <c r="CP30" s="216">
        <f t="shared" si="17"/>
        <v>0.91</v>
      </c>
      <c r="CQ30" s="216">
        <f t="shared" si="17"/>
        <v>0.91</v>
      </c>
      <c r="CR30" s="216">
        <f t="shared" si="17"/>
        <v>0.93</v>
      </c>
      <c r="CS30" s="216">
        <f t="shared" si="17"/>
        <v>0.93</v>
      </c>
      <c r="CT30" s="216">
        <f t="shared" si="17"/>
        <v>0.93</v>
      </c>
      <c r="CU30" s="216">
        <f t="shared" si="17"/>
        <v>0.93</v>
      </c>
      <c r="CV30" s="216">
        <f t="shared" si="17"/>
        <v>0.97</v>
      </c>
      <c r="CW30" s="216">
        <f t="shared" si="17"/>
        <v>1.0149999999999999</v>
      </c>
      <c r="CX30" s="216">
        <f t="shared" si="17"/>
        <v>1.0149999999999999</v>
      </c>
      <c r="CY30" s="216">
        <f t="shared" si="17"/>
        <v>1.01</v>
      </c>
      <c r="CZ30" s="216">
        <f t="shared" si="17"/>
        <v>1.0900000000000001</v>
      </c>
      <c r="DA30" s="216">
        <f t="shared" si="17"/>
        <v>1.0900000000000001</v>
      </c>
      <c r="DB30" s="216">
        <f t="shared" si="17"/>
        <v>1.0900000000000001</v>
      </c>
      <c r="DC30" s="216">
        <f t="shared" si="17"/>
        <v>1.0249999999999999</v>
      </c>
      <c r="DD30" s="216">
        <f t="shared" si="17"/>
        <v>1.0249999999999999</v>
      </c>
      <c r="DE30" s="216">
        <f t="shared" si="17"/>
        <v>0.98499999999999999</v>
      </c>
      <c r="DF30" s="216">
        <f t="shared" si="17"/>
        <v>0.95499999999999996</v>
      </c>
      <c r="DG30" s="216">
        <f t="shared" si="17"/>
        <v>0.90500000000000003</v>
      </c>
      <c r="DH30" s="216">
        <f t="shared" si="17"/>
        <v>0.89500000000000002</v>
      </c>
      <c r="DI30" s="216">
        <f t="shared" si="17"/>
        <v>0.89500000000000002</v>
      </c>
      <c r="DJ30" s="216">
        <f t="shared" si="17"/>
        <v>0.9</v>
      </c>
      <c r="DK30" s="216">
        <f t="shared" ref="DK30:DP30" si="18">DK27/1000</f>
        <v>0.91</v>
      </c>
      <c r="DL30" s="216">
        <f t="shared" si="18"/>
        <v>0.89500000000000002</v>
      </c>
      <c r="DM30" s="216">
        <f t="shared" si="18"/>
        <v>0.89500000000000002</v>
      </c>
      <c r="DN30" s="216">
        <f t="shared" si="18"/>
        <v>0.9</v>
      </c>
      <c r="DO30" s="216">
        <f t="shared" si="18"/>
        <v>0.9</v>
      </c>
      <c r="DP30" s="216">
        <f t="shared" si="18"/>
        <v>0.9</v>
      </c>
      <c r="DQ30" s="178"/>
      <c r="DR30" s="178"/>
    </row>
    <row r="31" spans="1:122 16384:16384">
      <c r="A31" s="178" t="str">
        <f t="shared" si="0"/>
        <v>BromineRMB</v>
      </c>
      <c r="B31" s="178" t="s">
        <v>29</v>
      </c>
      <c r="C31" s="178" t="s">
        <v>69</v>
      </c>
      <c r="D31" s="178" t="s">
        <v>31</v>
      </c>
      <c r="E31" s="178" t="s">
        <v>32</v>
      </c>
      <c r="F31" s="214"/>
      <c r="G31" s="214"/>
      <c r="H31" s="214"/>
      <c r="I31" s="214"/>
      <c r="J31" s="214"/>
      <c r="K31" s="214"/>
      <c r="L31" s="214"/>
      <c r="M31" s="214"/>
      <c r="N31" s="214"/>
      <c r="O31" s="214"/>
      <c r="P31" s="214"/>
      <c r="Q31" s="214"/>
      <c r="R31" s="214"/>
      <c r="S31" s="214"/>
      <c r="T31" s="214"/>
      <c r="U31" s="214"/>
      <c r="V31" s="214"/>
      <c r="W31" s="214"/>
      <c r="X31" s="214"/>
      <c r="Y31" s="214"/>
      <c r="Z31" s="214"/>
      <c r="AA31" s="214"/>
      <c r="AB31" s="214"/>
      <c r="AC31" s="214"/>
      <c r="AD31" s="214"/>
      <c r="AE31" s="214"/>
      <c r="AF31" s="214">
        <v>55916</v>
      </c>
      <c r="AG31" s="214">
        <v>55600</v>
      </c>
      <c r="AH31" s="214">
        <v>55400</v>
      </c>
      <c r="AI31" s="214">
        <v>58000</v>
      </c>
      <c r="AJ31" s="214">
        <v>58400</v>
      </c>
      <c r="AK31" s="214">
        <v>58000</v>
      </c>
      <c r="AL31" s="214">
        <v>45200</v>
      </c>
      <c r="AM31" s="214">
        <v>42600</v>
      </c>
      <c r="AN31" s="214">
        <v>49800</v>
      </c>
      <c r="AO31" s="214">
        <v>46800</v>
      </c>
      <c r="AP31" s="214">
        <v>44600</v>
      </c>
      <c r="AQ31" s="214">
        <v>40000</v>
      </c>
      <c r="AR31" s="214">
        <v>28100</v>
      </c>
      <c r="AS31" s="214">
        <v>25500</v>
      </c>
      <c r="AT31" s="214">
        <v>25200</v>
      </c>
      <c r="AU31" s="214">
        <v>18000</v>
      </c>
      <c r="AV31" s="214">
        <v>18000</v>
      </c>
      <c r="AW31" s="214">
        <v>18500</v>
      </c>
      <c r="AX31" s="214">
        <v>19400</v>
      </c>
      <c r="AY31" s="214">
        <v>20200</v>
      </c>
      <c r="AZ31" s="214">
        <v>24400</v>
      </c>
      <c r="BA31" s="214">
        <v>24600</v>
      </c>
      <c r="BB31" s="214">
        <v>24600</v>
      </c>
      <c r="BC31" s="214">
        <v>24700</v>
      </c>
      <c r="BD31" s="214">
        <v>24500</v>
      </c>
      <c r="BE31" s="214">
        <v>24220</v>
      </c>
      <c r="BF31" s="214">
        <v>24220</v>
      </c>
      <c r="BG31" s="214">
        <v>24200</v>
      </c>
      <c r="BH31" s="214">
        <v>24100</v>
      </c>
      <c r="BI31" s="214">
        <v>24000</v>
      </c>
      <c r="BJ31" s="214">
        <v>24300</v>
      </c>
      <c r="BK31" s="214">
        <v>24300</v>
      </c>
      <c r="BL31" s="214">
        <v>24400</v>
      </c>
      <c r="BM31" s="214">
        <v>25000</v>
      </c>
      <c r="BN31" s="214">
        <v>25200</v>
      </c>
      <c r="BO31" s="214">
        <v>25200</v>
      </c>
      <c r="BP31" s="214">
        <v>25300</v>
      </c>
      <c r="BQ31" s="214">
        <v>25300</v>
      </c>
      <c r="BR31" s="214">
        <v>25000</v>
      </c>
      <c r="BS31" s="214">
        <v>24600</v>
      </c>
      <c r="BT31" s="214">
        <v>24400</v>
      </c>
      <c r="BU31" s="214">
        <v>23300</v>
      </c>
      <c r="BV31" s="214">
        <v>22800</v>
      </c>
      <c r="BW31" s="214">
        <v>22500</v>
      </c>
      <c r="BX31" s="214">
        <v>22500</v>
      </c>
      <c r="BY31" s="214">
        <v>22500</v>
      </c>
      <c r="BZ31" s="214">
        <v>22400</v>
      </c>
      <c r="CA31" s="214">
        <v>22200</v>
      </c>
      <c r="CB31" s="214">
        <v>21900</v>
      </c>
      <c r="CC31" s="214">
        <v>21600</v>
      </c>
      <c r="CD31" s="214">
        <v>20960</v>
      </c>
      <c r="CE31" s="214">
        <v>18220</v>
      </c>
      <c r="CF31" s="214">
        <v>19100</v>
      </c>
      <c r="CG31" s="214">
        <v>18100</v>
      </c>
      <c r="CH31" s="214">
        <v>18300</v>
      </c>
      <c r="CI31" s="214">
        <v>19600</v>
      </c>
      <c r="CJ31" s="214">
        <v>19600</v>
      </c>
      <c r="CK31" s="214">
        <v>20800</v>
      </c>
      <c r="CL31" s="214">
        <v>21300</v>
      </c>
      <c r="CM31" s="214">
        <v>21500</v>
      </c>
      <c r="CN31" s="214">
        <v>21500</v>
      </c>
      <c r="CO31" s="214">
        <v>22700</v>
      </c>
      <c r="CP31" s="214">
        <v>23000</v>
      </c>
      <c r="CQ31" s="214">
        <v>23500</v>
      </c>
      <c r="CR31" s="214">
        <v>22660</v>
      </c>
      <c r="CS31" s="214">
        <v>21100</v>
      </c>
      <c r="CT31" s="214">
        <v>20280</v>
      </c>
      <c r="CU31" s="214">
        <v>20100</v>
      </c>
      <c r="CV31" s="214">
        <v>20300</v>
      </c>
      <c r="CW31" s="214">
        <v>20700</v>
      </c>
      <c r="CX31" s="214">
        <v>20700</v>
      </c>
      <c r="CY31" s="214">
        <v>20700</v>
      </c>
      <c r="CZ31" s="214">
        <v>20660</v>
      </c>
      <c r="DA31" s="214">
        <v>20600</v>
      </c>
      <c r="DB31" s="214">
        <v>20200</v>
      </c>
      <c r="DC31" s="214">
        <v>20060</v>
      </c>
      <c r="DD31" s="279">
        <v>19860</v>
      </c>
      <c r="DE31" s="279">
        <v>19860</v>
      </c>
      <c r="DF31" s="214">
        <v>19960</v>
      </c>
      <c r="DG31" s="214">
        <v>21200</v>
      </c>
      <c r="DH31" s="214">
        <v>21800</v>
      </c>
      <c r="DI31" s="214">
        <v>22400</v>
      </c>
      <c r="DJ31" s="214">
        <v>22400</v>
      </c>
      <c r="DK31" s="214">
        <v>22400</v>
      </c>
      <c r="DL31" s="214">
        <v>22400</v>
      </c>
      <c r="DM31" s="214">
        <v>22000</v>
      </c>
      <c r="DN31" s="214">
        <v>21900</v>
      </c>
      <c r="DO31" s="214">
        <v>21900</v>
      </c>
      <c r="DP31" s="214">
        <v>21900</v>
      </c>
      <c r="DQ31" s="178"/>
      <c r="DR31" s="178"/>
    </row>
    <row r="32" spans="1:122 16384:16384">
      <c r="A32" s="178" t="str">
        <f t="shared" si="0"/>
        <v>EDCUSD</v>
      </c>
      <c r="B32" s="178" t="s">
        <v>56</v>
      </c>
      <c r="C32" s="178" t="s">
        <v>70</v>
      </c>
      <c r="D32" s="178" t="s">
        <v>33</v>
      </c>
      <c r="E32" s="178" t="s">
        <v>34</v>
      </c>
      <c r="F32" s="216">
        <v>0.30483022407281657</v>
      </c>
      <c r="G32" s="216">
        <v>0.34286427537166547</v>
      </c>
      <c r="H32" s="216">
        <v>0.33696703937170702</v>
      </c>
      <c r="I32" s="216">
        <v>0.32918290899642011</v>
      </c>
      <c r="J32" s="216">
        <v>0.29562625382070207</v>
      </c>
      <c r="K32" s="216">
        <v>0.28466634277280467</v>
      </c>
      <c r="L32" s="216">
        <v>0.20653801563255636</v>
      </c>
      <c r="M32" s="216">
        <v>0.25027237704948618</v>
      </c>
      <c r="N32" s="216">
        <v>0.29482717983849482</v>
      </c>
      <c r="O32" s="216">
        <v>0.26112492603652376</v>
      </c>
      <c r="P32" s="216">
        <v>0.37172456889708289</v>
      </c>
      <c r="Q32" s="216">
        <v>0.37556517659587235</v>
      </c>
      <c r="R32" s="216">
        <v>0.37644550007000283</v>
      </c>
      <c r="S32" s="216">
        <v>0.47173077782891726</v>
      </c>
      <c r="T32" s="216">
        <v>0.55483712536000929</v>
      </c>
      <c r="U32" s="216">
        <v>0.63937652810505008</v>
      </c>
      <c r="V32" s="216">
        <v>0.70249744979967632</v>
      </c>
      <c r="W32" s="216">
        <v>0.70253354554770719</v>
      </c>
      <c r="X32" s="216">
        <v>0.67458824267374151</v>
      </c>
      <c r="Y32" s="216">
        <v>0.67758749868113066</v>
      </c>
      <c r="Z32" s="216">
        <v>0.69029584997989535</v>
      </c>
      <c r="AA32" s="216">
        <v>0.74505126870339788</v>
      </c>
      <c r="AB32" s="216">
        <v>0.8477068626947446</v>
      </c>
      <c r="AC32" s="216">
        <v>0.74416923739711949</v>
      </c>
      <c r="AD32" s="216">
        <v>0.84546574776946926</v>
      </c>
      <c r="AE32" s="216">
        <v>0.81157036933012439</v>
      </c>
      <c r="AF32" s="216">
        <v>0.74221287798726343</v>
      </c>
      <c r="AG32" s="216">
        <v>0.82460206677585413</v>
      </c>
      <c r="AH32" s="216">
        <v>0.8671847901063201</v>
      </c>
      <c r="AI32" s="216">
        <v>0.84340071104150371</v>
      </c>
      <c r="AJ32" s="216">
        <v>0.6877680056485691</v>
      </c>
      <c r="AK32" s="216">
        <v>0.68293490663365997</v>
      </c>
      <c r="AL32" s="216">
        <v>0.43909968737964511</v>
      </c>
      <c r="AM32" s="216">
        <v>0.34716607162870206</v>
      </c>
      <c r="AN32" s="216">
        <v>0.35857951344010464</v>
      </c>
      <c r="AO32" s="216">
        <v>0.29459801775419026</v>
      </c>
      <c r="AP32" s="216">
        <v>0.82403514720880189</v>
      </c>
      <c r="AQ32" s="216">
        <v>0.36841456422240715</v>
      </c>
      <c r="AR32" s="216">
        <v>0.34897572690144207</v>
      </c>
      <c r="AS32" s="214">
        <v>0.37</v>
      </c>
      <c r="AT32" s="214">
        <v>0.4</v>
      </c>
      <c r="AU32" s="214">
        <v>0.25</v>
      </c>
      <c r="AV32" s="214">
        <v>0.25</v>
      </c>
      <c r="AW32" s="214">
        <v>0.25</v>
      </c>
      <c r="AX32" s="214">
        <v>0.24</v>
      </c>
      <c r="AY32" s="214">
        <v>0.21</v>
      </c>
      <c r="AZ32" s="214">
        <v>0.28999999999999998</v>
      </c>
      <c r="BA32" s="214">
        <v>0.28999999999999998</v>
      </c>
      <c r="BB32" s="214">
        <v>0.28999999999999998</v>
      </c>
      <c r="BC32" s="214">
        <v>0.28999999999999998</v>
      </c>
      <c r="BD32" s="214">
        <v>0.28999999999999998</v>
      </c>
      <c r="BE32" s="214">
        <v>0.22</v>
      </c>
      <c r="BF32" s="214">
        <v>0.22</v>
      </c>
      <c r="BG32" s="214">
        <v>0.22</v>
      </c>
      <c r="BH32" s="214">
        <v>0.22</v>
      </c>
      <c r="BI32" s="214">
        <v>0.22</v>
      </c>
      <c r="BJ32" s="214">
        <v>0.22</v>
      </c>
      <c r="BK32" s="214">
        <v>0.23</v>
      </c>
      <c r="BL32" s="214">
        <v>0.23</v>
      </c>
      <c r="BM32" s="214">
        <v>0.23</v>
      </c>
      <c r="BN32" s="214">
        <v>0.23</v>
      </c>
      <c r="BO32" s="214">
        <v>0.25</v>
      </c>
      <c r="BP32" s="214">
        <v>0.25</v>
      </c>
      <c r="BQ32" s="214">
        <v>0.25</v>
      </c>
      <c r="BR32" s="214">
        <v>0.25</v>
      </c>
      <c r="BS32" s="214">
        <v>0.25</v>
      </c>
      <c r="BT32" s="214">
        <v>0.25</v>
      </c>
      <c r="BU32" s="214">
        <v>0.25</v>
      </c>
      <c r="BV32" s="214">
        <v>0.25</v>
      </c>
      <c r="BW32" s="214">
        <v>0.25</v>
      </c>
      <c r="BX32" s="214">
        <v>0.25</v>
      </c>
      <c r="BY32" s="214">
        <v>0.25</v>
      </c>
      <c r="BZ32" s="214">
        <v>0.25</v>
      </c>
      <c r="CA32" s="214">
        <v>0.25</v>
      </c>
      <c r="CB32" s="214">
        <v>0.25</v>
      </c>
      <c r="CC32" s="214">
        <v>0.25</v>
      </c>
      <c r="CD32" s="214">
        <v>0.25</v>
      </c>
      <c r="CE32" s="214">
        <v>0.25</v>
      </c>
      <c r="CF32" s="214">
        <v>0.34</v>
      </c>
      <c r="CG32" s="214">
        <v>0.34</v>
      </c>
      <c r="CH32" s="214">
        <v>0.34</v>
      </c>
      <c r="CI32" s="214">
        <v>0.34</v>
      </c>
      <c r="CJ32" s="214">
        <v>0.34</v>
      </c>
      <c r="CK32" s="214">
        <v>0.34</v>
      </c>
      <c r="CL32" s="214">
        <v>0.34</v>
      </c>
      <c r="CM32" s="214">
        <v>0.34</v>
      </c>
      <c r="CN32" s="214">
        <v>0.34</v>
      </c>
      <c r="CO32" s="214">
        <v>0.2</v>
      </c>
      <c r="CP32" s="214">
        <v>0.2</v>
      </c>
      <c r="CQ32" s="214">
        <v>0.2</v>
      </c>
      <c r="CR32" s="214">
        <v>0.2</v>
      </c>
      <c r="CS32" s="214">
        <v>0.2</v>
      </c>
      <c r="CT32" s="214">
        <v>0.28000000000000003</v>
      </c>
      <c r="CU32" s="214">
        <v>0.27</v>
      </c>
      <c r="CV32" s="214">
        <v>0.34</v>
      </c>
      <c r="CW32" s="214">
        <v>0.34</v>
      </c>
      <c r="CX32" s="214">
        <v>0.34</v>
      </c>
      <c r="CY32" s="214">
        <v>0.32</v>
      </c>
      <c r="CZ32" s="214">
        <v>0.34</v>
      </c>
      <c r="DA32" s="214">
        <v>0.34</v>
      </c>
      <c r="DB32" s="214">
        <v>0.34</v>
      </c>
      <c r="DC32" s="214">
        <v>0.34</v>
      </c>
      <c r="DD32" s="214">
        <v>0.34</v>
      </c>
      <c r="DE32" s="214">
        <v>0.34</v>
      </c>
      <c r="DF32" s="214">
        <v>0.34</v>
      </c>
      <c r="DG32" s="214">
        <v>0.34</v>
      </c>
      <c r="DH32" s="214">
        <v>0.34</v>
      </c>
      <c r="DI32" s="214">
        <v>0.34</v>
      </c>
      <c r="DJ32" s="214">
        <v>0.35</v>
      </c>
      <c r="DK32" s="214">
        <v>0.31</v>
      </c>
      <c r="DL32" s="214">
        <v>0.31</v>
      </c>
      <c r="DM32" s="214">
        <v>0.31</v>
      </c>
      <c r="DN32" s="214">
        <v>0.32</v>
      </c>
      <c r="DO32" s="214">
        <v>0.32</v>
      </c>
      <c r="DP32" s="214">
        <v>0.31</v>
      </c>
      <c r="DQ32" s="178"/>
      <c r="DR32" s="178"/>
    </row>
    <row r="33" spans="1:122 16384:16384">
      <c r="A33" s="178" t="str">
        <f t="shared" si="0"/>
        <v>ChlorineUSD</v>
      </c>
      <c r="B33" s="178" t="s">
        <v>41</v>
      </c>
      <c r="C33" s="178" t="s">
        <v>42</v>
      </c>
      <c r="D33" s="178" t="s">
        <v>33</v>
      </c>
      <c r="E33" s="178" t="s">
        <v>34</v>
      </c>
      <c r="F33" s="216">
        <f t="shared" ref="F33:BD33" si="19">F11/F1</f>
        <v>5.6109925135332389E-2</v>
      </c>
      <c r="G33" s="216">
        <f t="shared" si="19"/>
        <v>5.5903821908158395E-2</v>
      </c>
      <c r="H33" s="216">
        <f t="shared" si="19"/>
        <v>5.3725164243026279E-2</v>
      </c>
      <c r="I33" s="216">
        <f t="shared" si="19"/>
        <v>5.2457901878019117E-2</v>
      </c>
      <c r="J33" s="216">
        <f t="shared" si="19"/>
        <v>5.2891688868735076E-2</v>
      </c>
      <c r="K33" s="216">
        <f t="shared" si="19"/>
        <v>5.280815273385165E-2</v>
      </c>
      <c r="L33" s="216">
        <f t="shared" si="19"/>
        <v>5.3387262505255863E-2</v>
      </c>
      <c r="M33" s="216">
        <f t="shared" si="19"/>
        <v>5.362872496365681E-2</v>
      </c>
      <c r="N33" s="216">
        <f t="shared" si="19"/>
        <v>5.4396709216679211E-2</v>
      </c>
      <c r="O33" s="216">
        <f t="shared" si="19"/>
        <v>5.4409064901238764E-2</v>
      </c>
      <c r="P33" s="216">
        <f t="shared" si="19"/>
        <v>5.3884974170462174E-2</v>
      </c>
      <c r="Q33" s="216">
        <f t="shared" si="19"/>
        <v>5.4250702377062344E-2</v>
      </c>
      <c r="R33" s="216">
        <f t="shared" si="19"/>
        <v>5.4697114727198147E-2</v>
      </c>
      <c r="S33" s="216">
        <f t="shared" si="19"/>
        <v>5.4945054945054944E-2</v>
      </c>
      <c r="T33" s="216">
        <f t="shared" si="19"/>
        <v>5.4945054945054944E-2</v>
      </c>
      <c r="U33" s="216">
        <f t="shared" si="19"/>
        <v>5.3727333781061114E-2</v>
      </c>
      <c r="V33" s="216">
        <f t="shared" si="19"/>
        <v>5.4607508532423209E-2</v>
      </c>
      <c r="W33" s="216">
        <f t="shared" si="19"/>
        <v>5.4392167527875984E-2</v>
      </c>
      <c r="X33" s="216">
        <f t="shared" si="19"/>
        <v>5.3669663222863276E-2</v>
      </c>
      <c r="Y33" s="216">
        <f t="shared" si="19"/>
        <v>5.3937432578209279E-2</v>
      </c>
      <c r="Z33" s="216">
        <f t="shared" si="19"/>
        <v>5.4384772263766146E-2</v>
      </c>
      <c r="AA33" s="216">
        <f t="shared" si="19"/>
        <v>5.3397410225604063E-2</v>
      </c>
      <c r="AB33" s="216">
        <f t="shared" si="19"/>
        <v>5.3712904525312209E-2</v>
      </c>
      <c r="AC33" s="216">
        <f t="shared" si="19"/>
        <v>5.3036329885971886E-2</v>
      </c>
      <c r="AD33" s="216">
        <f t="shared" si="19"/>
        <v>5.3727333781061114E-2</v>
      </c>
      <c r="AE33" s="216">
        <f t="shared" si="19"/>
        <v>5.3361792956243333E-2</v>
      </c>
      <c r="AF33" s="216">
        <f t="shared" si="19"/>
        <v>5.2486550321480127E-2</v>
      </c>
      <c r="AG33" s="216">
        <f t="shared" si="19"/>
        <v>5.2348809277255978E-2</v>
      </c>
      <c r="AH33" s="216">
        <f t="shared" si="19"/>
        <v>5.1733542509290222E-2</v>
      </c>
      <c r="AI33" s="216">
        <f t="shared" si="19"/>
        <v>5.123306637994781E-2</v>
      </c>
      <c r="AJ33" s="216">
        <f t="shared" si="19"/>
        <v>5.0250276286786945E-2</v>
      </c>
      <c r="AK33" s="216">
        <f t="shared" si="19"/>
        <v>5.0284779467718851E-2</v>
      </c>
      <c r="AL33" s="216">
        <f t="shared" ref="AL33:AV33" si="20">AL11/AL1</f>
        <v>4.9855696086928386E-2</v>
      </c>
      <c r="AM33" s="216">
        <f t="shared" si="20"/>
        <v>4.8578993593037967E-2</v>
      </c>
      <c r="AN33" s="216">
        <f t="shared" si="20"/>
        <v>4.889346805967261E-2</v>
      </c>
      <c r="AO33" s="216">
        <f t="shared" si="20"/>
        <v>4.8505889083457529E-2</v>
      </c>
      <c r="AP33" s="216">
        <f t="shared" si="20"/>
        <v>4.8840293055712705E-2</v>
      </c>
      <c r="AQ33" s="216">
        <f t="shared" si="20"/>
        <v>4.870822736756994E-2</v>
      </c>
      <c r="AR33" s="216">
        <f t="shared" si="20"/>
        <v>4.870822736756994E-2</v>
      </c>
      <c r="AS33" s="216">
        <f t="shared" si="20"/>
        <v>4.870822736756994E-2</v>
      </c>
      <c r="AT33" s="216">
        <f t="shared" si="20"/>
        <v>4.870822736756994E-2</v>
      </c>
      <c r="AU33" s="216">
        <f t="shared" si="20"/>
        <v>4.8484848484848485E-2</v>
      </c>
      <c r="AV33" s="216">
        <f t="shared" si="20"/>
        <v>4.8520135856380396E-2</v>
      </c>
      <c r="AW33" s="216">
        <f t="shared" si="19"/>
        <v>4.8673643222195175E-2</v>
      </c>
      <c r="AX33" s="216">
        <f t="shared" si="19"/>
        <v>4.8828125E-2</v>
      </c>
      <c r="AY33" s="216">
        <f t="shared" si="19"/>
        <v>4.8626306831996105E-2</v>
      </c>
      <c r="AZ33" s="216">
        <f t="shared" si="19"/>
        <v>4.8291681757817215E-2</v>
      </c>
      <c r="BA33" s="216">
        <f t="shared" si="19"/>
        <v>4.8048048048048048E-2</v>
      </c>
      <c r="BB33" s="216">
        <f t="shared" si="19"/>
        <v>4.8048048048048048E-2</v>
      </c>
      <c r="BC33" s="216">
        <f t="shared" si="19"/>
        <v>4.8396854204476702E-2</v>
      </c>
      <c r="BD33" s="216">
        <f t="shared" si="19"/>
        <v>4.8163756773028296E-2</v>
      </c>
      <c r="BE33" s="216">
        <f>BE11/BE1</f>
        <v>4.8227634434530986E-2</v>
      </c>
      <c r="BF33" s="216">
        <f>BF11/BF1</f>
        <v>4.8233449897503916E-2</v>
      </c>
      <c r="BG33" s="216">
        <f>BG11/BG1</f>
        <v>4.8042277203939464E-2</v>
      </c>
      <c r="BH33" s="216">
        <f t="shared" ref="BH33:CV33" si="21">BI11/BH1</f>
        <v>4.8065368901706318E-2</v>
      </c>
      <c r="BI33" s="216">
        <f t="shared" si="21"/>
        <v>4.8048048048048048E-2</v>
      </c>
      <c r="BJ33" s="216">
        <f t="shared" si="21"/>
        <v>4.8123195380173241E-2</v>
      </c>
      <c r="BK33" s="216">
        <f t="shared" si="21"/>
        <v>4.8042277203939464E-2</v>
      </c>
      <c r="BL33" s="216">
        <f t="shared" si="21"/>
        <v>4.8065368901706318E-2</v>
      </c>
      <c r="BM33" s="216">
        <f t="shared" si="21"/>
        <v>4.808270224786633E-2</v>
      </c>
      <c r="BN33" s="216">
        <f t="shared" si="21"/>
        <v>4.808270224786633E-2</v>
      </c>
      <c r="BO33" s="216">
        <f t="shared" si="21"/>
        <v>4.8001920076803074E-2</v>
      </c>
      <c r="BP33" s="216">
        <f t="shared" si="21"/>
        <v>4.7961630695443645E-2</v>
      </c>
      <c r="BQ33" s="216">
        <f t="shared" si="21"/>
        <v>4.7984644913627639E-2</v>
      </c>
      <c r="BR33" s="216">
        <f t="shared" si="21"/>
        <v>4.8053820278712162E-2</v>
      </c>
      <c r="BS33" s="216">
        <f t="shared" si="21"/>
        <v>4.8007681228996645E-2</v>
      </c>
      <c r="BT33" s="216">
        <f t="shared" si="21"/>
        <v>4.8111618955977868E-2</v>
      </c>
      <c r="BU33" s="216">
        <f t="shared" si="21"/>
        <v>4.8105832832230903E-2</v>
      </c>
      <c r="BV33" s="216">
        <f t="shared" si="21"/>
        <v>4.8048048048048048E-2</v>
      </c>
      <c r="BW33" s="216">
        <f t="shared" si="21"/>
        <v>4.8157958102576448E-2</v>
      </c>
      <c r="BX33" s="216">
        <f t="shared" si="21"/>
        <v>4.8192771084337352E-2</v>
      </c>
      <c r="BY33" s="216">
        <f t="shared" si="21"/>
        <v>4.8186965425852303E-2</v>
      </c>
      <c r="BZ33" s="216">
        <f t="shared" si="21"/>
        <v>4.8250904704463207E-2</v>
      </c>
      <c r="CA33" s="216">
        <f t="shared" si="21"/>
        <v>4.8250904704463207E-2</v>
      </c>
      <c r="CB33" s="216">
        <f t="shared" si="21"/>
        <v>4.8367593712212817E-2</v>
      </c>
      <c r="CC33" s="216">
        <f t="shared" si="21"/>
        <v>4.8332527791203478E-2</v>
      </c>
      <c r="CD33" s="216">
        <f t="shared" si="21"/>
        <v>4.8042277203939464E-2</v>
      </c>
      <c r="CE33" s="216">
        <f t="shared" si="21"/>
        <v>4.7967382180117521E-2</v>
      </c>
      <c r="CF33" s="216">
        <f t="shared" si="21"/>
        <v>4.8071145295036657E-2</v>
      </c>
      <c r="CG33" s="216">
        <f t="shared" si="21"/>
        <v>4.7961630695443645E-2</v>
      </c>
      <c r="CH33" s="216">
        <f t="shared" si="21"/>
        <v>4.7841167324482715E-2</v>
      </c>
      <c r="CI33" s="216">
        <f t="shared" si="21"/>
        <v>4.7950131862862622E-2</v>
      </c>
      <c r="CJ33" s="216">
        <f t="shared" si="21"/>
        <v>4.790419161676647E-2</v>
      </c>
      <c r="CK33" s="216">
        <f t="shared" si="21"/>
        <v>4.799040191961608E-2</v>
      </c>
      <c r="CL33" s="216">
        <f t="shared" si="21"/>
        <v>4.799040191961608E-2</v>
      </c>
      <c r="CM33" s="216">
        <f t="shared" si="21"/>
        <v>4.799040191961608E-2</v>
      </c>
      <c r="CN33" s="216">
        <f t="shared" si="21"/>
        <v>4.799040191961608E-2</v>
      </c>
      <c r="CO33" s="216">
        <f t="shared" si="21"/>
        <v>4.7681487662415069E-2</v>
      </c>
      <c r="CP33" s="216">
        <f t="shared" si="21"/>
        <v>4.7961630695443645E-2</v>
      </c>
      <c r="CQ33" s="216">
        <f t="shared" si="21"/>
        <v>4.790419161676647E-2</v>
      </c>
      <c r="CR33" s="216">
        <f t="shared" si="21"/>
        <v>4.7932893948472138E-2</v>
      </c>
      <c r="CS33" s="216">
        <f t="shared" si="21"/>
        <v>4.7921408889421348E-2</v>
      </c>
      <c r="CT33" s="216">
        <f t="shared" si="21"/>
        <v>4.7875523638539801E-2</v>
      </c>
      <c r="CU33" s="216">
        <f t="shared" si="21"/>
        <v>4.7789725209080043E-2</v>
      </c>
      <c r="CV33" s="216">
        <f t="shared" si="21"/>
        <v>4.7772602412516421E-2</v>
      </c>
      <c r="CW33" s="216">
        <f t="shared" ref="CW33:DP33" si="22">CX11/CW1</f>
        <v>4.7647409172126266E-2</v>
      </c>
      <c r="CX33" s="216">
        <f t="shared" si="22"/>
        <v>4.7641734159123393E-2</v>
      </c>
      <c r="CY33" s="216">
        <f t="shared" si="22"/>
        <v>4.7675804529201428E-2</v>
      </c>
      <c r="CZ33" s="216">
        <f t="shared" si="22"/>
        <v>4.7681487662415069E-2</v>
      </c>
      <c r="DA33" s="216">
        <f t="shared" si="22"/>
        <v>4.7641734159123393E-2</v>
      </c>
      <c r="DB33" s="216">
        <f t="shared" si="22"/>
        <v>4.7641734159123393E-2</v>
      </c>
      <c r="DC33" s="216">
        <f t="shared" si="22"/>
        <v>4.7858339315625748E-2</v>
      </c>
      <c r="DD33" s="216">
        <f t="shared" si="22"/>
        <v>4.7812574707147983E-2</v>
      </c>
      <c r="DE33" s="216">
        <f t="shared" si="22"/>
        <v>4.7636060497796832E-2</v>
      </c>
      <c r="DF33" s="216">
        <f t="shared" si="22"/>
        <v>4.7579398120613778E-2</v>
      </c>
      <c r="DG33" s="216">
        <f t="shared" si="22"/>
        <v>4.7579398120613778E-2</v>
      </c>
      <c r="DH33" s="216">
        <f t="shared" si="22"/>
        <v>4.7573739295908662E-2</v>
      </c>
      <c r="DI33" s="216">
        <f t="shared" si="22"/>
        <v>4.7551117451260103E-2</v>
      </c>
      <c r="DJ33" s="216">
        <f t="shared" si="22"/>
        <v>4.7393364928909949E-2</v>
      </c>
      <c r="DK33" s="216">
        <f t="shared" si="22"/>
        <v>4.7466476800759466E-2</v>
      </c>
      <c r="DL33" s="216">
        <f t="shared" si="22"/>
        <v>4.7264563393595652E-2</v>
      </c>
      <c r="DM33" s="216">
        <f t="shared" si="22"/>
        <v>4.723107804935648E-2</v>
      </c>
      <c r="DN33" s="216">
        <f t="shared" si="22"/>
        <v>4.7153129788989744E-2</v>
      </c>
      <c r="DO33" s="216">
        <f t="shared" si="22"/>
        <v>4.7103155911446065E-2</v>
      </c>
      <c r="DP33" s="216">
        <f t="shared" si="22"/>
        <v>4.6959380136182199E-2</v>
      </c>
      <c r="DQ33" s="178"/>
      <c r="DR33" s="178"/>
    </row>
    <row r="34" spans="1:122 16384:16384">
      <c r="A34" s="178" t="str">
        <f t="shared" si="0"/>
        <v>Anhydrous Ammonia GasUSD</v>
      </c>
      <c r="B34" s="178" t="s">
        <v>44</v>
      </c>
      <c r="C34" s="178" t="s">
        <v>45</v>
      </c>
      <c r="D34" s="178" t="s">
        <v>33</v>
      </c>
      <c r="E34" s="178" t="s">
        <v>34</v>
      </c>
      <c r="F34" s="216">
        <f t="shared" ref="F34:AX34" si="23">F12/F1</f>
        <v>0.50625069064173545</v>
      </c>
      <c r="G34" s="216">
        <f t="shared" si="23"/>
        <v>0.50605053403738476</v>
      </c>
      <c r="H34" s="216">
        <f t="shared" si="23"/>
        <v>0.48566205346589675</v>
      </c>
      <c r="I34" s="216">
        <f t="shared" si="23"/>
        <v>0.46604911475979133</v>
      </c>
      <c r="J34" s="216">
        <f t="shared" si="23"/>
        <v>0.47286371932487081</v>
      </c>
      <c r="K34" s="216">
        <f t="shared" si="23"/>
        <v>0.44148091934964817</v>
      </c>
      <c r="L34" s="216">
        <f t="shared" si="23"/>
        <v>0.43426534003337747</v>
      </c>
      <c r="M34" s="216">
        <f t="shared" si="23"/>
        <v>0.4253624199790475</v>
      </c>
      <c r="N34" s="216">
        <f t="shared" si="23"/>
        <v>0.43233741458081631</v>
      </c>
      <c r="O34" s="216">
        <f t="shared" si="23"/>
        <v>0.4289746699475917</v>
      </c>
      <c r="P34" s="216">
        <f t="shared" si="23"/>
        <v>0.42484260760346637</v>
      </c>
      <c r="Q34" s="216">
        <f t="shared" si="23"/>
        <v>0.45075951239765033</v>
      </c>
      <c r="R34" s="216">
        <f t="shared" si="23"/>
        <v>0.47632070741601718</v>
      </c>
      <c r="S34" s="216">
        <f t="shared" si="23"/>
        <v>0.50824175824175821</v>
      </c>
      <c r="T34" s="216">
        <f t="shared" si="23"/>
        <v>0.50824175824175821</v>
      </c>
      <c r="U34" s="216">
        <f t="shared" si="23"/>
        <v>0.53357522262827839</v>
      </c>
      <c r="V34" s="216">
        <f t="shared" si="23"/>
        <v>0.59385665529010234</v>
      </c>
      <c r="W34" s="216">
        <f t="shared" si="23"/>
        <v>0.63431872099725806</v>
      </c>
      <c r="X34" s="216">
        <f t="shared" si="23"/>
        <v>0.72591659871949687</v>
      </c>
      <c r="Y34" s="216">
        <f t="shared" si="23"/>
        <v>0.72889455792717117</v>
      </c>
      <c r="Z34" s="216">
        <f t="shared" si="23"/>
        <v>0.74862988980369449</v>
      </c>
      <c r="AA34" s="216">
        <f t="shared" si="23"/>
        <v>0.79168514687656644</v>
      </c>
      <c r="AB34" s="216">
        <f t="shared" si="23"/>
        <v>0.82087330176727136</v>
      </c>
      <c r="AC34" s="216">
        <f t="shared" si="23"/>
        <v>0.84614593649711278</v>
      </c>
      <c r="AD34" s="216">
        <f t="shared" si="23"/>
        <v>1.0564787620243885</v>
      </c>
      <c r="AE34" s="216">
        <f t="shared" si="23"/>
        <v>1.2058469531568468</v>
      </c>
      <c r="AF34" s="216">
        <f t="shared" si="23"/>
        <v>1.328155753838079</v>
      </c>
      <c r="AG34" s="216">
        <f t="shared" si="23"/>
        <v>1.2605824467442697</v>
      </c>
      <c r="AH34" s="216">
        <f t="shared" si="23"/>
        <v>1.1242096737595759</v>
      </c>
      <c r="AI34" s="216">
        <f t="shared" si="23"/>
        <v>1.1179786985052897</v>
      </c>
      <c r="AJ34" s="216">
        <f t="shared" si="23"/>
        <v>1.0829322457612403</v>
      </c>
      <c r="AK34" s="216">
        <f t="shared" si="23"/>
        <v>1.0855018240664733</v>
      </c>
      <c r="AL34" s="216">
        <f t="shared" ref="AL34:AV34" si="24">AL12/AL1</f>
        <v>1.0549821404108952</v>
      </c>
      <c r="AM34" s="216">
        <f t="shared" si="24"/>
        <v>1.0740005833527477</v>
      </c>
      <c r="AN34" s="216">
        <f t="shared" si="24"/>
        <v>1.1385193276752337</v>
      </c>
      <c r="AO34" s="216">
        <f t="shared" si="24"/>
        <v>1.0816813265611029</v>
      </c>
      <c r="AP34" s="216">
        <f t="shared" si="24"/>
        <v>0.99756298566293211</v>
      </c>
      <c r="AQ34" s="216">
        <f t="shared" si="24"/>
        <v>0.92545631998382882</v>
      </c>
      <c r="AR34" s="216">
        <f t="shared" si="24"/>
        <v>0.9011022063000439</v>
      </c>
      <c r="AS34" s="216">
        <f t="shared" si="24"/>
        <v>0.74767129009219857</v>
      </c>
      <c r="AT34" s="216">
        <f t="shared" si="24"/>
        <v>0.70626929682976414</v>
      </c>
      <c r="AU34" s="216">
        <f t="shared" si="24"/>
        <v>0.61818181818181817</v>
      </c>
      <c r="AV34" s="216">
        <f t="shared" si="24"/>
        <v>0.61863173216885003</v>
      </c>
      <c r="AW34" s="216">
        <f t="shared" si="23"/>
        <v>0.6205889510829885</v>
      </c>
      <c r="AX34" s="216">
        <f t="shared" si="23"/>
        <v>0.62255859375</v>
      </c>
      <c r="AY34" s="216">
        <f t="shared" ref="AY34:DJ34" si="25">AY12/AY1</f>
        <v>0.59567225869195228</v>
      </c>
      <c r="AZ34" s="216">
        <f t="shared" si="25"/>
        <v>0.59157310153326093</v>
      </c>
      <c r="BA34" s="216">
        <f t="shared" si="25"/>
        <v>0.58858858858858853</v>
      </c>
      <c r="BB34" s="216">
        <f t="shared" si="25"/>
        <v>0.58858858858858853</v>
      </c>
      <c r="BC34" s="216">
        <f t="shared" si="25"/>
        <v>0.59286146400483963</v>
      </c>
      <c r="BD34" s="216">
        <f t="shared" si="25"/>
        <v>0.5900060204695966</v>
      </c>
      <c r="BE34" s="216">
        <f t="shared" si="25"/>
        <v>0.5666747046057391</v>
      </c>
      <c r="BF34" s="216">
        <f t="shared" si="25"/>
        <v>0.59085976124442297</v>
      </c>
      <c r="BG34" s="216">
        <f t="shared" si="25"/>
        <v>0.58851789574825841</v>
      </c>
      <c r="BH34" s="216">
        <f t="shared" si="25"/>
        <v>0.68493150684931503</v>
      </c>
      <c r="BI34" s="216">
        <f t="shared" si="25"/>
        <v>0.68468468468468469</v>
      </c>
      <c r="BJ34" s="216">
        <f t="shared" si="25"/>
        <v>0.66169393647738206</v>
      </c>
      <c r="BK34" s="216">
        <f t="shared" si="25"/>
        <v>0.69661301945712217</v>
      </c>
      <c r="BL34" s="216">
        <f t="shared" si="25"/>
        <v>0.69694784907474161</v>
      </c>
      <c r="BM34" s="216">
        <f t="shared" si="25"/>
        <v>0.69719918259406177</v>
      </c>
      <c r="BN34" s="216">
        <f t="shared" si="25"/>
        <v>0.69719918259406177</v>
      </c>
      <c r="BO34" s="216">
        <f t="shared" si="25"/>
        <v>0.69602784111364457</v>
      </c>
      <c r="BP34" s="216">
        <f t="shared" si="25"/>
        <v>0.69544364508393286</v>
      </c>
      <c r="BQ34" s="216">
        <f t="shared" si="25"/>
        <v>0.63579654510556627</v>
      </c>
      <c r="BR34" s="216">
        <f t="shared" si="25"/>
        <v>0.64872657376261422</v>
      </c>
      <c r="BS34" s="216">
        <f t="shared" si="25"/>
        <v>0.64810369659145473</v>
      </c>
      <c r="BT34" s="216">
        <f t="shared" si="25"/>
        <v>0.63146499879720952</v>
      </c>
      <c r="BU34" s="216">
        <f t="shared" si="25"/>
        <v>0.66145520144317493</v>
      </c>
      <c r="BV34" s="216">
        <f t="shared" si="25"/>
        <v>0.66066066066066065</v>
      </c>
      <c r="BW34" s="216">
        <f t="shared" si="25"/>
        <v>0.67421141343607027</v>
      </c>
      <c r="BX34" s="216">
        <f t="shared" si="25"/>
        <v>0.67469879518072284</v>
      </c>
      <c r="BY34" s="216">
        <f t="shared" si="25"/>
        <v>0.6746175159619322</v>
      </c>
      <c r="BZ34" s="216">
        <f t="shared" si="25"/>
        <v>0.67551266586248493</v>
      </c>
      <c r="CA34" s="216">
        <f t="shared" si="25"/>
        <v>0.67551266586248493</v>
      </c>
      <c r="CB34" s="216">
        <f t="shared" si="25"/>
        <v>0.64087061668681977</v>
      </c>
      <c r="CC34" s="216">
        <f t="shared" si="25"/>
        <v>0.64040599323344605</v>
      </c>
      <c r="CD34" s="216">
        <f t="shared" si="25"/>
        <v>0.63656017295219791</v>
      </c>
      <c r="CE34" s="216">
        <f t="shared" si="25"/>
        <v>0.63556781388655714</v>
      </c>
      <c r="CF34" s="216">
        <f t="shared" si="25"/>
        <v>0.63694267515923575</v>
      </c>
      <c r="CG34" s="216">
        <f t="shared" si="25"/>
        <v>0.63549160671462823</v>
      </c>
      <c r="CH34" s="216">
        <f t="shared" si="25"/>
        <v>0.63389546704939603</v>
      </c>
      <c r="CI34" s="216">
        <f t="shared" si="25"/>
        <v>0.65931431311436106</v>
      </c>
      <c r="CJ34" s="216">
        <f t="shared" si="25"/>
        <v>0.6586826347305389</v>
      </c>
      <c r="CK34" s="216">
        <f t="shared" si="25"/>
        <v>0.65986802639472109</v>
      </c>
      <c r="CL34" s="216">
        <f t="shared" si="25"/>
        <v>0.62387522495500902</v>
      </c>
      <c r="CM34" s="216">
        <f t="shared" si="25"/>
        <v>0.62387522495500902</v>
      </c>
      <c r="CN34" s="216">
        <f t="shared" si="25"/>
        <v>0.62387522495500902</v>
      </c>
      <c r="CO34" s="216">
        <f t="shared" si="25"/>
        <v>0.61985933961139583</v>
      </c>
      <c r="CP34" s="216">
        <f t="shared" si="25"/>
        <v>0.64748201438848918</v>
      </c>
      <c r="CQ34" s="216">
        <f t="shared" si="25"/>
        <v>0.6467065868263473</v>
      </c>
      <c r="CR34" s="216">
        <f t="shared" si="25"/>
        <v>0.67106051527860988</v>
      </c>
      <c r="CS34" s="216">
        <f t="shared" si="25"/>
        <v>0.67089972445189894</v>
      </c>
      <c r="CT34" s="216">
        <f t="shared" si="25"/>
        <v>0.67025733093955719</v>
      </c>
      <c r="CU34" s="216">
        <f t="shared" si="25"/>
        <v>0.65710872162485068</v>
      </c>
      <c r="CV34" s="216">
        <f t="shared" si="25"/>
        <v>0.65687328317210081</v>
      </c>
      <c r="CW34" s="216">
        <f>CW12/CW1</f>
        <v>0.67897558070279929</v>
      </c>
      <c r="CX34" s="216">
        <f t="shared" si="25"/>
        <v>0.67889471176750837</v>
      </c>
      <c r="CY34" s="216">
        <f t="shared" si="25"/>
        <v>0.6793802145411203</v>
      </c>
      <c r="CZ34" s="216">
        <f t="shared" si="25"/>
        <v>0.67946119918941472</v>
      </c>
      <c r="DA34" s="216">
        <f t="shared" si="25"/>
        <v>0.62529776083849453</v>
      </c>
      <c r="DB34" s="216">
        <f t="shared" si="25"/>
        <v>0.62529776083849453</v>
      </c>
      <c r="DC34" s="216">
        <f t="shared" si="25"/>
        <v>0.59224694903086861</v>
      </c>
      <c r="DD34" s="216">
        <f t="shared" si="25"/>
        <v>0.59168061200095623</v>
      </c>
      <c r="DE34" s="216">
        <f t="shared" si="25"/>
        <v>0.58949624866023576</v>
      </c>
      <c r="DF34" s="216">
        <f t="shared" si="25"/>
        <v>0.60068990127274891</v>
      </c>
      <c r="DG34" s="216">
        <f t="shared" si="25"/>
        <v>0.60068990127274891</v>
      </c>
      <c r="DH34" s="216">
        <f t="shared" si="25"/>
        <v>0.60061845861084684</v>
      </c>
      <c r="DI34" s="216">
        <f t="shared" si="25"/>
        <v>0.60033285782215884</v>
      </c>
      <c r="DJ34" s="216">
        <f t="shared" si="25"/>
        <v>0.59834123222748814</v>
      </c>
      <c r="DK34" s="216">
        <f t="shared" ref="DK34:DP34" si="26">DK12/DK1</f>
        <v>0.61706419840987303</v>
      </c>
      <c r="DL34" s="216">
        <f t="shared" si="26"/>
        <v>0.61443932411674351</v>
      </c>
      <c r="DM34" s="216">
        <f t="shared" si="26"/>
        <v>0.6376195536663124</v>
      </c>
      <c r="DN34" s="216">
        <f t="shared" si="26"/>
        <v>0.63067311092773781</v>
      </c>
      <c r="DO34" s="216">
        <f t="shared" si="26"/>
        <v>0.63000471031559113</v>
      </c>
      <c r="DP34" s="216">
        <f t="shared" si="26"/>
        <v>0.62808170932143692</v>
      </c>
      <c r="DQ34" s="178"/>
      <c r="DR34" s="178"/>
    </row>
    <row r="35" spans="1:122 16384:16384">
      <c r="A35" s="178" t="str">
        <f t="shared" si="0"/>
        <v>Sodium bichromateUSD</v>
      </c>
      <c r="B35" s="178" t="s">
        <v>56</v>
      </c>
      <c r="C35" s="178" t="s">
        <v>71</v>
      </c>
      <c r="D35" s="178" t="s">
        <v>33</v>
      </c>
      <c r="E35" s="178" t="s">
        <v>34</v>
      </c>
      <c r="F35" s="216">
        <v>1.1958182154977375</v>
      </c>
      <c r="G35" s="216">
        <v>1.1782289215686275</v>
      </c>
      <c r="H35" s="216">
        <v>1.1214241430700447</v>
      </c>
      <c r="I35" s="216">
        <v>1.1434329592439456</v>
      </c>
      <c r="J35" s="216">
        <v>1.1374396166134186</v>
      </c>
      <c r="K35" s="216">
        <v>1.1342139303482588</v>
      </c>
      <c r="L35" s="216">
        <v>1.0985214854111407</v>
      </c>
      <c r="M35" s="216">
        <v>1.0813389380530973</v>
      </c>
      <c r="N35" s="216">
        <v>1.0416426257459506</v>
      </c>
      <c r="O35" s="216">
        <v>1.0516280672715885</v>
      </c>
      <c r="P35" s="216">
        <v>1.0347949350356589</v>
      </c>
      <c r="Q35" s="216">
        <v>1.0019336793893132</v>
      </c>
      <c r="R35" s="216">
        <v>1.0028085390260173</v>
      </c>
      <c r="S35" s="216">
        <v>1.028866545123063</v>
      </c>
      <c r="T35" s="216">
        <v>0.98535087369850594</v>
      </c>
      <c r="U35" s="216">
        <v>1.0603701250919795</v>
      </c>
      <c r="V35" s="216">
        <v>1.0789007130124777</v>
      </c>
      <c r="W35" s="216">
        <v>1.1000000000000001</v>
      </c>
      <c r="X35" s="216">
        <v>1.0811212618296531</v>
      </c>
      <c r="Y35" s="216">
        <v>1.1741664499349804</v>
      </c>
      <c r="Z35" s="216">
        <v>1.2064816753926701</v>
      </c>
      <c r="AA35" s="216">
        <v>1.1257328385899814</v>
      </c>
      <c r="AB35" s="216">
        <v>1.0829144981412639</v>
      </c>
      <c r="AC35" s="216">
        <v>1.5244516129032257</v>
      </c>
      <c r="AD35" s="216">
        <v>1.5333477641429549</v>
      </c>
      <c r="AE35" s="216">
        <v>1.2257713414634146</v>
      </c>
      <c r="AF35" s="216">
        <v>2.117777777777778</v>
      </c>
      <c r="AG35" s="216">
        <v>1.9393203883495145</v>
      </c>
      <c r="AH35" s="216">
        <v>2.0893333333333333</v>
      </c>
      <c r="AI35" s="216">
        <v>2.1293522267206479</v>
      </c>
      <c r="AJ35" s="216">
        <v>2.5428571428571427</v>
      </c>
      <c r="AK35" s="216">
        <v>2.5499999999999998</v>
      </c>
      <c r="AL35" s="216">
        <v>1.8934666666666666</v>
      </c>
      <c r="AM35" s="216">
        <v>2.2182514285714285</v>
      </c>
      <c r="AN35" s="216">
        <v>1.9939299228558462</v>
      </c>
      <c r="AO35" s="216">
        <v>1.8900502891933029</v>
      </c>
      <c r="AP35" s="216">
        <v>1.7887940504648077</v>
      </c>
      <c r="AQ35" s="216">
        <v>1.6064459261730279</v>
      </c>
      <c r="AR35" s="216">
        <v>1.7015576842105262</v>
      </c>
      <c r="AS35" s="214">
        <v>1.61</v>
      </c>
      <c r="AT35" s="214">
        <v>1.71</v>
      </c>
      <c r="AU35" s="214">
        <v>1.71</v>
      </c>
      <c r="AV35" s="214">
        <v>1.71</v>
      </c>
      <c r="AW35" s="214">
        <v>1.4</v>
      </c>
      <c r="AX35" s="214">
        <v>1.35</v>
      </c>
      <c r="AY35" s="214">
        <v>1.35</v>
      </c>
      <c r="AZ35" s="214">
        <v>1.35</v>
      </c>
      <c r="BA35" s="214">
        <v>1.35</v>
      </c>
      <c r="BB35" s="214">
        <v>1.35</v>
      </c>
      <c r="BC35" s="214">
        <v>1.35</v>
      </c>
      <c r="BD35" s="214">
        <v>1.35</v>
      </c>
      <c r="BE35" s="214">
        <v>1.35</v>
      </c>
      <c r="BF35" s="214">
        <v>1.35</v>
      </c>
      <c r="BG35" s="214">
        <v>1.35</v>
      </c>
      <c r="BH35" s="214">
        <v>1.35</v>
      </c>
      <c r="BI35" s="214">
        <v>1.35</v>
      </c>
      <c r="BJ35" s="214">
        <v>1.32</v>
      </c>
      <c r="BK35" s="214">
        <v>1.32</v>
      </c>
      <c r="BL35" s="214">
        <v>1.32</v>
      </c>
      <c r="BM35" s="214">
        <v>1.32</v>
      </c>
      <c r="BN35" s="214">
        <v>1.32</v>
      </c>
      <c r="BO35" s="214">
        <v>1.32</v>
      </c>
      <c r="BP35" s="214">
        <v>1.33</v>
      </c>
      <c r="BQ35" s="214">
        <v>1.33</v>
      </c>
      <c r="BR35" s="214">
        <v>1.06</v>
      </c>
      <c r="BS35" s="214">
        <v>1.06</v>
      </c>
      <c r="BT35" s="214">
        <v>1.35</v>
      </c>
      <c r="BU35" s="214">
        <v>1.35</v>
      </c>
      <c r="BV35" s="214">
        <v>1.35</v>
      </c>
      <c r="BW35" s="214">
        <v>1.05</v>
      </c>
      <c r="BX35" s="214">
        <v>1.05</v>
      </c>
      <c r="BY35" s="214">
        <v>1.05</v>
      </c>
      <c r="BZ35" s="214">
        <v>1.54</v>
      </c>
      <c r="CA35" s="214">
        <v>1.54</v>
      </c>
      <c r="CB35" s="214">
        <v>1.54</v>
      </c>
      <c r="CC35" s="214">
        <v>1.54</v>
      </c>
      <c r="CD35" s="214">
        <v>1.54</v>
      </c>
      <c r="CE35" s="214">
        <v>1.54</v>
      </c>
      <c r="CF35" s="214">
        <v>1.5</v>
      </c>
      <c r="CG35" s="214">
        <v>1.5</v>
      </c>
      <c r="CH35" s="214">
        <v>1.5</v>
      </c>
      <c r="CI35" s="214">
        <v>1.5</v>
      </c>
      <c r="CJ35" s="214">
        <v>1.5</v>
      </c>
      <c r="CK35" s="214">
        <v>1.5</v>
      </c>
      <c r="CL35" s="214">
        <v>1.5</v>
      </c>
      <c r="CM35" s="214">
        <v>1.5</v>
      </c>
      <c r="CN35" s="214">
        <v>1.5</v>
      </c>
      <c r="CO35" s="214">
        <v>1.5</v>
      </c>
      <c r="CP35" s="214">
        <v>1.5</v>
      </c>
      <c r="CQ35" s="214">
        <v>1.5</v>
      </c>
      <c r="CR35" s="214">
        <v>1.5</v>
      </c>
      <c r="CS35" s="214">
        <v>1.5</v>
      </c>
      <c r="CT35" s="214">
        <v>1.42</v>
      </c>
      <c r="CU35" s="214">
        <v>1.42</v>
      </c>
      <c r="CV35" s="214">
        <v>1.42</v>
      </c>
      <c r="CW35" s="214">
        <v>1.42</v>
      </c>
      <c r="CX35" s="214">
        <v>1.42</v>
      </c>
      <c r="CY35" s="214">
        <v>1.42</v>
      </c>
      <c r="CZ35" s="214">
        <v>1.39</v>
      </c>
      <c r="DA35" s="214">
        <v>1.52</v>
      </c>
      <c r="DB35" s="214">
        <v>1.52</v>
      </c>
      <c r="DC35" s="214">
        <v>1.52</v>
      </c>
      <c r="DD35" s="214">
        <v>1.52</v>
      </c>
      <c r="DE35" s="214">
        <v>1.52</v>
      </c>
      <c r="DF35" s="214">
        <v>1.52</v>
      </c>
      <c r="DG35" s="214">
        <v>1.45</v>
      </c>
      <c r="DH35" s="214">
        <v>1.45</v>
      </c>
      <c r="DI35" s="214">
        <v>1.45</v>
      </c>
      <c r="DJ35" s="214">
        <v>1.37</v>
      </c>
      <c r="DK35" s="214">
        <v>1.37</v>
      </c>
      <c r="DL35" s="214">
        <v>1.37</v>
      </c>
      <c r="DM35" s="214">
        <v>1.37</v>
      </c>
      <c r="DN35" s="214">
        <v>1.55</v>
      </c>
      <c r="DO35" s="214">
        <v>1.55</v>
      </c>
      <c r="DP35" s="214">
        <v>1.59</v>
      </c>
      <c r="DQ35" s="178"/>
      <c r="DR35" s="178"/>
    </row>
    <row r="36" spans="1:122 16384:16384">
      <c r="A36" s="178" t="str">
        <f t="shared" si="0"/>
        <v>Sulfuric acid INR</v>
      </c>
      <c r="B36" s="178" t="s">
        <v>41</v>
      </c>
      <c r="C36" s="178" t="s">
        <v>72</v>
      </c>
      <c r="D36" s="178" t="s">
        <v>43</v>
      </c>
      <c r="E36" s="178" t="s">
        <v>34</v>
      </c>
      <c r="F36" s="214">
        <v>5</v>
      </c>
      <c r="G36" s="214">
        <v>5</v>
      </c>
      <c r="H36" s="214">
        <v>5</v>
      </c>
      <c r="I36" s="214">
        <v>5</v>
      </c>
      <c r="J36" s="214">
        <v>5</v>
      </c>
      <c r="K36" s="214">
        <v>5</v>
      </c>
      <c r="L36" s="214">
        <v>5</v>
      </c>
      <c r="M36" s="214">
        <v>5</v>
      </c>
      <c r="N36" s="214">
        <v>5</v>
      </c>
      <c r="O36" s="214">
        <v>5</v>
      </c>
      <c r="P36" s="214">
        <v>5</v>
      </c>
      <c r="Q36" s="214">
        <v>5</v>
      </c>
      <c r="R36" s="214">
        <v>5</v>
      </c>
      <c r="S36" s="214">
        <v>5</v>
      </c>
      <c r="T36" s="214">
        <v>5</v>
      </c>
      <c r="U36" s="214">
        <v>5</v>
      </c>
      <c r="V36" s="214">
        <v>5</v>
      </c>
      <c r="W36" s="214">
        <v>5</v>
      </c>
      <c r="X36" s="214">
        <v>5</v>
      </c>
      <c r="Y36" s="214">
        <v>5</v>
      </c>
      <c r="Z36" s="214">
        <v>5</v>
      </c>
      <c r="AA36" s="214">
        <v>5</v>
      </c>
      <c r="AB36" s="214">
        <v>5</v>
      </c>
      <c r="AC36" s="214">
        <v>5</v>
      </c>
      <c r="AD36" s="214">
        <v>5</v>
      </c>
      <c r="AE36" s="214">
        <v>5</v>
      </c>
      <c r="AF36" s="214">
        <v>5</v>
      </c>
      <c r="AG36" s="214">
        <v>5</v>
      </c>
      <c r="AH36" s="214">
        <v>5</v>
      </c>
      <c r="AI36" s="214">
        <v>5</v>
      </c>
      <c r="AJ36" s="214">
        <v>5</v>
      </c>
      <c r="AK36" s="214">
        <v>5</v>
      </c>
      <c r="AL36" s="214">
        <v>5</v>
      </c>
      <c r="AM36" s="214">
        <v>5</v>
      </c>
      <c r="AN36" s="214">
        <v>5</v>
      </c>
      <c r="AO36" s="214">
        <v>5</v>
      </c>
      <c r="AP36" s="214">
        <v>5</v>
      </c>
      <c r="AQ36" s="214">
        <v>5</v>
      </c>
      <c r="AR36" s="214">
        <v>5</v>
      </c>
      <c r="AS36" s="214">
        <v>6.8</v>
      </c>
      <c r="AT36" s="214">
        <v>6.8</v>
      </c>
      <c r="AU36" s="214">
        <v>7</v>
      </c>
      <c r="AV36" s="214">
        <v>7</v>
      </c>
      <c r="AW36" s="214">
        <v>7</v>
      </c>
      <c r="AX36" s="214">
        <v>7</v>
      </c>
      <c r="AY36" s="214">
        <v>7</v>
      </c>
      <c r="AZ36" s="214">
        <v>7</v>
      </c>
      <c r="BA36" s="214">
        <v>7</v>
      </c>
      <c r="BB36" s="214">
        <v>7</v>
      </c>
      <c r="BC36" s="214">
        <v>7</v>
      </c>
      <c r="BD36" s="214">
        <v>7</v>
      </c>
      <c r="BE36" s="214">
        <v>7</v>
      </c>
      <c r="BF36" s="214">
        <v>7</v>
      </c>
      <c r="BG36" s="214">
        <v>7</v>
      </c>
      <c r="BH36" s="214">
        <v>7</v>
      </c>
      <c r="BI36" s="214">
        <v>7</v>
      </c>
      <c r="BJ36" s="214">
        <v>7</v>
      </c>
      <c r="BK36" s="214">
        <v>7</v>
      </c>
      <c r="BL36" s="214">
        <v>7</v>
      </c>
      <c r="BM36" s="214">
        <v>7</v>
      </c>
      <c r="BN36" s="214">
        <v>7</v>
      </c>
      <c r="BO36" s="214">
        <v>7</v>
      </c>
      <c r="BP36" s="214">
        <v>7</v>
      </c>
      <c r="BQ36" s="214">
        <v>7</v>
      </c>
      <c r="BR36" s="214">
        <v>7</v>
      </c>
      <c r="BS36" s="214">
        <v>7</v>
      </c>
      <c r="BT36" s="214">
        <v>7</v>
      </c>
      <c r="BU36" s="214">
        <v>7</v>
      </c>
      <c r="BV36" s="214">
        <v>7</v>
      </c>
      <c r="BW36" s="214">
        <v>7</v>
      </c>
      <c r="BX36" s="214">
        <v>7</v>
      </c>
      <c r="BY36" s="214">
        <v>7</v>
      </c>
      <c r="BZ36" s="214">
        <v>7</v>
      </c>
      <c r="CA36" s="214">
        <v>7</v>
      </c>
      <c r="CB36" s="214">
        <v>7</v>
      </c>
      <c r="CC36" s="214">
        <v>7</v>
      </c>
      <c r="CD36" s="214">
        <v>7</v>
      </c>
      <c r="CE36" s="214">
        <v>7</v>
      </c>
      <c r="CF36" s="214">
        <v>7</v>
      </c>
      <c r="CG36" s="214">
        <v>7</v>
      </c>
      <c r="CH36" s="214">
        <v>7</v>
      </c>
      <c r="CI36" s="214">
        <v>7</v>
      </c>
      <c r="CJ36" s="214">
        <v>7</v>
      </c>
      <c r="CK36" s="214">
        <v>7</v>
      </c>
      <c r="CL36" s="214">
        <v>7</v>
      </c>
      <c r="CM36" s="214">
        <v>7</v>
      </c>
      <c r="CN36" s="214">
        <v>7</v>
      </c>
      <c r="CO36" s="214">
        <v>7</v>
      </c>
      <c r="CP36" s="214">
        <v>7</v>
      </c>
      <c r="CQ36" s="214">
        <v>7</v>
      </c>
      <c r="CR36" s="214">
        <v>7</v>
      </c>
      <c r="CS36" s="214">
        <v>7</v>
      </c>
      <c r="CT36" s="214">
        <v>7</v>
      </c>
      <c r="CU36" s="214">
        <v>7</v>
      </c>
      <c r="CV36" s="214">
        <v>7</v>
      </c>
      <c r="CW36" s="214">
        <v>7</v>
      </c>
      <c r="CX36" s="214">
        <v>7</v>
      </c>
      <c r="CY36" s="214">
        <v>7</v>
      </c>
      <c r="CZ36" s="214">
        <v>7</v>
      </c>
      <c r="DA36" s="214">
        <v>7</v>
      </c>
      <c r="DB36" s="214">
        <v>7</v>
      </c>
      <c r="DC36" s="214">
        <v>7</v>
      </c>
      <c r="DD36" s="214">
        <v>7</v>
      </c>
      <c r="DE36" s="214">
        <v>7</v>
      </c>
      <c r="DF36" s="214">
        <v>7</v>
      </c>
      <c r="DG36" s="214">
        <v>7</v>
      </c>
      <c r="DH36" s="214">
        <v>7</v>
      </c>
      <c r="DI36" s="214">
        <v>7</v>
      </c>
      <c r="DJ36" s="214">
        <v>7</v>
      </c>
      <c r="DK36" s="214">
        <v>7</v>
      </c>
      <c r="DL36" s="214">
        <v>7</v>
      </c>
      <c r="DM36" s="214">
        <v>7</v>
      </c>
      <c r="DN36" s="214">
        <v>7</v>
      </c>
      <c r="DO36" s="214">
        <v>7</v>
      </c>
      <c r="DP36" s="214">
        <v>7</v>
      </c>
      <c r="DQ36" s="214">
        <v>7</v>
      </c>
      <c r="DR36" s="178"/>
    </row>
    <row r="37" spans="1:122 16384:16384">
      <c r="A37" s="178" t="str">
        <f t="shared" si="0"/>
        <v>Sulfuric acid USD</v>
      </c>
      <c r="B37" s="178" t="s">
        <v>73</v>
      </c>
      <c r="C37" s="178" t="s">
        <v>72</v>
      </c>
      <c r="D37" s="178" t="s">
        <v>33</v>
      </c>
      <c r="E37" s="178" t="s">
        <v>34</v>
      </c>
      <c r="F37" s="253"/>
      <c r="G37" s="253"/>
      <c r="H37" s="253"/>
      <c r="I37" s="253"/>
      <c r="J37" s="253"/>
      <c r="K37" s="253"/>
      <c r="L37" s="253"/>
      <c r="M37" s="253"/>
      <c r="N37" s="253"/>
      <c r="O37" s="253"/>
      <c r="P37" s="253"/>
      <c r="Q37" s="253"/>
      <c r="R37" s="253"/>
      <c r="S37" s="253"/>
      <c r="T37" s="253"/>
      <c r="U37" s="253"/>
      <c r="V37" s="253"/>
      <c r="W37" s="253"/>
      <c r="X37" s="253"/>
      <c r="Y37" s="253"/>
      <c r="Z37" s="253"/>
      <c r="AA37" s="253"/>
      <c r="AB37" s="253"/>
      <c r="AC37" s="253"/>
      <c r="AD37" s="253">
        <v>0.11</v>
      </c>
      <c r="AE37" s="253">
        <v>0.12</v>
      </c>
      <c r="AF37" s="253">
        <v>0.15</v>
      </c>
      <c r="AG37" s="253">
        <v>0.17</v>
      </c>
      <c r="AH37" s="253">
        <v>0.16</v>
      </c>
      <c r="AI37" s="253">
        <v>0.14000000000000001</v>
      </c>
      <c r="AJ37" s="253">
        <v>0.12</v>
      </c>
      <c r="AK37" s="253">
        <v>0.08</v>
      </c>
      <c r="AL37" s="253">
        <v>0.04</v>
      </c>
      <c r="AM37" s="253">
        <v>0.05</v>
      </c>
      <c r="AN37" s="253">
        <v>0.05</v>
      </c>
      <c r="AO37" s="253">
        <v>0.05</v>
      </c>
      <c r="AP37" s="253">
        <v>0.04</v>
      </c>
      <c r="AQ37" s="253">
        <v>0.04</v>
      </c>
      <c r="AR37" s="253">
        <v>0.04</v>
      </c>
      <c r="AS37" s="253">
        <v>0.04</v>
      </c>
      <c r="AT37" s="253">
        <v>0.04</v>
      </c>
      <c r="AU37" s="214">
        <v>0.03</v>
      </c>
      <c r="AV37" s="214">
        <v>0.03</v>
      </c>
      <c r="AW37" s="214">
        <v>0.03</v>
      </c>
      <c r="AX37" s="214">
        <v>0.03</v>
      </c>
      <c r="AY37" s="214">
        <v>0.03</v>
      </c>
      <c r="AZ37" s="214">
        <v>0.03</v>
      </c>
      <c r="BA37" s="214">
        <v>0.03</v>
      </c>
      <c r="BB37" s="214">
        <v>0.03</v>
      </c>
      <c r="BC37" s="214">
        <v>0.03</v>
      </c>
      <c r="BD37" s="214">
        <v>0.03</v>
      </c>
      <c r="BE37" s="214">
        <v>0.03</v>
      </c>
      <c r="BF37" s="214">
        <v>0.03</v>
      </c>
      <c r="BG37" s="214">
        <v>0.03</v>
      </c>
      <c r="BH37" s="214">
        <v>0.03</v>
      </c>
      <c r="BI37" s="214">
        <v>0.03</v>
      </c>
      <c r="BJ37" s="214">
        <v>0.03</v>
      </c>
      <c r="BK37" s="214">
        <v>0.03</v>
      </c>
      <c r="BL37" s="214">
        <v>0.03</v>
      </c>
      <c r="BM37" s="214">
        <v>0.03</v>
      </c>
      <c r="BN37" s="214">
        <v>0.03</v>
      </c>
      <c r="BO37" s="214">
        <v>0.03</v>
      </c>
      <c r="BP37" s="214">
        <v>0.03</v>
      </c>
      <c r="BQ37" s="214">
        <v>0.03</v>
      </c>
      <c r="BR37" s="214">
        <v>0.03</v>
      </c>
      <c r="BS37" s="214">
        <v>0.03</v>
      </c>
      <c r="BT37" s="214">
        <v>0.04</v>
      </c>
      <c r="BU37" s="214">
        <v>0.04</v>
      </c>
      <c r="BV37" s="214">
        <v>0.04</v>
      </c>
      <c r="BW37" s="214">
        <v>0.04</v>
      </c>
      <c r="BX37" s="214">
        <v>0.04</v>
      </c>
      <c r="BY37" s="214">
        <v>0.04</v>
      </c>
      <c r="BZ37" s="214">
        <v>0.04</v>
      </c>
      <c r="CA37" s="214">
        <v>0.04</v>
      </c>
      <c r="CB37" s="214">
        <v>0.04</v>
      </c>
      <c r="CC37" s="214">
        <v>0.04</v>
      </c>
      <c r="CD37" s="214">
        <v>0.04</v>
      </c>
      <c r="CE37" s="214">
        <v>0.04</v>
      </c>
      <c r="CF37" s="214">
        <v>0.04</v>
      </c>
      <c r="CG37" s="214">
        <v>0.04</v>
      </c>
      <c r="CH37" s="214">
        <v>0.04</v>
      </c>
      <c r="CI37" s="214">
        <v>0.04</v>
      </c>
      <c r="CJ37" s="214">
        <v>0.04</v>
      </c>
      <c r="CK37" s="214">
        <v>0.04</v>
      </c>
      <c r="CL37" s="214">
        <v>0.04</v>
      </c>
      <c r="CM37" s="214">
        <v>0.04</v>
      </c>
      <c r="CN37" s="214">
        <v>0.04</v>
      </c>
      <c r="CO37" s="214">
        <v>0.04</v>
      </c>
      <c r="CP37" s="214">
        <v>0.04</v>
      </c>
      <c r="CQ37" s="214">
        <v>0.04</v>
      </c>
      <c r="CR37" s="214">
        <v>0.04</v>
      </c>
      <c r="CS37" s="214">
        <v>0.04</v>
      </c>
      <c r="CT37" s="214">
        <v>0.04</v>
      </c>
      <c r="CU37" s="214">
        <v>0.04</v>
      </c>
      <c r="CV37" s="214">
        <v>0.04</v>
      </c>
      <c r="CW37" s="214">
        <v>0.04</v>
      </c>
      <c r="CX37" s="214">
        <v>0.04</v>
      </c>
      <c r="CY37" s="214">
        <v>0.04</v>
      </c>
      <c r="CZ37" s="214">
        <v>0.04</v>
      </c>
      <c r="DA37" s="214">
        <v>0.04</v>
      </c>
      <c r="DB37" s="214">
        <v>0.04</v>
      </c>
      <c r="DC37" s="214">
        <v>0.04</v>
      </c>
      <c r="DD37" s="214">
        <v>0.04</v>
      </c>
      <c r="DE37" s="214">
        <v>0.04</v>
      </c>
      <c r="DF37" s="214">
        <v>0.04</v>
      </c>
      <c r="DG37" s="214">
        <v>0.04</v>
      </c>
      <c r="DH37" s="214">
        <v>0.04</v>
      </c>
      <c r="DI37" s="214">
        <v>0.04</v>
      </c>
      <c r="DJ37" s="214">
        <v>0.04</v>
      </c>
      <c r="DK37" s="214">
        <v>0.04</v>
      </c>
      <c r="DL37" s="214">
        <v>0.04</v>
      </c>
      <c r="DM37" s="214">
        <v>0.04</v>
      </c>
      <c r="DN37" s="214">
        <v>0.04</v>
      </c>
      <c r="DO37" s="214">
        <v>0.04</v>
      </c>
      <c r="DP37" s="214">
        <v>0.04</v>
      </c>
      <c r="DQ37" s="178"/>
      <c r="DR37" s="178"/>
      <c r="XFD37" s="214"/>
    </row>
    <row r="38" spans="1:122 16384:16384">
      <c r="A38" s="178" t="str">
        <f t="shared" si="0"/>
        <v>Nitric AcidINR</v>
      </c>
      <c r="B38" s="178" t="s">
        <v>41</v>
      </c>
      <c r="C38" s="178" t="s">
        <v>63</v>
      </c>
      <c r="D38" s="178" t="s">
        <v>43</v>
      </c>
      <c r="E38" s="178" t="s">
        <v>34</v>
      </c>
      <c r="F38" s="214">
        <v>25</v>
      </c>
      <c r="G38" s="214">
        <v>25</v>
      </c>
      <c r="H38" s="214">
        <v>25</v>
      </c>
      <c r="I38" s="214">
        <v>25</v>
      </c>
      <c r="J38" s="214">
        <v>25</v>
      </c>
      <c r="K38" s="214">
        <v>25</v>
      </c>
      <c r="L38" s="214">
        <v>25</v>
      </c>
      <c r="M38" s="214">
        <v>25</v>
      </c>
      <c r="N38" s="214">
        <v>25</v>
      </c>
      <c r="O38" s="214">
        <v>25</v>
      </c>
      <c r="P38" s="214">
        <v>25</v>
      </c>
      <c r="Q38" s="214">
        <v>25</v>
      </c>
      <c r="R38" s="214">
        <v>25</v>
      </c>
      <c r="S38" s="214">
        <v>25</v>
      </c>
      <c r="T38" s="214">
        <v>25</v>
      </c>
      <c r="U38" s="214">
        <v>25</v>
      </c>
      <c r="V38" s="214">
        <v>25</v>
      </c>
      <c r="W38" s="214">
        <v>25</v>
      </c>
      <c r="X38" s="214">
        <v>25</v>
      </c>
      <c r="Y38" s="214">
        <v>25</v>
      </c>
      <c r="Z38" s="214">
        <v>25</v>
      </c>
      <c r="AA38" s="214">
        <v>25</v>
      </c>
      <c r="AB38" s="214">
        <v>25</v>
      </c>
      <c r="AC38" s="214">
        <v>25</v>
      </c>
      <c r="AD38" s="214">
        <v>25</v>
      </c>
      <c r="AE38" s="214">
        <v>25</v>
      </c>
      <c r="AF38" s="214">
        <v>25</v>
      </c>
      <c r="AG38" s="214">
        <v>25</v>
      </c>
      <c r="AH38" s="214">
        <v>25</v>
      </c>
      <c r="AI38" s="214">
        <v>25</v>
      </c>
      <c r="AJ38" s="214">
        <v>25</v>
      </c>
      <c r="AK38" s="214">
        <v>25</v>
      </c>
      <c r="AL38" s="214">
        <v>25</v>
      </c>
      <c r="AM38" s="214">
        <v>25</v>
      </c>
      <c r="AN38" s="214">
        <v>25</v>
      </c>
      <c r="AO38" s="214">
        <v>25</v>
      </c>
      <c r="AP38" s="214">
        <v>25</v>
      </c>
      <c r="AQ38" s="214">
        <v>25</v>
      </c>
      <c r="AR38" s="214">
        <v>25</v>
      </c>
      <c r="AS38" s="214">
        <v>25</v>
      </c>
      <c r="AT38" s="214">
        <v>25</v>
      </c>
      <c r="AU38" s="214">
        <v>25</v>
      </c>
      <c r="AV38" s="214">
        <v>25</v>
      </c>
      <c r="AW38" s="214">
        <v>25</v>
      </c>
      <c r="AX38" s="214">
        <v>25</v>
      </c>
      <c r="AY38" s="214">
        <v>25</v>
      </c>
      <c r="AZ38" s="214">
        <v>25</v>
      </c>
      <c r="BA38" s="214">
        <v>25</v>
      </c>
      <c r="BB38" s="214">
        <v>25</v>
      </c>
      <c r="BC38" s="214">
        <v>25</v>
      </c>
      <c r="BD38" s="214">
        <v>25</v>
      </c>
      <c r="BE38" s="214">
        <v>25</v>
      </c>
      <c r="BF38" s="214">
        <v>25</v>
      </c>
      <c r="BG38" s="214">
        <v>25</v>
      </c>
      <c r="BH38" s="214">
        <v>25</v>
      </c>
      <c r="BI38" s="214">
        <v>25</v>
      </c>
      <c r="BJ38" s="214">
        <v>25</v>
      </c>
      <c r="BK38" s="214">
        <v>25</v>
      </c>
      <c r="BL38" s="214">
        <v>25</v>
      </c>
      <c r="BM38" s="214">
        <v>25</v>
      </c>
      <c r="BN38" s="214">
        <v>25</v>
      </c>
      <c r="BO38" s="214">
        <v>25</v>
      </c>
      <c r="BP38" s="214">
        <v>25</v>
      </c>
      <c r="BQ38" s="214">
        <v>25</v>
      </c>
      <c r="BR38" s="214">
        <v>25</v>
      </c>
      <c r="BS38" s="214">
        <v>25</v>
      </c>
      <c r="BT38" s="214">
        <v>25</v>
      </c>
      <c r="BU38" s="214">
        <v>25</v>
      </c>
      <c r="BV38" s="214">
        <v>25</v>
      </c>
      <c r="BW38" s="214">
        <v>25</v>
      </c>
      <c r="BX38" s="214">
        <v>25</v>
      </c>
      <c r="BY38" s="214">
        <v>25</v>
      </c>
      <c r="BZ38" s="214">
        <v>25</v>
      </c>
      <c r="CA38" s="214">
        <v>25</v>
      </c>
      <c r="CB38" s="214">
        <v>25</v>
      </c>
      <c r="CC38" s="214">
        <v>25</v>
      </c>
      <c r="CD38" s="214">
        <v>25</v>
      </c>
      <c r="CE38" s="214">
        <v>25</v>
      </c>
      <c r="CF38" s="214">
        <v>25</v>
      </c>
      <c r="CG38" s="214">
        <v>25</v>
      </c>
      <c r="CH38" s="214">
        <v>25</v>
      </c>
      <c r="CI38" s="214">
        <v>25</v>
      </c>
      <c r="CJ38" s="214">
        <v>25</v>
      </c>
      <c r="CK38" s="214">
        <v>25</v>
      </c>
      <c r="CL38" s="214">
        <v>25</v>
      </c>
      <c r="CM38" s="214">
        <v>25</v>
      </c>
      <c r="CN38" s="214">
        <v>25</v>
      </c>
      <c r="CO38" s="214">
        <v>25</v>
      </c>
      <c r="CP38" s="214">
        <v>25</v>
      </c>
      <c r="CQ38" s="214">
        <v>25</v>
      </c>
      <c r="CR38" s="214">
        <v>25</v>
      </c>
      <c r="CS38" s="214">
        <v>25</v>
      </c>
      <c r="CT38" s="214">
        <v>25</v>
      </c>
      <c r="CU38" s="214">
        <v>25</v>
      </c>
      <c r="CV38" s="214">
        <v>25</v>
      </c>
      <c r="CW38" s="214">
        <v>25</v>
      </c>
      <c r="CX38" s="214">
        <v>25</v>
      </c>
      <c r="CY38" s="214">
        <v>25</v>
      </c>
      <c r="CZ38" s="214">
        <v>25</v>
      </c>
      <c r="DA38" s="214">
        <v>25</v>
      </c>
      <c r="DB38" s="214">
        <v>25</v>
      </c>
      <c r="DC38" s="214">
        <v>25</v>
      </c>
      <c r="DD38" s="214">
        <v>25</v>
      </c>
      <c r="DE38" s="214">
        <v>25</v>
      </c>
      <c r="DF38" s="214">
        <v>25</v>
      </c>
      <c r="DG38" s="214">
        <v>25</v>
      </c>
      <c r="DH38" s="214">
        <v>25</v>
      </c>
      <c r="DI38" s="214">
        <v>25</v>
      </c>
      <c r="DJ38" s="214">
        <v>25</v>
      </c>
      <c r="DK38" s="214">
        <v>25</v>
      </c>
      <c r="DL38" s="214">
        <v>25</v>
      </c>
      <c r="DM38" s="214">
        <v>25</v>
      </c>
      <c r="DN38" s="214">
        <v>25</v>
      </c>
      <c r="DO38" s="214">
        <v>25</v>
      </c>
      <c r="DP38" s="214">
        <v>25</v>
      </c>
      <c r="DQ38" s="178"/>
      <c r="DR38" s="178"/>
    </row>
    <row r="39" spans="1:122 16384:16384">
      <c r="A39" s="178" t="str">
        <f t="shared" si="0"/>
        <v>Nitric AcidUSD</v>
      </c>
      <c r="B39" s="178" t="s">
        <v>73</v>
      </c>
      <c r="C39" s="178" t="s">
        <v>63</v>
      </c>
      <c r="D39" s="178" t="s">
        <v>33</v>
      </c>
      <c r="E39" s="178" t="s">
        <v>34</v>
      </c>
      <c r="F39" s="216">
        <v>0.21</v>
      </c>
      <c r="G39" s="216">
        <v>0.21</v>
      </c>
      <c r="H39" s="216">
        <v>0.21</v>
      </c>
      <c r="I39" s="216">
        <v>0.2</v>
      </c>
      <c r="J39" s="216">
        <v>0.19</v>
      </c>
      <c r="K39" s="216">
        <v>0.2</v>
      </c>
      <c r="L39" s="216">
        <v>0.2</v>
      </c>
      <c r="M39" s="216">
        <v>0.2</v>
      </c>
      <c r="N39" s="216">
        <v>0.21</v>
      </c>
      <c r="O39" s="216">
        <v>0.22</v>
      </c>
      <c r="P39" s="216">
        <v>0.24</v>
      </c>
      <c r="Q39" s="216">
        <v>0.28000000000000003</v>
      </c>
      <c r="R39" s="216">
        <v>0.28000000000000003</v>
      </c>
      <c r="S39" s="216">
        <v>0.28000000000000003</v>
      </c>
      <c r="T39" s="216">
        <v>0.28000000000000003</v>
      </c>
      <c r="U39" s="216">
        <v>0.3</v>
      </c>
      <c r="V39" s="216">
        <v>0.31</v>
      </c>
      <c r="W39" s="216">
        <v>0.32</v>
      </c>
      <c r="X39" s="216">
        <v>0.36</v>
      </c>
      <c r="Y39" s="216">
        <v>0.4</v>
      </c>
      <c r="Z39" s="216">
        <v>0.44</v>
      </c>
      <c r="AA39" s="216">
        <v>0.45</v>
      </c>
      <c r="AB39" s="216">
        <v>0.41</v>
      </c>
      <c r="AC39" s="216">
        <v>0.32</v>
      </c>
      <c r="AD39" s="216">
        <v>0.31</v>
      </c>
      <c r="AE39" s="216">
        <v>0.4</v>
      </c>
      <c r="AF39" s="216">
        <v>0.31</v>
      </c>
      <c r="AG39" s="216">
        <v>0.33</v>
      </c>
      <c r="AH39" s="216">
        <v>0.36</v>
      </c>
      <c r="AI39" s="216">
        <v>0.38</v>
      </c>
      <c r="AJ39" s="216">
        <v>0.39</v>
      </c>
      <c r="AK39" s="216">
        <v>0.34</v>
      </c>
      <c r="AL39" s="216">
        <v>0.3</v>
      </c>
      <c r="AM39" s="216">
        <v>0.3</v>
      </c>
      <c r="AN39" s="216">
        <v>0.33</v>
      </c>
      <c r="AO39" s="216">
        <v>0.35</v>
      </c>
      <c r="AP39" s="216">
        <v>0.34</v>
      </c>
      <c r="AQ39" s="216">
        <v>0.32</v>
      </c>
      <c r="AR39" s="216">
        <v>0.34</v>
      </c>
      <c r="AS39" s="216">
        <v>0.32</v>
      </c>
      <c r="AT39" s="216">
        <v>0.3</v>
      </c>
      <c r="AU39" s="216">
        <v>0.26</v>
      </c>
      <c r="AV39" s="216">
        <v>0.25</v>
      </c>
      <c r="AW39" s="216">
        <v>0.25</v>
      </c>
      <c r="AX39" s="216">
        <v>0.25</v>
      </c>
      <c r="AY39" s="216">
        <v>0.25</v>
      </c>
      <c r="AZ39" s="216">
        <v>0.25</v>
      </c>
      <c r="BA39" s="216">
        <v>0.25</v>
      </c>
      <c r="BB39" s="216">
        <v>0.25</v>
      </c>
      <c r="BC39" s="216">
        <v>0.25</v>
      </c>
      <c r="BD39" s="216">
        <v>0.25</v>
      </c>
      <c r="BE39" s="216">
        <v>0.25</v>
      </c>
      <c r="BF39" s="216">
        <v>0.25</v>
      </c>
      <c r="BG39" s="216">
        <v>0.25</v>
      </c>
      <c r="BH39" s="216">
        <v>0.25</v>
      </c>
      <c r="BI39" s="214">
        <v>0.28999999999999998</v>
      </c>
      <c r="BJ39" s="214">
        <v>0.28999999999999998</v>
      </c>
      <c r="BK39" s="214">
        <v>0.28999999999999998</v>
      </c>
      <c r="BL39" s="214">
        <v>0.28999999999999998</v>
      </c>
      <c r="BM39" s="214">
        <v>0.28999999999999998</v>
      </c>
      <c r="BN39" s="214">
        <v>0.28999999999999998</v>
      </c>
      <c r="BO39" s="214">
        <v>0.28999999999999998</v>
      </c>
      <c r="BP39" s="214">
        <v>0.28999999999999998</v>
      </c>
      <c r="BQ39" s="214">
        <v>0.28999999999999998</v>
      </c>
      <c r="BR39" s="214">
        <v>0.28999999999999998</v>
      </c>
      <c r="BS39" s="214">
        <v>0.28999999999999998</v>
      </c>
      <c r="BT39" s="214">
        <v>0.3</v>
      </c>
      <c r="BU39" s="214">
        <v>0.3</v>
      </c>
      <c r="BV39" s="214">
        <v>0.3</v>
      </c>
      <c r="BW39" s="214">
        <v>0.3</v>
      </c>
      <c r="BX39" s="214">
        <v>0.3</v>
      </c>
      <c r="BY39" s="214">
        <v>0.3</v>
      </c>
      <c r="BZ39" s="214">
        <v>0.3</v>
      </c>
      <c r="CA39" s="214">
        <v>0.3</v>
      </c>
      <c r="CB39" s="214">
        <v>0.3</v>
      </c>
      <c r="CC39" s="214">
        <v>0.3</v>
      </c>
      <c r="CD39" s="214">
        <v>0.3</v>
      </c>
      <c r="CE39" s="214">
        <v>0.3</v>
      </c>
      <c r="CF39" s="214">
        <v>0.3</v>
      </c>
      <c r="CG39" s="214">
        <v>0.3</v>
      </c>
      <c r="CH39" s="214">
        <v>0.3</v>
      </c>
      <c r="CI39" s="214">
        <v>0.3</v>
      </c>
      <c r="CJ39" s="214">
        <v>0.3</v>
      </c>
      <c r="CK39" s="214">
        <v>0.3</v>
      </c>
      <c r="CL39" s="214">
        <v>0.3</v>
      </c>
      <c r="CM39" s="214">
        <v>0.3</v>
      </c>
      <c r="CN39" s="214">
        <v>0.3</v>
      </c>
      <c r="CO39" s="214">
        <v>0.3</v>
      </c>
      <c r="CP39" s="214">
        <v>0.3</v>
      </c>
      <c r="CQ39" s="214">
        <v>0.3</v>
      </c>
      <c r="CR39" s="214">
        <v>0.3</v>
      </c>
      <c r="CS39" s="214">
        <v>0.3</v>
      </c>
      <c r="CT39" s="214">
        <v>0.3</v>
      </c>
      <c r="CU39" s="214">
        <v>0.3</v>
      </c>
      <c r="CV39" s="214">
        <v>0.3</v>
      </c>
      <c r="CW39" s="214">
        <v>0.3</v>
      </c>
      <c r="CX39" s="214">
        <v>0.3</v>
      </c>
      <c r="CY39" s="214">
        <v>0.3</v>
      </c>
      <c r="CZ39" s="214">
        <v>0.3</v>
      </c>
      <c r="DA39" s="214">
        <v>0.3</v>
      </c>
      <c r="DB39" s="214">
        <v>0.3</v>
      </c>
      <c r="DC39" s="214">
        <v>0.3</v>
      </c>
      <c r="DD39" s="214">
        <v>0.3</v>
      </c>
      <c r="DE39" s="214">
        <v>0.3</v>
      </c>
      <c r="DF39" s="214">
        <v>0.3</v>
      </c>
      <c r="DG39" s="214">
        <v>0.3</v>
      </c>
      <c r="DH39" s="214">
        <v>0.3</v>
      </c>
      <c r="DI39" s="214">
        <v>0.3</v>
      </c>
      <c r="DJ39" s="214">
        <v>0.3</v>
      </c>
      <c r="DK39" s="214">
        <v>0.3</v>
      </c>
      <c r="DL39" s="214">
        <v>0.3</v>
      </c>
      <c r="DM39" s="214">
        <v>0.3</v>
      </c>
      <c r="DN39" s="214">
        <v>0.3</v>
      </c>
      <c r="DO39" s="214">
        <v>0.3</v>
      </c>
      <c r="DP39" s="214">
        <v>0.3</v>
      </c>
      <c r="DQ39" s="178"/>
      <c r="DR39" s="178"/>
    </row>
    <row r="40" spans="1:122 16384:16384">
      <c r="A40" s="178" t="str">
        <f t="shared" si="0"/>
        <v>ISOPHORONEUSD</v>
      </c>
      <c r="B40" s="178" t="s">
        <v>56</v>
      </c>
      <c r="C40" s="178" t="s">
        <v>74</v>
      </c>
      <c r="D40" s="178" t="s">
        <v>33</v>
      </c>
      <c r="E40" s="178" t="s">
        <v>34</v>
      </c>
      <c r="F40" s="216">
        <v>1.5696622152738924</v>
      </c>
      <c r="G40" s="216">
        <v>1.4924384935776835</v>
      </c>
      <c r="H40" s="216">
        <v>1.5864575476499325</v>
      </c>
      <c r="I40" s="216">
        <v>1.475604654554391</v>
      </c>
      <c r="J40" s="219">
        <f>I40</f>
        <v>1.475604654554391</v>
      </c>
      <c r="K40" s="219">
        <f>J40</f>
        <v>1.475604654554391</v>
      </c>
      <c r="L40" s="216">
        <v>1.8300307430856999</v>
      </c>
      <c r="M40" s="216">
        <v>1.8209225143307441</v>
      </c>
      <c r="N40" s="216">
        <v>1.7136455321954815</v>
      </c>
      <c r="O40" s="216">
        <v>1.7483818762900381</v>
      </c>
      <c r="P40" s="216">
        <v>1.6827534974421228</v>
      </c>
      <c r="Q40" s="216">
        <v>1.2148342343729142</v>
      </c>
      <c r="R40" s="219">
        <f>Q40</f>
        <v>1.2148342343729142</v>
      </c>
      <c r="S40" s="216">
        <v>1.8713520002533717</v>
      </c>
      <c r="T40" s="216">
        <v>1.8704753770124447</v>
      </c>
      <c r="U40" s="216">
        <v>1.8300404585300065</v>
      </c>
      <c r="V40" s="216">
        <v>2.2768573260742846</v>
      </c>
      <c r="W40" s="219">
        <f>V40</f>
        <v>2.2768573260742846</v>
      </c>
      <c r="X40" s="219">
        <f>W40</f>
        <v>2.2768573260742846</v>
      </c>
      <c r="Y40" s="216">
        <v>1.9015957446808509</v>
      </c>
      <c r="Z40" s="216">
        <v>1.8864097363083163</v>
      </c>
      <c r="AA40" s="216">
        <v>1.7597027741083222</v>
      </c>
      <c r="AB40" s="219">
        <f>AA40</f>
        <v>1.7597027741083222</v>
      </c>
      <c r="AC40" s="219">
        <f>AB40</f>
        <v>1.7597027741083222</v>
      </c>
      <c r="AD40" s="216">
        <v>1.7853391262355092</v>
      </c>
      <c r="AE40" s="216">
        <v>1.7855620205349352</v>
      </c>
      <c r="AF40" s="219">
        <f>AE40</f>
        <v>1.7855620205349352</v>
      </c>
      <c r="AG40" s="219">
        <f>AF40</f>
        <v>1.7855620205349352</v>
      </c>
      <c r="AH40" s="219">
        <f>AG40</f>
        <v>1.7855620205349352</v>
      </c>
      <c r="AI40" s="214">
        <v>1.84</v>
      </c>
      <c r="AJ40" s="214">
        <v>1.8400000000000003</v>
      </c>
      <c r="AK40" s="232">
        <f>AJ40</f>
        <v>1.8400000000000003</v>
      </c>
      <c r="AL40" s="232">
        <f>AK40</f>
        <v>1.8400000000000003</v>
      </c>
      <c r="AM40" s="214">
        <v>1.59</v>
      </c>
      <c r="AN40" s="216">
        <v>1.5633333333333332</v>
      </c>
      <c r="AO40" s="216">
        <v>1.608716447368421</v>
      </c>
      <c r="AP40" s="216">
        <v>1.5922413907284769</v>
      </c>
      <c r="AQ40" s="216">
        <v>1.5169598684210528</v>
      </c>
      <c r="AR40" s="216">
        <v>1.5236133771929823</v>
      </c>
      <c r="AS40" s="214">
        <v>1.55</v>
      </c>
      <c r="AT40" s="214">
        <v>1.62</v>
      </c>
      <c r="AU40" s="214">
        <v>1.52</v>
      </c>
      <c r="AV40" s="214">
        <v>1.52</v>
      </c>
      <c r="AW40" s="214">
        <v>1.52</v>
      </c>
      <c r="AX40" s="214">
        <v>1.52</v>
      </c>
      <c r="AY40" s="214">
        <v>1.52</v>
      </c>
      <c r="AZ40" s="214">
        <v>1.54</v>
      </c>
      <c r="BA40" s="214">
        <v>1.54</v>
      </c>
      <c r="BB40" s="214">
        <v>1.54</v>
      </c>
      <c r="BC40" s="214">
        <v>1.54</v>
      </c>
      <c r="BD40" s="214">
        <v>1.46</v>
      </c>
      <c r="BE40" s="214">
        <v>1.46</v>
      </c>
      <c r="BF40" s="214">
        <v>1.46</v>
      </c>
      <c r="BG40" s="214">
        <v>1.46</v>
      </c>
      <c r="BH40" s="214">
        <v>1.46</v>
      </c>
      <c r="BI40" s="214">
        <v>1.46</v>
      </c>
      <c r="BJ40" s="214">
        <v>1.45</v>
      </c>
      <c r="BK40" s="214">
        <v>1.55</v>
      </c>
      <c r="BL40" s="214">
        <v>1.55</v>
      </c>
      <c r="BM40" s="214">
        <v>1.55</v>
      </c>
      <c r="BN40" s="214">
        <v>1.55</v>
      </c>
      <c r="BO40" s="214">
        <v>1.45</v>
      </c>
      <c r="BP40" s="214">
        <v>1.45</v>
      </c>
      <c r="BQ40" s="214">
        <v>1.45</v>
      </c>
      <c r="BR40" s="214">
        <v>1.45</v>
      </c>
      <c r="BS40" s="214">
        <v>1.45</v>
      </c>
      <c r="BT40" s="214">
        <v>1.5</v>
      </c>
      <c r="BU40" s="214">
        <v>1.5</v>
      </c>
      <c r="BV40" s="214">
        <v>1.5</v>
      </c>
      <c r="BW40" s="214">
        <v>1.5</v>
      </c>
      <c r="BX40" s="214">
        <v>1.5</v>
      </c>
      <c r="BY40" s="214">
        <v>1.5</v>
      </c>
      <c r="BZ40" s="214">
        <v>1.5</v>
      </c>
      <c r="CA40" s="214">
        <v>1.5</v>
      </c>
      <c r="CB40" s="214">
        <v>1.5</v>
      </c>
      <c r="CC40" s="214">
        <v>1.5</v>
      </c>
      <c r="CD40" s="214">
        <v>1.5</v>
      </c>
      <c r="CE40" s="214">
        <v>1.5</v>
      </c>
      <c r="CF40" s="214">
        <v>1.5</v>
      </c>
      <c r="CG40" s="214">
        <v>1.5</v>
      </c>
      <c r="CH40" s="214">
        <v>1.5</v>
      </c>
      <c r="CI40" s="214">
        <v>1.5</v>
      </c>
      <c r="CJ40" s="214">
        <v>1.5</v>
      </c>
      <c r="CK40" s="214">
        <v>1.5</v>
      </c>
      <c r="CL40" s="214">
        <v>1.5</v>
      </c>
      <c r="CM40" s="214">
        <v>1.5</v>
      </c>
      <c r="CN40" s="214">
        <v>1.5</v>
      </c>
      <c r="CO40" s="214">
        <v>1.5</v>
      </c>
      <c r="CP40" s="214">
        <v>1.56</v>
      </c>
      <c r="CQ40" s="214">
        <v>1.6</v>
      </c>
      <c r="CR40" s="214">
        <v>1.6</v>
      </c>
      <c r="CS40" s="214">
        <v>1.6</v>
      </c>
      <c r="CT40" s="214">
        <v>1.6</v>
      </c>
      <c r="CU40" s="214">
        <v>1.6</v>
      </c>
      <c r="CV40" s="214">
        <v>1.6</v>
      </c>
      <c r="CW40" s="214">
        <v>1.6</v>
      </c>
      <c r="CX40" s="214">
        <v>1.6</v>
      </c>
      <c r="CY40" s="214">
        <v>1.6</v>
      </c>
      <c r="CZ40" s="214">
        <v>1.81</v>
      </c>
      <c r="DA40" s="214">
        <v>1.8</v>
      </c>
      <c r="DB40" s="214">
        <v>1.8</v>
      </c>
      <c r="DC40" s="214">
        <v>1.8</v>
      </c>
      <c r="DD40" s="214">
        <v>1.8</v>
      </c>
      <c r="DE40" s="214">
        <v>1.79</v>
      </c>
      <c r="DF40" s="214">
        <v>1.79</v>
      </c>
      <c r="DG40" s="214">
        <v>1.56</v>
      </c>
      <c r="DH40" s="214">
        <v>1.56</v>
      </c>
      <c r="DI40" s="214">
        <v>1.56</v>
      </c>
      <c r="DJ40" s="214">
        <v>1.63</v>
      </c>
      <c r="DK40" s="214">
        <v>1.58</v>
      </c>
      <c r="DL40" s="214">
        <v>1.58</v>
      </c>
      <c r="DM40" s="214">
        <v>1.58</v>
      </c>
      <c r="DN40" s="214">
        <v>1.58</v>
      </c>
      <c r="DO40" s="214">
        <v>1.58</v>
      </c>
      <c r="DP40" s="214">
        <v>1.58</v>
      </c>
      <c r="DQ40" s="178"/>
      <c r="DR40" s="178"/>
    </row>
    <row r="41" spans="1:122 16384:16384">
      <c r="A41" s="178" t="str">
        <f t="shared" si="0"/>
        <v>Hydrochloric acidUSD</v>
      </c>
      <c r="B41" s="178" t="s">
        <v>41</v>
      </c>
      <c r="C41" s="178" t="s">
        <v>58</v>
      </c>
      <c r="D41" s="178" t="s">
        <v>33</v>
      </c>
      <c r="E41" s="178" t="s">
        <v>34</v>
      </c>
      <c r="F41" s="216">
        <f t="shared" ref="F41:AK41" si="27">F19/F1</f>
        <v>4.2082443851499292E-2</v>
      </c>
      <c r="G41" s="216">
        <f t="shared" si="27"/>
        <v>4.1927866431118795E-2</v>
      </c>
      <c r="H41" s="216">
        <f t="shared" si="27"/>
        <v>4.0293873182269707E-2</v>
      </c>
      <c r="I41" s="216">
        <f t="shared" si="27"/>
        <v>3.9343426408514334E-2</v>
      </c>
      <c r="J41" s="216">
        <f t="shared" si="27"/>
        <v>3.9668766651551307E-2</v>
      </c>
      <c r="K41" s="216">
        <f t="shared" si="27"/>
        <v>3.9606114550388739E-2</v>
      </c>
      <c r="L41" s="216">
        <f t="shared" si="27"/>
        <v>4.0040446878941899E-2</v>
      </c>
      <c r="M41" s="216">
        <f t="shared" si="27"/>
        <v>4.0221543722742607E-2</v>
      </c>
      <c r="N41" s="216">
        <f t="shared" si="27"/>
        <v>4.0797531912509413E-2</v>
      </c>
      <c r="O41" s="216">
        <f t="shared" si="27"/>
        <v>4.0806798675929075E-2</v>
      </c>
      <c r="P41" s="216">
        <f t="shared" si="27"/>
        <v>4.0413730627846631E-2</v>
      </c>
      <c r="Q41" s="216">
        <f t="shared" si="27"/>
        <v>4.068802678279676E-2</v>
      </c>
      <c r="R41" s="216">
        <f t="shared" si="27"/>
        <v>4.1022836045398609E-2</v>
      </c>
      <c r="S41" s="216">
        <f t="shared" si="27"/>
        <v>4.1208791208791208E-2</v>
      </c>
      <c r="T41" s="216">
        <f t="shared" si="27"/>
        <v>4.1208791208791208E-2</v>
      </c>
      <c r="U41" s="216">
        <f t="shared" si="27"/>
        <v>4.0295500335795834E-2</v>
      </c>
      <c r="V41" s="216">
        <f t="shared" si="27"/>
        <v>4.0955631399317405E-2</v>
      </c>
      <c r="W41" s="216">
        <f t="shared" si="27"/>
        <v>4.0794125645906988E-2</v>
      </c>
      <c r="X41" s="216">
        <f t="shared" si="27"/>
        <v>4.0252247417147453E-2</v>
      </c>
      <c r="Y41" s="216">
        <f t="shared" si="27"/>
        <v>4.0453074433656963E-2</v>
      </c>
      <c r="Z41" s="216">
        <f t="shared" si="27"/>
        <v>4.0788579197824609E-2</v>
      </c>
      <c r="AA41" s="216">
        <f t="shared" si="27"/>
        <v>4.0048057669203045E-2</v>
      </c>
      <c r="AB41" s="216">
        <f t="shared" si="27"/>
        <v>4.0284678393984155E-2</v>
      </c>
      <c r="AC41" s="216">
        <f t="shared" si="27"/>
        <v>3.9777247414478918E-2</v>
      </c>
      <c r="AD41" s="216">
        <f t="shared" si="27"/>
        <v>4.0295500335795834E-2</v>
      </c>
      <c r="AE41" s="216">
        <f t="shared" si="27"/>
        <v>4.0021344717182501E-2</v>
      </c>
      <c r="AF41" s="216">
        <f t="shared" si="27"/>
        <v>3.9364912741110092E-2</v>
      </c>
      <c r="AG41" s="216">
        <f t="shared" si="27"/>
        <v>3.926160695794198E-2</v>
      </c>
      <c r="AH41" s="216">
        <f t="shared" si="27"/>
        <v>3.8800156881967661E-2</v>
      </c>
      <c r="AI41" s="216">
        <f t="shared" si="27"/>
        <v>3.8424799784960856E-2</v>
      </c>
      <c r="AJ41" s="216">
        <f t="shared" si="27"/>
        <v>3.768770721509021E-2</v>
      </c>
      <c r="AK41" s="216">
        <f t="shared" si="27"/>
        <v>3.7713584600789135E-2</v>
      </c>
      <c r="AL41" s="216">
        <f t="shared" ref="AL41:AV41" si="28">AL19/AL1</f>
        <v>3.739177206519629E-2</v>
      </c>
      <c r="AM41" s="216">
        <f t="shared" si="28"/>
        <v>3.6434245194778475E-2</v>
      </c>
      <c r="AN41" s="216">
        <f t="shared" si="28"/>
        <v>3.6670101044754461E-2</v>
      </c>
      <c r="AO41" s="216">
        <f t="shared" si="28"/>
        <v>3.637941681259315E-2</v>
      </c>
      <c r="AP41" s="216">
        <f t="shared" si="28"/>
        <v>3.6630219791784532E-2</v>
      </c>
      <c r="AQ41" s="216">
        <f t="shared" si="28"/>
        <v>3.6531170525677455E-2</v>
      </c>
      <c r="AR41" s="216">
        <f t="shared" si="28"/>
        <v>3.6531170525677455E-2</v>
      </c>
      <c r="AS41" s="216">
        <f t="shared" si="28"/>
        <v>3.6531170525677455E-2</v>
      </c>
      <c r="AT41" s="216">
        <f t="shared" si="28"/>
        <v>3.6531170525677455E-2</v>
      </c>
      <c r="AU41" s="216">
        <f t="shared" si="28"/>
        <v>3.6363636363636362E-2</v>
      </c>
      <c r="AV41" s="216">
        <f t="shared" si="28"/>
        <v>3.6390101892285302E-2</v>
      </c>
      <c r="AW41" s="216">
        <f t="shared" ref="AW41:DH41" si="29">AW19/AW1</f>
        <v>3.6505232416646383E-2</v>
      </c>
      <c r="AX41" s="216">
        <f t="shared" si="29"/>
        <v>3.662109375E-2</v>
      </c>
      <c r="AY41" s="216">
        <f t="shared" si="29"/>
        <v>3.6469730123997082E-2</v>
      </c>
      <c r="AZ41" s="216">
        <f t="shared" si="29"/>
        <v>3.6218761318362915E-2</v>
      </c>
      <c r="BA41" s="216">
        <f t="shared" si="29"/>
        <v>3.6036036036036036E-2</v>
      </c>
      <c r="BB41" s="216">
        <f t="shared" si="29"/>
        <v>3.6036036036036036E-2</v>
      </c>
      <c r="BC41" s="216">
        <f t="shared" si="29"/>
        <v>3.6297640653357527E-2</v>
      </c>
      <c r="BD41" s="216">
        <f t="shared" si="29"/>
        <v>3.6122817579771226E-2</v>
      </c>
      <c r="BE41" s="216">
        <f t="shared" si="29"/>
        <v>3.6170725825898239E-2</v>
      </c>
      <c r="BF41" s="216">
        <f t="shared" si="29"/>
        <v>3.6175087423127937E-2</v>
      </c>
      <c r="BG41" s="216">
        <f t="shared" si="29"/>
        <v>3.6031707902954596E-2</v>
      </c>
      <c r="BH41" s="216">
        <f t="shared" si="29"/>
        <v>3.6049026676279738E-2</v>
      </c>
      <c r="BI41" s="216">
        <f t="shared" si="29"/>
        <v>3.6036036036036036E-2</v>
      </c>
      <c r="BJ41" s="216">
        <f t="shared" si="29"/>
        <v>3.6092396535129932E-2</v>
      </c>
      <c r="BK41" s="216">
        <f t="shared" si="29"/>
        <v>3.6031707902954596E-2</v>
      </c>
      <c r="BL41" s="216">
        <f t="shared" si="29"/>
        <v>3.6049026676279738E-2</v>
      </c>
      <c r="BM41" s="216">
        <f t="shared" si="29"/>
        <v>3.6062026685899751E-2</v>
      </c>
      <c r="BN41" s="216">
        <f t="shared" si="29"/>
        <v>3.6062026685899751E-2</v>
      </c>
      <c r="BO41" s="216">
        <f t="shared" si="29"/>
        <v>3.6001440057602307E-2</v>
      </c>
      <c r="BP41" s="216">
        <f t="shared" si="29"/>
        <v>3.5971223021582732E-2</v>
      </c>
      <c r="BQ41" s="216">
        <f t="shared" si="29"/>
        <v>3.5988483685220729E-2</v>
      </c>
      <c r="BR41" s="216">
        <f t="shared" si="29"/>
        <v>3.6040365209034121E-2</v>
      </c>
      <c r="BS41" s="216">
        <f t="shared" si="29"/>
        <v>3.6005760921747482E-2</v>
      </c>
      <c r="BT41" s="216">
        <f t="shared" si="29"/>
        <v>3.6083714216983399E-2</v>
      </c>
      <c r="BU41" s="216">
        <f t="shared" si="29"/>
        <v>3.6079374624173176E-2</v>
      </c>
      <c r="BV41" s="216">
        <f t="shared" si="29"/>
        <v>3.6036036036036036E-2</v>
      </c>
      <c r="BW41" s="216">
        <f t="shared" si="29"/>
        <v>3.6118468576932336E-2</v>
      </c>
      <c r="BX41" s="216">
        <f t="shared" si="29"/>
        <v>3.614457831325301E-2</v>
      </c>
      <c r="BY41" s="216">
        <f t="shared" si="29"/>
        <v>3.6140224069389229E-2</v>
      </c>
      <c r="BZ41" s="216">
        <f t="shared" si="29"/>
        <v>3.6188178528347402E-2</v>
      </c>
      <c r="CA41" s="216">
        <f t="shared" si="29"/>
        <v>3.6188178528347402E-2</v>
      </c>
      <c r="CB41" s="216">
        <f t="shared" si="29"/>
        <v>3.6275695284159609E-2</v>
      </c>
      <c r="CC41" s="216">
        <f t="shared" si="29"/>
        <v>3.6249395843402608E-2</v>
      </c>
      <c r="CD41" s="216">
        <f t="shared" si="29"/>
        <v>3.6031707902954596E-2</v>
      </c>
      <c r="CE41" s="216">
        <f t="shared" si="29"/>
        <v>3.5975536635088137E-2</v>
      </c>
      <c r="CF41" s="216">
        <f t="shared" si="29"/>
        <v>3.6053358971277497E-2</v>
      </c>
      <c r="CG41" s="216">
        <f t="shared" si="29"/>
        <v>3.5971223021582732E-2</v>
      </c>
      <c r="CH41" s="216">
        <f t="shared" si="29"/>
        <v>3.5880875493362038E-2</v>
      </c>
      <c r="CI41" s="216">
        <f t="shared" si="29"/>
        <v>3.5962598897146966E-2</v>
      </c>
      <c r="CJ41" s="216">
        <f t="shared" si="29"/>
        <v>3.5928143712574849E-2</v>
      </c>
      <c r="CK41" s="216">
        <f t="shared" si="29"/>
        <v>3.5992801439712063E-2</v>
      </c>
      <c r="CL41" s="216">
        <f t="shared" si="29"/>
        <v>3.5992801439712063E-2</v>
      </c>
      <c r="CM41" s="216">
        <f t="shared" si="29"/>
        <v>3.5992801439712063E-2</v>
      </c>
      <c r="CN41" s="216">
        <f t="shared" si="29"/>
        <v>3.5992801439712063E-2</v>
      </c>
      <c r="CO41" s="216">
        <f t="shared" si="29"/>
        <v>3.5761115746811303E-2</v>
      </c>
      <c r="CP41" s="216">
        <f t="shared" si="29"/>
        <v>3.5971223021582732E-2</v>
      </c>
      <c r="CQ41" s="216">
        <f t="shared" si="29"/>
        <v>3.5928143712574849E-2</v>
      </c>
      <c r="CR41" s="216">
        <f t="shared" si="29"/>
        <v>3.5949670461354104E-2</v>
      </c>
      <c r="CS41" s="216">
        <f t="shared" si="29"/>
        <v>3.5941056667066013E-2</v>
      </c>
      <c r="CT41" s="216">
        <f t="shared" si="29"/>
        <v>3.5906642728904849E-2</v>
      </c>
      <c r="CU41" s="216">
        <f t="shared" si="29"/>
        <v>3.5842293906810034E-2</v>
      </c>
      <c r="CV41" s="216">
        <f t="shared" si="29"/>
        <v>3.5829451809387312E-2</v>
      </c>
      <c r="CW41" s="216">
        <f t="shared" si="29"/>
        <v>3.5735556879094701E-2</v>
      </c>
      <c r="CX41" s="216">
        <f t="shared" si="29"/>
        <v>3.573130061934255E-2</v>
      </c>
      <c r="CY41" s="216">
        <f t="shared" si="29"/>
        <v>3.5756853396901073E-2</v>
      </c>
      <c r="CZ41" s="216">
        <f t="shared" si="29"/>
        <v>3.5761115746811303E-2</v>
      </c>
      <c r="DA41" s="216">
        <f t="shared" si="29"/>
        <v>3.573130061934255E-2</v>
      </c>
      <c r="DB41" s="216">
        <f t="shared" si="29"/>
        <v>3.573130061934255E-2</v>
      </c>
      <c r="DC41" s="216">
        <f t="shared" si="29"/>
        <v>3.5893754486719311E-2</v>
      </c>
      <c r="DD41" s="216">
        <f t="shared" si="29"/>
        <v>3.5859431030360989E-2</v>
      </c>
      <c r="DE41" s="216">
        <f t="shared" si="29"/>
        <v>3.5727045373347623E-2</v>
      </c>
      <c r="DF41" s="216">
        <f t="shared" si="29"/>
        <v>3.5684548590460337E-2</v>
      </c>
      <c r="DG41" s="216">
        <f t="shared" si="29"/>
        <v>3.5684548590460337E-2</v>
      </c>
      <c r="DH41" s="216">
        <f t="shared" si="29"/>
        <v>3.5680304471931497E-2</v>
      </c>
      <c r="DI41" s="216">
        <f t="shared" ref="DI41:DP41" si="30">DI19/DI1</f>
        <v>3.5663338088445073E-2</v>
      </c>
      <c r="DJ41" s="216">
        <f t="shared" si="30"/>
        <v>3.5545023696682464E-2</v>
      </c>
      <c r="DK41" s="216">
        <f t="shared" si="30"/>
        <v>3.55998576005696E-2</v>
      </c>
      <c r="DL41" s="216">
        <f t="shared" si="30"/>
        <v>3.5448422545196742E-2</v>
      </c>
      <c r="DM41" s="216">
        <f t="shared" si="30"/>
        <v>3.5423308537017362E-2</v>
      </c>
      <c r="DN41" s="216">
        <f t="shared" si="30"/>
        <v>3.5364847341742306E-2</v>
      </c>
      <c r="DO41" s="216">
        <f t="shared" si="30"/>
        <v>3.5327366933584549E-2</v>
      </c>
      <c r="DP41" s="216">
        <f t="shared" si="30"/>
        <v>3.521953510213665E-2</v>
      </c>
      <c r="DQ41" s="178"/>
      <c r="DR41" s="178"/>
    </row>
    <row r="42" spans="1:122 16384:16384">
      <c r="A42" s="178" t="str">
        <f t="shared" si="0"/>
        <v>BARIUM HYDROXIDE USD</v>
      </c>
      <c r="B42" s="178" t="s">
        <v>56</v>
      </c>
      <c r="C42" s="178" t="s">
        <v>75</v>
      </c>
      <c r="D42" s="178" t="s">
        <v>33</v>
      </c>
      <c r="E42" s="178" t="s">
        <v>34</v>
      </c>
      <c r="F42" s="216">
        <v>1.3258295268223861</v>
      </c>
      <c r="G42" s="216">
        <v>0.8980356447585468</v>
      </c>
      <c r="H42" s="216">
        <f>G42</f>
        <v>0.8980356447585468</v>
      </c>
      <c r="I42" s="216">
        <v>1.2007061613044094</v>
      </c>
      <c r="J42" s="216">
        <v>1.3665422078198071</v>
      </c>
      <c r="K42" s="216">
        <v>0.9341097406689971</v>
      </c>
      <c r="L42" s="216">
        <f>K42</f>
        <v>0.9341097406689971</v>
      </c>
      <c r="M42" s="216">
        <f>L42</f>
        <v>0.9341097406689971</v>
      </c>
      <c r="N42" s="216">
        <v>0.90596743771546751</v>
      </c>
      <c r="O42" s="216">
        <v>1.0686235654101559</v>
      </c>
      <c r="P42" s="216">
        <v>1.2645829874780437</v>
      </c>
      <c r="Q42" s="216">
        <v>1.5350103725494681</v>
      </c>
      <c r="R42" s="216">
        <v>1.5188086045228903</v>
      </c>
      <c r="S42" s="216">
        <v>1.6590987052092743</v>
      </c>
      <c r="T42" s="216">
        <v>1.5053900412208738</v>
      </c>
      <c r="U42" s="216">
        <v>1.0326923076923076</v>
      </c>
      <c r="V42" s="216">
        <v>2.2770819184982991</v>
      </c>
      <c r="W42" s="216">
        <v>3.4136045159847974</v>
      </c>
      <c r="X42" s="216">
        <v>1.8079052836273952</v>
      </c>
      <c r="Y42" s="216">
        <v>6.662234042553191</v>
      </c>
      <c r="Z42" s="216">
        <v>6.841982234689107</v>
      </c>
      <c r="AA42" s="216">
        <f>Z42</f>
        <v>6.841982234689107</v>
      </c>
      <c r="AB42" s="216">
        <v>1.9895856049039715</v>
      </c>
      <c r="AC42" s="216">
        <v>3.9092686429512513</v>
      </c>
      <c r="AD42" s="216">
        <v>2.9185750320421997</v>
      </c>
      <c r="AE42" s="216">
        <v>5.9753004555389841</v>
      </c>
      <c r="AF42" s="216">
        <v>2.0443297008235293</v>
      </c>
      <c r="AG42" s="216">
        <f>AF42</f>
        <v>2.0443297008235293</v>
      </c>
      <c r="AH42" s="216">
        <v>3.5169099337748344</v>
      </c>
      <c r="AI42" s="216">
        <v>1.7459268874172182</v>
      </c>
      <c r="AJ42" s="216">
        <v>5.5940907216494846</v>
      </c>
      <c r="AK42" s="216">
        <v>3.8175414814814812</v>
      </c>
      <c r="AL42" s="216">
        <v>1.48</v>
      </c>
      <c r="AM42" s="216">
        <v>1.4531782347428193</v>
      </c>
      <c r="AN42" s="216">
        <v>1.4138798305084745</v>
      </c>
      <c r="AO42" s="216">
        <v>5.6951200000000002</v>
      </c>
      <c r="AP42" s="216">
        <v>1.0877919298245613</v>
      </c>
      <c r="AQ42" s="216">
        <v>1.2935606741573034</v>
      </c>
      <c r="AR42" s="216">
        <v>1.2963307142857143</v>
      </c>
      <c r="AS42" s="214">
        <v>0.84</v>
      </c>
      <c r="AT42" s="214">
        <v>0.84</v>
      </c>
      <c r="AU42" s="214">
        <v>0.84</v>
      </c>
      <c r="AV42" s="214">
        <v>0.84</v>
      </c>
      <c r="AW42" s="214">
        <v>0.84</v>
      </c>
      <c r="AX42" s="214">
        <v>0.84</v>
      </c>
      <c r="AY42" s="214">
        <v>0.84</v>
      </c>
      <c r="AZ42" s="214">
        <v>0.84</v>
      </c>
      <c r="BA42" s="214">
        <v>0.84</v>
      </c>
      <c r="BB42" s="214">
        <v>0.84</v>
      </c>
      <c r="BC42" s="214">
        <v>0.84</v>
      </c>
      <c r="BD42" s="214">
        <v>0.84</v>
      </c>
      <c r="BE42" s="214">
        <v>0.84</v>
      </c>
      <c r="BF42" s="214">
        <v>0.84</v>
      </c>
      <c r="BG42" s="214">
        <v>0.84</v>
      </c>
      <c r="BH42" s="214">
        <v>0.84</v>
      </c>
      <c r="BI42" s="214">
        <v>0.84</v>
      </c>
      <c r="BJ42" s="214">
        <v>0.84</v>
      </c>
      <c r="BK42" s="214">
        <v>0.84</v>
      </c>
      <c r="BL42" s="214">
        <v>0.84</v>
      </c>
      <c r="BM42" s="214">
        <v>0.84</v>
      </c>
      <c r="BN42" s="214">
        <v>0.84</v>
      </c>
      <c r="BO42" s="214">
        <v>0.84</v>
      </c>
      <c r="BP42" s="214">
        <v>0.84</v>
      </c>
      <c r="BQ42" s="214">
        <v>0.84</v>
      </c>
      <c r="BR42" s="214">
        <v>0.84</v>
      </c>
      <c r="BS42" s="214">
        <v>0.84</v>
      </c>
      <c r="BT42" s="214">
        <v>0.84</v>
      </c>
      <c r="BU42" s="214">
        <v>0.84</v>
      </c>
      <c r="BV42" s="214">
        <v>0.84</v>
      </c>
      <c r="BW42" s="214">
        <v>0.84</v>
      </c>
      <c r="BX42" s="214">
        <v>0.84</v>
      </c>
      <c r="BY42" s="214">
        <v>0.84</v>
      </c>
      <c r="BZ42" s="214">
        <v>0.84</v>
      </c>
      <c r="CA42" s="214">
        <v>0.84</v>
      </c>
      <c r="CB42" s="214">
        <v>0.84</v>
      </c>
      <c r="CC42" s="214">
        <v>0.84</v>
      </c>
      <c r="CD42" s="214">
        <v>0.84</v>
      </c>
      <c r="CE42" s="214">
        <v>0.84</v>
      </c>
      <c r="CF42" s="214">
        <v>0.84</v>
      </c>
      <c r="CG42" s="214">
        <v>0.84</v>
      </c>
      <c r="CH42" s="214">
        <v>0.84</v>
      </c>
      <c r="CI42" s="214">
        <v>0.84</v>
      </c>
      <c r="CJ42" s="214">
        <v>0.84</v>
      </c>
      <c r="CK42" s="214">
        <v>0.84</v>
      </c>
      <c r="CL42" s="214">
        <v>0.84</v>
      </c>
      <c r="CM42" s="214">
        <v>0.84</v>
      </c>
      <c r="CN42" s="214">
        <v>0.84</v>
      </c>
      <c r="CO42" s="214">
        <v>0.84</v>
      </c>
      <c r="CP42" s="214">
        <v>0.84</v>
      </c>
      <c r="CQ42" s="214">
        <v>0.84</v>
      </c>
      <c r="CR42" s="214">
        <v>0.84</v>
      </c>
      <c r="CS42" s="214">
        <v>0.84</v>
      </c>
      <c r="CT42" s="214">
        <v>0.84</v>
      </c>
      <c r="CU42" s="214">
        <v>0.84</v>
      </c>
      <c r="CV42" s="214">
        <v>0.84</v>
      </c>
      <c r="CW42" s="214">
        <v>0.84</v>
      </c>
      <c r="CX42" s="214">
        <v>0.84</v>
      </c>
      <c r="CY42" s="214">
        <v>0.84</v>
      </c>
      <c r="CZ42" s="214">
        <v>0.81</v>
      </c>
      <c r="DA42" s="214">
        <v>0.81</v>
      </c>
      <c r="DB42" s="214">
        <v>0.81</v>
      </c>
      <c r="DC42" s="214">
        <v>0.81</v>
      </c>
      <c r="DD42" s="214">
        <v>0.81</v>
      </c>
      <c r="DE42" s="214">
        <v>0.81</v>
      </c>
      <c r="DF42" s="214">
        <v>0.81</v>
      </c>
      <c r="DG42" s="214">
        <v>0.81</v>
      </c>
      <c r="DH42" s="214">
        <v>0.81</v>
      </c>
      <c r="DI42" s="214">
        <v>0.81</v>
      </c>
      <c r="DJ42" s="214">
        <v>0.81</v>
      </c>
      <c r="DK42" s="214">
        <v>0.81</v>
      </c>
      <c r="DL42" s="214">
        <v>0.81</v>
      </c>
      <c r="DM42" s="214">
        <v>0.81</v>
      </c>
      <c r="DN42" s="214">
        <v>1.44</v>
      </c>
      <c r="DO42" s="214">
        <v>1.44</v>
      </c>
      <c r="DP42" s="214">
        <v>1.44</v>
      </c>
      <c r="DQ42" s="178"/>
      <c r="DR42" s="178"/>
    </row>
    <row r="43" spans="1:122 16384:16384">
      <c r="A43" s="178" t="str">
        <f t="shared" si="0"/>
        <v>ButadieneUSD</v>
      </c>
      <c r="B43" s="178" t="s">
        <v>76</v>
      </c>
      <c r="C43" s="178" t="s">
        <v>77</v>
      </c>
      <c r="D43" s="178" t="s">
        <v>33</v>
      </c>
      <c r="E43" s="178" t="s">
        <v>32</v>
      </c>
      <c r="F43" s="214">
        <v>897</v>
      </c>
      <c r="G43" s="214">
        <v>850</v>
      </c>
      <c r="H43" s="214">
        <v>700</v>
      </c>
      <c r="I43" s="214">
        <v>300</v>
      </c>
      <c r="J43" s="214">
        <v>250</v>
      </c>
      <c r="K43" s="214">
        <v>278</v>
      </c>
      <c r="L43" s="214">
        <v>350</v>
      </c>
      <c r="M43" s="214">
        <v>530</v>
      </c>
      <c r="N43" s="214">
        <v>680</v>
      </c>
      <c r="O43" s="214">
        <v>825</v>
      </c>
      <c r="P43" s="214">
        <v>1230</v>
      </c>
      <c r="Q43" s="214">
        <v>1150</v>
      </c>
      <c r="R43" s="214">
        <v>740</v>
      </c>
      <c r="S43" s="214">
        <v>750</v>
      </c>
      <c r="T43" s="214">
        <v>1050</v>
      </c>
      <c r="U43" s="214">
        <v>950</v>
      </c>
      <c r="V43" s="214">
        <v>950</v>
      </c>
      <c r="W43" s="214">
        <v>1150</v>
      </c>
      <c r="X43" s="214">
        <v>1350</v>
      </c>
      <c r="Y43" s="214">
        <v>1550</v>
      </c>
      <c r="Z43" s="214">
        <v>920</v>
      </c>
      <c r="AA43" s="214">
        <v>750</v>
      </c>
      <c r="AB43" s="214">
        <v>740</v>
      </c>
      <c r="AC43" s="214">
        <v>600</v>
      </c>
      <c r="AD43" s="214">
        <v>750</v>
      </c>
      <c r="AE43" s="215">
        <v>983.33333333333337</v>
      </c>
      <c r="AF43" s="215">
        <v>1300</v>
      </c>
      <c r="AG43" s="215">
        <v>1384</v>
      </c>
      <c r="AH43" s="215">
        <v>1335</v>
      </c>
      <c r="AI43" s="215">
        <v>1466.6666666666667</v>
      </c>
      <c r="AJ43" s="215">
        <v>1272.5</v>
      </c>
      <c r="AK43" s="215">
        <v>946.66666666666663</v>
      </c>
      <c r="AL43" s="215">
        <v>802.5</v>
      </c>
      <c r="AM43" s="215">
        <v>720</v>
      </c>
      <c r="AN43" s="215">
        <v>680</v>
      </c>
      <c r="AO43" s="214">
        <v>730</v>
      </c>
      <c r="AP43" s="214">
        <v>850</v>
      </c>
      <c r="AQ43" s="214">
        <v>1130</v>
      </c>
      <c r="AR43" s="214">
        <v>1100</v>
      </c>
      <c r="AS43" s="214">
        <v>1000</v>
      </c>
      <c r="AT43" s="214">
        <v>890</v>
      </c>
      <c r="AU43" s="214">
        <v>560</v>
      </c>
      <c r="AV43" s="214">
        <v>558</v>
      </c>
      <c r="AW43" s="214">
        <v>620</v>
      </c>
      <c r="AX43" s="214">
        <v>630</v>
      </c>
      <c r="AY43" s="214">
        <v>630</v>
      </c>
      <c r="AZ43" s="214">
        <v>660</v>
      </c>
      <c r="BA43" s="214">
        <v>710</v>
      </c>
      <c r="BB43" s="214">
        <v>760</v>
      </c>
      <c r="BC43" s="214">
        <v>800</v>
      </c>
      <c r="BD43" s="214">
        <v>840</v>
      </c>
      <c r="BE43" s="214">
        <v>930</v>
      </c>
      <c r="BF43" s="214">
        <v>1000</v>
      </c>
      <c r="BG43" s="214">
        <v>1010</v>
      </c>
      <c r="BH43" s="214">
        <v>1010</v>
      </c>
      <c r="BI43" s="214">
        <v>1010</v>
      </c>
      <c r="BJ43" s="214">
        <v>1010</v>
      </c>
      <c r="BK43" s="214">
        <v>988</v>
      </c>
      <c r="BL43" s="214">
        <v>988</v>
      </c>
      <c r="BM43" s="214">
        <v>975</v>
      </c>
      <c r="BN43" s="214">
        <v>968</v>
      </c>
      <c r="BO43" s="214">
        <v>920</v>
      </c>
      <c r="BP43" s="214">
        <v>914</v>
      </c>
      <c r="BQ43" s="214">
        <v>888</v>
      </c>
      <c r="BR43" s="214">
        <v>879</v>
      </c>
      <c r="BS43" s="214">
        <v>879</v>
      </c>
      <c r="BT43" s="214">
        <v>928</v>
      </c>
      <c r="BU43" s="214">
        <v>1010</v>
      </c>
      <c r="BV43" s="214">
        <v>1025</v>
      </c>
      <c r="BW43" s="214">
        <v>1060</v>
      </c>
      <c r="BX43" s="214">
        <v>1090</v>
      </c>
      <c r="BY43" s="214">
        <v>1125</v>
      </c>
      <c r="BZ43" s="214">
        <v>1128</v>
      </c>
      <c r="CA43" s="214">
        <v>1198</v>
      </c>
      <c r="CB43" s="214">
        <v>1260</v>
      </c>
      <c r="CC43" s="214">
        <v>1320</v>
      </c>
      <c r="CD43" s="214">
        <v>1360</v>
      </c>
      <c r="CE43" s="214">
        <v>1415</v>
      </c>
      <c r="CF43" s="214">
        <v>1418</v>
      </c>
      <c r="CG43" s="214">
        <v>1418</v>
      </c>
      <c r="CH43" s="214">
        <v>1418</v>
      </c>
      <c r="CI43" s="214">
        <v>1403</v>
      </c>
      <c r="CJ43" s="214">
        <v>1398</v>
      </c>
      <c r="CK43" s="214">
        <v>1360</v>
      </c>
      <c r="CL43" s="214">
        <v>1360</v>
      </c>
      <c r="CM43" s="214">
        <v>1360</v>
      </c>
      <c r="CN43" s="214">
        <v>1325</v>
      </c>
      <c r="CO43" s="214">
        <v>1300</v>
      </c>
      <c r="CP43" s="214">
        <v>1400</v>
      </c>
      <c r="CQ43" s="214">
        <v>1462</v>
      </c>
      <c r="CR43" s="214">
        <v>1462</v>
      </c>
      <c r="CS43" s="214">
        <v>1462</v>
      </c>
      <c r="CT43" s="214">
        <v>1449</v>
      </c>
      <c r="CU43" s="214">
        <v>1449</v>
      </c>
      <c r="CV43" s="214">
        <v>1418</v>
      </c>
      <c r="CW43" s="214">
        <v>1418</v>
      </c>
      <c r="CX43" s="214">
        <v>1409</v>
      </c>
      <c r="CY43" s="214">
        <v>1380</v>
      </c>
      <c r="CZ43" s="214">
        <v>1380</v>
      </c>
      <c r="DA43" s="214">
        <v>1380</v>
      </c>
      <c r="DB43" s="214">
        <v>1418</v>
      </c>
      <c r="DC43" s="214">
        <v>1470</v>
      </c>
      <c r="DD43" s="214">
        <v>1468</v>
      </c>
      <c r="DE43" s="214">
        <v>1480</v>
      </c>
      <c r="DF43" s="214">
        <v>1458</v>
      </c>
      <c r="DG43" s="214">
        <v>1450</v>
      </c>
      <c r="DH43" s="214">
        <v>1390</v>
      </c>
      <c r="DI43" s="214">
        <v>1325</v>
      </c>
      <c r="DJ43" s="214">
        <v>1225</v>
      </c>
      <c r="DK43" s="214">
        <v>1049</v>
      </c>
      <c r="DL43" s="214">
        <v>1020</v>
      </c>
      <c r="DM43" s="214">
        <v>1020</v>
      </c>
      <c r="DN43" s="214">
        <v>1042</v>
      </c>
      <c r="DO43" s="214">
        <v>1100</v>
      </c>
      <c r="DP43" s="214">
        <v>1180</v>
      </c>
      <c r="DQ43" s="178"/>
      <c r="DR43" s="178"/>
    </row>
    <row r="44" spans="1:122 16384:16384">
      <c r="A44" s="178" t="str">
        <f t="shared" si="0"/>
        <v>N-ButanolUSD</v>
      </c>
      <c r="B44" s="178" t="s">
        <v>46</v>
      </c>
      <c r="C44" s="178" t="s">
        <v>78</v>
      </c>
      <c r="D44" s="178" t="s">
        <v>33</v>
      </c>
      <c r="E44" s="178" t="s">
        <v>32</v>
      </c>
      <c r="F44" s="215">
        <v>691.5</v>
      </c>
      <c r="G44" s="215">
        <v>666.25</v>
      </c>
      <c r="H44" s="215">
        <v>650</v>
      </c>
      <c r="I44" s="215">
        <v>603</v>
      </c>
      <c r="J44" s="215">
        <v>602.5</v>
      </c>
      <c r="K44" s="215">
        <v>612.5</v>
      </c>
      <c r="L44" s="215">
        <v>627</v>
      </c>
      <c r="M44" s="215">
        <v>617.5</v>
      </c>
      <c r="N44" s="215">
        <v>638.75</v>
      </c>
      <c r="O44" s="215">
        <v>696</v>
      </c>
      <c r="P44" s="215">
        <v>933.75</v>
      </c>
      <c r="Q44" s="215">
        <v>1078.75</v>
      </c>
      <c r="R44" s="215">
        <v>1238.75</v>
      </c>
      <c r="S44" s="215">
        <v>1370</v>
      </c>
      <c r="T44" s="215">
        <v>1862.5</v>
      </c>
      <c r="U44" s="215">
        <v>1655</v>
      </c>
      <c r="V44" s="215">
        <v>1793.75</v>
      </c>
      <c r="W44" s="215">
        <v>1843.75</v>
      </c>
      <c r="X44" s="215">
        <v>1880</v>
      </c>
      <c r="Y44" s="215">
        <v>1950</v>
      </c>
      <c r="Z44" s="215">
        <v>1940</v>
      </c>
      <c r="AA44" s="215">
        <v>1750</v>
      </c>
      <c r="AB44" s="215">
        <v>1662.5</v>
      </c>
      <c r="AC44" s="215">
        <v>1371.25</v>
      </c>
      <c r="AD44" s="215">
        <v>1275</v>
      </c>
      <c r="AE44" s="215">
        <v>1362.5</v>
      </c>
      <c r="AF44" s="215">
        <v>1470</v>
      </c>
      <c r="AG44" s="215">
        <v>1462.5</v>
      </c>
      <c r="AH44" s="215">
        <v>1487.5</v>
      </c>
      <c r="AI44" s="215">
        <v>1418</v>
      </c>
      <c r="AJ44" s="215">
        <v>1118.75</v>
      </c>
      <c r="AK44" s="215">
        <v>962.5</v>
      </c>
      <c r="AL44" s="215">
        <v>934</v>
      </c>
      <c r="AM44" s="215">
        <v>950</v>
      </c>
      <c r="AN44" s="214">
        <v>950</v>
      </c>
      <c r="AO44" s="214">
        <v>935</v>
      </c>
      <c r="AP44" s="215">
        <v>975</v>
      </c>
      <c r="AQ44" s="215">
        <v>1005</v>
      </c>
      <c r="AR44" s="215">
        <v>975</v>
      </c>
      <c r="AS44" s="214">
        <v>980</v>
      </c>
      <c r="AT44" s="214">
        <v>975</v>
      </c>
      <c r="AU44" s="214">
        <v>900</v>
      </c>
      <c r="AV44" s="214">
        <v>880</v>
      </c>
      <c r="AW44" s="214">
        <v>870</v>
      </c>
      <c r="AX44" s="214">
        <v>870</v>
      </c>
      <c r="AY44" s="214">
        <v>870</v>
      </c>
      <c r="AZ44" s="214">
        <v>890</v>
      </c>
      <c r="BA44" s="214">
        <v>900</v>
      </c>
      <c r="BB44" s="214">
        <v>900</v>
      </c>
      <c r="BC44" s="214">
        <v>900</v>
      </c>
      <c r="BD44" s="214">
        <v>1050</v>
      </c>
      <c r="BE44" s="214">
        <v>1050</v>
      </c>
      <c r="BF44" s="214">
        <v>1050</v>
      </c>
      <c r="BG44" s="214">
        <v>1050</v>
      </c>
      <c r="BH44" s="214">
        <v>1050</v>
      </c>
      <c r="BI44" s="214">
        <v>1075</v>
      </c>
      <c r="BJ44" s="214">
        <v>1050</v>
      </c>
      <c r="BK44" s="214">
        <v>1000</v>
      </c>
      <c r="BL44" s="214">
        <v>975</v>
      </c>
      <c r="BM44" s="214">
        <v>975</v>
      </c>
      <c r="BN44" s="214">
        <v>975</v>
      </c>
      <c r="BO44" s="214">
        <v>975</v>
      </c>
      <c r="BP44" s="214">
        <v>975</v>
      </c>
      <c r="BQ44" s="214">
        <v>975</v>
      </c>
      <c r="BR44" s="214">
        <v>1000</v>
      </c>
      <c r="BS44" s="214">
        <v>1000</v>
      </c>
      <c r="BT44" s="214">
        <v>1065</v>
      </c>
      <c r="BU44" s="214">
        <v>1085</v>
      </c>
      <c r="BV44" s="214">
        <v>1085</v>
      </c>
      <c r="BW44" s="214">
        <v>1085</v>
      </c>
      <c r="BX44" s="214">
        <v>1085</v>
      </c>
      <c r="BY44" s="214">
        <v>1085</v>
      </c>
      <c r="BZ44" s="214">
        <v>1085</v>
      </c>
      <c r="CA44" s="214">
        <v>1082.5</v>
      </c>
      <c r="CB44" s="214">
        <v>1082.5</v>
      </c>
      <c r="CC44" s="214">
        <v>1075</v>
      </c>
      <c r="CD44" s="214">
        <v>1030</v>
      </c>
      <c r="CE44" s="214">
        <v>1030</v>
      </c>
      <c r="CF44" s="214">
        <v>1047</v>
      </c>
      <c r="CG44" s="214">
        <v>1047</v>
      </c>
      <c r="CH44" s="214">
        <v>1047</v>
      </c>
      <c r="CI44" s="214">
        <v>1045</v>
      </c>
      <c r="CJ44" s="214">
        <v>1040</v>
      </c>
      <c r="CK44" s="214">
        <v>1067</v>
      </c>
      <c r="CL44" s="214">
        <v>1067</v>
      </c>
      <c r="CM44" s="214">
        <v>1067</v>
      </c>
      <c r="CN44" s="214">
        <v>1067</v>
      </c>
      <c r="CO44" s="214">
        <v>1067</v>
      </c>
      <c r="CP44" s="214">
        <v>1075</v>
      </c>
      <c r="CQ44" s="214">
        <v>1075</v>
      </c>
      <c r="CR44" s="214">
        <v>1075</v>
      </c>
      <c r="CS44" s="214">
        <v>1075</v>
      </c>
      <c r="CT44" s="214">
        <v>1075</v>
      </c>
      <c r="CU44" s="214">
        <v>1045</v>
      </c>
      <c r="CV44" s="214">
        <v>1025</v>
      </c>
      <c r="CW44" s="214">
        <v>1025</v>
      </c>
      <c r="CX44" s="214">
        <v>1025</v>
      </c>
      <c r="CY44" s="214">
        <v>1025</v>
      </c>
      <c r="CZ44" s="214">
        <v>990</v>
      </c>
      <c r="DA44" s="214">
        <v>940</v>
      </c>
      <c r="DB44" s="214">
        <v>940</v>
      </c>
      <c r="DC44" s="214">
        <v>940</v>
      </c>
      <c r="DD44" s="214">
        <v>940</v>
      </c>
      <c r="DE44" s="214">
        <v>940</v>
      </c>
      <c r="DF44" s="214">
        <v>900</v>
      </c>
      <c r="DG44" s="214">
        <v>910</v>
      </c>
      <c r="DH44" s="214">
        <v>910</v>
      </c>
      <c r="DI44" s="214">
        <v>905</v>
      </c>
      <c r="DJ44" s="214">
        <v>905</v>
      </c>
      <c r="DK44" s="214">
        <v>865</v>
      </c>
      <c r="DL44" s="214">
        <v>865</v>
      </c>
      <c r="DM44" s="214">
        <v>865</v>
      </c>
      <c r="DN44" s="214">
        <v>870</v>
      </c>
      <c r="DO44" s="214">
        <v>855</v>
      </c>
      <c r="DP44" s="214">
        <v>850</v>
      </c>
      <c r="DQ44" s="178"/>
      <c r="DR44" s="178"/>
    </row>
    <row r="45" spans="1:122 16384:16384" ht="12">
      <c r="A45" s="178" t="str">
        <f t="shared" si="0"/>
        <v>Titanium dioxideUSD</v>
      </c>
      <c r="B45" s="178" t="s">
        <v>56</v>
      </c>
      <c r="C45" s="273" t="s">
        <v>79</v>
      </c>
      <c r="D45" s="178" t="s">
        <v>33</v>
      </c>
      <c r="E45" s="178" t="s">
        <v>34</v>
      </c>
      <c r="F45" s="216">
        <v>2.5230209867466553</v>
      </c>
      <c r="G45" s="216">
        <v>2.5111390914826441</v>
      </c>
      <c r="H45" s="216">
        <v>2.4063918941798477</v>
      </c>
      <c r="I45" s="216">
        <v>2.5219003272078249</v>
      </c>
      <c r="J45" s="216">
        <v>2.5126431676562762</v>
      </c>
      <c r="K45" s="216">
        <v>2.4238994741421087</v>
      </c>
      <c r="L45" s="216">
        <v>2.3824547647009697</v>
      </c>
      <c r="M45" s="216">
        <v>2.3486377773652305</v>
      </c>
      <c r="N45" s="216">
        <v>2.2356267269606165</v>
      </c>
      <c r="O45" s="216">
        <v>2.2918030191428396</v>
      </c>
      <c r="P45" s="216">
        <v>2.3702676931449913</v>
      </c>
      <c r="Q45" s="216">
        <v>2.4283729903491791</v>
      </c>
      <c r="R45" s="216">
        <v>2.4597391082893587</v>
      </c>
      <c r="S45" s="216">
        <v>2.6209824250846956</v>
      </c>
      <c r="T45" s="216">
        <v>2.6957836424532506</v>
      </c>
      <c r="U45" s="216">
        <v>2.7636021202062349</v>
      </c>
      <c r="V45" s="216">
        <v>2.9446454871114525</v>
      </c>
      <c r="W45" s="216">
        <v>3.0288350046782808</v>
      </c>
      <c r="X45" s="216">
        <v>3.0472665117791649</v>
      </c>
      <c r="Y45" s="216">
        <v>3.1515692029023556</v>
      </c>
      <c r="Z45" s="216">
        <v>3.1562004736049403</v>
      </c>
      <c r="AA45" s="216">
        <v>3.1504628282651432</v>
      </c>
      <c r="AB45" s="216">
        <v>3.2539809680155418</v>
      </c>
      <c r="AC45" s="216">
        <v>3.3365735650041453</v>
      </c>
      <c r="AD45" s="216">
        <v>3.4106098079369156</v>
      </c>
      <c r="AE45" s="216">
        <v>3.4290156935463152</v>
      </c>
      <c r="AF45" s="216">
        <v>3.4197688897508653</v>
      </c>
      <c r="AG45" s="216">
        <v>3.4138437643261761</v>
      </c>
      <c r="AH45" s="216">
        <v>3.5135786527027331</v>
      </c>
      <c r="AI45" s="216">
        <v>3.5479052104425635</v>
      </c>
      <c r="AJ45" s="216">
        <v>3.3298494746592708</v>
      </c>
      <c r="AK45" s="216">
        <v>3.2718088403908077</v>
      </c>
      <c r="AL45" s="216">
        <v>3.1564311991291429</v>
      </c>
      <c r="AM45" s="216">
        <v>2.8645432233292776</v>
      </c>
      <c r="AN45" s="216">
        <v>2.6326033717294304</v>
      </c>
      <c r="AO45" s="216">
        <v>2.6344553120334053</v>
      </c>
      <c r="AP45" s="216">
        <v>2.5822031526607323</v>
      </c>
      <c r="AQ45" s="216">
        <v>2.4503540662046892</v>
      </c>
      <c r="AR45" s="216">
        <v>2.4858139567904036</v>
      </c>
      <c r="AS45" s="214">
        <v>2.81</v>
      </c>
      <c r="AT45" s="214">
        <v>2.81</v>
      </c>
      <c r="AU45" s="214">
        <v>2.81</v>
      </c>
      <c r="AV45" s="214">
        <v>2.81</v>
      </c>
      <c r="AW45" s="214">
        <v>2.81</v>
      </c>
      <c r="AX45" s="214">
        <v>2.81</v>
      </c>
      <c r="AY45" s="214">
        <v>2.81</v>
      </c>
      <c r="AZ45" s="214"/>
      <c r="BA45" s="214"/>
      <c r="BB45" s="214"/>
      <c r="BC45" s="214"/>
      <c r="BD45" s="214"/>
      <c r="BE45" s="214"/>
      <c r="BF45" s="214"/>
      <c r="BG45" s="214"/>
      <c r="BH45" s="214"/>
      <c r="BI45" s="214"/>
      <c r="BJ45" s="214"/>
      <c r="BK45" s="214"/>
      <c r="BL45" s="214"/>
      <c r="BM45" s="214"/>
      <c r="BN45" s="214"/>
      <c r="BO45" s="214"/>
      <c r="BP45" s="214"/>
      <c r="BQ45" s="214"/>
      <c r="BR45" s="214"/>
      <c r="BS45" s="214"/>
      <c r="BT45" s="214"/>
      <c r="BU45" s="214"/>
      <c r="BV45" s="214"/>
      <c r="BW45" s="214"/>
      <c r="BX45" s="214"/>
      <c r="BY45" s="214"/>
      <c r="BZ45" s="214"/>
      <c r="CA45" s="214"/>
      <c r="CB45" s="214"/>
      <c r="CC45" s="214"/>
      <c r="CD45" s="214"/>
      <c r="CE45" s="214"/>
      <c r="CF45" s="214"/>
      <c r="CG45" s="214"/>
      <c r="CH45" s="214"/>
      <c r="CI45" s="214"/>
      <c r="CJ45" s="214"/>
      <c r="CK45" s="214"/>
      <c r="CL45" s="178"/>
      <c r="CM45" s="178"/>
      <c r="CN45" s="214"/>
      <c r="CO45" s="214"/>
      <c r="CP45" s="214"/>
      <c r="CQ45" s="214"/>
      <c r="CR45" s="214"/>
      <c r="CS45" s="214"/>
      <c r="CT45" s="214"/>
      <c r="CU45" s="214"/>
      <c r="CV45" s="214"/>
      <c r="CW45" s="214"/>
      <c r="CX45" s="214"/>
      <c r="CY45" s="214"/>
      <c r="CZ45" s="214"/>
      <c r="DA45" s="214"/>
      <c r="DD45" s="178"/>
      <c r="DI45" s="214"/>
      <c r="DJ45" s="214"/>
      <c r="DK45" s="214"/>
      <c r="DL45" s="214"/>
      <c r="DM45" s="214"/>
      <c r="DN45" s="214"/>
      <c r="DO45" s="214"/>
      <c r="DP45" s="214"/>
      <c r="DQ45" s="178"/>
      <c r="DR45" s="178"/>
    </row>
    <row r="46" spans="1:122 16384:16384">
      <c r="A46" s="178" t="str">
        <f t="shared" si="0"/>
        <v>Ethyl AcetateUSD</v>
      </c>
      <c r="B46" s="178" t="s">
        <v>80</v>
      </c>
      <c r="C46" s="178" t="s">
        <v>81</v>
      </c>
      <c r="D46" s="178" t="s">
        <v>33</v>
      </c>
      <c r="E46" s="178" t="s">
        <v>32</v>
      </c>
      <c r="F46" s="215">
        <v>823.17</v>
      </c>
      <c r="G46" s="215">
        <v>807.62</v>
      </c>
      <c r="H46" s="215">
        <v>674.56</v>
      </c>
      <c r="I46" s="215">
        <v>745.99</v>
      </c>
      <c r="J46" s="215">
        <v>721.47</v>
      </c>
      <c r="K46" s="215">
        <v>776.61</v>
      </c>
      <c r="L46" s="215">
        <v>777.4</v>
      </c>
      <c r="M46" s="215">
        <v>797.21</v>
      </c>
      <c r="N46" s="215">
        <v>840.17</v>
      </c>
      <c r="O46" s="215">
        <v>970.45</v>
      </c>
      <c r="P46" s="215">
        <v>1019</v>
      </c>
      <c r="Q46" s="215">
        <v>1017</v>
      </c>
      <c r="R46" s="215">
        <v>1189</v>
      </c>
      <c r="S46" s="215">
        <v>1357</v>
      </c>
      <c r="T46" s="215">
        <v>1290</v>
      </c>
      <c r="U46" s="215">
        <v>1498</v>
      </c>
      <c r="V46" s="215">
        <v>1429</v>
      </c>
      <c r="W46" s="215">
        <v>1412</v>
      </c>
      <c r="X46" s="215">
        <v>1328</v>
      </c>
      <c r="Y46" s="215">
        <v>1293</v>
      </c>
      <c r="Z46" s="215">
        <v>1607</v>
      </c>
      <c r="AA46" s="215">
        <v>1460</v>
      </c>
      <c r="AB46" s="215">
        <v>1420</v>
      </c>
      <c r="AC46" s="215">
        <v>1334</v>
      </c>
      <c r="AD46" s="215">
        <v>1298</v>
      </c>
      <c r="AE46" s="215">
        <v>1108</v>
      </c>
      <c r="AF46" s="215">
        <v>1288</v>
      </c>
      <c r="AG46" s="215">
        <v>1369</v>
      </c>
      <c r="AH46" s="215">
        <v>1250</v>
      </c>
      <c r="AI46" s="215">
        <v>1027</v>
      </c>
      <c r="AJ46" s="215">
        <v>976.52</v>
      </c>
      <c r="AK46" s="215">
        <v>974.06</v>
      </c>
      <c r="AL46" s="214">
        <v>973.26</v>
      </c>
      <c r="AM46" s="215">
        <v>917.96</v>
      </c>
      <c r="AN46" s="215">
        <v>887.13</v>
      </c>
      <c r="AO46" s="215">
        <v>920.98</v>
      </c>
      <c r="AP46" s="215">
        <v>938.51</v>
      </c>
      <c r="AQ46" s="215">
        <v>945.93</v>
      </c>
      <c r="AR46" s="215">
        <v>917.22</v>
      </c>
      <c r="AS46" s="214">
        <v>943.88</v>
      </c>
      <c r="AT46" s="214">
        <v>898.09</v>
      </c>
      <c r="AU46" s="214">
        <v>876.94</v>
      </c>
      <c r="AV46" s="214">
        <v>876.94</v>
      </c>
      <c r="AW46" s="214">
        <v>848.99</v>
      </c>
      <c r="AX46" s="214">
        <v>848.99</v>
      </c>
      <c r="AY46" s="214">
        <v>848.99</v>
      </c>
      <c r="AZ46" s="214">
        <v>844.91</v>
      </c>
      <c r="BA46" s="214">
        <v>904.02</v>
      </c>
      <c r="BB46" s="214">
        <v>904.02</v>
      </c>
      <c r="BC46" s="214">
        <v>904.02</v>
      </c>
      <c r="BD46" s="214">
        <v>897.33</v>
      </c>
      <c r="BE46" s="214">
        <v>897.33</v>
      </c>
      <c r="BF46" s="214">
        <v>962.74</v>
      </c>
      <c r="BG46" s="214">
        <v>962.74</v>
      </c>
      <c r="BH46" s="214">
        <v>962.74</v>
      </c>
      <c r="BI46" s="214">
        <v>1024</v>
      </c>
      <c r="BJ46" s="214">
        <v>1024</v>
      </c>
      <c r="BK46" s="214">
        <v>1024</v>
      </c>
      <c r="BL46" s="214">
        <v>932.12</v>
      </c>
      <c r="BM46" s="214">
        <v>932.12</v>
      </c>
      <c r="BN46" s="214">
        <v>932.12</v>
      </c>
      <c r="BO46" s="214">
        <v>932.12</v>
      </c>
      <c r="BP46" s="214">
        <v>896.64</v>
      </c>
      <c r="BQ46" s="214">
        <v>896.64</v>
      </c>
      <c r="BR46" s="214">
        <v>896.64</v>
      </c>
      <c r="BS46" s="214">
        <v>896.64</v>
      </c>
      <c r="BT46" s="214">
        <v>910.69</v>
      </c>
      <c r="BU46" s="214">
        <v>910.69</v>
      </c>
      <c r="BV46" s="214">
        <v>910.69</v>
      </c>
      <c r="BW46" s="214">
        <v>910.69</v>
      </c>
      <c r="BX46" s="214">
        <v>910.69</v>
      </c>
      <c r="BY46" s="214">
        <v>910.69</v>
      </c>
      <c r="BZ46" s="214">
        <v>910.69</v>
      </c>
      <c r="CA46" s="214">
        <v>910.69</v>
      </c>
      <c r="CB46" s="214">
        <v>905.41</v>
      </c>
      <c r="CC46" s="214">
        <v>905.41</v>
      </c>
      <c r="CD46" s="214">
        <v>859.02</v>
      </c>
      <c r="CE46" s="214">
        <v>854.11</v>
      </c>
      <c r="CF46" s="214">
        <v>812.44</v>
      </c>
      <c r="CG46" s="214">
        <v>812.44</v>
      </c>
      <c r="CH46" s="214">
        <v>812.44</v>
      </c>
      <c r="CI46" s="214">
        <v>808.14</v>
      </c>
      <c r="CJ46" s="214">
        <v>808.14</v>
      </c>
      <c r="CK46" s="214">
        <v>808.14</v>
      </c>
      <c r="CL46" s="214">
        <v>808.14</v>
      </c>
      <c r="CM46" s="214">
        <v>808.14</v>
      </c>
      <c r="CN46" s="214">
        <v>808.14</v>
      </c>
      <c r="CO46" s="214">
        <v>815.02</v>
      </c>
      <c r="CP46" s="214">
        <v>811.53</v>
      </c>
      <c r="CQ46" s="214">
        <v>811.53</v>
      </c>
      <c r="CR46" s="214">
        <v>806.52</v>
      </c>
      <c r="CS46" s="214">
        <v>806.52</v>
      </c>
      <c r="CT46" s="214">
        <v>809.98</v>
      </c>
      <c r="CU46" s="214">
        <v>809.98</v>
      </c>
      <c r="CV46" s="214">
        <v>816.59</v>
      </c>
      <c r="CW46" s="214">
        <v>816.59</v>
      </c>
      <c r="CX46" s="214">
        <v>816.59</v>
      </c>
      <c r="CY46" s="214">
        <v>816.59</v>
      </c>
      <c r="CZ46" s="214">
        <v>816.59</v>
      </c>
      <c r="DA46" s="214">
        <v>816.59</v>
      </c>
      <c r="DB46" s="214">
        <v>816.59</v>
      </c>
      <c r="DC46" s="214">
        <v>816.59</v>
      </c>
      <c r="DD46" s="214">
        <v>816.59</v>
      </c>
      <c r="DE46" s="214">
        <v>770.39</v>
      </c>
      <c r="DF46" s="214">
        <v>770.39</v>
      </c>
      <c r="DG46" s="214">
        <v>770.39</v>
      </c>
      <c r="DH46" s="214">
        <v>770.39</v>
      </c>
      <c r="DI46" s="214">
        <v>770.39</v>
      </c>
      <c r="DJ46" s="214">
        <v>800.6</v>
      </c>
      <c r="DK46" s="214">
        <v>758.58</v>
      </c>
      <c r="DL46" s="214">
        <v>758.58</v>
      </c>
      <c r="DM46" s="214">
        <v>758.58</v>
      </c>
      <c r="DN46" s="214">
        <v>735.55</v>
      </c>
      <c r="DO46" s="214">
        <v>735.55</v>
      </c>
      <c r="DP46" s="214">
        <v>735.55</v>
      </c>
      <c r="DQ46" s="178"/>
      <c r="DR46" s="178"/>
    </row>
    <row r="47" spans="1:122 16384:16384">
      <c r="A47" s="178" t="str">
        <f t="shared" si="0"/>
        <v>Methyl AcrylateUSD</v>
      </c>
      <c r="B47" s="178" t="s">
        <v>46</v>
      </c>
      <c r="C47" s="178" t="s">
        <v>82</v>
      </c>
      <c r="D47" s="178" t="s">
        <v>33</v>
      </c>
      <c r="E47" s="178" t="s">
        <v>34</v>
      </c>
      <c r="F47" s="216">
        <v>1.2824739842750807</v>
      </c>
      <c r="G47" s="216">
        <v>1.2450999956775965</v>
      </c>
      <c r="H47" s="216">
        <v>1.2459440191248849</v>
      </c>
      <c r="I47" s="216">
        <v>1.309036680053137</v>
      </c>
      <c r="J47" s="216">
        <v>1.2178214765089475</v>
      </c>
      <c r="K47" s="216">
        <v>1.2730592736131654</v>
      </c>
      <c r="L47" s="216">
        <v>1.2898030053706282</v>
      </c>
      <c r="M47" s="216">
        <v>1.3059319441469961</v>
      </c>
      <c r="N47" s="216">
        <v>1.2980994327163309</v>
      </c>
      <c r="O47" s="216">
        <v>1.3320853166469768</v>
      </c>
      <c r="P47" s="216">
        <v>1.3315140897605529</v>
      </c>
      <c r="Q47" s="216">
        <v>1.4720316509842615</v>
      </c>
      <c r="R47" s="216">
        <v>1.4945621081219287</v>
      </c>
      <c r="S47" s="216">
        <v>1.507861424319906</v>
      </c>
      <c r="T47" s="216">
        <v>1.6080367326235177</v>
      </c>
      <c r="U47" s="216">
        <v>2.2481367870717111</v>
      </c>
      <c r="V47" s="216">
        <v>2.4143226786489316</v>
      </c>
      <c r="W47" s="216">
        <v>2.1609437150977886</v>
      </c>
      <c r="X47" s="216">
        <v>2.3329886976033829</v>
      </c>
      <c r="Y47" s="216">
        <v>2.8589680335389476</v>
      </c>
      <c r="Z47" s="216">
        <v>2.903848761723717</v>
      </c>
      <c r="AA47" s="216">
        <f>AA101/1000</f>
        <v>2.9350000000000001</v>
      </c>
      <c r="AB47" s="216">
        <f>AB101/1000</f>
        <v>2.9224999999999999</v>
      </c>
      <c r="AC47" s="216">
        <f>AC101/1000</f>
        <v>2.88375</v>
      </c>
      <c r="AD47" s="216">
        <f>AD101/1000</f>
        <v>2.76</v>
      </c>
      <c r="AE47" s="216">
        <f t="shared" ref="AE47:CP47" si="31">AE101/1000</f>
        <v>2.7749999999999999</v>
      </c>
      <c r="AF47" s="216">
        <f t="shared" si="31"/>
        <v>2.7949999999999999</v>
      </c>
      <c r="AG47" s="216">
        <f t="shared" si="31"/>
        <v>2.8</v>
      </c>
      <c r="AH47" s="216">
        <f t="shared" si="31"/>
        <v>2.7524999999999999</v>
      </c>
      <c r="AI47" s="216">
        <f t="shared" si="31"/>
        <v>2.6459999999999999</v>
      </c>
      <c r="AJ47" s="216">
        <f t="shared" si="31"/>
        <v>2.4975000000000001</v>
      </c>
      <c r="AK47" s="216">
        <f t="shared" si="31"/>
        <v>2.1349999999999998</v>
      </c>
      <c r="AL47" s="216">
        <f t="shared" ref="AL47:AV47" si="32">AL101/1000</f>
        <v>1.8062499999999999</v>
      </c>
      <c r="AM47" s="216">
        <f t="shared" si="32"/>
        <v>1.78</v>
      </c>
      <c r="AN47" s="216">
        <f t="shared" si="32"/>
        <v>1.677</v>
      </c>
      <c r="AO47" s="216">
        <f t="shared" si="32"/>
        <v>1.585</v>
      </c>
      <c r="AP47" s="216">
        <f t="shared" si="32"/>
        <v>1.5925</v>
      </c>
      <c r="AQ47" s="216">
        <f t="shared" si="32"/>
        <v>1.6</v>
      </c>
      <c r="AR47" s="216">
        <f t="shared" si="32"/>
        <v>1.5920000000000001</v>
      </c>
      <c r="AS47" s="216">
        <f t="shared" si="32"/>
        <v>1.51875</v>
      </c>
      <c r="AT47" s="216">
        <f t="shared" si="32"/>
        <v>1.5149999999999999</v>
      </c>
      <c r="AU47" s="216">
        <f t="shared" si="32"/>
        <v>1.4750000000000001</v>
      </c>
      <c r="AV47" s="216">
        <f t="shared" si="32"/>
        <v>1.4750000000000001</v>
      </c>
      <c r="AW47" s="216">
        <f t="shared" si="31"/>
        <v>1.4</v>
      </c>
      <c r="AX47" s="216">
        <f t="shared" si="31"/>
        <v>1.4</v>
      </c>
      <c r="AY47" s="216">
        <f t="shared" si="31"/>
        <v>1.375</v>
      </c>
      <c r="AZ47" s="216">
        <f t="shared" si="31"/>
        <v>1.375</v>
      </c>
      <c r="BA47" s="216">
        <f t="shared" si="31"/>
        <v>1.375</v>
      </c>
      <c r="BB47" s="216">
        <f t="shared" si="31"/>
        <v>1.375</v>
      </c>
      <c r="BC47" s="216">
        <f t="shared" si="31"/>
        <v>1.375</v>
      </c>
      <c r="BD47" s="216">
        <f t="shared" si="31"/>
        <v>1.425</v>
      </c>
      <c r="BE47" s="216">
        <f t="shared" si="31"/>
        <v>1.425</v>
      </c>
      <c r="BF47" s="216">
        <f t="shared" si="31"/>
        <v>1.425</v>
      </c>
      <c r="BG47" s="216">
        <f t="shared" si="31"/>
        <v>1.425</v>
      </c>
      <c r="BH47" s="216">
        <f t="shared" si="31"/>
        <v>1.425</v>
      </c>
      <c r="BI47" s="216">
        <f t="shared" si="31"/>
        <v>1.425</v>
      </c>
      <c r="BJ47" s="216">
        <f t="shared" si="31"/>
        <v>1.425</v>
      </c>
      <c r="BK47" s="216">
        <f t="shared" si="31"/>
        <v>1.425</v>
      </c>
      <c r="BL47" s="216">
        <f t="shared" si="31"/>
        <v>1.425</v>
      </c>
      <c r="BM47" s="216">
        <f t="shared" si="31"/>
        <v>1.415</v>
      </c>
      <c r="BN47" s="216">
        <f t="shared" si="31"/>
        <v>1.415</v>
      </c>
      <c r="BO47" s="216">
        <f t="shared" si="31"/>
        <v>1.415</v>
      </c>
      <c r="BP47" s="216">
        <f t="shared" si="31"/>
        <v>1.415</v>
      </c>
      <c r="BQ47" s="216">
        <f t="shared" si="31"/>
        <v>1.415</v>
      </c>
      <c r="BR47" s="216">
        <f t="shared" si="31"/>
        <v>1.415</v>
      </c>
      <c r="BS47" s="216">
        <f t="shared" si="31"/>
        <v>1.415</v>
      </c>
      <c r="BT47" s="216">
        <f t="shared" si="31"/>
        <v>1.415</v>
      </c>
      <c r="BU47" s="216">
        <f t="shared" si="31"/>
        <v>1.415</v>
      </c>
      <c r="BV47" s="216">
        <f t="shared" si="31"/>
        <v>1.415</v>
      </c>
      <c r="BW47" s="216">
        <f t="shared" si="31"/>
        <v>1.42</v>
      </c>
      <c r="BX47" s="216">
        <f t="shared" si="31"/>
        <v>1.42</v>
      </c>
      <c r="BY47" s="216">
        <f t="shared" si="31"/>
        <v>1.42</v>
      </c>
      <c r="BZ47" s="216">
        <f t="shared" si="31"/>
        <v>1.42</v>
      </c>
      <c r="CA47" s="216">
        <f t="shared" si="31"/>
        <v>1.42</v>
      </c>
      <c r="CB47" s="216">
        <f t="shared" si="31"/>
        <v>1.42</v>
      </c>
      <c r="CC47" s="216">
        <f t="shared" si="31"/>
        <v>1.42</v>
      </c>
      <c r="CD47" s="216">
        <f t="shared" si="31"/>
        <v>1.42</v>
      </c>
      <c r="CE47" s="216">
        <f t="shared" si="31"/>
        <v>1.42</v>
      </c>
      <c r="CF47" s="216">
        <f t="shared" si="31"/>
        <v>1.42</v>
      </c>
      <c r="CG47" s="216">
        <f t="shared" si="31"/>
        <v>1.42</v>
      </c>
      <c r="CH47" s="216">
        <f t="shared" si="31"/>
        <v>1.42</v>
      </c>
      <c r="CI47" s="216">
        <f>CI101/1000</f>
        <v>1.42</v>
      </c>
      <c r="CJ47" s="216">
        <f>CJ101/1000</f>
        <v>1.42</v>
      </c>
      <c r="CK47" s="214">
        <f t="shared" si="31"/>
        <v>1.42</v>
      </c>
      <c r="CL47" s="216">
        <f t="shared" si="31"/>
        <v>1.42</v>
      </c>
      <c r="CM47" s="216">
        <f t="shared" si="31"/>
        <v>1.42</v>
      </c>
      <c r="CN47" s="216">
        <f t="shared" si="31"/>
        <v>1.42</v>
      </c>
      <c r="CO47" s="216">
        <f t="shared" si="31"/>
        <v>1.375</v>
      </c>
      <c r="CP47" s="216">
        <f t="shared" si="31"/>
        <v>1.375</v>
      </c>
      <c r="CQ47" s="216">
        <f t="shared" ref="CQ47:DP47" si="33">CQ101/1000</f>
        <v>1.375</v>
      </c>
      <c r="CR47" s="216">
        <f t="shared" si="33"/>
        <v>1.375</v>
      </c>
      <c r="CS47" s="216">
        <f t="shared" si="33"/>
        <v>1.375</v>
      </c>
      <c r="CT47" s="216">
        <f t="shared" si="33"/>
        <v>1.375</v>
      </c>
      <c r="CU47" s="216">
        <f t="shared" si="33"/>
        <v>1.375</v>
      </c>
      <c r="CV47" s="216">
        <f t="shared" si="33"/>
        <v>1.375</v>
      </c>
      <c r="CW47" s="216">
        <f t="shared" si="33"/>
        <v>1.375</v>
      </c>
      <c r="CX47" s="216">
        <f t="shared" si="33"/>
        <v>1.375</v>
      </c>
      <c r="CY47" s="216">
        <f t="shared" si="33"/>
        <v>1.375</v>
      </c>
      <c r="CZ47" s="216">
        <f t="shared" si="33"/>
        <v>1.375</v>
      </c>
      <c r="DA47" s="216">
        <f t="shared" si="33"/>
        <v>1.375</v>
      </c>
      <c r="DB47" s="216">
        <f t="shared" si="33"/>
        <v>1.375</v>
      </c>
      <c r="DC47" s="216">
        <f t="shared" si="33"/>
        <v>1.345</v>
      </c>
      <c r="DD47" s="216">
        <f t="shared" si="33"/>
        <v>1.345</v>
      </c>
      <c r="DE47" s="216">
        <f t="shared" si="33"/>
        <v>1.345</v>
      </c>
      <c r="DF47" s="216">
        <f t="shared" si="33"/>
        <v>1.345</v>
      </c>
      <c r="DG47" s="216">
        <f t="shared" si="33"/>
        <v>1.345</v>
      </c>
      <c r="DH47" s="216">
        <f t="shared" si="33"/>
        <v>1.345</v>
      </c>
      <c r="DI47" s="216">
        <f t="shared" si="33"/>
        <v>1.375</v>
      </c>
      <c r="DJ47" s="216">
        <f t="shared" si="33"/>
        <v>1.375</v>
      </c>
      <c r="DK47" s="216">
        <f t="shared" si="33"/>
        <v>1.375</v>
      </c>
      <c r="DL47" s="216">
        <f t="shared" si="33"/>
        <v>1.375</v>
      </c>
      <c r="DM47" s="216">
        <f t="shared" si="33"/>
        <v>1.375</v>
      </c>
      <c r="DN47" s="216">
        <f t="shared" si="33"/>
        <v>1.375</v>
      </c>
      <c r="DO47" s="216">
        <f t="shared" si="33"/>
        <v>1.375</v>
      </c>
      <c r="DP47" s="216">
        <f t="shared" si="33"/>
        <v>1.375</v>
      </c>
      <c r="DQ47" s="178"/>
      <c r="DR47" s="178"/>
    </row>
    <row r="48" spans="1:122 16384:16384">
      <c r="A48" s="178" t="str">
        <f t="shared" si="0"/>
        <v>METHYL CHLORIDEUSD</v>
      </c>
      <c r="B48" s="178" t="s">
        <v>56</v>
      </c>
      <c r="C48" s="254" t="s">
        <v>83</v>
      </c>
      <c r="D48" s="178" t="s">
        <v>33</v>
      </c>
      <c r="E48" s="178" t="s">
        <v>34</v>
      </c>
      <c r="F48" s="216">
        <f>'methyl chloride'!I17</f>
        <v>0.66647355912061801</v>
      </c>
      <c r="G48" s="216">
        <f>'methyl chloride'!J17</f>
        <v>0.70452465834818778</v>
      </c>
      <c r="H48" s="216">
        <f>'methyl chloride'!K17</f>
        <v>0.68074272133095659</v>
      </c>
      <c r="I48" s="216">
        <f>'methyl chloride'!L17</f>
        <v>0.63317884729649432</v>
      </c>
      <c r="J48" s="216">
        <f>'methyl chloride'!M17</f>
        <v>0.61098237274707867</v>
      </c>
      <c r="K48" s="216">
        <f>'methyl chloride'!N17</f>
        <v>0.60622598534363248</v>
      </c>
      <c r="L48" s="216">
        <f>'methyl chloride'!O17</f>
        <v>0.61415329768270943</v>
      </c>
      <c r="M48" s="216">
        <f>'methyl chloride'!P17</f>
        <v>0.63952069716775606</v>
      </c>
      <c r="N48" s="216">
        <f>'methyl chloride'!Q17</f>
        <v>0.64586254703901769</v>
      </c>
      <c r="O48" s="216">
        <f>'methyl chloride'!R17</f>
        <v>0.65220439691027932</v>
      </c>
      <c r="P48" s="216">
        <f>'methyl chloride'!S17</f>
        <v>0.6712299465240642</v>
      </c>
      <c r="Q48" s="216">
        <f>'methyl chloride'!T17</f>
        <v>0.69025549613784909</v>
      </c>
      <c r="R48" s="216">
        <f>'methyl chloride'!U17</f>
        <v>0.72830659536541886</v>
      </c>
      <c r="S48" s="216">
        <f>'methyl chloride'!V17</f>
        <v>0.73147752030104973</v>
      </c>
      <c r="T48" s="216">
        <f>'methyl chloride'!W17</f>
        <v>0.7251356704297881</v>
      </c>
      <c r="U48" s="216">
        <f>'methyl chloride'!X17</f>
        <v>0.71562289562289561</v>
      </c>
      <c r="V48" s="216">
        <f>'methyl chloride'!Y17</f>
        <v>0.7203792830263418</v>
      </c>
      <c r="W48" s="216">
        <f>'methyl chloride'!Z17</f>
        <v>0.72672113289760354</v>
      </c>
      <c r="X48" s="216">
        <f>'methyl chloride'!AA17</f>
        <v>0.72830659536541886</v>
      </c>
      <c r="Y48" s="216">
        <f>'methyl chloride'!AB17</f>
        <v>0.7346484452366806</v>
      </c>
      <c r="Z48" s="216">
        <f>'methyl chloride'!AC17</f>
        <v>0.74733214497920386</v>
      </c>
      <c r="AA48" s="216">
        <f>'methyl chloride'!AD17</f>
        <v>0.79648148148148157</v>
      </c>
      <c r="AB48" s="216">
        <f>'methyl chloride'!AE17</f>
        <v>0.74891760744701918</v>
      </c>
      <c r="AC48" s="216">
        <f>'methyl chloride'!AF17</f>
        <v>0.71562289562289561</v>
      </c>
      <c r="AD48" s="216">
        <f>'methyl chloride'!AG17</f>
        <v>0.69659734600911072</v>
      </c>
      <c r="AE48" s="216">
        <f>'methyl chloride'!AH17</f>
        <v>0.74733214497920386</v>
      </c>
      <c r="AF48" s="216">
        <f>'methyl chloride'!AI17</f>
        <v>0.77269954446425038</v>
      </c>
      <c r="AG48" s="216">
        <f>'methyl chloride'!AJ17</f>
        <v>0.74733214497920386</v>
      </c>
      <c r="AH48" s="216">
        <f>'methyl chloride'!AK17</f>
        <v>0.72196474549415723</v>
      </c>
      <c r="AI48" s="216">
        <f>'methyl chloride'!AL17</f>
        <v>0.71562289562289561</v>
      </c>
      <c r="AJ48" s="216">
        <f>'methyl chloride'!AM17</f>
        <v>0.69976827094474159</v>
      </c>
      <c r="AK48" s="216">
        <f>'methyl chloride'!AN17</f>
        <v>0.69976827094474159</v>
      </c>
      <c r="AL48" s="216">
        <f>'methyl chloride'!AO17</f>
        <v>0.69976827094474159</v>
      </c>
      <c r="AM48" s="216">
        <f>'methyl chloride'!AP17</f>
        <v>0.70611012081600322</v>
      </c>
      <c r="AN48" s="216">
        <f>'methyl chloride'!AQ17</f>
        <v>0.70611012081600322</v>
      </c>
      <c r="AO48" s="216">
        <f>'methyl chloride'!AR17</f>
        <v>0.69976827094474159</v>
      </c>
      <c r="AP48" s="216">
        <f>'methyl chloride'!AS17</f>
        <v>0.70611012081600322</v>
      </c>
      <c r="AQ48" s="216">
        <f>'methyl chloride'!AT17</f>
        <v>0.7203792830263418</v>
      </c>
      <c r="AR48" s="216">
        <f>'methyl chloride'!AU17</f>
        <v>0.7298920578332343</v>
      </c>
      <c r="AS48" s="216">
        <f>'methyl chloride'!AV17</f>
        <v>0.71245197068726485</v>
      </c>
      <c r="AT48" s="216">
        <f>'methyl chloride'!AW17</f>
        <v>0.69659734600911072</v>
      </c>
      <c r="AU48" s="216">
        <f>'methyl chloride'!AX17</f>
        <v>0.69025549613784909</v>
      </c>
      <c r="AV48" s="216">
        <f>'methyl chloride'!AY17</f>
        <v>0.69025549613784909</v>
      </c>
      <c r="AW48" s="216">
        <f>'methyl chloride'!AZ17</f>
        <v>0.68391364626658746</v>
      </c>
      <c r="AX48" s="216">
        <f>'methyl chloride'!BA17</f>
        <v>0.68391364626658746</v>
      </c>
      <c r="AY48" s="216">
        <f>'methyl chloride'!BB17</f>
        <v>0.68391364626658746</v>
      </c>
      <c r="AZ48" s="216">
        <f>'methyl chloride'!BC17</f>
        <v>0.68391364626658746</v>
      </c>
      <c r="BA48" s="216">
        <f>'methyl chloride'!BD17</f>
        <v>0.69659734600911072</v>
      </c>
      <c r="BB48" s="216">
        <f>'methyl chloride'!BE17</f>
        <v>0.69659734600911072</v>
      </c>
      <c r="BC48" s="216">
        <f>'methyl chloride'!BF17</f>
        <v>0.69659734600911072</v>
      </c>
      <c r="BD48" s="216">
        <f>'methyl chloride'!BG17</f>
        <v>0.69659734600911072</v>
      </c>
      <c r="BE48" s="216">
        <f>'methyl chloride'!BH17</f>
        <v>0.69659734600911072</v>
      </c>
      <c r="BF48" s="216">
        <f>'methyl chloride'!BI17</f>
        <v>0.70928104575163409</v>
      </c>
      <c r="BG48" s="216">
        <f>'methyl chloride'!BJ17</f>
        <v>0.70928104575163409</v>
      </c>
      <c r="BH48" s="216">
        <f>'methyl chloride'!BK17</f>
        <v>0.70928104575163409</v>
      </c>
      <c r="BI48" s="216">
        <f>'methyl chloride'!BL17</f>
        <v>0.70928104575163409</v>
      </c>
      <c r="BJ48" s="216">
        <f>'methyl chloride'!BM17</f>
        <v>0.70928104575163409</v>
      </c>
      <c r="BK48" s="216">
        <f>'methyl chloride'!BN17</f>
        <v>0.70928104575163409</v>
      </c>
      <c r="BL48" s="216">
        <f>'methyl chloride'!BO17</f>
        <v>0.70928104575163409</v>
      </c>
      <c r="BM48" s="216">
        <f>'methyl chloride'!BP17</f>
        <v>0.69976827094474159</v>
      </c>
      <c r="BN48" s="216">
        <f>'methyl chloride'!BQ17</f>
        <v>0.69976827094474159</v>
      </c>
      <c r="BO48" s="216">
        <f>'methyl chloride'!BR17</f>
        <v>0.69976827094474159</v>
      </c>
      <c r="BP48" s="216">
        <f>'methyl chloride'!BS17</f>
        <v>0.69976827094474159</v>
      </c>
      <c r="BQ48" s="216">
        <f>'methyl chloride'!BT17</f>
        <v>0.71245197068726485</v>
      </c>
      <c r="BR48" s="216">
        <f>'methyl chloride'!BU17</f>
        <v>0.71245197068726485</v>
      </c>
      <c r="BS48" s="216">
        <f>'methyl chloride'!BV17</f>
        <v>0.71245197068726485</v>
      </c>
      <c r="BT48" s="216">
        <f>'methyl chloride'!BW17</f>
        <v>0.71403743315508028</v>
      </c>
      <c r="BU48" s="216">
        <f>'methyl chloride'!BX17</f>
        <v>0.71403743315508028</v>
      </c>
      <c r="BV48" s="216">
        <f>'methyl chloride'!BY17</f>
        <v>0.71403743315508028</v>
      </c>
      <c r="BW48" s="216">
        <f>'methyl chloride'!BZ17</f>
        <v>0.7203792830263418</v>
      </c>
      <c r="BX48" s="216">
        <f>'methyl chloride'!CA17</f>
        <v>0.7203792830263418</v>
      </c>
      <c r="BY48" s="216">
        <f>'methyl chloride'!CB17</f>
        <v>0.7203792830263418</v>
      </c>
      <c r="BZ48" s="216">
        <f>'methyl chloride'!CC17</f>
        <v>0.7203792830263418</v>
      </c>
      <c r="CA48" s="216">
        <f>'methyl chloride'!CD17</f>
        <v>0.7203792830263418</v>
      </c>
      <c r="CB48" s="216">
        <f>'methyl chloride'!CE17</f>
        <v>0.7203792830263418</v>
      </c>
      <c r="CC48" s="216">
        <f>'methyl chloride'!CF17</f>
        <v>0.7203792830263418</v>
      </c>
      <c r="CD48" s="216">
        <f>'methyl chloride'!CG17</f>
        <v>0.7251356704297881</v>
      </c>
      <c r="CE48" s="216">
        <f>'methyl chloride'!CH17</f>
        <v>0.7251356704297881</v>
      </c>
      <c r="CF48" s="216">
        <f>'methyl chloride'!CI17</f>
        <v>0.71879382055852648</v>
      </c>
      <c r="CG48" s="216">
        <f>'methyl chloride'!CJ17</f>
        <v>0.71879382055852648</v>
      </c>
      <c r="CH48" s="216">
        <f>'methyl chloride'!CK17</f>
        <v>0.71879382055852648</v>
      </c>
      <c r="CI48" s="216">
        <f>'methyl chloride'!CL17</f>
        <v>0.71879382055852648</v>
      </c>
      <c r="CJ48" s="216">
        <f>'methyl chloride'!CM17</f>
        <v>0.71720835809071104</v>
      </c>
      <c r="CK48" s="216">
        <f>'methyl chloride'!CN17</f>
        <v>0.71720835809071104</v>
      </c>
      <c r="CL48" s="216">
        <f>'methyl chloride'!CO17</f>
        <v>0.71720835809071104</v>
      </c>
      <c r="CM48" s="216">
        <f>'methyl chloride'!CP17</f>
        <v>0.71720835809071104</v>
      </c>
      <c r="CN48" s="216">
        <f>'methyl chloride'!CQ17</f>
        <v>0.71720835809071104</v>
      </c>
      <c r="CO48" s="216">
        <f>'methyl chloride'!CR17</f>
        <v>0.71720835809071104</v>
      </c>
      <c r="CP48" s="216">
        <f>'methyl chloride'!CS17</f>
        <v>0.71562289562289561</v>
      </c>
      <c r="CQ48" s="216">
        <f>'methyl chloride'!CT17</f>
        <v>0.71562289562289561</v>
      </c>
      <c r="CR48" s="216">
        <f>'methyl chloride'!CU17</f>
        <v>0.71562289562289561</v>
      </c>
      <c r="CS48" s="216">
        <f>'methyl chloride'!CV17</f>
        <v>0.71562289562289561</v>
      </c>
      <c r="CT48" s="216">
        <f>'methyl chloride'!CW17</f>
        <v>0.71245197068726485</v>
      </c>
      <c r="CU48" s="216">
        <f>'methyl chloride'!CX17</f>
        <v>0.71245197068726485</v>
      </c>
      <c r="CV48" s="216">
        <f>'methyl chloride'!CY17</f>
        <v>0.71245197068726485</v>
      </c>
      <c r="CW48" s="216">
        <f>'methyl chloride'!CZ17</f>
        <v>0.71245197068726485</v>
      </c>
      <c r="CX48" s="216">
        <f>'methyl chloride'!DA17</f>
        <v>0.71245197068726485</v>
      </c>
      <c r="CY48" s="216">
        <f>'methyl chloride'!DB17</f>
        <v>0.71245197068726485</v>
      </c>
      <c r="CZ48" s="216">
        <f>'methyl chloride'!DC17</f>
        <v>0.71245197068726485</v>
      </c>
      <c r="DA48" s="216">
        <f>'methyl chloride'!DD17</f>
        <v>0.71245197068726485</v>
      </c>
      <c r="DB48" s="216">
        <f>'methyl chloride'!DE17</f>
        <v>0.71245197068726485</v>
      </c>
      <c r="DC48" s="216">
        <f>'methyl chloride'!DF17</f>
        <v>0.71245197068726485</v>
      </c>
      <c r="DD48" s="216">
        <f>'methyl chloride'!DG17</f>
        <v>0.71245197068726485</v>
      </c>
      <c r="DE48" s="216">
        <f>'methyl chloride'!DH17</f>
        <v>0.71245197068726485</v>
      </c>
      <c r="DF48" s="216">
        <f>'methyl chloride'!DI17</f>
        <v>0.71245197068726485</v>
      </c>
      <c r="DG48" s="216">
        <f>'methyl chloride'!DJ17</f>
        <v>0.71879382055852648</v>
      </c>
      <c r="DH48" s="216">
        <f>'methyl chloride'!DK17</f>
        <v>0.71879382055852648</v>
      </c>
      <c r="DI48" s="216">
        <f>'methyl chloride'!DL17</f>
        <v>0.71879382055852648</v>
      </c>
      <c r="DJ48" s="216">
        <f>'methyl chloride'!DM17</f>
        <v>0.71879382055852648</v>
      </c>
      <c r="DK48" s="216">
        <f>'methyl chloride'!DN17</f>
        <v>0.70928104575163409</v>
      </c>
      <c r="DL48" s="216">
        <f>'methyl chloride'!DO17</f>
        <v>0.70928104575163409</v>
      </c>
      <c r="DM48" s="216">
        <f>'methyl chloride'!DP17</f>
        <v>0.70928104575163409</v>
      </c>
      <c r="DN48" s="216">
        <f>'methyl chloride'!DQ17</f>
        <v>0.70928104575163409</v>
      </c>
      <c r="DO48" s="216">
        <f>'methyl chloride'!DR17</f>
        <v>0.70928104575163409</v>
      </c>
      <c r="DP48" s="216">
        <f>'methyl chloride'!DS17</f>
        <v>0.7203792830263418</v>
      </c>
      <c r="DQ48" s="178"/>
      <c r="DR48" s="178"/>
    </row>
    <row r="49" spans="1:124 16384:16384">
      <c r="A49" s="178" t="str">
        <f t="shared" si="0"/>
        <v>Toluene USD</v>
      </c>
      <c r="B49" s="178" t="s">
        <v>84</v>
      </c>
      <c r="C49" s="254" t="s">
        <v>85</v>
      </c>
      <c r="D49" s="178" t="s">
        <v>33</v>
      </c>
      <c r="E49" s="178" t="s">
        <v>34</v>
      </c>
      <c r="F49" s="216">
        <v>0.73926447204193557</v>
      </c>
      <c r="G49" s="216">
        <v>0.73257958453993366</v>
      </c>
      <c r="H49" s="216">
        <v>0.66954397982009572</v>
      </c>
      <c r="I49" s="216">
        <v>0.53868738158688978</v>
      </c>
      <c r="J49" s="216">
        <v>0.44985920502596355</v>
      </c>
      <c r="K49" s="216">
        <v>0.46057684515600761</v>
      </c>
      <c r="L49" s="216">
        <v>0.47005029737607462</v>
      </c>
      <c r="M49" s="216">
        <v>0.48746923541239773</v>
      </c>
      <c r="N49" s="216">
        <v>0.4800307164341554</v>
      </c>
      <c r="O49" s="216">
        <v>0.48010908663308233</v>
      </c>
      <c r="P49" s="216">
        <v>0.4769385490946641</v>
      </c>
      <c r="Q49" s="216">
        <v>0.51666339808275996</v>
      </c>
      <c r="R49" s="216">
        <v>0.5625311446201936</v>
      </c>
      <c r="S49" s="216">
        <v>0.62201794967262725</v>
      </c>
      <c r="T49" s="216">
        <v>0.72408483009557645</v>
      </c>
      <c r="U49" s="216">
        <v>0.75727693704973797</v>
      </c>
      <c r="V49" s="216">
        <v>0.77862083962579187</v>
      </c>
      <c r="W49" s="216">
        <v>0.80406958435891696</v>
      </c>
      <c r="X49" s="216">
        <v>0.81103315941211229</v>
      </c>
      <c r="Y49" s="216">
        <v>0.81745158576130617</v>
      </c>
      <c r="Z49" s="216">
        <v>0.83497916516964132</v>
      </c>
      <c r="AA49" s="216">
        <v>0.85324918027475305</v>
      </c>
      <c r="AB49" s="216">
        <v>0.89349876797068284</v>
      </c>
      <c r="AC49" s="216">
        <v>0.90130056498071764</v>
      </c>
      <c r="AD49" s="216">
        <v>0.84232425107368802</v>
      </c>
      <c r="AE49" s="216">
        <v>0.8458153333045445</v>
      </c>
      <c r="AF49" s="216">
        <v>0.91770311827330309</v>
      </c>
      <c r="AG49" s="216">
        <v>1.1046654536902492</v>
      </c>
      <c r="AH49" s="216">
        <v>1.1279342214259058</v>
      </c>
      <c r="AI49" s="216">
        <v>1.2064047548263157</v>
      </c>
      <c r="AJ49" s="216">
        <v>1.26656900626903</v>
      </c>
      <c r="AK49" s="216">
        <v>1.21448634024517</v>
      </c>
      <c r="AL49" s="216">
        <v>1.0975975399758016</v>
      </c>
      <c r="AM49" s="216">
        <v>1.0780184537897088</v>
      </c>
      <c r="AN49" s="216">
        <v>1.0840225128740291</v>
      </c>
      <c r="AO49" s="216">
        <v>1.0509643861842928</v>
      </c>
      <c r="AP49" s="216">
        <v>0.93720626739160129</v>
      </c>
      <c r="AQ49" s="216">
        <v>0.96781536534366197</v>
      </c>
      <c r="AR49" s="216">
        <v>0.98864844558136955</v>
      </c>
      <c r="AS49" s="214">
        <v>1.02</v>
      </c>
      <c r="AT49" s="214">
        <v>1.03</v>
      </c>
      <c r="AU49" s="214">
        <v>0.96</v>
      </c>
      <c r="AV49" s="214">
        <v>0.96</v>
      </c>
      <c r="AW49" s="214">
        <v>0.96</v>
      </c>
      <c r="AX49" s="214">
        <v>0.96</v>
      </c>
      <c r="AY49" s="214">
        <v>1.028</v>
      </c>
      <c r="AZ49" s="214">
        <v>1</v>
      </c>
      <c r="BA49" s="214">
        <v>1</v>
      </c>
      <c r="BB49" s="214">
        <v>1.02</v>
      </c>
      <c r="BC49" s="214">
        <v>1.02</v>
      </c>
      <c r="BD49" s="214">
        <v>0.99</v>
      </c>
      <c r="BE49" s="214">
        <v>1.052</v>
      </c>
      <c r="BF49" s="214">
        <v>1.093</v>
      </c>
      <c r="BG49" s="214">
        <v>1.05</v>
      </c>
      <c r="BH49" s="216">
        <v>0.91800000000000004</v>
      </c>
      <c r="BI49" s="214">
        <v>0.94</v>
      </c>
      <c r="BJ49" s="216">
        <v>0.93400000000000005</v>
      </c>
      <c r="BK49" s="214">
        <v>0.91800000000000004</v>
      </c>
      <c r="BL49" s="214">
        <v>0.91800000000000004</v>
      </c>
      <c r="BM49" s="214">
        <v>0.91800000000000004</v>
      </c>
      <c r="BN49" s="214">
        <v>0.91800000000000004</v>
      </c>
      <c r="BO49" s="214">
        <v>0.88200000000000001</v>
      </c>
      <c r="BP49" s="214">
        <v>0.875</v>
      </c>
      <c r="BQ49" s="214">
        <v>0.89800000000000002</v>
      </c>
      <c r="BR49" s="214">
        <v>0.84399999999999997</v>
      </c>
      <c r="BS49" s="214">
        <v>0.91</v>
      </c>
      <c r="BT49" s="216">
        <v>0.90500000000000003</v>
      </c>
      <c r="BU49" s="214">
        <v>0.92</v>
      </c>
      <c r="BV49" s="214">
        <v>0.92800000000000005</v>
      </c>
      <c r="BW49" s="214">
        <v>0.93799999999999994</v>
      </c>
      <c r="BX49" s="214">
        <v>0.93799999999999994</v>
      </c>
      <c r="BY49" s="214">
        <v>0.94899999999999995</v>
      </c>
      <c r="BZ49" s="214">
        <v>0.95399999999999996</v>
      </c>
      <c r="CA49" s="214">
        <v>0.95399999999999996</v>
      </c>
      <c r="CB49" s="214">
        <v>0.91900000000000004</v>
      </c>
      <c r="CC49" s="214">
        <v>0.91900000000000004</v>
      </c>
      <c r="CD49" s="214">
        <v>0.97799999999999998</v>
      </c>
      <c r="CE49" s="214">
        <v>0.99</v>
      </c>
      <c r="CF49" s="214">
        <v>1.0229999999999999</v>
      </c>
      <c r="CG49" s="214">
        <v>1.02</v>
      </c>
      <c r="CH49" s="214">
        <v>1.02</v>
      </c>
      <c r="CI49" s="214">
        <v>0.95499999999999996</v>
      </c>
      <c r="CJ49" s="214">
        <v>0.98799999999999999</v>
      </c>
      <c r="CK49" s="214">
        <v>0.98399999999999999</v>
      </c>
      <c r="CL49" s="178">
        <v>0.98199999999999998</v>
      </c>
      <c r="CM49" s="178">
        <v>0.96</v>
      </c>
      <c r="CN49" s="214">
        <v>0.96</v>
      </c>
      <c r="CO49" s="214">
        <v>0.96899999999999997</v>
      </c>
      <c r="CP49" s="214">
        <v>0.997</v>
      </c>
      <c r="CQ49" s="214">
        <v>0.98</v>
      </c>
      <c r="CR49" s="214">
        <v>0.95199999999999996</v>
      </c>
      <c r="CS49" s="214">
        <v>0.96699999999999997</v>
      </c>
      <c r="CT49" s="214">
        <v>0.96199999999999997</v>
      </c>
      <c r="CU49" s="214">
        <v>0.94799999999999995</v>
      </c>
      <c r="CV49" s="214">
        <v>0.93500000000000005</v>
      </c>
      <c r="CW49" s="214">
        <v>0.93300000000000005</v>
      </c>
      <c r="CX49" s="214">
        <v>0.93300000000000005</v>
      </c>
      <c r="CY49" s="214">
        <v>0.93899999999999995</v>
      </c>
      <c r="CZ49" s="214">
        <v>0.879</v>
      </c>
      <c r="DA49" s="214">
        <v>0.86</v>
      </c>
      <c r="DB49" s="214">
        <v>0.77600000000000002</v>
      </c>
      <c r="DC49" s="214">
        <v>0.79200000000000004</v>
      </c>
      <c r="DD49" s="214">
        <v>0.80400000000000005</v>
      </c>
      <c r="DE49" s="214">
        <v>0.88</v>
      </c>
      <c r="DF49" s="214">
        <v>0.88</v>
      </c>
      <c r="DG49" s="214">
        <v>0.88</v>
      </c>
      <c r="DH49" s="214">
        <v>0.879</v>
      </c>
      <c r="DI49" s="214">
        <v>0.754</v>
      </c>
      <c r="DJ49" s="214">
        <v>0.754</v>
      </c>
      <c r="DK49" s="214">
        <v>0.79700000000000004</v>
      </c>
      <c r="DL49" s="214">
        <v>0.79700000000000004</v>
      </c>
      <c r="DM49" s="214">
        <v>0.79700000000000004</v>
      </c>
      <c r="DN49" s="214">
        <v>0.80800000000000005</v>
      </c>
      <c r="DO49" s="214">
        <v>0.80800000000000005</v>
      </c>
      <c r="DP49" s="214">
        <v>0.79900000000000004</v>
      </c>
      <c r="DQ49" s="178"/>
      <c r="DR49" s="178"/>
    </row>
    <row r="50" spans="1:124 16384:16384">
      <c r="A50" s="178" t="str">
        <f t="shared" si="0"/>
        <v>Acetic acidUSD</v>
      </c>
      <c r="B50" s="178" t="s">
        <v>46</v>
      </c>
      <c r="C50" s="178" t="s">
        <v>86</v>
      </c>
      <c r="D50" s="178" t="s">
        <v>33</v>
      </c>
      <c r="E50" s="178" t="s">
        <v>32</v>
      </c>
      <c r="F50" s="215">
        <v>374.5</v>
      </c>
      <c r="G50" s="215">
        <v>375.625</v>
      </c>
      <c r="H50" s="215">
        <v>340</v>
      </c>
      <c r="I50" s="215">
        <v>313.75</v>
      </c>
      <c r="J50" s="215">
        <v>326</v>
      </c>
      <c r="K50" s="215">
        <v>315</v>
      </c>
      <c r="L50" s="215">
        <v>337.5</v>
      </c>
      <c r="M50" s="215">
        <v>337.5</v>
      </c>
      <c r="N50" s="215">
        <v>361.25</v>
      </c>
      <c r="O50" s="215">
        <v>386.5</v>
      </c>
      <c r="P50" s="215">
        <v>426.25</v>
      </c>
      <c r="Q50" s="215">
        <v>673.75</v>
      </c>
      <c r="R50" s="215">
        <v>645.625</v>
      </c>
      <c r="S50" s="215">
        <v>812.5</v>
      </c>
      <c r="T50" s="215">
        <v>973</v>
      </c>
      <c r="U50" s="215">
        <v>997</v>
      </c>
      <c r="V50" s="215">
        <v>1040</v>
      </c>
      <c r="W50" s="215">
        <v>1018.75</v>
      </c>
      <c r="X50" s="215">
        <v>897</v>
      </c>
      <c r="Y50" s="215">
        <v>861.25</v>
      </c>
      <c r="Z50" s="215">
        <v>973.75</v>
      </c>
      <c r="AA50" s="215">
        <v>1227</v>
      </c>
      <c r="AB50" s="215">
        <v>1052.5</v>
      </c>
      <c r="AC50" s="215">
        <v>885.625</v>
      </c>
      <c r="AD50" s="215">
        <v>801.25</v>
      </c>
      <c r="AE50" s="215">
        <v>705.625</v>
      </c>
      <c r="AF50" s="215">
        <v>701.875</v>
      </c>
      <c r="AG50" s="215">
        <v>784</v>
      </c>
      <c r="AH50" s="215">
        <v>730</v>
      </c>
      <c r="AI50" s="215">
        <v>703.75</v>
      </c>
      <c r="AJ50" s="215">
        <v>581</v>
      </c>
      <c r="AK50" s="215">
        <v>531.25</v>
      </c>
      <c r="AL50" s="215">
        <v>495.5</v>
      </c>
      <c r="AM50" s="215">
        <v>476.25</v>
      </c>
      <c r="AN50" s="214">
        <v>475</v>
      </c>
      <c r="AO50" s="214">
        <v>440</v>
      </c>
      <c r="AP50" s="215">
        <v>440</v>
      </c>
      <c r="AQ50" s="215">
        <v>445</v>
      </c>
      <c r="AR50" s="215">
        <v>452</v>
      </c>
      <c r="AS50" s="214">
        <v>447.5</v>
      </c>
      <c r="AT50" s="214">
        <v>455</v>
      </c>
      <c r="AU50" s="214">
        <v>460</v>
      </c>
      <c r="AV50" s="214">
        <v>415</v>
      </c>
      <c r="AW50" s="214">
        <v>435</v>
      </c>
      <c r="AX50" s="214">
        <v>445</v>
      </c>
      <c r="AY50" s="214">
        <v>425</v>
      </c>
      <c r="AZ50" s="214">
        <v>425</v>
      </c>
      <c r="BA50" s="214">
        <v>440</v>
      </c>
      <c r="BB50" s="214">
        <v>465</v>
      </c>
      <c r="BC50" s="214">
        <v>480</v>
      </c>
      <c r="BD50" s="214">
        <v>510</v>
      </c>
      <c r="BE50" s="214">
        <v>522.5</v>
      </c>
      <c r="BF50" s="214">
        <v>582.5</v>
      </c>
      <c r="BG50" s="214">
        <v>612.5</v>
      </c>
      <c r="BH50" s="214">
        <v>592.5</v>
      </c>
      <c r="BI50" s="214">
        <v>564</v>
      </c>
      <c r="BJ50" s="214">
        <v>510</v>
      </c>
      <c r="BK50" s="214">
        <v>475</v>
      </c>
      <c r="BL50" s="214">
        <v>455</v>
      </c>
      <c r="BM50" s="214">
        <v>435</v>
      </c>
      <c r="BN50" s="214">
        <v>435</v>
      </c>
      <c r="BO50" s="214">
        <v>435</v>
      </c>
      <c r="BP50" s="214">
        <v>435</v>
      </c>
      <c r="BQ50" s="214">
        <v>480</v>
      </c>
      <c r="BR50" s="214">
        <v>450</v>
      </c>
      <c r="BS50" s="214">
        <v>452.5</v>
      </c>
      <c r="BT50" s="214">
        <v>450</v>
      </c>
      <c r="BU50" s="214">
        <v>445</v>
      </c>
      <c r="BV50" s="214">
        <v>445</v>
      </c>
      <c r="BW50" s="214">
        <v>455</v>
      </c>
      <c r="BX50" s="214">
        <v>455</v>
      </c>
      <c r="BY50" s="214">
        <v>462</v>
      </c>
      <c r="BZ50" s="214">
        <v>457.5</v>
      </c>
      <c r="CA50" s="214">
        <v>465</v>
      </c>
      <c r="CB50" s="214">
        <v>465</v>
      </c>
      <c r="CC50" s="214">
        <v>465</v>
      </c>
      <c r="CD50" s="214">
        <v>455</v>
      </c>
      <c r="CE50" s="214">
        <v>452.5</v>
      </c>
      <c r="CF50" s="214">
        <v>470</v>
      </c>
      <c r="CG50" s="214">
        <v>475</v>
      </c>
      <c r="CH50" s="214">
        <v>475</v>
      </c>
      <c r="CI50" s="214">
        <v>475</v>
      </c>
      <c r="CJ50" s="214">
        <v>475</v>
      </c>
      <c r="CK50" s="214">
        <v>460</v>
      </c>
      <c r="CL50" s="214">
        <v>460</v>
      </c>
      <c r="CM50" s="214">
        <v>460</v>
      </c>
      <c r="CN50" s="214">
        <v>450</v>
      </c>
      <c r="CO50" s="214">
        <v>445</v>
      </c>
      <c r="CP50" s="214">
        <v>450</v>
      </c>
      <c r="CQ50" s="214">
        <v>445</v>
      </c>
      <c r="CR50" s="214">
        <v>440</v>
      </c>
      <c r="CS50" s="214">
        <v>437.5</v>
      </c>
      <c r="CT50" s="214">
        <v>437.5</v>
      </c>
      <c r="CU50" s="214">
        <v>440</v>
      </c>
      <c r="CV50" s="214">
        <v>445</v>
      </c>
      <c r="CW50" s="214">
        <v>445</v>
      </c>
      <c r="CX50" s="214">
        <v>445</v>
      </c>
      <c r="CY50" s="214">
        <v>452</v>
      </c>
      <c r="CZ50" s="214">
        <v>452</v>
      </c>
      <c r="DA50" s="214">
        <v>442</v>
      </c>
      <c r="DB50" s="214">
        <v>442</v>
      </c>
      <c r="DC50" s="214">
        <v>440</v>
      </c>
      <c r="DD50" s="214">
        <v>432.5</v>
      </c>
      <c r="DE50" s="214">
        <v>432.5</v>
      </c>
      <c r="DF50" s="214">
        <v>427.5</v>
      </c>
      <c r="DG50" s="214">
        <v>425</v>
      </c>
      <c r="DH50" s="214">
        <v>420</v>
      </c>
      <c r="DI50" s="214">
        <v>417.5</v>
      </c>
      <c r="DJ50" s="214">
        <v>412.5</v>
      </c>
      <c r="DK50" s="214">
        <v>407.5</v>
      </c>
      <c r="DL50" s="214">
        <v>407.5</v>
      </c>
      <c r="DM50" s="214">
        <v>407.5</v>
      </c>
      <c r="DN50" s="214">
        <v>407.5</v>
      </c>
      <c r="DO50" s="214">
        <v>405</v>
      </c>
      <c r="DP50" s="214">
        <v>405</v>
      </c>
      <c r="DQ50" s="178"/>
      <c r="DR50" s="178"/>
    </row>
    <row r="51" spans="1:124 16384:16384">
      <c r="A51" s="178" t="str">
        <f t="shared" si="0"/>
        <v>CRUDE NAPHTHALENEUSD</v>
      </c>
      <c r="B51" s="178" t="s">
        <v>56</v>
      </c>
      <c r="C51" s="178" t="s">
        <v>87</v>
      </c>
      <c r="D51" s="178" t="s">
        <v>33</v>
      </c>
      <c r="E51" s="178" t="s">
        <v>34</v>
      </c>
      <c r="F51" s="216">
        <v>0.56998312620807201</v>
      </c>
      <c r="G51" s="216">
        <v>0.59121073208170472</v>
      </c>
      <c r="H51" s="216">
        <v>0.58622607532656246</v>
      </c>
      <c r="I51" s="216">
        <v>0.61453884161169792</v>
      </c>
      <c r="J51" s="216">
        <v>0.55963594642841941</v>
      </c>
      <c r="K51" s="216">
        <v>0.53943246925582156</v>
      </c>
      <c r="L51" s="216">
        <v>0.53897666466049809</v>
      </c>
      <c r="M51" s="216">
        <v>0.48993228114808474</v>
      </c>
      <c r="N51" s="216">
        <v>0.54843546543005162</v>
      </c>
      <c r="O51" s="216">
        <v>0.5875206557450755</v>
      </c>
      <c r="P51" s="216">
        <v>0.53379788183505095</v>
      </c>
      <c r="Q51" s="216">
        <v>0.51662325941883824</v>
      </c>
      <c r="R51" s="216">
        <v>0.54909801919251666</v>
      </c>
      <c r="S51" s="216">
        <v>0.6301582784239399</v>
      </c>
      <c r="T51" s="216">
        <v>0.66500382340638975</v>
      </c>
      <c r="U51" s="216">
        <v>0.71638009701499605</v>
      </c>
      <c r="V51" s="216">
        <v>0.76506863326602914</v>
      </c>
      <c r="W51" s="216">
        <v>0.81552637761213986</v>
      </c>
      <c r="X51" s="216">
        <v>0.79669128751853679</v>
      </c>
      <c r="Y51" s="216">
        <v>0.80482136926502679</v>
      </c>
      <c r="Z51" s="216">
        <v>0.78612220742713423</v>
      </c>
      <c r="AA51" s="216">
        <v>0.91526742472307765</v>
      </c>
      <c r="AB51" s="216">
        <v>0.8832738116588762</v>
      </c>
      <c r="AC51" s="216">
        <v>1.0631600925093152</v>
      </c>
      <c r="AD51" s="216">
        <v>1.0076964221548521</v>
      </c>
      <c r="AE51" s="216">
        <v>1.0527002119683169</v>
      </c>
      <c r="AF51" s="216">
        <v>1.0489733506738959</v>
      </c>
      <c r="AG51" s="216">
        <v>0.82908082408874806</v>
      </c>
      <c r="AH51" s="216">
        <v>0.86919572107765453</v>
      </c>
      <c r="AI51" s="216">
        <v>0.88815126050420168</v>
      </c>
      <c r="AJ51" s="216">
        <f>AI51</f>
        <v>0.88815126050420168</v>
      </c>
      <c r="AK51" s="216">
        <v>0.86</v>
      </c>
      <c r="AL51" s="216">
        <v>0.82</v>
      </c>
      <c r="AM51" s="216">
        <f>AL51</f>
        <v>0.82</v>
      </c>
      <c r="AN51" s="216">
        <v>0.81555555555555559</v>
      </c>
      <c r="AO51" s="216">
        <v>0.82</v>
      </c>
      <c r="AP51" s="216">
        <v>1.0977999999999999</v>
      </c>
      <c r="AQ51" s="216">
        <v>0.94809999999999994</v>
      </c>
      <c r="AR51" s="216">
        <v>0.85</v>
      </c>
      <c r="AS51" s="214">
        <v>0.79</v>
      </c>
      <c r="AT51" s="214">
        <v>0.79</v>
      </c>
      <c r="AU51" s="214">
        <v>0.82</v>
      </c>
      <c r="AV51" s="214">
        <v>0.82</v>
      </c>
      <c r="AW51" s="214">
        <v>0.82</v>
      </c>
      <c r="AX51" s="214">
        <v>0.99</v>
      </c>
      <c r="AY51" s="214">
        <v>0.99</v>
      </c>
      <c r="AZ51" s="214">
        <v>0.99</v>
      </c>
      <c r="BA51" s="214">
        <v>0.79</v>
      </c>
      <c r="BB51" s="214">
        <v>0.79</v>
      </c>
      <c r="BC51" s="214">
        <v>0.79</v>
      </c>
      <c r="BD51" s="214">
        <v>0.79</v>
      </c>
      <c r="BE51" s="214">
        <v>0.85</v>
      </c>
      <c r="BF51" s="214">
        <v>0.85</v>
      </c>
      <c r="BG51" s="214">
        <v>0.75</v>
      </c>
      <c r="BH51" s="214">
        <v>0.75</v>
      </c>
      <c r="BI51" s="214">
        <v>0.75</v>
      </c>
      <c r="BJ51" s="214">
        <v>0.75</v>
      </c>
      <c r="BK51" s="214">
        <v>0.8</v>
      </c>
      <c r="BL51" s="214">
        <v>0.8</v>
      </c>
      <c r="BM51" s="214">
        <v>0.75</v>
      </c>
      <c r="BN51" s="214">
        <v>0.75</v>
      </c>
      <c r="BO51" s="214">
        <v>0.75</v>
      </c>
      <c r="BP51" s="214">
        <v>0.75</v>
      </c>
      <c r="BQ51" s="214">
        <v>0.75</v>
      </c>
      <c r="BR51" s="214">
        <v>0.76</v>
      </c>
      <c r="BS51" s="214">
        <v>0.76</v>
      </c>
      <c r="BT51" s="214">
        <v>0.76</v>
      </c>
      <c r="BU51" s="214">
        <v>0.76</v>
      </c>
      <c r="BV51" s="214">
        <v>0.76</v>
      </c>
      <c r="BW51" s="214">
        <v>0.76</v>
      </c>
      <c r="BX51" s="214">
        <v>0.76</v>
      </c>
      <c r="BY51" s="214">
        <v>0.76</v>
      </c>
      <c r="BZ51" s="214">
        <v>0.85</v>
      </c>
      <c r="CA51" s="214">
        <v>0.85</v>
      </c>
      <c r="CB51" s="214">
        <v>0.85</v>
      </c>
      <c r="CC51" s="214">
        <v>0.85</v>
      </c>
      <c r="CD51" s="214">
        <v>0.85</v>
      </c>
      <c r="CE51" s="214">
        <v>0.85</v>
      </c>
      <c r="CF51" s="214">
        <v>0.85</v>
      </c>
      <c r="CG51" s="214">
        <v>0.82</v>
      </c>
      <c r="CH51" s="214">
        <v>0.76</v>
      </c>
      <c r="CI51" s="214">
        <v>0.76</v>
      </c>
      <c r="CJ51" s="214">
        <v>0.76</v>
      </c>
      <c r="CK51" s="214">
        <v>0.76</v>
      </c>
      <c r="CL51" s="214">
        <v>0.76</v>
      </c>
      <c r="CM51" s="214">
        <v>0.76</v>
      </c>
      <c r="CN51" s="214">
        <v>0.76</v>
      </c>
      <c r="CO51" s="214">
        <v>0.76</v>
      </c>
      <c r="CP51" s="214">
        <v>0.76</v>
      </c>
      <c r="CQ51" s="214">
        <v>0.76</v>
      </c>
      <c r="CR51" s="214">
        <v>0.76</v>
      </c>
      <c r="CS51" s="214">
        <v>0.76</v>
      </c>
      <c r="CT51" s="214">
        <v>0.76</v>
      </c>
      <c r="CU51" s="214">
        <v>0.76</v>
      </c>
      <c r="CV51" s="214">
        <v>0.76</v>
      </c>
      <c r="CW51" s="214">
        <v>0.76</v>
      </c>
      <c r="CX51" s="214">
        <v>0.76</v>
      </c>
      <c r="CY51" s="214">
        <v>0.76</v>
      </c>
      <c r="CZ51" s="214">
        <v>0.76</v>
      </c>
      <c r="DA51" s="214">
        <v>0.76</v>
      </c>
      <c r="DB51" s="214">
        <v>0.76</v>
      </c>
      <c r="DC51" s="214">
        <v>0.76</v>
      </c>
      <c r="DD51" s="214">
        <v>0.76</v>
      </c>
      <c r="DE51" s="214">
        <v>0.87</v>
      </c>
      <c r="DF51" s="214">
        <v>0.87</v>
      </c>
      <c r="DG51" s="214">
        <v>0.87</v>
      </c>
      <c r="DH51" s="214">
        <v>0.87</v>
      </c>
      <c r="DI51" s="214">
        <v>0.87</v>
      </c>
      <c r="DJ51" s="214">
        <v>0.95</v>
      </c>
      <c r="DK51" s="214">
        <v>0.95</v>
      </c>
      <c r="DL51" s="214">
        <v>0.95</v>
      </c>
      <c r="DM51" s="214">
        <v>0.95</v>
      </c>
      <c r="DN51" s="214">
        <v>0.95</v>
      </c>
      <c r="DO51" s="214">
        <v>0.95</v>
      </c>
      <c r="DP51" s="214">
        <v>0.95</v>
      </c>
      <c r="DQ51" s="178"/>
      <c r="DR51" s="178"/>
    </row>
    <row r="52" spans="1:124 16384:16384">
      <c r="A52" s="178" t="str">
        <f t="shared" si="0"/>
        <v>ODCBUSD</v>
      </c>
      <c r="B52" s="178" t="s">
        <v>88</v>
      </c>
      <c r="C52" s="178" t="s">
        <v>89</v>
      </c>
      <c r="D52" s="178" t="s">
        <v>33</v>
      </c>
      <c r="E52" s="178" t="s">
        <v>34</v>
      </c>
      <c r="F52" s="216">
        <v>0.9909338505123767</v>
      </c>
      <c r="G52" s="216">
        <v>0.9682681766063479</v>
      </c>
      <c r="H52" s="216">
        <f>G52</f>
        <v>0.9682681766063479</v>
      </c>
      <c r="I52" s="256">
        <v>0.83908728638676178</v>
      </c>
      <c r="J52" s="256">
        <v>0.95250665215011177</v>
      </c>
      <c r="K52" s="256">
        <f>J52</f>
        <v>0.95250665215011177</v>
      </c>
      <c r="L52" s="256">
        <f>K52</f>
        <v>0.95250665215011177</v>
      </c>
      <c r="M52" s="256">
        <f>L52</f>
        <v>0.95250665215011177</v>
      </c>
      <c r="N52" s="256">
        <v>0.83706538080933135</v>
      </c>
      <c r="O52" s="256">
        <v>0.98617263245202047</v>
      </c>
      <c r="P52" s="256">
        <v>1.1410185755028048</v>
      </c>
      <c r="Q52" s="256">
        <v>1.150783576752211</v>
      </c>
      <c r="R52" s="256">
        <v>1.9862542955326459</v>
      </c>
      <c r="S52" s="256">
        <f>R52</f>
        <v>1.9862542955326459</v>
      </c>
      <c r="T52" s="256">
        <f>S52</f>
        <v>1.9862542955326459</v>
      </c>
      <c r="U52" s="256">
        <v>0.76868179986568164</v>
      </c>
      <c r="V52" s="256">
        <v>0.9018200166842103</v>
      </c>
      <c r="W52" s="256">
        <v>0.96085805938859958</v>
      </c>
      <c r="X52" s="256">
        <v>0.74996042095630289</v>
      </c>
      <c r="Y52" s="256">
        <f>X52</f>
        <v>0.74996042095630289</v>
      </c>
      <c r="Z52" s="256">
        <f>Y52</f>
        <v>0.74996042095630289</v>
      </c>
      <c r="AA52" s="256">
        <v>1.1378378378378378</v>
      </c>
      <c r="AB52" s="256">
        <f>AA52</f>
        <v>1.1378378378378378</v>
      </c>
      <c r="AC52" s="256">
        <f>AB52</f>
        <v>1.1378378378378378</v>
      </c>
      <c r="AD52" s="256">
        <v>1.5782851382342185</v>
      </c>
      <c r="AE52" s="256">
        <f>AD52</f>
        <v>1.5782851382342185</v>
      </c>
      <c r="AF52" s="256">
        <v>1.3022790625455145</v>
      </c>
      <c r="AG52" s="256">
        <v>1.311015</v>
      </c>
      <c r="AH52" s="256">
        <v>1.5689135135135135</v>
      </c>
      <c r="AI52" s="256">
        <f>AH52</f>
        <v>1.5689135135135135</v>
      </c>
      <c r="AJ52" s="256">
        <v>1.7508420833333334</v>
      </c>
      <c r="AK52" s="256">
        <v>1.6302877777777778</v>
      </c>
      <c r="AL52" s="256">
        <v>1.3829733163913596</v>
      </c>
      <c r="AM52" s="256">
        <v>1.4076415368168556</v>
      </c>
      <c r="AN52" s="256">
        <v>1.3916962116439324</v>
      </c>
      <c r="AO52" s="256">
        <v>1.4075701714285713</v>
      </c>
      <c r="AP52" s="256">
        <v>1.3134433055091814</v>
      </c>
      <c r="AQ52" s="256">
        <v>1.0548964000000001</v>
      </c>
      <c r="AR52" s="256">
        <v>1.0507960000000001</v>
      </c>
      <c r="AS52" s="214">
        <v>1.02</v>
      </c>
      <c r="AT52" s="214">
        <v>1.02</v>
      </c>
      <c r="AU52" s="214">
        <v>1.02</v>
      </c>
      <c r="AV52" s="214">
        <v>1.02</v>
      </c>
      <c r="AW52" s="214">
        <v>1.02</v>
      </c>
      <c r="AX52" s="214">
        <v>1.02</v>
      </c>
      <c r="AY52" s="214">
        <v>1.02</v>
      </c>
      <c r="AZ52" s="214">
        <v>1.02</v>
      </c>
      <c r="BA52" s="214">
        <v>1.02</v>
      </c>
      <c r="BB52" s="214">
        <v>1.02</v>
      </c>
      <c r="BC52" s="214">
        <v>1.02</v>
      </c>
      <c r="BD52" s="214">
        <v>1.02</v>
      </c>
      <c r="BE52" s="214">
        <v>1.02</v>
      </c>
      <c r="BF52" s="214">
        <v>1.02</v>
      </c>
      <c r="BG52" s="214">
        <v>1.02</v>
      </c>
      <c r="BH52" s="214">
        <v>1.02</v>
      </c>
      <c r="BI52" s="214">
        <v>1.02</v>
      </c>
      <c r="BJ52" s="214">
        <v>1.02</v>
      </c>
      <c r="BK52" s="214">
        <v>1.04</v>
      </c>
      <c r="BL52" s="214">
        <v>1.04</v>
      </c>
      <c r="BM52" s="214">
        <v>1.04</v>
      </c>
      <c r="BN52" s="214">
        <v>1.04</v>
      </c>
      <c r="BO52" s="214">
        <v>1.04</v>
      </c>
      <c r="BP52" s="214">
        <v>1.04</v>
      </c>
      <c r="BQ52" s="214">
        <v>1.04</v>
      </c>
      <c r="BR52" s="214">
        <v>1.04</v>
      </c>
      <c r="BS52" s="214">
        <v>1.04</v>
      </c>
      <c r="BT52" s="214">
        <v>1.04</v>
      </c>
      <c r="BU52" s="214">
        <v>1.04</v>
      </c>
      <c r="BV52" s="214">
        <v>1.04</v>
      </c>
      <c r="BW52" s="214">
        <v>1.04</v>
      </c>
      <c r="BX52" s="214">
        <v>1.04</v>
      </c>
      <c r="BY52" s="214">
        <v>1.04</v>
      </c>
      <c r="BZ52" s="214">
        <v>1.04</v>
      </c>
      <c r="CA52" s="214">
        <v>1.04</v>
      </c>
      <c r="CB52" s="214">
        <v>1.04</v>
      </c>
      <c r="CC52" s="214">
        <v>1.04</v>
      </c>
      <c r="CD52" s="214">
        <v>1.04</v>
      </c>
      <c r="CE52" s="214">
        <v>1.04</v>
      </c>
      <c r="CF52" s="214">
        <v>1.04</v>
      </c>
      <c r="CG52" s="214">
        <v>1.04</v>
      </c>
      <c r="CH52" s="214">
        <v>1.04</v>
      </c>
      <c r="CI52" s="214">
        <v>1.04</v>
      </c>
      <c r="CJ52" s="214">
        <v>1.04</v>
      </c>
      <c r="CK52" s="214">
        <v>1.04</v>
      </c>
      <c r="CL52" s="214">
        <v>1.04</v>
      </c>
      <c r="CM52" s="214">
        <v>1.04</v>
      </c>
      <c r="CN52" s="214">
        <v>1.04</v>
      </c>
      <c r="CO52" s="214">
        <v>1.04</v>
      </c>
      <c r="CP52" s="214">
        <v>1.04</v>
      </c>
      <c r="CQ52" s="214">
        <v>1.04</v>
      </c>
      <c r="CR52" s="214">
        <v>1.04</v>
      </c>
      <c r="CS52" s="214">
        <v>1.04</v>
      </c>
      <c r="CT52" s="214">
        <v>1.04</v>
      </c>
      <c r="CU52" s="214">
        <v>1.04</v>
      </c>
      <c r="CV52" s="214">
        <v>1.04</v>
      </c>
      <c r="CW52" s="214">
        <v>1.04</v>
      </c>
      <c r="CX52" s="214">
        <v>1.04</v>
      </c>
      <c r="CY52" s="214">
        <v>1.04</v>
      </c>
      <c r="CZ52" s="214">
        <v>1.04</v>
      </c>
      <c r="DA52" s="214">
        <v>1.04</v>
      </c>
      <c r="DB52" s="214">
        <v>1.04</v>
      </c>
      <c r="DC52" s="214">
        <v>1.04</v>
      </c>
      <c r="DD52" s="214">
        <v>1.04</v>
      </c>
      <c r="DE52" s="214">
        <v>1.04</v>
      </c>
      <c r="DF52" s="214">
        <v>1.04</v>
      </c>
      <c r="DG52" s="214">
        <v>1.04</v>
      </c>
      <c r="DH52" s="214">
        <v>1.04</v>
      </c>
      <c r="DI52" s="214">
        <v>1.04</v>
      </c>
      <c r="DJ52" s="214">
        <v>1.04</v>
      </c>
      <c r="DK52" s="214">
        <v>1.04</v>
      </c>
      <c r="DL52" s="214">
        <v>1.04</v>
      </c>
      <c r="DM52" s="214">
        <v>1.04</v>
      </c>
      <c r="DN52" s="214">
        <v>1.04</v>
      </c>
      <c r="DO52" s="214">
        <v>1.04</v>
      </c>
      <c r="DP52" s="214">
        <v>0.78</v>
      </c>
      <c r="DQ52" s="178"/>
      <c r="DR52" s="178"/>
    </row>
    <row r="53" spans="1:124 16384:16384">
      <c r="A53" s="178" t="str">
        <f t="shared" si="0"/>
        <v>NaphathaUSD</v>
      </c>
      <c r="B53" s="178" t="s">
        <v>90</v>
      </c>
      <c r="C53" s="178" t="s">
        <v>91</v>
      </c>
      <c r="D53" s="178" t="s">
        <v>33</v>
      </c>
      <c r="E53" s="178" t="s">
        <v>32</v>
      </c>
      <c r="F53" s="251">
        <v>551.47500000000002</v>
      </c>
      <c r="G53" s="215">
        <v>477.74342105263156</v>
      </c>
      <c r="H53" s="215">
        <v>290.25568181818181</v>
      </c>
      <c r="I53" s="215">
        <v>194.2202380952381</v>
      </c>
      <c r="J53" s="215">
        <v>267.16666666666669</v>
      </c>
      <c r="K53" s="214">
        <v>363</v>
      </c>
      <c r="L53" s="214">
        <v>391</v>
      </c>
      <c r="M53" s="214">
        <v>400</v>
      </c>
      <c r="N53" s="214">
        <v>401</v>
      </c>
      <c r="O53" s="214">
        <v>388</v>
      </c>
      <c r="P53" s="214">
        <v>382</v>
      </c>
      <c r="Q53" s="214">
        <v>448.5</v>
      </c>
      <c r="R53" s="214">
        <v>515</v>
      </c>
      <c r="S53" s="214">
        <v>547</v>
      </c>
      <c r="T53" s="214">
        <v>560</v>
      </c>
      <c r="U53" s="214">
        <v>574</v>
      </c>
      <c r="V53" s="214">
        <v>596</v>
      </c>
      <c r="W53" s="214">
        <v>644</v>
      </c>
      <c r="X53" s="214">
        <v>684.875</v>
      </c>
      <c r="Y53" s="214">
        <v>674.5</v>
      </c>
      <c r="Z53" s="214">
        <v>662.5</v>
      </c>
      <c r="AA53" s="214">
        <v>767.55</v>
      </c>
      <c r="AB53" s="214">
        <v>755.84</v>
      </c>
      <c r="AC53" s="252">
        <v>693.2</v>
      </c>
      <c r="AD53" s="214">
        <v>775.4</v>
      </c>
      <c r="AE53" s="214">
        <v>860</v>
      </c>
      <c r="AF53" s="214">
        <v>1011</v>
      </c>
      <c r="AG53" s="214">
        <v>903</v>
      </c>
      <c r="AH53" s="214">
        <v>904</v>
      </c>
      <c r="AI53" s="214">
        <v>828</v>
      </c>
      <c r="AJ53" s="214">
        <v>791</v>
      </c>
      <c r="AK53" s="214">
        <v>701</v>
      </c>
      <c r="AL53" s="214">
        <v>661</v>
      </c>
      <c r="AM53" s="214">
        <v>683</v>
      </c>
      <c r="AN53" s="214">
        <v>693</v>
      </c>
      <c r="AO53" s="214">
        <v>625.5</v>
      </c>
      <c r="AP53" s="214">
        <v>710</v>
      </c>
      <c r="AQ53" s="214">
        <v>720</v>
      </c>
      <c r="AR53" s="214">
        <v>590</v>
      </c>
      <c r="AS53" s="214">
        <v>695</v>
      </c>
      <c r="AT53" s="214">
        <v>583</v>
      </c>
      <c r="AU53" s="214">
        <v>550</v>
      </c>
      <c r="AV53" s="214">
        <v>529</v>
      </c>
      <c r="AW53" s="214">
        <v>625</v>
      </c>
      <c r="AX53" s="214">
        <v>627</v>
      </c>
      <c r="AY53" s="214">
        <v>638</v>
      </c>
      <c r="AZ53" s="214">
        <v>677</v>
      </c>
      <c r="BA53" s="214">
        <v>640</v>
      </c>
      <c r="BB53" s="214">
        <v>645</v>
      </c>
      <c r="BC53" s="214">
        <v>665</v>
      </c>
      <c r="BD53" s="214">
        <v>665</v>
      </c>
      <c r="BE53" s="214">
        <v>705</v>
      </c>
      <c r="BF53" s="214">
        <v>705</v>
      </c>
      <c r="BG53" s="214">
        <v>700</v>
      </c>
      <c r="BH53" s="214">
        <v>645</v>
      </c>
      <c r="BI53" s="214">
        <v>657</v>
      </c>
      <c r="BJ53" s="214">
        <v>679</v>
      </c>
      <c r="BK53" s="214">
        <v>657</v>
      </c>
      <c r="BL53" s="214">
        <v>657</v>
      </c>
      <c r="BM53" s="214">
        <v>650</v>
      </c>
      <c r="BN53" s="214">
        <v>650</v>
      </c>
      <c r="BO53" s="214">
        <v>653</v>
      </c>
      <c r="BP53" s="214">
        <v>650</v>
      </c>
      <c r="BQ53" s="214">
        <v>638.5</v>
      </c>
      <c r="BR53" s="214">
        <v>691</v>
      </c>
      <c r="BS53" s="214">
        <v>672</v>
      </c>
      <c r="BT53" s="214">
        <v>640</v>
      </c>
      <c r="BU53" s="214">
        <v>658</v>
      </c>
      <c r="BV53" s="214">
        <v>664</v>
      </c>
      <c r="BW53" s="214">
        <v>690</v>
      </c>
      <c r="BX53" s="214">
        <v>650</v>
      </c>
      <c r="BY53" s="214">
        <v>690</v>
      </c>
      <c r="BZ53" s="214">
        <v>676</v>
      </c>
      <c r="CA53" s="214">
        <v>682.6</v>
      </c>
      <c r="CB53" s="214">
        <v>695</v>
      </c>
      <c r="CC53" s="214">
        <v>708</v>
      </c>
      <c r="CD53" s="214">
        <v>718</v>
      </c>
      <c r="CE53" s="214">
        <v>711</v>
      </c>
      <c r="CF53" s="214">
        <v>707</v>
      </c>
      <c r="CG53" s="214">
        <v>705</v>
      </c>
      <c r="CH53" s="214">
        <v>697</v>
      </c>
      <c r="CI53" s="214">
        <v>713</v>
      </c>
      <c r="CJ53" s="214">
        <v>681</v>
      </c>
      <c r="CK53" s="214">
        <v>666</v>
      </c>
      <c r="CL53" s="178">
        <v>678</v>
      </c>
      <c r="CM53" s="178">
        <v>685</v>
      </c>
      <c r="CN53" s="214">
        <v>675</v>
      </c>
      <c r="CO53" s="214">
        <v>648</v>
      </c>
      <c r="CP53" s="214">
        <v>680</v>
      </c>
      <c r="CQ53" s="214">
        <v>703</v>
      </c>
      <c r="CR53" s="214">
        <v>718</v>
      </c>
      <c r="CS53" s="214">
        <v>721</v>
      </c>
      <c r="CT53" s="214">
        <v>695</v>
      </c>
      <c r="CU53" s="214">
        <v>683</v>
      </c>
      <c r="CV53" s="214">
        <v>661</v>
      </c>
      <c r="CW53" s="214">
        <v>664</v>
      </c>
      <c r="CX53" s="214">
        <v>672</v>
      </c>
      <c r="CY53" s="214">
        <v>672</v>
      </c>
      <c r="CZ53" s="214">
        <v>671</v>
      </c>
      <c r="DA53" s="214">
        <v>647</v>
      </c>
      <c r="DB53" s="214">
        <v>628</v>
      </c>
      <c r="DC53" s="214">
        <v>650</v>
      </c>
      <c r="DD53" s="214">
        <v>659</v>
      </c>
      <c r="DE53" s="214">
        <v>703</v>
      </c>
      <c r="DF53" s="214">
        <v>662</v>
      </c>
      <c r="DG53" s="214">
        <v>658</v>
      </c>
      <c r="DH53" s="214">
        <v>669</v>
      </c>
      <c r="DI53" s="214">
        <v>673</v>
      </c>
      <c r="DJ53" s="214">
        <v>657</v>
      </c>
      <c r="DK53" s="214">
        <v>651</v>
      </c>
      <c r="DL53" s="214">
        <v>634</v>
      </c>
      <c r="DM53" s="214">
        <v>629</v>
      </c>
      <c r="DN53" s="214">
        <v>633</v>
      </c>
      <c r="DO53" s="214">
        <v>639</v>
      </c>
      <c r="DP53" s="214">
        <v>635</v>
      </c>
      <c r="DQ53" s="178"/>
      <c r="DR53" s="178"/>
    </row>
    <row r="54" spans="1:124 16384:16384">
      <c r="A54" s="178" t="str">
        <f t="shared" si="0"/>
        <v>VAMUSD</v>
      </c>
      <c r="B54" s="178" t="s">
        <v>92</v>
      </c>
      <c r="C54" s="178" t="s">
        <v>93</v>
      </c>
      <c r="D54" s="178" t="s">
        <v>33</v>
      </c>
      <c r="E54" s="178" t="s">
        <v>32</v>
      </c>
      <c r="F54" s="215">
        <v>862.89</v>
      </c>
      <c r="G54" s="215">
        <v>854.07</v>
      </c>
      <c r="H54" s="215">
        <v>740.02</v>
      </c>
      <c r="I54" s="215">
        <v>700.03</v>
      </c>
      <c r="J54" s="215">
        <v>707.39</v>
      </c>
      <c r="K54" s="215">
        <v>755.43</v>
      </c>
      <c r="L54" s="215">
        <v>784.53</v>
      </c>
      <c r="M54" s="215">
        <v>786.39</v>
      </c>
      <c r="N54" s="215">
        <v>847.51</v>
      </c>
      <c r="O54" s="215">
        <v>855.18</v>
      </c>
      <c r="P54" s="215">
        <v>1060</v>
      </c>
      <c r="Q54" s="215">
        <v>1437</v>
      </c>
      <c r="R54" s="215">
        <v>1398</v>
      </c>
      <c r="S54" s="215">
        <v>1771</v>
      </c>
      <c r="T54" s="215">
        <v>2019</v>
      </c>
      <c r="U54" s="214">
        <v>2062</v>
      </c>
      <c r="V54" s="214">
        <v>2022</v>
      </c>
      <c r="W54" s="214">
        <v>1891</v>
      </c>
      <c r="X54" s="214">
        <v>1629</v>
      </c>
      <c r="Y54" s="214">
        <v>1899</v>
      </c>
      <c r="Z54" s="214">
        <v>2168</v>
      </c>
      <c r="AA54" s="214">
        <v>2764</v>
      </c>
      <c r="AB54" s="214">
        <v>2645</v>
      </c>
      <c r="AC54" s="214">
        <v>1954</v>
      </c>
      <c r="AD54" s="214">
        <v>1983</v>
      </c>
      <c r="AE54" s="214">
        <v>2247</v>
      </c>
      <c r="AF54" s="214">
        <v>2388</v>
      </c>
      <c r="AG54" s="214">
        <v>2356</v>
      </c>
      <c r="AH54" s="214">
        <v>2359</v>
      </c>
      <c r="AI54" s="214">
        <v>2352</v>
      </c>
      <c r="AJ54" s="214">
        <v>1782</v>
      </c>
      <c r="AK54" s="214">
        <v>1404</v>
      </c>
      <c r="AL54" s="214">
        <v>1141</v>
      </c>
      <c r="AM54" s="214">
        <v>1140</v>
      </c>
      <c r="AN54" s="214">
        <v>1088</v>
      </c>
      <c r="AO54" s="214">
        <v>1089</v>
      </c>
      <c r="AP54" s="214">
        <v>1119</v>
      </c>
      <c r="AQ54" s="214">
        <v>1129</v>
      </c>
      <c r="AR54" s="214">
        <v>1117</v>
      </c>
      <c r="AS54" s="214">
        <v>915</v>
      </c>
      <c r="AT54" s="214">
        <v>880.2</v>
      </c>
      <c r="AU54" s="214">
        <v>859.47</v>
      </c>
      <c r="AV54" s="214">
        <v>859.47</v>
      </c>
      <c r="AW54" s="214">
        <v>803.57</v>
      </c>
      <c r="AX54" s="214">
        <v>803.57</v>
      </c>
      <c r="AY54" s="214">
        <v>803.57</v>
      </c>
      <c r="AZ54" s="214">
        <v>799.71</v>
      </c>
      <c r="BA54" s="214">
        <v>910.98</v>
      </c>
      <c r="BB54" s="214">
        <v>910.98</v>
      </c>
      <c r="BC54" s="214">
        <v>910.98</v>
      </c>
      <c r="BD54" s="214">
        <v>904.23</v>
      </c>
      <c r="BE54" s="214">
        <v>904.23</v>
      </c>
      <c r="BF54" s="214">
        <v>904.23</v>
      </c>
      <c r="BG54" s="214">
        <v>904.23</v>
      </c>
      <c r="BH54" s="214">
        <v>904.5</v>
      </c>
      <c r="BI54" s="214">
        <v>1042</v>
      </c>
      <c r="BJ54" s="214">
        <v>1042</v>
      </c>
      <c r="BK54" s="214">
        <v>1075</v>
      </c>
      <c r="BL54" s="214">
        <v>879.1</v>
      </c>
      <c r="BM54" s="214">
        <v>810.42</v>
      </c>
      <c r="BN54" s="214">
        <v>810.42</v>
      </c>
      <c r="BO54" s="214">
        <v>810.42</v>
      </c>
      <c r="BP54" s="214">
        <v>817.77</v>
      </c>
      <c r="BQ54" s="214">
        <v>824.7</v>
      </c>
      <c r="BR54" s="214">
        <v>824.7</v>
      </c>
      <c r="BS54" s="214">
        <v>824.7</v>
      </c>
      <c r="BT54" s="214">
        <v>907.19</v>
      </c>
      <c r="BU54" s="214">
        <v>1006</v>
      </c>
      <c r="BV54" s="214">
        <v>1006</v>
      </c>
      <c r="BW54" s="214">
        <v>1013</v>
      </c>
      <c r="BX54" s="214">
        <v>1013</v>
      </c>
      <c r="BY54" s="214">
        <v>1013</v>
      </c>
      <c r="BZ54" s="214">
        <v>1013</v>
      </c>
      <c r="CA54" s="214">
        <v>1013</v>
      </c>
      <c r="CB54" s="214">
        <v>1051</v>
      </c>
      <c r="CC54" s="214">
        <v>1051</v>
      </c>
      <c r="CD54" s="214">
        <v>1051</v>
      </c>
      <c r="CE54" s="214">
        <v>1045</v>
      </c>
      <c r="CF54" s="214">
        <v>1038</v>
      </c>
      <c r="CG54" s="214">
        <v>1038</v>
      </c>
      <c r="CH54" s="214">
        <v>1038</v>
      </c>
      <c r="CI54" s="214">
        <v>849.58</v>
      </c>
      <c r="CJ54" s="214">
        <v>849.58</v>
      </c>
      <c r="CK54" s="214">
        <v>849.58</v>
      </c>
      <c r="CL54" s="214">
        <v>849.58</v>
      </c>
      <c r="CM54" s="214">
        <v>849.58</v>
      </c>
      <c r="CN54" s="214">
        <v>849.58</v>
      </c>
      <c r="CO54" s="214">
        <v>856.81</v>
      </c>
      <c r="CP54" s="214">
        <v>794.12</v>
      </c>
      <c r="CQ54" s="214">
        <v>794.12</v>
      </c>
      <c r="CR54" s="214">
        <v>789.21</v>
      </c>
      <c r="CS54" s="214">
        <v>789.21</v>
      </c>
      <c r="CT54" s="214">
        <v>796.14</v>
      </c>
      <c r="CU54" s="214">
        <v>796.14</v>
      </c>
      <c r="CV54" s="214">
        <v>795.25</v>
      </c>
      <c r="CW54" s="214">
        <v>795.25</v>
      </c>
      <c r="CX54" s="214">
        <v>795.25</v>
      </c>
      <c r="CY54" s="214">
        <v>795.25</v>
      </c>
      <c r="CZ54" s="214">
        <v>795.25</v>
      </c>
      <c r="DA54" s="214">
        <v>758.85</v>
      </c>
      <c r="DB54" s="214">
        <v>758.85</v>
      </c>
      <c r="DC54" s="214">
        <v>758.85</v>
      </c>
      <c r="DD54" s="178">
        <v>705</v>
      </c>
      <c r="DE54" s="214">
        <v>715</v>
      </c>
      <c r="DF54" s="214">
        <v>715</v>
      </c>
      <c r="DG54" s="214">
        <v>715</v>
      </c>
      <c r="DH54" s="214">
        <v>712.5</v>
      </c>
      <c r="DI54" s="214">
        <v>710</v>
      </c>
      <c r="DJ54" s="214">
        <v>705</v>
      </c>
      <c r="DK54" s="214">
        <v>720</v>
      </c>
      <c r="DL54" s="214">
        <v>720</v>
      </c>
      <c r="DM54" s="214">
        <v>720</v>
      </c>
      <c r="DN54" s="214">
        <v>740</v>
      </c>
      <c r="DO54" s="214">
        <v>740</v>
      </c>
      <c r="DP54" s="214">
        <v>730</v>
      </c>
      <c r="DQ54" s="178"/>
      <c r="DR54" s="178"/>
    </row>
    <row r="55" spans="1:124 16384:16384">
      <c r="A55" s="178" t="str">
        <f t="shared" si="0"/>
        <v>YELLOW PHOSPHOROUSRMB</v>
      </c>
      <c r="B55" s="178" t="s">
        <v>29</v>
      </c>
      <c r="C55" s="178" t="s">
        <v>94</v>
      </c>
      <c r="D55" s="178" t="s">
        <v>31</v>
      </c>
      <c r="E55" s="178" t="s">
        <v>32</v>
      </c>
      <c r="F55" s="216">
        <v>17600</v>
      </c>
      <c r="G55" s="216">
        <v>16800</v>
      </c>
      <c r="H55" s="216">
        <v>17700</v>
      </c>
      <c r="I55" s="216">
        <v>16400</v>
      </c>
      <c r="J55" s="216">
        <v>17900</v>
      </c>
      <c r="K55" s="216">
        <v>16433.330000000002</v>
      </c>
      <c r="L55" s="216">
        <v>14450</v>
      </c>
      <c r="M55" s="216">
        <v>15400</v>
      </c>
      <c r="N55" s="216">
        <v>15300</v>
      </c>
      <c r="O55" s="216">
        <v>15650</v>
      </c>
      <c r="P55" s="216">
        <v>16320</v>
      </c>
      <c r="Q55" s="216">
        <v>15653.75</v>
      </c>
      <c r="R55" s="216">
        <v>16700.692916666667</v>
      </c>
      <c r="S55" s="216">
        <v>16790.000500000002</v>
      </c>
      <c r="T55" s="216">
        <v>17335.904000000002</v>
      </c>
      <c r="U55" s="216">
        <v>17374.999166666668</v>
      </c>
      <c r="V55" s="216">
        <v>19534.522214285716</v>
      </c>
      <c r="W55" s="216">
        <v>21806.190476190477</v>
      </c>
      <c r="X55" s="216">
        <v>24260.12</v>
      </c>
      <c r="Y55" s="216">
        <v>25690.478928571421</v>
      </c>
      <c r="Z55" s="216">
        <f>Y55</f>
        <v>25690.478928571421</v>
      </c>
      <c r="AA55" s="216">
        <v>52520.834642857146</v>
      </c>
      <c r="AB55" s="216">
        <v>38011.906071428566</v>
      </c>
      <c r="AC55" s="216">
        <v>41250.001142857138</v>
      </c>
      <c r="AD55" s="216">
        <v>33517.856785714284</v>
      </c>
      <c r="AE55" s="216">
        <v>33187.500357142853</v>
      </c>
      <c r="AF55" s="216">
        <v>36276.18971428572</v>
      </c>
      <c r="AG55" s="216">
        <v>36719.644785714278</v>
      </c>
      <c r="AH55" s="216">
        <v>38448.4105952381</v>
      </c>
      <c r="AI55" s="216">
        <v>38392.572857142848</v>
      </c>
      <c r="AJ55" s="216">
        <v>32983.035714285717</v>
      </c>
      <c r="AK55" s="216">
        <v>29062.5</v>
      </c>
      <c r="AL55" s="216">
        <v>34910.71428571429</v>
      </c>
      <c r="AM55" s="216">
        <v>37120.53571428571</v>
      </c>
      <c r="AN55" s="216">
        <v>32358.63</v>
      </c>
      <c r="AO55" s="216">
        <v>33153.571428571435</v>
      </c>
      <c r="AP55" s="216">
        <v>33151.785714285717</v>
      </c>
      <c r="AQ55" s="216">
        <v>31609.821428571431</v>
      </c>
      <c r="AR55" s="216">
        <v>30593.424908424906</v>
      </c>
      <c r="AS55" s="216">
        <v>27620.168067226892</v>
      </c>
      <c r="AT55" s="214">
        <v>20000</v>
      </c>
      <c r="AU55" s="214">
        <v>23350</v>
      </c>
      <c r="AV55" s="214">
        <v>22900</v>
      </c>
      <c r="AW55" s="214">
        <v>23400</v>
      </c>
      <c r="AX55" s="214">
        <v>23600</v>
      </c>
      <c r="AY55" s="214">
        <v>23600</v>
      </c>
      <c r="AZ55" s="214">
        <v>24100</v>
      </c>
      <c r="BA55" s="214">
        <v>24400</v>
      </c>
      <c r="BB55" s="214">
        <v>24400</v>
      </c>
      <c r="BC55" s="214">
        <v>26293</v>
      </c>
      <c r="BD55" s="214">
        <v>26400</v>
      </c>
      <c r="BE55" s="214">
        <v>25955</v>
      </c>
      <c r="BF55" s="214">
        <v>25562.77</v>
      </c>
      <c r="BG55" s="214">
        <v>25562.77</v>
      </c>
      <c r="BH55" s="214">
        <v>25562.77</v>
      </c>
      <c r="BI55" s="214">
        <v>25797</v>
      </c>
      <c r="BJ55" s="214">
        <v>26126</v>
      </c>
      <c r="BK55" s="214">
        <v>25960</v>
      </c>
      <c r="BL55" s="214">
        <v>25960</v>
      </c>
      <c r="BM55" s="214">
        <v>26293</v>
      </c>
      <c r="BN55" s="214">
        <v>26293</v>
      </c>
      <c r="BO55" s="178">
        <v>25826.67</v>
      </c>
      <c r="BP55" s="214">
        <v>25729</v>
      </c>
      <c r="BQ55" s="214">
        <v>24766.67</v>
      </c>
      <c r="BR55" s="214">
        <v>23496</v>
      </c>
      <c r="BS55" s="214">
        <v>22962.67</v>
      </c>
      <c r="BT55" s="214">
        <v>22962.67</v>
      </c>
      <c r="BU55" s="214">
        <v>23862</v>
      </c>
      <c r="BV55" s="214">
        <v>23996</v>
      </c>
      <c r="BW55" s="214">
        <v>23929</v>
      </c>
      <c r="BX55" s="214">
        <v>24000</v>
      </c>
      <c r="BY55" s="214">
        <v>24000</v>
      </c>
      <c r="BZ55" s="214">
        <v>24000</v>
      </c>
      <c r="CA55" s="214">
        <v>24326.67</v>
      </c>
      <c r="CB55" s="214">
        <v>23793</v>
      </c>
      <c r="CC55" s="214">
        <v>23793</v>
      </c>
      <c r="CD55" s="214">
        <v>22893</v>
      </c>
      <c r="CE55" s="214">
        <v>22660</v>
      </c>
      <c r="CF55" s="214">
        <v>22796</v>
      </c>
      <c r="CG55" s="214">
        <v>23060</v>
      </c>
      <c r="CH55" s="214">
        <v>23593.33</v>
      </c>
      <c r="CI55" s="214">
        <v>23593.33</v>
      </c>
      <c r="CJ55" s="214">
        <v>23593.33</v>
      </c>
      <c r="CK55" s="214">
        <v>22727</v>
      </c>
      <c r="CL55" s="178">
        <v>22660</v>
      </c>
      <c r="CM55" s="178">
        <v>22660</v>
      </c>
      <c r="CN55" s="214">
        <v>22626</v>
      </c>
      <c r="CO55" s="214">
        <v>22096</v>
      </c>
      <c r="CP55" s="214">
        <v>22096</v>
      </c>
      <c r="CQ55" s="214">
        <v>22133</v>
      </c>
      <c r="CR55" s="214">
        <v>22133</v>
      </c>
      <c r="CS55" s="214">
        <v>22062</v>
      </c>
      <c r="CT55" s="214">
        <v>22662</v>
      </c>
      <c r="CU55" s="214">
        <v>22662</v>
      </c>
      <c r="CV55" s="214">
        <v>22762</v>
      </c>
      <c r="CW55" s="214">
        <v>23100</v>
      </c>
      <c r="CX55" s="214">
        <v>23100</v>
      </c>
      <c r="CY55" s="214">
        <v>23033</v>
      </c>
      <c r="CZ55" s="214">
        <v>23429</v>
      </c>
      <c r="DA55" s="214">
        <v>24362</v>
      </c>
      <c r="DB55" s="214">
        <v>24362</v>
      </c>
      <c r="DC55" s="214">
        <v>24362</v>
      </c>
      <c r="DD55" s="279">
        <v>24062</v>
      </c>
      <c r="DE55" s="214">
        <v>23662</v>
      </c>
      <c r="DF55" s="214">
        <v>23382</v>
      </c>
      <c r="DG55" s="214">
        <v>23943</v>
      </c>
      <c r="DH55" s="214">
        <v>23943</v>
      </c>
      <c r="DI55" s="214">
        <v>24092</v>
      </c>
      <c r="DJ55" s="214">
        <v>23866</v>
      </c>
      <c r="DK55" s="214">
        <v>23596</v>
      </c>
      <c r="DL55" s="214">
        <v>23396</v>
      </c>
      <c r="DM55" s="214">
        <v>23382</v>
      </c>
      <c r="DN55" s="214">
        <v>23346</v>
      </c>
      <c r="DO55" s="214">
        <v>22993</v>
      </c>
      <c r="DP55" s="214">
        <v>22926</v>
      </c>
      <c r="DQ55" s="178"/>
      <c r="DR55" s="178"/>
    </row>
    <row r="56" spans="1:124 16384:16384">
      <c r="A56" s="178" t="str">
        <f t="shared" si="0"/>
        <v>YELLOW PHOSPHOROUSUSD</v>
      </c>
      <c r="B56" s="178" t="s">
        <v>29</v>
      </c>
      <c r="C56" s="178" t="s">
        <v>94</v>
      </c>
      <c r="D56" s="178" t="s">
        <v>33</v>
      </c>
      <c r="E56" s="178" t="s">
        <v>34</v>
      </c>
      <c r="F56" s="216">
        <f>(((F55/1.13)/F3)/1000)</f>
        <v>2.2453358569547559</v>
      </c>
      <c r="G56" s="216">
        <f t="shared" ref="G56:BR56" si="34">(((G55/1.13)/G3)/1000)</f>
        <v>2.1263543010008927</v>
      </c>
      <c r="H56" s="216">
        <f t="shared" si="34"/>
        <v>2.2116084453454703</v>
      </c>
      <c r="I56" s="216">
        <f t="shared" si="34"/>
        <v>2.0550641919349761</v>
      </c>
      <c r="J56" s="216">
        <f t="shared" si="34"/>
        <v>2.2194569249287914</v>
      </c>
      <c r="K56" s="216">
        <f t="shared" si="34"/>
        <v>2.0582789486242201</v>
      </c>
      <c r="L56" s="216">
        <f t="shared" si="34"/>
        <v>1.8332966251102516</v>
      </c>
      <c r="M56" s="216">
        <f t="shared" si="34"/>
        <v>1.990000377324747</v>
      </c>
      <c r="N56" s="216">
        <f t="shared" si="34"/>
        <v>1.9938480015387818</v>
      </c>
      <c r="O56" s="216">
        <f t="shared" si="34"/>
        <v>2.0693528056126671</v>
      </c>
      <c r="P56" s="216">
        <f t="shared" si="34"/>
        <v>2.1952724431297326</v>
      </c>
      <c r="Q56" s="216">
        <f t="shared" si="34"/>
        <v>2.1224931598196166</v>
      </c>
      <c r="R56" s="216">
        <f t="shared" si="34"/>
        <v>2.2993254605126054</v>
      </c>
      <c r="S56" s="216">
        <f t="shared" si="34"/>
        <v>2.2946993130799367</v>
      </c>
      <c r="T56" s="216">
        <f t="shared" si="34"/>
        <v>2.3412855911549268</v>
      </c>
      <c r="U56" s="216">
        <f t="shared" si="34"/>
        <v>2.3752383497686171</v>
      </c>
      <c r="V56" s="216">
        <f t="shared" si="34"/>
        <v>2.713844238658218</v>
      </c>
      <c r="W56" s="216">
        <f t="shared" si="34"/>
        <v>2.9885265588403307</v>
      </c>
      <c r="X56" s="216">
        <f t="shared" si="34"/>
        <v>3.3226750771292335</v>
      </c>
      <c r="Y56" s="216">
        <f t="shared" si="34"/>
        <v>3.5189587977975245</v>
      </c>
      <c r="Z56" s="216">
        <f t="shared" si="34"/>
        <v>3.5266554625586299</v>
      </c>
      <c r="AA56" s="216">
        <f t="shared" si="34"/>
        <v>7.2557080658453534</v>
      </c>
      <c r="AB56" s="216">
        <f t="shared" si="34"/>
        <v>5.2855545669543798</v>
      </c>
      <c r="AC56" s="216">
        <f t="shared" si="34"/>
        <v>5.7432113702017071</v>
      </c>
      <c r="AD56" s="216">
        <f t="shared" si="34"/>
        <v>4.663075014046365</v>
      </c>
      <c r="AE56" s="216">
        <f t="shared" si="34"/>
        <v>4.654948939280791</v>
      </c>
      <c r="AF56" s="216">
        <f t="shared" si="34"/>
        <v>5.0635367123036383</v>
      </c>
      <c r="AG56" s="216">
        <f t="shared" si="34"/>
        <v>4.9171916277995793</v>
      </c>
      <c r="AH56" s="216">
        <f t="shared" si="34"/>
        <v>5.0996915647002004</v>
      </c>
      <c r="AI56" s="216">
        <f t="shared" si="34"/>
        <v>5.071534069553806</v>
      </c>
      <c r="AJ56" s="216">
        <f t="shared" si="34"/>
        <v>4.3279450758850295</v>
      </c>
      <c r="AK56" s="216">
        <f t="shared" si="34"/>
        <v>3.7325883183374797</v>
      </c>
      <c r="AL56" s="216">
        <f t="shared" ref="AL56:AV56" si="35">(((AL55/1.13)/AL3)/1000)</f>
        <v>4.3430712618241518</v>
      </c>
      <c r="AM56" s="216">
        <f t="shared" si="35"/>
        <v>4.4990798610645184</v>
      </c>
      <c r="AN56" s="216">
        <f t="shared" si="35"/>
        <v>4.040118476870779</v>
      </c>
      <c r="AO56" s="216">
        <f t="shared" si="35"/>
        <v>4.253819483572844</v>
      </c>
      <c r="AP56" s="216">
        <f t="shared" si="35"/>
        <v>4.3433259010717968</v>
      </c>
      <c r="AQ56" s="216">
        <f t="shared" si="35"/>
        <v>4.0345708165720628</v>
      </c>
      <c r="AR56" s="216">
        <f t="shared" si="35"/>
        <v>3.8861209382483226</v>
      </c>
      <c r="AS56" s="216">
        <f t="shared" si="35"/>
        <v>3.5475510316640628</v>
      </c>
      <c r="AT56" s="216">
        <f t="shared" si="35"/>
        <v>2.5176550560807662</v>
      </c>
      <c r="AU56" s="216">
        <f t="shared" si="35"/>
        <v>2.8940779851763718</v>
      </c>
      <c r="AV56" s="216">
        <f t="shared" si="35"/>
        <v>2.7952395483674093</v>
      </c>
      <c r="AW56" s="216">
        <f t="shared" si="34"/>
        <v>2.8562709795544707</v>
      </c>
      <c r="AX56" s="216">
        <f t="shared" si="34"/>
        <v>2.9006882989183875</v>
      </c>
      <c r="AY56" s="216">
        <f t="shared" si="34"/>
        <v>2.9209728324772573</v>
      </c>
      <c r="AZ56" s="216">
        <f t="shared" si="34"/>
        <v>2.9498525073746316</v>
      </c>
      <c r="BA56" s="216">
        <f t="shared" si="34"/>
        <v>2.9701403513043059</v>
      </c>
      <c r="BB56" s="216">
        <f t="shared" si="34"/>
        <v>2.9619918181045684</v>
      </c>
      <c r="BC56" s="216">
        <f t="shared" si="34"/>
        <v>3.1917889702222713</v>
      </c>
      <c r="BD56" s="216">
        <f t="shared" si="34"/>
        <v>3.1960098301514477</v>
      </c>
      <c r="BE56" s="216">
        <f t="shared" si="34"/>
        <v>3.1507580999550853</v>
      </c>
      <c r="BF56" s="216">
        <f t="shared" si="34"/>
        <v>3.0988931991756581</v>
      </c>
      <c r="BG56" s="216">
        <f t="shared" si="34"/>
        <v>3.0988931991756581</v>
      </c>
      <c r="BH56" s="216">
        <f t="shared" si="34"/>
        <v>3.0988931991756581</v>
      </c>
      <c r="BI56" s="216">
        <f t="shared" si="34"/>
        <v>3.1707227138643068</v>
      </c>
      <c r="BJ56" s="216">
        <f t="shared" si="34"/>
        <v>3.162839122065785</v>
      </c>
      <c r="BK56" s="216">
        <f t="shared" si="34"/>
        <v>3.1384496348953048</v>
      </c>
      <c r="BL56" s="216">
        <f t="shared" si="34"/>
        <v>3.1600345704860571</v>
      </c>
      <c r="BM56" s="216">
        <f t="shared" si="34"/>
        <v>3.2049781808430242</v>
      </c>
      <c r="BN56" s="216">
        <f t="shared" si="34"/>
        <v>3.2049781808430242</v>
      </c>
      <c r="BO56" s="216">
        <f t="shared" si="34"/>
        <v>3.2190788981677678</v>
      </c>
      <c r="BP56" s="216">
        <f t="shared" si="34"/>
        <v>3.1889392925311721</v>
      </c>
      <c r="BQ56" s="216">
        <f t="shared" si="34"/>
        <v>3.0913127051686913</v>
      </c>
      <c r="BR56" s="216">
        <f t="shared" si="34"/>
        <v>2.9081007488087134</v>
      </c>
      <c r="BS56" s="216">
        <f t="shared" ref="BS56:DT56" si="36">(((BS55/1.13)/BS3)/1000)</f>
        <v>2.8661420172996994</v>
      </c>
      <c r="BT56" s="216">
        <f t="shared" si="36"/>
        <v>2.8621051975570242</v>
      </c>
      <c r="BU56" s="216">
        <f t="shared" si="36"/>
        <v>2.9741991773650756</v>
      </c>
      <c r="BV56" s="216">
        <f t="shared" si="36"/>
        <v>2.9824997514169236</v>
      </c>
      <c r="BW56" s="216">
        <f t="shared" si="36"/>
        <v>2.9783553016442008</v>
      </c>
      <c r="BX56" s="216">
        <f t="shared" si="36"/>
        <v>2.9871924125312721</v>
      </c>
      <c r="BY56" s="216">
        <f t="shared" si="36"/>
        <v>2.9539552229620787</v>
      </c>
      <c r="BZ56" s="216">
        <f t="shared" si="36"/>
        <v>2.95806936672665</v>
      </c>
      <c r="CA56" s="216">
        <f t="shared" si="36"/>
        <v>2.9900036873156339</v>
      </c>
      <c r="CB56" s="216">
        <f t="shared" si="36"/>
        <v>2.9244100294985254</v>
      </c>
      <c r="CC56" s="216">
        <f t="shared" si="36"/>
        <v>2.9325560184386328</v>
      </c>
      <c r="CD56" s="216">
        <f t="shared" si="36"/>
        <v>2.805996126786459</v>
      </c>
      <c r="CE56" s="216">
        <f t="shared" si="36"/>
        <v>2.7735957600460224</v>
      </c>
      <c r="CF56" s="216">
        <f t="shared" si="36"/>
        <v>2.7902422306270585</v>
      </c>
      <c r="CG56" s="216">
        <f t="shared" si="36"/>
        <v>2.8186574096709531</v>
      </c>
      <c r="CH56" s="216">
        <f t="shared" si="36"/>
        <v>2.8838471128929744</v>
      </c>
      <c r="CI56" s="216">
        <f t="shared" si="36"/>
        <v>2.8838471128929744</v>
      </c>
      <c r="CJ56" s="216">
        <f t="shared" si="36"/>
        <v>2.8958464767468981</v>
      </c>
      <c r="CK56" s="216">
        <f t="shared" si="36"/>
        <v>2.7817965948175618</v>
      </c>
      <c r="CL56" s="216">
        <f t="shared" si="36"/>
        <v>2.7735957600460224</v>
      </c>
      <c r="CM56" s="216">
        <f t="shared" si="36"/>
        <v>2.7735957600460224</v>
      </c>
      <c r="CN56" s="216">
        <f t="shared" si="36"/>
        <v>2.769434142400764</v>
      </c>
      <c r="CO56" s="216">
        <f t="shared" si="36"/>
        <v>2.7008262846526181</v>
      </c>
      <c r="CP56" s="216">
        <f t="shared" si="36"/>
        <v>2.7008262846526181</v>
      </c>
      <c r="CQ56" s="216">
        <f t="shared" si="36"/>
        <v>2.6978960969306915</v>
      </c>
      <c r="CR56" s="216">
        <f t="shared" si="36"/>
        <v>2.6941850981728774</v>
      </c>
      <c r="CS56" s="216">
        <f t="shared" si="36"/>
        <v>2.6855424766588363</v>
      </c>
      <c r="CT56" s="216">
        <f t="shared" si="36"/>
        <v>2.7585787148056635</v>
      </c>
      <c r="CU56" s="216">
        <f t="shared" si="36"/>
        <v>2.7547894583292818</v>
      </c>
      <c r="CV56" s="216">
        <f t="shared" si="36"/>
        <v>2.7860806129817992</v>
      </c>
      <c r="CW56" s="216">
        <f t="shared" si="36"/>
        <v>2.8511126744917989</v>
      </c>
      <c r="CX56" s="216">
        <f t="shared" si="36"/>
        <v>2.8471417654744009</v>
      </c>
      <c r="CY56" s="216">
        <f t="shared" si="36"/>
        <v>2.8507952224766386</v>
      </c>
      <c r="CZ56" s="216">
        <f t="shared" si="36"/>
        <v>2.9161221263831325</v>
      </c>
      <c r="DA56" s="216">
        <f t="shared" si="36"/>
        <v>3.0408028258671695</v>
      </c>
      <c r="DB56" s="216">
        <f t="shared" si="36"/>
        <v>3.0322492314202858</v>
      </c>
      <c r="DC56" s="216">
        <f t="shared" si="36"/>
        <v>3.0537240843340276</v>
      </c>
      <c r="DD56" s="279">
        <f t="shared" si="36"/>
        <v>3.0333055996772815</v>
      </c>
      <c r="DE56" s="216">
        <f t="shared" si="36"/>
        <v>2.98288077049139</v>
      </c>
      <c r="DF56" s="216">
        <f t="shared" si="36"/>
        <v>2.9102722079085921</v>
      </c>
      <c r="DG56" s="216">
        <f t="shared" si="36"/>
        <v>2.9717385098487017</v>
      </c>
      <c r="DH56" s="216">
        <f t="shared" si="36"/>
        <v>2.9675764110954117</v>
      </c>
      <c r="DI56" s="216">
        <f t="shared" si="36"/>
        <v>2.998643316779309</v>
      </c>
      <c r="DJ56" s="216">
        <f t="shared" si="36"/>
        <v>2.9212107859337326</v>
      </c>
      <c r="DK56" s="216">
        <f t="shared" si="36"/>
        <v>2.8841734708844671</v>
      </c>
      <c r="DL56" s="216">
        <f t="shared" si="36"/>
        <v>2.8518491430800368</v>
      </c>
      <c r="DM56" s="216">
        <f t="shared" si="36"/>
        <v>2.8462222005818556</v>
      </c>
      <c r="DN56" s="216">
        <f t="shared" si="36"/>
        <v>2.8418400262930463</v>
      </c>
      <c r="DO56" s="216">
        <f t="shared" si="36"/>
        <v>2.791191716134358</v>
      </c>
      <c r="DP56" s="216">
        <f t="shared" si="36"/>
        <v>2.7792459692083895</v>
      </c>
      <c r="DQ56" s="216" t="e">
        <f t="shared" si="36"/>
        <v>#DIV/0!</v>
      </c>
      <c r="DR56" s="216" t="e">
        <f t="shared" si="36"/>
        <v>#DIV/0!</v>
      </c>
      <c r="DS56" s="216" t="e">
        <f t="shared" si="36"/>
        <v>#DIV/0!</v>
      </c>
      <c r="DT56" s="216" t="e">
        <f t="shared" si="36"/>
        <v>#DIV/0!</v>
      </c>
    </row>
    <row r="57" spans="1:124 16384:16384">
      <c r="A57" s="178" t="str">
        <f t="shared" si="0"/>
        <v>DEGUSD</v>
      </c>
      <c r="B57" s="178" t="s">
        <v>56</v>
      </c>
      <c r="C57" s="178" t="s">
        <v>95</v>
      </c>
      <c r="D57" s="178" t="s">
        <v>33</v>
      </c>
      <c r="E57" s="178" t="s">
        <v>34</v>
      </c>
      <c r="F57" s="214"/>
      <c r="G57" s="214"/>
      <c r="H57" s="214"/>
      <c r="I57" s="214"/>
      <c r="J57" s="214"/>
      <c r="K57" s="214"/>
      <c r="L57" s="214"/>
      <c r="M57" s="214"/>
      <c r="N57" s="214"/>
      <c r="O57" s="214"/>
      <c r="P57" s="214"/>
      <c r="Q57" s="214"/>
      <c r="R57" s="214"/>
      <c r="S57" s="214"/>
      <c r="T57" s="214"/>
      <c r="U57" s="214"/>
      <c r="V57" s="214"/>
      <c r="W57" s="214"/>
      <c r="X57" s="214"/>
      <c r="Y57" s="214"/>
      <c r="Z57" s="214"/>
      <c r="AA57" s="214"/>
      <c r="AB57" s="214"/>
      <c r="AC57" s="214"/>
      <c r="AD57" s="216">
        <v>0.71826401684923735</v>
      </c>
      <c r="AE57" s="216">
        <v>0.62754309868024927</v>
      </c>
      <c r="AF57" s="216">
        <v>0.59810064024711396</v>
      </c>
      <c r="AG57" s="216">
        <v>0.66076440523786273</v>
      </c>
      <c r="AH57" s="216">
        <v>0.67975742375930026</v>
      </c>
      <c r="AI57" s="216">
        <v>0.62314132986159076</v>
      </c>
      <c r="AJ57" s="216">
        <v>0.66826566510008012</v>
      </c>
      <c r="AK57" s="216">
        <v>0.69838668883179689</v>
      </c>
      <c r="AL57" s="216">
        <v>0.67839118199248039</v>
      </c>
      <c r="AM57" s="216">
        <v>0.64995588909748325</v>
      </c>
      <c r="AN57" s="216">
        <v>0.6467439684485834</v>
      </c>
      <c r="AO57" s="216">
        <v>0.61880865603209168</v>
      </c>
      <c r="AP57" s="216">
        <v>0.65632293065998315</v>
      </c>
      <c r="AQ57" s="216">
        <v>0.64117021010710895</v>
      </c>
      <c r="AR57" s="216">
        <v>0.66803238053011516</v>
      </c>
      <c r="AS57" s="216">
        <v>0.78164645063512239</v>
      </c>
      <c r="AT57" s="216">
        <v>0.8926183241609178</v>
      </c>
      <c r="AU57" s="216">
        <v>0.8926183241609178</v>
      </c>
      <c r="AV57" s="216">
        <v>0.8926183241609178</v>
      </c>
      <c r="AW57" s="216">
        <v>0.8926183241609178</v>
      </c>
      <c r="AX57" s="216">
        <v>0.8926183241609178</v>
      </c>
      <c r="AY57" s="216">
        <v>0.8926183241609178</v>
      </c>
      <c r="AZ57" s="216">
        <v>0.8926183241609178</v>
      </c>
      <c r="BA57" s="216">
        <v>0.8926183241609178</v>
      </c>
      <c r="BB57" s="216">
        <v>0.8926183241609178</v>
      </c>
      <c r="BC57" s="216">
        <v>0.8926183241609178</v>
      </c>
      <c r="BD57" s="216">
        <v>0.8926183241609178</v>
      </c>
      <c r="BE57" s="214">
        <v>0.73</v>
      </c>
      <c r="BF57" s="214">
        <v>0.73</v>
      </c>
      <c r="BG57" s="214">
        <v>0.73</v>
      </c>
      <c r="BH57" s="214">
        <v>0.73</v>
      </c>
      <c r="BI57" s="214">
        <v>0.73</v>
      </c>
      <c r="BJ57" s="214">
        <v>0.73</v>
      </c>
      <c r="BK57" s="214">
        <v>0.71</v>
      </c>
      <c r="BL57" s="214">
        <v>0.71</v>
      </c>
      <c r="BM57" s="214">
        <v>0.71</v>
      </c>
      <c r="BN57" s="214">
        <v>0.71</v>
      </c>
      <c r="BO57" s="214">
        <v>0.64</v>
      </c>
      <c r="BP57" s="214">
        <v>0.64</v>
      </c>
      <c r="BQ57" s="214">
        <v>0.64</v>
      </c>
      <c r="BR57" s="214">
        <v>0.79</v>
      </c>
      <c r="BS57" s="214">
        <v>0.79</v>
      </c>
      <c r="BT57" s="214">
        <v>0.79</v>
      </c>
      <c r="BU57" s="214">
        <v>0.79</v>
      </c>
      <c r="BV57" s="214">
        <v>0.79</v>
      </c>
      <c r="BW57" s="214">
        <v>0.79</v>
      </c>
      <c r="BX57" s="214">
        <v>0.79</v>
      </c>
      <c r="BY57" s="214">
        <v>0.79</v>
      </c>
      <c r="BZ57" s="214">
        <v>0.79</v>
      </c>
      <c r="CA57" s="214">
        <v>0.79</v>
      </c>
      <c r="CB57" s="214">
        <v>0.79</v>
      </c>
      <c r="CC57" s="214">
        <v>0.79</v>
      </c>
      <c r="CD57" s="214">
        <v>0.79</v>
      </c>
      <c r="CE57" s="214">
        <v>0.79</v>
      </c>
      <c r="CF57" s="214">
        <v>0.79</v>
      </c>
      <c r="CG57" s="214">
        <v>0.73</v>
      </c>
      <c r="CH57" s="214">
        <v>0.6</v>
      </c>
      <c r="CI57" s="214">
        <v>0.6</v>
      </c>
      <c r="CJ57" s="214">
        <v>0.6</v>
      </c>
      <c r="CK57" s="214">
        <v>0.6</v>
      </c>
      <c r="CL57" s="214">
        <v>0.6</v>
      </c>
      <c r="CM57" s="214">
        <v>0.6</v>
      </c>
      <c r="CN57" s="214">
        <v>0.6</v>
      </c>
      <c r="CO57" s="214">
        <v>0.6</v>
      </c>
      <c r="CP57" s="214">
        <v>0.6</v>
      </c>
      <c r="CQ57" s="214">
        <v>0.6</v>
      </c>
      <c r="CR57" s="214">
        <v>0.6</v>
      </c>
      <c r="CS57" s="214">
        <v>0.6</v>
      </c>
      <c r="CT57" s="214">
        <v>0.6</v>
      </c>
      <c r="CU57" s="214">
        <v>0.6</v>
      </c>
      <c r="CV57" s="214">
        <v>0.6</v>
      </c>
      <c r="CW57" s="214">
        <v>0.6</v>
      </c>
      <c r="CX57" s="214">
        <v>0.6</v>
      </c>
      <c r="CY57" s="214">
        <v>0.6</v>
      </c>
      <c r="CZ57" s="214">
        <v>0.6</v>
      </c>
      <c r="DA57" s="214">
        <v>0.6</v>
      </c>
      <c r="DB57" s="214">
        <v>0.6</v>
      </c>
      <c r="DC57" s="214">
        <v>0.6</v>
      </c>
      <c r="DD57" s="214">
        <v>0.6</v>
      </c>
      <c r="DE57" s="214">
        <v>0.6</v>
      </c>
      <c r="DF57" s="214">
        <v>0.6</v>
      </c>
      <c r="DG57" s="214">
        <v>0.6</v>
      </c>
      <c r="DH57" s="214">
        <v>0.6</v>
      </c>
      <c r="DI57" s="214">
        <v>0.6</v>
      </c>
      <c r="DJ57" s="214">
        <v>0.6</v>
      </c>
      <c r="DK57" s="214">
        <v>0.6</v>
      </c>
      <c r="DL57" s="214">
        <v>0.6</v>
      </c>
      <c r="DM57" s="214">
        <v>0.6</v>
      </c>
      <c r="DN57" s="214">
        <v>0.6</v>
      </c>
      <c r="DO57" s="214">
        <v>0.6</v>
      </c>
      <c r="DP57" s="214">
        <v>0.56999999999999995</v>
      </c>
      <c r="DQ57" s="178"/>
      <c r="DR57" s="178"/>
    </row>
    <row r="58" spans="1:124 16384:16384">
      <c r="A58" s="178" t="str">
        <f t="shared" si="0"/>
        <v>ZINCUSD</v>
      </c>
      <c r="B58" s="178" t="s">
        <v>96</v>
      </c>
      <c r="C58" s="178" t="s">
        <v>97</v>
      </c>
      <c r="D58" s="178" t="s">
        <v>33</v>
      </c>
      <c r="E58" s="178" t="s">
        <v>32</v>
      </c>
      <c r="F58" s="214">
        <v>2357.27</v>
      </c>
      <c r="G58" s="214">
        <v>2120.48</v>
      </c>
      <c r="H58" s="214">
        <v>1905.61</v>
      </c>
      <c r="I58" s="214">
        <v>1894.08</v>
      </c>
      <c r="J58" s="214">
        <v>1963.39</v>
      </c>
      <c r="K58" s="214">
        <v>2020.61</v>
      </c>
      <c r="L58" s="214">
        <v>2162.2399999999998</v>
      </c>
      <c r="M58" s="214">
        <v>2406.83</v>
      </c>
      <c r="N58" s="214">
        <v>2450.5</v>
      </c>
      <c r="O58" s="214">
        <v>2441.5500000000002</v>
      </c>
      <c r="P58" s="214">
        <v>2669.69</v>
      </c>
      <c r="Q58" s="214">
        <v>2782.36</v>
      </c>
      <c r="R58" s="214">
        <v>2707.7</v>
      </c>
      <c r="S58" s="214">
        <v>2730.47</v>
      </c>
      <c r="T58" s="214">
        <v>2791.65</v>
      </c>
      <c r="U58" s="214">
        <v>2827.35</v>
      </c>
      <c r="V58" s="214">
        <v>2970.29</v>
      </c>
      <c r="W58" s="214">
        <v>2950.07</v>
      </c>
      <c r="X58" s="232">
        <v>2950.07</v>
      </c>
      <c r="Y58" s="232">
        <v>2950.07</v>
      </c>
      <c r="Z58" s="232">
        <v>2950.07</v>
      </c>
      <c r="AA58" s="232">
        <v>2950.07</v>
      </c>
      <c r="AB58" s="232">
        <v>2950.07</v>
      </c>
      <c r="AC58" s="214">
        <v>3153</v>
      </c>
      <c r="AD58" s="214">
        <v>3609.95</v>
      </c>
      <c r="AE58" s="214">
        <v>3643</v>
      </c>
      <c r="AF58" s="214">
        <v>3974.3</v>
      </c>
      <c r="AG58" s="214">
        <v>4371.03</v>
      </c>
      <c r="AH58" s="214">
        <v>3759.45</v>
      </c>
      <c r="AI58" s="214">
        <v>3543.95</v>
      </c>
      <c r="AJ58" s="214">
        <v>3097.21</v>
      </c>
      <c r="AK58" s="214">
        <v>3572.91</v>
      </c>
      <c r="AL58" s="214">
        <v>3136.43</v>
      </c>
      <c r="AM58" s="214">
        <v>2959.05</v>
      </c>
      <c r="AN58" s="214">
        <v>3144</v>
      </c>
      <c r="AO58" s="214">
        <v>2685</v>
      </c>
      <c r="AP58" s="214">
        <v>3287</v>
      </c>
      <c r="AQ58" s="214">
        <v>3142</v>
      </c>
      <c r="AR58" s="214">
        <v>2924</v>
      </c>
      <c r="AS58" s="214">
        <v>2771.31</v>
      </c>
      <c r="AT58" s="214">
        <v>2230</v>
      </c>
      <c r="AU58" s="214">
        <v>2346</v>
      </c>
      <c r="AV58" s="214">
        <v>2355</v>
      </c>
      <c r="AW58" s="214">
        <v>2412</v>
      </c>
      <c r="AX58" s="214">
        <v>2366</v>
      </c>
      <c r="AY58" s="214">
        <v>2484.5</v>
      </c>
      <c r="AZ58" s="214">
        <v>2498</v>
      </c>
      <c r="BA58" s="214">
        <v>2311</v>
      </c>
      <c r="BB58" s="214">
        <v>2394</v>
      </c>
      <c r="BC58" s="214">
        <v>2394</v>
      </c>
      <c r="BD58" s="214">
        <v>2472.5</v>
      </c>
      <c r="BE58" s="214">
        <v>2511.5</v>
      </c>
      <c r="BF58" s="214">
        <v>2508</v>
      </c>
      <c r="BG58" s="214">
        <v>2640</v>
      </c>
      <c r="BH58" s="214">
        <v>2509</v>
      </c>
      <c r="BI58" s="214">
        <v>2446</v>
      </c>
      <c r="BJ58" s="214">
        <v>2442.5</v>
      </c>
      <c r="BK58" s="214">
        <v>2465.5</v>
      </c>
      <c r="BL58" s="214">
        <v>2524.5</v>
      </c>
      <c r="BM58" s="214">
        <v>2600</v>
      </c>
      <c r="BN58" s="214">
        <v>2600</v>
      </c>
      <c r="BO58" s="178">
        <v>2537.5</v>
      </c>
      <c r="BP58" s="214">
        <v>2421.5</v>
      </c>
      <c r="BQ58" s="214">
        <v>2426.5</v>
      </c>
      <c r="BR58" s="214">
        <v>2547</v>
      </c>
      <c r="BS58" s="214">
        <v>2658</v>
      </c>
      <c r="BT58" s="214">
        <v>2562.5</v>
      </c>
      <c r="BU58" s="214">
        <v>2462</v>
      </c>
      <c r="BV58" s="214">
        <v>2462</v>
      </c>
      <c r="BW58" s="214">
        <v>2451</v>
      </c>
      <c r="BX58" s="214">
        <v>2320</v>
      </c>
      <c r="BY58" s="214">
        <v>2320</v>
      </c>
      <c r="BZ58" s="214">
        <v>2378</v>
      </c>
      <c r="CA58" s="214">
        <v>2422</v>
      </c>
      <c r="CB58" s="214">
        <v>2567</v>
      </c>
      <c r="CC58" s="214">
        <v>2567</v>
      </c>
      <c r="CD58" s="214">
        <v>2508</v>
      </c>
      <c r="CE58" s="214">
        <v>2439</v>
      </c>
      <c r="CF58" s="214">
        <v>2731</v>
      </c>
      <c r="CG58" s="214">
        <v>2847</v>
      </c>
      <c r="CH58" s="214">
        <v>2788</v>
      </c>
      <c r="CI58" s="214">
        <v>2882</v>
      </c>
      <c r="CJ58" s="214">
        <v>2889</v>
      </c>
      <c r="CK58" s="214">
        <v>2960</v>
      </c>
      <c r="CL58" s="178">
        <v>3093</v>
      </c>
      <c r="CM58" s="178">
        <v>3012</v>
      </c>
      <c r="CN58" s="214">
        <v>2985</v>
      </c>
      <c r="CO58" s="214">
        <v>2889</v>
      </c>
      <c r="CP58" s="214">
        <v>2817</v>
      </c>
      <c r="CQ58" s="214">
        <v>2846</v>
      </c>
      <c r="CR58" s="214">
        <v>2861</v>
      </c>
      <c r="CS58" s="214">
        <v>3001</v>
      </c>
      <c r="CT58" s="214">
        <v>2885</v>
      </c>
      <c r="CU58" s="214">
        <v>2688.5</v>
      </c>
      <c r="CV58" s="214">
        <v>2707</v>
      </c>
      <c r="CW58" s="214">
        <v>2697</v>
      </c>
      <c r="CX58" s="214">
        <v>2714</v>
      </c>
      <c r="CY58" s="214">
        <v>2694</v>
      </c>
      <c r="CZ58" s="214">
        <v>2813</v>
      </c>
      <c r="DA58" s="214">
        <v>2714</v>
      </c>
      <c r="DB58" s="214">
        <v>2726</v>
      </c>
      <c r="DC58" s="214">
        <v>2888</v>
      </c>
      <c r="DD58" s="178">
        <v>3130</v>
      </c>
      <c r="DE58" s="214">
        <v>3082</v>
      </c>
      <c r="DF58" s="214">
        <v>3046</v>
      </c>
      <c r="DG58" s="214">
        <v>3237</v>
      </c>
      <c r="DH58" s="214">
        <v>3105</v>
      </c>
      <c r="DI58" s="214">
        <v>3028</v>
      </c>
      <c r="DJ58" s="214">
        <v>2980</v>
      </c>
      <c r="DK58" s="214">
        <v>2964</v>
      </c>
      <c r="DL58" s="214">
        <v>3090</v>
      </c>
      <c r="DM58" s="214">
        <v>3079</v>
      </c>
      <c r="DN58" s="214">
        <v>3060</v>
      </c>
      <c r="DO58" s="214">
        <v>3035</v>
      </c>
      <c r="DP58" s="214">
        <v>2984</v>
      </c>
      <c r="DQ58" s="178"/>
      <c r="DR58" s="178"/>
    </row>
    <row r="59" spans="1:124 16384:16384">
      <c r="A59" s="178" t="str">
        <f t="shared" si="0"/>
        <v>PROPYLENE TETRAMER USD</v>
      </c>
      <c r="B59" s="178" t="s">
        <v>56</v>
      </c>
      <c r="C59" s="178" t="s">
        <v>98</v>
      </c>
      <c r="D59" s="178" t="s">
        <v>33</v>
      </c>
      <c r="E59" s="178" t="s">
        <v>34</v>
      </c>
      <c r="F59" s="214"/>
      <c r="G59" s="214"/>
      <c r="H59" s="214"/>
      <c r="I59" s="214"/>
      <c r="J59" s="217">
        <v>1.0920000025601984</v>
      </c>
      <c r="K59" s="217">
        <v>1.0905842954971925</v>
      </c>
      <c r="L59" s="214"/>
      <c r="M59" s="214"/>
      <c r="N59" s="214"/>
      <c r="O59" s="214"/>
      <c r="P59" s="214"/>
      <c r="Q59" s="217">
        <v>1.0905842954971925</v>
      </c>
      <c r="R59" s="217">
        <v>1.0905842954971925</v>
      </c>
      <c r="S59" s="217">
        <v>1.1381409405829821</v>
      </c>
      <c r="T59" s="217">
        <v>14.694181326116373</v>
      </c>
      <c r="U59" s="217">
        <v>1.836960791412461</v>
      </c>
      <c r="V59" s="217">
        <v>2.0940000032547395</v>
      </c>
      <c r="W59" s="217">
        <v>1.9290002492063254</v>
      </c>
      <c r="X59" s="217">
        <v>1.9998310058375999</v>
      </c>
      <c r="Y59" s="217">
        <v>1.9998310058375999</v>
      </c>
      <c r="Z59" s="217">
        <v>1.9998310058375999</v>
      </c>
      <c r="AA59" s="217">
        <v>1.4830000038286875</v>
      </c>
      <c r="AB59" s="217">
        <v>1.8180000005110908</v>
      </c>
      <c r="AC59" s="217">
        <v>1.7682882426876838</v>
      </c>
      <c r="AD59" s="217">
        <v>1.7990906822034507</v>
      </c>
      <c r="AE59" s="217">
        <v>1.7016247596976968</v>
      </c>
      <c r="AF59" s="217">
        <v>1.8179272530753936</v>
      </c>
      <c r="AG59" s="217">
        <v>1.8286988186271556</v>
      </c>
      <c r="AH59" s="217">
        <v>1.6631252965480365</v>
      </c>
      <c r="AI59" s="217">
        <v>1.8787364330844873</v>
      </c>
      <c r="AJ59" s="217">
        <v>2.2113383828400139</v>
      </c>
      <c r="AK59" s="214"/>
      <c r="AL59" s="217">
        <v>2.2098986587183309</v>
      </c>
      <c r="AM59" s="217">
        <v>1.9939996661404074</v>
      </c>
      <c r="AN59" s="217">
        <v>1.9655205456110783</v>
      </c>
      <c r="AO59" s="217">
        <v>1.9002081868604017</v>
      </c>
      <c r="AP59" s="217">
        <v>1.9900114165868426</v>
      </c>
      <c r="AQ59" s="217">
        <v>1.9900115388724593</v>
      </c>
      <c r="AR59" s="217">
        <v>1.9900115201473325</v>
      </c>
      <c r="AS59" s="217">
        <v>1.9900111530872486</v>
      </c>
      <c r="AT59" s="217">
        <v>2.1875999999999998</v>
      </c>
      <c r="AU59" s="214">
        <v>1.99</v>
      </c>
      <c r="AV59" s="214">
        <v>1.99</v>
      </c>
      <c r="AW59" s="214">
        <v>1.99</v>
      </c>
      <c r="AX59" s="214">
        <v>1.99</v>
      </c>
      <c r="AY59" s="214">
        <v>1.99</v>
      </c>
      <c r="AZ59" s="214">
        <v>1.99</v>
      </c>
      <c r="BA59" s="214">
        <v>1.99</v>
      </c>
      <c r="BB59" s="214">
        <v>1.99</v>
      </c>
      <c r="BC59" s="214">
        <v>1.99</v>
      </c>
      <c r="BD59" s="214">
        <v>1.99</v>
      </c>
      <c r="BE59" s="214">
        <v>1.99</v>
      </c>
      <c r="BF59" s="214">
        <v>1.99</v>
      </c>
      <c r="BG59" s="214">
        <v>1.99</v>
      </c>
      <c r="BH59" s="214">
        <v>1.99</v>
      </c>
      <c r="BI59" s="214">
        <v>1.99</v>
      </c>
      <c r="BJ59" s="214">
        <v>1.99</v>
      </c>
      <c r="BK59" s="214">
        <v>1.99</v>
      </c>
      <c r="BL59" s="214">
        <v>1.99</v>
      </c>
      <c r="BM59" s="214">
        <v>1.99</v>
      </c>
      <c r="BN59" s="214">
        <v>1.99</v>
      </c>
      <c r="BO59" s="214">
        <v>1.99</v>
      </c>
      <c r="BP59" s="214">
        <v>1.99</v>
      </c>
      <c r="BQ59" s="214">
        <v>1.99</v>
      </c>
      <c r="BR59" s="214">
        <v>1.99</v>
      </c>
      <c r="BS59" s="214">
        <v>1.99</v>
      </c>
      <c r="BT59" s="214">
        <v>1.99</v>
      </c>
      <c r="BU59" s="214">
        <v>1.99</v>
      </c>
      <c r="BV59" s="214">
        <v>1.99</v>
      </c>
      <c r="BW59" s="214">
        <v>1.99</v>
      </c>
      <c r="BX59" s="214">
        <v>1.99</v>
      </c>
      <c r="BY59" s="214">
        <v>1.99</v>
      </c>
      <c r="BZ59" s="214">
        <v>1.99</v>
      </c>
      <c r="CA59" s="214">
        <v>1.99</v>
      </c>
      <c r="CB59" s="214">
        <v>2.5499999999999998</v>
      </c>
      <c r="CC59" s="214">
        <v>2.5499999999999998</v>
      </c>
      <c r="CD59" s="214">
        <v>2.5499999999999998</v>
      </c>
      <c r="CE59" s="214">
        <v>2.5499999999999998</v>
      </c>
      <c r="CF59" s="214">
        <v>2.5499999999999998</v>
      </c>
      <c r="CG59" s="214">
        <v>2.5499999999999998</v>
      </c>
      <c r="CH59" s="214">
        <v>2.5499999999999998</v>
      </c>
      <c r="CI59" s="214">
        <v>2.5499999999999998</v>
      </c>
      <c r="CJ59" s="214">
        <v>2.5499999999999998</v>
      </c>
      <c r="CK59" s="214">
        <v>2.5499999999999998</v>
      </c>
      <c r="CL59" s="214">
        <v>2.5499999999999998</v>
      </c>
      <c r="CM59" s="214">
        <v>2.5499999999999998</v>
      </c>
      <c r="CN59" s="214">
        <v>2.5499999999999998</v>
      </c>
      <c r="CO59" s="214">
        <v>2.5499999999999998</v>
      </c>
      <c r="CP59" s="214">
        <v>2.5499999999999998</v>
      </c>
      <c r="CQ59" s="214">
        <v>2.5499999999999998</v>
      </c>
      <c r="CR59" s="214">
        <v>2.5499999999999998</v>
      </c>
      <c r="CS59" s="214">
        <v>2.5499999999999998</v>
      </c>
      <c r="CT59" s="214">
        <v>2.56</v>
      </c>
      <c r="CU59" s="214">
        <v>2.56</v>
      </c>
      <c r="CV59" s="214">
        <v>2.56</v>
      </c>
      <c r="CW59" s="214">
        <v>1.1299999999999999</v>
      </c>
      <c r="CX59" s="214">
        <v>1.1299999999999999</v>
      </c>
      <c r="CY59" s="214">
        <v>1.1299999999999999</v>
      </c>
      <c r="CZ59" s="214">
        <v>1.23</v>
      </c>
      <c r="DA59" s="214">
        <v>1.58</v>
      </c>
      <c r="DB59" s="214">
        <v>1.58</v>
      </c>
      <c r="DC59" s="214">
        <v>1.58</v>
      </c>
      <c r="DD59" s="214">
        <v>1.58</v>
      </c>
      <c r="DE59" s="214">
        <v>1.54</v>
      </c>
      <c r="DF59" s="214">
        <v>1.54</v>
      </c>
      <c r="DG59" s="214">
        <v>1.54</v>
      </c>
      <c r="DH59" s="214">
        <v>1.54</v>
      </c>
      <c r="DI59" s="214">
        <v>1.54</v>
      </c>
      <c r="DJ59" s="214">
        <v>1.54</v>
      </c>
      <c r="DK59" s="214">
        <v>1.54</v>
      </c>
      <c r="DL59" s="214">
        <v>1.54</v>
      </c>
      <c r="DM59" s="214">
        <v>1.54</v>
      </c>
      <c r="DN59" s="214">
        <v>1.7</v>
      </c>
      <c r="DO59" s="214">
        <v>1.7</v>
      </c>
      <c r="DP59" s="214">
        <v>1.7</v>
      </c>
      <c r="DQ59" s="178"/>
      <c r="DR59" s="178"/>
    </row>
    <row r="60" spans="1:124 16384:16384">
      <c r="A60" s="178" t="str">
        <f t="shared" si="0"/>
        <v>Maleic Anhydride USD</v>
      </c>
      <c r="B60" s="178" t="s">
        <v>99</v>
      </c>
      <c r="C60" s="178" t="s">
        <v>100</v>
      </c>
      <c r="D60" s="178" t="s">
        <v>33</v>
      </c>
      <c r="E60" s="178" t="s">
        <v>32</v>
      </c>
      <c r="F60" s="214"/>
      <c r="G60" s="214"/>
      <c r="H60" s="214"/>
      <c r="I60" s="214"/>
      <c r="J60" s="214"/>
      <c r="K60" s="214"/>
      <c r="L60" s="214"/>
      <c r="M60" s="214"/>
      <c r="N60" s="214"/>
      <c r="O60" s="214"/>
      <c r="P60" s="214"/>
      <c r="Q60" s="214"/>
      <c r="R60" s="214"/>
      <c r="S60" s="214"/>
      <c r="T60" s="214"/>
      <c r="U60" s="214"/>
      <c r="V60" s="214"/>
      <c r="W60" s="217">
        <v>1575</v>
      </c>
      <c r="X60" s="217">
        <v>1650</v>
      </c>
      <c r="Y60" s="217">
        <v>1730</v>
      </c>
      <c r="Z60" s="217">
        <v>1975</v>
      </c>
      <c r="AA60" s="217">
        <v>2550</v>
      </c>
      <c r="AB60" s="217">
        <v>2875</v>
      </c>
      <c r="AC60" s="217">
        <v>2425</v>
      </c>
      <c r="AD60" s="217">
        <v>2100</v>
      </c>
      <c r="AE60" s="217">
        <v>2425</v>
      </c>
      <c r="AF60" s="217">
        <v>2300</v>
      </c>
      <c r="AG60" s="217">
        <v>1925</v>
      </c>
      <c r="AH60" s="217">
        <v>1600</v>
      </c>
      <c r="AI60" s="217">
        <v>1575</v>
      </c>
      <c r="AJ60" s="217">
        <v>1425</v>
      </c>
      <c r="AK60" s="217">
        <v>1100</v>
      </c>
      <c r="AL60" s="217">
        <v>1167.5</v>
      </c>
      <c r="AM60" s="217">
        <v>1025</v>
      </c>
      <c r="AN60" s="217">
        <v>995</v>
      </c>
      <c r="AO60" s="217">
        <v>955</v>
      </c>
      <c r="AP60" s="217">
        <v>970</v>
      </c>
      <c r="AQ60" s="217">
        <v>1060</v>
      </c>
      <c r="AR60" s="217">
        <v>995</v>
      </c>
      <c r="AS60" s="217">
        <v>1005</v>
      </c>
      <c r="AT60" s="217">
        <v>915</v>
      </c>
      <c r="AU60" s="214">
        <v>855</v>
      </c>
      <c r="AV60" s="214">
        <v>855</v>
      </c>
      <c r="AW60" s="214">
        <v>855</v>
      </c>
      <c r="AX60" s="214">
        <v>855</v>
      </c>
      <c r="AY60" s="214">
        <v>855</v>
      </c>
      <c r="AZ60" s="214">
        <v>825</v>
      </c>
      <c r="BA60" s="214">
        <v>825</v>
      </c>
      <c r="BB60" s="214">
        <v>825</v>
      </c>
      <c r="BC60" s="214">
        <v>825</v>
      </c>
      <c r="BD60" s="214">
        <v>825</v>
      </c>
      <c r="BE60" s="214">
        <v>1030</v>
      </c>
      <c r="BF60" s="214">
        <v>1030</v>
      </c>
      <c r="BG60" s="214">
        <v>1030</v>
      </c>
      <c r="BH60" s="214">
        <v>1030</v>
      </c>
      <c r="BI60" s="214">
        <v>1030</v>
      </c>
      <c r="BJ60" s="214">
        <v>1030</v>
      </c>
      <c r="BK60" s="214">
        <v>1030</v>
      </c>
      <c r="BL60" s="214">
        <v>1030</v>
      </c>
      <c r="BM60" s="214">
        <v>1030</v>
      </c>
      <c r="BN60" s="214">
        <v>1030</v>
      </c>
      <c r="BO60" s="214">
        <v>1030</v>
      </c>
      <c r="BP60" s="214">
        <v>970</v>
      </c>
      <c r="BQ60" s="214">
        <v>1040</v>
      </c>
      <c r="BR60" s="214">
        <v>970</v>
      </c>
      <c r="BS60" s="214">
        <v>1000</v>
      </c>
      <c r="BT60" s="214">
        <v>1000</v>
      </c>
      <c r="BU60" s="214">
        <v>1000</v>
      </c>
      <c r="BV60" s="214">
        <v>1000</v>
      </c>
      <c r="BW60" s="214">
        <v>925</v>
      </c>
      <c r="BX60" s="214">
        <v>925</v>
      </c>
      <c r="BY60" s="214">
        <v>925</v>
      </c>
      <c r="BZ60" s="214">
        <v>925</v>
      </c>
      <c r="CA60" s="214">
        <v>925</v>
      </c>
      <c r="CB60" s="214">
        <v>945</v>
      </c>
      <c r="CC60" s="214">
        <v>945</v>
      </c>
      <c r="CD60" s="214">
        <v>945</v>
      </c>
      <c r="CE60" s="214">
        <v>925</v>
      </c>
      <c r="CF60" s="214">
        <v>925</v>
      </c>
      <c r="CG60" s="214">
        <v>925</v>
      </c>
      <c r="CH60" s="214">
        <v>925</v>
      </c>
      <c r="CI60" s="214">
        <v>940</v>
      </c>
      <c r="CJ60" s="214">
        <v>940</v>
      </c>
      <c r="CK60" s="214">
        <v>940</v>
      </c>
      <c r="CL60" s="214">
        <v>940</v>
      </c>
      <c r="CM60" s="214">
        <v>940</v>
      </c>
      <c r="CN60" s="214">
        <v>940</v>
      </c>
      <c r="CO60" s="214">
        <v>940</v>
      </c>
      <c r="CP60" s="214">
        <v>965</v>
      </c>
      <c r="CQ60" s="214">
        <v>965</v>
      </c>
      <c r="CR60" s="214">
        <v>1200</v>
      </c>
      <c r="CS60" s="214">
        <v>1200</v>
      </c>
      <c r="CT60" s="214">
        <v>1200</v>
      </c>
      <c r="CU60" s="214">
        <v>1200</v>
      </c>
      <c r="CV60" s="214">
        <v>1025</v>
      </c>
      <c r="CW60" s="214">
        <v>1025</v>
      </c>
      <c r="CX60" s="214">
        <v>1025</v>
      </c>
      <c r="CY60" s="214">
        <v>1025</v>
      </c>
      <c r="CZ60" s="214">
        <v>1025</v>
      </c>
      <c r="DA60" s="214">
        <v>970</v>
      </c>
      <c r="DB60" s="214">
        <v>970</v>
      </c>
      <c r="DC60" s="214">
        <v>970</v>
      </c>
      <c r="DD60" s="214">
        <v>970</v>
      </c>
      <c r="DE60" s="214">
        <v>945</v>
      </c>
      <c r="DF60" s="214">
        <v>945</v>
      </c>
      <c r="DG60" s="214">
        <v>945</v>
      </c>
      <c r="DH60" s="214">
        <v>945</v>
      </c>
      <c r="DI60" s="214">
        <v>1050</v>
      </c>
      <c r="DJ60" s="214">
        <v>1050</v>
      </c>
      <c r="DK60" s="214">
        <v>1050</v>
      </c>
      <c r="DL60" s="214">
        <v>925</v>
      </c>
      <c r="DM60" s="214">
        <v>925</v>
      </c>
      <c r="DN60" s="214">
        <v>925</v>
      </c>
      <c r="DO60" s="214">
        <v>910</v>
      </c>
      <c r="DP60" s="214">
        <v>910</v>
      </c>
      <c r="DQ60" s="178"/>
      <c r="DR60" s="178"/>
      <c r="XFD60" s="214"/>
    </row>
    <row r="61" spans="1:124 16384:16384">
      <c r="A61" s="178" t="str">
        <f t="shared" si="0"/>
        <v>LIQUID BROMINE USD</v>
      </c>
      <c r="B61" s="178" t="s">
        <v>56</v>
      </c>
      <c r="C61" s="178" t="s">
        <v>101</v>
      </c>
      <c r="D61" s="178" t="s">
        <v>33</v>
      </c>
      <c r="E61" s="178" t="s">
        <v>34</v>
      </c>
      <c r="F61" s="216">
        <v>3.437657148745096</v>
      </c>
      <c r="G61" s="216">
        <v>3.6504767491504015</v>
      </c>
      <c r="H61" s="216">
        <v>3.6376615793029541</v>
      </c>
      <c r="I61" s="216">
        <v>3.6764010659341144</v>
      </c>
      <c r="J61" s="216">
        <v>3.8026447262828107</v>
      </c>
      <c r="K61" s="216">
        <v>3.8248805396352576</v>
      </c>
      <c r="L61" s="216">
        <v>3.8721625885847621</v>
      </c>
      <c r="M61" s="216">
        <v>3.8430681277946968</v>
      </c>
      <c r="N61" s="216">
        <v>3.8780402793670787</v>
      </c>
      <c r="O61" s="216">
        <v>3.8043619567759612</v>
      </c>
      <c r="P61" s="216">
        <v>3.8554919147975388</v>
      </c>
      <c r="Q61" s="216">
        <v>3.8325781970658754</v>
      </c>
      <c r="R61" s="216">
        <v>3.8023622373348833</v>
      </c>
      <c r="S61" s="216">
        <v>3.8183314487426521</v>
      </c>
      <c r="T61" s="216">
        <v>3.8136432113917813</v>
      </c>
      <c r="U61" s="216">
        <v>3.843947116906985</v>
      </c>
      <c r="V61" s="216">
        <v>3.840042867422123</v>
      </c>
      <c r="W61" s="216">
        <v>3.8336805480355101</v>
      </c>
      <c r="X61" s="216">
        <v>3.8294841100571313</v>
      </c>
      <c r="Y61" s="216">
        <v>3.8812197137205766</v>
      </c>
      <c r="Z61" s="216">
        <v>3.9168831250708678</v>
      </c>
      <c r="AA61" s="216">
        <v>4.0829158332767541</v>
      </c>
      <c r="AB61" s="216">
        <v>4.3685605569339403</v>
      </c>
      <c r="AC61" s="216">
        <v>4.20307561313136</v>
      </c>
      <c r="AD61" s="216">
        <v>4.828941227228368</v>
      </c>
      <c r="AE61" s="216">
        <v>4.8781820440908605</v>
      </c>
      <c r="AF61" s="216">
        <v>5.1431011069842238</v>
      </c>
      <c r="AG61" s="216">
        <v>5.6057447243486358</v>
      </c>
      <c r="AH61" s="216">
        <v>5.8840952994204763</v>
      </c>
      <c r="AI61" s="216">
        <v>6.0218438754597274</v>
      </c>
      <c r="AJ61" s="216">
        <v>6.0321849202801374</v>
      </c>
      <c r="AK61" s="216">
        <v>6.0989541938572405</v>
      </c>
      <c r="AL61" s="216">
        <v>6.2236622530109695</v>
      </c>
      <c r="AM61" s="216">
        <v>5.7323824318599073</v>
      </c>
      <c r="AN61" s="216">
        <v>5.4868904638800942</v>
      </c>
      <c r="AO61" s="216">
        <v>5.9492305426699064</v>
      </c>
      <c r="AP61" s="216">
        <v>5.625580816098859</v>
      </c>
      <c r="AQ61" s="216">
        <v>6.06951668064207</v>
      </c>
      <c r="AR61" s="216">
        <v>6.06</v>
      </c>
      <c r="AS61" s="216">
        <v>5.67</v>
      </c>
      <c r="AT61" s="216">
        <v>5.22</v>
      </c>
      <c r="AU61" s="216">
        <v>4.95</v>
      </c>
      <c r="AV61" s="216">
        <v>4.95</v>
      </c>
      <c r="AW61" s="216">
        <v>4.95</v>
      </c>
      <c r="AX61" s="214">
        <v>4.76</v>
      </c>
      <c r="AY61" s="214">
        <v>4</v>
      </c>
      <c r="AZ61" s="214">
        <v>2.74</v>
      </c>
      <c r="BA61" s="214">
        <v>2.74</v>
      </c>
      <c r="BB61" s="214">
        <v>2.74</v>
      </c>
      <c r="BC61" s="214">
        <v>2.6</v>
      </c>
      <c r="BD61" s="214">
        <v>2.6</v>
      </c>
      <c r="BE61" s="214">
        <v>2.6</v>
      </c>
      <c r="BF61" s="214">
        <v>2.79</v>
      </c>
      <c r="BG61" s="214">
        <v>2.6</v>
      </c>
      <c r="BH61" s="214">
        <v>2.6</v>
      </c>
      <c r="BI61" s="214">
        <v>2.6</v>
      </c>
      <c r="BJ61" s="214">
        <v>2.74</v>
      </c>
      <c r="BK61" s="214">
        <v>2.74</v>
      </c>
      <c r="BL61" s="214">
        <v>2.74</v>
      </c>
      <c r="BM61" s="214">
        <v>2.74</v>
      </c>
      <c r="BN61" s="214">
        <v>2.74</v>
      </c>
      <c r="BO61" s="214">
        <v>2.74</v>
      </c>
      <c r="BP61" s="214">
        <v>2.2999999999999998</v>
      </c>
      <c r="BQ61" s="214">
        <v>2.2999999999999998</v>
      </c>
      <c r="BR61" s="214">
        <v>2.8</v>
      </c>
      <c r="BS61" s="214">
        <v>2.8</v>
      </c>
      <c r="BT61" s="214">
        <v>2.75</v>
      </c>
      <c r="BU61" s="214">
        <v>2.75</v>
      </c>
      <c r="BV61" s="214">
        <v>2.75</v>
      </c>
      <c r="BW61" s="214">
        <v>2.75</v>
      </c>
      <c r="BX61" s="214">
        <v>2.75</v>
      </c>
      <c r="BY61" s="214">
        <v>2.75</v>
      </c>
      <c r="BZ61" s="214">
        <v>2.75</v>
      </c>
      <c r="CA61" s="214">
        <v>2.75</v>
      </c>
      <c r="CB61" s="214">
        <v>2.75</v>
      </c>
      <c r="CC61" s="214">
        <v>2.75</v>
      </c>
      <c r="CD61" s="214">
        <v>2.75</v>
      </c>
      <c r="CE61" s="214">
        <v>2.75</v>
      </c>
      <c r="CF61" s="214">
        <v>2.4</v>
      </c>
      <c r="CG61" s="214">
        <v>2.2799999999999998</v>
      </c>
      <c r="CH61" s="214">
        <v>2.4</v>
      </c>
      <c r="CI61" s="214">
        <v>2.27</v>
      </c>
      <c r="CJ61" s="214">
        <v>2.27</v>
      </c>
      <c r="CK61" s="214">
        <v>2.27</v>
      </c>
      <c r="CL61" s="214">
        <v>2.27</v>
      </c>
      <c r="CM61" s="214">
        <v>2.27</v>
      </c>
      <c r="CN61" s="214">
        <v>2.27</v>
      </c>
      <c r="CO61" s="214">
        <v>2.27</v>
      </c>
      <c r="CP61" s="214">
        <v>2.2999999999999998</v>
      </c>
      <c r="CQ61" s="214">
        <v>2.2999999999999998</v>
      </c>
      <c r="CR61" s="214">
        <v>2.2999999999999998</v>
      </c>
      <c r="CS61" s="214">
        <v>2.2999999999999998</v>
      </c>
      <c r="CT61" s="214">
        <v>2.2000000000000002</v>
      </c>
      <c r="CU61" s="214">
        <v>2.2000000000000002</v>
      </c>
      <c r="CV61" s="214">
        <v>2.2000000000000002</v>
      </c>
      <c r="CW61" s="214">
        <v>2.2000000000000002</v>
      </c>
      <c r="CX61" s="214">
        <v>2.2000000000000002</v>
      </c>
      <c r="CY61" s="214">
        <v>2.2000000000000002</v>
      </c>
      <c r="CZ61" s="214">
        <v>2.31</v>
      </c>
      <c r="DA61" s="214">
        <v>2.31</v>
      </c>
      <c r="DB61" s="214">
        <v>2.31</v>
      </c>
      <c r="DC61" s="214">
        <v>2.31</v>
      </c>
      <c r="DD61" s="214">
        <v>2.31</v>
      </c>
      <c r="DE61" s="214">
        <v>2.2999999999999998</v>
      </c>
      <c r="DF61" s="214">
        <v>2.2999999999999998</v>
      </c>
      <c r="DG61" s="214">
        <v>2.2999999999999998</v>
      </c>
      <c r="DH61" s="214">
        <v>2.2999999999999998</v>
      </c>
      <c r="DI61" s="214">
        <v>2.2999999999999998</v>
      </c>
      <c r="DJ61" s="214">
        <v>2.6</v>
      </c>
      <c r="DK61" s="214">
        <v>2.6</v>
      </c>
      <c r="DL61" s="214">
        <v>2.6</v>
      </c>
      <c r="DM61" s="214">
        <v>2.6</v>
      </c>
      <c r="DN61" s="214">
        <v>2.6</v>
      </c>
      <c r="DO61" s="214">
        <v>2.6</v>
      </c>
      <c r="DP61" s="214">
        <v>2.2799999999999998</v>
      </c>
      <c r="DQ61" s="178"/>
      <c r="DR61" s="178"/>
    </row>
    <row r="62" spans="1:124 16384:16384">
      <c r="A62" s="178" t="str">
        <f t="shared" si="0"/>
        <v>CYANOACETAMIDEUSD</v>
      </c>
      <c r="B62" s="178" t="s">
        <v>56</v>
      </c>
      <c r="C62" s="178" t="s">
        <v>102</v>
      </c>
      <c r="D62" s="178" t="s">
        <v>33</v>
      </c>
      <c r="E62" s="178" t="s">
        <v>34</v>
      </c>
      <c r="F62" s="216">
        <v>3.3722677740973346</v>
      </c>
      <c r="G62" s="216">
        <v>3.5884490664929807</v>
      </c>
      <c r="H62" s="216">
        <v>3.3010375884295726</v>
      </c>
      <c r="I62" s="216">
        <v>3.2761440126618488</v>
      </c>
      <c r="J62" s="216">
        <v>3.3313918893164898</v>
      </c>
      <c r="K62" s="216">
        <v>3.2126032639307116</v>
      </c>
      <c r="L62" s="216">
        <v>3.305640263333288</v>
      </c>
      <c r="M62" s="216">
        <v>3.2428482174215421</v>
      </c>
      <c r="N62" s="216">
        <v>3.0558305817010916</v>
      </c>
      <c r="O62" s="216">
        <v>3.1187400447713336</v>
      </c>
      <c r="P62" s="216">
        <v>2.9643536344731332</v>
      </c>
      <c r="Q62" s="216">
        <v>3.0743580036551674</v>
      </c>
      <c r="R62" s="216">
        <v>3.1440983976529004</v>
      </c>
      <c r="S62" s="216">
        <v>3.6417121216368651</v>
      </c>
      <c r="T62" s="216">
        <v>4.060230072669893</v>
      </c>
      <c r="U62" s="216">
        <v>3.8836327345461683</v>
      </c>
      <c r="V62" s="216">
        <v>3.7884508075864156</v>
      </c>
      <c r="W62" s="216">
        <v>3.837401992491376</v>
      </c>
      <c r="X62" s="216">
        <v>3.9030382165072637</v>
      </c>
      <c r="Y62" s="216">
        <v>3.8081991962597312</v>
      </c>
      <c r="Z62" s="216">
        <v>3.9842480228824653</v>
      </c>
      <c r="AA62" s="216">
        <v>4.0671955678400016</v>
      </c>
      <c r="AB62" s="216">
        <v>5.8482673702726471</v>
      </c>
      <c r="AC62" s="216">
        <v>6.6775339200281429</v>
      </c>
      <c r="AD62" s="216">
        <v>7.2166196928556987</v>
      </c>
      <c r="AE62" s="216">
        <v>7.7366156412070888</v>
      </c>
      <c r="AF62" s="216">
        <v>7.6217441905288466</v>
      </c>
      <c r="AG62" s="216">
        <v>7.2166896551724138</v>
      </c>
      <c r="AH62" s="216">
        <v>6.9105245786163518</v>
      </c>
      <c r="AI62" s="216">
        <v>6.9259629864253398</v>
      </c>
      <c r="AJ62" s="216">
        <v>6.0260156630265209</v>
      </c>
      <c r="AK62" s="216">
        <v>5.6731331527093598</v>
      </c>
      <c r="AL62" s="216">
        <v>5.6208484848484845</v>
      </c>
      <c r="AM62" s="216">
        <v>5.31386815920398</v>
      </c>
      <c r="AN62" s="216">
        <v>5.1623768446601934</v>
      </c>
      <c r="AO62" s="216">
        <v>4.5309395098039218</v>
      </c>
      <c r="AP62" s="216">
        <v>4.4188660650336624</v>
      </c>
      <c r="AQ62" s="216">
        <v>4.4813940838476274</v>
      </c>
      <c r="AR62" s="216">
        <v>4.2824249470770237</v>
      </c>
      <c r="AS62" s="216">
        <v>4.008818696263873</v>
      </c>
      <c r="AT62" s="216">
        <v>3.9972925836058657</v>
      </c>
      <c r="AU62" s="216">
        <v>3.7949300431832205</v>
      </c>
      <c r="AV62" s="216">
        <v>3.7949300431832205</v>
      </c>
      <c r="AW62" s="214">
        <v>3.5</v>
      </c>
      <c r="AX62" s="214">
        <v>3.5</v>
      </c>
      <c r="AY62" s="214">
        <v>3.5</v>
      </c>
      <c r="AZ62" s="214">
        <v>3.5</v>
      </c>
      <c r="BA62" s="214">
        <v>3.5</v>
      </c>
      <c r="BB62" s="214">
        <v>3.5</v>
      </c>
      <c r="BC62" s="214">
        <v>3.69</v>
      </c>
      <c r="BD62" s="214">
        <v>3.47</v>
      </c>
      <c r="BE62" s="214">
        <v>3.47</v>
      </c>
      <c r="BF62" s="214">
        <v>3.47</v>
      </c>
      <c r="BG62" s="214">
        <v>3.47</v>
      </c>
      <c r="BH62" s="214">
        <v>3.47</v>
      </c>
      <c r="BI62" s="214">
        <v>3.47</v>
      </c>
      <c r="BJ62" s="214">
        <v>3.43</v>
      </c>
      <c r="BK62" s="214">
        <v>3.49</v>
      </c>
      <c r="BL62" s="214">
        <v>3.49</v>
      </c>
      <c r="BM62" s="214">
        <v>3.35</v>
      </c>
      <c r="BN62" s="214">
        <v>3.35</v>
      </c>
      <c r="BO62" s="214">
        <v>3.35</v>
      </c>
      <c r="BP62" s="214">
        <v>3.19</v>
      </c>
      <c r="BQ62" s="214">
        <v>3.19</v>
      </c>
      <c r="BR62" s="214">
        <v>3.19</v>
      </c>
      <c r="BS62" s="214">
        <v>3.19</v>
      </c>
      <c r="BT62" s="214">
        <v>3.19</v>
      </c>
      <c r="BU62" s="214">
        <v>3.19</v>
      </c>
      <c r="BV62" s="214">
        <v>3.19</v>
      </c>
      <c r="BW62" s="214">
        <v>3.24</v>
      </c>
      <c r="BX62" s="214">
        <v>3.24</v>
      </c>
      <c r="BY62" s="214">
        <v>3.24</v>
      </c>
      <c r="BZ62" s="214">
        <v>3.2</v>
      </c>
      <c r="CA62" s="214">
        <v>3.2</v>
      </c>
      <c r="CB62" s="214">
        <v>3.2</v>
      </c>
      <c r="CC62" s="214">
        <v>3.2</v>
      </c>
      <c r="CD62" s="214">
        <v>3.2</v>
      </c>
      <c r="CE62" s="214">
        <v>3.2</v>
      </c>
      <c r="CF62" s="214">
        <v>3.14</v>
      </c>
      <c r="CG62" s="214">
        <v>3.18</v>
      </c>
      <c r="CH62" s="214">
        <v>3.18</v>
      </c>
      <c r="CI62" s="214">
        <v>3.15</v>
      </c>
      <c r="CJ62" s="214">
        <v>3.15</v>
      </c>
      <c r="CK62" s="214">
        <v>3.15</v>
      </c>
      <c r="CL62" s="214">
        <v>3.15</v>
      </c>
      <c r="CM62" s="214">
        <v>3.15</v>
      </c>
      <c r="CN62" s="214">
        <v>3.15</v>
      </c>
      <c r="CO62" s="214">
        <v>3.15</v>
      </c>
      <c r="CP62" s="214">
        <v>3.04</v>
      </c>
      <c r="CQ62" s="214">
        <v>3.04</v>
      </c>
      <c r="CR62" s="214">
        <v>3.04</v>
      </c>
      <c r="CS62" s="214">
        <v>3.04</v>
      </c>
      <c r="CT62" s="214">
        <v>3.02</v>
      </c>
      <c r="CU62" s="214">
        <v>3.02</v>
      </c>
      <c r="CV62" s="214">
        <v>3.1</v>
      </c>
      <c r="CW62" s="214">
        <v>3.1</v>
      </c>
      <c r="CX62" s="214">
        <v>3.1</v>
      </c>
      <c r="CY62" s="214">
        <v>3.1</v>
      </c>
      <c r="CZ62" s="214">
        <v>3.1</v>
      </c>
      <c r="DA62" s="214">
        <v>3.1</v>
      </c>
      <c r="DB62" s="214">
        <v>3.1</v>
      </c>
      <c r="DC62" s="214">
        <v>3.1</v>
      </c>
      <c r="DD62" s="214">
        <v>3.1</v>
      </c>
      <c r="DE62" s="214">
        <v>3.09</v>
      </c>
      <c r="DF62" s="214">
        <v>3.09</v>
      </c>
      <c r="DG62" s="214">
        <v>3.09</v>
      </c>
      <c r="DH62" s="214">
        <v>3.09</v>
      </c>
      <c r="DI62" s="214">
        <v>3.09</v>
      </c>
      <c r="DJ62" s="214">
        <v>3.1</v>
      </c>
      <c r="DK62" s="214">
        <v>3.1</v>
      </c>
      <c r="DL62" s="214">
        <v>3.1</v>
      </c>
      <c r="DM62" s="214">
        <v>3.1</v>
      </c>
      <c r="DN62" s="214">
        <v>3.04</v>
      </c>
      <c r="DO62" s="214">
        <v>3.04</v>
      </c>
      <c r="DP62" s="214">
        <v>3.01</v>
      </c>
      <c r="DQ62" s="178"/>
      <c r="DR62" s="178"/>
    </row>
    <row r="63" spans="1:124 16384:16384">
      <c r="A63" s="178" t="str">
        <f t="shared" si="0"/>
        <v/>
      </c>
      <c r="B63" s="178"/>
      <c r="C63" s="178"/>
      <c r="D63" s="178"/>
      <c r="E63" s="178"/>
      <c r="F63" s="178"/>
      <c r="G63" s="178"/>
      <c r="H63" s="178"/>
      <c r="I63" s="178"/>
      <c r="J63" s="178"/>
      <c r="K63" s="178"/>
      <c r="L63" s="178"/>
      <c r="M63" s="178"/>
      <c r="N63" s="178"/>
      <c r="O63" s="178"/>
      <c r="P63" s="178"/>
      <c r="Q63" s="178"/>
      <c r="R63" s="178"/>
      <c r="S63" s="178"/>
      <c r="T63" s="178"/>
      <c r="U63" s="178"/>
      <c r="V63" s="178"/>
      <c r="W63" s="178"/>
      <c r="X63" s="178"/>
      <c r="Y63" s="178"/>
      <c r="Z63" s="178"/>
      <c r="AA63" s="178"/>
      <c r="AB63" s="178"/>
      <c r="AC63" s="178"/>
      <c r="AD63" s="178"/>
      <c r="AE63" s="178"/>
      <c r="AF63" s="178"/>
      <c r="AG63" s="178"/>
      <c r="AH63" s="178"/>
      <c r="AI63" s="178"/>
      <c r="AJ63" s="178"/>
      <c r="AK63" s="178"/>
      <c r="AL63" s="178"/>
      <c r="AM63" s="178"/>
      <c r="AN63" s="178"/>
      <c r="AO63" s="178"/>
      <c r="AP63" s="178"/>
      <c r="AQ63" s="178"/>
      <c r="AR63" s="178"/>
      <c r="AS63" s="178"/>
      <c r="AT63" s="178"/>
      <c r="AU63" s="178"/>
      <c r="AV63" s="178"/>
      <c r="AW63" s="178"/>
      <c r="AX63" s="178"/>
      <c r="AY63" s="214"/>
      <c r="AZ63" s="214"/>
      <c r="BA63" s="214"/>
      <c r="BB63" s="178"/>
      <c r="BC63" s="214"/>
      <c r="BD63" s="214"/>
      <c r="BE63" s="214"/>
      <c r="BF63" s="214"/>
      <c r="BG63" s="214"/>
      <c r="BH63" s="214"/>
      <c r="BI63" s="214"/>
      <c r="BJ63" s="214"/>
      <c r="BK63" s="214"/>
      <c r="BL63" s="214"/>
      <c r="BM63" s="214"/>
      <c r="BN63" s="214"/>
      <c r="BO63" s="178"/>
      <c r="BP63" s="214"/>
      <c r="BQ63" s="214"/>
      <c r="BR63" s="214"/>
      <c r="BS63" s="214"/>
      <c r="BT63" s="214"/>
      <c r="BU63" s="214"/>
      <c r="BV63" s="214"/>
      <c r="BW63" s="214"/>
      <c r="BX63" s="214"/>
      <c r="BY63" s="214"/>
      <c r="BZ63" s="214"/>
      <c r="CA63" s="214"/>
      <c r="CB63" s="214"/>
      <c r="CC63" s="214"/>
      <c r="CD63" s="214"/>
      <c r="CE63" s="214"/>
      <c r="CF63" s="214"/>
      <c r="CG63" s="214"/>
      <c r="CH63" s="214"/>
      <c r="CI63" s="214"/>
      <c r="CJ63" s="214"/>
      <c r="CK63" s="214"/>
      <c r="CL63" s="178"/>
      <c r="CM63" s="178"/>
      <c r="CN63" s="214"/>
      <c r="CO63" s="214"/>
      <c r="CP63" s="214"/>
      <c r="CQ63" s="214"/>
      <c r="CR63" s="214"/>
      <c r="CS63" s="214"/>
      <c r="CT63" s="214"/>
      <c r="CU63" s="214"/>
      <c r="CV63" s="214"/>
      <c r="CW63" s="214"/>
      <c r="CX63" s="214"/>
      <c r="CY63" s="214"/>
      <c r="CZ63" s="214"/>
      <c r="DA63" s="214"/>
      <c r="DD63" s="178"/>
      <c r="DI63" s="214"/>
      <c r="DJ63" s="214"/>
      <c r="DK63" s="214"/>
      <c r="DL63" s="214"/>
      <c r="DM63" s="214"/>
      <c r="DN63" s="214"/>
      <c r="DO63" s="214"/>
      <c r="DP63" s="214"/>
      <c r="DQ63" s="178"/>
      <c r="DR63" s="178"/>
    </row>
    <row r="64" spans="1:124 16384:16384">
      <c r="A64" s="178" t="str">
        <f t="shared" si="0"/>
        <v>DIETHYLENE GLYCOL USD</v>
      </c>
      <c r="B64" s="178" t="s">
        <v>103</v>
      </c>
      <c r="C64" s="178" t="s">
        <v>104</v>
      </c>
      <c r="D64" s="178" t="s">
        <v>33</v>
      </c>
      <c r="E64" s="178" t="s">
        <v>32</v>
      </c>
      <c r="F64" s="216">
        <v>635</v>
      </c>
      <c r="G64" s="216">
        <v>500</v>
      </c>
      <c r="H64" s="216">
        <v>425</v>
      </c>
      <c r="I64" s="216">
        <v>385</v>
      </c>
      <c r="J64" s="216">
        <v>395</v>
      </c>
      <c r="K64" s="216">
        <v>380</v>
      </c>
      <c r="L64" s="216">
        <v>370</v>
      </c>
      <c r="M64" s="216">
        <v>402.5</v>
      </c>
      <c r="N64" s="216">
        <v>397.5</v>
      </c>
      <c r="O64" s="216">
        <v>412.5</v>
      </c>
      <c r="P64" s="216">
        <v>530</v>
      </c>
      <c r="Q64" s="216">
        <v>540</v>
      </c>
      <c r="R64" s="216">
        <v>570</v>
      </c>
      <c r="S64" s="216">
        <v>700</v>
      </c>
      <c r="T64" s="216">
        <v>800</v>
      </c>
      <c r="U64" s="216">
        <v>900</v>
      </c>
      <c r="V64" s="216">
        <v>850</v>
      </c>
      <c r="W64" s="216">
        <v>765</v>
      </c>
      <c r="X64" s="216">
        <v>765</v>
      </c>
      <c r="Y64" s="216">
        <v>765</v>
      </c>
      <c r="Z64" s="216">
        <v>822.5</v>
      </c>
      <c r="AA64" s="216">
        <v>940</v>
      </c>
      <c r="AB64" s="216">
        <v>820</v>
      </c>
      <c r="AC64" s="216">
        <v>700</v>
      </c>
      <c r="AD64" s="216">
        <v>660</v>
      </c>
      <c r="AE64" s="216">
        <v>645</v>
      </c>
      <c r="AF64" s="216">
        <v>645</v>
      </c>
      <c r="AG64" s="216">
        <v>655</v>
      </c>
      <c r="AH64" s="216">
        <v>645</v>
      </c>
      <c r="AI64" s="216">
        <v>685</v>
      </c>
      <c r="AJ64" s="216">
        <v>685</v>
      </c>
      <c r="AK64" s="216">
        <v>640</v>
      </c>
      <c r="AL64" s="216">
        <v>602.5</v>
      </c>
      <c r="AM64" s="216">
        <v>630</v>
      </c>
      <c r="AN64" s="216">
        <v>680</v>
      </c>
      <c r="AO64" s="216">
        <v>695</v>
      </c>
      <c r="AP64" s="216">
        <v>655</v>
      </c>
      <c r="AQ64" s="216">
        <v>665</v>
      </c>
      <c r="AR64" s="216">
        <v>745</v>
      </c>
      <c r="AS64" s="216">
        <v>922.5</v>
      </c>
      <c r="AT64" s="216">
        <v>805</v>
      </c>
      <c r="AU64" s="216">
        <v>550</v>
      </c>
      <c r="AV64" s="214">
        <v>550</v>
      </c>
      <c r="AW64" s="214">
        <v>550</v>
      </c>
      <c r="AX64" s="214">
        <v>550</v>
      </c>
      <c r="AY64" s="214">
        <v>610</v>
      </c>
      <c r="AZ64" s="214">
        <v>610</v>
      </c>
      <c r="BA64" s="214">
        <v>610</v>
      </c>
      <c r="BB64" s="214">
        <v>610</v>
      </c>
      <c r="BC64" s="214">
        <v>610</v>
      </c>
      <c r="BD64" s="214">
        <v>615</v>
      </c>
      <c r="BE64" s="214">
        <v>615</v>
      </c>
      <c r="BF64" s="214">
        <v>665</v>
      </c>
      <c r="BG64" s="214">
        <v>665</v>
      </c>
      <c r="BH64" s="214">
        <v>665</v>
      </c>
      <c r="BI64" s="214">
        <v>665</v>
      </c>
      <c r="BJ64" s="214">
        <v>665</v>
      </c>
      <c r="BK64" s="214">
        <v>645</v>
      </c>
      <c r="BL64" s="214">
        <v>625</v>
      </c>
      <c r="BM64" s="214">
        <v>625</v>
      </c>
      <c r="BN64" s="214">
        <v>625</v>
      </c>
      <c r="BO64" s="214">
        <v>625</v>
      </c>
      <c r="BP64" s="214">
        <v>625</v>
      </c>
      <c r="BQ64" s="214">
        <v>625</v>
      </c>
      <c r="BR64" s="214">
        <v>650</v>
      </c>
      <c r="BS64" s="214">
        <v>650</v>
      </c>
      <c r="BT64" s="214">
        <v>650</v>
      </c>
      <c r="BU64" s="214">
        <v>650</v>
      </c>
      <c r="BV64" s="214">
        <v>650</v>
      </c>
      <c r="BW64" s="214">
        <v>675</v>
      </c>
      <c r="BX64" s="214">
        <v>675</v>
      </c>
      <c r="BY64" s="214">
        <v>675</v>
      </c>
      <c r="BZ64" s="214">
        <v>675</v>
      </c>
      <c r="CA64" s="214">
        <v>675</v>
      </c>
      <c r="CB64" s="214">
        <v>655</v>
      </c>
      <c r="CC64" s="214">
        <v>655</v>
      </c>
      <c r="CD64" s="214">
        <v>655</v>
      </c>
      <c r="CE64" s="214">
        <v>610</v>
      </c>
      <c r="CF64" s="214">
        <v>610</v>
      </c>
      <c r="CG64" s="214">
        <v>610</v>
      </c>
      <c r="CH64" s="214">
        <v>610</v>
      </c>
      <c r="CI64" s="214">
        <v>632.5</v>
      </c>
      <c r="CJ64" s="214">
        <v>632.5</v>
      </c>
      <c r="CK64" s="214">
        <v>632.5</v>
      </c>
      <c r="CL64" s="214">
        <v>632.5</v>
      </c>
      <c r="CM64" s="214">
        <v>632.5</v>
      </c>
      <c r="CN64" s="214">
        <v>632.5</v>
      </c>
      <c r="CO64" s="214">
        <v>635</v>
      </c>
      <c r="CP64" s="214">
        <v>635</v>
      </c>
      <c r="CQ64" s="214">
        <v>635</v>
      </c>
      <c r="CR64" s="214">
        <v>635</v>
      </c>
      <c r="CS64" s="214">
        <v>635</v>
      </c>
      <c r="CT64" s="214">
        <v>635</v>
      </c>
      <c r="CU64" s="214">
        <v>635</v>
      </c>
      <c r="CV64" s="214">
        <v>642.5</v>
      </c>
      <c r="CW64" s="214">
        <v>642.5</v>
      </c>
      <c r="CX64" s="214">
        <v>642.5</v>
      </c>
      <c r="CY64" s="214">
        <v>642.5</v>
      </c>
      <c r="CZ64" s="214">
        <v>635</v>
      </c>
      <c r="DA64" s="214">
        <v>635</v>
      </c>
      <c r="DB64" s="214">
        <v>635</v>
      </c>
      <c r="DC64" s="214">
        <v>635</v>
      </c>
      <c r="DD64" s="214">
        <v>635</v>
      </c>
      <c r="DE64" s="214">
        <v>625</v>
      </c>
      <c r="DF64" s="214">
        <v>625</v>
      </c>
      <c r="DG64" s="214">
        <v>625</v>
      </c>
      <c r="DH64" s="214">
        <v>625</v>
      </c>
      <c r="DI64" s="214">
        <v>625</v>
      </c>
      <c r="DJ64" s="214">
        <v>595</v>
      </c>
      <c r="DK64" s="214">
        <v>595</v>
      </c>
      <c r="DL64" s="214">
        <v>535</v>
      </c>
      <c r="DM64" s="214">
        <v>535</v>
      </c>
      <c r="DN64" s="214">
        <v>535</v>
      </c>
      <c r="DO64" s="214">
        <v>535</v>
      </c>
      <c r="DP64" s="214">
        <v>535</v>
      </c>
      <c r="DQ64" s="178"/>
      <c r="DR64" s="178"/>
    </row>
    <row r="65" spans="1:124 16384:16384">
      <c r="A65" s="178" t="str">
        <f t="shared" si="0"/>
        <v>SOYA OILINR</v>
      </c>
      <c r="B65" s="178"/>
      <c r="C65" s="178" t="s">
        <v>105</v>
      </c>
      <c r="D65" s="178" t="s">
        <v>43</v>
      </c>
      <c r="E65" s="178" t="s">
        <v>34</v>
      </c>
      <c r="F65" s="216"/>
      <c r="G65" s="216"/>
      <c r="H65" s="216"/>
      <c r="I65" s="216"/>
      <c r="J65" s="216"/>
      <c r="K65" s="216"/>
      <c r="L65" s="216"/>
      <c r="M65" s="216"/>
      <c r="N65" s="216"/>
      <c r="O65" s="216"/>
      <c r="P65" s="216"/>
      <c r="Q65" s="216"/>
      <c r="R65" s="216"/>
      <c r="S65" s="216"/>
      <c r="T65" s="216"/>
      <c r="U65" s="216"/>
      <c r="V65" s="216"/>
      <c r="W65" s="216"/>
      <c r="X65" s="216"/>
      <c r="Y65" s="216"/>
      <c r="Z65" s="216"/>
      <c r="AA65" s="216"/>
      <c r="AB65" s="216"/>
      <c r="AC65" s="216"/>
      <c r="AD65" s="216"/>
      <c r="AE65" s="216"/>
      <c r="AF65" s="216"/>
      <c r="AG65" s="216"/>
      <c r="AH65" s="216"/>
      <c r="AI65" s="216">
        <v>133.75</v>
      </c>
      <c r="AJ65" s="216">
        <v>122.92307692307692</v>
      </c>
      <c r="AK65" s="216">
        <v>123.34090909090909</v>
      </c>
      <c r="AL65" s="216">
        <v>113.95454545454545</v>
      </c>
      <c r="AM65" s="216">
        <v>128.69999999999999</v>
      </c>
      <c r="AN65" s="216">
        <v>136.93478260869566</v>
      </c>
      <c r="AO65" s="216">
        <v>125.21428571428571</v>
      </c>
      <c r="AP65" s="216">
        <v>124.65625</v>
      </c>
      <c r="AQ65" s="216">
        <v>116.47916666666667</v>
      </c>
      <c r="AR65" s="216">
        <v>107.9047619047619</v>
      </c>
      <c r="AS65" s="216">
        <v>106.5</v>
      </c>
      <c r="AT65" s="216">
        <v>93.543478260869563</v>
      </c>
      <c r="AU65" s="216">
        <v>92.424999999999997</v>
      </c>
      <c r="AV65" s="216">
        <v>98</v>
      </c>
      <c r="AW65" s="216">
        <v>93.5</v>
      </c>
      <c r="AX65" s="216">
        <v>95</v>
      </c>
      <c r="AY65" s="216">
        <v>97</v>
      </c>
      <c r="AZ65" s="216">
        <v>97</v>
      </c>
      <c r="BA65" s="216">
        <v>97</v>
      </c>
      <c r="BB65" s="178">
        <v>95</v>
      </c>
      <c r="BC65" s="214">
        <v>93</v>
      </c>
      <c r="BD65" s="214">
        <v>93</v>
      </c>
      <c r="BE65" s="214">
        <v>88</v>
      </c>
      <c r="BF65" s="214">
        <v>87</v>
      </c>
      <c r="BG65" s="214">
        <v>88.5</v>
      </c>
      <c r="BH65" s="214">
        <v>86</v>
      </c>
      <c r="BI65" s="214">
        <v>92</v>
      </c>
      <c r="BJ65" s="214">
        <v>88.5</v>
      </c>
      <c r="BK65" s="214">
        <v>88.5</v>
      </c>
      <c r="BL65" s="214">
        <v>91</v>
      </c>
      <c r="BM65" s="214">
        <v>93</v>
      </c>
      <c r="BN65" s="214">
        <v>93</v>
      </c>
      <c r="BO65" s="214">
        <v>96</v>
      </c>
      <c r="BP65" s="214">
        <v>92</v>
      </c>
      <c r="BQ65" s="214">
        <v>92</v>
      </c>
      <c r="BR65" s="214">
        <v>88.5</v>
      </c>
      <c r="BS65" s="214">
        <v>88</v>
      </c>
      <c r="BT65" s="214">
        <v>91</v>
      </c>
      <c r="BU65" s="214">
        <v>93</v>
      </c>
      <c r="BV65" s="214">
        <v>93</v>
      </c>
      <c r="BW65" s="214">
        <v>89</v>
      </c>
      <c r="BX65" s="214">
        <v>91</v>
      </c>
      <c r="BY65" s="214">
        <v>91</v>
      </c>
      <c r="BZ65" s="214">
        <v>91</v>
      </c>
      <c r="CA65" s="214">
        <v>91</v>
      </c>
      <c r="CB65" s="214">
        <v>95</v>
      </c>
      <c r="CC65" s="214">
        <v>102</v>
      </c>
      <c r="CD65" s="214">
        <v>100</v>
      </c>
      <c r="CE65" s="214">
        <v>98.5</v>
      </c>
      <c r="CF65" s="232">
        <v>98.5</v>
      </c>
      <c r="CG65" s="232">
        <v>98.5</v>
      </c>
      <c r="CH65" s="232">
        <v>98.5</v>
      </c>
      <c r="CI65" s="214">
        <v>92.5</v>
      </c>
      <c r="CJ65" s="214">
        <v>89.5</v>
      </c>
      <c r="CK65" s="214">
        <v>94</v>
      </c>
      <c r="CL65" s="178">
        <v>95</v>
      </c>
      <c r="CM65" s="178">
        <v>95</v>
      </c>
      <c r="CN65" s="178">
        <v>95</v>
      </c>
      <c r="CO65" s="214">
        <v>97.5</v>
      </c>
      <c r="CP65" s="214">
        <v>96.5</v>
      </c>
      <c r="CQ65" s="214">
        <v>96</v>
      </c>
      <c r="CR65" s="214">
        <v>97.5</v>
      </c>
      <c r="CS65" s="214">
        <v>97</v>
      </c>
      <c r="CT65" s="214">
        <v>95.5</v>
      </c>
      <c r="CU65" s="214">
        <v>95</v>
      </c>
      <c r="CV65" s="214">
        <v>95</v>
      </c>
      <c r="CW65" s="214">
        <v>94.5</v>
      </c>
      <c r="CX65" s="214">
        <v>95</v>
      </c>
      <c r="CY65" s="214">
        <v>95</v>
      </c>
      <c r="CZ65" s="214">
        <v>97</v>
      </c>
      <c r="DA65" s="214">
        <v>98</v>
      </c>
      <c r="DB65" s="214">
        <v>102</v>
      </c>
      <c r="DC65" s="214">
        <v>102</v>
      </c>
      <c r="DD65" s="214">
        <v>102</v>
      </c>
      <c r="DE65" s="214">
        <v>125</v>
      </c>
      <c r="DF65" s="214">
        <v>123</v>
      </c>
      <c r="DG65" s="214">
        <v>125</v>
      </c>
      <c r="DH65" s="214">
        <v>129</v>
      </c>
      <c r="DI65" s="214">
        <v>135</v>
      </c>
      <c r="DJ65" s="214">
        <v>135</v>
      </c>
      <c r="DK65" s="214">
        <v>128.5</v>
      </c>
      <c r="DL65" s="214">
        <v>128.5</v>
      </c>
      <c r="DM65" s="214">
        <v>128.5</v>
      </c>
      <c r="DN65" s="214">
        <v>125</v>
      </c>
      <c r="DO65" s="214">
        <v>122.5</v>
      </c>
      <c r="DP65" s="214">
        <v>121</v>
      </c>
      <c r="DQ65" s="178"/>
      <c r="DR65" s="178"/>
    </row>
    <row r="66" spans="1:124 16384:16384">
      <c r="A66" s="178" t="str">
        <f t="shared" si="0"/>
        <v>SOYA OILUSD</v>
      </c>
      <c r="B66" s="178"/>
      <c r="C66" s="178" t="s">
        <v>105</v>
      </c>
      <c r="D66" s="178" t="s">
        <v>33</v>
      </c>
      <c r="E66" s="178" t="s">
        <v>34</v>
      </c>
      <c r="F66" s="216"/>
      <c r="G66" s="216"/>
      <c r="H66" s="216"/>
      <c r="I66" s="216"/>
      <c r="J66" s="216"/>
      <c r="K66" s="216"/>
      <c r="L66" s="216"/>
      <c r="M66" s="216"/>
      <c r="N66" s="216"/>
      <c r="O66" s="216"/>
      <c r="P66" s="216"/>
      <c r="Q66" s="216"/>
      <c r="R66" s="216"/>
      <c r="S66" s="216"/>
      <c r="T66" s="216"/>
      <c r="U66" s="216"/>
      <c r="V66" s="216"/>
      <c r="W66" s="216"/>
      <c r="X66" s="216"/>
      <c r="Y66" s="216"/>
      <c r="Z66" s="216"/>
      <c r="AA66" s="216"/>
      <c r="AB66" s="216"/>
      <c r="AC66" s="216"/>
      <c r="AD66" s="216"/>
      <c r="AE66" s="216"/>
      <c r="AF66" s="216"/>
      <c r="AG66" s="216"/>
      <c r="AH66" s="216"/>
      <c r="AI66" s="216">
        <f>AI65/AI1</f>
        <v>1.7131056570795049</v>
      </c>
      <c r="AJ66" s="216">
        <f>AJ65/AJ1</f>
        <v>1.544229644351645</v>
      </c>
      <c r="AK66" s="216">
        <f>AK65/AK1</f>
        <v>1.5505426032460807</v>
      </c>
      <c r="AL66" s="216">
        <f t="shared" ref="AL66:AV66" si="37">AL65/AL1</f>
        <v>1.420320796476471</v>
      </c>
      <c r="AM66" s="216">
        <f t="shared" si="37"/>
        <v>1.5630291188559966</v>
      </c>
      <c r="AN66" s="216">
        <f t="shared" si="37"/>
        <v>1.6738041049341184</v>
      </c>
      <c r="AO66" s="216">
        <f t="shared" si="37"/>
        <v>1.5184075636303758</v>
      </c>
      <c r="AP66" s="216">
        <f t="shared" si="37"/>
        <v>1.5220619453065469</v>
      </c>
      <c r="AQ66" s="216">
        <f t="shared" si="37"/>
        <v>1.4183734333962685</v>
      </c>
      <c r="AR66" s="216">
        <f t="shared" si="37"/>
        <v>1.3139624192251604</v>
      </c>
      <c r="AS66" s="216">
        <f t="shared" si="37"/>
        <v>1.2968565536615497</v>
      </c>
      <c r="AT66" s="216">
        <f t="shared" si="37"/>
        <v>1.1390842519709425</v>
      </c>
      <c r="AU66" s="216">
        <f t="shared" si="37"/>
        <v>1.1203030303030304</v>
      </c>
      <c r="AV66" s="216">
        <f t="shared" si="37"/>
        <v>1.1887433284813198</v>
      </c>
      <c r="AW66" s="216">
        <f>AW65/AW1</f>
        <v>1.1377464103188122</v>
      </c>
      <c r="AX66" s="216">
        <f>AX65/AX1</f>
        <v>1.15966796875</v>
      </c>
      <c r="AY66" s="216">
        <f>AY65/AY1</f>
        <v>1.1791879406759056</v>
      </c>
      <c r="AZ66" s="216">
        <f t="shared" ref="AZ66:DK66" si="38">AZ65/AZ1</f>
        <v>1.1710732826270676</v>
      </c>
      <c r="BA66" s="216">
        <f t="shared" si="38"/>
        <v>1.1651651651651651</v>
      </c>
      <c r="BB66" s="216">
        <f t="shared" si="38"/>
        <v>1.1411411411411412</v>
      </c>
      <c r="BC66" s="216">
        <f t="shared" si="38"/>
        <v>1.1252268602540834</v>
      </c>
      <c r="BD66" s="216">
        <f t="shared" si="38"/>
        <v>1.119807344972908</v>
      </c>
      <c r="BE66" s="216">
        <f t="shared" si="38"/>
        <v>1.0610079575596818</v>
      </c>
      <c r="BF66" s="216">
        <f t="shared" si="38"/>
        <v>1.0490775352707102</v>
      </c>
      <c r="BG66" s="216">
        <f t="shared" si="38"/>
        <v>1.0629353831371606</v>
      </c>
      <c r="BH66" s="216">
        <f t="shared" si="38"/>
        <v>1.0334054313866858</v>
      </c>
      <c r="BI66" s="216">
        <f t="shared" si="38"/>
        <v>1.1051051051051051</v>
      </c>
      <c r="BJ66" s="216">
        <f t="shared" si="38"/>
        <v>1.0647256977863329</v>
      </c>
      <c r="BK66" s="216">
        <f t="shared" si="38"/>
        <v>1.0629353831371606</v>
      </c>
      <c r="BL66" s="216">
        <f t="shared" si="38"/>
        <v>1.0934871425138188</v>
      </c>
      <c r="BM66" s="216">
        <f t="shared" si="38"/>
        <v>1.1179228272628923</v>
      </c>
      <c r="BN66" s="216">
        <f t="shared" si="38"/>
        <v>1.1179228272628923</v>
      </c>
      <c r="BO66" s="216">
        <f t="shared" si="38"/>
        <v>1.1520460818432738</v>
      </c>
      <c r="BP66" s="216">
        <f t="shared" si="38"/>
        <v>1.1031175059952039</v>
      </c>
      <c r="BQ66" s="216">
        <f t="shared" si="38"/>
        <v>1.1036468330134357</v>
      </c>
      <c r="BR66" s="216">
        <f t="shared" si="38"/>
        <v>1.0631907736665065</v>
      </c>
      <c r="BS66" s="216">
        <f t="shared" si="38"/>
        <v>1.0561689870379261</v>
      </c>
      <c r="BT66" s="216">
        <f t="shared" si="38"/>
        <v>1.0945393312484966</v>
      </c>
      <c r="BU66" s="216">
        <f t="shared" si="38"/>
        <v>1.1184606133493686</v>
      </c>
      <c r="BV66" s="216">
        <f t="shared" si="38"/>
        <v>1.117117117117117</v>
      </c>
      <c r="BW66" s="216">
        <f t="shared" si="38"/>
        <v>1.0715145677823259</v>
      </c>
      <c r="BX66" s="216">
        <f t="shared" si="38"/>
        <v>1.0963855421686748</v>
      </c>
      <c r="BY66" s="216">
        <f t="shared" si="38"/>
        <v>1.09625346343814</v>
      </c>
      <c r="BZ66" s="216">
        <f t="shared" si="38"/>
        <v>1.0977080820265379</v>
      </c>
      <c r="CA66" s="216">
        <f t="shared" si="38"/>
        <v>1.0977080820265379</v>
      </c>
      <c r="CB66" s="216">
        <f t="shared" si="38"/>
        <v>1.1487303506650544</v>
      </c>
      <c r="CC66" s="216">
        <f t="shared" si="38"/>
        <v>1.2324794586756886</v>
      </c>
      <c r="CD66" s="216">
        <f t="shared" si="38"/>
        <v>1.2010569300984866</v>
      </c>
      <c r="CE66" s="216">
        <f t="shared" si="38"/>
        <v>1.181196786185394</v>
      </c>
      <c r="CF66" s="216">
        <f t="shared" si="38"/>
        <v>1.1837519528902778</v>
      </c>
      <c r="CG66" s="216">
        <f t="shared" si="38"/>
        <v>1.1810551558752997</v>
      </c>
      <c r="CH66" s="216">
        <f t="shared" si="38"/>
        <v>1.178088745365387</v>
      </c>
      <c r="CI66" s="216">
        <f t="shared" si="38"/>
        <v>1.1088467993286981</v>
      </c>
      <c r="CJ66" s="216">
        <f t="shared" si="38"/>
        <v>1.0718562874251496</v>
      </c>
      <c r="CK66" s="215">
        <f t="shared" si="38"/>
        <v>1.1277744451109779</v>
      </c>
      <c r="CL66" s="216">
        <f t="shared" si="38"/>
        <v>1.139772045590882</v>
      </c>
      <c r="CM66" s="216">
        <f t="shared" si="38"/>
        <v>1.139772045590882</v>
      </c>
      <c r="CN66" s="216">
        <f t="shared" si="38"/>
        <v>1.139772045590882</v>
      </c>
      <c r="CO66" s="216">
        <f t="shared" si="38"/>
        <v>1.1622362617713673</v>
      </c>
      <c r="CP66" s="216">
        <f t="shared" si="38"/>
        <v>1.1570743405275778</v>
      </c>
      <c r="CQ66" s="216">
        <f t="shared" si="38"/>
        <v>1.1497005988023952</v>
      </c>
      <c r="CR66" s="216">
        <f t="shared" si="38"/>
        <v>1.1683642899940083</v>
      </c>
      <c r="CS66" s="216">
        <f t="shared" si="38"/>
        <v>1.1620941655684678</v>
      </c>
      <c r="CT66" s="216">
        <f t="shared" si="38"/>
        <v>1.1430281268701377</v>
      </c>
      <c r="CU66" s="216">
        <f t="shared" si="38"/>
        <v>1.135005973715651</v>
      </c>
      <c r="CV66" s="216">
        <f t="shared" si="38"/>
        <v>1.1345993072972649</v>
      </c>
      <c r="CW66" s="216">
        <f t="shared" si="38"/>
        <v>1.1256700416914829</v>
      </c>
      <c r="CX66" s="216">
        <f t="shared" si="38"/>
        <v>1.1314911862791805</v>
      </c>
      <c r="CY66" s="216">
        <f t="shared" si="38"/>
        <v>1.132300357568534</v>
      </c>
      <c r="CZ66" s="216">
        <f t="shared" si="38"/>
        <v>1.1562760758135653</v>
      </c>
      <c r="DA66" s="216">
        <f t="shared" si="38"/>
        <v>1.1672224868985233</v>
      </c>
      <c r="DB66" s="216">
        <f t="shared" si="38"/>
        <v>1.2148642210576466</v>
      </c>
      <c r="DC66" s="216">
        <f t="shared" si="38"/>
        <v>1.2203876525484565</v>
      </c>
      <c r="DD66" s="216">
        <f t="shared" si="38"/>
        <v>1.2192206550322735</v>
      </c>
      <c r="DE66" s="216">
        <f t="shared" si="38"/>
        <v>1.4886268905561511</v>
      </c>
      <c r="DF66" s="216">
        <f t="shared" si="38"/>
        <v>1.4630664922088736</v>
      </c>
      <c r="DG66" s="216">
        <f t="shared" si="38"/>
        <v>1.4868561912691807</v>
      </c>
      <c r="DH66" s="216">
        <f t="shared" si="38"/>
        <v>1.5342530922930542</v>
      </c>
      <c r="DI66" s="216">
        <f t="shared" si="38"/>
        <v>1.6048502139800285</v>
      </c>
      <c r="DJ66" s="216">
        <f t="shared" si="38"/>
        <v>1.5995260663507107</v>
      </c>
      <c r="DK66" s="216">
        <f t="shared" si="38"/>
        <v>1.5248605672243978</v>
      </c>
      <c r="DL66" s="216">
        <f>DL65/DL1</f>
        <v>1.5183740990192605</v>
      </c>
      <c r="DM66" s="216">
        <f>DM65/DM1</f>
        <v>1.5172983823355768</v>
      </c>
      <c r="DN66" s="216">
        <f t="shared" ref="DN66:DQ66" si="39">DN65/DN1</f>
        <v>1.4735353059059295</v>
      </c>
      <c r="DO66" s="216">
        <f t="shared" si="39"/>
        <v>1.4425341497880357</v>
      </c>
      <c r="DP66" s="216">
        <f t="shared" si="39"/>
        <v>1.4205212491195116</v>
      </c>
      <c r="DQ66" s="216" t="e">
        <f t="shared" si="39"/>
        <v>#DIV/0!</v>
      </c>
      <c r="DR66" s="178"/>
    </row>
    <row r="67" spans="1:124 16384:16384">
      <c r="A67" s="178" t="str">
        <f t="shared" si="0"/>
        <v>BromineUSD</v>
      </c>
      <c r="B67" s="178" t="s">
        <v>29</v>
      </c>
      <c r="C67" s="178" t="s">
        <v>69</v>
      </c>
      <c r="D67" s="178" t="s">
        <v>33</v>
      </c>
      <c r="E67" s="178" t="s">
        <v>32</v>
      </c>
      <c r="F67" s="216"/>
      <c r="G67" s="216"/>
      <c r="H67" s="216"/>
      <c r="I67" s="216"/>
      <c r="J67" s="216"/>
      <c r="K67" s="216"/>
      <c r="L67" s="216"/>
      <c r="M67" s="216"/>
      <c r="N67" s="216"/>
      <c r="O67" s="216"/>
      <c r="P67" s="216"/>
      <c r="Q67" s="216"/>
      <c r="R67" s="216"/>
      <c r="S67" s="216"/>
      <c r="T67" s="216"/>
      <c r="U67" s="216"/>
      <c r="V67" s="216"/>
      <c r="W67" s="216"/>
      <c r="X67" s="216"/>
      <c r="Y67" s="216"/>
      <c r="Z67" s="216"/>
      <c r="AA67" s="216"/>
      <c r="AB67" s="216"/>
      <c r="AC67" s="216"/>
      <c r="AD67" s="216"/>
      <c r="AE67" s="216"/>
      <c r="AF67" s="216">
        <f>(((AF31/1.13)/AF3))</f>
        <v>7804.9189023198696</v>
      </c>
      <c r="AG67" s="216">
        <f t="shared" ref="AG67:CR67" si="40">(((AG31/1.13)/AG3))</f>
        <v>7445.4928989950595</v>
      </c>
      <c r="AH67" s="216">
        <f t="shared" si="40"/>
        <v>7348.1038178306926</v>
      </c>
      <c r="AI67" s="216">
        <f t="shared" si="40"/>
        <v>7661.6114561698369</v>
      </c>
      <c r="AJ67" s="216">
        <f t="shared" si="40"/>
        <v>7663.0906451771216</v>
      </c>
      <c r="AK67" s="216">
        <f t="shared" si="40"/>
        <v>7449.1224933702824</v>
      </c>
      <c r="AL67" s="216">
        <f t="shared" ref="AL67:AV67" si="41">(((AL31/1.13)/AL3))</f>
        <v>5623.1109861530904</v>
      </c>
      <c r="AM67" s="216">
        <f t="shared" si="41"/>
        <v>5163.2014030333203</v>
      </c>
      <c r="AN67" s="216">
        <f t="shared" si="41"/>
        <v>6217.7508796931379</v>
      </c>
      <c r="AO67" s="216">
        <f t="shared" si="41"/>
        <v>6004.7452884561599</v>
      </c>
      <c r="AP67" s="216">
        <f t="shared" si="41"/>
        <v>5843.1945976390616</v>
      </c>
      <c r="AQ67" s="216">
        <f t="shared" si="41"/>
        <v>5105.4648640631694</v>
      </c>
      <c r="AR67" s="216">
        <f t="shared" si="41"/>
        <v>3569.3943614239165</v>
      </c>
      <c r="AS67" s="216">
        <f t="shared" si="41"/>
        <v>3275.2353674043443</v>
      </c>
      <c r="AT67" s="216">
        <f t="shared" si="41"/>
        <v>3172.2453706617657</v>
      </c>
      <c r="AU67" s="216">
        <f t="shared" si="41"/>
        <v>2230.9808879303937</v>
      </c>
      <c r="AV67" s="216">
        <f t="shared" si="41"/>
        <v>2197.1315227342084</v>
      </c>
      <c r="AW67" s="216">
        <f t="shared" si="40"/>
        <v>2258.1629539212695</v>
      </c>
      <c r="AX67" s="216">
        <f t="shared" si="40"/>
        <v>2384.4641101278271</v>
      </c>
      <c r="AY67" s="216">
        <f t="shared" si="40"/>
        <v>2500.1547125440929</v>
      </c>
      <c r="AZ67" s="216">
        <f t="shared" si="40"/>
        <v>2986.5726630680915</v>
      </c>
      <c r="BA67" s="216">
        <f t="shared" si="40"/>
        <v>2994.4857640199152</v>
      </c>
      <c r="BB67" s="216">
        <f t="shared" si="40"/>
        <v>2986.2704395644419</v>
      </c>
      <c r="BC67" s="216">
        <f t="shared" si="40"/>
        <v>2998.4097502943782</v>
      </c>
      <c r="BD67" s="216">
        <f t="shared" si="40"/>
        <v>2965.9939711632751</v>
      </c>
      <c r="BE67" s="216">
        <f t="shared" si="40"/>
        <v>2940.1410587906821</v>
      </c>
      <c r="BF67" s="216">
        <f t="shared" si="40"/>
        <v>2936.1134682991883</v>
      </c>
      <c r="BG67" s="216">
        <f t="shared" si="40"/>
        <v>2933.6889319917568</v>
      </c>
      <c r="BH67" s="216">
        <f t="shared" si="40"/>
        <v>2921.5662504546012</v>
      </c>
      <c r="BI67" s="216">
        <f t="shared" si="40"/>
        <v>2949.8525073746314</v>
      </c>
      <c r="BJ67" s="216">
        <f t="shared" si="40"/>
        <v>2941.78177548031</v>
      </c>
      <c r="BK67" s="216">
        <f t="shared" si="40"/>
        <v>2937.7629479181783</v>
      </c>
      <c r="BL67" s="216">
        <f t="shared" si="40"/>
        <v>2970.140351304306</v>
      </c>
      <c r="BM67" s="216">
        <f t="shared" si="40"/>
        <v>3047.3682927423883</v>
      </c>
      <c r="BN67" s="216">
        <f t="shared" si="40"/>
        <v>3071.7472390843272</v>
      </c>
      <c r="BO67" s="216">
        <f t="shared" si="40"/>
        <v>3140.9697120777769</v>
      </c>
      <c r="BP67" s="216">
        <f t="shared" si="40"/>
        <v>3135.7675813688311</v>
      </c>
      <c r="BQ67" s="216">
        <f t="shared" si="40"/>
        <v>3157.8815981626872</v>
      </c>
      <c r="BR67" s="216">
        <f t="shared" si="40"/>
        <v>3094.2508818615015</v>
      </c>
      <c r="BS67" s="216">
        <f t="shared" si="40"/>
        <v>3070.509380031704</v>
      </c>
      <c r="BT67" s="216">
        <f t="shared" si="40"/>
        <v>3041.2563878848314</v>
      </c>
      <c r="BU67" s="216">
        <f t="shared" si="40"/>
        <v>2904.1505671195318</v>
      </c>
      <c r="BV67" s="216">
        <f t="shared" si="40"/>
        <v>2833.8470716913594</v>
      </c>
      <c r="BW67" s="216">
        <f t="shared" si="40"/>
        <v>2800.4928867480676</v>
      </c>
      <c r="BX67" s="216">
        <f t="shared" si="40"/>
        <v>2800.4928867480676</v>
      </c>
      <c r="BY67" s="216">
        <f t="shared" si="40"/>
        <v>2769.3330215269489</v>
      </c>
      <c r="BZ67" s="216">
        <f t="shared" si="40"/>
        <v>2760.8647422782069</v>
      </c>
      <c r="CA67" s="216">
        <f t="shared" si="40"/>
        <v>2728.6135693215342</v>
      </c>
      <c r="CB67" s="216">
        <f t="shared" si="40"/>
        <v>2691.7404129793513</v>
      </c>
      <c r="CC67" s="216">
        <f t="shared" si="40"/>
        <v>2662.2624300539851</v>
      </c>
      <c r="CD67" s="216">
        <f t="shared" si="40"/>
        <v>2569.068222489153</v>
      </c>
      <c r="CE67" s="216">
        <f t="shared" si="40"/>
        <v>2230.1374557828126</v>
      </c>
      <c r="CF67" s="216">
        <f t="shared" si="40"/>
        <v>2337.8499124836289</v>
      </c>
      <c r="CG67" s="216">
        <f t="shared" si="40"/>
        <v>2212.3893805309735</v>
      </c>
      <c r="CH67" s="216">
        <f t="shared" si="40"/>
        <v>2236.8356720285537</v>
      </c>
      <c r="CI67" s="216">
        <f t="shared" si="40"/>
        <v>2395.7365667628219</v>
      </c>
      <c r="CJ67" s="216">
        <f t="shared" si="40"/>
        <v>2405.7049574705729</v>
      </c>
      <c r="CK67" s="215">
        <f t="shared" si="40"/>
        <v>2545.93079474657</v>
      </c>
      <c r="CL67" s="216">
        <f t="shared" si="40"/>
        <v>2607.13105423567</v>
      </c>
      <c r="CM67" s="216">
        <f t="shared" si="40"/>
        <v>2631.61115803131</v>
      </c>
      <c r="CN67" s="216">
        <f t="shared" si="40"/>
        <v>2631.61115803131</v>
      </c>
      <c r="CO67" s="216">
        <f t="shared" si="40"/>
        <v>2774.6540849753096</v>
      </c>
      <c r="CP67" s="216">
        <f t="shared" si="40"/>
        <v>2811.323522221679</v>
      </c>
      <c r="CQ67" s="216">
        <f t="shared" si="40"/>
        <v>2864.5261951778448</v>
      </c>
      <c r="CR67" s="216">
        <f t="shared" si="40"/>
        <v>2758.335260678507</v>
      </c>
      <c r="CS67" s="216">
        <f>(((CS31/1.13)/CS3))</f>
        <v>2568.441041496756</v>
      </c>
      <c r="CT67" s="216">
        <f>(((CT31/1.13)/CT3))</f>
        <v>2468.6248493627595</v>
      </c>
      <c r="CU67" s="216">
        <f>(((CU31/1.13)/CU3))</f>
        <v>2443.3531070699214</v>
      </c>
      <c r="CV67" s="216">
        <f>(((CV31/1.13)/CV3))</f>
        <v>2484.7305352574699</v>
      </c>
      <c r="CW67" s="216">
        <f t="shared" ref="CW67:DT67" si="42">(((CW31/1.13)/CW3))</f>
        <v>2554.8931758433005</v>
      </c>
      <c r="CX67" s="216">
        <f t="shared" si="42"/>
        <v>2551.334828801736</v>
      </c>
      <c r="CY67" s="216">
        <f t="shared" si="42"/>
        <v>2562.0397301813236</v>
      </c>
      <c r="CZ67" s="216">
        <f t="shared" si="42"/>
        <v>2571.4748017873371</v>
      </c>
      <c r="DA67" s="216">
        <f t="shared" si="42"/>
        <v>2571.2395621403698</v>
      </c>
      <c r="DB67" s="216">
        <f t="shared" si="42"/>
        <v>2514.2202805471543</v>
      </c>
      <c r="DC67" s="216">
        <f t="shared" si="42"/>
        <v>2514.4776755496505</v>
      </c>
      <c r="DD67" s="279">
        <f t="shared" si="42"/>
        <v>2503.5927690794952</v>
      </c>
      <c r="DE67" s="216">
        <f t="shared" si="42"/>
        <v>2503.5927690794952</v>
      </c>
      <c r="DF67" s="216">
        <f t="shared" si="42"/>
        <v>2484.3483564218413</v>
      </c>
      <c r="DG67" s="216">
        <f t="shared" si="42"/>
        <v>2631.2849855403447</v>
      </c>
      <c r="DH67" s="216">
        <f t="shared" si="42"/>
        <v>2701.9657420490325</v>
      </c>
      <c r="DI67" s="216">
        <f t="shared" si="42"/>
        <v>2788.0462516958546</v>
      </c>
      <c r="DJ67" s="216">
        <f t="shared" si="42"/>
        <v>2741.7716251116908</v>
      </c>
      <c r="DK67" s="216">
        <f t="shared" si="42"/>
        <v>2737.9846477289398</v>
      </c>
      <c r="DL67" s="216">
        <f t="shared" si="42"/>
        <v>2730.4419902971799</v>
      </c>
      <c r="DM67" s="216">
        <f t="shared" si="42"/>
        <v>2677.9953987169974</v>
      </c>
      <c r="DN67" s="216">
        <f t="shared" si="42"/>
        <v>2665.8226923591924</v>
      </c>
      <c r="DO67" s="216">
        <f t="shared" si="42"/>
        <v>2658.5090498561494</v>
      </c>
      <c r="DP67" s="216">
        <f t="shared" si="42"/>
        <v>2654.8672566371683</v>
      </c>
      <c r="DQ67" s="216" t="e">
        <f t="shared" si="42"/>
        <v>#DIV/0!</v>
      </c>
      <c r="DR67" s="216" t="e">
        <f t="shared" si="42"/>
        <v>#DIV/0!</v>
      </c>
      <c r="DS67" s="216" t="e">
        <f t="shared" si="42"/>
        <v>#DIV/0!</v>
      </c>
      <c r="DT67" s="216" t="e">
        <f t="shared" si="42"/>
        <v>#DIV/0!</v>
      </c>
    </row>
    <row r="68" spans="1:124 16384:16384">
      <c r="A68" s="178" t="str">
        <f t="shared" si="0"/>
        <v>2EH USD</v>
      </c>
      <c r="B68" s="178" t="s">
        <v>46</v>
      </c>
      <c r="C68" s="178" t="s">
        <v>106</v>
      </c>
      <c r="D68" s="178" t="s">
        <v>33</v>
      </c>
      <c r="E68" s="178" t="s">
        <v>32</v>
      </c>
      <c r="F68" s="216">
        <v>858</v>
      </c>
      <c r="G68" s="216">
        <v>866.875</v>
      </c>
      <c r="H68" s="216">
        <v>815.625</v>
      </c>
      <c r="I68" s="216">
        <v>680</v>
      </c>
      <c r="J68" s="216">
        <v>719.375</v>
      </c>
      <c r="K68" s="216">
        <v>762.5</v>
      </c>
      <c r="L68" s="216">
        <v>821</v>
      </c>
      <c r="M68" s="216">
        <v>825.625</v>
      </c>
      <c r="N68" s="216">
        <v>843.125</v>
      </c>
      <c r="O68" s="216">
        <v>867.5</v>
      </c>
      <c r="P68" s="216">
        <v>1078.75</v>
      </c>
      <c r="Q68" s="216">
        <v>1266.25</v>
      </c>
      <c r="R68" s="216">
        <v>1347.5</v>
      </c>
      <c r="S68" s="216">
        <v>1542</v>
      </c>
      <c r="T68" s="216">
        <v>1886</v>
      </c>
      <c r="U68" s="216">
        <v>1673</v>
      </c>
      <c r="V68" s="216">
        <v>1893.75</v>
      </c>
      <c r="W68" s="216">
        <v>1911.25</v>
      </c>
      <c r="X68" s="216">
        <v>1999</v>
      </c>
      <c r="Y68" s="216">
        <v>2094</v>
      </c>
      <c r="Z68" s="216">
        <v>1984</v>
      </c>
      <c r="AA68" s="216">
        <v>1753.75</v>
      </c>
      <c r="AB68" s="216">
        <v>1732.5</v>
      </c>
      <c r="AC68" s="216">
        <v>1550</v>
      </c>
      <c r="AD68" s="216">
        <v>1487.5</v>
      </c>
      <c r="AE68" s="216">
        <v>1678.75</v>
      </c>
      <c r="AF68" s="216">
        <v>1756</v>
      </c>
      <c r="AG68" s="216">
        <v>1750</v>
      </c>
      <c r="AH68" s="216">
        <v>1718.75</v>
      </c>
      <c r="AI68" s="216">
        <v>1490</v>
      </c>
      <c r="AJ68" s="216">
        <v>1145</v>
      </c>
      <c r="AK68" s="216">
        <v>1105</v>
      </c>
      <c r="AL68" s="216">
        <v>1149.5</v>
      </c>
      <c r="AM68" s="216">
        <v>1160</v>
      </c>
      <c r="AN68" s="216">
        <v>1150</v>
      </c>
      <c r="AO68" s="216">
        <v>1130</v>
      </c>
      <c r="AP68" s="216">
        <v>1210</v>
      </c>
      <c r="AQ68" s="216">
        <v>1238.75</v>
      </c>
      <c r="AR68" s="216">
        <v>1185</v>
      </c>
      <c r="AS68" s="216">
        <v>1175</v>
      </c>
      <c r="AT68" s="216">
        <v>1200</v>
      </c>
      <c r="AU68" s="216">
        <v>1240</v>
      </c>
      <c r="AV68" s="216">
        <v>1110</v>
      </c>
      <c r="AW68" s="216">
        <v>1110</v>
      </c>
      <c r="AX68" s="216">
        <v>1120</v>
      </c>
      <c r="AY68" s="214">
        <v>1150</v>
      </c>
      <c r="AZ68" s="214">
        <v>1240</v>
      </c>
      <c r="BA68" s="214">
        <v>1305</v>
      </c>
      <c r="BB68" s="214">
        <v>1345</v>
      </c>
      <c r="BC68" s="214">
        <v>1350</v>
      </c>
      <c r="BD68" s="214">
        <v>1435</v>
      </c>
      <c r="BE68" s="214">
        <v>1435</v>
      </c>
      <c r="BF68" s="214">
        <v>1340</v>
      </c>
      <c r="BG68" s="214">
        <v>1404</v>
      </c>
      <c r="BH68" s="214">
        <v>1385</v>
      </c>
      <c r="BI68" s="214">
        <v>1340</v>
      </c>
      <c r="BJ68" s="214">
        <v>1330</v>
      </c>
      <c r="BK68" s="214">
        <v>1290</v>
      </c>
      <c r="BL68" s="214">
        <v>1290</v>
      </c>
      <c r="BM68" s="214">
        <v>1290</v>
      </c>
      <c r="BN68" s="214">
        <v>1290</v>
      </c>
      <c r="BO68" s="214">
        <v>1270</v>
      </c>
      <c r="BP68" s="214">
        <v>1270</v>
      </c>
      <c r="BQ68" s="214">
        <v>1285</v>
      </c>
      <c r="BR68" s="214">
        <v>1340</v>
      </c>
      <c r="BS68" s="214">
        <v>1340</v>
      </c>
      <c r="BT68" s="214">
        <v>1465</v>
      </c>
      <c r="BU68" s="214">
        <v>1515</v>
      </c>
      <c r="BV68" s="214">
        <v>1515</v>
      </c>
      <c r="BW68" s="214">
        <v>1510</v>
      </c>
      <c r="BX68" s="214">
        <v>1510</v>
      </c>
      <c r="BY68" s="214">
        <v>1510</v>
      </c>
      <c r="BZ68" s="214">
        <v>1480</v>
      </c>
      <c r="CA68" s="214">
        <v>1485</v>
      </c>
      <c r="CB68" s="214">
        <v>1495</v>
      </c>
      <c r="CC68" s="214">
        <v>1475</v>
      </c>
      <c r="CD68" s="214">
        <v>1415</v>
      </c>
      <c r="CE68" s="214">
        <v>1375</v>
      </c>
      <c r="CF68" s="214">
        <v>1355</v>
      </c>
      <c r="CG68" s="214">
        <v>1325</v>
      </c>
      <c r="CH68" s="214">
        <v>1325</v>
      </c>
      <c r="CI68" s="214">
        <v>1305</v>
      </c>
      <c r="CJ68" s="214">
        <v>1275</v>
      </c>
      <c r="CK68" s="214">
        <v>1265</v>
      </c>
      <c r="CL68" s="214">
        <v>1265</v>
      </c>
      <c r="CM68" s="214">
        <v>1265</v>
      </c>
      <c r="CN68" s="214">
        <v>1265</v>
      </c>
      <c r="CO68" s="214">
        <v>1265</v>
      </c>
      <c r="CP68" s="214">
        <v>1315</v>
      </c>
      <c r="CQ68" s="214">
        <v>1235</v>
      </c>
      <c r="CR68" s="214">
        <v>1190</v>
      </c>
      <c r="CS68" s="214">
        <v>1195</v>
      </c>
      <c r="CT68" s="214">
        <v>1167</v>
      </c>
      <c r="CU68" s="214">
        <v>1152</v>
      </c>
      <c r="CV68" s="214">
        <v>1161</v>
      </c>
      <c r="CW68" s="214">
        <v>1115</v>
      </c>
      <c r="CX68" s="214">
        <v>1110</v>
      </c>
      <c r="CY68" s="214">
        <v>1085</v>
      </c>
      <c r="CZ68" s="214">
        <v>970</v>
      </c>
      <c r="DA68" s="214">
        <v>990</v>
      </c>
      <c r="DB68" s="214">
        <v>990</v>
      </c>
      <c r="DC68" s="214">
        <v>990</v>
      </c>
      <c r="DD68" s="214">
        <v>1000</v>
      </c>
      <c r="DE68" s="214">
        <v>1015</v>
      </c>
      <c r="DF68" s="214">
        <v>1100</v>
      </c>
      <c r="DG68" s="214">
        <v>1110</v>
      </c>
      <c r="DH68" s="214">
        <v>1110</v>
      </c>
      <c r="DI68" s="214">
        <v>1095</v>
      </c>
      <c r="DJ68" s="214">
        <v>1095</v>
      </c>
      <c r="DK68" s="214">
        <v>1110</v>
      </c>
      <c r="DL68" s="214">
        <v>1105</v>
      </c>
      <c r="DM68" s="214">
        <v>1105</v>
      </c>
      <c r="DN68" s="214">
        <v>1065</v>
      </c>
      <c r="DO68" s="214">
        <v>1045</v>
      </c>
      <c r="DP68" s="214">
        <v>1010</v>
      </c>
      <c r="DQ68" s="178"/>
      <c r="DR68" s="178"/>
    </row>
    <row r="69" spans="1:124 16384:16384">
      <c r="A69" s="178" t="str">
        <f t="shared" ref="A69:A132" si="43">CONCATENATE(C69,D69)</f>
        <v>Oleic AcidUSD</v>
      </c>
      <c r="B69" s="178" t="s">
        <v>46</v>
      </c>
      <c r="C69" s="178" t="s">
        <v>107</v>
      </c>
      <c r="D69" s="178" t="s">
        <v>33</v>
      </c>
      <c r="E69" s="178" t="s">
        <v>32</v>
      </c>
      <c r="F69" s="216">
        <v>1125</v>
      </c>
      <c r="G69" s="216">
        <v>1068.75</v>
      </c>
      <c r="H69" s="216">
        <v>991.25</v>
      </c>
      <c r="I69" s="216">
        <v>997</v>
      </c>
      <c r="J69" s="216">
        <v>992.5</v>
      </c>
      <c r="K69" s="216">
        <v>1037.5</v>
      </c>
      <c r="L69" s="216">
        <v>960</v>
      </c>
      <c r="M69" s="216">
        <v>995</v>
      </c>
      <c r="N69" s="216">
        <v>1027</v>
      </c>
      <c r="O69" s="216">
        <v>1110</v>
      </c>
      <c r="P69" s="216">
        <v>1231.25</v>
      </c>
      <c r="Q69" s="216">
        <v>1455</v>
      </c>
      <c r="R69" s="216">
        <v>1525</v>
      </c>
      <c r="S69" s="216">
        <v>1500</v>
      </c>
      <c r="T69" s="216">
        <v>1645</v>
      </c>
      <c r="U69" s="216">
        <v>1796</v>
      </c>
      <c r="V69" s="216">
        <v>1850</v>
      </c>
      <c r="W69" s="216">
        <v>1935</v>
      </c>
      <c r="X69" s="216">
        <v>1992.5</v>
      </c>
      <c r="Y69" s="216">
        <v>2001.25</v>
      </c>
      <c r="Z69" s="216">
        <v>2078</v>
      </c>
      <c r="AA69" s="216">
        <v>2160</v>
      </c>
      <c r="AB69" s="216">
        <v>2206.25</v>
      </c>
      <c r="AC69" s="216">
        <v>2218.75</v>
      </c>
      <c r="AD69" s="216">
        <v>2150</v>
      </c>
      <c r="AE69" s="216">
        <v>2183.3330000000001</v>
      </c>
      <c r="AF69" s="216">
        <v>2320</v>
      </c>
      <c r="AG69" s="216">
        <v>2187.5</v>
      </c>
      <c r="AH69" s="216">
        <v>2043.75</v>
      </c>
      <c r="AI69" s="216">
        <v>1815</v>
      </c>
      <c r="AJ69" s="216">
        <v>1350</v>
      </c>
      <c r="AK69" s="216">
        <v>1205</v>
      </c>
      <c r="AL69" s="216">
        <v>1243.75</v>
      </c>
      <c r="AM69" s="216">
        <v>1132.5</v>
      </c>
      <c r="AN69" s="216">
        <v>1125</v>
      </c>
      <c r="AO69" s="216">
        <v>1125</v>
      </c>
      <c r="AP69" s="216">
        <v>1115</v>
      </c>
      <c r="AQ69" s="216">
        <v>1146.25</v>
      </c>
      <c r="AR69" s="216">
        <v>1200</v>
      </c>
      <c r="AS69" s="216">
        <v>1190</v>
      </c>
      <c r="AT69" s="216">
        <v>1215</v>
      </c>
      <c r="AU69" s="216">
        <v>1175</v>
      </c>
      <c r="AV69" s="216">
        <v>1185</v>
      </c>
      <c r="AW69" s="216">
        <v>1185</v>
      </c>
      <c r="AX69" s="216">
        <v>1185</v>
      </c>
      <c r="AY69" s="214">
        <v>1200</v>
      </c>
      <c r="AZ69" s="214">
        <v>1250</v>
      </c>
      <c r="BA69" s="214">
        <v>1250</v>
      </c>
      <c r="BB69" s="214">
        <v>1250</v>
      </c>
      <c r="BC69" s="214">
        <v>1250</v>
      </c>
      <c r="BD69" s="214">
        <v>1250</v>
      </c>
      <c r="BE69" s="214">
        <v>1250</v>
      </c>
      <c r="BF69" s="214">
        <v>1250</v>
      </c>
      <c r="BG69" s="214">
        <v>1350</v>
      </c>
      <c r="BH69" s="214">
        <v>1350</v>
      </c>
      <c r="BI69" s="214">
        <v>1350</v>
      </c>
      <c r="BJ69" s="214">
        <v>1375</v>
      </c>
      <c r="BK69" s="214">
        <v>1375</v>
      </c>
      <c r="BL69" s="214">
        <v>1375</v>
      </c>
      <c r="BM69" s="214">
        <v>1400</v>
      </c>
      <c r="BN69" s="214">
        <v>1400</v>
      </c>
      <c r="BO69" s="214">
        <v>1400</v>
      </c>
      <c r="BP69" s="214">
        <v>1350</v>
      </c>
      <c r="BQ69" s="214">
        <v>1350</v>
      </c>
      <c r="BR69" s="214">
        <v>1375</v>
      </c>
      <c r="BS69" s="214">
        <v>1375</v>
      </c>
      <c r="BT69" s="214">
        <v>1375</v>
      </c>
      <c r="BU69" s="214">
        <v>1335</v>
      </c>
      <c r="BV69" s="214">
        <v>1335</v>
      </c>
      <c r="BW69" s="214">
        <v>1310</v>
      </c>
      <c r="BX69" s="214">
        <v>1285</v>
      </c>
      <c r="BY69" s="214">
        <v>1285</v>
      </c>
      <c r="BZ69" s="214">
        <v>1325</v>
      </c>
      <c r="CA69" s="214">
        <v>1325</v>
      </c>
      <c r="CB69" s="214">
        <v>1325</v>
      </c>
      <c r="CC69" s="214">
        <v>1350</v>
      </c>
      <c r="CD69" s="214">
        <v>1350</v>
      </c>
      <c r="CE69" s="214">
        <v>1400</v>
      </c>
      <c r="CF69" s="214">
        <v>1400</v>
      </c>
      <c r="CG69" s="214">
        <v>1375</v>
      </c>
      <c r="CH69" s="214">
        <v>1375</v>
      </c>
      <c r="CI69" s="214">
        <v>1375</v>
      </c>
      <c r="CJ69" s="214">
        <v>1350</v>
      </c>
      <c r="CK69" s="214">
        <v>1250</v>
      </c>
      <c r="CL69" s="214">
        <v>1250</v>
      </c>
      <c r="CM69" s="214">
        <v>1250</v>
      </c>
      <c r="CN69" s="214">
        <v>1250</v>
      </c>
      <c r="CO69" s="214">
        <v>1300</v>
      </c>
      <c r="CP69" s="214">
        <v>1350</v>
      </c>
      <c r="CQ69" s="214">
        <v>1400</v>
      </c>
      <c r="CR69" s="214">
        <v>1375</v>
      </c>
      <c r="CS69" s="214">
        <v>1325</v>
      </c>
      <c r="CT69" s="214">
        <v>1350</v>
      </c>
      <c r="CU69" s="214">
        <v>1360</v>
      </c>
      <c r="CV69" s="214">
        <v>1360</v>
      </c>
      <c r="CW69" s="214">
        <v>1360</v>
      </c>
      <c r="CX69" s="214">
        <v>1385</v>
      </c>
      <c r="CY69" s="214">
        <v>1385</v>
      </c>
      <c r="CZ69" s="214">
        <v>1325</v>
      </c>
      <c r="DA69" s="214">
        <v>1325</v>
      </c>
      <c r="DB69" s="214">
        <v>1325</v>
      </c>
      <c r="DC69" s="214">
        <v>1300</v>
      </c>
      <c r="DD69" s="214">
        <v>1250</v>
      </c>
      <c r="DE69" s="214">
        <v>1280</v>
      </c>
      <c r="DF69" s="214">
        <v>1310</v>
      </c>
      <c r="DG69" s="214">
        <v>1325</v>
      </c>
      <c r="DH69" s="214">
        <v>1325</v>
      </c>
      <c r="DI69" s="214">
        <v>1325</v>
      </c>
      <c r="DJ69" s="214">
        <v>1325</v>
      </c>
      <c r="DK69" s="214">
        <v>1325</v>
      </c>
      <c r="DL69" s="214">
        <v>1310</v>
      </c>
      <c r="DM69" s="214">
        <v>1350</v>
      </c>
      <c r="DN69" s="214">
        <v>1350</v>
      </c>
      <c r="DO69" s="214">
        <v>1350</v>
      </c>
      <c r="DP69" s="214">
        <v>1300</v>
      </c>
      <c r="DQ69" s="178"/>
      <c r="DR69" s="178"/>
    </row>
    <row r="70" spans="1:124 16384:16384">
      <c r="A70" s="178" t="str">
        <f t="shared" si="43"/>
        <v>Glycerine RefinedUSD</v>
      </c>
      <c r="B70" s="178" t="s">
        <v>46</v>
      </c>
      <c r="C70" s="178" t="s">
        <v>108</v>
      </c>
      <c r="D70" s="178" t="s">
        <v>33</v>
      </c>
      <c r="E70" s="178" t="s">
        <v>32</v>
      </c>
      <c r="F70" s="216">
        <v>515</v>
      </c>
      <c r="G70" s="216">
        <v>532.5</v>
      </c>
      <c r="H70" s="216">
        <v>548.79999999999995</v>
      </c>
      <c r="I70" s="216">
        <v>875</v>
      </c>
      <c r="J70" s="216">
        <v>1001.3</v>
      </c>
      <c r="K70" s="216">
        <v>823.8</v>
      </c>
      <c r="L70" s="216">
        <v>607</v>
      </c>
      <c r="M70" s="216">
        <v>610</v>
      </c>
      <c r="N70" s="216">
        <v>642.5</v>
      </c>
      <c r="O70" s="216">
        <v>667</v>
      </c>
      <c r="P70" s="216">
        <v>707.5</v>
      </c>
      <c r="Q70" s="216">
        <v>732.5</v>
      </c>
      <c r="R70" s="216">
        <v>743.8</v>
      </c>
      <c r="S70" s="216">
        <v>756</v>
      </c>
      <c r="T70" s="216">
        <v>854</v>
      </c>
      <c r="U70" s="216">
        <v>1040</v>
      </c>
      <c r="V70" s="216">
        <v>1120</v>
      </c>
      <c r="W70" s="216">
        <v>1110</v>
      </c>
      <c r="X70" s="216">
        <v>1064</v>
      </c>
      <c r="Y70" s="216">
        <v>1189</v>
      </c>
      <c r="Z70" s="216">
        <v>1382</v>
      </c>
      <c r="AA70" s="216">
        <v>1736.3</v>
      </c>
      <c r="AB70" s="216">
        <v>1948.8</v>
      </c>
      <c r="AC70" s="216">
        <f>(1890+1820+1790+1715)/4</f>
        <v>1803.75</v>
      </c>
      <c r="AD70" s="216">
        <v>1631.3</v>
      </c>
      <c r="AE70" s="216">
        <v>1725</v>
      </c>
      <c r="AF70" s="216">
        <v>1961</v>
      </c>
      <c r="AG70" s="216">
        <v>1812.5</v>
      </c>
      <c r="AH70" s="216">
        <v>1965</v>
      </c>
      <c r="AI70" s="216">
        <v>1730</v>
      </c>
      <c r="AJ70" s="216">
        <v>1077.5</v>
      </c>
      <c r="AK70" s="216">
        <v>908.8</v>
      </c>
      <c r="AL70" s="216">
        <v>927</v>
      </c>
      <c r="AM70" s="216">
        <v>755</v>
      </c>
      <c r="AN70" s="216">
        <v>625</v>
      </c>
      <c r="AO70" s="216">
        <v>650</v>
      </c>
      <c r="AP70" s="216">
        <v>700</v>
      </c>
      <c r="AQ70" s="216">
        <v>710</v>
      </c>
      <c r="AR70" s="216">
        <v>640</v>
      </c>
      <c r="AS70" s="216">
        <v>650</v>
      </c>
      <c r="AT70" s="216">
        <v>660</v>
      </c>
      <c r="AU70" s="216">
        <v>630</v>
      </c>
      <c r="AV70" s="216">
        <v>590</v>
      </c>
      <c r="AW70" s="216">
        <v>600</v>
      </c>
      <c r="AX70" s="216">
        <v>615</v>
      </c>
      <c r="AY70" s="214">
        <v>640</v>
      </c>
      <c r="AZ70" s="214">
        <v>645</v>
      </c>
      <c r="BA70" s="214">
        <v>645</v>
      </c>
      <c r="BB70" s="214">
        <v>640</v>
      </c>
      <c r="BC70" s="214">
        <v>625</v>
      </c>
      <c r="BD70" s="214">
        <v>640</v>
      </c>
      <c r="BE70" s="214">
        <v>620</v>
      </c>
      <c r="BF70" s="214">
        <v>615</v>
      </c>
      <c r="BG70" s="214">
        <v>615</v>
      </c>
      <c r="BH70" s="214">
        <v>615</v>
      </c>
      <c r="BI70" s="214">
        <v>605</v>
      </c>
      <c r="BJ70" s="214">
        <v>605</v>
      </c>
      <c r="BK70" s="214">
        <v>590</v>
      </c>
      <c r="BL70" s="214">
        <v>580</v>
      </c>
      <c r="BM70" s="214">
        <v>570</v>
      </c>
      <c r="BN70" s="214">
        <v>570</v>
      </c>
      <c r="BO70" s="214">
        <v>570</v>
      </c>
      <c r="BP70" s="214">
        <v>570</v>
      </c>
      <c r="BQ70" s="214">
        <v>570</v>
      </c>
      <c r="BR70" s="214">
        <v>545</v>
      </c>
      <c r="BS70" s="214">
        <v>545</v>
      </c>
      <c r="BT70" s="214">
        <v>545</v>
      </c>
      <c r="BU70" s="214">
        <v>545</v>
      </c>
      <c r="BV70" s="214">
        <v>545</v>
      </c>
      <c r="BW70" s="214">
        <v>575</v>
      </c>
      <c r="BX70" s="214">
        <v>575</v>
      </c>
      <c r="BY70" s="214">
        <v>575</v>
      </c>
      <c r="BZ70" s="214">
        <v>575</v>
      </c>
      <c r="CA70" s="214">
        <v>585</v>
      </c>
      <c r="CB70" s="214">
        <v>585</v>
      </c>
      <c r="CC70" s="214">
        <v>585</v>
      </c>
      <c r="CD70" s="214">
        <v>605</v>
      </c>
      <c r="CE70" s="214">
        <v>625</v>
      </c>
      <c r="CF70" s="214">
        <v>620</v>
      </c>
      <c r="CG70" s="214">
        <v>617.5</v>
      </c>
      <c r="CH70" s="214">
        <v>617.5</v>
      </c>
      <c r="CI70" s="214">
        <v>605</v>
      </c>
      <c r="CJ70" s="214">
        <v>605</v>
      </c>
      <c r="CK70" s="214">
        <v>595</v>
      </c>
      <c r="CL70" s="214">
        <v>595</v>
      </c>
      <c r="CM70" s="214">
        <v>595</v>
      </c>
      <c r="CN70" s="214">
        <v>595</v>
      </c>
      <c r="CO70" s="214">
        <v>585</v>
      </c>
      <c r="CP70" s="214">
        <v>605</v>
      </c>
      <c r="CQ70" s="214">
        <v>605</v>
      </c>
      <c r="CR70" s="214">
        <v>640</v>
      </c>
      <c r="CS70" s="214">
        <v>650</v>
      </c>
      <c r="CT70" s="214">
        <v>650</v>
      </c>
      <c r="CU70" s="214">
        <v>675</v>
      </c>
      <c r="CV70" s="214">
        <v>675</v>
      </c>
      <c r="CW70" s="214">
        <v>685</v>
      </c>
      <c r="CX70" s="214">
        <v>685</v>
      </c>
      <c r="CY70" s="214">
        <v>675</v>
      </c>
      <c r="CZ70" s="214">
        <v>675</v>
      </c>
      <c r="DA70" s="214">
        <v>675</v>
      </c>
      <c r="DB70" s="214">
        <v>675</v>
      </c>
      <c r="DC70" s="214">
        <v>670</v>
      </c>
      <c r="DD70" s="214">
        <v>680</v>
      </c>
      <c r="DE70" s="214">
        <v>690</v>
      </c>
      <c r="DF70" s="214">
        <v>705</v>
      </c>
      <c r="DG70" s="214">
        <v>790</v>
      </c>
      <c r="DH70" s="214">
        <v>790</v>
      </c>
      <c r="DI70" s="214">
        <v>800</v>
      </c>
      <c r="DJ70" s="214">
        <v>790</v>
      </c>
      <c r="DK70" s="214">
        <v>780</v>
      </c>
      <c r="DL70" s="214">
        <v>780</v>
      </c>
      <c r="DM70" s="214">
        <v>780</v>
      </c>
      <c r="DN70" s="214">
        <v>780</v>
      </c>
      <c r="DO70" s="214">
        <v>795</v>
      </c>
      <c r="DP70" s="214">
        <v>795</v>
      </c>
      <c r="DQ70" s="178"/>
      <c r="DR70" s="178"/>
    </row>
    <row r="71" spans="1:124 16384:16384">
      <c r="A71" s="178" t="str">
        <f t="shared" si="43"/>
        <v>N-Butanol USD</v>
      </c>
      <c r="B71" s="178" t="s">
        <v>46</v>
      </c>
      <c r="C71" s="178" t="s">
        <v>109</v>
      </c>
      <c r="D71" s="178" t="s">
        <v>33</v>
      </c>
      <c r="E71" s="178" t="s">
        <v>32</v>
      </c>
      <c r="F71" s="216">
        <v>691.5</v>
      </c>
      <c r="G71" s="216">
        <v>666.25</v>
      </c>
      <c r="H71" s="216">
        <v>650</v>
      </c>
      <c r="I71" s="216">
        <v>603</v>
      </c>
      <c r="J71" s="216">
        <v>602.5</v>
      </c>
      <c r="K71" s="216">
        <v>612.5</v>
      </c>
      <c r="L71" s="216">
        <v>627</v>
      </c>
      <c r="M71" s="216">
        <v>617.5</v>
      </c>
      <c r="N71" s="216">
        <v>638.75</v>
      </c>
      <c r="O71" s="216">
        <v>696</v>
      </c>
      <c r="P71" s="216">
        <v>933.75</v>
      </c>
      <c r="Q71" s="216">
        <v>1078.75</v>
      </c>
      <c r="R71" s="216">
        <v>1238.75</v>
      </c>
      <c r="S71" s="216">
        <v>1370</v>
      </c>
      <c r="T71" s="216">
        <v>1862.5</v>
      </c>
      <c r="U71" s="216">
        <v>1655</v>
      </c>
      <c r="V71" s="216">
        <v>1793.75</v>
      </c>
      <c r="W71" s="216">
        <v>1843.75</v>
      </c>
      <c r="X71" s="216">
        <v>1880</v>
      </c>
      <c r="Y71" s="216">
        <v>1950</v>
      </c>
      <c r="Z71" s="216">
        <v>1940</v>
      </c>
      <c r="AA71" s="216">
        <v>1750</v>
      </c>
      <c r="AB71" s="216">
        <v>1662.5</v>
      </c>
      <c r="AC71" s="216">
        <v>1371.25</v>
      </c>
      <c r="AD71" s="216">
        <v>1275</v>
      </c>
      <c r="AE71" s="216">
        <v>1362.5</v>
      </c>
      <c r="AF71" s="216">
        <v>1470</v>
      </c>
      <c r="AG71" s="216">
        <v>1462.5</v>
      </c>
      <c r="AH71" s="216">
        <v>1487.5</v>
      </c>
      <c r="AI71" s="216">
        <v>1418</v>
      </c>
      <c r="AJ71" s="216">
        <v>1118.75</v>
      </c>
      <c r="AK71" s="216">
        <v>962.5</v>
      </c>
      <c r="AL71" s="216">
        <v>934</v>
      </c>
      <c r="AM71" s="216">
        <v>950</v>
      </c>
      <c r="AN71" s="216">
        <v>950</v>
      </c>
      <c r="AO71" s="216">
        <v>935</v>
      </c>
      <c r="AP71" s="216">
        <v>975</v>
      </c>
      <c r="AQ71" s="216">
        <v>1005</v>
      </c>
      <c r="AR71" s="216">
        <v>975</v>
      </c>
      <c r="AS71" s="216">
        <v>980</v>
      </c>
      <c r="AT71" s="216">
        <v>975</v>
      </c>
      <c r="AU71" s="216">
        <v>990</v>
      </c>
      <c r="AV71" s="216">
        <v>870</v>
      </c>
      <c r="AW71" s="216">
        <v>870</v>
      </c>
      <c r="AX71" s="216">
        <v>870</v>
      </c>
      <c r="AY71" s="214">
        <f>AY44</f>
        <v>870</v>
      </c>
      <c r="AZ71" s="214">
        <f>AZ44</f>
        <v>890</v>
      </c>
      <c r="BA71" s="214">
        <f>BA44</f>
        <v>900</v>
      </c>
      <c r="BB71" s="214">
        <f t="shared" ref="BB71:DM71" si="44">BB44</f>
        <v>900</v>
      </c>
      <c r="BC71" s="214">
        <v>960</v>
      </c>
      <c r="BD71" s="214">
        <f t="shared" si="44"/>
        <v>1050</v>
      </c>
      <c r="BE71" s="214">
        <f t="shared" si="44"/>
        <v>1050</v>
      </c>
      <c r="BF71" s="214">
        <f t="shared" si="44"/>
        <v>1050</v>
      </c>
      <c r="BG71" s="214">
        <f t="shared" si="44"/>
        <v>1050</v>
      </c>
      <c r="BH71" s="214">
        <f t="shared" si="44"/>
        <v>1050</v>
      </c>
      <c r="BI71" s="214">
        <f t="shared" si="44"/>
        <v>1075</v>
      </c>
      <c r="BJ71" s="214">
        <f t="shared" si="44"/>
        <v>1050</v>
      </c>
      <c r="BK71" s="214">
        <f t="shared" si="44"/>
        <v>1000</v>
      </c>
      <c r="BL71" s="214">
        <f t="shared" si="44"/>
        <v>975</v>
      </c>
      <c r="BM71" s="214">
        <f t="shared" si="44"/>
        <v>975</v>
      </c>
      <c r="BN71" s="214">
        <f t="shared" si="44"/>
        <v>975</v>
      </c>
      <c r="BO71" s="214">
        <f t="shared" si="44"/>
        <v>975</v>
      </c>
      <c r="BP71" s="214">
        <f t="shared" si="44"/>
        <v>975</v>
      </c>
      <c r="BQ71" s="214">
        <f t="shared" si="44"/>
        <v>975</v>
      </c>
      <c r="BR71" s="214">
        <f>BR44</f>
        <v>1000</v>
      </c>
      <c r="BS71" s="214">
        <f t="shared" si="44"/>
        <v>1000</v>
      </c>
      <c r="BT71" s="214">
        <f t="shared" si="44"/>
        <v>1065</v>
      </c>
      <c r="BU71" s="214">
        <f t="shared" si="44"/>
        <v>1085</v>
      </c>
      <c r="BV71" s="214">
        <f t="shared" si="44"/>
        <v>1085</v>
      </c>
      <c r="BW71" s="214">
        <f t="shared" si="44"/>
        <v>1085</v>
      </c>
      <c r="BX71" s="214">
        <f t="shared" si="44"/>
        <v>1085</v>
      </c>
      <c r="BY71" s="214">
        <f t="shared" si="44"/>
        <v>1085</v>
      </c>
      <c r="BZ71" s="214">
        <f t="shared" si="44"/>
        <v>1085</v>
      </c>
      <c r="CA71" s="214">
        <f t="shared" si="44"/>
        <v>1082.5</v>
      </c>
      <c r="CB71" s="214">
        <f t="shared" si="44"/>
        <v>1082.5</v>
      </c>
      <c r="CC71" s="214">
        <f t="shared" si="44"/>
        <v>1075</v>
      </c>
      <c r="CD71" s="214">
        <f t="shared" si="44"/>
        <v>1030</v>
      </c>
      <c r="CE71" s="214">
        <f t="shared" si="44"/>
        <v>1030</v>
      </c>
      <c r="CF71" s="214">
        <f t="shared" si="44"/>
        <v>1047</v>
      </c>
      <c r="CG71" s="214">
        <f t="shared" si="44"/>
        <v>1047</v>
      </c>
      <c r="CH71" s="214">
        <f t="shared" si="44"/>
        <v>1047</v>
      </c>
      <c r="CI71" s="214">
        <f t="shared" si="44"/>
        <v>1045</v>
      </c>
      <c r="CJ71" s="214">
        <f t="shared" si="44"/>
        <v>1040</v>
      </c>
      <c r="CK71" s="214">
        <f t="shared" si="44"/>
        <v>1067</v>
      </c>
      <c r="CL71" s="214">
        <f t="shared" si="44"/>
        <v>1067</v>
      </c>
      <c r="CM71" s="214">
        <f t="shared" si="44"/>
        <v>1067</v>
      </c>
      <c r="CN71" s="214">
        <f t="shared" si="44"/>
        <v>1067</v>
      </c>
      <c r="CO71" s="214">
        <f t="shared" si="44"/>
        <v>1067</v>
      </c>
      <c r="CP71" s="214">
        <f t="shared" si="44"/>
        <v>1075</v>
      </c>
      <c r="CQ71" s="214">
        <f t="shared" si="44"/>
        <v>1075</v>
      </c>
      <c r="CR71" s="214">
        <f t="shared" si="44"/>
        <v>1075</v>
      </c>
      <c r="CS71" s="214">
        <f t="shared" si="44"/>
        <v>1075</v>
      </c>
      <c r="CT71" s="214">
        <f t="shared" si="44"/>
        <v>1075</v>
      </c>
      <c r="CU71" s="214">
        <f t="shared" si="44"/>
        <v>1045</v>
      </c>
      <c r="CV71" s="214">
        <f t="shared" si="44"/>
        <v>1025</v>
      </c>
      <c r="CW71" s="214">
        <f t="shared" si="44"/>
        <v>1025</v>
      </c>
      <c r="CX71" s="214">
        <f t="shared" si="44"/>
        <v>1025</v>
      </c>
      <c r="CY71" s="214">
        <f>CY44</f>
        <v>1025</v>
      </c>
      <c r="CZ71" s="214">
        <f t="shared" si="44"/>
        <v>990</v>
      </c>
      <c r="DA71" s="214">
        <f t="shared" si="44"/>
        <v>940</v>
      </c>
      <c r="DB71" s="214">
        <f t="shared" si="44"/>
        <v>940</v>
      </c>
      <c r="DC71" s="214">
        <f t="shared" si="44"/>
        <v>940</v>
      </c>
      <c r="DD71" s="214">
        <f t="shared" si="44"/>
        <v>940</v>
      </c>
      <c r="DE71" s="214">
        <f t="shared" si="44"/>
        <v>940</v>
      </c>
      <c r="DF71" s="214">
        <f t="shared" si="44"/>
        <v>900</v>
      </c>
      <c r="DG71" s="214">
        <f t="shared" si="44"/>
        <v>910</v>
      </c>
      <c r="DH71" s="214">
        <f t="shared" si="44"/>
        <v>910</v>
      </c>
      <c r="DI71" s="214">
        <f t="shared" si="44"/>
        <v>905</v>
      </c>
      <c r="DJ71" s="214">
        <f t="shared" si="44"/>
        <v>905</v>
      </c>
      <c r="DK71" s="214">
        <f t="shared" si="44"/>
        <v>865</v>
      </c>
      <c r="DL71" s="214">
        <f t="shared" si="44"/>
        <v>865</v>
      </c>
      <c r="DM71" s="214">
        <f t="shared" si="44"/>
        <v>865</v>
      </c>
      <c r="DN71" s="214">
        <f>DN44</f>
        <v>870</v>
      </c>
      <c r="DO71" s="214">
        <f>DO44</f>
        <v>855</v>
      </c>
      <c r="DP71" s="214">
        <f>DP44</f>
        <v>850</v>
      </c>
      <c r="DQ71" s="178"/>
      <c r="DR71" s="178"/>
    </row>
    <row r="72" spans="1:124 16384:16384">
      <c r="A72" s="178" t="str">
        <f t="shared" si="43"/>
        <v>IsoButanolUSD</v>
      </c>
      <c r="B72" s="178" t="s">
        <v>110</v>
      </c>
      <c r="C72" s="178" t="s">
        <v>111</v>
      </c>
      <c r="D72" s="178" t="s">
        <v>33</v>
      </c>
      <c r="E72" s="178" t="s">
        <v>32</v>
      </c>
      <c r="F72" s="216">
        <v>639</v>
      </c>
      <c r="G72" s="216">
        <v>642.5</v>
      </c>
      <c r="H72" s="216">
        <v>625</v>
      </c>
      <c r="I72" s="216">
        <v>561</v>
      </c>
      <c r="J72" s="216">
        <v>578.75</v>
      </c>
      <c r="K72" s="216">
        <v>601.25</v>
      </c>
      <c r="L72" s="216">
        <v>650</v>
      </c>
      <c r="M72" s="216">
        <v>637.5</v>
      </c>
      <c r="N72" s="216">
        <v>615</v>
      </c>
      <c r="O72" s="216">
        <v>639</v>
      </c>
      <c r="P72" s="216">
        <v>765</v>
      </c>
      <c r="Q72" s="216">
        <v>936.25</v>
      </c>
      <c r="R72" s="216">
        <v>1041.25</v>
      </c>
      <c r="S72" s="216">
        <v>1142.5</v>
      </c>
      <c r="T72" s="216">
        <v>1405</v>
      </c>
      <c r="U72" s="216">
        <v>1323</v>
      </c>
      <c r="V72" s="216">
        <v>1617.5</v>
      </c>
      <c r="W72" s="216">
        <v>1718.75</v>
      </c>
      <c r="X72" s="216">
        <v>1773</v>
      </c>
      <c r="Y72" s="216">
        <v>1765</v>
      </c>
      <c r="Z72" s="216">
        <v>1423</v>
      </c>
      <c r="AA72" s="216">
        <v>1332.5</v>
      </c>
      <c r="AB72" s="216">
        <v>1307.5</v>
      </c>
      <c r="AC72" s="216">
        <v>1072.5</v>
      </c>
      <c r="AD72" s="216">
        <v>1052.5</v>
      </c>
      <c r="AE72" s="216">
        <v>1181.25</v>
      </c>
      <c r="AF72" s="216">
        <v>1163</v>
      </c>
      <c r="AG72" s="216">
        <v>1142.5</v>
      </c>
      <c r="AH72" s="216">
        <v>1098.75</v>
      </c>
      <c r="AI72" s="216">
        <v>1050</v>
      </c>
      <c r="AJ72" s="216">
        <v>900</v>
      </c>
      <c r="AK72" s="216">
        <v>845</v>
      </c>
      <c r="AL72" s="216">
        <v>859</v>
      </c>
      <c r="AM72" s="216">
        <v>875</v>
      </c>
      <c r="AN72" s="216">
        <v>875</v>
      </c>
      <c r="AO72" s="216">
        <v>930</v>
      </c>
      <c r="AP72" s="216">
        <v>930</v>
      </c>
      <c r="AQ72" s="216">
        <v>950</v>
      </c>
      <c r="AR72" s="216">
        <v>970</v>
      </c>
      <c r="AS72" s="216">
        <v>975</v>
      </c>
      <c r="AT72" s="216">
        <v>980</v>
      </c>
      <c r="AU72" s="216">
        <v>930</v>
      </c>
      <c r="AV72" s="216">
        <v>810</v>
      </c>
      <c r="AW72" s="216">
        <v>810</v>
      </c>
      <c r="AX72" s="216">
        <v>810</v>
      </c>
      <c r="AY72" s="214">
        <v>860</v>
      </c>
      <c r="AZ72" s="214">
        <v>900</v>
      </c>
      <c r="BA72" s="214">
        <v>970</v>
      </c>
      <c r="BB72" s="214">
        <v>970</v>
      </c>
      <c r="BC72" s="214">
        <v>1000</v>
      </c>
      <c r="BD72" s="214">
        <v>1060</v>
      </c>
      <c r="BE72" s="214">
        <v>1095</v>
      </c>
      <c r="BF72" s="214">
        <v>1125</v>
      </c>
      <c r="BG72" s="214">
        <v>1065</v>
      </c>
      <c r="BH72" s="214">
        <v>1065</v>
      </c>
      <c r="BI72" s="214">
        <v>1052.5</v>
      </c>
      <c r="BJ72" s="214">
        <v>1035</v>
      </c>
      <c r="BK72" s="214">
        <v>980</v>
      </c>
      <c r="BL72" s="214">
        <v>980</v>
      </c>
      <c r="BM72" s="214">
        <v>960</v>
      </c>
      <c r="BN72" s="214">
        <v>960</v>
      </c>
      <c r="BO72" s="214">
        <v>960</v>
      </c>
      <c r="BP72" s="214">
        <v>960</v>
      </c>
      <c r="BQ72" s="214">
        <v>970</v>
      </c>
      <c r="BR72" s="214">
        <v>970</v>
      </c>
      <c r="BS72" s="214">
        <v>970</v>
      </c>
      <c r="BT72" s="214">
        <v>1020</v>
      </c>
      <c r="BU72" s="214">
        <v>1020</v>
      </c>
      <c r="BV72" s="214">
        <v>1010</v>
      </c>
      <c r="BW72" s="214">
        <v>1045</v>
      </c>
      <c r="BX72" s="214">
        <v>1045</v>
      </c>
      <c r="BY72" s="214">
        <v>1045</v>
      </c>
      <c r="BZ72" s="214">
        <v>1045</v>
      </c>
      <c r="CA72" s="214">
        <v>1050</v>
      </c>
      <c r="CB72" s="214">
        <v>1040</v>
      </c>
      <c r="CC72" s="214">
        <v>1060</v>
      </c>
      <c r="CD72" s="214">
        <v>950</v>
      </c>
      <c r="CE72" s="214">
        <v>940</v>
      </c>
      <c r="CF72" s="214">
        <v>940</v>
      </c>
      <c r="CG72" s="214">
        <v>940</v>
      </c>
      <c r="CH72" s="214">
        <v>940</v>
      </c>
      <c r="CI72" s="214">
        <v>935</v>
      </c>
      <c r="CJ72" s="214">
        <v>935</v>
      </c>
      <c r="CK72" s="214">
        <v>970</v>
      </c>
      <c r="CL72" s="214">
        <v>970</v>
      </c>
      <c r="CM72" s="214">
        <v>970</v>
      </c>
      <c r="CN72" s="214">
        <v>965</v>
      </c>
      <c r="CO72" s="214">
        <v>965</v>
      </c>
      <c r="CP72" s="214">
        <v>1185</v>
      </c>
      <c r="CQ72" s="214">
        <v>1200</v>
      </c>
      <c r="CR72" s="214">
        <v>1150</v>
      </c>
      <c r="CS72" s="214">
        <v>1150</v>
      </c>
      <c r="CT72" s="214">
        <v>1120</v>
      </c>
      <c r="CU72" s="214">
        <v>1050</v>
      </c>
      <c r="CV72" s="214">
        <v>1005</v>
      </c>
      <c r="CW72" s="214">
        <v>997</v>
      </c>
      <c r="CX72" s="214">
        <v>997</v>
      </c>
      <c r="CY72" s="214">
        <v>997</v>
      </c>
      <c r="CZ72" s="214">
        <v>982.5</v>
      </c>
      <c r="DA72" s="214">
        <v>975</v>
      </c>
      <c r="DB72" s="214">
        <v>975</v>
      </c>
      <c r="DC72" s="214">
        <v>960</v>
      </c>
      <c r="DD72" s="214">
        <v>1000</v>
      </c>
      <c r="DE72" s="214">
        <v>1000</v>
      </c>
      <c r="DF72" s="214">
        <v>1070</v>
      </c>
      <c r="DG72" s="214">
        <v>1025</v>
      </c>
      <c r="DH72" s="214">
        <v>1025</v>
      </c>
      <c r="DI72" s="214">
        <v>1025</v>
      </c>
      <c r="DJ72" s="214">
        <v>1030</v>
      </c>
      <c r="DK72" s="214">
        <v>1005</v>
      </c>
      <c r="DL72" s="214">
        <v>1000</v>
      </c>
      <c r="DM72" s="214">
        <v>1000</v>
      </c>
      <c r="DN72" s="214">
        <v>980</v>
      </c>
      <c r="DO72" s="214">
        <v>960</v>
      </c>
      <c r="DP72" s="214">
        <v>880</v>
      </c>
      <c r="DQ72" s="178"/>
      <c r="DR72" s="178"/>
    </row>
    <row r="73" spans="1:124 16384:16384">
      <c r="A73" s="178" t="str">
        <f t="shared" si="43"/>
        <v>PFAD fatty acidUSD</v>
      </c>
      <c r="B73" s="178" t="s">
        <v>112</v>
      </c>
      <c r="C73" s="178" t="s">
        <v>112</v>
      </c>
      <c r="D73" s="178" t="s">
        <v>33</v>
      </c>
      <c r="E73" s="178"/>
      <c r="F73" s="274"/>
      <c r="G73" s="274"/>
      <c r="H73" s="274"/>
      <c r="I73" s="274"/>
      <c r="J73" s="274"/>
      <c r="K73" s="274">
        <v>516</v>
      </c>
      <c r="L73" s="274">
        <v>521</v>
      </c>
      <c r="M73" s="274">
        <v>605</v>
      </c>
      <c r="N73" s="274">
        <v>622</v>
      </c>
      <c r="O73" s="274">
        <v>682</v>
      </c>
      <c r="P73" s="274">
        <v>733</v>
      </c>
      <c r="Q73" s="274">
        <v>785</v>
      </c>
      <c r="R73" s="274">
        <v>875</v>
      </c>
      <c r="S73" s="274">
        <v>907</v>
      </c>
      <c r="T73" s="274">
        <v>939</v>
      </c>
      <c r="U73" s="274">
        <v>947</v>
      </c>
      <c r="V73" s="274">
        <v>1038</v>
      </c>
      <c r="W73" s="275">
        <v>933</v>
      </c>
      <c r="X73" s="275">
        <v>973</v>
      </c>
      <c r="Y73" s="275">
        <v>1032</v>
      </c>
      <c r="Z73" s="275">
        <v>1013</v>
      </c>
      <c r="AA73" s="275">
        <v>1131</v>
      </c>
      <c r="AB73" s="275">
        <v>1201</v>
      </c>
      <c r="AC73" s="275">
        <v>1169</v>
      </c>
      <c r="AD73" s="275">
        <v>1259</v>
      </c>
      <c r="AE73" s="275">
        <v>1360</v>
      </c>
      <c r="AF73" s="275">
        <v>1674</v>
      </c>
      <c r="AG73" s="275">
        <v>1454</v>
      </c>
      <c r="AH73" s="275">
        <v>1409</v>
      </c>
      <c r="AI73" s="275">
        <v>1223</v>
      </c>
      <c r="AJ73" s="275">
        <v>787</v>
      </c>
      <c r="AK73" s="275">
        <v>719</v>
      </c>
      <c r="AL73" s="275">
        <v>666</v>
      </c>
      <c r="AM73" s="275">
        <v>715</v>
      </c>
      <c r="AN73" s="275">
        <v>759</v>
      </c>
      <c r="AO73" s="275">
        <v>753</v>
      </c>
      <c r="AP73" s="275">
        <v>675</v>
      </c>
      <c r="AQ73" s="275">
        <v>711</v>
      </c>
      <c r="AR73" s="275">
        <v>726</v>
      </c>
      <c r="AS73" s="275">
        <v>772</v>
      </c>
      <c r="AT73" s="275">
        <v>766</v>
      </c>
      <c r="AU73" s="275">
        <v>708</v>
      </c>
      <c r="AV73" s="275">
        <v>812</v>
      </c>
      <c r="AW73" s="275">
        <v>812</v>
      </c>
      <c r="AX73" s="214">
        <v>812</v>
      </c>
      <c r="AY73" s="214">
        <v>839</v>
      </c>
      <c r="AZ73" s="275">
        <v>856</v>
      </c>
      <c r="BA73" s="275">
        <v>826</v>
      </c>
      <c r="BB73" s="275">
        <v>828</v>
      </c>
      <c r="BC73" s="275">
        <v>833</v>
      </c>
      <c r="BD73" s="275">
        <v>805</v>
      </c>
      <c r="BE73" s="275">
        <v>790</v>
      </c>
      <c r="BF73" s="275">
        <v>762</v>
      </c>
      <c r="BG73" s="275">
        <v>762</v>
      </c>
      <c r="BH73" s="275">
        <v>766</v>
      </c>
      <c r="BI73" s="275">
        <v>754</v>
      </c>
      <c r="BJ73" s="275">
        <v>748</v>
      </c>
      <c r="BK73" s="275">
        <v>745</v>
      </c>
      <c r="BL73" s="275">
        <v>738</v>
      </c>
      <c r="BM73" s="275">
        <v>754</v>
      </c>
      <c r="BN73" s="275">
        <v>754</v>
      </c>
      <c r="BO73" s="275">
        <v>754</v>
      </c>
      <c r="BP73" s="275">
        <v>745</v>
      </c>
      <c r="BQ73" s="275">
        <v>724</v>
      </c>
      <c r="BR73" s="275">
        <v>707</v>
      </c>
      <c r="BS73" s="275">
        <v>702</v>
      </c>
      <c r="BT73" s="275">
        <v>700</v>
      </c>
      <c r="BU73" s="214">
        <v>708</v>
      </c>
      <c r="BV73" s="214">
        <v>711</v>
      </c>
      <c r="BW73" s="214">
        <v>711</v>
      </c>
      <c r="BX73" s="214">
        <v>711</v>
      </c>
      <c r="BY73" s="214">
        <v>710</v>
      </c>
      <c r="BZ73" s="214">
        <v>728</v>
      </c>
      <c r="CA73" s="214">
        <v>735</v>
      </c>
      <c r="CB73" s="214">
        <v>738</v>
      </c>
      <c r="CC73" s="214">
        <v>775</v>
      </c>
      <c r="CD73" s="214">
        <v>800</v>
      </c>
      <c r="CE73" s="214">
        <v>802</v>
      </c>
      <c r="CF73" s="214">
        <v>785</v>
      </c>
      <c r="CG73" s="214">
        <v>810</v>
      </c>
      <c r="CH73" s="214">
        <v>810</v>
      </c>
      <c r="CI73" s="214">
        <v>778</v>
      </c>
      <c r="CJ73" s="214">
        <v>778</v>
      </c>
      <c r="CK73" s="214">
        <v>794</v>
      </c>
      <c r="CL73" s="178">
        <v>803</v>
      </c>
      <c r="CM73" s="214">
        <v>806</v>
      </c>
      <c r="CN73" s="214">
        <v>806</v>
      </c>
      <c r="CO73" s="214">
        <v>806</v>
      </c>
      <c r="CP73" s="214">
        <v>825</v>
      </c>
      <c r="CQ73" s="214">
        <v>825</v>
      </c>
      <c r="CR73" s="214">
        <v>824</v>
      </c>
      <c r="CS73" s="214">
        <v>824</v>
      </c>
      <c r="CT73" s="214">
        <v>832</v>
      </c>
      <c r="CU73" s="214">
        <v>829</v>
      </c>
      <c r="CV73" s="214">
        <v>831</v>
      </c>
      <c r="CW73" s="214">
        <v>831</v>
      </c>
      <c r="CX73" s="214">
        <v>831</v>
      </c>
      <c r="CY73" s="214">
        <v>831</v>
      </c>
      <c r="CZ73" s="214">
        <v>833</v>
      </c>
      <c r="DA73" s="214">
        <v>831</v>
      </c>
      <c r="DB73" s="214">
        <v>831</v>
      </c>
      <c r="DC73" s="214">
        <v>821</v>
      </c>
      <c r="DD73" s="178">
        <v>844</v>
      </c>
      <c r="DE73" s="214">
        <v>894</v>
      </c>
      <c r="DF73" s="214">
        <v>894</v>
      </c>
      <c r="DG73" s="214">
        <v>894</v>
      </c>
      <c r="DH73" s="214">
        <v>893</v>
      </c>
      <c r="DI73" s="214">
        <v>893</v>
      </c>
      <c r="DJ73" s="214">
        <v>920</v>
      </c>
      <c r="DK73" s="214">
        <v>976</v>
      </c>
      <c r="DL73" s="214">
        <v>976</v>
      </c>
      <c r="DM73" s="214">
        <v>976</v>
      </c>
      <c r="DN73" s="214">
        <v>1005</v>
      </c>
      <c r="DO73" s="214">
        <v>1025</v>
      </c>
      <c r="DP73" s="214">
        <v>1025</v>
      </c>
      <c r="DQ73" s="178"/>
      <c r="DR73" s="178"/>
    </row>
    <row r="74" spans="1:124 16384:16384">
      <c r="A74" s="178" t="str">
        <f t="shared" si="43"/>
        <v>PropyleneUSD</v>
      </c>
      <c r="B74" s="178" t="s">
        <v>113</v>
      </c>
      <c r="C74" s="178" t="s">
        <v>114</v>
      </c>
      <c r="D74" s="178" t="s">
        <v>33</v>
      </c>
      <c r="E74" s="178"/>
      <c r="F74" s="216">
        <v>950</v>
      </c>
      <c r="G74" s="216">
        <v>810</v>
      </c>
      <c r="H74" s="216">
        <v>780</v>
      </c>
      <c r="I74" s="216">
        <v>560</v>
      </c>
      <c r="J74" s="216">
        <v>680</v>
      </c>
      <c r="K74" s="216">
        <v>720</v>
      </c>
      <c r="L74" s="216">
        <v>780</v>
      </c>
      <c r="M74" s="216">
        <v>780</v>
      </c>
      <c r="N74" s="216">
        <v>850</v>
      </c>
      <c r="O74" s="216">
        <v>860</v>
      </c>
      <c r="P74" s="216">
        <v>850</v>
      </c>
      <c r="Q74" s="216">
        <v>940</v>
      </c>
      <c r="R74" s="216">
        <v>920</v>
      </c>
      <c r="S74" s="216">
        <v>930</v>
      </c>
      <c r="T74" s="216">
        <v>1150</v>
      </c>
      <c r="U74" s="216">
        <v>1060</v>
      </c>
      <c r="V74" s="216">
        <v>1090</v>
      </c>
      <c r="W74" s="216">
        <v>920</v>
      </c>
      <c r="X74" s="216">
        <v>940</v>
      </c>
      <c r="Y74" s="216">
        <v>940</v>
      </c>
      <c r="Z74" s="216">
        <v>940</v>
      </c>
      <c r="AA74" s="216">
        <v>1020</v>
      </c>
      <c r="AB74" s="216">
        <v>960</v>
      </c>
      <c r="AC74" s="216">
        <v>900</v>
      </c>
      <c r="AD74" s="216">
        <v>950</v>
      </c>
      <c r="AE74" s="216">
        <v>1200</v>
      </c>
      <c r="AF74" s="216">
        <v>1320</v>
      </c>
      <c r="AG74" s="216">
        <v>1290</v>
      </c>
      <c r="AH74" s="216">
        <v>1200</v>
      </c>
      <c r="AI74" s="216">
        <v>1040</v>
      </c>
      <c r="AJ74" s="216">
        <v>950</v>
      </c>
      <c r="AK74" s="216">
        <v>890</v>
      </c>
      <c r="AL74" s="216">
        <v>890</v>
      </c>
      <c r="AM74" s="216">
        <v>890</v>
      </c>
      <c r="AN74" s="216">
        <v>850</v>
      </c>
      <c r="AO74" s="216">
        <v>880</v>
      </c>
      <c r="AP74" s="216">
        <v>880</v>
      </c>
      <c r="AQ74" s="216">
        <v>980</v>
      </c>
      <c r="AR74" s="216">
        <v>920</v>
      </c>
      <c r="AS74" s="216">
        <v>940</v>
      </c>
      <c r="AT74" s="216">
        <v>890</v>
      </c>
      <c r="AU74" s="216">
        <v>750</v>
      </c>
      <c r="AV74" s="216">
        <v>730</v>
      </c>
      <c r="AW74" s="216">
        <v>730</v>
      </c>
      <c r="AX74" s="214">
        <v>754</v>
      </c>
      <c r="AY74" s="214">
        <v>778</v>
      </c>
      <c r="AZ74" s="214">
        <v>785</v>
      </c>
      <c r="BA74" s="214">
        <v>825</v>
      </c>
      <c r="BB74" s="214">
        <v>854</v>
      </c>
      <c r="BC74" s="214">
        <v>854</v>
      </c>
      <c r="BD74" s="214">
        <v>842</v>
      </c>
      <c r="BE74" s="214">
        <v>830</v>
      </c>
      <c r="BF74" s="214">
        <v>814</v>
      </c>
      <c r="BG74" s="214">
        <v>805</v>
      </c>
      <c r="BH74" s="214">
        <v>805</v>
      </c>
      <c r="BI74" s="214">
        <v>799</v>
      </c>
      <c r="BJ74" s="214">
        <v>799</v>
      </c>
      <c r="BK74" s="214">
        <v>794</v>
      </c>
      <c r="BL74" s="214">
        <v>794</v>
      </c>
      <c r="BM74" s="214">
        <v>799</v>
      </c>
      <c r="BN74" s="214">
        <v>799</v>
      </c>
      <c r="BO74" s="214">
        <v>804</v>
      </c>
      <c r="BP74" s="214">
        <v>799</v>
      </c>
      <c r="BQ74" s="214">
        <v>799</v>
      </c>
      <c r="BR74" s="214">
        <v>798</v>
      </c>
      <c r="BS74" s="214">
        <v>804</v>
      </c>
      <c r="BT74" s="214">
        <v>838</v>
      </c>
      <c r="BU74" s="214">
        <v>920</v>
      </c>
      <c r="BV74" s="214">
        <v>940</v>
      </c>
      <c r="BW74" s="214">
        <v>998</v>
      </c>
      <c r="BX74" s="214">
        <v>960</v>
      </c>
      <c r="BY74" s="214">
        <v>914</v>
      </c>
      <c r="BZ74" s="214">
        <v>870</v>
      </c>
      <c r="CA74" s="214">
        <v>860</v>
      </c>
      <c r="CB74" s="214">
        <v>860</v>
      </c>
      <c r="CC74" s="214">
        <v>867</v>
      </c>
      <c r="CD74" s="214">
        <v>845</v>
      </c>
      <c r="CE74" s="214">
        <v>844</v>
      </c>
      <c r="CF74" s="214">
        <v>844</v>
      </c>
      <c r="CG74" s="214">
        <v>844</v>
      </c>
      <c r="CH74" s="214">
        <v>844</v>
      </c>
      <c r="CI74" s="214">
        <v>827</v>
      </c>
      <c r="CJ74" s="214">
        <v>818</v>
      </c>
      <c r="CK74" s="214">
        <v>814</v>
      </c>
      <c r="CL74" s="178">
        <v>810</v>
      </c>
      <c r="CM74" s="178">
        <v>827</v>
      </c>
      <c r="CN74" s="178">
        <v>827</v>
      </c>
      <c r="CO74" s="178">
        <v>827</v>
      </c>
      <c r="CP74" s="214">
        <v>818</v>
      </c>
      <c r="CQ74" s="214">
        <v>818</v>
      </c>
      <c r="CR74" s="214">
        <v>818</v>
      </c>
      <c r="CS74" s="214">
        <v>850</v>
      </c>
      <c r="CT74" s="214">
        <v>909</v>
      </c>
      <c r="CU74" s="214">
        <v>909</v>
      </c>
      <c r="CV74" s="214">
        <v>918</v>
      </c>
      <c r="CW74" s="214">
        <v>918</v>
      </c>
      <c r="CX74" s="214">
        <v>918</v>
      </c>
      <c r="CY74" s="214">
        <v>918</v>
      </c>
      <c r="CZ74" s="214">
        <v>894</v>
      </c>
      <c r="DA74" s="214">
        <v>830</v>
      </c>
      <c r="DB74" s="214">
        <v>830</v>
      </c>
      <c r="DC74" s="214">
        <v>809</v>
      </c>
      <c r="DD74" s="178">
        <v>799</v>
      </c>
      <c r="DE74" s="178">
        <v>799</v>
      </c>
      <c r="DF74" s="214">
        <v>804</v>
      </c>
      <c r="DG74" s="214">
        <v>820</v>
      </c>
      <c r="DH74" s="214">
        <v>822</v>
      </c>
      <c r="DI74" s="214">
        <v>828</v>
      </c>
      <c r="DJ74" s="214">
        <v>834</v>
      </c>
      <c r="DK74" s="214">
        <v>819</v>
      </c>
      <c r="DL74" s="214">
        <v>824</v>
      </c>
      <c r="DM74" s="214">
        <v>824</v>
      </c>
      <c r="DN74" s="214">
        <v>824</v>
      </c>
      <c r="DO74" s="214">
        <v>824</v>
      </c>
      <c r="DP74" s="214">
        <v>829</v>
      </c>
      <c r="DQ74" s="178"/>
      <c r="DR74" s="178"/>
    </row>
    <row r="75" spans="1:124 16384:16384">
      <c r="A75" s="178" t="str">
        <f t="shared" si="43"/>
        <v>propylene OxideUSD</v>
      </c>
      <c r="B75" s="178" t="s">
        <v>344</v>
      </c>
      <c r="C75" s="178" t="s">
        <v>115</v>
      </c>
      <c r="D75" s="178" t="s">
        <v>33</v>
      </c>
      <c r="E75" s="178" t="s">
        <v>32</v>
      </c>
      <c r="F75" s="216"/>
      <c r="G75" s="216"/>
      <c r="H75" s="216"/>
      <c r="I75" s="216"/>
      <c r="J75" s="216"/>
      <c r="K75" s="216"/>
      <c r="L75" s="216"/>
      <c r="M75" s="216"/>
      <c r="N75" s="216"/>
      <c r="O75" s="216"/>
      <c r="P75" s="216"/>
      <c r="Q75" s="216"/>
      <c r="R75" s="216"/>
      <c r="S75" s="216"/>
      <c r="T75" s="216"/>
      <c r="U75" s="216">
        <v>2285</v>
      </c>
      <c r="V75" s="216">
        <v>2283.75</v>
      </c>
      <c r="W75" s="216">
        <v>1775</v>
      </c>
      <c r="X75" s="216">
        <v>1916</v>
      </c>
      <c r="Y75" s="216">
        <v>2067.5</v>
      </c>
      <c r="Z75" s="216">
        <v>2128.75</v>
      </c>
      <c r="AA75" s="216">
        <v>2226</v>
      </c>
      <c r="AB75" s="216">
        <v>1985</v>
      </c>
      <c r="AC75" s="216">
        <v>1752.5</v>
      </c>
      <c r="AD75" s="216">
        <v>1358.75</v>
      </c>
      <c r="AE75" s="216">
        <v>1408.3330000000001</v>
      </c>
      <c r="AF75" s="216">
        <v>1496.25</v>
      </c>
      <c r="AG75" s="216">
        <v>1412.5</v>
      </c>
      <c r="AH75" s="216">
        <v>1336.875</v>
      </c>
      <c r="AI75" s="216">
        <v>1291.875</v>
      </c>
      <c r="AJ75" s="216">
        <v>1148</v>
      </c>
      <c r="AK75" s="216">
        <v>1025</v>
      </c>
      <c r="AL75" s="216">
        <v>1120</v>
      </c>
      <c r="AM75" s="216">
        <v>1120.8330000000001</v>
      </c>
      <c r="AN75" s="216">
        <v>1025</v>
      </c>
      <c r="AO75" s="216">
        <v>1015.625</v>
      </c>
      <c r="AP75" s="216">
        <v>1012.5</v>
      </c>
      <c r="AQ75" s="216">
        <v>1115.625</v>
      </c>
      <c r="AR75" s="216">
        <v>1380</v>
      </c>
      <c r="AS75" s="216">
        <v>1175</v>
      </c>
      <c r="AT75" s="216">
        <v>1165</v>
      </c>
      <c r="AU75" s="216">
        <v>1125</v>
      </c>
      <c r="AV75" s="216">
        <v>950</v>
      </c>
      <c r="AW75" s="216">
        <v>950</v>
      </c>
      <c r="AX75" s="214">
        <v>950</v>
      </c>
      <c r="AY75" s="214">
        <v>975</v>
      </c>
      <c r="AZ75" s="214">
        <v>975</v>
      </c>
      <c r="BA75" s="214">
        <v>995</v>
      </c>
      <c r="BB75" s="214">
        <v>995</v>
      </c>
      <c r="BC75" s="214">
        <v>982</v>
      </c>
      <c r="BD75" s="214">
        <v>982</v>
      </c>
      <c r="BE75" s="214">
        <v>982</v>
      </c>
      <c r="BF75" s="214">
        <v>1025</v>
      </c>
      <c r="BG75" s="214">
        <v>1025</v>
      </c>
      <c r="BH75" s="214">
        <v>1025</v>
      </c>
      <c r="BI75" s="214">
        <v>1052.5</v>
      </c>
      <c r="BJ75" s="214">
        <v>960</v>
      </c>
      <c r="BK75" s="214">
        <v>940</v>
      </c>
      <c r="BL75" s="214">
        <v>940</v>
      </c>
      <c r="BM75" s="214">
        <v>935</v>
      </c>
      <c r="BN75" s="214">
        <v>935</v>
      </c>
      <c r="BO75" s="214">
        <v>950</v>
      </c>
      <c r="BP75" s="214">
        <v>950</v>
      </c>
      <c r="BQ75" s="214">
        <v>940</v>
      </c>
      <c r="BR75" s="214">
        <v>930</v>
      </c>
      <c r="BS75" s="214">
        <v>940</v>
      </c>
      <c r="BT75" s="214">
        <v>940</v>
      </c>
      <c r="BU75" s="214">
        <v>1000</v>
      </c>
      <c r="BV75" s="214">
        <v>1000</v>
      </c>
      <c r="BW75" s="214">
        <v>1060</v>
      </c>
      <c r="BX75" s="214">
        <v>1050</v>
      </c>
      <c r="BY75" s="214">
        <v>1050</v>
      </c>
      <c r="BZ75" s="214">
        <v>1072</v>
      </c>
      <c r="CA75" s="214">
        <v>1000</v>
      </c>
      <c r="CB75" s="214">
        <v>1010</v>
      </c>
      <c r="CC75" s="214">
        <v>1040</v>
      </c>
      <c r="CD75" s="214">
        <v>1040</v>
      </c>
      <c r="CE75" s="214">
        <v>1010</v>
      </c>
      <c r="CF75" s="214">
        <v>1015</v>
      </c>
      <c r="CG75" s="214">
        <v>1025</v>
      </c>
      <c r="CH75" s="214">
        <v>1025</v>
      </c>
      <c r="CI75" s="214">
        <v>1025</v>
      </c>
      <c r="CJ75" s="214">
        <v>1025</v>
      </c>
      <c r="CK75" s="214">
        <v>1025</v>
      </c>
      <c r="CL75" s="214">
        <v>1025</v>
      </c>
      <c r="CM75" s="214">
        <v>1025</v>
      </c>
      <c r="CN75" s="214">
        <v>1025</v>
      </c>
      <c r="CO75" s="214">
        <v>1000</v>
      </c>
      <c r="CP75" s="214">
        <v>975</v>
      </c>
      <c r="CQ75" s="214">
        <v>972</v>
      </c>
      <c r="CR75" s="214">
        <v>972</v>
      </c>
      <c r="CS75" s="214">
        <v>1000</v>
      </c>
      <c r="CT75" s="214">
        <v>1000</v>
      </c>
      <c r="CU75" s="214">
        <v>1025</v>
      </c>
      <c r="CV75" s="214">
        <v>1025</v>
      </c>
      <c r="CW75" s="214">
        <v>1025</v>
      </c>
      <c r="CX75" s="214">
        <v>1023</v>
      </c>
      <c r="CY75" s="214">
        <v>1020</v>
      </c>
      <c r="CZ75" s="214">
        <v>1050</v>
      </c>
      <c r="DA75" s="214">
        <v>1050</v>
      </c>
      <c r="DB75" s="214">
        <v>993</v>
      </c>
      <c r="DC75" s="214">
        <v>1000</v>
      </c>
      <c r="DD75" s="214">
        <v>1008</v>
      </c>
      <c r="DE75" s="214">
        <v>985</v>
      </c>
      <c r="DF75" s="214">
        <v>985</v>
      </c>
      <c r="DG75" s="214">
        <v>965</v>
      </c>
      <c r="DH75" s="214">
        <v>965</v>
      </c>
      <c r="DI75" s="214">
        <v>970</v>
      </c>
      <c r="DJ75" s="214">
        <v>970</v>
      </c>
      <c r="DK75" s="214">
        <v>980</v>
      </c>
      <c r="DL75" s="214">
        <v>970</v>
      </c>
      <c r="DM75" s="214">
        <v>970</v>
      </c>
      <c r="DN75" s="214">
        <v>970</v>
      </c>
      <c r="DO75" s="214">
        <v>970</v>
      </c>
      <c r="DP75" s="214">
        <v>970</v>
      </c>
      <c r="DQ75" s="178"/>
      <c r="DR75" s="178"/>
    </row>
    <row r="76" spans="1:124 16384:16384">
      <c r="A76" s="178" t="str">
        <f t="shared" si="43"/>
        <v>Aniline-CHINARMB</v>
      </c>
      <c r="B76" s="178" t="s">
        <v>29</v>
      </c>
      <c r="C76" s="178" t="s">
        <v>116</v>
      </c>
      <c r="D76" s="178" t="s">
        <v>31</v>
      </c>
      <c r="E76" s="178" t="s">
        <v>32</v>
      </c>
      <c r="F76" s="216">
        <v>6500</v>
      </c>
      <c r="G76" s="216">
        <v>6500</v>
      </c>
      <c r="H76" s="216">
        <v>6666.67</v>
      </c>
      <c r="I76" s="216">
        <v>5633.33</v>
      </c>
      <c r="J76" s="216">
        <v>4800</v>
      </c>
      <c r="K76" s="216">
        <v>4433.33</v>
      </c>
      <c r="L76" s="216">
        <v>4366.67</v>
      </c>
      <c r="M76" s="216">
        <v>4300</v>
      </c>
      <c r="N76" s="216">
        <v>4333.33</v>
      </c>
      <c r="O76" s="216">
        <v>5300</v>
      </c>
      <c r="P76" s="216">
        <v>6999.9979999999996</v>
      </c>
      <c r="Q76" s="216">
        <v>7747.915</v>
      </c>
      <c r="R76" s="216">
        <v>7900</v>
      </c>
      <c r="S76" s="216">
        <v>9733.33</v>
      </c>
      <c r="T76" s="216">
        <v>12913</v>
      </c>
      <c r="U76" s="216">
        <v>11012</v>
      </c>
      <c r="V76" s="216">
        <v>10945</v>
      </c>
      <c r="W76" s="216">
        <v>9600</v>
      </c>
      <c r="X76" s="216">
        <v>10092</v>
      </c>
      <c r="Y76" s="216">
        <v>10695</v>
      </c>
      <c r="Z76" s="216">
        <v>10932</v>
      </c>
      <c r="AA76" s="216">
        <v>13237</v>
      </c>
      <c r="AB76" s="216">
        <v>13198</v>
      </c>
      <c r="AC76" s="216">
        <v>9557</v>
      </c>
      <c r="AD76" s="216">
        <v>11103</v>
      </c>
      <c r="AE76" s="216">
        <v>13104</v>
      </c>
      <c r="AF76" s="216">
        <v>12693</v>
      </c>
      <c r="AG76" s="216">
        <v>11873</v>
      </c>
      <c r="AH76" s="216">
        <v>10833</v>
      </c>
      <c r="AI76" s="216">
        <v>11809</v>
      </c>
      <c r="AJ76" s="216">
        <v>11648</v>
      </c>
      <c r="AK76" s="216">
        <v>10329</v>
      </c>
      <c r="AL76" s="216">
        <v>12194</v>
      </c>
      <c r="AM76" s="216">
        <v>13117</v>
      </c>
      <c r="AN76" s="216">
        <v>11597</v>
      </c>
      <c r="AO76" s="216">
        <v>10195</v>
      </c>
      <c r="AP76" s="216">
        <v>9853</v>
      </c>
      <c r="AQ76" s="216">
        <v>12200</v>
      </c>
      <c r="AR76" s="216">
        <v>13075</v>
      </c>
      <c r="AS76" s="216">
        <v>10775</v>
      </c>
      <c r="AT76" s="216">
        <v>11275</v>
      </c>
      <c r="AU76" s="216">
        <v>10913</v>
      </c>
      <c r="AV76" s="216">
        <v>9475</v>
      </c>
      <c r="AW76" s="216">
        <v>9475</v>
      </c>
      <c r="AX76" s="214">
        <v>9813</v>
      </c>
      <c r="AY76" s="214">
        <v>9863</v>
      </c>
      <c r="AZ76" s="214">
        <v>10725</v>
      </c>
      <c r="BA76" s="214">
        <v>11142</v>
      </c>
      <c r="BB76" s="214">
        <v>11292</v>
      </c>
      <c r="BC76" s="214">
        <v>11167</v>
      </c>
      <c r="BD76" s="214">
        <v>12025</v>
      </c>
      <c r="BE76" s="214">
        <v>13275</v>
      </c>
      <c r="BF76" s="214">
        <v>13275</v>
      </c>
      <c r="BG76" s="214">
        <v>13725</v>
      </c>
      <c r="BH76" s="214">
        <v>13725</v>
      </c>
      <c r="BI76" s="214">
        <v>13725</v>
      </c>
      <c r="BJ76" s="214">
        <v>11525</v>
      </c>
      <c r="BK76" s="214">
        <v>11525</v>
      </c>
      <c r="BL76" s="214">
        <v>11850</v>
      </c>
      <c r="BM76" s="214">
        <v>12750</v>
      </c>
      <c r="BN76" s="214">
        <v>12750</v>
      </c>
      <c r="BO76" s="214">
        <v>12750</v>
      </c>
      <c r="BP76" s="214">
        <v>11100</v>
      </c>
      <c r="BQ76" s="214">
        <v>10600</v>
      </c>
      <c r="BR76" s="214">
        <v>10462</v>
      </c>
      <c r="BS76" s="214">
        <v>10937.5</v>
      </c>
      <c r="BT76" s="214">
        <v>11012.5</v>
      </c>
      <c r="BU76" s="214">
        <v>10337.5</v>
      </c>
      <c r="BV76" s="214">
        <v>10362.5</v>
      </c>
      <c r="BW76" s="214">
        <v>10425</v>
      </c>
      <c r="BX76" s="214">
        <v>10987.5</v>
      </c>
      <c r="BY76" s="214">
        <v>10987.5</v>
      </c>
      <c r="BZ76" s="214">
        <v>10962.5</v>
      </c>
      <c r="CA76" s="214">
        <v>10987.5</v>
      </c>
      <c r="CB76" s="214">
        <v>10537</v>
      </c>
      <c r="CC76" s="214">
        <v>10487</v>
      </c>
      <c r="CD76" s="214">
        <v>11437</v>
      </c>
      <c r="CE76" s="214">
        <v>11655</v>
      </c>
      <c r="CF76" s="214">
        <v>12542.5</v>
      </c>
      <c r="CG76" s="214">
        <v>12542.5</v>
      </c>
      <c r="CH76" s="214">
        <v>12542.5</v>
      </c>
      <c r="CI76" s="214">
        <v>12292.5</v>
      </c>
      <c r="CJ76" s="214">
        <v>11642.5</v>
      </c>
      <c r="CK76" s="214">
        <v>11267</v>
      </c>
      <c r="CL76" s="214">
        <v>11267</v>
      </c>
      <c r="CM76" s="214">
        <v>11267</v>
      </c>
      <c r="CN76" s="214">
        <v>11267</v>
      </c>
      <c r="CO76" s="214">
        <v>12117</v>
      </c>
      <c r="CP76" s="214">
        <v>12167</v>
      </c>
      <c r="CQ76" s="214">
        <v>12167</v>
      </c>
      <c r="CR76" s="214">
        <v>11367</v>
      </c>
      <c r="CS76" s="214">
        <v>11042</v>
      </c>
      <c r="CT76" s="214">
        <v>11042</v>
      </c>
      <c r="CU76" s="214">
        <v>10525</v>
      </c>
      <c r="CV76" s="214">
        <v>9825</v>
      </c>
      <c r="CW76" s="214">
        <v>10550</v>
      </c>
      <c r="CX76" s="214">
        <v>10550</v>
      </c>
      <c r="CY76" s="214">
        <v>10012</v>
      </c>
      <c r="CZ76" s="214">
        <v>10125</v>
      </c>
      <c r="DA76" s="214">
        <v>10675</v>
      </c>
      <c r="DB76" s="214">
        <v>10437.5</v>
      </c>
      <c r="DC76" s="214">
        <v>9912</v>
      </c>
      <c r="DD76" s="279">
        <v>9912</v>
      </c>
      <c r="DE76" s="214">
        <v>10062</v>
      </c>
      <c r="DF76" s="214">
        <v>10700</v>
      </c>
      <c r="DG76" s="214">
        <v>9787</v>
      </c>
      <c r="DH76" s="214">
        <v>9100</v>
      </c>
      <c r="DI76" s="214">
        <v>9100</v>
      </c>
      <c r="DJ76" s="214">
        <v>9500</v>
      </c>
      <c r="DK76" s="214">
        <v>9087.5</v>
      </c>
      <c r="DL76" s="214">
        <v>9337</v>
      </c>
      <c r="DM76" s="214">
        <v>9337</v>
      </c>
      <c r="DN76" s="214">
        <v>9525</v>
      </c>
      <c r="DO76" s="214">
        <v>9050</v>
      </c>
      <c r="DP76" s="214">
        <v>9375</v>
      </c>
      <c r="DQ76" s="178"/>
      <c r="DR76" s="178"/>
    </row>
    <row r="77" spans="1:124 16384:16384">
      <c r="A77" s="178" t="str">
        <f t="shared" si="43"/>
        <v>MEKUSD</v>
      </c>
      <c r="B77" s="178" t="s">
        <v>46</v>
      </c>
      <c r="C77" s="178" t="s">
        <v>117</v>
      </c>
      <c r="D77" s="178" t="s">
        <v>33</v>
      </c>
      <c r="E77" s="178" t="s">
        <v>32</v>
      </c>
      <c r="F77" s="216">
        <v>1117</v>
      </c>
      <c r="G77" s="216">
        <v>1098.125</v>
      </c>
      <c r="H77" s="216">
        <v>1021.875</v>
      </c>
      <c r="I77" s="216">
        <v>885</v>
      </c>
      <c r="J77" s="216">
        <v>818.5</v>
      </c>
      <c r="K77" s="216">
        <v>868.125</v>
      </c>
      <c r="L77" s="216">
        <v>844</v>
      </c>
      <c r="M77" s="216">
        <v>810</v>
      </c>
      <c r="N77" s="216">
        <v>827.5</v>
      </c>
      <c r="O77" s="216">
        <v>855</v>
      </c>
      <c r="P77" s="216">
        <v>986.25</v>
      </c>
      <c r="Q77" s="216">
        <v>1127.5</v>
      </c>
      <c r="R77" s="216">
        <v>1078.75</v>
      </c>
      <c r="S77" s="216">
        <v>1089</v>
      </c>
      <c r="T77" s="216">
        <v>1223</v>
      </c>
      <c r="U77" s="216">
        <v>1208</v>
      </c>
      <c r="V77" s="216">
        <v>1232.5</v>
      </c>
      <c r="W77" s="216">
        <v>1167.5</v>
      </c>
      <c r="X77" s="216">
        <v>1254</v>
      </c>
      <c r="Y77" s="216">
        <v>1325</v>
      </c>
      <c r="Z77" s="216">
        <v>1311</v>
      </c>
      <c r="AA77" s="216">
        <v>1455</v>
      </c>
      <c r="AB77" s="216">
        <v>1600</v>
      </c>
      <c r="AC77" s="216">
        <v>1657.5</v>
      </c>
      <c r="AD77" s="216">
        <v>1790</v>
      </c>
      <c r="AE77" s="216">
        <v>1895</v>
      </c>
      <c r="AF77" s="216">
        <v>2007.5</v>
      </c>
      <c r="AG77" s="216">
        <v>2162</v>
      </c>
      <c r="AH77" s="216">
        <v>1917.5</v>
      </c>
      <c r="AI77" s="216">
        <v>1706.25</v>
      </c>
      <c r="AJ77" s="216">
        <v>1489</v>
      </c>
      <c r="AK77" s="216">
        <v>1226.875</v>
      </c>
      <c r="AL77" s="216">
        <v>1279</v>
      </c>
      <c r="AM77" s="216">
        <v>1240</v>
      </c>
      <c r="AN77" s="216">
        <v>1165</v>
      </c>
      <c r="AO77" s="216">
        <v>1115</v>
      </c>
      <c r="AP77" s="216">
        <v>1125</v>
      </c>
      <c r="AQ77" s="216">
        <v>1324.37</v>
      </c>
      <c r="AR77" s="216">
        <v>1185</v>
      </c>
      <c r="AS77" s="216">
        <v>1157</v>
      </c>
      <c r="AT77" s="216">
        <v>1075</v>
      </c>
      <c r="AU77" s="216">
        <v>925</v>
      </c>
      <c r="AV77" s="216">
        <v>935</v>
      </c>
      <c r="AW77" s="216">
        <v>935</v>
      </c>
      <c r="AX77" s="214">
        <v>935</v>
      </c>
      <c r="AY77" s="214">
        <v>935</v>
      </c>
      <c r="AZ77" s="214">
        <v>955</v>
      </c>
      <c r="BA77" s="214">
        <v>975</v>
      </c>
      <c r="BB77" s="214">
        <v>955</v>
      </c>
      <c r="BC77" s="214">
        <v>975</v>
      </c>
      <c r="BD77" s="214">
        <v>985</v>
      </c>
      <c r="BE77" s="214">
        <v>1025</v>
      </c>
      <c r="BF77" s="214">
        <v>1045</v>
      </c>
      <c r="BG77" s="214">
        <v>1070</v>
      </c>
      <c r="BH77" s="214">
        <v>1070</v>
      </c>
      <c r="BI77" s="214">
        <v>1070</v>
      </c>
      <c r="BJ77" s="214">
        <v>1070</v>
      </c>
      <c r="BK77" s="214">
        <v>1070</v>
      </c>
      <c r="BL77" s="214">
        <v>1040</v>
      </c>
      <c r="BM77" s="214">
        <v>1030</v>
      </c>
      <c r="BN77" s="214">
        <v>1030</v>
      </c>
      <c r="BO77" s="214">
        <v>985</v>
      </c>
      <c r="BP77" s="214">
        <v>990</v>
      </c>
      <c r="BQ77" s="214">
        <v>990</v>
      </c>
      <c r="BR77" s="214">
        <v>990</v>
      </c>
      <c r="BS77" s="214">
        <v>1000</v>
      </c>
      <c r="BT77" s="214">
        <v>1000</v>
      </c>
      <c r="BU77" s="214">
        <v>1035</v>
      </c>
      <c r="BV77" s="214">
        <v>1035</v>
      </c>
      <c r="BW77" s="214">
        <v>1070</v>
      </c>
      <c r="BX77" s="214">
        <v>1080</v>
      </c>
      <c r="BY77" s="214">
        <v>1070</v>
      </c>
      <c r="BZ77" s="214">
        <v>1080</v>
      </c>
      <c r="CA77" s="214">
        <v>1100</v>
      </c>
      <c r="CB77" s="214">
        <v>1110</v>
      </c>
      <c r="CC77" s="214">
        <v>1110</v>
      </c>
      <c r="CD77" s="214">
        <v>1120</v>
      </c>
      <c r="CE77" s="214">
        <v>1120</v>
      </c>
      <c r="CF77" s="214">
        <v>1120</v>
      </c>
      <c r="CG77" s="214">
        <v>1120</v>
      </c>
      <c r="CH77" s="214">
        <v>1125</v>
      </c>
      <c r="CI77" s="214">
        <v>1145</v>
      </c>
      <c r="CJ77" s="214">
        <v>1150</v>
      </c>
      <c r="CK77" s="214">
        <v>1150</v>
      </c>
      <c r="CL77" s="214">
        <v>1150</v>
      </c>
      <c r="CM77" s="214">
        <v>1150</v>
      </c>
      <c r="CN77" s="214">
        <v>1150</v>
      </c>
      <c r="CO77" s="214">
        <v>1150</v>
      </c>
      <c r="CP77" s="214">
        <v>1115</v>
      </c>
      <c r="CQ77" s="214">
        <v>1090</v>
      </c>
      <c r="CR77" s="214">
        <v>1100</v>
      </c>
      <c r="CS77" s="214">
        <v>1100</v>
      </c>
      <c r="CT77" s="214">
        <v>1110</v>
      </c>
      <c r="CU77" s="214">
        <v>1120</v>
      </c>
      <c r="CV77" s="214">
        <v>1120</v>
      </c>
      <c r="CW77" s="214">
        <v>1110</v>
      </c>
      <c r="CX77" s="214">
        <v>1110</v>
      </c>
      <c r="CY77" s="214">
        <v>1080</v>
      </c>
      <c r="CZ77" s="214">
        <v>1080</v>
      </c>
      <c r="DA77" s="214">
        <v>1045</v>
      </c>
      <c r="DB77" s="214">
        <v>1045</v>
      </c>
      <c r="DC77" s="214">
        <v>1040</v>
      </c>
      <c r="DD77" s="214">
        <v>1035</v>
      </c>
      <c r="DE77" s="214">
        <v>1020</v>
      </c>
      <c r="DF77" s="214">
        <v>1020</v>
      </c>
      <c r="DG77" s="214">
        <v>1020</v>
      </c>
      <c r="DH77" s="214">
        <v>1007</v>
      </c>
      <c r="DI77" s="214">
        <v>1007</v>
      </c>
      <c r="DJ77" s="214">
        <v>1000</v>
      </c>
      <c r="DK77" s="214">
        <v>980</v>
      </c>
      <c r="DL77" s="214">
        <v>980</v>
      </c>
      <c r="DM77" s="214">
        <v>980</v>
      </c>
      <c r="DN77" s="214">
        <v>980</v>
      </c>
      <c r="DO77" s="214">
        <v>980</v>
      </c>
      <c r="DP77" s="214">
        <v>1000</v>
      </c>
      <c r="DQ77" s="178"/>
      <c r="DR77" s="178"/>
    </row>
    <row r="78" spans="1:124 16384:16384">
      <c r="A78" s="178" t="str">
        <f t="shared" si="43"/>
        <v>IPAUSD</v>
      </c>
      <c r="B78" s="178" t="s">
        <v>46</v>
      </c>
      <c r="C78" s="178" t="s">
        <v>118</v>
      </c>
      <c r="D78" s="178" t="s">
        <v>33</v>
      </c>
      <c r="E78" s="178" t="s">
        <v>32</v>
      </c>
      <c r="F78" s="216">
        <v>802.5</v>
      </c>
      <c r="G78" s="216">
        <v>886.25</v>
      </c>
      <c r="H78" s="216">
        <v>890</v>
      </c>
      <c r="I78" s="216">
        <v>1325</v>
      </c>
      <c r="J78" s="216">
        <v>1370</v>
      </c>
      <c r="K78" s="216">
        <v>1328.75</v>
      </c>
      <c r="L78" s="216">
        <v>1252.5</v>
      </c>
      <c r="M78" s="216">
        <v>1072.5</v>
      </c>
      <c r="N78" s="216">
        <v>1026.875</v>
      </c>
      <c r="O78" s="216">
        <v>1003</v>
      </c>
      <c r="P78" s="216">
        <v>1115</v>
      </c>
      <c r="Q78" s="216">
        <v>1256.25</v>
      </c>
      <c r="R78" s="216">
        <v>1112.5</v>
      </c>
      <c r="S78" s="216">
        <v>1140</v>
      </c>
      <c r="T78" s="216">
        <v>1264</v>
      </c>
      <c r="U78" s="216">
        <v>1282</v>
      </c>
      <c r="V78" s="216">
        <v>1261.875</v>
      </c>
      <c r="W78" s="216">
        <v>1055</v>
      </c>
      <c r="X78" s="216">
        <v>970</v>
      </c>
      <c r="Y78" s="216">
        <v>980</v>
      </c>
      <c r="Z78" s="216">
        <v>1062</v>
      </c>
      <c r="AA78" s="216">
        <v>1176</v>
      </c>
      <c r="AB78" s="216">
        <v>1228.75</v>
      </c>
      <c r="AC78" s="216">
        <v>1096.25</v>
      </c>
      <c r="AD78" s="216">
        <v>1082.5</v>
      </c>
      <c r="AE78" s="216">
        <v>1123.75</v>
      </c>
      <c r="AF78" s="216">
        <v>1201.875</v>
      </c>
      <c r="AG78" s="216">
        <v>1190</v>
      </c>
      <c r="AH78" s="216">
        <v>1123.75</v>
      </c>
      <c r="AI78" s="216">
        <v>1098.75</v>
      </c>
      <c r="AJ78" s="216">
        <v>1007</v>
      </c>
      <c r="AK78" s="216">
        <v>876.25</v>
      </c>
      <c r="AL78" s="216">
        <v>960</v>
      </c>
      <c r="AM78" s="216">
        <v>1005</v>
      </c>
      <c r="AN78" s="216">
        <v>970</v>
      </c>
      <c r="AO78" s="216">
        <v>915</v>
      </c>
      <c r="AP78" s="216">
        <v>925</v>
      </c>
      <c r="AQ78" s="216">
        <v>975.62</v>
      </c>
      <c r="AR78" s="216">
        <v>995</v>
      </c>
      <c r="AS78" s="216">
        <v>1010</v>
      </c>
      <c r="AT78" s="216">
        <v>1002</v>
      </c>
      <c r="AU78" s="216">
        <v>940</v>
      </c>
      <c r="AV78" s="216">
        <v>940</v>
      </c>
      <c r="AW78" s="216">
        <v>940</v>
      </c>
      <c r="AX78" s="214">
        <v>900</v>
      </c>
      <c r="AY78" s="214">
        <v>960</v>
      </c>
      <c r="AZ78" s="214">
        <v>995</v>
      </c>
      <c r="BA78" s="214">
        <v>1015</v>
      </c>
      <c r="BB78" s="214">
        <v>1020</v>
      </c>
      <c r="BC78" s="214">
        <v>1020</v>
      </c>
      <c r="BD78" s="214">
        <v>1020</v>
      </c>
      <c r="BE78" s="214">
        <v>1075</v>
      </c>
      <c r="BF78" s="214">
        <v>1130</v>
      </c>
      <c r="BG78" s="214">
        <v>1175</v>
      </c>
      <c r="BH78" s="214">
        <v>1175</v>
      </c>
      <c r="BI78" s="214">
        <v>1175</v>
      </c>
      <c r="BJ78" s="214">
        <v>1165</v>
      </c>
      <c r="BK78" s="214">
        <v>1155</v>
      </c>
      <c r="BL78" s="214">
        <v>1150</v>
      </c>
      <c r="BM78" s="214">
        <v>1130</v>
      </c>
      <c r="BN78" s="214">
        <v>1130</v>
      </c>
      <c r="BO78" s="214">
        <v>1110</v>
      </c>
      <c r="BP78" s="214">
        <v>1115</v>
      </c>
      <c r="BQ78" s="214">
        <v>1125</v>
      </c>
      <c r="BR78" s="214">
        <v>1115</v>
      </c>
      <c r="BS78" s="214">
        <v>1115</v>
      </c>
      <c r="BT78" s="214">
        <v>1115</v>
      </c>
      <c r="BU78" s="214">
        <v>1135</v>
      </c>
      <c r="BV78" s="214">
        <v>1135</v>
      </c>
      <c r="BW78" s="214">
        <v>1160</v>
      </c>
      <c r="BX78" s="214">
        <v>1160</v>
      </c>
      <c r="BY78" s="214">
        <v>1160</v>
      </c>
      <c r="BZ78" s="214">
        <v>1160</v>
      </c>
      <c r="CA78" s="214">
        <v>1180</v>
      </c>
      <c r="CB78" s="214">
        <v>1195</v>
      </c>
      <c r="CC78" s="214">
        <v>1195</v>
      </c>
      <c r="CD78" s="214">
        <v>1195</v>
      </c>
      <c r="CE78" s="214">
        <v>1195</v>
      </c>
      <c r="CF78" s="214">
        <v>1195</v>
      </c>
      <c r="CG78" s="214">
        <v>1195</v>
      </c>
      <c r="CH78" s="214">
        <v>1195</v>
      </c>
      <c r="CI78" s="214">
        <v>1220</v>
      </c>
      <c r="CJ78" s="214">
        <v>1240</v>
      </c>
      <c r="CK78" s="214">
        <v>1250</v>
      </c>
      <c r="CL78" s="214">
        <v>1250</v>
      </c>
      <c r="CM78" s="214">
        <v>1250</v>
      </c>
      <c r="CN78" s="214">
        <v>1250</v>
      </c>
      <c r="CO78" s="214">
        <v>1230</v>
      </c>
      <c r="CP78" s="214">
        <v>1230</v>
      </c>
      <c r="CQ78" s="214">
        <v>1230</v>
      </c>
      <c r="CR78" s="214">
        <v>1215</v>
      </c>
      <c r="CS78" s="214">
        <v>1215</v>
      </c>
      <c r="CT78" s="214">
        <v>1215</v>
      </c>
      <c r="CU78" s="214">
        <v>1215</v>
      </c>
      <c r="CV78" s="214">
        <v>1215</v>
      </c>
      <c r="CW78" s="214">
        <v>1195</v>
      </c>
      <c r="CX78" s="214">
        <v>1190</v>
      </c>
      <c r="CY78" s="214">
        <v>1170</v>
      </c>
      <c r="CZ78" s="214">
        <v>1160</v>
      </c>
      <c r="DA78" s="214">
        <v>1115</v>
      </c>
      <c r="DB78" s="214">
        <v>1090</v>
      </c>
      <c r="DC78" s="214">
        <v>1035</v>
      </c>
      <c r="DD78" s="214">
        <v>1035</v>
      </c>
      <c r="DE78" s="214">
        <v>1025</v>
      </c>
      <c r="DF78" s="214">
        <v>1025</v>
      </c>
      <c r="DG78" s="214">
        <v>1015</v>
      </c>
      <c r="DH78" s="214">
        <v>1015</v>
      </c>
      <c r="DI78" s="214">
        <v>1010</v>
      </c>
      <c r="DJ78" s="214">
        <v>1000</v>
      </c>
      <c r="DK78" s="214">
        <v>990</v>
      </c>
      <c r="DL78" s="214">
        <v>980</v>
      </c>
      <c r="DM78" s="214">
        <v>980</v>
      </c>
      <c r="DN78" s="214">
        <v>980</v>
      </c>
      <c r="DO78" s="214">
        <v>965</v>
      </c>
      <c r="DP78" s="214">
        <v>965</v>
      </c>
      <c r="DQ78" s="178"/>
      <c r="DR78" s="178"/>
    </row>
    <row r="79" spans="1:124 16384:16384" ht="24">
      <c r="A79" s="178" t="str">
        <f t="shared" si="43"/>
        <v>PULG USD</v>
      </c>
      <c r="B79" s="273" t="s">
        <v>119</v>
      </c>
      <c r="C79" s="178" t="s">
        <v>120</v>
      </c>
      <c r="D79" s="178" t="s">
        <v>33</v>
      </c>
      <c r="E79" s="178" t="s">
        <v>32</v>
      </c>
      <c r="F79" s="276">
        <v>594.89</v>
      </c>
      <c r="G79" s="276">
        <v>538.11</v>
      </c>
      <c r="H79" s="276">
        <v>297.07</v>
      </c>
      <c r="I79" s="276">
        <v>188.45</v>
      </c>
      <c r="J79" s="276">
        <v>275.13</v>
      </c>
      <c r="K79" s="276">
        <v>373.76</v>
      </c>
      <c r="L79" s="276">
        <v>405.74</v>
      </c>
      <c r="M79" s="276">
        <v>411.625</v>
      </c>
      <c r="N79" s="276">
        <v>396.89</v>
      </c>
      <c r="O79" s="276">
        <v>392.51</v>
      </c>
      <c r="P79" s="276">
        <v>387.68</v>
      </c>
      <c r="Q79" s="276">
        <v>439.87</v>
      </c>
      <c r="R79" s="276">
        <v>501.33800000000002</v>
      </c>
      <c r="S79" s="276">
        <v>566.69000000000005</v>
      </c>
      <c r="T79" s="277">
        <v>627</v>
      </c>
      <c r="U79" s="277">
        <v>638.17999999999995</v>
      </c>
      <c r="V79" s="277">
        <v>663.89</v>
      </c>
      <c r="W79" s="277">
        <v>699.5</v>
      </c>
      <c r="X79" s="277">
        <v>735.47</v>
      </c>
      <c r="Y79" s="277">
        <v>722.64</v>
      </c>
      <c r="Z79" s="277">
        <v>742.125</v>
      </c>
      <c r="AA79" s="277">
        <v>830.976</v>
      </c>
      <c r="AB79" s="277">
        <v>793.81</v>
      </c>
      <c r="AC79" s="277">
        <v>726.85</v>
      </c>
      <c r="AD79" s="277">
        <v>826.73</v>
      </c>
      <c r="AE79" s="277">
        <v>928.34</v>
      </c>
      <c r="AF79" s="277">
        <v>1114.56</v>
      </c>
      <c r="AG79" s="277">
        <v>1078.78</v>
      </c>
      <c r="AH79" s="277">
        <v>1328.5</v>
      </c>
      <c r="AI79" s="277">
        <v>1473.09</v>
      </c>
      <c r="AJ79" s="277">
        <v>1211.1400000000001</v>
      </c>
      <c r="AK79" s="277">
        <v>1031.6600000000001</v>
      </c>
      <c r="AL79" s="277">
        <v>917.17</v>
      </c>
      <c r="AM79" s="277">
        <v>1021.45</v>
      </c>
      <c r="AN79" s="277">
        <v>1021</v>
      </c>
      <c r="AO79" s="277">
        <v>938</v>
      </c>
      <c r="AP79" s="277">
        <v>814</v>
      </c>
      <c r="AQ79" s="277">
        <v>925.93</v>
      </c>
      <c r="AR79" s="277">
        <v>907.26</v>
      </c>
      <c r="AS79" s="277">
        <v>915.52</v>
      </c>
      <c r="AT79" s="277">
        <v>949.32</v>
      </c>
      <c r="AU79" s="178">
        <v>874.83</v>
      </c>
      <c r="AV79" s="178">
        <v>874.83</v>
      </c>
      <c r="AW79" s="178">
        <v>874.83</v>
      </c>
      <c r="AX79" s="214">
        <v>874.83</v>
      </c>
      <c r="AY79" s="214">
        <v>874.83</v>
      </c>
      <c r="AZ79" s="214">
        <v>923.79</v>
      </c>
      <c r="BA79" s="214">
        <v>923.79</v>
      </c>
      <c r="BB79" s="214">
        <v>923.79</v>
      </c>
      <c r="BC79" s="214">
        <v>923.79</v>
      </c>
      <c r="BD79" s="214">
        <v>1021.69</v>
      </c>
      <c r="BE79" s="214">
        <v>1021.69</v>
      </c>
      <c r="BF79" s="214">
        <v>1021.69</v>
      </c>
      <c r="BG79" s="214">
        <v>1021.69</v>
      </c>
      <c r="BH79" s="214">
        <v>1003.57</v>
      </c>
      <c r="BI79" s="214">
        <v>1003.57</v>
      </c>
      <c r="BJ79" s="214">
        <v>1003.57</v>
      </c>
      <c r="BK79" s="214">
        <v>1003.57</v>
      </c>
      <c r="BL79" s="214">
        <v>888.9</v>
      </c>
      <c r="BM79" s="214">
        <v>888.9</v>
      </c>
      <c r="BN79" s="214">
        <v>888.9</v>
      </c>
      <c r="BO79" s="214">
        <v>888.9</v>
      </c>
      <c r="BP79" s="214">
        <v>840.56</v>
      </c>
      <c r="BQ79" s="214">
        <v>840.56</v>
      </c>
      <c r="BR79" s="214">
        <v>840.56</v>
      </c>
      <c r="BS79" s="214">
        <v>840.56</v>
      </c>
      <c r="BT79" s="214">
        <v>787.19</v>
      </c>
      <c r="BU79" s="214">
        <v>787.19</v>
      </c>
      <c r="BV79" s="214">
        <v>787.19</v>
      </c>
      <c r="BW79" s="214">
        <v>787.19</v>
      </c>
      <c r="BX79" s="214">
        <v>824.31</v>
      </c>
      <c r="BY79" s="214">
        <v>824.31</v>
      </c>
      <c r="BZ79" s="214">
        <v>824.31</v>
      </c>
      <c r="CA79" s="214">
        <v>824.31</v>
      </c>
      <c r="CB79" s="214">
        <v>884.07</v>
      </c>
      <c r="CC79" s="214">
        <v>884.07</v>
      </c>
      <c r="CD79" s="214">
        <v>884.07</v>
      </c>
      <c r="CE79" s="214">
        <v>884.07</v>
      </c>
      <c r="CF79" s="214">
        <v>939.93</v>
      </c>
      <c r="CG79" s="214">
        <v>939.93</v>
      </c>
      <c r="CH79" s="214">
        <v>939.93</v>
      </c>
      <c r="CI79" s="214">
        <v>939.93</v>
      </c>
      <c r="CJ79" s="214">
        <v>982.52</v>
      </c>
      <c r="CK79" s="214">
        <v>982.52</v>
      </c>
      <c r="CL79" s="214">
        <v>982.52</v>
      </c>
      <c r="CM79" s="214">
        <v>982.52</v>
      </c>
      <c r="CN79" s="214">
        <v>982.52</v>
      </c>
      <c r="CO79" s="214">
        <v>900.89</v>
      </c>
      <c r="CP79" s="214">
        <v>900.89</v>
      </c>
      <c r="CQ79" s="214">
        <v>900.89</v>
      </c>
      <c r="CR79" s="214">
        <v>900.89</v>
      </c>
      <c r="CS79" s="214">
        <v>857.46</v>
      </c>
      <c r="CT79" s="214">
        <v>857.46</v>
      </c>
      <c r="CU79" s="214">
        <v>857.46</v>
      </c>
      <c r="CV79" s="214">
        <v>857.46</v>
      </c>
      <c r="CW79" s="214">
        <v>877.12</v>
      </c>
      <c r="CX79" s="214">
        <v>877.12</v>
      </c>
      <c r="CY79" s="214">
        <v>877.12</v>
      </c>
      <c r="CZ79" s="214">
        <v>877.12</v>
      </c>
      <c r="DA79" s="214">
        <v>809.87</v>
      </c>
      <c r="DB79" s="214">
        <v>809.87</v>
      </c>
      <c r="DC79" s="214">
        <v>809.87</v>
      </c>
      <c r="DD79" s="214">
        <v>809.87</v>
      </c>
      <c r="DE79" s="214">
        <v>714.64</v>
      </c>
      <c r="DF79" s="214">
        <v>714.64</v>
      </c>
      <c r="DG79" s="214">
        <v>714.64</v>
      </c>
      <c r="DH79" s="214">
        <v>714.64</v>
      </c>
      <c r="DI79" s="214">
        <v>715.32</v>
      </c>
      <c r="DJ79" s="214">
        <v>715.32</v>
      </c>
      <c r="DK79" s="214">
        <v>715.32</v>
      </c>
      <c r="DL79" s="214">
        <v>715.32</v>
      </c>
      <c r="DM79" s="214"/>
      <c r="DN79" s="214"/>
      <c r="DO79" s="214"/>
      <c r="DP79" s="214"/>
      <c r="DQ79" s="178"/>
      <c r="DR79" s="178"/>
      <c r="XFD79" s="178"/>
    </row>
    <row r="80" spans="1:124 16384:16384">
      <c r="A80" s="178" t="str">
        <f t="shared" si="43"/>
        <v>Ethylene used by clariantEURO</v>
      </c>
      <c r="B80" s="178"/>
      <c r="C80" s="178" t="s">
        <v>121</v>
      </c>
      <c r="D80" s="178" t="s">
        <v>345</v>
      </c>
      <c r="E80" s="178" t="s">
        <v>32</v>
      </c>
      <c r="F80" s="178">
        <v>970</v>
      </c>
      <c r="G80" s="178">
        <v>970</v>
      </c>
      <c r="H80" s="178">
        <v>920</v>
      </c>
      <c r="I80" s="178">
        <v>720</v>
      </c>
      <c r="J80" s="178">
        <v>620</v>
      </c>
      <c r="K80" s="178">
        <v>680</v>
      </c>
      <c r="L80" s="178">
        <v>764</v>
      </c>
      <c r="M80" s="178">
        <v>785</v>
      </c>
      <c r="N80" s="178">
        <v>785</v>
      </c>
      <c r="O80" s="178">
        <v>775</v>
      </c>
      <c r="P80" s="178">
        <v>775</v>
      </c>
      <c r="Q80" s="178">
        <v>795</v>
      </c>
      <c r="R80" s="178">
        <v>860</v>
      </c>
      <c r="S80" s="178">
        <v>930</v>
      </c>
      <c r="T80" s="178">
        <v>1005</v>
      </c>
      <c r="U80" s="178">
        <v>1045</v>
      </c>
      <c r="V80" s="178">
        <v>1050</v>
      </c>
      <c r="W80" s="178">
        <v>1080</v>
      </c>
      <c r="X80" s="178">
        <v>1120</v>
      </c>
      <c r="Y80" s="178">
        <v>1173</v>
      </c>
      <c r="Z80" s="178">
        <v>1165</v>
      </c>
      <c r="AA80" s="178">
        <v>1190</v>
      </c>
      <c r="AB80" s="178">
        <v>1282.5</v>
      </c>
      <c r="AC80" s="178">
        <v>1272.5</v>
      </c>
      <c r="AD80" s="178">
        <v>1272.5</v>
      </c>
      <c r="AE80" s="178">
        <v>1340</v>
      </c>
      <c r="AF80" s="178">
        <v>1435</v>
      </c>
      <c r="AG80" s="178">
        <v>1665</v>
      </c>
      <c r="AH80" s="178">
        <v>1595</v>
      </c>
      <c r="AI80" s="178">
        <v>1595</v>
      </c>
      <c r="AJ80" s="178">
        <v>1495</v>
      </c>
      <c r="AK80" s="178">
        <v>1425</v>
      </c>
      <c r="AL80" s="178">
        <v>1305</v>
      </c>
      <c r="AM80" s="178">
        <v>1260</v>
      </c>
      <c r="AN80" s="178">
        <v>1295</v>
      </c>
      <c r="AO80" s="178">
        <v>1270</v>
      </c>
      <c r="AP80" s="178">
        <v>1175</v>
      </c>
      <c r="AQ80" s="178">
        <v>1260</v>
      </c>
      <c r="AR80" s="178">
        <v>1290</v>
      </c>
      <c r="AS80" s="178">
        <v>1250</v>
      </c>
      <c r="AT80" s="178">
        <v>1240</v>
      </c>
      <c r="AU80" s="178">
        <v>1160</v>
      </c>
      <c r="AV80" s="178">
        <v>1120</v>
      </c>
      <c r="AW80" s="178">
        <v>1120</v>
      </c>
      <c r="AX80" s="214">
        <v>1120</v>
      </c>
      <c r="AY80" s="214">
        <v>1120</v>
      </c>
      <c r="AZ80" s="214">
        <v>1120</v>
      </c>
      <c r="BA80" s="214">
        <v>1120</v>
      </c>
      <c r="BB80" s="214">
        <v>1120</v>
      </c>
      <c r="BC80" s="214">
        <v>1120</v>
      </c>
      <c r="BD80" s="214">
        <v>1195</v>
      </c>
      <c r="BE80" s="214">
        <v>1195</v>
      </c>
      <c r="BF80" s="214">
        <v>1195</v>
      </c>
      <c r="BG80" s="214">
        <v>1195</v>
      </c>
      <c r="BH80" s="214">
        <v>1260</v>
      </c>
      <c r="BI80" s="214">
        <v>1260</v>
      </c>
      <c r="BJ80" s="214">
        <v>1260</v>
      </c>
      <c r="BK80" s="214">
        <v>1260</v>
      </c>
      <c r="BL80" s="214">
        <v>1215</v>
      </c>
      <c r="BM80" s="214">
        <v>1215</v>
      </c>
      <c r="BN80" s="214">
        <v>1215</v>
      </c>
      <c r="BO80" s="214">
        <v>1215</v>
      </c>
      <c r="BP80" s="214">
        <v>1215</v>
      </c>
      <c r="BQ80" s="214">
        <v>1185</v>
      </c>
      <c r="BR80" s="214">
        <v>1185</v>
      </c>
      <c r="BS80" s="214">
        <v>1185</v>
      </c>
      <c r="BT80" s="214">
        <v>1185</v>
      </c>
      <c r="BU80" s="214">
        <v>1185</v>
      </c>
      <c r="BV80" s="214">
        <v>1185</v>
      </c>
      <c r="BW80" s="214">
        <v>1185</v>
      </c>
      <c r="BX80" s="214">
        <v>1185</v>
      </c>
      <c r="BY80" s="214">
        <v>1185</v>
      </c>
      <c r="BZ80" s="214">
        <v>1185</v>
      </c>
      <c r="CA80" s="214">
        <v>1185</v>
      </c>
      <c r="CB80" s="214">
        <v>1210</v>
      </c>
      <c r="CC80" s="214">
        <v>1210</v>
      </c>
      <c r="CD80" s="214">
        <v>1210</v>
      </c>
      <c r="CE80" s="214">
        <v>1210</v>
      </c>
      <c r="CF80" s="214">
        <v>1260</v>
      </c>
      <c r="CG80" s="214">
        <v>1260</v>
      </c>
      <c r="CH80" s="214">
        <v>1260</v>
      </c>
      <c r="CI80" s="214">
        <v>1260</v>
      </c>
      <c r="CJ80" s="214">
        <v>1250</v>
      </c>
      <c r="CK80" s="214">
        <v>1250</v>
      </c>
      <c r="CL80" s="214">
        <v>1250</v>
      </c>
      <c r="CM80" s="214">
        <v>1250</v>
      </c>
      <c r="CN80" s="214">
        <v>1250</v>
      </c>
      <c r="CO80" s="214">
        <v>1220</v>
      </c>
      <c r="CP80" s="214">
        <v>1220</v>
      </c>
      <c r="CQ80" s="214">
        <v>1220</v>
      </c>
      <c r="CR80" s="214">
        <v>1220</v>
      </c>
      <c r="CS80" s="214">
        <v>1220</v>
      </c>
      <c r="CT80" s="214">
        <v>1220</v>
      </c>
      <c r="CU80" s="214">
        <v>1220</v>
      </c>
      <c r="CV80" s="214">
        <v>1220</v>
      </c>
      <c r="CW80" s="214">
        <v>1220</v>
      </c>
      <c r="CX80" s="214">
        <v>1220</v>
      </c>
      <c r="CY80" s="214">
        <v>1220</v>
      </c>
      <c r="CZ80" s="214">
        <v>1220</v>
      </c>
      <c r="DA80" s="214">
        <v>1215</v>
      </c>
      <c r="DB80" s="214">
        <v>1215</v>
      </c>
      <c r="DC80" s="214">
        <v>1215</v>
      </c>
      <c r="DD80" s="214">
        <v>1215</v>
      </c>
      <c r="DE80" s="214">
        <v>1182</v>
      </c>
      <c r="DF80" s="214">
        <v>1182</v>
      </c>
      <c r="DG80" s="214">
        <v>1182</v>
      </c>
      <c r="DH80" s="214">
        <v>1182</v>
      </c>
      <c r="DI80" s="214"/>
      <c r="DJ80" s="214"/>
      <c r="DK80" s="214"/>
      <c r="DL80" s="214"/>
      <c r="DM80" s="214"/>
      <c r="DN80" s="214"/>
      <c r="DO80" s="214"/>
      <c r="DP80" s="214"/>
      <c r="DQ80" s="178"/>
      <c r="DR80" s="178"/>
    </row>
    <row r="81" spans="1:124 16384:16384">
      <c r="A81" s="178" t="str">
        <f t="shared" si="43"/>
        <v>vam used by clariantEURO</v>
      </c>
      <c r="B81" s="178"/>
      <c r="C81" s="178" t="s">
        <v>122</v>
      </c>
      <c r="D81" s="178" t="s">
        <v>345</v>
      </c>
      <c r="E81" s="178" t="s">
        <v>32</v>
      </c>
      <c r="F81" s="178">
        <v>1130</v>
      </c>
      <c r="G81" s="178">
        <v>1110</v>
      </c>
      <c r="H81" s="178">
        <v>1090</v>
      </c>
      <c r="I81" s="178">
        <v>1040</v>
      </c>
      <c r="J81" s="178">
        <v>975</v>
      </c>
      <c r="K81" s="178">
        <v>925</v>
      </c>
      <c r="L81" s="178">
        <v>905</v>
      </c>
      <c r="M81" s="178">
        <v>935</v>
      </c>
      <c r="N81" s="178">
        <v>960</v>
      </c>
      <c r="O81" s="178">
        <v>1030</v>
      </c>
      <c r="P81" s="178">
        <v>1060</v>
      </c>
      <c r="Q81" s="178">
        <v>1070</v>
      </c>
      <c r="R81" s="178">
        <v>1165</v>
      </c>
      <c r="S81" s="178">
        <v>1265</v>
      </c>
      <c r="T81" s="178">
        <v>1855</v>
      </c>
      <c r="U81" s="178">
        <v>2525</v>
      </c>
      <c r="V81" s="178">
        <v>2700</v>
      </c>
      <c r="W81" s="178">
        <v>2700</v>
      </c>
      <c r="X81" s="178">
        <v>2550</v>
      </c>
      <c r="Y81" s="178">
        <v>2360</v>
      </c>
      <c r="Z81" s="178">
        <v>2360</v>
      </c>
      <c r="AA81" s="178">
        <v>2370</v>
      </c>
      <c r="AB81" s="178">
        <v>2420</v>
      </c>
      <c r="AC81" s="178">
        <v>2485</v>
      </c>
      <c r="AD81" s="178">
        <v>2495</v>
      </c>
      <c r="AE81" s="178">
        <v>2470</v>
      </c>
      <c r="AF81" s="178">
        <v>2570</v>
      </c>
      <c r="AG81" s="178">
        <v>2790</v>
      </c>
      <c r="AH81" s="178">
        <v>2940</v>
      </c>
      <c r="AI81" s="178">
        <v>3030</v>
      </c>
      <c r="AJ81" s="178">
        <v>3075</v>
      </c>
      <c r="AK81" s="178">
        <v>2900</v>
      </c>
      <c r="AL81" s="178">
        <v>2450</v>
      </c>
      <c r="AM81" s="178">
        <v>2300</v>
      </c>
      <c r="AN81" s="178">
        <v>2180</v>
      </c>
      <c r="AO81" s="178">
        <v>2060</v>
      </c>
      <c r="AP81" s="178">
        <v>1970</v>
      </c>
      <c r="AQ81" s="178">
        <v>1920</v>
      </c>
      <c r="AR81" s="178">
        <v>1920</v>
      </c>
      <c r="AS81" s="178">
        <v>1920</v>
      </c>
      <c r="AT81" s="178">
        <v>1920</v>
      </c>
      <c r="AU81" s="178">
        <v>1860</v>
      </c>
      <c r="AV81" s="178">
        <v>1780</v>
      </c>
      <c r="AW81" s="178">
        <v>1780</v>
      </c>
      <c r="AX81" s="214">
        <v>1780</v>
      </c>
      <c r="AY81" s="214">
        <v>1780</v>
      </c>
      <c r="AZ81" s="214">
        <v>1586</v>
      </c>
      <c r="BA81" s="214">
        <v>1586</v>
      </c>
      <c r="BB81" s="214">
        <v>1586</v>
      </c>
      <c r="BC81" s="214">
        <v>1586</v>
      </c>
      <c r="BD81" s="214">
        <v>1580</v>
      </c>
      <c r="BE81" s="214">
        <v>1580</v>
      </c>
      <c r="BF81" s="214">
        <v>1580</v>
      </c>
      <c r="BG81" s="214">
        <v>1580</v>
      </c>
      <c r="BH81" s="214">
        <v>1791</v>
      </c>
      <c r="BI81" s="214">
        <v>1791</v>
      </c>
      <c r="BJ81" s="214">
        <v>1791</v>
      </c>
      <c r="BK81" s="214">
        <v>1791</v>
      </c>
      <c r="BL81" s="214">
        <v>1570</v>
      </c>
      <c r="BM81" s="214">
        <v>1570</v>
      </c>
      <c r="BN81" s="214">
        <v>1570</v>
      </c>
      <c r="BO81" s="214">
        <v>1570</v>
      </c>
      <c r="BP81" s="214">
        <v>1570</v>
      </c>
      <c r="BQ81" s="214">
        <v>1570</v>
      </c>
      <c r="BR81" s="214">
        <v>1570</v>
      </c>
      <c r="BS81" s="214">
        <v>1570</v>
      </c>
      <c r="BT81" s="214">
        <v>1560</v>
      </c>
      <c r="BU81" s="214">
        <v>1560</v>
      </c>
      <c r="BV81" s="214">
        <v>1560</v>
      </c>
      <c r="BW81" s="214">
        <v>1560</v>
      </c>
      <c r="BX81" s="214">
        <v>1560</v>
      </c>
      <c r="BY81" s="214">
        <v>1560</v>
      </c>
      <c r="BZ81" s="214">
        <v>1560</v>
      </c>
      <c r="CA81" s="214">
        <v>1560</v>
      </c>
      <c r="CB81" s="214">
        <v>1630</v>
      </c>
      <c r="CC81" s="214">
        <v>1630</v>
      </c>
      <c r="CD81" s="214">
        <v>1630</v>
      </c>
      <c r="CE81" s="214">
        <v>1630</v>
      </c>
      <c r="CF81" s="214">
        <v>1660</v>
      </c>
      <c r="CG81" s="214">
        <v>1660</v>
      </c>
      <c r="CH81" s="214">
        <v>1660</v>
      </c>
      <c r="CI81" s="214">
        <v>1660</v>
      </c>
      <c r="CJ81" s="214">
        <v>1690</v>
      </c>
      <c r="CK81" s="214">
        <v>1690</v>
      </c>
      <c r="CL81" s="214">
        <v>1690</v>
      </c>
      <c r="CM81" s="214">
        <v>1690</v>
      </c>
      <c r="CN81" s="214">
        <v>1690</v>
      </c>
      <c r="CO81" s="214">
        <v>1670</v>
      </c>
      <c r="CP81" s="214">
        <v>1670</v>
      </c>
      <c r="CQ81" s="214">
        <v>1670</v>
      </c>
      <c r="CR81" s="214">
        <v>1670</v>
      </c>
      <c r="CS81" s="214">
        <v>1670</v>
      </c>
      <c r="CT81" s="214">
        <v>1670</v>
      </c>
      <c r="CU81" s="214">
        <v>1670</v>
      </c>
      <c r="CV81" s="214">
        <v>1670</v>
      </c>
      <c r="CW81" s="214">
        <v>1660</v>
      </c>
      <c r="CX81" s="214">
        <v>1660</v>
      </c>
      <c r="CY81" s="214">
        <v>1660</v>
      </c>
      <c r="CZ81" s="214">
        <v>1660</v>
      </c>
      <c r="DA81" s="214">
        <v>1610</v>
      </c>
      <c r="DB81" s="214">
        <v>1610</v>
      </c>
      <c r="DC81" s="214">
        <v>1610</v>
      </c>
      <c r="DD81" s="214">
        <v>1610</v>
      </c>
      <c r="DE81" s="214">
        <v>1570</v>
      </c>
      <c r="DF81" s="214">
        <v>1570</v>
      </c>
      <c r="DG81" s="214">
        <v>1570</v>
      </c>
      <c r="DH81" s="214">
        <v>1570</v>
      </c>
      <c r="DI81" s="214"/>
      <c r="DJ81" s="214"/>
      <c r="DK81" s="214"/>
      <c r="DL81" s="214"/>
      <c r="DM81" s="214"/>
      <c r="DN81" s="214"/>
      <c r="DO81" s="214"/>
      <c r="DP81" s="214"/>
      <c r="DQ81" s="178"/>
      <c r="DR81" s="178"/>
      <c r="XFD81" s="214"/>
    </row>
    <row r="82" spans="1:124 16384:16384">
      <c r="A82" s="178" t="str">
        <f t="shared" si="43"/>
        <v>Glycerine USD</v>
      </c>
      <c r="B82" s="178" t="s">
        <v>46</v>
      </c>
      <c r="C82" s="178" t="s">
        <v>123</v>
      </c>
      <c r="D82" s="178" t="s">
        <v>33</v>
      </c>
      <c r="E82" s="178" t="s">
        <v>32</v>
      </c>
      <c r="F82" s="262">
        <v>515</v>
      </c>
      <c r="G82" s="262">
        <v>532.5</v>
      </c>
      <c r="H82" s="262">
        <v>548.79999999999995</v>
      </c>
      <c r="I82" s="262">
        <v>875</v>
      </c>
      <c r="J82" s="262">
        <v>1001.3</v>
      </c>
      <c r="K82" s="262">
        <v>823.8</v>
      </c>
      <c r="L82" s="262">
        <v>607</v>
      </c>
      <c r="M82" s="262">
        <v>610</v>
      </c>
      <c r="N82" s="262">
        <v>642.5</v>
      </c>
      <c r="O82" s="262">
        <v>667</v>
      </c>
      <c r="P82" s="262">
        <v>707.5</v>
      </c>
      <c r="Q82" s="262">
        <v>732.5</v>
      </c>
      <c r="R82" s="262">
        <v>743.8</v>
      </c>
      <c r="S82" s="262">
        <v>756</v>
      </c>
      <c r="T82" s="262">
        <v>854</v>
      </c>
      <c r="U82" s="262">
        <v>1040</v>
      </c>
      <c r="V82" s="262">
        <v>1120</v>
      </c>
      <c r="W82" s="262">
        <v>1110</v>
      </c>
      <c r="X82" s="262">
        <v>1064</v>
      </c>
      <c r="Y82" s="262">
        <v>1189</v>
      </c>
      <c r="Z82" s="262">
        <v>1382</v>
      </c>
      <c r="AA82" s="262">
        <v>1736.3</v>
      </c>
      <c r="AB82" s="262">
        <v>1948.8</v>
      </c>
      <c r="AC82" s="262">
        <f>(1890+1820+1790+1715)/4</f>
        <v>1803.75</v>
      </c>
      <c r="AD82" s="262">
        <v>1631.3</v>
      </c>
      <c r="AE82" s="262">
        <v>1725</v>
      </c>
      <c r="AF82" s="262">
        <v>1961</v>
      </c>
      <c r="AG82" s="262">
        <v>1812.5</v>
      </c>
      <c r="AH82" s="262">
        <v>1965</v>
      </c>
      <c r="AI82" s="262">
        <v>1730</v>
      </c>
      <c r="AJ82" s="262">
        <v>1077.5</v>
      </c>
      <c r="AK82" s="262">
        <v>908.8</v>
      </c>
      <c r="AL82" s="262">
        <v>927</v>
      </c>
      <c r="AM82" s="262">
        <v>755</v>
      </c>
      <c r="AN82" s="178">
        <v>625</v>
      </c>
      <c r="AO82" s="178">
        <v>650</v>
      </c>
      <c r="AP82" s="262">
        <v>700</v>
      </c>
      <c r="AQ82" s="262">
        <v>710</v>
      </c>
      <c r="AR82" s="262">
        <v>640</v>
      </c>
      <c r="AS82" s="178">
        <v>650</v>
      </c>
      <c r="AT82" s="178">
        <v>660</v>
      </c>
      <c r="AU82" s="178">
        <v>630</v>
      </c>
      <c r="AV82" s="178">
        <v>600</v>
      </c>
      <c r="AW82" s="178">
        <v>600</v>
      </c>
      <c r="AX82" s="214">
        <v>615</v>
      </c>
      <c r="AY82" s="214">
        <f>AY70</f>
        <v>640</v>
      </c>
      <c r="AZ82" s="214">
        <f>AZ70</f>
        <v>645</v>
      </c>
      <c r="BA82" s="214">
        <v>645</v>
      </c>
      <c r="BB82" s="214">
        <f>BB70</f>
        <v>640</v>
      </c>
      <c r="BC82" s="214">
        <f t="shared" ref="BC82:DJ82" si="45">BC70</f>
        <v>625</v>
      </c>
      <c r="BD82" s="214">
        <f t="shared" si="45"/>
        <v>640</v>
      </c>
      <c r="BE82" s="214">
        <f t="shared" si="45"/>
        <v>620</v>
      </c>
      <c r="BF82" s="214">
        <f t="shared" si="45"/>
        <v>615</v>
      </c>
      <c r="BG82" s="214">
        <f t="shared" si="45"/>
        <v>615</v>
      </c>
      <c r="BH82" s="214">
        <f t="shared" si="45"/>
        <v>615</v>
      </c>
      <c r="BI82" s="214">
        <f t="shared" si="45"/>
        <v>605</v>
      </c>
      <c r="BJ82" s="214">
        <f t="shared" si="45"/>
        <v>605</v>
      </c>
      <c r="BK82" s="214">
        <f t="shared" si="45"/>
        <v>590</v>
      </c>
      <c r="BL82" s="214">
        <f t="shared" si="45"/>
        <v>580</v>
      </c>
      <c r="BM82" s="214">
        <f t="shared" si="45"/>
        <v>570</v>
      </c>
      <c r="BN82" s="214">
        <f t="shared" si="45"/>
        <v>570</v>
      </c>
      <c r="BO82" s="214">
        <f t="shared" si="45"/>
        <v>570</v>
      </c>
      <c r="BP82" s="214">
        <f t="shared" si="45"/>
        <v>570</v>
      </c>
      <c r="BQ82" s="214">
        <f t="shared" si="45"/>
        <v>570</v>
      </c>
      <c r="BR82" s="214">
        <f>BR70</f>
        <v>545</v>
      </c>
      <c r="BS82" s="214">
        <f t="shared" si="45"/>
        <v>545</v>
      </c>
      <c r="BT82" s="214">
        <f t="shared" si="45"/>
        <v>545</v>
      </c>
      <c r="BU82" s="214">
        <f t="shared" si="45"/>
        <v>545</v>
      </c>
      <c r="BV82" s="214">
        <f t="shared" si="45"/>
        <v>545</v>
      </c>
      <c r="BW82" s="214">
        <f t="shared" si="45"/>
        <v>575</v>
      </c>
      <c r="BX82" s="214">
        <f t="shared" si="45"/>
        <v>575</v>
      </c>
      <c r="BY82" s="214">
        <f t="shared" si="45"/>
        <v>575</v>
      </c>
      <c r="BZ82" s="214">
        <f t="shared" si="45"/>
        <v>575</v>
      </c>
      <c r="CA82" s="214">
        <f t="shared" si="45"/>
        <v>585</v>
      </c>
      <c r="CB82" s="214">
        <f t="shared" si="45"/>
        <v>585</v>
      </c>
      <c r="CC82" s="214">
        <f t="shared" si="45"/>
        <v>585</v>
      </c>
      <c r="CD82" s="214">
        <f t="shared" si="45"/>
        <v>605</v>
      </c>
      <c r="CE82" s="214">
        <f t="shared" si="45"/>
        <v>625</v>
      </c>
      <c r="CF82" s="214">
        <f t="shared" si="45"/>
        <v>620</v>
      </c>
      <c r="CG82" s="214">
        <f t="shared" si="45"/>
        <v>617.5</v>
      </c>
      <c r="CH82" s="214">
        <f t="shared" si="45"/>
        <v>617.5</v>
      </c>
      <c r="CI82" s="214">
        <f t="shared" si="45"/>
        <v>605</v>
      </c>
      <c r="CJ82" s="214">
        <f t="shared" si="45"/>
        <v>605</v>
      </c>
      <c r="CK82" s="214">
        <f t="shared" si="45"/>
        <v>595</v>
      </c>
      <c r="CL82" s="214">
        <f t="shared" si="45"/>
        <v>595</v>
      </c>
      <c r="CM82" s="214">
        <f t="shared" si="45"/>
        <v>595</v>
      </c>
      <c r="CN82" s="214">
        <f t="shared" si="45"/>
        <v>595</v>
      </c>
      <c r="CO82" s="214">
        <f t="shared" si="45"/>
        <v>585</v>
      </c>
      <c r="CP82" s="214">
        <f t="shared" si="45"/>
        <v>605</v>
      </c>
      <c r="CQ82" s="214">
        <f t="shared" si="45"/>
        <v>605</v>
      </c>
      <c r="CR82" s="214">
        <f t="shared" si="45"/>
        <v>640</v>
      </c>
      <c r="CS82" s="214">
        <f t="shared" si="45"/>
        <v>650</v>
      </c>
      <c r="CT82" s="214">
        <f t="shared" si="45"/>
        <v>650</v>
      </c>
      <c r="CU82" s="214">
        <f t="shared" si="45"/>
        <v>675</v>
      </c>
      <c r="CV82" s="214">
        <f t="shared" si="45"/>
        <v>675</v>
      </c>
      <c r="CW82" s="214">
        <f t="shared" si="45"/>
        <v>685</v>
      </c>
      <c r="CX82" s="214">
        <f>CX70</f>
        <v>685</v>
      </c>
      <c r="CY82" s="214">
        <f t="shared" si="45"/>
        <v>675</v>
      </c>
      <c r="CZ82" s="214">
        <f t="shared" si="45"/>
        <v>675</v>
      </c>
      <c r="DA82" s="214">
        <f t="shared" si="45"/>
        <v>675</v>
      </c>
      <c r="DB82" s="214">
        <f t="shared" si="45"/>
        <v>675</v>
      </c>
      <c r="DC82" s="214">
        <f t="shared" si="45"/>
        <v>670</v>
      </c>
      <c r="DD82" s="214">
        <f t="shared" si="45"/>
        <v>680</v>
      </c>
      <c r="DE82" s="214">
        <f t="shared" si="45"/>
        <v>690</v>
      </c>
      <c r="DF82" s="214">
        <f t="shared" si="45"/>
        <v>705</v>
      </c>
      <c r="DG82" s="214">
        <f t="shared" si="45"/>
        <v>790</v>
      </c>
      <c r="DH82" s="214">
        <f t="shared" si="45"/>
        <v>790</v>
      </c>
      <c r="DI82" s="214">
        <f t="shared" si="45"/>
        <v>800</v>
      </c>
      <c r="DJ82" s="214">
        <f t="shared" si="45"/>
        <v>790</v>
      </c>
      <c r="DK82" s="214">
        <f>DK70</f>
        <v>780</v>
      </c>
      <c r="DL82" s="214">
        <f t="shared" ref="DL82:DR82" si="46">DL70</f>
        <v>780</v>
      </c>
      <c r="DM82" s="214">
        <f t="shared" si="46"/>
        <v>780</v>
      </c>
      <c r="DN82" s="214">
        <f t="shared" si="46"/>
        <v>780</v>
      </c>
      <c r="DO82" s="214">
        <f t="shared" si="46"/>
        <v>795</v>
      </c>
      <c r="DP82" s="214">
        <f t="shared" si="46"/>
        <v>795</v>
      </c>
      <c r="DQ82" s="214">
        <f t="shared" si="46"/>
        <v>0</v>
      </c>
      <c r="DR82" s="214">
        <f t="shared" si="46"/>
        <v>0</v>
      </c>
    </row>
    <row r="83" spans="1:124 16384:16384">
      <c r="A83" s="178" t="str">
        <f t="shared" si="43"/>
        <v>VAM SEUSD</v>
      </c>
      <c r="B83" s="178" t="s">
        <v>46</v>
      </c>
      <c r="C83" s="178" t="s">
        <v>124</v>
      </c>
      <c r="D83" s="178" t="s">
        <v>33</v>
      </c>
      <c r="E83" s="178" t="s">
        <v>32</v>
      </c>
      <c r="F83" s="262">
        <v>809</v>
      </c>
      <c r="G83" s="262">
        <v>825</v>
      </c>
      <c r="H83" s="262">
        <v>785</v>
      </c>
      <c r="I83" s="262">
        <v>686.25</v>
      </c>
      <c r="J83" s="262">
        <v>617</v>
      </c>
      <c r="K83" s="262">
        <v>615</v>
      </c>
      <c r="L83" s="262">
        <v>645</v>
      </c>
      <c r="M83" s="262">
        <v>665</v>
      </c>
      <c r="N83" s="262">
        <v>720</v>
      </c>
      <c r="O83" s="262">
        <v>815</v>
      </c>
      <c r="P83" s="262">
        <v>848.75</v>
      </c>
      <c r="Q83" s="262">
        <v>1097.5</v>
      </c>
      <c r="R83" s="262">
        <v>1280</v>
      </c>
      <c r="S83" s="262">
        <v>1438.75</v>
      </c>
      <c r="T83" s="262">
        <v>1898</v>
      </c>
      <c r="U83" s="262">
        <v>1920</v>
      </c>
      <c r="V83" s="262">
        <v>1896.25</v>
      </c>
      <c r="W83" s="262">
        <v>1780</v>
      </c>
      <c r="X83" s="262">
        <v>1535</v>
      </c>
      <c r="Y83" s="262">
        <v>1675</v>
      </c>
      <c r="Z83" s="262">
        <v>1831</v>
      </c>
      <c r="AA83" s="262">
        <v>2260</v>
      </c>
      <c r="AB83" s="262">
        <v>2490</v>
      </c>
      <c r="AC83" s="262">
        <v>2235</v>
      </c>
      <c r="AD83" s="262">
        <v>1881.25</v>
      </c>
      <c r="AE83" s="262">
        <v>2083.75</v>
      </c>
      <c r="AF83" s="262">
        <v>2356.25</v>
      </c>
      <c r="AG83" s="262">
        <v>2293</v>
      </c>
      <c r="AH83" s="262">
        <v>2332.5</v>
      </c>
      <c r="AI83" s="262">
        <v>2250</v>
      </c>
      <c r="AJ83" s="262">
        <v>1903</v>
      </c>
      <c r="AK83" s="262">
        <v>1325</v>
      </c>
      <c r="AL83" s="262">
        <v>1210</v>
      </c>
      <c r="AM83" s="262">
        <v>1130</v>
      </c>
      <c r="AN83" s="178">
        <v>1130</v>
      </c>
      <c r="AO83" s="178">
        <v>1035</v>
      </c>
      <c r="AP83" s="262">
        <v>1050</v>
      </c>
      <c r="AQ83" s="262">
        <v>1113.75</v>
      </c>
      <c r="AR83" s="262">
        <v>1042</v>
      </c>
      <c r="AS83" s="178">
        <v>1080</v>
      </c>
      <c r="AT83" s="178">
        <v>925</v>
      </c>
      <c r="AU83" s="178">
        <v>815</v>
      </c>
      <c r="AV83" s="178">
        <v>830</v>
      </c>
      <c r="AW83" s="178">
        <v>830</v>
      </c>
      <c r="AX83" s="214">
        <v>830</v>
      </c>
      <c r="AY83" s="214">
        <v>825</v>
      </c>
      <c r="AZ83" s="214">
        <v>875</v>
      </c>
      <c r="BA83" s="214">
        <v>840</v>
      </c>
      <c r="BB83" s="214">
        <v>865</v>
      </c>
      <c r="BC83" s="214">
        <v>865</v>
      </c>
      <c r="BD83" s="214">
        <v>900</v>
      </c>
      <c r="BE83" s="214">
        <v>910</v>
      </c>
      <c r="BF83" s="214">
        <v>950</v>
      </c>
      <c r="BG83" s="214">
        <v>924.5</v>
      </c>
      <c r="BH83" s="214">
        <v>924.5</v>
      </c>
      <c r="BI83" s="214">
        <v>924.5</v>
      </c>
      <c r="BJ83" s="214">
        <v>1075</v>
      </c>
      <c r="BK83" s="214">
        <v>1075</v>
      </c>
      <c r="BL83" s="214">
        <v>1075</v>
      </c>
      <c r="BM83" s="214">
        <v>995</v>
      </c>
      <c r="BN83" s="214">
        <v>995</v>
      </c>
      <c r="BO83" s="214">
        <v>995</v>
      </c>
      <c r="BP83" s="214">
        <v>995</v>
      </c>
      <c r="BQ83" s="214">
        <v>995</v>
      </c>
      <c r="BR83" s="214">
        <v>995</v>
      </c>
      <c r="BS83" s="214">
        <v>995</v>
      </c>
      <c r="BT83" s="214">
        <v>1025</v>
      </c>
      <c r="BU83" s="214">
        <v>1025</v>
      </c>
      <c r="BV83" s="214">
        <v>1025</v>
      </c>
      <c r="BW83" s="214">
        <v>1025</v>
      </c>
      <c r="BX83" s="214">
        <v>1025</v>
      </c>
      <c r="BY83" s="214">
        <v>1025</v>
      </c>
      <c r="BZ83" s="214">
        <v>1025</v>
      </c>
      <c r="CA83" s="214">
        <v>1025</v>
      </c>
      <c r="CB83" s="214">
        <v>1025</v>
      </c>
      <c r="CC83" s="214">
        <v>1025</v>
      </c>
      <c r="CD83" s="214">
        <v>1025</v>
      </c>
      <c r="CE83" s="214">
        <v>1025</v>
      </c>
      <c r="CF83" s="214">
        <v>1025</v>
      </c>
      <c r="CG83" s="214">
        <v>1025</v>
      </c>
      <c r="CH83" s="214">
        <v>1025</v>
      </c>
      <c r="CI83" s="214">
        <v>925</v>
      </c>
      <c r="CJ83" s="214">
        <v>880</v>
      </c>
      <c r="CK83" s="214">
        <v>880</v>
      </c>
      <c r="CL83" s="214">
        <v>860</v>
      </c>
      <c r="CM83" s="214">
        <v>860</v>
      </c>
      <c r="CN83" s="214">
        <v>840</v>
      </c>
      <c r="CO83" s="214">
        <v>807</v>
      </c>
      <c r="CP83" s="214">
        <v>807</v>
      </c>
      <c r="CQ83" s="214">
        <v>782</v>
      </c>
      <c r="CR83" s="214">
        <v>790</v>
      </c>
      <c r="CS83" s="214">
        <v>780</v>
      </c>
      <c r="CT83" s="214">
        <v>780</v>
      </c>
      <c r="CU83" s="214">
        <v>780</v>
      </c>
      <c r="CV83" s="214">
        <v>780</v>
      </c>
      <c r="CW83" s="214">
        <v>760</v>
      </c>
      <c r="CX83" s="214">
        <v>755</v>
      </c>
      <c r="CY83" s="214">
        <v>740</v>
      </c>
      <c r="CZ83" s="214">
        <v>740</v>
      </c>
      <c r="DA83" s="214">
        <v>745</v>
      </c>
      <c r="DB83" s="214">
        <v>745</v>
      </c>
      <c r="DC83" s="214">
        <v>745</v>
      </c>
      <c r="DD83" s="214">
        <v>745</v>
      </c>
      <c r="DE83" s="214">
        <v>745</v>
      </c>
      <c r="DF83" s="214">
        <v>745</v>
      </c>
      <c r="DG83" s="214">
        <v>745</v>
      </c>
      <c r="DH83" s="214">
        <v>740</v>
      </c>
      <c r="DI83" s="214">
        <v>745</v>
      </c>
      <c r="DJ83" s="214">
        <v>745</v>
      </c>
      <c r="DK83" s="214">
        <v>745</v>
      </c>
      <c r="DL83" s="214">
        <v>745</v>
      </c>
      <c r="DM83" s="214">
        <v>745</v>
      </c>
      <c r="DN83" s="214">
        <v>745</v>
      </c>
      <c r="DO83" s="214">
        <v>750</v>
      </c>
      <c r="DP83" s="214">
        <v>795</v>
      </c>
      <c r="DQ83" s="178"/>
      <c r="DR83" s="178"/>
    </row>
    <row r="84" spans="1:124 16384:16384">
      <c r="A84" s="178" t="str">
        <f t="shared" si="43"/>
        <v>IsoButanolUSD</v>
      </c>
      <c r="B84" s="178" t="s">
        <v>110</v>
      </c>
      <c r="C84" s="178" t="s">
        <v>111</v>
      </c>
      <c r="D84" s="178" t="s">
        <v>33</v>
      </c>
      <c r="E84" s="178" t="s">
        <v>32</v>
      </c>
      <c r="F84" s="262">
        <v>639</v>
      </c>
      <c r="G84" s="262">
        <v>642.5</v>
      </c>
      <c r="H84" s="262">
        <v>625</v>
      </c>
      <c r="I84" s="262">
        <v>561</v>
      </c>
      <c r="J84" s="262">
        <v>578.75</v>
      </c>
      <c r="K84" s="262">
        <v>601.25</v>
      </c>
      <c r="L84" s="262">
        <v>650</v>
      </c>
      <c r="M84" s="262">
        <v>637.5</v>
      </c>
      <c r="N84" s="262">
        <v>615</v>
      </c>
      <c r="O84" s="262">
        <v>639</v>
      </c>
      <c r="P84" s="262">
        <v>765</v>
      </c>
      <c r="Q84" s="262">
        <v>936.25</v>
      </c>
      <c r="R84" s="262">
        <v>1041.25</v>
      </c>
      <c r="S84" s="262">
        <v>1142.5</v>
      </c>
      <c r="T84" s="262">
        <v>1405</v>
      </c>
      <c r="U84" s="262">
        <v>1323</v>
      </c>
      <c r="V84" s="262">
        <v>1617.5</v>
      </c>
      <c r="W84" s="262">
        <v>1718.75</v>
      </c>
      <c r="X84" s="262">
        <v>1773</v>
      </c>
      <c r="Y84" s="262">
        <v>1765</v>
      </c>
      <c r="Z84" s="262">
        <v>1423</v>
      </c>
      <c r="AA84" s="262">
        <v>1332.5</v>
      </c>
      <c r="AB84" s="262">
        <v>1307.5</v>
      </c>
      <c r="AC84" s="262">
        <v>1072.5</v>
      </c>
      <c r="AD84" s="262">
        <v>1052.5</v>
      </c>
      <c r="AE84" s="262">
        <v>1181.25</v>
      </c>
      <c r="AF84" s="262">
        <v>1163</v>
      </c>
      <c r="AG84" s="262">
        <v>1142.5</v>
      </c>
      <c r="AH84" s="262">
        <v>1098.75</v>
      </c>
      <c r="AI84" s="262">
        <v>1050</v>
      </c>
      <c r="AJ84" s="262">
        <v>900</v>
      </c>
      <c r="AK84" s="262">
        <v>845</v>
      </c>
      <c r="AL84" s="262">
        <v>859</v>
      </c>
      <c r="AM84" s="262">
        <v>875</v>
      </c>
      <c r="AN84" s="178">
        <v>875</v>
      </c>
      <c r="AO84" s="178">
        <v>930</v>
      </c>
      <c r="AP84" s="262">
        <v>930</v>
      </c>
      <c r="AQ84" s="262">
        <v>950</v>
      </c>
      <c r="AR84" s="262">
        <v>970</v>
      </c>
      <c r="AS84" s="178">
        <v>975</v>
      </c>
      <c r="AT84" s="178">
        <v>980</v>
      </c>
      <c r="AU84" s="178">
        <v>930</v>
      </c>
      <c r="AV84" s="178">
        <v>810</v>
      </c>
      <c r="AW84" s="178">
        <v>810</v>
      </c>
      <c r="AX84" s="214">
        <v>820</v>
      </c>
      <c r="AY84" s="214">
        <f>AY72</f>
        <v>860</v>
      </c>
      <c r="AZ84" s="214">
        <f>AZ72</f>
        <v>900</v>
      </c>
      <c r="BA84" s="214">
        <f>BA72</f>
        <v>970</v>
      </c>
      <c r="BB84" s="214">
        <f t="shared" ref="BB84:DM84" si="47">BB72</f>
        <v>970</v>
      </c>
      <c r="BC84" s="214">
        <f t="shared" si="47"/>
        <v>1000</v>
      </c>
      <c r="BD84" s="214">
        <f t="shared" si="47"/>
        <v>1060</v>
      </c>
      <c r="BE84" s="214">
        <f t="shared" si="47"/>
        <v>1095</v>
      </c>
      <c r="BF84" s="214">
        <f t="shared" si="47"/>
        <v>1125</v>
      </c>
      <c r="BG84" s="214">
        <f t="shared" si="47"/>
        <v>1065</v>
      </c>
      <c r="BH84" s="214">
        <f t="shared" si="47"/>
        <v>1065</v>
      </c>
      <c r="BI84" s="214">
        <f t="shared" si="47"/>
        <v>1052.5</v>
      </c>
      <c r="BJ84" s="214">
        <f t="shared" si="47"/>
        <v>1035</v>
      </c>
      <c r="BK84" s="214">
        <f t="shared" si="47"/>
        <v>980</v>
      </c>
      <c r="BL84" s="214">
        <f t="shared" si="47"/>
        <v>980</v>
      </c>
      <c r="BM84" s="214">
        <f t="shared" si="47"/>
        <v>960</v>
      </c>
      <c r="BN84" s="214">
        <f t="shared" si="47"/>
        <v>960</v>
      </c>
      <c r="BO84" s="214">
        <f t="shared" si="47"/>
        <v>960</v>
      </c>
      <c r="BP84" s="214">
        <f t="shared" si="47"/>
        <v>960</v>
      </c>
      <c r="BQ84" s="214">
        <f t="shared" si="47"/>
        <v>970</v>
      </c>
      <c r="BR84" s="214">
        <f t="shared" si="47"/>
        <v>970</v>
      </c>
      <c r="BS84" s="214">
        <f t="shared" si="47"/>
        <v>970</v>
      </c>
      <c r="BT84" s="214">
        <f t="shared" si="47"/>
        <v>1020</v>
      </c>
      <c r="BU84" s="214">
        <f t="shared" si="47"/>
        <v>1020</v>
      </c>
      <c r="BV84" s="214">
        <f t="shared" si="47"/>
        <v>1010</v>
      </c>
      <c r="BW84" s="214">
        <f t="shared" si="47"/>
        <v>1045</v>
      </c>
      <c r="BX84" s="214">
        <f t="shared" si="47"/>
        <v>1045</v>
      </c>
      <c r="BY84" s="214">
        <f t="shared" si="47"/>
        <v>1045</v>
      </c>
      <c r="BZ84" s="214">
        <f t="shared" si="47"/>
        <v>1045</v>
      </c>
      <c r="CA84" s="214">
        <f t="shared" si="47"/>
        <v>1050</v>
      </c>
      <c r="CB84" s="214">
        <f t="shared" si="47"/>
        <v>1040</v>
      </c>
      <c r="CC84" s="214">
        <f t="shared" si="47"/>
        <v>1060</v>
      </c>
      <c r="CD84" s="214">
        <f t="shared" si="47"/>
        <v>950</v>
      </c>
      <c r="CE84" s="214">
        <f t="shared" si="47"/>
        <v>940</v>
      </c>
      <c r="CF84" s="214">
        <f t="shared" si="47"/>
        <v>940</v>
      </c>
      <c r="CG84" s="214">
        <f t="shared" si="47"/>
        <v>940</v>
      </c>
      <c r="CH84" s="214">
        <f t="shared" si="47"/>
        <v>940</v>
      </c>
      <c r="CI84" s="214">
        <f t="shared" si="47"/>
        <v>935</v>
      </c>
      <c r="CJ84" s="214">
        <f t="shared" si="47"/>
        <v>935</v>
      </c>
      <c r="CK84" s="214">
        <f t="shared" si="47"/>
        <v>970</v>
      </c>
      <c r="CL84" s="214">
        <f t="shared" si="47"/>
        <v>970</v>
      </c>
      <c r="CM84" s="214">
        <f t="shared" si="47"/>
        <v>970</v>
      </c>
      <c r="CN84" s="214">
        <f t="shared" si="47"/>
        <v>965</v>
      </c>
      <c r="CO84" s="214">
        <f t="shared" si="47"/>
        <v>965</v>
      </c>
      <c r="CP84" s="214">
        <f>CP72</f>
        <v>1185</v>
      </c>
      <c r="CQ84" s="214">
        <f t="shared" si="47"/>
        <v>1200</v>
      </c>
      <c r="CR84" s="214">
        <f t="shared" si="47"/>
        <v>1150</v>
      </c>
      <c r="CS84" s="214">
        <f t="shared" si="47"/>
        <v>1150</v>
      </c>
      <c r="CT84" s="214">
        <f t="shared" si="47"/>
        <v>1120</v>
      </c>
      <c r="CU84" s="214">
        <f t="shared" si="47"/>
        <v>1050</v>
      </c>
      <c r="CV84" s="214">
        <f t="shared" si="47"/>
        <v>1005</v>
      </c>
      <c r="CW84" s="214">
        <f t="shared" si="47"/>
        <v>997</v>
      </c>
      <c r="CX84" s="214">
        <f t="shared" si="47"/>
        <v>997</v>
      </c>
      <c r="CY84" s="214">
        <f t="shared" si="47"/>
        <v>997</v>
      </c>
      <c r="CZ84" s="214">
        <f t="shared" si="47"/>
        <v>982.5</v>
      </c>
      <c r="DA84" s="214">
        <f t="shared" si="47"/>
        <v>975</v>
      </c>
      <c r="DB84" s="214">
        <f t="shared" si="47"/>
        <v>975</v>
      </c>
      <c r="DC84" s="214">
        <f t="shared" si="47"/>
        <v>960</v>
      </c>
      <c r="DD84" s="214">
        <f t="shared" si="47"/>
        <v>1000</v>
      </c>
      <c r="DE84" s="214">
        <f t="shared" si="47"/>
        <v>1000</v>
      </c>
      <c r="DF84" s="214">
        <f t="shared" si="47"/>
        <v>1070</v>
      </c>
      <c r="DG84" s="214">
        <f t="shared" si="47"/>
        <v>1025</v>
      </c>
      <c r="DH84" s="214">
        <f t="shared" si="47"/>
        <v>1025</v>
      </c>
      <c r="DI84" s="214">
        <f t="shared" si="47"/>
        <v>1025</v>
      </c>
      <c r="DJ84" s="214">
        <f t="shared" si="47"/>
        <v>1030</v>
      </c>
      <c r="DK84" s="214">
        <f t="shared" si="47"/>
        <v>1005</v>
      </c>
      <c r="DL84" s="214">
        <f t="shared" si="47"/>
        <v>1000</v>
      </c>
      <c r="DM84" s="214">
        <f t="shared" si="47"/>
        <v>1000</v>
      </c>
      <c r="DN84" s="214">
        <f>DN72</f>
        <v>980</v>
      </c>
      <c r="DO84" s="214">
        <f>DO72</f>
        <v>960</v>
      </c>
      <c r="DP84" s="214">
        <f>DP72</f>
        <v>880</v>
      </c>
      <c r="DQ84" s="178"/>
      <c r="DR84" s="178"/>
    </row>
    <row r="85" spans="1:124 16384:16384" ht="36">
      <c r="A85" s="178" t="str">
        <f t="shared" si="43"/>
        <v>Mono ethylene GlycolUSD</v>
      </c>
      <c r="B85" s="273" t="s">
        <v>125</v>
      </c>
      <c r="C85" s="178" t="s">
        <v>126</v>
      </c>
      <c r="D85" s="178" t="s">
        <v>33</v>
      </c>
      <c r="E85" s="178" t="s">
        <v>32</v>
      </c>
      <c r="F85" s="262">
        <v>585</v>
      </c>
      <c r="G85" s="262">
        <v>525</v>
      </c>
      <c r="H85" s="262">
        <v>405</v>
      </c>
      <c r="I85" s="262">
        <v>390</v>
      </c>
      <c r="J85" s="262">
        <v>407.5</v>
      </c>
      <c r="K85" s="262">
        <v>420</v>
      </c>
      <c r="L85" s="262">
        <v>420</v>
      </c>
      <c r="M85" s="262">
        <v>445</v>
      </c>
      <c r="N85" s="262">
        <v>472.5</v>
      </c>
      <c r="O85" s="262">
        <v>480</v>
      </c>
      <c r="P85" s="262">
        <v>472.5</v>
      </c>
      <c r="Q85" s="262">
        <v>507.5</v>
      </c>
      <c r="R85" s="262">
        <v>597.5</v>
      </c>
      <c r="S85" s="262">
        <v>735</v>
      </c>
      <c r="T85" s="262">
        <v>750</v>
      </c>
      <c r="U85" s="178">
        <v>653</v>
      </c>
      <c r="V85" s="178">
        <v>640</v>
      </c>
      <c r="W85" s="178">
        <v>635</v>
      </c>
      <c r="X85" s="178">
        <v>695</v>
      </c>
      <c r="Y85" s="178">
        <v>670</v>
      </c>
      <c r="Z85" s="178">
        <v>705</v>
      </c>
      <c r="AA85" s="178">
        <v>900</v>
      </c>
      <c r="AB85" s="178">
        <v>715</v>
      </c>
      <c r="AC85" s="178">
        <v>640</v>
      </c>
      <c r="AD85" s="178">
        <v>690</v>
      </c>
      <c r="AE85" s="178">
        <v>697.5</v>
      </c>
      <c r="AF85" s="178">
        <v>680</v>
      </c>
      <c r="AG85" s="178">
        <v>650</v>
      </c>
      <c r="AH85" s="178">
        <v>622.5</v>
      </c>
      <c r="AI85" s="178">
        <v>632.5</v>
      </c>
      <c r="AJ85" s="178">
        <v>540</v>
      </c>
      <c r="AK85" s="178">
        <v>500</v>
      </c>
      <c r="AL85" s="178">
        <v>520</v>
      </c>
      <c r="AM85" s="178">
        <v>470</v>
      </c>
      <c r="AN85" s="178">
        <v>457.5</v>
      </c>
      <c r="AO85" s="178">
        <v>482.5</v>
      </c>
      <c r="AP85" s="178">
        <v>510</v>
      </c>
      <c r="AQ85" s="178">
        <v>520</v>
      </c>
      <c r="AR85" s="178">
        <v>505</v>
      </c>
      <c r="AS85" s="178">
        <v>512.5</v>
      </c>
      <c r="AT85" s="178">
        <v>495</v>
      </c>
      <c r="AU85" s="178">
        <v>455</v>
      </c>
      <c r="AV85" s="178">
        <v>455</v>
      </c>
      <c r="AW85" s="178">
        <v>455</v>
      </c>
      <c r="AX85" s="214">
        <v>455</v>
      </c>
      <c r="AY85" s="214">
        <v>455</v>
      </c>
      <c r="AZ85" s="214">
        <v>475</v>
      </c>
      <c r="BA85" s="214">
        <v>475</v>
      </c>
      <c r="BB85" s="214">
        <v>475</v>
      </c>
      <c r="BC85" s="214">
        <v>475</v>
      </c>
      <c r="BD85" s="214">
        <v>465</v>
      </c>
      <c r="BE85" s="214">
        <v>497.5</v>
      </c>
      <c r="BF85" s="214">
        <v>497.5</v>
      </c>
      <c r="BG85" s="214">
        <v>497.5</v>
      </c>
      <c r="BH85" s="214">
        <v>497.5</v>
      </c>
      <c r="BI85" s="214">
        <v>497.5</v>
      </c>
      <c r="BJ85" s="214">
        <v>497.5</v>
      </c>
      <c r="BK85" s="214">
        <v>462.5</v>
      </c>
      <c r="BL85" s="214">
        <v>462.5</v>
      </c>
      <c r="BM85" s="214">
        <v>462.5</v>
      </c>
      <c r="BN85" s="214">
        <v>462.5</v>
      </c>
      <c r="BO85" s="214">
        <v>485</v>
      </c>
      <c r="BP85" s="214">
        <v>485</v>
      </c>
      <c r="BQ85" s="214">
        <v>485</v>
      </c>
      <c r="BR85" s="214">
        <v>485</v>
      </c>
      <c r="BS85" s="214">
        <v>485</v>
      </c>
      <c r="BT85" s="214">
        <v>485</v>
      </c>
      <c r="BU85" s="214">
        <v>485</v>
      </c>
      <c r="BV85" s="214">
        <v>485</v>
      </c>
      <c r="BW85" s="214">
        <v>542.5</v>
      </c>
      <c r="BX85" s="214">
        <v>542.5</v>
      </c>
      <c r="BY85" s="214">
        <v>542.5</v>
      </c>
      <c r="BZ85" s="214">
        <v>547.5</v>
      </c>
      <c r="CA85" s="214">
        <v>547.5</v>
      </c>
      <c r="CB85" s="214">
        <v>547.5</v>
      </c>
      <c r="CC85" s="214">
        <v>547.5</v>
      </c>
      <c r="CD85" s="214">
        <v>547.5</v>
      </c>
      <c r="CE85" s="214">
        <v>530</v>
      </c>
      <c r="CF85" s="214">
        <v>530</v>
      </c>
      <c r="CG85" s="214">
        <v>530</v>
      </c>
      <c r="CH85" s="214">
        <v>530</v>
      </c>
      <c r="CI85" s="214">
        <v>517.5</v>
      </c>
      <c r="CJ85" s="214">
        <v>517.5</v>
      </c>
      <c r="CK85" s="214">
        <v>517.5</v>
      </c>
      <c r="CL85" s="214">
        <v>517.5</v>
      </c>
      <c r="CM85" s="214">
        <v>517.5</v>
      </c>
      <c r="CN85" s="214">
        <v>517.5</v>
      </c>
      <c r="CO85" s="214">
        <v>525</v>
      </c>
      <c r="CP85" s="214">
        <v>525</v>
      </c>
      <c r="CQ85" s="214">
        <v>525</v>
      </c>
      <c r="CR85" s="214">
        <v>517.5</v>
      </c>
      <c r="CS85" s="214">
        <v>517.5</v>
      </c>
      <c r="CT85" s="214">
        <v>517.5</v>
      </c>
      <c r="CU85" s="214">
        <v>517.5</v>
      </c>
      <c r="CV85" s="214">
        <v>550</v>
      </c>
      <c r="CW85" s="214">
        <v>550</v>
      </c>
      <c r="CX85" s="214">
        <v>550</v>
      </c>
      <c r="CY85" s="214">
        <v>550</v>
      </c>
      <c r="CZ85" s="214">
        <v>547.5</v>
      </c>
      <c r="DA85" s="214">
        <v>547.5</v>
      </c>
      <c r="DB85" s="214">
        <v>547.5</v>
      </c>
      <c r="DC85" s="214">
        <v>547.5</v>
      </c>
      <c r="DD85" s="214">
        <v>547.5</v>
      </c>
      <c r="DE85" s="214">
        <v>532.5</v>
      </c>
      <c r="DF85" s="214">
        <v>532.5</v>
      </c>
      <c r="DG85" s="214">
        <v>532.5</v>
      </c>
      <c r="DH85" s="214">
        <v>532.5</v>
      </c>
      <c r="DI85" s="214">
        <v>532.5</v>
      </c>
      <c r="DJ85" s="214">
        <v>555</v>
      </c>
      <c r="DK85" s="214">
        <v>555</v>
      </c>
      <c r="DL85" s="214">
        <v>535</v>
      </c>
      <c r="DM85" s="214">
        <v>535</v>
      </c>
      <c r="DN85" s="214">
        <v>535</v>
      </c>
      <c r="DO85" s="214">
        <v>535</v>
      </c>
      <c r="DP85" s="214">
        <v>550</v>
      </c>
      <c r="DQ85" s="178"/>
      <c r="DR85" s="178"/>
    </row>
    <row r="86" spans="1:124 16384:16384">
      <c r="A86" s="178" t="str">
        <f t="shared" si="43"/>
        <v>MethanolUSD</v>
      </c>
      <c r="B86" s="178" t="s">
        <v>46</v>
      </c>
      <c r="C86" s="178" t="s">
        <v>36</v>
      </c>
      <c r="D86" s="178" t="s">
        <v>33</v>
      </c>
      <c r="E86" s="178" t="s">
        <v>32</v>
      </c>
      <c r="F86" s="178"/>
      <c r="G86" s="178"/>
      <c r="H86" s="178"/>
      <c r="I86" s="178"/>
      <c r="J86" s="178"/>
      <c r="K86" s="178"/>
      <c r="L86" s="178"/>
      <c r="M86" s="178"/>
      <c r="N86" s="178"/>
      <c r="O86" s="178"/>
      <c r="P86" s="178"/>
      <c r="Q86" s="178"/>
      <c r="R86" s="178"/>
      <c r="S86" s="178"/>
      <c r="T86" s="178"/>
      <c r="U86" s="178"/>
      <c r="V86" s="178"/>
      <c r="W86" s="178"/>
      <c r="X86" s="178"/>
      <c r="Y86" s="178">
        <v>386.9</v>
      </c>
      <c r="Z86" s="178">
        <v>408.1</v>
      </c>
      <c r="AA86" s="178">
        <v>492.5</v>
      </c>
      <c r="AB86" s="178">
        <v>446.9</v>
      </c>
      <c r="AC86" s="178">
        <v>426.3</v>
      </c>
      <c r="AD86" s="178">
        <v>404.8</v>
      </c>
      <c r="AE86" s="178">
        <v>412.5</v>
      </c>
      <c r="AF86" s="178">
        <v>453.8</v>
      </c>
      <c r="AG86" s="178">
        <v>447.5</v>
      </c>
      <c r="AH86" s="178">
        <v>416.9</v>
      </c>
      <c r="AI86" s="178">
        <v>391.1</v>
      </c>
      <c r="AJ86" s="178">
        <v>358.5</v>
      </c>
      <c r="AK86" s="178">
        <v>353.1</v>
      </c>
      <c r="AL86" s="178">
        <v>362</v>
      </c>
      <c r="AM86" s="178">
        <v>367.5</v>
      </c>
      <c r="AN86" s="178">
        <v>361.9</v>
      </c>
      <c r="AO86" s="178">
        <v>359.9</v>
      </c>
      <c r="AP86" s="178">
        <v>388.5</v>
      </c>
      <c r="AQ86" s="178">
        <v>376.3</v>
      </c>
      <c r="AR86" s="178">
        <v>361</v>
      </c>
      <c r="AS86" s="178">
        <v>353.1</v>
      </c>
      <c r="AT86" s="178">
        <v>331.9</v>
      </c>
      <c r="AU86" s="178">
        <v>294.3</v>
      </c>
      <c r="AV86" s="178">
        <v>283.5</v>
      </c>
      <c r="AW86" s="178">
        <v>290</v>
      </c>
      <c r="AX86" s="214">
        <v>287</v>
      </c>
      <c r="AY86" s="214">
        <v>284</v>
      </c>
      <c r="AZ86" s="214">
        <v>286</v>
      </c>
      <c r="BA86" s="214">
        <v>286</v>
      </c>
      <c r="BB86" s="214">
        <v>281.89999999999998</v>
      </c>
      <c r="BC86" s="214">
        <v>292.5</v>
      </c>
      <c r="BD86" s="214">
        <v>296.3</v>
      </c>
      <c r="BE86" s="214">
        <v>306.5</v>
      </c>
      <c r="BF86" s="214">
        <v>347.5</v>
      </c>
      <c r="BG86" s="214">
        <v>347.5</v>
      </c>
      <c r="BH86" s="214">
        <v>350</v>
      </c>
      <c r="BI86" s="214">
        <v>350</v>
      </c>
      <c r="BJ86" s="214">
        <v>340</v>
      </c>
      <c r="BK86" s="214">
        <v>340</v>
      </c>
      <c r="BL86" s="214">
        <v>340</v>
      </c>
      <c r="BM86" s="214">
        <v>335</v>
      </c>
      <c r="BN86" s="214">
        <v>335</v>
      </c>
      <c r="BO86" s="214">
        <v>337.5</v>
      </c>
      <c r="BP86" s="214">
        <v>335</v>
      </c>
      <c r="BQ86" s="214">
        <v>334</v>
      </c>
      <c r="BR86" s="214">
        <v>328.5</v>
      </c>
      <c r="BS86" s="214">
        <v>337.5</v>
      </c>
      <c r="BT86" s="214">
        <v>338.8</v>
      </c>
      <c r="BU86" s="214">
        <v>340</v>
      </c>
      <c r="BV86" s="214">
        <v>340</v>
      </c>
      <c r="BW86" s="214">
        <v>352.5</v>
      </c>
      <c r="BX86" s="214">
        <v>352.5</v>
      </c>
      <c r="BY86" s="214">
        <v>352.5</v>
      </c>
      <c r="BZ86" s="214">
        <v>352</v>
      </c>
      <c r="CA86" s="214">
        <v>352.5</v>
      </c>
      <c r="CB86" s="214">
        <v>350</v>
      </c>
      <c r="CC86" s="214">
        <v>345</v>
      </c>
      <c r="CD86" s="214">
        <v>340</v>
      </c>
      <c r="CE86" s="214">
        <v>340</v>
      </c>
      <c r="CF86" s="214">
        <v>340.5</v>
      </c>
      <c r="CG86" s="214">
        <v>340.5</v>
      </c>
      <c r="CH86" s="214">
        <v>340.5</v>
      </c>
      <c r="CI86" s="214">
        <v>344.5</v>
      </c>
      <c r="CJ86" s="214">
        <v>357.5</v>
      </c>
      <c r="CK86" s="214">
        <v>360</v>
      </c>
      <c r="CL86" s="214">
        <v>360</v>
      </c>
      <c r="CM86" s="214">
        <v>360</v>
      </c>
      <c r="CN86" s="214">
        <v>364</v>
      </c>
      <c r="CO86" s="214">
        <v>362</v>
      </c>
      <c r="CP86" s="214">
        <v>357.5</v>
      </c>
      <c r="CQ86" s="214">
        <v>352.5</v>
      </c>
      <c r="CR86" s="214">
        <v>352.5</v>
      </c>
      <c r="CS86" s="214">
        <v>350</v>
      </c>
      <c r="CT86" s="214">
        <v>350</v>
      </c>
      <c r="CU86" s="214">
        <v>347</v>
      </c>
      <c r="CV86" s="214">
        <v>347</v>
      </c>
      <c r="CW86" s="214">
        <v>346</v>
      </c>
      <c r="CX86" s="214">
        <v>346</v>
      </c>
      <c r="CY86" s="214">
        <v>346</v>
      </c>
      <c r="CZ86" s="214">
        <v>346</v>
      </c>
      <c r="DA86" s="214">
        <v>345</v>
      </c>
      <c r="DB86" s="214">
        <v>345</v>
      </c>
      <c r="DC86" s="214">
        <v>342.5</v>
      </c>
      <c r="DD86" s="214">
        <v>345</v>
      </c>
      <c r="DE86" s="214">
        <v>345</v>
      </c>
      <c r="DF86" s="214">
        <v>345</v>
      </c>
      <c r="DG86" s="214">
        <v>345</v>
      </c>
      <c r="DH86" s="214">
        <v>342.5</v>
      </c>
      <c r="DI86" s="214">
        <v>345</v>
      </c>
      <c r="DJ86" s="214">
        <v>345</v>
      </c>
      <c r="DK86" s="214">
        <v>345</v>
      </c>
      <c r="DL86" s="214">
        <v>345</v>
      </c>
      <c r="DM86" s="214">
        <v>345</v>
      </c>
      <c r="DN86" s="214">
        <v>345</v>
      </c>
      <c r="DO86" s="214">
        <v>345</v>
      </c>
      <c r="DP86" s="214">
        <v>347.5</v>
      </c>
      <c r="DQ86" s="178"/>
      <c r="DR86" s="178"/>
    </row>
    <row r="87" spans="1:124 16384:16384">
      <c r="A87" s="178" t="str">
        <f t="shared" si="43"/>
        <v>Soy Oil IndoreINR</v>
      </c>
      <c r="B87" s="178" t="s">
        <v>127</v>
      </c>
      <c r="C87" s="178" t="s">
        <v>128</v>
      </c>
      <c r="D87" s="178" t="s">
        <v>43</v>
      </c>
      <c r="E87" s="178" t="s">
        <v>32</v>
      </c>
      <c r="F87" s="266">
        <v>918.53846153846155</v>
      </c>
      <c r="G87" s="266">
        <v>842.60869565217388</v>
      </c>
      <c r="H87" s="266">
        <v>804.4</v>
      </c>
      <c r="I87" s="266">
        <v>849.4</v>
      </c>
      <c r="J87" s="266">
        <v>805.65384615384619</v>
      </c>
      <c r="K87" s="266">
        <v>829.03846153846155</v>
      </c>
      <c r="L87" s="266">
        <v>835.40740740740739</v>
      </c>
      <c r="M87" s="266">
        <v>871.86956521739125</v>
      </c>
      <c r="N87" s="266">
        <v>906.57692307692309</v>
      </c>
      <c r="O87" s="266">
        <v>947.96153846153845</v>
      </c>
      <c r="P87" s="266">
        <v>1041.875</v>
      </c>
      <c r="Q87" s="266">
        <v>1098.3461538461538</v>
      </c>
      <c r="R87" s="266">
        <v>1149.8399999999999</v>
      </c>
      <c r="S87" s="266">
        <v>1143.5416666666667</v>
      </c>
      <c r="T87" s="266">
        <v>1263.2</v>
      </c>
      <c r="U87" s="266">
        <v>1385.4</v>
      </c>
      <c r="V87" s="266">
        <v>1468.8</v>
      </c>
      <c r="W87" s="266">
        <v>1345.1923076923076</v>
      </c>
      <c r="X87" s="266">
        <v>1368.5185185185185</v>
      </c>
      <c r="Y87" s="266">
        <v>1423.8</v>
      </c>
      <c r="Z87" s="266">
        <v>1373.2692307692307</v>
      </c>
      <c r="AA87" s="266">
        <v>1332.4</v>
      </c>
      <c r="AB87" s="266">
        <v>1262.1739130434783</v>
      </c>
      <c r="AC87" s="266">
        <v>1200.5555555555557</v>
      </c>
      <c r="AD87" s="266">
        <v>1213.9583333333333</v>
      </c>
      <c r="AE87" s="266">
        <v>1349.1666666666667</v>
      </c>
      <c r="AF87" s="266">
        <v>1566.4</v>
      </c>
      <c r="AG87" s="266">
        <v>1559.8076923076924</v>
      </c>
      <c r="AH87" s="266">
        <v>1577.8846153846155</v>
      </c>
      <c r="AI87" s="266">
        <v>1449.6153846153845</v>
      </c>
      <c r="AJ87" s="266">
        <v>1260.3846153846155</v>
      </c>
      <c r="AK87" s="266">
        <v>1247.2916666666667</v>
      </c>
      <c r="AL87" s="266">
        <v>1163.0769230769231</v>
      </c>
      <c r="AM87" s="266">
        <v>1222.5</v>
      </c>
      <c r="AN87" s="178">
        <v>1371</v>
      </c>
      <c r="AO87" s="178">
        <v>1257</v>
      </c>
      <c r="AP87" s="178">
        <v>1256</v>
      </c>
      <c r="AQ87" s="178">
        <v>1165</v>
      </c>
      <c r="AR87" s="178">
        <v>1079</v>
      </c>
      <c r="AS87" s="178">
        <v>1065</v>
      </c>
      <c r="AT87" s="178">
        <v>935</v>
      </c>
      <c r="AU87" s="178">
        <v>926</v>
      </c>
      <c r="AV87" s="178">
        <v>950</v>
      </c>
      <c r="AW87" s="178">
        <v>940</v>
      </c>
      <c r="AX87" s="214">
        <v>940</v>
      </c>
      <c r="AY87" s="214">
        <v>940</v>
      </c>
      <c r="AZ87" s="214">
        <v>940</v>
      </c>
      <c r="BA87" s="214">
        <v>940</v>
      </c>
      <c r="BB87" s="178">
        <v>925</v>
      </c>
      <c r="BC87" s="214">
        <v>930</v>
      </c>
      <c r="BD87" s="214">
        <v>930</v>
      </c>
      <c r="BE87" s="214">
        <v>900</v>
      </c>
      <c r="BF87" s="214">
        <v>880</v>
      </c>
      <c r="BG87" s="214">
        <v>880</v>
      </c>
      <c r="BH87" s="214">
        <v>86</v>
      </c>
      <c r="BI87" s="214">
        <v>92</v>
      </c>
      <c r="BJ87" s="214">
        <v>88.5</v>
      </c>
      <c r="BK87" s="214">
        <v>88.5</v>
      </c>
      <c r="BL87" s="214">
        <v>91</v>
      </c>
      <c r="BM87" s="214">
        <v>93</v>
      </c>
      <c r="BN87" s="214">
        <v>93</v>
      </c>
      <c r="BO87" s="178">
        <f>BO65</f>
        <v>96</v>
      </c>
      <c r="BP87" s="214">
        <f>BP65</f>
        <v>92</v>
      </c>
      <c r="BQ87" s="214">
        <f>BQ65</f>
        <v>92</v>
      </c>
      <c r="BR87" s="214">
        <f>BR65</f>
        <v>88.5</v>
      </c>
      <c r="BS87" s="214">
        <f>BS65</f>
        <v>88</v>
      </c>
      <c r="BT87" s="214">
        <v>91</v>
      </c>
      <c r="BU87" s="214">
        <v>93</v>
      </c>
      <c r="BV87" s="214">
        <v>93</v>
      </c>
      <c r="BW87" s="214">
        <v>89</v>
      </c>
      <c r="BX87" s="214">
        <v>91</v>
      </c>
      <c r="BY87" s="214">
        <v>91</v>
      </c>
      <c r="BZ87" s="214">
        <v>91</v>
      </c>
      <c r="CA87" s="214">
        <v>91</v>
      </c>
      <c r="CB87" s="214">
        <f>CB65</f>
        <v>95</v>
      </c>
      <c r="CC87" s="214">
        <f t="shared" ref="CC87:DP87" si="48">CC65</f>
        <v>102</v>
      </c>
      <c r="CD87" s="214">
        <f t="shared" si="48"/>
        <v>100</v>
      </c>
      <c r="CE87" s="214">
        <f t="shared" si="48"/>
        <v>98.5</v>
      </c>
      <c r="CF87" s="214">
        <f t="shared" si="48"/>
        <v>98.5</v>
      </c>
      <c r="CG87" s="214">
        <f t="shared" si="48"/>
        <v>98.5</v>
      </c>
      <c r="CH87" s="214">
        <f t="shared" si="48"/>
        <v>98.5</v>
      </c>
      <c r="CI87" s="214">
        <f t="shared" si="48"/>
        <v>92.5</v>
      </c>
      <c r="CJ87" s="214">
        <f t="shared" si="48"/>
        <v>89.5</v>
      </c>
      <c r="CK87" s="214">
        <f t="shared" si="48"/>
        <v>94</v>
      </c>
      <c r="CL87" s="214">
        <f t="shared" si="48"/>
        <v>95</v>
      </c>
      <c r="CM87" s="214">
        <f t="shared" si="48"/>
        <v>95</v>
      </c>
      <c r="CN87" s="214">
        <f t="shared" si="48"/>
        <v>95</v>
      </c>
      <c r="CO87" s="214">
        <f t="shared" si="48"/>
        <v>97.5</v>
      </c>
      <c r="CP87" s="214">
        <f t="shared" si="48"/>
        <v>96.5</v>
      </c>
      <c r="CQ87" s="214">
        <f t="shared" si="48"/>
        <v>96</v>
      </c>
      <c r="CR87" s="214">
        <f t="shared" si="48"/>
        <v>97.5</v>
      </c>
      <c r="CS87" s="214">
        <f t="shared" si="48"/>
        <v>97</v>
      </c>
      <c r="CT87" s="214">
        <f t="shared" si="48"/>
        <v>95.5</v>
      </c>
      <c r="CU87" s="214">
        <f t="shared" si="48"/>
        <v>95</v>
      </c>
      <c r="CV87" s="214">
        <f t="shared" si="48"/>
        <v>95</v>
      </c>
      <c r="CW87" s="214">
        <f t="shared" si="48"/>
        <v>94.5</v>
      </c>
      <c r="CX87" s="214">
        <f t="shared" si="48"/>
        <v>95</v>
      </c>
      <c r="CY87" s="214">
        <f t="shared" si="48"/>
        <v>95</v>
      </c>
      <c r="CZ87" s="214">
        <f t="shared" si="48"/>
        <v>97</v>
      </c>
      <c r="DA87" s="214">
        <f t="shared" si="48"/>
        <v>98</v>
      </c>
      <c r="DB87" s="214">
        <f t="shared" si="48"/>
        <v>102</v>
      </c>
      <c r="DC87" s="214">
        <f t="shared" si="48"/>
        <v>102</v>
      </c>
      <c r="DD87" s="214">
        <f t="shared" si="48"/>
        <v>102</v>
      </c>
      <c r="DE87" s="214">
        <f t="shared" si="48"/>
        <v>125</v>
      </c>
      <c r="DF87" s="214">
        <f t="shared" si="48"/>
        <v>123</v>
      </c>
      <c r="DG87" s="214">
        <f t="shared" si="48"/>
        <v>125</v>
      </c>
      <c r="DH87" s="214">
        <f t="shared" si="48"/>
        <v>129</v>
      </c>
      <c r="DI87" s="214">
        <f t="shared" si="48"/>
        <v>135</v>
      </c>
      <c r="DJ87" s="214">
        <f t="shared" si="48"/>
        <v>135</v>
      </c>
      <c r="DK87" s="214">
        <f t="shared" si="48"/>
        <v>128.5</v>
      </c>
      <c r="DL87" s="214">
        <f t="shared" si="48"/>
        <v>128.5</v>
      </c>
      <c r="DM87" s="214">
        <v>129</v>
      </c>
      <c r="DN87" s="214">
        <f t="shared" si="48"/>
        <v>125</v>
      </c>
      <c r="DO87" s="214">
        <f t="shared" si="48"/>
        <v>122.5</v>
      </c>
      <c r="DP87" s="214">
        <f t="shared" si="48"/>
        <v>121</v>
      </c>
      <c r="DQ87" s="178"/>
      <c r="DR87" s="178"/>
    </row>
    <row r="88" spans="1:124 16384:16384">
      <c r="A88" s="178" t="str">
        <f t="shared" si="43"/>
        <v>Soy Oil IndoreUSD</v>
      </c>
      <c r="B88" s="178" t="s">
        <v>127</v>
      </c>
      <c r="C88" s="178" t="s">
        <v>128</v>
      </c>
      <c r="D88" s="178" t="s">
        <v>33</v>
      </c>
      <c r="E88" s="178" t="s">
        <v>32</v>
      </c>
      <c r="F88" s="266">
        <f>F87/F1</f>
        <v>12.884781077711617</v>
      </c>
      <c r="G88" s="266">
        <f t="shared" ref="G88:Q88" si="49">G87/G1</f>
        <v>11.776261615001191</v>
      </c>
      <c r="H88" s="266">
        <f t="shared" si="49"/>
        <v>10.804130529272584</v>
      </c>
      <c r="I88" s="266">
        <f t="shared" si="49"/>
        <v>11.139435463797358</v>
      </c>
      <c r="J88" s="266">
        <f t="shared" si="49"/>
        <v>10.653098141667247</v>
      </c>
      <c r="K88" s="266">
        <f t="shared" si="49"/>
        <v>10.944997424790119</v>
      </c>
      <c r="L88" s="266">
        <f t="shared" si="49"/>
        <v>11.150028639523622</v>
      </c>
      <c r="M88" s="266">
        <f t="shared" si="49"/>
        <v>11.68931327930663</v>
      </c>
      <c r="N88" s="266">
        <f t="shared" si="49"/>
        <v>12.328700316791787</v>
      </c>
      <c r="O88" s="266">
        <f t="shared" si="49"/>
        <v>12.894425217507997</v>
      </c>
      <c r="P88" s="266">
        <f t="shared" si="49"/>
        <v>14.03535186596257</v>
      </c>
      <c r="Q88" s="266">
        <f t="shared" si="49"/>
        <v>14.896512574824705</v>
      </c>
      <c r="R88" s="266">
        <f t="shared" ref="R88:AY88" si="50">R87/R1</f>
        <v>15.723232599480378</v>
      </c>
      <c r="S88" s="266">
        <f t="shared" si="50"/>
        <v>15.707989926739929</v>
      </c>
      <c r="T88" s="266">
        <f t="shared" si="50"/>
        <v>17.351648351648354</v>
      </c>
      <c r="U88" s="266">
        <f t="shared" si="50"/>
        <v>18.608462055070518</v>
      </c>
      <c r="V88" s="266">
        <f t="shared" si="50"/>
        <v>20.051877133105801</v>
      </c>
      <c r="W88" s="266">
        <f t="shared" si="50"/>
        <v>18.291981339302524</v>
      </c>
      <c r="X88" s="266">
        <f t="shared" si="50"/>
        <v>18.361982000785165</v>
      </c>
      <c r="Y88" s="266">
        <f t="shared" si="50"/>
        <v>19.199029126213592</v>
      </c>
      <c r="Z88" s="266">
        <f t="shared" si="50"/>
        <v>18.671233593055483</v>
      </c>
      <c r="AA88" s="266">
        <f t="shared" si="50"/>
        <v>17.786677346148714</v>
      </c>
      <c r="AB88" s="266">
        <f t="shared" si="50"/>
        <v>16.948756721411016</v>
      </c>
      <c r="AC88" s="266">
        <f t="shared" si="50"/>
        <v>15.918265122720175</v>
      </c>
      <c r="AD88" s="266">
        <f t="shared" si="50"/>
        <v>16.305686142825159</v>
      </c>
      <c r="AE88" s="266">
        <f t="shared" si="50"/>
        <v>17.998488082532909</v>
      </c>
      <c r="AF88" s="266">
        <f t="shared" si="50"/>
        <v>20.553733105891617</v>
      </c>
      <c r="AG88" s="266">
        <f t="shared" si="50"/>
        <v>20.413518848453041</v>
      </c>
      <c r="AH88" s="266">
        <f t="shared" si="50"/>
        <v>20.407390206188762</v>
      </c>
      <c r="AI88" s="266">
        <f t="shared" si="50"/>
        <v>18.567060306348392</v>
      </c>
      <c r="AJ88" s="266">
        <f t="shared" si="50"/>
        <v>15.833668787673158</v>
      </c>
      <c r="AK88" s="266">
        <f t="shared" si="50"/>
        <v>15.679946597564207</v>
      </c>
      <c r="AL88" s="266">
        <f t="shared" ref="AL88:AV88" si="51">AL87/AL1</f>
        <v>14.496502400660715</v>
      </c>
      <c r="AM88" s="266">
        <f t="shared" si="51"/>
        <v>14.84695491687223</v>
      </c>
      <c r="AN88" s="266">
        <f t="shared" si="51"/>
        <v>16.758236177452787</v>
      </c>
      <c r="AO88" s="266">
        <f t="shared" si="51"/>
        <v>15.242975644476529</v>
      </c>
      <c r="AP88" s="266">
        <f t="shared" si="51"/>
        <v>15.335852019493791</v>
      </c>
      <c r="AQ88" s="266">
        <f t="shared" si="51"/>
        <v>14.186271220804745</v>
      </c>
      <c r="AR88" s="266">
        <f t="shared" si="51"/>
        <v>13.139044332401991</v>
      </c>
      <c r="AS88" s="266">
        <f t="shared" si="51"/>
        <v>12.968565536615497</v>
      </c>
      <c r="AT88" s="266">
        <f t="shared" si="51"/>
        <v>11.385548147169473</v>
      </c>
      <c r="AU88" s="266">
        <f t="shared" si="51"/>
        <v>11.224242424242425</v>
      </c>
      <c r="AV88" s="266">
        <f t="shared" si="51"/>
        <v>11.523532265890346</v>
      </c>
      <c r="AW88" s="266">
        <f t="shared" si="50"/>
        <v>11.438306157215866</v>
      </c>
      <c r="AX88" s="216">
        <f t="shared" si="50"/>
        <v>11.474609375</v>
      </c>
      <c r="AY88" s="216">
        <f t="shared" si="50"/>
        <v>11.427182105519085</v>
      </c>
      <c r="AZ88" s="216">
        <f t="shared" ref="AZ88:DK88" si="52">AZ87/AZ1</f>
        <v>11.348545213087046</v>
      </c>
      <c r="BA88" s="216">
        <f t="shared" si="52"/>
        <v>11.291291291291291</v>
      </c>
      <c r="BB88" s="216">
        <f t="shared" si="52"/>
        <v>11.111111111111111</v>
      </c>
      <c r="BC88" s="216">
        <f t="shared" si="52"/>
        <v>11.252268602540834</v>
      </c>
      <c r="BD88" s="216">
        <f t="shared" si="52"/>
        <v>11.19807344972908</v>
      </c>
      <c r="BE88" s="216">
        <f>BE87/BE1</f>
        <v>10.851217747769471</v>
      </c>
      <c r="BF88" s="216">
        <f t="shared" si="52"/>
        <v>10.611358977450861</v>
      </c>
      <c r="BG88" s="216">
        <f t="shared" si="52"/>
        <v>10.569300984866683</v>
      </c>
      <c r="BH88" s="216">
        <f t="shared" si="52"/>
        <v>1.0334054313866858</v>
      </c>
      <c r="BI88" s="216">
        <f t="shared" si="52"/>
        <v>1.1051051051051051</v>
      </c>
      <c r="BJ88" s="216">
        <f t="shared" si="52"/>
        <v>1.0647256977863329</v>
      </c>
      <c r="BK88" s="216">
        <f t="shared" si="52"/>
        <v>1.0629353831371606</v>
      </c>
      <c r="BL88" s="216">
        <f t="shared" si="52"/>
        <v>1.0934871425138188</v>
      </c>
      <c r="BM88" s="216">
        <f t="shared" si="52"/>
        <v>1.1179228272628923</v>
      </c>
      <c r="BN88" s="216">
        <f t="shared" si="52"/>
        <v>1.1179228272628923</v>
      </c>
      <c r="BO88" s="216">
        <f t="shared" si="52"/>
        <v>1.1520460818432738</v>
      </c>
      <c r="BP88" s="216">
        <f t="shared" si="52"/>
        <v>1.1031175059952039</v>
      </c>
      <c r="BQ88" s="216">
        <f t="shared" si="52"/>
        <v>1.1036468330134357</v>
      </c>
      <c r="BR88" s="216">
        <f t="shared" si="52"/>
        <v>1.0631907736665065</v>
      </c>
      <c r="BS88" s="216">
        <f t="shared" si="52"/>
        <v>1.0561689870379261</v>
      </c>
      <c r="BT88" s="216">
        <f t="shared" si="52"/>
        <v>1.0945393312484966</v>
      </c>
      <c r="BU88" s="216">
        <f t="shared" si="52"/>
        <v>1.1184606133493686</v>
      </c>
      <c r="BV88" s="216">
        <f t="shared" si="52"/>
        <v>1.117117117117117</v>
      </c>
      <c r="BW88" s="216">
        <f t="shared" si="52"/>
        <v>1.0715145677823259</v>
      </c>
      <c r="BX88" s="216">
        <f t="shared" si="52"/>
        <v>1.0963855421686748</v>
      </c>
      <c r="BY88" s="216">
        <f t="shared" si="52"/>
        <v>1.09625346343814</v>
      </c>
      <c r="BZ88" s="216">
        <f t="shared" si="52"/>
        <v>1.0977080820265379</v>
      </c>
      <c r="CA88" s="216">
        <f t="shared" si="52"/>
        <v>1.0977080820265379</v>
      </c>
      <c r="CB88" s="216">
        <f t="shared" si="52"/>
        <v>1.1487303506650544</v>
      </c>
      <c r="CC88" s="216">
        <f t="shared" si="52"/>
        <v>1.2324794586756886</v>
      </c>
      <c r="CD88" s="216">
        <f t="shared" si="52"/>
        <v>1.2010569300984866</v>
      </c>
      <c r="CE88" s="216">
        <f t="shared" si="52"/>
        <v>1.181196786185394</v>
      </c>
      <c r="CF88" s="216">
        <f t="shared" si="52"/>
        <v>1.1837519528902778</v>
      </c>
      <c r="CG88" s="216">
        <f t="shared" si="52"/>
        <v>1.1810551558752997</v>
      </c>
      <c r="CH88" s="216">
        <f t="shared" si="52"/>
        <v>1.178088745365387</v>
      </c>
      <c r="CI88" s="216">
        <f t="shared" si="52"/>
        <v>1.1088467993286981</v>
      </c>
      <c r="CJ88" s="216">
        <f t="shared" si="52"/>
        <v>1.0718562874251496</v>
      </c>
      <c r="CK88" s="216">
        <f t="shared" si="52"/>
        <v>1.1277744451109779</v>
      </c>
      <c r="CL88" s="216">
        <f t="shared" si="52"/>
        <v>1.139772045590882</v>
      </c>
      <c r="CM88" s="216">
        <f t="shared" si="52"/>
        <v>1.139772045590882</v>
      </c>
      <c r="CN88" s="216">
        <f t="shared" si="52"/>
        <v>1.139772045590882</v>
      </c>
      <c r="CO88" s="216">
        <f t="shared" si="52"/>
        <v>1.1622362617713673</v>
      </c>
      <c r="CP88" s="216">
        <f t="shared" si="52"/>
        <v>1.1570743405275778</v>
      </c>
      <c r="CQ88" s="216">
        <f t="shared" si="52"/>
        <v>1.1497005988023952</v>
      </c>
      <c r="CR88" s="216">
        <f t="shared" si="52"/>
        <v>1.1683642899940083</v>
      </c>
      <c r="CS88" s="216">
        <f t="shared" si="52"/>
        <v>1.1620941655684678</v>
      </c>
      <c r="CT88" s="216">
        <f t="shared" si="52"/>
        <v>1.1430281268701377</v>
      </c>
      <c r="CU88" s="216">
        <f t="shared" si="52"/>
        <v>1.135005973715651</v>
      </c>
      <c r="CV88" s="216">
        <f t="shared" si="52"/>
        <v>1.1345993072972649</v>
      </c>
      <c r="CW88" s="216">
        <f t="shared" si="52"/>
        <v>1.1256700416914829</v>
      </c>
      <c r="CX88" s="216">
        <f t="shared" si="52"/>
        <v>1.1314911862791805</v>
      </c>
      <c r="CY88" s="216">
        <f t="shared" si="52"/>
        <v>1.132300357568534</v>
      </c>
      <c r="CZ88" s="216">
        <f t="shared" si="52"/>
        <v>1.1562760758135653</v>
      </c>
      <c r="DA88" s="216">
        <f t="shared" si="52"/>
        <v>1.1672224868985233</v>
      </c>
      <c r="DB88" s="216">
        <f t="shared" si="52"/>
        <v>1.2148642210576466</v>
      </c>
      <c r="DC88" s="216">
        <f t="shared" si="52"/>
        <v>1.2203876525484565</v>
      </c>
      <c r="DD88" s="216">
        <f t="shared" si="52"/>
        <v>1.2192206550322735</v>
      </c>
      <c r="DE88" s="216">
        <f t="shared" si="52"/>
        <v>1.4886268905561511</v>
      </c>
      <c r="DF88" s="216">
        <f t="shared" si="52"/>
        <v>1.4630664922088736</v>
      </c>
      <c r="DG88" s="216">
        <f t="shared" si="52"/>
        <v>1.4868561912691807</v>
      </c>
      <c r="DH88" s="216">
        <f t="shared" si="52"/>
        <v>1.5342530922930542</v>
      </c>
      <c r="DI88" s="216">
        <f t="shared" si="52"/>
        <v>1.6048502139800285</v>
      </c>
      <c r="DJ88" s="216">
        <f t="shared" si="52"/>
        <v>1.5995260663507107</v>
      </c>
      <c r="DK88" s="216">
        <f t="shared" si="52"/>
        <v>1.5248605672243978</v>
      </c>
      <c r="DL88" s="216">
        <f>DL87/DL1</f>
        <v>1.5183740990192605</v>
      </c>
      <c r="DM88" s="216">
        <f>DM87/DM1</f>
        <v>1.5232022670917464</v>
      </c>
      <c r="DN88" s="216">
        <f>DN87/DN1</f>
        <v>1.4735353059059295</v>
      </c>
      <c r="DO88" s="216">
        <f>DO87/DO1</f>
        <v>1.4425341497880357</v>
      </c>
      <c r="DP88" s="216">
        <f>DP87/DP1</f>
        <v>1.4205212491195116</v>
      </c>
      <c r="DQ88" s="178"/>
      <c r="DR88" s="178"/>
    </row>
    <row r="89" spans="1:124 16384:16384">
      <c r="A89" s="178" t="str">
        <f t="shared" si="43"/>
        <v>Ethylene-NAUSD</v>
      </c>
      <c r="B89" s="178" t="s">
        <v>129</v>
      </c>
      <c r="C89" s="178" t="s">
        <v>130</v>
      </c>
      <c r="D89" s="178" t="s">
        <v>33</v>
      </c>
      <c r="E89" s="178" t="s">
        <v>32</v>
      </c>
      <c r="F89" s="266">
        <v>567.67999999999995</v>
      </c>
      <c r="G89" s="178">
        <v>529.1</v>
      </c>
      <c r="H89" s="178">
        <v>479.5</v>
      </c>
      <c r="I89" s="266">
        <v>451.94</v>
      </c>
      <c r="J89" s="178">
        <v>529.1</v>
      </c>
      <c r="K89" s="266">
        <v>540.13</v>
      </c>
      <c r="L89" s="266">
        <v>562.16999999999996</v>
      </c>
      <c r="M89" s="266">
        <v>611.78</v>
      </c>
      <c r="N89" s="266">
        <v>683.43</v>
      </c>
      <c r="O89" s="266">
        <v>666.89</v>
      </c>
      <c r="P89" s="266">
        <v>639.33000000000004</v>
      </c>
      <c r="Q89" s="266">
        <v>688.94</v>
      </c>
      <c r="R89" s="266">
        <v>832.24</v>
      </c>
      <c r="S89" s="266">
        <v>837.75</v>
      </c>
      <c r="T89" s="267">
        <v>1036</v>
      </c>
      <c r="U89" s="267">
        <v>1042</v>
      </c>
      <c r="V89" s="266">
        <v>832.24</v>
      </c>
      <c r="W89" s="266">
        <v>755.08</v>
      </c>
      <c r="X89" s="266">
        <v>997.58</v>
      </c>
      <c r="Y89" s="266">
        <v>975.54</v>
      </c>
      <c r="Z89" s="266">
        <v>947.98</v>
      </c>
      <c r="AA89" s="266">
        <v>925.93</v>
      </c>
      <c r="AB89" s="266">
        <v>920.42</v>
      </c>
      <c r="AC89" s="266">
        <v>837.75</v>
      </c>
      <c r="AD89" s="266">
        <v>953.49</v>
      </c>
      <c r="AE89" s="266">
        <v>964.51</v>
      </c>
      <c r="AF89" s="178">
        <v>909.4</v>
      </c>
      <c r="AG89" s="266">
        <v>848.77</v>
      </c>
      <c r="AH89" s="266">
        <v>925.93</v>
      </c>
      <c r="AI89" s="266">
        <v>936.95</v>
      </c>
      <c r="AJ89" s="266">
        <v>843.26</v>
      </c>
      <c r="AK89" s="266">
        <v>881.84</v>
      </c>
      <c r="AL89" s="266">
        <v>821.21</v>
      </c>
      <c r="AM89" s="266">
        <v>744.05</v>
      </c>
      <c r="AN89" s="266">
        <v>749.56</v>
      </c>
      <c r="AO89" s="266">
        <v>716.49</v>
      </c>
      <c r="AP89" s="266">
        <v>688.94</v>
      </c>
      <c r="AQ89" s="266">
        <v>683.43</v>
      </c>
      <c r="AR89" s="266">
        <v>661.38</v>
      </c>
      <c r="AS89" s="266">
        <v>655.87</v>
      </c>
      <c r="AT89" s="266">
        <v>606.26</v>
      </c>
      <c r="AU89" s="266">
        <v>595.24</v>
      </c>
      <c r="AV89" s="266">
        <v>595.24</v>
      </c>
      <c r="AW89" s="266">
        <v>595.24</v>
      </c>
      <c r="AX89" s="214">
        <v>595.24</v>
      </c>
      <c r="AY89" s="214">
        <v>595.24</v>
      </c>
      <c r="AZ89" s="214">
        <v>655.87</v>
      </c>
      <c r="BA89" s="214">
        <v>655.87</v>
      </c>
      <c r="BB89" s="214">
        <v>655.87</v>
      </c>
      <c r="BC89" s="214">
        <v>655.87</v>
      </c>
      <c r="BD89" s="214">
        <v>655.87</v>
      </c>
      <c r="BE89" s="214">
        <v>655.87</v>
      </c>
      <c r="BF89" s="214">
        <v>655.87</v>
      </c>
      <c r="BG89" s="214">
        <v>655.87</v>
      </c>
      <c r="BH89" s="214">
        <v>655.87</v>
      </c>
      <c r="BI89" s="214">
        <v>705.47</v>
      </c>
      <c r="BJ89" s="214">
        <v>705.47</v>
      </c>
      <c r="BK89" s="214">
        <v>705.47</v>
      </c>
      <c r="BL89" s="214">
        <v>705.47</v>
      </c>
      <c r="BM89" s="178">
        <v>650.36</v>
      </c>
      <c r="BN89" s="178">
        <v>650.36</v>
      </c>
      <c r="BO89" s="178">
        <v>650.36</v>
      </c>
      <c r="BP89" s="214">
        <v>650.36</v>
      </c>
      <c r="BQ89" s="214">
        <v>650.36</v>
      </c>
      <c r="BR89" s="214">
        <v>650.36</v>
      </c>
      <c r="BS89" s="214">
        <v>650.36</v>
      </c>
      <c r="BT89" s="214">
        <v>638.30999999999995</v>
      </c>
      <c r="BU89" s="214">
        <v>638.30999999999995</v>
      </c>
      <c r="BV89" s="214">
        <v>638.30999999999995</v>
      </c>
      <c r="BW89" s="214">
        <v>650.36</v>
      </c>
      <c r="BX89" s="214">
        <v>650.36</v>
      </c>
      <c r="BY89" s="214">
        <v>650.36</v>
      </c>
      <c r="BZ89" s="214">
        <v>650.36</v>
      </c>
      <c r="CA89" s="214">
        <v>650.36</v>
      </c>
      <c r="CB89" s="214">
        <v>644.85</v>
      </c>
      <c r="CC89" s="214">
        <v>644.85</v>
      </c>
      <c r="CD89" s="214">
        <v>644.85</v>
      </c>
      <c r="CE89" s="214">
        <v>644.85</v>
      </c>
      <c r="CF89" s="214">
        <v>622.79999999999995</v>
      </c>
      <c r="CG89" s="214">
        <v>622.79999999999995</v>
      </c>
      <c r="CH89" s="214">
        <v>622.79999999999995</v>
      </c>
      <c r="CI89" s="214">
        <v>639.33000000000004</v>
      </c>
      <c r="CJ89" s="214">
        <v>639.33000000000004</v>
      </c>
      <c r="CK89" s="214">
        <v>639.33000000000004</v>
      </c>
      <c r="CL89" s="214">
        <v>639.33000000000004</v>
      </c>
      <c r="CM89" s="214">
        <v>639.33000000000004</v>
      </c>
      <c r="CN89" s="214">
        <v>639.33000000000004</v>
      </c>
      <c r="CO89" s="214">
        <v>639.33000000000004</v>
      </c>
      <c r="CP89" s="214">
        <v>644.85</v>
      </c>
      <c r="CQ89" s="214">
        <v>644.85</v>
      </c>
      <c r="CR89" s="214">
        <v>683.43</v>
      </c>
      <c r="CS89" s="214">
        <v>683.43</v>
      </c>
      <c r="CT89" s="214">
        <v>683.43</v>
      </c>
      <c r="CU89" s="214">
        <v>683.43</v>
      </c>
      <c r="CV89" s="214">
        <v>683.43</v>
      </c>
      <c r="CW89" s="214">
        <v>710.98</v>
      </c>
      <c r="CX89" s="214">
        <v>710.98</v>
      </c>
      <c r="CY89" s="214">
        <v>710.98</v>
      </c>
      <c r="CZ89" s="214">
        <v>710.98</v>
      </c>
      <c r="DA89" s="214">
        <v>727.52</v>
      </c>
      <c r="DB89" s="214">
        <v>727.52</v>
      </c>
      <c r="DC89" s="214">
        <v>727.52</v>
      </c>
      <c r="DD89" s="214">
        <v>727.52</v>
      </c>
      <c r="DE89" s="214">
        <v>755.08</v>
      </c>
      <c r="DF89" s="214">
        <v>755.08</v>
      </c>
      <c r="DG89" s="214">
        <v>755.08</v>
      </c>
      <c r="DH89" s="214">
        <v>755.08</v>
      </c>
      <c r="DI89" s="214">
        <v>755.08</v>
      </c>
      <c r="DJ89" s="214">
        <v>688.94</v>
      </c>
      <c r="DK89" s="214">
        <v>688.94</v>
      </c>
      <c r="DL89" s="214">
        <v>688.94</v>
      </c>
      <c r="DM89" s="214">
        <v>688.94</v>
      </c>
      <c r="DN89" s="214">
        <v>694.45</v>
      </c>
      <c r="DO89" s="214">
        <v>694.45</v>
      </c>
      <c r="DP89" s="214">
        <v>694.45</v>
      </c>
      <c r="DQ89" s="178"/>
      <c r="DR89" s="178"/>
    </row>
    <row r="90" spans="1:124 16384:16384">
      <c r="A90" s="178" t="str">
        <f t="shared" si="43"/>
        <v>DEAUSD</v>
      </c>
      <c r="B90" s="178" t="s">
        <v>46</v>
      </c>
      <c r="C90" s="178" t="s">
        <v>131</v>
      </c>
      <c r="D90" s="178" t="s">
        <v>33</v>
      </c>
      <c r="E90" s="178" t="s">
        <v>32</v>
      </c>
      <c r="F90" s="178"/>
      <c r="G90" s="178"/>
      <c r="H90" s="178"/>
      <c r="I90" s="178"/>
      <c r="J90" s="178"/>
      <c r="K90" s="178"/>
      <c r="L90" s="178"/>
      <c r="M90" s="178"/>
      <c r="N90" s="178"/>
      <c r="O90" s="178"/>
      <c r="P90" s="178"/>
      <c r="Q90" s="178"/>
      <c r="R90" s="178"/>
      <c r="S90" s="178"/>
      <c r="T90" s="178"/>
      <c r="U90" s="178"/>
      <c r="V90" s="178"/>
      <c r="W90" s="178"/>
      <c r="X90" s="178"/>
      <c r="Y90" s="178">
        <v>1251.25</v>
      </c>
      <c r="Z90" s="178">
        <v>1230</v>
      </c>
      <c r="AA90" s="178">
        <v>1307.5</v>
      </c>
      <c r="AB90" s="178">
        <v>1325</v>
      </c>
      <c r="AC90" s="178">
        <v>1301.25</v>
      </c>
      <c r="AD90" s="178">
        <v>1275</v>
      </c>
      <c r="AE90" s="178">
        <v>1291.6669999999999</v>
      </c>
      <c r="AF90" s="178">
        <v>1345</v>
      </c>
      <c r="AG90" s="178">
        <v>1375</v>
      </c>
      <c r="AH90" s="178">
        <v>1412.5</v>
      </c>
      <c r="AI90" s="178">
        <v>1308</v>
      </c>
      <c r="AJ90" s="178">
        <v>1232.5</v>
      </c>
      <c r="AK90" s="178">
        <v>1159</v>
      </c>
      <c r="AL90" s="178">
        <v>1081.25</v>
      </c>
      <c r="AM90" s="178">
        <v>1048.75</v>
      </c>
      <c r="AN90" s="178">
        <v>1040</v>
      </c>
      <c r="AO90" s="178">
        <v>1040</v>
      </c>
      <c r="AP90" s="178">
        <v>1040</v>
      </c>
      <c r="AQ90" s="178">
        <v>1116.25</v>
      </c>
      <c r="AR90" s="178">
        <v>1230</v>
      </c>
      <c r="AS90" s="178">
        <v>1250</v>
      </c>
      <c r="AT90" s="178">
        <v>1195</v>
      </c>
      <c r="AU90" s="178">
        <v>1175</v>
      </c>
      <c r="AV90" s="178">
        <v>1175</v>
      </c>
      <c r="AW90" s="178">
        <v>1175</v>
      </c>
      <c r="AX90" s="214">
        <v>1125</v>
      </c>
      <c r="AY90" s="214">
        <v>1125</v>
      </c>
      <c r="AZ90" s="214">
        <v>1000</v>
      </c>
      <c r="BA90" s="214">
        <v>1000</v>
      </c>
      <c r="BB90" s="214">
        <v>1000</v>
      </c>
      <c r="BC90" s="214">
        <v>1000</v>
      </c>
      <c r="BD90" s="214">
        <v>1025</v>
      </c>
      <c r="BE90" s="214">
        <v>1025</v>
      </c>
      <c r="BF90" s="214">
        <v>1225</v>
      </c>
      <c r="BG90" s="214">
        <v>1225</v>
      </c>
      <c r="BH90" s="214">
        <v>1200</v>
      </c>
      <c r="BI90" s="214">
        <v>1200</v>
      </c>
      <c r="BJ90" s="214">
        <v>1200</v>
      </c>
      <c r="BK90" s="214">
        <v>1200</v>
      </c>
      <c r="BL90" s="214">
        <v>1200</v>
      </c>
      <c r="BM90" s="214">
        <v>1150</v>
      </c>
      <c r="BN90" s="214">
        <v>1150</v>
      </c>
      <c r="BO90" s="214">
        <v>1125</v>
      </c>
      <c r="BP90" s="214">
        <v>1125</v>
      </c>
      <c r="BQ90" s="214">
        <v>1125</v>
      </c>
      <c r="BR90" s="214">
        <v>1125</v>
      </c>
      <c r="BS90" s="214">
        <v>1125</v>
      </c>
      <c r="BT90" s="214">
        <v>1125</v>
      </c>
      <c r="BU90" s="214">
        <v>1125</v>
      </c>
      <c r="BV90" s="214">
        <v>1125</v>
      </c>
      <c r="BW90" s="214">
        <v>1125</v>
      </c>
      <c r="BX90" s="214">
        <v>1125</v>
      </c>
      <c r="BY90" s="214">
        <v>1125</v>
      </c>
      <c r="BZ90" s="214">
        <v>1125</v>
      </c>
      <c r="CA90" s="214">
        <v>1050</v>
      </c>
      <c r="CB90" s="214">
        <v>1050</v>
      </c>
      <c r="CC90" s="214">
        <v>1050</v>
      </c>
      <c r="CD90" s="214">
        <v>1050</v>
      </c>
      <c r="CE90" s="214">
        <v>1100</v>
      </c>
      <c r="CF90" s="214">
        <v>1100</v>
      </c>
      <c r="CG90" s="214">
        <v>1100</v>
      </c>
      <c r="CH90" s="214">
        <v>1150</v>
      </c>
      <c r="CI90" s="214">
        <v>1150</v>
      </c>
      <c r="CJ90" s="214">
        <v>1150</v>
      </c>
      <c r="CK90" s="214">
        <v>1150</v>
      </c>
      <c r="CL90" s="214">
        <v>1150</v>
      </c>
      <c r="CM90" s="214">
        <v>1150</v>
      </c>
      <c r="CN90" s="214">
        <v>1150</v>
      </c>
      <c r="CO90" s="214">
        <v>1150</v>
      </c>
      <c r="CP90" s="214">
        <v>1100</v>
      </c>
      <c r="CQ90" s="214">
        <v>1075</v>
      </c>
      <c r="CR90" s="214">
        <v>1075</v>
      </c>
      <c r="CS90" s="214">
        <v>1075</v>
      </c>
      <c r="CT90" s="214">
        <v>900</v>
      </c>
      <c r="CU90" s="214">
        <v>900</v>
      </c>
      <c r="CV90" s="214">
        <v>900</v>
      </c>
      <c r="CW90" s="214">
        <v>900</v>
      </c>
      <c r="CX90" s="214">
        <v>900</v>
      </c>
      <c r="CY90" s="214">
        <v>850</v>
      </c>
      <c r="CZ90" s="214">
        <v>850</v>
      </c>
      <c r="DA90" s="214">
        <v>850</v>
      </c>
      <c r="DB90" s="214">
        <v>850</v>
      </c>
      <c r="DC90" s="214">
        <v>850</v>
      </c>
      <c r="DD90" s="214">
        <v>850</v>
      </c>
      <c r="DE90" s="214">
        <v>850</v>
      </c>
      <c r="DF90" s="214">
        <v>850</v>
      </c>
      <c r="DG90" s="214">
        <v>850</v>
      </c>
      <c r="DH90" s="214">
        <v>850</v>
      </c>
      <c r="DI90" s="214">
        <v>800</v>
      </c>
      <c r="DJ90" s="214">
        <v>800</v>
      </c>
      <c r="DK90" s="214">
        <v>800</v>
      </c>
      <c r="DL90" s="214">
        <v>800</v>
      </c>
      <c r="DM90" s="214">
        <v>800</v>
      </c>
      <c r="DN90" s="214">
        <v>800</v>
      </c>
      <c r="DO90" s="214">
        <v>675</v>
      </c>
      <c r="DP90" s="214">
        <v>675</v>
      </c>
      <c r="DQ90" s="178"/>
      <c r="DR90" s="178"/>
    </row>
    <row r="91" spans="1:124 16384:16384">
      <c r="A91" s="178" t="str">
        <f t="shared" si="43"/>
        <v>Aniline-CHINAUSD</v>
      </c>
      <c r="B91" s="178" t="s">
        <v>29</v>
      </c>
      <c r="C91" s="178" t="s">
        <v>116</v>
      </c>
      <c r="D91" s="178" t="s">
        <v>33</v>
      </c>
      <c r="E91" s="178" t="s">
        <v>32</v>
      </c>
      <c r="F91" s="216">
        <f>(((F76/1.13)/F3)/1000)</f>
        <v>0.82924335626169965</v>
      </c>
      <c r="G91" s="216">
        <f t="shared" ref="G91:BR91" si="53">(((G76/1.13)/G3)/1000)</f>
        <v>0.82269660455391691</v>
      </c>
      <c r="H91" s="216">
        <f t="shared" si="53"/>
        <v>0.83299794770233271</v>
      </c>
      <c r="I91" s="216">
        <f t="shared" si="53"/>
        <v>0.70590577831421075</v>
      </c>
      <c r="J91" s="216">
        <f t="shared" si="53"/>
        <v>0.59516163350045803</v>
      </c>
      <c r="K91" s="216">
        <f t="shared" si="53"/>
        <v>0.55527576037870674</v>
      </c>
      <c r="L91" s="216">
        <f t="shared" si="53"/>
        <v>0.55400701549966669</v>
      </c>
      <c r="M91" s="216">
        <f t="shared" si="53"/>
        <v>0.55564945600626048</v>
      </c>
      <c r="N91" s="216">
        <f t="shared" si="53"/>
        <v>0.56470597127503586</v>
      </c>
      <c r="O91" s="216">
        <f t="shared" si="53"/>
        <v>0.70080318656531215</v>
      </c>
      <c r="P91" s="216">
        <f t="shared" si="53"/>
        <v>0.94159943084333564</v>
      </c>
      <c r="Q91" s="216">
        <f t="shared" si="53"/>
        <v>1.0505403874703378</v>
      </c>
      <c r="R91" s="216">
        <f t="shared" si="53"/>
        <v>1.0876597293709844</v>
      </c>
      <c r="S91" s="216">
        <f t="shared" si="53"/>
        <v>1.3302599761673821</v>
      </c>
      <c r="T91" s="216">
        <f t="shared" si="53"/>
        <v>1.7439540988796183</v>
      </c>
      <c r="U91" s="216">
        <f t="shared" si="53"/>
        <v>1.5053885445837389</v>
      </c>
      <c r="V91" s="216">
        <f t="shared" si="53"/>
        <v>1.5205401425376142</v>
      </c>
      <c r="W91" s="216">
        <f t="shared" si="53"/>
        <v>1.3156747849282875</v>
      </c>
      <c r="X91" s="216">
        <f t="shared" si="53"/>
        <v>1.3822040813643226</v>
      </c>
      <c r="Y91" s="216">
        <f t="shared" si="53"/>
        <v>1.4649498924128199</v>
      </c>
      <c r="Z91" s="216">
        <f t="shared" si="53"/>
        <v>1.5006881585930321</v>
      </c>
      <c r="AA91" s="216">
        <f t="shared" si="53"/>
        <v>1.8286801479964094</v>
      </c>
      <c r="AB91" s="216">
        <f t="shared" si="53"/>
        <v>1.8351815624183518</v>
      </c>
      <c r="AC91" s="216">
        <f t="shared" si="53"/>
        <v>1.3306150192561172</v>
      </c>
      <c r="AD91" s="216">
        <f t="shared" si="53"/>
        <v>1.5446728056617136</v>
      </c>
      <c r="AE91" s="216">
        <f t="shared" si="53"/>
        <v>1.837994734279738</v>
      </c>
      <c r="AF91" s="216">
        <f t="shared" si="53"/>
        <v>1.7717260824655929</v>
      </c>
      <c r="AG91" s="216">
        <f t="shared" si="53"/>
        <v>1.5899341221181358</v>
      </c>
      <c r="AH91" s="216">
        <f t="shared" si="53"/>
        <v>1.4368593620678682</v>
      </c>
      <c r="AI91" s="216">
        <f t="shared" si="53"/>
        <v>1.5599305118260276</v>
      </c>
      <c r="AJ91" s="216">
        <f t="shared" si="53"/>
        <v>1.5284191752572451</v>
      </c>
      <c r="AK91" s="216">
        <f t="shared" si="53"/>
        <v>1.3265859695520972</v>
      </c>
      <c r="AL91" s="216">
        <f t="shared" ref="AL91:AV91" si="54">(((AL76/1.13)/AL3)/1000)</f>
        <v>1.5169959151582031</v>
      </c>
      <c r="AM91" s="216">
        <f t="shared" si="54"/>
        <v>1.5898054648729594</v>
      </c>
      <c r="AN91" s="216">
        <f t="shared" si="54"/>
        <v>1.4479368865823559</v>
      </c>
      <c r="AO91" s="216">
        <f t="shared" si="54"/>
        <v>1.3080850046113366</v>
      </c>
      <c r="AP91" s="216">
        <f t="shared" si="54"/>
        <v>1.2908743580838045</v>
      </c>
      <c r="AQ91" s="216">
        <f t="shared" si="54"/>
        <v>1.5571667835392669</v>
      </c>
      <c r="AR91" s="216">
        <f t="shared" si="54"/>
        <v>1.6608480881002745</v>
      </c>
      <c r="AS91" s="216">
        <f t="shared" si="54"/>
        <v>1.3839474934816396</v>
      </c>
      <c r="AT91" s="216">
        <f t="shared" si="54"/>
        <v>1.4193280378655322</v>
      </c>
      <c r="AU91" s="216">
        <f t="shared" si="54"/>
        <v>1.3525941349991326</v>
      </c>
      <c r="AV91" s="216">
        <f t="shared" si="54"/>
        <v>1.1565456209948124</v>
      </c>
      <c r="AW91" s="216">
        <f t="shared" si="53"/>
        <v>1.1565456209948124</v>
      </c>
      <c r="AX91" s="216">
        <f t="shared" si="53"/>
        <v>1.2061209439528022</v>
      </c>
      <c r="AY91" s="216">
        <f t="shared" si="53"/>
        <v>1.2207438579119996</v>
      </c>
      <c r="AZ91" s="216">
        <f t="shared" si="53"/>
        <v>1.3127455660412002</v>
      </c>
      <c r="BA91" s="216">
        <f t="shared" si="53"/>
        <v>1.356282942386581</v>
      </c>
      <c r="BB91" s="216">
        <f t="shared" si="53"/>
        <v>1.3707709676244584</v>
      </c>
      <c r="BC91" s="216">
        <f t="shared" si="53"/>
        <v>1.3555968292120377</v>
      </c>
      <c r="BD91" s="216">
        <f t="shared" si="53"/>
        <v>1.4557582654383017</v>
      </c>
      <c r="BE91" s="216">
        <f t="shared" si="53"/>
        <v>1.6114934993991044</v>
      </c>
      <c r="BF91" s="216">
        <f t="shared" si="53"/>
        <v>1.6092859740574619</v>
      </c>
      <c r="BG91" s="216">
        <f t="shared" si="53"/>
        <v>1.6638380409746638</v>
      </c>
      <c r="BH91" s="216">
        <f t="shared" si="53"/>
        <v>1.6638380409746638</v>
      </c>
      <c r="BI91" s="216">
        <f t="shared" si="53"/>
        <v>1.6869469026548676</v>
      </c>
      <c r="BJ91" s="216">
        <f t="shared" si="53"/>
        <v>1.3952277762308878</v>
      </c>
      <c r="BK91" s="216">
        <f t="shared" si="53"/>
        <v>1.3933217273562553</v>
      </c>
      <c r="BL91" s="216">
        <f t="shared" si="53"/>
        <v>1.4424657033998372</v>
      </c>
      <c r="BM91" s="216">
        <f t="shared" si="53"/>
        <v>1.5541578292986178</v>
      </c>
      <c r="BN91" s="216">
        <f t="shared" si="53"/>
        <v>1.5541578292986178</v>
      </c>
      <c r="BO91" s="216">
        <f t="shared" si="53"/>
        <v>1.5891811043250657</v>
      </c>
      <c r="BP91" s="216">
        <f t="shared" si="53"/>
        <v>1.3757715475570762</v>
      </c>
      <c r="BQ91" s="216">
        <f t="shared" si="53"/>
        <v>1.3230650174120351</v>
      </c>
      <c r="BR91" s="216">
        <f t="shared" si="53"/>
        <v>1.2948821090414011</v>
      </c>
      <c r="BS91" s="216">
        <f t="shared" ref="BS91:DT91" si="55">(((BS76/1.13)/BS3)/1000)</f>
        <v>1.3651909082966163</v>
      </c>
      <c r="BT91" s="216">
        <f t="shared" si="55"/>
        <v>1.3726162283435126</v>
      </c>
      <c r="BU91" s="216">
        <f t="shared" si="55"/>
        <v>1.2884831110557149</v>
      </c>
      <c r="BV91" s="216">
        <f t="shared" si="55"/>
        <v>1.2879710649298994</v>
      </c>
      <c r="BW91" s="216">
        <f t="shared" si="55"/>
        <v>1.2975617041932714</v>
      </c>
      <c r="BX91" s="216">
        <f t="shared" si="55"/>
        <v>1.3675740263619731</v>
      </c>
      <c r="BY91" s="216">
        <f t="shared" si="55"/>
        <v>1.3523576255123266</v>
      </c>
      <c r="BZ91" s="216">
        <f t="shared" si="55"/>
        <v>1.3511598096975377</v>
      </c>
      <c r="CA91" s="216">
        <f t="shared" si="55"/>
        <v>1.3504793510324484</v>
      </c>
      <c r="CB91" s="216">
        <f t="shared" si="55"/>
        <v>1.2951081612586037</v>
      </c>
      <c r="CC91" s="216">
        <f t="shared" si="55"/>
        <v>1.2925530603692659</v>
      </c>
      <c r="CD91" s="216">
        <f t="shared" si="55"/>
        <v>1.4018336479297921</v>
      </c>
      <c r="CE91" s="216">
        <f t="shared" si="55"/>
        <v>1.4265780486909265</v>
      </c>
      <c r="CF91" s="216">
        <f t="shared" si="55"/>
        <v>1.5352085092840793</v>
      </c>
      <c r="CG91" s="216">
        <f t="shared" si="55"/>
        <v>1.5330880555419741</v>
      </c>
      <c r="CH91" s="216">
        <f t="shared" si="55"/>
        <v>1.5330880555419741</v>
      </c>
      <c r="CI91" s="216">
        <f t="shared" si="55"/>
        <v>1.5025301911699995</v>
      </c>
      <c r="CJ91" s="216">
        <f t="shared" si="55"/>
        <v>1.4290010187424056</v>
      </c>
      <c r="CK91" s="216">
        <f t="shared" si="55"/>
        <v>1.3790866473273848</v>
      </c>
      <c r="CL91" s="216">
        <f t="shared" si="55"/>
        <v>1.3790866473273848</v>
      </c>
      <c r="CM91" s="216">
        <f t="shared" si="55"/>
        <v>1.3790866473273848</v>
      </c>
      <c r="CN91" s="216">
        <f t="shared" si="55"/>
        <v>1.3790866473273848</v>
      </c>
      <c r="CO91" s="216">
        <f t="shared" si="55"/>
        <v>1.4810785703808733</v>
      </c>
      <c r="CP91" s="216">
        <f t="shared" si="55"/>
        <v>1.4871901432552681</v>
      </c>
      <c r="CQ91" s="216">
        <f t="shared" si="55"/>
        <v>1.4830932007118653</v>
      </c>
      <c r="CR91" s="216">
        <f t="shared" si="55"/>
        <v>1.3836715316916413</v>
      </c>
      <c r="CS91" s="216">
        <f t="shared" si="55"/>
        <v>1.3441102360287764</v>
      </c>
      <c r="CT91" s="216">
        <f t="shared" si="55"/>
        <v>1.3441102360287764</v>
      </c>
      <c r="CU91" s="216">
        <f t="shared" si="55"/>
        <v>1.2794174851696978</v>
      </c>
      <c r="CV91" s="216">
        <f t="shared" si="55"/>
        <v>1.2025850989608196</v>
      </c>
      <c r="CW91" s="216">
        <f t="shared" si="55"/>
        <v>1.3021315461423584</v>
      </c>
      <c r="CX91" s="216">
        <f t="shared" si="55"/>
        <v>1.300317992456923</v>
      </c>
      <c r="CY91" s="216">
        <f t="shared" si="55"/>
        <v>1.2391855931678941</v>
      </c>
      <c r="CZ91" s="216">
        <f t="shared" si="55"/>
        <v>1.2602217990366305</v>
      </c>
      <c r="DA91" s="216">
        <f t="shared" si="55"/>
        <v>1.3324263264974976</v>
      </c>
      <c r="DB91" s="216">
        <f t="shared" si="55"/>
        <v>1.2991175335747982</v>
      </c>
      <c r="DC91" s="253">
        <f t="shared" si="55"/>
        <v>1.2424477926245334</v>
      </c>
      <c r="DD91" s="279">
        <f t="shared" si="55"/>
        <v>1.2495272672263824</v>
      </c>
      <c r="DE91" s="216">
        <f t="shared" si="55"/>
        <v>1.2684365781710916</v>
      </c>
      <c r="DF91" s="216">
        <f t="shared" si="55"/>
        <v>1.3317899505868591</v>
      </c>
      <c r="DG91" s="216">
        <f t="shared" si="55"/>
        <v>1.214735195919026</v>
      </c>
      <c r="DH91" s="216">
        <f t="shared" si="55"/>
        <v>1.127884782231477</v>
      </c>
      <c r="DI91" s="216">
        <f t="shared" si="55"/>
        <v>1.1326437897514408</v>
      </c>
      <c r="DJ91" s="216">
        <f t="shared" si="55"/>
        <v>1.1628049302929047</v>
      </c>
      <c r="DK91" s="216">
        <f t="shared" si="55"/>
        <v>1.110778369921283</v>
      </c>
      <c r="DL91" s="216">
        <f t="shared" si="55"/>
        <v>1.138131109973427</v>
      </c>
      <c r="DM91" s="216">
        <f t="shared" si="55"/>
        <v>1.1365655926282092</v>
      </c>
      <c r="DN91" s="216">
        <f t="shared" si="55"/>
        <v>1.1594502805808815</v>
      </c>
      <c r="DO91" s="216">
        <f t="shared" si="55"/>
        <v>1.0986076210592763</v>
      </c>
      <c r="DP91" s="216">
        <f t="shared" si="55"/>
        <v>1.1365013941083768</v>
      </c>
      <c r="DQ91" s="216" t="e">
        <f t="shared" si="55"/>
        <v>#DIV/0!</v>
      </c>
      <c r="DR91" s="216" t="e">
        <f t="shared" si="55"/>
        <v>#DIV/0!</v>
      </c>
      <c r="DS91" s="216" t="e">
        <f t="shared" si="55"/>
        <v>#DIV/0!</v>
      </c>
      <c r="DT91" s="216" t="e">
        <f t="shared" si="55"/>
        <v>#DIV/0!</v>
      </c>
    </row>
    <row r="92" spans="1:124 16384:16384">
      <c r="A92" s="178" t="str">
        <f t="shared" si="43"/>
        <v>TEAUSD</v>
      </c>
      <c r="B92" s="178" t="s">
        <v>46</v>
      </c>
      <c r="C92" s="178" t="s">
        <v>132</v>
      </c>
      <c r="D92" s="178" t="s">
        <v>33</v>
      </c>
      <c r="E92" s="178" t="s">
        <v>32</v>
      </c>
      <c r="F92" s="178"/>
      <c r="G92" s="178"/>
      <c r="H92" s="178"/>
      <c r="I92" s="178"/>
      <c r="J92" s="178"/>
      <c r="K92" s="178"/>
      <c r="L92" s="178"/>
      <c r="M92" s="178"/>
      <c r="N92" s="178"/>
      <c r="O92" s="178"/>
      <c r="P92" s="178"/>
      <c r="Q92" s="178"/>
      <c r="R92" s="178"/>
      <c r="S92" s="178"/>
      <c r="T92" s="178"/>
      <c r="U92" s="178"/>
      <c r="V92" s="178"/>
      <c r="W92" s="178"/>
      <c r="X92" s="178"/>
      <c r="Y92" s="178"/>
      <c r="Z92" s="178">
        <v>1325</v>
      </c>
      <c r="AA92" s="178">
        <v>1360</v>
      </c>
      <c r="AB92" s="178">
        <v>1360</v>
      </c>
      <c r="AC92" s="178">
        <v>1317.5</v>
      </c>
      <c r="AD92" s="178">
        <v>1317.5</v>
      </c>
      <c r="AE92" s="178">
        <v>1358.3333333333333</v>
      </c>
      <c r="AF92" s="178">
        <v>1395</v>
      </c>
      <c r="AG92" s="178">
        <v>1450</v>
      </c>
      <c r="AH92" s="178">
        <v>1443.75</v>
      </c>
      <c r="AI92" s="178">
        <v>1365</v>
      </c>
      <c r="AJ92" s="178">
        <v>1325</v>
      </c>
      <c r="AK92" s="178">
        <v>1255</v>
      </c>
      <c r="AL92" s="178">
        <v>1187.5</v>
      </c>
      <c r="AM92" s="178">
        <v>1175</v>
      </c>
      <c r="AN92" s="178">
        <v>1170</v>
      </c>
      <c r="AO92" s="178">
        <v>1083.3333333333333</v>
      </c>
      <c r="AP92" s="178">
        <v>1050</v>
      </c>
      <c r="AQ92" s="178">
        <v>1147.5</v>
      </c>
      <c r="AR92" s="178">
        <v>1300</v>
      </c>
      <c r="AS92" s="178">
        <v>1300</v>
      </c>
      <c r="AT92" s="178">
        <v>1255</v>
      </c>
      <c r="AU92" s="178">
        <v>1225</v>
      </c>
      <c r="AV92" s="178">
        <v>1225</v>
      </c>
      <c r="AW92" s="178">
        <v>1225</v>
      </c>
      <c r="AX92" s="178">
        <v>1225</v>
      </c>
      <c r="AY92" s="178">
        <v>1225</v>
      </c>
      <c r="AZ92" s="178">
        <v>1250</v>
      </c>
      <c r="BA92" s="178">
        <v>1250</v>
      </c>
      <c r="BB92" s="178">
        <v>1275</v>
      </c>
      <c r="BC92" s="178">
        <v>1275</v>
      </c>
      <c r="BD92" s="178">
        <v>1275</v>
      </c>
      <c r="BE92" s="178">
        <v>1275</v>
      </c>
      <c r="BF92" s="214">
        <v>1275</v>
      </c>
      <c r="BG92" s="214">
        <v>1275</v>
      </c>
      <c r="BH92" s="214">
        <v>1250</v>
      </c>
      <c r="BI92" s="214">
        <v>1250</v>
      </c>
      <c r="BJ92" s="214">
        <v>1250</v>
      </c>
      <c r="BK92" s="214">
        <v>1250</v>
      </c>
      <c r="BL92" s="214">
        <v>1250</v>
      </c>
      <c r="BM92" s="214">
        <v>1225</v>
      </c>
      <c r="BN92" s="214">
        <v>1200</v>
      </c>
      <c r="BO92" s="214">
        <v>1200</v>
      </c>
      <c r="BP92" s="214">
        <v>1200</v>
      </c>
      <c r="BQ92" s="214">
        <v>1200</v>
      </c>
      <c r="BR92" s="214">
        <v>1175</v>
      </c>
      <c r="BS92" s="214">
        <v>1175</v>
      </c>
      <c r="BT92" s="214">
        <v>1175</v>
      </c>
      <c r="BU92" s="214">
        <v>1175</v>
      </c>
      <c r="BV92" s="214">
        <v>1175</v>
      </c>
      <c r="BW92" s="214">
        <v>1175</v>
      </c>
      <c r="BX92" s="214">
        <v>1175</v>
      </c>
      <c r="BY92" s="214">
        <v>1175</v>
      </c>
      <c r="BZ92" s="214">
        <v>1175</v>
      </c>
      <c r="CA92" s="214">
        <v>1175</v>
      </c>
      <c r="CB92" s="214">
        <v>1175</v>
      </c>
      <c r="CC92" s="214">
        <v>1175</v>
      </c>
      <c r="CD92" s="214">
        <v>1200</v>
      </c>
      <c r="CE92" s="214">
        <v>1200</v>
      </c>
      <c r="CF92" s="214">
        <v>1200</v>
      </c>
      <c r="CG92" s="214">
        <v>1200</v>
      </c>
      <c r="CH92" s="214">
        <v>1200</v>
      </c>
      <c r="CI92" s="214">
        <v>1300</v>
      </c>
      <c r="CJ92" s="214">
        <v>1300</v>
      </c>
      <c r="CK92" s="214">
        <v>1300</v>
      </c>
      <c r="CL92" s="214">
        <v>1300</v>
      </c>
      <c r="CM92" s="214">
        <v>1300</v>
      </c>
      <c r="CN92" s="214">
        <v>1300</v>
      </c>
      <c r="CO92" s="214">
        <v>1250</v>
      </c>
      <c r="CP92" s="214">
        <v>1200</v>
      </c>
      <c r="CQ92" s="214">
        <v>1175</v>
      </c>
      <c r="CR92" s="214">
        <v>1175</v>
      </c>
      <c r="CS92" s="214">
        <v>1175</v>
      </c>
      <c r="CT92" s="214">
        <v>1050</v>
      </c>
      <c r="CU92" s="214">
        <v>1050</v>
      </c>
      <c r="CV92" s="214">
        <v>1050</v>
      </c>
      <c r="CW92" s="214">
        <v>1100</v>
      </c>
      <c r="CX92" s="214">
        <v>1100</v>
      </c>
      <c r="CY92" s="214">
        <v>1100</v>
      </c>
      <c r="CZ92" s="214">
        <v>1050</v>
      </c>
      <c r="DA92" s="214">
        <v>1050</v>
      </c>
      <c r="DB92" s="214">
        <v>1050</v>
      </c>
      <c r="DC92" s="214">
        <v>1050</v>
      </c>
      <c r="DD92" s="214">
        <v>1050</v>
      </c>
      <c r="DE92" s="214">
        <v>1050</v>
      </c>
      <c r="DF92" s="214">
        <v>1050</v>
      </c>
      <c r="DG92" s="214">
        <v>1050</v>
      </c>
      <c r="DH92" s="214">
        <v>1050</v>
      </c>
      <c r="DI92" s="214">
        <v>1050</v>
      </c>
      <c r="DJ92" s="214">
        <v>1050</v>
      </c>
      <c r="DK92" s="214">
        <v>1050</v>
      </c>
      <c r="DL92" s="214">
        <v>1050</v>
      </c>
      <c r="DM92" s="214">
        <v>1050</v>
      </c>
      <c r="DN92" s="214">
        <v>1050</v>
      </c>
      <c r="DO92" s="214">
        <v>1000</v>
      </c>
      <c r="DP92" s="214">
        <v>1000</v>
      </c>
      <c r="DQ92" s="178"/>
      <c r="DR92" s="178"/>
    </row>
    <row r="93" spans="1:124 16384:16384">
      <c r="A93" s="178" t="str">
        <f t="shared" si="43"/>
        <v>Ethanol FuelUSD</v>
      </c>
      <c r="B93" s="178" t="s">
        <v>133</v>
      </c>
      <c r="C93" s="178" t="s">
        <v>134</v>
      </c>
      <c r="D93" s="178" t="s">
        <v>33</v>
      </c>
      <c r="E93" s="178" t="s">
        <v>135</v>
      </c>
      <c r="F93" s="178"/>
      <c r="G93" s="178"/>
      <c r="H93" s="178"/>
      <c r="I93" s="178"/>
      <c r="J93" s="178"/>
      <c r="K93" s="178"/>
      <c r="L93" s="178"/>
      <c r="M93" s="178"/>
      <c r="N93" s="178"/>
      <c r="O93" s="178"/>
      <c r="P93" s="178"/>
      <c r="Q93" s="178"/>
      <c r="R93" s="178"/>
      <c r="S93" s="178"/>
      <c r="T93" s="178"/>
      <c r="U93" s="178"/>
      <c r="V93" s="178"/>
      <c r="W93" s="178"/>
      <c r="X93" s="178"/>
      <c r="Y93" s="178"/>
      <c r="Z93" s="178">
        <v>2.3975</v>
      </c>
      <c r="AA93" s="178">
        <v>2.6262499999999998</v>
      </c>
      <c r="AB93" s="178">
        <v>3.4068750000000003</v>
      </c>
      <c r="AC93" s="178">
        <v>3.055625</v>
      </c>
      <c r="AD93" s="178">
        <v>2.1431249999999999</v>
      </c>
      <c r="AE93" s="178">
        <v>2.1176249999999999</v>
      </c>
      <c r="AF93" s="178">
        <v>2.4289000000000001</v>
      </c>
      <c r="AG93" s="178">
        <v>2.6710000000000003</v>
      </c>
      <c r="AH93" s="178">
        <v>2.7539375000000001</v>
      </c>
      <c r="AI93" s="178">
        <v>2.7736000000000001</v>
      </c>
      <c r="AJ93" s="178">
        <v>2.5018750000000001</v>
      </c>
      <c r="AK93" s="178">
        <v>2.5189999999999997</v>
      </c>
      <c r="AL93" s="178">
        <v>2.4678749999999998</v>
      </c>
      <c r="AM93" s="178">
        <v>2.4659999999999997</v>
      </c>
      <c r="AN93" s="178">
        <v>2.5499999999999998</v>
      </c>
      <c r="AO93" s="178">
        <v>2.1728333333333332</v>
      </c>
      <c r="AP93" s="178">
        <v>2.1850000000000001</v>
      </c>
      <c r="AQ93" s="178">
        <v>2.1749375</v>
      </c>
      <c r="AR93" s="178">
        <v>2.2358000000000002</v>
      </c>
      <c r="AS93" s="178">
        <v>2.4291875000000003</v>
      </c>
      <c r="AT93" s="178">
        <v>2.4463000000000004</v>
      </c>
      <c r="AU93" s="178">
        <v>2.536</v>
      </c>
      <c r="AV93" s="178">
        <v>2.3264999999999998</v>
      </c>
      <c r="AW93" s="178">
        <v>2.4112499999999999</v>
      </c>
      <c r="AX93" s="178">
        <v>2.54</v>
      </c>
      <c r="AY93" s="178">
        <v>2.42</v>
      </c>
      <c r="AZ93" s="178">
        <v>2.23</v>
      </c>
      <c r="BA93" s="178">
        <v>2.2014999999999998</v>
      </c>
      <c r="BB93" s="178">
        <v>2.1549999999999998</v>
      </c>
      <c r="BC93" s="178">
        <v>2.2669999999999999</v>
      </c>
      <c r="BD93" s="178">
        <v>2.2669999999999999</v>
      </c>
      <c r="BE93" s="178">
        <v>2.4445000000000001</v>
      </c>
      <c r="BF93" s="214">
        <v>2.3424999999999998</v>
      </c>
      <c r="BG93" s="214">
        <v>2.3424999999999998</v>
      </c>
      <c r="BH93" s="214">
        <v>2.3424999999999998</v>
      </c>
      <c r="BI93" s="214">
        <v>2.3424999999999998</v>
      </c>
      <c r="BJ93" s="214">
        <v>2.33</v>
      </c>
      <c r="BK93" s="214">
        <v>2.33</v>
      </c>
      <c r="BL93" s="214">
        <v>2.06</v>
      </c>
      <c r="BM93" s="214">
        <v>2.0299999999999998</v>
      </c>
      <c r="BN93" s="214">
        <v>2.0299999999999998</v>
      </c>
      <c r="BO93" s="214">
        <v>1.982</v>
      </c>
      <c r="BP93" s="214">
        <v>1.91</v>
      </c>
      <c r="BQ93" s="214">
        <v>1.91</v>
      </c>
      <c r="BR93" s="214">
        <v>1.71</v>
      </c>
      <c r="BS93" s="214">
        <v>1.56</v>
      </c>
      <c r="BT93" s="214">
        <v>1.532</v>
      </c>
      <c r="BU93" s="214">
        <v>1.57</v>
      </c>
      <c r="BV93" s="214">
        <v>1.57</v>
      </c>
      <c r="BW93" s="214">
        <v>1.63</v>
      </c>
      <c r="BX93" s="214">
        <v>1.63</v>
      </c>
      <c r="BY93" s="214">
        <v>1.57</v>
      </c>
      <c r="BZ93" s="214">
        <v>1.5</v>
      </c>
      <c r="CA93" s="214">
        <v>1.39</v>
      </c>
      <c r="CB93" s="214">
        <v>1.39</v>
      </c>
      <c r="CC93" s="214">
        <v>1.55</v>
      </c>
      <c r="CD93" s="214">
        <v>1.57</v>
      </c>
      <c r="CE93" s="214">
        <v>1.54</v>
      </c>
      <c r="CF93" s="214">
        <v>1.61</v>
      </c>
      <c r="CG93" s="214">
        <v>1.61</v>
      </c>
      <c r="CH93" s="214">
        <v>1.68</v>
      </c>
      <c r="CI93" s="214">
        <v>1.68</v>
      </c>
      <c r="CJ93" s="214">
        <v>1.6950000000000001</v>
      </c>
      <c r="CK93" s="214">
        <v>1.82</v>
      </c>
      <c r="CL93" s="214">
        <v>1.78</v>
      </c>
      <c r="CM93" s="214">
        <v>1.82</v>
      </c>
      <c r="CN93" s="214">
        <v>1.82</v>
      </c>
      <c r="CO93" s="214">
        <v>1.82</v>
      </c>
      <c r="CP93" s="214">
        <v>1.92</v>
      </c>
      <c r="CQ93" s="214">
        <v>1.97</v>
      </c>
      <c r="CR93" s="214">
        <v>2.12</v>
      </c>
      <c r="CS93" s="214">
        <v>2</v>
      </c>
      <c r="CT93" s="214">
        <v>1.9</v>
      </c>
      <c r="CU93" s="214">
        <v>1.83</v>
      </c>
      <c r="CV93" s="214">
        <v>1.83</v>
      </c>
      <c r="CW93" s="214">
        <v>1.81</v>
      </c>
      <c r="CX93" s="214">
        <v>1.81</v>
      </c>
      <c r="CY93" s="214">
        <v>1.79</v>
      </c>
      <c r="CZ93" s="214">
        <v>1.89</v>
      </c>
      <c r="DA93" s="214">
        <v>1.89</v>
      </c>
      <c r="DB93" s="214">
        <v>1.89</v>
      </c>
      <c r="DC93" s="214">
        <v>1.69</v>
      </c>
      <c r="DD93" s="214">
        <v>1.63</v>
      </c>
      <c r="DE93" s="214">
        <v>1.62</v>
      </c>
      <c r="DF93" s="214">
        <v>1.56</v>
      </c>
      <c r="DG93" s="214">
        <v>1.55</v>
      </c>
      <c r="DH93" s="214">
        <v>1.55</v>
      </c>
      <c r="DI93" s="214">
        <v>1.57</v>
      </c>
      <c r="DJ93" s="214">
        <v>1.61</v>
      </c>
      <c r="DK93" s="214">
        <v>1.65</v>
      </c>
      <c r="DL93" s="214">
        <v>1.65</v>
      </c>
      <c r="DM93" s="214">
        <v>1.65</v>
      </c>
      <c r="DN93" s="214">
        <v>1.6</v>
      </c>
      <c r="DO93" s="214">
        <v>1.63</v>
      </c>
      <c r="DP93" s="214">
        <v>1.59</v>
      </c>
      <c r="DQ93" s="178"/>
      <c r="DR93" s="178"/>
    </row>
    <row r="94" spans="1:124 16384:16384">
      <c r="A94" s="178" t="str">
        <f t="shared" si="43"/>
        <v>Toluene N Grade USD</v>
      </c>
      <c r="B94" s="178" t="s">
        <v>136</v>
      </c>
      <c r="C94" s="178" t="s">
        <v>137</v>
      </c>
      <c r="D94" s="178" t="s">
        <v>33</v>
      </c>
      <c r="E94" s="178" t="s">
        <v>135</v>
      </c>
      <c r="F94" s="178"/>
      <c r="G94" s="178"/>
      <c r="H94" s="178"/>
      <c r="I94" s="178"/>
      <c r="J94" s="178"/>
      <c r="K94" s="178"/>
      <c r="L94" s="178"/>
      <c r="M94" s="178"/>
      <c r="N94" s="178"/>
      <c r="O94" s="178"/>
      <c r="P94" s="178"/>
      <c r="Q94" s="178"/>
      <c r="R94" s="178"/>
      <c r="S94" s="178"/>
      <c r="T94" s="178"/>
      <c r="U94" s="178"/>
      <c r="V94" s="178"/>
      <c r="W94" s="178"/>
      <c r="X94" s="178"/>
      <c r="Y94" s="178"/>
      <c r="Z94" s="178"/>
      <c r="AA94" s="178">
        <v>2.9130000000000003</v>
      </c>
      <c r="AB94" s="178">
        <v>3.0212500000000002</v>
      </c>
      <c r="AC94" s="178">
        <v>2.7474999999999996</v>
      </c>
      <c r="AD94" s="178">
        <v>3.1262499999999998</v>
      </c>
      <c r="AE94" s="178">
        <v>3.4750000000000005</v>
      </c>
      <c r="AF94" s="178">
        <v>4.2937500000000002</v>
      </c>
      <c r="AG94" s="178">
        <v>4.1669999999999998</v>
      </c>
      <c r="AH94" s="178">
        <v>5.2437500000000004</v>
      </c>
      <c r="AI94" s="178">
        <v>6.6862499999999994</v>
      </c>
      <c r="AJ94" s="178">
        <v>5.218</v>
      </c>
      <c r="AK94" s="178">
        <v>3.8275000000000001</v>
      </c>
      <c r="AL94" s="178">
        <v>3.6310000000000002</v>
      </c>
      <c r="AM94" s="178">
        <v>4.2312500000000002</v>
      </c>
      <c r="AN94" s="178">
        <v>4.2237499999999999</v>
      </c>
      <c r="AO94" s="178">
        <v>3.7425000000000002</v>
      </c>
      <c r="AP94" s="178">
        <v>3.7087500000000002</v>
      </c>
      <c r="AQ94" s="178">
        <v>3.6074999999999999</v>
      </c>
      <c r="AR94" s="178">
        <v>3.7629999999999995</v>
      </c>
      <c r="AS94" s="178">
        <v>3.78125</v>
      </c>
      <c r="AT94" s="178">
        <v>3.4075000000000002</v>
      </c>
      <c r="AU94" s="178">
        <v>3.5469999999999997</v>
      </c>
      <c r="AV94" s="178">
        <v>3.7</v>
      </c>
      <c r="AW94" s="178">
        <v>3.75</v>
      </c>
      <c r="AX94" s="178">
        <v>3.93</v>
      </c>
      <c r="AY94" s="178">
        <v>4.3250000000000002</v>
      </c>
      <c r="AZ94" s="178">
        <v>4.08</v>
      </c>
      <c r="BA94" s="178">
        <v>4.4400000000000004</v>
      </c>
      <c r="BB94" s="178">
        <v>4.3550000000000004</v>
      </c>
      <c r="BC94" s="178">
        <v>4.25</v>
      </c>
      <c r="BD94" s="178">
        <v>4.21</v>
      </c>
      <c r="BE94" s="178">
        <v>4.25</v>
      </c>
      <c r="BF94" s="214">
        <v>4.2</v>
      </c>
      <c r="BG94" s="214">
        <v>4.03</v>
      </c>
      <c r="BH94" s="214">
        <v>3.55</v>
      </c>
      <c r="BI94" s="214">
        <v>3.55</v>
      </c>
      <c r="BJ94" s="214">
        <v>3.54</v>
      </c>
      <c r="BK94" s="214">
        <v>3.41</v>
      </c>
      <c r="BL94" s="214">
        <v>3.2120000000000002</v>
      </c>
      <c r="BM94" s="214">
        <v>3.05</v>
      </c>
      <c r="BN94" s="214">
        <v>3.05</v>
      </c>
      <c r="BO94" s="214">
        <v>3.0449999999999999</v>
      </c>
      <c r="BP94" s="214">
        <v>3.25</v>
      </c>
      <c r="BQ94" s="214">
        <v>3.25</v>
      </c>
      <c r="BR94" s="214">
        <v>3.4</v>
      </c>
      <c r="BS94" s="214">
        <v>3.37</v>
      </c>
      <c r="BT94" s="214">
        <v>3.51</v>
      </c>
      <c r="BU94" s="214">
        <v>3.63</v>
      </c>
      <c r="BV94" s="214">
        <v>3.63</v>
      </c>
      <c r="BW94" s="214">
        <v>3.5350000000000001</v>
      </c>
      <c r="BX94" s="214">
        <v>3.5350000000000001</v>
      </c>
      <c r="BY94" s="214">
        <v>3.61</v>
      </c>
      <c r="BZ94" s="214">
        <v>3.63</v>
      </c>
      <c r="CA94" s="214">
        <v>3.76</v>
      </c>
      <c r="CB94" s="214">
        <v>3.68</v>
      </c>
      <c r="CC94" s="214">
        <v>3.72</v>
      </c>
      <c r="CD94" s="214">
        <v>3.73</v>
      </c>
      <c r="CE94" s="214">
        <v>3.73</v>
      </c>
      <c r="CF94" s="214">
        <v>3.79</v>
      </c>
      <c r="CG94" s="214">
        <v>3.7749999999999999</v>
      </c>
      <c r="CH94" s="214">
        <v>3.7749999999999999</v>
      </c>
      <c r="CI94" s="214">
        <v>3.66</v>
      </c>
      <c r="CJ94" s="214">
        <v>3.66</v>
      </c>
      <c r="CK94" s="214">
        <v>3.55</v>
      </c>
      <c r="CL94" s="214">
        <v>3.37</v>
      </c>
      <c r="CM94" s="214">
        <v>3.42</v>
      </c>
      <c r="CN94" s="214">
        <v>3.42</v>
      </c>
      <c r="CO94" s="214">
        <v>3.34</v>
      </c>
      <c r="CP94" s="214">
        <v>3.34</v>
      </c>
      <c r="CQ94" s="214">
        <v>3.25</v>
      </c>
      <c r="CR94" s="214">
        <v>3.31</v>
      </c>
      <c r="CS94" s="214">
        <v>3.42</v>
      </c>
      <c r="CT94" s="214">
        <v>3.23</v>
      </c>
      <c r="CU94" s="214">
        <v>3.25</v>
      </c>
      <c r="CV94" s="214">
        <v>3.25</v>
      </c>
      <c r="CW94" s="214">
        <v>3.25</v>
      </c>
      <c r="CX94" s="214">
        <v>3.28</v>
      </c>
      <c r="CY94" s="214">
        <v>3.13</v>
      </c>
      <c r="CZ94" s="214">
        <v>3.13</v>
      </c>
      <c r="DA94" s="214">
        <v>3.11</v>
      </c>
      <c r="DB94" s="214">
        <v>3.11</v>
      </c>
      <c r="DC94" s="214">
        <v>2.91</v>
      </c>
      <c r="DD94" s="214">
        <v>3.01</v>
      </c>
      <c r="DE94" s="214">
        <v>3.05</v>
      </c>
      <c r="DF94" s="214">
        <v>3.04</v>
      </c>
      <c r="DG94" s="214">
        <v>2.9849999999999999</v>
      </c>
      <c r="DH94" s="214">
        <v>2.9849999999999999</v>
      </c>
      <c r="DI94" s="214">
        <v>2.79</v>
      </c>
      <c r="DJ94" s="214">
        <v>2.74</v>
      </c>
      <c r="DK94" s="214">
        <v>2.5099999999999998</v>
      </c>
      <c r="DL94" s="214">
        <v>2.68</v>
      </c>
      <c r="DM94" s="214">
        <v>2.68</v>
      </c>
      <c r="DN94" s="214">
        <v>2.54</v>
      </c>
      <c r="DO94" s="214">
        <v>2.67</v>
      </c>
      <c r="DP94" s="214">
        <v>2.84</v>
      </c>
      <c r="DQ94" s="178"/>
      <c r="DR94" s="178"/>
    </row>
    <row r="95" spans="1:124 16384:16384">
      <c r="A95" s="178" t="str">
        <f t="shared" si="43"/>
        <v>Xylenes USD</v>
      </c>
      <c r="B95" s="178" t="s">
        <v>138</v>
      </c>
      <c r="C95" s="178" t="s">
        <v>139</v>
      </c>
      <c r="D95" s="178" t="s">
        <v>33</v>
      </c>
      <c r="E95" s="178" t="s">
        <v>135</v>
      </c>
      <c r="F95" s="178"/>
      <c r="G95" s="178"/>
      <c r="H95" s="178"/>
      <c r="I95" s="178"/>
      <c r="J95" s="178"/>
      <c r="K95" s="178"/>
      <c r="L95" s="178"/>
      <c r="M95" s="178"/>
      <c r="N95" s="178"/>
      <c r="O95" s="178"/>
      <c r="P95" s="178"/>
      <c r="Q95" s="178"/>
      <c r="R95" s="178"/>
      <c r="S95" s="178"/>
      <c r="T95" s="178"/>
      <c r="U95" s="178"/>
      <c r="V95" s="178"/>
      <c r="W95" s="178"/>
      <c r="X95" s="178"/>
      <c r="Y95" s="178"/>
      <c r="Z95" s="178"/>
      <c r="AA95" s="178">
        <v>2.915</v>
      </c>
      <c r="AB95" s="178">
        <v>2.8150000000000004</v>
      </c>
      <c r="AC95" s="178">
        <v>2.5500000000000003</v>
      </c>
      <c r="AD95" s="178">
        <v>3.0774999999999997</v>
      </c>
      <c r="AE95" s="178">
        <v>3.4662500000000001</v>
      </c>
      <c r="AF95" s="178">
        <v>4.2249999999999996</v>
      </c>
      <c r="AG95" s="178">
        <v>4.1420000000000003</v>
      </c>
      <c r="AH95" s="178">
        <v>5.1687499999999993</v>
      </c>
      <c r="AI95" s="178">
        <v>6.6262499999999998</v>
      </c>
      <c r="AJ95" s="178">
        <v>5.2159999999999993</v>
      </c>
      <c r="AK95" s="178">
        <v>3.7462499999999999</v>
      </c>
      <c r="AL95" s="178">
        <v>3.6660000000000004</v>
      </c>
      <c r="AM95" s="178">
        <v>4.5487500000000001</v>
      </c>
      <c r="AN95" s="178">
        <v>4.5362499999999999</v>
      </c>
      <c r="AO95" s="178">
        <v>3.8649999999999998</v>
      </c>
      <c r="AP95" s="178">
        <v>3.6887500000000002</v>
      </c>
      <c r="AQ95" s="178">
        <v>3.6187500000000004</v>
      </c>
      <c r="AR95" s="178">
        <v>3.7530000000000001</v>
      </c>
      <c r="AS95" s="178">
        <v>3.82</v>
      </c>
      <c r="AT95" s="178">
        <v>3.5374999999999996</v>
      </c>
      <c r="AU95" s="178">
        <v>3.5529999999999999</v>
      </c>
      <c r="AV95" s="178">
        <v>3.7250000000000001</v>
      </c>
      <c r="AW95" s="178">
        <v>3.75</v>
      </c>
      <c r="AX95" s="178">
        <v>3.93</v>
      </c>
      <c r="AY95" s="178">
        <v>4.32</v>
      </c>
      <c r="AZ95" s="178">
        <v>4.1500000000000004</v>
      </c>
      <c r="BA95" s="178">
        <v>4.4349999999999996</v>
      </c>
      <c r="BB95" s="178">
        <v>4.3550000000000004</v>
      </c>
      <c r="BC95" s="178">
        <v>4.25</v>
      </c>
      <c r="BD95" s="178">
        <v>4.21</v>
      </c>
      <c r="BE95" s="178">
        <v>4.05</v>
      </c>
      <c r="BF95" s="214">
        <v>4.05</v>
      </c>
      <c r="BG95" s="214">
        <v>4.13</v>
      </c>
      <c r="BH95" s="214">
        <v>3.7</v>
      </c>
      <c r="BI95" s="214">
        <v>3.7</v>
      </c>
      <c r="BJ95" s="214">
        <v>3.57</v>
      </c>
      <c r="BK95" s="214">
        <v>3.4</v>
      </c>
      <c r="BL95" s="214">
        <v>3.3</v>
      </c>
      <c r="BM95" s="214">
        <v>3.15</v>
      </c>
      <c r="BN95" s="214">
        <v>3.15</v>
      </c>
      <c r="BO95" s="214">
        <v>3.24</v>
      </c>
      <c r="BP95" s="214">
        <v>3.35</v>
      </c>
      <c r="BQ95" s="214">
        <v>3.31</v>
      </c>
      <c r="BR95" s="216">
        <v>3.375</v>
      </c>
      <c r="BS95" s="214">
        <v>3.5</v>
      </c>
      <c r="BT95" s="214">
        <v>3.55</v>
      </c>
      <c r="BU95" s="214">
        <v>3.65</v>
      </c>
      <c r="BV95" s="214">
        <v>3.65</v>
      </c>
      <c r="BW95" s="214">
        <v>3.61</v>
      </c>
      <c r="BX95" s="214">
        <v>3.73</v>
      </c>
      <c r="BY95" s="214">
        <v>3.8</v>
      </c>
      <c r="BZ95" s="214">
        <v>3.93</v>
      </c>
      <c r="CA95" s="214">
        <v>3.9</v>
      </c>
      <c r="CB95" s="214">
        <v>3.87</v>
      </c>
      <c r="CC95" s="214">
        <v>3.9</v>
      </c>
      <c r="CD95" s="214">
        <v>3.83</v>
      </c>
      <c r="CE95" s="214">
        <v>3.8</v>
      </c>
      <c r="CF95" s="214">
        <v>3.81</v>
      </c>
      <c r="CG95" s="214">
        <v>3.78</v>
      </c>
      <c r="CH95" s="214">
        <v>3.78</v>
      </c>
      <c r="CI95" s="214">
        <v>3.74</v>
      </c>
      <c r="CJ95" s="214">
        <v>3.74</v>
      </c>
      <c r="CK95" s="214">
        <v>3.52</v>
      </c>
      <c r="CL95" s="214">
        <v>3.52</v>
      </c>
      <c r="CM95" s="214">
        <v>3.52</v>
      </c>
      <c r="CN95" s="214">
        <v>3.42</v>
      </c>
      <c r="CO95" s="214">
        <v>3.34</v>
      </c>
      <c r="CP95" s="214">
        <v>3.21</v>
      </c>
      <c r="CQ95" s="214">
        <v>3.32</v>
      </c>
      <c r="CR95" s="214">
        <v>3.24</v>
      </c>
      <c r="CS95" s="214">
        <v>3.38</v>
      </c>
      <c r="CT95" s="214">
        <v>3.28</v>
      </c>
      <c r="CU95" s="214">
        <v>3.25</v>
      </c>
      <c r="CV95" s="214">
        <v>3.25</v>
      </c>
      <c r="CW95" s="214">
        <v>3.16</v>
      </c>
      <c r="CX95" s="214">
        <v>3.13</v>
      </c>
      <c r="CY95" s="214">
        <v>3.11</v>
      </c>
      <c r="CZ95" s="214">
        <v>3.11</v>
      </c>
      <c r="DA95" s="214">
        <v>2.98</v>
      </c>
      <c r="DB95" s="214">
        <v>2.98</v>
      </c>
      <c r="DC95" s="214">
        <v>2.4500000000000002</v>
      </c>
      <c r="DD95" s="214">
        <v>2.63</v>
      </c>
      <c r="DE95" s="214">
        <v>2.75</v>
      </c>
      <c r="DF95" s="214">
        <v>3</v>
      </c>
      <c r="DG95" s="214">
        <v>3.07</v>
      </c>
      <c r="DH95" s="214">
        <v>3.12</v>
      </c>
      <c r="DI95" s="214">
        <v>2.84</v>
      </c>
      <c r="DJ95" s="214">
        <v>2.4700000000000002</v>
      </c>
      <c r="DK95" s="214">
        <v>2.56</v>
      </c>
      <c r="DL95" s="214">
        <v>2.58</v>
      </c>
      <c r="DM95" s="214">
        <v>2.58</v>
      </c>
      <c r="DN95" s="214">
        <v>2.41</v>
      </c>
      <c r="DO95" s="214">
        <v>2.41</v>
      </c>
      <c r="DP95" s="214">
        <v>2.73</v>
      </c>
      <c r="DQ95" s="178"/>
      <c r="DR95" s="178"/>
    </row>
    <row r="96" spans="1:124 16384:16384">
      <c r="A96" s="178" t="str">
        <f t="shared" si="43"/>
        <v>EVA VA Content 14-20%USD</v>
      </c>
      <c r="B96" s="178" t="s">
        <v>46</v>
      </c>
      <c r="C96" s="178" t="s">
        <v>140</v>
      </c>
      <c r="D96" s="178" t="s">
        <v>33</v>
      </c>
      <c r="E96" s="178" t="s">
        <v>32</v>
      </c>
      <c r="F96" s="178"/>
      <c r="G96" s="178"/>
      <c r="H96" s="178"/>
      <c r="I96" s="178"/>
      <c r="J96" s="178"/>
      <c r="K96" s="178"/>
      <c r="L96" s="178"/>
      <c r="M96" s="178"/>
      <c r="N96" s="178"/>
      <c r="O96" s="178"/>
      <c r="P96" s="178"/>
      <c r="Q96" s="178"/>
      <c r="R96" s="178"/>
      <c r="S96" s="178"/>
      <c r="T96" s="178"/>
      <c r="U96" s="178"/>
      <c r="V96" s="178"/>
      <c r="W96" s="178"/>
      <c r="X96" s="178"/>
      <c r="Y96" s="178"/>
      <c r="Z96" s="178">
        <v>3145</v>
      </c>
      <c r="AA96" s="178">
        <v>3375</v>
      </c>
      <c r="AB96" s="178">
        <v>3296</v>
      </c>
      <c r="AC96" s="178">
        <v>2852.5</v>
      </c>
      <c r="AD96" s="178">
        <v>2382.5</v>
      </c>
      <c r="AE96" s="178">
        <v>2456.875</v>
      </c>
      <c r="AF96" s="178">
        <v>2735</v>
      </c>
      <c r="AG96" s="178">
        <v>2976.25</v>
      </c>
      <c r="AH96" s="178">
        <v>3166.25</v>
      </c>
      <c r="AI96" s="178">
        <v>2942.5</v>
      </c>
      <c r="AJ96" s="178">
        <v>2631.25</v>
      </c>
      <c r="AK96" s="178">
        <v>2291.5</v>
      </c>
      <c r="AL96" s="178">
        <v>2331.875</v>
      </c>
      <c r="AM96" s="178">
        <v>2331.875</v>
      </c>
      <c r="AN96" s="178">
        <v>1924.5</v>
      </c>
      <c r="AO96" s="178">
        <v>1535</v>
      </c>
      <c r="AP96" s="178">
        <v>1691.25</v>
      </c>
      <c r="AQ96" s="178">
        <v>1903.75</v>
      </c>
      <c r="AR96" s="178">
        <v>1958.75</v>
      </c>
      <c r="AS96" s="178">
        <v>1800</v>
      </c>
      <c r="AT96" s="178">
        <v>1566</v>
      </c>
      <c r="AU96" s="178">
        <v>1492.5</v>
      </c>
      <c r="AV96" s="178">
        <v>1435</v>
      </c>
      <c r="AW96" s="178">
        <v>1435</v>
      </c>
      <c r="AX96" s="178">
        <v>1470</v>
      </c>
      <c r="AY96" s="178">
        <v>1495</v>
      </c>
      <c r="AZ96" s="178">
        <v>1505</v>
      </c>
      <c r="BA96" s="178">
        <v>1530</v>
      </c>
      <c r="BB96" s="178">
        <v>1530</v>
      </c>
      <c r="BC96" s="178">
        <v>1530</v>
      </c>
      <c r="BD96" s="178">
        <v>1520</v>
      </c>
      <c r="BE96" s="178">
        <v>1520</v>
      </c>
      <c r="BF96" s="214">
        <v>1505</v>
      </c>
      <c r="BG96" s="214">
        <v>1470</v>
      </c>
      <c r="BH96" s="214">
        <v>1470</v>
      </c>
      <c r="BI96" s="214">
        <v>1405</v>
      </c>
      <c r="BJ96" s="214">
        <v>1380</v>
      </c>
      <c r="BK96" s="214">
        <v>1380</v>
      </c>
      <c r="BL96" s="214">
        <v>1355</v>
      </c>
      <c r="BM96" s="214">
        <v>1345</v>
      </c>
      <c r="BN96" s="214">
        <v>1335</v>
      </c>
      <c r="BO96" s="214">
        <v>1345</v>
      </c>
      <c r="BP96" s="214">
        <v>1315</v>
      </c>
      <c r="BQ96" s="214">
        <v>1285</v>
      </c>
      <c r="BR96" s="214">
        <v>1255</v>
      </c>
      <c r="BS96" s="214">
        <v>1255</v>
      </c>
      <c r="BT96" s="214">
        <v>1225</v>
      </c>
      <c r="BU96" s="214">
        <v>1235</v>
      </c>
      <c r="BV96" s="214">
        <v>1245</v>
      </c>
      <c r="BW96" s="214">
        <v>1310</v>
      </c>
      <c r="BX96" s="214">
        <v>1310</v>
      </c>
      <c r="BY96" s="214">
        <v>1310</v>
      </c>
      <c r="BZ96" s="214">
        <v>1340</v>
      </c>
      <c r="CA96" s="214">
        <v>1375</v>
      </c>
      <c r="CB96" s="214">
        <v>1375</v>
      </c>
      <c r="CC96" s="214">
        <v>1390</v>
      </c>
      <c r="CD96" s="214">
        <v>1365</v>
      </c>
      <c r="CE96" s="214">
        <v>1330</v>
      </c>
      <c r="CF96" s="214">
        <v>1330</v>
      </c>
      <c r="CG96" s="214">
        <v>1330</v>
      </c>
      <c r="CH96" s="214">
        <v>1330</v>
      </c>
      <c r="CI96" s="214">
        <v>1280</v>
      </c>
      <c r="CJ96" s="214">
        <v>1280</v>
      </c>
      <c r="CK96" s="214">
        <v>1265</v>
      </c>
      <c r="CL96" s="214">
        <v>1265</v>
      </c>
      <c r="CM96" s="214">
        <v>1265</v>
      </c>
      <c r="CN96" s="214">
        <v>1255</v>
      </c>
      <c r="CO96" s="214">
        <v>1230</v>
      </c>
      <c r="CP96" s="214">
        <v>1230</v>
      </c>
      <c r="CQ96" s="214">
        <v>1225</v>
      </c>
      <c r="CR96" s="214">
        <v>1215</v>
      </c>
      <c r="CS96" s="214">
        <v>1210</v>
      </c>
      <c r="CT96" s="214">
        <v>1200</v>
      </c>
      <c r="CU96" s="214">
        <v>1200</v>
      </c>
      <c r="CV96" s="214">
        <v>1200</v>
      </c>
      <c r="CW96" s="214">
        <v>1200</v>
      </c>
      <c r="CX96" s="214">
        <v>1200</v>
      </c>
      <c r="CY96" s="214">
        <v>1200</v>
      </c>
      <c r="CZ96" s="214">
        <v>1205</v>
      </c>
      <c r="DA96" s="214">
        <v>1205</v>
      </c>
      <c r="DB96" s="214">
        <v>1205</v>
      </c>
      <c r="DC96" s="214">
        <v>1205</v>
      </c>
      <c r="DD96" s="214">
        <v>1205</v>
      </c>
      <c r="DE96" s="214">
        <v>1195</v>
      </c>
      <c r="DF96" s="214">
        <v>1150</v>
      </c>
      <c r="DG96" s="214">
        <v>1200</v>
      </c>
      <c r="DH96" s="214">
        <v>1200</v>
      </c>
      <c r="DI96" s="214">
        <v>1190</v>
      </c>
      <c r="DJ96" s="214">
        <v>1190</v>
      </c>
      <c r="DK96" s="214">
        <v>1170</v>
      </c>
      <c r="DL96" s="214">
        <v>1190</v>
      </c>
      <c r="DM96" s="214">
        <v>1190</v>
      </c>
      <c r="DN96" s="214">
        <v>1170</v>
      </c>
      <c r="DO96" s="214">
        <v>1170</v>
      </c>
      <c r="DP96" s="214">
        <v>1205</v>
      </c>
      <c r="DQ96" s="178"/>
      <c r="DR96" s="178"/>
    </row>
    <row r="97" spans="1:122">
      <c r="A97" s="178" t="str">
        <f t="shared" si="43"/>
        <v>2-Ethyl Hexyl AcrylateUSD</v>
      </c>
      <c r="B97" s="178" t="s">
        <v>46</v>
      </c>
      <c r="C97" s="178" t="s">
        <v>141</v>
      </c>
      <c r="D97" s="178" t="s">
        <v>33</v>
      </c>
      <c r="E97" s="178" t="s">
        <v>32</v>
      </c>
      <c r="F97" s="178"/>
      <c r="G97" s="178"/>
      <c r="H97" s="178"/>
      <c r="I97" s="178"/>
      <c r="J97" s="178"/>
      <c r="K97" s="178"/>
      <c r="L97" s="178"/>
      <c r="M97" s="178"/>
      <c r="N97" s="178"/>
      <c r="O97" s="178"/>
      <c r="P97" s="178"/>
      <c r="Q97" s="178"/>
      <c r="R97" s="178"/>
      <c r="S97" s="178"/>
      <c r="T97" s="178"/>
      <c r="U97" s="178"/>
      <c r="V97" s="178"/>
      <c r="W97" s="178"/>
      <c r="X97" s="178"/>
      <c r="Y97" s="178"/>
      <c r="Z97" s="178"/>
      <c r="AA97" s="178">
        <v>2868.75</v>
      </c>
      <c r="AB97" s="178">
        <v>2826.25</v>
      </c>
      <c r="AC97" s="178">
        <v>2677.5</v>
      </c>
      <c r="AD97" s="178">
        <v>2425</v>
      </c>
      <c r="AE97" s="178">
        <v>2533.3333333333335</v>
      </c>
      <c r="AF97" s="178">
        <v>2709</v>
      </c>
      <c r="AG97" s="178">
        <v>2697.5</v>
      </c>
      <c r="AH97" s="178">
        <v>2646.25</v>
      </c>
      <c r="AI97" s="178">
        <v>2376</v>
      </c>
      <c r="AJ97" s="178">
        <v>2012.5</v>
      </c>
      <c r="AK97" s="178">
        <v>1613.5</v>
      </c>
      <c r="AL97" s="178">
        <v>1445</v>
      </c>
      <c r="AM97" s="178">
        <v>1486.25</v>
      </c>
      <c r="AN97" s="178">
        <v>1423</v>
      </c>
      <c r="AO97" s="178">
        <v>1391.6666666666667</v>
      </c>
      <c r="AP97" s="178">
        <v>1397.5</v>
      </c>
      <c r="AQ97" s="178">
        <v>1520</v>
      </c>
      <c r="AR97" s="178">
        <v>1534</v>
      </c>
      <c r="AS97" s="178">
        <v>1455</v>
      </c>
      <c r="AT97" s="178">
        <v>1402</v>
      </c>
      <c r="AU97" s="178">
        <v>1342.5</v>
      </c>
      <c r="AV97" s="178">
        <v>1315</v>
      </c>
      <c r="AW97" s="178">
        <v>1315</v>
      </c>
      <c r="AX97" s="178">
        <v>1315</v>
      </c>
      <c r="AY97" s="178">
        <v>1325</v>
      </c>
      <c r="AZ97" s="178">
        <v>1335</v>
      </c>
      <c r="BA97" s="178">
        <v>1335</v>
      </c>
      <c r="BB97" s="178">
        <v>1350</v>
      </c>
      <c r="BC97" s="178">
        <v>1365</v>
      </c>
      <c r="BD97" s="178">
        <v>1500</v>
      </c>
      <c r="BE97" s="178">
        <v>1500</v>
      </c>
      <c r="BF97" s="214">
        <v>1550</v>
      </c>
      <c r="BG97" s="214">
        <v>1550</v>
      </c>
      <c r="BH97" s="214">
        <v>1550</v>
      </c>
      <c r="BI97" s="214">
        <v>1550</v>
      </c>
      <c r="BJ97" s="214">
        <v>1460</v>
      </c>
      <c r="BK97" s="214">
        <v>1450</v>
      </c>
      <c r="BL97" s="214">
        <v>1425</v>
      </c>
      <c r="BM97" s="214">
        <v>1425</v>
      </c>
      <c r="BN97" s="214">
        <v>1475</v>
      </c>
      <c r="BO97" s="214">
        <v>1490</v>
      </c>
      <c r="BP97" s="214">
        <v>1490</v>
      </c>
      <c r="BQ97" s="214">
        <v>1550</v>
      </c>
      <c r="BR97" s="214">
        <v>1630</v>
      </c>
      <c r="BS97" s="214">
        <v>1630</v>
      </c>
      <c r="BT97" s="214">
        <v>1650</v>
      </c>
      <c r="BU97" s="214">
        <v>1770</v>
      </c>
      <c r="BV97" s="214">
        <v>1770</v>
      </c>
      <c r="BW97" s="214">
        <v>1770</v>
      </c>
      <c r="BX97" s="214">
        <v>1785</v>
      </c>
      <c r="BY97" s="214">
        <v>1785</v>
      </c>
      <c r="BZ97" s="214">
        <v>1785</v>
      </c>
      <c r="CA97" s="214">
        <v>1785</v>
      </c>
      <c r="CB97" s="214">
        <v>1785</v>
      </c>
      <c r="CC97" s="214">
        <v>1750</v>
      </c>
      <c r="CD97" s="214">
        <v>1715</v>
      </c>
      <c r="CE97" s="214">
        <v>1685</v>
      </c>
      <c r="CF97" s="214">
        <v>1660</v>
      </c>
      <c r="CG97" s="214">
        <v>1640</v>
      </c>
      <c r="CH97" s="214">
        <v>1640</v>
      </c>
      <c r="CI97" s="214">
        <v>1640</v>
      </c>
      <c r="CJ97" s="214">
        <v>1640</v>
      </c>
      <c r="CK97" s="214">
        <v>1585</v>
      </c>
      <c r="CL97" s="214">
        <v>1585</v>
      </c>
      <c r="CM97" s="214">
        <v>1585</v>
      </c>
      <c r="CN97" s="214">
        <v>1585</v>
      </c>
      <c r="CO97" s="214">
        <v>1600</v>
      </c>
      <c r="CP97" s="214">
        <v>1630</v>
      </c>
      <c r="CQ97" s="214">
        <v>1630</v>
      </c>
      <c r="CR97" s="214">
        <v>1630</v>
      </c>
      <c r="CS97" s="214">
        <v>1600</v>
      </c>
      <c r="CT97" s="214">
        <v>1600</v>
      </c>
      <c r="CU97" s="214">
        <v>1580</v>
      </c>
      <c r="CV97" s="214">
        <v>1580</v>
      </c>
      <c r="CW97" s="214">
        <v>1550</v>
      </c>
      <c r="CX97" s="214">
        <v>1550</v>
      </c>
      <c r="CY97" s="214">
        <v>1550</v>
      </c>
      <c r="CZ97" s="214">
        <v>1485</v>
      </c>
      <c r="DA97" s="214">
        <v>1450</v>
      </c>
      <c r="DB97" s="214">
        <v>1450</v>
      </c>
      <c r="DC97" s="214">
        <v>1415</v>
      </c>
      <c r="DD97" s="214">
        <v>1415</v>
      </c>
      <c r="DE97" s="214">
        <v>1415</v>
      </c>
      <c r="DF97" s="214">
        <v>1460</v>
      </c>
      <c r="DG97" s="214">
        <v>1460</v>
      </c>
      <c r="DH97" s="214">
        <v>1460</v>
      </c>
      <c r="DI97" s="214">
        <v>1470</v>
      </c>
      <c r="DJ97" s="214">
        <v>1470</v>
      </c>
      <c r="DK97" s="214">
        <v>1470</v>
      </c>
      <c r="DL97" s="214">
        <v>1470</v>
      </c>
      <c r="DM97" s="214">
        <v>1470</v>
      </c>
      <c r="DN97" s="214">
        <v>1470</v>
      </c>
      <c r="DO97" s="214">
        <v>1450</v>
      </c>
      <c r="DP97" s="214">
        <v>1450</v>
      </c>
      <c r="DQ97" s="178"/>
      <c r="DR97" s="178"/>
    </row>
    <row r="98" spans="1:122">
      <c r="A98" s="178" t="str">
        <f t="shared" si="43"/>
        <v>Acrylic Acid Glacial USD</v>
      </c>
      <c r="B98" s="178" t="s">
        <v>46</v>
      </c>
      <c r="C98" s="178" t="s">
        <v>142</v>
      </c>
      <c r="D98" s="178" t="s">
        <v>33</v>
      </c>
      <c r="E98" s="178" t="s">
        <v>32</v>
      </c>
      <c r="F98" s="178"/>
      <c r="G98" s="178"/>
      <c r="H98" s="178"/>
      <c r="I98" s="178"/>
      <c r="J98" s="178"/>
      <c r="K98" s="178"/>
      <c r="L98" s="178"/>
      <c r="M98" s="178"/>
      <c r="N98" s="178"/>
      <c r="O98" s="178"/>
      <c r="P98" s="178"/>
      <c r="Q98" s="178"/>
      <c r="R98" s="178"/>
      <c r="S98" s="178"/>
      <c r="T98" s="178"/>
      <c r="U98" s="178"/>
      <c r="V98" s="178"/>
      <c r="W98" s="178"/>
      <c r="X98" s="178"/>
      <c r="Y98" s="178"/>
      <c r="Z98" s="178"/>
      <c r="AA98" s="178">
        <v>2355</v>
      </c>
      <c r="AB98" s="178">
        <v>2468.75</v>
      </c>
      <c r="AC98" s="178">
        <v>2362.5</v>
      </c>
      <c r="AD98" s="178">
        <v>2287.5</v>
      </c>
      <c r="AE98" s="178">
        <v>2433.3333333333335</v>
      </c>
      <c r="AF98" s="178">
        <v>2548</v>
      </c>
      <c r="AG98" s="178">
        <v>2555</v>
      </c>
      <c r="AH98" s="178">
        <v>2531.25</v>
      </c>
      <c r="AI98" s="178">
        <v>2432.5</v>
      </c>
      <c r="AJ98" s="178">
        <v>1962.5</v>
      </c>
      <c r="AK98" s="178">
        <v>1600</v>
      </c>
      <c r="AL98" s="178">
        <v>1431.25</v>
      </c>
      <c r="AM98" s="178">
        <v>1362.5</v>
      </c>
      <c r="AN98" s="178">
        <v>1243</v>
      </c>
      <c r="AO98" s="178">
        <v>1190</v>
      </c>
      <c r="AP98" s="178">
        <v>1200</v>
      </c>
      <c r="AQ98" s="178">
        <v>1257.5</v>
      </c>
      <c r="AR98" s="178">
        <v>1284</v>
      </c>
      <c r="AS98" s="178">
        <v>1187.5</v>
      </c>
      <c r="AT98" s="178">
        <v>1116</v>
      </c>
      <c r="AU98" s="178">
        <v>1020</v>
      </c>
      <c r="AV98" s="178">
        <v>975</v>
      </c>
      <c r="AW98" s="178">
        <v>940</v>
      </c>
      <c r="AX98" s="178">
        <v>940</v>
      </c>
      <c r="AY98" s="178">
        <v>940</v>
      </c>
      <c r="AZ98" s="178">
        <v>975</v>
      </c>
      <c r="BA98" s="178">
        <v>975</v>
      </c>
      <c r="BB98" s="178">
        <v>1000</v>
      </c>
      <c r="BC98" s="178">
        <v>1100</v>
      </c>
      <c r="BD98" s="178">
        <v>1100</v>
      </c>
      <c r="BE98" s="178">
        <v>1100</v>
      </c>
      <c r="BF98" s="214">
        <v>1100</v>
      </c>
      <c r="BG98" s="214">
        <v>1100</v>
      </c>
      <c r="BH98" s="214">
        <v>1100</v>
      </c>
      <c r="BI98" s="214">
        <v>1075</v>
      </c>
      <c r="BJ98" s="214">
        <v>1075</v>
      </c>
      <c r="BK98" s="214">
        <v>1065</v>
      </c>
      <c r="BL98" s="214">
        <v>1050</v>
      </c>
      <c r="BM98" s="214">
        <v>1020</v>
      </c>
      <c r="BN98" s="214">
        <v>1020</v>
      </c>
      <c r="BO98" s="214">
        <v>1020</v>
      </c>
      <c r="BP98" s="214">
        <v>1020</v>
      </c>
      <c r="BQ98" s="214">
        <v>1020</v>
      </c>
      <c r="BR98" s="214">
        <v>1020</v>
      </c>
      <c r="BS98" s="214">
        <v>1020</v>
      </c>
      <c r="BT98" s="214">
        <v>1020</v>
      </c>
      <c r="BU98" s="214">
        <v>1020</v>
      </c>
      <c r="BV98" s="214">
        <v>1020</v>
      </c>
      <c r="BW98" s="214">
        <v>1010</v>
      </c>
      <c r="BX98" s="214">
        <v>1010</v>
      </c>
      <c r="BY98" s="214">
        <v>1010</v>
      </c>
      <c r="BZ98" s="214">
        <v>1010</v>
      </c>
      <c r="CA98" s="214">
        <v>1010</v>
      </c>
      <c r="CB98" s="214">
        <v>1010</v>
      </c>
      <c r="CC98" s="214">
        <v>1010</v>
      </c>
      <c r="CD98" s="214">
        <v>1010</v>
      </c>
      <c r="CE98" s="214">
        <v>1010</v>
      </c>
      <c r="CF98" s="214">
        <v>1010</v>
      </c>
      <c r="CG98" s="214">
        <v>1010</v>
      </c>
      <c r="CH98" s="214">
        <v>1010</v>
      </c>
      <c r="CI98" s="214">
        <v>1035</v>
      </c>
      <c r="CJ98" s="214">
        <v>1050</v>
      </c>
      <c r="CK98" s="214">
        <v>1050</v>
      </c>
      <c r="CL98" s="214">
        <v>1050</v>
      </c>
      <c r="CM98" s="214">
        <v>1050</v>
      </c>
      <c r="CN98" s="214">
        <v>1050</v>
      </c>
      <c r="CO98" s="214">
        <v>1050</v>
      </c>
      <c r="CP98" s="214">
        <v>1050</v>
      </c>
      <c r="CQ98" s="214">
        <v>1050</v>
      </c>
      <c r="CR98" s="214">
        <v>1050</v>
      </c>
      <c r="CS98" s="214">
        <v>1050</v>
      </c>
      <c r="CT98" s="214">
        <v>1050</v>
      </c>
      <c r="CU98" s="214">
        <v>1050</v>
      </c>
      <c r="CV98" s="214">
        <v>1050</v>
      </c>
      <c r="CW98" s="214">
        <v>1050</v>
      </c>
      <c r="CX98" s="214">
        <v>1050</v>
      </c>
      <c r="CY98" s="214">
        <v>1050</v>
      </c>
      <c r="CZ98" s="214">
        <v>1050</v>
      </c>
      <c r="DA98" s="214">
        <v>1050</v>
      </c>
      <c r="DB98" s="214">
        <v>1050</v>
      </c>
      <c r="DC98" s="214">
        <v>1040</v>
      </c>
      <c r="DD98" s="214">
        <v>1040</v>
      </c>
      <c r="DE98" s="214">
        <v>1040</v>
      </c>
      <c r="DF98" s="214">
        <v>1040</v>
      </c>
      <c r="DG98" s="214">
        <v>1040</v>
      </c>
      <c r="DH98" s="214">
        <v>1040</v>
      </c>
      <c r="DI98" s="214">
        <v>1040</v>
      </c>
      <c r="DJ98" s="214">
        <v>1040</v>
      </c>
      <c r="DK98" s="214">
        <v>1040</v>
      </c>
      <c r="DL98" s="214">
        <v>1040</v>
      </c>
      <c r="DM98" s="214">
        <v>1040</v>
      </c>
      <c r="DN98" s="214">
        <v>1040</v>
      </c>
      <c r="DO98" s="214">
        <v>1040</v>
      </c>
      <c r="DP98" s="214">
        <v>1040</v>
      </c>
      <c r="DQ98" s="178"/>
      <c r="DR98" s="178"/>
    </row>
    <row r="99" spans="1:122">
      <c r="A99" s="178" t="str">
        <f t="shared" si="43"/>
        <v>Butyl Acrylate USD</v>
      </c>
      <c r="B99" s="178" t="s">
        <v>46</v>
      </c>
      <c r="C99" s="178" t="s">
        <v>143</v>
      </c>
      <c r="D99" s="178" t="s">
        <v>33</v>
      </c>
      <c r="E99" s="178" t="s">
        <v>32</v>
      </c>
      <c r="F99" s="178"/>
      <c r="G99" s="178"/>
      <c r="H99" s="178"/>
      <c r="I99" s="178"/>
      <c r="J99" s="178"/>
      <c r="K99" s="178"/>
      <c r="L99" s="178"/>
      <c r="M99" s="178"/>
      <c r="N99" s="178"/>
      <c r="O99" s="178"/>
      <c r="P99" s="178"/>
      <c r="Q99" s="178"/>
      <c r="R99" s="178"/>
      <c r="S99" s="178"/>
      <c r="T99" s="178"/>
      <c r="U99" s="178"/>
      <c r="V99" s="178"/>
      <c r="W99" s="178"/>
      <c r="X99" s="178"/>
      <c r="Y99" s="178"/>
      <c r="Z99" s="178"/>
      <c r="AA99" s="178">
        <v>2671.875</v>
      </c>
      <c r="AB99" s="178">
        <v>2550</v>
      </c>
      <c r="AC99" s="178">
        <v>2236.25</v>
      </c>
      <c r="AD99" s="178">
        <v>2008.75</v>
      </c>
      <c r="AE99" s="178">
        <v>2208.3333333333335</v>
      </c>
      <c r="AF99" s="178">
        <v>2382</v>
      </c>
      <c r="AG99" s="178">
        <v>2273.75</v>
      </c>
      <c r="AH99" s="178">
        <v>2191.25</v>
      </c>
      <c r="AI99" s="178">
        <v>2050</v>
      </c>
      <c r="AJ99" s="178">
        <v>1745</v>
      </c>
      <c r="AK99" s="178">
        <v>1439</v>
      </c>
      <c r="AL99" s="178">
        <v>1352.5</v>
      </c>
      <c r="AM99" s="178">
        <v>1315</v>
      </c>
      <c r="AN99" s="178">
        <v>1227</v>
      </c>
      <c r="AO99" s="178">
        <v>1246.6666666666667</v>
      </c>
      <c r="AP99" s="178">
        <v>1268.75</v>
      </c>
      <c r="AQ99" s="178">
        <v>1375</v>
      </c>
      <c r="AR99" s="178">
        <v>1435</v>
      </c>
      <c r="AS99" s="178">
        <v>1275</v>
      </c>
      <c r="AT99" s="178">
        <v>1246</v>
      </c>
      <c r="AU99" s="178">
        <v>1197.5</v>
      </c>
      <c r="AV99" s="178">
        <v>1165</v>
      </c>
      <c r="AW99" s="178">
        <v>1155</v>
      </c>
      <c r="AX99" s="178">
        <v>1155</v>
      </c>
      <c r="AY99" s="178">
        <v>1175</v>
      </c>
      <c r="AZ99" s="178">
        <v>1190</v>
      </c>
      <c r="BA99" s="178">
        <v>1200</v>
      </c>
      <c r="BB99" s="178">
        <v>1220</v>
      </c>
      <c r="BC99" s="178">
        <v>1280</v>
      </c>
      <c r="BD99" s="178">
        <v>1300</v>
      </c>
      <c r="BE99" s="178">
        <v>1325</v>
      </c>
      <c r="BF99" s="214">
        <v>1340</v>
      </c>
      <c r="BG99" s="214">
        <v>1325</v>
      </c>
      <c r="BH99" s="214">
        <v>1325</v>
      </c>
      <c r="BI99" s="214">
        <v>1315</v>
      </c>
      <c r="BJ99" s="214">
        <v>1275</v>
      </c>
      <c r="BK99" s="214">
        <v>1245</v>
      </c>
      <c r="BL99" s="214">
        <v>1235</v>
      </c>
      <c r="BM99" s="214">
        <v>1235</v>
      </c>
      <c r="BN99" s="214">
        <v>1225</v>
      </c>
      <c r="BO99" s="214">
        <v>1225</v>
      </c>
      <c r="BP99" s="214">
        <v>1225</v>
      </c>
      <c r="BQ99" s="214">
        <v>1260</v>
      </c>
      <c r="BR99" s="214">
        <v>1260</v>
      </c>
      <c r="BS99" s="214">
        <v>1260</v>
      </c>
      <c r="BT99" s="214">
        <v>1260</v>
      </c>
      <c r="BU99" s="214">
        <v>1305</v>
      </c>
      <c r="BV99" s="214">
        <v>1305</v>
      </c>
      <c r="BW99" s="214">
        <v>1340</v>
      </c>
      <c r="BX99" s="214">
        <v>1340</v>
      </c>
      <c r="BY99" s="214">
        <v>1340</v>
      </c>
      <c r="BZ99" s="214">
        <v>1340</v>
      </c>
      <c r="CA99" s="214">
        <v>1340</v>
      </c>
      <c r="CB99" s="214">
        <v>1340</v>
      </c>
      <c r="CC99" s="214">
        <v>1340</v>
      </c>
      <c r="CD99" s="214">
        <v>1320</v>
      </c>
      <c r="CE99" s="214">
        <v>1305</v>
      </c>
      <c r="CF99" s="214">
        <v>1305</v>
      </c>
      <c r="CG99" s="214">
        <v>1290</v>
      </c>
      <c r="CH99" s="214">
        <v>1290</v>
      </c>
      <c r="CI99" s="214">
        <v>1290</v>
      </c>
      <c r="CJ99" s="214">
        <v>1290</v>
      </c>
      <c r="CK99" s="214">
        <v>1290</v>
      </c>
      <c r="CL99" s="214">
        <v>1290</v>
      </c>
      <c r="CM99" s="214">
        <v>1290</v>
      </c>
      <c r="CN99" s="214">
        <v>1290</v>
      </c>
      <c r="CO99" s="214">
        <v>1325</v>
      </c>
      <c r="CP99" s="214">
        <v>1400</v>
      </c>
      <c r="CQ99" s="214">
        <v>1400</v>
      </c>
      <c r="CR99" s="214">
        <v>1400</v>
      </c>
      <c r="CS99" s="214">
        <v>1380</v>
      </c>
      <c r="CT99" s="214">
        <v>1380</v>
      </c>
      <c r="CU99" s="214">
        <v>1345</v>
      </c>
      <c r="CV99" s="214">
        <v>1345</v>
      </c>
      <c r="CW99" s="214">
        <v>1345</v>
      </c>
      <c r="CX99" s="214">
        <v>1325</v>
      </c>
      <c r="CY99" s="214">
        <v>1325</v>
      </c>
      <c r="CZ99" s="214">
        <v>1295</v>
      </c>
      <c r="DA99" s="214">
        <v>1265</v>
      </c>
      <c r="DB99" s="214">
        <v>1265</v>
      </c>
      <c r="DC99" s="214">
        <v>1265</v>
      </c>
      <c r="DD99" s="214">
        <v>1265</v>
      </c>
      <c r="DE99" s="214">
        <v>1265</v>
      </c>
      <c r="DF99" s="214">
        <v>1265</v>
      </c>
      <c r="DG99" s="214">
        <v>1265</v>
      </c>
      <c r="DH99" s="214">
        <v>1265</v>
      </c>
      <c r="DI99" s="214">
        <v>1265</v>
      </c>
      <c r="DJ99" s="214">
        <v>1265</v>
      </c>
      <c r="DK99" s="214">
        <v>1265</v>
      </c>
      <c r="DL99" s="214">
        <v>1265</v>
      </c>
      <c r="DM99" s="214">
        <v>1265</v>
      </c>
      <c r="DN99" s="214">
        <v>1265</v>
      </c>
      <c r="DO99" s="214">
        <v>1255</v>
      </c>
      <c r="DP99" s="214">
        <v>1245</v>
      </c>
      <c r="DQ99" s="178"/>
      <c r="DR99" s="178"/>
    </row>
    <row r="100" spans="1:122">
      <c r="A100" s="178" t="str">
        <f t="shared" si="43"/>
        <v>Ethyl AcrylateUSD</v>
      </c>
      <c r="B100" s="178" t="s">
        <v>46</v>
      </c>
      <c r="C100" s="178" t="s">
        <v>144</v>
      </c>
      <c r="D100" s="178" t="s">
        <v>33</v>
      </c>
      <c r="E100" s="178" t="s">
        <v>32</v>
      </c>
      <c r="F100" s="178"/>
      <c r="G100" s="178"/>
      <c r="H100" s="178"/>
      <c r="I100" s="178"/>
      <c r="J100" s="178"/>
      <c r="K100" s="178"/>
      <c r="L100" s="178"/>
      <c r="M100" s="178"/>
      <c r="N100" s="178"/>
      <c r="O100" s="178"/>
      <c r="P100" s="178"/>
      <c r="Q100" s="178"/>
      <c r="R100" s="178"/>
      <c r="S100" s="178"/>
      <c r="T100" s="178"/>
      <c r="U100" s="178"/>
      <c r="V100" s="178"/>
      <c r="W100" s="178"/>
      <c r="X100" s="178"/>
      <c r="Y100" s="178"/>
      <c r="Z100" s="178"/>
      <c r="AA100" s="178">
        <v>2862.5</v>
      </c>
      <c r="AB100" s="178">
        <v>2875</v>
      </c>
      <c r="AC100" s="178">
        <v>2861.25</v>
      </c>
      <c r="AD100" s="178">
        <v>2857.5</v>
      </c>
      <c r="AE100" s="178">
        <v>2885</v>
      </c>
      <c r="AF100" s="178">
        <v>2895</v>
      </c>
      <c r="AG100" s="178">
        <v>2900</v>
      </c>
      <c r="AH100" s="178">
        <v>2870</v>
      </c>
      <c r="AI100" s="178">
        <v>2774</v>
      </c>
      <c r="AJ100" s="178">
        <v>2635</v>
      </c>
      <c r="AK100" s="178">
        <v>2185</v>
      </c>
      <c r="AL100" s="178">
        <v>1856.25</v>
      </c>
      <c r="AM100" s="178">
        <v>1842.5</v>
      </c>
      <c r="AN100" s="178">
        <v>1744</v>
      </c>
      <c r="AO100" s="178">
        <v>1710</v>
      </c>
      <c r="AP100" s="178">
        <v>1710</v>
      </c>
      <c r="AQ100" s="178">
        <v>1710</v>
      </c>
      <c r="AR100" s="178">
        <v>1710</v>
      </c>
      <c r="AS100" s="178">
        <v>1633.75</v>
      </c>
      <c r="AT100" s="178">
        <v>1625</v>
      </c>
      <c r="AU100" s="178">
        <v>1537.5</v>
      </c>
      <c r="AV100" s="178">
        <v>1525</v>
      </c>
      <c r="AW100" s="178">
        <v>1450</v>
      </c>
      <c r="AX100" s="178">
        <v>1450</v>
      </c>
      <c r="AY100" s="178">
        <v>1425</v>
      </c>
      <c r="AZ100" s="178">
        <v>1425</v>
      </c>
      <c r="BA100" s="178">
        <v>1425</v>
      </c>
      <c r="BB100" s="178">
        <v>1425</v>
      </c>
      <c r="BC100" s="178">
        <v>1425</v>
      </c>
      <c r="BD100" s="178">
        <v>1475</v>
      </c>
      <c r="BE100" s="178">
        <v>1475</v>
      </c>
      <c r="BF100" s="214">
        <v>1475</v>
      </c>
      <c r="BG100" s="214">
        <v>1475</v>
      </c>
      <c r="BH100" s="214">
        <v>1475</v>
      </c>
      <c r="BI100" s="214">
        <v>1475</v>
      </c>
      <c r="BJ100" s="214">
        <v>1475</v>
      </c>
      <c r="BK100" s="214">
        <v>1475</v>
      </c>
      <c r="BL100" s="214">
        <v>1475</v>
      </c>
      <c r="BM100" s="214">
        <v>1465</v>
      </c>
      <c r="BN100" s="214">
        <v>1465</v>
      </c>
      <c r="BO100" s="214">
        <v>1465</v>
      </c>
      <c r="BP100" s="214">
        <v>1465</v>
      </c>
      <c r="BQ100" s="214">
        <v>1465</v>
      </c>
      <c r="BR100" s="214">
        <v>1465</v>
      </c>
      <c r="BS100" s="214">
        <v>1465</v>
      </c>
      <c r="BT100" s="214">
        <v>1465</v>
      </c>
      <c r="BU100" s="214">
        <v>1415</v>
      </c>
      <c r="BV100" s="214">
        <v>1415</v>
      </c>
      <c r="BW100" s="214">
        <v>1415</v>
      </c>
      <c r="BX100" s="214">
        <v>1415</v>
      </c>
      <c r="BY100" s="214">
        <v>1415</v>
      </c>
      <c r="BZ100" s="214">
        <v>1415</v>
      </c>
      <c r="CA100" s="214">
        <v>1415</v>
      </c>
      <c r="CB100" s="214">
        <v>1415</v>
      </c>
      <c r="CC100" s="214">
        <v>1415</v>
      </c>
      <c r="CD100" s="214">
        <v>1415</v>
      </c>
      <c r="CE100" s="214">
        <v>1415</v>
      </c>
      <c r="CF100" s="214">
        <v>1415</v>
      </c>
      <c r="CG100" s="214">
        <v>1415</v>
      </c>
      <c r="CH100" s="214">
        <v>1415</v>
      </c>
      <c r="CI100" s="214">
        <v>1415</v>
      </c>
      <c r="CJ100" s="214">
        <v>1415</v>
      </c>
      <c r="CK100" s="214">
        <v>1415</v>
      </c>
      <c r="CL100" s="214">
        <v>1415</v>
      </c>
      <c r="CM100" s="214">
        <v>1415</v>
      </c>
      <c r="CN100" s="214">
        <v>1415</v>
      </c>
      <c r="CO100" s="214">
        <v>1375</v>
      </c>
      <c r="CP100" s="214">
        <v>1375</v>
      </c>
      <c r="CQ100" s="214">
        <v>1375</v>
      </c>
      <c r="CR100" s="214">
        <v>1375</v>
      </c>
      <c r="CS100" s="214">
        <v>1375</v>
      </c>
      <c r="CT100" s="214">
        <v>1375</v>
      </c>
      <c r="CU100" s="214">
        <v>1375</v>
      </c>
      <c r="CV100" s="214">
        <v>1375</v>
      </c>
      <c r="CW100" s="214">
        <v>1375</v>
      </c>
      <c r="CX100" s="214">
        <v>1375</v>
      </c>
      <c r="CY100" s="214">
        <v>1375</v>
      </c>
      <c r="CZ100" s="214">
        <v>1375</v>
      </c>
      <c r="DA100" s="214">
        <v>1375</v>
      </c>
      <c r="DB100" s="214">
        <v>1375</v>
      </c>
      <c r="DC100" s="214">
        <v>1375</v>
      </c>
      <c r="DD100" s="214">
        <v>1375</v>
      </c>
      <c r="DE100" s="214">
        <v>1375</v>
      </c>
      <c r="DF100" s="214">
        <v>1375</v>
      </c>
      <c r="DG100" s="214">
        <v>1375</v>
      </c>
      <c r="DH100" s="214">
        <v>1375</v>
      </c>
      <c r="DI100" s="214">
        <v>1375</v>
      </c>
      <c r="DJ100" s="214">
        <v>1375</v>
      </c>
      <c r="DK100" s="214">
        <v>1375</v>
      </c>
      <c r="DL100" s="214">
        <v>1375</v>
      </c>
      <c r="DM100" s="214">
        <v>1375</v>
      </c>
      <c r="DN100" s="214">
        <v>1375</v>
      </c>
      <c r="DO100" s="214">
        <v>1375</v>
      </c>
      <c r="DP100" s="214">
        <v>1375</v>
      </c>
      <c r="DQ100" s="178"/>
      <c r="DR100" s="178"/>
    </row>
    <row r="101" spans="1:122">
      <c r="A101" s="178" t="str">
        <f t="shared" si="43"/>
        <v>Methyl AcrylateUSD</v>
      </c>
      <c r="B101" s="178" t="s">
        <v>46</v>
      </c>
      <c r="C101" s="178" t="s">
        <v>82</v>
      </c>
      <c r="D101" s="178" t="s">
        <v>33</v>
      </c>
      <c r="E101" s="178" t="s">
        <v>32</v>
      </c>
      <c r="F101" s="178"/>
      <c r="G101" s="178"/>
      <c r="H101" s="178"/>
      <c r="I101" s="178"/>
      <c r="J101" s="178"/>
      <c r="K101" s="178"/>
      <c r="L101" s="178"/>
      <c r="M101" s="178"/>
      <c r="N101" s="178"/>
      <c r="O101" s="178"/>
      <c r="P101" s="178"/>
      <c r="Q101" s="178"/>
      <c r="R101" s="178"/>
      <c r="S101" s="178"/>
      <c r="T101" s="178"/>
      <c r="U101" s="178"/>
      <c r="V101" s="178"/>
      <c r="W101" s="178"/>
      <c r="X101" s="178"/>
      <c r="Y101" s="178"/>
      <c r="Z101" s="178"/>
      <c r="AA101" s="178">
        <v>2935</v>
      </c>
      <c r="AB101" s="178">
        <v>2922.5</v>
      </c>
      <c r="AC101" s="178">
        <v>2883.75</v>
      </c>
      <c r="AD101" s="178">
        <v>2760</v>
      </c>
      <c r="AE101" s="178">
        <v>2775</v>
      </c>
      <c r="AF101" s="178">
        <v>2795</v>
      </c>
      <c r="AG101" s="178">
        <v>2800</v>
      </c>
      <c r="AH101" s="178">
        <v>2752.5</v>
      </c>
      <c r="AI101" s="178">
        <v>2646</v>
      </c>
      <c r="AJ101" s="178">
        <v>2497.5</v>
      </c>
      <c r="AK101" s="178">
        <v>2135</v>
      </c>
      <c r="AL101" s="178">
        <v>1806.25</v>
      </c>
      <c r="AM101" s="178">
        <v>1780</v>
      </c>
      <c r="AN101" s="178">
        <v>1677</v>
      </c>
      <c r="AO101" s="178">
        <v>1585</v>
      </c>
      <c r="AP101" s="178">
        <v>1592.5</v>
      </c>
      <c r="AQ101" s="178">
        <v>1600</v>
      </c>
      <c r="AR101" s="178">
        <v>1592</v>
      </c>
      <c r="AS101" s="178">
        <v>1518.75</v>
      </c>
      <c r="AT101" s="178">
        <v>1515</v>
      </c>
      <c r="AU101" s="178">
        <v>1475</v>
      </c>
      <c r="AV101" s="178">
        <v>1475</v>
      </c>
      <c r="AW101" s="178">
        <v>1400</v>
      </c>
      <c r="AX101" s="178">
        <v>1400</v>
      </c>
      <c r="AY101" s="178">
        <v>1375</v>
      </c>
      <c r="AZ101" s="178">
        <v>1375</v>
      </c>
      <c r="BA101" s="178">
        <v>1375</v>
      </c>
      <c r="BB101" s="178">
        <v>1375</v>
      </c>
      <c r="BC101" s="178">
        <v>1375</v>
      </c>
      <c r="BD101" s="178">
        <v>1425</v>
      </c>
      <c r="BE101" s="178">
        <v>1425</v>
      </c>
      <c r="BF101" s="214">
        <v>1425</v>
      </c>
      <c r="BG101" s="214">
        <v>1425</v>
      </c>
      <c r="BH101" s="214">
        <v>1425</v>
      </c>
      <c r="BI101" s="214">
        <v>1425</v>
      </c>
      <c r="BJ101" s="214">
        <v>1425</v>
      </c>
      <c r="BK101" s="214">
        <v>1425</v>
      </c>
      <c r="BL101" s="214">
        <v>1425</v>
      </c>
      <c r="BM101" s="214">
        <v>1415</v>
      </c>
      <c r="BN101" s="214">
        <v>1415</v>
      </c>
      <c r="BO101" s="214">
        <v>1415</v>
      </c>
      <c r="BP101" s="214">
        <v>1415</v>
      </c>
      <c r="BQ101" s="214">
        <v>1415</v>
      </c>
      <c r="BR101" s="214">
        <v>1415</v>
      </c>
      <c r="BS101" s="214">
        <v>1415</v>
      </c>
      <c r="BT101" s="214">
        <v>1415</v>
      </c>
      <c r="BU101" s="214">
        <v>1415</v>
      </c>
      <c r="BV101" s="214">
        <v>1415</v>
      </c>
      <c r="BW101" s="214">
        <v>1420</v>
      </c>
      <c r="BX101" s="214">
        <v>1420</v>
      </c>
      <c r="BY101" s="214">
        <v>1420</v>
      </c>
      <c r="BZ101" s="214">
        <v>1420</v>
      </c>
      <c r="CA101" s="214">
        <v>1420</v>
      </c>
      <c r="CB101" s="214">
        <v>1420</v>
      </c>
      <c r="CC101" s="214">
        <v>1420</v>
      </c>
      <c r="CD101" s="214">
        <v>1420</v>
      </c>
      <c r="CE101" s="214">
        <v>1420</v>
      </c>
      <c r="CF101" s="214">
        <v>1420</v>
      </c>
      <c r="CG101" s="214">
        <v>1420</v>
      </c>
      <c r="CH101" s="214">
        <v>1420</v>
      </c>
      <c r="CI101" s="214">
        <v>1420</v>
      </c>
      <c r="CJ101" s="214">
        <v>1420</v>
      </c>
      <c r="CK101" s="214">
        <v>1420</v>
      </c>
      <c r="CL101" s="214">
        <v>1420</v>
      </c>
      <c r="CM101" s="214">
        <v>1420</v>
      </c>
      <c r="CN101" s="214">
        <v>1420</v>
      </c>
      <c r="CO101" s="214">
        <v>1375</v>
      </c>
      <c r="CP101" s="214">
        <v>1375</v>
      </c>
      <c r="CQ101" s="214">
        <v>1375</v>
      </c>
      <c r="CR101" s="214">
        <v>1375</v>
      </c>
      <c r="CS101" s="214">
        <v>1375</v>
      </c>
      <c r="CT101" s="214">
        <v>1375</v>
      </c>
      <c r="CU101" s="214">
        <v>1375</v>
      </c>
      <c r="CV101" s="214">
        <v>1375</v>
      </c>
      <c r="CW101" s="214">
        <v>1375</v>
      </c>
      <c r="CX101" s="214">
        <v>1375</v>
      </c>
      <c r="CY101" s="214">
        <v>1375</v>
      </c>
      <c r="CZ101" s="214">
        <v>1375</v>
      </c>
      <c r="DA101" s="214">
        <v>1375</v>
      </c>
      <c r="DB101" s="214">
        <v>1375</v>
      </c>
      <c r="DC101" s="214">
        <v>1345</v>
      </c>
      <c r="DD101" s="214">
        <v>1345</v>
      </c>
      <c r="DE101" s="214">
        <v>1345</v>
      </c>
      <c r="DF101" s="214">
        <v>1345</v>
      </c>
      <c r="DG101" s="214">
        <v>1345</v>
      </c>
      <c r="DH101" s="214">
        <v>1345</v>
      </c>
      <c r="DI101" s="214">
        <v>1375</v>
      </c>
      <c r="DJ101" s="214">
        <v>1375</v>
      </c>
      <c r="DK101" s="214">
        <v>1375</v>
      </c>
      <c r="DL101" s="214">
        <v>1375</v>
      </c>
      <c r="DM101" s="214">
        <v>1375</v>
      </c>
      <c r="DN101" s="214">
        <v>1375</v>
      </c>
      <c r="DO101" s="214">
        <v>1375</v>
      </c>
      <c r="DP101" s="214">
        <v>1375</v>
      </c>
      <c r="DQ101" s="178"/>
      <c r="DR101" s="178"/>
    </row>
    <row r="102" spans="1:122">
      <c r="A102" s="178" t="str">
        <f t="shared" si="43"/>
        <v>C16 Palmitic AcidUSD</v>
      </c>
      <c r="B102" s="178" t="s">
        <v>46</v>
      </c>
      <c r="C102" s="178" t="s">
        <v>145</v>
      </c>
      <c r="D102" s="178" t="s">
        <v>33</v>
      </c>
      <c r="E102" s="178" t="s">
        <v>32</v>
      </c>
      <c r="F102" s="178"/>
      <c r="G102" s="178"/>
      <c r="H102" s="178"/>
      <c r="I102" s="178"/>
      <c r="J102" s="178"/>
      <c r="K102" s="214"/>
      <c r="L102" s="214"/>
      <c r="M102" s="214"/>
      <c r="N102" s="214"/>
      <c r="O102" s="214"/>
      <c r="P102" s="214"/>
      <c r="Q102" s="214"/>
      <c r="R102" s="214"/>
      <c r="S102" s="214"/>
      <c r="T102" s="214"/>
      <c r="U102" s="214"/>
      <c r="V102" s="214"/>
      <c r="W102" s="214"/>
      <c r="X102" s="214"/>
      <c r="Y102" s="214"/>
      <c r="Z102" s="214"/>
      <c r="AA102" s="214">
        <v>1408.3333333333333</v>
      </c>
      <c r="AB102" s="214">
        <v>1443.75</v>
      </c>
      <c r="AC102" s="214">
        <v>1432.5</v>
      </c>
      <c r="AD102" s="214">
        <v>1455</v>
      </c>
      <c r="AE102" s="214">
        <v>1495</v>
      </c>
      <c r="AF102" s="214">
        <v>1725</v>
      </c>
      <c r="AG102" s="214">
        <v>1662.5</v>
      </c>
      <c r="AH102" s="214">
        <v>1650</v>
      </c>
      <c r="AI102" s="214">
        <v>1527.5</v>
      </c>
      <c r="AJ102" s="214">
        <v>1259.375</v>
      </c>
      <c r="AK102" s="214">
        <v>1200</v>
      </c>
      <c r="AL102" s="214">
        <v>1187.5</v>
      </c>
      <c r="AM102" s="214">
        <v>1077.5</v>
      </c>
      <c r="AN102" s="214">
        <v>1034</v>
      </c>
      <c r="AO102" s="214">
        <v>1050</v>
      </c>
      <c r="AP102" s="214">
        <v>1077.5</v>
      </c>
      <c r="AQ102" s="214">
        <v>1135</v>
      </c>
      <c r="AR102" s="214">
        <v>1149</v>
      </c>
      <c r="AS102" s="214">
        <v>1092.5</v>
      </c>
      <c r="AT102" s="214">
        <v>1049</v>
      </c>
      <c r="AU102" s="214">
        <v>958.75</v>
      </c>
      <c r="AV102" s="214">
        <v>1000</v>
      </c>
      <c r="AW102" s="214">
        <v>1005</v>
      </c>
      <c r="AX102" s="214">
        <v>1025</v>
      </c>
      <c r="AY102" s="214">
        <v>1025</v>
      </c>
      <c r="AZ102" s="214">
        <v>1035</v>
      </c>
      <c r="BA102" s="214">
        <v>1025</v>
      </c>
      <c r="BB102" s="214">
        <v>1025</v>
      </c>
      <c r="BC102" s="214">
        <v>1025</v>
      </c>
      <c r="BD102" s="214">
        <v>1000</v>
      </c>
      <c r="BE102" s="214">
        <v>990</v>
      </c>
      <c r="BF102" s="214">
        <v>990</v>
      </c>
      <c r="BG102" s="214">
        <v>990</v>
      </c>
      <c r="BH102" s="214">
        <v>990</v>
      </c>
      <c r="BI102" s="214">
        <v>985</v>
      </c>
      <c r="BJ102" s="214">
        <v>1000</v>
      </c>
      <c r="BK102" s="214">
        <v>1000</v>
      </c>
      <c r="BL102" s="214">
        <v>995</v>
      </c>
      <c r="BM102" s="214">
        <v>1000</v>
      </c>
      <c r="BN102" s="214">
        <v>1020</v>
      </c>
      <c r="BO102" s="214">
        <v>1020</v>
      </c>
      <c r="BP102" s="214">
        <v>1020</v>
      </c>
      <c r="BQ102" s="214">
        <v>1020</v>
      </c>
      <c r="BR102" s="214">
        <v>1060</v>
      </c>
      <c r="BS102" s="214">
        <v>1060</v>
      </c>
      <c r="BT102" s="214">
        <v>1060</v>
      </c>
      <c r="BU102" s="214">
        <v>1040</v>
      </c>
      <c r="BV102" s="214">
        <v>1040</v>
      </c>
      <c r="BW102" s="214">
        <v>1075</v>
      </c>
      <c r="BX102" s="214">
        <v>1075</v>
      </c>
      <c r="BY102" s="214">
        <v>1075</v>
      </c>
      <c r="BZ102" s="214">
        <v>1075</v>
      </c>
      <c r="CA102" s="214">
        <v>1085</v>
      </c>
      <c r="CB102" s="214">
        <v>1085</v>
      </c>
      <c r="CC102" s="214">
        <v>1135</v>
      </c>
      <c r="CD102" s="214">
        <v>1155</v>
      </c>
      <c r="CE102" s="214">
        <v>1175</v>
      </c>
      <c r="CF102" s="214">
        <v>1275</v>
      </c>
      <c r="CG102" s="214">
        <v>1275</v>
      </c>
      <c r="CH102" s="214">
        <v>1275</v>
      </c>
      <c r="CI102" s="214">
        <v>1245</v>
      </c>
      <c r="CJ102" s="214">
        <v>1225</v>
      </c>
      <c r="CK102" s="214">
        <v>1185</v>
      </c>
      <c r="CL102" s="214">
        <v>1185</v>
      </c>
      <c r="CM102" s="214">
        <v>1185</v>
      </c>
      <c r="CN102" s="214">
        <v>1185</v>
      </c>
      <c r="CO102" s="214">
        <v>1210</v>
      </c>
      <c r="CP102" s="214">
        <v>1210</v>
      </c>
      <c r="CQ102" s="214">
        <v>1240</v>
      </c>
      <c r="CR102" s="214">
        <v>1225</v>
      </c>
      <c r="CS102" s="214">
        <v>1275</v>
      </c>
      <c r="CT102" s="214">
        <v>1275</v>
      </c>
      <c r="CU102" s="214">
        <v>1295</v>
      </c>
      <c r="CV102" s="214">
        <v>1325</v>
      </c>
      <c r="CW102" s="214">
        <v>1325</v>
      </c>
      <c r="CX102" s="214">
        <v>1345</v>
      </c>
      <c r="CY102" s="214">
        <v>1345</v>
      </c>
      <c r="CZ102" s="214">
        <v>1375</v>
      </c>
      <c r="DA102" s="214">
        <v>1375</v>
      </c>
      <c r="DB102" s="214">
        <v>1375</v>
      </c>
      <c r="DC102" s="214">
        <v>1400</v>
      </c>
      <c r="DD102" s="214">
        <v>1400</v>
      </c>
      <c r="DE102" s="214">
        <v>1420</v>
      </c>
      <c r="DF102" s="214">
        <v>1437.5</v>
      </c>
      <c r="DG102" s="214">
        <v>1525</v>
      </c>
      <c r="DH102" s="214">
        <v>1525</v>
      </c>
      <c r="DI102" s="214">
        <v>1525</v>
      </c>
      <c r="DJ102" s="214">
        <v>1525</v>
      </c>
      <c r="DK102" s="214">
        <v>1575</v>
      </c>
      <c r="DL102" s="214">
        <v>1575</v>
      </c>
      <c r="DM102" s="214">
        <v>1625</v>
      </c>
      <c r="DN102" s="214">
        <v>1625</v>
      </c>
      <c r="DO102" s="214">
        <v>1625</v>
      </c>
      <c r="DP102" s="214">
        <v>1575</v>
      </c>
      <c r="DQ102" s="178"/>
      <c r="DR102" s="178"/>
    </row>
    <row r="103" spans="1:122">
      <c r="A103" s="178" t="str">
        <f t="shared" si="43"/>
        <v>Glycerine Crude 80%USD</v>
      </c>
      <c r="B103" s="178" t="s">
        <v>46</v>
      </c>
      <c r="C103" s="178" t="s">
        <v>146</v>
      </c>
      <c r="D103" s="178" t="s">
        <v>33</v>
      </c>
      <c r="E103" s="178" t="s">
        <v>32</v>
      </c>
      <c r="F103" s="178"/>
      <c r="G103" s="178"/>
      <c r="H103" s="178"/>
      <c r="I103" s="178"/>
      <c r="J103" s="178"/>
      <c r="K103" s="178"/>
      <c r="L103" s="178"/>
      <c r="M103" s="178"/>
      <c r="N103" s="178"/>
      <c r="O103" s="178"/>
      <c r="P103" s="178"/>
      <c r="Q103" s="178"/>
      <c r="R103" s="178"/>
      <c r="S103" s="178"/>
      <c r="T103" s="178"/>
      <c r="U103" s="178"/>
      <c r="V103" s="178"/>
      <c r="W103" s="178"/>
      <c r="X103" s="178"/>
      <c r="Y103" s="178"/>
      <c r="Z103" s="178"/>
      <c r="AA103" s="178">
        <v>910</v>
      </c>
      <c r="AB103" s="178">
        <v>930.625</v>
      </c>
      <c r="AC103" s="178">
        <v>785</v>
      </c>
      <c r="AD103" s="178">
        <v>742.5</v>
      </c>
      <c r="AE103" s="178">
        <v>855</v>
      </c>
      <c r="AF103" s="178">
        <v>1023</v>
      </c>
      <c r="AG103" s="178">
        <v>957.5</v>
      </c>
      <c r="AH103" s="178">
        <v>963.75</v>
      </c>
      <c r="AI103" s="178">
        <v>938</v>
      </c>
      <c r="AJ103" s="178">
        <v>537.5</v>
      </c>
      <c r="AK103" s="178">
        <v>433.75</v>
      </c>
      <c r="AL103" s="178">
        <v>430</v>
      </c>
      <c r="AM103" s="178">
        <v>339.375</v>
      </c>
      <c r="AN103" s="178">
        <v>264.375</v>
      </c>
      <c r="AO103" s="178">
        <v>280</v>
      </c>
      <c r="AP103" s="178">
        <v>303.75</v>
      </c>
      <c r="AQ103" s="178">
        <v>323.75</v>
      </c>
      <c r="AR103" s="178">
        <v>277</v>
      </c>
      <c r="AS103" s="178">
        <v>313.75</v>
      </c>
      <c r="AT103" s="178">
        <v>328.125</v>
      </c>
      <c r="AU103" s="178">
        <v>271</v>
      </c>
      <c r="AV103" s="178">
        <v>245</v>
      </c>
      <c r="AW103" s="178">
        <v>260</v>
      </c>
      <c r="AX103" s="178">
        <v>282.5</v>
      </c>
      <c r="AY103" s="178">
        <v>295</v>
      </c>
      <c r="AZ103" s="178">
        <v>300</v>
      </c>
      <c r="BA103" s="178">
        <v>300</v>
      </c>
      <c r="BB103" s="178">
        <v>290</v>
      </c>
      <c r="BC103" s="178">
        <v>280</v>
      </c>
      <c r="BD103" s="178">
        <v>275</v>
      </c>
      <c r="BE103" s="178">
        <v>275</v>
      </c>
      <c r="BF103" s="214">
        <v>270</v>
      </c>
      <c r="BG103" s="214">
        <v>270</v>
      </c>
      <c r="BH103" s="214">
        <v>270</v>
      </c>
      <c r="BI103" s="214">
        <v>270</v>
      </c>
      <c r="BJ103" s="214">
        <v>270</v>
      </c>
      <c r="BK103" s="214">
        <v>270</v>
      </c>
      <c r="BL103" s="214">
        <v>267.5</v>
      </c>
      <c r="BM103" s="214">
        <v>267.5</v>
      </c>
      <c r="BN103" s="214">
        <v>267.5</v>
      </c>
      <c r="BO103" s="214">
        <v>265</v>
      </c>
      <c r="BP103" s="214">
        <v>265</v>
      </c>
      <c r="BQ103" s="214">
        <v>265</v>
      </c>
      <c r="BR103" s="214">
        <v>250</v>
      </c>
      <c r="BS103" s="214">
        <v>250</v>
      </c>
      <c r="BT103" s="214">
        <v>255</v>
      </c>
      <c r="BU103" s="214">
        <v>265</v>
      </c>
      <c r="BV103" s="214">
        <v>267.5</v>
      </c>
      <c r="BW103" s="214">
        <v>275</v>
      </c>
      <c r="BX103" s="214">
        <v>275</v>
      </c>
      <c r="BY103" s="214">
        <v>275</v>
      </c>
      <c r="BZ103" s="214">
        <v>275</v>
      </c>
      <c r="CA103" s="214">
        <v>290</v>
      </c>
      <c r="CB103" s="214">
        <v>290</v>
      </c>
      <c r="CC103" s="214">
        <v>290</v>
      </c>
      <c r="CD103" s="214">
        <v>292.5</v>
      </c>
      <c r="CE103" s="214">
        <v>297.5</v>
      </c>
      <c r="CF103" s="214">
        <v>290</v>
      </c>
      <c r="CG103" s="214">
        <v>287.5</v>
      </c>
      <c r="CH103" s="214">
        <v>287.5</v>
      </c>
      <c r="CI103" s="214">
        <v>282.5</v>
      </c>
      <c r="CJ103" s="214">
        <v>282.5</v>
      </c>
      <c r="CK103" s="214">
        <v>282.5</v>
      </c>
      <c r="CL103" s="214">
        <v>282.5</v>
      </c>
      <c r="CM103" s="214">
        <v>282.5</v>
      </c>
      <c r="CN103" s="214">
        <v>285</v>
      </c>
      <c r="CO103" s="214">
        <v>285</v>
      </c>
      <c r="CP103" s="214">
        <v>290</v>
      </c>
      <c r="CQ103" s="214">
        <v>297.5</v>
      </c>
      <c r="CR103" s="214">
        <v>300</v>
      </c>
      <c r="CS103" s="214">
        <v>305</v>
      </c>
      <c r="CT103" s="214">
        <v>305</v>
      </c>
      <c r="CU103" s="214">
        <v>320</v>
      </c>
      <c r="CV103" s="214">
        <v>320</v>
      </c>
      <c r="CW103" s="214">
        <v>335</v>
      </c>
      <c r="CX103" s="214">
        <v>345</v>
      </c>
      <c r="CY103" s="214">
        <v>350</v>
      </c>
      <c r="CZ103" s="214">
        <v>350</v>
      </c>
      <c r="DA103" s="214">
        <v>350</v>
      </c>
      <c r="DB103" s="214">
        <v>350</v>
      </c>
      <c r="DC103" s="214">
        <v>345</v>
      </c>
      <c r="DD103" s="214">
        <v>355</v>
      </c>
      <c r="DE103" s="214">
        <v>365</v>
      </c>
      <c r="DF103" s="214">
        <v>380</v>
      </c>
      <c r="DG103" s="214">
        <v>405</v>
      </c>
      <c r="DH103" s="214">
        <v>405</v>
      </c>
      <c r="DI103" s="214">
        <v>410</v>
      </c>
      <c r="DJ103" s="214">
        <v>405</v>
      </c>
      <c r="DK103" s="214">
        <v>400</v>
      </c>
      <c r="DL103" s="214">
        <v>405</v>
      </c>
      <c r="DM103" s="214">
        <v>405</v>
      </c>
      <c r="DN103" s="214">
        <v>410</v>
      </c>
      <c r="DO103" s="214">
        <v>430</v>
      </c>
      <c r="DP103" s="214">
        <v>442.5</v>
      </c>
      <c r="DQ103" s="178"/>
      <c r="DR103" s="178"/>
    </row>
    <row r="104" spans="1:122">
      <c r="A104" s="178" t="str">
        <f t="shared" si="43"/>
        <v>Distilled Soya Fatty Acid INR</v>
      </c>
      <c r="B104" s="178" t="s">
        <v>44</v>
      </c>
      <c r="C104" s="178" t="s">
        <v>147</v>
      </c>
      <c r="D104" s="178" t="s">
        <v>43</v>
      </c>
      <c r="E104" s="178" t="s">
        <v>34</v>
      </c>
      <c r="F104" s="178"/>
      <c r="G104" s="178"/>
      <c r="H104" s="178"/>
      <c r="I104" s="178"/>
      <c r="J104" s="178"/>
      <c r="K104" s="178"/>
      <c r="L104" s="178"/>
      <c r="M104" s="178"/>
      <c r="N104" s="178"/>
      <c r="O104" s="178"/>
      <c r="P104" s="178"/>
      <c r="Q104" s="178"/>
      <c r="R104" s="178"/>
      <c r="S104" s="178"/>
      <c r="T104" s="178"/>
      <c r="U104" s="178"/>
      <c r="V104" s="178"/>
      <c r="W104" s="178"/>
      <c r="X104" s="178"/>
      <c r="Y104" s="178"/>
      <c r="Z104" s="178"/>
      <c r="AA104" s="178">
        <v>113</v>
      </c>
      <c r="AB104" s="178">
        <v>111.15384615384616</v>
      </c>
      <c r="AC104" s="178">
        <v>110</v>
      </c>
      <c r="AD104" s="178">
        <v>99.591818181818184</v>
      </c>
      <c r="AE104" s="178">
        <v>104</v>
      </c>
      <c r="AF104" s="178">
        <v>116.61481481481482</v>
      </c>
      <c r="AG104" s="178">
        <v>95.7</v>
      </c>
      <c r="AH104" s="178">
        <v>95.7</v>
      </c>
      <c r="AI104" s="178">
        <v>115.15</v>
      </c>
      <c r="AJ104" s="178">
        <v>112.125</v>
      </c>
      <c r="AK104" s="178">
        <v>105.47368421052632</v>
      </c>
      <c r="AL104" s="277">
        <v>105.47368421052632</v>
      </c>
      <c r="AM104" s="277">
        <v>105.47368421052632</v>
      </c>
      <c r="AN104" s="277">
        <v>105.47368421052632</v>
      </c>
      <c r="AO104" s="277">
        <v>105.47368421052632</v>
      </c>
      <c r="AP104" s="277">
        <v>105.47368421052632</v>
      </c>
      <c r="AQ104" s="277">
        <v>105.47368421052632</v>
      </c>
      <c r="AR104" s="178">
        <v>87.666666666666671</v>
      </c>
      <c r="AS104" s="178">
        <v>86</v>
      </c>
      <c r="AT104" s="178">
        <v>86</v>
      </c>
      <c r="AU104" s="178">
        <v>96</v>
      </c>
      <c r="AV104" s="178">
        <v>93.272244897959183</v>
      </c>
      <c r="AW104" s="178">
        <v>93.272244897959183</v>
      </c>
      <c r="AX104" s="178">
        <v>93.272244897959183</v>
      </c>
      <c r="AY104" s="178">
        <v>93.272244897959183</v>
      </c>
      <c r="AZ104" s="178">
        <v>77.955262008733627</v>
      </c>
      <c r="BA104" s="178">
        <v>77.955262008733627</v>
      </c>
      <c r="BB104" s="178">
        <v>77.955262008733627</v>
      </c>
      <c r="BC104" s="178">
        <v>77.955262008733627</v>
      </c>
      <c r="BD104" s="178">
        <v>101.91071428571429</v>
      </c>
      <c r="BE104" s="178">
        <v>101.91071428571429</v>
      </c>
      <c r="BF104" s="178">
        <v>101.91071428571429</v>
      </c>
      <c r="BG104" s="178">
        <v>101.91071428571429</v>
      </c>
      <c r="BH104" s="214">
        <v>92</v>
      </c>
      <c r="BI104" s="214">
        <v>92</v>
      </c>
      <c r="BJ104" s="214">
        <v>86</v>
      </c>
      <c r="BK104" s="214">
        <v>86</v>
      </c>
      <c r="BL104" s="214">
        <v>78.5</v>
      </c>
      <c r="BM104" s="214">
        <v>78.5</v>
      </c>
      <c r="BN104" s="214">
        <v>78.5</v>
      </c>
      <c r="BO104" s="214">
        <v>82</v>
      </c>
      <c r="BP104" s="214">
        <v>77.5</v>
      </c>
      <c r="BQ104" s="214">
        <v>77.5</v>
      </c>
      <c r="BR104" s="214">
        <v>79</v>
      </c>
      <c r="BS104" s="214">
        <v>81</v>
      </c>
      <c r="BT104" s="214">
        <v>81</v>
      </c>
      <c r="BU104" s="214">
        <v>86</v>
      </c>
      <c r="BV104" s="214">
        <v>86</v>
      </c>
      <c r="BW104" s="214">
        <v>86</v>
      </c>
      <c r="BX104" s="214">
        <v>85</v>
      </c>
      <c r="BY104" s="214">
        <v>85</v>
      </c>
      <c r="BZ104" s="214">
        <v>90</v>
      </c>
      <c r="CA104" s="214">
        <v>90</v>
      </c>
      <c r="CB104" s="214">
        <v>96</v>
      </c>
      <c r="CC104" s="214">
        <v>98</v>
      </c>
      <c r="CD104" s="214">
        <v>98.5</v>
      </c>
      <c r="CE104" s="214">
        <v>94</v>
      </c>
      <c r="CF104" s="232">
        <v>94</v>
      </c>
      <c r="CG104" s="232">
        <v>94</v>
      </c>
      <c r="CH104" s="232">
        <v>94</v>
      </c>
      <c r="CI104" s="214">
        <v>92</v>
      </c>
      <c r="CJ104" s="214">
        <v>87</v>
      </c>
      <c r="CK104" s="214">
        <v>85</v>
      </c>
      <c r="CL104" s="214">
        <v>89</v>
      </c>
      <c r="CM104" s="214">
        <v>90</v>
      </c>
      <c r="CN104" s="214">
        <v>90</v>
      </c>
      <c r="CO104" s="214">
        <v>90</v>
      </c>
      <c r="CP104" s="214">
        <v>92</v>
      </c>
      <c r="CQ104" s="214">
        <v>92</v>
      </c>
      <c r="CR104" s="214">
        <v>92</v>
      </c>
      <c r="CS104" s="214">
        <v>92</v>
      </c>
      <c r="CT104" s="214">
        <v>85</v>
      </c>
      <c r="CU104" s="214">
        <v>85</v>
      </c>
      <c r="CV104" s="214">
        <v>85</v>
      </c>
      <c r="CW104" s="214">
        <v>85</v>
      </c>
      <c r="CX104" s="214">
        <v>85</v>
      </c>
      <c r="CY104" s="214">
        <v>85</v>
      </c>
      <c r="CZ104" s="214">
        <v>89</v>
      </c>
      <c r="DA104" s="214">
        <v>89</v>
      </c>
      <c r="DB104" s="214">
        <v>91</v>
      </c>
      <c r="DC104" s="214">
        <v>91</v>
      </c>
      <c r="DD104" s="214">
        <v>91</v>
      </c>
      <c r="DE104" s="214">
        <v>95</v>
      </c>
      <c r="DF104" s="214">
        <v>88</v>
      </c>
      <c r="DG104" s="214">
        <v>88</v>
      </c>
      <c r="DH104" s="214">
        <v>88</v>
      </c>
      <c r="DI104" s="214">
        <v>88</v>
      </c>
      <c r="DJ104" s="214">
        <v>88</v>
      </c>
      <c r="DK104" s="214">
        <v>90</v>
      </c>
      <c r="DL104" s="214">
        <v>90</v>
      </c>
      <c r="DM104" s="214">
        <v>93</v>
      </c>
      <c r="DN104" s="214">
        <v>95</v>
      </c>
      <c r="DO104" s="214">
        <v>95</v>
      </c>
      <c r="DP104" s="214">
        <v>93</v>
      </c>
      <c r="DQ104" s="178"/>
      <c r="DR104" s="178"/>
    </row>
    <row r="105" spans="1:122">
      <c r="A105" s="178" t="str">
        <f t="shared" si="43"/>
        <v>Distilled Soya Fatty Acid USD</v>
      </c>
      <c r="B105" s="178" t="s">
        <v>44</v>
      </c>
      <c r="C105" s="178" t="s">
        <v>147</v>
      </c>
      <c r="D105" s="178" t="s">
        <v>33</v>
      </c>
      <c r="E105" s="178" t="s">
        <v>34</v>
      </c>
      <c r="F105" s="178"/>
      <c r="G105" s="178"/>
      <c r="H105" s="178"/>
      <c r="I105" s="178"/>
      <c r="J105" s="178"/>
      <c r="K105" s="178"/>
      <c r="L105" s="178"/>
      <c r="M105" s="178"/>
      <c r="N105" s="178"/>
      <c r="O105" s="178"/>
      <c r="P105" s="178"/>
      <c r="Q105" s="178"/>
      <c r="R105" s="178"/>
      <c r="S105" s="178"/>
      <c r="T105" s="178"/>
      <c r="U105" s="178"/>
      <c r="V105" s="178"/>
      <c r="W105" s="178"/>
      <c r="X105" s="178"/>
      <c r="Y105" s="178"/>
      <c r="Z105" s="178"/>
      <c r="AA105" s="266">
        <f>AA104/AA1</f>
        <v>1.5084768388733147</v>
      </c>
      <c r="AB105" s="266">
        <f t="shared" ref="AB105:CM105" si="56">AB104/AB1</f>
        <v>1.492598981520695</v>
      </c>
      <c r="AC105" s="266">
        <f t="shared" si="56"/>
        <v>1.458499071864227</v>
      </c>
      <c r="AD105" s="266">
        <f t="shared" si="56"/>
        <v>1.337700714329324</v>
      </c>
      <c r="AE105" s="266">
        <f t="shared" si="56"/>
        <v>1.3874066168623267</v>
      </c>
      <c r="AF105" s="266">
        <f t="shared" si="56"/>
        <v>1.530177336501966</v>
      </c>
      <c r="AG105" s="266">
        <f t="shared" si="56"/>
        <v>1.2524452619583493</v>
      </c>
      <c r="AH105" s="266">
        <f t="shared" si="56"/>
        <v>1.2377250045347685</v>
      </c>
      <c r="AI105" s="266">
        <f t="shared" si="56"/>
        <v>1.4748718984127476</v>
      </c>
      <c r="AJ105" s="266">
        <f t="shared" si="56"/>
        <v>1.4085780571639965</v>
      </c>
      <c r="AK105" s="266">
        <f t="shared" si="56"/>
        <v>1.325930237543534</v>
      </c>
      <c r="AL105" s="266">
        <f t="shared" ref="AL105:AV105" si="57">AL104/AL1</f>
        <v>1.3146159862921643</v>
      </c>
      <c r="AM105" s="266">
        <f t="shared" si="57"/>
        <v>1.280951357374317</v>
      </c>
      <c r="AN105" s="266">
        <f t="shared" si="57"/>
        <v>1.289243552520841</v>
      </c>
      <c r="AO105" s="266">
        <f t="shared" si="57"/>
        <v>1.2790237068848538</v>
      </c>
      <c r="AP105" s="266">
        <f t="shared" si="57"/>
        <v>1.287841411626951</v>
      </c>
      <c r="AQ105" s="266">
        <f t="shared" si="57"/>
        <v>1.2843590479553968</v>
      </c>
      <c r="AR105" s="266">
        <f t="shared" si="57"/>
        <v>1.0675219831392413</v>
      </c>
      <c r="AS105" s="266">
        <f t="shared" si="57"/>
        <v>1.0472268884027538</v>
      </c>
      <c r="AT105" s="266">
        <f t="shared" si="57"/>
        <v>1.0472268884027538</v>
      </c>
      <c r="AU105" s="266">
        <f t="shared" si="57"/>
        <v>1.1636363636363636</v>
      </c>
      <c r="AV105" s="266">
        <f t="shared" si="57"/>
        <v>1.1313954985196408</v>
      </c>
      <c r="AW105" s="266">
        <f t="shared" si="56"/>
        <v>1.1349749926741199</v>
      </c>
      <c r="AX105" s="266">
        <f t="shared" si="56"/>
        <v>1.1385772082270409</v>
      </c>
      <c r="AY105" s="266">
        <f t="shared" si="56"/>
        <v>1.1338711998293116</v>
      </c>
      <c r="AZ105" s="266">
        <f t="shared" si="56"/>
        <v>0.94114767606825578</v>
      </c>
      <c r="BA105" s="266">
        <f t="shared" si="56"/>
        <v>0.93639954364845202</v>
      </c>
      <c r="BB105" s="266">
        <f t="shared" si="56"/>
        <v>0.93639954364845202</v>
      </c>
      <c r="BC105" s="266">
        <f t="shared" si="56"/>
        <v>0.94319736247711583</v>
      </c>
      <c r="BD105" s="266">
        <f t="shared" si="56"/>
        <v>1.2271007138556809</v>
      </c>
      <c r="BE105" s="266">
        <f t="shared" si="56"/>
        <v>1.2287281683833409</v>
      </c>
      <c r="BF105" s="266">
        <f t="shared" si="56"/>
        <v>1.2288763328797092</v>
      </c>
      <c r="BG105" s="266">
        <f t="shared" si="56"/>
        <v>1.2240056964414399</v>
      </c>
      <c r="BH105" s="216">
        <f t="shared" si="56"/>
        <v>1.1055034847392453</v>
      </c>
      <c r="BI105" s="216">
        <f t="shared" si="56"/>
        <v>1.1051051051051051</v>
      </c>
      <c r="BJ105" s="216">
        <f t="shared" si="56"/>
        <v>1.0346487006737246</v>
      </c>
      <c r="BK105" s="216">
        <f t="shared" si="56"/>
        <v>1.0329089598846986</v>
      </c>
      <c r="BL105" s="216">
        <f t="shared" si="56"/>
        <v>0.94328286469598654</v>
      </c>
      <c r="BM105" s="216">
        <f t="shared" si="56"/>
        <v>0.94362303161437677</v>
      </c>
      <c r="BN105" s="216">
        <f t="shared" si="56"/>
        <v>0.94362303161437677</v>
      </c>
      <c r="BO105" s="216">
        <f t="shared" si="56"/>
        <v>0.98403936157446303</v>
      </c>
      <c r="BP105" s="216">
        <f t="shared" si="56"/>
        <v>0.92925659472422051</v>
      </c>
      <c r="BQ105" s="216">
        <f t="shared" si="56"/>
        <v>0.92970249520153547</v>
      </c>
      <c r="BR105" s="216">
        <f t="shared" si="56"/>
        <v>0.94906295050456513</v>
      </c>
      <c r="BS105" s="216">
        <f t="shared" si="56"/>
        <v>0.97215554488718203</v>
      </c>
      <c r="BT105" s="216">
        <f t="shared" si="56"/>
        <v>0.97426028385855179</v>
      </c>
      <c r="BU105" s="216">
        <f t="shared" si="56"/>
        <v>1.0342754058929644</v>
      </c>
      <c r="BV105" s="216">
        <f t="shared" si="56"/>
        <v>1.0330330330330331</v>
      </c>
      <c r="BW105" s="216">
        <f t="shared" si="56"/>
        <v>1.0353960992053937</v>
      </c>
      <c r="BX105" s="216">
        <f t="shared" si="56"/>
        <v>1.0240963855421688</v>
      </c>
      <c r="BY105" s="216">
        <f t="shared" si="56"/>
        <v>1.0239730152993614</v>
      </c>
      <c r="BZ105" s="216">
        <f t="shared" si="56"/>
        <v>1.0856453558504222</v>
      </c>
      <c r="CA105" s="216">
        <f>CA104/CA1</f>
        <v>1.0856453558504222</v>
      </c>
      <c r="CB105" s="216">
        <f t="shared" si="56"/>
        <v>1.1608222490931075</v>
      </c>
      <c r="CC105" s="216">
        <f t="shared" si="56"/>
        <v>1.1841469308844852</v>
      </c>
      <c r="CD105" s="216">
        <f t="shared" si="56"/>
        <v>1.1830410761470094</v>
      </c>
      <c r="CE105" s="216">
        <f t="shared" si="56"/>
        <v>1.1272334812327618</v>
      </c>
      <c r="CF105" s="216">
        <f t="shared" si="56"/>
        <v>1.1296719144333616</v>
      </c>
      <c r="CG105" s="216">
        <f t="shared" si="56"/>
        <v>1.1270983213429255</v>
      </c>
      <c r="CH105" s="216">
        <f t="shared" si="56"/>
        <v>1.1242674321253439</v>
      </c>
      <c r="CI105" s="216">
        <f t="shared" si="56"/>
        <v>1.1028530328458404</v>
      </c>
      <c r="CJ105" s="216">
        <f t="shared" si="56"/>
        <v>1.0419161676646707</v>
      </c>
      <c r="CK105" s="216">
        <f t="shared" si="56"/>
        <v>1.0197960407918416</v>
      </c>
      <c r="CL105" s="216">
        <f t="shared" si="56"/>
        <v>1.0677864427114578</v>
      </c>
      <c r="CM105" s="216">
        <f t="shared" si="56"/>
        <v>1.0797840431913619</v>
      </c>
      <c r="CN105" s="216">
        <f t="shared" ref="CN105:DP105" si="58">CN104/CN1</f>
        <v>1.0797840431913619</v>
      </c>
      <c r="CO105" s="216">
        <f t="shared" si="58"/>
        <v>1.0728334724043389</v>
      </c>
      <c r="CP105" s="216">
        <f t="shared" si="58"/>
        <v>1.1031175059952039</v>
      </c>
      <c r="CQ105" s="216">
        <f t="shared" si="58"/>
        <v>1.1017964071856288</v>
      </c>
      <c r="CR105" s="216">
        <f t="shared" si="58"/>
        <v>1.1024565608148591</v>
      </c>
      <c r="CS105" s="216">
        <f t="shared" si="58"/>
        <v>1.1021924044566911</v>
      </c>
      <c r="CT105" s="216">
        <f t="shared" si="58"/>
        <v>1.0173548773189707</v>
      </c>
      <c r="CU105" s="216">
        <f t="shared" si="58"/>
        <v>1.015531660692951</v>
      </c>
      <c r="CV105" s="216">
        <f t="shared" si="58"/>
        <v>1.0151678012659739</v>
      </c>
      <c r="CW105" s="216">
        <f t="shared" si="58"/>
        <v>1.0125074449076832</v>
      </c>
      <c r="CX105" s="216">
        <f t="shared" si="58"/>
        <v>1.0123868508813723</v>
      </c>
      <c r="CY105" s="216">
        <f t="shared" si="58"/>
        <v>1.0131108462455303</v>
      </c>
      <c r="CZ105" s="216">
        <f t="shared" si="58"/>
        <v>1.0609131004887353</v>
      </c>
      <c r="DA105" s="216">
        <f t="shared" si="58"/>
        <v>1.0600285850404956</v>
      </c>
      <c r="DB105" s="216">
        <f t="shared" si="58"/>
        <v>1.0838494521200572</v>
      </c>
      <c r="DC105" s="216">
        <f t="shared" si="58"/>
        <v>1.0887772194304859</v>
      </c>
      <c r="DD105" s="216">
        <f t="shared" si="58"/>
        <v>1.0877360745876166</v>
      </c>
      <c r="DE105" s="216">
        <f t="shared" si="58"/>
        <v>1.1313564368226747</v>
      </c>
      <c r="DF105" s="216">
        <f t="shared" si="58"/>
        <v>1.0467467586535031</v>
      </c>
      <c r="DG105" s="216">
        <f t="shared" si="58"/>
        <v>1.0467467586535031</v>
      </c>
      <c r="DH105" s="216">
        <f t="shared" si="58"/>
        <v>1.0466222645099905</v>
      </c>
      <c r="DI105" s="216">
        <f t="shared" si="58"/>
        <v>1.0461245839277222</v>
      </c>
      <c r="DJ105" s="216">
        <f t="shared" si="58"/>
        <v>1.0426540284360188</v>
      </c>
      <c r="DK105" s="216">
        <f t="shared" si="58"/>
        <v>1.067995728017088</v>
      </c>
      <c r="DL105" s="216">
        <f t="shared" si="58"/>
        <v>1.0634526763559022</v>
      </c>
      <c r="DM105" s="216">
        <f t="shared" si="58"/>
        <v>1.0981225646475381</v>
      </c>
      <c r="DN105" s="216">
        <f t="shared" si="58"/>
        <v>1.1198868324885065</v>
      </c>
      <c r="DO105" s="216">
        <f t="shared" si="58"/>
        <v>1.118699952896844</v>
      </c>
      <c r="DP105" s="216">
        <f t="shared" si="58"/>
        <v>1.0918055881662361</v>
      </c>
      <c r="DQ105" s="178"/>
      <c r="DR105" s="178"/>
    </row>
    <row r="106" spans="1:122">
      <c r="A106" s="178" t="str">
        <f t="shared" si="43"/>
        <v>LFAINR</v>
      </c>
      <c r="B106" s="178" t="s">
        <v>44</v>
      </c>
      <c r="C106" s="178" t="s">
        <v>148</v>
      </c>
      <c r="D106" s="178" t="s">
        <v>43</v>
      </c>
      <c r="E106" s="178" t="s">
        <v>34</v>
      </c>
      <c r="F106" s="178"/>
      <c r="G106" s="178"/>
      <c r="H106" s="178"/>
      <c r="I106" s="178"/>
      <c r="J106" s="262"/>
      <c r="K106" s="262"/>
      <c r="L106" s="262"/>
      <c r="M106" s="262"/>
      <c r="N106" s="262"/>
      <c r="O106" s="262"/>
      <c r="P106" s="262"/>
      <c r="Q106" s="262"/>
      <c r="R106" s="262"/>
      <c r="S106" s="262"/>
      <c r="T106" s="262"/>
      <c r="U106" s="262"/>
      <c r="V106" s="262"/>
      <c r="W106" s="262"/>
      <c r="X106" s="262"/>
      <c r="Y106" s="262"/>
      <c r="Z106" s="262"/>
      <c r="AA106" s="262">
        <f>AA104-6</f>
        <v>107</v>
      </c>
      <c r="AB106" s="262">
        <f t="shared" ref="AB106:BI106" si="59">AB104-6</f>
        <v>105.15384615384616</v>
      </c>
      <c r="AC106" s="262">
        <f t="shared" si="59"/>
        <v>104</v>
      </c>
      <c r="AD106" s="262">
        <f t="shared" si="59"/>
        <v>93.591818181818184</v>
      </c>
      <c r="AE106" s="262">
        <f t="shared" si="59"/>
        <v>98</v>
      </c>
      <c r="AF106" s="262">
        <f t="shared" si="59"/>
        <v>110.61481481481482</v>
      </c>
      <c r="AG106" s="262">
        <f t="shared" si="59"/>
        <v>89.7</v>
      </c>
      <c r="AH106" s="262">
        <f t="shared" si="59"/>
        <v>89.7</v>
      </c>
      <c r="AI106" s="262">
        <f t="shared" si="59"/>
        <v>109.15</v>
      </c>
      <c r="AJ106" s="262">
        <f t="shared" si="59"/>
        <v>106.125</v>
      </c>
      <c r="AK106" s="262">
        <f t="shared" si="59"/>
        <v>99.473684210526315</v>
      </c>
      <c r="AL106" s="262">
        <f t="shared" ref="AL106:AV106" si="60">AL104-6</f>
        <v>99.473684210526315</v>
      </c>
      <c r="AM106" s="262">
        <f t="shared" si="60"/>
        <v>99.473684210526315</v>
      </c>
      <c r="AN106" s="262">
        <f t="shared" si="60"/>
        <v>99.473684210526315</v>
      </c>
      <c r="AO106" s="262">
        <f t="shared" si="60"/>
        <v>99.473684210526315</v>
      </c>
      <c r="AP106" s="262">
        <f t="shared" si="60"/>
        <v>99.473684210526315</v>
      </c>
      <c r="AQ106" s="262">
        <f t="shared" si="60"/>
        <v>99.473684210526315</v>
      </c>
      <c r="AR106" s="262">
        <f t="shared" si="60"/>
        <v>81.666666666666671</v>
      </c>
      <c r="AS106" s="262">
        <f t="shared" si="60"/>
        <v>80</v>
      </c>
      <c r="AT106" s="262">
        <f t="shared" si="60"/>
        <v>80</v>
      </c>
      <c r="AU106" s="262">
        <f t="shared" si="60"/>
        <v>90</v>
      </c>
      <c r="AV106" s="262">
        <f t="shared" si="60"/>
        <v>87.272244897959183</v>
      </c>
      <c r="AW106" s="262">
        <f t="shared" si="59"/>
        <v>87.272244897959183</v>
      </c>
      <c r="AX106" s="262">
        <f t="shared" si="59"/>
        <v>87.272244897959183</v>
      </c>
      <c r="AY106" s="262">
        <f t="shared" si="59"/>
        <v>87.272244897959183</v>
      </c>
      <c r="AZ106" s="262">
        <f t="shared" si="59"/>
        <v>71.955262008733627</v>
      </c>
      <c r="BA106" s="262">
        <f t="shared" si="59"/>
        <v>71.955262008733627</v>
      </c>
      <c r="BB106" s="262">
        <f t="shared" si="59"/>
        <v>71.955262008733627</v>
      </c>
      <c r="BC106" s="262">
        <f>BC104-6</f>
        <v>71.955262008733627</v>
      </c>
      <c r="BD106" s="262">
        <f t="shared" si="59"/>
        <v>95.910714285714292</v>
      </c>
      <c r="BE106" s="262">
        <f t="shared" si="59"/>
        <v>95.910714285714292</v>
      </c>
      <c r="BF106" s="262">
        <f t="shared" si="59"/>
        <v>95.910714285714292</v>
      </c>
      <c r="BG106" s="262">
        <f t="shared" si="59"/>
        <v>95.910714285714292</v>
      </c>
      <c r="BH106" s="214">
        <f t="shared" si="59"/>
        <v>86</v>
      </c>
      <c r="BI106" s="214">
        <f t="shared" si="59"/>
        <v>86</v>
      </c>
      <c r="BJ106" s="214">
        <f>BJ104-6</f>
        <v>80</v>
      </c>
      <c r="BK106" s="214">
        <f>BK104-6</f>
        <v>80</v>
      </c>
      <c r="BL106" s="214">
        <f>BL104-6</f>
        <v>72.5</v>
      </c>
      <c r="BM106" s="214">
        <f t="shared" ref="BM106:DC106" si="61">BM104-6</f>
        <v>72.5</v>
      </c>
      <c r="BN106" s="214">
        <f t="shared" si="61"/>
        <v>72.5</v>
      </c>
      <c r="BO106" s="214">
        <f t="shared" si="61"/>
        <v>76</v>
      </c>
      <c r="BP106" s="214">
        <f t="shared" si="61"/>
        <v>71.5</v>
      </c>
      <c r="BQ106" s="214">
        <f t="shared" si="61"/>
        <v>71.5</v>
      </c>
      <c r="BR106" s="214">
        <f t="shared" si="61"/>
        <v>73</v>
      </c>
      <c r="BS106" s="214">
        <f t="shared" si="61"/>
        <v>75</v>
      </c>
      <c r="BT106" s="214">
        <f t="shared" si="61"/>
        <v>75</v>
      </c>
      <c r="BU106" s="214">
        <f t="shared" si="61"/>
        <v>80</v>
      </c>
      <c r="BV106" s="214">
        <f t="shared" si="61"/>
        <v>80</v>
      </c>
      <c r="BW106" s="214">
        <f t="shared" si="61"/>
        <v>80</v>
      </c>
      <c r="BX106" s="214">
        <f t="shared" si="61"/>
        <v>79</v>
      </c>
      <c r="BY106" s="214">
        <f t="shared" si="61"/>
        <v>79</v>
      </c>
      <c r="BZ106" s="214">
        <f t="shared" si="61"/>
        <v>84</v>
      </c>
      <c r="CA106" s="214">
        <f t="shared" si="61"/>
        <v>84</v>
      </c>
      <c r="CB106" s="214">
        <f t="shared" si="61"/>
        <v>90</v>
      </c>
      <c r="CC106" s="214">
        <f>CC104-6</f>
        <v>92</v>
      </c>
      <c r="CD106" s="214">
        <f t="shared" si="61"/>
        <v>92.5</v>
      </c>
      <c r="CE106" s="214">
        <f t="shared" si="61"/>
        <v>88</v>
      </c>
      <c r="CF106" s="214">
        <f t="shared" si="61"/>
        <v>88</v>
      </c>
      <c r="CG106" s="214">
        <f t="shared" si="61"/>
        <v>88</v>
      </c>
      <c r="CH106" s="214">
        <f t="shared" si="61"/>
        <v>88</v>
      </c>
      <c r="CI106" s="214">
        <f>CI104-6</f>
        <v>86</v>
      </c>
      <c r="CJ106" s="214">
        <f>CJ104-6</f>
        <v>81</v>
      </c>
      <c r="CK106" s="214">
        <f t="shared" si="61"/>
        <v>79</v>
      </c>
      <c r="CL106" s="214">
        <f>CL104-6</f>
        <v>83</v>
      </c>
      <c r="CM106" s="214">
        <f t="shared" si="61"/>
        <v>84</v>
      </c>
      <c r="CN106" s="214">
        <f t="shared" si="61"/>
        <v>84</v>
      </c>
      <c r="CO106" s="214">
        <f t="shared" si="61"/>
        <v>84</v>
      </c>
      <c r="CP106" s="214">
        <f t="shared" si="61"/>
        <v>86</v>
      </c>
      <c r="CQ106" s="214">
        <f t="shared" si="61"/>
        <v>86</v>
      </c>
      <c r="CR106" s="214">
        <f t="shared" si="61"/>
        <v>86</v>
      </c>
      <c r="CS106" s="214">
        <f t="shared" si="61"/>
        <v>86</v>
      </c>
      <c r="CT106" s="214">
        <f>CT104-6</f>
        <v>79</v>
      </c>
      <c r="CU106" s="214">
        <f t="shared" si="61"/>
        <v>79</v>
      </c>
      <c r="CV106" s="214">
        <f t="shared" si="61"/>
        <v>79</v>
      </c>
      <c r="CW106" s="214">
        <f t="shared" si="61"/>
        <v>79</v>
      </c>
      <c r="CX106" s="214">
        <f t="shared" si="61"/>
        <v>79</v>
      </c>
      <c r="CY106" s="214">
        <f t="shared" si="61"/>
        <v>79</v>
      </c>
      <c r="CZ106" s="214">
        <f t="shared" si="61"/>
        <v>83</v>
      </c>
      <c r="DA106" s="214">
        <f t="shared" si="61"/>
        <v>83</v>
      </c>
      <c r="DB106" s="214">
        <f t="shared" si="61"/>
        <v>85</v>
      </c>
      <c r="DC106" s="214">
        <f t="shared" si="61"/>
        <v>85</v>
      </c>
      <c r="DD106" s="214">
        <f>DD104-6</f>
        <v>85</v>
      </c>
      <c r="DE106" s="214">
        <v>50</v>
      </c>
      <c r="DF106" s="214">
        <v>50</v>
      </c>
      <c r="DG106" s="214">
        <v>50</v>
      </c>
      <c r="DH106" s="214">
        <v>50</v>
      </c>
      <c r="DI106" s="214">
        <v>50</v>
      </c>
      <c r="DJ106" s="214">
        <v>50</v>
      </c>
      <c r="DK106" s="214">
        <v>55</v>
      </c>
      <c r="DL106" s="214">
        <v>55</v>
      </c>
      <c r="DM106" s="214">
        <v>55</v>
      </c>
      <c r="DN106" s="214">
        <v>55</v>
      </c>
      <c r="DO106" s="214">
        <v>55</v>
      </c>
      <c r="DP106" s="214">
        <v>55</v>
      </c>
      <c r="DQ106" s="178"/>
      <c r="DR106" s="178"/>
    </row>
    <row r="107" spans="1:122">
      <c r="A107" s="178" t="str">
        <f t="shared" si="43"/>
        <v>LFAUSD</v>
      </c>
      <c r="B107" s="178" t="s">
        <v>44</v>
      </c>
      <c r="C107" s="178" t="s">
        <v>148</v>
      </c>
      <c r="D107" s="178" t="s">
        <v>33</v>
      </c>
      <c r="E107" s="178" t="s">
        <v>34</v>
      </c>
      <c r="F107" s="178"/>
      <c r="G107" s="178"/>
      <c r="H107" s="178"/>
      <c r="I107" s="178"/>
      <c r="J107" s="178"/>
      <c r="K107" s="178"/>
      <c r="L107" s="178"/>
      <c r="M107" s="178"/>
      <c r="N107" s="178"/>
      <c r="O107" s="178"/>
      <c r="P107" s="178"/>
      <c r="Q107" s="178"/>
      <c r="R107" s="178"/>
      <c r="S107" s="178"/>
      <c r="T107" s="178"/>
      <c r="U107" s="178"/>
      <c r="V107" s="178"/>
      <c r="W107" s="178"/>
      <c r="X107" s="178"/>
      <c r="Y107" s="178"/>
      <c r="Z107" s="178"/>
      <c r="AA107" s="266">
        <f>AA106/AA1</f>
        <v>1.4283807235349086</v>
      </c>
      <c r="AB107" s="266">
        <f t="shared" ref="AB107:CM107" si="62">AB106/AB1</f>
        <v>1.4120296247327269</v>
      </c>
      <c r="AC107" s="266">
        <f t="shared" si="62"/>
        <v>1.3789445770352691</v>
      </c>
      <c r="AD107" s="266">
        <f t="shared" si="62"/>
        <v>1.2571097136577325</v>
      </c>
      <c r="AE107" s="266">
        <f t="shared" si="62"/>
        <v>1.3073639274279616</v>
      </c>
      <c r="AF107" s="266">
        <f t="shared" si="62"/>
        <v>1.4514475110197458</v>
      </c>
      <c r="AG107" s="266">
        <f t="shared" si="62"/>
        <v>1.1739220480424652</v>
      </c>
      <c r="AH107" s="266">
        <f t="shared" si="62"/>
        <v>1.1601246907708331</v>
      </c>
      <c r="AI107" s="266">
        <f t="shared" si="62"/>
        <v>1.3980222988428259</v>
      </c>
      <c r="AJ107" s="266">
        <f t="shared" si="62"/>
        <v>1.3332026427338162</v>
      </c>
      <c r="AK107" s="266">
        <f t="shared" si="62"/>
        <v>1.2505030683419556</v>
      </c>
      <c r="AL107" s="266">
        <f t="shared" ref="AL107:AV107" si="63">AL106/AL1</f>
        <v>1.2398324421617717</v>
      </c>
      <c r="AM107" s="266">
        <f t="shared" si="63"/>
        <v>1.2080828669847601</v>
      </c>
      <c r="AN107" s="266">
        <f t="shared" si="63"/>
        <v>1.2159033504313321</v>
      </c>
      <c r="AO107" s="266">
        <f t="shared" si="63"/>
        <v>1.2062648732596675</v>
      </c>
      <c r="AP107" s="266">
        <f t="shared" si="63"/>
        <v>1.2145809720433818</v>
      </c>
      <c r="AQ107" s="266">
        <f t="shared" si="63"/>
        <v>1.2112967069040419</v>
      </c>
      <c r="AR107" s="266">
        <f t="shared" si="63"/>
        <v>0.99445964208788629</v>
      </c>
      <c r="AS107" s="266">
        <f t="shared" si="63"/>
        <v>0.97416454735139879</v>
      </c>
      <c r="AT107" s="266">
        <f t="shared" si="63"/>
        <v>0.97416454735139879</v>
      </c>
      <c r="AU107" s="266">
        <f t="shared" si="63"/>
        <v>1.0909090909090908</v>
      </c>
      <c r="AV107" s="266">
        <f t="shared" si="63"/>
        <v>1.0586152947350702</v>
      </c>
      <c r="AW107" s="266">
        <f t="shared" si="62"/>
        <v>1.0619645278408272</v>
      </c>
      <c r="AX107" s="266">
        <f t="shared" si="62"/>
        <v>1.0653350207270409</v>
      </c>
      <c r="AY107" s="266">
        <f t="shared" si="62"/>
        <v>1.0609317395813176</v>
      </c>
      <c r="AZ107" s="266">
        <f t="shared" si="62"/>
        <v>0.86871015343153002</v>
      </c>
      <c r="BA107" s="266">
        <f t="shared" si="62"/>
        <v>0.8643274715763799</v>
      </c>
      <c r="BB107" s="266">
        <f t="shared" si="62"/>
        <v>0.8643274715763799</v>
      </c>
      <c r="BC107" s="266">
        <f t="shared" si="62"/>
        <v>0.87060208117040072</v>
      </c>
      <c r="BD107" s="266">
        <f t="shared" si="62"/>
        <v>1.1548550786961385</v>
      </c>
      <c r="BE107" s="266">
        <f t="shared" si="62"/>
        <v>1.1563867167315445</v>
      </c>
      <c r="BF107" s="266">
        <f t="shared" si="62"/>
        <v>1.1565261580334534</v>
      </c>
      <c r="BG107" s="266">
        <f t="shared" si="62"/>
        <v>1.1519422806355306</v>
      </c>
      <c r="BH107" s="216">
        <f t="shared" si="62"/>
        <v>1.0334054313866858</v>
      </c>
      <c r="BI107" s="216">
        <f t="shared" si="62"/>
        <v>1.0330330330330331</v>
      </c>
      <c r="BJ107" s="216">
        <f t="shared" si="62"/>
        <v>0.96246390760346479</v>
      </c>
      <c r="BK107" s="216">
        <f t="shared" si="62"/>
        <v>0.9608455440787893</v>
      </c>
      <c r="BL107" s="216">
        <f t="shared" si="62"/>
        <v>0.87118481134342707</v>
      </c>
      <c r="BM107" s="216">
        <f t="shared" si="62"/>
        <v>0.87149897824257727</v>
      </c>
      <c r="BN107" s="216">
        <f t="shared" si="62"/>
        <v>0.87149897824257727</v>
      </c>
      <c r="BO107" s="216">
        <f t="shared" si="62"/>
        <v>0.91203648145925842</v>
      </c>
      <c r="BP107" s="216">
        <f t="shared" si="62"/>
        <v>0.85731414868105504</v>
      </c>
      <c r="BQ107" s="216">
        <f t="shared" si="62"/>
        <v>0.85772552783109401</v>
      </c>
      <c r="BR107" s="216">
        <f t="shared" si="62"/>
        <v>0.87698222008649696</v>
      </c>
      <c r="BS107" s="216">
        <f t="shared" si="62"/>
        <v>0.90014402304368701</v>
      </c>
      <c r="BT107" s="216">
        <f t="shared" si="62"/>
        <v>0.90209285542458506</v>
      </c>
      <c r="BU107" s="216">
        <f t="shared" si="62"/>
        <v>0.9621166566446181</v>
      </c>
      <c r="BV107" s="216">
        <f t="shared" si="62"/>
        <v>0.96096096096096095</v>
      </c>
      <c r="BW107" s="216">
        <f t="shared" si="62"/>
        <v>0.96315916205152896</v>
      </c>
      <c r="BX107" s="216">
        <f t="shared" si="62"/>
        <v>0.95180722891566261</v>
      </c>
      <c r="BY107" s="216">
        <f t="shared" si="62"/>
        <v>0.95169256716058304</v>
      </c>
      <c r="BZ107" s="216">
        <f t="shared" si="62"/>
        <v>1.0132689987937273</v>
      </c>
      <c r="CA107" s="216">
        <f t="shared" si="62"/>
        <v>1.0132689987937273</v>
      </c>
      <c r="CB107" s="216">
        <f t="shared" si="62"/>
        <v>1.0882708585247884</v>
      </c>
      <c r="CC107" s="216">
        <f t="shared" si="62"/>
        <v>1.11164813919768</v>
      </c>
      <c r="CD107" s="216">
        <f t="shared" si="62"/>
        <v>1.1109776603411001</v>
      </c>
      <c r="CE107" s="216">
        <f t="shared" si="62"/>
        <v>1.0552824079625855</v>
      </c>
      <c r="CF107" s="216">
        <f t="shared" si="62"/>
        <v>1.0575651964908064</v>
      </c>
      <c r="CG107" s="216">
        <f t="shared" si="62"/>
        <v>1.0551558752997601</v>
      </c>
      <c r="CH107" s="216">
        <f t="shared" si="62"/>
        <v>1.0525056811386198</v>
      </c>
      <c r="CI107" s="216">
        <f t="shared" si="62"/>
        <v>1.0309278350515463</v>
      </c>
      <c r="CJ107" s="216">
        <f t="shared" si="62"/>
        <v>0.97005988023952094</v>
      </c>
      <c r="CK107" s="216">
        <f t="shared" si="62"/>
        <v>0.94781043791241759</v>
      </c>
      <c r="CL107" s="216">
        <f t="shared" si="62"/>
        <v>0.99580083983203371</v>
      </c>
      <c r="CM107" s="216">
        <f t="shared" si="62"/>
        <v>1.0077984403119378</v>
      </c>
      <c r="CN107" s="216">
        <f t="shared" ref="CN107:DP107" si="64">CN106/CN1</f>
        <v>1.0077984403119378</v>
      </c>
      <c r="CO107" s="216">
        <f t="shared" si="64"/>
        <v>1.0013112409107163</v>
      </c>
      <c r="CP107" s="216">
        <f t="shared" si="64"/>
        <v>1.0311750599520384</v>
      </c>
      <c r="CQ107" s="216">
        <f t="shared" si="64"/>
        <v>1.0299401197604789</v>
      </c>
      <c r="CR107" s="216">
        <f t="shared" si="64"/>
        <v>1.0305572198921509</v>
      </c>
      <c r="CS107" s="216">
        <f t="shared" si="64"/>
        <v>1.030310291122559</v>
      </c>
      <c r="CT107" s="216">
        <f t="shared" si="64"/>
        <v>0.94554159186116105</v>
      </c>
      <c r="CU107" s="216">
        <f t="shared" si="64"/>
        <v>0.9438470728793309</v>
      </c>
      <c r="CV107" s="216">
        <f t="shared" si="64"/>
        <v>0.94350889764719925</v>
      </c>
      <c r="CW107" s="216">
        <f t="shared" si="64"/>
        <v>0.9410363311494937</v>
      </c>
      <c r="CX107" s="216">
        <f t="shared" si="64"/>
        <v>0.94092424964268706</v>
      </c>
      <c r="CY107" s="216">
        <f t="shared" si="64"/>
        <v>0.94159713945172818</v>
      </c>
      <c r="CZ107" s="216">
        <f t="shared" si="64"/>
        <v>0.98939086899511264</v>
      </c>
      <c r="DA107" s="216">
        <f t="shared" si="64"/>
        <v>0.98856598380181049</v>
      </c>
      <c r="DB107" s="216">
        <f t="shared" si="64"/>
        <v>1.0123868508813723</v>
      </c>
      <c r="DC107" s="216">
        <f t="shared" si="64"/>
        <v>1.0169897104570471</v>
      </c>
      <c r="DD107" s="216">
        <f t="shared" si="64"/>
        <v>1.0160172125268947</v>
      </c>
      <c r="DE107" s="216">
        <f t="shared" si="64"/>
        <v>0.59545075622246046</v>
      </c>
      <c r="DF107" s="216">
        <f t="shared" si="64"/>
        <v>0.5947424765076722</v>
      </c>
      <c r="DG107" s="216">
        <f t="shared" si="64"/>
        <v>0.5947424765076722</v>
      </c>
      <c r="DH107" s="216">
        <f t="shared" si="64"/>
        <v>0.59467174119885824</v>
      </c>
      <c r="DI107" s="216">
        <f t="shared" si="64"/>
        <v>0.59438896814075126</v>
      </c>
      <c r="DJ107" s="216">
        <f t="shared" si="64"/>
        <v>0.59241706161137442</v>
      </c>
      <c r="DK107" s="216">
        <f t="shared" si="64"/>
        <v>0.65266405601044264</v>
      </c>
      <c r="DL107" s="216">
        <f t="shared" si="64"/>
        <v>0.64988774666194027</v>
      </c>
      <c r="DM107" s="216">
        <f t="shared" si="64"/>
        <v>0.64942732317865159</v>
      </c>
      <c r="DN107" s="216">
        <f t="shared" si="64"/>
        <v>0.64835553459860895</v>
      </c>
      <c r="DO107" s="216">
        <f t="shared" si="64"/>
        <v>0.64766839378238339</v>
      </c>
      <c r="DP107" s="216">
        <f t="shared" si="64"/>
        <v>0.64569147687250528</v>
      </c>
      <c r="DQ107" s="178"/>
      <c r="DR107" s="178"/>
    </row>
    <row r="108" spans="1:122">
      <c r="A108" s="178" t="str">
        <f t="shared" si="43"/>
        <v>SOYA ACID OILINR</v>
      </c>
      <c r="B108" s="178"/>
      <c r="C108" s="178" t="s">
        <v>149</v>
      </c>
      <c r="D108" s="178" t="s">
        <v>43</v>
      </c>
      <c r="E108" s="178"/>
      <c r="F108" s="178"/>
      <c r="G108" s="178"/>
      <c r="H108" s="178"/>
      <c r="I108" s="178"/>
      <c r="J108" s="178"/>
      <c r="K108" s="178"/>
      <c r="L108" s="178"/>
      <c r="M108" s="178"/>
      <c r="N108" s="178"/>
      <c r="O108" s="178"/>
      <c r="P108" s="178"/>
      <c r="Q108" s="178"/>
      <c r="R108" s="178"/>
      <c r="S108" s="178"/>
      <c r="T108" s="178"/>
      <c r="U108" s="178"/>
      <c r="V108" s="178"/>
      <c r="W108" s="178"/>
      <c r="X108" s="178"/>
      <c r="Y108" s="178"/>
      <c r="Z108" s="178"/>
      <c r="AA108" s="178"/>
      <c r="AB108" s="178"/>
      <c r="AC108" s="178"/>
      <c r="AD108" s="178"/>
      <c r="AE108" s="178"/>
      <c r="AF108" s="178"/>
      <c r="AG108" s="178"/>
      <c r="AH108" s="178"/>
      <c r="AI108" s="178"/>
      <c r="AJ108" s="178"/>
      <c r="AK108" s="178">
        <v>78</v>
      </c>
      <c r="AL108" s="178"/>
      <c r="AM108" s="178"/>
      <c r="AN108" s="178"/>
      <c r="AO108" s="178"/>
      <c r="AP108" s="178"/>
      <c r="AQ108" s="178"/>
      <c r="AR108" s="178"/>
      <c r="AS108" s="178"/>
      <c r="AT108" s="178"/>
      <c r="AU108" s="178">
        <v>63</v>
      </c>
      <c r="AV108" s="178">
        <v>67</v>
      </c>
      <c r="AW108" s="178">
        <v>69</v>
      </c>
      <c r="AX108" s="178">
        <v>70</v>
      </c>
      <c r="AY108" s="178">
        <v>71</v>
      </c>
      <c r="AZ108" s="178">
        <v>70</v>
      </c>
      <c r="BA108" s="178">
        <v>70</v>
      </c>
      <c r="BB108" s="178">
        <v>71</v>
      </c>
      <c r="BC108" s="178">
        <v>70</v>
      </c>
      <c r="BD108" s="178">
        <v>70</v>
      </c>
      <c r="BE108" s="178">
        <v>69</v>
      </c>
      <c r="BF108" s="178">
        <v>70</v>
      </c>
      <c r="BG108" s="178">
        <v>68</v>
      </c>
      <c r="BH108" s="214">
        <v>62</v>
      </c>
      <c r="BI108" s="214">
        <v>60</v>
      </c>
      <c r="BJ108" s="214">
        <v>56.5</v>
      </c>
      <c r="BK108" s="214">
        <v>56.5</v>
      </c>
      <c r="BL108" s="214">
        <v>55</v>
      </c>
      <c r="BM108" s="214">
        <v>58</v>
      </c>
      <c r="BN108" s="214">
        <v>58</v>
      </c>
      <c r="BO108" s="214">
        <v>55</v>
      </c>
      <c r="BP108" s="214">
        <v>55</v>
      </c>
      <c r="BQ108" s="214">
        <v>56</v>
      </c>
      <c r="BR108" s="214">
        <v>56</v>
      </c>
      <c r="BS108" s="214">
        <v>56</v>
      </c>
      <c r="BT108" s="214">
        <v>55</v>
      </c>
      <c r="BU108" s="214">
        <v>55</v>
      </c>
      <c r="BV108" s="214">
        <v>58</v>
      </c>
      <c r="BW108" s="214">
        <v>58</v>
      </c>
      <c r="BX108" s="214">
        <v>58</v>
      </c>
      <c r="BY108" s="214">
        <v>58</v>
      </c>
      <c r="BZ108" s="214">
        <v>65</v>
      </c>
      <c r="CA108" s="214">
        <v>65</v>
      </c>
      <c r="CB108" s="214">
        <v>65</v>
      </c>
      <c r="CC108" s="214">
        <v>65</v>
      </c>
      <c r="CD108" s="214">
        <v>65</v>
      </c>
      <c r="CE108" s="214">
        <v>69</v>
      </c>
      <c r="CF108" s="232">
        <v>69</v>
      </c>
      <c r="CG108" s="232">
        <v>69</v>
      </c>
      <c r="CH108" s="214">
        <v>65</v>
      </c>
      <c r="CI108" s="214">
        <v>65</v>
      </c>
      <c r="CJ108" s="214">
        <v>62</v>
      </c>
      <c r="CK108" s="214">
        <v>57</v>
      </c>
      <c r="CL108" s="214">
        <v>63</v>
      </c>
      <c r="CM108" s="214">
        <v>63</v>
      </c>
      <c r="CN108" s="214">
        <v>63</v>
      </c>
      <c r="CO108" s="214">
        <v>63</v>
      </c>
      <c r="CP108" s="214">
        <v>67.5</v>
      </c>
      <c r="CQ108" s="214">
        <v>67.5</v>
      </c>
      <c r="CR108" s="214">
        <v>67.5</v>
      </c>
      <c r="CS108" s="214">
        <v>67.5</v>
      </c>
      <c r="CT108" s="214">
        <v>63.6</v>
      </c>
      <c r="CU108" s="214">
        <v>63.5</v>
      </c>
      <c r="CV108" s="214">
        <v>63.5</v>
      </c>
      <c r="CW108" s="214">
        <v>63.5</v>
      </c>
      <c r="CX108" s="214">
        <v>63.5</v>
      </c>
      <c r="CY108" s="214">
        <v>63.5</v>
      </c>
      <c r="CZ108" s="214">
        <v>65</v>
      </c>
      <c r="DA108" s="214">
        <v>65</v>
      </c>
      <c r="DB108" s="214">
        <v>70</v>
      </c>
      <c r="DC108" s="214">
        <v>70</v>
      </c>
      <c r="DD108" s="214">
        <v>70</v>
      </c>
      <c r="DE108" s="214">
        <v>67.5</v>
      </c>
      <c r="DF108" s="214">
        <v>60</v>
      </c>
      <c r="DG108" s="214">
        <v>60</v>
      </c>
      <c r="DH108" s="214">
        <v>65</v>
      </c>
      <c r="DI108" s="214">
        <v>65</v>
      </c>
      <c r="DJ108" s="214">
        <v>66</v>
      </c>
      <c r="DK108" s="214">
        <v>69</v>
      </c>
      <c r="DL108" s="214">
        <v>69</v>
      </c>
      <c r="DM108" s="214">
        <v>70</v>
      </c>
      <c r="DN108" s="214">
        <v>72</v>
      </c>
      <c r="DO108" s="214">
        <v>72</v>
      </c>
      <c r="DP108" s="214">
        <v>70</v>
      </c>
      <c r="DQ108" s="178"/>
      <c r="DR108" s="178"/>
    </row>
    <row r="109" spans="1:122">
      <c r="A109" s="178" t="str">
        <f t="shared" si="43"/>
        <v>SOYA ACID OILUSD</v>
      </c>
      <c r="B109" s="178"/>
      <c r="C109" s="178" t="s">
        <v>149</v>
      </c>
      <c r="D109" s="178" t="s">
        <v>33</v>
      </c>
      <c r="E109" s="178"/>
      <c r="F109" s="178"/>
      <c r="G109" s="178"/>
      <c r="H109" s="178"/>
      <c r="I109" s="178"/>
      <c r="J109" s="178"/>
      <c r="K109" s="178"/>
      <c r="L109" s="178"/>
      <c r="M109" s="178"/>
      <c r="N109" s="178"/>
      <c r="O109" s="178"/>
      <c r="P109" s="178"/>
      <c r="Q109" s="178"/>
      <c r="R109" s="178"/>
      <c r="S109" s="178"/>
      <c r="T109" s="178"/>
      <c r="U109" s="178"/>
      <c r="V109" s="178"/>
      <c r="W109" s="178"/>
      <c r="X109" s="178"/>
      <c r="Y109" s="178"/>
      <c r="Z109" s="178"/>
      <c r="AA109" s="178"/>
      <c r="AB109" s="178"/>
      <c r="AC109" s="178"/>
      <c r="AD109" s="178"/>
      <c r="AE109" s="178"/>
      <c r="AF109" s="178"/>
      <c r="AG109" s="178"/>
      <c r="AH109" s="178"/>
      <c r="AI109" s="178"/>
      <c r="AJ109" s="178"/>
      <c r="AK109" s="266">
        <f t="shared" ref="AK109:AV109" si="65">AK108/AK1</f>
        <v>0.98055319962051757</v>
      </c>
      <c r="AL109" s="266">
        <f t="shared" si="65"/>
        <v>0</v>
      </c>
      <c r="AM109" s="266">
        <f t="shared" si="65"/>
        <v>0</v>
      </c>
      <c r="AN109" s="266">
        <f t="shared" si="65"/>
        <v>0</v>
      </c>
      <c r="AO109" s="266">
        <f t="shared" si="65"/>
        <v>0</v>
      </c>
      <c r="AP109" s="266">
        <f t="shared" si="65"/>
        <v>0</v>
      </c>
      <c r="AQ109" s="266">
        <f t="shared" si="65"/>
        <v>0</v>
      </c>
      <c r="AR109" s="266">
        <f t="shared" si="65"/>
        <v>0</v>
      </c>
      <c r="AS109" s="266">
        <f t="shared" si="65"/>
        <v>0</v>
      </c>
      <c r="AT109" s="266">
        <f t="shared" si="65"/>
        <v>0</v>
      </c>
      <c r="AU109" s="266">
        <f t="shared" si="65"/>
        <v>0.76363636363636367</v>
      </c>
      <c r="AV109" s="266">
        <f t="shared" si="65"/>
        <v>0.81271227559437165</v>
      </c>
      <c r="AW109" s="266">
        <f t="shared" ref="AW109:DH109" si="66">AW108/AW1</f>
        <v>0.8396203455828668</v>
      </c>
      <c r="AX109" s="266">
        <f t="shared" si="66"/>
        <v>0.8544921875</v>
      </c>
      <c r="AY109" s="266">
        <f t="shared" si="66"/>
        <v>0.8631169462679309</v>
      </c>
      <c r="AZ109" s="266">
        <f t="shared" si="66"/>
        <v>0.84510443076180131</v>
      </c>
      <c r="BA109" s="266">
        <f t="shared" si="66"/>
        <v>0.84084084084084088</v>
      </c>
      <c r="BB109" s="266">
        <f t="shared" si="66"/>
        <v>0.85285285285285284</v>
      </c>
      <c r="BC109" s="266">
        <f t="shared" si="66"/>
        <v>0.84694494857834235</v>
      </c>
      <c r="BD109" s="266">
        <f t="shared" si="66"/>
        <v>0.84286574352799526</v>
      </c>
      <c r="BE109" s="278">
        <f t="shared" si="66"/>
        <v>0.83192669399565955</v>
      </c>
      <c r="BF109" s="278">
        <f t="shared" si="66"/>
        <v>0.84408537320631849</v>
      </c>
      <c r="BG109" s="278">
        <f t="shared" si="66"/>
        <v>0.81671871246697092</v>
      </c>
      <c r="BH109" s="279">
        <f t="shared" si="66"/>
        <v>0.74501321797644793</v>
      </c>
      <c r="BI109" s="279">
        <f t="shared" si="66"/>
        <v>0.72072072072072069</v>
      </c>
      <c r="BJ109" s="216">
        <f t="shared" si="66"/>
        <v>0.67974013474494699</v>
      </c>
      <c r="BK109" s="216">
        <f t="shared" si="66"/>
        <v>0.67859716550564497</v>
      </c>
      <c r="BL109" s="216">
        <f t="shared" si="66"/>
        <v>0.66089882239846187</v>
      </c>
      <c r="BM109" s="216">
        <f t="shared" si="66"/>
        <v>0.69719918259406177</v>
      </c>
      <c r="BN109" s="216">
        <f t="shared" si="66"/>
        <v>0.69719918259406177</v>
      </c>
      <c r="BO109" s="216">
        <f t="shared" si="66"/>
        <v>0.66002640105604227</v>
      </c>
      <c r="BP109" s="216">
        <f t="shared" si="66"/>
        <v>0.65947242206235013</v>
      </c>
      <c r="BQ109" s="216">
        <f t="shared" si="66"/>
        <v>0.67178502879078694</v>
      </c>
      <c r="BR109" s="216">
        <f t="shared" si="66"/>
        <v>0.67275348390197021</v>
      </c>
      <c r="BS109" s="216">
        <f t="shared" si="66"/>
        <v>0.67210753720595295</v>
      </c>
      <c r="BT109" s="216">
        <f t="shared" si="66"/>
        <v>0.66153476064469574</v>
      </c>
      <c r="BU109" s="216">
        <f t="shared" si="66"/>
        <v>0.66145520144317493</v>
      </c>
      <c r="BV109" s="216">
        <f t="shared" si="66"/>
        <v>0.69669669669669665</v>
      </c>
      <c r="BW109" s="216">
        <f t="shared" si="66"/>
        <v>0.69829039248735847</v>
      </c>
      <c r="BX109" s="216">
        <f t="shared" si="66"/>
        <v>0.6987951807228916</v>
      </c>
      <c r="BY109" s="216">
        <f t="shared" si="66"/>
        <v>0.69871099867485842</v>
      </c>
      <c r="BZ109" s="216">
        <f t="shared" si="66"/>
        <v>0.78407720144752713</v>
      </c>
      <c r="CA109" s="216">
        <f t="shared" si="66"/>
        <v>0.78407720144752713</v>
      </c>
      <c r="CB109" s="216">
        <f t="shared" si="66"/>
        <v>0.78597339782345821</v>
      </c>
      <c r="CC109" s="216">
        <f t="shared" si="66"/>
        <v>0.78540357660705651</v>
      </c>
      <c r="CD109" s="216">
        <f t="shared" si="66"/>
        <v>0.7806870045640163</v>
      </c>
      <c r="CE109" s="216">
        <f t="shared" si="66"/>
        <v>0.82743734260702717</v>
      </c>
      <c r="CF109" s="216">
        <f t="shared" si="66"/>
        <v>0.82922725633938232</v>
      </c>
      <c r="CG109" s="216">
        <f t="shared" si="66"/>
        <v>0.82733812949640284</v>
      </c>
      <c r="CH109" s="216">
        <f t="shared" si="66"/>
        <v>0.77741896902284413</v>
      </c>
      <c r="CI109" s="216">
        <f t="shared" si="66"/>
        <v>0.77918964277151759</v>
      </c>
      <c r="CJ109" s="216">
        <f t="shared" si="66"/>
        <v>0.74251497005988021</v>
      </c>
      <c r="CK109" s="216">
        <f t="shared" si="66"/>
        <v>0.68386322735452909</v>
      </c>
      <c r="CL109" s="216">
        <f t="shared" si="66"/>
        <v>0.75584883023395322</v>
      </c>
      <c r="CM109" s="216">
        <f t="shared" si="66"/>
        <v>0.75584883023395322</v>
      </c>
      <c r="CN109" s="216">
        <f t="shared" si="66"/>
        <v>0.75584883023395322</v>
      </c>
      <c r="CO109" s="216">
        <f t="shared" si="66"/>
        <v>0.7509834306830373</v>
      </c>
      <c r="CP109" s="216">
        <f t="shared" si="66"/>
        <v>0.80935251798561147</v>
      </c>
      <c r="CQ109" s="216">
        <f t="shared" si="66"/>
        <v>0.80838323353293418</v>
      </c>
      <c r="CR109" s="216">
        <f t="shared" si="66"/>
        <v>0.80886758538046732</v>
      </c>
      <c r="CS109" s="216">
        <f t="shared" si="66"/>
        <v>0.8086737750089853</v>
      </c>
      <c r="CT109" s="216">
        <f t="shared" si="66"/>
        <v>0.76122082585278283</v>
      </c>
      <c r="CU109" s="216">
        <f t="shared" si="66"/>
        <v>0.75866188769414578</v>
      </c>
      <c r="CV109" s="216">
        <f t="shared" si="66"/>
        <v>0.75839006329869818</v>
      </c>
      <c r="CW109" s="216">
        <f t="shared" si="66"/>
        <v>0.75640262060750441</v>
      </c>
      <c r="CX109" s="216">
        <f t="shared" si="66"/>
        <v>0.75631252977608387</v>
      </c>
      <c r="CY109" s="216">
        <f t="shared" si="66"/>
        <v>0.75685339690107267</v>
      </c>
      <c r="CZ109" s="216">
        <f t="shared" si="66"/>
        <v>0.77482417451424479</v>
      </c>
      <c r="DA109" s="216">
        <f t="shared" si="66"/>
        <v>0.77417818008575523</v>
      </c>
      <c r="DB109" s="216">
        <f t="shared" si="66"/>
        <v>0.83373034778465938</v>
      </c>
      <c r="DC109" s="216">
        <f t="shared" si="66"/>
        <v>0.83752093802345062</v>
      </c>
      <c r="DD109" s="216">
        <f t="shared" si="66"/>
        <v>0.8367200573750897</v>
      </c>
      <c r="DE109" s="216">
        <f t="shared" si="66"/>
        <v>0.8038585209003215</v>
      </c>
      <c r="DF109" s="216">
        <f t="shared" si="66"/>
        <v>0.71369097180920671</v>
      </c>
      <c r="DG109" s="216">
        <f t="shared" si="66"/>
        <v>0.71369097180920671</v>
      </c>
      <c r="DH109" s="216">
        <f t="shared" si="66"/>
        <v>0.77307326355851569</v>
      </c>
      <c r="DI109" s="216">
        <f t="shared" ref="DI109:DP109" si="67">DI108/DI1</f>
        <v>0.77270565858297668</v>
      </c>
      <c r="DJ109" s="216">
        <f t="shared" si="67"/>
        <v>0.78199052132701419</v>
      </c>
      <c r="DK109" s="216">
        <f t="shared" si="67"/>
        <v>0.81879672481310084</v>
      </c>
      <c r="DL109" s="216">
        <f t="shared" si="67"/>
        <v>0.81531371853952506</v>
      </c>
      <c r="DM109" s="216">
        <f t="shared" si="67"/>
        <v>0.8265438658637384</v>
      </c>
      <c r="DN109" s="216">
        <f t="shared" si="67"/>
        <v>0.84875633620181545</v>
      </c>
      <c r="DO109" s="216">
        <f t="shared" si="67"/>
        <v>0.84785680640602923</v>
      </c>
      <c r="DP109" s="216">
        <f t="shared" si="67"/>
        <v>0.8217891523831885</v>
      </c>
      <c r="DQ109" s="178"/>
      <c r="DR109" s="178"/>
    </row>
    <row r="110" spans="1:122">
      <c r="A110" s="178" t="str">
        <f t="shared" si="43"/>
        <v>Glycerine Crude 80%INR</v>
      </c>
      <c r="B110" s="178"/>
      <c r="C110" s="178" t="s">
        <v>146</v>
      </c>
      <c r="D110" s="178" t="s">
        <v>43</v>
      </c>
      <c r="E110" s="178"/>
      <c r="F110" s="178"/>
      <c r="G110" s="178"/>
      <c r="H110" s="178"/>
      <c r="I110" s="178"/>
      <c r="J110" s="178"/>
      <c r="K110" s="178"/>
      <c r="L110" s="178"/>
      <c r="M110" s="178"/>
      <c r="N110" s="178"/>
      <c r="O110" s="178"/>
      <c r="P110" s="178"/>
      <c r="Q110" s="178"/>
      <c r="R110" s="178"/>
      <c r="S110" s="178"/>
      <c r="T110" s="178"/>
      <c r="U110" s="178"/>
      <c r="V110" s="178"/>
      <c r="W110" s="178"/>
      <c r="X110" s="178"/>
      <c r="Y110" s="178"/>
      <c r="Z110" s="178"/>
      <c r="AA110" s="178">
        <f>(AA103/1000)*AA1</f>
        <v>68.168099999999995</v>
      </c>
      <c r="AB110" s="178">
        <f t="shared" ref="AB110:BI110" si="68">(AB103/1000)*AB1</f>
        <v>69.303643750000006</v>
      </c>
      <c r="AC110" s="178">
        <f t="shared" si="68"/>
        <v>59.204700000000003</v>
      </c>
      <c r="AD110" s="178">
        <f t="shared" si="68"/>
        <v>55.279125000000008</v>
      </c>
      <c r="AE110" s="178">
        <f t="shared" si="68"/>
        <v>64.090799999999987</v>
      </c>
      <c r="AF110" s="178">
        <f t="shared" si="68"/>
        <v>77.962829999999983</v>
      </c>
      <c r="AG110" s="178">
        <f t="shared" si="68"/>
        <v>73.163077687500007</v>
      </c>
      <c r="AH110" s="178">
        <f t="shared" si="68"/>
        <v>74.516451281249985</v>
      </c>
      <c r="AI110" s="178">
        <f t="shared" si="68"/>
        <v>73.233953481818162</v>
      </c>
      <c r="AJ110" s="178">
        <f t="shared" si="68"/>
        <v>42.7858344047619</v>
      </c>
      <c r="AK110" s="178">
        <f t="shared" si="68"/>
        <v>34.503482333333331</v>
      </c>
      <c r="AL110" s="178">
        <f t="shared" ref="AL110:AV110" si="69">(AL103/1000)*AL1</f>
        <v>34.499568454545461</v>
      </c>
      <c r="AM110" s="178">
        <f t="shared" si="69"/>
        <v>27.944177093750007</v>
      </c>
      <c r="AN110" s="178">
        <f t="shared" si="69"/>
        <v>21.62865597321429</v>
      </c>
      <c r="AO110" s="178">
        <f t="shared" si="69"/>
        <v>23.089979818181817</v>
      </c>
      <c r="AP110" s="178">
        <f t="shared" si="69"/>
        <v>24.877000607142858</v>
      </c>
      <c r="AQ110" s="178">
        <f t="shared" si="69"/>
        <v>26.586884187500001</v>
      </c>
      <c r="AR110" s="178">
        <f t="shared" si="69"/>
        <v>22.747697050000003</v>
      </c>
      <c r="AS110" s="178">
        <f t="shared" si="69"/>
        <v>25.765667687499999</v>
      </c>
      <c r="AT110" s="178">
        <f t="shared" si="69"/>
        <v>26.946166406250001</v>
      </c>
      <c r="AU110" s="178">
        <f t="shared" si="69"/>
        <v>22.357500000000002</v>
      </c>
      <c r="AV110" s="178">
        <f t="shared" si="69"/>
        <v>20.197799999999997</v>
      </c>
      <c r="AW110" s="178">
        <f t="shared" si="68"/>
        <v>21.366800000000001</v>
      </c>
      <c r="AX110" s="178">
        <f t="shared" si="68"/>
        <v>23.142399999999999</v>
      </c>
      <c r="AY110" s="178">
        <f t="shared" si="68"/>
        <v>24.2667</v>
      </c>
      <c r="AZ110" s="178">
        <f t="shared" si="68"/>
        <v>24.849</v>
      </c>
      <c r="BA110" s="178">
        <f t="shared" si="68"/>
        <v>24.974999999999998</v>
      </c>
      <c r="BB110" s="178">
        <f t="shared" si="68"/>
        <v>24.142499999999998</v>
      </c>
      <c r="BC110" s="178">
        <f t="shared" si="68"/>
        <v>23.142000000000003</v>
      </c>
      <c r="BD110" s="178">
        <f t="shared" si="68"/>
        <v>22.838750000000001</v>
      </c>
      <c r="BE110" s="278">
        <f t="shared" si="68"/>
        <v>22.808500000000002</v>
      </c>
      <c r="BF110" s="278">
        <f t="shared" si="68"/>
        <v>22.391100000000002</v>
      </c>
      <c r="BG110" s="278">
        <f t="shared" si="68"/>
        <v>22.480200000000004</v>
      </c>
      <c r="BH110" s="279">
        <f t="shared" si="68"/>
        <v>22.4694</v>
      </c>
      <c r="BI110" s="279">
        <f t="shared" si="68"/>
        <v>22.477500000000003</v>
      </c>
      <c r="BJ110" s="279">
        <f>(BJ103/1000)*BJ1</f>
        <v>22.442400000000003</v>
      </c>
      <c r="BK110" s="279">
        <f>(BK103/1000)*BK1</f>
        <v>22.480200000000004</v>
      </c>
      <c r="BL110" s="279">
        <f>(BL103/1000)*BL1</f>
        <v>22.26135</v>
      </c>
      <c r="BM110" s="279">
        <f t="shared" ref="BM110:DP110" si="70">(BM103/1000)*BM1</f>
        <v>22.253325</v>
      </c>
      <c r="BN110" s="279">
        <f t="shared" si="70"/>
        <v>22.253325</v>
      </c>
      <c r="BO110" s="279">
        <f t="shared" si="70"/>
        <v>22.082450000000001</v>
      </c>
      <c r="BP110" s="279">
        <f t="shared" si="70"/>
        <v>22.101000000000003</v>
      </c>
      <c r="BQ110" s="279">
        <f t="shared" si="70"/>
        <v>22.090400000000002</v>
      </c>
      <c r="BR110" s="279">
        <f t="shared" si="70"/>
        <v>20.81</v>
      </c>
      <c r="BS110" s="279">
        <f t="shared" si="70"/>
        <v>20.83</v>
      </c>
      <c r="BT110" s="279">
        <f t="shared" si="70"/>
        <v>21.200700000000001</v>
      </c>
      <c r="BU110" s="279">
        <f t="shared" si="70"/>
        <v>22.034750000000003</v>
      </c>
      <c r="BV110" s="279">
        <f t="shared" si="70"/>
        <v>22.269375</v>
      </c>
      <c r="BW110" s="279">
        <f t="shared" si="70"/>
        <v>22.841500000000003</v>
      </c>
      <c r="BX110" s="279">
        <f t="shared" si="70"/>
        <v>22.825000000000003</v>
      </c>
      <c r="BY110" s="279">
        <f t="shared" si="70"/>
        <v>22.827750000000002</v>
      </c>
      <c r="BZ110" s="279">
        <f t="shared" si="70"/>
        <v>22.797500000000003</v>
      </c>
      <c r="CA110" s="279">
        <f t="shared" si="70"/>
        <v>24.041</v>
      </c>
      <c r="CB110" s="279">
        <f t="shared" si="70"/>
        <v>23.983000000000001</v>
      </c>
      <c r="CC110" s="279">
        <f>(CC103/1000)*CC1</f>
        <v>24.000399999999999</v>
      </c>
      <c r="CD110" s="279">
        <f t="shared" si="70"/>
        <v>24.353549999999998</v>
      </c>
      <c r="CE110" s="279">
        <f t="shared" si="70"/>
        <v>24.808524999999999</v>
      </c>
      <c r="CF110" s="279">
        <f t="shared" si="70"/>
        <v>24.130899999999997</v>
      </c>
      <c r="CG110" s="279">
        <f t="shared" si="70"/>
        <v>23.977499999999999</v>
      </c>
      <c r="CH110" s="279">
        <f t="shared" si="70"/>
        <v>24.037875</v>
      </c>
      <c r="CI110" s="279">
        <f t="shared" si="70"/>
        <v>23.566149999999997</v>
      </c>
      <c r="CJ110" s="279">
        <f t="shared" si="70"/>
        <v>23.588749999999997</v>
      </c>
      <c r="CK110" s="279">
        <f t="shared" si="70"/>
        <v>23.546374999999998</v>
      </c>
      <c r="CL110" s="279">
        <f t="shared" si="70"/>
        <v>23.546374999999998</v>
      </c>
      <c r="CM110" s="279">
        <f t="shared" si="70"/>
        <v>23.546374999999998</v>
      </c>
      <c r="CN110" s="279">
        <f t="shared" si="70"/>
        <v>23.754749999999998</v>
      </c>
      <c r="CO110" s="279">
        <f t="shared" si="70"/>
        <v>23.908649999999998</v>
      </c>
      <c r="CP110" s="279">
        <f t="shared" si="70"/>
        <v>24.186</v>
      </c>
      <c r="CQ110" s="279">
        <f t="shared" si="70"/>
        <v>24.841249999999999</v>
      </c>
      <c r="CR110" s="279">
        <f t="shared" si="70"/>
        <v>25.035</v>
      </c>
      <c r="CS110" s="279">
        <f t="shared" si="70"/>
        <v>25.458349999999999</v>
      </c>
      <c r="CT110" s="279">
        <f t="shared" si="70"/>
        <v>25.482749999999999</v>
      </c>
      <c r="CU110" s="279">
        <f t="shared" si="70"/>
        <v>26.784000000000002</v>
      </c>
      <c r="CV110" s="279">
        <f t="shared" si="70"/>
        <v>26.793600000000001</v>
      </c>
      <c r="CW110" s="279">
        <f t="shared" si="70"/>
        <v>28.123250000000002</v>
      </c>
      <c r="CX110" s="279">
        <f t="shared" si="70"/>
        <v>28.966199999999997</v>
      </c>
      <c r="CY110" s="279">
        <f t="shared" si="70"/>
        <v>29.364999999999998</v>
      </c>
      <c r="CZ110" s="279">
        <f t="shared" si="70"/>
        <v>29.361499999999999</v>
      </c>
      <c r="DA110" s="279">
        <f t="shared" si="70"/>
        <v>29.385999999999996</v>
      </c>
      <c r="DB110" s="279">
        <f t="shared" si="70"/>
        <v>29.385999999999996</v>
      </c>
      <c r="DC110" s="279">
        <f t="shared" si="70"/>
        <v>28.835099999999997</v>
      </c>
      <c r="DD110" s="279">
        <f t="shared" si="70"/>
        <v>29.699299999999997</v>
      </c>
      <c r="DE110" s="279">
        <f t="shared" si="70"/>
        <v>30.649049999999999</v>
      </c>
      <c r="DF110" s="279">
        <f t="shared" si="70"/>
        <v>31.946599999999997</v>
      </c>
      <c r="DG110" s="279">
        <f t="shared" si="70"/>
        <v>34.048349999999999</v>
      </c>
      <c r="DH110" s="279">
        <f t="shared" si="70"/>
        <v>34.052399999999999</v>
      </c>
      <c r="DI110" s="279">
        <f t="shared" si="70"/>
        <v>34.489199999999997</v>
      </c>
      <c r="DJ110" s="279">
        <f t="shared" si="70"/>
        <v>34.182000000000002</v>
      </c>
      <c r="DK110" s="279">
        <f t="shared" si="70"/>
        <v>33.707999999999998</v>
      </c>
      <c r="DL110" s="279">
        <f t="shared" si="70"/>
        <v>34.275150000000004</v>
      </c>
      <c r="DM110" s="279">
        <f t="shared" si="70"/>
        <v>34.29945</v>
      </c>
      <c r="DN110" s="279">
        <f t="shared" si="70"/>
        <v>34.780299999999997</v>
      </c>
      <c r="DO110" s="279">
        <f t="shared" si="70"/>
        <v>36.515599999999999</v>
      </c>
      <c r="DP110" s="279">
        <f t="shared" si="70"/>
        <v>37.692150000000005</v>
      </c>
      <c r="DQ110" s="178"/>
      <c r="DR110" s="178"/>
    </row>
    <row r="111" spans="1:122">
      <c r="A111" s="178" t="str">
        <f t="shared" si="43"/>
        <v>C16 Palmitic AcidINR</v>
      </c>
      <c r="B111" s="178"/>
      <c r="C111" s="178" t="s">
        <v>145</v>
      </c>
      <c r="D111" s="178" t="s">
        <v>43</v>
      </c>
      <c r="E111" s="178"/>
      <c r="F111" s="178"/>
      <c r="G111" s="178"/>
      <c r="H111" s="178"/>
      <c r="I111" s="178"/>
      <c r="J111" s="178"/>
      <c r="K111" s="178"/>
      <c r="L111" s="178"/>
      <c r="M111" s="178"/>
      <c r="N111" s="178"/>
      <c r="O111" s="178"/>
      <c r="P111" s="178"/>
      <c r="Q111" s="178"/>
      <c r="R111" s="178"/>
      <c r="S111" s="178"/>
      <c r="T111" s="178"/>
      <c r="U111" s="178"/>
      <c r="V111" s="178"/>
      <c r="W111" s="178"/>
      <c r="X111" s="178"/>
      <c r="Y111" s="178"/>
      <c r="Z111" s="178"/>
      <c r="AA111" s="178">
        <f>(AA102/1000)*AA1</f>
        <v>105.49824999999998</v>
      </c>
      <c r="AB111" s="178">
        <f t="shared" ref="AB111:CM111" si="71">(AB102/1000)*AB1</f>
        <v>107.5160625</v>
      </c>
      <c r="AC111" s="178">
        <f t="shared" si="71"/>
        <v>108.03915000000001</v>
      </c>
      <c r="AD111" s="178">
        <f t="shared" si="71"/>
        <v>108.32475000000001</v>
      </c>
      <c r="AE111" s="178">
        <f t="shared" si="71"/>
        <v>112.0652</v>
      </c>
      <c r="AF111" s="178">
        <f t="shared" si="71"/>
        <v>131.46224999999998</v>
      </c>
      <c r="AG111" s="178">
        <f t="shared" si="71"/>
        <v>127.03249781250001</v>
      </c>
      <c r="AH111" s="178">
        <f t="shared" si="71"/>
        <v>127.57680374999998</v>
      </c>
      <c r="AI111" s="178">
        <f t="shared" si="71"/>
        <v>119.25891678409089</v>
      </c>
      <c r="AJ111" s="178">
        <f t="shared" si="71"/>
        <v>100.24820502976188</v>
      </c>
      <c r="AK111" s="178">
        <f t="shared" si="71"/>
        <v>95.456319999999991</v>
      </c>
      <c r="AL111" s="178">
        <f t="shared" ref="AL111:AV111" si="72">(AL102/1000)*AL1</f>
        <v>95.274971022727286</v>
      </c>
      <c r="AM111" s="178">
        <f t="shared" si="72"/>
        <v>88.721475708333344</v>
      </c>
      <c r="AN111" s="178">
        <f t="shared" si="72"/>
        <v>84.592076695238106</v>
      </c>
      <c r="AO111" s="178">
        <f t="shared" si="72"/>
        <v>86.587424318181803</v>
      </c>
      <c r="AP111" s="178">
        <f t="shared" si="72"/>
        <v>88.246808738095226</v>
      </c>
      <c r="AQ111" s="178">
        <f t="shared" si="72"/>
        <v>93.208072749999999</v>
      </c>
      <c r="AR111" s="178">
        <f t="shared" si="72"/>
        <v>94.35777585000001</v>
      </c>
      <c r="AS111" s="178">
        <f t="shared" si="72"/>
        <v>89.717902625000008</v>
      </c>
      <c r="AT111" s="178">
        <f t="shared" si="72"/>
        <v>86.145610849999997</v>
      </c>
      <c r="AU111" s="178">
        <f t="shared" si="72"/>
        <v>79.096874999999997</v>
      </c>
      <c r="AV111" s="178">
        <f t="shared" si="72"/>
        <v>82.44</v>
      </c>
      <c r="AW111" s="178">
        <f t="shared" si="71"/>
        <v>82.590900000000005</v>
      </c>
      <c r="AX111" s="178">
        <f t="shared" si="71"/>
        <v>83.967999999999989</v>
      </c>
      <c r="AY111" s="178">
        <f t="shared" si="71"/>
        <v>84.316500000000005</v>
      </c>
      <c r="AZ111" s="178">
        <f t="shared" si="71"/>
        <v>85.729049999999987</v>
      </c>
      <c r="BA111" s="178">
        <f t="shared" si="71"/>
        <v>85.331249999999997</v>
      </c>
      <c r="BB111" s="178">
        <f t="shared" si="71"/>
        <v>85.331249999999997</v>
      </c>
      <c r="BC111" s="178">
        <f t="shared" si="71"/>
        <v>84.716250000000002</v>
      </c>
      <c r="BD111" s="178">
        <f t="shared" si="71"/>
        <v>83.05</v>
      </c>
      <c r="BE111" s="278">
        <f t="shared" si="71"/>
        <v>82.110599999999991</v>
      </c>
      <c r="BF111" s="278">
        <f t="shared" si="71"/>
        <v>82.100700000000003</v>
      </c>
      <c r="BG111" s="278">
        <f t="shared" si="71"/>
        <v>82.427400000000006</v>
      </c>
      <c r="BH111" s="279">
        <f t="shared" si="71"/>
        <v>82.387799999999999</v>
      </c>
      <c r="BI111" s="279">
        <f t="shared" si="71"/>
        <v>82.001249999999999</v>
      </c>
      <c r="BJ111" s="279">
        <f t="shared" si="71"/>
        <v>83.12</v>
      </c>
      <c r="BK111" s="279">
        <f t="shared" si="71"/>
        <v>83.26</v>
      </c>
      <c r="BL111" s="279">
        <f t="shared" si="71"/>
        <v>82.803899999999999</v>
      </c>
      <c r="BM111" s="279">
        <f t="shared" si="71"/>
        <v>83.19</v>
      </c>
      <c r="BN111" s="279">
        <f t="shared" si="71"/>
        <v>84.853799999999993</v>
      </c>
      <c r="BO111" s="279">
        <f t="shared" si="71"/>
        <v>84.996600000000001</v>
      </c>
      <c r="BP111" s="279">
        <f t="shared" si="71"/>
        <v>85.068000000000012</v>
      </c>
      <c r="BQ111" s="279">
        <f t="shared" si="71"/>
        <v>85.027200000000008</v>
      </c>
      <c r="BR111" s="279">
        <f t="shared" si="71"/>
        <v>88.234399999999994</v>
      </c>
      <c r="BS111" s="279">
        <f t="shared" si="71"/>
        <v>88.319199999999995</v>
      </c>
      <c r="BT111" s="279">
        <f t="shared" si="71"/>
        <v>88.128399999999999</v>
      </c>
      <c r="BU111" s="279">
        <f t="shared" si="71"/>
        <v>86.476000000000013</v>
      </c>
      <c r="BV111" s="279">
        <f t="shared" si="71"/>
        <v>86.58</v>
      </c>
      <c r="BW111" s="279">
        <f t="shared" si="71"/>
        <v>89.289500000000004</v>
      </c>
      <c r="BX111" s="279">
        <f t="shared" si="71"/>
        <v>89.224999999999994</v>
      </c>
      <c r="BY111" s="279">
        <f t="shared" si="71"/>
        <v>89.235749999999996</v>
      </c>
      <c r="BZ111" s="279">
        <f t="shared" si="71"/>
        <v>89.117500000000007</v>
      </c>
      <c r="CA111" s="279">
        <f t="shared" si="71"/>
        <v>89.9465</v>
      </c>
      <c r="CB111" s="279">
        <f t="shared" si="71"/>
        <v>89.729500000000002</v>
      </c>
      <c r="CC111" s="279">
        <f t="shared" si="71"/>
        <v>93.932600000000008</v>
      </c>
      <c r="CD111" s="279">
        <f t="shared" si="71"/>
        <v>96.165300000000002</v>
      </c>
      <c r="CE111" s="279">
        <f t="shared" si="71"/>
        <v>97.983249999999998</v>
      </c>
      <c r="CF111" s="279">
        <f t="shared" si="71"/>
        <v>106.09274999999998</v>
      </c>
      <c r="CG111" s="279">
        <f t="shared" si="71"/>
        <v>106.33499999999999</v>
      </c>
      <c r="CH111" s="279">
        <f t="shared" si="71"/>
        <v>106.60274999999999</v>
      </c>
      <c r="CI111" s="279">
        <f t="shared" si="71"/>
        <v>103.85790000000001</v>
      </c>
      <c r="CJ111" s="279">
        <f t="shared" si="71"/>
        <v>102.28750000000001</v>
      </c>
      <c r="CK111" s="279">
        <f t="shared" si="71"/>
        <v>98.769750000000002</v>
      </c>
      <c r="CL111" s="279">
        <f t="shared" si="71"/>
        <v>98.769750000000002</v>
      </c>
      <c r="CM111" s="279">
        <f t="shared" si="71"/>
        <v>98.769750000000002</v>
      </c>
      <c r="CN111" s="279">
        <f t="shared" ref="CN111:DP111" si="73">(CN102/1000)*CN1</f>
        <v>98.769750000000002</v>
      </c>
      <c r="CO111" s="279">
        <f t="shared" si="73"/>
        <v>101.5069</v>
      </c>
      <c r="CP111" s="279">
        <f t="shared" si="73"/>
        <v>100.914</v>
      </c>
      <c r="CQ111" s="279">
        <f t="shared" si="73"/>
        <v>103.54</v>
      </c>
      <c r="CR111" s="279">
        <f t="shared" si="73"/>
        <v>102.22625000000001</v>
      </c>
      <c r="CS111" s="279">
        <f t="shared" si="73"/>
        <v>106.42424999999999</v>
      </c>
      <c r="CT111" s="279">
        <f t="shared" si="73"/>
        <v>106.52624999999999</v>
      </c>
      <c r="CU111" s="279">
        <f t="shared" si="73"/>
        <v>108.39149999999999</v>
      </c>
      <c r="CV111" s="279">
        <f t="shared" si="73"/>
        <v>110.94225</v>
      </c>
      <c r="CW111" s="279">
        <f t="shared" si="73"/>
        <v>111.23375</v>
      </c>
      <c r="CX111" s="279">
        <f t="shared" si="73"/>
        <v>112.92619999999999</v>
      </c>
      <c r="CY111" s="279">
        <f t="shared" si="73"/>
        <v>112.8455</v>
      </c>
      <c r="CZ111" s="279">
        <f t="shared" si="73"/>
        <v>115.34875</v>
      </c>
      <c r="DA111" s="279">
        <f t="shared" si="73"/>
        <v>115.44499999999999</v>
      </c>
      <c r="DB111" s="279">
        <f t="shared" si="73"/>
        <v>115.44499999999999</v>
      </c>
      <c r="DC111" s="279">
        <f t="shared" si="73"/>
        <v>117.01199999999999</v>
      </c>
      <c r="DD111" s="279">
        <f t="shared" si="73"/>
        <v>117.12399999999998</v>
      </c>
      <c r="DE111" s="279">
        <f t="shared" si="73"/>
        <v>119.23739999999999</v>
      </c>
      <c r="DF111" s="279">
        <f t="shared" si="73"/>
        <v>120.85062499999999</v>
      </c>
      <c r="DG111" s="279">
        <f t="shared" si="73"/>
        <v>128.20674999999997</v>
      </c>
      <c r="DH111" s="279">
        <f t="shared" si="73"/>
        <v>128.22199999999998</v>
      </c>
      <c r="DI111" s="279">
        <f t="shared" si="73"/>
        <v>128.28299999999999</v>
      </c>
      <c r="DJ111" s="279">
        <f t="shared" si="73"/>
        <v>128.71</v>
      </c>
      <c r="DK111" s="279">
        <f t="shared" si="73"/>
        <v>132.72524999999999</v>
      </c>
      <c r="DL111" s="279">
        <f t="shared" si="73"/>
        <v>133.29225</v>
      </c>
      <c r="DM111" s="279">
        <f t="shared" si="73"/>
        <v>137.62125</v>
      </c>
      <c r="DN111" s="279">
        <f t="shared" si="73"/>
        <v>137.84875</v>
      </c>
      <c r="DO111" s="279">
        <f t="shared" si="73"/>
        <v>137.995</v>
      </c>
      <c r="DP111" s="279">
        <f t="shared" si="73"/>
        <v>134.1585</v>
      </c>
      <c r="DQ111" s="178"/>
      <c r="DR111" s="178"/>
    </row>
    <row r="112" spans="1:122">
      <c r="A112" s="178" t="str">
        <f t="shared" si="43"/>
        <v>Ethylene- US SPOTUSD</v>
      </c>
      <c r="B112" s="178" t="s">
        <v>150</v>
      </c>
      <c r="C112" s="178" t="s">
        <v>151</v>
      </c>
      <c r="D112" s="178" t="s">
        <v>33</v>
      </c>
      <c r="E112" s="178" t="s">
        <v>32</v>
      </c>
      <c r="F112" s="178"/>
      <c r="G112" s="178"/>
      <c r="H112" s="178"/>
      <c r="I112" s="178">
        <v>194.23</v>
      </c>
      <c r="J112" s="178">
        <v>267.31</v>
      </c>
      <c r="K112" s="178">
        <v>275.57</v>
      </c>
      <c r="L112" s="178">
        <v>344.58</v>
      </c>
      <c r="M112" s="178">
        <v>485.01</v>
      </c>
      <c r="N112" s="178">
        <v>559.53</v>
      </c>
      <c r="O112" s="178">
        <v>501.55</v>
      </c>
      <c r="P112" s="178">
        <v>507.06</v>
      </c>
      <c r="Q112" s="178">
        <v>716.49</v>
      </c>
      <c r="R112" s="178">
        <v>650.36</v>
      </c>
      <c r="S112" s="178">
        <v>970.02</v>
      </c>
      <c r="T112" s="178">
        <v>1224</v>
      </c>
      <c r="U112" s="178">
        <v>1047</v>
      </c>
      <c r="V112" s="178">
        <v>760.59</v>
      </c>
      <c r="W112" s="178">
        <v>633.82000000000005</v>
      </c>
      <c r="X112" s="178">
        <v>1113</v>
      </c>
      <c r="Y112" s="178">
        <v>1036</v>
      </c>
      <c r="Z112" s="178">
        <v>892.86</v>
      </c>
      <c r="AA112" s="178">
        <v>876.33</v>
      </c>
      <c r="AB112" s="178">
        <v>788.14</v>
      </c>
      <c r="AC112" s="178">
        <v>650.36</v>
      </c>
      <c r="AD112" s="178">
        <v>931.44</v>
      </c>
      <c r="AE112" s="178">
        <v>859.79</v>
      </c>
      <c r="AF112" s="178">
        <v>556.66</v>
      </c>
      <c r="AG112" s="178">
        <v>611.78</v>
      </c>
      <c r="AH112" s="178">
        <v>633.82000000000005</v>
      </c>
      <c r="AI112" s="178">
        <v>559.41999999999996</v>
      </c>
      <c r="AJ112" s="178">
        <v>559.41999999999996</v>
      </c>
      <c r="AK112" s="178">
        <v>598</v>
      </c>
      <c r="AL112" s="178">
        <v>440.92</v>
      </c>
      <c r="AM112" s="178">
        <v>434.03</v>
      </c>
      <c r="AN112" s="178">
        <v>488.32</v>
      </c>
      <c r="AO112" s="178">
        <v>443.68</v>
      </c>
      <c r="AP112" s="178">
        <v>473.99</v>
      </c>
      <c r="AQ112" s="178">
        <v>487.77</v>
      </c>
      <c r="AR112" s="178">
        <v>562.16999999999996</v>
      </c>
      <c r="AS112" s="178">
        <v>457.45</v>
      </c>
      <c r="AT112" s="178">
        <v>366.51</v>
      </c>
      <c r="AU112" s="214">
        <v>355.49</v>
      </c>
      <c r="AV112" s="214">
        <v>355.49</v>
      </c>
      <c r="AW112" s="214">
        <v>355.49</v>
      </c>
      <c r="AX112" s="214">
        <v>355.49</v>
      </c>
      <c r="AY112" s="214">
        <v>355.49</v>
      </c>
      <c r="AZ112" s="214">
        <v>405.1</v>
      </c>
      <c r="BA112" s="214">
        <v>405.1</v>
      </c>
      <c r="BB112" s="214">
        <v>405.1</v>
      </c>
      <c r="BC112" s="214">
        <v>405.1</v>
      </c>
      <c r="BD112" s="214">
        <v>465.72</v>
      </c>
      <c r="BE112" s="279">
        <v>465.72</v>
      </c>
      <c r="BF112" s="279">
        <v>465.72</v>
      </c>
      <c r="BG112" s="279">
        <v>465.72</v>
      </c>
      <c r="BH112" s="279">
        <v>465.72</v>
      </c>
      <c r="BI112" s="279">
        <v>465.72</v>
      </c>
      <c r="BJ112" s="279">
        <v>465.72</v>
      </c>
      <c r="BK112" s="214">
        <v>479.5</v>
      </c>
      <c r="BL112" s="214">
        <v>479.5</v>
      </c>
      <c r="BM112" s="214">
        <v>479.5</v>
      </c>
      <c r="BN112" s="214">
        <v>479.5</v>
      </c>
      <c r="BO112" s="214">
        <v>479.5</v>
      </c>
      <c r="BP112" s="214">
        <v>451.94</v>
      </c>
      <c r="BQ112" s="214">
        <v>451.94</v>
      </c>
      <c r="BR112" s="214">
        <v>451.94</v>
      </c>
      <c r="BS112" s="214">
        <v>396.83</v>
      </c>
      <c r="BT112" s="214">
        <v>396.83</v>
      </c>
      <c r="BU112" s="214">
        <v>396.83</v>
      </c>
      <c r="BV112" s="214">
        <v>396.83</v>
      </c>
      <c r="BW112" s="214">
        <v>440.92</v>
      </c>
      <c r="BX112" s="214">
        <v>440.92</v>
      </c>
      <c r="BY112" s="214">
        <v>440.92</v>
      </c>
      <c r="BZ112" s="214">
        <v>440.92</v>
      </c>
      <c r="CA112" s="214">
        <v>440.92</v>
      </c>
      <c r="CB112" s="214">
        <v>407.85</v>
      </c>
      <c r="CC112" s="214">
        <v>407.85</v>
      </c>
      <c r="CD112" s="214">
        <v>407.85</v>
      </c>
      <c r="CE112" s="214">
        <v>418.87</v>
      </c>
      <c r="CF112" s="214">
        <v>418.87</v>
      </c>
      <c r="CG112" s="214">
        <v>418.87</v>
      </c>
      <c r="CH112" s="214">
        <v>418.87</v>
      </c>
      <c r="CI112" s="214">
        <v>435.41</v>
      </c>
      <c r="CJ112" s="214">
        <v>435.41</v>
      </c>
      <c r="CK112" s="214">
        <v>435.41</v>
      </c>
      <c r="CL112" s="214">
        <v>435.41</v>
      </c>
      <c r="CM112" s="214">
        <v>435.41</v>
      </c>
      <c r="CN112" s="214">
        <v>435.41</v>
      </c>
      <c r="CO112" s="214">
        <v>476.74</v>
      </c>
      <c r="CP112" s="214">
        <v>476.74</v>
      </c>
      <c r="CQ112" s="214">
        <v>476.74</v>
      </c>
      <c r="CR112" s="214">
        <v>562.16999999999996</v>
      </c>
      <c r="CS112" s="214">
        <v>562.16999999999996</v>
      </c>
      <c r="CT112" s="214">
        <v>562.16999999999996</v>
      </c>
      <c r="CU112" s="214">
        <v>562.16999999999996</v>
      </c>
      <c r="CV112" s="214">
        <v>562.16999999999996</v>
      </c>
      <c r="CW112" s="214">
        <v>584.20000000000005</v>
      </c>
      <c r="CX112" s="214">
        <v>584.20000000000005</v>
      </c>
      <c r="CY112" s="214">
        <v>584.20000000000005</v>
      </c>
      <c r="CZ112" s="214">
        <v>584.20000000000005</v>
      </c>
      <c r="DA112" s="214">
        <v>592.49</v>
      </c>
      <c r="DB112" s="214">
        <v>592.49</v>
      </c>
      <c r="DC112" s="214">
        <v>592.49</v>
      </c>
      <c r="DD112" s="214">
        <v>592.49</v>
      </c>
      <c r="DE112" s="214">
        <v>584.22</v>
      </c>
      <c r="DF112" s="214">
        <v>584.22</v>
      </c>
      <c r="DG112" s="214">
        <v>462.67</v>
      </c>
      <c r="DH112" s="214">
        <v>462.67</v>
      </c>
      <c r="DI112" s="214">
        <v>462.67</v>
      </c>
      <c r="DJ112" s="214">
        <v>462.67</v>
      </c>
      <c r="DK112" s="214">
        <v>462.67</v>
      </c>
      <c r="DL112" s="214">
        <v>529.1</v>
      </c>
      <c r="DM112" s="214">
        <v>529.1</v>
      </c>
      <c r="DN112" s="214">
        <v>529.1</v>
      </c>
      <c r="DO112" s="214">
        <v>578.91</v>
      </c>
      <c r="DP112" s="214">
        <v>578.91</v>
      </c>
      <c r="DQ112" s="178"/>
      <c r="DR112" s="178"/>
    </row>
    <row r="113" spans="1:124">
      <c r="A113" s="178" t="str">
        <f t="shared" si="43"/>
        <v>PHOSPHORIC ACID USD</v>
      </c>
      <c r="B113" s="178" t="s">
        <v>152</v>
      </c>
      <c r="C113" s="178" t="s">
        <v>153</v>
      </c>
      <c r="D113" s="178" t="s">
        <v>33</v>
      </c>
      <c r="E113" s="178" t="s">
        <v>34</v>
      </c>
      <c r="F113" s="216">
        <v>0.57015730002519083</v>
      </c>
      <c r="G113" s="216">
        <v>0.6294972804920792</v>
      </c>
      <c r="H113" s="216">
        <v>0.60343904737076348</v>
      </c>
      <c r="I113" s="216">
        <v>0.63957777431509166</v>
      </c>
      <c r="J113" s="216">
        <v>0.61513247905347612</v>
      </c>
      <c r="K113" s="216">
        <v>0.66798243580747441</v>
      </c>
      <c r="L113" s="216">
        <v>0.62796227311388653</v>
      </c>
      <c r="M113" s="216">
        <v>0.64610700241265606</v>
      </c>
      <c r="N113" s="216">
        <v>0.67428811761455698</v>
      </c>
      <c r="O113" s="216">
        <v>0.66049116813796593</v>
      </c>
      <c r="P113" s="216">
        <v>0.69380826465100287</v>
      </c>
      <c r="Q113" s="216">
        <v>0.69524984000936763</v>
      </c>
      <c r="R113" s="266">
        <v>0.70954895192260181</v>
      </c>
      <c r="S113" s="266">
        <v>0.80838712304362426</v>
      </c>
      <c r="T113" s="266">
        <v>0.81053490260368233</v>
      </c>
      <c r="U113" s="266">
        <v>0.80861027585905698</v>
      </c>
      <c r="V113" s="266">
        <v>0.97947107376120757</v>
      </c>
      <c r="W113" s="266">
        <v>0.98006794165711719</v>
      </c>
      <c r="X113" s="266">
        <v>1.0391990602586787</v>
      </c>
      <c r="Y113" s="266">
        <v>1.1389024247663595</v>
      </c>
      <c r="Z113" s="266">
        <v>1.1404857378238031</v>
      </c>
      <c r="AA113" s="266">
        <v>1.1583476672292665</v>
      </c>
      <c r="AB113" s="266">
        <v>1.3110232969805296</v>
      </c>
      <c r="AC113" s="266">
        <v>1.3388256268736385</v>
      </c>
      <c r="AD113" s="266">
        <v>1.3495866978571565</v>
      </c>
      <c r="AE113" s="266">
        <v>1.3312432583047098</v>
      </c>
      <c r="AF113" s="266">
        <v>1.5240204255965668</v>
      </c>
      <c r="AG113" s="266">
        <v>1.8411982705763026</v>
      </c>
      <c r="AH113" s="266">
        <v>1.7285526728848497</v>
      </c>
      <c r="AI113" s="266">
        <v>1.7095762691747993</v>
      </c>
      <c r="AJ113" s="266">
        <v>1.8501005262327244</v>
      </c>
      <c r="AK113" s="266">
        <v>1.4419752322906398</v>
      </c>
      <c r="AL113" s="266">
        <v>1.5605965199208647</v>
      </c>
      <c r="AM113" s="266">
        <v>1.080453057826982</v>
      </c>
      <c r="AN113" s="266">
        <v>1.4151927343139847</v>
      </c>
      <c r="AO113" s="266">
        <v>1.2420852609822264</v>
      </c>
      <c r="AP113" s="266">
        <v>1.1873706527639396</v>
      </c>
      <c r="AQ113" s="266">
        <v>1.2851994550384078</v>
      </c>
      <c r="AR113" s="266">
        <v>0.3579073438036397</v>
      </c>
      <c r="AS113" s="266">
        <v>1.1130592088780549</v>
      </c>
      <c r="AT113" s="266">
        <v>1.2593244568168143</v>
      </c>
      <c r="AU113" s="266">
        <v>1.2593244568168143</v>
      </c>
      <c r="AV113" s="266">
        <v>0.94683695871851492</v>
      </c>
      <c r="AW113" s="266">
        <v>0.94683695871851492</v>
      </c>
      <c r="AX113" s="266">
        <v>0.94683695871851492</v>
      </c>
      <c r="AY113" s="266">
        <v>0.94683695871851492</v>
      </c>
      <c r="AZ113" s="279">
        <v>0.93797052438640871</v>
      </c>
      <c r="BA113" s="279">
        <v>0.93797052438640871</v>
      </c>
      <c r="BB113" s="279">
        <v>0.93797052438640871</v>
      </c>
      <c r="BC113" s="279">
        <v>0.93797052438640871</v>
      </c>
      <c r="BD113" s="279">
        <v>0.99276892612142864</v>
      </c>
      <c r="BE113" s="279">
        <v>0.99276892612142864</v>
      </c>
      <c r="BF113" s="279">
        <v>0.99276892612142864</v>
      </c>
      <c r="BG113" s="279">
        <v>0.99276892612142864</v>
      </c>
      <c r="BH113" s="279">
        <v>1.0642951909878353</v>
      </c>
      <c r="BI113" s="279">
        <v>1.0642951909878353</v>
      </c>
      <c r="BJ113" s="279">
        <v>1.0642951909878353</v>
      </c>
      <c r="BK113" s="214">
        <v>0.78</v>
      </c>
      <c r="BL113" s="214">
        <v>0.78</v>
      </c>
      <c r="BM113" s="214">
        <v>0.78</v>
      </c>
      <c r="BN113" s="214">
        <v>0.78</v>
      </c>
      <c r="BO113" s="214">
        <v>0.72</v>
      </c>
      <c r="BP113" s="214">
        <v>0.79</v>
      </c>
      <c r="BQ113" s="214">
        <v>0.79</v>
      </c>
      <c r="BR113" s="214">
        <v>1.02</v>
      </c>
      <c r="BS113" s="214">
        <v>1.02</v>
      </c>
      <c r="BT113" s="214">
        <v>0.91</v>
      </c>
      <c r="BU113" s="214">
        <v>0.91</v>
      </c>
      <c r="BV113" s="214">
        <v>0.91</v>
      </c>
      <c r="BW113" s="214">
        <v>0.91</v>
      </c>
      <c r="BX113" s="214">
        <v>0.91</v>
      </c>
      <c r="BY113" s="214">
        <v>0.91</v>
      </c>
      <c r="BZ113" s="214">
        <v>0.92</v>
      </c>
      <c r="CA113" s="214">
        <v>0.92</v>
      </c>
      <c r="CB113" s="214">
        <v>0.92</v>
      </c>
      <c r="CC113" s="214">
        <v>0.92</v>
      </c>
      <c r="CD113" s="214">
        <v>0.92</v>
      </c>
      <c r="CE113" s="214">
        <v>0.92</v>
      </c>
      <c r="CF113" s="214">
        <v>0.91</v>
      </c>
      <c r="CG113" s="214">
        <v>0.91</v>
      </c>
      <c r="CH113" s="214">
        <v>0.91</v>
      </c>
      <c r="CI113" s="214">
        <v>1.07</v>
      </c>
      <c r="CJ113" s="214">
        <v>1.07</v>
      </c>
      <c r="CK113" s="214">
        <v>1.07</v>
      </c>
      <c r="CL113" s="214">
        <v>1.07</v>
      </c>
      <c r="CM113" s="214">
        <v>1.07</v>
      </c>
      <c r="CN113" s="214">
        <v>1.07</v>
      </c>
      <c r="CO113" s="214">
        <v>1.07</v>
      </c>
      <c r="CP113" s="214">
        <v>1.06</v>
      </c>
      <c r="CQ113" s="214">
        <v>1.06</v>
      </c>
      <c r="CR113" s="214">
        <v>1.06</v>
      </c>
      <c r="CS113" s="214">
        <v>1.06</v>
      </c>
      <c r="CT113" s="214">
        <v>1.06</v>
      </c>
      <c r="CU113" s="214">
        <v>1.06</v>
      </c>
      <c r="CV113" s="214">
        <v>1.1100000000000001</v>
      </c>
      <c r="CW113" s="214">
        <v>1.1100000000000001</v>
      </c>
      <c r="CX113" s="214">
        <v>1.1100000000000001</v>
      </c>
      <c r="CY113" s="214">
        <v>1.1100000000000001</v>
      </c>
      <c r="CZ113" s="214">
        <v>0.9</v>
      </c>
      <c r="DA113" s="214">
        <v>1.05</v>
      </c>
      <c r="DB113" s="214">
        <v>1.08</v>
      </c>
      <c r="DC113" s="214">
        <v>1.08</v>
      </c>
      <c r="DD113" s="214">
        <v>1.08</v>
      </c>
      <c r="DE113" s="214">
        <v>0.97</v>
      </c>
      <c r="DF113" s="214">
        <v>0.97</v>
      </c>
      <c r="DG113" s="214">
        <v>0.97</v>
      </c>
      <c r="DH113" s="214">
        <v>0.97</v>
      </c>
      <c r="DI113" s="214">
        <v>0.97</v>
      </c>
      <c r="DJ113" s="214">
        <v>0.87</v>
      </c>
      <c r="DK113" s="214">
        <v>0.87</v>
      </c>
      <c r="DL113" s="214">
        <v>0.87</v>
      </c>
      <c r="DM113" s="214">
        <v>0.87</v>
      </c>
      <c r="DN113" s="214">
        <v>0.87</v>
      </c>
      <c r="DO113" s="214">
        <v>0.87</v>
      </c>
      <c r="DP113" s="214">
        <v>0.88</v>
      </c>
      <c r="DQ113" s="178"/>
      <c r="DR113" s="178"/>
    </row>
    <row r="114" spans="1:124">
      <c r="A114" s="178" t="str">
        <f t="shared" si="43"/>
        <v>Ortho xylene USD</v>
      </c>
      <c r="B114" s="178" t="s">
        <v>154</v>
      </c>
      <c r="C114" s="178" t="s">
        <v>155</v>
      </c>
      <c r="D114" s="178" t="s">
        <v>33</v>
      </c>
      <c r="E114" s="178" t="s">
        <v>32</v>
      </c>
      <c r="F114" s="178">
        <v>820</v>
      </c>
      <c r="G114" s="178">
        <v>750</v>
      </c>
      <c r="H114" s="178">
        <v>600</v>
      </c>
      <c r="I114" s="178">
        <v>440</v>
      </c>
      <c r="J114" s="178">
        <v>460</v>
      </c>
      <c r="K114" s="178">
        <v>520</v>
      </c>
      <c r="L114" s="178">
        <v>520</v>
      </c>
      <c r="M114" s="178">
        <v>525</v>
      </c>
      <c r="N114" s="178">
        <v>535</v>
      </c>
      <c r="O114" s="178">
        <v>550</v>
      </c>
      <c r="P114" s="178">
        <v>600</v>
      </c>
      <c r="Q114" s="178">
        <v>670</v>
      </c>
      <c r="R114" s="178">
        <v>645</v>
      </c>
      <c r="S114" s="178">
        <v>725</v>
      </c>
      <c r="T114" s="178">
        <v>800</v>
      </c>
      <c r="U114" s="178">
        <v>780</v>
      </c>
      <c r="V114" s="178">
        <v>800</v>
      </c>
      <c r="W114" s="178">
        <v>805</v>
      </c>
      <c r="X114" s="178">
        <v>828</v>
      </c>
      <c r="Y114" s="178">
        <v>830</v>
      </c>
      <c r="Z114" s="178">
        <v>863</v>
      </c>
      <c r="AA114" s="178">
        <v>910</v>
      </c>
      <c r="AB114" s="178">
        <v>930</v>
      </c>
      <c r="AC114" s="178">
        <v>880</v>
      </c>
      <c r="AD114" s="178">
        <v>940</v>
      </c>
      <c r="AE114" s="178">
        <v>1050</v>
      </c>
      <c r="AF114" s="178">
        <v>1250</v>
      </c>
      <c r="AG114" s="178">
        <v>1220</v>
      </c>
      <c r="AH114" s="178">
        <v>1210</v>
      </c>
      <c r="AI114" s="178">
        <v>1250</v>
      </c>
      <c r="AJ114" s="178">
        <v>1150</v>
      </c>
      <c r="AK114" s="178">
        <v>1060</v>
      </c>
      <c r="AL114" s="178">
        <v>1140</v>
      </c>
      <c r="AM114" s="178">
        <v>1160</v>
      </c>
      <c r="AN114" s="178">
        <v>1060</v>
      </c>
      <c r="AO114" s="178">
        <v>1000</v>
      </c>
      <c r="AP114" s="178">
        <v>1020</v>
      </c>
      <c r="AQ114" s="178">
        <v>1120</v>
      </c>
      <c r="AR114" s="178">
        <v>1155</v>
      </c>
      <c r="AS114" s="178">
        <v>1160</v>
      </c>
      <c r="AT114" s="178">
        <v>1100</v>
      </c>
      <c r="AU114" s="178">
        <v>1060</v>
      </c>
      <c r="AV114" s="178">
        <v>1060</v>
      </c>
      <c r="AW114" s="178">
        <v>1060</v>
      </c>
      <c r="AX114" s="178">
        <v>1061</v>
      </c>
      <c r="AY114" s="178">
        <v>1170</v>
      </c>
      <c r="AZ114" s="178">
        <v>1170</v>
      </c>
      <c r="BA114" s="178">
        <v>1150</v>
      </c>
      <c r="BB114" s="178">
        <v>1150</v>
      </c>
      <c r="BC114" s="178">
        <v>1150</v>
      </c>
      <c r="BD114" s="178">
        <v>1145</v>
      </c>
      <c r="BE114" s="178">
        <v>1178</v>
      </c>
      <c r="BF114" s="178">
        <v>1178</v>
      </c>
      <c r="BG114" s="178">
        <v>1175</v>
      </c>
      <c r="BH114" s="178">
        <v>1157</v>
      </c>
      <c r="BI114" s="178">
        <v>1100</v>
      </c>
      <c r="BJ114" s="178">
        <v>1023</v>
      </c>
      <c r="BK114" s="178">
        <v>1019</v>
      </c>
      <c r="BL114" s="178">
        <v>1004</v>
      </c>
      <c r="BM114" s="178">
        <v>999</v>
      </c>
      <c r="BN114" s="214">
        <v>984</v>
      </c>
      <c r="BO114" s="214">
        <v>984</v>
      </c>
      <c r="BP114" s="214">
        <v>964</v>
      </c>
      <c r="BQ114" s="214">
        <v>959</v>
      </c>
      <c r="BR114" s="214">
        <v>959</v>
      </c>
      <c r="BS114" s="214">
        <v>959</v>
      </c>
      <c r="BT114" s="214">
        <v>1006</v>
      </c>
      <c r="BU114" s="214">
        <v>1012</v>
      </c>
      <c r="BV114" s="214">
        <v>1020</v>
      </c>
      <c r="BW114" s="214">
        <v>1028</v>
      </c>
      <c r="BX114" s="214">
        <v>1024</v>
      </c>
      <c r="BY114" s="214">
        <v>1014</v>
      </c>
      <c r="BZ114" s="214">
        <v>1033</v>
      </c>
      <c r="CA114" s="214">
        <v>1039</v>
      </c>
      <c r="CB114" s="214">
        <v>1044</v>
      </c>
      <c r="CC114" s="214">
        <v>1044</v>
      </c>
      <c r="CD114" s="214">
        <v>1058.5</v>
      </c>
      <c r="CE114" s="214">
        <v>1056</v>
      </c>
      <c r="CF114" s="214">
        <v>1066</v>
      </c>
      <c r="CG114" s="214">
        <v>1066</v>
      </c>
      <c r="CH114" s="214">
        <v>1074</v>
      </c>
      <c r="CI114" s="214">
        <v>1081</v>
      </c>
      <c r="CJ114" s="214">
        <v>1079</v>
      </c>
      <c r="CK114" s="214">
        <v>1079</v>
      </c>
      <c r="CL114" s="214">
        <v>1079</v>
      </c>
      <c r="CM114" s="214">
        <v>1079</v>
      </c>
      <c r="CN114" s="214">
        <v>1100</v>
      </c>
      <c r="CO114" s="214">
        <v>1109</v>
      </c>
      <c r="CP114" s="214">
        <v>1161</v>
      </c>
      <c r="CQ114" s="214">
        <v>1159</v>
      </c>
      <c r="CR114" s="214">
        <v>1160</v>
      </c>
      <c r="CS114" s="214">
        <v>1138</v>
      </c>
      <c r="CT114" s="214">
        <v>1100</v>
      </c>
      <c r="CU114" s="214">
        <v>1090</v>
      </c>
      <c r="CV114" s="214">
        <v>1060</v>
      </c>
      <c r="CW114" s="214">
        <v>1060</v>
      </c>
      <c r="CX114" s="214">
        <v>1039</v>
      </c>
      <c r="CY114" s="214">
        <v>1010</v>
      </c>
      <c r="CZ114" s="214">
        <v>980</v>
      </c>
      <c r="DA114" s="214">
        <v>978</v>
      </c>
      <c r="DB114" s="214">
        <v>954</v>
      </c>
      <c r="DC114" s="214">
        <v>890</v>
      </c>
      <c r="DD114" s="214">
        <v>890</v>
      </c>
      <c r="DE114" s="214">
        <v>903</v>
      </c>
      <c r="DF114" s="214">
        <v>903</v>
      </c>
      <c r="DG114" s="214">
        <v>874</v>
      </c>
      <c r="DH114" s="214">
        <v>874</v>
      </c>
      <c r="DI114" s="214">
        <v>859</v>
      </c>
      <c r="DJ114" s="214">
        <v>859</v>
      </c>
      <c r="DK114" s="214">
        <v>859</v>
      </c>
      <c r="DL114" s="214">
        <v>850</v>
      </c>
      <c r="DM114" s="214">
        <v>849</v>
      </c>
      <c r="DN114" s="214">
        <v>850</v>
      </c>
      <c r="DO114" s="214">
        <v>850</v>
      </c>
      <c r="DP114" s="214">
        <v>854</v>
      </c>
      <c r="DQ114" s="178"/>
      <c r="DR114" s="178"/>
    </row>
    <row r="115" spans="1:124">
      <c r="A115" s="178" t="str">
        <f t="shared" si="43"/>
        <v>Antimony SlabRMB</v>
      </c>
      <c r="B115" s="178" t="s">
        <v>29</v>
      </c>
      <c r="C115" s="178" t="s">
        <v>156</v>
      </c>
      <c r="D115" s="178" t="s">
        <v>31</v>
      </c>
      <c r="E115" s="178" t="s">
        <v>32</v>
      </c>
      <c r="F115" s="178"/>
      <c r="G115" s="178"/>
      <c r="H115" s="178"/>
      <c r="I115" s="178"/>
      <c r="J115" s="178"/>
      <c r="K115" s="178"/>
      <c r="L115" s="178"/>
      <c r="M115" s="178"/>
      <c r="N115" s="178"/>
      <c r="O115" s="178"/>
      <c r="P115" s="178"/>
      <c r="Q115" s="178"/>
      <c r="R115" s="178"/>
      <c r="S115" s="178"/>
      <c r="T115" s="178"/>
      <c r="U115" s="178"/>
      <c r="V115" s="178"/>
      <c r="W115" s="178"/>
      <c r="X115" s="178"/>
      <c r="Y115" s="178"/>
      <c r="Z115" s="178"/>
      <c r="AA115" s="178"/>
      <c r="AB115" s="178"/>
      <c r="AC115" s="178"/>
      <c r="AD115" s="178"/>
      <c r="AE115" s="178"/>
      <c r="AF115" s="262">
        <v>82633.928571428565</v>
      </c>
      <c r="AG115" s="262">
        <v>82901.78571428571</v>
      </c>
      <c r="AH115" s="262">
        <v>80312.5</v>
      </c>
      <c r="AI115" s="262">
        <v>81103.571428571435</v>
      </c>
      <c r="AJ115" s="262">
        <v>83071.42857142858</v>
      </c>
      <c r="AK115" s="262">
        <v>80857.142857142855</v>
      </c>
      <c r="AL115" s="262">
        <v>79514.28571428571</v>
      </c>
      <c r="AM115" s="262">
        <v>79366.07142857142</v>
      </c>
      <c r="AN115" s="262">
        <v>75508.928571428565</v>
      </c>
      <c r="AO115" s="262">
        <v>73835.71428571429</v>
      </c>
      <c r="AP115" s="262">
        <v>77446.428571428565</v>
      </c>
      <c r="AQ115" s="262">
        <v>84696.428571428565</v>
      </c>
      <c r="AR115" s="262">
        <v>85533.333333333343</v>
      </c>
      <c r="AS115" s="262">
        <v>81925</v>
      </c>
      <c r="AT115" s="262">
        <v>82320.833333333328</v>
      </c>
      <c r="AU115" s="262">
        <v>81967.14285714287</v>
      </c>
      <c r="AV115" s="262">
        <v>77519.642857142841</v>
      </c>
      <c r="AW115" s="262">
        <v>77519.642857142841</v>
      </c>
      <c r="AX115" s="262">
        <v>77519.642857142841</v>
      </c>
      <c r="AY115" s="262">
        <v>77519.642857142841</v>
      </c>
      <c r="AZ115" s="262">
        <v>78764.28571428571</v>
      </c>
      <c r="BA115" s="262">
        <v>78764.28571428571</v>
      </c>
      <c r="BB115" s="262">
        <v>78764.28571428571</v>
      </c>
      <c r="BC115" s="262">
        <v>78764.28571428571</v>
      </c>
      <c r="BD115" s="262">
        <v>81202.85714285713</v>
      </c>
      <c r="BE115" s="262">
        <v>81202.85714285713</v>
      </c>
      <c r="BF115" s="262">
        <v>81202.85714285713</v>
      </c>
      <c r="BG115" s="262">
        <v>81202.85714285713</v>
      </c>
      <c r="BH115" s="178">
        <v>82500</v>
      </c>
      <c r="BI115" s="178">
        <v>82500</v>
      </c>
      <c r="BJ115" s="178">
        <v>82500</v>
      </c>
      <c r="BK115" s="178">
        <v>82500</v>
      </c>
      <c r="BL115" s="178">
        <v>82500</v>
      </c>
      <c r="BM115" s="178">
        <v>82250</v>
      </c>
      <c r="BN115" s="214">
        <v>81500</v>
      </c>
      <c r="BO115" s="214">
        <v>81500</v>
      </c>
      <c r="BP115" s="214">
        <v>81500</v>
      </c>
      <c r="BQ115" s="214">
        <v>80500</v>
      </c>
      <c r="BR115" s="214">
        <v>81000</v>
      </c>
      <c r="BS115" s="214">
        <v>81000</v>
      </c>
      <c r="BT115" s="214">
        <v>81000</v>
      </c>
      <c r="BU115" s="214">
        <v>91500</v>
      </c>
      <c r="BV115" s="214">
        <v>88000</v>
      </c>
      <c r="BW115" s="214">
        <v>90750</v>
      </c>
      <c r="BX115" s="178">
        <v>91500</v>
      </c>
      <c r="BY115" s="178">
        <v>91500</v>
      </c>
      <c r="BZ115" s="214">
        <v>91500</v>
      </c>
      <c r="CA115" s="214">
        <v>91500</v>
      </c>
      <c r="CB115" s="214">
        <v>91500</v>
      </c>
      <c r="CC115" s="214">
        <v>91500</v>
      </c>
      <c r="CD115" s="214">
        <v>91500</v>
      </c>
      <c r="CE115" s="214">
        <v>91500</v>
      </c>
      <c r="CF115" s="214">
        <v>91500</v>
      </c>
      <c r="CG115" s="214">
        <v>91250</v>
      </c>
      <c r="CH115" s="214">
        <v>92500</v>
      </c>
      <c r="CI115" s="214">
        <v>97500</v>
      </c>
      <c r="CJ115" s="214">
        <v>97500</v>
      </c>
      <c r="CK115" s="214">
        <v>97500</v>
      </c>
      <c r="CL115" s="214">
        <v>100500</v>
      </c>
      <c r="CM115" s="214">
        <v>116750</v>
      </c>
      <c r="CN115" s="214">
        <v>131750</v>
      </c>
      <c r="CO115" s="214">
        <v>148250</v>
      </c>
      <c r="CP115" s="214">
        <v>148250</v>
      </c>
      <c r="CQ115" s="214">
        <v>151750</v>
      </c>
      <c r="CR115" s="214">
        <v>158250</v>
      </c>
      <c r="CS115" s="214">
        <v>157250</v>
      </c>
      <c r="CT115" s="214">
        <v>157250</v>
      </c>
      <c r="CU115" s="214">
        <v>158750</v>
      </c>
      <c r="CV115" s="214">
        <v>158750</v>
      </c>
      <c r="CW115" s="214">
        <v>159250</v>
      </c>
      <c r="CX115" s="214">
        <v>159250</v>
      </c>
      <c r="CY115" s="214">
        <v>160250</v>
      </c>
      <c r="CZ115" s="214">
        <v>160250</v>
      </c>
      <c r="DA115" s="214">
        <v>160250</v>
      </c>
      <c r="DB115" s="214">
        <v>161000</v>
      </c>
      <c r="DC115" s="214">
        <v>161000</v>
      </c>
      <c r="DD115" s="279">
        <v>161000</v>
      </c>
      <c r="DE115" s="214">
        <v>160500</v>
      </c>
      <c r="DF115" s="214">
        <v>151250</v>
      </c>
      <c r="DG115" s="214">
        <v>146750</v>
      </c>
      <c r="DH115" s="214">
        <v>146750</v>
      </c>
      <c r="DI115" s="214">
        <v>146750</v>
      </c>
      <c r="DJ115" s="214">
        <v>146750</v>
      </c>
      <c r="DK115" s="214">
        <v>140250</v>
      </c>
      <c r="DL115" s="214">
        <v>140250</v>
      </c>
      <c r="DM115" s="214">
        <v>140250</v>
      </c>
      <c r="DN115" s="214">
        <v>140250</v>
      </c>
      <c r="DO115" s="214">
        <v>140250</v>
      </c>
      <c r="DP115" s="214">
        <v>140250</v>
      </c>
      <c r="DQ115" s="178"/>
      <c r="DR115" s="178"/>
    </row>
    <row r="116" spans="1:124">
      <c r="A116" s="178" t="str">
        <f t="shared" si="43"/>
        <v>Antimony SlabUSD</v>
      </c>
      <c r="B116" s="178" t="s">
        <v>29</v>
      </c>
      <c r="C116" s="178" t="s">
        <v>156</v>
      </c>
      <c r="D116" s="178" t="s">
        <v>33</v>
      </c>
      <c r="E116" s="178" t="s">
        <v>34</v>
      </c>
      <c r="F116" s="178"/>
      <c r="G116" s="178"/>
      <c r="H116" s="178"/>
      <c r="I116" s="178"/>
      <c r="J116" s="178"/>
      <c r="K116" s="178"/>
      <c r="L116" s="178"/>
      <c r="M116" s="178"/>
      <c r="N116" s="178"/>
      <c r="O116" s="178"/>
      <c r="P116" s="178"/>
      <c r="Q116" s="178"/>
      <c r="R116" s="178"/>
      <c r="S116" s="178"/>
      <c r="T116" s="178"/>
      <c r="U116" s="178"/>
      <c r="V116" s="178"/>
      <c r="W116" s="178"/>
      <c r="X116" s="178"/>
      <c r="Y116" s="178"/>
      <c r="Z116" s="178"/>
      <c r="AA116" s="178"/>
      <c r="AB116" s="178"/>
      <c r="AC116" s="178"/>
      <c r="AD116" s="178"/>
      <c r="AE116" s="178"/>
      <c r="AF116" s="266">
        <f t="shared" ref="AF116:BM116" si="74">(((AF115/1.13)/AF3)/1000)</f>
        <v>11.53428555476237</v>
      </c>
      <c r="AG116" s="266">
        <f t="shared" si="74"/>
        <v>11.101522605210871</v>
      </c>
      <c r="AH116" s="266">
        <f t="shared" si="74"/>
        <v>10.652429383926489</v>
      </c>
      <c r="AI116" s="266">
        <f t="shared" si="74"/>
        <v>10.713518137817786</v>
      </c>
      <c r="AJ116" s="266">
        <f t="shared" si="74"/>
        <v>10.900409026835852</v>
      </c>
      <c r="AK116" s="266">
        <f t="shared" si="74"/>
        <v>10.384737269082709</v>
      </c>
      <c r="AL116" s="266">
        <f t="shared" ref="AL116:AV116" si="75">(((AL115/1.13)/AL3)/1000)</f>
        <v>9.8919834857547695</v>
      </c>
      <c r="AM116" s="266">
        <f t="shared" si="75"/>
        <v>9.619319515334336</v>
      </c>
      <c r="AN116" s="266">
        <f t="shared" si="75"/>
        <v>9.427624639551933</v>
      </c>
      <c r="AO116" s="266">
        <f t="shared" si="75"/>
        <v>9.4736037922422671</v>
      </c>
      <c r="AP116" s="266">
        <f t="shared" si="75"/>
        <v>10.146514642040604</v>
      </c>
      <c r="AQ116" s="266">
        <f t="shared" si="75"/>
        <v>10.810366004576611</v>
      </c>
      <c r="AR116" s="266">
        <f t="shared" si="75"/>
        <v>10.864846893729265</v>
      </c>
      <c r="AS116" s="266">
        <f t="shared" si="75"/>
        <v>10.522496371552975</v>
      </c>
      <c r="AT116" s="266">
        <f t="shared" si="75"/>
        <v>10.362773113122438</v>
      </c>
      <c r="AU116" s="266">
        <f t="shared" si="75"/>
        <v>10.159284952919224</v>
      </c>
      <c r="AV116" s="266">
        <f t="shared" si="75"/>
        <v>9.4622694973625698</v>
      </c>
      <c r="AW116" s="266">
        <f t="shared" si="74"/>
        <v>9.4622694973625698</v>
      </c>
      <c r="AX116" s="266">
        <f t="shared" si="74"/>
        <v>9.5279797022053643</v>
      </c>
      <c r="AY116" s="266">
        <f t="shared" si="74"/>
        <v>9.5946089308921163</v>
      </c>
      <c r="AZ116" s="266">
        <f t="shared" si="74"/>
        <v>9.6407894483758323</v>
      </c>
      <c r="BA116" s="266">
        <f t="shared" si="74"/>
        <v>9.5877452148221831</v>
      </c>
      <c r="BB116" s="266">
        <f t="shared" si="74"/>
        <v>9.56144138707233</v>
      </c>
      <c r="BC116" s="266">
        <f t="shared" si="74"/>
        <v>9.56144138707233</v>
      </c>
      <c r="BD116" s="266">
        <f t="shared" si="74"/>
        <v>9.8304973357937548</v>
      </c>
      <c r="BE116" s="266">
        <f t="shared" si="74"/>
        <v>9.8574671501580706</v>
      </c>
      <c r="BF116" s="266">
        <f t="shared" si="74"/>
        <v>9.84396377050032</v>
      </c>
      <c r="BG116" s="266">
        <f t="shared" si="74"/>
        <v>9.84396377050032</v>
      </c>
      <c r="BH116" s="266">
        <f t="shared" si="74"/>
        <v>10.001212268153717</v>
      </c>
      <c r="BI116" s="266">
        <f t="shared" si="74"/>
        <v>10.140117994100295</v>
      </c>
      <c r="BJ116" s="266">
        <f t="shared" si="74"/>
        <v>9.9875307192232743</v>
      </c>
      <c r="BK116" s="266">
        <f t="shared" si="74"/>
        <v>9.9738865515740613</v>
      </c>
      <c r="BL116" s="266">
        <f t="shared" si="74"/>
        <v>10.042482745188739</v>
      </c>
      <c r="BM116" s="266">
        <f t="shared" si="74"/>
        <v>10.025841683122456</v>
      </c>
      <c r="BN116" s="216">
        <f t="shared" ref="BN116:DT116" si="76">(((BN115/1.13)/BN3)/1000)</f>
        <v>9.9344206343401833</v>
      </c>
      <c r="BO116" s="216">
        <f t="shared" si="76"/>
        <v>10.158294902156301</v>
      </c>
      <c r="BP116" s="216">
        <f t="shared" si="76"/>
        <v>10.101385687018171</v>
      </c>
      <c r="BQ116" s="216">
        <f t="shared" si="76"/>
        <v>10.047805085063096</v>
      </c>
      <c r="BR116" s="216">
        <f t="shared" si="76"/>
        <v>10.025372857231265</v>
      </c>
      <c r="BS116" s="216">
        <f t="shared" si="76"/>
        <v>10.110213812299513</v>
      </c>
      <c r="BT116" s="216">
        <f t="shared" si="76"/>
        <v>10.095974074535713</v>
      </c>
      <c r="BU116" s="216">
        <f t="shared" si="76"/>
        <v>11.404711454568117</v>
      </c>
      <c r="BV116" s="216">
        <f t="shared" si="76"/>
        <v>10.937655364422792</v>
      </c>
      <c r="BW116" s="216">
        <f t="shared" si="76"/>
        <v>11.295321309883875</v>
      </c>
      <c r="BX116" s="216">
        <f t="shared" si="76"/>
        <v>11.388671072775477</v>
      </c>
      <c r="BY116" s="216">
        <f t="shared" si="76"/>
        <v>11.261954287542926</v>
      </c>
      <c r="BZ116" s="216">
        <f t="shared" si="76"/>
        <v>11.277639460645354</v>
      </c>
      <c r="CA116" s="216">
        <f t="shared" si="76"/>
        <v>11.246312684365783</v>
      </c>
      <c r="CB116" s="216">
        <f t="shared" si="76"/>
        <v>11.246312684365783</v>
      </c>
      <c r="CC116" s="216">
        <f t="shared" si="76"/>
        <v>11.277639460645354</v>
      </c>
      <c r="CD116" s="216">
        <f t="shared" si="76"/>
        <v>11.215159463633469</v>
      </c>
      <c r="CE116" s="216">
        <f t="shared" si="76"/>
        <v>11.199647486505343</v>
      </c>
      <c r="CF116" s="216">
        <f t="shared" si="76"/>
        <v>11.199647486505343</v>
      </c>
      <c r="CG116" s="216">
        <f t="shared" si="76"/>
        <v>11.153620495770792</v>
      </c>
      <c r="CH116" s="216">
        <f t="shared" si="76"/>
        <v>11.306409817630668</v>
      </c>
      <c r="CI116" s="216">
        <f t="shared" si="76"/>
        <v>11.917567105070162</v>
      </c>
      <c r="CJ116" s="216">
        <f t="shared" si="76"/>
        <v>11.967154762927597</v>
      </c>
      <c r="CK116" s="216">
        <f t="shared" si="76"/>
        <v>11.934050600374546</v>
      </c>
      <c r="CL116" s="216">
        <f t="shared" si="76"/>
        <v>12.301252157309147</v>
      </c>
      <c r="CM116" s="216">
        <f t="shared" si="76"/>
        <v>14.290260590704905</v>
      </c>
      <c r="CN116" s="216">
        <f t="shared" si="76"/>
        <v>16.126268375377911</v>
      </c>
      <c r="CO116" s="216">
        <f t="shared" si="76"/>
        <v>18.120813572581042</v>
      </c>
      <c r="CP116" s="216">
        <f t="shared" si="76"/>
        <v>18.120813572581042</v>
      </c>
      <c r="CQ116" s="216">
        <f t="shared" si="76"/>
        <v>18.497525536946295</v>
      </c>
      <c r="CR116" s="216">
        <f t="shared" si="76"/>
        <v>19.263307811225673</v>
      </c>
      <c r="CS116" s="216">
        <f t="shared" si="76"/>
        <v>19.14158074764763</v>
      </c>
      <c r="CT116" s="216">
        <f t="shared" si="76"/>
        <v>19.14158074764763</v>
      </c>
      <c r="CU116" s="216">
        <f t="shared" si="76"/>
        <v>19.297627151609454</v>
      </c>
      <c r="CV116" s="216">
        <f t="shared" si="76"/>
        <v>19.431082387789324</v>
      </c>
      <c r="CW116" s="216">
        <f t="shared" si="76"/>
        <v>19.655397983238917</v>
      </c>
      <c r="CX116" s="216">
        <f t="shared" si="76"/>
        <v>19.628022777134127</v>
      </c>
      <c r="CY116" s="216">
        <f t="shared" si="76"/>
        <v>19.834148152732226</v>
      </c>
      <c r="CZ116" s="216">
        <f t="shared" si="76"/>
        <v>19.945732671172351</v>
      </c>
      <c r="DA116" s="216">
        <f t="shared" si="76"/>
        <v>20.001997079271568</v>
      </c>
      <c r="DB116" s="216">
        <f t="shared" si="76"/>
        <v>20.039082434063953</v>
      </c>
      <c r="DC116" s="216">
        <f t="shared" si="76"/>
        <v>20.181002281330699</v>
      </c>
      <c r="DD116" s="279">
        <f t="shared" si="76"/>
        <v>20.295993747321187</v>
      </c>
      <c r="DE116" s="216">
        <f t="shared" si="76"/>
        <v>20.232962710838819</v>
      </c>
      <c r="DF116" s="216">
        <f t="shared" si="76"/>
        <v>18.825535516473124</v>
      </c>
      <c r="DG116" s="216">
        <f t="shared" si="76"/>
        <v>18.214201491888943</v>
      </c>
      <c r="DH116" s="216">
        <f t="shared" si="76"/>
        <v>18.188691405765852</v>
      </c>
      <c r="DI116" s="216">
        <f t="shared" si="76"/>
        <v>18.265436939123507</v>
      </c>
      <c r="DJ116" s="216">
        <f t="shared" si="76"/>
        <v>17.962276160050919</v>
      </c>
      <c r="DK116" s="216">
        <f t="shared" si="76"/>
        <v>17.142961912677848</v>
      </c>
      <c r="DL116" s="216">
        <f t="shared" si="76"/>
        <v>17.095736122284798</v>
      </c>
      <c r="DM116" s="216">
        <f t="shared" si="76"/>
        <v>17.072220666820858</v>
      </c>
      <c r="DN116" s="216">
        <f t="shared" si="76"/>
        <v>17.072220666820858</v>
      </c>
      <c r="DO116" s="216">
        <f t="shared" si="76"/>
        <v>17.025383298736298</v>
      </c>
      <c r="DP116" s="216">
        <f t="shared" si="76"/>
        <v>17.002060855861316</v>
      </c>
      <c r="DQ116" s="216" t="e">
        <f t="shared" si="76"/>
        <v>#DIV/0!</v>
      </c>
      <c r="DR116" s="216" t="e">
        <f t="shared" si="76"/>
        <v>#DIV/0!</v>
      </c>
      <c r="DS116" s="216" t="e">
        <f t="shared" si="76"/>
        <v>#DIV/0!</v>
      </c>
      <c r="DT116" s="216" t="e">
        <f t="shared" si="76"/>
        <v>#DIV/0!</v>
      </c>
    </row>
    <row r="117" spans="1:124">
      <c r="A117" s="178" t="str">
        <f t="shared" si="43"/>
        <v>SEBACIC ACIDUSD</v>
      </c>
      <c r="B117" s="178" t="s">
        <v>152</v>
      </c>
      <c r="C117" s="340" t="s">
        <v>157</v>
      </c>
      <c r="D117" s="178" t="s">
        <v>33</v>
      </c>
      <c r="E117" s="178" t="s">
        <v>34</v>
      </c>
      <c r="F117" s="178"/>
      <c r="G117" s="178"/>
      <c r="H117" s="178"/>
      <c r="I117" s="178"/>
      <c r="J117" s="178"/>
      <c r="K117" s="178"/>
      <c r="L117" s="178"/>
      <c r="M117" s="178"/>
      <c r="N117" s="178"/>
      <c r="O117" s="178"/>
      <c r="P117" s="178"/>
      <c r="Q117" s="178"/>
      <c r="R117" s="178"/>
      <c r="S117" s="178"/>
      <c r="T117" s="178"/>
      <c r="U117" s="178"/>
      <c r="V117" s="178"/>
      <c r="W117" s="178"/>
      <c r="X117" s="178"/>
      <c r="Y117" s="178"/>
      <c r="Z117" s="178"/>
      <c r="AA117" s="178"/>
      <c r="AB117" s="178"/>
      <c r="AC117" s="178"/>
      <c r="AD117" s="178"/>
      <c r="AE117" s="178"/>
      <c r="AF117" s="178"/>
      <c r="AG117" s="178"/>
      <c r="AH117" s="178"/>
      <c r="AI117" s="178"/>
      <c r="AJ117" s="178"/>
      <c r="AK117" s="178"/>
      <c r="AL117" s="178"/>
      <c r="AM117" s="178"/>
      <c r="AN117" s="178"/>
      <c r="AO117" s="178"/>
      <c r="AP117" s="178"/>
      <c r="AQ117" s="178"/>
      <c r="AR117" s="178"/>
      <c r="AS117" s="178"/>
      <c r="AT117" s="178"/>
      <c r="AU117" s="178"/>
      <c r="AV117" s="178"/>
      <c r="AW117" s="178"/>
      <c r="AX117" s="178"/>
      <c r="AY117" s="178"/>
      <c r="AZ117" s="178"/>
      <c r="BA117" s="178"/>
      <c r="BB117" s="178"/>
      <c r="BC117" s="178"/>
      <c r="BD117" s="178"/>
      <c r="BE117" s="178"/>
      <c r="BF117" s="178"/>
      <c r="BG117" s="178"/>
      <c r="BH117" s="214"/>
      <c r="BI117" s="178"/>
      <c r="BJ117" s="178"/>
      <c r="BK117" s="178"/>
      <c r="BL117" s="178"/>
      <c r="BM117" s="178"/>
      <c r="BN117" s="178"/>
      <c r="BO117" s="178"/>
      <c r="BP117" s="214">
        <v>3.61</v>
      </c>
      <c r="BQ117" s="214">
        <v>3.61</v>
      </c>
      <c r="BR117" s="214">
        <v>3.48</v>
      </c>
      <c r="BS117" s="214">
        <v>3.48</v>
      </c>
      <c r="BT117" s="214">
        <v>3.48</v>
      </c>
      <c r="BU117" s="214">
        <v>3.48</v>
      </c>
      <c r="BV117" s="214">
        <v>3.48</v>
      </c>
      <c r="BW117" s="214">
        <v>3.48</v>
      </c>
      <c r="BX117" s="214">
        <v>3.48</v>
      </c>
      <c r="BY117" s="214">
        <v>3.48</v>
      </c>
      <c r="BZ117" s="214">
        <v>3.43</v>
      </c>
      <c r="CA117" s="214">
        <v>3.43</v>
      </c>
      <c r="CB117" s="214">
        <v>3.43</v>
      </c>
      <c r="CC117" s="214">
        <v>3.43</v>
      </c>
      <c r="CD117" s="214">
        <v>3.43</v>
      </c>
      <c r="CE117" s="214">
        <v>3.43</v>
      </c>
      <c r="CF117" s="214">
        <v>3.43</v>
      </c>
      <c r="CG117" s="214">
        <v>3.43</v>
      </c>
      <c r="CH117" s="214">
        <v>3.43</v>
      </c>
      <c r="CI117" s="214">
        <v>3.42</v>
      </c>
      <c r="CJ117" s="214">
        <v>3.42</v>
      </c>
      <c r="CK117" s="214">
        <v>3.42</v>
      </c>
      <c r="CL117" s="214">
        <v>3.42</v>
      </c>
      <c r="CM117" s="214">
        <v>3.42</v>
      </c>
      <c r="CN117" s="214">
        <v>3.42</v>
      </c>
      <c r="CO117" s="214">
        <v>3.42</v>
      </c>
      <c r="CP117" s="214">
        <v>3.83</v>
      </c>
      <c r="CQ117" s="214">
        <v>3.55</v>
      </c>
      <c r="CR117" s="214">
        <v>3.55</v>
      </c>
      <c r="CS117" s="214">
        <v>3.55</v>
      </c>
      <c r="CT117" s="214">
        <v>3.56</v>
      </c>
      <c r="CU117" s="214">
        <v>3.56</v>
      </c>
      <c r="CV117" s="214">
        <v>3.6</v>
      </c>
      <c r="CW117" s="214">
        <v>3.6</v>
      </c>
      <c r="CX117" s="214">
        <v>3.6</v>
      </c>
      <c r="CY117" s="214">
        <v>3.6</v>
      </c>
      <c r="CZ117" s="214">
        <v>3.92</v>
      </c>
      <c r="DA117" s="214">
        <v>3.95</v>
      </c>
      <c r="DB117" s="214">
        <v>3.95</v>
      </c>
      <c r="DC117" s="214">
        <v>3.95</v>
      </c>
      <c r="DD117" s="214">
        <v>3.95</v>
      </c>
      <c r="DE117" s="214">
        <v>3.82</v>
      </c>
      <c r="DF117" s="214">
        <v>3.82</v>
      </c>
      <c r="DG117" s="214">
        <v>3.82</v>
      </c>
      <c r="DH117" s="214">
        <v>3.82</v>
      </c>
      <c r="DI117" s="214">
        <v>3.82</v>
      </c>
      <c r="DJ117" s="214">
        <v>3.59</v>
      </c>
      <c r="DK117" s="214">
        <v>3.59</v>
      </c>
      <c r="DL117" s="214">
        <v>3.59</v>
      </c>
      <c r="DM117" s="214">
        <v>3.59</v>
      </c>
      <c r="DN117" s="214">
        <v>3.55</v>
      </c>
      <c r="DO117" s="214">
        <v>3.55</v>
      </c>
      <c r="DP117" s="214">
        <v>3.55</v>
      </c>
      <c r="DQ117" s="178"/>
      <c r="DR117" s="178"/>
    </row>
    <row r="118" spans="1:124">
      <c r="A118" s="178" t="str">
        <f t="shared" si="43"/>
        <v>sulfurUSD</v>
      </c>
      <c r="B118" s="341" t="s">
        <v>158</v>
      </c>
      <c r="C118" s="178" t="s">
        <v>159</v>
      </c>
      <c r="D118" s="178" t="s">
        <v>33</v>
      </c>
      <c r="E118" s="178" t="s">
        <v>34</v>
      </c>
      <c r="F118" s="342">
        <v>88</v>
      </c>
      <c r="G118" s="342">
        <v>79</v>
      </c>
      <c r="H118" s="342">
        <v>102</v>
      </c>
      <c r="I118" s="342">
        <v>102</v>
      </c>
      <c r="J118" s="342">
        <v>87</v>
      </c>
      <c r="K118" s="342">
        <v>91</v>
      </c>
      <c r="L118" s="342">
        <v>103</v>
      </c>
      <c r="M118" s="342">
        <v>103</v>
      </c>
      <c r="N118" s="342">
        <v>133</v>
      </c>
      <c r="O118" s="342">
        <v>134</v>
      </c>
      <c r="P118" s="342">
        <v>150</v>
      </c>
      <c r="Q118" s="342">
        <v>150</v>
      </c>
      <c r="R118" s="342">
        <v>151</v>
      </c>
      <c r="S118" s="342">
        <v>152</v>
      </c>
      <c r="T118" s="343">
        <v>223</v>
      </c>
      <c r="U118" s="343">
        <v>223</v>
      </c>
      <c r="V118" s="343">
        <v>228</v>
      </c>
      <c r="W118" s="343">
        <v>243</v>
      </c>
      <c r="X118" s="343">
        <v>251</v>
      </c>
      <c r="Y118" s="343">
        <v>251</v>
      </c>
      <c r="Z118" s="343">
        <v>291</v>
      </c>
      <c r="AA118" s="343">
        <v>298</v>
      </c>
      <c r="AB118" s="343">
        <v>321</v>
      </c>
      <c r="AC118" s="343">
        <v>303</v>
      </c>
      <c r="AD118" s="343">
        <v>307</v>
      </c>
      <c r="AE118" s="343">
        <v>325</v>
      </c>
      <c r="AF118" s="343">
        <v>361</v>
      </c>
      <c r="AG118" s="343">
        <v>506</v>
      </c>
      <c r="AH118" s="343">
        <v>535</v>
      </c>
      <c r="AI118" s="343">
        <v>603</v>
      </c>
      <c r="AJ118" s="343">
        <v>538</v>
      </c>
      <c r="AK118" s="343">
        <v>146</v>
      </c>
      <c r="AL118" s="343">
        <v>180</v>
      </c>
      <c r="AM118" s="343">
        <v>228</v>
      </c>
      <c r="AN118" s="343">
        <v>195</v>
      </c>
      <c r="AO118" s="343">
        <v>219</v>
      </c>
      <c r="AP118" s="343">
        <v>186</v>
      </c>
      <c r="AQ118" s="343">
        <v>181</v>
      </c>
      <c r="AR118" s="343">
        <v>175</v>
      </c>
      <c r="AS118" s="343">
        <v>166</v>
      </c>
      <c r="AT118" s="343">
        <v>115</v>
      </c>
      <c r="AU118" s="178"/>
      <c r="AV118" s="178"/>
      <c r="AW118" s="178"/>
      <c r="AX118" s="178"/>
      <c r="AY118" s="178"/>
      <c r="AZ118" s="178"/>
      <c r="BA118" s="178"/>
      <c r="BB118" s="178"/>
      <c r="BC118" s="178"/>
      <c r="BD118" s="178"/>
      <c r="BE118" s="178"/>
      <c r="BF118" s="178"/>
      <c r="BG118" s="178"/>
      <c r="BH118" s="214"/>
      <c r="BI118" s="178"/>
      <c r="BJ118" s="178"/>
      <c r="BK118" s="178"/>
      <c r="BL118" s="178"/>
      <c r="BM118" s="178"/>
      <c r="BN118" s="178"/>
      <c r="BO118" s="178"/>
      <c r="BP118" s="178"/>
      <c r="BQ118" s="178"/>
      <c r="BR118" s="214"/>
      <c r="BS118" s="178"/>
      <c r="BT118" s="178"/>
      <c r="BU118" s="214"/>
      <c r="BV118" s="214"/>
      <c r="BW118" s="214"/>
      <c r="BX118" s="214"/>
      <c r="BY118" s="214"/>
      <c r="BZ118" s="214"/>
      <c r="CA118" s="214"/>
      <c r="CB118" s="214"/>
      <c r="CC118" s="214"/>
      <c r="CD118" s="214"/>
      <c r="CE118" s="214"/>
      <c r="CF118" s="214"/>
      <c r="CG118" s="214"/>
      <c r="CH118" s="214"/>
      <c r="CI118" s="214"/>
      <c r="CJ118" s="214"/>
      <c r="CK118" s="214"/>
      <c r="CL118" s="178"/>
      <c r="CM118" s="178"/>
      <c r="CN118" s="214"/>
      <c r="CO118" s="214"/>
      <c r="CP118" s="214"/>
      <c r="CQ118" s="214"/>
      <c r="CR118" s="214"/>
      <c r="CS118" s="214"/>
      <c r="CT118" s="214"/>
      <c r="CU118" s="214"/>
      <c r="CV118" s="214"/>
      <c r="CW118" s="214"/>
      <c r="CX118" s="214"/>
      <c r="CY118" s="214"/>
      <c r="CZ118" s="214"/>
      <c r="DA118" s="214"/>
      <c r="DD118" s="178"/>
      <c r="DI118" s="214"/>
      <c r="DJ118" s="214"/>
      <c r="DK118" s="214"/>
      <c r="DL118" s="214"/>
      <c r="DM118" s="214"/>
      <c r="DN118" s="214"/>
      <c r="DO118" s="214"/>
      <c r="DP118" s="214"/>
      <c r="DQ118" s="178"/>
      <c r="DR118" s="178"/>
    </row>
    <row r="119" spans="1:124">
      <c r="A119" s="178" t="str">
        <f t="shared" si="43"/>
        <v>1-OcteneUSD</v>
      </c>
      <c r="B119" s="178" t="s">
        <v>152</v>
      </c>
      <c r="C119" s="178" t="s">
        <v>327</v>
      </c>
      <c r="D119" s="178" t="s">
        <v>33</v>
      </c>
      <c r="E119" s="178" t="s">
        <v>34</v>
      </c>
      <c r="F119" s="216">
        <v>1.5694520251478805</v>
      </c>
      <c r="G119" s="216">
        <v>1.5694520251478805</v>
      </c>
      <c r="H119" s="216">
        <v>1.5839237718698798</v>
      </c>
      <c r="I119" s="216">
        <v>2.3182178217821785</v>
      </c>
      <c r="J119" s="216">
        <v>2.3182178217821785</v>
      </c>
      <c r="K119" s="216">
        <v>2.1666666666666665</v>
      </c>
      <c r="L119" s="216">
        <v>2.2051676860839193</v>
      </c>
      <c r="M119" s="216">
        <v>2.2051676860839193</v>
      </c>
      <c r="N119" s="216">
        <v>2.1</v>
      </c>
      <c r="O119" s="216">
        <v>1.6916848967046776</v>
      </c>
      <c r="P119" s="216">
        <v>1.6916848967046776</v>
      </c>
      <c r="Q119" s="216">
        <v>2.2200000000000002</v>
      </c>
      <c r="R119" s="216">
        <v>2.2200000000000002</v>
      </c>
      <c r="S119" s="216">
        <v>2.25</v>
      </c>
      <c r="T119" s="216">
        <v>2.25</v>
      </c>
      <c r="U119" s="216">
        <v>2.2499999999999996</v>
      </c>
      <c r="V119" s="216">
        <v>2.3499999999999996</v>
      </c>
      <c r="W119" s="216">
        <v>2.3499999999999996</v>
      </c>
      <c r="X119" s="216">
        <v>2.3591126893129113</v>
      </c>
      <c r="Y119" s="216">
        <v>2.3591126893129113</v>
      </c>
      <c r="Z119" s="216">
        <v>2.3591126893129113</v>
      </c>
      <c r="AA119" s="216">
        <v>2.3591126893129113</v>
      </c>
      <c r="AB119" s="216">
        <v>2.3591126893129113</v>
      </c>
      <c r="AC119" s="216">
        <v>2.3591126893129113</v>
      </c>
      <c r="AD119" s="216">
        <v>3.6768681778563646</v>
      </c>
      <c r="AE119" s="216">
        <v>3.6768681778563646</v>
      </c>
      <c r="AF119" s="216">
        <v>3.6768681778563646</v>
      </c>
      <c r="AG119" s="216">
        <v>3.6768681778563646</v>
      </c>
      <c r="AH119" s="216">
        <v>3.37</v>
      </c>
      <c r="AI119" s="216">
        <v>3.37</v>
      </c>
      <c r="AJ119" s="216">
        <v>3.36</v>
      </c>
      <c r="AK119" s="216">
        <v>3.15</v>
      </c>
      <c r="AL119" s="216">
        <v>3.05</v>
      </c>
      <c r="AM119" s="216">
        <v>2.9181840164924226</v>
      </c>
      <c r="AN119" s="216">
        <v>3.1</v>
      </c>
      <c r="AO119" s="216">
        <v>2.8760554607508531</v>
      </c>
      <c r="AP119" s="216">
        <v>3.1436999999999999</v>
      </c>
      <c r="AQ119" s="216">
        <v>3.0623697656495303</v>
      </c>
      <c r="AR119" s="216">
        <v>2.8338254373177842</v>
      </c>
      <c r="AS119" s="216">
        <v>2.8338254373177842</v>
      </c>
      <c r="AT119" s="216">
        <v>2.9868714285714284</v>
      </c>
      <c r="AU119" s="216">
        <v>2.7274010238907849</v>
      </c>
      <c r="AV119" s="216">
        <v>2.6047797202797205</v>
      </c>
      <c r="AW119" s="216">
        <v>2.6047797202797205</v>
      </c>
      <c r="AX119" s="216">
        <v>2.6047797202797205</v>
      </c>
      <c r="AY119" s="216">
        <v>2.6047797202797205</v>
      </c>
      <c r="AZ119" s="216">
        <v>2.6047797202797205</v>
      </c>
      <c r="BA119" s="216">
        <v>2.6047797202797205</v>
      </c>
      <c r="BB119" s="216">
        <v>2.6047797202797205</v>
      </c>
      <c r="BC119" s="216">
        <v>2.6047797202797205</v>
      </c>
      <c r="BD119" s="216">
        <v>2.4770577736647281</v>
      </c>
      <c r="BE119" s="216">
        <v>2.4770577736647281</v>
      </c>
      <c r="BF119" s="216">
        <v>2.4770577736647281</v>
      </c>
      <c r="BG119" s="216">
        <v>2.4770577736647281</v>
      </c>
      <c r="BH119" s="216">
        <v>2.3452999999999999</v>
      </c>
      <c r="BI119" s="216">
        <v>2.3452999999999999</v>
      </c>
      <c r="BJ119" s="216">
        <v>2.3452999999999999</v>
      </c>
      <c r="BK119" s="216">
        <v>2.3452999999999999</v>
      </c>
      <c r="BL119" s="216">
        <v>2.5238765987234446</v>
      </c>
      <c r="BM119" s="216">
        <v>2.5238765987234446</v>
      </c>
      <c r="BN119" s="216">
        <v>2.5238765987234446</v>
      </c>
      <c r="BO119" s="216">
        <v>2.5238765987234446</v>
      </c>
      <c r="BP119" s="216">
        <v>2.3452999999999999</v>
      </c>
      <c r="BQ119" s="216">
        <v>2.3452999999999999</v>
      </c>
      <c r="BR119" s="216">
        <v>2.3452999999999999</v>
      </c>
      <c r="BS119" s="216">
        <v>2.3452999999999999</v>
      </c>
      <c r="BT119" s="216">
        <v>2.5509733333333333</v>
      </c>
      <c r="BU119" s="216">
        <v>2.5509733333333333</v>
      </c>
      <c r="BV119" s="216">
        <v>2.5509733333333333</v>
      </c>
      <c r="BW119" s="216">
        <v>2.5509733333333333</v>
      </c>
      <c r="BX119" s="216">
        <v>2.337274285038998</v>
      </c>
      <c r="BY119" s="216">
        <v>2.337274285038998</v>
      </c>
      <c r="BZ119" s="216">
        <v>2.337274285038998</v>
      </c>
      <c r="CA119" s="216">
        <v>2.337274285038998</v>
      </c>
      <c r="CB119" s="216">
        <v>2.3239480358030833</v>
      </c>
      <c r="CC119" s="216">
        <v>2.3239480358030833</v>
      </c>
      <c r="CD119" s="216">
        <v>2.3239480358030833</v>
      </c>
      <c r="CE119" s="216">
        <v>2.3239480358030833</v>
      </c>
      <c r="CF119" s="216">
        <v>2.482808853951179</v>
      </c>
      <c r="CG119" s="216">
        <v>2.482808853951179</v>
      </c>
      <c r="CH119" s="216">
        <v>2.482808853951179</v>
      </c>
      <c r="CI119" s="216">
        <v>2.482808853951179</v>
      </c>
      <c r="CJ119" s="216">
        <v>2.3867203721841332</v>
      </c>
      <c r="CK119" s="216">
        <v>2.3867203721841332</v>
      </c>
      <c r="CL119" s="216">
        <v>2.3867203721841332</v>
      </c>
      <c r="CM119" s="216">
        <v>2.3867203721841332</v>
      </c>
      <c r="CN119" s="216">
        <v>2.3867203721841332</v>
      </c>
      <c r="CO119" s="216">
        <v>2.4950000000000001</v>
      </c>
      <c r="CP119" s="216">
        <v>2.4950000000000001</v>
      </c>
      <c r="CQ119" s="216">
        <v>2.4950000000000001</v>
      </c>
      <c r="CR119" s="216">
        <v>2.4950000000000001</v>
      </c>
      <c r="CS119" s="216">
        <v>2.4950000000000001</v>
      </c>
      <c r="CT119" s="216">
        <v>2.4950000000000001</v>
      </c>
      <c r="CU119" s="216">
        <v>2.4950000000000001</v>
      </c>
      <c r="CV119" s="214">
        <v>2</v>
      </c>
      <c r="CW119" s="214">
        <v>2</v>
      </c>
      <c r="CX119" s="214">
        <v>2</v>
      </c>
      <c r="CY119" s="214">
        <v>2</v>
      </c>
      <c r="CZ119" s="214">
        <v>2.66</v>
      </c>
      <c r="DA119" s="214">
        <v>2.54</v>
      </c>
      <c r="DB119" s="214">
        <v>2.54</v>
      </c>
      <c r="DC119" s="214">
        <v>2.54</v>
      </c>
      <c r="DD119" s="214">
        <v>2.54</v>
      </c>
      <c r="DE119" s="214">
        <v>2.54</v>
      </c>
      <c r="DF119" s="214">
        <v>2.54</v>
      </c>
      <c r="DG119" s="214">
        <v>2.54</v>
      </c>
      <c r="DH119" s="214">
        <v>2.54</v>
      </c>
      <c r="DI119" s="214">
        <v>2.54</v>
      </c>
      <c r="DJ119" s="214">
        <v>2.5</v>
      </c>
      <c r="DK119" s="214">
        <v>2.5</v>
      </c>
      <c r="DL119" s="214">
        <v>2.5</v>
      </c>
      <c r="DM119" s="214">
        <v>2.5</v>
      </c>
      <c r="DN119" s="214">
        <v>2.15</v>
      </c>
      <c r="DO119" s="214">
        <v>2.15</v>
      </c>
      <c r="DP119" s="214">
        <v>2.15</v>
      </c>
      <c r="DQ119" s="178"/>
      <c r="DR119" s="178"/>
    </row>
    <row r="120" spans="1:124">
      <c r="A120" s="178" t="str">
        <f t="shared" si="43"/>
        <v>2-EthylhexenalUSD</v>
      </c>
      <c r="B120" s="178"/>
      <c r="C120" s="178" t="s">
        <v>346</v>
      </c>
      <c r="D120" s="178" t="s">
        <v>33</v>
      </c>
      <c r="E120" s="178" t="s">
        <v>34</v>
      </c>
      <c r="F120" s="178"/>
      <c r="G120" s="178"/>
      <c r="H120" s="178"/>
      <c r="I120" s="178"/>
      <c r="J120" s="178"/>
      <c r="K120" s="178"/>
      <c r="L120" s="178"/>
      <c r="M120" s="178"/>
      <c r="N120" s="178"/>
      <c r="O120" s="178"/>
      <c r="P120" s="178"/>
      <c r="Q120" s="178"/>
      <c r="R120" s="178"/>
      <c r="S120" s="178"/>
      <c r="T120" s="178"/>
      <c r="U120" s="178"/>
      <c r="V120" s="178"/>
      <c r="W120" s="178"/>
      <c r="X120" s="178"/>
      <c r="Y120" s="178"/>
      <c r="Z120" s="178"/>
      <c r="AA120" s="178"/>
      <c r="AB120" s="178"/>
      <c r="AC120" s="178"/>
      <c r="AD120" s="178"/>
      <c r="AE120" s="178"/>
      <c r="AF120" s="178"/>
      <c r="AG120" s="178"/>
      <c r="AH120" s="178"/>
      <c r="AI120" s="178"/>
      <c r="AJ120" s="178"/>
      <c r="AK120" s="178"/>
      <c r="AL120" s="178"/>
      <c r="AM120" s="178"/>
      <c r="AN120" s="178"/>
      <c r="AO120" s="178"/>
      <c r="AP120" s="178"/>
      <c r="AQ120" s="178"/>
      <c r="AR120" s="178"/>
      <c r="AS120" s="178"/>
      <c r="AT120" s="178"/>
      <c r="AU120" s="178"/>
      <c r="AV120" s="178"/>
      <c r="AW120" s="178"/>
      <c r="AX120" s="178"/>
      <c r="AY120" s="178"/>
      <c r="AZ120" s="178"/>
      <c r="BA120" s="178"/>
      <c r="BB120" s="178"/>
      <c r="BC120" s="178"/>
      <c r="BD120" s="178"/>
      <c r="BE120" s="178"/>
      <c r="BF120" s="178"/>
      <c r="BG120" s="178"/>
      <c r="BH120" s="214"/>
      <c r="BI120" s="178"/>
      <c r="BJ120" s="178"/>
      <c r="BK120" s="178"/>
      <c r="BL120" s="178"/>
      <c r="BM120" s="178"/>
      <c r="BN120" s="178"/>
      <c r="BO120" s="178"/>
      <c r="BP120" s="178"/>
      <c r="BQ120" s="178"/>
      <c r="BR120" s="214"/>
      <c r="BS120" s="178"/>
      <c r="BT120" s="178"/>
      <c r="BU120" s="178"/>
      <c r="BV120" s="178"/>
      <c r="BW120" s="178"/>
      <c r="BX120" s="178"/>
      <c r="BY120" s="178"/>
      <c r="BZ120" s="178"/>
      <c r="CA120" s="178"/>
      <c r="CB120" s="178"/>
      <c r="CC120" s="178"/>
      <c r="CD120" s="178"/>
      <c r="CE120" s="178"/>
      <c r="CF120" s="178"/>
      <c r="CG120" s="178"/>
      <c r="CH120" s="178"/>
      <c r="CI120" s="214"/>
      <c r="CJ120" s="214"/>
      <c r="CK120" s="214"/>
      <c r="CL120" s="178"/>
      <c r="CM120" s="178"/>
      <c r="CN120" s="178"/>
      <c r="CO120" s="178"/>
      <c r="CP120" s="214"/>
      <c r="CQ120" s="214"/>
      <c r="CR120" s="214"/>
      <c r="CS120" s="214"/>
      <c r="CT120" s="214"/>
      <c r="CU120" s="214"/>
      <c r="CV120" s="214"/>
      <c r="CW120" s="214"/>
      <c r="CX120" s="214"/>
      <c r="CY120" s="214"/>
      <c r="CZ120" s="214"/>
      <c r="DA120" s="214"/>
      <c r="DD120" s="178"/>
      <c r="DI120" s="214"/>
      <c r="DJ120" s="214"/>
      <c r="DK120" s="214"/>
      <c r="DL120" s="214"/>
      <c r="DM120" s="214"/>
      <c r="DN120" s="214"/>
      <c r="DO120" s="214"/>
      <c r="DP120" s="214"/>
      <c r="DQ120" s="178"/>
      <c r="DR120" s="178"/>
    </row>
    <row r="121" spans="1:124">
      <c r="A121" s="178" t="str">
        <f t="shared" si="43"/>
        <v>Nitro MethaneUSD</v>
      </c>
      <c r="B121" s="178" t="s">
        <v>152</v>
      </c>
      <c r="C121" s="178" t="s">
        <v>347</v>
      </c>
      <c r="D121" s="178" t="s">
        <v>33</v>
      </c>
      <c r="E121" s="178" t="s">
        <v>34</v>
      </c>
      <c r="F121" s="178"/>
      <c r="G121" s="178"/>
      <c r="H121" s="178"/>
      <c r="I121" s="178"/>
      <c r="J121" s="178"/>
      <c r="K121" s="339">
        <v>3.1166032887975335</v>
      </c>
      <c r="L121" s="216">
        <v>3.0672568836179535</v>
      </c>
      <c r="M121" s="216">
        <v>2.6270928537372655</v>
      </c>
      <c r="N121" s="216">
        <v>2.4257049527303511</v>
      </c>
      <c r="O121" s="216">
        <v>2.3735245396963944</v>
      </c>
      <c r="P121" s="216">
        <v>2.6081249999999998</v>
      </c>
      <c r="Q121" s="216">
        <v>2.3444614666159187</v>
      </c>
      <c r="R121" s="216">
        <v>2.5349129256248126</v>
      </c>
      <c r="S121" s="216">
        <v>2.6937500000000001</v>
      </c>
      <c r="T121" s="216">
        <v>2.652602759856026</v>
      </c>
      <c r="U121" s="216">
        <v>2.7110645108338804</v>
      </c>
      <c r="V121" s="216">
        <v>2.6935747453876644</v>
      </c>
      <c r="W121" s="216">
        <v>3.0355151835846779</v>
      </c>
      <c r="X121" s="216">
        <v>2.6844541832669324</v>
      </c>
      <c r="Y121" s="216">
        <v>2.7588644210435458</v>
      </c>
      <c r="Z121" s="216">
        <v>3.0223904642145047</v>
      </c>
      <c r="AA121" s="216">
        <v>3.4030403509893326</v>
      </c>
      <c r="AB121" s="216">
        <v>3.6237298159457674</v>
      </c>
      <c r="AC121" s="216">
        <v>4.2546754119515198</v>
      </c>
      <c r="AD121" s="216">
        <v>4.3522723975692443</v>
      </c>
      <c r="AE121" s="216">
        <v>4.0515767343029401</v>
      </c>
      <c r="AF121" s="216">
        <v>4.2362206221773695</v>
      </c>
      <c r="AG121" s="216">
        <v>4.0226036825396827</v>
      </c>
      <c r="AH121" s="216">
        <v>3.697304239683437</v>
      </c>
      <c r="AI121" s="216">
        <v>3.6753158747697974</v>
      </c>
      <c r="AJ121" s="216">
        <v>3.5348214285714286</v>
      </c>
      <c r="AK121" s="216">
        <v>3.5277777777777777</v>
      </c>
      <c r="AL121" s="216">
        <v>3.3777236267641384</v>
      </c>
      <c r="AM121" s="216">
        <v>3.2702671312427412</v>
      </c>
      <c r="AN121" s="216">
        <v>3.1916666666666669</v>
      </c>
      <c r="AO121" s="216">
        <v>3.2507095061728393</v>
      </c>
      <c r="AP121" s="216">
        <v>3.1627012037037034</v>
      </c>
      <c r="AQ121" s="216">
        <v>3.1026711111111109</v>
      </c>
      <c r="AR121" s="216">
        <v>3.149329723000311</v>
      </c>
      <c r="AS121" s="216">
        <v>3.0108335135135134</v>
      </c>
      <c r="AT121" s="216">
        <v>3.1487378707120404</v>
      </c>
      <c r="AU121" s="216">
        <v>3.0681338723508511</v>
      </c>
      <c r="AV121" s="216">
        <v>2.8143599999999998</v>
      </c>
      <c r="AW121" s="216">
        <v>2.8143599999999998</v>
      </c>
      <c r="AX121" s="216">
        <v>2.8143599999999998</v>
      </c>
      <c r="AY121" s="216">
        <v>2.8143599999999998</v>
      </c>
      <c r="AZ121" s="216">
        <v>2.9209341488277265</v>
      </c>
      <c r="BA121" s="216">
        <v>2.9209341488277265</v>
      </c>
      <c r="BB121" s="216">
        <v>2.9209341488277265</v>
      </c>
      <c r="BC121" s="216">
        <v>2.9209341488277265</v>
      </c>
      <c r="BD121" s="216">
        <v>2.700043636363636</v>
      </c>
      <c r="BE121" s="216">
        <v>2.700043636363636</v>
      </c>
      <c r="BF121" s="216">
        <v>2.700043636363636</v>
      </c>
      <c r="BG121" s="216">
        <v>2.700043636363636</v>
      </c>
      <c r="BH121" s="216">
        <v>2.7735251931993821</v>
      </c>
      <c r="BI121" s="216">
        <v>2.7735251931993821</v>
      </c>
      <c r="BJ121" s="216">
        <v>2.7735251931993821</v>
      </c>
      <c r="BK121" s="216">
        <v>2.7735251931993821</v>
      </c>
      <c r="BL121" s="216">
        <v>2.5227222222222223</v>
      </c>
      <c r="BM121" s="216">
        <v>2.5227222222222223</v>
      </c>
      <c r="BN121" s="216">
        <v>2.5227222222222223</v>
      </c>
      <c r="BO121" s="216">
        <v>2.5227222222222223</v>
      </c>
      <c r="BP121" s="216">
        <v>2.584134226048143</v>
      </c>
      <c r="BQ121" s="216">
        <v>2.584134226048143</v>
      </c>
      <c r="BR121" s="216">
        <v>2.584134226048143</v>
      </c>
      <c r="BS121" s="216">
        <v>2.584134226048143</v>
      </c>
      <c r="BT121" s="216">
        <v>2.3906258333333334</v>
      </c>
      <c r="BU121" s="216">
        <v>2.3906258333333334</v>
      </c>
      <c r="BV121" s="216">
        <v>2.3906258333333334</v>
      </c>
      <c r="BW121" s="216">
        <v>2.3906258333333334</v>
      </c>
      <c r="BX121" s="216">
        <v>2.6419174721189598</v>
      </c>
      <c r="BY121" s="216">
        <v>2.6419174721189598</v>
      </c>
      <c r="BZ121" s="216">
        <v>2.6419174721189598</v>
      </c>
      <c r="CA121" s="216">
        <v>2.6419174721189598</v>
      </c>
      <c r="CB121" s="216">
        <v>2.6102425155238476</v>
      </c>
      <c r="CC121" s="216">
        <v>2.6102425155238476</v>
      </c>
      <c r="CD121" s="216">
        <v>2.6102425155238476</v>
      </c>
      <c r="CE121" s="216">
        <v>2.6102425155238476</v>
      </c>
      <c r="CF121" s="216">
        <v>2.95482233241506</v>
      </c>
      <c r="CG121" s="216">
        <v>2.95482233241506</v>
      </c>
      <c r="CH121" s="216">
        <v>2.95482233241506</v>
      </c>
      <c r="CI121" s="216">
        <v>2.95482233241506</v>
      </c>
      <c r="CJ121" s="216">
        <v>2.4315644262481522</v>
      </c>
      <c r="CK121" s="216">
        <v>2.4315644262481522</v>
      </c>
      <c r="CL121" s="216">
        <v>2.4315644262481522</v>
      </c>
      <c r="CM121" s="216">
        <v>2.4315644262481522</v>
      </c>
      <c r="CN121" s="216">
        <v>2.4315644262481522</v>
      </c>
      <c r="CO121" s="216">
        <v>2.1879441095890413</v>
      </c>
      <c r="CP121" s="216">
        <v>2.1879441095890413</v>
      </c>
      <c r="CQ121" s="216">
        <v>2.1879441095890413</v>
      </c>
      <c r="CR121" s="216">
        <v>2.1879441095890413</v>
      </c>
      <c r="CS121" s="216">
        <v>2.2481340740740743</v>
      </c>
      <c r="CT121" s="216">
        <v>2.2481340740740743</v>
      </c>
      <c r="CU121" s="216">
        <v>2.2481340740740743</v>
      </c>
      <c r="CV121" s="216">
        <v>2.2481340740740743</v>
      </c>
      <c r="CW121" s="216">
        <v>2.2481340740740743</v>
      </c>
      <c r="CX121" s="216">
        <v>2.2481340740740743</v>
      </c>
      <c r="CY121" s="216">
        <v>2.2481340740740743</v>
      </c>
      <c r="CZ121" s="216">
        <v>2.2481340740740743</v>
      </c>
      <c r="DA121" s="216">
        <v>2.2481340740740743</v>
      </c>
      <c r="DB121" s="216">
        <v>2.2481340740740743</v>
      </c>
      <c r="DC121" s="216">
        <v>2.2481340740740743</v>
      </c>
      <c r="DD121" s="216">
        <v>2.2481340740740743</v>
      </c>
      <c r="DE121" s="216">
        <v>2.2481340740740743</v>
      </c>
      <c r="DF121" s="216">
        <v>2.2481340740740743</v>
      </c>
      <c r="DG121" s="216">
        <v>2.2481340740740743</v>
      </c>
      <c r="DH121" s="216">
        <v>2.2481340740740743</v>
      </c>
      <c r="DI121" s="216">
        <v>2.2481340740740743</v>
      </c>
      <c r="DJ121" s="216">
        <v>2.2481340740740743</v>
      </c>
      <c r="DK121" s="216">
        <v>2.2481340740740743</v>
      </c>
      <c r="DL121" s="216">
        <v>2.2481340740740743</v>
      </c>
      <c r="DM121" s="216">
        <v>2.2481340740740743</v>
      </c>
      <c r="DN121" s="216">
        <v>2.2481340740740743</v>
      </c>
      <c r="DO121" s="216">
        <v>2.2481340740740743</v>
      </c>
      <c r="DP121" s="216">
        <v>2.2481340740740743</v>
      </c>
      <c r="DQ121" s="178"/>
      <c r="DR121" s="178"/>
    </row>
    <row r="122" spans="1:124">
      <c r="A122" s="178" t="str">
        <f t="shared" si="43"/>
        <v>Caustic lyeUSD</v>
      </c>
      <c r="B122" s="178"/>
      <c r="C122" s="178" t="s">
        <v>348</v>
      </c>
      <c r="D122" s="178" t="s">
        <v>33</v>
      </c>
      <c r="E122" s="178"/>
      <c r="F122" s="178"/>
      <c r="G122" s="178"/>
      <c r="H122" s="178"/>
      <c r="I122" s="178"/>
      <c r="J122" s="178"/>
      <c r="K122" s="178"/>
      <c r="L122" s="178"/>
      <c r="M122" s="178"/>
      <c r="N122" s="178"/>
      <c r="O122" s="178"/>
      <c r="P122" s="178"/>
      <c r="Q122" s="178"/>
      <c r="R122" s="178"/>
      <c r="S122" s="178"/>
      <c r="T122" s="178"/>
      <c r="U122" s="178"/>
      <c r="V122" s="178"/>
      <c r="W122" s="178"/>
      <c r="X122" s="178"/>
      <c r="Y122" s="178"/>
      <c r="Z122" s="178"/>
      <c r="AA122" s="178"/>
      <c r="AB122" s="178"/>
      <c r="AC122" s="178"/>
      <c r="AD122" s="178"/>
      <c r="AE122" s="178"/>
      <c r="AF122" s="178"/>
      <c r="AG122" s="178"/>
      <c r="AH122" s="178"/>
      <c r="AI122" s="178"/>
      <c r="AJ122" s="178"/>
      <c r="AK122" s="178"/>
      <c r="AL122" s="178"/>
      <c r="AM122" s="178"/>
      <c r="AN122" s="178"/>
      <c r="AO122" s="178"/>
      <c r="AP122" s="178"/>
      <c r="AQ122" s="178"/>
      <c r="AR122" s="178"/>
      <c r="AS122" s="178"/>
      <c r="AT122" s="178"/>
      <c r="AU122" s="178"/>
      <c r="AV122" s="178"/>
      <c r="AW122" s="178"/>
      <c r="AX122" s="178"/>
      <c r="AY122" s="178"/>
      <c r="AZ122" s="178"/>
      <c r="BA122" s="178"/>
      <c r="BB122" s="178"/>
      <c r="BC122" s="178"/>
      <c r="BD122" s="178"/>
      <c r="BE122" s="178"/>
      <c r="BF122" s="178"/>
      <c r="BG122" s="178"/>
      <c r="BH122" s="214"/>
      <c r="BI122" s="178"/>
      <c r="BJ122" s="178"/>
      <c r="BK122" s="178"/>
      <c r="BL122" s="178"/>
      <c r="BM122" s="178"/>
      <c r="BN122" s="178"/>
      <c r="BO122" s="178"/>
      <c r="BP122" s="178"/>
      <c r="BQ122" s="178"/>
      <c r="BR122" s="214"/>
      <c r="BS122" s="178"/>
      <c r="BT122" s="178"/>
      <c r="BU122" s="178"/>
      <c r="BV122" s="178"/>
      <c r="BW122" s="178"/>
      <c r="BX122" s="178"/>
      <c r="BY122" s="178"/>
      <c r="BZ122" s="178"/>
      <c r="CA122" s="178"/>
      <c r="CB122" s="178"/>
      <c r="CC122" s="178"/>
      <c r="CD122" s="178"/>
      <c r="CE122" s="178"/>
      <c r="CF122" s="178"/>
      <c r="CG122" s="178"/>
      <c r="CH122" s="178"/>
      <c r="CI122" s="214"/>
      <c r="CJ122" s="214"/>
      <c r="CK122" s="214"/>
      <c r="CL122" s="178"/>
      <c r="CM122" s="178"/>
      <c r="CN122" s="178"/>
      <c r="CO122" s="178"/>
      <c r="CP122" s="214"/>
      <c r="CQ122" s="214"/>
      <c r="CR122" s="214"/>
      <c r="CS122" s="214"/>
      <c r="CT122" s="214"/>
      <c r="CU122" s="214"/>
      <c r="CV122" s="214"/>
      <c r="CW122" s="214"/>
      <c r="CX122" s="214"/>
      <c r="CY122" s="214"/>
      <c r="CZ122" s="214"/>
      <c r="DA122" s="214"/>
      <c r="DD122" s="178"/>
      <c r="DI122" s="214"/>
      <c r="DJ122" s="214"/>
      <c r="DK122" s="214"/>
      <c r="DL122" s="214"/>
      <c r="DM122" s="214"/>
      <c r="DN122" s="214"/>
      <c r="DO122" s="214"/>
      <c r="DP122" s="214"/>
      <c r="DQ122" s="178"/>
      <c r="DR122" s="178"/>
    </row>
    <row r="123" spans="1:124">
      <c r="A123" s="178" t="str">
        <f t="shared" si="43"/>
        <v>Mix XyleneINR</v>
      </c>
      <c r="B123" s="178" t="s">
        <v>44</v>
      </c>
      <c r="C123" s="178" t="s">
        <v>349</v>
      </c>
      <c r="D123" s="178" t="s">
        <v>43</v>
      </c>
      <c r="E123" s="178" t="s">
        <v>34</v>
      </c>
      <c r="F123" s="178">
        <v>50</v>
      </c>
      <c r="G123" s="178">
        <v>50</v>
      </c>
      <c r="H123" s="178">
        <v>50</v>
      </c>
      <c r="I123" s="178">
        <v>35</v>
      </c>
      <c r="J123" s="178">
        <v>35</v>
      </c>
      <c r="K123" s="178">
        <v>35</v>
      </c>
      <c r="L123" s="178">
        <v>35</v>
      </c>
      <c r="M123" s="178">
        <v>38.5</v>
      </c>
      <c r="N123" s="178">
        <v>38.5</v>
      </c>
      <c r="O123" s="178">
        <v>44.5</v>
      </c>
      <c r="P123" s="178">
        <v>46</v>
      </c>
      <c r="Q123" s="178">
        <v>45</v>
      </c>
      <c r="R123" s="178">
        <v>45.9</v>
      </c>
      <c r="S123" s="178">
        <v>45.9</v>
      </c>
      <c r="T123" s="178">
        <v>59</v>
      </c>
      <c r="U123" s="178">
        <v>56</v>
      </c>
      <c r="V123" s="178">
        <v>56</v>
      </c>
      <c r="W123" s="178">
        <v>59</v>
      </c>
      <c r="X123" s="178">
        <v>59</v>
      </c>
      <c r="Y123" s="178">
        <v>59</v>
      </c>
      <c r="Z123" s="178">
        <v>59</v>
      </c>
      <c r="AA123" s="178">
        <v>65</v>
      </c>
      <c r="AB123" s="178">
        <v>60</v>
      </c>
      <c r="AC123" s="178">
        <v>56</v>
      </c>
      <c r="AD123" s="178">
        <v>60</v>
      </c>
      <c r="AE123" s="178">
        <v>77</v>
      </c>
      <c r="AF123" s="178">
        <v>100</v>
      </c>
      <c r="AG123" s="178">
        <v>97</v>
      </c>
      <c r="AH123" s="178">
        <v>97</v>
      </c>
      <c r="AI123" s="178">
        <v>97</v>
      </c>
      <c r="AJ123" s="178">
        <v>103</v>
      </c>
      <c r="AK123" s="178">
        <v>85</v>
      </c>
      <c r="AL123" s="178">
        <v>85</v>
      </c>
      <c r="AM123" s="178">
        <v>97</v>
      </c>
      <c r="AN123" s="178">
        <v>88</v>
      </c>
      <c r="AO123" s="178">
        <v>77.822000000000003</v>
      </c>
      <c r="AP123" s="178">
        <v>77.822000000000003</v>
      </c>
      <c r="AQ123" s="178">
        <v>87</v>
      </c>
      <c r="AR123" s="178">
        <v>87</v>
      </c>
      <c r="AS123" s="178">
        <v>90</v>
      </c>
      <c r="AT123" s="178">
        <v>90</v>
      </c>
      <c r="AU123" s="178">
        <v>79</v>
      </c>
      <c r="AV123" s="178">
        <v>80</v>
      </c>
      <c r="AW123" s="178">
        <v>80</v>
      </c>
      <c r="AX123" s="178">
        <v>80</v>
      </c>
      <c r="AY123" s="178">
        <v>80</v>
      </c>
      <c r="AZ123" s="178">
        <v>89.5</v>
      </c>
      <c r="BA123" s="178">
        <v>89.5</v>
      </c>
      <c r="BB123" s="178">
        <v>89.5</v>
      </c>
      <c r="BC123" s="178">
        <v>89.5</v>
      </c>
      <c r="BD123" s="178">
        <v>92</v>
      </c>
      <c r="BE123" s="178">
        <v>92</v>
      </c>
      <c r="BF123" s="178">
        <v>92</v>
      </c>
      <c r="BG123" s="178">
        <v>92</v>
      </c>
      <c r="BH123" s="214">
        <v>91</v>
      </c>
      <c r="BI123" s="214">
        <v>91</v>
      </c>
      <c r="BJ123" s="214">
        <v>91</v>
      </c>
      <c r="BK123" s="214">
        <v>91</v>
      </c>
      <c r="BL123" s="178">
        <v>82</v>
      </c>
      <c r="BM123" s="178">
        <v>82</v>
      </c>
      <c r="BN123" s="178">
        <v>82</v>
      </c>
      <c r="BO123" s="178">
        <v>82</v>
      </c>
      <c r="BP123" s="178">
        <v>77</v>
      </c>
      <c r="BQ123" s="178">
        <v>77</v>
      </c>
      <c r="BR123" s="178">
        <v>77</v>
      </c>
      <c r="BS123" s="178">
        <v>77</v>
      </c>
      <c r="BT123" s="178">
        <v>79</v>
      </c>
      <c r="BU123" s="178">
        <v>79</v>
      </c>
      <c r="BV123" s="178">
        <v>79</v>
      </c>
      <c r="BW123" s="178">
        <v>79</v>
      </c>
      <c r="BX123" s="178">
        <v>84.5</v>
      </c>
      <c r="BY123" s="178">
        <v>84.5</v>
      </c>
      <c r="BZ123" s="178">
        <v>84.5</v>
      </c>
      <c r="CA123" s="178">
        <v>84.5</v>
      </c>
      <c r="CB123" s="178">
        <v>84.5</v>
      </c>
      <c r="CC123" s="178">
        <v>84.5</v>
      </c>
      <c r="CD123" s="178">
        <v>84.5</v>
      </c>
      <c r="CE123" s="178">
        <v>84.5</v>
      </c>
      <c r="CF123" s="178">
        <v>86.5</v>
      </c>
      <c r="CG123" s="178">
        <v>86.5</v>
      </c>
      <c r="CH123" s="178">
        <v>86.5</v>
      </c>
      <c r="CI123" s="178">
        <v>86.5</v>
      </c>
      <c r="CJ123" s="214">
        <v>87</v>
      </c>
      <c r="CK123" s="214">
        <v>87</v>
      </c>
      <c r="CL123" s="214">
        <v>87</v>
      </c>
      <c r="CM123" s="214">
        <v>87</v>
      </c>
      <c r="CN123" s="214">
        <v>87</v>
      </c>
      <c r="CO123" s="178">
        <v>86.25</v>
      </c>
      <c r="CP123" s="178">
        <v>86.25</v>
      </c>
      <c r="CQ123" s="178">
        <v>86.25</v>
      </c>
      <c r="CR123" s="178">
        <v>86.25</v>
      </c>
      <c r="CS123" s="178">
        <v>86.25</v>
      </c>
      <c r="CT123" s="178">
        <v>86.25</v>
      </c>
      <c r="CU123" s="178">
        <v>86.25</v>
      </c>
      <c r="CV123" s="214">
        <v>82.5</v>
      </c>
      <c r="CW123" s="214">
        <v>82.5</v>
      </c>
      <c r="CX123" s="214">
        <v>82.5</v>
      </c>
      <c r="CY123" s="214">
        <v>81</v>
      </c>
      <c r="CZ123" s="214">
        <v>81</v>
      </c>
      <c r="DA123" s="214">
        <v>81</v>
      </c>
      <c r="DB123" s="214">
        <v>81</v>
      </c>
      <c r="DC123" s="214">
        <v>81</v>
      </c>
      <c r="DD123" s="214">
        <v>81</v>
      </c>
      <c r="DE123" s="214">
        <v>81</v>
      </c>
      <c r="DF123" s="214">
        <v>81</v>
      </c>
      <c r="DG123" s="214">
        <v>81</v>
      </c>
      <c r="DH123" s="214">
        <v>81</v>
      </c>
      <c r="DI123" s="214">
        <v>81</v>
      </c>
      <c r="DJ123" s="214">
        <v>81</v>
      </c>
      <c r="DK123" s="214">
        <v>81</v>
      </c>
      <c r="DL123" s="214">
        <v>81</v>
      </c>
      <c r="DM123" s="214">
        <v>81</v>
      </c>
      <c r="DN123" s="214">
        <v>81</v>
      </c>
      <c r="DO123" s="214">
        <v>81</v>
      </c>
      <c r="DP123" s="214">
        <v>81</v>
      </c>
      <c r="DQ123" s="178"/>
      <c r="DR123" s="178"/>
    </row>
    <row r="124" spans="1:124">
      <c r="A124" s="178" t="str">
        <f t="shared" si="43"/>
        <v>Stearic AcidUSD</v>
      </c>
      <c r="B124" s="178"/>
      <c r="C124" s="178" t="s">
        <v>350</v>
      </c>
      <c r="D124" s="178" t="s">
        <v>33</v>
      </c>
      <c r="E124" s="178"/>
      <c r="F124" s="178"/>
      <c r="G124" s="178"/>
      <c r="H124" s="178"/>
      <c r="I124" s="178"/>
      <c r="J124" s="178"/>
      <c r="K124" s="178"/>
      <c r="L124" s="178"/>
      <c r="M124" s="178"/>
      <c r="N124" s="178"/>
      <c r="O124" s="178"/>
      <c r="P124" s="178"/>
      <c r="Q124" s="178"/>
      <c r="R124" s="178"/>
      <c r="S124" s="178"/>
      <c r="T124" s="178"/>
      <c r="U124" s="178"/>
      <c r="V124" s="178"/>
      <c r="W124" s="178"/>
      <c r="X124" s="178"/>
      <c r="Y124" s="178"/>
      <c r="Z124" s="178"/>
      <c r="AA124" s="178"/>
      <c r="AB124" s="178"/>
      <c r="AC124" s="178"/>
      <c r="AD124" s="178"/>
      <c r="AE124" s="178"/>
      <c r="AF124" s="178"/>
      <c r="AG124" s="178"/>
      <c r="AH124" s="178"/>
      <c r="AI124" s="178"/>
      <c r="AJ124" s="178"/>
      <c r="AK124" s="178"/>
      <c r="AL124" s="178"/>
      <c r="AM124" s="178"/>
      <c r="AN124" s="178"/>
      <c r="AO124" s="178"/>
      <c r="AP124" s="178"/>
      <c r="AQ124" s="178"/>
      <c r="AR124" s="178"/>
      <c r="AS124" s="178"/>
      <c r="AT124" s="178"/>
      <c r="AU124" s="178"/>
      <c r="AV124" s="178"/>
      <c r="AW124" s="178"/>
      <c r="AX124" s="178"/>
      <c r="AY124" s="178"/>
      <c r="AZ124" s="178"/>
      <c r="BA124" s="178"/>
      <c r="BB124" s="178"/>
      <c r="BC124" s="178"/>
      <c r="BD124" s="178"/>
      <c r="BE124" s="178"/>
      <c r="BF124" s="178"/>
      <c r="BG124" s="178"/>
      <c r="BH124" s="214"/>
      <c r="BI124" s="178"/>
      <c r="BJ124" s="178"/>
      <c r="BK124" s="178"/>
      <c r="BL124" s="178"/>
      <c r="BM124" s="178"/>
      <c r="BN124" s="178"/>
      <c r="BO124" s="178"/>
      <c r="BP124" s="178"/>
      <c r="BQ124" s="178"/>
      <c r="BR124" s="214"/>
      <c r="BS124" s="178"/>
      <c r="BT124" s="178"/>
      <c r="BU124" s="178"/>
      <c r="BV124" s="178"/>
      <c r="BW124" s="178"/>
      <c r="BX124" s="178"/>
      <c r="BY124" s="178"/>
      <c r="BZ124" s="178"/>
      <c r="CA124" s="178"/>
      <c r="CB124" s="178"/>
      <c r="CC124" s="178"/>
      <c r="CD124" s="178"/>
      <c r="CE124" s="178"/>
      <c r="CF124" s="178"/>
      <c r="CG124" s="178"/>
      <c r="CH124" s="178"/>
      <c r="CI124" s="214"/>
      <c r="CJ124" s="214"/>
      <c r="CK124" s="214"/>
      <c r="CL124" s="178"/>
      <c r="CM124" s="178"/>
      <c r="CN124" s="178"/>
      <c r="CO124" s="178"/>
      <c r="CP124" s="214"/>
      <c r="CQ124" s="214"/>
      <c r="CR124" s="214"/>
      <c r="CS124" s="214"/>
      <c r="CT124" s="214"/>
      <c r="CU124" s="214"/>
      <c r="CV124" s="214"/>
      <c r="CW124" s="214"/>
      <c r="CX124" s="214"/>
      <c r="CY124" s="214"/>
      <c r="CZ124" s="214"/>
      <c r="DA124" s="214"/>
      <c r="DD124" s="178"/>
      <c r="DI124" s="214"/>
      <c r="DJ124" s="214"/>
      <c r="DK124" s="214"/>
      <c r="DL124" s="214"/>
      <c r="DM124" s="214"/>
      <c r="DN124" s="214"/>
      <c r="DO124" s="214"/>
      <c r="DP124" s="214"/>
      <c r="DQ124" s="178"/>
      <c r="DR124" s="178"/>
    </row>
    <row r="125" spans="1:124">
      <c r="A125" s="178"/>
      <c r="B125" s="178"/>
      <c r="C125" s="178"/>
      <c r="D125" s="178"/>
      <c r="E125" s="178"/>
      <c r="F125" s="178"/>
      <c r="G125" s="178"/>
      <c r="H125" s="178"/>
      <c r="I125" s="178"/>
      <c r="J125" s="178"/>
      <c r="K125" s="178"/>
      <c r="L125" s="178"/>
      <c r="M125" s="178"/>
      <c r="N125" s="178"/>
      <c r="O125" s="178"/>
      <c r="P125" s="178"/>
      <c r="Q125" s="178"/>
      <c r="R125" s="178"/>
      <c r="S125" s="178"/>
      <c r="T125" s="178"/>
      <c r="U125" s="178"/>
      <c r="V125" s="178"/>
      <c r="W125" s="178"/>
      <c r="X125" s="178"/>
      <c r="Y125" s="178"/>
      <c r="Z125" s="178"/>
      <c r="AA125" s="178"/>
      <c r="AB125" s="178"/>
      <c r="AC125" s="178"/>
      <c r="AD125" s="178"/>
      <c r="AE125" s="178"/>
      <c r="AF125" s="178"/>
      <c r="AG125" s="178"/>
      <c r="AH125" s="178"/>
      <c r="AI125" s="178"/>
      <c r="AJ125" s="178"/>
      <c r="AK125" s="178"/>
      <c r="AL125" s="178"/>
      <c r="AM125" s="178"/>
      <c r="AN125" s="178"/>
      <c r="AO125" s="178"/>
      <c r="AP125" s="178"/>
      <c r="AQ125" s="178"/>
      <c r="AR125" s="178"/>
      <c r="AS125" s="178"/>
      <c r="AT125" s="178"/>
      <c r="AU125" s="178"/>
      <c r="AV125" s="178"/>
      <c r="AW125" s="178"/>
      <c r="AX125" s="178"/>
      <c r="AY125" s="178"/>
      <c r="AZ125" s="178"/>
      <c r="BA125" s="178"/>
      <c r="BB125" s="178"/>
      <c r="BC125" s="178"/>
      <c r="BD125" s="178"/>
      <c r="BE125" s="178"/>
      <c r="BF125" s="178"/>
      <c r="BG125" s="178"/>
      <c r="BH125" s="178"/>
      <c r="BI125" s="178"/>
      <c r="BJ125" s="178"/>
      <c r="BK125" s="178"/>
      <c r="BL125" s="178"/>
      <c r="BM125" s="178"/>
      <c r="BN125" s="178"/>
      <c r="BO125" s="178"/>
      <c r="BP125" s="178"/>
      <c r="BQ125" s="178"/>
      <c r="BR125" s="178"/>
      <c r="BS125" s="178"/>
      <c r="BT125" s="178"/>
      <c r="BU125" s="178"/>
      <c r="BV125" s="178"/>
      <c r="BW125" s="178"/>
      <c r="BX125" s="178"/>
      <c r="BY125" s="178"/>
      <c r="BZ125" s="178"/>
      <c r="CA125" s="178"/>
      <c r="CB125" s="178"/>
      <c r="CC125" s="178"/>
      <c r="CD125" s="178"/>
      <c r="CE125" s="178"/>
      <c r="CF125" s="178"/>
      <c r="CG125" s="178"/>
      <c r="CH125" s="178"/>
      <c r="CI125" s="214"/>
      <c r="CJ125" s="214"/>
      <c r="CK125" s="214"/>
      <c r="CL125" s="178"/>
      <c r="CM125" s="178"/>
      <c r="CN125" s="178"/>
      <c r="CO125" s="178"/>
      <c r="CP125" s="214"/>
      <c r="CQ125" s="214"/>
      <c r="CR125" s="214"/>
      <c r="CS125" s="214"/>
      <c r="CT125" s="214"/>
      <c r="CU125" s="214"/>
      <c r="CV125" s="214"/>
      <c r="CW125" s="214"/>
      <c r="CX125" s="214"/>
      <c r="CY125" s="214"/>
      <c r="CZ125" s="214"/>
      <c r="DA125" s="214"/>
      <c r="DD125" s="178"/>
      <c r="DI125" s="214"/>
      <c r="DJ125" s="214"/>
      <c r="DK125" s="214"/>
      <c r="DL125" s="214"/>
      <c r="DM125" s="214"/>
      <c r="DN125" s="214"/>
      <c r="DO125" s="214"/>
      <c r="DP125" s="214"/>
      <c r="DQ125" s="178"/>
      <c r="DR125" s="178"/>
    </row>
    <row r="126" spans="1:124">
      <c r="A126" s="178" t="str">
        <f t="shared" si="43"/>
        <v>Sunflower Oil:USD</v>
      </c>
      <c r="B126" s="178"/>
      <c r="C126" s="178" t="s">
        <v>351</v>
      </c>
      <c r="D126" s="178" t="s">
        <v>33</v>
      </c>
      <c r="E126" s="178"/>
      <c r="F126" s="178"/>
      <c r="G126" s="178"/>
      <c r="H126" s="178"/>
      <c r="I126" s="178"/>
      <c r="J126" s="178"/>
      <c r="K126" s="178"/>
      <c r="L126" s="178"/>
      <c r="M126" s="178"/>
      <c r="N126" s="178"/>
      <c r="O126" s="178"/>
      <c r="P126" s="178"/>
      <c r="Q126" s="178"/>
      <c r="R126" s="178"/>
      <c r="S126" s="178"/>
      <c r="T126" s="178"/>
      <c r="U126" s="178"/>
      <c r="V126" s="178"/>
      <c r="W126" s="178"/>
      <c r="X126" s="178"/>
      <c r="Y126" s="178"/>
      <c r="Z126" s="178"/>
      <c r="AA126" s="178"/>
      <c r="AB126" s="178"/>
      <c r="AC126" s="178"/>
      <c r="AD126" s="178"/>
      <c r="AE126" s="178"/>
      <c r="AF126" s="178"/>
      <c r="AG126" s="178"/>
      <c r="AH126" s="178"/>
      <c r="AI126" s="178"/>
      <c r="AJ126" s="178"/>
      <c r="AK126" s="178"/>
      <c r="AL126" s="178"/>
      <c r="AM126" s="178"/>
      <c r="AN126" s="178"/>
      <c r="AO126" s="178"/>
      <c r="AP126" s="178"/>
      <c r="AQ126" s="178"/>
      <c r="AR126" s="178"/>
      <c r="AS126" s="178"/>
      <c r="AT126" s="178"/>
      <c r="AU126" s="178"/>
      <c r="AV126" s="178"/>
      <c r="AW126" s="178"/>
      <c r="AX126" s="178"/>
      <c r="AY126" s="178"/>
      <c r="AZ126" s="178"/>
      <c r="BA126" s="178"/>
      <c r="BB126" s="178"/>
      <c r="BC126" s="178"/>
      <c r="BD126" s="178"/>
      <c r="BE126" s="178"/>
      <c r="BF126" s="178"/>
      <c r="BG126" s="178"/>
      <c r="BH126" s="214"/>
      <c r="BI126" s="178"/>
      <c r="BJ126" s="178"/>
      <c r="BK126" s="178"/>
      <c r="BL126" s="178"/>
      <c r="BM126" s="178"/>
      <c r="BN126" s="178"/>
      <c r="BO126" s="178"/>
      <c r="BP126" s="178"/>
      <c r="BQ126" s="178"/>
      <c r="BR126" s="214"/>
      <c r="BS126" s="178"/>
      <c r="BT126" s="178"/>
      <c r="BU126" s="178"/>
      <c r="BV126" s="178"/>
      <c r="BW126" s="178"/>
      <c r="BX126" s="178"/>
      <c r="BY126" s="178"/>
      <c r="BZ126" s="178"/>
      <c r="CA126" s="178"/>
      <c r="CB126" s="178"/>
      <c r="CC126" s="178"/>
      <c r="CD126" s="178"/>
      <c r="CE126" s="178"/>
      <c r="CF126" s="178"/>
      <c r="CG126" s="178"/>
      <c r="CH126" s="178"/>
      <c r="CI126" s="214"/>
      <c r="CJ126" s="214"/>
      <c r="CK126" s="214"/>
      <c r="CL126" s="178"/>
      <c r="CM126" s="178"/>
      <c r="CN126" s="178"/>
      <c r="CO126" s="178"/>
      <c r="CP126" s="214"/>
      <c r="CQ126" s="214"/>
      <c r="CR126" s="214"/>
      <c r="CS126" s="214"/>
      <c r="CT126" s="214"/>
      <c r="CU126" s="214"/>
      <c r="CV126" s="214"/>
      <c r="CW126" s="214"/>
      <c r="CX126" s="214"/>
      <c r="CY126" s="214"/>
      <c r="CZ126" s="214"/>
      <c r="DA126" s="214"/>
      <c r="DD126" s="178"/>
      <c r="DI126" s="214"/>
      <c r="DJ126" s="214"/>
      <c r="DK126" s="214"/>
      <c r="DL126" s="214"/>
      <c r="DM126" s="214"/>
      <c r="DN126" s="214"/>
      <c r="DO126" s="214"/>
      <c r="DP126" s="214"/>
      <c r="DQ126" s="178"/>
      <c r="DR126" s="178"/>
    </row>
    <row r="127" spans="1:124">
      <c r="A127" s="178" t="str">
        <f t="shared" si="43"/>
        <v>Soybean OilUSD</v>
      </c>
      <c r="B127" s="178"/>
      <c r="C127" s="178" t="s">
        <v>352</v>
      </c>
      <c r="D127" s="178" t="s">
        <v>33</v>
      </c>
      <c r="E127" s="178"/>
      <c r="F127" s="178"/>
      <c r="G127" s="178"/>
      <c r="H127" s="178"/>
      <c r="I127" s="178"/>
      <c r="J127" s="178"/>
      <c r="K127" s="178"/>
      <c r="L127" s="178"/>
      <c r="M127" s="178"/>
      <c r="N127" s="178"/>
      <c r="O127" s="178"/>
      <c r="P127" s="178"/>
      <c r="Q127" s="178"/>
      <c r="R127" s="178"/>
      <c r="S127" s="178"/>
      <c r="T127" s="178"/>
      <c r="U127" s="178"/>
      <c r="V127" s="178"/>
      <c r="W127" s="178"/>
      <c r="X127" s="178"/>
      <c r="Y127" s="178"/>
      <c r="Z127" s="178"/>
      <c r="AA127" s="178"/>
      <c r="AB127" s="178"/>
      <c r="AC127" s="178"/>
      <c r="AD127" s="178"/>
      <c r="AE127" s="178"/>
      <c r="AF127" s="178"/>
      <c r="AG127" s="178"/>
      <c r="AH127" s="178"/>
      <c r="AI127" s="178"/>
      <c r="AJ127" s="178"/>
      <c r="AK127" s="178"/>
      <c r="AL127" s="178"/>
      <c r="AM127" s="178"/>
      <c r="AN127" s="178"/>
      <c r="AO127" s="178"/>
      <c r="AP127" s="178"/>
      <c r="AQ127" s="178"/>
      <c r="AR127" s="178"/>
      <c r="AS127" s="178"/>
      <c r="AT127" s="178"/>
      <c r="AU127" s="178"/>
      <c r="AV127" s="178"/>
      <c r="AW127" s="178"/>
      <c r="AX127" s="178"/>
      <c r="AY127" s="178"/>
      <c r="AZ127" s="178"/>
      <c r="BA127" s="178"/>
      <c r="BB127" s="178"/>
      <c r="BC127" s="178"/>
      <c r="BD127" s="178"/>
      <c r="BE127" s="178"/>
      <c r="BF127" s="178"/>
      <c r="BG127" s="178"/>
      <c r="BH127" s="214"/>
      <c r="BI127" s="178"/>
      <c r="BJ127" s="178"/>
      <c r="BK127" s="178"/>
      <c r="BL127" s="178"/>
      <c r="BM127" s="178"/>
      <c r="BN127" s="178"/>
      <c r="BO127" s="178"/>
      <c r="BP127" s="178"/>
      <c r="BQ127" s="178"/>
      <c r="BR127" s="214"/>
      <c r="BS127" s="178"/>
      <c r="BT127" s="178"/>
      <c r="BU127" s="178"/>
      <c r="BV127" s="178"/>
      <c r="BW127" s="178"/>
      <c r="BX127" s="178"/>
      <c r="BY127" s="178"/>
      <c r="BZ127" s="178"/>
      <c r="CA127" s="178"/>
      <c r="CB127" s="178"/>
      <c r="CC127" s="178"/>
      <c r="CD127" s="178"/>
      <c r="CE127" s="178"/>
      <c r="CF127" s="178"/>
      <c r="CG127" s="178"/>
      <c r="CH127" s="178"/>
      <c r="CI127" s="214"/>
      <c r="CJ127" s="214"/>
      <c r="CK127" s="214"/>
      <c r="CL127" s="178"/>
      <c r="CM127" s="178"/>
      <c r="CN127" s="178"/>
      <c r="CO127" s="178"/>
      <c r="CP127" s="214"/>
      <c r="CQ127" s="214"/>
      <c r="CR127" s="214"/>
      <c r="CS127" s="214"/>
      <c r="CT127" s="214"/>
      <c r="CU127" s="214"/>
      <c r="CV127" s="214"/>
      <c r="CW127" s="214"/>
      <c r="CX127" s="214"/>
      <c r="CY127" s="214"/>
      <c r="CZ127" s="214"/>
      <c r="DA127" s="214"/>
      <c r="DD127" s="178"/>
      <c r="DI127" s="214"/>
      <c r="DJ127" s="214"/>
      <c r="DK127" s="214"/>
      <c r="DL127" s="214"/>
      <c r="DM127" s="214"/>
      <c r="DN127" s="214"/>
      <c r="DO127" s="214"/>
      <c r="DP127" s="214"/>
      <c r="DQ127" s="178"/>
      <c r="DR127" s="178"/>
    </row>
    <row r="128" spans="1:124" ht="15">
      <c r="A128" s="178" t="str">
        <f t="shared" si="43"/>
        <v>cresolUSD</v>
      </c>
      <c r="B128" s="178" t="s">
        <v>152</v>
      </c>
      <c r="C128" s="178" t="s">
        <v>353</v>
      </c>
      <c r="D128" s="178" t="s">
        <v>33</v>
      </c>
      <c r="E128" s="178"/>
      <c r="F128" s="266">
        <v>2.8627854844295673</v>
      </c>
      <c r="G128" s="266">
        <v>3.7243403415287331</v>
      </c>
      <c r="H128" s="266">
        <v>3.1660055738988575</v>
      </c>
      <c r="I128" s="266">
        <v>3.3477495025243735</v>
      </c>
      <c r="J128" s="266">
        <v>3.7160008223748688</v>
      </c>
      <c r="K128" s="266">
        <v>5.2571362993830579</v>
      </c>
      <c r="L128" s="266">
        <v>5.55490616507472</v>
      </c>
      <c r="M128" s="266">
        <v>4.4700350705748697</v>
      </c>
      <c r="N128" s="266">
        <v>5.3882599640373501</v>
      </c>
      <c r="O128" s="266">
        <v>5.1872582968034591</v>
      </c>
      <c r="P128" s="266">
        <v>5.1023288239643136</v>
      </c>
      <c r="Q128" s="266">
        <v>3.9348702374620164</v>
      </c>
      <c r="R128" s="216">
        <v>4.3281311935166693</v>
      </c>
      <c r="S128" s="216">
        <v>5.1522939852915375</v>
      </c>
      <c r="T128" s="216">
        <v>5.0207664125994862</v>
      </c>
      <c r="U128" s="216">
        <v>2.6204192617600341</v>
      </c>
      <c r="V128" s="216">
        <v>2.3528105118659663</v>
      </c>
      <c r="W128" s="216">
        <v>5.0451506539514535</v>
      </c>
      <c r="X128" s="216">
        <v>4.430199976361239</v>
      </c>
      <c r="Y128" s="216">
        <v>4.8509190287250084</v>
      </c>
      <c r="Z128" s="216">
        <v>4.995171797842735</v>
      </c>
      <c r="AA128" s="216">
        <v>5.7852703717482852</v>
      </c>
      <c r="AB128" s="216">
        <v>6.1304146323904476</v>
      </c>
      <c r="AC128" s="216">
        <v>5.9848873474841859</v>
      </c>
      <c r="AD128" s="216">
        <v>5.5785180274887693</v>
      </c>
      <c r="AE128" s="216">
        <v>4.6914507762823341</v>
      </c>
      <c r="AF128" s="216">
        <v>5.0112507070089167</v>
      </c>
      <c r="AG128" s="216">
        <v>4.7839904311747974</v>
      </c>
      <c r="AH128" s="216">
        <v>4.7551530101443857</v>
      </c>
      <c r="AI128" s="216">
        <v>4.6291578247589387</v>
      </c>
      <c r="AJ128" s="178">
        <v>4.8453021931212428</v>
      </c>
      <c r="AK128" s="178">
        <v>4.5605089867384949</v>
      </c>
      <c r="AL128" s="178">
        <v>5.2420267853473499</v>
      </c>
      <c r="AM128" s="178">
        <v>5.41575072490369</v>
      </c>
      <c r="AN128" s="178">
        <v>5.4973399113152297</v>
      </c>
      <c r="AO128" s="178">
        <v>5.1225527764369323</v>
      </c>
      <c r="AP128" s="178">
        <v>4.7716957827588482</v>
      </c>
      <c r="AQ128" s="178">
        <v>4.9760089391691382</v>
      </c>
      <c r="AR128" s="178">
        <v>3.0271760203469542</v>
      </c>
      <c r="AS128" s="178">
        <v>2.7668094503368179</v>
      </c>
      <c r="AT128" s="178">
        <v>3.0626291272440778</v>
      </c>
      <c r="AU128" s="178">
        <v>2.3606938367264467</v>
      </c>
      <c r="AV128" s="353">
        <v>2.4039511159420295</v>
      </c>
      <c r="AW128" s="353">
        <v>2.4039511159420295</v>
      </c>
      <c r="AX128" s="353">
        <v>2.4039511159420295</v>
      </c>
      <c r="AY128" s="353">
        <v>2.4039511159420295</v>
      </c>
      <c r="AZ128" s="353">
        <v>1.7961832403800773</v>
      </c>
      <c r="BA128" s="353">
        <v>1.7961832403800773</v>
      </c>
      <c r="BB128" s="353">
        <v>1.7961832403800773</v>
      </c>
      <c r="BC128" s="353">
        <v>1.7961832403800773</v>
      </c>
      <c r="BD128" s="353">
        <v>1.7314504735047291</v>
      </c>
      <c r="BE128" s="353">
        <v>1.7314504735047291</v>
      </c>
      <c r="BF128" s="353">
        <v>1.7314504735047291</v>
      </c>
      <c r="BG128" s="353">
        <v>1.7314504735047291</v>
      </c>
      <c r="BH128" s="353">
        <v>1.557256252499281</v>
      </c>
      <c r="BI128" s="353">
        <v>1.557256252499281</v>
      </c>
      <c r="BJ128" s="353">
        <v>1.557256252499281</v>
      </c>
      <c r="BK128" s="353">
        <v>1.557256252499281</v>
      </c>
      <c r="BL128" s="353">
        <v>1.7170091121809423</v>
      </c>
      <c r="BM128" s="353">
        <v>1.7170091121809423</v>
      </c>
      <c r="BN128" s="353">
        <v>1.7170091121809423</v>
      </c>
      <c r="BO128" s="353">
        <v>1.7170091121809423</v>
      </c>
      <c r="BP128" s="353">
        <v>1.6929847056220133</v>
      </c>
      <c r="BQ128" s="353">
        <v>1.6929847056220133</v>
      </c>
      <c r="BR128" s="353">
        <v>1.6929847056220133</v>
      </c>
      <c r="BS128" s="353">
        <v>1.6929847056220133</v>
      </c>
      <c r="BT128" s="353">
        <v>1.579885503370384</v>
      </c>
      <c r="BU128" s="353">
        <v>1.579885503370384</v>
      </c>
      <c r="BV128" s="353">
        <v>1.579885503370384</v>
      </c>
      <c r="BW128" s="353">
        <v>1.579885503370384</v>
      </c>
      <c r="BX128" s="353">
        <v>1.8120416380087372</v>
      </c>
      <c r="BY128" s="353">
        <v>1.8120416380087372</v>
      </c>
      <c r="BZ128" s="353">
        <v>1.8120416380087372</v>
      </c>
      <c r="CA128" s="353">
        <v>1.8120416380087372</v>
      </c>
      <c r="CB128" s="353">
        <v>1.729195451680795</v>
      </c>
      <c r="CC128" s="353">
        <v>1.729195451680795</v>
      </c>
      <c r="CD128" s="353">
        <v>1.729195451680795</v>
      </c>
      <c r="CE128" s="353">
        <v>1.729195451680795</v>
      </c>
      <c r="CF128" s="353">
        <v>1.9360481200408612</v>
      </c>
      <c r="CG128" s="353">
        <v>1.9360481200408612</v>
      </c>
      <c r="CH128" s="353">
        <v>1.9360481200408612</v>
      </c>
      <c r="CI128" s="353">
        <v>1.9360481200408612</v>
      </c>
      <c r="CJ128" s="353">
        <v>1.8501403955367477</v>
      </c>
      <c r="CK128" s="353">
        <v>1.8501403955367477</v>
      </c>
      <c r="CL128" s="353">
        <v>1.8501403955367477</v>
      </c>
      <c r="CM128" s="353">
        <v>1.8501403955367477</v>
      </c>
      <c r="CN128" s="353">
        <v>1.8501403955367477</v>
      </c>
      <c r="CO128" s="353">
        <v>2.5543707860996321</v>
      </c>
      <c r="CP128" s="353">
        <v>2.5543707860996321</v>
      </c>
      <c r="CQ128" s="353">
        <v>2.5543707860996321</v>
      </c>
      <c r="CR128" s="353">
        <v>2.5543707860996321</v>
      </c>
      <c r="CS128" s="353">
        <v>2.0022945126546388</v>
      </c>
      <c r="CT128" s="216">
        <v>2.0022945126546388</v>
      </c>
      <c r="CU128" s="216">
        <v>2.0022945126546388</v>
      </c>
      <c r="CV128" s="216">
        <v>2.0022945126546388</v>
      </c>
      <c r="CW128" s="216">
        <v>2.0022945126546388</v>
      </c>
      <c r="CX128" s="216">
        <v>2.0022945126546388</v>
      </c>
      <c r="CY128" s="216">
        <v>2.0022945126546388</v>
      </c>
      <c r="CZ128" s="214">
        <v>1.71</v>
      </c>
      <c r="DA128" s="214">
        <v>1.71</v>
      </c>
      <c r="DB128" s="214">
        <v>1.71</v>
      </c>
      <c r="DC128" s="214">
        <v>1.71</v>
      </c>
      <c r="DD128" s="214">
        <v>1.71</v>
      </c>
      <c r="DE128" s="214">
        <v>1.65</v>
      </c>
      <c r="DF128" s="214">
        <v>1.65</v>
      </c>
      <c r="DG128" s="214">
        <v>1.65</v>
      </c>
      <c r="DH128" s="214">
        <v>1.65</v>
      </c>
      <c r="DI128" s="214">
        <v>1.65</v>
      </c>
      <c r="DJ128" s="214">
        <v>1.65</v>
      </c>
      <c r="DK128" s="214">
        <v>1.65</v>
      </c>
      <c r="DL128" s="214">
        <v>1.65</v>
      </c>
      <c r="DM128" s="214">
        <v>1.65</v>
      </c>
      <c r="DN128" s="214">
        <v>1.59</v>
      </c>
      <c r="DO128" s="214">
        <v>1.59</v>
      </c>
      <c r="DP128" s="214">
        <v>1.5</v>
      </c>
      <c r="DQ128" s="178"/>
      <c r="DR128" s="178"/>
    </row>
    <row r="129" spans="1:125">
      <c r="A129" s="178" t="str">
        <f t="shared" si="43"/>
        <v>Nickel</v>
      </c>
      <c r="B129" s="178"/>
      <c r="C129" s="178" t="s">
        <v>354</v>
      </c>
      <c r="D129" s="178"/>
      <c r="E129" s="178"/>
      <c r="F129" s="178"/>
      <c r="G129" s="178"/>
      <c r="H129" s="178"/>
      <c r="I129" s="178"/>
      <c r="J129" s="178"/>
      <c r="K129" s="178"/>
      <c r="L129" s="178"/>
      <c r="M129" s="178"/>
      <c r="N129" s="178"/>
      <c r="O129" s="178"/>
      <c r="P129" s="178"/>
      <c r="Q129" s="178"/>
      <c r="R129" s="178"/>
      <c r="S129" s="178"/>
      <c r="T129" s="178"/>
      <c r="U129" s="178"/>
      <c r="V129" s="178"/>
      <c r="W129" s="178"/>
      <c r="X129" s="178"/>
      <c r="Y129" s="178"/>
      <c r="Z129" s="178"/>
      <c r="AA129" s="178"/>
      <c r="AB129" s="178"/>
      <c r="AC129" s="178"/>
      <c r="AD129" s="178"/>
      <c r="AE129" s="178"/>
      <c r="AF129" s="178"/>
      <c r="AG129" s="178"/>
      <c r="AH129" s="178"/>
      <c r="AI129" s="178"/>
      <c r="AJ129" s="178"/>
      <c r="AK129" s="178"/>
      <c r="AL129" s="178"/>
      <c r="AM129" s="178"/>
      <c r="AN129" s="178"/>
      <c r="AO129" s="178"/>
      <c r="AP129" s="178"/>
      <c r="AQ129" s="178"/>
      <c r="AR129" s="178"/>
      <c r="AS129" s="178"/>
      <c r="AT129" s="178"/>
      <c r="AU129" s="178"/>
      <c r="AV129" s="178"/>
      <c r="AW129" s="178"/>
      <c r="AX129" s="178"/>
      <c r="AY129" s="178"/>
      <c r="AZ129" s="178"/>
      <c r="BA129" s="178"/>
      <c r="BB129" s="178"/>
      <c r="BC129" s="178"/>
      <c r="BD129" s="178"/>
      <c r="BE129" s="178"/>
      <c r="BF129" s="178"/>
      <c r="BG129" s="178"/>
      <c r="BH129" s="214"/>
      <c r="BI129" s="178"/>
      <c r="BJ129" s="178"/>
      <c r="BK129" s="178"/>
      <c r="BL129" s="178"/>
      <c r="BM129" s="178"/>
      <c r="BN129" s="178"/>
      <c r="BO129" s="178"/>
      <c r="BP129" s="178"/>
      <c r="BQ129" s="178"/>
      <c r="BR129" s="214"/>
      <c r="BS129" s="178"/>
      <c r="BT129" s="178"/>
      <c r="BU129" s="178"/>
      <c r="BV129" s="178"/>
      <c r="BW129" s="178"/>
      <c r="BX129" s="178"/>
      <c r="BY129" s="178"/>
      <c r="BZ129" s="178"/>
      <c r="CA129" s="178"/>
      <c r="CB129" s="178"/>
      <c r="CC129" s="178"/>
      <c r="CD129" s="178"/>
      <c r="CE129" s="178"/>
      <c r="CF129" s="178"/>
      <c r="CG129" s="178"/>
      <c r="CH129" s="178"/>
      <c r="CI129" s="214"/>
      <c r="CJ129" s="214"/>
      <c r="CK129" s="214"/>
      <c r="CL129" s="178"/>
      <c r="CM129" s="178"/>
      <c r="CN129" s="178"/>
      <c r="CO129" s="178"/>
      <c r="CP129" s="178"/>
      <c r="CQ129" s="178"/>
      <c r="CR129" s="214"/>
      <c r="CS129" s="214"/>
      <c r="CT129" s="216"/>
      <c r="CU129" s="216"/>
      <c r="CV129" s="216"/>
      <c r="CW129" s="216"/>
      <c r="CX129" s="216"/>
      <c r="CY129" s="214"/>
      <c r="CZ129" s="214"/>
      <c r="DA129" s="214"/>
      <c r="DI129" s="214"/>
      <c r="DJ129" s="214"/>
      <c r="DK129" s="214"/>
      <c r="DL129" s="214"/>
      <c r="DM129" s="214"/>
      <c r="DN129" s="214"/>
      <c r="DO129" s="214"/>
      <c r="DP129" s="214"/>
      <c r="DQ129" s="178"/>
      <c r="DR129" s="178"/>
    </row>
    <row r="130" spans="1:125">
      <c r="A130" s="178" t="str">
        <f t="shared" si="43"/>
        <v>Phosphorus trichlorideUSD</v>
      </c>
      <c r="B130" s="178" t="s">
        <v>152</v>
      </c>
      <c r="C130" s="178" t="s">
        <v>355</v>
      </c>
      <c r="D130" s="178" t="s">
        <v>33</v>
      </c>
      <c r="E130" s="178" t="s">
        <v>34</v>
      </c>
      <c r="F130" s="266">
        <v>1.1686860573522071</v>
      </c>
      <c r="G130" s="266">
        <v>1.156357203445213</v>
      </c>
      <c r="H130" s="266">
        <v>1.1315322012430717</v>
      </c>
      <c r="I130" s="266">
        <v>1.1077710683510926</v>
      </c>
      <c r="J130" s="266">
        <v>1.1612197154051911</v>
      </c>
      <c r="K130" s="266">
        <v>1.082529369392158</v>
      </c>
      <c r="L130" s="266">
        <v>1.0942104554325476</v>
      </c>
      <c r="M130" s="266">
        <v>1.0668441242206581</v>
      </c>
      <c r="N130" s="266">
        <v>1.11294156803931</v>
      </c>
      <c r="O130" s="266">
        <v>1.1381539445770759</v>
      </c>
      <c r="P130" s="266">
        <v>1.1147751142068751</v>
      </c>
      <c r="Q130" s="266">
        <v>1.0943057101727447</v>
      </c>
      <c r="R130" s="266">
        <v>1.170568642809821</v>
      </c>
      <c r="S130" s="266">
        <v>1.1854104620705985</v>
      </c>
      <c r="T130" s="266">
        <v>1.2034502627864756</v>
      </c>
      <c r="U130" s="266">
        <v>1.2143400335795638</v>
      </c>
      <c r="V130" s="266">
        <v>1.2133387262214759</v>
      </c>
      <c r="W130" s="266">
        <v>1.1490869008466618</v>
      </c>
      <c r="X130" s="266">
        <v>1.1939927917083106</v>
      </c>
      <c r="Y130" s="266">
        <v>1.113520944846577</v>
      </c>
      <c r="Z130" s="266">
        <v>1.3540664332353658</v>
      </c>
      <c r="AA130" s="266">
        <v>2.6553258636292751</v>
      </c>
      <c r="AB130" s="266">
        <v>3.6251581311313927</v>
      </c>
      <c r="AC130" s="266">
        <v>3.2126856839160509</v>
      </c>
      <c r="AD130" s="266">
        <v>2.9807896770994486</v>
      </c>
      <c r="AE130" s="266">
        <v>3.1243069023310275</v>
      </c>
      <c r="AF130" s="266">
        <v>2.8389174566882138</v>
      </c>
      <c r="AG130" s="266">
        <v>2.7980332278481006</v>
      </c>
      <c r="AH130" s="266">
        <v>3.0538633630289533</v>
      </c>
      <c r="AI130" s="266">
        <v>3.1741932666666668</v>
      </c>
      <c r="AJ130" s="266">
        <v>3.2189899565448741</v>
      </c>
      <c r="AK130" s="266">
        <v>3.2336203522504881</v>
      </c>
      <c r="AL130" s="266">
        <v>2.4832288122856632</v>
      </c>
      <c r="AM130" s="266">
        <v>2.4431155002614582</v>
      </c>
      <c r="AN130" s="266">
        <v>2.3183138343688787</v>
      </c>
      <c r="AO130" s="266">
        <v>2.3381461378759223</v>
      </c>
      <c r="AP130" s="266">
        <v>2.0949771194028668</v>
      </c>
      <c r="AQ130" s="266">
        <v>1.9097239876458478</v>
      </c>
      <c r="AR130" s="266">
        <v>2.0237202603471292</v>
      </c>
      <c r="AS130" s="266">
        <v>1.7650299788881068</v>
      </c>
      <c r="AT130" s="266">
        <v>2.672567770739525</v>
      </c>
      <c r="AU130" s="266">
        <v>1.7250852139163138</v>
      </c>
      <c r="AV130" s="354">
        <v>1.6061695995785037</v>
      </c>
      <c r="AW130" s="354">
        <v>1.6061695995785037</v>
      </c>
      <c r="AX130" s="354">
        <v>1.6061695995785037</v>
      </c>
      <c r="AY130" s="354">
        <v>1.6061695995785037</v>
      </c>
      <c r="AZ130" s="354">
        <v>2.1035981436110065</v>
      </c>
      <c r="BA130" s="354">
        <v>2.1035981436110065</v>
      </c>
      <c r="BB130" s="354">
        <v>2.1035981436110065</v>
      </c>
      <c r="BC130" s="354">
        <v>2.1035981436110065</v>
      </c>
      <c r="BD130" s="354">
        <v>1.8131999557522125</v>
      </c>
      <c r="BE130" s="354">
        <v>1.8131999557522125</v>
      </c>
      <c r="BF130" s="354">
        <v>1.8131999557522125</v>
      </c>
      <c r="BG130" s="354">
        <v>1.8131999557522125</v>
      </c>
      <c r="BH130" s="354">
        <v>1.6399928188267865</v>
      </c>
      <c r="BI130" s="354">
        <v>1.6399928188267865</v>
      </c>
      <c r="BJ130" s="354">
        <v>1.6399928188267865</v>
      </c>
      <c r="BK130" s="354">
        <v>1.6399928188267865</v>
      </c>
      <c r="BL130" s="354">
        <v>1.5240000717385842</v>
      </c>
      <c r="BM130" s="354">
        <v>1.5240000717385842</v>
      </c>
      <c r="BN130" s="354">
        <v>1.5240000717385842</v>
      </c>
      <c r="BO130" s="354">
        <v>1.5240000717385842</v>
      </c>
      <c r="BP130" s="354">
        <v>1.6232249321006282</v>
      </c>
      <c r="BQ130" s="354">
        <v>1.6232249321006282</v>
      </c>
      <c r="BR130" s="354">
        <v>1.6232249321006282</v>
      </c>
      <c r="BS130" s="354">
        <v>1.6232249321006282</v>
      </c>
      <c r="BT130" s="354">
        <v>1.4311061508905607</v>
      </c>
      <c r="BU130" s="354">
        <v>1.4311061508905607</v>
      </c>
      <c r="BV130" s="354">
        <v>1.4311061508905607</v>
      </c>
      <c r="BW130" s="354">
        <v>1.4311061508905607</v>
      </c>
      <c r="BX130" s="354">
        <v>1.3694531730500417</v>
      </c>
      <c r="BY130" s="354">
        <v>1.3694531730500417</v>
      </c>
      <c r="BZ130" s="354">
        <v>1.3694531730500417</v>
      </c>
      <c r="CA130" s="354">
        <v>1.3694531730500417</v>
      </c>
      <c r="CB130" s="354">
        <v>1.5056262315923299</v>
      </c>
      <c r="CC130" s="354">
        <v>1.5056262315923299</v>
      </c>
      <c r="CD130" s="354">
        <v>1.5056262315923299</v>
      </c>
      <c r="CE130" s="354">
        <v>1.5056262315923299</v>
      </c>
      <c r="CF130" s="354">
        <v>1.7846271766919106</v>
      </c>
      <c r="CG130" s="354">
        <v>1.7846271766919106</v>
      </c>
      <c r="CH130" s="354">
        <v>1.7846271766919106</v>
      </c>
      <c r="CI130" s="354">
        <v>1.7846271766919106</v>
      </c>
      <c r="CJ130" s="354">
        <v>1.4623755239977099</v>
      </c>
      <c r="CK130" s="354">
        <v>1.4623755239977099</v>
      </c>
      <c r="CL130" s="354">
        <v>1.4623755239977099</v>
      </c>
      <c r="CM130" s="354">
        <v>1.4623755239977099</v>
      </c>
      <c r="CN130" s="354">
        <v>1.4623755239977099</v>
      </c>
      <c r="CO130" s="354">
        <v>1.5325801304825266</v>
      </c>
      <c r="CP130" s="354">
        <v>1.5325801304825266</v>
      </c>
      <c r="CQ130" s="354">
        <v>1.5325801304825266</v>
      </c>
      <c r="CR130" s="354">
        <v>1.5325801304825266</v>
      </c>
      <c r="CS130" s="354">
        <v>1.3561042603863456</v>
      </c>
      <c r="CT130" s="216">
        <v>1.3561042603863456</v>
      </c>
      <c r="CU130" s="216">
        <v>1.3561042603863456</v>
      </c>
      <c r="CV130" s="216">
        <v>1.3561042603863456</v>
      </c>
      <c r="CW130" s="216">
        <v>1.3561042603863456</v>
      </c>
      <c r="CX130" s="216">
        <v>1.3561042603863456</v>
      </c>
      <c r="CY130" s="216">
        <v>1.3561042603863456</v>
      </c>
      <c r="CZ130" s="216">
        <v>1.3561042603863456</v>
      </c>
      <c r="DA130" s="216">
        <v>1.3561042603863456</v>
      </c>
      <c r="DB130" s="216">
        <v>1.3561042603863456</v>
      </c>
      <c r="DC130" s="216">
        <v>1.3561042603863456</v>
      </c>
      <c r="DD130" s="216">
        <v>1.3561042603863456</v>
      </c>
      <c r="DE130" s="216">
        <v>1.3561042603863456</v>
      </c>
      <c r="DF130" s="216">
        <v>1.3561042603863456</v>
      </c>
      <c r="DG130" s="216">
        <v>1.3561042603863456</v>
      </c>
      <c r="DH130" s="216">
        <v>1.3561042603863456</v>
      </c>
      <c r="DI130" s="216">
        <v>1.3561042603863456</v>
      </c>
      <c r="DJ130" s="216">
        <v>1.3561042603863456</v>
      </c>
      <c r="DK130" s="216">
        <v>1.3561042603863456</v>
      </c>
      <c r="DL130" s="216">
        <v>1.3561042603863456</v>
      </c>
      <c r="DM130" s="216">
        <v>1.3561042603863456</v>
      </c>
      <c r="DN130" s="216">
        <v>1.3561042603863456</v>
      </c>
      <c r="DO130" s="216">
        <v>1.3561042603863456</v>
      </c>
      <c r="DP130" s="216">
        <v>1.3561042603863456</v>
      </c>
      <c r="DQ130" s="178"/>
      <c r="DR130" s="178"/>
    </row>
    <row r="131" spans="1:125">
      <c r="A131" s="178" t="str">
        <f t="shared" si="43"/>
        <v>FormaldehydeUSD</v>
      </c>
      <c r="B131" s="178" t="s">
        <v>152</v>
      </c>
      <c r="C131" s="178" t="s">
        <v>59</v>
      </c>
      <c r="D131" s="178" t="s">
        <v>33</v>
      </c>
      <c r="E131" s="178"/>
      <c r="F131" s="178"/>
      <c r="G131" s="178"/>
      <c r="H131" s="178"/>
      <c r="I131" s="178"/>
      <c r="J131" s="178"/>
      <c r="K131" s="178"/>
      <c r="L131" s="178"/>
      <c r="M131" s="178"/>
      <c r="N131" s="178"/>
      <c r="O131" s="178"/>
      <c r="P131" s="178"/>
      <c r="Q131" s="178"/>
      <c r="R131" s="178"/>
      <c r="S131" s="178"/>
      <c r="T131" s="178"/>
      <c r="U131" s="178"/>
      <c r="V131" s="178"/>
      <c r="W131" s="178"/>
      <c r="X131" s="178"/>
      <c r="Y131" s="178"/>
      <c r="Z131" s="178"/>
      <c r="AA131" s="178"/>
      <c r="AB131" s="178"/>
      <c r="AC131" s="178"/>
      <c r="AD131" s="178"/>
      <c r="AE131" s="178"/>
      <c r="AF131" s="178"/>
      <c r="AG131" s="178"/>
      <c r="AH131" s="178"/>
      <c r="AI131" s="178"/>
      <c r="AJ131" s="178"/>
      <c r="AK131" s="178"/>
      <c r="AL131" s="178"/>
      <c r="AM131" s="178"/>
      <c r="AN131" s="178"/>
      <c r="AO131" s="178"/>
      <c r="AP131" s="178"/>
      <c r="AQ131" s="178"/>
      <c r="AR131" s="178"/>
      <c r="AS131" s="178"/>
      <c r="AT131" s="178"/>
      <c r="AU131" s="178"/>
      <c r="AV131" s="178"/>
      <c r="AW131" s="178"/>
      <c r="AX131" s="178"/>
      <c r="AY131" s="178"/>
      <c r="AZ131" s="178"/>
      <c r="BA131" s="178"/>
      <c r="BB131" s="178"/>
      <c r="BC131" s="178"/>
      <c r="BD131" s="178"/>
      <c r="BE131" s="178"/>
      <c r="BF131" s="178"/>
      <c r="BG131" s="178"/>
      <c r="BH131" s="214"/>
      <c r="BI131" s="178"/>
      <c r="BJ131" s="178"/>
      <c r="BK131" s="178"/>
      <c r="BL131" s="178"/>
      <c r="BM131" s="178"/>
      <c r="BN131" s="178"/>
      <c r="BO131" s="178"/>
      <c r="BP131" s="178"/>
      <c r="BQ131" s="178"/>
      <c r="BR131" s="214"/>
      <c r="BS131" s="178"/>
      <c r="BT131" s="178"/>
      <c r="BU131" s="178"/>
      <c r="BV131" s="178"/>
      <c r="BW131" s="178"/>
      <c r="BX131" s="178"/>
      <c r="BY131" s="178"/>
      <c r="BZ131" s="178"/>
      <c r="CA131" s="178"/>
      <c r="CB131" s="178"/>
      <c r="CC131" s="178"/>
      <c r="CD131" s="178"/>
      <c r="CE131" s="178"/>
      <c r="CF131" s="178"/>
      <c r="CG131" s="178"/>
      <c r="CH131" s="178"/>
      <c r="CI131" s="214"/>
      <c r="CJ131" s="214"/>
      <c r="CK131" s="214"/>
      <c r="CL131" s="178"/>
      <c r="CM131" s="178"/>
      <c r="CN131" s="178"/>
      <c r="CO131" s="178"/>
      <c r="CP131" s="178"/>
      <c r="CQ131" s="178"/>
      <c r="CR131" s="214"/>
      <c r="CS131" s="214"/>
      <c r="CT131" s="216"/>
      <c r="CU131" s="216"/>
      <c r="CV131" s="216"/>
      <c r="CW131" s="216"/>
      <c r="CX131" s="216"/>
      <c r="CY131" s="216"/>
      <c r="CZ131" s="214"/>
      <c r="DA131" s="214"/>
      <c r="DI131" s="214"/>
      <c r="DJ131" s="214"/>
      <c r="DK131" s="214"/>
      <c r="DL131" s="214"/>
      <c r="DM131" s="214"/>
      <c r="DN131" s="214"/>
      <c r="DO131" s="214"/>
      <c r="DP131" s="214"/>
      <c r="DQ131" s="178"/>
      <c r="DR131" s="178"/>
    </row>
    <row r="132" spans="1:125">
      <c r="A132" s="178" t="str">
        <f t="shared" si="43"/>
        <v>Sodium hydroxideUSD</v>
      </c>
      <c r="B132" s="178" t="s">
        <v>152</v>
      </c>
      <c r="C132" s="178" t="s">
        <v>356</v>
      </c>
      <c r="D132" s="178" t="s">
        <v>33</v>
      </c>
      <c r="E132" s="178"/>
      <c r="F132" s="178"/>
      <c r="G132" s="178"/>
      <c r="H132" s="178"/>
      <c r="I132" s="178"/>
      <c r="J132" s="178"/>
      <c r="K132" s="178"/>
      <c r="L132" s="178"/>
      <c r="M132" s="178"/>
      <c r="N132" s="178"/>
      <c r="O132" s="178"/>
      <c r="P132" s="178"/>
      <c r="Q132" s="178"/>
      <c r="R132" s="178"/>
      <c r="S132" s="178"/>
      <c r="T132" s="178"/>
      <c r="U132" s="178"/>
      <c r="V132" s="178"/>
      <c r="W132" s="178"/>
      <c r="X132" s="178"/>
      <c r="Y132" s="178"/>
      <c r="Z132" s="178"/>
      <c r="AA132" s="178"/>
      <c r="AB132" s="178"/>
      <c r="AC132" s="178"/>
      <c r="AD132" s="178"/>
      <c r="AE132" s="178"/>
      <c r="AF132" s="178"/>
      <c r="AG132" s="178"/>
      <c r="AH132" s="178"/>
      <c r="AI132" s="178"/>
      <c r="AJ132" s="178"/>
      <c r="AK132" s="178"/>
      <c r="AL132" s="178"/>
      <c r="AM132" s="178"/>
      <c r="AN132" s="178"/>
      <c r="AO132" s="178"/>
      <c r="AP132" s="178"/>
      <c r="AQ132" s="178"/>
      <c r="AR132" s="178"/>
      <c r="AS132" s="178"/>
      <c r="AT132" s="178"/>
      <c r="AU132" s="178"/>
      <c r="AV132" s="178"/>
      <c r="AW132" s="178"/>
      <c r="AX132" s="178"/>
      <c r="AY132" s="178"/>
      <c r="AZ132" s="178"/>
      <c r="BA132" s="178"/>
      <c r="BB132" s="178"/>
      <c r="BC132" s="178"/>
      <c r="BD132" s="178"/>
      <c r="BE132" s="178"/>
      <c r="BF132" s="178"/>
      <c r="BG132" s="178"/>
      <c r="BH132" s="214"/>
      <c r="BI132" s="178"/>
      <c r="BJ132" s="178"/>
      <c r="BK132" s="178"/>
      <c r="BL132" s="178"/>
      <c r="BM132" s="178"/>
      <c r="BN132" s="178"/>
      <c r="BO132" s="178"/>
      <c r="BP132" s="178"/>
      <c r="BQ132" s="178"/>
      <c r="BR132" s="214"/>
      <c r="BS132" s="178"/>
      <c r="BT132" s="178"/>
      <c r="BU132" s="178"/>
      <c r="BV132" s="178"/>
      <c r="BW132" s="178"/>
      <c r="BX132" s="178"/>
      <c r="BY132" s="178"/>
      <c r="BZ132" s="178"/>
      <c r="CA132" s="178"/>
      <c r="CB132" s="178"/>
      <c r="CC132" s="178"/>
      <c r="CD132" s="178"/>
      <c r="CE132" s="178"/>
      <c r="CF132" s="178"/>
      <c r="CG132" s="178"/>
      <c r="CH132" s="178"/>
      <c r="CI132" s="214"/>
      <c r="CJ132" s="214"/>
      <c r="CK132" s="214"/>
      <c r="CL132" s="178"/>
      <c r="CM132" s="178"/>
      <c r="CN132" s="178"/>
      <c r="CO132" s="178"/>
      <c r="CP132" s="178"/>
      <c r="CQ132" s="178"/>
      <c r="CR132" s="214"/>
      <c r="CS132" s="214"/>
      <c r="CT132" s="216"/>
      <c r="CU132" s="216"/>
      <c r="CV132" s="216"/>
      <c r="CW132" s="216"/>
      <c r="CX132" s="216"/>
      <c r="CY132" s="216"/>
      <c r="CZ132" s="214"/>
      <c r="DA132" s="214"/>
      <c r="DI132" s="214"/>
      <c r="DJ132" s="214"/>
      <c r="DK132" s="214"/>
      <c r="DL132" s="214"/>
      <c r="DM132" s="214"/>
      <c r="DN132" s="214"/>
      <c r="DO132" s="214"/>
      <c r="DP132" s="214"/>
      <c r="DQ132" s="178"/>
      <c r="DR132" s="178"/>
    </row>
    <row r="133" spans="1:125">
      <c r="A133" s="178" t="str">
        <f t="shared" ref="A133:A157" si="77">CONCATENATE(C133,D133)</f>
        <v>Boron TrifluorideUSD</v>
      </c>
      <c r="B133" s="178" t="s">
        <v>152</v>
      </c>
      <c r="C133" s="178" t="s">
        <v>357</v>
      </c>
      <c r="D133" s="178" t="s">
        <v>33</v>
      </c>
      <c r="E133" s="178" t="s">
        <v>34</v>
      </c>
      <c r="F133" s="266">
        <v>6.25</v>
      </c>
      <c r="G133" s="266">
        <v>6.25</v>
      </c>
      <c r="H133" s="266">
        <v>6.25</v>
      </c>
      <c r="I133" s="266">
        <v>6.25</v>
      </c>
      <c r="J133" s="266">
        <v>6.25</v>
      </c>
      <c r="K133" s="266">
        <v>5.3</v>
      </c>
      <c r="L133" s="266">
        <v>5.3</v>
      </c>
      <c r="M133" s="266">
        <v>5.3</v>
      </c>
      <c r="N133" s="266">
        <v>5.3</v>
      </c>
      <c r="O133" s="266">
        <v>5.6</v>
      </c>
      <c r="P133" s="266">
        <v>6.0000000390760473</v>
      </c>
      <c r="Q133" s="266">
        <v>6.0000000390760473</v>
      </c>
      <c r="R133" s="266">
        <v>6.0000000390760473</v>
      </c>
      <c r="S133" s="266">
        <v>6.1999951368642678</v>
      </c>
      <c r="T133" s="266">
        <v>6.1178844584085725</v>
      </c>
      <c r="U133" s="266">
        <v>6.1178844584085725</v>
      </c>
      <c r="V133" s="266">
        <v>6.3615692716258021</v>
      </c>
      <c r="W133" s="266">
        <v>6.3615692716258021</v>
      </c>
      <c r="X133" s="266">
        <v>5.9141635880017933</v>
      </c>
      <c r="Y133" s="266">
        <v>5.8767527795542973</v>
      </c>
      <c r="Z133" s="266">
        <v>5.8767527795542973</v>
      </c>
      <c r="AA133" s="266">
        <v>5.8767527795542973</v>
      </c>
      <c r="AB133" s="266">
        <v>6.2000084673447047</v>
      </c>
      <c r="AC133" s="266">
        <v>6.2000084673447047</v>
      </c>
      <c r="AD133" s="266">
        <v>6.3094247270011063</v>
      </c>
      <c r="AE133" s="266">
        <v>6.3094247270011063</v>
      </c>
      <c r="AF133" s="266">
        <v>6.7445384395761074</v>
      </c>
      <c r="AG133" s="266">
        <v>6.3209177030061694</v>
      </c>
      <c r="AH133" s="266">
        <v>6.3209177030061694</v>
      </c>
      <c r="AI133" s="266">
        <v>6.48</v>
      </c>
      <c r="AJ133" s="266">
        <v>6.48</v>
      </c>
      <c r="AK133" s="266">
        <v>6.48</v>
      </c>
      <c r="AL133" s="266">
        <v>6.48</v>
      </c>
      <c r="AM133" s="266">
        <v>6.48</v>
      </c>
      <c r="AN133" s="266">
        <v>6.6620097027260039</v>
      </c>
      <c r="AO133" s="266">
        <v>6.7107236721766004</v>
      </c>
      <c r="AP133" s="266">
        <v>6.7107236721766004</v>
      </c>
      <c r="AQ133" s="266">
        <v>6.6486940757408739</v>
      </c>
      <c r="AR133" s="266">
        <v>6.4870000000000001</v>
      </c>
      <c r="AS133" s="266">
        <v>7.179508156686528</v>
      </c>
      <c r="AT133" s="266">
        <v>7.179508156686528</v>
      </c>
      <c r="AU133" s="266">
        <v>8.013927576601672</v>
      </c>
      <c r="AV133" s="266">
        <v>8.0139363909389782</v>
      </c>
      <c r="AW133" s="266">
        <v>8.0139363909389782</v>
      </c>
      <c r="AX133" s="266">
        <v>8.0139363909389782</v>
      </c>
      <c r="AY133" s="266">
        <v>8.0139363909389782</v>
      </c>
      <c r="AZ133" s="266">
        <v>8.0139363909389782</v>
      </c>
      <c r="BA133" s="266">
        <v>8.0139363909389782</v>
      </c>
      <c r="BB133" s="266">
        <v>8.0139363909389782</v>
      </c>
      <c r="BC133" s="266">
        <v>8.0139363909389782</v>
      </c>
      <c r="BD133" s="266">
        <v>8.0139363909389782</v>
      </c>
      <c r="BE133" s="266">
        <v>8.0139363909389782</v>
      </c>
      <c r="BF133" s="266">
        <v>8.0139363909389782</v>
      </c>
      <c r="BG133" s="266">
        <v>8.0139363909389782</v>
      </c>
      <c r="BH133" s="266">
        <v>7.4214269230769228</v>
      </c>
      <c r="BI133" s="266">
        <v>7.4214269230769228</v>
      </c>
      <c r="BJ133" s="266">
        <v>7.4214269230769228</v>
      </c>
      <c r="BK133" s="266">
        <v>7.4214269230769228</v>
      </c>
      <c r="BL133" s="266">
        <v>7.4214269230769228</v>
      </c>
      <c r="BM133" s="266">
        <v>7.4214269230769228</v>
      </c>
      <c r="BN133" s="266">
        <v>7.4214269230769228</v>
      </c>
      <c r="BO133" s="266">
        <v>7.4214269230769228</v>
      </c>
      <c r="BP133" s="266">
        <v>7.4214269230769228</v>
      </c>
      <c r="BQ133" s="266">
        <v>7.4214269230769228</v>
      </c>
      <c r="BR133" s="266">
        <v>7.4214269230769228</v>
      </c>
      <c r="BS133" s="266">
        <v>7.4214269230769228</v>
      </c>
      <c r="BT133" s="266">
        <v>7.4214269230769228</v>
      </c>
      <c r="BU133" s="266">
        <v>7.4214269230769228</v>
      </c>
      <c r="BV133" s="266">
        <v>7.4214269230769228</v>
      </c>
      <c r="BW133" s="266">
        <v>7.4214269230769228</v>
      </c>
      <c r="BX133" s="266">
        <v>7.7145674960943307</v>
      </c>
      <c r="BY133" s="266">
        <v>7.7145674960943307</v>
      </c>
      <c r="BZ133" s="266">
        <v>7.7145674960943307</v>
      </c>
      <c r="CA133" s="266">
        <v>7.7145674960943307</v>
      </c>
      <c r="CB133" s="266">
        <v>7.7145674960943307</v>
      </c>
      <c r="CC133" s="266">
        <v>7.7145674960943307</v>
      </c>
      <c r="CD133" s="266">
        <v>7.7145674960943307</v>
      </c>
      <c r="CE133" s="266">
        <v>7.7145674960943307</v>
      </c>
      <c r="CF133" s="266">
        <v>7.7145674960943307</v>
      </c>
      <c r="CG133" s="266">
        <v>7.7145674960943307</v>
      </c>
      <c r="CH133" s="266">
        <v>7.7145674960943307</v>
      </c>
      <c r="CI133" s="266">
        <v>7.7145674960943307</v>
      </c>
      <c r="CJ133" s="266">
        <v>7.7145674960943307</v>
      </c>
      <c r="CK133" s="266">
        <v>7.7145674960943307</v>
      </c>
      <c r="CL133" s="266">
        <v>7.7145674960943307</v>
      </c>
      <c r="CM133" s="266">
        <v>7.7145674960943307</v>
      </c>
      <c r="CN133" s="266">
        <v>7.7145674960943307</v>
      </c>
      <c r="CO133" s="266">
        <v>7.7145674960943307</v>
      </c>
      <c r="CP133" s="266">
        <v>7.7145674960943307</v>
      </c>
      <c r="CQ133" s="266">
        <v>7.7145674960943307</v>
      </c>
      <c r="CR133" s="266">
        <v>7.7145674960943307</v>
      </c>
      <c r="CS133" s="266">
        <v>7.7145674960943307</v>
      </c>
      <c r="CT133" s="216">
        <v>7.7145674960943307</v>
      </c>
      <c r="CU133" s="216">
        <v>7.7145674960943307</v>
      </c>
      <c r="CV133" s="216">
        <v>7.7145674960943307</v>
      </c>
      <c r="CW133" s="216">
        <v>7.7145674960943307</v>
      </c>
      <c r="CX133" s="216">
        <v>7.7145674960943307</v>
      </c>
      <c r="CY133" s="216">
        <v>7.7145674960943307</v>
      </c>
      <c r="CZ133" s="216">
        <v>7.7145674960943307</v>
      </c>
      <c r="DA133" s="216">
        <v>7.7145674960943307</v>
      </c>
      <c r="DB133" s="216">
        <v>7.7145674960943307</v>
      </c>
      <c r="DC133" s="216">
        <v>7.7145674960943307</v>
      </c>
      <c r="DD133" s="216">
        <v>7.7145674960943307</v>
      </c>
      <c r="DE133" s="216">
        <v>7.7145674960943307</v>
      </c>
      <c r="DF133" s="216">
        <v>7.7145674960943307</v>
      </c>
      <c r="DG133" s="216">
        <v>7.7145674960943307</v>
      </c>
      <c r="DH133" s="216">
        <v>7.7145674960943307</v>
      </c>
      <c r="DI133" s="216">
        <v>7.7145674960943307</v>
      </c>
      <c r="DJ133" s="216">
        <v>7.7145674960943307</v>
      </c>
      <c r="DK133" s="216">
        <v>7.7145674960943307</v>
      </c>
      <c r="DL133" s="216">
        <v>7.7145674960943307</v>
      </c>
      <c r="DM133" s="216">
        <v>7.7145674960943307</v>
      </c>
      <c r="DN133" s="216">
        <v>7.7145674960943307</v>
      </c>
      <c r="DO133" s="216">
        <v>7.7145674960943307</v>
      </c>
      <c r="DP133" s="216">
        <v>7.7145674960943307</v>
      </c>
      <c r="DQ133" s="178"/>
      <c r="DR133" s="178"/>
    </row>
    <row r="134" spans="1:125">
      <c r="A134" s="178" t="str">
        <f t="shared" si="77"/>
        <v>Diethyl EtherUSD</v>
      </c>
      <c r="B134" s="178" t="s">
        <v>152</v>
      </c>
      <c r="C134" s="178" t="s">
        <v>358</v>
      </c>
      <c r="D134" s="178" t="s">
        <v>33</v>
      </c>
      <c r="E134" s="178"/>
      <c r="F134" s="178"/>
      <c r="G134" s="178"/>
      <c r="H134" s="178"/>
      <c r="I134" s="178"/>
      <c r="J134" s="178"/>
      <c r="K134" s="178"/>
      <c r="L134" s="178"/>
      <c r="M134" s="178"/>
      <c r="N134" s="178"/>
      <c r="O134" s="178"/>
      <c r="P134" s="178"/>
      <c r="Q134" s="178"/>
      <c r="R134" s="178"/>
      <c r="S134" s="178"/>
      <c r="T134" s="178"/>
      <c r="U134" s="178"/>
      <c r="V134" s="178"/>
      <c r="W134" s="178"/>
      <c r="X134" s="178"/>
      <c r="Y134" s="178"/>
      <c r="Z134" s="178"/>
      <c r="AA134" s="178"/>
      <c r="AB134" s="178"/>
      <c r="AC134" s="178"/>
      <c r="AD134" s="178"/>
      <c r="AE134" s="178"/>
      <c r="AF134" s="178"/>
      <c r="AG134" s="178"/>
      <c r="AH134" s="178"/>
      <c r="AI134" s="178"/>
      <c r="AJ134" s="178"/>
      <c r="AK134" s="178"/>
      <c r="AL134" s="178"/>
      <c r="AM134" s="178"/>
      <c r="AN134" s="178"/>
      <c r="AO134" s="178"/>
      <c r="AP134" s="178"/>
      <c r="AQ134" s="178"/>
      <c r="AR134" s="178"/>
      <c r="AS134" s="178"/>
      <c r="AT134" s="178"/>
      <c r="AU134" s="178"/>
      <c r="AV134" s="178"/>
      <c r="AW134" s="178"/>
      <c r="AX134" s="178"/>
      <c r="AY134" s="178"/>
      <c r="AZ134" s="178"/>
      <c r="BA134" s="178"/>
      <c r="BB134" s="178"/>
      <c r="BC134" s="178"/>
      <c r="BD134" s="178"/>
      <c r="BE134" s="178"/>
      <c r="BF134" s="178"/>
      <c r="BG134" s="178"/>
      <c r="BH134" s="214"/>
      <c r="BI134" s="178"/>
      <c r="BJ134" s="178"/>
      <c r="BK134" s="178"/>
      <c r="BL134" s="178"/>
      <c r="BM134" s="178"/>
      <c r="BN134" s="178"/>
      <c r="BO134" s="178"/>
      <c r="BP134" s="178"/>
      <c r="BQ134" s="178"/>
      <c r="BR134" s="214"/>
      <c r="BS134" s="178"/>
      <c r="BT134" s="178"/>
      <c r="BU134" s="178"/>
      <c r="BV134" s="178"/>
      <c r="BW134" s="178"/>
      <c r="BX134" s="178"/>
      <c r="BY134" s="178"/>
      <c r="BZ134" s="178"/>
      <c r="CA134" s="178"/>
      <c r="CB134" s="178"/>
      <c r="CC134" s="178"/>
      <c r="CD134" s="178"/>
      <c r="CE134" s="178"/>
      <c r="CF134" s="178"/>
      <c r="CG134" s="178"/>
      <c r="CH134" s="178"/>
      <c r="CI134" s="214"/>
      <c r="CJ134" s="214"/>
      <c r="CK134" s="214"/>
      <c r="CL134" s="178"/>
      <c r="CM134" s="178"/>
      <c r="CN134" s="178"/>
      <c r="CO134" s="178"/>
      <c r="CP134" s="178"/>
      <c r="CQ134" s="178"/>
      <c r="CR134" s="214"/>
      <c r="CS134" s="214"/>
      <c r="CT134" s="216"/>
      <c r="CU134" s="216"/>
      <c r="CV134" s="216"/>
      <c r="CW134" s="216"/>
      <c r="CX134" s="216"/>
      <c r="CY134" s="214"/>
      <c r="CZ134" s="214"/>
      <c r="DA134" s="214"/>
      <c r="DD134" s="178"/>
      <c r="DI134" s="214"/>
      <c r="DJ134" s="214"/>
      <c r="DK134" s="214"/>
      <c r="DL134" s="214"/>
      <c r="DM134" s="214"/>
      <c r="DN134" s="214"/>
      <c r="DO134" s="214"/>
      <c r="DP134" s="214"/>
      <c r="DQ134" s="178"/>
      <c r="DR134" s="178"/>
    </row>
    <row r="135" spans="1:125">
      <c r="A135" s="178" t="str">
        <f t="shared" si="77"/>
        <v>Tallow Fatty AcidsUSD</v>
      </c>
      <c r="B135" s="178" t="s">
        <v>359</v>
      </c>
      <c r="C135" s="178" t="s">
        <v>360</v>
      </c>
      <c r="D135" s="178" t="s">
        <v>33</v>
      </c>
      <c r="E135" s="178"/>
      <c r="F135" s="178"/>
      <c r="G135" s="178"/>
      <c r="H135" s="178"/>
      <c r="I135" s="178"/>
      <c r="J135" s="178"/>
      <c r="K135" s="178"/>
      <c r="L135" s="178"/>
      <c r="M135" s="178"/>
      <c r="N135" s="178"/>
      <c r="O135" s="178"/>
      <c r="P135" s="178"/>
      <c r="Q135" s="178"/>
      <c r="R135" s="178"/>
      <c r="S135" s="178"/>
      <c r="T135" s="178"/>
      <c r="U135" s="178"/>
      <c r="V135" s="178"/>
      <c r="W135" s="178"/>
      <c r="X135" s="178"/>
      <c r="Y135" s="178"/>
      <c r="Z135" s="178"/>
      <c r="AA135" s="178"/>
      <c r="AB135" s="178"/>
      <c r="AC135" s="178"/>
      <c r="AD135" s="178"/>
      <c r="AE135" s="178"/>
      <c r="AF135" s="178"/>
      <c r="AG135" s="178"/>
      <c r="AH135" s="178"/>
      <c r="AI135" s="178"/>
      <c r="AJ135" s="178"/>
      <c r="AK135" s="178"/>
      <c r="AL135" s="178"/>
      <c r="AM135" s="178"/>
      <c r="AN135" s="178"/>
      <c r="AO135" s="178"/>
      <c r="AP135" s="178"/>
      <c r="AQ135" s="178"/>
      <c r="AR135" s="178"/>
      <c r="AS135" s="178"/>
      <c r="AT135" s="178"/>
      <c r="AU135" s="178"/>
      <c r="AV135" s="178"/>
      <c r="AW135" s="178"/>
      <c r="AX135" s="178"/>
      <c r="AY135" s="178"/>
      <c r="AZ135" s="178"/>
      <c r="BA135" s="178"/>
      <c r="BB135" s="178"/>
      <c r="BC135" s="178"/>
      <c r="BD135" s="178"/>
      <c r="BE135" s="178"/>
      <c r="BF135" s="178"/>
      <c r="BG135" s="178"/>
      <c r="BH135" s="214"/>
      <c r="BI135" s="178"/>
      <c r="BJ135" s="178"/>
      <c r="BK135" s="178"/>
      <c r="BL135" s="178"/>
      <c r="BM135" s="178"/>
      <c r="BN135" s="178"/>
      <c r="BO135" s="178"/>
      <c r="BP135" s="178"/>
      <c r="BQ135" s="178"/>
      <c r="BR135" s="214"/>
      <c r="BS135" s="178"/>
      <c r="BT135" s="178"/>
      <c r="BU135" s="178"/>
      <c r="BV135" s="178"/>
      <c r="BW135" s="178"/>
      <c r="BX135" s="178"/>
      <c r="BY135" s="178"/>
      <c r="BZ135" s="178"/>
      <c r="CA135" s="178"/>
      <c r="CB135" s="178"/>
      <c r="CC135" s="178"/>
      <c r="CD135" s="178"/>
      <c r="CE135" s="178"/>
      <c r="CF135" s="178"/>
      <c r="CG135" s="178"/>
      <c r="CH135" s="178"/>
      <c r="CI135" s="214"/>
      <c r="CJ135" s="214"/>
      <c r="CK135" s="214"/>
      <c r="CL135" s="178"/>
      <c r="CM135" s="178"/>
      <c r="CN135" s="178"/>
      <c r="CO135" s="178"/>
      <c r="CP135" s="178"/>
      <c r="CQ135" s="178"/>
      <c r="CR135" s="214"/>
      <c r="CS135" s="214"/>
      <c r="CT135" s="216"/>
      <c r="CU135" s="216"/>
      <c r="CV135" s="216"/>
      <c r="CW135" s="216"/>
      <c r="CX135" s="216"/>
      <c r="CY135" s="214"/>
      <c r="CZ135" s="214"/>
      <c r="DA135" s="214"/>
      <c r="DD135" s="178"/>
      <c r="DI135" s="214"/>
      <c r="DJ135" s="214"/>
      <c r="DK135" s="214"/>
      <c r="DL135" s="214"/>
      <c r="DM135" s="214"/>
      <c r="DN135" s="214"/>
      <c r="DO135" s="214"/>
      <c r="DP135" s="214"/>
      <c r="DQ135" s="178"/>
      <c r="DR135" s="178"/>
    </row>
    <row r="136" spans="1:125">
      <c r="A136" s="178" t="str">
        <f t="shared" si="77"/>
        <v>Ethylene DiamineUSD</v>
      </c>
      <c r="B136" s="178"/>
      <c r="C136" s="178" t="s">
        <v>361</v>
      </c>
      <c r="D136" s="178" t="s">
        <v>33</v>
      </c>
      <c r="E136" s="178"/>
      <c r="F136" s="266">
        <f>EDA!H16</f>
        <v>1.5913228236603463</v>
      </c>
      <c r="G136" s="266">
        <f>EDA!I16</f>
        <v>1.6536298073450479</v>
      </c>
      <c r="H136" s="266">
        <f>EDA!J16</f>
        <v>1.6410759694405199</v>
      </c>
      <c r="I136" s="266">
        <f>EDA!K16</f>
        <v>1.6255395132833113</v>
      </c>
      <c r="J136" s="266">
        <f>EDA!L16</f>
        <v>1.571507829806829</v>
      </c>
      <c r="K136" s="266">
        <f>EDA!M16</f>
        <v>1.5490989149980618</v>
      </c>
      <c r="L136" s="266">
        <f>EDA!N16</f>
        <v>1.4200293495872049</v>
      </c>
      <c r="M136" s="266">
        <f>EDA!O16</f>
        <v>1.4904457594924456</v>
      </c>
      <c r="N136" s="266">
        <f>EDA!P16</f>
        <v>1.5644564109691745</v>
      </c>
      <c r="O136" s="266">
        <f>EDA!Q16</f>
        <v>1.5087441685391236</v>
      </c>
      <c r="P136" s="266">
        <f>EDA!R16</f>
        <v>1.6894243733794705</v>
      </c>
      <c r="Q136" s="266">
        <f>EDA!S16</f>
        <v>1.6993908010442498</v>
      </c>
      <c r="R136" s="266">
        <f>EDA!T16</f>
        <v>1.7044551178126899</v>
      </c>
      <c r="S136" s="266">
        <f>EDA!U16</f>
        <v>1.8651440962991168</v>
      </c>
      <c r="T136" s="266">
        <f>EDA!V16</f>
        <v>2.0013500069781944</v>
      </c>
      <c r="U136" s="266">
        <f>EDA!W16</f>
        <v>2.1434938608823169</v>
      </c>
      <c r="V136" s="266">
        <f>EDA!X16</f>
        <v>2.2554856609827509</v>
      </c>
      <c r="W136" s="266">
        <f>EDA!Y16</f>
        <v>2.2612775065847055</v>
      </c>
      <c r="X136" s="266">
        <f>EDA!Z16</f>
        <v>2.2284546046831952</v>
      </c>
      <c r="Y136" s="266">
        <f>EDA!AA16</f>
        <v>2.2337921094981903</v>
      </c>
      <c r="Z136" s="266">
        <f>EDA!AB16</f>
        <v>2.2574163849367412</v>
      </c>
      <c r="AA136" s="266">
        <f>EDA!AC16</f>
        <v>2.3532570547909923</v>
      </c>
      <c r="AB136" s="266">
        <f>EDA!AD16</f>
        <v>2.5256383051577478</v>
      </c>
      <c r="AC136" s="266">
        <f>EDA!AE16</f>
        <v>2.359527496387507</v>
      </c>
      <c r="AD136" s="266">
        <f>EDA!AF16</f>
        <v>2.5553459702817038</v>
      </c>
      <c r="AE136" s="266">
        <f>EDA!AG16</f>
        <v>2.5209562094034572</v>
      </c>
      <c r="AF136" s="266">
        <f>EDA!AH16</f>
        <v>2.4246125578315589</v>
      </c>
      <c r="AG136" s="266">
        <f>EDA!AI16</f>
        <v>2.5500692697412495</v>
      </c>
      <c r="AH136" s="266">
        <f>EDA!AJ16</f>
        <v>2.6005382229207208</v>
      </c>
      <c r="AI136" s="266">
        <f>EDA!AK16</f>
        <v>2.5606748528346199</v>
      </c>
      <c r="AJ136" s="266">
        <f>EDA!AL16</f>
        <v>2.3006375479041767</v>
      </c>
      <c r="AK136" s="266">
        <f>EDA!AM16</f>
        <v>2.2930804714699087</v>
      </c>
      <c r="AL136" s="266">
        <f>EDA!AN16</f>
        <v>1.8891263249998971</v>
      </c>
      <c r="AM136" s="266">
        <f>EDA!AO16</f>
        <v>1.7411476376485158</v>
      </c>
      <c r="AN136" s="266">
        <f>EDA!AP16</f>
        <v>1.768994578186438</v>
      </c>
      <c r="AO136" s="266">
        <f>EDA!AQ16</f>
        <v>1.656080220373636</v>
      </c>
      <c r="AP136" s="266">
        <f>EDA!AR16</f>
        <v>2.5118753880696647</v>
      </c>
      <c r="AQ136" s="266">
        <f>EDA!AS16</f>
        <v>1.7549267078297737</v>
      </c>
      <c r="AR136" s="266">
        <f>EDA!AT16</f>
        <v>1.7196172110888006</v>
      </c>
      <c r="AS136" s="266">
        <f>EDA!AU16</f>
        <v>1.7323364564914321</v>
      </c>
      <c r="AT136" s="266">
        <f>EDA!AV16</f>
        <v>1.7756386532862802</v>
      </c>
      <c r="AU136" s="266">
        <f>EDA!AW16</f>
        <v>1.5173181061866585</v>
      </c>
      <c r="AV136" s="266">
        <f>EDA!AX16</f>
        <v>1.5173818502398961</v>
      </c>
      <c r="AW136" s="266">
        <f>EDA!AY16</f>
        <v>1.5176591500577645</v>
      </c>
      <c r="AX136" s="266">
        <f>EDA!AZ16</f>
        <v>1.5015488589980241</v>
      </c>
      <c r="AY136" s="266">
        <f>EDA!BA16</f>
        <v>1.448571535486888</v>
      </c>
      <c r="AZ136" s="266">
        <f>EDA!BB16</f>
        <v>1.5791055733703114</v>
      </c>
      <c r="BA136" s="266">
        <f>EDA!BC16</f>
        <v>1.5786827259872185</v>
      </c>
      <c r="BB136" s="266">
        <f>EDA!BD16</f>
        <v>1.5786827259872185</v>
      </c>
      <c r="BC136" s="266">
        <f>EDA!BE16</f>
        <v>1.5792881092512681</v>
      </c>
      <c r="BD136" s="266">
        <f>EDA!BF16</f>
        <v>1.5788835484908255</v>
      </c>
      <c r="BE136" s="266">
        <f>EDA!BG16</f>
        <v>1.4608524976658548</v>
      </c>
      <c r="BF136" s="266">
        <f>EDA!BH16</f>
        <v>1.4642790493676583</v>
      </c>
      <c r="BG136" s="266">
        <f>EDA!BI16</f>
        <v>1.463947252617245</v>
      </c>
      <c r="BH136" s="266">
        <f>EDA!BJ16</f>
        <v>1.4776071843730767</v>
      </c>
      <c r="BI136" s="266">
        <f>EDA!BK16</f>
        <v>1.4775722144773726</v>
      </c>
      <c r="BJ136" s="266">
        <f>EDA!BL16</f>
        <v>1.4743148730300317</v>
      </c>
      <c r="BK136" s="266">
        <f>EDA!BM16</f>
        <v>1.4956515783806554</v>
      </c>
      <c r="BL136" s="266">
        <f>EDA!BN16</f>
        <v>1.4956990172191584</v>
      </c>
      <c r="BM136" s="266">
        <f>EDA!BO16</f>
        <v>1.4957346262859974</v>
      </c>
      <c r="BN136" s="266">
        <f>EDA!BP16</f>
        <v>1.4957346262859974</v>
      </c>
      <c r="BO136" s="266">
        <f>EDA!BQ16</f>
        <v>1.5283473721644372</v>
      </c>
      <c r="BP136" s="266">
        <f>EDA!BR16</f>
        <v>1.528264602959895</v>
      </c>
      <c r="BQ136" s="266">
        <f>EDA!BS16</f>
        <v>1.5198137700761047</v>
      </c>
      <c r="BR136" s="266">
        <f>EDA!BT16</f>
        <v>1.5216457034207762</v>
      </c>
      <c r="BS136" s="266">
        <f>EDA!BU16</f>
        <v>1.5215574538515182</v>
      </c>
      <c r="BT136" s="266">
        <f>EDA!BV16</f>
        <v>1.5192000742888225</v>
      </c>
      <c r="BU136" s="266">
        <f>EDA!BW16</f>
        <v>1.5234491021678642</v>
      </c>
      <c r="BV136" s="266">
        <f>EDA!BX16</f>
        <v>1.5233365312067475</v>
      </c>
      <c r="BW136" s="266">
        <f>EDA!BY16</f>
        <v>1.5252564090750105</v>
      </c>
      <c r="BX136" s="266">
        <f>EDA!BZ16</f>
        <v>1.5253254615800973</v>
      </c>
      <c r="BY136" s="266">
        <f>EDA!CA16</f>
        <v>1.5253139458971023</v>
      </c>
      <c r="BZ136" s="266">
        <f>EDA!CB16</f>
        <v>1.5254407712116316</v>
      </c>
      <c r="CA136" s="266">
        <f>EDA!CC16</f>
        <v>1.5254407712116316</v>
      </c>
      <c r="CB136" s="266">
        <f>EDA!CD16</f>
        <v>1.5205326672394055</v>
      </c>
      <c r="CC136" s="266">
        <f>EDA!CE16</f>
        <v>1.5204668391411447</v>
      </c>
      <c r="CD136" s="266">
        <f>EDA!CF16</f>
        <v>1.519921961276006</v>
      </c>
      <c r="CE136" s="266">
        <f>EDA!CG16</f>
        <v>1.5197813633152086</v>
      </c>
      <c r="CF136" s="266">
        <f>EDA!CH16</f>
        <v>1.6674803141261378</v>
      </c>
      <c r="CG136" s="266">
        <f>EDA!CI16</f>
        <v>1.6672747259762906</v>
      </c>
      <c r="CH136" s="266">
        <f>EDA!CJ16</f>
        <v>1.6670485840586624</v>
      </c>
      <c r="CI136" s="266">
        <f>EDA!CK16</f>
        <v>1.6706499397033077</v>
      </c>
      <c r="CJ136" s="266">
        <f>EDA!CL16</f>
        <v>1.670560443173553</v>
      </c>
      <c r="CK136" s="266">
        <f>EDA!CM16</f>
        <v>1.6707283900956913</v>
      </c>
      <c r="CL136" s="266">
        <f>EDA!CN16</f>
        <v>1.6656289108234925</v>
      </c>
      <c r="CM136" s="266">
        <f>EDA!CO16</f>
        <v>1.6656289108234925</v>
      </c>
      <c r="CN136" s="266">
        <f>EDA!CP16</f>
        <v>1.6656289108234925</v>
      </c>
      <c r="CO136" s="266">
        <f>EDA!CQ16</f>
        <v>1.4356090229083367</v>
      </c>
      <c r="CP136" s="266">
        <f>EDA!CR16</f>
        <v>1.4395226181783358</v>
      </c>
      <c r="CQ136" s="266">
        <f>EDA!CS16</f>
        <v>1.4394127551884583</v>
      </c>
      <c r="CR136" s="266">
        <f>EDA!CT16</f>
        <v>1.4428632327387247</v>
      </c>
      <c r="CS136" s="266">
        <f>EDA!CU16</f>
        <v>1.4428404518087841</v>
      </c>
      <c r="CT136" s="216">
        <f>EDA!CV16</f>
        <v>1.573864245806162</v>
      </c>
      <c r="CU136" s="216">
        <f>EDA!CW16</f>
        <v>1.5556119927560002</v>
      </c>
      <c r="CV136" s="216">
        <f>EDA!CX16</f>
        <v>1.6703040932813717</v>
      </c>
      <c r="CW136" s="216">
        <f>EDA!CY16</f>
        <v>1.6734355585637992</v>
      </c>
      <c r="CX136" s="216">
        <f>EDA!CZ16</f>
        <v>1.6734241010099891</v>
      </c>
      <c r="CY136" s="216">
        <f>EDA!DA16</f>
        <v>1.6407141851383966</v>
      </c>
      <c r="CZ136" s="216">
        <f>EDA!DB16</f>
        <v>1.6735043612495486</v>
      </c>
      <c r="DA136" s="216">
        <f>EDA!DC16</f>
        <v>1.3858304564648882</v>
      </c>
      <c r="DB136" s="216">
        <f>EDA!DD16</f>
        <v>1.3858304564648882</v>
      </c>
      <c r="DC136" s="216">
        <f>EDA!DE16</f>
        <v>1.3811477998502137</v>
      </c>
      <c r="DD136" s="266">
        <f>EDA!DF16</f>
        <v>1.3810675609182719</v>
      </c>
      <c r="DE136" s="216">
        <f>EDA!DG16</f>
        <v>1.3807580791571032</v>
      </c>
      <c r="DF136" s="216">
        <f>EDA!DH16</f>
        <v>1.3823440018192588</v>
      </c>
      <c r="DG136" s="216">
        <f>EDA!DI16</f>
        <v>1.662344001819259</v>
      </c>
      <c r="DH136" s="216">
        <f>EDA!DJ16</f>
        <v>1.6623338797848812</v>
      </c>
      <c r="DI136" s="216">
        <f>EDA!DK16</f>
        <v>1.6622934157130729</v>
      </c>
      <c r="DJ136" s="216">
        <f>EDA!DL16</f>
        <v>1.6784005922199179</v>
      </c>
      <c r="DK136" s="216">
        <f>EDA!DM16</f>
        <v>1.6154958677114819</v>
      </c>
      <c r="DL136" s="216">
        <f>EDA!DN16</f>
        <v>1.6151239741240278</v>
      </c>
      <c r="DM136" s="216">
        <f>EDA!DO16</f>
        <v>1.6184081613888295</v>
      </c>
      <c r="DN136" s="216">
        <f>EDA!DP16</f>
        <v>1.633813336764554</v>
      </c>
      <c r="DO136" s="216">
        <f>EDA!DQ16</f>
        <v>1.6337186374099377</v>
      </c>
      <c r="DP136" s="216">
        <f>EDA!DR16</f>
        <v>1.6170568345236611</v>
      </c>
      <c r="DQ136" s="216">
        <f>EDA!DS16</f>
        <v>0</v>
      </c>
      <c r="DR136" s="216">
        <f>EDA!DT16</f>
        <v>0</v>
      </c>
      <c r="DS136" s="346">
        <f>EDA!DU16</f>
        <v>0</v>
      </c>
      <c r="DT136" s="216">
        <f>EDA!DV16</f>
        <v>0</v>
      </c>
      <c r="DU136" s="216">
        <f>EDA!DW16</f>
        <v>0</v>
      </c>
    </row>
    <row r="137" spans="1:125">
      <c r="A137" s="178" t="str">
        <f t="shared" si="77"/>
        <v>CyclohexanoneUSD</v>
      </c>
      <c r="B137" s="178" t="s">
        <v>152</v>
      </c>
      <c r="C137" s="178" t="s">
        <v>362</v>
      </c>
      <c r="D137" s="178" t="s">
        <v>33</v>
      </c>
      <c r="E137" s="178"/>
      <c r="F137" s="178"/>
      <c r="G137" s="178"/>
      <c r="H137" s="178"/>
      <c r="I137" s="178"/>
      <c r="J137" s="178"/>
      <c r="K137" s="178"/>
      <c r="L137" s="178"/>
      <c r="M137" s="178"/>
      <c r="N137" s="178"/>
      <c r="O137" s="178"/>
      <c r="P137" s="178"/>
      <c r="Q137" s="178"/>
      <c r="R137" s="178"/>
      <c r="S137" s="178"/>
      <c r="T137" s="178"/>
      <c r="U137" s="178"/>
      <c r="V137" s="178"/>
      <c r="W137" s="178"/>
      <c r="X137" s="178"/>
      <c r="Y137" s="178"/>
      <c r="Z137" s="178"/>
      <c r="AA137" s="178"/>
      <c r="AB137" s="178"/>
      <c r="AC137" s="178"/>
      <c r="AD137" s="178"/>
      <c r="AE137" s="178"/>
      <c r="AF137" s="178"/>
      <c r="AG137" s="178"/>
      <c r="AH137" s="178"/>
      <c r="AI137" s="178"/>
      <c r="AJ137" s="178"/>
      <c r="AK137" s="178"/>
      <c r="AL137" s="178"/>
      <c r="AM137" s="178"/>
      <c r="AN137" s="178"/>
      <c r="AO137" s="178"/>
      <c r="AP137" s="178"/>
      <c r="AQ137" s="178"/>
      <c r="AR137" s="178"/>
      <c r="AS137" s="178"/>
      <c r="AT137" s="178"/>
      <c r="AU137" s="178"/>
      <c r="AV137" s="178"/>
      <c r="AW137" s="178"/>
      <c r="AX137" s="178"/>
      <c r="AY137" s="178"/>
      <c r="AZ137" s="178"/>
      <c r="BA137" s="178"/>
      <c r="BB137" s="178"/>
      <c r="BC137" s="178"/>
      <c r="BD137" s="178"/>
      <c r="BE137" s="178"/>
      <c r="BF137" s="178"/>
      <c r="BG137" s="178"/>
      <c r="BH137" s="214"/>
      <c r="BI137" s="178"/>
      <c r="BJ137" s="178"/>
      <c r="BK137" s="178"/>
      <c r="BL137" s="178"/>
      <c r="BM137" s="178"/>
      <c r="BN137" s="178"/>
      <c r="BO137" s="178"/>
      <c r="BP137" s="178"/>
      <c r="BQ137" s="178"/>
      <c r="BR137" s="214"/>
      <c r="BS137" s="178"/>
      <c r="BT137" s="178"/>
      <c r="BU137" s="178"/>
      <c r="BV137" s="178"/>
      <c r="BW137" s="178"/>
      <c r="BX137" s="178"/>
      <c r="BY137" s="178"/>
      <c r="BZ137" s="178"/>
      <c r="CA137" s="178"/>
      <c r="CB137" s="178"/>
      <c r="CC137" s="178"/>
      <c r="CD137" s="178"/>
      <c r="CE137" s="178"/>
      <c r="CF137" s="178"/>
      <c r="CG137" s="178"/>
      <c r="CH137" s="178"/>
      <c r="CI137" s="214"/>
      <c r="CJ137" s="214"/>
      <c r="CK137" s="214"/>
      <c r="CL137" s="178"/>
      <c r="CM137" s="178"/>
      <c r="CN137" s="178"/>
      <c r="CO137" s="178"/>
      <c r="CP137" s="178"/>
      <c r="CQ137" s="178"/>
      <c r="CR137" s="214"/>
      <c r="CS137" s="214"/>
      <c r="CT137" s="216"/>
      <c r="CU137" s="216"/>
      <c r="CV137" s="216"/>
      <c r="CW137" s="216"/>
      <c r="CX137" s="216"/>
      <c r="CY137" s="214"/>
      <c r="CZ137" s="214"/>
      <c r="DA137" s="214"/>
      <c r="DD137" s="178"/>
      <c r="DI137" s="214"/>
      <c r="DJ137" s="214"/>
      <c r="DK137" s="214"/>
      <c r="DL137" s="214"/>
      <c r="DM137" s="214"/>
      <c r="DN137" s="214"/>
      <c r="DO137" s="214"/>
      <c r="DP137" s="214"/>
      <c r="DQ137" s="178"/>
      <c r="DR137" s="178"/>
    </row>
    <row r="138" spans="1:125">
      <c r="A138" s="178" t="str">
        <f t="shared" si="77"/>
        <v>HydroxylamineUSD</v>
      </c>
      <c r="B138" s="178" t="s">
        <v>152</v>
      </c>
      <c r="C138" s="178" t="s">
        <v>363</v>
      </c>
      <c r="D138" s="178" t="s">
        <v>33</v>
      </c>
      <c r="E138" s="178"/>
      <c r="F138" s="178"/>
      <c r="G138" s="178"/>
      <c r="H138" s="178"/>
      <c r="I138" s="178"/>
      <c r="J138" s="178"/>
      <c r="K138" s="178"/>
      <c r="L138" s="178"/>
      <c r="M138" s="178"/>
      <c r="N138" s="178"/>
      <c r="O138" s="178"/>
      <c r="P138" s="178"/>
      <c r="Q138" s="178"/>
      <c r="R138" s="178"/>
      <c r="S138" s="178"/>
      <c r="T138" s="178"/>
      <c r="U138" s="178"/>
      <c r="V138" s="178"/>
      <c r="W138" s="178"/>
      <c r="X138" s="178"/>
      <c r="Y138" s="178"/>
      <c r="Z138" s="178"/>
      <c r="AA138" s="178"/>
      <c r="AB138" s="178"/>
      <c r="AC138" s="178"/>
      <c r="AD138" s="178"/>
      <c r="AE138" s="178"/>
      <c r="AF138" s="178"/>
      <c r="AG138" s="178"/>
      <c r="AH138" s="178"/>
      <c r="AI138" s="178"/>
      <c r="AJ138" s="178"/>
      <c r="AK138" s="178"/>
      <c r="AL138" s="178"/>
      <c r="AM138" s="178"/>
      <c r="AN138" s="178"/>
      <c r="AO138" s="178"/>
      <c r="AP138" s="178"/>
      <c r="AQ138" s="178"/>
      <c r="AR138" s="178"/>
      <c r="AS138" s="178"/>
      <c r="AT138" s="178"/>
      <c r="AU138" s="178"/>
      <c r="AV138" s="178"/>
      <c r="AW138" s="178"/>
      <c r="AX138" s="178"/>
      <c r="AY138" s="178"/>
      <c r="AZ138" s="178"/>
      <c r="BA138" s="178"/>
      <c r="BB138" s="178"/>
      <c r="BC138" s="178"/>
      <c r="BD138" s="178"/>
      <c r="BE138" s="178"/>
      <c r="BF138" s="178"/>
      <c r="BG138" s="178"/>
      <c r="BH138" s="214"/>
      <c r="BI138" s="178"/>
      <c r="BJ138" s="178"/>
      <c r="BK138" s="178"/>
      <c r="BL138" s="178"/>
      <c r="BM138" s="178"/>
      <c r="BN138" s="178"/>
      <c r="BO138" s="178"/>
      <c r="BP138" s="178"/>
      <c r="BQ138" s="178"/>
      <c r="BR138" s="214"/>
      <c r="BS138" s="178"/>
      <c r="BT138" s="178"/>
      <c r="BU138" s="178"/>
      <c r="BV138" s="178"/>
      <c r="BW138" s="178"/>
      <c r="BX138" s="178"/>
      <c r="BY138" s="178"/>
      <c r="BZ138" s="178"/>
      <c r="CA138" s="178"/>
      <c r="CB138" s="178"/>
      <c r="CC138" s="178"/>
      <c r="CD138" s="178"/>
      <c r="CE138" s="178"/>
      <c r="CF138" s="178"/>
      <c r="CG138" s="178"/>
      <c r="CH138" s="178"/>
      <c r="CI138" s="214"/>
      <c r="CJ138" s="214"/>
      <c r="CK138" s="214"/>
      <c r="CL138" s="178"/>
      <c r="CM138" s="178"/>
      <c r="CN138" s="178"/>
      <c r="CO138" s="178"/>
      <c r="CP138" s="178"/>
      <c r="CQ138" s="178"/>
      <c r="CR138" s="214"/>
      <c r="CS138" s="214"/>
      <c r="CT138" s="216"/>
      <c r="CU138" s="216"/>
      <c r="CV138" s="216"/>
      <c r="CW138" s="216"/>
      <c r="CX138" s="216"/>
      <c r="CY138" s="214"/>
      <c r="CZ138" s="214"/>
      <c r="DA138" s="214"/>
      <c r="DD138" s="178"/>
      <c r="DI138" s="214"/>
      <c r="DJ138" s="214"/>
      <c r="DK138" s="214"/>
      <c r="DL138" s="214"/>
      <c r="DM138" s="214"/>
      <c r="DN138" s="214"/>
      <c r="DO138" s="214"/>
      <c r="DP138" s="214"/>
      <c r="DQ138" s="178"/>
      <c r="DR138" s="178"/>
    </row>
    <row r="139" spans="1:125">
      <c r="A139" s="178" t="str">
        <f t="shared" si="77"/>
        <v>PineneUSD</v>
      </c>
      <c r="B139" s="178" t="s">
        <v>152</v>
      </c>
      <c r="C139" s="178" t="s">
        <v>364</v>
      </c>
      <c r="D139" s="178" t="s">
        <v>33</v>
      </c>
      <c r="E139" s="178"/>
      <c r="F139" s="178"/>
      <c r="G139" s="178"/>
      <c r="H139" s="178"/>
      <c r="I139" s="178"/>
      <c r="J139" s="178"/>
      <c r="K139" s="178"/>
      <c r="L139" s="178"/>
      <c r="M139" s="178"/>
      <c r="N139" s="178"/>
      <c r="O139" s="178"/>
      <c r="P139" s="178"/>
      <c r="Q139" s="178"/>
      <c r="R139" s="178"/>
      <c r="S139" s="178"/>
      <c r="T139" s="178"/>
      <c r="U139" s="178"/>
      <c r="V139" s="178"/>
      <c r="W139" s="178"/>
      <c r="X139" s="178"/>
      <c r="Y139" s="178"/>
      <c r="Z139" s="178"/>
      <c r="AA139" s="178"/>
      <c r="AB139" s="178"/>
      <c r="AC139" s="178"/>
      <c r="AD139" s="178"/>
      <c r="AE139" s="178"/>
      <c r="AF139" s="178"/>
      <c r="AG139" s="178"/>
      <c r="AH139" s="178"/>
      <c r="AI139" s="178"/>
      <c r="AJ139" s="178"/>
      <c r="AK139" s="178"/>
      <c r="AL139" s="178"/>
      <c r="AM139" s="178"/>
      <c r="AN139" s="178"/>
      <c r="AO139" s="178"/>
      <c r="AP139" s="178"/>
      <c r="AQ139" s="178"/>
      <c r="AR139" s="178"/>
      <c r="AS139" s="178"/>
      <c r="AT139" s="178"/>
      <c r="AU139" s="178"/>
      <c r="AV139" s="178"/>
      <c r="AW139" s="178"/>
      <c r="AX139" s="178"/>
      <c r="AY139" s="178"/>
      <c r="AZ139" s="178"/>
      <c r="BA139" s="178"/>
      <c r="BB139" s="178"/>
      <c r="BC139" s="178"/>
      <c r="BD139" s="178"/>
      <c r="BE139" s="178"/>
      <c r="BF139" s="178"/>
      <c r="BG139" s="178"/>
      <c r="BH139" s="214"/>
      <c r="BI139" s="178"/>
      <c r="BJ139" s="178"/>
      <c r="BK139" s="178"/>
      <c r="BL139" s="178"/>
      <c r="BM139" s="178"/>
      <c r="BN139" s="178"/>
      <c r="BO139" s="178"/>
      <c r="BP139" s="178"/>
      <c r="BQ139" s="178"/>
      <c r="BR139" s="214"/>
      <c r="BS139" s="178"/>
      <c r="BT139" s="178"/>
      <c r="BU139" s="178"/>
      <c r="BV139" s="178"/>
      <c r="BW139" s="178"/>
      <c r="BX139" s="178"/>
      <c r="BY139" s="178"/>
      <c r="BZ139" s="178"/>
      <c r="CA139" s="178"/>
      <c r="CB139" s="178"/>
      <c r="CC139" s="178"/>
      <c r="CD139" s="178"/>
      <c r="CE139" s="178"/>
      <c r="CF139" s="178"/>
      <c r="CG139" s="178"/>
      <c r="CH139" s="178"/>
      <c r="CI139" s="214"/>
      <c r="CJ139" s="214"/>
      <c r="CK139" s="214"/>
      <c r="CL139" s="178"/>
      <c r="CM139" s="178"/>
      <c r="CN139" s="178"/>
      <c r="CO139" s="178"/>
      <c r="CP139" s="178"/>
      <c r="CQ139" s="178"/>
      <c r="CR139" s="214"/>
      <c r="CS139" s="214"/>
      <c r="CT139" s="214"/>
      <c r="CU139" s="214"/>
      <c r="CV139" s="214"/>
      <c r="CW139" s="214"/>
      <c r="CX139" s="214"/>
      <c r="CY139" s="214"/>
      <c r="CZ139" s="214"/>
      <c r="DA139" s="214"/>
      <c r="DD139" s="178"/>
      <c r="DI139" s="214"/>
      <c r="DJ139" s="214"/>
      <c r="DK139" s="214"/>
      <c r="DL139" s="214"/>
      <c r="DM139" s="214"/>
      <c r="DN139" s="214"/>
      <c r="DO139" s="214"/>
      <c r="DP139" s="214"/>
      <c r="DQ139" s="178"/>
      <c r="DR139" s="178"/>
    </row>
    <row r="140" spans="1:125">
      <c r="A140" s="178" t="str">
        <f t="shared" si="77"/>
        <v>Trimethyl BorateUSD</v>
      </c>
      <c r="B140" s="178" t="s">
        <v>152</v>
      </c>
      <c r="C140" s="178" t="s">
        <v>365</v>
      </c>
      <c r="D140" s="178" t="s">
        <v>33</v>
      </c>
      <c r="E140" s="178"/>
      <c r="F140" s="178"/>
      <c r="G140" s="178"/>
      <c r="H140" s="178"/>
      <c r="I140" s="178"/>
      <c r="J140" s="178"/>
      <c r="K140" s="178"/>
      <c r="L140" s="178"/>
      <c r="M140" s="178"/>
      <c r="N140" s="178"/>
      <c r="O140" s="178"/>
      <c r="P140" s="178"/>
      <c r="Q140" s="178"/>
      <c r="R140" s="178"/>
      <c r="S140" s="178"/>
      <c r="T140" s="178"/>
      <c r="U140" s="178"/>
      <c r="V140" s="178"/>
      <c r="W140" s="178"/>
      <c r="X140" s="178"/>
      <c r="Y140" s="178"/>
      <c r="Z140" s="178"/>
      <c r="AA140" s="178"/>
      <c r="AB140" s="178"/>
      <c r="AC140" s="178"/>
      <c r="AD140" s="178"/>
      <c r="AE140" s="178"/>
      <c r="AF140" s="178"/>
      <c r="AG140" s="178"/>
      <c r="AH140" s="178"/>
      <c r="AI140" s="178"/>
      <c r="AJ140" s="178"/>
      <c r="AK140" s="178"/>
      <c r="AL140" s="178"/>
      <c r="AM140" s="178"/>
      <c r="AN140" s="178"/>
      <c r="AO140" s="178"/>
      <c r="AP140" s="178"/>
      <c r="AQ140" s="178"/>
      <c r="AR140" s="178"/>
      <c r="AS140" s="178"/>
      <c r="AT140" s="178"/>
      <c r="AU140" s="178"/>
      <c r="AV140" s="178"/>
      <c r="AW140" s="178"/>
      <c r="AX140" s="178"/>
      <c r="AY140" s="178"/>
      <c r="AZ140" s="178"/>
      <c r="BA140" s="178"/>
      <c r="BB140" s="178"/>
      <c r="BC140" s="178"/>
      <c r="BD140" s="178"/>
      <c r="BE140" s="178"/>
      <c r="BF140" s="178"/>
      <c r="BG140" s="178"/>
      <c r="BH140" s="214"/>
      <c r="BI140" s="178"/>
      <c r="BJ140" s="178"/>
      <c r="BK140" s="178"/>
      <c r="BL140" s="178"/>
      <c r="BM140" s="178"/>
      <c r="BN140" s="178"/>
      <c r="BO140" s="178"/>
      <c r="BP140" s="178"/>
      <c r="BQ140" s="178"/>
      <c r="BR140" s="214"/>
      <c r="BS140" s="178"/>
      <c r="BT140" s="178"/>
      <c r="BU140" s="178"/>
      <c r="BV140" s="178"/>
      <c r="BW140" s="178"/>
      <c r="BX140" s="178"/>
      <c r="BY140" s="178"/>
      <c r="BZ140" s="178"/>
      <c r="CA140" s="178"/>
      <c r="CB140" s="178"/>
      <c r="CC140" s="178"/>
      <c r="CD140" s="178"/>
      <c r="CE140" s="178"/>
      <c r="CF140" s="178"/>
      <c r="CG140" s="178"/>
      <c r="CH140" s="178"/>
      <c r="CI140" s="214"/>
      <c r="CJ140" s="214"/>
      <c r="CK140" s="214"/>
      <c r="CL140" s="178"/>
      <c r="CM140" s="178"/>
      <c r="CN140" s="178"/>
      <c r="CO140" s="178"/>
      <c r="CP140" s="178"/>
      <c r="CQ140" s="178"/>
      <c r="CR140" s="214"/>
      <c r="CS140" s="214"/>
      <c r="CT140" s="214"/>
      <c r="CU140" s="214"/>
      <c r="CV140" s="214"/>
      <c r="CW140" s="214"/>
      <c r="CX140" s="214"/>
      <c r="CY140" s="214"/>
      <c r="CZ140" s="214"/>
      <c r="DA140" s="214"/>
      <c r="DD140" s="178"/>
      <c r="DI140" s="214"/>
      <c r="DJ140" s="214"/>
      <c r="DK140" s="214"/>
      <c r="DL140" s="214"/>
      <c r="DM140" s="214"/>
      <c r="DN140" s="214"/>
      <c r="DO140" s="214"/>
      <c r="DP140" s="214"/>
      <c r="DQ140" s="178"/>
      <c r="DR140" s="178"/>
    </row>
    <row r="141" spans="1:125">
      <c r="A141" s="178" t="str">
        <f t="shared" si="77"/>
        <v>Sodium HydrideUSD</v>
      </c>
      <c r="B141" s="178" t="s">
        <v>152</v>
      </c>
      <c r="C141" s="178" t="s">
        <v>366</v>
      </c>
      <c r="D141" s="178" t="s">
        <v>33</v>
      </c>
      <c r="E141" s="178"/>
      <c r="F141" s="178"/>
      <c r="G141" s="178"/>
      <c r="H141" s="178"/>
      <c r="I141" s="178"/>
      <c r="J141" s="178"/>
      <c r="K141" s="178"/>
      <c r="L141" s="178"/>
      <c r="M141" s="178"/>
      <c r="N141" s="178"/>
      <c r="O141" s="178"/>
      <c r="P141" s="178"/>
      <c r="Q141" s="178"/>
      <c r="R141" s="178"/>
      <c r="S141" s="178"/>
      <c r="T141" s="178"/>
      <c r="U141" s="178"/>
      <c r="V141" s="178"/>
      <c r="W141" s="178"/>
      <c r="X141" s="178"/>
      <c r="Y141" s="178"/>
      <c r="Z141" s="178"/>
      <c r="AA141" s="178"/>
      <c r="AB141" s="178"/>
      <c r="AC141" s="178"/>
      <c r="AD141" s="178"/>
      <c r="AE141" s="178"/>
      <c r="AF141" s="178"/>
      <c r="AG141" s="178"/>
      <c r="AH141" s="178"/>
      <c r="AI141" s="178"/>
      <c r="AJ141" s="178"/>
      <c r="AK141" s="178"/>
      <c r="AL141" s="178"/>
      <c r="AM141" s="178"/>
      <c r="AN141" s="178"/>
      <c r="AO141" s="178"/>
      <c r="AP141" s="178"/>
      <c r="AQ141" s="178"/>
      <c r="AR141" s="178"/>
      <c r="AS141" s="178"/>
      <c r="AT141" s="178"/>
      <c r="AU141" s="178"/>
      <c r="AV141" s="178"/>
      <c r="AW141" s="178"/>
      <c r="AX141" s="178"/>
      <c r="AY141" s="178"/>
      <c r="AZ141" s="178"/>
      <c r="BA141" s="178"/>
      <c r="BB141" s="178"/>
      <c r="BC141" s="178"/>
      <c r="BD141" s="178"/>
      <c r="BE141" s="178"/>
      <c r="BF141" s="178"/>
      <c r="BG141" s="178"/>
      <c r="BH141" s="214"/>
      <c r="BI141" s="178"/>
      <c r="BJ141" s="178"/>
      <c r="BK141" s="178"/>
      <c r="BL141" s="178"/>
      <c r="BM141" s="178"/>
      <c r="BN141" s="178"/>
      <c r="BO141" s="178"/>
      <c r="BP141" s="178"/>
      <c r="BQ141" s="178"/>
      <c r="BR141" s="214"/>
      <c r="BS141" s="178"/>
      <c r="BT141" s="178"/>
      <c r="BU141" s="178"/>
      <c r="BV141" s="178"/>
      <c r="BW141" s="178"/>
      <c r="BX141" s="178"/>
      <c r="BY141" s="178"/>
      <c r="BZ141" s="178"/>
      <c r="CA141" s="178"/>
      <c r="CB141" s="178"/>
      <c r="CC141" s="178"/>
      <c r="CD141" s="178"/>
      <c r="CE141" s="178"/>
      <c r="CF141" s="178"/>
      <c r="CG141" s="178"/>
      <c r="CH141" s="178"/>
      <c r="CI141" s="214"/>
      <c r="CJ141" s="214"/>
      <c r="CK141" s="214"/>
      <c r="CL141" s="178"/>
      <c r="CM141" s="178"/>
      <c r="CN141" s="178"/>
      <c r="CO141" s="178"/>
      <c r="CP141" s="178"/>
      <c r="CQ141" s="178"/>
      <c r="CR141" s="214"/>
      <c r="CS141" s="214"/>
      <c r="CT141" s="214"/>
      <c r="CU141" s="214"/>
      <c r="CV141" s="214"/>
      <c r="CW141" s="214"/>
      <c r="CX141" s="214"/>
      <c r="CY141" s="214"/>
      <c r="CZ141" s="214"/>
      <c r="DA141" s="214"/>
      <c r="DD141" s="178"/>
      <c r="DI141" s="214"/>
      <c r="DJ141" s="214"/>
      <c r="DK141" s="214"/>
      <c r="DL141" s="214"/>
      <c r="DM141" s="214"/>
      <c r="DN141" s="214"/>
      <c r="DO141" s="214"/>
      <c r="DP141" s="214"/>
      <c r="DQ141" s="178"/>
      <c r="DR141" s="178"/>
    </row>
    <row r="142" spans="1:125">
      <c r="A142" s="178" t="str">
        <f t="shared" si="77"/>
        <v>EthanolINR</v>
      </c>
      <c r="B142" s="178" t="s">
        <v>44</v>
      </c>
      <c r="C142" s="178" t="s">
        <v>329</v>
      </c>
      <c r="D142" s="178" t="s">
        <v>43</v>
      </c>
      <c r="E142" s="178" t="s">
        <v>34</v>
      </c>
      <c r="F142" s="266">
        <v>54.456521739130437</v>
      </c>
      <c r="G142" s="266">
        <v>54.456521739130437</v>
      </c>
      <c r="H142" s="266">
        <v>54.456521739130402</v>
      </c>
      <c r="I142" s="266">
        <v>54.456521739130402</v>
      </c>
      <c r="J142" s="266">
        <v>54.456521739130402</v>
      </c>
      <c r="K142" s="266">
        <v>54.456521739130402</v>
      </c>
      <c r="L142" s="266">
        <v>54.456521739130402</v>
      </c>
      <c r="M142" s="266">
        <v>54.456521739130402</v>
      </c>
      <c r="N142" s="266">
        <v>54.456521739130402</v>
      </c>
      <c r="O142" s="266">
        <v>54.456521739130402</v>
      </c>
      <c r="P142" s="266">
        <v>54.456521739130402</v>
      </c>
      <c r="Q142" s="266">
        <v>54.456521739130402</v>
      </c>
      <c r="R142" s="266">
        <v>56.335311572700299</v>
      </c>
      <c r="S142" s="266">
        <v>56.335311572700299</v>
      </c>
      <c r="T142" s="266">
        <v>56.335311572700299</v>
      </c>
      <c r="U142" s="266">
        <v>35.375</v>
      </c>
      <c r="V142" s="266">
        <v>35.375</v>
      </c>
      <c r="W142" s="266">
        <v>35.375</v>
      </c>
      <c r="X142" s="266">
        <v>35.375</v>
      </c>
      <c r="Y142" s="266">
        <v>58</v>
      </c>
      <c r="Z142" s="266">
        <v>58</v>
      </c>
      <c r="AA142" s="266">
        <v>58</v>
      </c>
      <c r="AB142" s="266">
        <v>58</v>
      </c>
      <c r="AC142" s="266">
        <v>66.880069930069936</v>
      </c>
      <c r="AD142" s="266">
        <v>66.880069930069936</v>
      </c>
      <c r="AE142" s="266">
        <v>66.880069930069936</v>
      </c>
      <c r="AF142" s="266">
        <v>66.880069930069936</v>
      </c>
      <c r="AG142" s="266">
        <v>66.880069930069936</v>
      </c>
      <c r="AH142" s="266">
        <v>66.880069930069936</v>
      </c>
      <c r="AI142" s="266">
        <v>66.880069930069936</v>
      </c>
      <c r="AJ142" s="266">
        <v>66.880069930069936</v>
      </c>
      <c r="AK142" s="266">
        <v>66.880069930069936</v>
      </c>
      <c r="AL142" s="266">
        <v>66.880069930069936</v>
      </c>
      <c r="AM142" s="266">
        <v>66.880069930069936</v>
      </c>
      <c r="AN142" s="266">
        <v>67</v>
      </c>
      <c r="AO142" s="266">
        <v>67</v>
      </c>
      <c r="AP142" s="266">
        <v>67</v>
      </c>
      <c r="AQ142" s="266">
        <v>67</v>
      </c>
      <c r="AR142" s="266">
        <v>69.5</v>
      </c>
      <c r="AS142" s="266">
        <v>69.5</v>
      </c>
      <c r="AT142" s="266">
        <v>69.5</v>
      </c>
      <c r="AU142" s="266">
        <v>69.5</v>
      </c>
      <c r="AV142" s="266">
        <v>69.5</v>
      </c>
      <c r="AW142" s="266">
        <v>69.5</v>
      </c>
      <c r="AX142" s="266">
        <v>69.5</v>
      </c>
      <c r="AY142" s="266">
        <v>69.5</v>
      </c>
      <c r="AZ142" s="266">
        <v>69.5</v>
      </c>
      <c r="BA142" s="266">
        <v>69.5</v>
      </c>
      <c r="BB142" s="266">
        <v>69.5</v>
      </c>
      <c r="BC142" s="266">
        <v>69.5</v>
      </c>
      <c r="BD142" s="266">
        <v>69.5</v>
      </c>
      <c r="BE142" s="266">
        <v>69.5</v>
      </c>
      <c r="BF142" s="266">
        <v>69.5</v>
      </c>
      <c r="BG142" s="266">
        <v>69.5</v>
      </c>
      <c r="BH142" s="266">
        <v>69.5</v>
      </c>
      <c r="BI142" s="266">
        <v>69.5</v>
      </c>
      <c r="BJ142" s="266">
        <v>69.5</v>
      </c>
      <c r="BK142" s="266">
        <v>69.5</v>
      </c>
      <c r="BL142" s="266">
        <v>71</v>
      </c>
      <c r="BM142" s="266">
        <v>71</v>
      </c>
      <c r="BN142" s="266">
        <v>71</v>
      </c>
      <c r="BO142" s="266">
        <v>71</v>
      </c>
      <c r="BP142" s="266">
        <v>71</v>
      </c>
      <c r="BQ142" s="266">
        <v>71</v>
      </c>
      <c r="BR142" s="266">
        <v>71</v>
      </c>
      <c r="BS142" s="266">
        <v>71</v>
      </c>
      <c r="BT142" s="266">
        <v>68.8</v>
      </c>
      <c r="BU142" s="266">
        <v>68.8</v>
      </c>
      <c r="BV142" s="266">
        <v>68.8</v>
      </c>
      <c r="BW142" s="266">
        <v>68.8</v>
      </c>
      <c r="BX142" s="266">
        <v>68.8</v>
      </c>
      <c r="BY142" s="266">
        <v>68.8</v>
      </c>
      <c r="BZ142" s="266">
        <v>68.8</v>
      </c>
      <c r="CA142" s="266">
        <v>68.8</v>
      </c>
      <c r="CB142" s="266">
        <v>68.8</v>
      </c>
      <c r="CC142" s="266">
        <v>68.8</v>
      </c>
      <c r="CD142" s="266">
        <v>68.8</v>
      </c>
      <c r="CE142" s="266">
        <v>68.8</v>
      </c>
      <c r="CF142" s="266">
        <v>68.8</v>
      </c>
      <c r="CG142" s="266">
        <v>68.8</v>
      </c>
      <c r="CH142" s="266">
        <v>68.8</v>
      </c>
      <c r="CI142" s="266">
        <v>68.8</v>
      </c>
      <c r="CJ142" s="266">
        <v>68.8</v>
      </c>
      <c r="CK142" s="266">
        <v>68.8</v>
      </c>
      <c r="CL142" s="266">
        <v>68.8</v>
      </c>
      <c r="CM142" s="266">
        <v>68.8</v>
      </c>
      <c r="CN142" s="266">
        <v>68.8</v>
      </c>
      <c r="CO142" s="266">
        <v>68.8</v>
      </c>
      <c r="CP142" s="266">
        <v>68.8</v>
      </c>
      <c r="CQ142" s="266">
        <v>68.8</v>
      </c>
      <c r="CR142" s="266">
        <v>68.8</v>
      </c>
      <c r="CS142" s="266">
        <v>68.8</v>
      </c>
      <c r="CT142" s="216">
        <v>68.8</v>
      </c>
      <c r="CU142" s="216">
        <v>68.8</v>
      </c>
      <c r="CV142" s="216">
        <v>68.8</v>
      </c>
      <c r="CW142" s="216">
        <v>68.8</v>
      </c>
      <c r="CX142" s="216">
        <v>68.8</v>
      </c>
      <c r="CY142" s="216">
        <v>68.8</v>
      </c>
      <c r="CZ142" s="216">
        <v>68.8</v>
      </c>
      <c r="DA142" s="216">
        <v>68.8</v>
      </c>
      <c r="DB142" s="216">
        <v>68.8</v>
      </c>
      <c r="DC142" s="216">
        <v>68.8</v>
      </c>
      <c r="DD142" s="216">
        <v>68.8</v>
      </c>
      <c r="DE142" s="216">
        <v>68.8</v>
      </c>
      <c r="DF142" s="216">
        <v>68.8</v>
      </c>
      <c r="DG142" s="216">
        <v>68.8</v>
      </c>
      <c r="DH142" s="216">
        <v>68.8</v>
      </c>
      <c r="DI142" s="216">
        <v>68.8</v>
      </c>
      <c r="DJ142" s="214">
        <v>68.8</v>
      </c>
      <c r="DK142" s="214">
        <v>68.8</v>
      </c>
      <c r="DL142" s="214">
        <v>68.8</v>
      </c>
      <c r="DM142" s="214">
        <v>68.8</v>
      </c>
      <c r="DN142" s="214">
        <v>68.8</v>
      </c>
      <c r="DO142" s="214">
        <v>68.8</v>
      </c>
      <c r="DP142" s="214">
        <v>68.8</v>
      </c>
      <c r="DQ142" s="178"/>
      <c r="DR142" s="178"/>
    </row>
    <row r="143" spans="1:125">
      <c r="A143" s="178" t="str">
        <f t="shared" si="77"/>
        <v>3-Methoxy-1-PropanolUSD</v>
      </c>
      <c r="B143" s="178" t="s">
        <v>152</v>
      </c>
      <c r="C143" s="178" t="s">
        <v>367</v>
      </c>
      <c r="D143" s="178" t="s">
        <v>33</v>
      </c>
      <c r="E143" s="178" t="s">
        <v>34</v>
      </c>
      <c r="F143" s="266">
        <v>13.5</v>
      </c>
      <c r="G143" s="266">
        <v>13.594207955338449</v>
      </c>
      <c r="H143" s="266">
        <v>14.2</v>
      </c>
      <c r="I143" s="266">
        <v>11.9</v>
      </c>
      <c r="J143" s="266">
        <v>12.7</v>
      </c>
      <c r="K143" s="266">
        <v>11.45</v>
      </c>
      <c r="L143" s="266">
        <v>11.45</v>
      </c>
      <c r="M143" s="266">
        <v>11</v>
      </c>
      <c r="N143" s="266">
        <v>10.787903225806451</v>
      </c>
      <c r="O143" s="266">
        <v>10.3</v>
      </c>
      <c r="P143" s="266">
        <v>12.2</v>
      </c>
      <c r="Q143" s="266">
        <v>12.2</v>
      </c>
      <c r="R143" s="266">
        <v>11.250000013091455</v>
      </c>
      <c r="S143" s="266">
        <v>10</v>
      </c>
      <c r="T143" s="266">
        <v>11.377551838122367</v>
      </c>
      <c r="U143" s="266">
        <v>10.061111111111112</v>
      </c>
      <c r="V143" s="266">
        <v>9.8648351648351653</v>
      </c>
      <c r="W143" s="266">
        <v>10.6</v>
      </c>
      <c r="X143" s="266">
        <v>9.75</v>
      </c>
      <c r="Y143" s="266">
        <v>10.155445544554455</v>
      </c>
      <c r="Z143" s="266">
        <v>11.866852057842047</v>
      </c>
      <c r="AA143" s="266">
        <v>9.7435686015831138</v>
      </c>
      <c r="AB143" s="266">
        <v>11.452359167120383</v>
      </c>
      <c r="AC143" s="266">
        <v>10.574999999999999</v>
      </c>
      <c r="AD143" s="266">
        <v>11.215129518184794</v>
      </c>
      <c r="AE143" s="266">
        <v>11.23158523153589</v>
      </c>
      <c r="AF143" s="266">
        <v>10.549683317901318</v>
      </c>
      <c r="AG143" s="266">
        <v>13.336363636363636</v>
      </c>
      <c r="AH143" s="266">
        <v>11.233870967741936</v>
      </c>
      <c r="AI143" s="266">
        <v>11.233870967741936</v>
      </c>
      <c r="AJ143" s="266">
        <v>11.699975877192982</v>
      </c>
      <c r="AK143" s="266">
        <v>11.394117647058824</v>
      </c>
      <c r="AL143" s="266">
        <v>11.162143498377183</v>
      </c>
      <c r="AM143" s="266">
        <v>10.55</v>
      </c>
      <c r="AN143" s="266">
        <v>9.544692737430168</v>
      </c>
      <c r="AO143" s="266">
        <v>11.081250000000001</v>
      </c>
      <c r="AP143" s="266">
        <v>9.5953514120667531</v>
      </c>
      <c r="AQ143" s="266">
        <v>9.0827017543859654</v>
      </c>
      <c r="AR143" s="266">
        <v>9.9618545454545462</v>
      </c>
      <c r="AS143" s="266">
        <v>8.3483298245614037</v>
      </c>
      <c r="AT143" s="266">
        <v>9.5807990430621999</v>
      </c>
      <c r="AU143" s="266">
        <v>9.1062997866287354</v>
      </c>
      <c r="AV143" s="266">
        <v>8.4906328705198568</v>
      </c>
      <c r="AW143" s="266">
        <v>8.4906328705198568</v>
      </c>
      <c r="AX143" s="266">
        <v>8.4906328705198568</v>
      </c>
      <c r="AY143" s="266">
        <v>8.4906328705198568</v>
      </c>
      <c r="AZ143" s="266">
        <v>7.5847992202729042</v>
      </c>
      <c r="BA143" s="266">
        <v>7.5847992202729042</v>
      </c>
      <c r="BB143" s="266">
        <v>7.5847992202729042</v>
      </c>
      <c r="BC143" s="266">
        <v>7.5847992202729042</v>
      </c>
      <c r="BD143" s="266">
        <v>9.3412800751879708</v>
      </c>
      <c r="BE143" s="266">
        <v>9.3412800751879708</v>
      </c>
      <c r="BF143" s="266">
        <v>9.3412800751879708</v>
      </c>
      <c r="BG143" s="266">
        <v>9.3412800751879708</v>
      </c>
      <c r="BH143" s="266">
        <v>7.9234149122807009</v>
      </c>
      <c r="BI143" s="266">
        <v>7.9234149122807009</v>
      </c>
      <c r="BJ143" s="266">
        <v>7.9234149122807009</v>
      </c>
      <c r="BK143" s="266">
        <v>7.9234149122807009</v>
      </c>
      <c r="BL143" s="266">
        <v>8.2863517457008875</v>
      </c>
      <c r="BM143" s="266">
        <v>8.2863517457008875</v>
      </c>
      <c r="BN143" s="266">
        <v>8.2863517457008875</v>
      </c>
      <c r="BO143" s="266">
        <v>8.2863517457008875</v>
      </c>
      <c r="BP143" s="266">
        <v>7.3852006578947362</v>
      </c>
      <c r="BQ143" s="266">
        <v>7.3852006578947362</v>
      </c>
      <c r="BR143" s="266">
        <v>7.3852006578947362</v>
      </c>
      <c r="BS143" s="266">
        <v>7.3852006578947362</v>
      </c>
      <c r="BT143" s="266">
        <v>7.5084102418207683</v>
      </c>
      <c r="BU143" s="266">
        <v>7.5084102418207683</v>
      </c>
      <c r="BV143" s="266">
        <v>7.5084102418207683</v>
      </c>
      <c r="BW143" s="266">
        <v>7.5084102418207683</v>
      </c>
      <c r="BX143" s="266">
        <v>7.3254343617664848</v>
      </c>
      <c r="BY143" s="266">
        <v>7.3254343617664848</v>
      </c>
      <c r="BZ143" s="266">
        <v>7.3254343617664848</v>
      </c>
      <c r="CA143" s="266">
        <v>7.3254343617664848</v>
      </c>
      <c r="CB143" s="266">
        <v>7.4067192078133477</v>
      </c>
      <c r="CC143" s="266">
        <v>7.4067192078133477</v>
      </c>
      <c r="CD143" s="266">
        <v>7.4067192078133477</v>
      </c>
      <c r="CE143" s="266">
        <v>7.4067192078133477</v>
      </c>
      <c r="CF143" s="266">
        <v>7.2288982198142415</v>
      </c>
      <c r="CG143" s="266">
        <v>7.2288982198142415</v>
      </c>
      <c r="CH143" s="266">
        <v>7.2288982198142415</v>
      </c>
      <c r="CI143" s="266">
        <v>7.2288982198142415</v>
      </c>
      <c r="CJ143" s="266">
        <v>7.9340996240601509</v>
      </c>
      <c r="CK143" s="266">
        <v>7.9340996240601509</v>
      </c>
      <c r="CL143" s="266">
        <v>7.9340996240601509</v>
      </c>
      <c r="CM143" s="266">
        <v>7.9340996240601509</v>
      </c>
      <c r="CN143" s="266">
        <v>7.4211091982292174</v>
      </c>
      <c r="CO143" s="266">
        <v>7.4211091982292174</v>
      </c>
      <c r="CP143" s="266">
        <v>7.4211091982292174</v>
      </c>
      <c r="CQ143" s="266">
        <v>7.4211091982292174</v>
      </c>
      <c r="CR143" s="266">
        <v>7.4211091982292174</v>
      </c>
      <c r="CS143" s="266">
        <v>7.4211091982292174</v>
      </c>
      <c r="CT143" s="216">
        <v>7.4211091982292174</v>
      </c>
      <c r="CU143" s="216">
        <v>7.4211091982292174</v>
      </c>
      <c r="CV143" s="214">
        <v>6.97</v>
      </c>
      <c r="CW143" s="214">
        <v>6.97</v>
      </c>
      <c r="CX143" s="214">
        <v>6.97</v>
      </c>
      <c r="CY143" s="214">
        <v>6.97</v>
      </c>
      <c r="CZ143" s="214">
        <v>6.95</v>
      </c>
      <c r="DA143" s="214">
        <v>6.64</v>
      </c>
      <c r="DB143" s="214">
        <v>6.64</v>
      </c>
      <c r="DC143" s="214">
        <v>6.64</v>
      </c>
      <c r="DD143" s="214">
        <v>6.64</v>
      </c>
      <c r="DE143" s="214">
        <v>6.9</v>
      </c>
      <c r="DF143" s="214">
        <v>6.9</v>
      </c>
      <c r="DG143" s="214">
        <v>6.9</v>
      </c>
      <c r="DH143" s="214">
        <v>6.9</v>
      </c>
      <c r="DI143" s="214">
        <v>6.9</v>
      </c>
      <c r="DJ143" s="214">
        <v>6.86</v>
      </c>
      <c r="DK143" s="214">
        <v>6.86</v>
      </c>
      <c r="DL143" s="214">
        <v>6.86</v>
      </c>
      <c r="DM143" s="214">
        <v>6.86</v>
      </c>
      <c r="DN143" s="214">
        <v>6.51</v>
      </c>
      <c r="DO143" s="214">
        <v>6.51</v>
      </c>
      <c r="DP143" s="214">
        <v>6.8</v>
      </c>
      <c r="DQ143" s="178"/>
      <c r="DR143" s="178"/>
    </row>
    <row r="144" spans="1:125">
      <c r="A144" s="178" t="str">
        <f t="shared" si="77"/>
        <v>EthanolUSD</v>
      </c>
      <c r="B144" s="178" t="s">
        <v>44</v>
      </c>
      <c r="C144" s="178" t="s">
        <v>329</v>
      </c>
      <c r="D144" s="178" t="s">
        <v>33</v>
      </c>
      <c r="E144" s="178" t="s">
        <v>34</v>
      </c>
      <c r="F144" s="266">
        <f>F142/F1</f>
        <v>0.76388783947830241</v>
      </c>
      <c r="G144" s="266">
        <f t="shared" ref="G144:BR144" si="78">G142/G1</f>
        <v>0.76108192326052593</v>
      </c>
      <c r="H144" s="266">
        <f t="shared" si="78"/>
        <v>0.73142139363467795</v>
      </c>
      <c r="I144" s="266">
        <f t="shared" si="78"/>
        <v>0.7141687185023794</v>
      </c>
      <c r="J144" s="266">
        <f t="shared" si="78"/>
        <v>0.72007435117489826</v>
      </c>
      <c r="K144" s="266">
        <f t="shared" si="78"/>
        <v>0.71893707933857776</v>
      </c>
      <c r="L144" s="266">
        <f t="shared" si="78"/>
        <v>0.72682115530253177</v>
      </c>
      <c r="M144" s="266">
        <f t="shared" si="78"/>
        <v>0.73010845670630553</v>
      </c>
      <c r="N144" s="266">
        <f t="shared" si="78"/>
        <v>0.74056389449881166</v>
      </c>
      <c r="O144" s="266">
        <f t="shared" si="78"/>
        <v>0.74073210640001641</v>
      </c>
      <c r="P144" s="266">
        <f t="shared" si="78"/>
        <v>0.73359706683156334</v>
      </c>
      <c r="Q144" s="266">
        <f t="shared" si="78"/>
        <v>0.73857613833989721</v>
      </c>
      <c r="R144" s="266">
        <f t="shared" si="78"/>
        <v>0.77034475007111036</v>
      </c>
      <c r="S144" s="266">
        <f t="shared" si="78"/>
        <v>0.77383669742720196</v>
      </c>
      <c r="T144" s="266">
        <f t="shared" si="78"/>
        <v>0.77383669742720196</v>
      </c>
      <c r="U144" s="266">
        <f t="shared" si="78"/>
        <v>0.47515110812625921</v>
      </c>
      <c r="V144" s="266">
        <f t="shared" si="78"/>
        <v>0.48293515358361777</v>
      </c>
      <c r="W144" s="266">
        <f t="shared" si="78"/>
        <v>0.4810307315746532</v>
      </c>
      <c r="X144" s="266">
        <f t="shared" si="78"/>
        <v>0.47464108412719708</v>
      </c>
      <c r="Y144" s="266">
        <f t="shared" si="78"/>
        <v>0.78209277238403452</v>
      </c>
      <c r="Z144" s="266">
        <f t="shared" si="78"/>
        <v>0.78857919782460917</v>
      </c>
      <c r="AA144" s="266">
        <f t="shared" si="78"/>
        <v>0.7742624482712589</v>
      </c>
      <c r="AB144" s="266">
        <f t="shared" si="78"/>
        <v>0.77883711561702695</v>
      </c>
      <c r="AC144" s="266">
        <f t="shared" si="78"/>
        <v>0.88676836290201455</v>
      </c>
      <c r="AD144" s="266">
        <f t="shared" si="78"/>
        <v>0.89832196010839405</v>
      </c>
      <c r="AE144" s="266">
        <f t="shared" si="78"/>
        <v>0.89221011112686688</v>
      </c>
      <c r="AF144" s="266">
        <f t="shared" si="78"/>
        <v>0.87757603897218139</v>
      </c>
      <c r="AG144" s="266">
        <f t="shared" si="78"/>
        <v>0.8752730063046934</v>
      </c>
      <c r="AH144" s="266">
        <f t="shared" si="78"/>
        <v>0.8649857351878939</v>
      </c>
      <c r="AI144" s="266">
        <f t="shared" si="78"/>
        <v>0.85661776555570612</v>
      </c>
      <c r="AJ144" s="266">
        <f t="shared" si="78"/>
        <v>0.84018549801641151</v>
      </c>
      <c r="AK144" s="266">
        <f t="shared" si="78"/>
        <v>0.84076239180479539</v>
      </c>
      <c r="AL144" s="266">
        <f t="shared" ref="AL144:AV144" si="79">AL142/AL1</f>
        <v>0.83358811017652112</v>
      </c>
      <c r="AM144" s="266">
        <f t="shared" si="79"/>
        <v>0.81224162215869966</v>
      </c>
      <c r="AN144" s="266">
        <f t="shared" si="79"/>
        <v>0.8189655899995163</v>
      </c>
      <c r="AO144" s="266">
        <f t="shared" si="79"/>
        <v>0.81247364214791362</v>
      </c>
      <c r="AP144" s="266">
        <f t="shared" si="79"/>
        <v>0.81807490868318788</v>
      </c>
      <c r="AQ144" s="266">
        <f t="shared" si="79"/>
        <v>0.81586280840679648</v>
      </c>
      <c r="AR144" s="266">
        <f t="shared" si="79"/>
        <v>0.84630545051152772</v>
      </c>
      <c r="AS144" s="266">
        <f t="shared" si="79"/>
        <v>0.84630545051152772</v>
      </c>
      <c r="AT144" s="266">
        <f t="shared" si="79"/>
        <v>0.84630545051152772</v>
      </c>
      <c r="AU144" s="266">
        <f t="shared" si="79"/>
        <v>0.84242424242424241</v>
      </c>
      <c r="AV144" s="266">
        <f t="shared" si="79"/>
        <v>0.84303736050460942</v>
      </c>
      <c r="AW144" s="266">
        <f t="shared" si="78"/>
        <v>0.84570455098564123</v>
      </c>
      <c r="AX144" s="266">
        <f t="shared" si="78"/>
        <v>0.848388671875</v>
      </c>
      <c r="AY144" s="266">
        <f t="shared" si="78"/>
        <v>0.84488208120593233</v>
      </c>
      <c r="AZ144" s="266">
        <f t="shared" si="78"/>
        <v>0.83906797054207416</v>
      </c>
      <c r="BA144" s="266">
        <f t="shared" si="78"/>
        <v>0.83483483483483478</v>
      </c>
      <c r="BB144" s="266">
        <f t="shared" si="78"/>
        <v>0.83483483483483478</v>
      </c>
      <c r="BC144" s="266">
        <f t="shared" si="78"/>
        <v>0.8408953418027828</v>
      </c>
      <c r="BD144" s="266">
        <f t="shared" si="78"/>
        <v>0.83684527393136665</v>
      </c>
      <c r="BE144" s="266">
        <f t="shared" si="78"/>
        <v>0.83795514829997586</v>
      </c>
      <c r="BF144" s="266">
        <f t="shared" si="78"/>
        <v>0.8380561919691305</v>
      </c>
      <c r="BG144" s="266">
        <f t="shared" si="78"/>
        <v>0.83473456641844823</v>
      </c>
      <c r="BH144" s="266">
        <f t="shared" si="78"/>
        <v>0.83513578466714733</v>
      </c>
      <c r="BI144" s="266">
        <f t="shared" si="78"/>
        <v>0.83483483483483478</v>
      </c>
      <c r="BJ144" s="266">
        <f t="shared" si="78"/>
        <v>0.83614051973051007</v>
      </c>
      <c r="BK144" s="266">
        <f t="shared" si="78"/>
        <v>0.83473456641844823</v>
      </c>
      <c r="BL144" s="266">
        <f t="shared" si="78"/>
        <v>0.85316029800528725</v>
      </c>
      <c r="BM144" s="266">
        <f t="shared" si="78"/>
        <v>0.8534679648996274</v>
      </c>
      <c r="BN144" s="266">
        <f t="shared" si="78"/>
        <v>0.8534679648996274</v>
      </c>
      <c r="BO144" s="266">
        <f t="shared" si="78"/>
        <v>0.85203408136325454</v>
      </c>
      <c r="BP144" s="266">
        <f t="shared" si="78"/>
        <v>0.85131894484412463</v>
      </c>
      <c r="BQ144" s="266">
        <f t="shared" si="78"/>
        <v>0.85172744721689064</v>
      </c>
      <c r="BR144" s="266">
        <f t="shared" si="78"/>
        <v>0.85295530994714086</v>
      </c>
      <c r="BS144" s="266">
        <f t="shared" ref="BS144:DQ144" si="80">BS142/BS1</f>
        <v>0.85213634181469045</v>
      </c>
      <c r="BT144" s="266">
        <f t="shared" si="80"/>
        <v>0.82751984604281925</v>
      </c>
      <c r="BU144" s="266">
        <f t="shared" si="80"/>
        <v>0.82742032471437155</v>
      </c>
      <c r="BV144" s="266">
        <f t="shared" si="80"/>
        <v>0.82642642642642639</v>
      </c>
      <c r="BW144" s="266">
        <f t="shared" si="80"/>
        <v>0.82831687936431486</v>
      </c>
      <c r="BX144" s="266">
        <f t="shared" si="80"/>
        <v>0.82891566265060235</v>
      </c>
      <c r="BY144" s="266">
        <f t="shared" si="80"/>
        <v>0.82881580532465959</v>
      </c>
      <c r="BZ144" s="266">
        <f t="shared" si="80"/>
        <v>0.8299155609167671</v>
      </c>
      <c r="CA144" s="266">
        <f t="shared" si="80"/>
        <v>0.8299155609167671</v>
      </c>
      <c r="CB144" s="266">
        <f t="shared" si="80"/>
        <v>0.83192261185006044</v>
      </c>
      <c r="CC144" s="266">
        <f t="shared" si="80"/>
        <v>0.83131947800869976</v>
      </c>
      <c r="CD144" s="266">
        <f t="shared" si="80"/>
        <v>0.82632716790775873</v>
      </c>
      <c r="CE144" s="266">
        <f t="shared" si="80"/>
        <v>0.82503897349802136</v>
      </c>
      <c r="CF144" s="266">
        <f t="shared" si="80"/>
        <v>0.82682369907463049</v>
      </c>
      <c r="CG144" s="266">
        <f t="shared" si="80"/>
        <v>0.82494004796163056</v>
      </c>
      <c r="CH144" s="266">
        <f t="shared" si="80"/>
        <v>0.82286807798110273</v>
      </c>
      <c r="CI144" s="266">
        <f t="shared" si="80"/>
        <v>0.82474226804123707</v>
      </c>
      <c r="CJ144" s="266">
        <f t="shared" si="80"/>
        <v>0.82395209580838324</v>
      </c>
      <c r="CK144" s="266">
        <f t="shared" si="80"/>
        <v>0.82543491301739658</v>
      </c>
      <c r="CL144" s="266">
        <f t="shared" si="80"/>
        <v>0.82543491301739658</v>
      </c>
      <c r="CM144" s="266">
        <f t="shared" si="80"/>
        <v>0.82543491301739658</v>
      </c>
      <c r="CN144" s="266">
        <f t="shared" si="80"/>
        <v>0.82543491301739658</v>
      </c>
      <c r="CO144" s="266">
        <f t="shared" si="80"/>
        <v>0.82012158779353916</v>
      </c>
      <c r="CP144" s="266">
        <f t="shared" si="80"/>
        <v>0.82494004796163056</v>
      </c>
      <c r="CQ144" s="266">
        <f t="shared" si="80"/>
        <v>0.82395209580838324</v>
      </c>
      <c r="CR144" s="266">
        <f t="shared" si="80"/>
        <v>0.8244457759137207</v>
      </c>
      <c r="CS144" s="266">
        <f t="shared" si="80"/>
        <v>0.82424823289804716</v>
      </c>
      <c r="CT144" s="216">
        <f t="shared" si="80"/>
        <v>0.82345900658288451</v>
      </c>
      <c r="CU144" s="216">
        <f t="shared" si="80"/>
        <v>0.82198327359617673</v>
      </c>
      <c r="CV144" s="216">
        <f t="shared" si="80"/>
        <v>0.82168876149528236</v>
      </c>
      <c r="CW144" s="216">
        <f t="shared" si="80"/>
        <v>0.81953543776057169</v>
      </c>
      <c r="CX144" s="216">
        <f t="shared" si="80"/>
        <v>0.8194378275369224</v>
      </c>
      <c r="CY144" s="216">
        <f t="shared" si="80"/>
        <v>0.82002383790226452</v>
      </c>
      <c r="CZ144" s="216">
        <f t="shared" si="80"/>
        <v>0.82012158779353916</v>
      </c>
      <c r="DA144" s="216">
        <f t="shared" si="80"/>
        <v>0.8194378275369224</v>
      </c>
      <c r="DB144" s="216">
        <f t="shared" si="80"/>
        <v>0.8194378275369224</v>
      </c>
      <c r="DC144" s="216">
        <f t="shared" si="80"/>
        <v>0.82316343622876287</v>
      </c>
      <c r="DD144" s="216">
        <f t="shared" si="80"/>
        <v>0.82237628496294524</v>
      </c>
      <c r="DE144" s="216">
        <f t="shared" si="80"/>
        <v>0.81934024056210553</v>
      </c>
      <c r="DF144" s="216">
        <f t="shared" si="80"/>
        <v>0.818365647674557</v>
      </c>
      <c r="DG144" s="216">
        <f t="shared" si="80"/>
        <v>0.818365647674557</v>
      </c>
      <c r="DH144" s="216">
        <f t="shared" si="80"/>
        <v>0.81826831588962889</v>
      </c>
      <c r="DI144" s="216">
        <f t="shared" si="80"/>
        <v>0.81787922016167369</v>
      </c>
      <c r="DJ144" s="216">
        <f t="shared" si="80"/>
        <v>0.81516587677725105</v>
      </c>
      <c r="DK144" s="216">
        <f t="shared" si="80"/>
        <v>0.81642340097306276</v>
      </c>
      <c r="DL144" s="216">
        <f t="shared" si="80"/>
        <v>0.81295049036984524</v>
      </c>
      <c r="DM144" s="216">
        <f t="shared" si="80"/>
        <v>0.81237454244893137</v>
      </c>
      <c r="DN144" s="216">
        <f t="shared" si="80"/>
        <v>0.81103383237062354</v>
      </c>
      <c r="DO144" s="216">
        <f t="shared" si="80"/>
        <v>0.81017428167687233</v>
      </c>
      <c r="DP144" s="216">
        <f t="shared" si="80"/>
        <v>0.80770133834233382</v>
      </c>
      <c r="DQ144" s="216" t="e">
        <f t="shared" si="80"/>
        <v>#DIV/0!</v>
      </c>
      <c r="DR144" s="178"/>
    </row>
    <row r="145" spans="1:124">
      <c r="A145" s="178" t="str">
        <f t="shared" si="77"/>
        <v>HydroquinoneUSD</v>
      </c>
      <c r="B145" s="178" t="s">
        <v>152</v>
      </c>
      <c r="C145" s="178" t="s">
        <v>309</v>
      </c>
      <c r="D145" s="178" t="s">
        <v>33</v>
      </c>
      <c r="E145" s="178" t="s">
        <v>34</v>
      </c>
      <c r="F145" s="216">
        <v>5.7239086600070355</v>
      </c>
      <c r="G145" s="216">
        <v>5.8553920316586519</v>
      </c>
      <c r="H145" s="216">
        <v>5.6061009132356228</v>
      </c>
      <c r="I145" s="216">
        <v>5.7300116324090196</v>
      </c>
      <c r="J145" s="216">
        <v>5.6300319380085204</v>
      </c>
      <c r="K145" s="216">
        <v>5.3727030576614601</v>
      </c>
      <c r="L145" s="216">
        <v>5.3995017496059301</v>
      </c>
      <c r="M145" s="216">
        <v>5.3752644108683469</v>
      </c>
      <c r="N145" s="216">
        <v>5.0990314548576512</v>
      </c>
      <c r="O145" s="216">
        <v>5.1675525546605794</v>
      </c>
      <c r="P145" s="216">
        <v>5.2275166515109177</v>
      </c>
      <c r="Q145" s="216">
        <v>5.2126483183850736</v>
      </c>
      <c r="R145" s="339">
        <v>5.2337577494235559</v>
      </c>
      <c r="S145" s="339">
        <v>5.3737371591528236</v>
      </c>
      <c r="T145" s="339">
        <v>5.4357217547046206</v>
      </c>
      <c r="U145" s="339">
        <v>5.7158347518367707</v>
      </c>
      <c r="V145" s="339">
        <v>5.7580198538030256</v>
      </c>
      <c r="W145" s="339">
        <v>6.15538740663846</v>
      </c>
      <c r="X145" s="339">
        <v>6.2057273367361452</v>
      </c>
      <c r="Y145" s="339">
        <v>6.43542776023709</v>
      </c>
      <c r="Z145" s="339">
        <v>6.5666100150388012</v>
      </c>
      <c r="AA145" s="339">
        <v>7.3144475243017766</v>
      </c>
      <c r="AB145" s="339">
        <v>7.0673997866875391</v>
      </c>
      <c r="AC145" s="339">
        <v>7.0864469296212516</v>
      </c>
      <c r="AD145" s="339">
        <v>7.5311938697968754</v>
      </c>
      <c r="AE145" s="339">
        <v>8.2863458405216406</v>
      </c>
      <c r="AF145" s="339">
        <v>7.7780319454407572</v>
      </c>
      <c r="AG145" s="339">
        <v>9.1684199943398905</v>
      </c>
      <c r="AH145" s="339">
        <v>9.7878409429280406</v>
      </c>
      <c r="AI145" s="339">
        <v>9.8270931907369903</v>
      </c>
      <c r="AJ145" s="339">
        <v>9.8497200771987874</v>
      </c>
      <c r="AK145" s="339">
        <v>9.8417580454545455</v>
      </c>
      <c r="AL145" s="339">
        <v>10.535995992285768</v>
      </c>
      <c r="AM145" s="339">
        <v>10.407552676165681</v>
      </c>
      <c r="AN145" s="339">
        <v>10.175422286123046</v>
      </c>
      <c r="AO145" s="339">
        <v>9.3103503259105178</v>
      </c>
      <c r="AP145" s="339">
        <v>9.5676630738522945</v>
      </c>
      <c r="AQ145" s="339">
        <v>8.7967019450800894</v>
      </c>
      <c r="AR145" s="339">
        <v>8.6287685793702167</v>
      </c>
      <c r="AS145" s="339">
        <v>8.5773589819864533</v>
      </c>
      <c r="AT145" s="339">
        <v>7.9377606079027352</v>
      </c>
      <c r="AU145" s="339">
        <v>8.1544041858629548</v>
      </c>
      <c r="AV145" s="339">
        <v>8.8602400237060461</v>
      </c>
      <c r="AW145" s="339">
        <v>8.8602400237060461</v>
      </c>
      <c r="AX145" s="339">
        <v>8.8602400237060461</v>
      </c>
      <c r="AY145" s="339">
        <v>8.8602400237060461</v>
      </c>
      <c r="AZ145" s="339">
        <v>8.4951167931574538</v>
      </c>
      <c r="BA145" s="339">
        <v>8.4951167931574538</v>
      </c>
      <c r="BB145" s="339">
        <v>8.4951167931574538</v>
      </c>
      <c r="BC145" s="339">
        <v>8.4951167931574538</v>
      </c>
      <c r="BD145" s="339">
        <v>5.4955481451172927</v>
      </c>
      <c r="BE145" s="339">
        <v>5.4955481451172927</v>
      </c>
      <c r="BF145" s="339">
        <v>5.4955481451172927</v>
      </c>
      <c r="BG145" s="339">
        <v>5.4955481451172927</v>
      </c>
      <c r="BH145" s="339">
        <v>6.0470601395453523</v>
      </c>
      <c r="BI145" s="339">
        <v>6.0470601395453523</v>
      </c>
      <c r="BJ145" s="339">
        <v>6.0470601395453523</v>
      </c>
      <c r="BK145" s="339">
        <v>6.0470601395453523</v>
      </c>
      <c r="BL145" s="339">
        <v>5.9526899579390138</v>
      </c>
      <c r="BM145" s="339">
        <v>5.9526899579390138</v>
      </c>
      <c r="BN145" s="339">
        <v>5.9526899579390138</v>
      </c>
      <c r="BO145" s="339">
        <v>5.9526899579390138</v>
      </c>
      <c r="BP145" s="339">
        <v>6.6562630107878391</v>
      </c>
      <c r="BQ145" s="339">
        <v>6.6562630107878391</v>
      </c>
      <c r="BR145" s="339">
        <v>6.6562630107878391</v>
      </c>
      <c r="BS145" s="339">
        <v>6.6562630107878391</v>
      </c>
      <c r="BT145" s="339">
        <v>6.0668166257805547</v>
      </c>
      <c r="BU145" s="339">
        <v>6.0668166257805547</v>
      </c>
      <c r="BV145" s="339">
        <v>6.0668166257805547</v>
      </c>
      <c r="BW145" s="339">
        <v>6.0668166257805547</v>
      </c>
      <c r="BX145" s="339">
        <v>5.7298683713693572</v>
      </c>
      <c r="BY145" s="339">
        <v>5.7298683713693572</v>
      </c>
      <c r="BZ145" s="339">
        <v>5.7298683713693572</v>
      </c>
      <c r="CA145" s="339">
        <v>5.7298683713693572</v>
      </c>
      <c r="CB145" s="339">
        <v>5.2722549908064087</v>
      </c>
      <c r="CC145" s="339">
        <v>5.2722549908064087</v>
      </c>
      <c r="CD145" s="339">
        <v>5.2722549908064087</v>
      </c>
      <c r="CE145" s="339">
        <v>5.2722549908064087</v>
      </c>
      <c r="CF145" s="339">
        <v>5.2081814349479236</v>
      </c>
      <c r="CG145" s="339">
        <v>5.2081814349479236</v>
      </c>
      <c r="CH145" s="339">
        <v>5.2081814349479236</v>
      </c>
      <c r="CI145" s="339">
        <v>5.2081814349479236</v>
      </c>
      <c r="CJ145" s="339">
        <v>5.6036424576894763</v>
      </c>
      <c r="CK145" s="339">
        <v>5.6036424576894763</v>
      </c>
      <c r="CL145" s="339">
        <v>5.6036424576894763</v>
      </c>
      <c r="CM145" s="339">
        <v>5.6036424576894763</v>
      </c>
      <c r="CN145" s="339">
        <v>5.6036424576894763</v>
      </c>
      <c r="CO145" s="339">
        <v>4.79</v>
      </c>
      <c r="CP145" s="339">
        <v>4.9400000000000004</v>
      </c>
      <c r="CQ145" s="339">
        <v>4.9400000000000004</v>
      </c>
      <c r="CR145" s="266">
        <v>4.8</v>
      </c>
      <c r="CS145" s="266">
        <v>4.92</v>
      </c>
      <c r="CT145" s="216">
        <v>6.2770562666022709</v>
      </c>
      <c r="CU145" s="214">
        <v>4.8</v>
      </c>
      <c r="CV145" s="214">
        <v>4.8</v>
      </c>
      <c r="CW145" s="214">
        <v>4.8</v>
      </c>
      <c r="CX145" s="214">
        <v>4.8</v>
      </c>
      <c r="CY145" s="214">
        <v>4.8</v>
      </c>
      <c r="CZ145" s="214">
        <v>4.8</v>
      </c>
      <c r="DA145" s="214">
        <v>4.79</v>
      </c>
      <c r="DB145" s="214">
        <v>4.79</v>
      </c>
      <c r="DC145" s="214">
        <v>4.79</v>
      </c>
      <c r="DD145" s="214">
        <v>4.79</v>
      </c>
      <c r="DE145" s="214">
        <v>4.8</v>
      </c>
      <c r="DF145" s="214">
        <v>4.8</v>
      </c>
      <c r="DG145" s="214">
        <v>4.8</v>
      </c>
      <c r="DH145" s="214">
        <v>4.8</v>
      </c>
      <c r="DI145" s="214">
        <v>4.8</v>
      </c>
      <c r="DJ145" s="214">
        <v>4.75</v>
      </c>
      <c r="DK145" s="214">
        <v>4.75</v>
      </c>
      <c r="DL145" s="214">
        <v>4.75</v>
      </c>
      <c r="DM145" s="214">
        <v>4.75</v>
      </c>
      <c r="DN145" s="214">
        <v>4.75</v>
      </c>
      <c r="DO145" s="214">
        <v>4.75</v>
      </c>
      <c r="DP145" s="214">
        <v>5.27</v>
      </c>
      <c r="DQ145" s="178"/>
      <c r="DR145" s="178"/>
    </row>
    <row r="146" spans="1:124" ht="16" customHeight="1">
      <c r="A146" s="178" t="str">
        <f t="shared" si="77"/>
        <v>TallowUSD</v>
      </c>
      <c r="B146" s="178" t="s">
        <v>368</v>
      </c>
      <c r="C146" s="178" t="s">
        <v>313</v>
      </c>
      <c r="D146" s="178" t="s">
        <v>33</v>
      </c>
      <c r="E146" s="178" t="s">
        <v>34</v>
      </c>
      <c r="F146" s="178"/>
      <c r="G146" s="178"/>
      <c r="H146" s="178"/>
      <c r="I146" s="178"/>
      <c r="J146" s="178"/>
      <c r="K146" s="178"/>
      <c r="L146" s="178"/>
      <c r="M146" s="178"/>
      <c r="N146" s="178"/>
      <c r="O146" s="178"/>
      <c r="P146" s="178"/>
      <c r="Q146" s="178">
        <v>0.83799999999999997</v>
      </c>
      <c r="R146" s="178">
        <v>0.93700000000000006</v>
      </c>
      <c r="S146" s="178">
        <v>0.97</v>
      </c>
      <c r="T146" s="178">
        <v>1.0755999999999999</v>
      </c>
      <c r="U146" s="178">
        <v>1.224</v>
      </c>
      <c r="V146" s="178">
        <v>1.1881999999999999</v>
      </c>
      <c r="W146" s="178">
        <v>1.2569999999999999</v>
      </c>
      <c r="X146" s="178">
        <v>1.3076000000000001</v>
      </c>
      <c r="Y146" s="178">
        <v>1.444</v>
      </c>
      <c r="Z146" s="178">
        <v>1.5209999999999999</v>
      </c>
      <c r="AA146" s="178">
        <v>1.4219999999999999</v>
      </c>
      <c r="AB146" s="178">
        <v>1.532</v>
      </c>
      <c r="AC146" s="178">
        <v>1.2769999999999999</v>
      </c>
      <c r="AD146" s="178">
        <v>1.444</v>
      </c>
      <c r="AE146" s="178">
        <v>1.5580000000000001</v>
      </c>
      <c r="AF146" s="178">
        <v>1.653</v>
      </c>
      <c r="AG146" s="178">
        <v>1.609</v>
      </c>
      <c r="AH146" s="178">
        <v>1.7749999999999999</v>
      </c>
      <c r="AI146" s="178">
        <v>1.7749999999999999</v>
      </c>
      <c r="AJ146" s="178">
        <v>1.8080000000000001</v>
      </c>
      <c r="AK146" s="178">
        <v>1.7749999999999999</v>
      </c>
      <c r="AL146" s="178">
        <v>1.786</v>
      </c>
      <c r="AM146" s="178">
        <v>1.631</v>
      </c>
      <c r="AN146" s="178">
        <v>1.631</v>
      </c>
      <c r="AO146" s="178">
        <v>1.556</v>
      </c>
      <c r="AP146" s="178">
        <v>1.5429999999999999</v>
      </c>
      <c r="AQ146" s="178">
        <v>1.337</v>
      </c>
      <c r="AR146" s="178">
        <v>1.2350000000000001</v>
      </c>
      <c r="AS146" s="178">
        <v>1.141</v>
      </c>
      <c r="AT146" s="178">
        <v>1.25</v>
      </c>
      <c r="AU146" s="178">
        <v>1.2569999999999999</v>
      </c>
      <c r="AV146" s="178">
        <v>1.4</v>
      </c>
      <c r="AW146" s="178">
        <v>1.4330000000000001</v>
      </c>
      <c r="AX146" s="178">
        <v>1.4810000000000001</v>
      </c>
      <c r="AY146" s="178">
        <v>1.488</v>
      </c>
      <c r="AZ146" s="178">
        <v>1.488</v>
      </c>
      <c r="BA146" s="178">
        <v>1.5009999999999999</v>
      </c>
      <c r="BB146" s="178">
        <v>1.5229999999999999</v>
      </c>
      <c r="BC146" s="178">
        <v>1.532</v>
      </c>
      <c r="BD146" s="178">
        <v>1.532</v>
      </c>
      <c r="BE146" s="178">
        <v>1.532</v>
      </c>
      <c r="BF146" s="178">
        <v>1.5389999999999999</v>
      </c>
      <c r="BG146" s="178">
        <v>1.5429999999999999</v>
      </c>
      <c r="BH146" s="178">
        <v>1.51</v>
      </c>
      <c r="BI146" s="178">
        <v>1.4810000000000001</v>
      </c>
      <c r="BJ146" s="178">
        <v>1.369</v>
      </c>
      <c r="BK146" s="178">
        <v>1.2789999999999999</v>
      </c>
      <c r="BL146" s="178">
        <v>1.2110000000000001</v>
      </c>
      <c r="BM146" s="178">
        <v>1.1779999999999999</v>
      </c>
      <c r="BN146" s="178">
        <v>1.1559999999999999</v>
      </c>
      <c r="BO146" s="178">
        <v>1.1240000000000001</v>
      </c>
      <c r="BP146" s="178">
        <v>1.1240000000000001</v>
      </c>
      <c r="BQ146" s="178">
        <v>1.1240000000000001</v>
      </c>
      <c r="BR146" s="178">
        <v>1.0580000000000001</v>
      </c>
      <c r="BS146" s="178">
        <v>0.999</v>
      </c>
      <c r="BT146" s="178">
        <v>0.96799999999999997</v>
      </c>
      <c r="BU146" s="178">
        <v>0.95899999999999996</v>
      </c>
      <c r="BV146" s="178">
        <v>0.95899999999999996</v>
      </c>
      <c r="BW146" s="178">
        <v>0.93899999999999995</v>
      </c>
      <c r="BX146" s="178">
        <v>0.92600000000000005</v>
      </c>
      <c r="BY146" s="178">
        <v>0.92600000000000005</v>
      </c>
      <c r="BZ146" s="178">
        <v>0.89300000000000002</v>
      </c>
      <c r="CA146" s="178">
        <v>0.88300000000000001</v>
      </c>
      <c r="CB146" s="178">
        <v>0.92400000000000004</v>
      </c>
      <c r="CC146" s="178">
        <v>0.92900000000000005</v>
      </c>
      <c r="CD146" s="178">
        <v>0.92900000000000005</v>
      </c>
      <c r="CE146" s="178">
        <v>0.93500000000000005</v>
      </c>
      <c r="CF146" s="178">
        <v>0.95499999999999996</v>
      </c>
      <c r="CG146" s="178">
        <v>0.95899999999999996</v>
      </c>
      <c r="CH146" s="178">
        <v>0.95899999999999996</v>
      </c>
      <c r="CI146" s="178">
        <v>0.95899999999999996</v>
      </c>
      <c r="CJ146" s="178">
        <v>0.95899999999999996</v>
      </c>
      <c r="CK146" s="178">
        <v>0.95899999999999996</v>
      </c>
      <c r="CL146" s="178">
        <v>0.93200000000000005</v>
      </c>
      <c r="CM146" s="178">
        <v>0.89300000000000002</v>
      </c>
      <c r="CN146" s="178">
        <v>0.90600000000000003</v>
      </c>
      <c r="CO146" s="178">
        <v>0.92600000000000005</v>
      </c>
      <c r="CP146" s="178">
        <v>0.94399999999999995</v>
      </c>
      <c r="CQ146" s="178">
        <v>0.97299999999999998</v>
      </c>
      <c r="CR146" s="266">
        <v>0.98499999999999999</v>
      </c>
      <c r="CS146" s="266">
        <v>1.1459999999999999</v>
      </c>
      <c r="CT146" s="266">
        <v>1.1459999999999999</v>
      </c>
      <c r="CU146" s="266">
        <v>1.1459999999999999</v>
      </c>
      <c r="CV146" s="266">
        <v>1.1459999999999999</v>
      </c>
      <c r="CW146" s="214">
        <v>1.1200000000000001</v>
      </c>
      <c r="CX146" s="214">
        <v>1.0660000000000001</v>
      </c>
      <c r="CY146" s="214">
        <v>1.05</v>
      </c>
      <c r="CZ146" s="214">
        <v>1.05</v>
      </c>
      <c r="DA146" s="214">
        <v>1.05</v>
      </c>
      <c r="DB146" s="214">
        <v>1.05</v>
      </c>
      <c r="DC146" s="214">
        <v>1.05</v>
      </c>
      <c r="DD146" s="214">
        <v>1.05</v>
      </c>
      <c r="DE146" s="214">
        <v>1.05</v>
      </c>
      <c r="DF146" s="214">
        <v>1.05</v>
      </c>
      <c r="DG146" s="214">
        <v>1.05</v>
      </c>
      <c r="DH146" s="214">
        <v>1.05</v>
      </c>
      <c r="DI146" s="214">
        <v>1.05</v>
      </c>
      <c r="DJ146" s="214">
        <v>0.95599999999999996</v>
      </c>
      <c r="DK146" s="214">
        <v>0.98099999999999998</v>
      </c>
      <c r="DL146" s="214">
        <v>0.98099999999999998</v>
      </c>
      <c r="DM146" s="214">
        <v>0.98099999999999998</v>
      </c>
      <c r="DN146" s="214">
        <v>0.94799999999999995</v>
      </c>
      <c r="DO146" s="214">
        <v>0.94799999999999995</v>
      </c>
      <c r="DP146" s="214">
        <v>0.94799999999999995</v>
      </c>
      <c r="DQ146" s="178"/>
      <c r="DR146" s="178"/>
    </row>
    <row r="147" spans="1:124">
      <c r="A147" s="178" t="str">
        <f t="shared" si="77"/>
        <v>Mustard Oil INR</v>
      </c>
      <c r="B147" s="178"/>
      <c r="C147" s="178" t="s">
        <v>369</v>
      </c>
      <c r="D147" s="178" t="s">
        <v>43</v>
      </c>
      <c r="E147" s="178" t="s">
        <v>34</v>
      </c>
      <c r="F147" s="178"/>
      <c r="G147" s="178"/>
      <c r="H147" s="178"/>
      <c r="I147" s="178"/>
      <c r="J147" s="178"/>
      <c r="K147" s="178"/>
      <c r="L147" s="178"/>
      <c r="M147" s="178"/>
      <c r="N147" s="178"/>
      <c r="O147" s="178"/>
      <c r="P147" s="178"/>
      <c r="Q147" s="178"/>
      <c r="R147" s="178"/>
      <c r="S147" s="178"/>
      <c r="T147" s="178"/>
      <c r="U147" s="178"/>
      <c r="V147" s="178"/>
      <c r="W147" s="178"/>
      <c r="X147" s="178"/>
      <c r="Y147" s="178"/>
      <c r="Z147" s="178"/>
      <c r="AA147" s="178"/>
      <c r="AB147" s="178"/>
      <c r="AC147" s="178"/>
      <c r="AD147" s="178"/>
      <c r="AE147" s="178"/>
      <c r="AF147" s="178"/>
      <c r="AG147" s="178"/>
      <c r="AH147" s="178"/>
      <c r="AI147" s="178">
        <v>146.5</v>
      </c>
      <c r="AJ147" s="178">
        <v>146.5</v>
      </c>
      <c r="AK147" s="178">
        <v>143</v>
      </c>
      <c r="AL147" s="178">
        <v>135</v>
      </c>
      <c r="AM147" s="178">
        <v>141</v>
      </c>
      <c r="AN147" s="178">
        <v>133</v>
      </c>
      <c r="AO147" s="178">
        <v>137</v>
      </c>
      <c r="AP147" s="178">
        <v>135</v>
      </c>
      <c r="AQ147" s="178">
        <v>118.5</v>
      </c>
      <c r="AR147" s="178">
        <v>110</v>
      </c>
      <c r="AS147" s="178">
        <v>113</v>
      </c>
      <c r="AT147" s="178">
        <v>101</v>
      </c>
      <c r="AU147" s="178">
        <v>98</v>
      </c>
      <c r="AV147" s="178">
        <v>105</v>
      </c>
      <c r="AW147" s="178">
        <v>105</v>
      </c>
      <c r="AX147" s="178">
        <v>107</v>
      </c>
      <c r="AY147" s="178">
        <v>110</v>
      </c>
      <c r="AZ147" s="178">
        <v>112</v>
      </c>
      <c r="BA147" s="178">
        <v>111</v>
      </c>
      <c r="BB147" s="178">
        <v>110</v>
      </c>
      <c r="BC147" s="178">
        <v>109</v>
      </c>
      <c r="BD147" s="178">
        <v>106</v>
      </c>
      <c r="BE147" s="178">
        <v>102</v>
      </c>
      <c r="BF147" s="178">
        <v>101</v>
      </c>
      <c r="BG147" s="178">
        <v>100</v>
      </c>
      <c r="BH147" s="178">
        <v>100</v>
      </c>
      <c r="BI147" s="178">
        <v>100</v>
      </c>
      <c r="BJ147" s="178">
        <v>103</v>
      </c>
      <c r="BK147" s="178">
        <v>107</v>
      </c>
      <c r="BL147" s="178">
        <v>105</v>
      </c>
      <c r="BM147" s="178">
        <v>107</v>
      </c>
      <c r="BN147" s="178">
        <v>106</v>
      </c>
      <c r="BO147" s="178">
        <v>107</v>
      </c>
      <c r="BP147" s="178">
        <v>105</v>
      </c>
      <c r="BQ147" s="178">
        <v>104</v>
      </c>
      <c r="BR147" s="178">
        <v>100</v>
      </c>
      <c r="BS147" s="178">
        <v>99</v>
      </c>
      <c r="BT147" s="178">
        <v>98</v>
      </c>
      <c r="BU147" s="178">
        <v>99</v>
      </c>
      <c r="BV147" s="178">
        <v>100</v>
      </c>
      <c r="BW147" s="178">
        <v>100</v>
      </c>
      <c r="BX147" s="178">
        <v>99</v>
      </c>
      <c r="BY147" s="178">
        <v>99</v>
      </c>
      <c r="BZ147" s="178">
        <v>99</v>
      </c>
      <c r="CA147" s="178">
        <v>100</v>
      </c>
      <c r="CB147" s="178">
        <v>101</v>
      </c>
      <c r="CC147" s="178">
        <v>102</v>
      </c>
      <c r="CD147" s="178">
        <v>103</v>
      </c>
      <c r="CE147" s="178">
        <v>103</v>
      </c>
      <c r="CF147" s="178">
        <v>105</v>
      </c>
      <c r="CG147" s="178">
        <v>102</v>
      </c>
      <c r="CH147" s="178">
        <v>102</v>
      </c>
      <c r="CI147" s="178">
        <v>102</v>
      </c>
      <c r="CJ147" s="178">
        <v>101</v>
      </c>
      <c r="CK147" s="178">
        <v>106</v>
      </c>
      <c r="CL147" s="178">
        <v>114</v>
      </c>
      <c r="CM147" s="178">
        <v>117</v>
      </c>
      <c r="CN147" s="178">
        <v>117</v>
      </c>
      <c r="CO147" s="178">
        <v>116</v>
      </c>
      <c r="CP147" s="178">
        <v>117</v>
      </c>
      <c r="CQ147" s="178">
        <v>117</v>
      </c>
      <c r="CR147" s="266">
        <v>117</v>
      </c>
      <c r="CS147" s="266">
        <v>119</v>
      </c>
      <c r="CT147" s="216">
        <v>119</v>
      </c>
      <c r="CU147" s="216">
        <v>119</v>
      </c>
      <c r="CV147" s="216">
        <v>119</v>
      </c>
      <c r="CW147" s="216">
        <v>119</v>
      </c>
      <c r="CX147" s="216">
        <v>119</v>
      </c>
      <c r="CY147" s="216">
        <v>119</v>
      </c>
      <c r="CZ147" s="216">
        <v>119</v>
      </c>
      <c r="DA147" s="214">
        <v>124</v>
      </c>
      <c r="DB147" s="214">
        <v>133</v>
      </c>
      <c r="DC147" s="214">
        <v>133</v>
      </c>
      <c r="DD147" s="214">
        <v>133</v>
      </c>
      <c r="DE147" s="214">
        <v>142</v>
      </c>
      <c r="DF147" s="214">
        <v>136.5</v>
      </c>
      <c r="DG147" s="214">
        <v>138</v>
      </c>
      <c r="DH147" s="214">
        <v>136</v>
      </c>
      <c r="DI147" s="214">
        <v>136.5</v>
      </c>
      <c r="DJ147" s="214">
        <v>136.5</v>
      </c>
      <c r="DK147" s="214">
        <v>137</v>
      </c>
      <c r="DL147" s="214">
        <v>137</v>
      </c>
      <c r="DM147" s="214">
        <v>138</v>
      </c>
      <c r="DN147" s="214">
        <v>136</v>
      </c>
      <c r="DO147" s="214">
        <v>135</v>
      </c>
      <c r="DP147" s="214">
        <v>132</v>
      </c>
      <c r="DQ147" s="178"/>
      <c r="DR147" s="178"/>
    </row>
    <row r="148" spans="1:124">
      <c r="A148" s="178" t="str">
        <f t="shared" si="77"/>
        <v>Mustard Oil USD</v>
      </c>
      <c r="B148" s="178"/>
      <c r="C148" s="178" t="s">
        <v>369</v>
      </c>
      <c r="D148" s="178" t="s">
        <v>33</v>
      </c>
      <c r="E148" s="178" t="s">
        <v>34</v>
      </c>
      <c r="F148" s="178"/>
      <c r="G148" s="178"/>
      <c r="H148" s="178"/>
      <c r="I148" s="178"/>
      <c r="J148" s="178"/>
      <c r="K148" s="178"/>
      <c r="L148" s="178"/>
      <c r="M148" s="178"/>
      <c r="N148" s="178"/>
      <c r="O148" s="178"/>
      <c r="P148" s="178"/>
      <c r="Q148" s="178"/>
      <c r="R148" s="178"/>
      <c r="S148" s="178"/>
      <c r="T148" s="178"/>
      <c r="U148" s="178"/>
      <c r="V148" s="178"/>
      <c r="W148" s="178"/>
      <c r="X148" s="178"/>
      <c r="Y148" s="178"/>
      <c r="Z148" s="178"/>
      <c r="AA148" s="178"/>
      <c r="AB148" s="178"/>
      <c r="AC148" s="178"/>
      <c r="AD148" s="178"/>
      <c r="AE148" s="178"/>
      <c r="AF148" s="178"/>
      <c r="AG148" s="178"/>
      <c r="AH148" s="178"/>
      <c r="AI148" s="266">
        <f>AI147/AI1</f>
        <v>1.8764110561655885</v>
      </c>
      <c r="AJ148" s="266">
        <f t="shared" ref="AJ148:CU148" si="81">AJ147/AJ1</f>
        <v>1.840416369003572</v>
      </c>
      <c r="AK148" s="266">
        <f t="shared" si="81"/>
        <v>1.7976808659709489</v>
      </c>
      <c r="AL148" s="266">
        <f t="shared" ref="AL148:AV148" si="82">AL147/AL1</f>
        <v>1.6826297429338331</v>
      </c>
      <c r="AM148" s="266">
        <f t="shared" si="82"/>
        <v>1.7124095241545885</v>
      </c>
      <c r="AN148" s="266">
        <f t="shared" si="82"/>
        <v>1.6257078129841143</v>
      </c>
      <c r="AO148" s="266">
        <f t="shared" si="82"/>
        <v>1.6613267011084205</v>
      </c>
      <c r="AP148" s="266">
        <f t="shared" si="82"/>
        <v>1.6483598906303039</v>
      </c>
      <c r="AQ148" s="266">
        <f t="shared" si="82"/>
        <v>1.4429812357642595</v>
      </c>
      <c r="AR148" s="266">
        <f t="shared" si="82"/>
        <v>1.3394762526081734</v>
      </c>
      <c r="AS148" s="266">
        <f t="shared" si="82"/>
        <v>1.3760074231338508</v>
      </c>
      <c r="AT148" s="266">
        <f t="shared" si="82"/>
        <v>1.229882741031141</v>
      </c>
      <c r="AU148" s="266">
        <f t="shared" si="82"/>
        <v>1.187878787878788</v>
      </c>
      <c r="AV148" s="266">
        <f t="shared" si="82"/>
        <v>1.2736535662299855</v>
      </c>
      <c r="AW148" s="266">
        <f t="shared" si="81"/>
        <v>1.2776831345826234</v>
      </c>
      <c r="AX148" s="266">
        <f t="shared" si="81"/>
        <v>1.30615234375</v>
      </c>
      <c r="AY148" s="266">
        <f t="shared" si="81"/>
        <v>1.3372234378798928</v>
      </c>
      <c r="AZ148" s="266">
        <f t="shared" si="81"/>
        <v>1.3521670892188822</v>
      </c>
      <c r="BA148" s="266">
        <f t="shared" si="81"/>
        <v>1.3333333333333333</v>
      </c>
      <c r="BB148" s="266">
        <f t="shared" si="81"/>
        <v>1.3213213213213213</v>
      </c>
      <c r="BC148" s="266">
        <f t="shared" si="81"/>
        <v>1.3188142770719902</v>
      </c>
      <c r="BD148" s="266">
        <f t="shared" si="81"/>
        <v>1.2763395544852498</v>
      </c>
      <c r="BE148" s="266">
        <f t="shared" si="81"/>
        <v>1.2298046780805403</v>
      </c>
      <c r="BF148" s="266">
        <f t="shared" si="81"/>
        <v>1.2178946099119738</v>
      </c>
      <c r="BG148" s="266">
        <f t="shared" si="81"/>
        <v>1.2010569300984866</v>
      </c>
      <c r="BH148" s="266">
        <f t="shared" si="81"/>
        <v>1.2016342225426579</v>
      </c>
      <c r="BI148" s="266">
        <f t="shared" si="81"/>
        <v>1.2012012012012012</v>
      </c>
      <c r="BJ148" s="266">
        <f t="shared" si="81"/>
        <v>1.239172281039461</v>
      </c>
      <c r="BK148" s="266">
        <f t="shared" si="81"/>
        <v>1.2851309152053807</v>
      </c>
      <c r="BL148" s="266">
        <f t="shared" si="81"/>
        <v>1.261715933669791</v>
      </c>
      <c r="BM148" s="266">
        <f t="shared" si="81"/>
        <v>1.2862122851304243</v>
      </c>
      <c r="BN148" s="266">
        <f t="shared" si="81"/>
        <v>1.2741916095684578</v>
      </c>
      <c r="BO148" s="266">
        <f t="shared" si="81"/>
        <v>1.2840513620544822</v>
      </c>
      <c r="BP148" s="266">
        <f t="shared" si="81"/>
        <v>1.2589928057553956</v>
      </c>
      <c r="BQ148" s="266">
        <f t="shared" si="81"/>
        <v>1.2476007677543186</v>
      </c>
      <c r="BR148" s="266">
        <f t="shared" si="81"/>
        <v>1.2013455069678041</v>
      </c>
      <c r="BS148" s="266">
        <f t="shared" si="81"/>
        <v>1.1881901104176669</v>
      </c>
      <c r="BT148" s="266">
        <f t="shared" si="81"/>
        <v>1.1787346644214578</v>
      </c>
      <c r="BU148" s="266">
        <f t="shared" si="81"/>
        <v>1.1906193625977148</v>
      </c>
      <c r="BV148" s="266">
        <f t="shared" si="81"/>
        <v>1.2012012012012012</v>
      </c>
      <c r="BW148" s="266">
        <f t="shared" si="81"/>
        <v>1.2039489525644111</v>
      </c>
      <c r="BX148" s="266">
        <f t="shared" si="81"/>
        <v>1.1927710843373494</v>
      </c>
      <c r="BY148" s="266">
        <f t="shared" si="81"/>
        <v>1.1926273942898444</v>
      </c>
      <c r="BZ148" s="266">
        <f t="shared" si="81"/>
        <v>1.1942098914354644</v>
      </c>
      <c r="CA148" s="266">
        <f t="shared" si="81"/>
        <v>1.2062726176115801</v>
      </c>
      <c r="CB148" s="266">
        <f t="shared" si="81"/>
        <v>1.2212817412333736</v>
      </c>
      <c r="CC148" s="266">
        <f t="shared" si="81"/>
        <v>1.2324794586756886</v>
      </c>
      <c r="CD148" s="266">
        <f t="shared" si="81"/>
        <v>1.2370886380014412</v>
      </c>
      <c r="CE148" s="266">
        <f t="shared" si="81"/>
        <v>1.2351600911380261</v>
      </c>
      <c r="CF148" s="266">
        <f t="shared" si="81"/>
        <v>1.2618675639947123</v>
      </c>
      <c r="CG148" s="266">
        <f t="shared" si="81"/>
        <v>1.2230215827338129</v>
      </c>
      <c r="CH148" s="266">
        <f t="shared" si="81"/>
        <v>1.2199497667743093</v>
      </c>
      <c r="CI148" s="266">
        <f t="shared" si="81"/>
        <v>1.2227283625029968</v>
      </c>
      <c r="CJ148" s="266">
        <f t="shared" si="81"/>
        <v>1.2095808383233533</v>
      </c>
      <c r="CK148" s="266">
        <f t="shared" si="81"/>
        <v>1.2717456508698262</v>
      </c>
      <c r="CL148" s="266">
        <f t="shared" si="81"/>
        <v>1.3677264547090582</v>
      </c>
      <c r="CM148" s="266">
        <f t="shared" si="81"/>
        <v>1.4037192561487704</v>
      </c>
      <c r="CN148" s="266">
        <f t="shared" si="81"/>
        <v>1.4037192561487704</v>
      </c>
      <c r="CO148" s="266">
        <f t="shared" si="81"/>
        <v>1.382763142210037</v>
      </c>
      <c r="CP148" s="266">
        <f t="shared" si="81"/>
        <v>1.4028776978417266</v>
      </c>
      <c r="CQ148" s="266">
        <f t="shared" si="81"/>
        <v>1.4011976047904191</v>
      </c>
      <c r="CR148" s="266">
        <f t="shared" si="81"/>
        <v>1.40203714799281</v>
      </c>
      <c r="CS148" s="266">
        <f t="shared" si="81"/>
        <v>1.4256619144602851</v>
      </c>
      <c r="CT148" s="216">
        <f t="shared" si="81"/>
        <v>1.4242968282465589</v>
      </c>
      <c r="CU148" s="216">
        <f t="shared" si="81"/>
        <v>1.4217443249701314</v>
      </c>
      <c r="CV148" s="216">
        <f t="shared" ref="CV148:DR148" si="83">CV147/CV1</f>
        <v>1.4212349217723634</v>
      </c>
      <c r="CW148" s="216">
        <f t="shared" si="83"/>
        <v>1.4175104228707565</v>
      </c>
      <c r="CX148" s="216">
        <f t="shared" si="83"/>
        <v>1.4173415912339211</v>
      </c>
      <c r="CY148" s="216">
        <f t="shared" si="83"/>
        <v>1.4183551847437426</v>
      </c>
      <c r="CZ148" s="216">
        <f t="shared" si="83"/>
        <v>1.4185242579568482</v>
      </c>
      <c r="DA148" s="216">
        <f t="shared" si="83"/>
        <v>1.4768937589328253</v>
      </c>
      <c r="DB148" s="216">
        <f t="shared" si="83"/>
        <v>1.5840876607908529</v>
      </c>
      <c r="DC148" s="216">
        <f t="shared" si="83"/>
        <v>1.5912897822445562</v>
      </c>
      <c r="DD148" s="216">
        <f t="shared" si="83"/>
        <v>1.5897681090126703</v>
      </c>
      <c r="DE148" s="216">
        <f t="shared" si="83"/>
        <v>1.6910801476717876</v>
      </c>
      <c r="DF148" s="216">
        <f t="shared" si="83"/>
        <v>1.6236469608659452</v>
      </c>
      <c r="DG148" s="216">
        <f t="shared" si="83"/>
        <v>1.6414892351611754</v>
      </c>
      <c r="DH148" s="216">
        <f t="shared" si="83"/>
        <v>1.6175071360608944</v>
      </c>
      <c r="DI148" s="216">
        <f t="shared" si="83"/>
        <v>1.6226818830242511</v>
      </c>
      <c r="DJ148" s="216">
        <f t="shared" si="83"/>
        <v>1.6172985781990521</v>
      </c>
      <c r="DK148" s="216">
        <f t="shared" si="83"/>
        <v>1.6257268304260117</v>
      </c>
      <c r="DL148" s="216">
        <f t="shared" si="83"/>
        <v>1.6188112962306511</v>
      </c>
      <c r="DM148" s="216">
        <f t="shared" si="83"/>
        <v>1.6294721927027984</v>
      </c>
      <c r="DN148" s="216">
        <f t="shared" si="83"/>
        <v>1.6032064128256514</v>
      </c>
      <c r="DO148" s="216">
        <f t="shared" si="83"/>
        <v>1.5897315120113047</v>
      </c>
      <c r="DP148" s="216">
        <f t="shared" si="83"/>
        <v>1.5496595444940127</v>
      </c>
      <c r="DQ148" s="216" t="e">
        <f t="shared" si="83"/>
        <v>#DIV/0!</v>
      </c>
      <c r="DR148" s="216" t="e">
        <f t="shared" si="83"/>
        <v>#DIV/0!</v>
      </c>
    </row>
    <row r="149" spans="1:124">
      <c r="A149" s="178" t="str">
        <f t="shared" si="77"/>
        <v>Erucic AcidUSD</v>
      </c>
      <c r="B149" s="178"/>
      <c r="C149" s="178" t="s">
        <v>370</v>
      </c>
      <c r="D149" s="178" t="s">
        <v>33</v>
      </c>
      <c r="E149" s="178" t="s">
        <v>34</v>
      </c>
      <c r="F149" s="178">
        <v>2.5350975024481306</v>
      </c>
      <c r="G149" s="178">
        <v>2.8227141146842358</v>
      </c>
      <c r="H149" s="178">
        <v>2.6761814105848059</v>
      </c>
      <c r="I149" s="178">
        <v>2.7553959262103636</v>
      </c>
      <c r="J149" s="178">
        <v>2.4009201127648643</v>
      </c>
      <c r="K149" s="178">
        <v>2.4336047086501837</v>
      </c>
      <c r="L149" s="178">
        <v>2.4667757043242804</v>
      </c>
      <c r="M149" s="178">
        <v>2.8336346906484282</v>
      </c>
      <c r="N149" s="178">
        <v>2.8634691479275158</v>
      </c>
      <c r="O149" s="178">
        <v>3.1101174578360524</v>
      </c>
      <c r="P149" s="178">
        <v>3.5792039206399435</v>
      </c>
      <c r="Q149" s="178">
        <v>3.6433467574629828</v>
      </c>
      <c r="R149" s="178">
        <v>3.6900504602378499</v>
      </c>
      <c r="S149" s="178">
        <v>3.8745525391671376</v>
      </c>
      <c r="T149" s="178">
        <v>3.4639463114288245</v>
      </c>
      <c r="U149" s="178">
        <v>3.4735514612396523</v>
      </c>
      <c r="V149" s="178">
        <v>3.6780782313324716</v>
      </c>
      <c r="W149" s="178">
        <v>3.9793871696050624</v>
      </c>
      <c r="X149" s="178">
        <v>4.4180663845290731</v>
      </c>
      <c r="Y149" s="178">
        <v>4.6782793489047521</v>
      </c>
      <c r="Z149" s="178">
        <v>4.9760383553252696</v>
      </c>
      <c r="AA149" s="178">
        <v>5.0371604371346459</v>
      </c>
      <c r="AB149" s="178">
        <v>5.5664242687541376</v>
      </c>
      <c r="AC149" s="178">
        <v>5.4905232843900293</v>
      </c>
      <c r="AD149" s="178">
        <v>5.4763707686925498</v>
      </c>
      <c r="AE149" s="178">
        <v>5.464697059745423</v>
      </c>
      <c r="AF149" s="178">
        <v>5.2822568862374562</v>
      </c>
      <c r="AG149" s="178">
        <v>5.0581813563149165</v>
      </c>
      <c r="AH149" s="178">
        <v>4.8505575904745397</v>
      </c>
      <c r="AI149" s="178">
        <v>5.0810073683528163</v>
      </c>
      <c r="AJ149" s="178">
        <v>5.4033111327996002</v>
      </c>
      <c r="AK149" s="178">
        <v>5.3841862548262567</v>
      </c>
      <c r="AL149" s="178">
        <v>5.5499082106563371</v>
      </c>
      <c r="AM149" s="178">
        <v>5.932308096511874</v>
      </c>
      <c r="AN149" s="178">
        <v>5.7064187951453054</v>
      </c>
      <c r="AO149" s="178">
        <v>5.4700633671314636</v>
      </c>
      <c r="AP149" s="178">
        <v>5.2833544315946055</v>
      </c>
      <c r="AQ149" s="178">
        <v>4.9632305166374771</v>
      </c>
      <c r="AR149" s="178">
        <v>4.5390806147531215</v>
      </c>
      <c r="AS149" s="178">
        <v>4.3831085775862073</v>
      </c>
      <c r="AT149" s="178">
        <v>3.7288068035943511</v>
      </c>
      <c r="AU149" s="178">
        <v>3.8031969648391586</v>
      </c>
      <c r="AV149" s="355">
        <v>3.6263272739446286</v>
      </c>
      <c r="AW149" s="355">
        <v>3.6263272739446286</v>
      </c>
      <c r="AX149" s="355">
        <v>3.6263272739446286</v>
      </c>
      <c r="AY149" s="355">
        <v>3.6263272739446286</v>
      </c>
      <c r="AZ149" s="355">
        <v>3.8016930204812089</v>
      </c>
      <c r="BA149" s="355">
        <v>3.8016930204812089</v>
      </c>
      <c r="BB149" s="355">
        <v>3.8016930204812089</v>
      </c>
      <c r="BC149" s="355">
        <v>3.8016930204812089</v>
      </c>
      <c r="BD149" s="355">
        <v>3.3545652626944524</v>
      </c>
      <c r="BE149" s="355">
        <v>3.3545652626944524</v>
      </c>
      <c r="BF149" s="355">
        <v>3.3545652626944524</v>
      </c>
      <c r="BG149" s="355">
        <v>3.3545652626944524</v>
      </c>
      <c r="BH149" s="355">
        <v>3.0863710543989256</v>
      </c>
      <c r="BI149" s="355">
        <v>3.0863710543989256</v>
      </c>
      <c r="BJ149" s="355">
        <v>3.0863710543989256</v>
      </c>
      <c r="BK149" s="355">
        <v>3.0863710543989256</v>
      </c>
      <c r="BL149" s="355">
        <v>2.921935648148148</v>
      </c>
      <c r="BM149" s="355">
        <v>2.921935648148148</v>
      </c>
      <c r="BN149" s="355">
        <v>2.921935648148148</v>
      </c>
      <c r="BO149" s="355">
        <v>2.921935648148148</v>
      </c>
      <c r="BP149" s="355">
        <v>2.9032326304005114</v>
      </c>
      <c r="BQ149" s="355">
        <v>2.9032326304005114</v>
      </c>
      <c r="BR149" s="355">
        <v>2.9032326304005114</v>
      </c>
      <c r="BS149" s="355">
        <v>2.9032326304005114</v>
      </c>
      <c r="BT149" s="355">
        <v>2.9285955961636683</v>
      </c>
      <c r="BU149" s="355">
        <v>2.9285955961636683</v>
      </c>
      <c r="BV149" s="355">
        <v>2.9285955961636683</v>
      </c>
      <c r="BW149" s="355">
        <v>2.9285955961636683</v>
      </c>
      <c r="BX149" s="355">
        <v>3.016630922745434</v>
      </c>
      <c r="BY149" s="355">
        <v>3.016630922745434</v>
      </c>
      <c r="BZ149" s="355">
        <v>3.016630922745434</v>
      </c>
      <c r="CA149" s="355">
        <v>3.016630922745434</v>
      </c>
      <c r="CB149" s="355">
        <v>2.8267796571887467</v>
      </c>
      <c r="CC149" s="355">
        <v>2.8267796571887467</v>
      </c>
      <c r="CD149" s="355">
        <v>2.8267796571887467</v>
      </c>
      <c r="CE149" s="355">
        <v>2.8267796571887467</v>
      </c>
      <c r="CF149" s="355">
        <v>2.7891115757042257</v>
      </c>
      <c r="CG149" s="355">
        <v>2.7891115757042257</v>
      </c>
      <c r="CH149" s="355">
        <v>2.7891115757042257</v>
      </c>
      <c r="CI149" s="355">
        <v>2.7891115757042257</v>
      </c>
      <c r="CJ149" s="355">
        <v>2.8575528666179957</v>
      </c>
      <c r="CK149" s="355">
        <v>2.8575528666179957</v>
      </c>
      <c r="CL149" s="355">
        <v>2.8575528666179957</v>
      </c>
      <c r="CM149" s="355">
        <v>2.8575528666179957</v>
      </c>
      <c r="CN149" s="355">
        <v>2.8575528666179957</v>
      </c>
      <c r="CO149" s="355">
        <v>2.8575528666179957</v>
      </c>
      <c r="CP149" s="355">
        <v>2.8575528666179957</v>
      </c>
      <c r="CQ149" s="355">
        <v>2.8575528666179957</v>
      </c>
      <c r="CR149" s="266">
        <v>2.8575528666179957</v>
      </c>
      <c r="CS149" s="266">
        <v>2.8575528666179957</v>
      </c>
      <c r="CT149" s="216">
        <v>2.8575528666179957</v>
      </c>
      <c r="CU149" s="214">
        <v>2.89</v>
      </c>
      <c r="CV149" s="214">
        <v>2.89</v>
      </c>
      <c r="CW149" s="214">
        <v>2.89</v>
      </c>
      <c r="CX149" s="214">
        <v>2.89</v>
      </c>
      <c r="CY149" s="214">
        <v>2.89</v>
      </c>
      <c r="CZ149" s="214">
        <v>2.89</v>
      </c>
      <c r="DA149" s="214">
        <v>2.89</v>
      </c>
      <c r="DB149" s="214">
        <v>2.89</v>
      </c>
      <c r="DC149" s="214">
        <v>2.89</v>
      </c>
      <c r="DD149" s="214">
        <v>2.89</v>
      </c>
      <c r="DE149" s="214">
        <v>2.89</v>
      </c>
      <c r="DI149" s="214"/>
      <c r="DJ149" s="214"/>
      <c r="DK149" s="214"/>
      <c r="DL149" s="214"/>
      <c r="DM149" s="214"/>
      <c r="DN149" s="214"/>
      <c r="DO149" s="214"/>
      <c r="DP149" s="214"/>
      <c r="DQ149" s="178"/>
      <c r="DR149" s="178"/>
    </row>
    <row r="150" spans="1:124">
      <c r="A150" s="178" t="str">
        <f t="shared" si="77"/>
        <v>Erucic AcidINR</v>
      </c>
      <c r="B150" s="178"/>
      <c r="C150" s="178" t="s">
        <v>370</v>
      </c>
      <c r="D150" s="178" t="s">
        <v>43</v>
      </c>
      <c r="E150" s="178" t="s">
        <v>34</v>
      </c>
      <c r="F150" s="178">
        <f>F149*F1</f>
        <v>180.72364176809646</v>
      </c>
      <c r="G150" s="178">
        <f t="shared" ref="G150:Q150" si="84">G149*G1</f>
        <v>201.96931217486579</v>
      </c>
      <c r="H150" s="178">
        <f t="shared" si="84"/>
        <v>199.24975182795717</v>
      </c>
      <c r="I150" s="178">
        <f t="shared" si="84"/>
        <v>210.10340311494068</v>
      </c>
      <c r="J150" s="178">
        <f t="shared" si="84"/>
        <v>181.572580805532</v>
      </c>
      <c r="K150" s="178">
        <f t="shared" si="84"/>
        <v>184.33553022885181</v>
      </c>
      <c r="L150" s="178">
        <f t="shared" si="84"/>
        <v>184.82129171402497</v>
      </c>
      <c r="M150" s="178">
        <f t="shared" si="84"/>
        <v>211.35200902641111</v>
      </c>
      <c r="N150" s="178">
        <f t="shared" si="84"/>
        <v>210.56193943802128</v>
      </c>
      <c r="O150" s="178">
        <f t="shared" si="84"/>
        <v>228.64700677958115</v>
      </c>
      <c r="P150" s="178">
        <f t="shared" si="84"/>
        <v>265.6921693470486</v>
      </c>
      <c r="Q150" s="178">
        <f t="shared" si="84"/>
        <v>268.63038433238205</v>
      </c>
      <c r="R150" s="178">
        <f t="shared" ref="R150:AK150" si="85">R149*R1</f>
        <v>269.85339015719393</v>
      </c>
      <c r="S150" s="178">
        <f t="shared" si="85"/>
        <v>282.0674248513676</v>
      </c>
      <c r="T150" s="178">
        <f t="shared" si="85"/>
        <v>252.17529147201842</v>
      </c>
      <c r="U150" s="178">
        <f t="shared" si="85"/>
        <v>258.60590628929214</v>
      </c>
      <c r="V150" s="178">
        <f t="shared" si="85"/>
        <v>269.41923044510355</v>
      </c>
      <c r="W150" s="178">
        <f t="shared" si="85"/>
        <v>292.64413245275631</v>
      </c>
      <c r="X150" s="178">
        <f t="shared" si="85"/>
        <v>329.27848763895184</v>
      </c>
      <c r="Y150" s="178">
        <f t="shared" si="85"/>
        <v>346.94119651477638</v>
      </c>
      <c r="Z150" s="178">
        <f t="shared" si="85"/>
        <v>365.98762103417357</v>
      </c>
      <c r="AA150" s="178">
        <f t="shared" si="85"/>
        <v>377.33368834575629</v>
      </c>
      <c r="AB150" s="178">
        <f t="shared" si="85"/>
        <v>414.53161529412063</v>
      </c>
      <c r="AC150" s="178">
        <f t="shared" si="85"/>
        <v>414.09526610869602</v>
      </c>
      <c r="AD150" s="178">
        <f t="shared" si="85"/>
        <v>407.71580372916037</v>
      </c>
      <c r="AE150" s="178">
        <f t="shared" si="85"/>
        <v>409.63369159851686</v>
      </c>
      <c r="AF150" s="178">
        <f t="shared" si="85"/>
        <v>402.56079730015648</v>
      </c>
      <c r="AG150" s="178">
        <f t="shared" si="85"/>
        <v>386.4982929812349</v>
      </c>
      <c r="AH150" s="178">
        <f t="shared" si="85"/>
        <v>375.04159624123827</v>
      </c>
      <c r="AI150" s="178">
        <f t="shared" si="85"/>
        <v>396.69750240375851</v>
      </c>
      <c r="AJ150" s="178">
        <f t="shared" si="85"/>
        <v>430.11195416813047</v>
      </c>
      <c r="AK150" s="178">
        <f t="shared" si="85"/>
        <v>428.2955050669139</v>
      </c>
      <c r="AL150" s="178">
        <f t="shared" ref="AL150:AV150" si="86">AL149*AL1</f>
        <v>445.27776332554004</v>
      </c>
      <c r="AM150" s="178">
        <f t="shared" si="86"/>
        <v>488.46694076939912</v>
      </c>
      <c r="AN150" s="178">
        <f t="shared" si="86"/>
        <v>466.84508353392636</v>
      </c>
      <c r="AO150" s="178">
        <f t="shared" si="86"/>
        <v>451.08447411157556</v>
      </c>
      <c r="AP150" s="178">
        <f t="shared" si="86"/>
        <v>432.70456428816425</v>
      </c>
      <c r="AQ150" s="178">
        <f t="shared" si="86"/>
        <v>407.58867935662209</v>
      </c>
      <c r="AR150" s="178">
        <f t="shared" si="86"/>
        <v>372.7567895665407</v>
      </c>
      <c r="AS150" s="178">
        <f t="shared" si="86"/>
        <v>359.9481085205324</v>
      </c>
      <c r="AT150" s="178">
        <f t="shared" si="86"/>
        <v>306.21576724239407</v>
      </c>
      <c r="AU150" s="178">
        <f t="shared" si="86"/>
        <v>313.76374959923061</v>
      </c>
      <c r="AV150" s="178">
        <f t="shared" si="86"/>
        <v>298.95442046399518</v>
      </c>
      <c r="AW150" s="178">
        <f t="shared" ref="AW150:CR150" si="87">AW149*AW1</f>
        <v>298.01157537276958</v>
      </c>
      <c r="AX150" s="178">
        <f t="shared" si="87"/>
        <v>297.06873028154399</v>
      </c>
      <c r="AY150" s="178">
        <f t="shared" si="87"/>
        <v>298.30168155468516</v>
      </c>
      <c r="AZ150" s="178">
        <f t="shared" si="87"/>
        <v>314.89423288645855</v>
      </c>
      <c r="BA150" s="178">
        <f t="shared" si="87"/>
        <v>316.49094395506063</v>
      </c>
      <c r="BB150" s="178">
        <f t="shared" si="87"/>
        <v>316.49094395506063</v>
      </c>
      <c r="BC150" s="178">
        <f t="shared" si="87"/>
        <v>314.20992814277196</v>
      </c>
      <c r="BD150" s="178">
        <f t="shared" si="87"/>
        <v>278.59664506677427</v>
      </c>
      <c r="BE150" s="178">
        <f t="shared" si="87"/>
        <v>278.22764288787789</v>
      </c>
      <c r="BF150" s="178">
        <f t="shared" si="87"/>
        <v>278.19409723525098</v>
      </c>
      <c r="BG150" s="178">
        <f t="shared" si="87"/>
        <v>279.30110377194012</v>
      </c>
      <c r="BH150" s="178">
        <f t="shared" si="87"/>
        <v>256.8477991470786</v>
      </c>
      <c r="BI150" s="178">
        <f t="shared" si="87"/>
        <v>256.94039027871054</v>
      </c>
      <c r="BJ150" s="178">
        <f t="shared" si="87"/>
        <v>256.53916204163869</v>
      </c>
      <c r="BK150" s="178">
        <f t="shared" si="87"/>
        <v>256.97125398925454</v>
      </c>
      <c r="BL150" s="178">
        <f t="shared" si="87"/>
        <v>243.16348463888886</v>
      </c>
      <c r="BM150" s="178">
        <f t="shared" si="87"/>
        <v>243.07582656944442</v>
      </c>
      <c r="BN150" s="178">
        <f t="shared" si="87"/>
        <v>243.07582656944442</v>
      </c>
      <c r="BO150" s="178">
        <f t="shared" si="87"/>
        <v>243.48489756018517</v>
      </c>
      <c r="BP150" s="178">
        <f t="shared" si="87"/>
        <v>242.12960137540267</v>
      </c>
      <c r="BQ150" s="178">
        <f t="shared" si="87"/>
        <v>242.01347207018662</v>
      </c>
      <c r="BR150" s="178">
        <f t="shared" si="87"/>
        <v>241.66508415453856</v>
      </c>
      <c r="BS150" s="178">
        <f t="shared" si="87"/>
        <v>241.8973427649706</v>
      </c>
      <c r="BT150" s="178">
        <f t="shared" si="87"/>
        <v>243.48343786504739</v>
      </c>
      <c r="BU150" s="178">
        <f t="shared" si="87"/>
        <v>243.51272382100905</v>
      </c>
      <c r="BV150" s="178">
        <f t="shared" si="87"/>
        <v>243.80558338062539</v>
      </c>
      <c r="BW150" s="178">
        <f t="shared" si="87"/>
        <v>243.2491502173543</v>
      </c>
      <c r="BX150" s="178">
        <f t="shared" si="87"/>
        <v>250.38036658787101</v>
      </c>
      <c r="BY150" s="178">
        <f t="shared" si="87"/>
        <v>250.41053289709848</v>
      </c>
      <c r="BZ150" s="178">
        <f t="shared" si="87"/>
        <v>250.0787034955965</v>
      </c>
      <c r="CA150" s="178">
        <f t="shared" si="87"/>
        <v>250.0787034955965</v>
      </c>
      <c r="CB150" s="178">
        <f t="shared" si="87"/>
        <v>233.77467764950936</v>
      </c>
      <c r="CC150" s="178">
        <f t="shared" si="87"/>
        <v>233.94428442894068</v>
      </c>
      <c r="CD150" s="178">
        <f t="shared" si="87"/>
        <v>235.35767425753505</v>
      </c>
      <c r="CE150" s="178">
        <f t="shared" si="87"/>
        <v>235.72515561296959</v>
      </c>
      <c r="CF150" s="178">
        <f t="shared" si="87"/>
        <v>232.08197421434861</v>
      </c>
      <c r="CG150" s="178">
        <f t="shared" si="87"/>
        <v>232.61190541373244</v>
      </c>
      <c r="CH150" s="178">
        <f t="shared" si="87"/>
        <v>233.19761884463031</v>
      </c>
      <c r="CI150" s="178">
        <f t="shared" si="87"/>
        <v>232.6676876452465</v>
      </c>
      <c r="CJ150" s="178">
        <f t="shared" si="87"/>
        <v>238.60566436260265</v>
      </c>
      <c r="CK150" s="178">
        <f t="shared" si="87"/>
        <v>238.17703143260994</v>
      </c>
      <c r="CL150" s="178">
        <f t="shared" si="87"/>
        <v>238.17703143260994</v>
      </c>
      <c r="CM150" s="178">
        <f t="shared" si="87"/>
        <v>238.17703143260994</v>
      </c>
      <c r="CN150" s="178">
        <f t="shared" si="87"/>
        <v>238.17703143260994</v>
      </c>
      <c r="CO150" s="178">
        <f t="shared" si="87"/>
        <v>239.72010998058366</v>
      </c>
      <c r="CP150" s="178">
        <f t="shared" si="87"/>
        <v>238.31990907594084</v>
      </c>
      <c r="CQ150" s="178">
        <f t="shared" si="87"/>
        <v>238.60566436260265</v>
      </c>
      <c r="CR150" s="266">
        <f t="shared" si="87"/>
        <v>238.46278671927175</v>
      </c>
      <c r="CS150" s="266">
        <f t="shared" ref="CS150:DQ150" si="88">CS149*CS1</f>
        <v>238.51993777660411</v>
      </c>
      <c r="CT150" s="216">
        <f t="shared" si="88"/>
        <v>238.74854200593353</v>
      </c>
      <c r="CU150" s="216">
        <f t="shared" si="88"/>
        <v>241.89300000000003</v>
      </c>
      <c r="CV150" s="216">
        <f t="shared" si="88"/>
        <v>241.97970000000001</v>
      </c>
      <c r="CW150" s="216">
        <f t="shared" si="88"/>
        <v>242.61550000000003</v>
      </c>
      <c r="CX150" s="216">
        <f t="shared" si="88"/>
        <v>242.64439999999999</v>
      </c>
      <c r="CY150" s="216">
        <f t="shared" si="88"/>
        <v>242.47100000000003</v>
      </c>
      <c r="CZ150" s="216">
        <f t="shared" si="88"/>
        <v>242.44210000000001</v>
      </c>
      <c r="DA150" s="216">
        <f t="shared" si="88"/>
        <v>242.64439999999999</v>
      </c>
      <c r="DB150" s="216">
        <f t="shared" si="88"/>
        <v>242.64439999999999</v>
      </c>
      <c r="DC150" s="216">
        <f t="shared" si="88"/>
        <v>241.5462</v>
      </c>
      <c r="DD150" s="216">
        <f t="shared" si="88"/>
        <v>241.7774</v>
      </c>
      <c r="DE150" s="216">
        <f t="shared" si="88"/>
        <v>242.67330000000001</v>
      </c>
      <c r="DF150" s="216">
        <f t="shared" si="88"/>
        <v>0</v>
      </c>
      <c r="DG150" s="216">
        <f t="shared" si="88"/>
        <v>0</v>
      </c>
      <c r="DH150" s="216">
        <f t="shared" si="88"/>
        <v>0</v>
      </c>
      <c r="DI150" s="216">
        <f t="shared" si="88"/>
        <v>0</v>
      </c>
      <c r="DJ150" s="216">
        <f t="shared" si="88"/>
        <v>0</v>
      </c>
      <c r="DK150" s="216">
        <f t="shared" si="88"/>
        <v>0</v>
      </c>
      <c r="DL150" s="216">
        <f t="shared" si="88"/>
        <v>0</v>
      </c>
      <c r="DM150" s="216">
        <f t="shared" si="88"/>
        <v>0</v>
      </c>
      <c r="DN150" s="216">
        <f t="shared" si="88"/>
        <v>0</v>
      </c>
      <c r="DO150" s="216">
        <f t="shared" si="88"/>
        <v>0</v>
      </c>
      <c r="DP150" s="216">
        <f t="shared" si="88"/>
        <v>0</v>
      </c>
      <c r="DQ150" s="216">
        <f t="shared" si="88"/>
        <v>0</v>
      </c>
      <c r="DR150" s="178"/>
    </row>
    <row r="151" spans="1:124">
      <c r="A151" s="178" t="str">
        <f t="shared" si="77"/>
        <v>Glycerine RefinedINR</v>
      </c>
      <c r="B151" s="178" t="s">
        <v>46</v>
      </c>
      <c r="C151" s="178" t="s">
        <v>108</v>
      </c>
      <c r="D151" s="178" t="s">
        <v>43</v>
      </c>
      <c r="E151" s="178" t="s">
        <v>34</v>
      </c>
      <c r="F151" s="215">
        <f>(F70/1000)*F1</f>
        <v>36.713647274193548</v>
      </c>
      <c r="G151" s="215">
        <f t="shared" ref="G151:BR151" si="89">(G70/1000)*G1</f>
        <v>38.101151715517247</v>
      </c>
      <c r="H151" s="215">
        <f t="shared" si="89"/>
        <v>40.859809940645178</v>
      </c>
      <c r="I151" s="215">
        <f t="shared" si="89"/>
        <v>66.720167500000002</v>
      </c>
      <c r="J151" s="215">
        <f t="shared" si="89"/>
        <v>75.724562509999984</v>
      </c>
      <c r="K151" s="215">
        <f t="shared" si="89"/>
        <v>62.39945594400001</v>
      </c>
      <c r="L151" s="215">
        <f t="shared" si="89"/>
        <v>45.479012896774179</v>
      </c>
      <c r="M151" s="215">
        <f t="shared" si="89"/>
        <v>45.498005064516128</v>
      </c>
      <c r="N151" s="215">
        <f t="shared" si="89"/>
        <v>47.245505050000006</v>
      </c>
      <c r="O151" s="215">
        <f t="shared" si="89"/>
        <v>49.035946580645174</v>
      </c>
      <c r="P151" s="215">
        <f t="shared" si="89"/>
        <v>52.519279141666651</v>
      </c>
      <c r="Q151" s="215">
        <f t="shared" si="89"/>
        <v>54.00851733928571</v>
      </c>
      <c r="R151" s="215">
        <f t="shared" si="89"/>
        <v>54.394093999999988</v>
      </c>
      <c r="S151" s="215">
        <f t="shared" si="89"/>
        <v>55.036799999999999</v>
      </c>
      <c r="T151" s="215">
        <f t="shared" si="89"/>
        <v>62.171199999999999</v>
      </c>
      <c r="U151" s="215">
        <f t="shared" si="89"/>
        <v>77.428000000000011</v>
      </c>
      <c r="V151" s="215">
        <f t="shared" si="89"/>
        <v>82.04</v>
      </c>
      <c r="W151" s="215">
        <f t="shared" si="89"/>
        <v>81.629400000000018</v>
      </c>
      <c r="X151" s="215">
        <f t="shared" si="89"/>
        <v>79.29992</v>
      </c>
      <c r="Y151" s="215">
        <f t="shared" si="89"/>
        <v>88.176240000000007</v>
      </c>
      <c r="Z151" s="215">
        <f t="shared" si="89"/>
        <v>101.64609999999999</v>
      </c>
      <c r="AA151" s="215">
        <f t="shared" si="89"/>
        <v>130.06623299999998</v>
      </c>
      <c r="AB151" s="215">
        <f t="shared" si="89"/>
        <v>145.12713599999998</v>
      </c>
      <c r="AC151" s="215">
        <f t="shared" si="89"/>
        <v>136.038825</v>
      </c>
      <c r="AD151" s="215">
        <f t="shared" si="89"/>
        <v>121.45028500000001</v>
      </c>
      <c r="AE151" s="215">
        <f t="shared" si="89"/>
        <v>129.30599999999998</v>
      </c>
      <c r="AF151" s="215">
        <f t="shared" si="89"/>
        <v>149.44781</v>
      </c>
      <c r="AG151" s="215">
        <f t="shared" si="89"/>
        <v>138.49407656250003</v>
      </c>
      <c r="AH151" s="215">
        <f t="shared" si="89"/>
        <v>151.93237537499999</v>
      </c>
      <c r="AI151" s="215">
        <f t="shared" si="89"/>
        <v>135.06901868181814</v>
      </c>
      <c r="AJ151" s="215">
        <f t="shared" si="89"/>
        <v>85.770672690476175</v>
      </c>
      <c r="AK151" s="215">
        <f t="shared" si="89"/>
        <v>72.292253013333323</v>
      </c>
      <c r="AL151" s="215">
        <f t="shared" ref="AL151:AV151" si="90">(AL70/1000)*AL1</f>
        <v>74.374651063636378</v>
      </c>
      <c r="AM151" s="215">
        <f t="shared" si="90"/>
        <v>62.166788083333351</v>
      </c>
      <c r="AN151" s="215">
        <f t="shared" si="90"/>
        <v>51.131574404761906</v>
      </c>
      <c r="AO151" s="215">
        <f t="shared" si="90"/>
        <v>53.601738863636356</v>
      </c>
      <c r="AP151" s="215">
        <f t="shared" si="90"/>
        <v>57.329713333333324</v>
      </c>
      <c r="AQ151" s="215">
        <f t="shared" si="90"/>
        <v>58.306371499999997</v>
      </c>
      <c r="AR151" s="215">
        <f t="shared" si="90"/>
        <v>52.557856000000001</v>
      </c>
      <c r="AS151" s="215">
        <f t="shared" si="90"/>
        <v>53.379072500000007</v>
      </c>
      <c r="AT151" s="215">
        <f t="shared" si="90"/>
        <v>54.200289000000005</v>
      </c>
      <c r="AU151" s="215">
        <f t="shared" si="90"/>
        <v>51.975000000000001</v>
      </c>
      <c r="AV151" s="215">
        <f t="shared" si="90"/>
        <v>48.639599999999994</v>
      </c>
      <c r="AW151" s="215">
        <f t="shared" si="89"/>
        <v>49.308</v>
      </c>
      <c r="AX151" s="215">
        <f t="shared" si="89"/>
        <v>50.380800000000001</v>
      </c>
      <c r="AY151" s="215">
        <f t="shared" si="89"/>
        <v>52.646400000000007</v>
      </c>
      <c r="AZ151" s="215">
        <f t="shared" si="89"/>
        <v>53.425350000000002</v>
      </c>
      <c r="BA151" s="215">
        <f t="shared" si="89"/>
        <v>53.696249999999999</v>
      </c>
      <c r="BB151" s="215">
        <f t="shared" si="89"/>
        <v>53.28</v>
      </c>
      <c r="BC151" s="215">
        <f t="shared" si="89"/>
        <v>51.65625</v>
      </c>
      <c r="BD151" s="215">
        <f t="shared" si="89"/>
        <v>53.152000000000001</v>
      </c>
      <c r="BE151" s="215">
        <f t="shared" si="89"/>
        <v>51.422799999999995</v>
      </c>
      <c r="BF151" s="215">
        <f t="shared" si="89"/>
        <v>51.001950000000001</v>
      </c>
      <c r="BG151" s="215">
        <f t="shared" si="89"/>
        <v>51.204900000000002</v>
      </c>
      <c r="BH151" s="215">
        <f t="shared" si="89"/>
        <v>51.180299999999995</v>
      </c>
      <c r="BI151" s="215">
        <f t="shared" si="89"/>
        <v>50.366250000000001</v>
      </c>
      <c r="BJ151" s="215">
        <f t="shared" si="89"/>
        <v>50.287600000000005</v>
      </c>
      <c r="BK151" s="215">
        <f t="shared" si="89"/>
        <v>49.123400000000004</v>
      </c>
      <c r="BL151" s="215">
        <f t="shared" si="89"/>
        <v>48.267599999999995</v>
      </c>
      <c r="BM151" s="215">
        <f t="shared" si="89"/>
        <v>47.418299999999995</v>
      </c>
      <c r="BN151" s="215">
        <f t="shared" si="89"/>
        <v>47.418299999999995</v>
      </c>
      <c r="BO151" s="215">
        <f t="shared" si="89"/>
        <v>47.498099999999994</v>
      </c>
      <c r="BP151" s="215">
        <f t="shared" si="89"/>
        <v>47.537999999999997</v>
      </c>
      <c r="BQ151" s="215">
        <f t="shared" si="89"/>
        <v>47.515199999999993</v>
      </c>
      <c r="BR151" s="215">
        <f t="shared" si="89"/>
        <v>45.3658</v>
      </c>
      <c r="BS151" s="215">
        <f t="shared" ref="BS151:DQ151" si="91">(BS70/1000)*BS1</f>
        <v>45.409399999999998</v>
      </c>
      <c r="BT151" s="215">
        <f t="shared" si="91"/>
        <v>45.311300000000003</v>
      </c>
      <c r="BU151" s="215">
        <f t="shared" si="91"/>
        <v>45.316750000000006</v>
      </c>
      <c r="BV151" s="215">
        <f t="shared" si="91"/>
        <v>45.371250000000003</v>
      </c>
      <c r="BW151" s="215">
        <f t="shared" si="91"/>
        <v>47.759499999999996</v>
      </c>
      <c r="BX151" s="215">
        <f t="shared" si="91"/>
        <v>47.724999999999994</v>
      </c>
      <c r="BY151" s="215">
        <f t="shared" si="91"/>
        <v>47.73075</v>
      </c>
      <c r="BZ151" s="215">
        <f t="shared" si="91"/>
        <v>47.667499999999997</v>
      </c>
      <c r="CA151" s="215">
        <f t="shared" si="91"/>
        <v>48.496499999999997</v>
      </c>
      <c r="CB151" s="215">
        <f t="shared" si="91"/>
        <v>48.3795</v>
      </c>
      <c r="CC151" s="215">
        <f t="shared" si="91"/>
        <v>48.4146</v>
      </c>
      <c r="CD151" s="215">
        <f t="shared" si="91"/>
        <v>50.372300000000003</v>
      </c>
      <c r="CE151" s="215">
        <f t="shared" si="91"/>
        <v>52.118749999999999</v>
      </c>
      <c r="CF151" s="215">
        <f t="shared" si="91"/>
        <v>51.590199999999996</v>
      </c>
      <c r="CG151" s="215">
        <f t="shared" si="91"/>
        <v>51.499500000000005</v>
      </c>
      <c r="CH151" s="215">
        <f t="shared" si="91"/>
        <v>51.629175000000004</v>
      </c>
      <c r="CI151" s="215">
        <f t="shared" si="91"/>
        <v>50.469099999999997</v>
      </c>
      <c r="CJ151" s="215">
        <f t="shared" si="91"/>
        <v>50.517499999999998</v>
      </c>
      <c r="CK151" s="215">
        <f t="shared" si="91"/>
        <v>49.593249999999998</v>
      </c>
      <c r="CL151" s="215">
        <f t="shared" si="91"/>
        <v>49.593249999999998</v>
      </c>
      <c r="CM151" s="215">
        <f t="shared" si="91"/>
        <v>49.593249999999998</v>
      </c>
      <c r="CN151" s="215">
        <f t="shared" si="91"/>
        <v>49.593249999999998</v>
      </c>
      <c r="CO151" s="215">
        <f t="shared" si="91"/>
        <v>49.075649999999996</v>
      </c>
      <c r="CP151" s="215">
        <f t="shared" si="91"/>
        <v>50.457000000000001</v>
      </c>
      <c r="CQ151" s="215">
        <f t="shared" si="91"/>
        <v>50.517499999999998</v>
      </c>
      <c r="CR151" s="266">
        <f t="shared" si="91"/>
        <v>53.408000000000001</v>
      </c>
      <c r="CS151" s="266">
        <f t="shared" si="91"/>
        <v>54.255499999999998</v>
      </c>
      <c r="CT151" s="216">
        <f t="shared" si="91"/>
        <v>54.307499999999997</v>
      </c>
      <c r="CU151" s="215">
        <f>(CU70/1000)*CU1</f>
        <v>56.497500000000002</v>
      </c>
      <c r="CV151" s="215">
        <f t="shared" si="91"/>
        <v>56.517750000000007</v>
      </c>
      <c r="CW151" s="215">
        <f t="shared" si="91"/>
        <v>57.505750000000006</v>
      </c>
      <c r="CX151" s="215">
        <f t="shared" si="91"/>
        <v>57.512599999999999</v>
      </c>
      <c r="CY151" s="215">
        <f t="shared" si="91"/>
        <v>56.632500000000007</v>
      </c>
      <c r="CZ151" s="215">
        <f t="shared" si="91"/>
        <v>56.625750000000004</v>
      </c>
      <c r="DA151" s="215">
        <f t="shared" si="91"/>
        <v>56.673000000000002</v>
      </c>
      <c r="DB151" s="215">
        <f t="shared" si="91"/>
        <v>56.673000000000002</v>
      </c>
      <c r="DC151" s="215">
        <f t="shared" si="91"/>
        <v>55.998600000000003</v>
      </c>
      <c r="DD151" s="215">
        <f t="shared" si="91"/>
        <v>56.888800000000003</v>
      </c>
      <c r="DE151" s="215">
        <f t="shared" si="91"/>
        <v>57.939299999999996</v>
      </c>
      <c r="DF151" s="215">
        <f t="shared" si="91"/>
        <v>59.269349999999989</v>
      </c>
      <c r="DG151" s="215">
        <f>(DG70/1000)*DG1</f>
        <v>66.415300000000002</v>
      </c>
      <c r="DH151" s="215">
        <f t="shared" si="91"/>
        <v>66.423200000000008</v>
      </c>
      <c r="DI151" s="215">
        <f t="shared" si="91"/>
        <v>67.296000000000006</v>
      </c>
      <c r="DJ151" s="215">
        <f t="shared" si="91"/>
        <v>66.676000000000002</v>
      </c>
      <c r="DK151" s="215">
        <f t="shared" si="91"/>
        <v>65.730599999999995</v>
      </c>
      <c r="DL151" s="215">
        <f>(DL70/1000)*DL1</f>
        <v>66.011399999999995</v>
      </c>
      <c r="DM151" s="215">
        <f t="shared" si="91"/>
        <v>66.058199999999999</v>
      </c>
      <c r="DN151" s="215">
        <f t="shared" si="91"/>
        <v>66.167400000000001</v>
      </c>
      <c r="DO151" s="215">
        <f t="shared" si="91"/>
        <v>67.511400000000009</v>
      </c>
      <c r="DP151" s="215">
        <f t="shared" si="91"/>
        <v>67.718100000000007</v>
      </c>
      <c r="DQ151" s="215">
        <f t="shared" si="91"/>
        <v>0</v>
      </c>
      <c r="DR151" s="178"/>
    </row>
    <row r="152" spans="1:124">
      <c r="A152" s="178" t="str">
        <f t="shared" si="77"/>
        <v>Lubolic 20INR</v>
      </c>
      <c r="B152" s="178" t="s">
        <v>371</v>
      </c>
      <c r="C152" s="178" t="s">
        <v>372</v>
      </c>
      <c r="D152" s="178" t="s">
        <v>43</v>
      </c>
      <c r="E152" s="178" t="s">
        <v>34</v>
      </c>
      <c r="F152" s="178"/>
      <c r="G152" s="178"/>
      <c r="H152" s="178"/>
      <c r="I152" s="178"/>
      <c r="J152" s="178"/>
      <c r="K152" s="178"/>
      <c r="L152" s="178"/>
      <c r="M152" s="178"/>
      <c r="N152" s="178"/>
      <c r="O152" s="178"/>
      <c r="P152" s="178"/>
      <c r="Q152" s="178"/>
      <c r="R152" s="178"/>
      <c r="S152" s="178"/>
      <c r="T152" s="178"/>
      <c r="U152" s="178"/>
      <c r="V152" s="178"/>
      <c r="W152" s="178"/>
      <c r="X152" s="178"/>
      <c r="Y152" s="178"/>
      <c r="Z152" s="178"/>
      <c r="AA152" s="178"/>
      <c r="AB152" s="178"/>
      <c r="AC152" s="178"/>
      <c r="AD152" s="178"/>
      <c r="AE152" s="178"/>
      <c r="AF152" s="178"/>
      <c r="AG152" s="178"/>
      <c r="AH152" s="178"/>
      <c r="AI152" s="178"/>
      <c r="AJ152" s="178"/>
      <c r="AK152" s="178"/>
      <c r="AL152" s="178"/>
      <c r="AM152" s="178"/>
      <c r="AN152" s="178"/>
      <c r="AO152" s="178"/>
      <c r="AP152" s="178"/>
      <c r="AQ152" s="178"/>
      <c r="AR152" s="178"/>
      <c r="AS152" s="214">
        <v>111</v>
      </c>
      <c r="AT152" s="214">
        <v>111</v>
      </c>
      <c r="AU152" s="214">
        <v>96.5</v>
      </c>
      <c r="AV152" s="214">
        <v>104</v>
      </c>
      <c r="AW152" s="214">
        <v>104</v>
      </c>
      <c r="AX152" s="214">
        <v>104</v>
      </c>
      <c r="AY152" s="214">
        <v>104</v>
      </c>
      <c r="AZ152" s="214">
        <v>104</v>
      </c>
      <c r="BA152" s="214">
        <v>104</v>
      </c>
      <c r="BB152" s="214">
        <v>104</v>
      </c>
      <c r="BC152" s="214">
        <v>104</v>
      </c>
      <c r="BD152" s="214">
        <v>104</v>
      </c>
      <c r="BE152" s="214">
        <v>104</v>
      </c>
      <c r="BF152" s="214">
        <v>104</v>
      </c>
      <c r="BG152" s="214">
        <v>104</v>
      </c>
      <c r="BH152" s="214">
        <v>104</v>
      </c>
      <c r="BI152" s="214">
        <v>104</v>
      </c>
      <c r="BJ152" s="214">
        <v>104</v>
      </c>
      <c r="BK152" s="214">
        <v>104</v>
      </c>
      <c r="BL152" s="178">
        <v>112</v>
      </c>
      <c r="BM152" s="178">
        <v>112</v>
      </c>
      <c r="BN152" s="178">
        <v>112</v>
      </c>
      <c r="BO152" s="178">
        <v>112</v>
      </c>
      <c r="BP152" s="178">
        <v>120</v>
      </c>
      <c r="BQ152" s="178">
        <v>120</v>
      </c>
      <c r="BR152" s="178">
        <v>120</v>
      </c>
      <c r="BS152" s="178">
        <v>120</v>
      </c>
      <c r="BT152" s="214">
        <v>120</v>
      </c>
      <c r="BU152" s="214">
        <v>120</v>
      </c>
      <c r="BV152" s="214">
        <v>120</v>
      </c>
      <c r="BW152" s="214">
        <v>120</v>
      </c>
      <c r="BX152" s="214">
        <v>118</v>
      </c>
      <c r="BY152" s="214">
        <v>118</v>
      </c>
      <c r="BZ152" s="214">
        <v>118</v>
      </c>
      <c r="CA152" s="214">
        <v>118</v>
      </c>
      <c r="CB152" s="214">
        <v>118</v>
      </c>
      <c r="CC152" s="214">
        <v>118</v>
      </c>
      <c r="CD152" s="214">
        <v>118</v>
      </c>
      <c r="CE152" s="214">
        <v>118</v>
      </c>
      <c r="CF152" s="214">
        <v>108</v>
      </c>
      <c r="CG152" s="214">
        <v>108</v>
      </c>
      <c r="CH152" s="214">
        <v>108</v>
      </c>
      <c r="CI152" s="214">
        <v>108</v>
      </c>
      <c r="CJ152" s="214">
        <v>108</v>
      </c>
      <c r="CK152" s="214">
        <v>108</v>
      </c>
      <c r="CL152" s="214">
        <v>108</v>
      </c>
      <c r="CM152" s="214">
        <v>108</v>
      </c>
      <c r="CN152" s="214">
        <v>108</v>
      </c>
      <c r="CO152" s="214">
        <v>108</v>
      </c>
      <c r="CP152" s="214">
        <v>108</v>
      </c>
      <c r="CQ152" s="214">
        <v>108</v>
      </c>
      <c r="CR152" s="266">
        <v>108</v>
      </c>
      <c r="CS152" s="266">
        <v>97</v>
      </c>
      <c r="CT152" s="216">
        <v>97</v>
      </c>
      <c r="CU152" s="214">
        <v>94</v>
      </c>
      <c r="CV152" s="214">
        <v>94</v>
      </c>
      <c r="CW152" s="214">
        <v>94</v>
      </c>
      <c r="CX152" s="214">
        <v>94</v>
      </c>
      <c r="CY152" s="214">
        <v>94</v>
      </c>
      <c r="CZ152" s="214">
        <v>94</v>
      </c>
      <c r="DA152" s="214">
        <v>94</v>
      </c>
      <c r="DB152" s="214">
        <v>105</v>
      </c>
      <c r="DC152" s="214">
        <v>105</v>
      </c>
      <c r="DD152" s="214">
        <v>105</v>
      </c>
      <c r="DE152" s="214">
        <v>105</v>
      </c>
      <c r="DF152" s="214">
        <v>110</v>
      </c>
      <c r="DG152" s="214">
        <v>110</v>
      </c>
      <c r="DH152" s="214">
        <v>132</v>
      </c>
      <c r="DI152" s="214">
        <v>132</v>
      </c>
      <c r="DJ152" s="214">
        <v>132</v>
      </c>
      <c r="DK152" s="214">
        <v>115</v>
      </c>
      <c r="DL152" s="214">
        <v>115</v>
      </c>
      <c r="DM152" s="214">
        <v>115</v>
      </c>
      <c r="DN152" s="214">
        <v>115</v>
      </c>
      <c r="DO152" s="214">
        <v>108</v>
      </c>
      <c r="DP152" s="214">
        <v>108</v>
      </c>
      <c r="DQ152" s="178"/>
      <c r="DR152" s="178"/>
    </row>
    <row r="153" spans="1:124">
      <c r="A153" s="178" t="str">
        <f t="shared" si="77"/>
        <v>Mix XyleneUSD</v>
      </c>
      <c r="B153" s="178" t="s">
        <v>44</v>
      </c>
      <c r="C153" s="178" t="s">
        <v>349</v>
      </c>
      <c r="D153" s="178" t="s">
        <v>33</v>
      </c>
      <c r="E153" s="178" t="s">
        <v>34</v>
      </c>
      <c r="F153" s="266">
        <f>F123/F1</f>
        <v>0.70137406419165493</v>
      </c>
      <c r="G153" s="266">
        <f t="shared" ref="G153:BR153" si="92">G123/G1</f>
        <v>0.69879777385197994</v>
      </c>
      <c r="H153" s="266">
        <f t="shared" si="92"/>
        <v>0.67156455303782847</v>
      </c>
      <c r="I153" s="266">
        <f t="shared" si="92"/>
        <v>0.45900664143266723</v>
      </c>
      <c r="J153" s="266">
        <f t="shared" si="92"/>
        <v>0.46280227760143189</v>
      </c>
      <c r="K153" s="266">
        <f t="shared" si="92"/>
        <v>0.46207133642120196</v>
      </c>
      <c r="L153" s="266">
        <f t="shared" si="92"/>
        <v>0.46713854692098877</v>
      </c>
      <c r="M153" s="266">
        <f t="shared" si="92"/>
        <v>0.51617647777519682</v>
      </c>
      <c r="N153" s="266">
        <f t="shared" si="92"/>
        <v>0.52356832621053739</v>
      </c>
      <c r="O153" s="266">
        <f t="shared" si="92"/>
        <v>0.60530084702628129</v>
      </c>
      <c r="P153" s="266">
        <f t="shared" si="92"/>
        <v>0.61967720296031503</v>
      </c>
      <c r="Q153" s="266">
        <f t="shared" si="92"/>
        <v>0.61032040174195135</v>
      </c>
      <c r="R153" s="266">
        <f t="shared" si="92"/>
        <v>0.62764939149459864</v>
      </c>
      <c r="S153" s="266">
        <f t="shared" si="92"/>
        <v>0.63049450549450547</v>
      </c>
      <c r="T153" s="266">
        <f t="shared" si="92"/>
        <v>0.81043956043956045</v>
      </c>
      <c r="U153" s="266">
        <f t="shared" si="92"/>
        <v>0.75218267293485563</v>
      </c>
      <c r="V153" s="266">
        <f t="shared" si="92"/>
        <v>0.76450511945392496</v>
      </c>
      <c r="W153" s="266">
        <f t="shared" si="92"/>
        <v>0.80228447103617073</v>
      </c>
      <c r="X153" s="266">
        <f t="shared" si="92"/>
        <v>0.79162753253723328</v>
      </c>
      <c r="Y153" s="266">
        <f t="shared" si="92"/>
        <v>0.79557713052858692</v>
      </c>
      <c r="Z153" s="266">
        <f t="shared" si="92"/>
        <v>0.80217539089055068</v>
      </c>
      <c r="AA153" s="266">
        <f t="shared" si="92"/>
        <v>0.86770791616606602</v>
      </c>
      <c r="AB153" s="266">
        <f t="shared" si="92"/>
        <v>0.80569356787968316</v>
      </c>
      <c r="AC153" s="266">
        <f t="shared" si="92"/>
        <v>0.74250861840360649</v>
      </c>
      <c r="AD153" s="266">
        <f t="shared" si="92"/>
        <v>0.80591000671591673</v>
      </c>
      <c r="AE153" s="266">
        <f t="shared" si="92"/>
        <v>1.0272145144076841</v>
      </c>
      <c r="AF153" s="266">
        <f t="shared" si="92"/>
        <v>1.3121637580370031</v>
      </c>
      <c r="AG153" s="266">
        <f t="shared" si="92"/>
        <v>1.2694586249734574</v>
      </c>
      <c r="AH153" s="266">
        <f t="shared" si="92"/>
        <v>1.2545384058502878</v>
      </c>
      <c r="AI153" s="266">
        <f t="shared" si="92"/>
        <v>1.2424018597137343</v>
      </c>
      <c r="AJ153" s="266">
        <f t="shared" si="92"/>
        <v>1.2939446143847639</v>
      </c>
      <c r="AK153" s="266">
        <f t="shared" si="92"/>
        <v>1.0685515636890255</v>
      </c>
      <c r="AL153" s="266">
        <f t="shared" si="92"/>
        <v>1.0594335418472283</v>
      </c>
      <c r="AM153" s="266">
        <f t="shared" si="92"/>
        <v>1.1780405946311707</v>
      </c>
      <c r="AN153" s="266">
        <f t="shared" si="92"/>
        <v>1.0756562973127974</v>
      </c>
      <c r="AO153" s="266">
        <f t="shared" si="92"/>
        <v>0.94370632506320806</v>
      </c>
      <c r="AP153" s="266">
        <f t="shared" si="92"/>
        <v>0.95021232154541868</v>
      </c>
      <c r="AQ153" s="266">
        <f t="shared" si="92"/>
        <v>1.0594039452446462</v>
      </c>
      <c r="AR153" s="266">
        <f t="shared" si="92"/>
        <v>1.0594039452446462</v>
      </c>
      <c r="AS153" s="266">
        <f t="shared" si="92"/>
        <v>1.0959351157703237</v>
      </c>
      <c r="AT153" s="266">
        <f t="shared" si="92"/>
        <v>1.0959351157703237</v>
      </c>
      <c r="AU153" s="266">
        <f t="shared" si="92"/>
        <v>0.95757575757575752</v>
      </c>
      <c r="AV153" s="266">
        <f t="shared" si="92"/>
        <v>0.97040271712760795</v>
      </c>
      <c r="AW153" s="266">
        <f t="shared" si="92"/>
        <v>0.97347286444390357</v>
      </c>
      <c r="AX153" s="266">
        <f t="shared" si="92"/>
        <v>0.9765625</v>
      </c>
      <c r="AY153" s="266">
        <f t="shared" si="92"/>
        <v>0.97252613663992216</v>
      </c>
      <c r="AZ153" s="266">
        <f t="shared" si="92"/>
        <v>1.0805263793311601</v>
      </c>
      <c r="BA153" s="266">
        <f t="shared" si="92"/>
        <v>1.075075075075075</v>
      </c>
      <c r="BB153" s="266">
        <f t="shared" si="92"/>
        <v>1.075075075075075</v>
      </c>
      <c r="BC153" s="266">
        <f t="shared" si="92"/>
        <v>1.0828796128251663</v>
      </c>
      <c r="BD153" s="266">
        <f t="shared" si="92"/>
        <v>1.1077664057796508</v>
      </c>
      <c r="BE153" s="266">
        <f t="shared" si="92"/>
        <v>1.1092355919942127</v>
      </c>
      <c r="BF153" s="266">
        <f t="shared" si="92"/>
        <v>1.1093693476425901</v>
      </c>
      <c r="BG153" s="266">
        <f t="shared" si="92"/>
        <v>1.1049723756906076</v>
      </c>
      <c r="BH153" s="266">
        <f t="shared" si="92"/>
        <v>1.0934871425138188</v>
      </c>
      <c r="BI153" s="266">
        <f t="shared" si="92"/>
        <v>1.0930930930930931</v>
      </c>
      <c r="BJ153" s="266">
        <f t="shared" si="92"/>
        <v>1.0948026948989413</v>
      </c>
      <c r="BK153" s="266">
        <f t="shared" si="92"/>
        <v>1.0929618063896227</v>
      </c>
      <c r="BL153" s="266">
        <f t="shared" si="92"/>
        <v>0.98534006248497963</v>
      </c>
      <c r="BM153" s="266">
        <f t="shared" si="92"/>
        <v>0.98569539608125978</v>
      </c>
      <c r="BN153" s="266">
        <f t="shared" si="92"/>
        <v>0.98569539608125978</v>
      </c>
      <c r="BO153" s="266">
        <f t="shared" si="92"/>
        <v>0.98403936157446303</v>
      </c>
      <c r="BP153" s="266">
        <f t="shared" si="92"/>
        <v>0.92326139088729009</v>
      </c>
      <c r="BQ153" s="266">
        <f t="shared" si="92"/>
        <v>0.9237044145873321</v>
      </c>
      <c r="BR153" s="266">
        <f t="shared" si="92"/>
        <v>0.92503604036520914</v>
      </c>
      <c r="BS153" s="266">
        <f t="shared" ref="BS153:DQ153" si="93">BS123/BS1</f>
        <v>0.92414786365818535</v>
      </c>
      <c r="BT153" s="266">
        <f t="shared" si="93"/>
        <v>0.95020447438056288</v>
      </c>
      <c r="BU153" s="266">
        <f t="shared" si="93"/>
        <v>0.9500901984365604</v>
      </c>
      <c r="BV153" s="266">
        <f t="shared" si="93"/>
        <v>0.94894894894894899</v>
      </c>
      <c r="BW153" s="266">
        <f t="shared" si="93"/>
        <v>0.95111967252588492</v>
      </c>
      <c r="BX153" s="266">
        <f t="shared" si="93"/>
        <v>1.0180722891566265</v>
      </c>
      <c r="BY153" s="266">
        <f t="shared" si="93"/>
        <v>1.01794964462113</v>
      </c>
      <c r="BZ153" s="266">
        <f t="shared" si="93"/>
        <v>1.0193003618817853</v>
      </c>
      <c r="CA153" s="266">
        <f t="shared" si="93"/>
        <v>1.0193003618817853</v>
      </c>
      <c r="CB153" s="266">
        <f t="shared" si="93"/>
        <v>1.0217654171704957</v>
      </c>
      <c r="CC153" s="266">
        <f t="shared" si="93"/>
        <v>1.0210246495891735</v>
      </c>
      <c r="CD153" s="266">
        <f t="shared" si="93"/>
        <v>1.0148931059332211</v>
      </c>
      <c r="CE153" s="266">
        <f t="shared" si="93"/>
        <v>1.0133109485549827</v>
      </c>
      <c r="CF153" s="266">
        <f t="shared" si="93"/>
        <v>1.0395385170051676</v>
      </c>
      <c r="CG153" s="266">
        <f t="shared" si="93"/>
        <v>1.0371702637889688</v>
      </c>
      <c r="CH153" s="266">
        <f t="shared" si="93"/>
        <v>1.0345652433919388</v>
      </c>
      <c r="CI153" s="266">
        <f t="shared" si="93"/>
        <v>1.0369216015344043</v>
      </c>
      <c r="CJ153" s="266">
        <f t="shared" si="93"/>
        <v>1.0419161676646707</v>
      </c>
      <c r="CK153" s="266">
        <f t="shared" si="93"/>
        <v>1.0437912417516497</v>
      </c>
      <c r="CL153" s="266">
        <f t="shared" si="93"/>
        <v>1.0437912417516497</v>
      </c>
      <c r="CM153" s="266">
        <f t="shared" si="93"/>
        <v>1.0437912417516497</v>
      </c>
      <c r="CN153" s="266">
        <f t="shared" si="93"/>
        <v>1.0437912417516497</v>
      </c>
      <c r="CO153" s="266">
        <f t="shared" si="93"/>
        <v>1.0281320777208249</v>
      </c>
      <c r="CP153" s="266">
        <f t="shared" si="93"/>
        <v>1.0341726618705036</v>
      </c>
      <c r="CQ153" s="266">
        <f t="shared" si="93"/>
        <v>1.032934131736527</v>
      </c>
      <c r="CR153" s="266">
        <f t="shared" si="93"/>
        <v>1.0335530257639305</v>
      </c>
      <c r="CS153" s="266">
        <f t="shared" si="93"/>
        <v>1.0333053791781479</v>
      </c>
      <c r="CT153" s="216">
        <f t="shared" si="93"/>
        <v>1.0323159784560143</v>
      </c>
      <c r="CU153" s="216">
        <f t="shared" si="93"/>
        <v>1.0304659498207884</v>
      </c>
      <c r="CV153" s="216">
        <f t="shared" si="93"/>
        <v>0.98530992475815116</v>
      </c>
      <c r="CW153" s="216">
        <f t="shared" si="93"/>
        <v>0.98272781417510424</v>
      </c>
      <c r="CX153" s="216">
        <f t="shared" si="93"/>
        <v>0.98261076703192007</v>
      </c>
      <c r="CY153" s="216">
        <f t="shared" si="93"/>
        <v>0.96543504171632888</v>
      </c>
      <c r="CZ153" s="216">
        <f t="shared" si="93"/>
        <v>0.96555012516390515</v>
      </c>
      <c r="DA153" s="216">
        <f t="shared" si="93"/>
        <v>0.96474511672224872</v>
      </c>
      <c r="DB153" s="216">
        <f t="shared" si="93"/>
        <v>0.96474511672224872</v>
      </c>
      <c r="DC153" s="216">
        <f t="shared" si="93"/>
        <v>0.96913137114142145</v>
      </c>
      <c r="DD153" s="266">
        <f t="shared" si="93"/>
        <v>0.96820463781974664</v>
      </c>
      <c r="DE153" s="266">
        <f t="shared" si="93"/>
        <v>0.96463022508038587</v>
      </c>
      <c r="DF153" s="266">
        <f t="shared" si="93"/>
        <v>0.96348281194242902</v>
      </c>
      <c r="DG153" s="266">
        <f t="shared" si="93"/>
        <v>0.96348281194242902</v>
      </c>
      <c r="DH153" s="266">
        <f t="shared" si="93"/>
        <v>0.96336822074215034</v>
      </c>
      <c r="DI153" s="266">
        <f t="shared" si="93"/>
        <v>0.96291012838801704</v>
      </c>
      <c r="DJ153" s="266">
        <f t="shared" si="93"/>
        <v>0.95971563981042651</v>
      </c>
      <c r="DK153" s="216">
        <f t="shared" si="93"/>
        <v>0.96119615521537916</v>
      </c>
      <c r="DL153" s="216">
        <f t="shared" si="93"/>
        <v>0.95710740872031197</v>
      </c>
      <c r="DM153" s="216">
        <f t="shared" si="93"/>
        <v>0.95642933049946866</v>
      </c>
      <c r="DN153" s="216">
        <f t="shared" si="93"/>
        <v>0.95485087822704229</v>
      </c>
      <c r="DO153" s="216">
        <f t="shared" si="93"/>
        <v>0.95383890720678288</v>
      </c>
      <c r="DP153" s="216">
        <f t="shared" si="93"/>
        <v>0.95092744775768956</v>
      </c>
      <c r="DQ153" s="266" t="e">
        <f t="shared" si="93"/>
        <v>#DIV/0!</v>
      </c>
      <c r="DR153" s="178"/>
    </row>
    <row r="154" spans="1:124">
      <c r="A154" s="178" t="str">
        <f t="shared" si="77"/>
        <v>ORTHO TOLUIDINEUSD</v>
      </c>
      <c r="B154" s="178" t="s">
        <v>373</v>
      </c>
      <c r="C154" s="178" t="s">
        <v>374</v>
      </c>
      <c r="D154" s="178" t="s">
        <v>33</v>
      </c>
      <c r="E154" s="178" t="s">
        <v>34</v>
      </c>
      <c r="F154" s="266">
        <v>2.2297335381695409</v>
      </c>
      <c r="G154" s="266">
        <v>2.2479098729525266</v>
      </c>
      <c r="H154" s="266">
        <v>2.2070627705207233</v>
      </c>
      <c r="I154" s="266">
        <v>2.0964957208689929</v>
      </c>
      <c r="J154" s="266">
        <v>2.0507986006623278</v>
      </c>
      <c r="K154" s="266">
        <v>1.8662726662189386</v>
      </c>
      <c r="L154" s="266">
        <v>1.9815126416739322</v>
      </c>
      <c r="M154" s="266">
        <v>1.9887659224154668</v>
      </c>
      <c r="N154" s="266">
        <v>1.942136760752688</v>
      </c>
      <c r="O154" s="266">
        <v>1.9956188912432782</v>
      </c>
      <c r="P154" s="266">
        <v>2.0790445233358001</v>
      </c>
      <c r="Q154" s="266">
        <v>2.0128897709390796</v>
      </c>
      <c r="R154" s="266">
        <v>2.1225128205128203</v>
      </c>
      <c r="S154" s="266">
        <v>1.8384130819879612</v>
      </c>
      <c r="T154" s="266">
        <v>2.1143866802571964</v>
      </c>
      <c r="U154" s="266">
        <v>2.0534748092740931</v>
      </c>
      <c r="V154" s="266">
        <v>2.2839222055741915</v>
      </c>
      <c r="W154" s="266">
        <v>2.1605527914269125</v>
      </c>
      <c r="X154" s="266">
        <v>2.2252994663051764</v>
      </c>
      <c r="Y154" s="266">
        <v>2.1940421847661562</v>
      </c>
      <c r="Z154" s="266">
        <v>2.1811449160766805</v>
      </c>
      <c r="AA154" s="266">
        <v>2.2024170028278474</v>
      </c>
      <c r="AB154" s="266">
        <v>2.1913789647006379</v>
      </c>
      <c r="AC154" s="266">
        <v>2.4395459583935004</v>
      </c>
      <c r="AD154" s="266">
        <v>2.4275642762656302</v>
      </c>
      <c r="AE154" s="266">
        <v>2.5841923113168122</v>
      </c>
      <c r="AF154" s="266">
        <v>2.5521267304169641</v>
      </c>
      <c r="AG154" s="266">
        <v>2.738656758163132</v>
      </c>
      <c r="AH154" s="266">
        <v>3.0676208246763621</v>
      </c>
      <c r="AI154" s="266">
        <v>2.567404013157895</v>
      </c>
      <c r="AJ154" s="266">
        <v>2.7300442682926827</v>
      </c>
      <c r="AK154" s="266">
        <v>2.8958413474698435</v>
      </c>
      <c r="AL154" s="266">
        <v>2.8252878037459794</v>
      </c>
      <c r="AM154" s="266">
        <v>2.7931551685445006</v>
      </c>
      <c r="AN154" s="266">
        <v>2.9845114045060317</v>
      </c>
      <c r="AO154" s="266">
        <v>3.023686402438122</v>
      </c>
      <c r="AP154" s="266">
        <v>2.6067559073306614</v>
      </c>
      <c r="AQ154" s="266">
        <v>2.580018328877006</v>
      </c>
      <c r="AR154" s="266">
        <v>2.6103170187165783</v>
      </c>
      <c r="AS154" s="266">
        <v>2.6132818880074824</v>
      </c>
      <c r="AT154" s="266">
        <v>2.697447664233577</v>
      </c>
      <c r="AU154" s="266">
        <v>2.680341746086508</v>
      </c>
      <c r="AV154" s="266">
        <v>2.7773224563500638</v>
      </c>
      <c r="AW154" s="266">
        <v>2.7773224563500638</v>
      </c>
      <c r="AX154" s="266">
        <v>2.7773224563500638</v>
      </c>
      <c r="AY154" s="266">
        <v>2.7773224563500638</v>
      </c>
      <c r="AZ154" s="266">
        <v>2.6884376555461045</v>
      </c>
      <c r="BA154" s="266">
        <v>2.6884376555461045</v>
      </c>
      <c r="BB154" s="266">
        <v>2.6884376555461045</v>
      </c>
      <c r="BC154" s="266">
        <v>2.6884376555461045</v>
      </c>
      <c r="BD154" s="266">
        <v>2.8643460011217061</v>
      </c>
      <c r="BE154" s="266">
        <v>2.8643460011217061</v>
      </c>
      <c r="BF154" s="266">
        <v>2.8643460011217061</v>
      </c>
      <c r="BG154" s="266">
        <v>2.8643460011217061</v>
      </c>
      <c r="BH154" s="266">
        <v>2.8380273754407779</v>
      </c>
      <c r="BI154" s="266">
        <v>2.8380273754407779</v>
      </c>
      <c r="BJ154" s="266">
        <v>2.8380273754407779</v>
      </c>
      <c r="BK154" s="266">
        <v>2.8380273754407779</v>
      </c>
      <c r="BL154" s="266">
        <v>2.7990803869865553</v>
      </c>
      <c r="BM154" s="266">
        <v>2.7990803869865553</v>
      </c>
      <c r="BN154" s="266">
        <v>2.7990803869865553</v>
      </c>
      <c r="BO154" s="266">
        <v>2.7990803869865553</v>
      </c>
      <c r="BP154" s="266">
        <v>2.4983713241864063</v>
      </c>
      <c r="BQ154" s="266">
        <v>2.4983713241864063</v>
      </c>
      <c r="BR154" s="266">
        <v>2.4983713241864063</v>
      </c>
      <c r="BS154" s="266">
        <v>2.4983713241864063</v>
      </c>
      <c r="BT154" s="266">
        <v>2.5234402801634781</v>
      </c>
      <c r="BU154" s="266">
        <v>2.5234402801634781</v>
      </c>
      <c r="BV154" s="266">
        <v>2.5234402801634781</v>
      </c>
      <c r="BW154" s="266">
        <v>2.5234402801634781</v>
      </c>
      <c r="BX154" s="266">
        <v>2.5575903526338712</v>
      </c>
      <c r="BY154" s="266">
        <v>2.5575903526338712</v>
      </c>
      <c r="BZ154" s="266">
        <v>2.5575903526338712</v>
      </c>
      <c r="CA154" s="266">
        <v>2.5575903526338712</v>
      </c>
      <c r="CB154" s="266">
        <v>2.7424266911764699</v>
      </c>
      <c r="CC154" s="266">
        <v>2.7424266911764699</v>
      </c>
      <c r="CD154" s="266">
        <v>2.7424266911764699</v>
      </c>
      <c r="CE154" s="266">
        <v>2.7424266911764699</v>
      </c>
      <c r="CF154" s="266">
        <v>2.5410588815789477</v>
      </c>
      <c r="CG154" s="266">
        <v>2.5410588815789477</v>
      </c>
      <c r="CH154" s="266">
        <v>2.5410588815789477</v>
      </c>
      <c r="CI154" s="266">
        <v>2.5410588815789477</v>
      </c>
      <c r="CJ154" s="266">
        <v>2.4702037499999996</v>
      </c>
      <c r="CK154" s="266">
        <v>2.4702037499999996</v>
      </c>
      <c r="CL154" s="266">
        <v>2.4702037499999996</v>
      </c>
      <c r="CM154" s="266">
        <v>2.4702037499999996</v>
      </c>
      <c r="CN154" s="266">
        <v>2.4702037499999996</v>
      </c>
      <c r="CO154" s="266">
        <v>3.1117332608695647</v>
      </c>
      <c r="CP154" s="266">
        <v>3.1117332608695647</v>
      </c>
      <c r="CQ154" s="266">
        <v>3.1117332608695647</v>
      </c>
      <c r="CR154" s="266">
        <v>3.1117332608695647</v>
      </c>
      <c r="CS154" s="266">
        <v>2.2412543478260867</v>
      </c>
      <c r="CT154" s="266">
        <v>2.2412543478260867</v>
      </c>
      <c r="CU154" s="266">
        <v>2.2412543478260867</v>
      </c>
      <c r="CV154" s="266">
        <v>2.2412543478260867</v>
      </c>
      <c r="CW154" s="266">
        <v>2.2412543478260867</v>
      </c>
      <c r="CX154" s="266">
        <v>2.2412543478260867</v>
      </c>
      <c r="CY154" s="266">
        <v>2.2412543478260867</v>
      </c>
      <c r="CZ154" s="266">
        <v>2.2412543478260867</v>
      </c>
      <c r="DA154" s="266">
        <v>2.2412543478260867</v>
      </c>
      <c r="DB154" s="266">
        <v>2.2412543478260867</v>
      </c>
      <c r="DC154" s="266">
        <v>2.2412543478260867</v>
      </c>
      <c r="DD154" s="266">
        <v>2.2412543478260867</v>
      </c>
      <c r="DE154" s="214">
        <v>1.85</v>
      </c>
      <c r="DF154" s="214">
        <v>1.85</v>
      </c>
      <c r="DG154" s="214">
        <v>1.85</v>
      </c>
      <c r="DH154" s="214">
        <v>1.85</v>
      </c>
      <c r="DI154" s="214">
        <v>1.85</v>
      </c>
      <c r="DJ154" s="214">
        <v>1.85</v>
      </c>
      <c r="DK154" s="214">
        <v>1.85</v>
      </c>
      <c r="DL154" s="214">
        <v>1.85</v>
      </c>
      <c r="DM154" s="214">
        <v>1.85</v>
      </c>
      <c r="DN154" s="214">
        <v>1.85</v>
      </c>
      <c r="DO154" s="214">
        <v>1.85</v>
      </c>
      <c r="DP154" s="214">
        <v>1.85</v>
      </c>
      <c r="DQ154" s="178"/>
      <c r="DR154" s="178"/>
    </row>
    <row r="155" spans="1:124">
      <c r="A155" s="178" t="str">
        <f t="shared" si="77"/>
        <v>MTBEUSD</v>
      </c>
      <c r="B155" s="178" t="s">
        <v>154</v>
      </c>
      <c r="C155" s="178" t="s">
        <v>375</v>
      </c>
      <c r="D155" s="178" t="s">
        <v>33</v>
      </c>
      <c r="E155" s="178"/>
      <c r="F155" s="178"/>
      <c r="G155" s="178"/>
      <c r="H155" s="178"/>
      <c r="I155" s="178"/>
      <c r="J155" s="178"/>
      <c r="K155" s="178"/>
      <c r="L155" s="178"/>
      <c r="M155" s="178"/>
      <c r="N155" s="178"/>
      <c r="O155" s="178"/>
      <c r="P155" s="178"/>
      <c r="Q155" s="178"/>
      <c r="R155" s="178"/>
      <c r="S155" s="178"/>
      <c r="T155" s="178"/>
      <c r="U155" s="178"/>
      <c r="V155" s="178"/>
      <c r="W155" s="178"/>
      <c r="X155" s="178"/>
      <c r="Y155" s="178"/>
      <c r="Z155" s="178"/>
      <c r="AA155" s="178"/>
      <c r="AB155" s="178"/>
      <c r="AC155" s="178"/>
      <c r="AD155" s="178"/>
      <c r="AE155" s="178"/>
      <c r="AF155" s="178"/>
      <c r="AG155" s="178"/>
      <c r="AH155" s="178"/>
      <c r="AI155" s="178"/>
      <c r="AJ155" s="178"/>
      <c r="AK155" s="178"/>
      <c r="AL155" s="178"/>
      <c r="AM155" s="178"/>
      <c r="AN155" s="178"/>
      <c r="AO155" s="178"/>
      <c r="AP155" s="178"/>
      <c r="AQ155" s="178"/>
      <c r="AR155" s="178"/>
      <c r="AS155" s="178"/>
      <c r="AT155" s="178"/>
      <c r="AU155" s="178"/>
      <c r="AV155" s="178"/>
      <c r="AW155" s="178"/>
      <c r="AX155" s="178"/>
      <c r="AY155" s="178"/>
      <c r="AZ155" s="178"/>
      <c r="BA155" s="178"/>
      <c r="BB155" s="178"/>
      <c r="BC155" s="178"/>
      <c r="BD155" s="178"/>
      <c r="BE155" s="178"/>
      <c r="BF155" s="178"/>
      <c r="BG155" s="178"/>
      <c r="BH155" s="214"/>
      <c r="BI155" s="178"/>
      <c r="BJ155" s="178"/>
      <c r="BK155" s="178"/>
      <c r="BL155" s="178"/>
      <c r="BM155" s="178"/>
      <c r="BN155" s="178"/>
      <c r="BO155" s="178"/>
      <c r="BP155" s="178"/>
      <c r="BQ155" s="178"/>
      <c r="BR155" s="214"/>
      <c r="BS155" s="178"/>
      <c r="BT155" s="178"/>
      <c r="BU155" s="178"/>
      <c r="BV155" s="178"/>
      <c r="BW155" s="178"/>
      <c r="BX155" s="178"/>
      <c r="BY155" s="178"/>
      <c r="BZ155" s="178"/>
      <c r="CA155" s="178"/>
      <c r="CB155" s="178"/>
      <c r="CC155" s="178"/>
      <c r="CD155" s="178"/>
      <c r="CE155" s="178"/>
      <c r="CF155" s="178"/>
      <c r="CG155" s="178"/>
      <c r="CH155" s="178"/>
      <c r="CI155" s="214"/>
      <c r="CJ155" s="214"/>
      <c r="CK155" s="214"/>
      <c r="CL155" s="178"/>
      <c r="CM155" s="178"/>
      <c r="CN155" s="178"/>
      <c r="CO155" s="178"/>
      <c r="CP155" s="178"/>
      <c r="CQ155" s="178"/>
      <c r="CR155" s="178"/>
      <c r="CS155" s="178"/>
      <c r="CT155" s="214"/>
      <c r="CU155" s="178"/>
      <c r="CV155" s="214"/>
      <c r="CW155" s="214"/>
      <c r="CX155" s="214"/>
      <c r="CY155" s="178"/>
      <c r="CZ155" s="214"/>
      <c r="DA155" s="214"/>
      <c r="DI155" s="214"/>
      <c r="DJ155" s="214"/>
      <c r="DK155" s="214"/>
      <c r="DL155" s="214"/>
      <c r="DM155" s="214">
        <v>705</v>
      </c>
      <c r="DN155" s="214">
        <v>720</v>
      </c>
      <c r="DO155" s="214">
        <v>720</v>
      </c>
      <c r="DP155" s="214">
        <v>698</v>
      </c>
      <c r="DQ155" s="178"/>
      <c r="DR155" s="178"/>
    </row>
    <row r="156" spans="1:124">
      <c r="A156" s="178" t="str">
        <f t="shared" si="77"/>
        <v>BenzeneRMB</v>
      </c>
      <c r="B156" s="178" t="s">
        <v>29</v>
      </c>
      <c r="C156" s="178" t="s">
        <v>51</v>
      </c>
      <c r="D156" s="44" t="s">
        <v>31</v>
      </c>
      <c r="E156" s="44" t="s">
        <v>32</v>
      </c>
      <c r="F156" s="215">
        <v>5880</v>
      </c>
      <c r="G156" s="215">
        <v>5770</v>
      </c>
      <c r="H156" s="215">
        <v>5380.2</v>
      </c>
      <c r="I156" s="215">
        <v>2660</v>
      </c>
      <c r="J156" s="215">
        <v>3020</v>
      </c>
      <c r="K156" s="215">
        <v>3600</v>
      </c>
      <c r="L156" s="215">
        <v>3160</v>
      </c>
      <c r="M156" s="215">
        <v>3370</v>
      </c>
      <c r="N156" s="215">
        <v>3390</v>
      </c>
      <c r="O156" s="215">
        <v>3380</v>
      </c>
      <c r="P156" s="215">
        <v>3943.6</v>
      </c>
      <c r="Q156" s="215">
        <v>4452.6000000000004</v>
      </c>
      <c r="R156" s="215">
        <v>4459.4333333333334</v>
      </c>
      <c r="S156" s="215">
        <v>5653.5</v>
      </c>
      <c r="T156" s="215">
        <v>6530.0342857142859</v>
      </c>
      <c r="U156" s="215">
        <v>6973.6428571428578</v>
      </c>
      <c r="V156" s="215">
        <v>7892.7857142857147</v>
      </c>
      <c r="W156" s="215">
        <v>7923.8571428571431</v>
      </c>
      <c r="X156" s="215">
        <v>8416.6071428571431</v>
      </c>
      <c r="Y156" s="215">
        <v>7585.5357142857138</v>
      </c>
      <c r="Z156" s="215">
        <v>7471.8360000000002</v>
      </c>
      <c r="AA156" s="215">
        <v>8196.7857142857138</v>
      </c>
      <c r="AB156" s="215">
        <v>7297.8571428571431</v>
      </c>
      <c r="AC156" s="215">
        <v>6615.4285714285725</v>
      </c>
      <c r="AD156" s="215">
        <v>7449.6428571428569</v>
      </c>
      <c r="AE156" s="215">
        <v>7873.7142857142853</v>
      </c>
      <c r="AF156" s="215">
        <v>8391.6571428571424</v>
      </c>
      <c r="AG156" s="215">
        <v>8473.442857142858</v>
      </c>
      <c r="AH156" s="215">
        <v>8909.04238095238</v>
      </c>
      <c r="AI156" s="215">
        <v>9598.8325714285711</v>
      </c>
      <c r="AJ156" s="215">
        <v>9115.3807142857149</v>
      </c>
      <c r="AK156" s="215">
        <v>8006.75</v>
      </c>
      <c r="AL156" s="215">
        <v>7802.0251428571428</v>
      </c>
      <c r="AM156" s="215">
        <v>7930.6203571428559</v>
      </c>
      <c r="AN156" s="215">
        <v>7002.0471428571436</v>
      </c>
      <c r="AO156" s="215">
        <v>6544.3105714285703</v>
      </c>
      <c r="AP156" s="215">
        <v>6955.2030000000004</v>
      </c>
      <c r="AQ156" s="215">
        <v>7018.5957142857151</v>
      </c>
      <c r="AR156" s="215">
        <v>7210.2219619047628</v>
      </c>
      <c r="AS156" s="215">
        <v>7474.3714285714286</v>
      </c>
      <c r="AT156" s="215">
        <v>6978.1292738095235</v>
      </c>
      <c r="AU156" s="215">
        <v>6338.338685714285</v>
      </c>
      <c r="AV156" s="215">
        <v>6726.2936785714282</v>
      </c>
      <c r="AW156" s="215">
        <v>6726.2936785714282</v>
      </c>
      <c r="AX156" s="215">
        <v>6726.2936785714282</v>
      </c>
      <c r="AY156" s="215">
        <v>6726.2936785714282</v>
      </c>
      <c r="AZ156" s="215">
        <v>7806.7707619047615</v>
      </c>
      <c r="BA156" s="215">
        <v>7806.7707619047615</v>
      </c>
      <c r="BB156" s="215">
        <v>7806.7707619047615</v>
      </c>
      <c r="BC156" s="215">
        <v>7806.7707619047615</v>
      </c>
      <c r="BD156" s="215">
        <v>8263.7761714285716</v>
      </c>
      <c r="BE156" s="215">
        <v>8263.7761714285716</v>
      </c>
      <c r="BF156" s="215">
        <v>8263.7761714285716</v>
      </c>
      <c r="BG156" s="215">
        <v>8263.7761714285716</v>
      </c>
      <c r="BH156" s="215">
        <v>7878.3495833333327</v>
      </c>
      <c r="BI156" s="215">
        <v>7878.3495833333327</v>
      </c>
      <c r="BJ156" s="215">
        <v>7878.3495833333327</v>
      </c>
      <c r="BK156" s="215">
        <v>7878.3495833333327</v>
      </c>
      <c r="BL156" s="215">
        <v>7765.1430714285707</v>
      </c>
      <c r="BM156" s="215">
        <v>7765.1430714285707</v>
      </c>
      <c r="BN156" s="215">
        <v>7765.1430714285707</v>
      </c>
      <c r="BO156" s="215">
        <v>7765.1430714285707</v>
      </c>
      <c r="BP156" s="215">
        <v>6938.3453333333337</v>
      </c>
      <c r="BQ156" s="215">
        <v>6938.3453333333337</v>
      </c>
      <c r="BR156" s="215">
        <v>6938.3453333333337</v>
      </c>
      <c r="BS156" s="215">
        <v>6938.3453333333337</v>
      </c>
      <c r="BT156" s="215">
        <v>7632.8519642857154</v>
      </c>
      <c r="BU156" s="215">
        <v>7632.8519642857154</v>
      </c>
      <c r="BV156" s="215">
        <v>7632.8519642857154</v>
      </c>
      <c r="BW156" s="215">
        <v>7632.8519642857154</v>
      </c>
      <c r="BX156" s="215">
        <v>8345.9157500000001</v>
      </c>
      <c r="BY156" s="215">
        <v>8345.9157500000001</v>
      </c>
      <c r="BZ156" s="215">
        <v>8345.9157500000001</v>
      </c>
      <c r="CA156" s="215">
        <v>8345.9157500000001</v>
      </c>
      <c r="CB156" s="215">
        <v>8461.6256619047617</v>
      </c>
      <c r="CC156" s="215">
        <v>8461.6256619047617</v>
      </c>
      <c r="CD156" s="215">
        <v>8461.6256619047617</v>
      </c>
      <c r="CE156" s="215">
        <v>8461.6256619047617</v>
      </c>
      <c r="CF156" s="215">
        <v>8688.6205297619053</v>
      </c>
      <c r="CG156" s="215">
        <v>8688.6205297619053</v>
      </c>
      <c r="CH156" s="215">
        <v>8688.6205297619053</v>
      </c>
      <c r="CI156" s="215">
        <v>8688.6205297619053</v>
      </c>
      <c r="CJ156" s="215">
        <v>8767.8800892857143</v>
      </c>
      <c r="CK156" s="215">
        <v>8767.8800892857143</v>
      </c>
      <c r="CL156" s="215">
        <v>8767.8800892857143</v>
      </c>
      <c r="CM156" s="215">
        <v>8767.8800892857143</v>
      </c>
      <c r="CN156" s="215">
        <v>8767.8800892857143</v>
      </c>
      <c r="CO156" s="215">
        <v>9289.4614761904759</v>
      </c>
      <c r="CP156" s="215">
        <v>9289.4614761904759</v>
      </c>
      <c r="CQ156" s="215">
        <v>9289.4614761904759</v>
      </c>
      <c r="CR156" s="215">
        <v>9289.4614761904759</v>
      </c>
      <c r="CS156" s="215">
        <v>8751.4895833333339</v>
      </c>
      <c r="CT156" s="215">
        <v>8751.4895833333339</v>
      </c>
      <c r="CU156" s="215">
        <v>8751.4895833333339</v>
      </c>
      <c r="CV156" s="215">
        <v>8751.4895833333339</v>
      </c>
      <c r="CW156" s="215">
        <v>8500.1847714285723</v>
      </c>
      <c r="CX156" s="215">
        <v>8500.1847714285723</v>
      </c>
      <c r="CY156" s="215">
        <v>8500.1847714285723</v>
      </c>
      <c r="CZ156" s="215">
        <v>8500.1847714285723</v>
      </c>
      <c r="DA156" s="215">
        <v>8423.8147499999995</v>
      </c>
      <c r="DB156" s="215">
        <v>8423.8147499999995</v>
      </c>
      <c r="DC156" s="215">
        <v>8423.8147499999995</v>
      </c>
      <c r="DD156" s="215">
        <v>8423.8147499999995</v>
      </c>
      <c r="DE156" s="215">
        <v>7634.5879047619046</v>
      </c>
      <c r="DF156" s="215">
        <v>7634.5879047619046</v>
      </c>
      <c r="DG156" s="215">
        <v>7634.5879047619046</v>
      </c>
      <c r="DH156" s="215">
        <v>7634.5879047619046</v>
      </c>
      <c r="DI156" s="215">
        <v>7263.9099761904763</v>
      </c>
      <c r="DJ156" s="215">
        <v>7153</v>
      </c>
      <c r="DK156" s="215">
        <v>7286.33</v>
      </c>
      <c r="DL156" s="215">
        <v>7328</v>
      </c>
      <c r="DM156" s="215">
        <v>7611.33</v>
      </c>
      <c r="DN156" s="215">
        <v>7643</v>
      </c>
      <c r="DO156" s="215">
        <v>7581.8071428571429</v>
      </c>
      <c r="DP156" s="174">
        <v>7521</v>
      </c>
    </row>
    <row r="157" spans="1:124">
      <c r="A157" s="44" t="str">
        <f t="shared" si="77"/>
        <v>Benzene-China USD</v>
      </c>
      <c r="B157" s="178" t="s">
        <v>29</v>
      </c>
      <c r="C157" s="178" t="s">
        <v>376</v>
      </c>
      <c r="D157" s="44" t="s">
        <v>33</v>
      </c>
      <c r="E157" s="44" t="s">
        <v>32</v>
      </c>
      <c r="F157" s="361">
        <f>(((F156/1.13)/F3)/1)</f>
        <v>750.14629766442977</v>
      </c>
      <c r="G157" s="361">
        <f t="shared" ref="G157:I157" si="94">(((G156/1.13)/G3)/1)</f>
        <v>730.3014474270924</v>
      </c>
      <c r="H157" s="361">
        <f t="shared" si="94"/>
        <v>672.25399760721473</v>
      </c>
      <c r="I157" s="361">
        <f t="shared" si="94"/>
        <v>333.32138722847776</v>
      </c>
      <c r="J157" s="361">
        <f>(((J156/1.13)/J3)/1)</f>
        <v>374.45586107737154</v>
      </c>
      <c r="K157" s="361">
        <f t="shared" ref="K157" si="95">(((K156/1.13)/K3)/1)</f>
        <v>450.90095647365399</v>
      </c>
      <c r="L157" s="361">
        <f t="shared" ref="L157" si="96">(((L156/1.13)/L3)/1)</f>
        <v>400.91469448777821</v>
      </c>
      <c r="M157" s="361">
        <f t="shared" ref="M157:N157" si="97">(((M156/1.13)/M3)/1)</f>
        <v>435.47410854444138</v>
      </c>
      <c r="N157" s="361">
        <f t="shared" si="97"/>
        <v>441.77416504682816</v>
      </c>
      <c r="O157" s="361">
        <f t="shared" ref="O157" si="98">(((O156/1.13)/O3)/1)</f>
        <v>446.92731520580276</v>
      </c>
      <c r="P157" s="361">
        <f t="shared" ref="P157" si="99">(((P156/1.13)/P3)/1)</f>
        <v>530.47036805921641</v>
      </c>
      <c r="Q157" s="361">
        <f t="shared" ref="Q157:R157" si="100">(((Q156/1.13)/Q3)/1)</f>
        <v>603.72837456921343</v>
      </c>
      <c r="R157" s="361">
        <f t="shared" si="100"/>
        <v>613.96785474446585</v>
      </c>
      <c r="S157" s="361">
        <f t="shared" ref="S157" si="101">(((S156/1.13)/S3)/1)</f>
        <v>772.6671935773569</v>
      </c>
      <c r="T157" s="361">
        <f t="shared" ref="T157" si="102">(((T156/1.13)/T3)/1)</f>
        <v>881.90815909516516</v>
      </c>
      <c r="U157" s="361">
        <f t="shared" ref="U157:V157" si="103">(((U156/1.13)/U3)/1)</f>
        <v>953.32746741382789</v>
      </c>
      <c r="V157" s="361">
        <f t="shared" si="103"/>
        <v>1096.5095947938644</v>
      </c>
      <c r="W157" s="361">
        <f t="shared" ref="W157" si="104">(((W156/1.13)/W3)/1)</f>
        <v>1085.9603168990675</v>
      </c>
      <c r="X157" s="361">
        <f t="shared" ref="X157" si="105">(((X156/1.13)/X3)/1)</f>
        <v>1152.741651218515</v>
      </c>
      <c r="Y157" s="361">
        <f t="shared" ref="Y157:Z157" si="106">(((Y156/1.13)/Y3)/1)</f>
        <v>1039.0303626495054</v>
      </c>
      <c r="Z157" s="361">
        <f t="shared" si="106"/>
        <v>1025.6948232847719</v>
      </c>
      <c r="AA157" s="361">
        <f t="shared" ref="AA157" si="107">(((AA156/1.13)/AA3)/1)</f>
        <v>1132.3788859329798</v>
      </c>
      <c r="AB157" s="361">
        <f t="shared" ref="AB157" si="108">(((AB156/1.13)/AB3)/1)</f>
        <v>1014.7668490479239</v>
      </c>
      <c r="AC157" s="361">
        <f t="shared" ref="AC157" si="109">(((AC156/1.13)/AC3)/1)</f>
        <v>921.06190394045177</v>
      </c>
      <c r="AD157" s="361">
        <f>(((AD156/1.13)/AD3)/1)</f>
        <v>1036.4100453319465</v>
      </c>
      <c r="AE157" s="361">
        <f t="shared" ref="AE157" si="110">(((AE156/1.13)/AE3)/1)</f>
        <v>1104.3838061939869</v>
      </c>
      <c r="AF157" s="361">
        <f t="shared" ref="AF157" si="111">(((AF156/1.13)/AF3)/1)</f>
        <v>1171.3320598053019</v>
      </c>
      <c r="AG157" s="361">
        <f t="shared" ref="AG157:AH157" si="112">(((AG156/1.13)/AG3)/1)</f>
        <v>1134.6935004118266</v>
      </c>
      <c r="AH157" s="361">
        <f t="shared" si="112"/>
        <v>1181.6709085323398</v>
      </c>
      <c r="AI157" s="361">
        <f t="shared" ref="AI157" si="113">(((AI156/1.13)/AI3)/1)</f>
        <v>1267.9745792260917</v>
      </c>
      <c r="AJ157" s="361">
        <f t="shared" ref="AJ157" si="114">(((AJ156/1.13)/AJ3)/1)</f>
        <v>1196.0956965560069</v>
      </c>
      <c r="AK157" s="361">
        <f t="shared" ref="AK157:AL157" si="115">(((AK156/1.13)/AK3)/1)</f>
        <v>1028.3320952378019</v>
      </c>
      <c r="AL157" s="361">
        <f t="shared" si="115"/>
        <v>970.61179856288993</v>
      </c>
      <c r="AM157" s="361">
        <f t="shared" ref="AM157" si="116">(((AM156/1.13)/AM3)/1)</f>
        <v>961.20634166489697</v>
      </c>
      <c r="AN157" s="361">
        <f t="shared" ref="AN157" si="117">(((AN156/1.13)/AN3)/1)</f>
        <v>874.23664221190415</v>
      </c>
      <c r="AO157" s="361">
        <f t="shared" ref="AO157:AP157" si="118">(((AO156/1.13)/AO3)/1)</f>
        <v>839.67773653802453</v>
      </c>
      <c r="AP157" s="361">
        <f t="shared" si="118"/>
        <v>911.22431827540356</v>
      </c>
      <c r="AQ157" s="361">
        <f t="shared" ref="AQ157" si="119">(((AQ156/1.13)/AQ3)/1)</f>
        <v>895.82984535875164</v>
      </c>
      <c r="AR157" s="361">
        <f t="shared" ref="AR157" si="120">(((AR156/1.13)/AR3)/1)</f>
        <v>915.87635642127225</v>
      </c>
      <c r="AS157" s="361">
        <f t="shared" ref="AS157:AT157" si="121">(((AS156/1.13)/AS3)/1)</f>
        <v>960.01277066563443</v>
      </c>
      <c r="AT157" s="361">
        <f t="shared" si="121"/>
        <v>878.42612240958772</v>
      </c>
      <c r="AU157" s="361">
        <f t="shared" ref="AU157" si="122">(((AU156/1.13)/AU3)/1)</f>
        <v>785.59513716991216</v>
      </c>
      <c r="AV157" s="361">
        <f t="shared" ref="AV157" si="123">(((AV156/1.13)/AV3)/1)</f>
        <v>821.0306595753957</v>
      </c>
      <c r="AW157" s="361">
        <f t="shared" ref="AW157:AX157" si="124">(((AW156/1.13)/AW3)/1)</f>
        <v>821.0306595753957</v>
      </c>
      <c r="AX157" s="361">
        <f t="shared" si="124"/>
        <v>826.73226137800259</v>
      </c>
      <c r="AY157" s="361">
        <f t="shared" ref="AY157" si="125">(((AY156/1.13)/AY3)/1)</f>
        <v>832.51360586316343</v>
      </c>
      <c r="AZ157" s="361">
        <f t="shared" ref="AZ157" si="126">(((AZ156/1.13)/AZ3)/1)</f>
        <v>955.55279280098432</v>
      </c>
      <c r="BA157" s="361">
        <f t="shared" ref="BA157:BB157" si="127">(((BA156/1.13)/BA3)/1)</f>
        <v>950.2952808736062</v>
      </c>
      <c r="BB157" s="361">
        <f t="shared" si="127"/>
        <v>947.68816076147004</v>
      </c>
      <c r="BC157" s="361">
        <f t="shared" ref="BC157" si="128">(((BC156/1.13)/BC3)/1)</f>
        <v>947.68816076147004</v>
      </c>
      <c r="BD157" s="361">
        <f t="shared" ref="BD157" si="129">(((BD156/1.13)/BD3)/1)</f>
        <v>1000.4208287142807</v>
      </c>
      <c r="BE157" s="361">
        <f t="shared" ref="BE157:BF157" si="130">(((BE156/1.13)/BE3)/1)</f>
        <v>1003.1654674761854</v>
      </c>
      <c r="BF157" s="361">
        <f t="shared" si="130"/>
        <v>1001.7912682056701</v>
      </c>
      <c r="BG157" s="361">
        <f t="shared" ref="BG157" si="131">(((BG156/1.13)/BG3)/1)</f>
        <v>1001.7912682056701</v>
      </c>
      <c r="BH157" s="361">
        <f t="shared" ref="BH157" si="132">(((BH156/1.13)/BH3)/1)</f>
        <v>955.06723037135816</v>
      </c>
      <c r="BI157" s="361">
        <f t="shared" ref="BI157:BJ157" si="133">(((BI156/1.13)/BI3)/1)</f>
        <v>968.33205301540477</v>
      </c>
      <c r="BJ157" s="361">
        <f t="shared" si="133"/>
        <v>953.76070885238232</v>
      </c>
      <c r="BK157" s="361">
        <f t="shared" ref="BK157" si="134">(((BK156/1.13)/BK3)/1)</f>
        <v>952.45775706433255</v>
      </c>
      <c r="BL157" s="361">
        <f t="shared" ref="BL157" si="135">(((BL156/1.13)/BL3)/1)</f>
        <v>945.22806434840379</v>
      </c>
      <c r="BM157" s="361">
        <f t="shared" ref="BM157:BN157" si="136">(((BM156/1.13)/BM3)/1)</f>
        <v>946.53003137918677</v>
      </c>
      <c r="BN157" s="361">
        <f t="shared" si="136"/>
        <v>946.53003137918677</v>
      </c>
      <c r="BO157" s="361">
        <f t="shared" ref="BO157" si="137">(((BO156/1.13)/BO3)/1)</f>
        <v>967.86028560745012</v>
      </c>
      <c r="BP157" s="361">
        <f t="shared" ref="BP157" si="138">(((BP156/1.13)/BP3)/1)</f>
        <v>859.96199069598356</v>
      </c>
      <c r="BQ157" s="361">
        <f t="shared" ref="BQ157:BR157" si="139">(((BQ156/1.13)/BQ3)/1)</f>
        <v>866.02660276013012</v>
      </c>
      <c r="BR157" s="361">
        <f t="shared" si="139"/>
        <v>858.75924665305206</v>
      </c>
      <c r="BS157" s="361">
        <f t="shared" ref="BS157" si="140">(((BS156/1.13)/BS3)/1)</f>
        <v>866.02660276013012</v>
      </c>
      <c r="BT157" s="361">
        <f t="shared" ref="BT157" si="141">(((BT156/1.13)/BT3)/1)</f>
        <v>951.37130303947606</v>
      </c>
      <c r="BU157" s="361">
        <f t="shared" ref="BU157:BV157" si="142">(((BU156/1.13)/BU3)/1)</f>
        <v>951.37130303947606</v>
      </c>
      <c r="BV157" s="361">
        <f t="shared" si="142"/>
        <v>948.6989117388033</v>
      </c>
      <c r="BW157" s="361">
        <f t="shared" ref="BW157" si="143">(((BW156/1.13)/BW3)/1)</f>
        <v>950.03322807036284</v>
      </c>
      <c r="BX157" s="361">
        <f t="shared" ref="BX157" si="144">(((BX156/1.13)/BX3)/1)</f>
        <v>1038.7856751677184</v>
      </c>
      <c r="BY157" s="361">
        <f t="shared" ref="BY157:BZ157" si="145">(((BY156/1.13)/BY3)/1)</f>
        <v>1027.2275591714156</v>
      </c>
      <c r="BZ157" s="361">
        <f t="shared" si="145"/>
        <v>1028.6582382231866</v>
      </c>
      <c r="CA157" s="361">
        <f t="shared" ref="CA157" si="146">(((CA156/1.13)/CA3)/1)</f>
        <v>1025.800854228122</v>
      </c>
      <c r="CB157" s="361">
        <f t="shared" ref="CB157" si="147">(((CB156/1.13)/CB3)/1)</f>
        <v>1040.0228198014702</v>
      </c>
      <c r="CC157" s="361">
        <f t="shared" ref="CC157:CD157" si="148">(((CC156/1.13)/CC3)/1)</f>
        <v>1042.9198192995245</v>
      </c>
      <c r="CD157" s="361">
        <f t="shared" si="148"/>
        <v>1037.141870162131</v>
      </c>
      <c r="CE157" s="361">
        <f t="shared" ref="CE157" si="149">(((CE156/1.13)/CE3)/1)</f>
        <v>1035.707372416402</v>
      </c>
      <c r="CF157" s="361">
        <f t="shared" ref="CF157" si="150">(((CF156/1.13)/CF3)/1)</f>
        <v>1063.4916620475042</v>
      </c>
      <c r="CG157" s="361">
        <f t="shared" ref="CG157:CH157" si="151">(((CG156/1.13)/CG3)/1)</f>
        <v>1062.0227509120796</v>
      </c>
      <c r="CH157" s="361">
        <f t="shared" si="151"/>
        <v>1062.0227509120796</v>
      </c>
      <c r="CI157" s="361">
        <f t="shared" ref="CI157" si="152">(((CI156/1.13)/CI3)/1)</f>
        <v>1062.0227509120796</v>
      </c>
      <c r="CJ157" s="361">
        <f t="shared" ref="CJ157" si="153">(((CJ156/1.13)/CJ3)/1)</f>
        <v>1076.1700304746007</v>
      </c>
      <c r="CK157" s="361">
        <f t="shared" ref="CK157:CL157" si="154">(((CK156/1.13)/CK3)/1)</f>
        <v>1073.1930732672022</v>
      </c>
      <c r="CL157" s="361">
        <f t="shared" si="154"/>
        <v>1073.1930732672022</v>
      </c>
      <c r="CM157" s="361">
        <f t="shared" ref="CM157" si="155">(((CM156/1.13)/CM3)/1)</f>
        <v>1073.1930732672022</v>
      </c>
      <c r="CN157" s="361">
        <f t="shared" ref="CN157" si="156">(((CN156/1.13)/CN3)/1)</f>
        <v>1073.1930732672022</v>
      </c>
      <c r="CO157" s="361">
        <f t="shared" ref="CO157:CP157" si="157">(((CO156/1.13)/CO3)/1)</f>
        <v>1135.4644155124524</v>
      </c>
      <c r="CP157" s="361">
        <f t="shared" si="157"/>
        <v>1135.4644155124524</v>
      </c>
      <c r="CQ157" s="361">
        <f t="shared" ref="CQ157" si="158">(((CQ156/1.13)/CQ3)/1)</f>
        <v>1132.33641436779</v>
      </c>
      <c r="CR157" s="361">
        <f t="shared" ref="CR157" si="159">(((CR156/1.13)/CR3)/1)</f>
        <v>1130.7788677180408</v>
      </c>
      <c r="CS157" s="361">
        <f t="shared" ref="CS157:CT157" si="160">(((CS156/1.13)/CS3)/1)</f>
        <v>1065.2931289130181</v>
      </c>
      <c r="CT157" s="361">
        <f t="shared" si="160"/>
        <v>1065.2931289130181</v>
      </c>
      <c r="CU157" s="361">
        <f t="shared" ref="CU157" si="161">(((CU156/1.13)/CU3)/1)</f>
        <v>1063.8298141755001</v>
      </c>
      <c r="CV157" s="361">
        <f t="shared" ref="CV157" si="162">(((CV156/1.13)/CV3)/1)</f>
        <v>1071.1868668323154</v>
      </c>
      <c r="CW157" s="361">
        <f t="shared" ref="CW157:CX157" si="163">(((CW156/1.13)/CW3)/1)</f>
        <v>1049.1335297550725</v>
      </c>
      <c r="CX157" s="361">
        <f t="shared" si="163"/>
        <v>1047.672340994968</v>
      </c>
      <c r="CY157" s="361">
        <f t="shared" ref="CY157" si="164">(((CY156/1.13)/CY3)/1)</f>
        <v>1052.0681689991427</v>
      </c>
      <c r="CZ157" s="361">
        <f t="shared" ref="CZ157" si="165">(((CZ156/1.13)/CZ3)/1)</f>
        <v>1057.9869772635541</v>
      </c>
      <c r="DA157" s="361">
        <f t="shared" ref="DA157:DB157" si="166">(((DA156/1.13)/DA3)/1)</f>
        <v>1051.4391140457083</v>
      </c>
      <c r="DB157" s="361">
        <f t="shared" si="166"/>
        <v>1048.4814794070423</v>
      </c>
      <c r="DC157" s="361">
        <f t="shared" ref="DC157" si="167">(((DC156/1.13)/DC3)/1)</f>
        <v>1055.9069856351375</v>
      </c>
      <c r="DD157" s="361">
        <f t="shared" ref="DD157" si="168">(((DD156/1.13)/DD3)/1)</f>
        <v>1061.9235496558506</v>
      </c>
      <c r="DE157" s="361">
        <f t="shared" ref="DE157:DF157" si="169">(((DE156/1.13)/DE3)/1)</f>
        <v>962.43197750572392</v>
      </c>
      <c r="DF157" s="361">
        <f t="shared" si="169"/>
        <v>950.24929424615766</v>
      </c>
      <c r="DG157" s="361">
        <f t="shared" ref="DG157" si="170">(((DG156/1.13)/DG3)/1)</f>
        <v>947.58379832961873</v>
      </c>
      <c r="DH157" s="361">
        <f t="shared" ref="DH157" si="171">(((DH156/1.13)/DH3)/1)</f>
        <v>946.25665015268646</v>
      </c>
      <c r="DI157" s="361">
        <f t="shared" ref="DI157:DJ157" si="172">(((DI156/1.13)/DI3)/1)</f>
        <v>904.1123652577669</v>
      </c>
      <c r="DJ157" s="361">
        <f t="shared" si="172"/>
        <v>875.530912251068</v>
      </c>
      <c r="DK157" s="361">
        <f t="shared" ref="DK157" si="173">(((DK156/1.13)/DK3)/1)</f>
        <v>890.61873563780387</v>
      </c>
      <c r="DL157" s="361">
        <f t="shared" ref="DL157" si="174">(((DL156/1.13)/DL3)/1)</f>
        <v>893.2445939686487</v>
      </c>
      <c r="DM157" s="361">
        <f t="shared" ref="DM157:DN157" si="175">(((DM156/1.13)/DM3)/1)</f>
        <v>926.50485082348371</v>
      </c>
      <c r="DN157" s="361">
        <f t="shared" si="175"/>
        <v>930.35994692700046</v>
      </c>
      <c r="DO157" s="361">
        <f t="shared" ref="DO157:DT157" si="176">(((DO156/1.13)/DO3)/1)</f>
        <v>920.37912801596849</v>
      </c>
      <c r="DP157" s="184">
        <f t="shared" si="176"/>
        <v>911.74687840950435</v>
      </c>
      <c r="DQ157" s="361" t="e">
        <f t="shared" si="176"/>
        <v>#DIV/0!</v>
      </c>
      <c r="DR157" s="361" t="e">
        <f t="shared" si="176"/>
        <v>#DIV/0!</v>
      </c>
      <c r="DS157" s="361" t="e">
        <f t="shared" si="176"/>
        <v>#DIV/0!</v>
      </c>
      <c r="DT157" s="361" t="e">
        <f t="shared" si="176"/>
        <v>#DIV/0!</v>
      </c>
    </row>
  </sheetData>
  <autoFilter ref="A4:XFD157" xr:uid="{00000000-0009-0000-0000-000004000000}"/>
  <phoneticPr fontId="52" type="noConversion"/>
  <hyperlinks>
    <hyperlink ref="C1" location="'Index '!A1" display="'Index '!A1" xr:uid="{00000000-0004-0000-0400-000000000000}"/>
    <hyperlink ref="B118" r:id="rId1" xr:uid="{00000000-0004-0000-0400-000001000000}"/>
  </hyperlinks>
  <pageMargins left="0.7" right="0.7" top="0.75" bottom="0.75" header="0.3" footer="0.3"/>
  <pageSetup orientation="portrait"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dimension ref="A1:DS21"/>
  <sheetViews>
    <sheetView zoomScale="144" zoomScaleNormal="90" workbookViewId="0">
      <pane xSplit="11" ySplit="6" topLeftCell="L7" activePane="bottomRight" state="frozen"/>
      <selection pane="topRight" activeCell="L1" sqref="L1"/>
      <selection pane="bottomLeft" activeCell="A7" sqref="A7"/>
      <selection pane="bottomRight"/>
    </sheetView>
  </sheetViews>
  <sheetFormatPr baseColWidth="10" defaultColWidth="8.6640625" defaultRowHeight="12"/>
  <cols>
    <col min="1" max="1" width="13.33203125" style="60" bestFit="1" customWidth="1"/>
    <col min="2" max="2" width="13.6640625" style="60" bestFit="1" customWidth="1"/>
    <col min="3" max="3" width="6.5" style="60" bestFit="1" customWidth="1"/>
    <col min="4" max="4" width="13.6640625" style="60" bestFit="1" customWidth="1"/>
    <col min="5" max="5" width="11.83203125" style="60" bestFit="1" customWidth="1"/>
    <col min="6" max="6" width="6" style="60" bestFit="1" customWidth="1"/>
    <col min="7" max="7" width="22.83203125" style="60" bestFit="1" customWidth="1"/>
    <col min="8" max="8" width="5.1640625" style="60" bestFit="1" customWidth="1"/>
    <col min="9" max="9" width="5.5" style="60" bestFit="1" customWidth="1"/>
    <col min="10" max="10" width="5.6640625" style="60" bestFit="1" customWidth="1"/>
    <col min="11" max="11" width="5.33203125" style="60" bestFit="1" customWidth="1"/>
    <col min="12" max="12" width="5.83203125" style="60" bestFit="1" customWidth="1"/>
    <col min="13" max="13" width="5.1640625" style="60" bestFit="1" customWidth="1"/>
    <col min="14" max="14" width="4.6640625" style="60" bestFit="1" customWidth="1"/>
    <col min="15" max="17" width="5.5" style="60" bestFit="1" customWidth="1"/>
    <col min="18" max="18" width="5.6640625" style="60" bestFit="1" customWidth="1"/>
    <col min="19" max="19" width="5.5" style="60" bestFit="1" customWidth="1"/>
    <col min="20" max="20" width="5.1640625" style="60" bestFit="1" customWidth="1"/>
    <col min="21" max="21" width="5.5" style="60" bestFit="1" customWidth="1"/>
    <col min="22" max="22" width="5.6640625" style="60" bestFit="1" customWidth="1"/>
    <col min="23" max="23" width="5.33203125" style="60" bestFit="1" customWidth="1"/>
    <col min="24" max="24" width="5.83203125" style="60" bestFit="1" customWidth="1"/>
    <col min="25" max="25" width="5.1640625" style="60" bestFit="1" customWidth="1"/>
    <col min="26" max="26" width="4.6640625" style="60" bestFit="1" customWidth="1"/>
    <col min="27" max="29" width="5.5" style="60" bestFit="1" customWidth="1"/>
    <col min="30" max="30" width="5.6640625" style="60" bestFit="1" customWidth="1"/>
    <col min="31" max="31" width="5.5" style="60" bestFit="1" customWidth="1"/>
    <col min="32" max="32" width="5.1640625" style="60" bestFit="1" customWidth="1"/>
    <col min="33" max="33" width="5.5" style="60" bestFit="1" customWidth="1"/>
    <col min="34" max="34" width="5.6640625" style="60" bestFit="1" customWidth="1"/>
    <col min="35" max="35" width="5.33203125" style="60" bestFit="1" customWidth="1"/>
    <col min="36" max="36" width="5.83203125" style="60" bestFit="1" customWidth="1"/>
    <col min="37" max="37" width="5.1640625" style="60" bestFit="1" customWidth="1"/>
    <col min="38" max="38" width="4.6640625" style="60" bestFit="1" customWidth="1"/>
    <col min="39" max="41" width="5.5" style="60" bestFit="1" customWidth="1"/>
    <col min="42" max="42" width="5.6640625" style="60" bestFit="1" customWidth="1"/>
    <col min="43" max="43" width="5.5" style="60" bestFit="1" customWidth="1"/>
    <col min="44" max="44" width="5.1640625" style="60" bestFit="1" customWidth="1"/>
    <col min="45" max="45" width="5.5" style="60" bestFit="1" customWidth="1"/>
    <col min="46" max="46" width="5.6640625" style="60" bestFit="1" customWidth="1"/>
    <col min="47" max="47" width="5.33203125" style="60" bestFit="1" customWidth="1"/>
    <col min="48" max="48" width="5.83203125" style="60" bestFit="1" customWidth="1"/>
    <col min="49" max="49" width="5.1640625" style="60" bestFit="1" customWidth="1"/>
    <col min="50" max="53" width="5.83203125" style="60" bestFit="1" customWidth="1"/>
    <col min="54" max="55" width="6.5" style="60" bestFit="1" customWidth="1"/>
    <col min="56" max="57" width="5.83203125" style="60" bestFit="1" customWidth="1"/>
    <col min="58" max="58" width="6.1640625" style="60" bestFit="1" customWidth="1"/>
    <col min="59" max="65" width="5.5" style="60" bestFit="1" customWidth="1"/>
    <col min="66" max="69" width="5.6640625" style="60" bestFit="1" customWidth="1"/>
    <col min="70" max="73" width="5.5" style="60" bestFit="1" customWidth="1"/>
    <col min="74" max="77" width="5.1640625" style="60" bestFit="1" customWidth="1"/>
    <col min="78" max="81" width="5.5" style="60" bestFit="1" customWidth="1"/>
    <col min="82" max="85" width="6.1640625" style="60" bestFit="1" customWidth="1"/>
    <col min="86" max="89" width="5.5" style="60" bestFit="1" customWidth="1"/>
    <col min="90" max="94" width="6.33203125" style="60" bestFit="1" customWidth="1"/>
    <col min="95" max="98" width="6.1640625" style="60" bestFit="1" customWidth="1"/>
    <col min="99" max="99" width="5.1640625" style="60" bestFit="1" customWidth="1"/>
    <col min="100" max="102" width="6.1640625" style="60" bestFit="1" customWidth="1"/>
    <col min="103" max="106" width="5.83203125" style="60" bestFit="1" customWidth="1"/>
    <col min="107" max="114" width="5.6640625" style="60" bestFit="1" customWidth="1"/>
    <col min="115" max="118" width="6.1640625" style="60" bestFit="1" customWidth="1"/>
    <col min="119" max="122" width="5.83203125" style="60" bestFit="1" customWidth="1"/>
    <col min="123" max="16384" width="8.6640625" style="60"/>
  </cols>
  <sheetData>
    <row r="1" spans="1:123">
      <c r="A1" s="59" t="s">
        <v>377</v>
      </c>
      <c r="B1" s="59" t="s">
        <v>378</v>
      </c>
      <c r="C1" s="59" t="s">
        <v>379</v>
      </c>
      <c r="D1" s="59" t="s">
        <v>380</v>
      </c>
      <c r="E1" s="59" t="s">
        <v>381</v>
      </c>
      <c r="F1" s="59" t="s">
        <v>33</v>
      </c>
      <c r="G1" s="191"/>
      <c r="H1" s="61">
        <v>6</v>
      </c>
      <c r="I1" s="61">
        <v>7</v>
      </c>
      <c r="J1" s="61">
        <v>8</v>
      </c>
      <c r="K1" s="61">
        <v>9</v>
      </c>
      <c r="L1" s="61">
        <v>10</v>
      </c>
      <c r="M1" s="61">
        <v>11</v>
      </c>
      <c r="N1" s="61">
        <v>12</v>
      </c>
      <c r="O1" s="61">
        <v>13</v>
      </c>
      <c r="P1" s="61">
        <v>14</v>
      </c>
      <c r="Q1" s="61">
        <v>15</v>
      </c>
      <c r="R1" s="61">
        <v>16</v>
      </c>
      <c r="S1" s="61">
        <v>17</v>
      </c>
      <c r="T1" s="61">
        <v>18</v>
      </c>
      <c r="U1" s="61">
        <v>19</v>
      </c>
      <c r="V1" s="61">
        <v>20</v>
      </c>
      <c r="W1" s="61">
        <v>21</v>
      </c>
      <c r="X1" s="61">
        <v>22</v>
      </c>
      <c r="Y1" s="61">
        <v>23</v>
      </c>
      <c r="Z1" s="61">
        <v>24</v>
      </c>
      <c r="AA1" s="61">
        <v>25</v>
      </c>
      <c r="AB1" s="61">
        <v>26</v>
      </c>
      <c r="AC1" s="61">
        <v>27</v>
      </c>
      <c r="AD1" s="61">
        <v>28</v>
      </c>
      <c r="AE1" s="61">
        <v>29</v>
      </c>
      <c r="AF1" s="61">
        <v>30</v>
      </c>
      <c r="AG1" s="61">
        <v>31</v>
      </c>
      <c r="AH1" s="61">
        <v>32</v>
      </c>
      <c r="AI1" s="61">
        <v>33</v>
      </c>
      <c r="AJ1" s="61">
        <v>34</v>
      </c>
      <c r="AK1" s="61">
        <v>35</v>
      </c>
      <c r="AL1" s="61">
        <v>36</v>
      </c>
      <c r="AM1" s="61">
        <v>37</v>
      </c>
      <c r="AN1" s="61">
        <v>38</v>
      </c>
      <c r="AO1" s="61">
        <v>39</v>
      </c>
      <c r="AP1" s="61">
        <v>40</v>
      </c>
      <c r="AQ1" s="61">
        <v>41</v>
      </c>
      <c r="AR1" s="61">
        <v>42</v>
      </c>
      <c r="AS1" s="61">
        <v>43</v>
      </c>
      <c r="AT1" s="61">
        <v>44</v>
      </c>
      <c r="AU1" s="61">
        <v>45</v>
      </c>
      <c r="AV1" s="61">
        <v>46</v>
      </c>
      <c r="AW1" s="61">
        <v>47</v>
      </c>
      <c r="AX1" s="61">
        <v>48</v>
      </c>
      <c r="AY1" s="61">
        <v>49</v>
      </c>
      <c r="AZ1" s="61">
        <v>50</v>
      </c>
      <c r="BA1" s="61">
        <v>51</v>
      </c>
      <c r="BB1" s="61">
        <v>52</v>
      </c>
      <c r="BC1" s="61">
        <v>53</v>
      </c>
      <c r="BD1" s="61">
        <v>54</v>
      </c>
      <c r="BE1" s="61">
        <v>55</v>
      </c>
      <c r="BF1" s="61">
        <v>56</v>
      </c>
      <c r="BG1" s="61">
        <v>57</v>
      </c>
      <c r="BH1" s="61">
        <v>58</v>
      </c>
      <c r="BI1" s="61">
        <v>59</v>
      </c>
      <c r="BJ1" s="61">
        <v>60</v>
      </c>
      <c r="BK1" s="61">
        <v>61</v>
      </c>
      <c r="BL1" s="61">
        <v>62</v>
      </c>
      <c r="BM1" s="61">
        <v>63</v>
      </c>
      <c r="BN1" s="61">
        <v>64</v>
      </c>
      <c r="BO1" s="61">
        <v>65</v>
      </c>
      <c r="BP1" s="61">
        <v>66</v>
      </c>
      <c r="BQ1" s="61">
        <v>67</v>
      </c>
      <c r="BR1" s="61">
        <v>68</v>
      </c>
      <c r="BS1" s="61">
        <v>69</v>
      </c>
      <c r="BT1" s="61">
        <v>70</v>
      </c>
      <c r="BU1" s="61">
        <v>71</v>
      </c>
      <c r="BV1" s="61">
        <v>72</v>
      </c>
      <c r="BW1" s="61">
        <v>73</v>
      </c>
      <c r="BX1" s="61">
        <v>74</v>
      </c>
      <c r="BY1" s="61">
        <v>75</v>
      </c>
      <c r="BZ1" s="61">
        <v>76</v>
      </c>
      <c r="CA1" s="61">
        <v>77</v>
      </c>
      <c r="CB1" s="61">
        <v>78</v>
      </c>
      <c r="CC1" s="61">
        <v>79</v>
      </c>
      <c r="CD1" s="61">
        <v>80</v>
      </c>
      <c r="CE1" s="61">
        <v>81</v>
      </c>
      <c r="CF1" s="61">
        <v>82</v>
      </c>
      <c r="CG1" s="61">
        <v>83</v>
      </c>
      <c r="CH1" s="61">
        <v>84</v>
      </c>
      <c r="CI1" s="61">
        <v>85</v>
      </c>
      <c r="CJ1" s="61">
        <v>86</v>
      </c>
      <c r="CK1" s="61">
        <v>87</v>
      </c>
      <c r="CL1" s="61">
        <v>88</v>
      </c>
      <c r="CM1" s="61">
        <v>89</v>
      </c>
      <c r="CN1" s="61">
        <v>90</v>
      </c>
      <c r="CO1" s="61">
        <v>91</v>
      </c>
      <c r="CP1" s="61">
        <v>92</v>
      </c>
      <c r="CQ1" s="61">
        <v>93</v>
      </c>
      <c r="CR1" s="61">
        <v>94</v>
      </c>
      <c r="CS1" s="61">
        <v>95</v>
      </c>
      <c r="CT1" s="61">
        <v>96</v>
      </c>
      <c r="CU1" s="61">
        <v>97</v>
      </c>
      <c r="CV1" s="61">
        <v>98</v>
      </c>
      <c r="CW1" s="61">
        <v>99</v>
      </c>
      <c r="CX1" s="61">
        <v>100</v>
      </c>
      <c r="CY1" s="61">
        <v>101</v>
      </c>
      <c r="CZ1" s="61">
        <v>102</v>
      </c>
      <c r="DA1" s="61">
        <v>103</v>
      </c>
      <c r="DB1" s="61">
        <v>104</v>
      </c>
      <c r="DC1" s="61">
        <v>105</v>
      </c>
      <c r="DD1" s="61">
        <v>106</v>
      </c>
      <c r="DE1" s="61">
        <v>107</v>
      </c>
      <c r="DF1" s="61">
        <v>108</v>
      </c>
      <c r="DG1" s="61">
        <v>109</v>
      </c>
      <c r="DH1" s="61">
        <v>110</v>
      </c>
      <c r="DI1" s="61">
        <v>111</v>
      </c>
      <c r="DJ1" s="61">
        <v>112</v>
      </c>
      <c r="DK1" s="61">
        <v>113</v>
      </c>
      <c r="DL1" s="61">
        <v>114</v>
      </c>
      <c r="DM1" s="61">
        <v>115</v>
      </c>
      <c r="DN1" s="61">
        <v>116</v>
      </c>
      <c r="DO1" s="61">
        <v>117</v>
      </c>
      <c r="DP1" s="61">
        <v>118</v>
      </c>
      <c r="DQ1" s="61">
        <v>119</v>
      </c>
      <c r="DR1" s="61">
        <v>120</v>
      </c>
      <c r="DS1" s="61">
        <v>121</v>
      </c>
    </row>
    <row r="2" spans="1:123">
      <c r="A2" s="60" t="s">
        <v>382</v>
      </c>
      <c r="D2" s="60" t="s">
        <v>383</v>
      </c>
    </row>
    <row r="3" spans="1:123">
      <c r="A3" s="60" t="s">
        <v>384</v>
      </c>
      <c r="B3" s="64" t="s">
        <v>385</v>
      </c>
      <c r="C3" s="64"/>
      <c r="D3" s="60" t="s">
        <v>386</v>
      </c>
      <c r="E3" s="64"/>
      <c r="G3" s="60" t="s">
        <v>387</v>
      </c>
    </row>
    <row r="4" spans="1:123">
      <c r="A4" s="64">
        <v>28.05</v>
      </c>
      <c r="B4" s="64">
        <v>35.43</v>
      </c>
      <c r="D4" s="64">
        <v>98.96</v>
      </c>
      <c r="E4" s="64"/>
    </row>
    <row r="5" spans="1:123">
      <c r="A5" s="74">
        <f>A4/D4</f>
        <v>0.28344785772029107</v>
      </c>
      <c r="B5" s="85">
        <f>B4/D4</f>
        <v>0.35802344381568313</v>
      </c>
      <c r="D5" s="64"/>
      <c r="E5" s="64"/>
    </row>
    <row r="6" spans="1:123">
      <c r="D6" s="64"/>
      <c r="G6" s="59" t="s">
        <v>388</v>
      </c>
      <c r="H6" s="59">
        <v>43831</v>
      </c>
      <c r="I6" s="59">
        <v>43862</v>
      </c>
      <c r="J6" s="59">
        <v>43891</v>
      </c>
      <c r="K6" s="59">
        <v>43922</v>
      </c>
      <c r="L6" s="59">
        <v>43952</v>
      </c>
      <c r="M6" s="59">
        <v>43983</v>
      </c>
      <c r="N6" s="59">
        <v>44013</v>
      </c>
      <c r="O6" s="59">
        <v>44044</v>
      </c>
      <c r="P6" s="59">
        <v>44075</v>
      </c>
      <c r="Q6" s="59">
        <v>44105</v>
      </c>
      <c r="R6" s="59">
        <v>44136</v>
      </c>
      <c r="S6" s="59">
        <v>44166</v>
      </c>
      <c r="T6" s="59">
        <v>44197</v>
      </c>
      <c r="U6" s="59">
        <v>44228</v>
      </c>
      <c r="V6" s="59">
        <v>44256</v>
      </c>
      <c r="W6" s="59">
        <v>44287</v>
      </c>
      <c r="X6" s="59">
        <v>44317</v>
      </c>
      <c r="Y6" s="59">
        <v>44348</v>
      </c>
      <c r="Z6" s="59">
        <v>44378</v>
      </c>
      <c r="AA6" s="59">
        <v>44409</v>
      </c>
      <c r="AB6" s="59">
        <v>44440</v>
      </c>
      <c r="AC6" s="59">
        <v>44470</v>
      </c>
      <c r="AD6" s="59">
        <v>44501</v>
      </c>
      <c r="AE6" s="59">
        <v>44531</v>
      </c>
      <c r="AF6" s="59">
        <v>44562</v>
      </c>
      <c r="AG6" s="59">
        <v>44593</v>
      </c>
      <c r="AH6" s="59">
        <v>44621</v>
      </c>
      <c r="AI6" s="59">
        <v>44652</v>
      </c>
      <c r="AJ6" s="59">
        <v>44682</v>
      </c>
      <c r="AK6" s="59">
        <v>44713</v>
      </c>
      <c r="AL6" s="59">
        <v>44743</v>
      </c>
      <c r="AM6" s="59">
        <v>44774</v>
      </c>
      <c r="AN6" s="59">
        <v>44805</v>
      </c>
      <c r="AO6" s="59">
        <v>44835</v>
      </c>
      <c r="AP6" s="59">
        <v>44866</v>
      </c>
      <c r="AQ6" s="59">
        <v>44896</v>
      </c>
      <c r="AR6" s="59">
        <v>44927</v>
      </c>
      <c r="AS6" s="59">
        <v>44958</v>
      </c>
      <c r="AT6" s="59">
        <v>44986</v>
      </c>
      <c r="AU6" s="59">
        <v>45017</v>
      </c>
      <c r="AV6" s="59">
        <v>45047</v>
      </c>
      <c r="AW6" s="59">
        <v>45078</v>
      </c>
      <c r="AX6" s="59" t="s">
        <v>389</v>
      </c>
      <c r="AY6" s="59" t="s">
        <v>390</v>
      </c>
      <c r="AZ6" s="59" t="s">
        <v>391</v>
      </c>
      <c r="BA6" s="59" t="s">
        <v>392</v>
      </c>
      <c r="BB6" s="59" t="s">
        <v>13</v>
      </c>
      <c r="BC6" s="59" t="s">
        <v>14</v>
      </c>
      <c r="BD6" s="59" t="s">
        <v>168</v>
      </c>
      <c r="BE6" s="59" t="s">
        <v>169</v>
      </c>
      <c r="BF6" s="59" t="s">
        <v>393</v>
      </c>
      <c r="BG6" s="59">
        <v>37500</v>
      </c>
      <c r="BH6" s="59">
        <v>37865</v>
      </c>
      <c r="BI6" s="59">
        <v>38231</v>
      </c>
      <c r="BJ6" s="59">
        <v>37165</v>
      </c>
      <c r="BK6" s="59">
        <v>37530</v>
      </c>
      <c r="BL6" s="59">
        <v>37895</v>
      </c>
      <c r="BM6" s="59">
        <v>38261</v>
      </c>
      <c r="BN6" s="59">
        <v>37196</v>
      </c>
      <c r="BO6" s="59">
        <v>37561</v>
      </c>
      <c r="BP6" s="59">
        <v>37926</v>
      </c>
      <c r="BQ6" s="59">
        <v>38292</v>
      </c>
      <c r="BR6" s="59">
        <v>37226</v>
      </c>
      <c r="BS6" s="59">
        <v>37591</v>
      </c>
      <c r="BT6" s="59">
        <v>37956</v>
      </c>
      <c r="BU6" s="59">
        <v>38322</v>
      </c>
      <c r="BV6" s="59">
        <v>36892</v>
      </c>
      <c r="BW6" s="59">
        <v>37257</v>
      </c>
      <c r="BX6" s="59">
        <v>37622</v>
      </c>
      <c r="BY6" s="59">
        <v>37987</v>
      </c>
      <c r="BZ6" s="59">
        <v>36923</v>
      </c>
      <c r="CA6" s="59">
        <v>37288</v>
      </c>
      <c r="CB6" s="59">
        <v>37653</v>
      </c>
      <c r="CC6" s="59">
        <v>38018</v>
      </c>
      <c r="CD6" s="59" t="str">
        <f>Sheet8!A15</f>
        <v>Mar-w1</v>
      </c>
      <c r="CE6" s="59" t="str">
        <f>Sheet8!B15</f>
        <v>Mar-w2</v>
      </c>
      <c r="CF6" s="59" t="str">
        <f>Sheet8!C15</f>
        <v>Mar-w3</v>
      </c>
      <c r="CG6" s="59" t="str">
        <f>Sheet8!D15</f>
        <v>Mar-w4</v>
      </c>
      <c r="CH6" s="59" t="str">
        <f>Sheet8!E15</f>
        <v>Apr-w1</v>
      </c>
      <c r="CI6" s="59" t="str">
        <f>Sheet8!F15</f>
        <v>Apr-w2</v>
      </c>
      <c r="CJ6" s="59" t="str">
        <f>Sheet8!G15</f>
        <v>Apr-w3</v>
      </c>
      <c r="CK6" s="59" t="str">
        <f>Sheet8!H15</f>
        <v>Apr-w4</v>
      </c>
      <c r="CL6" s="59" t="str">
        <f>Sheet8!I15</f>
        <v>May-w1</v>
      </c>
      <c r="CM6" s="59" t="str">
        <f>Sheet8!J15</f>
        <v>May-w2</v>
      </c>
      <c r="CN6" s="59" t="str">
        <f>Sheet8!K15</f>
        <v>May-w3</v>
      </c>
      <c r="CO6" s="59" t="str">
        <f>Sheet8!L15</f>
        <v>May-w4</v>
      </c>
      <c r="CP6" s="59" t="str">
        <f>Sheet8!M15</f>
        <v>May-w5</v>
      </c>
      <c r="CQ6" s="59" t="str">
        <f>Sheet8!N15</f>
        <v>june-w1</v>
      </c>
      <c r="CR6" s="59" t="str">
        <f>Sheet8!O15</f>
        <v>june-w2</v>
      </c>
      <c r="CS6" s="59" t="str">
        <f>Sheet8!P15</f>
        <v>june-w3</v>
      </c>
      <c r="CT6" s="59" t="str">
        <f>Sheet8!Q15</f>
        <v>june-w4</v>
      </c>
      <c r="CU6" s="59" t="str">
        <f>Sheet8!R15</f>
        <v>Jul-w1</v>
      </c>
      <c r="CV6" s="59" t="str">
        <f>Sheet8!S15</f>
        <v>Jul-w2</v>
      </c>
      <c r="CW6" s="59" t="str">
        <f>Sheet8!T15</f>
        <v>Jul-w3</v>
      </c>
      <c r="CX6" s="59" t="str">
        <f>Sheet8!U15</f>
        <v>Jul-w4</v>
      </c>
      <c r="CY6" s="59" t="str">
        <f>Sheet8!V15</f>
        <v>Aug-w1</v>
      </c>
      <c r="CZ6" s="59" t="str">
        <f>Sheet8!W15</f>
        <v>Aug-w2</v>
      </c>
      <c r="DA6" s="59" t="str">
        <f>Sheet8!X15</f>
        <v>Aug-w3</v>
      </c>
      <c r="DB6" s="59" t="str">
        <f>Sheet8!Y15</f>
        <v>Aug-w4</v>
      </c>
      <c r="DC6" s="59" t="str">
        <f>Sheet8!Z15</f>
        <v>Sep-w1</v>
      </c>
      <c r="DD6" s="59" t="str">
        <f>Sheet8!AA15</f>
        <v>Sep-w2</v>
      </c>
      <c r="DE6" s="59" t="str">
        <f>Sheet8!AB15</f>
        <v>Sep-w3</v>
      </c>
      <c r="DF6" s="59" t="str">
        <f>Sheet8!AC15</f>
        <v>Sep-w4</v>
      </c>
      <c r="DG6" s="59" t="str">
        <f>Sheet8!AD15</f>
        <v>Oct-w1</v>
      </c>
      <c r="DH6" s="59" t="str">
        <f>Sheet8!AE15</f>
        <v>Oct-w2</v>
      </c>
      <c r="DI6" s="59" t="str">
        <f>Sheet8!AF15</f>
        <v>Oct-w3</v>
      </c>
      <c r="DJ6" s="59" t="str">
        <f>Sheet8!AG15</f>
        <v>Oct-w4</v>
      </c>
      <c r="DK6" s="59" t="str">
        <f>Sheet8!AH15</f>
        <v>Nov-w1</v>
      </c>
      <c r="DL6" s="59" t="str">
        <f>Sheet8!AI15</f>
        <v>Nov-w2</v>
      </c>
      <c r="DM6" s="59" t="str">
        <f>Sheet8!AJ15</f>
        <v>Nov-w3</v>
      </c>
      <c r="DN6" s="59" t="str">
        <f>Sheet8!AK15</f>
        <v>Nov-w4</v>
      </c>
      <c r="DO6" s="59" t="str">
        <f>Sheet8!AL15</f>
        <v>Dec-w1</v>
      </c>
      <c r="DP6" s="59" t="str">
        <f>Sheet8!AM15</f>
        <v>Dec-w2</v>
      </c>
      <c r="DQ6" s="59" t="str">
        <f>Sheet8!AN15</f>
        <v>Dec-w3</v>
      </c>
      <c r="DR6" s="59" t="str">
        <f>Sheet8!AO15</f>
        <v>Dec-w4</v>
      </c>
    </row>
    <row r="7" spans="1:123">
      <c r="A7" s="72"/>
      <c r="C7" s="367" t="s">
        <v>39</v>
      </c>
      <c r="D7" s="367"/>
      <c r="E7" s="367"/>
      <c r="G7" s="60" t="s">
        <v>40</v>
      </c>
      <c r="H7" s="70">
        <f>VLOOKUP($G$7&amp;$F$1,'Input RM sheet'!$A:$BD,H1,0)</f>
        <v>1077</v>
      </c>
      <c r="I7" s="70">
        <f>VLOOKUP($G$7&amp;$F$1,'Input RM sheet'!$A:$BD,I1,0)</f>
        <v>1059</v>
      </c>
      <c r="J7" s="70">
        <f>VLOOKUP($G$7&amp;$F$1,'Input RM sheet'!$A:$BD,J1,0)</f>
        <v>1019</v>
      </c>
      <c r="K7" s="70">
        <f>VLOOKUP($G$7&amp;$F$1,'Input RM sheet'!$A:$BD,K1,0)</f>
        <v>782.44</v>
      </c>
      <c r="L7" s="70">
        <f>VLOOKUP($G$7&amp;$F$1,'Input RM sheet'!$A:$BD,L1,0)</f>
        <v>677.6</v>
      </c>
      <c r="M7" s="70">
        <f>VLOOKUP($G$7&amp;$F$1,'Input RM sheet'!$A:$BD,M1,0)</f>
        <v>765.27</v>
      </c>
      <c r="N7" s="70">
        <f>VLOOKUP($G$7&amp;$F$1,'Input RM sheet'!$A:$BD,N1,0)</f>
        <v>875.28</v>
      </c>
      <c r="O7" s="70">
        <f>VLOOKUP($G$7&amp;$F$1,'Input RM sheet'!$A:$BD,O1,0)</f>
        <v>928.66</v>
      </c>
      <c r="P7" s="70">
        <f>VLOOKUP($G$7&amp;$F$1,'Input RM sheet'!$A:$BD,P1,0)</f>
        <v>925.21</v>
      </c>
      <c r="Q7" s="70">
        <f>VLOOKUP($G$7&amp;$F$1,'Input RM sheet'!$A:$BD,Q1,0)</f>
        <v>911.97</v>
      </c>
      <c r="R7" s="70">
        <f>VLOOKUP($G$7&amp;$F$1,'Input RM sheet'!$A:$BD,R1,0)</f>
        <v>918.08</v>
      </c>
      <c r="S7" s="70">
        <f>VLOOKUP($G$7&amp;$F$1,'Input RM sheet'!$A:$BD,S1,0)</f>
        <v>967.72</v>
      </c>
      <c r="T7" s="70">
        <f>VLOOKUP($G$7&amp;$F$1,'Input RM sheet'!$A:$BD,T1,0)</f>
        <v>1046</v>
      </c>
      <c r="U7" s="70">
        <f>VLOOKUP($G$7&amp;$F$1,'Input RM sheet'!$A:$BD,U1,0)</f>
        <v>1125</v>
      </c>
      <c r="V7" s="70">
        <f>VLOOKUP($G$7&amp;$F$1,'Input RM sheet'!$A:$BD,V1,0)</f>
        <v>1196</v>
      </c>
      <c r="W7" s="70">
        <f>VLOOKUP($G$7&amp;$F$1,'Input RM sheet'!$A:$BD,W1,0)</f>
        <v>1250</v>
      </c>
      <c r="X7" s="70">
        <f>VLOOKUP($G$7&amp;$F$1,'Input RM sheet'!$A:$BD,X1,0)</f>
        <v>1275</v>
      </c>
      <c r="Y7" s="70">
        <f>VLOOKUP($G$7&amp;$F$1,'Input RM sheet'!$A:$BD,Y1,0)</f>
        <v>1300</v>
      </c>
      <c r="Z7" s="70">
        <f>VLOOKUP($G$7&amp;$F$1,'Input RM sheet'!$A:$BD,Z1,0)</f>
        <v>1325</v>
      </c>
      <c r="AA7" s="70">
        <f>VLOOKUP($G$7&amp;$F$1,'Input RM sheet'!$A:$BD,AA1,0)</f>
        <v>1381</v>
      </c>
      <c r="AB7" s="70">
        <f>VLOOKUP($G$7&amp;$F$1,'Input RM sheet'!$A:$BD,AB1,0)</f>
        <v>1371</v>
      </c>
      <c r="AC7" s="70">
        <f>VLOOKUP($G$7&amp;$F$1,'Input RM sheet'!$A:$BD,AC1,0)</f>
        <v>1380</v>
      </c>
      <c r="AD7" s="70">
        <f>VLOOKUP($G$7&amp;$F$1,'Input RM sheet'!$A:$BD,AD1,0)</f>
        <v>1462</v>
      </c>
      <c r="AE7" s="70">
        <f>VLOOKUP($G$7&amp;$F$1,'Input RM sheet'!$A:$BD,AE1,0)</f>
        <v>1439</v>
      </c>
      <c r="AF7" s="70">
        <f>VLOOKUP($G$7&amp;$F$1,'Input RM sheet'!$A:$BD,AF1,0)</f>
        <v>1441</v>
      </c>
      <c r="AG7" s="70">
        <f>VLOOKUP($G$7&amp;$F$1,'Input RM sheet'!$A:$BD,AG1,0)</f>
        <v>1520</v>
      </c>
      <c r="AH7" s="70">
        <f>VLOOKUP($G$7&amp;$F$1,'Input RM sheet'!$A:$BD,AH1,0)</f>
        <v>1579</v>
      </c>
      <c r="AI7" s="70">
        <f>VLOOKUP($G$7&amp;$F$1,'Input RM sheet'!$A:$BD,AI1,0)</f>
        <v>1800</v>
      </c>
      <c r="AJ7" s="70">
        <f>VLOOKUP($G$7&amp;$F$1,'Input RM sheet'!$A:$BD,AJ1,0)</f>
        <v>1687</v>
      </c>
      <c r="AK7" s="70">
        <f>VLOOKUP($G$7&amp;$F$1,'Input RM sheet'!$A:$BD,AK1,0)</f>
        <v>1685</v>
      </c>
      <c r="AL7" s="70">
        <f>VLOOKUP($G$7&amp;$F$1,'Input RM sheet'!$A:$BD,AL1,0)</f>
        <v>1524</v>
      </c>
      <c r="AM7" s="70">
        <f>VLOOKUP($G$7&amp;$F$1,'Input RM sheet'!$A:$BD,AM1,0)</f>
        <v>1442</v>
      </c>
      <c r="AN7" s="70">
        <f>VLOOKUP($G$7&amp;$F$1,'Input RM sheet'!$A:$BD,AN1,0)</f>
        <v>1295</v>
      </c>
      <c r="AO7" s="70">
        <f>VLOOKUP($G$7&amp;$F$1,'Input RM sheet'!$A:$BD,AO1,0)</f>
        <v>1239</v>
      </c>
      <c r="AP7" s="70">
        <f>VLOOKUP($G$7&amp;$F$1,'Input RM sheet'!$A:$BD,AP1,0)</f>
        <v>1322</v>
      </c>
      <c r="AQ7" s="70">
        <f>VLOOKUP($G$7&amp;$F$1,'Input RM sheet'!$A:$BD,AQ1,0)</f>
        <v>1345</v>
      </c>
      <c r="AR7" s="70">
        <f>VLOOKUP($G$7&amp;$F$1,'Input RM sheet'!$A:$BD,AR1,0)</f>
        <v>1267</v>
      </c>
      <c r="AS7" s="70">
        <f>VLOOKUP($G$7&amp;$F$1,'Input RM sheet'!$A:$BD,AS1,0)</f>
        <v>1348</v>
      </c>
      <c r="AT7" s="70">
        <f>VLOOKUP($G$7&amp;$F$1,'Input RM sheet'!$A:$BD,AT1,0)</f>
        <v>1381</v>
      </c>
      <c r="AU7" s="70">
        <f>VLOOKUP($G$7&amp;$F$1,'Input RM sheet'!$A:$BD,AU1,0)</f>
        <v>1374</v>
      </c>
      <c r="AV7" s="70">
        <f>VLOOKUP($G$7&amp;$F$1,'Input RM sheet'!$A:$BD,AV1,0)</f>
        <v>1349</v>
      </c>
      <c r="AW7" s="70">
        <f>VLOOKUP($G$7&amp;$F$1,'Input RM sheet'!$A:$BD,AW1,0)</f>
        <v>1254</v>
      </c>
      <c r="AX7" s="70">
        <f>VLOOKUP($G$7&amp;$F$1,'Input RM sheet'!$A:$BD,AX1,0)</f>
        <v>1254</v>
      </c>
      <c r="AY7" s="70">
        <f>VLOOKUP($G$7&amp;$F$1,'Input RM sheet'!$A:$BD,AY1,0)</f>
        <v>1232</v>
      </c>
      <c r="AZ7" s="70">
        <f>VLOOKUP($G$7&amp;$F$1,'Input RM sheet'!$A:$BD,AZ1,0)</f>
        <v>1239</v>
      </c>
      <c r="BA7" s="70">
        <f>VLOOKUP($G$7&amp;$F$1,'Input RM sheet'!$A:$BD,BA1,0)</f>
        <v>1238</v>
      </c>
      <c r="BB7" s="70">
        <f>VLOOKUP($G$7&amp;$F$1,'Input RM sheet'!$A:$BD,BB1,0)</f>
        <v>1232</v>
      </c>
      <c r="BC7" s="70">
        <f>VLOOKUP($G$7&amp;$F$1,'Input RM sheet'!$A:$BD,BC1,0)</f>
        <v>1229</v>
      </c>
      <c r="BD7" s="70">
        <f>VLOOKUP($G$7&amp;$F$1,'Input RM sheet'!$A:$BD,BD1,0)</f>
        <v>1225</v>
      </c>
      <c r="BE7" s="70">
        <f>VLOOKUP($G$7&amp;$F$1,'Input RM sheet'!$A:$BD,BE1,0)</f>
        <v>1223</v>
      </c>
      <c r="BF7" s="70">
        <f>VLOOKUP($G$7&amp;$F$1,'Input RM sheet'!$A:$BD,BF1,0)</f>
        <v>1222</v>
      </c>
      <c r="BG7" s="70">
        <f>VLOOKUP($G$7&amp;$F$1,'Input RM sheet'!$A:$DD,BG1,0)</f>
        <v>1287</v>
      </c>
      <c r="BH7" s="70">
        <f>VLOOKUP($G$7&amp;$F$1,'Input RM sheet'!$A:$DD,BH1,0)</f>
        <v>1277</v>
      </c>
      <c r="BI7" s="70">
        <f>VLOOKUP($G$7&amp;$F$1,'Input RM sheet'!$A:$DD,BI1,0)</f>
        <v>1277</v>
      </c>
      <c r="BJ7" s="70">
        <f>VLOOKUP($G$7&amp;$F$1,'Input RM sheet'!$A:$DD,BJ1,0)</f>
        <v>1277</v>
      </c>
      <c r="BK7" s="70">
        <f>VLOOKUP($G$7&amp;$F$1,'Input RM sheet'!$A:$DD,BK1,0)</f>
        <v>1330</v>
      </c>
      <c r="BL7" s="70">
        <f>VLOOKUP($G$7&amp;$F$1,'Input RM sheet'!$A:$DD,BL1,0)</f>
        <v>1331</v>
      </c>
      <c r="BM7" s="70">
        <f>VLOOKUP($G$7&amp;$F$1,'Input RM sheet'!$A:$DD,BM1,0)</f>
        <v>1331</v>
      </c>
      <c r="BN7" s="70">
        <f>VLOOKUP($G$7&amp;$F$1,'Input RM sheet'!$A:$DD,BN1,0)</f>
        <v>1332</v>
      </c>
      <c r="BO7" s="70">
        <f>VLOOKUP($G$7&amp;$F$1,'Input RM sheet'!$A:$DD,BO1,0)</f>
        <v>1299</v>
      </c>
      <c r="BP7" s="70">
        <f>VLOOKUP($G$7&amp;$F$1,'Input RM sheet'!$A:$DD,BP1,0)</f>
        <v>1299</v>
      </c>
      <c r="BQ7" s="70">
        <f>VLOOKUP($G$7&amp;$F$1,'Input RM sheet'!$A:$DD,BQ1,0)</f>
        <v>1310</v>
      </c>
      <c r="BR7" s="70">
        <f>VLOOKUP($G$7&amp;$F$1,'Input RM sheet'!$A:$DD,BR1,0)</f>
        <v>1293</v>
      </c>
      <c r="BS7" s="70">
        <f>VLOOKUP($G$7&amp;$F$1,'Input RM sheet'!$A:$DD,BS1,0)</f>
        <v>1286</v>
      </c>
      <c r="BT7" s="70">
        <f>VLOOKUP($G$7&amp;$F$1,'Input RM sheet'!$A:$DD,BT1,0)</f>
        <v>1289</v>
      </c>
      <c r="BU7" s="70">
        <f>VLOOKUP($G$7&amp;$F$1,'Input RM sheet'!$A:$DD,BU1,0)</f>
        <v>1294</v>
      </c>
      <c r="BV7" s="70">
        <f>VLOOKUP($G$7&amp;$F$1,'Input RM sheet'!$A:$DD,BV1,0)</f>
        <v>1304</v>
      </c>
      <c r="BW7" s="70">
        <f>VLOOKUP($G$7&amp;$F$1,'Input RM sheet'!$A:$DD,BW1,0)</f>
        <v>1296</v>
      </c>
      <c r="BX7" s="70">
        <f>VLOOKUP($G$7&amp;$F$1,'Input RM sheet'!$A:$DD,BX1,0)</f>
        <v>1296</v>
      </c>
      <c r="BY7" s="70">
        <f>VLOOKUP($G$7&amp;$F$1,'Input RM sheet'!$A:$DD,BY1,0)</f>
        <v>1296</v>
      </c>
      <c r="BZ7" s="70">
        <f>VLOOKUP($G$7&amp;$F$1,'Input RM sheet'!$A:$DD,BZ1,0)</f>
        <v>1296</v>
      </c>
      <c r="CA7" s="70">
        <f>VLOOKUP($G$7&amp;$F$1,'Input RM sheet'!$A:$DD,CA1,0)</f>
        <v>1296</v>
      </c>
      <c r="CB7" s="70">
        <f>VLOOKUP($G$7&amp;$F$1,'Input RM sheet'!$A:$DD,CB1,0)</f>
        <v>1284</v>
      </c>
      <c r="CC7" s="70">
        <f>VLOOKUP($G$7&amp;$F$1,'Input RM sheet'!$A:$DD,CC1,0)</f>
        <v>1284</v>
      </c>
      <c r="CD7" s="70">
        <f>VLOOKUP($G$7&amp;$F$1,'Input RM sheet'!$A:$DD,CD1,0)</f>
        <v>1327</v>
      </c>
      <c r="CE7" s="70">
        <f>VLOOKUP($G$7&amp;$F$1,'Input RM sheet'!$A:$DD,CE1,0)</f>
        <v>1327</v>
      </c>
      <c r="CF7" s="70">
        <f>VLOOKUP($G$7&amp;$F$1,'Input RM sheet'!$A:$DD,CF1,0)</f>
        <v>1329</v>
      </c>
      <c r="CG7" s="70">
        <f>VLOOKUP($G$7&amp;$F$1,'Input RM sheet'!$A:$DD,CG1,0)</f>
        <v>1326</v>
      </c>
      <c r="CH7" s="70">
        <f>VLOOKUP($G$7&amp;$F$1,'Input RM sheet'!$A:$DD,CH1,0)</f>
        <v>1356</v>
      </c>
      <c r="CI7" s="70">
        <f>VLOOKUP($G$7&amp;$F$1,'Input RM sheet'!$A:$DD,CI1,0)</f>
        <v>1356</v>
      </c>
      <c r="CJ7" s="70">
        <f>VLOOKUP($G$7&amp;$F$1,'Input RM sheet'!$A:$DD,CJ1,0)</f>
        <v>1356</v>
      </c>
      <c r="CK7" s="70">
        <f>VLOOKUP($G$7&amp;$F$1,'Input RM sheet'!$A:$DD,CK1,0)</f>
        <v>1339</v>
      </c>
      <c r="CL7" s="70">
        <f>VLOOKUP($G$7&amp;$F$1,'Input RM sheet'!$A:$DD,CL1,0)</f>
        <v>1339</v>
      </c>
      <c r="CM7" s="70">
        <f>VLOOKUP($G$7&amp;$F$1,'Input RM sheet'!$A:$DD,CM1,0)</f>
        <v>1346</v>
      </c>
      <c r="CN7" s="70">
        <f>VLOOKUP($G$7&amp;$F$1,'Input RM sheet'!$A:$DD,CN1,0)</f>
        <v>1346</v>
      </c>
      <c r="CO7" s="70">
        <f>VLOOKUP($G$7&amp;$F$1,'Input RM sheet'!$A:$DD,CO1,0)</f>
        <v>1346</v>
      </c>
      <c r="CP7" s="70">
        <f>VLOOKUP($G$7&amp;$F$1,'Input RM sheet'!$A:$DD,CP1,0)</f>
        <v>1346</v>
      </c>
      <c r="CQ7" s="70">
        <f>VLOOKUP($G$7&amp;$F$1,'Input RM sheet'!$A:$DD,CQ1,0)</f>
        <v>1324</v>
      </c>
      <c r="CR7" s="70">
        <f>VLOOKUP($G$7&amp;$F$1,'Input RM sheet'!$A:$DD,CR1,0)</f>
        <v>1314</v>
      </c>
      <c r="CS7" s="70">
        <f>VLOOKUP($G$7&amp;$F$1,'Input RM sheet'!$A:$DD,CS1,0)</f>
        <v>1314</v>
      </c>
      <c r="CT7" s="70">
        <f>VLOOKUP($G$7&amp;$F$1,'Input RM sheet'!$A:$DD,CT1,0)</f>
        <v>1309</v>
      </c>
      <c r="CU7" s="70">
        <f>VLOOKUP($G$7&amp;$F$1,'Input RM sheet'!$A:$ZZ,CU1,0)</f>
        <v>1309</v>
      </c>
      <c r="CV7" s="70">
        <f>VLOOKUP($G$7&amp;$F$1,'Input RM sheet'!$A:$ZZ,CV1,0)</f>
        <v>1319</v>
      </c>
      <c r="CW7" s="70">
        <f>VLOOKUP($G$7&amp;$F$1,'Input RM sheet'!$A:$ZZ,CW1,0)</f>
        <v>1324</v>
      </c>
      <c r="CX7" s="70">
        <f>VLOOKUP($G$7&amp;$F$1,'Input RM sheet'!$A:$ZZ,CX1,0)</f>
        <v>1324</v>
      </c>
      <c r="CY7" s="70">
        <f>VLOOKUP($G$7&amp;$F$1,'Input RM sheet'!$A:$ZZ,CY1,0)</f>
        <v>1350</v>
      </c>
      <c r="CZ7" s="70">
        <f>VLOOKUP($G$7&amp;$F$1,'Input RM sheet'!$A:$ZZ,CZ1,0)</f>
        <v>1350</v>
      </c>
      <c r="DA7" s="70">
        <f>VLOOKUP($G$7&amp;$F$1,'Input RM sheet'!$A:$ZZ,DA1,0)</f>
        <v>1357</v>
      </c>
      <c r="DB7" s="70">
        <f>VLOOKUP($G$7&amp;$F$1,'Input RM sheet'!$A:$ZZ,DB1,0)</f>
        <v>1365</v>
      </c>
      <c r="DC7" s="70">
        <f>VLOOKUP($G$7&amp;$F$1,'Input RM sheet'!$A:$ZZ,DC1,0)</f>
        <v>1346</v>
      </c>
      <c r="DD7" s="70">
        <f>VLOOKUP($G$7&amp;$F$1,'Input RM sheet'!$A:$ZZ,DD1,0)</f>
        <v>1346</v>
      </c>
      <c r="DE7" s="70">
        <f>VLOOKUP($G$7&amp;$F$1,'Input RM sheet'!$A:$ZZ,DE1,0)</f>
        <v>1346</v>
      </c>
      <c r="DF7" s="70">
        <f>VLOOKUP($G$7&amp;$F$1,'Input RM sheet'!$A:$ZZ,DF1,0)</f>
        <v>1346</v>
      </c>
      <c r="DG7" s="70">
        <f>VLOOKUP($G$7&amp;$F$1,'Input RM sheet'!$A:$ZZ,DG1,0)</f>
        <v>1311</v>
      </c>
      <c r="DH7" s="70">
        <f>VLOOKUP($G$7&amp;$F$1,'Input RM sheet'!$A:$ZZ,DH1,0)</f>
        <v>1302</v>
      </c>
      <c r="DI7" s="70">
        <f>VLOOKUP($G$7&amp;$F$1,'Input RM sheet'!$A:$ZZ,DI1,0)</f>
        <v>1302</v>
      </c>
      <c r="DJ7" s="70">
        <f>VLOOKUP($G$7&amp;$F$1,'Input RM sheet'!$A:$ZZ,DJ1,0)</f>
        <v>1290</v>
      </c>
      <c r="DK7" s="70">
        <f>VLOOKUP($G$7&amp;$F$1,'Input RM sheet'!$A:$ZZ,DK1,0)</f>
        <v>1314</v>
      </c>
      <c r="DL7" s="70">
        <f>VLOOKUP($G$7&amp;$F$1,'Input RM sheet'!$A:$ZZ,DL1,0)</f>
        <v>1310</v>
      </c>
      <c r="DM7" s="70">
        <f>VLOOKUP($G$7&amp;$F$1,'Input RM sheet'!$A:$ZZ,DM1,0)</f>
        <v>1291</v>
      </c>
      <c r="DN7" s="70">
        <f>VLOOKUP($G$7&amp;$F$1,'Input RM sheet'!$A:$ZZ,DN1,0)</f>
        <v>1288</v>
      </c>
      <c r="DO7" s="70">
        <f>VLOOKUP($G$7&amp;$F$1,'Input RM sheet'!$A:$ZZ,DO1,0)</f>
        <v>1288</v>
      </c>
      <c r="DP7" s="70">
        <f>VLOOKUP($G$7&amp;$F$1,'Input RM sheet'!$A:$ZZ,DP1,0)</f>
        <v>1270</v>
      </c>
      <c r="DQ7" s="70">
        <f>VLOOKUP($G$7&amp;$F$1,'Input RM sheet'!$A:$ZZ,DQ1,0)</f>
        <v>1268</v>
      </c>
      <c r="DR7" s="70">
        <f>VLOOKUP($G$7&amp;$F$1,'Input RM sheet'!$A:$ZZ,DR1,0)</f>
        <v>1265</v>
      </c>
    </row>
    <row r="8" spans="1:123">
      <c r="E8" s="60" t="s">
        <v>394</v>
      </c>
      <c r="G8" s="60" t="s">
        <v>42</v>
      </c>
      <c r="H8" s="74">
        <f>VLOOKUP($G$8&amp;$F$1,'Input RM sheet'!$A:$BD,H1,0)</f>
        <v>5.6109925135332389E-2</v>
      </c>
      <c r="I8" s="74">
        <f>VLOOKUP($G$8&amp;$F$1,'Input RM sheet'!$A:$BD,I1,0)</f>
        <v>5.5903821908158395E-2</v>
      </c>
      <c r="J8" s="74">
        <f>VLOOKUP($G$8&amp;$F$1,'Input RM sheet'!$A:$BD,J1,0)</f>
        <v>5.3725164243026279E-2</v>
      </c>
      <c r="K8" s="74">
        <f>VLOOKUP($G$8&amp;$F$1,'Input RM sheet'!$A:$BD,K1,0)</f>
        <v>5.2457901878019117E-2</v>
      </c>
      <c r="L8" s="74">
        <f>VLOOKUP($G$8&amp;$F$1,'Input RM sheet'!$A:$BD,L1,0)</f>
        <v>5.2891688868735076E-2</v>
      </c>
      <c r="M8" s="74">
        <f>VLOOKUP($G$8&amp;$F$1,'Input RM sheet'!$A:$BD,M1,0)</f>
        <v>5.280815273385165E-2</v>
      </c>
      <c r="N8" s="74">
        <f>VLOOKUP($G$8&amp;$F$1,'Input RM sheet'!$A:$BD,N1,0)</f>
        <v>5.3387262505255863E-2</v>
      </c>
      <c r="O8" s="74">
        <f>VLOOKUP($G$8&amp;$F$1,'Input RM sheet'!$A:$BD,O1,0)</f>
        <v>5.362872496365681E-2</v>
      </c>
      <c r="P8" s="74">
        <f>VLOOKUP($G$8&amp;$F$1,'Input RM sheet'!$A:$BD,P1,0)</f>
        <v>5.4396709216679211E-2</v>
      </c>
      <c r="Q8" s="74">
        <f>VLOOKUP($G$8&amp;$F$1,'Input RM sheet'!$A:$BD,Q1,0)</f>
        <v>5.4409064901238764E-2</v>
      </c>
      <c r="R8" s="74">
        <f>VLOOKUP($G$8&amp;$F$1,'Input RM sheet'!$A:$BD,R1,0)</f>
        <v>5.3884974170462174E-2</v>
      </c>
      <c r="S8" s="74">
        <f>VLOOKUP($G$8&amp;$F$1,'Input RM sheet'!$A:$BD,S1,0)</f>
        <v>5.4250702377062344E-2</v>
      </c>
      <c r="T8" s="74">
        <f>VLOOKUP($G$8&amp;$F$1,'Input RM sheet'!$A:$BD,T1,0)</f>
        <v>5.4697114727198147E-2</v>
      </c>
      <c r="U8" s="74">
        <f>VLOOKUP($G$8&amp;$F$1,'Input RM sheet'!$A:$BD,U1,0)</f>
        <v>5.4945054945054944E-2</v>
      </c>
      <c r="V8" s="74">
        <f>VLOOKUP($G$8&amp;$F$1,'Input RM sheet'!$A:$BD,V1,0)</f>
        <v>5.4945054945054944E-2</v>
      </c>
      <c r="W8" s="74">
        <f>VLOOKUP($G$8&amp;$F$1,'Input RM sheet'!$A:$BD,W1,0)</f>
        <v>5.3727333781061114E-2</v>
      </c>
      <c r="X8" s="74">
        <f>VLOOKUP($G$8&amp;$F$1,'Input RM sheet'!$A:$BD,X1,0)</f>
        <v>5.4607508532423209E-2</v>
      </c>
      <c r="Y8" s="74">
        <f>VLOOKUP($G$8&amp;$F$1,'Input RM sheet'!$A:$BD,Y1,0)</f>
        <v>5.4392167527875984E-2</v>
      </c>
      <c r="Z8" s="74">
        <f>VLOOKUP($G$8&amp;$F$1,'Input RM sheet'!$A:$BD,Z1,0)</f>
        <v>5.3669663222863276E-2</v>
      </c>
      <c r="AA8" s="74">
        <f>VLOOKUP($G$8&amp;$F$1,'Input RM sheet'!$A:$BD,AA1,0)</f>
        <v>5.3937432578209279E-2</v>
      </c>
      <c r="AB8" s="74">
        <f>VLOOKUP($G$8&amp;$F$1,'Input RM sheet'!$A:$BD,AB1,0)</f>
        <v>5.4384772263766146E-2</v>
      </c>
      <c r="AC8" s="74">
        <f>VLOOKUP($G$8&amp;$F$1,'Input RM sheet'!$A:$BD,AC1,0)</f>
        <v>5.3397410225604063E-2</v>
      </c>
      <c r="AD8" s="74">
        <f>VLOOKUP($G$8&amp;$F$1,'Input RM sheet'!$A:$BD,AD1,0)</f>
        <v>5.3712904525312209E-2</v>
      </c>
      <c r="AE8" s="74">
        <f>VLOOKUP($G$8&amp;$F$1,'Input RM sheet'!$A:$BD,AE1,0)</f>
        <v>5.3036329885971886E-2</v>
      </c>
      <c r="AF8" s="74">
        <f>VLOOKUP($G$8&amp;$F$1,'Input RM sheet'!$A:$BD,AF1,0)</f>
        <v>5.3727333781061114E-2</v>
      </c>
      <c r="AG8" s="74">
        <f>VLOOKUP($G$8&amp;$F$1,'Input RM sheet'!$A:$BD,AG1,0)</f>
        <v>5.3361792956243333E-2</v>
      </c>
      <c r="AH8" s="74">
        <f>VLOOKUP($G$8&amp;$F$1,'Input RM sheet'!$A:$BD,AH1,0)</f>
        <v>5.2486550321480127E-2</v>
      </c>
      <c r="AI8" s="74">
        <f>VLOOKUP($G$8&amp;$F$1,'Input RM sheet'!$A:$BD,AI1,0)</f>
        <v>5.2348809277255978E-2</v>
      </c>
      <c r="AJ8" s="74">
        <f>VLOOKUP($G$8&amp;$F$1,'Input RM sheet'!$A:$BD,AJ1,0)</f>
        <v>5.1733542509290222E-2</v>
      </c>
      <c r="AK8" s="74">
        <f>VLOOKUP($G$8&amp;$F$1,'Input RM sheet'!$A:$BD,AK1,0)</f>
        <v>5.123306637994781E-2</v>
      </c>
      <c r="AL8" s="74">
        <f>VLOOKUP($G$8&amp;$F$1,'Input RM sheet'!$A:$BD,AL1,0)</f>
        <v>5.0250276286786945E-2</v>
      </c>
      <c r="AM8" s="74">
        <f>VLOOKUP($G$8&amp;$F$1,'Input RM sheet'!$A:$BD,AM1,0)</f>
        <v>5.0284779467718851E-2</v>
      </c>
      <c r="AN8" s="74">
        <f>VLOOKUP($G$8&amp;$F$1,'Input RM sheet'!$A:$BD,AN1,0)</f>
        <v>4.9855696086928386E-2</v>
      </c>
      <c r="AO8" s="74">
        <f>VLOOKUP($G$8&amp;$F$1,'Input RM sheet'!$A:$BD,AO1,0)</f>
        <v>4.8578993593037967E-2</v>
      </c>
      <c r="AP8" s="74">
        <f>VLOOKUP($G$8&amp;$F$1,'Input RM sheet'!$A:$BD,AP1,0)</f>
        <v>4.889346805967261E-2</v>
      </c>
      <c r="AQ8" s="74">
        <f>VLOOKUP($G$8&amp;$F$1,'Input RM sheet'!$A:$BD,AQ1,0)</f>
        <v>4.8505889083457529E-2</v>
      </c>
      <c r="AR8" s="74">
        <f>VLOOKUP($G$8&amp;$F$1,'Input RM sheet'!$A:$BD,AR1,0)</f>
        <v>4.8840293055712705E-2</v>
      </c>
      <c r="AS8" s="74">
        <f>VLOOKUP($G$8&amp;$F$1,'Input RM sheet'!$A:$BD,AS1,0)</f>
        <v>4.870822736756994E-2</v>
      </c>
      <c r="AT8" s="74">
        <f>VLOOKUP($G$8&amp;$F$1,'Input RM sheet'!$A:$BD,AT1,0)</f>
        <v>4.870822736756994E-2</v>
      </c>
      <c r="AU8" s="74">
        <f>VLOOKUP($G$8&amp;$F$1,'Input RM sheet'!$A:$BD,AU1,0)</f>
        <v>4.870822736756994E-2</v>
      </c>
      <c r="AV8" s="74">
        <f>VLOOKUP($G$8&amp;$F$1,'Input RM sheet'!$A:$BD,AV1,0)</f>
        <v>4.870822736756994E-2</v>
      </c>
      <c r="AW8" s="74">
        <f>VLOOKUP($G$8&amp;$F$1,'Input RM sheet'!$A:$BD,AW1,0)</f>
        <v>4.8484848484848485E-2</v>
      </c>
      <c r="AX8" s="74">
        <f>VLOOKUP($G$8&amp;$F$1,'Input RM sheet'!$A:$BD,AX1,0)</f>
        <v>4.8520135856380396E-2</v>
      </c>
      <c r="AY8" s="74">
        <f>VLOOKUP($G$8&amp;$F$1,'Input RM sheet'!$A:$BD,AY1,0)</f>
        <v>4.8673643222195175E-2</v>
      </c>
      <c r="AZ8" s="74">
        <f>VLOOKUP($G$8&amp;$F$1,'Input RM sheet'!$A:$BD,AZ1,0)</f>
        <v>4.8828125E-2</v>
      </c>
      <c r="BA8" s="74">
        <f>VLOOKUP($G$8&amp;$F$1,'Input RM sheet'!$A:$BD,BA1,0)</f>
        <v>4.8626306831996105E-2</v>
      </c>
      <c r="BB8" s="74">
        <f>VLOOKUP($G$8&amp;$F$1,'Input RM sheet'!$A:$BD,BB1,0)</f>
        <v>4.8291681757817215E-2</v>
      </c>
      <c r="BC8" s="74">
        <f>VLOOKUP($G$8&amp;$F$1,'Input RM sheet'!$A:$BD,BC1,0)</f>
        <v>4.8048048048048048E-2</v>
      </c>
      <c r="BD8" s="74">
        <f>VLOOKUP($G$8&amp;$F$1,'Input RM sheet'!$A:$BD,BD1,0)</f>
        <v>4.8048048048048048E-2</v>
      </c>
      <c r="BE8" s="74">
        <f>VLOOKUP($G$8&amp;$F$1,'Input RM sheet'!$A:$BD,BE1,0)</f>
        <v>4.8396854204476702E-2</v>
      </c>
      <c r="BF8" s="74">
        <f>VLOOKUP($G$8&amp;$F$1,'Input RM sheet'!$A:$DD,BF1,0)</f>
        <v>4.8163756773028296E-2</v>
      </c>
      <c r="BG8" s="74">
        <f>VLOOKUP($G$8&amp;$F$1,'Input RM sheet'!$A:$DD,BG1,0)</f>
        <v>4.8227634434530986E-2</v>
      </c>
      <c r="BH8" s="74">
        <f>VLOOKUP($G$8&amp;$F$1,'Input RM sheet'!$A:$DD,BH1,0)</f>
        <v>4.8233449897503916E-2</v>
      </c>
      <c r="BI8" s="74">
        <f>VLOOKUP($G$8&amp;$F$1,'Input RM sheet'!$A:$DD,BI1,0)</f>
        <v>4.8042277203939464E-2</v>
      </c>
      <c r="BJ8" s="74">
        <f>VLOOKUP($G$8&amp;$F$1,'Input RM sheet'!$A:$DD,BJ1,0)</f>
        <v>4.8065368901706318E-2</v>
      </c>
      <c r="BK8" s="74">
        <f>VLOOKUP($G$8&amp;$F$1,'Input RM sheet'!$A:$DD,BK1,0)</f>
        <v>4.8048048048048048E-2</v>
      </c>
      <c r="BL8" s="74">
        <f>VLOOKUP($G$8&amp;$F$1,'Input RM sheet'!$A:$DD,BL1,0)</f>
        <v>4.8123195380173241E-2</v>
      </c>
      <c r="BM8" s="74">
        <f>VLOOKUP($G$8&amp;$F$1,'Input RM sheet'!$A:$DD,BM1,0)</f>
        <v>4.8042277203939464E-2</v>
      </c>
      <c r="BN8" s="74">
        <f>VLOOKUP($G$8&amp;$F$1,'Input RM sheet'!$A:$DD,BN1,0)</f>
        <v>4.8065368901706318E-2</v>
      </c>
      <c r="BO8" s="74">
        <f>VLOOKUP($G$8&amp;$F$1,'Input RM sheet'!$A:$DD,BO1,0)</f>
        <v>4.808270224786633E-2</v>
      </c>
      <c r="BP8" s="74">
        <f>VLOOKUP($G$8&amp;$F$1,'Input RM sheet'!$A:$DD,BP1,0)</f>
        <v>4.808270224786633E-2</v>
      </c>
      <c r="BQ8" s="74">
        <f>VLOOKUP($G$8&amp;$F$1,'Input RM sheet'!$A:$DD,BQ1,0)</f>
        <v>4.8001920076803074E-2</v>
      </c>
      <c r="BR8" s="74">
        <f>VLOOKUP($G$8&amp;$F$1,'Input RM sheet'!$A:$DD,BR1,0)</f>
        <v>4.7961630695443645E-2</v>
      </c>
      <c r="BS8" s="74">
        <f>VLOOKUP($G$8&amp;$F$1,'Input RM sheet'!$A:$DD,BS1,0)</f>
        <v>4.7984644913627639E-2</v>
      </c>
      <c r="BT8" s="74">
        <f>VLOOKUP($G$8&amp;$F$1,'Input RM sheet'!$A:$DD,BT1,0)</f>
        <v>4.8053820278712162E-2</v>
      </c>
      <c r="BU8" s="74">
        <f>VLOOKUP($G$8&amp;$F$1,'Input RM sheet'!$A:$DD,BU1,0)</f>
        <v>4.8007681228996645E-2</v>
      </c>
      <c r="BV8" s="74">
        <f>VLOOKUP($G$8&amp;$F$1,'Input RM sheet'!$A:$DD,BV1,0)</f>
        <v>4.8111618955977868E-2</v>
      </c>
      <c r="BW8" s="74">
        <f>VLOOKUP($G$8&amp;$F$1,'Input RM sheet'!$A:$DD,BW1,0)</f>
        <v>4.8105832832230903E-2</v>
      </c>
      <c r="BX8" s="74">
        <f>VLOOKUP($G$8&amp;$F$1,'Input RM sheet'!$A:$DD,BX1,0)</f>
        <v>4.8048048048048048E-2</v>
      </c>
      <c r="BY8" s="74">
        <f>VLOOKUP($G$8&amp;$F$1,'Input RM sheet'!$A:$DD,BY1,0)</f>
        <v>4.8157958102576448E-2</v>
      </c>
      <c r="BZ8" s="74">
        <f>VLOOKUP($G$8&amp;$F$1,'Input RM sheet'!$A:$DD,BZ1,0)</f>
        <v>4.8192771084337352E-2</v>
      </c>
      <c r="CA8" s="74">
        <f>VLOOKUP($G$8&amp;$F$1,'Input RM sheet'!$A:$DD,CA1,0)</f>
        <v>4.8186965425852303E-2</v>
      </c>
      <c r="CB8" s="74">
        <f>VLOOKUP($G$8&amp;$F$1,'Input RM sheet'!$A:$DD,CB1,0)</f>
        <v>4.8250904704463207E-2</v>
      </c>
      <c r="CC8" s="74">
        <f>VLOOKUP($G$8&amp;$F$1,'Input RM sheet'!$A:$DD,CC1,0)</f>
        <v>4.8250904704463207E-2</v>
      </c>
      <c r="CD8" s="74">
        <f>VLOOKUP($G$8&amp;$F$1,'Input RM sheet'!$A:$DD,CD1,0)</f>
        <v>4.8367593712212817E-2</v>
      </c>
      <c r="CE8" s="74">
        <f>VLOOKUP($G$8&amp;$F$1,'Input RM sheet'!$A:$DD,CE1,0)</f>
        <v>4.8332527791203478E-2</v>
      </c>
      <c r="CF8" s="74">
        <f>VLOOKUP($G$8&amp;$F$1,'Input RM sheet'!$A:$DD,CF1,0)</f>
        <v>4.8042277203939464E-2</v>
      </c>
      <c r="CG8" s="74">
        <f>VLOOKUP($G$8&amp;$F$1,'Input RM sheet'!$A:$DD,CG1,0)</f>
        <v>4.7967382180117521E-2</v>
      </c>
      <c r="CH8" s="74">
        <f>VLOOKUP($G$8&amp;$F$1,'Input RM sheet'!$A:$DD,CH1,0)</f>
        <v>4.8071145295036657E-2</v>
      </c>
      <c r="CI8" s="74">
        <f>VLOOKUP($G$8&amp;$F$1,'Input RM sheet'!$A:$DD,CI1,0)</f>
        <v>4.7961630695443645E-2</v>
      </c>
      <c r="CJ8" s="74">
        <f>VLOOKUP($G$8&amp;$F$1,'Input RM sheet'!$A:$DD,CJ1,0)</f>
        <v>4.7841167324482715E-2</v>
      </c>
      <c r="CK8" s="74">
        <f>VLOOKUP($G$8&amp;$F$1,'Input RM sheet'!$A:$DD,CK1,0)</f>
        <v>4.7950131862862622E-2</v>
      </c>
      <c r="CL8" s="74">
        <f>VLOOKUP($G$8&amp;$F$1,'Input RM sheet'!$A:$DD,CL1,0)</f>
        <v>4.790419161676647E-2</v>
      </c>
      <c r="CM8" s="74">
        <f>VLOOKUP($G$8&amp;$F$1,'Input RM sheet'!$A:$DD,CM1,0)</f>
        <v>4.799040191961608E-2</v>
      </c>
      <c r="CN8" s="74">
        <f>VLOOKUP($G$8&amp;$F$1,'Input RM sheet'!$A:$DD,CN1,0)</f>
        <v>4.799040191961608E-2</v>
      </c>
      <c r="CO8" s="74">
        <f>VLOOKUP($G$8&amp;$F$1,'Input RM sheet'!$A:$DD,CO1,0)</f>
        <v>4.799040191961608E-2</v>
      </c>
      <c r="CP8" s="74">
        <f>VLOOKUP($G$8&amp;$F$1,'Input RM sheet'!$A:$DD,CP1,0)</f>
        <v>4.799040191961608E-2</v>
      </c>
      <c r="CQ8" s="74">
        <f>VLOOKUP($G$8&amp;$F$1,'Input RM sheet'!$A:$DD,CQ1,0)</f>
        <v>4.7681487662415069E-2</v>
      </c>
      <c r="CR8" s="74">
        <f>VLOOKUP($G$8&amp;$F$1,'Input RM sheet'!$A:$DD,CR1,0)</f>
        <v>4.7961630695443645E-2</v>
      </c>
      <c r="CS8" s="74">
        <f>VLOOKUP($G$8&amp;$F$1,'Input RM sheet'!$A:$DD,CS1,0)</f>
        <v>4.790419161676647E-2</v>
      </c>
      <c r="CT8" s="74">
        <f>VLOOKUP($G$8&amp;$F$1,'Input RM sheet'!$A:$DD,CT1,0)</f>
        <v>4.7932893948472138E-2</v>
      </c>
      <c r="CU8" s="74">
        <f>VLOOKUP($G$8&amp;$F$1,'Input RM sheet'!$A:$DD,CU1,0)</f>
        <v>4.7921408889421348E-2</v>
      </c>
      <c r="CV8" s="74">
        <f>VLOOKUP($G$8&amp;$F$1,'Input RM sheet'!$A:$DD,CV1,0)</f>
        <v>4.7875523638539801E-2</v>
      </c>
      <c r="CW8" s="74">
        <f>VLOOKUP($G$8&amp;$F$1,'Input RM sheet'!$A:$DD,CW1,0)</f>
        <v>4.7789725209080043E-2</v>
      </c>
      <c r="CX8" s="74">
        <f>VLOOKUP($G$8&amp;$F$1,'Input RM sheet'!$A:$DD,CX1,0)</f>
        <v>4.7772602412516421E-2</v>
      </c>
      <c r="CY8" s="74">
        <f>VLOOKUP($G$8&amp;$F$1,'Input RM sheet'!$A:$DD,CY1,0)</f>
        <v>4.7647409172126266E-2</v>
      </c>
      <c r="CZ8" s="74">
        <f>VLOOKUP($G$8&amp;$F$1,'Input RM sheet'!$A:$DD,CZ1,0)</f>
        <v>4.7641734159123393E-2</v>
      </c>
      <c r="DA8" s="74">
        <f>VLOOKUP($G$8&amp;$F$1,'Input RM sheet'!$A:$DD,DA1,0)</f>
        <v>4.7675804529201428E-2</v>
      </c>
      <c r="DB8" s="74">
        <f>VLOOKUP($G$8&amp;$F$1,'Input RM sheet'!$A:$DD,DB1,0)</f>
        <v>4.7681487662415069E-2</v>
      </c>
      <c r="DC8" s="74">
        <f>VLOOKUP($G$8&amp;$F$1,'Input RM sheet'!$A:$DD,DC1,0)</f>
        <v>4.7641734159123393E-2</v>
      </c>
      <c r="DD8" s="74">
        <f>VLOOKUP($G$8&amp;$F$1,'Input RM sheet'!$A:$DD,DD1,0)</f>
        <v>4.7641734159123393E-2</v>
      </c>
      <c r="DE8" s="74">
        <f>VLOOKUP($G$8&amp;$F$1,'Input RM sheet'!$A:$DD,DE1,0)</f>
        <v>4.7858339315625748E-2</v>
      </c>
      <c r="DF8" s="74">
        <f>VLOOKUP($G$8&amp;$F$1,'Input RM sheet'!$A:$DD,DF1,0)</f>
        <v>4.7812574707147983E-2</v>
      </c>
      <c r="DG8" s="74">
        <f>VLOOKUP($G$8&amp;$F$1,'Input RM sheet'!$A:$ZZ,DG1,0)</f>
        <v>4.7636060497796832E-2</v>
      </c>
      <c r="DH8" s="74">
        <f>VLOOKUP($G$8&amp;$F$1,'Input RM sheet'!$A:$ZZ,DH1,0)</f>
        <v>4.7579398120613778E-2</v>
      </c>
      <c r="DI8" s="74">
        <f>VLOOKUP($G$8&amp;$F$1,'Input RM sheet'!$A:$ZZ,DI1,0)</f>
        <v>4.7579398120613778E-2</v>
      </c>
      <c r="DJ8" s="74">
        <f>VLOOKUP($G$8&amp;$F$1,'Input RM sheet'!$A:$ZZ,DJ1,0)</f>
        <v>4.7573739295908662E-2</v>
      </c>
      <c r="DK8" s="74">
        <f>VLOOKUP($G$8&amp;$F$1,'Input RM sheet'!$A:$ZZ,DK1,0)</f>
        <v>4.7551117451260103E-2</v>
      </c>
      <c r="DL8" s="74">
        <f>VLOOKUP($G$8&amp;$F$1,'Input RM sheet'!$A:$ZZ,DL1,0)</f>
        <v>4.7393364928909949E-2</v>
      </c>
      <c r="DM8" s="74">
        <f>VLOOKUP($G$8&amp;$F$1,'Input RM sheet'!$A:$ZZ,DM1,0)</f>
        <v>4.7466476800759466E-2</v>
      </c>
      <c r="DN8" s="74">
        <f>VLOOKUP($G$8&amp;$F$1,'Input RM sheet'!$A:$ZZ,DN1,0)</f>
        <v>4.7264563393595652E-2</v>
      </c>
      <c r="DO8" s="74">
        <f>VLOOKUP($G$8&amp;$F$1,'Input RM sheet'!$A:$ZZ,DO1,0)</f>
        <v>4.723107804935648E-2</v>
      </c>
      <c r="DP8" s="74">
        <f>VLOOKUP($G$8&amp;$F$1,'Input RM sheet'!$A:$ZZ,DP1,0)</f>
        <v>4.7153129788989744E-2</v>
      </c>
      <c r="DQ8" s="74">
        <f>VLOOKUP($G$8&amp;$F$1,'Input RM sheet'!$A:$ZZ,DQ1,0)</f>
        <v>4.7103155911446065E-2</v>
      </c>
      <c r="DR8" s="74">
        <f>VLOOKUP($G$8&amp;$F$1,'Input RM sheet'!$A:$ZZ,DR1,0)</f>
        <v>4.6959380136182199E-2</v>
      </c>
    </row>
    <row r="10" spans="1:123">
      <c r="A10" s="59" t="s">
        <v>395</v>
      </c>
      <c r="B10" s="59"/>
      <c r="C10" s="59" t="s">
        <v>379</v>
      </c>
      <c r="D10" s="59" t="s">
        <v>380</v>
      </c>
      <c r="E10" s="59" t="s">
        <v>381</v>
      </c>
      <c r="F10" s="59" t="s">
        <v>396</v>
      </c>
      <c r="H10" s="84"/>
      <c r="I10" s="84"/>
      <c r="J10" s="84"/>
      <c r="K10" s="84"/>
      <c r="L10" s="84"/>
      <c r="M10" s="84"/>
      <c r="N10" s="84"/>
      <c r="O10" s="84"/>
      <c r="P10" s="84"/>
      <c r="Q10" s="84"/>
      <c r="R10" s="84"/>
      <c r="S10" s="84"/>
      <c r="T10" s="84"/>
      <c r="U10" s="84"/>
      <c r="V10" s="84"/>
      <c r="W10" s="84"/>
      <c r="X10" s="84"/>
      <c r="Y10" s="84"/>
      <c r="Z10" s="84"/>
      <c r="AA10" s="84"/>
      <c r="AB10" s="84"/>
      <c r="AC10" s="84"/>
      <c r="AD10" s="84"/>
      <c r="AE10" s="84"/>
      <c r="AF10" s="84"/>
      <c r="AG10" s="84"/>
      <c r="AH10" s="84"/>
      <c r="AI10" s="84"/>
      <c r="AJ10" s="84"/>
      <c r="AK10" s="84"/>
      <c r="AL10" s="84"/>
      <c r="AM10" s="84"/>
      <c r="AN10" s="84"/>
      <c r="AO10" s="84"/>
      <c r="AP10" s="84"/>
      <c r="AQ10" s="84"/>
      <c r="AR10" s="84"/>
      <c r="AS10" s="84"/>
      <c r="AT10" s="84"/>
      <c r="AU10" s="84"/>
      <c r="AV10" s="84"/>
      <c r="AW10" s="84"/>
      <c r="AX10" s="84"/>
      <c r="AY10" s="84"/>
      <c r="AZ10" s="84"/>
      <c r="BA10" s="84"/>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84"/>
      <c r="CE10" s="84"/>
      <c r="CF10" s="84"/>
      <c r="CG10" s="84"/>
      <c r="CH10" s="84"/>
      <c r="CI10" s="84"/>
      <c r="CJ10" s="84"/>
      <c r="CK10" s="84"/>
      <c r="CL10" s="84"/>
      <c r="CM10" s="84"/>
      <c r="CN10" s="84"/>
      <c r="CO10" s="84"/>
      <c r="CP10" s="84"/>
      <c r="CQ10" s="84"/>
      <c r="CR10" s="84"/>
      <c r="CS10" s="84"/>
      <c r="CT10" s="84"/>
      <c r="CU10" s="84"/>
      <c r="CV10" s="84"/>
      <c r="CW10" s="84"/>
      <c r="CX10" s="84"/>
      <c r="CY10" s="84"/>
      <c r="CZ10" s="84"/>
      <c r="DA10" s="84"/>
      <c r="DB10" s="84"/>
      <c r="DC10" s="84"/>
      <c r="DD10" s="84"/>
      <c r="DE10" s="84"/>
      <c r="DF10" s="84"/>
      <c r="DG10" s="84"/>
      <c r="DH10" s="84"/>
      <c r="DI10" s="84"/>
      <c r="DJ10" s="84"/>
      <c r="DK10" s="84"/>
      <c r="DL10" s="84"/>
      <c r="DM10" s="84"/>
      <c r="DN10" s="84"/>
      <c r="DO10" s="84"/>
      <c r="DP10" s="84"/>
      <c r="DQ10" s="84"/>
      <c r="DR10" s="84"/>
    </row>
    <row r="11" spans="1:123">
      <c r="A11" s="365" t="s">
        <v>397</v>
      </c>
      <c r="B11" s="60" t="s">
        <v>398</v>
      </c>
      <c r="C11" s="60">
        <v>1</v>
      </c>
      <c r="D11" s="64">
        <v>28.05</v>
      </c>
      <c r="E11" s="60">
        <f>D11*C11</f>
        <v>28.05</v>
      </c>
      <c r="F11" s="65">
        <f>E11/$D$4</f>
        <v>0.28344785772029107</v>
      </c>
      <c r="G11" s="60" t="s">
        <v>399</v>
      </c>
      <c r="H11" s="74">
        <f>(H7/1000)*$F$11</f>
        <v>0.30527334276475349</v>
      </c>
      <c r="I11" s="74">
        <f t="shared" ref="I11:BA11" si="0">(I7/1000)*$F$11</f>
        <v>0.30017128132578824</v>
      </c>
      <c r="J11" s="74">
        <f t="shared" si="0"/>
        <v>0.28883336701697659</v>
      </c>
      <c r="K11" s="74">
        <f t="shared" si="0"/>
        <v>0.22178094179466457</v>
      </c>
      <c r="L11" s="74">
        <f t="shared" si="0"/>
        <v>0.19206426839126922</v>
      </c>
      <c r="M11" s="74">
        <f t="shared" si="0"/>
        <v>0.21691414207760715</v>
      </c>
      <c r="N11" s="74">
        <f t="shared" si="0"/>
        <v>0.24809624090541635</v>
      </c>
      <c r="O11" s="74">
        <f t="shared" si="0"/>
        <v>0.26322668755052547</v>
      </c>
      <c r="P11" s="74">
        <f t="shared" si="0"/>
        <v>0.26224879244139054</v>
      </c>
      <c r="Q11" s="74">
        <f t="shared" si="0"/>
        <v>0.25849594280517385</v>
      </c>
      <c r="R11" s="74">
        <f t="shared" si="0"/>
        <v>0.26022780921584482</v>
      </c>
      <c r="S11" s="74">
        <f t="shared" si="0"/>
        <v>0.27429816087308007</v>
      </c>
      <c r="T11" s="74">
        <f t="shared" si="0"/>
        <v>0.29648645917542449</v>
      </c>
      <c r="U11" s="74">
        <f t="shared" si="0"/>
        <v>0.31887883993532745</v>
      </c>
      <c r="V11" s="74">
        <f t="shared" si="0"/>
        <v>0.3390036378334681</v>
      </c>
      <c r="W11" s="74">
        <f t="shared" si="0"/>
        <v>0.35430982215036383</v>
      </c>
      <c r="X11" s="74">
        <f t="shared" si="0"/>
        <v>0.36139601859337112</v>
      </c>
      <c r="Y11" s="74">
        <f t="shared" si="0"/>
        <v>0.3684822150363784</v>
      </c>
      <c r="Z11" s="74">
        <f t="shared" si="0"/>
        <v>0.37556841147938563</v>
      </c>
      <c r="AA11" s="74">
        <f t="shared" si="0"/>
        <v>0.39144149151172197</v>
      </c>
      <c r="AB11" s="74">
        <f t="shared" si="0"/>
        <v>0.38860701293451905</v>
      </c>
      <c r="AC11" s="74">
        <f t="shared" si="0"/>
        <v>0.39115804365400164</v>
      </c>
      <c r="AD11" s="74">
        <f t="shared" si="0"/>
        <v>0.41440076798706554</v>
      </c>
      <c r="AE11" s="74">
        <f t="shared" si="0"/>
        <v>0.40788146725949886</v>
      </c>
      <c r="AF11" s="74">
        <f t="shared" si="0"/>
        <v>0.40844836297493947</v>
      </c>
      <c r="AG11" s="74">
        <f t="shared" si="0"/>
        <v>0.43084074373484244</v>
      </c>
      <c r="AH11" s="74">
        <f t="shared" si="0"/>
        <v>0.4475641673403396</v>
      </c>
      <c r="AI11" s="74">
        <f t="shared" si="0"/>
        <v>0.51020614389652397</v>
      </c>
      <c r="AJ11" s="74">
        <f t="shared" si="0"/>
        <v>0.47817653597413107</v>
      </c>
      <c r="AK11" s="74">
        <f t="shared" si="0"/>
        <v>0.47760964025869046</v>
      </c>
      <c r="AL11" s="74">
        <f t="shared" si="0"/>
        <v>0.43197453516572359</v>
      </c>
      <c r="AM11" s="74">
        <f t="shared" si="0"/>
        <v>0.40873181083265969</v>
      </c>
      <c r="AN11" s="74">
        <f t="shared" si="0"/>
        <v>0.36706497574777691</v>
      </c>
      <c r="AO11" s="74">
        <f t="shared" si="0"/>
        <v>0.35119189571544068</v>
      </c>
      <c r="AP11" s="74">
        <f t="shared" si="0"/>
        <v>0.37471806790622481</v>
      </c>
      <c r="AQ11" s="74">
        <f t="shared" si="0"/>
        <v>0.38123736863379148</v>
      </c>
      <c r="AR11" s="74">
        <f t="shared" si="0"/>
        <v>0.35912843573160874</v>
      </c>
      <c r="AS11" s="74">
        <f t="shared" si="0"/>
        <v>0.38208771220695237</v>
      </c>
      <c r="AT11" s="74">
        <f t="shared" si="0"/>
        <v>0.39144149151172197</v>
      </c>
      <c r="AU11" s="74">
        <f t="shared" si="0"/>
        <v>0.38945735650767999</v>
      </c>
      <c r="AV11" s="74">
        <f t="shared" si="0"/>
        <v>0.38237116006467264</v>
      </c>
      <c r="AW11" s="74">
        <f t="shared" si="0"/>
        <v>0.35544361358124499</v>
      </c>
      <c r="AX11" s="74">
        <f t="shared" si="0"/>
        <v>0.35544361358124499</v>
      </c>
      <c r="AY11" s="74">
        <f t="shared" si="0"/>
        <v>0.34920776071139858</v>
      </c>
      <c r="AZ11" s="74">
        <f t="shared" si="0"/>
        <v>0.35119189571544068</v>
      </c>
      <c r="BA11" s="74">
        <f t="shared" si="0"/>
        <v>0.35090844785772035</v>
      </c>
      <c r="BB11" s="74">
        <f t="shared" ref="BB11:BM11" si="1">(BB7/1000)*$F$11</f>
        <v>0.34920776071139858</v>
      </c>
      <c r="BC11" s="74">
        <f t="shared" si="1"/>
        <v>0.34835741713823776</v>
      </c>
      <c r="BD11" s="74">
        <f t="shared" si="1"/>
        <v>0.3472236257073566</v>
      </c>
      <c r="BE11" s="74">
        <f t="shared" si="1"/>
        <v>0.34665672999191599</v>
      </c>
      <c r="BF11" s="74">
        <f t="shared" si="1"/>
        <v>0.34637328213419566</v>
      </c>
      <c r="BG11" s="74">
        <f t="shared" si="1"/>
        <v>0.36479739288601459</v>
      </c>
      <c r="BH11" s="74">
        <f t="shared" si="1"/>
        <v>0.36196291430881167</v>
      </c>
      <c r="BI11" s="74">
        <f t="shared" si="1"/>
        <v>0.36196291430881167</v>
      </c>
      <c r="BJ11" s="74">
        <f t="shared" si="1"/>
        <v>0.36196291430881167</v>
      </c>
      <c r="BK11" s="74">
        <f t="shared" si="1"/>
        <v>0.37698565076798712</v>
      </c>
      <c r="BL11" s="74">
        <f t="shared" si="1"/>
        <v>0.3772690986257074</v>
      </c>
      <c r="BM11" s="74">
        <f t="shared" si="1"/>
        <v>0.3772690986257074</v>
      </c>
      <c r="BN11" s="74">
        <f t="shared" ref="BN11:BU11" si="2">(BN7/1000)*$F$11</f>
        <v>0.37755254648342773</v>
      </c>
      <c r="BO11" s="74">
        <f t="shared" si="2"/>
        <v>0.36819876717865807</v>
      </c>
      <c r="BP11" s="74">
        <f t="shared" si="2"/>
        <v>0.36819876717865807</v>
      </c>
      <c r="BQ11" s="74">
        <f t="shared" si="2"/>
        <v>0.37131669361358133</v>
      </c>
      <c r="BR11" s="74">
        <f t="shared" si="2"/>
        <v>0.36649808003233636</v>
      </c>
      <c r="BS11" s="74">
        <f t="shared" si="2"/>
        <v>0.36451394502829432</v>
      </c>
      <c r="BT11" s="74">
        <f t="shared" si="2"/>
        <v>0.3653642886014552</v>
      </c>
      <c r="BU11" s="74">
        <f t="shared" si="2"/>
        <v>0.36678152789005664</v>
      </c>
      <c r="BV11" s="74">
        <f t="shared" ref="BV11:CG11" si="3">(BV7/1000)*$F$11</f>
        <v>0.36961600646725956</v>
      </c>
      <c r="BW11" s="74">
        <f t="shared" si="3"/>
        <v>0.36734842360549724</v>
      </c>
      <c r="BX11" s="74">
        <f t="shared" si="3"/>
        <v>0.36734842360549724</v>
      </c>
      <c r="BY11" s="74">
        <f t="shared" si="3"/>
        <v>0.36734842360549724</v>
      </c>
      <c r="BZ11" s="74">
        <f t="shared" si="3"/>
        <v>0.36734842360549724</v>
      </c>
      <c r="CA11" s="74">
        <f t="shared" si="3"/>
        <v>0.36734842360549724</v>
      </c>
      <c r="CB11" s="74">
        <f t="shared" si="3"/>
        <v>0.36394704931285377</v>
      </c>
      <c r="CC11" s="74">
        <f t="shared" si="3"/>
        <v>0.36394704931285377</v>
      </c>
      <c r="CD11" s="74">
        <f t="shared" si="3"/>
        <v>0.37613530719482624</v>
      </c>
      <c r="CE11" s="74">
        <f t="shared" si="3"/>
        <v>0.37613530719482624</v>
      </c>
      <c r="CF11" s="74">
        <f t="shared" si="3"/>
        <v>0.37670220291026685</v>
      </c>
      <c r="CG11" s="74">
        <f t="shared" si="3"/>
        <v>0.37585185933710596</v>
      </c>
      <c r="CH11" s="74">
        <f t="shared" ref="CH11:CU11" si="4">(CH7/1000)*$F$11</f>
        <v>0.38435529506871474</v>
      </c>
      <c r="CI11" s="74">
        <f t="shared" si="4"/>
        <v>0.38435529506871474</v>
      </c>
      <c r="CJ11" s="74">
        <f t="shared" si="4"/>
        <v>0.38435529506871474</v>
      </c>
      <c r="CK11" s="74">
        <f t="shared" si="4"/>
        <v>0.37953668148746972</v>
      </c>
      <c r="CL11" s="74">
        <f t="shared" si="4"/>
        <v>0.37953668148746972</v>
      </c>
      <c r="CM11" s="74">
        <f t="shared" si="4"/>
        <v>0.38152081649151182</v>
      </c>
      <c r="CN11" s="74">
        <f t="shared" si="4"/>
        <v>0.38152081649151182</v>
      </c>
      <c r="CO11" s="74">
        <f t="shared" si="4"/>
        <v>0.38152081649151182</v>
      </c>
      <c r="CP11" s="74">
        <f t="shared" si="4"/>
        <v>0.38152081649151182</v>
      </c>
      <c r="CQ11" s="74">
        <f t="shared" si="4"/>
        <v>0.37528496362166541</v>
      </c>
      <c r="CR11" s="74">
        <f t="shared" si="4"/>
        <v>0.37245048504446249</v>
      </c>
      <c r="CS11" s="74">
        <f t="shared" si="4"/>
        <v>0.37245048504446249</v>
      </c>
      <c r="CT11" s="74">
        <f t="shared" si="4"/>
        <v>0.371033245755861</v>
      </c>
      <c r="CU11" s="74">
        <f t="shared" si="4"/>
        <v>0.371033245755861</v>
      </c>
      <c r="CV11" s="74">
        <f t="shared" ref="CV11:DF11" si="5">(CV7/1000)*$F$11</f>
        <v>0.37386772433306392</v>
      </c>
      <c r="CW11" s="74">
        <f t="shared" si="5"/>
        <v>0.37528496362166541</v>
      </c>
      <c r="CX11" s="74">
        <f t="shared" si="5"/>
        <v>0.37528496362166541</v>
      </c>
      <c r="CY11" s="74">
        <f t="shared" si="5"/>
        <v>0.38265460792239298</v>
      </c>
      <c r="CZ11" s="74">
        <f t="shared" si="5"/>
        <v>0.38265460792239298</v>
      </c>
      <c r="DA11" s="74">
        <f t="shared" si="5"/>
        <v>0.38463874292643496</v>
      </c>
      <c r="DB11" s="74">
        <f t="shared" si="5"/>
        <v>0.38690632578819734</v>
      </c>
      <c r="DC11" s="74">
        <f t="shared" si="5"/>
        <v>0.38152081649151182</v>
      </c>
      <c r="DD11" s="74">
        <f t="shared" si="5"/>
        <v>0.38152081649151182</v>
      </c>
      <c r="DE11" s="74">
        <f t="shared" si="5"/>
        <v>0.38152081649151182</v>
      </c>
      <c r="DF11" s="74">
        <f t="shared" si="5"/>
        <v>0.38152081649151182</v>
      </c>
      <c r="DG11" s="74">
        <f>(DG7/1000)*$F$11</f>
        <v>0.3716001414713016</v>
      </c>
      <c r="DH11" s="74">
        <f t="shared" ref="DH11:DR11" si="6">(DH7/1000)*$F$11</f>
        <v>0.36904911075181901</v>
      </c>
      <c r="DI11" s="74">
        <f t="shared" si="6"/>
        <v>0.36904911075181901</v>
      </c>
      <c r="DJ11" s="74">
        <f t="shared" si="6"/>
        <v>0.36564773645917548</v>
      </c>
      <c r="DK11" s="74">
        <f t="shared" si="6"/>
        <v>0.37245048504446249</v>
      </c>
      <c r="DL11" s="74">
        <f t="shared" si="6"/>
        <v>0.37131669361358133</v>
      </c>
      <c r="DM11" s="74">
        <f t="shared" si="6"/>
        <v>0.36593118431689575</v>
      </c>
      <c r="DN11" s="74">
        <f t="shared" si="6"/>
        <v>0.36508084074373492</v>
      </c>
      <c r="DO11" s="74">
        <f t="shared" si="6"/>
        <v>0.36508084074373492</v>
      </c>
      <c r="DP11" s="74">
        <f t="shared" si="6"/>
        <v>0.35997877930476968</v>
      </c>
      <c r="DQ11" s="74">
        <f t="shared" si="6"/>
        <v>0.35941188358932907</v>
      </c>
      <c r="DR11" s="74">
        <f t="shared" si="6"/>
        <v>0.35856154001616819</v>
      </c>
    </row>
    <row r="12" spans="1:123">
      <c r="A12" s="366"/>
      <c r="B12" s="60" t="s">
        <v>42</v>
      </c>
      <c r="C12" s="60">
        <v>1</v>
      </c>
      <c r="D12" s="64">
        <v>35.43</v>
      </c>
      <c r="E12" s="60">
        <f>D12*C12</f>
        <v>35.43</v>
      </c>
      <c r="F12" s="65">
        <f>E12/$D$4</f>
        <v>0.35802344381568313</v>
      </c>
      <c r="H12" s="74">
        <f t="shared" ref="H12:AM12" si="7">H8*$F$12</f>
        <v>2.0088668629191862E-2</v>
      </c>
      <c r="I12" s="74">
        <f t="shared" si="7"/>
        <v>2.0014878842017504E-2</v>
      </c>
      <c r="J12" s="74">
        <f t="shared" si="7"/>
        <v>1.9234868321851468E-2</v>
      </c>
      <c r="K12" s="74">
        <f t="shared" si="7"/>
        <v>1.8781158685713596E-2</v>
      </c>
      <c r="L12" s="74">
        <f t="shared" si="7"/>
        <v>1.8936464598012164E-2</v>
      </c>
      <c r="M12" s="74">
        <f t="shared" si="7"/>
        <v>1.8906556703318148E-2</v>
      </c>
      <c r="N12" s="74">
        <f t="shared" si="7"/>
        <v>1.9113891578023599E-2</v>
      </c>
      <c r="O12" s="74">
        <f t="shared" si="7"/>
        <v>1.9200340798932507E-2</v>
      </c>
      <c r="P12" s="74">
        <f t="shared" si="7"/>
        <v>1.9475297165995803E-2</v>
      </c>
      <c r="Q12" s="74">
        <f t="shared" si="7"/>
        <v>1.9479720790732513E-2</v>
      </c>
      <c r="R12" s="74">
        <f t="shared" si="7"/>
        <v>1.9292084022428001E-2</v>
      </c>
      <c r="S12" s="74">
        <f t="shared" si="7"/>
        <v>1.9423023294455527E-2</v>
      </c>
      <c r="T12" s="74">
        <f t="shared" si="7"/>
        <v>1.9582849381413001E-2</v>
      </c>
      <c r="U12" s="74">
        <f t="shared" si="7"/>
        <v>1.9671617792070502E-2</v>
      </c>
      <c r="V12" s="74">
        <f t="shared" si="7"/>
        <v>1.9671617792070502E-2</v>
      </c>
      <c r="W12" s="74">
        <f t="shared" si="7"/>
        <v>1.9235645067330189E-2</v>
      </c>
      <c r="X12" s="74">
        <f t="shared" si="7"/>
        <v>1.9550768262972459E-2</v>
      </c>
      <c r="Y12" s="74">
        <f t="shared" si="7"/>
        <v>1.9473671134929732E-2</v>
      </c>
      <c r="Z12" s="74">
        <f t="shared" si="7"/>
        <v>1.9214997655477427E-2</v>
      </c>
      <c r="AA12" s="74">
        <f t="shared" si="7"/>
        <v>1.9310865362226707E-2</v>
      </c>
      <c r="AB12" s="74">
        <f t="shared" si="7"/>
        <v>1.9471023457005202E-2</v>
      </c>
      <c r="AC12" s="74">
        <f t="shared" si="7"/>
        <v>1.9117524699809541E-2</v>
      </c>
      <c r="AD12" s="74">
        <f t="shared" si="7"/>
        <v>1.9230479055495266E-2</v>
      </c>
      <c r="AE12" s="74">
        <f t="shared" si="7"/>
        <v>1.8988249473120292E-2</v>
      </c>
      <c r="AF12" s="74">
        <f t="shared" si="7"/>
        <v>1.9235645067330189E-2</v>
      </c>
      <c r="AG12" s="74">
        <f t="shared" si="7"/>
        <v>1.9104772882373701E-2</v>
      </c>
      <c r="AH12" s="74">
        <f t="shared" si="7"/>
        <v>1.8791415500101466E-2</v>
      </c>
      <c r="AI12" s="74">
        <f t="shared" si="7"/>
        <v>1.8742100977093567E-2</v>
      </c>
      <c r="AJ12" s="74">
        <f t="shared" si="7"/>
        <v>1.8521821049961123E-2</v>
      </c>
      <c r="AK12" s="74">
        <f t="shared" si="7"/>
        <v>1.834263886258641E-2</v>
      </c>
      <c r="AL12" s="74">
        <f t="shared" si="7"/>
        <v>1.7990776968885021E-2</v>
      </c>
      <c r="AM12" s="74">
        <f t="shared" si="7"/>
        <v>1.8003129916544857E-2</v>
      </c>
      <c r="AN12" s="74">
        <f t="shared" ref="AN12:BA12" si="8">AN8*$F$12</f>
        <v>1.7849508006870178E-2</v>
      </c>
      <c r="AO12" s="74">
        <f t="shared" si="8"/>
        <v>1.7392418583279459E-2</v>
      </c>
      <c r="AP12" s="74">
        <f t="shared" si="8"/>
        <v>1.7505007814816093E-2</v>
      </c>
      <c r="AQ12" s="74">
        <f t="shared" si="8"/>
        <v>1.7366245455001015E-2</v>
      </c>
      <c r="AR12" s="74">
        <f t="shared" si="8"/>
        <v>1.7485969916773456E-2</v>
      </c>
      <c r="AS12" s="74">
        <f t="shared" si="8"/>
        <v>1.7438687304294695E-2</v>
      </c>
      <c r="AT12" s="74">
        <f t="shared" si="8"/>
        <v>1.7438687304294695E-2</v>
      </c>
      <c r="AU12" s="74">
        <f t="shared" si="8"/>
        <v>1.7438687304294695E-2</v>
      </c>
      <c r="AV12" s="74">
        <f t="shared" si="8"/>
        <v>1.7438687304294695E-2</v>
      </c>
      <c r="AW12" s="74">
        <f t="shared" si="8"/>
        <v>1.7358712427427061E-2</v>
      </c>
      <c r="AX12" s="74">
        <f t="shared" si="8"/>
        <v>1.7371346133706118E-2</v>
      </c>
      <c r="AY12" s="74">
        <f t="shared" si="8"/>
        <v>1.74263053694662E-2</v>
      </c>
      <c r="AZ12" s="74">
        <f t="shared" si="8"/>
        <v>1.7481613467562652E-2</v>
      </c>
      <c r="BA12" s="74">
        <f t="shared" si="8"/>
        <v>1.7409357832029328E-2</v>
      </c>
      <c r="BB12" s="74">
        <f t="shared" ref="BB12:BM12" si="9">BB8*$F$12</f>
        <v>1.7289554210584722E-2</v>
      </c>
      <c r="BC12" s="74">
        <f t="shared" si="9"/>
        <v>1.7202327630783575E-2</v>
      </c>
      <c r="BD12" s="74">
        <f t="shared" si="9"/>
        <v>1.7202327630783575E-2</v>
      </c>
      <c r="BE12" s="74">
        <f t="shared" si="9"/>
        <v>1.7327208412132273E-2</v>
      </c>
      <c r="BF12" s="74">
        <f t="shared" si="9"/>
        <v>1.7243754066980525E-2</v>
      </c>
      <c r="BG12" s="74">
        <f t="shared" si="9"/>
        <v>1.7266623767334611E-2</v>
      </c>
      <c r="BH12" s="74">
        <f t="shared" si="9"/>
        <v>1.726870583941556E-2</v>
      </c>
      <c r="BI12" s="74">
        <f t="shared" si="9"/>
        <v>1.7200261533302095E-2</v>
      </c>
      <c r="BJ12" s="74">
        <f t="shared" si="9"/>
        <v>1.7208528902460135E-2</v>
      </c>
      <c r="BK12" s="74">
        <f t="shared" si="9"/>
        <v>1.7202327630783575E-2</v>
      </c>
      <c r="BL12" s="74">
        <f t="shared" si="9"/>
        <v>1.7229232137424597E-2</v>
      </c>
      <c r="BM12" s="74">
        <f t="shared" si="9"/>
        <v>1.7200261533302095E-2</v>
      </c>
      <c r="BN12" s="74">
        <f t="shared" ref="BN12:BU12" si="10">BN8*$F$12</f>
        <v>1.7208528902460135E-2</v>
      </c>
      <c r="BO12" s="74">
        <f t="shared" si="10"/>
        <v>1.7214734646745191E-2</v>
      </c>
      <c r="BP12" s="74">
        <f t="shared" si="10"/>
        <v>1.7214734646745191E-2</v>
      </c>
      <c r="BQ12" s="74">
        <f t="shared" si="10"/>
        <v>1.7185812735662217E-2</v>
      </c>
      <c r="BR12" s="74">
        <f t="shared" si="10"/>
        <v>1.7171388192598711E-2</v>
      </c>
      <c r="BS12" s="74">
        <f t="shared" si="10"/>
        <v>1.7179627822249671E-2</v>
      </c>
      <c r="BT12" s="74">
        <f t="shared" si="10"/>
        <v>1.7204394224684439E-2</v>
      </c>
      <c r="BU12" s="74">
        <f t="shared" si="10"/>
        <v>1.7187875363210904E-2</v>
      </c>
      <c r="BV12" s="74">
        <f t="shared" ref="BV12:CG12" si="11">BV8*$F$12</f>
        <v>1.7225087506167098E-2</v>
      </c>
      <c r="BW12" s="74">
        <f t="shared" si="11"/>
        <v>1.7223015938216867E-2</v>
      </c>
      <c r="BX12" s="74">
        <f t="shared" si="11"/>
        <v>1.7202327630783575E-2</v>
      </c>
      <c r="BY12" s="74">
        <f t="shared" si="11"/>
        <v>1.7241678007015801E-2</v>
      </c>
      <c r="BZ12" s="74">
        <f t="shared" si="11"/>
        <v>1.7254141870635332E-2</v>
      </c>
      <c r="CA12" s="74">
        <f t="shared" si="11"/>
        <v>1.7252063308790897E-2</v>
      </c>
      <c r="CB12" s="74">
        <f t="shared" si="11"/>
        <v>1.7274955069514264E-2</v>
      </c>
      <c r="CC12" s="74">
        <f t="shared" si="11"/>
        <v>1.7274955069514264E-2</v>
      </c>
      <c r="CD12" s="74">
        <f t="shared" si="11"/>
        <v>1.7316732469924215E-2</v>
      </c>
      <c r="CE12" s="74">
        <f t="shared" si="11"/>
        <v>1.7304178048123883E-2</v>
      </c>
      <c r="CF12" s="74">
        <f t="shared" si="11"/>
        <v>1.7200261533302095E-2</v>
      </c>
      <c r="CG12" s="74">
        <f t="shared" si="11"/>
        <v>1.7173447358948705E-2</v>
      </c>
      <c r="CH12" s="74">
        <f t="shared" ref="CH12:CU12" si="12">CH8*$F$12</f>
        <v>1.7210596986693097E-2</v>
      </c>
      <c r="CI12" s="74">
        <f t="shared" si="12"/>
        <v>1.7171388192598711E-2</v>
      </c>
      <c r="CJ12" s="74">
        <f t="shared" si="12"/>
        <v>1.7128259481673631E-2</v>
      </c>
      <c r="CK12" s="74">
        <f t="shared" si="12"/>
        <v>1.7167271340958194E-2</v>
      </c>
      <c r="CL12" s="74">
        <f t="shared" si="12"/>
        <v>1.715082365584111E-2</v>
      </c>
      <c r="CM12" s="74">
        <f t="shared" si="12"/>
        <v>1.718168896535972E-2</v>
      </c>
      <c r="CN12" s="74">
        <f>CN8*$F$12</f>
        <v>1.718168896535972E-2</v>
      </c>
      <c r="CO12" s="74">
        <f t="shared" si="12"/>
        <v>1.718168896535972E-2</v>
      </c>
      <c r="CP12" s="74">
        <f t="shared" si="12"/>
        <v>1.718168896535972E-2</v>
      </c>
      <c r="CQ12" s="74">
        <f t="shared" si="12"/>
        <v>1.7071090419152848E-2</v>
      </c>
      <c r="CR12" s="74">
        <f t="shared" si="12"/>
        <v>1.7171388192598711E-2</v>
      </c>
      <c r="CS12" s="74">
        <f t="shared" si="12"/>
        <v>1.715082365584111E-2</v>
      </c>
      <c r="CT12" s="74">
        <f t="shared" si="12"/>
        <v>1.7161099763483914E-2</v>
      </c>
      <c r="CU12" s="74">
        <f t="shared" si="12"/>
        <v>1.7156987843090121E-2</v>
      </c>
      <c r="CV12" s="74">
        <f t="shared" ref="CV12:DF12" si="13">CV8*$F$12</f>
        <v>1.7140559847549162E-2</v>
      </c>
      <c r="CW12" s="74">
        <f t="shared" si="13"/>
        <v>1.7109841998360003E-2</v>
      </c>
      <c r="CX12" s="74">
        <f t="shared" si="13"/>
        <v>1.7103711635766541E-2</v>
      </c>
      <c r="CY12" s="74">
        <f t="shared" si="13"/>
        <v>1.7058889520699613E-2</v>
      </c>
      <c r="CZ12" s="74">
        <f t="shared" si="13"/>
        <v>1.7056857733000627E-2</v>
      </c>
      <c r="DA12" s="74">
        <f t="shared" si="13"/>
        <v>1.7069055724228038E-2</v>
      </c>
      <c r="DB12" s="74">
        <f t="shared" si="13"/>
        <v>1.7071090419152848E-2</v>
      </c>
      <c r="DC12" s="74">
        <f t="shared" si="13"/>
        <v>1.7056857733000627E-2</v>
      </c>
      <c r="DD12" s="74">
        <f t="shared" si="13"/>
        <v>1.7056857733000627E-2</v>
      </c>
      <c r="DE12" s="74">
        <f t="shared" si="13"/>
        <v>1.7134407457079833E-2</v>
      </c>
      <c r="DF12" s="74">
        <f t="shared" si="13"/>
        <v>1.711802265434775E-2</v>
      </c>
      <c r="DG12" s="74">
        <f>DG8*$F$12</f>
        <v>1.7054826429233446E-2</v>
      </c>
      <c r="DH12" s="74">
        <f t="shared" ref="DH12:DR12" si="14">DH8*$F$12</f>
        <v>1.7034539969819587E-2</v>
      </c>
      <c r="DI12" s="74">
        <f t="shared" si="14"/>
        <v>1.7034539969819587E-2</v>
      </c>
      <c r="DJ12" s="74">
        <f t="shared" si="14"/>
        <v>1.7032513977910713E-2</v>
      </c>
      <c r="DK12" s="74">
        <f t="shared" si="14"/>
        <v>1.702441482718417E-2</v>
      </c>
      <c r="DL12" s="74">
        <f t="shared" si="14"/>
        <v>1.696793572586176E-2</v>
      </c>
      <c r="DM12" s="74">
        <f t="shared" si="14"/>
        <v>1.6994111490005133E-2</v>
      </c>
      <c r="DN12" s="74">
        <f t="shared" si="14"/>
        <v>1.6921821756619788E-2</v>
      </c>
      <c r="DO12" s="74">
        <f t="shared" si="14"/>
        <v>1.6909833218357925E-2</v>
      </c>
      <c r="DP12" s="74">
        <f t="shared" si="14"/>
        <v>1.6881925913741984E-2</v>
      </c>
      <c r="DQ12" s="74">
        <f t="shared" si="14"/>
        <v>1.6864034094002972E-2</v>
      </c>
      <c r="DR12" s="74">
        <f t="shared" si="14"/>
        <v>1.6812558995805735E-2</v>
      </c>
    </row>
    <row r="13" spans="1:123" s="73" customFormat="1">
      <c r="A13" s="73" t="s">
        <v>400</v>
      </c>
      <c r="D13" s="92"/>
      <c r="F13" s="93"/>
      <c r="H13" s="94">
        <f>SUM(H11:H12)</f>
        <v>0.32536201139394533</v>
      </c>
      <c r="I13" s="94">
        <f t="shared" ref="I13:BA13" si="15">SUM(I11:I12)</f>
        <v>0.32018616016780577</v>
      </c>
      <c r="J13" s="94">
        <f t="shared" si="15"/>
        <v>0.30806823533882804</v>
      </c>
      <c r="K13" s="94">
        <f t="shared" si="15"/>
        <v>0.24056210048037815</v>
      </c>
      <c r="L13" s="94">
        <f t="shared" si="15"/>
        <v>0.21100073298928138</v>
      </c>
      <c r="M13" s="94">
        <f t="shared" si="15"/>
        <v>0.23582069878092529</v>
      </c>
      <c r="N13" s="94">
        <f t="shared" si="15"/>
        <v>0.26721013248343994</v>
      </c>
      <c r="O13" s="94">
        <f t="shared" si="15"/>
        <v>0.28242702834945799</v>
      </c>
      <c r="P13" s="94">
        <f t="shared" si="15"/>
        <v>0.28172408960738637</v>
      </c>
      <c r="Q13" s="94">
        <f t="shared" si="15"/>
        <v>0.27797566359590636</v>
      </c>
      <c r="R13" s="94">
        <f t="shared" si="15"/>
        <v>0.27951989323827281</v>
      </c>
      <c r="S13" s="94">
        <f t="shared" si="15"/>
        <v>0.29372118416753557</v>
      </c>
      <c r="T13" s="94">
        <f t="shared" si="15"/>
        <v>0.31606930855683751</v>
      </c>
      <c r="U13" s="94">
        <f t="shared" si="15"/>
        <v>0.33855045772739795</v>
      </c>
      <c r="V13" s="94">
        <f t="shared" si="15"/>
        <v>0.35867525562553859</v>
      </c>
      <c r="W13" s="94">
        <f t="shared" si="15"/>
        <v>0.37354546721769399</v>
      </c>
      <c r="X13" s="94">
        <f t="shared" si="15"/>
        <v>0.38094678685634359</v>
      </c>
      <c r="Y13" s="94">
        <f t="shared" si="15"/>
        <v>0.38795588617130816</v>
      </c>
      <c r="Z13" s="94">
        <f t="shared" si="15"/>
        <v>0.39478340913486304</v>
      </c>
      <c r="AA13" s="94">
        <f t="shared" si="15"/>
        <v>0.41075235687394868</v>
      </c>
      <c r="AB13" s="94">
        <f t="shared" si="15"/>
        <v>0.40807803639152423</v>
      </c>
      <c r="AC13" s="94">
        <f t="shared" si="15"/>
        <v>0.41027556835381118</v>
      </c>
      <c r="AD13" s="94">
        <f t="shared" si="15"/>
        <v>0.43363124704256079</v>
      </c>
      <c r="AE13" s="94">
        <f t="shared" si="15"/>
        <v>0.42686971673261914</v>
      </c>
      <c r="AF13" s="94">
        <f t="shared" si="15"/>
        <v>0.42768400804226964</v>
      </c>
      <c r="AG13" s="94">
        <f t="shared" si="15"/>
        <v>0.44994551661721616</v>
      </c>
      <c r="AH13" s="94">
        <f t="shared" si="15"/>
        <v>0.4663555828404411</v>
      </c>
      <c r="AI13" s="94">
        <f t="shared" si="15"/>
        <v>0.52894824487361758</v>
      </c>
      <c r="AJ13" s="94">
        <f t="shared" si="15"/>
        <v>0.49669835702409221</v>
      </c>
      <c r="AK13" s="94">
        <f t="shared" si="15"/>
        <v>0.49595227912127687</v>
      </c>
      <c r="AL13" s="94">
        <f t="shared" si="15"/>
        <v>0.44996531213460861</v>
      </c>
      <c r="AM13" s="94">
        <f t="shared" si="15"/>
        <v>0.42673494074920454</v>
      </c>
      <c r="AN13" s="94">
        <f t="shared" si="15"/>
        <v>0.3849144837546471</v>
      </c>
      <c r="AO13" s="94">
        <f t="shared" si="15"/>
        <v>0.36858431429872013</v>
      </c>
      <c r="AP13" s="94">
        <f t="shared" si="15"/>
        <v>0.39222307572104087</v>
      </c>
      <c r="AQ13" s="94">
        <f t="shared" si="15"/>
        <v>0.39860361408879252</v>
      </c>
      <c r="AR13" s="94">
        <f t="shared" si="15"/>
        <v>0.37661440564838222</v>
      </c>
      <c r="AS13" s="94">
        <f t="shared" si="15"/>
        <v>0.39952639951124708</v>
      </c>
      <c r="AT13" s="94">
        <f t="shared" si="15"/>
        <v>0.40888017881601668</v>
      </c>
      <c r="AU13" s="94">
        <f t="shared" si="15"/>
        <v>0.40689604381197469</v>
      </c>
      <c r="AV13" s="94">
        <f t="shared" si="15"/>
        <v>0.39980984736896735</v>
      </c>
      <c r="AW13" s="94">
        <f t="shared" si="15"/>
        <v>0.37280232600867202</v>
      </c>
      <c r="AX13" s="94">
        <f t="shared" si="15"/>
        <v>0.3728149597149511</v>
      </c>
      <c r="AY13" s="94">
        <f t="shared" si="15"/>
        <v>0.3666340660808648</v>
      </c>
      <c r="AZ13" s="94">
        <f t="shared" si="15"/>
        <v>0.36867350918300335</v>
      </c>
      <c r="BA13" s="94">
        <f t="shared" si="15"/>
        <v>0.3683178056897497</v>
      </c>
      <c r="BB13" s="94">
        <f t="shared" ref="BB13:BM13" si="16">SUM(BB11:BB12)</f>
        <v>0.36649731492198329</v>
      </c>
      <c r="BC13" s="94">
        <f t="shared" si="16"/>
        <v>0.36555974476902131</v>
      </c>
      <c r="BD13" s="94">
        <f t="shared" si="16"/>
        <v>0.36442595333814015</v>
      </c>
      <c r="BE13" s="94">
        <f t="shared" si="16"/>
        <v>0.36398393840404825</v>
      </c>
      <c r="BF13" s="94">
        <f t="shared" si="16"/>
        <v>0.36361703620117619</v>
      </c>
      <c r="BG13" s="94">
        <f t="shared" si="16"/>
        <v>0.38206401665334921</v>
      </c>
      <c r="BH13" s="94">
        <f t="shared" si="16"/>
        <v>0.3792316201482272</v>
      </c>
      <c r="BI13" s="94">
        <f t="shared" si="16"/>
        <v>0.37916317584211379</v>
      </c>
      <c r="BJ13" s="94">
        <f t="shared" si="16"/>
        <v>0.37917144321127183</v>
      </c>
      <c r="BK13" s="94">
        <f t="shared" si="16"/>
        <v>0.39418797839877068</v>
      </c>
      <c r="BL13" s="94">
        <f t="shared" si="16"/>
        <v>0.39449833076313201</v>
      </c>
      <c r="BM13" s="94">
        <f t="shared" si="16"/>
        <v>0.39446936015900952</v>
      </c>
      <c r="BN13" s="94">
        <f t="shared" ref="BN13:BU13" si="17">SUM(BN11:BN12)</f>
        <v>0.39476107538588789</v>
      </c>
      <c r="BO13" s="94">
        <f t="shared" si="17"/>
        <v>0.38541350182540324</v>
      </c>
      <c r="BP13" s="94">
        <f t="shared" si="17"/>
        <v>0.38541350182540324</v>
      </c>
      <c r="BQ13" s="94">
        <f t="shared" si="17"/>
        <v>0.38850250634924355</v>
      </c>
      <c r="BR13" s="94">
        <f t="shared" si="17"/>
        <v>0.38366946822493508</v>
      </c>
      <c r="BS13" s="94">
        <f t="shared" si="17"/>
        <v>0.38169357285054401</v>
      </c>
      <c r="BT13" s="94">
        <f t="shared" si="17"/>
        <v>0.38256868282613965</v>
      </c>
      <c r="BU13" s="94">
        <f t="shared" si="17"/>
        <v>0.38396940325326756</v>
      </c>
      <c r="BV13" s="94">
        <f t="shared" ref="BV13:CG13" si="18">SUM(BV11:BV12)</f>
        <v>0.38684109397342664</v>
      </c>
      <c r="BW13" s="94">
        <f t="shared" si="18"/>
        <v>0.38457143954371409</v>
      </c>
      <c r="BX13" s="94">
        <f t="shared" si="18"/>
        <v>0.3845507512362808</v>
      </c>
      <c r="BY13" s="94">
        <f t="shared" si="18"/>
        <v>0.38459010161251306</v>
      </c>
      <c r="BZ13" s="94">
        <f t="shared" si="18"/>
        <v>0.38460256547613259</v>
      </c>
      <c r="CA13" s="94">
        <f t="shared" si="18"/>
        <v>0.38460048691428816</v>
      </c>
      <c r="CB13" s="94">
        <f t="shared" si="18"/>
        <v>0.38122200438236803</v>
      </c>
      <c r="CC13" s="94">
        <f t="shared" si="18"/>
        <v>0.38122200438236803</v>
      </c>
      <c r="CD13" s="94">
        <f t="shared" si="18"/>
        <v>0.39345203966475045</v>
      </c>
      <c r="CE13" s="94">
        <f t="shared" si="18"/>
        <v>0.39343948524295014</v>
      </c>
      <c r="CF13" s="94">
        <f t="shared" si="18"/>
        <v>0.39390246444356897</v>
      </c>
      <c r="CG13" s="94">
        <f t="shared" si="18"/>
        <v>0.39302530669605468</v>
      </c>
      <c r="CH13" s="94">
        <f t="shared" ref="CH13:CU13" si="19">SUM(CH11:CH12)</f>
        <v>0.40156589205540782</v>
      </c>
      <c r="CI13" s="94">
        <f t="shared" si="19"/>
        <v>0.40152668326131347</v>
      </c>
      <c r="CJ13" s="94">
        <f t="shared" si="19"/>
        <v>0.40148355455038837</v>
      </c>
      <c r="CK13" s="94">
        <f t="shared" si="19"/>
        <v>0.39670395282842791</v>
      </c>
      <c r="CL13" s="94">
        <f t="shared" si="19"/>
        <v>0.3966875051433108</v>
      </c>
      <c r="CM13" s="94">
        <f t="shared" si="19"/>
        <v>0.39870250545687153</v>
      </c>
      <c r="CN13" s="94">
        <f t="shared" si="19"/>
        <v>0.39870250545687153</v>
      </c>
      <c r="CO13" s="94">
        <f t="shared" si="19"/>
        <v>0.39870250545687153</v>
      </c>
      <c r="CP13" s="94">
        <f t="shared" si="19"/>
        <v>0.39870250545687153</v>
      </c>
      <c r="CQ13" s="94">
        <f t="shared" si="19"/>
        <v>0.39235605404081825</v>
      </c>
      <c r="CR13" s="94">
        <f t="shared" si="19"/>
        <v>0.38962187323706121</v>
      </c>
      <c r="CS13" s="94">
        <f t="shared" si="19"/>
        <v>0.38960130870030357</v>
      </c>
      <c r="CT13" s="94">
        <f t="shared" si="19"/>
        <v>0.3881943455193449</v>
      </c>
      <c r="CU13" s="94">
        <f t="shared" si="19"/>
        <v>0.38819023359895111</v>
      </c>
      <c r="CV13" s="94">
        <f t="shared" ref="CV13:DF13" si="20">SUM(CV11:CV12)</f>
        <v>0.39100828418061306</v>
      </c>
      <c r="CW13" s="94">
        <f t="shared" si="20"/>
        <v>0.39239480562002543</v>
      </c>
      <c r="CX13" s="94">
        <f t="shared" si="20"/>
        <v>0.39238867525743193</v>
      </c>
      <c r="CY13" s="94">
        <f t="shared" si="20"/>
        <v>0.39971349744309259</v>
      </c>
      <c r="CZ13" s="94">
        <f t="shared" si="20"/>
        <v>0.39971146565539362</v>
      </c>
      <c r="DA13" s="94">
        <f t="shared" si="20"/>
        <v>0.40170779865066297</v>
      </c>
      <c r="DB13" s="94">
        <f t="shared" si="20"/>
        <v>0.40397741620735017</v>
      </c>
      <c r="DC13" s="94">
        <f t="shared" si="20"/>
        <v>0.39857767422451246</v>
      </c>
      <c r="DD13" s="94">
        <f t="shared" si="20"/>
        <v>0.39857767422451246</v>
      </c>
      <c r="DE13" s="94">
        <f t="shared" si="20"/>
        <v>0.39865522394859165</v>
      </c>
      <c r="DF13" s="94">
        <f t="shared" si="20"/>
        <v>0.39863883914585957</v>
      </c>
      <c r="DG13" s="94">
        <f>SUM(DG11:DG12)</f>
        <v>0.38865496790053505</v>
      </c>
      <c r="DH13" s="94">
        <f t="shared" ref="DH13:DR13" si="21">SUM(DH11:DH12)</f>
        <v>0.38608365072163858</v>
      </c>
      <c r="DI13" s="94">
        <f t="shared" si="21"/>
        <v>0.38608365072163858</v>
      </c>
      <c r="DJ13" s="94">
        <f t="shared" si="21"/>
        <v>0.3826802504370862</v>
      </c>
      <c r="DK13" s="94">
        <f t="shared" si="21"/>
        <v>0.38947489987164663</v>
      </c>
      <c r="DL13" s="94">
        <f t="shared" si="21"/>
        <v>0.38828462933944308</v>
      </c>
      <c r="DM13" s="94">
        <f t="shared" si="21"/>
        <v>0.38292529580690088</v>
      </c>
      <c r="DN13" s="94">
        <f t="shared" si="21"/>
        <v>0.38200266250035469</v>
      </c>
      <c r="DO13" s="94">
        <f t="shared" si="21"/>
        <v>0.38199067396209285</v>
      </c>
      <c r="DP13" s="94">
        <f t="shared" si="21"/>
        <v>0.37686070521851167</v>
      </c>
      <c r="DQ13" s="94">
        <f t="shared" si="21"/>
        <v>0.37627591768333202</v>
      </c>
      <c r="DR13" s="94">
        <f t="shared" si="21"/>
        <v>0.37537409901197394</v>
      </c>
    </row>
    <row r="14" spans="1:123">
      <c r="A14" s="30"/>
      <c r="B14" s="60" t="s">
        <v>401</v>
      </c>
      <c r="C14" s="60" t="s">
        <v>402</v>
      </c>
      <c r="D14" s="60" t="s">
        <v>403</v>
      </c>
      <c r="E14" s="60" t="s">
        <v>404</v>
      </c>
      <c r="F14" s="192" t="s">
        <v>70</v>
      </c>
      <c r="G14" s="60" t="s">
        <v>405</v>
      </c>
      <c r="H14" s="74">
        <f>VLOOKUP($F$14&amp;$F$1,'Input RM sheet'!$A:$BD,H1,0)</f>
        <v>0.30483022407281657</v>
      </c>
      <c r="I14" s="74">
        <f>VLOOKUP($F$14&amp;$F$1,'Input RM sheet'!$A:$BD,I1,0)</f>
        <v>0.34286427537166547</v>
      </c>
      <c r="J14" s="74">
        <f>VLOOKUP($F$14&amp;$F$1,'Input RM sheet'!$A:$DD,J1,0)</f>
        <v>0.33696703937170702</v>
      </c>
      <c r="K14" s="74">
        <f>VLOOKUP($F$14&amp;$F$1,'Input RM sheet'!$A:$DD,K1,0)</f>
        <v>0.32918290899642011</v>
      </c>
      <c r="L14" s="74">
        <f>VLOOKUP($F$14&amp;$F$1,'Input RM sheet'!$A:$DD,L1,0)</f>
        <v>0.29562625382070207</v>
      </c>
      <c r="M14" s="74">
        <f>VLOOKUP($F$14&amp;$F$1,'Input RM sheet'!$A:$DD,M1,0)</f>
        <v>0.28466634277280467</v>
      </c>
      <c r="N14" s="74">
        <f>VLOOKUP($F$14&amp;$F$1,'Input RM sheet'!$A:$DD,N1,0)</f>
        <v>0.20653801563255636</v>
      </c>
      <c r="O14" s="74">
        <f>VLOOKUP($F$14&amp;$F$1,'Input RM sheet'!$A:$DD,O1,0)</f>
        <v>0.25027237704948618</v>
      </c>
      <c r="P14" s="74">
        <f>VLOOKUP($F$14&amp;$F$1,'Input RM sheet'!$A:$DD,P1,0)</f>
        <v>0.29482717983849482</v>
      </c>
      <c r="Q14" s="74">
        <f>VLOOKUP($F$14&amp;$F$1,'Input RM sheet'!$A:$DD,Q1,0)</f>
        <v>0.26112492603652376</v>
      </c>
      <c r="R14" s="74">
        <f>VLOOKUP($F$14&amp;$F$1,'Input RM sheet'!$A:$DD,R1,0)</f>
        <v>0.37172456889708289</v>
      </c>
      <c r="S14" s="74">
        <f>VLOOKUP($F$14&amp;$F$1,'Input RM sheet'!$A:$DD,S1,0)</f>
        <v>0.37556517659587235</v>
      </c>
      <c r="T14" s="74">
        <f>VLOOKUP($F$14&amp;$F$1,'Input RM sheet'!$A:$DD,T1,0)</f>
        <v>0.37644550007000283</v>
      </c>
      <c r="U14" s="74">
        <f>VLOOKUP($F$14&amp;$F$1,'Input RM sheet'!$A:$DD,U1,0)</f>
        <v>0.47173077782891726</v>
      </c>
      <c r="V14" s="74">
        <f>VLOOKUP($F$14&amp;$F$1,'Input RM sheet'!$A:$DD,V1,0)</f>
        <v>0.55483712536000929</v>
      </c>
      <c r="W14" s="74">
        <f>VLOOKUP($F$14&amp;$F$1,'Input RM sheet'!$A:$DD,W1,0)</f>
        <v>0.63937652810505008</v>
      </c>
      <c r="X14" s="74">
        <f>VLOOKUP($F$14&amp;$F$1,'Input RM sheet'!$A:$DD,X1,0)</f>
        <v>0.70249744979967632</v>
      </c>
      <c r="Y14" s="74">
        <f>VLOOKUP($F$14&amp;$F$1,'Input RM sheet'!$A:$DD,Y1,0)</f>
        <v>0.70253354554770719</v>
      </c>
      <c r="Z14" s="74">
        <f>VLOOKUP($F$14&amp;$F$1,'Input RM sheet'!$A:$DD,Z1,0)</f>
        <v>0.67458824267374151</v>
      </c>
      <c r="AA14" s="74">
        <f>VLOOKUP($F$14&amp;$F$1,'Input RM sheet'!$A:$DD,AA1,0)</f>
        <v>0.67758749868113066</v>
      </c>
      <c r="AB14" s="74">
        <f>VLOOKUP($F$14&amp;$F$1,'Input RM sheet'!$A:$DD,AB1,0)</f>
        <v>0.69029584997989535</v>
      </c>
      <c r="AC14" s="74">
        <f>VLOOKUP($F$14&amp;$F$1,'Input RM sheet'!$A:$DD,AC1,0)</f>
        <v>0.74505126870339788</v>
      </c>
      <c r="AD14" s="74">
        <f>VLOOKUP($F$14&amp;$F$1,'Input RM sheet'!$A:$DD,AD1,0)</f>
        <v>0.8477068626947446</v>
      </c>
      <c r="AE14" s="74">
        <f>VLOOKUP($F$14&amp;$F$1,'Input RM sheet'!$A:$DD,AE1,0)</f>
        <v>0.74416923739711949</v>
      </c>
      <c r="AF14" s="74">
        <f>VLOOKUP($F$14&amp;$F$1,'Input RM sheet'!$A:$DD,AF1,0)</f>
        <v>0.84546574776946926</v>
      </c>
      <c r="AG14" s="74">
        <f>VLOOKUP($F$14&amp;$F$1,'Input RM sheet'!$A:$DD,AG1,0)</f>
        <v>0.81157036933012439</v>
      </c>
      <c r="AH14" s="74">
        <f>VLOOKUP($F$14&amp;$F$1,'Input RM sheet'!$A:$DD,AH1,0)</f>
        <v>0.74221287798726343</v>
      </c>
      <c r="AI14" s="74">
        <f>VLOOKUP($F$14&amp;$F$1,'Input RM sheet'!$A:$DD,AI1,0)</f>
        <v>0.82460206677585413</v>
      </c>
      <c r="AJ14" s="74">
        <f>VLOOKUP($F$14&amp;$F$1,'Input RM sheet'!$A:$DD,AJ1,0)</f>
        <v>0.8671847901063201</v>
      </c>
      <c r="AK14" s="74">
        <f>VLOOKUP($F$14&amp;$F$1,'Input RM sheet'!$A:$DD,AK1,0)</f>
        <v>0.84340071104150371</v>
      </c>
      <c r="AL14" s="74">
        <f>VLOOKUP($F$14&amp;$F$1,'Input RM sheet'!$A:$DD,AL1,0)</f>
        <v>0.6877680056485691</v>
      </c>
      <c r="AM14" s="74">
        <f>VLOOKUP($F$14&amp;$F$1,'Input RM sheet'!$A:$DD,AM1,0)</f>
        <v>0.68293490663365997</v>
      </c>
      <c r="AN14" s="74">
        <f>VLOOKUP($F$14&amp;$F$1,'Input RM sheet'!$A:$DD,AN1,0)</f>
        <v>0.43909968737964511</v>
      </c>
      <c r="AO14" s="74">
        <f>VLOOKUP($F$14&amp;$F$1,'Input RM sheet'!$A:$DD,AO1,0)</f>
        <v>0.34716607162870206</v>
      </c>
      <c r="AP14" s="74">
        <f>VLOOKUP($F$14&amp;$F$1,'Input RM sheet'!$A:$DD,AP1,0)</f>
        <v>0.35857951344010464</v>
      </c>
      <c r="AQ14" s="74">
        <f>VLOOKUP($F$14&amp;$F$1,'Input RM sheet'!$A:$DD,AQ1,0)</f>
        <v>0.29459801775419026</v>
      </c>
      <c r="AR14" s="74">
        <f>VLOOKUP($F$14&amp;$F$1,'Input RM sheet'!$A:$DD,AR1,0)</f>
        <v>0.82403514720880189</v>
      </c>
      <c r="AS14" s="74">
        <f>VLOOKUP($F$14&amp;$F$1,'Input RM sheet'!$A:$DD,AS1,0)</f>
        <v>0.36841456422240715</v>
      </c>
      <c r="AT14" s="74">
        <f>VLOOKUP($F$14&amp;$F$1,'Input RM sheet'!$A:$DD,AT1,0)</f>
        <v>0.34897572690144207</v>
      </c>
      <c r="AU14" s="74">
        <f>VLOOKUP($F$14&amp;$F$1,'Input RM sheet'!$A:$DD,AU1,0)</f>
        <v>0.37</v>
      </c>
      <c r="AV14" s="74">
        <f>VLOOKUP($F$14&amp;$F$1,'Input RM sheet'!$A:$DD,AV1,0)</f>
        <v>0.4</v>
      </c>
      <c r="AW14" s="74">
        <f>VLOOKUP($F$14&amp;$F$1,'Input RM sheet'!$A:$DD,AW1,0)</f>
        <v>0.25</v>
      </c>
      <c r="AX14" s="74">
        <f>VLOOKUP($F$14&amp;$F$1,'Input RM sheet'!$A:$DD,AX1,0)</f>
        <v>0.25</v>
      </c>
      <c r="AY14" s="74">
        <f>VLOOKUP($F$14&amp;$F$1,'Input RM sheet'!$A:$DD,AY1,0)</f>
        <v>0.25</v>
      </c>
      <c r="AZ14" s="74">
        <f>VLOOKUP($F$14&amp;$F$1,'Input RM sheet'!$A:$DD,AZ1,0)</f>
        <v>0.24</v>
      </c>
      <c r="BA14" s="74">
        <f>VLOOKUP($F$14&amp;$F$1,'Input RM sheet'!$A:$DD,BA1,0)</f>
        <v>0.21</v>
      </c>
      <c r="BB14" s="74">
        <f>VLOOKUP($F$14&amp;$F$1,'Input RM sheet'!$A:$DD,BB1,0)</f>
        <v>0.28999999999999998</v>
      </c>
      <c r="BC14" s="74">
        <f>VLOOKUP($F$14&amp;$F$1,'Input RM sheet'!$A:$DD,BC1,0)</f>
        <v>0.28999999999999998</v>
      </c>
      <c r="BD14" s="74">
        <f>VLOOKUP($F$14&amp;$F$1,'Input RM sheet'!$A:$DD,BD1,0)</f>
        <v>0.28999999999999998</v>
      </c>
      <c r="BE14" s="74">
        <f>VLOOKUP($F$14&amp;$F$1,'Input RM sheet'!$A:$DD,BE1,0)</f>
        <v>0.28999999999999998</v>
      </c>
      <c r="BF14" s="74">
        <f>VLOOKUP($F$14&amp;$F$1,'Input RM sheet'!$A:$DD,BF1,0)</f>
        <v>0.28999999999999998</v>
      </c>
      <c r="BG14" s="74">
        <f>VLOOKUP($F$14&amp;$F$1,'Input RM sheet'!$A:$DD,BG1,0)</f>
        <v>0.22</v>
      </c>
      <c r="BH14" s="74">
        <f>VLOOKUP($F$14&amp;$F$1,'Input RM sheet'!$A:$DD,BH1,0)</f>
        <v>0.22</v>
      </c>
      <c r="BI14" s="74">
        <f>VLOOKUP($F$14&amp;$F$1,'Input RM sheet'!$A:$DD,BI1,0)</f>
        <v>0.22</v>
      </c>
      <c r="BJ14" s="74">
        <f>VLOOKUP($F$14&amp;$F$1,'Input RM sheet'!$A:$DD,BJ1,0)</f>
        <v>0.22</v>
      </c>
      <c r="BK14" s="74">
        <f>VLOOKUP($F$14&amp;$F$1,'Input RM sheet'!$A:$DD,BK1,0)</f>
        <v>0.22</v>
      </c>
      <c r="BL14" s="74">
        <f>VLOOKUP($F$14&amp;$F$1,'Input RM sheet'!$A:$DD,BL1,0)</f>
        <v>0.22</v>
      </c>
      <c r="BM14" s="74">
        <f>VLOOKUP($F$14&amp;$F$1,'Input RM sheet'!$A:$DD,BM1,0)</f>
        <v>0.23</v>
      </c>
      <c r="BN14" s="74">
        <f>VLOOKUP($F$14&amp;$F$1,'Input RM sheet'!$A:$DD,BN1,0)</f>
        <v>0.23</v>
      </c>
      <c r="BO14" s="74">
        <f>VLOOKUP($F$14&amp;$F$1,'Input RM sheet'!$A:$DD,BO1,0)</f>
        <v>0.23</v>
      </c>
      <c r="BP14" s="74">
        <f>VLOOKUP($F$14&amp;$F$1,'Input RM sheet'!$A:$DD,BP1,0)</f>
        <v>0.23</v>
      </c>
      <c r="BQ14" s="74">
        <f>VLOOKUP($F$14&amp;$F$1,'Input RM sheet'!$A:$DD,BQ1,0)</f>
        <v>0.25</v>
      </c>
      <c r="BR14" s="74">
        <f>VLOOKUP($F$14&amp;$F$1,'Input RM sheet'!$A:$DD,BR1,0)</f>
        <v>0.25</v>
      </c>
      <c r="BS14" s="74">
        <f>VLOOKUP($F$14&amp;$F$1,'Input RM sheet'!$A:$DD,BS1,0)</f>
        <v>0.25</v>
      </c>
      <c r="BT14" s="74">
        <f>VLOOKUP($F$14&amp;$F$1,'Input RM sheet'!$A:$DD,BT1,0)</f>
        <v>0.25</v>
      </c>
      <c r="BU14" s="74">
        <f>VLOOKUP($F$14&amp;$F$1,'Input RM sheet'!$A:$DD,BU1,0)</f>
        <v>0.25</v>
      </c>
      <c r="BV14" s="74">
        <f>VLOOKUP($F$14&amp;$F$1,'Input RM sheet'!$A:$DD,BV1,0)</f>
        <v>0.25</v>
      </c>
      <c r="BW14" s="74">
        <f>VLOOKUP($F$14&amp;$F$1,'Input RM sheet'!$A:$DD,BW1,0)</f>
        <v>0.25</v>
      </c>
      <c r="BX14" s="74">
        <f>VLOOKUP($F$14&amp;$F$1,'Input RM sheet'!$A:$DD,BX1,0)</f>
        <v>0.25</v>
      </c>
      <c r="BY14" s="74">
        <f>VLOOKUP($F$14&amp;$F$1,'Input RM sheet'!$A:$DD,BY1,0)</f>
        <v>0.25</v>
      </c>
      <c r="BZ14" s="74">
        <f>VLOOKUP($F$14&amp;$F$1,'Input RM sheet'!$A:$DD,BZ1,0)</f>
        <v>0.25</v>
      </c>
      <c r="CA14" s="74">
        <f>VLOOKUP($F$14&amp;$F$1,'Input RM sheet'!$A:$DD,CA1,0)</f>
        <v>0.25</v>
      </c>
      <c r="CB14" s="74">
        <f>VLOOKUP($F$14&amp;$F$1,'Input RM sheet'!$A:$DD,CB1,0)</f>
        <v>0.25</v>
      </c>
      <c r="CC14" s="74">
        <f>VLOOKUP($F$14&amp;$F$1,'Input RM sheet'!$A:$DD,CC1,0)</f>
        <v>0.25</v>
      </c>
      <c r="CD14" s="74">
        <f>VLOOKUP($F$14&amp;$F$1,'Input RM sheet'!$A:$DD,CD1,0)</f>
        <v>0.25</v>
      </c>
      <c r="CE14" s="74">
        <f>VLOOKUP($F$14&amp;$F$1,'Input RM sheet'!$A:$DD,CE1,0)</f>
        <v>0.25</v>
      </c>
      <c r="CF14" s="74">
        <f>VLOOKUP($F$14&amp;$F$1,'Input RM sheet'!$A:$DD,CF1,0)</f>
        <v>0.25</v>
      </c>
      <c r="CG14" s="74">
        <f>VLOOKUP($F$14&amp;$F$1,'Input RM sheet'!$A:$DD,CG1,0)</f>
        <v>0.25</v>
      </c>
      <c r="CH14" s="74">
        <f>VLOOKUP($F$14&amp;$F$1,'Input RM sheet'!$A:$DD,CH1,0)</f>
        <v>0.34</v>
      </c>
      <c r="CI14" s="74">
        <f>VLOOKUP($F$14&amp;$F$1,'Input RM sheet'!$A:$DD,CI1,0)</f>
        <v>0.34</v>
      </c>
      <c r="CJ14" s="74">
        <f>VLOOKUP($F$14&amp;$F$1,'Input RM sheet'!$A:$DD,CJ1,0)</f>
        <v>0.34</v>
      </c>
      <c r="CK14" s="74">
        <f>VLOOKUP($F$14&amp;$F$1,'Input RM sheet'!$A:$DD,CK1,0)</f>
        <v>0.34</v>
      </c>
      <c r="CL14" s="74">
        <f>VLOOKUP($F$14&amp;$F$1,'Input RM sheet'!$A:$DD,CL1,0)</f>
        <v>0.34</v>
      </c>
      <c r="CM14" s="74">
        <f>VLOOKUP($F$14&amp;$F$1,'Input RM sheet'!$A:$DD,CM1,0)</f>
        <v>0.34</v>
      </c>
      <c r="CN14" s="74">
        <f>VLOOKUP($F$14&amp;$F$1,'Input RM sheet'!$A:$DD,CN1,0)</f>
        <v>0.34</v>
      </c>
      <c r="CO14" s="74">
        <f>VLOOKUP($F$14&amp;$F$1,'Input RM sheet'!$A:$DD,CO1,0)</f>
        <v>0.34</v>
      </c>
      <c r="CP14" s="74">
        <f>VLOOKUP($F$14&amp;$F$1,'Input RM sheet'!$A:$DD,CP1,0)</f>
        <v>0.34</v>
      </c>
      <c r="CQ14" s="74">
        <f>VLOOKUP($F$14&amp;$F$1,'Input RM sheet'!$A:$DD,CQ1,0)</f>
        <v>0.2</v>
      </c>
      <c r="CR14" s="74">
        <f>VLOOKUP($F$14&amp;$F$1,'Input RM sheet'!$A:$DD,CR1,0)</f>
        <v>0.2</v>
      </c>
      <c r="CS14" s="74">
        <f>VLOOKUP($F$14&amp;$F$1,'Input RM sheet'!$A:$DD,CS1,0)</f>
        <v>0.2</v>
      </c>
      <c r="CT14" s="74">
        <f>VLOOKUP($F$14&amp;$F$1,'Input RM sheet'!$A:$DD,CT1,0)</f>
        <v>0.2</v>
      </c>
      <c r="CU14" s="74">
        <f>VLOOKUP($F$14&amp;$F$1,'Input RM sheet'!$A:$ZZ,CU1,0)</f>
        <v>0.2</v>
      </c>
      <c r="CV14" s="74">
        <f>VLOOKUP($F$14&amp;$F$1,'Input RM sheet'!$A:$ZZ,CV1,0)</f>
        <v>0.28000000000000003</v>
      </c>
      <c r="CW14" s="74">
        <f>VLOOKUP($F$14&amp;$F$1,'Input RM sheet'!$A:$ZZ,CW1,0)</f>
        <v>0.27</v>
      </c>
      <c r="CX14" s="74">
        <f>VLOOKUP($F$14&amp;$F$1,'Input RM sheet'!$A:$ZZ,CX1,0)</f>
        <v>0.34</v>
      </c>
      <c r="CY14" s="74">
        <f>VLOOKUP($F$14&amp;$F$1,'Input RM sheet'!$A:$ZZ,CY1,0)</f>
        <v>0.34</v>
      </c>
      <c r="CZ14" s="74">
        <f>VLOOKUP($F$14&amp;$F$1,'Input RM sheet'!$A:$ZZ,CZ1,0)</f>
        <v>0.34</v>
      </c>
      <c r="DA14" s="74">
        <f>VLOOKUP($F$14&amp;$F$1,'Input RM sheet'!$A:$ZZ,DA1,0)</f>
        <v>0.32</v>
      </c>
      <c r="DB14" s="74">
        <f>VLOOKUP($F$14&amp;$F$1,'Input RM sheet'!$A:$ZZ,DB1,0)</f>
        <v>0.34</v>
      </c>
      <c r="DC14" s="74">
        <f>VLOOKUP($F$14&amp;$F$1,'Input RM sheet'!$A:$ZZ,DC1,0)</f>
        <v>0.34</v>
      </c>
      <c r="DD14" s="74">
        <f>VLOOKUP($F$14&amp;$F$1,'Input RM sheet'!$A:$ZZ,DD1,0)</f>
        <v>0.34</v>
      </c>
      <c r="DE14" s="74">
        <f>VLOOKUP($F$14&amp;$F$1,'Input RM sheet'!$A:$ZZ,DE1,0)</f>
        <v>0.34</v>
      </c>
      <c r="DF14" s="74">
        <f>VLOOKUP($F$14&amp;$F$1,'Input RM sheet'!$A:$ZZ,DF1,0)</f>
        <v>0.34</v>
      </c>
      <c r="DG14" s="74">
        <f>VLOOKUP($F$14&amp;$F$1,'Input RM sheet'!$A:$ZZ,DG1,0)</f>
        <v>0.34</v>
      </c>
      <c r="DH14" s="74">
        <f>VLOOKUP($F$14&amp;$F$1,'Input RM sheet'!$A:$ZZ,DH1,0)</f>
        <v>0.34</v>
      </c>
      <c r="DI14" s="74">
        <f>VLOOKUP($F$14&amp;$F$1,'Input RM sheet'!$A:$ZZ,DI1,0)</f>
        <v>0.34</v>
      </c>
      <c r="DJ14" s="74">
        <f>VLOOKUP($F$14&amp;$F$1,'Input RM sheet'!$A:$ZZ,DJ1,0)</f>
        <v>0.34</v>
      </c>
      <c r="DK14" s="74">
        <f>VLOOKUP($F$14&amp;$F$1,'Input RM sheet'!$A:$ZZ,DK1,0)</f>
        <v>0.34</v>
      </c>
      <c r="DL14" s="74">
        <f>VLOOKUP($F$14&amp;$F$1,'Input RM sheet'!$A:$ZZ,DL1,0)</f>
        <v>0.35</v>
      </c>
      <c r="DM14" s="74">
        <f>VLOOKUP($F$14&amp;$F$1,'Input RM sheet'!$A:$ZZ,DM1,0)</f>
        <v>0.31</v>
      </c>
      <c r="DN14" s="74">
        <f>VLOOKUP($F$14&amp;$F$1,'Input RM sheet'!$A:$ZZ,DN1,0)</f>
        <v>0.31</v>
      </c>
      <c r="DO14" s="74">
        <f>VLOOKUP($F$14&amp;$F$1,'Input RM sheet'!$A:$ZZ,DO1,0)</f>
        <v>0.31</v>
      </c>
      <c r="DP14" s="74">
        <f>VLOOKUP($F$14&amp;$F$1,'Input RM sheet'!$A:$ZZ,DP1,0)</f>
        <v>0.32</v>
      </c>
      <c r="DQ14" s="74">
        <f>VLOOKUP($F$14&amp;$F$1,'Input RM sheet'!$A:$ZZ,DQ1,0)</f>
        <v>0.32</v>
      </c>
      <c r="DR14" s="74">
        <f>VLOOKUP($F$14&amp;$F$1,'Input RM sheet'!$A:$ZZ,DR1,0)</f>
        <v>0.31</v>
      </c>
    </row>
    <row r="15" spans="1:123">
      <c r="D15" s="64"/>
      <c r="F15" s="65"/>
      <c r="G15" s="73" t="s">
        <v>406</v>
      </c>
      <c r="H15" s="74">
        <f>H14-H13</f>
        <v>-2.0531787321128758E-2</v>
      </c>
      <c r="I15" s="74">
        <f>I14-I13</f>
        <v>2.2678115203859706E-2</v>
      </c>
      <c r="J15" s="74">
        <f>J14-J13</f>
        <v>2.8898804032878977E-2</v>
      </c>
      <c r="K15" s="74">
        <f t="shared" ref="K15:AP15" si="22">K14-K13</f>
        <v>8.8620808516041955E-2</v>
      </c>
      <c r="L15" s="74">
        <f t="shared" si="22"/>
        <v>8.4625520831420692E-2</v>
      </c>
      <c r="M15" s="74">
        <f t="shared" si="22"/>
        <v>4.8845643991879378E-2</v>
      </c>
      <c r="N15" s="74">
        <f t="shared" si="22"/>
        <v>-6.0672116850883584E-2</v>
      </c>
      <c r="O15" s="74">
        <f t="shared" si="22"/>
        <v>-3.2154651299971804E-2</v>
      </c>
      <c r="P15" s="74">
        <f t="shared" si="22"/>
        <v>1.310309023110845E-2</v>
      </c>
      <c r="Q15" s="74">
        <f>Q14-Q13</f>
        <v>-1.68507375593826E-2</v>
      </c>
      <c r="R15" s="74">
        <f t="shared" si="22"/>
        <v>9.2204675658810076E-2</v>
      </c>
      <c r="S15" s="74">
        <f t="shared" si="22"/>
        <v>8.1843992428336787E-2</v>
      </c>
      <c r="T15" s="74">
        <f t="shared" si="22"/>
        <v>6.0376191513165312E-2</v>
      </c>
      <c r="U15" s="74">
        <f t="shared" si="22"/>
        <v>0.13318032010151931</v>
      </c>
      <c r="V15" s="74">
        <f t="shared" si="22"/>
        <v>0.1961618697344707</v>
      </c>
      <c r="W15" s="74">
        <f t="shared" si="22"/>
        <v>0.26583106088735609</v>
      </c>
      <c r="X15" s="74">
        <f t="shared" si="22"/>
        <v>0.32155066294333273</v>
      </c>
      <c r="Y15" s="74">
        <f t="shared" si="22"/>
        <v>0.31457765937639903</v>
      </c>
      <c r="Z15" s="74">
        <f t="shared" si="22"/>
        <v>0.27980483353887847</v>
      </c>
      <c r="AA15" s="74">
        <f t="shared" si="22"/>
        <v>0.26683514180718199</v>
      </c>
      <c r="AB15" s="74">
        <f t="shared" si="22"/>
        <v>0.28221781358837111</v>
      </c>
      <c r="AC15" s="74">
        <f t="shared" si="22"/>
        <v>0.3347757003495867</v>
      </c>
      <c r="AD15" s="74">
        <f t="shared" si="22"/>
        <v>0.41407561565218381</v>
      </c>
      <c r="AE15" s="74">
        <f t="shared" si="22"/>
        <v>0.31729952066450035</v>
      </c>
      <c r="AF15" s="74">
        <f t="shared" si="22"/>
        <v>0.41778173972719962</v>
      </c>
      <c r="AG15" s="74">
        <f t="shared" si="22"/>
        <v>0.36162485271290823</v>
      </c>
      <c r="AH15" s="74">
        <f t="shared" si="22"/>
        <v>0.27585729514682233</v>
      </c>
      <c r="AI15" s="74">
        <f t="shared" si="22"/>
        <v>0.29565382190223655</v>
      </c>
      <c r="AJ15" s="74">
        <f t="shared" si="22"/>
        <v>0.3704864330822279</v>
      </c>
      <c r="AK15" s="74">
        <f t="shared" si="22"/>
        <v>0.34744843192022684</v>
      </c>
      <c r="AL15" s="74">
        <f t="shared" si="22"/>
        <v>0.23780269351396049</v>
      </c>
      <c r="AM15" s="74">
        <f t="shared" si="22"/>
        <v>0.25619996588445543</v>
      </c>
      <c r="AN15" s="74">
        <f t="shared" si="22"/>
        <v>5.4185203624998013E-2</v>
      </c>
      <c r="AO15" s="74">
        <f t="shared" si="22"/>
        <v>-2.1418242670018073E-2</v>
      </c>
      <c r="AP15" s="74">
        <f t="shared" si="22"/>
        <v>-3.3643562280936234E-2</v>
      </c>
      <c r="AQ15" s="74">
        <f t="shared" ref="AQ15:BV15" si="23">AQ14-AQ13</f>
        <v>-0.10400559633460227</v>
      </c>
      <c r="AR15" s="74">
        <f t="shared" si="23"/>
        <v>0.44742074156041967</v>
      </c>
      <c r="AS15" s="74">
        <f t="shared" si="23"/>
        <v>-3.1111835288839929E-2</v>
      </c>
      <c r="AT15" s="74">
        <f t="shared" si="23"/>
        <v>-5.9904451914574608E-2</v>
      </c>
      <c r="AU15" s="74">
        <f t="shared" si="23"/>
        <v>-3.6896043811974699E-2</v>
      </c>
      <c r="AV15" s="74">
        <f t="shared" si="23"/>
        <v>1.9015263103266955E-4</v>
      </c>
      <c r="AW15" s="74">
        <f t="shared" si="23"/>
        <v>-0.12280232600867202</v>
      </c>
      <c r="AX15" s="74">
        <f t="shared" si="23"/>
        <v>-0.1228149597149511</v>
      </c>
      <c r="AY15" s="74">
        <f t="shared" si="23"/>
        <v>-0.1166340660808648</v>
      </c>
      <c r="AZ15" s="74">
        <f t="shared" si="23"/>
        <v>-0.12867350918300335</v>
      </c>
      <c r="BA15" s="74">
        <f t="shared" si="23"/>
        <v>-0.15831780568974971</v>
      </c>
      <c r="BB15" s="74">
        <f t="shared" si="23"/>
        <v>-7.6497314921983306E-2</v>
      </c>
      <c r="BC15" s="74">
        <f t="shared" si="23"/>
        <v>-7.5559744769021331E-2</v>
      </c>
      <c r="BD15" s="74">
        <f t="shared" si="23"/>
        <v>-7.4425953338140172E-2</v>
      </c>
      <c r="BE15" s="74">
        <f t="shared" si="23"/>
        <v>-7.3983938404048266E-2</v>
      </c>
      <c r="BF15" s="74">
        <f t="shared" si="23"/>
        <v>-7.3617036201176211E-2</v>
      </c>
      <c r="BG15" s="74">
        <f t="shared" si="23"/>
        <v>-0.16206401665334921</v>
      </c>
      <c r="BH15" s="74">
        <f t="shared" si="23"/>
        <v>-0.1592316201482272</v>
      </c>
      <c r="BI15" s="74">
        <f t="shared" si="23"/>
        <v>-0.15916317584211379</v>
      </c>
      <c r="BJ15" s="74">
        <f t="shared" si="23"/>
        <v>-0.15917144321127183</v>
      </c>
      <c r="BK15" s="74">
        <f t="shared" si="23"/>
        <v>-0.17418797839877068</v>
      </c>
      <c r="BL15" s="74">
        <f t="shared" si="23"/>
        <v>-0.17449833076313201</v>
      </c>
      <c r="BM15" s="74">
        <f t="shared" si="23"/>
        <v>-0.16446936015900951</v>
      </c>
      <c r="BN15" s="74">
        <f t="shared" si="23"/>
        <v>-0.16476107538588788</v>
      </c>
      <c r="BO15" s="74">
        <f t="shared" si="23"/>
        <v>-0.15541350182540323</v>
      </c>
      <c r="BP15" s="74">
        <f t="shared" si="23"/>
        <v>-0.15541350182540323</v>
      </c>
      <c r="BQ15" s="74">
        <f t="shared" si="23"/>
        <v>-0.13850250634924355</v>
      </c>
      <c r="BR15" s="74">
        <f t="shared" si="23"/>
        <v>-0.13366946822493508</v>
      </c>
      <c r="BS15" s="74">
        <f t="shared" si="23"/>
        <v>-0.13169357285054401</v>
      </c>
      <c r="BT15" s="74">
        <f t="shared" si="23"/>
        <v>-0.13256868282613965</v>
      </c>
      <c r="BU15" s="74">
        <f t="shared" si="23"/>
        <v>-0.13396940325326756</v>
      </c>
      <c r="BV15" s="74">
        <f t="shared" si="23"/>
        <v>-0.13684109397342664</v>
      </c>
      <c r="BW15" s="74">
        <f t="shared" ref="BW15:CB15" si="24">BW14-BW13</f>
        <v>-0.13457143954371409</v>
      </c>
      <c r="BX15" s="74">
        <f t="shared" si="24"/>
        <v>-0.1345507512362808</v>
      </c>
      <c r="BY15" s="74">
        <f t="shared" si="24"/>
        <v>-0.13459010161251306</v>
      </c>
      <c r="BZ15" s="74">
        <f t="shared" si="24"/>
        <v>-0.13460256547613259</v>
      </c>
      <c r="CA15" s="74">
        <f t="shared" si="24"/>
        <v>-0.13460048691428816</v>
      </c>
      <c r="CB15" s="74">
        <f t="shared" si="24"/>
        <v>-0.13122200438236803</v>
      </c>
      <c r="CC15" s="74">
        <f>CC14-CC13</f>
        <v>-0.13122200438236803</v>
      </c>
      <c r="CD15" s="74">
        <f t="shared" ref="CD15:CP15" si="25">CD14-CD13</f>
        <v>-0.14345203966475045</v>
      </c>
      <c r="CE15" s="74">
        <f t="shared" si="25"/>
        <v>-0.14343948524295014</v>
      </c>
      <c r="CF15" s="74">
        <f t="shared" si="25"/>
        <v>-0.14390246444356897</v>
      </c>
      <c r="CG15" s="74">
        <f t="shared" si="25"/>
        <v>-0.14302530669605468</v>
      </c>
      <c r="CH15" s="74">
        <f t="shared" si="25"/>
        <v>-6.15658920554078E-2</v>
      </c>
      <c r="CI15" s="74">
        <f t="shared" si="25"/>
        <v>-6.1526683261313442E-2</v>
      </c>
      <c r="CJ15" s="74">
        <f t="shared" si="25"/>
        <v>-6.1483554550388342E-2</v>
      </c>
      <c r="CK15" s="74">
        <f t="shared" si="25"/>
        <v>-5.6703952828427884E-2</v>
      </c>
      <c r="CL15" s="74">
        <f t="shared" si="25"/>
        <v>-5.6687505143310779E-2</v>
      </c>
      <c r="CM15" s="74">
        <f t="shared" si="25"/>
        <v>-5.8702505456871501E-2</v>
      </c>
      <c r="CN15" s="74">
        <f t="shared" si="25"/>
        <v>-5.8702505456871501E-2</v>
      </c>
      <c r="CO15" s="74">
        <f t="shared" si="25"/>
        <v>-5.8702505456871501E-2</v>
      </c>
      <c r="CP15" s="74">
        <f t="shared" si="25"/>
        <v>-5.8702505456871501E-2</v>
      </c>
      <c r="CQ15" s="74">
        <f t="shared" ref="CQ15:DR15" si="26">CQ14-CQ13</f>
        <v>-0.19235605404081824</v>
      </c>
      <c r="CR15" s="74">
        <f t="shared" si="26"/>
        <v>-0.1896218732370612</v>
      </c>
      <c r="CS15" s="74">
        <f t="shared" si="26"/>
        <v>-0.18960130870030356</v>
      </c>
      <c r="CT15" s="74">
        <f t="shared" si="26"/>
        <v>-0.18819434551934489</v>
      </c>
      <c r="CU15" s="74">
        <f t="shared" si="26"/>
        <v>-0.1881902335989511</v>
      </c>
      <c r="CV15" s="74">
        <f t="shared" si="26"/>
        <v>-0.11100828418061304</v>
      </c>
      <c r="CW15" s="74">
        <f t="shared" si="26"/>
        <v>-0.12239480562002542</v>
      </c>
      <c r="CX15" s="74">
        <f t="shared" si="26"/>
        <v>-5.2388675257431905E-2</v>
      </c>
      <c r="CY15" s="74">
        <f t="shared" si="26"/>
        <v>-5.9713497443092567E-2</v>
      </c>
      <c r="CZ15" s="74">
        <f t="shared" si="26"/>
        <v>-5.9711465655393592E-2</v>
      </c>
      <c r="DA15" s="74">
        <f t="shared" si="26"/>
        <v>-8.1707798650662966E-2</v>
      </c>
      <c r="DB15" s="74">
        <f t="shared" si="26"/>
        <v>-6.3977416207350146E-2</v>
      </c>
      <c r="DC15" s="74">
        <f t="shared" si="26"/>
        <v>-5.8577674224512433E-2</v>
      </c>
      <c r="DD15" s="74">
        <f t="shared" si="26"/>
        <v>-5.8577674224512433E-2</v>
      </c>
      <c r="DE15" s="74">
        <f t="shared" si="26"/>
        <v>-5.8655223948591628E-2</v>
      </c>
      <c r="DF15" s="74">
        <f t="shared" si="26"/>
        <v>-5.8638839145859545E-2</v>
      </c>
      <c r="DG15" s="74">
        <f t="shared" si="26"/>
        <v>-4.8654967900535029E-2</v>
      </c>
      <c r="DH15" s="74">
        <f t="shared" si="26"/>
        <v>-4.6083650721638558E-2</v>
      </c>
      <c r="DI15" s="74">
        <f t="shared" si="26"/>
        <v>-4.6083650721638558E-2</v>
      </c>
      <c r="DJ15" s="74">
        <f t="shared" si="26"/>
        <v>-4.2680250437086176E-2</v>
      </c>
      <c r="DK15" s="74">
        <f t="shared" si="26"/>
        <v>-4.9474899871646605E-2</v>
      </c>
      <c r="DL15" s="74">
        <f t="shared" si="26"/>
        <v>-3.8284629339443099E-2</v>
      </c>
      <c r="DM15" s="74">
        <f t="shared" si="26"/>
        <v>-7.2925295806900881E-2</v>
      </c>
      <c r="DN15" s="74">
        <f t="shared" si="26"/>
        <v>-7.2002662500354697E-2</v>
      </c>
      <c r="DO15" s="74">
        <f t="shared" si="26"/>
        <v>-7.1990673962092855E-2</v>
      </c>
      <c r="DP15" s="74">
        <f t="shared" si="26"/>
        <v>-5.6860705218511665E-2</v>
      </c>
      <c r="DQ15" s="74">
        <f t="shared" si="26"/>
        <v>-5.6275917683332011E-2</v>
      </c>
      <c r="DR15" s="74">
        <f t="shared" si="26"/>
        <v>-6.5374099011973941E-2</v>
      </c>
    </row>
    <row r="17" spans="2:122" ht="13" thickBot="1"/>
    <row r="18" spans="2:122" s="161" customFormat="1" ht="13" thickBot="1">
      <c r="G18" s="193" t="s">
        <v>407</v>
      </c>
      <c r="H18" s="163">
        <f>0.01+H13</f>
        <v>0.33536201139394534</v>
      </c>
      <c r="I18" s="163">
        <f>0.01+I13</f>
        <v>0.33018616016780578</v>
      </c>
      <c r="J18" s="163">
        <f>0.01+J13</f>
        <v>0.31806823533882805</v>
      </c>
      <c r="K18" s="163">
        <f>0.01+K13</f>
        <v>0.25056210048037814</v>
      </c>
      <c r="L18" s="163">
        <f t="shared" ref="L18:AW18" si="27">0.01+L13</f>
        <v>0.22100073298928138</v>
      </c>
      <c r="M18" s="163">
        <f t="shared" si="27"/>
        <v>0.2458206987809253</v>
      </c>
      <c r="N18" s="163">
        <f t="shared" si="27"/>
        <v>0.27721013248343995</v>
      </c>
      <c r="O18" s="163">
        <f t="shared" si="27"/>
        <v>0.292427028349458</v>
      </c>
      <c r="P18" s="163">
        <f t="shared" si="27"/>
        <v>0.29172408960738638</v>
      </c>
      <c r="Q18" s="163">
        <f t="shared" si="27"/>
        <v>0.28797566359590637</v>
      </c>
      <c r="R18" s="163">
        <f t="shared" si="27"/>
        <v>0.28951989323827282</v>
      </c>
      <c r="S18" s="163">
        <f t="shared" si="27"/>
        <v>0.30372118416753557</v>
      </c>
      <c r="T18" s="163">
        <f t="shared" si="27"/>
        <v>0.32606930855683752</v>
      </c>
      <c r="U18" s="163">
        <f t="shared" si="27"/>
        <v>0.34855045772739796</v>
      </c>
      <c r="V18" s="163">
        <f t="shared" si="27"/>
        <v>0.3686752556255386</v>
      </c>
      <c r="W18" s="163">
        <f t="shared" si="27"/>
        <v>0.383545467217694</v>
      </c>
      <c r="X18" s="163">
        <f t="shared" si="27"/>
        <v>0.3909467868563436</v>
      </c>
      <c r="Y18" s="163">
        <f t="shared" si="27"/>
        <v>0.39795588617130817</v>
      </c>
      <c r="Z18" s="163">
        <f t="shared" si="27"/>
        <v>0.40478340913486305</v>
      </c>
      <c r="AA18" s="163">
        <f t="shared" si="27"/>
        <v>0.42075235687394869</v>
      </c>
      <c r="AB18" s="163">
        <f t="shared" si="27"/>
        <v>0.41807803639152424</v>
      </c>
      <c r="AC18" s="163">
        <f t="shared" si="27"/>
        <v>0.42027556835381119</v>
      </c>
      <c r="AD18" s="163">
        <f t="shared" si="27"/>
        <v>0.44363124704256079</v>
      </c>
      <c r="AE18" s="163">
        <f t="shared" si="27"/>
        <v>0.43686971673261915</v>
      </c>
      <c r="AF18" s="163">
        <f t="shared" si="27"/>
        <v>0.43768400804226965</v>
      </c>
      <c r="AG18" s="163">
        <f t="shared" si="27"/>
        <v>0.45994551661721617</v>
      </c>
      <c r="AH18" s="163">
        <f t="shared" si="27"/>
        <v>0.47635558284044111</v>
      </c>
      <c r="AI18" s="163">
        <f t="shared" si="27"/>
        <v>0.53894824487361759</v>
      </c>
      <c r="AJ18" s="163">
        <f t="shared" si="27"/>
        <v>0.50669835702409216</v>
      </c>
      <c r="AK18" s="163">
        <f t="shared" si="27"/>
        <v>0.50595227912127683</v>
      </c>
      <c r="AL18" s="163">
        <f t="shared" si="27"/>
        <v>0.45996531213460862</v>
      </c>
      <c r="AM18" s="163">
        <f t="shared" si="27"/>
        <v>0.43673494074920455</v>
      </c>
      <c r="AN18" s="163">
        <f t="shared" si="27"/>
        <v>0.39491448375464711</v>
      </c>
      <c r="AO18" s="163">
        <f t="shared" si="27"/>
        <v>0.37858431429872014</v>
      </c>
      <c r="AP18" s="163">
        <f t="shared" si="27"/>
        <v>0.40222307572104088</v>
      </c>
      <c r="AQ18" s="163">
        <f t="shared" si="27"/>
        <v>0.40860361408879253</v>
      </c>
      <c r="AR18" s="163">
        <f t="shared" si="27"/>
        <v>0.38661440564838223</v>
      </c>
      <c r="AS18" s="163">
        <f t="shared" si="27"/>
        <v>0.40952639951124709</v>
      </c>
      <c r="AT18" s="163">
        <f t="shared" si="27"/>
        <v>0.41888017881601669</v>
      </c>
      <c r="AU18" s="163">
        <f t="shared" si="27"/>
        <v>0.4168960438119747</v>
      </c>
      <c r="AV18" s="163">
        <f t="shared" si="27"/>
        <v>0.40980984736896736</v>
      </c>
      <c r="AW18" s="163">
        <f t="shared" si="27"/>
        <v>0.38280232600867203</v>
      </c>
      <c r="AX18" s="163">
        <f t="shared" ref="AX18:BI18" si="28">0.01+AX13</f>
        <v>0.38281495971495111</v>
      </c>
      <c r="AY18" s="163">
        <f t="shared" si="28"/>
        <v>0.3766340660808648</v>
      </c>
      <c r="AZ18" s="163">
        <f t="shared" si="28"/>
        <v>0.37867350918300335</v>
      </c>
      <c r="BA18" s="163">
        <f t="shared" si="28"/>
        <v>0.37831780568974971</v>
      </c>
      <c r="BB18" s="163">
        <f t="shared" si="28"/>
        <v>0.37649731492198329</v>
      </c>
      <c r="BC18" s="163">
        <f t="shared" si="28"/>
        <v>0.37555974476902132</v>
      </c>
      <c r="BD18" s="163">
        <f t="shared" si="28"/>
        <v>0.37442595333814016</v>
      </c>
      <c r="BE18" s="163">
        <f t="shared" si="28"/>
        <v>0.37398393840404826</v>
      </c>
      <c r="BF18" s="163">
        <f t="shared" si="28"/>
        <v>0.3736170362011762</v>
      </c>
      <c r="BG18" s="163">
        <f t="shared" si="28"/>
        <v>0.39206401665334922</v>
      </c>
      <c r="BH18" s="163">
        <f t="shared" si="28"/>
        <v>0.38923162014822721</v>
      </c>
      <c r="BI18" s="163">
        <f t="shared" si="28"/>
        <v>0.3891631758421138</v>
      </c>
      <c r="BJ18" s="163">
        <f t="shared" ref="BJ18:BU18" si="29">0.01+BJ13</f>
        <v>0.38917144321127184</v>
      </c>
      <c r="BK18" s="163">
        <f t="shared" si="29"/>
        <v>0.40418797839877069</v>
      </c>
      <c r="BL18" s="163">
        <f t="shared" si="29"/>
        <v>0.40449833076313202</v>
      </c>
      <c r="BM18" s="163">
        <f t="shared" si="29"/>
        <v>0.40446936015900953</v>
      </c>
      <c r="BN18" s="163">
        <f t="shared" si="29"/>
        <v>0.4047610753858879</v>
      </c>
      <c r="BO18" s="163">
        <f t="shared" si="29"/>
        <v>0.39541350182540325</v>
      </c>
      <c r="BP18" s="163">
        <f t="shared" si="29"/>
        <v>0.39541350182540325</v>
      </c>
      <c r="BQ18" s="163">
        <f t="shared" si="29"/>
        <v>0.39850250634924356</v>
      </c>
      <c r="BR18" s="163">
        <f t="shared" si="29"/>
        <v>0.39366946822493509</v>
      </c>
      <c r="BS18" s="163">
        <f t="shared" si="29"/>
        <v>0.39169357285054401</v>
      </c>
      <c r="BT18" s="163">
        <f t="shared" si="29"/>
        <v>0.39256868282613966</v>
      </c>
      <c r="BU18" s="163">
        <f t="shared" si="29"/>
        <v>0.39396940325326757</v>
      </c>
      <c r="BV18" s="163">
        <f>0.01+BV13</f>
        <v>0.39684109397342665</v>
      </c>
      <c r="BW18" s="163">
        <f>0.01+BW13</f>
        <v>0.3945714395437141</v>
      </c>
      <c r="BX18" s="163">
        <f>0.01+BX13</f>
        <v>0.39455075123628081</v>
      </c>
      <c r="BY18" s="163">
        <f>0.01+BY13</f>
        <v>0.39459010161251307</v>
      </c>
      <c r="BZ18" s="163">
        <f t="shared" ref="BZ18:CG18" si="30">0.01+BZ13</f>
        <v>0.39460256547613259</v>
      </c>
      <c r="CA18" s="163">
        <f t="shared" si="30"/>
        <v>0.39460048691428817</v>
      </c>
      <c r="CB18" s="163">
        <f t="shared" si="30"/>
        <v>0.39122200438236804</v>
      </c>
      <c r="CC18" s="163">
        <f t="shared" si="30"/>
        <v>0.39122200438236804</v>
      </c>
      <c r="CD18" s="163">
        <f t="shared" si="30"/>
        <v>0.40345203966475046</v>
      </c>
      <c r="CE18" s="163">
        <f t="shared" si="30"/>
        <v>0.40343948524295015</v>
      </c>
      <c r="CF18" s="163">
        <f t="shared" si="30"/>
        <v>0.40390246444356898</v>
      </c>
      <c r="CG18" s="163">
        <f t="shared" si="30"/>
        <v>0.40302530669605469</v>
      </c>
      <c r="CH18" s="163">
        <f t="shared" ref="CH18:CU18" si="31">0.01+CH13</f>
        <v>0.41156589205540783</v>
      </c>
      <c r="CI18" s="163">
        <f t="shared" si="31"/>
        <v>0.41152668326131348</v>
      </c>
      <c r="CJ18" s="163">
        <f>0.01+CJ13</f>
        <v>0.41148355455038838</v>
      </c>
      <c r="CK18" s="163">
        <f t="shared" si="31"/>
        <v>0.40670395282842792</v>
      </c>
      <c r="CL18" s="163">
        <f t="shared" si="31"/>
        <v>0.40668750514331081</v>
      </c>
      <c r="CM18" s="163">
        <f t="shared" si="31"/>
        <v>0.40870250545687153</v>
      </c>
      <c r="CN18" s="163">
        <f t="shared" si="31"/>
        <v>0.40870250545687153</v>
      </c>
      <c r="CO18" s="163">
        <f t="shared" si="31"/>
        <v>0.40870250545687153</v>
      </c>
      <c r="CP18" s="163">
        <f t="shared" si="31"/>
        <v>0.40870250545687153</v>
      </c>
      <c r="CQ18" s="163">
        <f t="shared" si="31"/>
        <v>0.40235605404081826</v>
      </c>
      <c r="CR18" s="163">
        <f t="shared" si="31"/>
        <v>0.39962187323706122</v>
      </c>
      <c r="CS18" s="163">
        <f t="shared" si="31"/>
        <v>0.39960130870030358</v>
      </c>
      <c r="CT18" s="163">
        <f t="shared" si="31"/>
        <v>0.39819434551934491</v>
      </c>
      <c r="CU18" s="163">
        <f t="shared" si="31"/>
        <v>0.39819023359895112</v>
      </c>
      <c r="CV18" s="163">
        <f t="shared" ref="CV18:DF18" si="32">0.01+CV13</f>
        <v>0.40100828418061307</v>
      </c>
      <c r="CW18" s="163">
        <f t="shared" si="32"/>
        <v>0.40239480562002544</v>
      </c>
      <c r="CX18" s="163">
        <f t="shared" si="32"/>
        <v>0.40238867525743194</v>
      </c>
      <c r="CY18" s="163">
        <f t="shared" si="32"/>
        <v>0.4097134974430926</v>
      </c>
      <c r="CZ18" s="163">
        <f t="shared" si="32"/>
        <v>0.40971146565539363</v>
      </c>
      <c r="DA18" s="163">
        <f t="shared" si="32"/>
        <v>0.41170779865066298</v>
      </c>
      <c r="DB18" s="163">
        <f t="shared" si="32"/>
        <v>0.41397741620735018</v>
      </c>
      <c r="DC18" s="163">
        <f t="shared" si="32"/>
        <v>0.40857767422451247</v>
      </c>
      <c r="DD18" s="163">
        <f t="shared" si="32"/>
        <v>0.40857767422451247</v>
      </c>
      <c r="DE18" s="163">
        <f t="shared" si="32"/>
        <v>0.40865522394859166</v>
      </c>
      <c r="DF18" s="163">
        <f t="shared" si="32"/>
        <v>0.40863883914585958</v>
      </c>
      <c r="DG18" s="163">
        <f>0.01+DG13</f>
        <v>0.39865496790053506</v>
      </c>
      <c r="DH18" s="163">
        <f t="shared" ref="DH18:DR18" si="33">0.01+DH13</f>
        <v>0.39608365072163859</v>
      </c>
      <c r="DI18" s="163">
        <f t="shared" si="33"/>
        <v>0.39608365072163859</v>
      </c>
      <c r="DJ18" s="163">
        <f t="shared" si="33"/>
        <v>0.39268025043708621</v>
      </c>
      <c r="DK18" s="163">
        <f t="shared" si="33"/>
        <v>0.39947489987164664</v>
      </c>
      <c r="DL18" s="163">
        <f t="shared" si="33"/>
        <v>0.39828462933944309</v>
      </c>
      <c r="DM18" s="163">
        <f t="shared" si="33"/>
        <v>0.39292529580690089</v>
      </c>
      <c r="DN18" s="163">
        <f t="shared" si="33"/>
        <v>0.3920026625003547</v>
      </c>
      <c r="DO18" s="163">
        <f t="shared" si="33"/>
        <v>0.39199067396209286</v>
      </c>
      <c r="DP18" s="163">
        <f t="shared" si="33"/>
        <v>0.38686070521851168</v>
      </c>
      <c r="DQ18" s="163">
        <f t="shared" si="33"/>
        <v>0.38627591768333203</v>
      </c>
      <c r="DR18" s="163">
        <f t="shared" si="33"/>
        <v>0.38537409901197395</v>
      </c>
    </row>
    <row r="19" spans="2:122">
      <c r="B19" s="60" t="s">
        <v>408</v>
      </c>
      <c r="C19" s="60" t="s">
        <v>409</v>
      </c>
      <c r="D19" s="60" t="s">
        <v>410</v>
      </c>
    </row>
    <row r="20" spans="2:122">
      <c r="B20" s="60" t="s">
        <v>383</v>
      </c>
      <c r="C20" s="60" t="s">
        <v>40</v>
      </c>
      <c r="D20" s="74">
        <v>0.28344785772029107</v>
      </c>
    </row>
    <row r="21" spans="2:122">
      <c r="B21" s="60" t="s">
        <v>383</v>
      </c>
      <c r="C21" s="60" t="s">
        <v>42</v>
      </c>
      <c r="D21" s="74">
        <v>0.35802344381568313</v>
      </c>
    </row>
  </sheetData>
  <mergeCells count="2">
    <mergeCell ref="A11:A12"/>
    <mergeCell ref="C7:E7"/>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dimension ref="A1:EI16"/>
  <sheetViews>
    <sheetView tabSelected="1" workbookViewId="0">
      <pane xSplit="8" ySplit="7" topLeftCell="I8" activePane="bottomRight" state="frozen"/>
      <selection pane="topRight" activeCell="I1" sqref="I1"/>
      <selection pane="bottomLeft" activeCell="A8" sqref="A8"/>
      <selection pane="bottomRight" activeCell="D18" sqref="D18"/>
    </sheetView>
  </sheetViews>
  <sheetFormatPr baseColWidth="10" defaultColWidth="8.6640625" defaultRowHeight="12"/>
  <cols>
    <col min="1" max="1" width="13.33203125" style="60" bestFit="1" customWidth="1"/>
    <col min="2" max="2" width="11.33203125" style="60" bestFit="1" customWidth="1"/>
    <col min="3" max="3" width="4.83203125" style="60" bestFit="1" customWidth="1"/>
    <col min="4" max="4" width="12.33203125" style="60" bestFit="1" customWidth="1"/>
    <col min="5" max="5" width="11.83203125" style="60" bestFit="1" customWidth="1"/>
    <col min="6" max="6" width="13.5" style="60" bestFit="1" customWidth="1"/>
    <col min="7" max="7" width="22.83203125" style="60" bestFit="1" customWidth="1"/>
    <col min="8" max="8" width="5.1640625" style="60" bestFit="1" customWidth="1"/>
    <col min="9" max="9" width="5.5" style="60" bestFit="1" customWidth="1"/>
    <col min="10" max="10" width="5.6640625" style="60" bestFit="1" customWidth="1"/>
    <col min="11" max="11" width="5.33203125" style="60" bestFit="1" customWidth="1"/>
    <col min="12" max="12" width="5.83203125" style="60" bestFit="1" customWidth="1"/>
    <col min="13" max="13" width="5.1640625" style="60" bestFit="1" customWidth="1"/>
    <col min="14" max="14" width="4.6640625" style="60" bestFit="1" customWidth="1"/>
    <col min="15" max="17" width="5.5" style="60" bestFit="1" customWidth="1"/>
    <col min="18" max="18" width="5.6640625" style="60" bestFit="1" customWidth="1"/>
    <col min="19" max="19" width="5.5" style="60" bestFit="1" customWidth="1"/>
    <col min="20" max="20" width="5.1640625" style="60" bestFit="1" customWidth="1"/>
    <col min="21" max="21" width="5.5" style="60" bestFit="1" customWidth="1"/>
    <col min="22" max="22" width="5.6640625" style="60" bestFit="1" customWidth="1"/>
    <col min="23" max="23" width="5.33203125" style="60" bestFit="1" customWidth="1"/>
    <col min="24" max="24" width="5.83203125" style="60" bestFit="1" customWidth="1"/>
    <col min="25" max="25" width="5.1640625" style="60" bestFit="1" customWidth="1"/>
    <col min="26" max="26" width="4.6640625" style="60" bestFit="1" customWidth="1"/>
    <col min="27" max="29" width="5.5" style="60" bestFit="1" customWidth="1"/>
    <col min="30" max="30" width="5.6640625" style="60" bestFit="1" customWidth="1"/>
    <col min="31" max="31" width="5.5" style="60" bestFit="1" customWidth="1"/>
    <col min="32" max="32" width="5.1640625" style="60" bestFit="1" customWidth="1"/>
    <col min="33" max="33" width="5.5" style="60" bestFit="1" customWidth="1"/>
    <col min="34" max="34" width="5.6640625" style="60" bestFit="1" customWidth="1"/>
    <col min="35" max="35" width="5.33203125" style="60" bestFit="1" customWidth="1"/>
    <col min="36" max="36" width="5.83203125" style="60" bestFit="1" customWidth="1"/>
    <col min="37" max="37" width="5.1640625" style="60" bestFit="1" customWidth="1"/>
    <col min="38" max="38" width="4.6640625" style="60" bestFit="1" customWidth="1"/>
    <col min="39" max="41" width="5.5" style="60" bestFit="1" customWidth="1"/>
    <col min="42" max="42" width="5.6640625" style="60" bestFit="1" customWidth="1"/>
    <col min="43" max="43" width="5.5" style="60" bestFit="1" customWidth="1"/>
    <col min="44" max="44" width="5.1640625" style="60" bestFit="1" customWidth="1"/>
    <col min="45" max="45" width="5.5" style="60" bestFit="1" customWidth="1"/>
    <col min="46" max="46" width="5.6640625" style="60" bestFit="1" customWidth="1"/>
    <col min="47" max="47" width="5.33203125" style="60" bestFit="1" customWidth="1"/>
    <col min="48" max="48" width="5.83203125" style="60" bestFit="1" customWidth="1"/>
    <col min="49" max="49" width="5.1640625" style="60" bestFit="1" customWidth="1"/>
    <col min="50" max="53" width="5.5" style="60" bestFit="1" customWidth="1"/>
    <col min="54" max="55" width="6.5" style="60" bestFit="1" customWidth="1"/>
    <col min="56" max="57" width="5.83203125" style="60" bestFit="1" customWidth="1"/>
    <col min="58" max="61" width="5.6640625" style="60" bestFit="1" customWidth="1"/>
    <col min="62" max="65" width="5.5" style="60" bestFit="1" customWidth="1"/>
    <col min="66" max="69" width="5.6640625" style="60" bestFit="1" customWidth="1"/>
    <col min="70" max="73" width="5.5" style="60" bestFit="1" customWidth="1"/>
    <col min="74" max="77" width="5.1640625" style="60" bestFit="1" customWidth="1"/>
    <col min="78" max="78" width="5.5" style="60" bestFit="1" customWidth="1"/>
    <col min="79" max="79" width="9.83203125" style="60" bestFit="1" customWidth="1"/>
    <col min="80" max="81" width="5.5" style="60" bestFit="1" customWidth="1"/>
    <col min="82" max="85" width="6.1640625" style="60" bestFit="1" customWidth="1"/>
    <col min="86" max="89" width="5.5" style="60" bestFit="1" customWidth="1"/>
    <col min="90" max="94" width="6.33203125" style="60" bestFit="1" customWidth="1"/>
    <col min="95" max="99" width="5.1640625" style="60" bestFit="1" customWidth="1"/>
    <col min="100" max="100" width="7.1640625" style="60" customWidth="1"/>
    <col min="101" max="101" width="6" style="60" bestFit="1" customWidth="1"/>
    <col min="102" max="102" width="8.6640625" style="60"/>
    <col min="103" max="106" width="5.83203125" style="60" bestFit="1" customWidth="1"/>
    <col min="107" max="108" width="5.6640625" style="60" bestFit="1" customWidth="1"/>
    <col min="109" max="16384" width="8.6640625" style="60"/>
  </cols>
  <sheetData>
    <row r="1" spans="1:139">
      <c r="A1" s="59" t="s">
        <v>377</v>
      </c>
      <c r="B1" s="59" t="s">
        <v>378</v>
      </c>
      <c r="C1" s="59" t="s">
        <v>379</v>
      </c>
      <c r="D1" s="59" t="s">
        <v>380</v>
      </c>
      <c r="E1" s="59" t="s">
        <v>381</v>
      </c>
      <c r="F1" s="59" t="s">
        <v>33</v>
      </c>
      <c r="H1" s="61">
        <v>6</v>
      </c>
      <c r="I1" s="61">
        <v>7</v>
      </c>
      <c r="J1" s="61">
        <v>8</v>
      </c>
      <c r="K1" s="61">
        <v>9</v>
      </c>
      <c r="L1" s="61">
        <v>10</v>
      </c>
      <c r="M1" s="61">
        <v>11</v>
      </c>
      <c r="N1" s="61">
        <v>12</v>
      </c>
      <c r="O1" s="61">
        <v>13</v>
      </c>
      <c r="P1" s="61">
        <v>14</v>
      </c>
      <c r="Q1" s="61">
        <v>15</v>
      </c>
      <c r="R1" s="61">
        <v>16</v>
      </c>
      <c r="S1" s="61">
        <v>17</v>
      </c>
      <c r="T1" s="61">
        <v>18</v>
      </c>
      <c r="U1" s="61">
        <v>19</v>
      </c>
      <c r="V1" s="61">
        <v>20</v>
      </c>
      <c r="W1" s="61">
        <v>21</v>
      </c>
      <c r="X1" s="61">
        <v>22</v>
      </c>
      <c r="Y1" s="61">
        <v>23</v>
      </c>
      <c r="Z1" s="61">
        <v>24</v>
      </c>
      <c r="AA1" s="61">
        <v>25</v>
      </c>
      <c r="AB1" s="61">
        <v>26</v>
      </c>
      <c r="AC1" s="61">
        <v>27</v>
      </c>
      <c r="AD1" s="61">
        <v>28</v>
      </c>
      <c r="AE1" s="61">
        <v>29</v>
      </c>
      <c r="AF1" s="61">
        <v>30</v>
      </c>
      <c r="AG1" s="61">
        <v>31</v>
      </c>
      <c r="AH1" s="61">
        <v>32</v>
      </c>
      <c r="AI1" s="61">
        <v>33</v>
      </c>
      <c r="AJ1" s="61">
        <v>34</v>
      </c>
      <c r="AK1" s="61">
        <v>35</v>
      </c>
      <c r="AL1" s="61">
        <v>36</v>
      </c>
      <c r="AM1" s="61">
        <v>37</v>
      </c>
      <c r="AN1" s="61">
        <v>38</v>
      </c>
      <c r="AO1" s="61">
        <v>39</v>
      </c>
      <c r="AP1" s="61">
        <v>40</v>
      </c>
      <c r="AQ1" s="61">
        <v>41</v>
      </c>
      <c r="AR1" s="61">
        <v>42</v>
      </c>
      <c r="AS1" s="61">
        <v>43</v>
      </c>
      <c r="AT1" s="61">
        <v>44</v>
      </c>
      <c r="AU1" s="61">
        <v>45</v>
      </c>
      <c r="AV1" s="61">
        <v>46</v>
      </c>
      <c r="AW1" s="61">
        <v>47</v>
      </c>
      <c r="AX1" s="61">
        <v>48</v>
      </c>
      <c r="AY1" s="61">
        <v>49</v>
      </c>
      <c r="AZ1" s="61">
        <v>50</v>
      </c>
      <c r="BA1" s="61">
        <v>51</v>
      </c>
      <c r="BB1" s="61">
        <v>52</v>
      </c>
      <c r="BC1" s="61">
        <v>53</v>
      </c>
      <c r="BD1" s="61">
        <v>54</v>
      </c>
      <c r="BE1" s="61">
        <v>55</v>
      </c>
      <c r="BF1" s="61">
        <v>56</v>
      </c>
      <c r="BG1" s="61">
        <v>57</v>
      </c>
      <c r="BH1" s="61">
        <v>58</v>
      </c>
      <c r="BI1" s="61">
        <v>59</v>
      </c>
      <c r="BJ1" s="61">
        <v>60</v>
      </c>
      <c r="BK1" s="61">
        <v>61</v>
      </c>
      <c r="BL1" s="61">
        <v>62</v>
      </c>
      <c r="BM1" s="61">
        <v>63</v>
      </c>
      <c r="BN1" s="61">
        <v>64</v>
      </c>
      <c r="BO1" s="61">
        <v>65</v>
      </c>
      <c r="BP1" s="61">
        <v>66</v>
      </c>
      <c r="BQ1" s="61">
        <v>67</v>
      </c>
      <c r="BR1" s="61">
        <v>68</v>
      </c>
      <c r="BS1" s="61">
        <v>69</v>
      </c>
      <c r="BT1" s="61">
        <v>70</v>
      </c>
      <c r="BU1" s="61">
        <v>71</v>
      </c>
      <c r="BV1" s="61">
        <v>72</v>
      </c>
      <c r="BW1" s="61">
        <v>73</v>
      </c>
      <c r="BX1" s="61">
        <v>74</v>
      </c>
      <c r="BY1" s="61">
        <v>75</v>
      </c>
      <c r="BZ1" s="61">
        <v>76</v>
      </c>
      <c r="CA1" s="61">
        <v>77</v>
      </c>
      <c r="CB1" s="61">
        <v>78</v>
      </c>
      <c r="CC1" s="61">
        <v>79</v>
      </c>
      <c r="CD1" s="61">
        <v>80</v>
      </c>
      <c r="CE1" s="61">
        <v>81</v>
      </c>
      <c r="CF1" s="61">
        <v>82</v>
      </c>
      <c r="CG1" s="61">
        <v>83</v>
      </c>
      <c r="CH1" s="61">
        <v>84</v>
      </c>
      <c r="CI1" s="61">
        <v>85</v>
      </c>
      <c r="CJ1" s="61">
        <v>86</v>
      </c>
      <c r="CK1" s="61">
        <v>87</v>
      </c>
      <c r="CL1" s="61">
        <v>88</v>
      </c>
      <c r="CM1" s="61">
        <v>89</v>
      </c>
      <c r="CN1" s="61">
        <v>90</v>
      </c>
      <c r="CO1" s="61">
        <v>91</v>
      </c>
      <c r="CP1" s="61">
        <v>92</v>
      </c>
      <c r="CQ1" s="61">
        <v>93</v>
      </c>
      <c r="CR1" s="61">
        <v>94</v>
      </c>
      <c r="CS1" s="61">
        <v>95</v>
      </c>
      <c r="CT1" s="61">
        <v>96</v>
      </c>
      <c r="CU1" s="61">
        <v>97</v>
      </c>
      <c r="CV1" s="61">
        <v>98</v>
      </c>
      <c r="CW1" s="61">
        <v>99</v>
      </c>
      <c r="CX1" s="61">
        <v>100</v>
      </c>
      <c r="CY1" s="61">
        <v>101</v>
      </c>
      <c r="CZ1" s="61">
        <v>102</v>
      </c>
      <c r="DA1" s="61">
        <v>103</v>
      </c>
      <c r="DB1" s="61">
        <v>104</v>
      </c>
      <c r="DC1" s="61">
        <v>105</v>
      </c>
      <c r="DD1" s="61">
        <v>106</v>
      </c>
      <c r="DE1" s="61">
        <v>107</v>
      </c>
      <c r="DF1" s="61">
        <v>108</v>
      </c>
      <c r="DG1" s="61">
        <v>109</v>
      </c>
      <c r="DH1" s="61">
        <v>110</v>
      </c>
      <c r="DI1" s="61">
        <v>111</v>
      </c>
      <c r="DJ1" s="61">
        <v>112</v>
      </c>
      <c r="DK1" s="61">
        <v>113</v>
      </c>
      <c r="DL1" s="61">
        <v>114</v>
      </c>
      <c r="DM1" s="61">
        <v>115</v>
      </c>
      <c r="DN1" s="61">
        <v>116</v>
      </c>
      <c r="DO1" s="61">
        <v>117</v>
      </c>
      <c r="DP1" s="61">
        <v>118</v>
      </c>
      <c r="DQ1" s="61">
        <v>119</v>
      </c>
      <c r="DR1" s="61">
        <v>120</v>
      </c>
      <c r="DS1" s="61">
        <v>121</v>
      </c>
      <c r="DT1" s="61">
        <v>122</v>
      </c>
      <c r="DU1" s="61">
        <v>123</v>
      </c>
      <c r="DV1" s="61">
        <v>124</v>
      </c>
      <c r="DW1" s="61">
        <v>125</v>
      </c>
      <c r="DX1" s="61">
        <v>126</v>
      </c>
      <c r="DY1" s="61">
        <v>127</v>
      </c>
      <c r="DZ1" s="61">
        <v>128</v>
      </c>
      <c r="EA1" s="61">
        <v>129</v>
      </c>
      <c r="EB1" s="61">
        <v>130</v>
      </c>
      <c r="EC1" s="61">
        <v>131</v>
      </c>
      <c r="ED1" s="61">
        <v>132</v>
      </c>
      <c r="EE1" s="61">
        <v>133</v>
      </c>
      <c r="EF1" s="61">
        <v>134</v>
      </c>
      <c r="EG1" s="61">
        <v>135</v>
      </c>
      <c r="EH1" s="61">
        <v>136</v>
      </c>
      <c r="EI1" s="61">
        <v>137</v>
      </c>
    </row>
    <row r="2" spans="1:139">
      <c r="A2" s="64" t="s">
        <v>70</v>
      </c>
      <c r="B2" s="114" t="s">
        <v>411</v>
      </c>
      <c r="D2" s="114" t="s">
        <v>412</v>
      </c>
      <c r="G2" s="60" t="s">
        <v>387</v>
      </c>
    </row>
    <row r="3" spans="1:139">
      <c r="A3" s="64" t="s">
        <v>386</v>
      </c>
      <c r="B3" s="114" t="s">
        <v>413</v>
      </c>
      <c r="C3" s="64"/>
      <c r="D3" s="64" t="s">
        <v>414</v>
      </c>
      <c r="E3" s="64" t="s">
        <v>415</v>
      </c>
    </row>
    <row r="4" spans="1:139">
      <c r="A4" s="64">
        <v>98.6</v>
      </c>
      <c r="B4" s="114">
        <v>17.03</v>
      </c>
      <c r="D4" s="64">
        <v>60.1</v>
      </c>
      <c r="E4" s="64">
        <f>2*36.45</f>
        <v>72.900000000000006</v>
      </c>
    </row>
    <row r="5" spans="1:139">
      <c r="A5" s="65"/>
      <c r="B5" s="115"/>
      <c r="D5" s="64"/>
      <c r="G5" s="59" t="s">
        <v>416</v>
      </c>
      <c r="H5" s="59">
        <v>43831</v>
      </c>
      <c r="I5" s="59">
        <v>43862</v>
      </c>
      <c r="J5" s="59">
        <v>43891</v>
      </c>
      <c r="K5" s="59">
        <v>43922</v>
      </c>
      <c r="L5" s="59">
        <v>43952</v>
      </c>
      <c r="M5" s="59">
        <v>43983</v>
      </c>
      <c r="N5" s="59">
        <v>44013</v>
      </c>
      <c r="O5" s="59">
        <v>44044</v>
      </c>
      <c r="P5" s="59">
        <v>44075</v>
      </c>
      <c r="Q5" s="59">
        <v>44105</v>
      </c>
      <c r="R5" s="59">
        <v>44136</v>
      </c>
      <c r="S5" s="59">
        <v>44166</v>
      </c>
      <c r="T5" s="59">
        <v>44197</v>
      </c>
      <c r="U5" s="59">
        <v>44228</v>
      </c>
      <c r="V5" s="59">
        <v>44256</v>
      </c>
      <c r="W5" s="59">
        <v>44287</v>
      </c>
      <c r="X5" s="59">
        <v>44317</v>
      </c>
      <c r="Y5" s="59">
        <v>44348</v>
      </c>
      <c r="Z5" s="59">
        <v>44378</v>
      </c>
      <c r="AA5" s="59">
        <v>44409</v>
      </c>
      <c r="AB5" s="59">
        <v>44440</v>
      </c>
      <c r="AC5" s="59">
        <v>44470</v>
      </c>
      <c r="AD5" s="59">
        <v>44501</v>
      </c>
      <c r="AE5" s="59">
        <v>44531</v>
      </c>
      <c r="AF5" s="59">
        <v>44562</v>
      </c>
      <c r="AG5" s="59">
        <v>44593</v>
      </c>
      <c r="AH5" s="59">
        <v>44621</v>
      </c>
      <c r="AI5" s="59">
        <v>44652</v>
      </c>
      <c r="AJ5" s="59">
        <v>44682</v>
      </c>
      <c r="AK5" s="59">
        <v>44713</v>
      </c>
      <c r="AL5" s="59">
        <v>44743</v>
      </c>
      <c r="AM5" s="59">
        <v>44774</v>
      </c>
      <c r="AN5" s="59">
        <v>44805</v>
      </c>
      <c r="AO5" s="59">
        <v>44835</v>
      </c>
      <c r="AP5" s="59">
        <v>44866</v>
      </c>
      <c r="AQ5" s="59">
        <v>44896</v>
      </c>
      <c r="AR5" s="59">
        <v>44927</v>
      </c>
      <c r="AS5" s="59">
        <v>44958</v>
      </c>
      <c r="AT5" s="59">
        <v>44986</v>
      </c>
      <c r="AU5" s="59">
        <v>45017</v>
      </c>
      <c r="AV5" s="59">
        <v>45047</v>
      </c>
      <c r="AW5" s="59">
        <v>45078</v>
      </c>
      <c r="AX5" s="59" t="s">
        <v>417</v>
      </c>
      <c r="AY5" s="59" t="s">
        <v>418</v>
      </c>
      <c r="AZ5" s="59" t="s">
        <v>419</v>
      </c>
      <c r="BA5" s="59" t="s">
        <v>420</v>
      </c>
      <c r="BB5" s="59" t="s">
        <v>13</v>
      </c>
      <c r="BC5" s="59" t="s">
        <v>14</v>
      </c>
      <c r="BD5" s="59" t="s">
        <v>168</v>
      </c>
      <c r="BE5" s="59" t="s">
        <v>169</v>
      </c>
      <c r="BF5" s="59" t="s">
        <v>421</v>
      </c>
      <c r="BG5" s="59" t="s">
        <v>422</v>
      </c>
      <c r="BH5" s="59" t="s">
        <v>423</v>
      </c>
      <c r="BI5" s="59" t="s">
        <v>424</v>
      </c>
      <c r="BJ5" s="59">
        <v>37165</v>
      </c>
      <c r="BK5" s="59">
        <v>37530</v>
      </c>
      <c r="BL5" s="59">
        <v>37895</v>
      </c>
      <c r="BM5" s="59">
        <v>38261</v>
      </c>
      <c r="BN5" s="59">
        <v>37196</v>
      </c>
      <c r="BO5" s="59">
        <v>37561</v>
      </c>
      <c r="BP5" s="59">
        <v>37926</v>
      </c>
      <c r="BQ5" s="59">
        <v>38292</v>
      </c>
      <c r="BR5" s="59">
        <v>37226</v>
      </c>
      <c r="BS5" s="59">
        <v>37591</v>
      </c>
      <c r="BT5" s="59">
        <v>37956</v>
      </c>
      <c r="BU5" s="59">
        <v>38322</v>
      </c>
      <c r="BV5" s="59">
        <v>36892</v>
      </c>
      <c r="BW5" s="59">
        <v>37257</v>
      </c>
      <c r="BX5" s="59">
        <v>37622</v>
      </c>
      <c r="BY5" s="59">
        <v>37987</v>
      </c>
      <c r="BZ5" s="59">
        <v>36923</v>
      </c>
      <c r="CA5" s="59">
        <v>37288</v>
      </c>
      <c r="CB5" s="59">
        <v>37653</v>
      </c>
      <c r="CC5" s="59">
        <v>38018</v>
      </c>
      <c r="CD5" s="59" t="str">
        <f>Sheet8!A15</f>
        <v>Mar-w1</v>
      </c>
      <c r="CE5" s="59" t="s">
        <v>285</v>
      </c>
      <c r="CF5" s="59" t="s">
        <v>286</v>
      </c>
      <c r="CG5" s="59" t="s">
        <v>287</v>
      </c>
      <c r="CH5" s="59" t="str">
        <f>Sheet8!E15</f>
        <v>Apr-w1</v>
      </c>
      <c r="CI5" s="59" t="str">
        <f>Sheet8!F15</f>
        <v>Apr-w2</v>
      </c>
      <c r="CJ5" s="59" t="str">
        <f>Sheet8!G15</f>
        <v>Apr-w3</v>
      </c>
      <c r="CK5" s="59" t="str">
        <f>Sheet8!H15</f>
        <v>Apr-w4</v>
      </c>
      <c r="CL5" s="59" t="str">
        <f>Sheet8!I15</f>
        <v>May-w1</v>
      </c>
      <c r="CM5" s="59" t="str">
        <f>Sheet8!J15</f>
        <v>May-w2</v>
      </c>
      <c r="CN5" s="59" t="str">
        <f>Sheet8!K15</f>
        <v>May-w3</v>
      </c>
      <c r="CO5" s="59" t="str">
        <f>Sheet8!L15</f>
        <v>May-w4</v>
      </c>
      <c r="CP5" s="59" t="str">
        <f>Sheet8!M15</f>
        <v>May-w5</v>
      </c>
      <c r="CQ5" s="59" t="str">
        <f>Sheet8!N15</f>
        <v>june-w1</v>
      </c>
      <c r="CR5" s="59" t="str">
        <f>Sheet8!O15</f>
        <v>june-w2</v>
      </c>
      <c r="CS5" s="59" t="str">
        <f>Sheet8!P15</f>
        <v>june-w3</v>
      </c>
      <c r="CT5" s="59" t="str">
        <f>Sheet8!Q15</f>
        <v>june-w4</v>
      </c>
      <c r="CU5" s="59" t="str">
        <f>Sheet8!R15</f>
        <v>Jul-w1</v>
      </c>
      <c r="CV5" s="59" t="str">
        <f>Sheet8!S15</f>
        <v>Jul-w2</v>
      </c>
      <c r="CW5" s="59" t="str">
        <f>Sheet8!T15</f>
        <v>Jul-w3</v>
      </c>
      <c r="CX5" s="59" t="str">
        <f>Sheet8!U15</f>
        <v>Jul-w4</v>
      </c>
      <c r="CY5" s="59" t="str">
        <f>Sheet8!V15</f>
        <v>Aug-w1</v>
      </c>
      <c r="CZ5" s="59" t="str">
        <f>Sheet8!W15</f>
        <v>Aug-w2</v>
      </c>
      <c r="DA5" s="59" t="str">
        <f>Sheet8!X15</f>
        <v>Aug-w3</v>
      </c>
      <c r="DB5" s="59" t="str">
        <f>Sheet8!Y15</f>
        <v>Aug-w4</v>
      </c>
      <c r="DC5" s="59" t="str">
        <f>Sheet8!Z15</f>
        <v>Sep-w1</v>
      </c>
      <c r="DD5" s="59" t="str">
        <f>Sheet8!AA15</f>
        <v>Sep-w2</v>
      </c>
      <c r="DE5" s="59" t="str">
        <f>Sheet8!AB15</f>
        <v>Sep-w3</v>
      </c>
      <c r="DF5" s="59" t="str">
        <f>Sheet8!AC15</f>
        <v>Sep-w4</v>
      </c>
      <c r="DG5" s="59" t="str">
        <f>Sheet8!AD15</f>
        <v>Oct-w1</v>
      </c>
      <c r="DH5" s="59" t="str">
        <f>Sheet8!AE15</f>
        <v>Oct-w2</v>
      </c>
      <c r="DI5" s="59" t="str">
        <f>Sheet8!AF15</f>
        <v>Oct-w3</v>
      </c>
      <c r="DJ5" s="59" t="str">
        <f>Sheet8!AG15</f>
        <v>Oct-w4</v>
      </c>
      <c r="DK5" s="59" t="str">
        <f>Sheet8!AH15</f>
        <v>Nov-w1</v>
      </c>
      <c r="DL5" s="59" t="str">
        <f>Sheet8!AI15</f>
        <v>Nov-w2</v>
      </c>
      <c r="DM5" s="59" t="str">
        <f>Sheet8!AJ15</f>
        <v>Nov-w3</v>
      </c>
      <c r="DN5" s="59" t="str">
        <f>Sheet8!AK15</f>
        <v>Nov-w4</v>
      </c>
      <c r="DO5" s="59" t="str">
        <f>Sheet8!AL15</f>
        <v>Dec-w1</v>
      </c>
      <c r="DP5" s="59" t="str">
        <f>Sheet8!AM15</f>
        <v>Dec-w2</v>
      </c>
      <c r="DQ5" s="59" t="str">
        <f>Sheet8!AN15</f>
        <v>Dec-w3</v>
      </c>
      <c r="DR5" s="59" t="str">
        <f>Sheet8!AO15</f>
        <v>Dec-w4</v>
      </c>
    </row>
    <row r="6" spans="1:139">
      <c r="B6" s="60" t="s">
        <v>402</v>
      </c>
      <c r="D6" s="60" t="s">
        <v>403</v>
      </c>
      <c r="E6" s="60" t="s">
        <v>404</v>
      </c>
      <c r="F6" s="60" t="s">
        <v>425</v>
      </c>
      <c r="G6" s="60" t="s">
        <v>70</v>
      </c>
      <c r="H6" s="74">
        <f>VLOOKUP($G$6&amp;$F$1,'Input RM sheet'!$A:$BD,H1,0)</f>
        <v>0.30483022407281657</v>
      </c>
      <c r="I6" s="74">
        <f>VLOOKUP($G$6&amp;$F$1,'Input RM sheet'!$A:$BD,I1,0)</f>
        <v>0.34286427537166547</v>
      </c>
      <c r="J6" s="74">
        <f>VLOOKUP($G$6&amp;$F$1,'Input RM sheet'!$A:$BD,J1,0)</f>
        <v>0.33696703937170702</v>
      </c>
      <c r="K6" s="74">
        <f>VLOOKUP($G$6&amp;$F$1,'Input RM sheet'!$A:$BD,K1,0)</f>
        <v>0.32918290899642011</v>
      </c>
      <c r="L6" s="74">
        <f>VLOOKUP($G$6&amp;$F$1,'Input RM sheet'!$A:$BD,L1,0)</f>
        <v>0.29562625382070207</v>
      </c>
      <c r="M6" s="74">
        <f>VLOOKUP($G$6&amp;$F$1,'Input RM sheet'!$A:$BD,M1,0)</f>
        <v>0.28466634277280467</v>
      </c>
      <c r="N6" s="74">
        <f>VLOOKUP($G$6&amp;$F$1,'Input RM sheet'!$A:$BD,N1,0)</f>
        <v>0.20653801563255636</v>
      </c>
      <c r="O6" s="74">
        <f>VLOOKUP($G$6&amp;$F$1,'Input RM sheet'!$A:$BD,O1,0)</f>
        <v>0.25027237704948618</v>
      </c>
      <c r="P6" s="74">
        <f>VLOOKUP($G$6&amp;$F$1,'Input RM sheet'!$A:$BD,P1,0)</f>
        <v>0.29482717983849482</v>
      </c>
      <c r="Q6" s="74">
        <f>VLOOKUP($G$6&amp;$F$1,'Input RM sheet'!$A:$BD,Q1,0)</f>
        <v>0.26112492603652376</v>
      </c>
      <c r="R6" s="74">
        <f>VLOOKUP($G$6&amp;$F$1,'Input RM sheet'!$A:$BD,R1,0)</f>
        <v>0.37172456889708289</v>
      </c>
      <c r="S6" s="74">
        <f>VLOOKUP($G$6&amp;$F$1,'Input RM sheet'!$A:$BD,S1,0)</f>
        <v>0.37556517659587235</v>
      </c>
      <c r="T6" s="74">
        <f>VLOOKUP($G$6&amp;$F$1,'Input RM sheet'!$A:$BD,T1,0)</f>
        <v>0.37644550007000283</v>
      </c>
      <c r="U6" s="74">
        <f>VLOOKUP($G$6&amp;$F$1,'Input RM sheet'!$A:$BD,U1,0)</f>
        <v>0.47173077782891726</v>
      </c>
      <c r="V6" s="74">
        <f>VLOOKUP($G$6&amp;$F$1,'Input RM sheet'!$A:$BD,V1,0)</f>
        <v>0.55483712536000929</v>
      </c>
      <c r="W6" s="74">
        <f>VLOOKUP($G$6&amp;$F$1,'Input RM sheet'!$A:$BD,W1,0)</f>
        <v>0.63937652810505008</v>
      </c>
      <c r="X6" s="74">
        <f>VLOOKUP($G$6&amp;$F$1,'Input RM sheet'!$A:$BD,X1,0)</f>
        <v>0.70249744979967632</v>
      </c>
      <c r="Y6" s="74">
        <f>VLOOKUP($G$6&amp;$F$1,'Input RM sheet'!$A:$BD,Y1,0)</f>
        <v>0.70253354554770719</v>
      </c>
      <c r="Z6" s="74">
        <f>VLOOKUP($G$6&amp;$F$1,'Input RM sheet'!$A:$BD,Z1,0)</f>
        <v>0.67458824267374151</v>
      </c>
      <c r="AA6" s="74">
        <f>VLOOKUP($G$6&amp;$F$1,'Input RM sheet'!$A:$BD,AA1,0)</f>
        <v>0.67758749868113066</v>
      </c>
      <c r="AB6" s="74">
        <f>VLOOKUP($G$6&amp;$F$1,'Input RM sheet'!$A:$BD,AB1,0)</f>
        <v>0.69029584997989535</v>
      </c>
      <c r="AC6" s="74">
        <f>VLOOKUP($G$6&amp;$F$1,'Input RM sheet'!$A:$BD,AC1,0)</f>
        <v>0.74505126870339788</v>
      </c>
      <c r="AD6" s="74">
        <f>VLOOKUP($G$6&amp;$F$1,'Input RM sheet'!$A:$BD,AD1,0)</f>
        <v>0.8477068626947446</v>
      </c>
      <c r="AE6" s="74">
        <f>VLOOKUP($G$6&amp;$F$1,'Input RM sheet'!$A:$BD,AE1,0)</f>
        <v>0.74416923739711949</v>
      </c>
      <c r="AF6" s="74">
        <f>VLOOKUP($G$6&amp;$F$1,'Input RM sheet'!$A:$BD,AF1,0)</f>
        <v>0.84546574776946926</v>
      </c>
      <c r="AG6" s="74">
        <f>VLOOKUP($G$6&amp;$F$1,'Input RM sheet'!$A:$BD,AG1,0)</f>
        <v>0.81157036933012439</v>
      </c>
      <c r="AH6" s="74">
        <f>VLOOKUP($G$6&amp;$F$1,'Input RM sheet'!$A:$BD,AH1,0)</f>
        <v>0.74221287798726343</v>
      </c>
      <c r="AI6" s="74">
        <f>VLOOKUP($G$6&amp;$F$1,'Input RM sheet'!$A:$BD,AI1,0)</f>
        <v>0.82460206677585413</v>
      </c>
      <c r="AJ6" s="74">
        <f>VLOOKUP($G$6&amp;$F$1,'Input RM sheet'!$A:$BD,AJ1,0)</f>
        <v>0.8671847901063201</v>
      </c>
      <c r="AK6" s="74">
        <f>VLOOKUP($G$6&amp;$F$1,'Input RM sheet'!$A:$BD,AK1,0)</f>
        <v>0.84340071104150371</v>
      </c>
      <c r="AL6" s="74">
        <f>VLOOKUP($G$6&amp;$F$1,'Input RM sheet'!$A:$BD,AL1,0)</f>
        <v>0.6877680056485691</v>
      </c>
      <c r="AM6" s="74">
        <f>VLOOKUP($G$6&amp;$F$1,'Input RM sheet'!$A:$BD,AM1,0)</f>
        <v>0.68293490663365997</v>
      </c>
      <c r="AN6" s="74">
        <f>VLOOKUP($G$6&amp;$F$1,'Input RM sheet'!$A:$BD,AN1,0)</f>
        <v>0.43909968737964511</v>
      </c>
      <c r="AO6" s="74">
        <f>VLOOKUP($G$6&amp;$F$1,'Input RM sheet'!$A:$BD,AO1,0)</f>
        <v>0.34716607162870206</v>
      </c>
      <c r="AP6" s="74">
        <f>VLOOKUP($G$6&amp;$F$1,'Input RM sheet'!$A:$BD,AP1,0)</f>
        <v>0.35857951344010464</v>
      </c>
      <c r="AQ6" s="74">
        <f>VLOOKUP($G$6&amp;$F$1,'Input RM sheet'!$A:$BD,AQ1,0)</f>
        <v>0.29459801775419026</v>
      </c>
      <c r="AR6" s="74">
        <f>VLOOKUP($G$6&amp;$F$1,'Input RM sheet'!$A:$BD,AR1,0)</f>
        <v>0.82403514720880189</v>
      </c>
      <c r="AS6" s="74">
        <f>VLOOKUP($G$6&amp;$F$1,'Input RM sheet'!$A:$BD,AS1,0)</f>
        <v>0.36841456422240715</v>
      </c>
      <c r="AT6" s="74">
        <f>VLOOKUP($G$6&amp;$F$1,'Input RM sheet'!$A:$BD,AT1,0)</f>
        <v>0.34897572690144207</v>
      </c>
      <c r="AU6" s="74">
        <f>VLOOKUP($G$6&amp;$F$1,'Input RM sheet'!$A:$BD,AU1,0)</f>
        <v>0.37</v>
      </c>
      <c r="AV6" s="74">
        <f>VLOOKUP($G$6&amp;$F$1,'Input RM sheet'!$A:$BD,AV1,0)</f>
        <v>0.4</v>
      </c>
      <c r="AW6" s="74">
        <f>VLOOKUP($G$6&amp;$F$1,'Input RM sheet'!$A:$BD,AW1,0)</f>
        <v>0.25</v>
      </c>
      <c r="AX6" s="74">
        <f>VLOOKUP($G$6&amp;$F$1,'Input RM sheet'!$A:$BD,AX1,0)</f>
        <v>0.25</v>
      </c>
      <c r="AY6" s="74">
        <f>VLOOKUP($G$6&amp;$F$1,'Input RM sheet'!$A:$BD,AY1,0)</f>
        <v>0.25</v>
      </c>
      <c r="AZ6" s="74">
        <f>VLOOKUP($G$6&amp;$F$1,'Input RM sheet'!$A:$BD,AZ1,0)</f>
        <v>0.24</v>
      </c>
      <c r="BA6" s="74">
        <f>VLOOKUP($G$6&amp;$F$1,'Input RM sheet'!$A:$BD,BA1,0)</f>
        <v>0.21</v>
      </c>
      <c r="BB6" s="74">
        <f>VLOOKUP($G$6&amp;$F$1,'Input RM sheet'!$A:$BD,BB1,0)</f>
        <v>0.28999999999999998</v>
      </c>
      <c r="BC6" s="74">
        <f>VLOOKUP($G$6&amp;$F$1,'Input RM sheet'!$A:$BD,BC1,0)</f>
        <v>0.28999999999999998</v>
      </c>
      <c r="BD6" s="74">
        <f>VLOOKUP($G$6&amp;$F$1,'Input RM sheet'!$A:$BD,BD1,0)</f>
        <v>0.28999999999999998</v>
      </c>
      <c r="BE6" s="74">
        <f>VLOOKUP($G$6&amp;$F$1,'Input RM sheet'!$A:$BD,BE1,0)</f>
        <v>0.28999999999999998</v>
      </c>
      <c r="BF6" s="74">
        <f>VLOOKUP($G$6&amp;$F$1,'Input RM sheet'!$A:$DD,BF1,0)</f>
        <v>0.28999999999999998</v>
      </c>
      <c r="BG6" s="74">
        <f>VLOOKUP($G$6&amp;$F$1,'Input RM sheet'!$A:$DD,BG1,0)</f>
        <v>0.22</v>
      </c>
      <c r="BH6" s="74">
        <f>VLOOKUP($G$6&amp;$F$1,'Input RM sheet'!$A:$DD,BH1,0)</f>
        <v>0.22</v>
      </c>
      <c r="BI6" s="74">
        <f>VLOOKUP($G$6&amp;$F$1,'Input RM sheet'!$A:$DD,BI1,0)</f>
        <v>0.22</v>
      </c>
      <c r="BJ6" s="74">
        <f>VLOOKUP($G$6&amp;$F$1,'Input RM sheet'!$A:$DD,BJ1,0)</f>
        <v>0.22</v>
      </c>
      <c r="BK6" s="74">
        <f>VLOOKUP($G$6&amp;$F$1,'Input RM sheet'!$A:$DD,BK1,0)</f>
        <v>0.22</v>
      </c>
      <c r="BL6" s="74">
        <f>VLOOKUP($G$6&amp;$F$1,'Input RM sheet'!$A:$DD,BL1,0)</f>
        <v>0.22</v>
      </c>
      <c r="BM6" s="74">
        <f>VLOOKUP($G$6&amp;$F$1,'Input RM sheet'!$A:$DD,BM1,0)</f>
        <v>0.23</v>
      </c>
      <c r="BN6" s="74">
        <f>VLOOKUP($G$6&amp;$F$1,'Input RM sheet'!$A:$DD,BN1,0)</f>
        <v>0.23</v>
      </c>
      <c r="BO6" s="74">
        <f>VLOOKUP($G$6&amp;$F$1,'Input RM sheet'!$A:$DD,BO1,0)</f>
        <v>0.23</v>
      </c>
      <c r="BP6" s="74">
        <f>VLOOKUP($G$6&amp;$F$1,'Input RM sheet'!$A:$DD,BP1,0)</f>
        <v>0.23</v>
      </c>
      <c r="BQ6" s="74">
        <f>VLOOKUP($G$6&amp;$F$1,'Input RM sheet'!$A:$DD,BQ1,0)</f>
        <v>0.25</v>
      </c>
      <c r="BR6" s="74">
        <f>VLOOKUP($G$6&amp;$F$1,'Input RM sheet'!$A:$DD,BR1,0)</f>
        <v>0.25</v>
      </c>
      <c r="BS6" s="74">
        <f>VLOOKUP($G$6&amp;$F$1,'Input RM sheet'!$A:$DD,BS1,0)</f>
        <v>0.25</v>
      </c>
      <c r="BT6" s="74">
        <f>VLOOKUP($G$6&amp;$F$1,'Input RM sheet'!$A:$DD,BT1,0)</f>
        <v>0.25</v>
      </c>
      <c r="BU6" s="74">
        <f>VLOOKUP($G$6&amp;$F$1,'Input RM sheet'!$A:$DD,BU1,0)</f>
        <v>0.25</v>
      </c>
      <c r="BV6" s="74">
        <f>VLOOKUP($G$6&amp;$F$1,'Input RM sheet'!$A:$DD,BV1,0)</f>
        <v>0.25</v>
      </c>
      <c r="BW6" s="74">
        <f>VLOOKUP($G$6&amp;$F$1,'Input RM sheet'!$A:$DD,BW1,0)</f>
        <v>0.25</v>
      </c>
      <c r="BX6" s="74">
        <f>VLOOKUP($G$6&amp;$F$1,'Input RM sheet'!$A:$DD,BX1,0)</f>
        <v>0.25</v>
      </c>
      <c r="BY6" s="74">
        <f>VLOOKUP($G$6&amp;$F$1,'Input RM sheet'!$A:$DD,BY1,0)</f>
        <v>0.25</v>
      </c>
      <c r="BZ6" s="74">
        <f>VLOOKUP($G$6&amp;$F$1,'Input RM sheet'!$A:$DD,BZ1,0)</f>
        <v>0.25</v>
      </c>
      <c r="CA6" s="74">
        <f>VLOOKUP($G$6&amp;$F$1,'Input RM sheet'!$A:$DD,CA1,0)</f>
        <v>0.25</v>
      </c>
      <c r="CB6" s="74">
        <f>VLOOKUP($G$6&amp;$F$1,'Input RM sheet'!$A:$DD,CB1,0)</f>
        <v>0.25</v>
      </c>
      <c r="CC6" s="74">
        <f>VLOOKUP($G$6&amp;$F$1,'Input RM sheet'!$A:$DD,CC1,0)</f>
        <v>0.25</v>
      </c>
      <c r="CD6" s="74">
        <f>VLOOKUP($G$6&amp;$F$1,'Input RM sheet'!$A:$DD,CD1,0)</f>
        <v>0.25</v>
      </c>
      <c r="CE6" s="74">
        <f>VLOOKUP($G$6&amp;$F$1,'Input RM sheet'!$A:$DD,CE1,0)</f>
        <v>0.25</v>
      </c>
      <c r="CF6" s="74">
        <f>VLOOKUP($G$6&amp;$F$1,'Input RM sheet'!$A:$DD,CF1,0)</f>
        <v>0.25</v>
      </c>
      <c r="CG6" s="74">
        <f>VLOOKUP($G$6&amp;$F$1,'Input RM sheet'!$A:$DD,CG1,0)</f>
        <v>0.25</v>
      </c>
      <c r="CH6" s="74">
        <f>VLOOKUP($G$6&amp;$F$1,'Input RM sheet'!$A:$DD,CH1,0)</f>
        <v>0.34</v>
      </c>
      <c r="CI6" s="74">
        <f>VLOOKUP($G$6&amp;$F$1,'Input RM sheet'!$A:$DD,CI1,0)</f>
        <v>0.34</v>
      </c>
      <c r="CJ6" s="74">
        <f>VLOOKUP($G$6&amp;$F$1,'Input RM sheet'!$A:$DD,CJ1,0)</f>
        <v>0.34</v>
      </c>
      <c r="CK6" s="74">
        <f>VLOOKUP($G$6&amp;$F$1,'Input RM sheet'!$A:$DD,CK1,0)</f>
        <v>0.34</v>
      </c>
      <c r="CL6" s="74">
        <f>VLOOKUP($G$6&amp;$F$1,'Input RM sheet'!$A:$DD,CL1,0)</f>
        <v>0.34</v>
      </c>
      <c r="CM6" s="74">
        <f>VLOOKUP($G$6&amp;$F$1,'Input RM sheet'!$A:$DD,CM1,0)</f>
        <v>0.34</v>
      </c>
      <c r="CN6" s="74">
        <f>VLOOKUP($G$6&amp;$F$1,'Input RM sheet'!$A:$DD,CN1,0)</f>
        <v>0.34</v>
      </c>
      <c r="CO6" s="74">
        <f>VLOOKUP($G$6&amp;$F$1,'Input RM sheet'!$A:$DD,CO1,0)</f>
        <v>0.34</v>
      </c>
      <c r="CP6" s="74">
        <f>VLOOKUP($G$6&amp;$F$1,'Input RM sheet'!$A:$DD,CP1,0)</f>
        <v>0.34</v>
      </c>
      <c r="CQ6" s="74">
        <f>VLOOKUP($G$6&amp;$F$1,'Input RM sheet'!$A:$DD,CQ1,0)</f>
        <v>0.2</v>
      </c>
      <c r="CR6" s="74">
        <f>VLOOKUP($G$6&amp;$F$1,'Input RM sheet'!$A:$DD,CR1,0)</f>
        <v>0.2</v>
      </c>
      <c r="CS6" s="74">
        <f>VLOOKUP($G$6&amp;$F$1,'Input RM sheet'!$A:$DD,CS1,0)</f>
        <v>0.2</v>
      </c>
      <c r="CT6" s="74">
        <f>VLOOKUP($G$6&amp;$F$1,'Input RM sheet'!$A:$DD,CT1,0)</f>
        <v>0.2</v>
      </c>
      <c r="CU6" s="74">
        <f>VLOOKUP($G$6&amp;$F$1,'Input RM sheet'!$A:$ZZ,CU1,0)</f>
        <v>0.2</v>
      </c>
      <c r="CV6" s="74">
        <f>VLOOKUP($G$6&amp;$F$1,'Input RM sheet'!$A:$ZZ,CV1,0)</f>
        <v>0.28000000000000003</v>
      </c>
      <c r="CW6" s="74">
        <f>VLOOKUP($G$6&amp;$F$1,'Input RM sheet'!$A:$ZZ,CW1,0)</f>
        <v>0.27</v>
      </c>
      <c r="CX6" s="74">
        <f>VLOOKUP($G$6&amp;$F$1,'Input RM sheet'!$A:$ZZ,CX1,0)</f>
        <v>0.34</v>
      </c>
      <c r="CY6" s="74">
        <f>VLOOKUP($G$6&amp;$F$1,'Input RM sheet'!$A:$ZZ,CY1,0)</f>
        <v>0.34</v>
      </c>
      <c r="CZ6" s="74">
        <f>VLOOKUP($G$6&amp;$F$1,'Input RM sheet'!$A:$ZZ,CZ1,0)</f>
        <v>0.34</v>
      </c>
      <c r="DA6" s="74">
        <f>VLOOKUP($G$6&amp;$F$1,'Input RM sheet'!$A:$ZZ,DA1,0)</f>
        <v>0.32</v>
      </c>
      <c r="DB6" s="74">
        <f>VLOOKUP($G$6&amp;$F$1,'Input RM sheet'!$A:$ZZ,DB1,0)</f>
        <v>0.34</v>
      </c>
      <c r="DC6" s="74">
        <f>VLOOKUP($G$6&amp;$F$1,'Input RM sheet'!$A:$ZZ,DC1,0)</f>
        <v>0.34</v>
      </c>
      <c r="DD6" s="74">
        <f>VLOOKUP($G$6&amp;$F$1,'Input RM sheet'!$A:$ZZ,DD1,0)</f>
        <v>0.34</v>
      </c>
      <c r="DE6" s="74">
        <f>VLOOKUP($G$6&amp;$F$1,'Input RM sheet'!$A:$ZZ,DE1,0)</f>
        <v>0.34</v>
      </c>
      <c r="DF6" s="74">
        <f>VLOOKUP($G$6&amp;$F$1,'Input RM sheet'!$A:$ZZ,DF1,0)</f>
        <v>0.34</v>
      </c>
      <c r="DG6" s="74">
        <f>VLOOKUP($G$6&amp;$F$1,'Input RM sheet'!$A:$ZZ,DG1,0)</f>
        <v>0.34</v>
      </c>
      <c r="DH6" s="74">
        <f>VLOOKUP($G$6&amp;$F$1,'Input RM sheet'!$A:$ZZ,DH1,0)</f>
        <v>0.34</v>
      </c>
      <c r="DI6" s="74">
        <f>VLOOKUP($G$6&amp;$F$1,'Input RM sheet'!$A:$ZZ,DI1,0)</f>
        <v>0.34</v>
      </c>
      <c r="DJ6" s="74">
        <f>VLOOKUP($G$6&amp;$F$1,'Input RM sheet'!$A:$ZZ,DJ1,0)</f>
        <v>0.34</v>
      </c>
      <c r="DK6" s="74">
        <f>VLOOKUP($G$6&amp;$F$1,'Input RM sheet'!$A:$ZZ,DK1,0)</f>
        <v>0.34</v>
      </c>
      <c r="DL6" s="74">
        <f>VLOOKUP($G$6&amp;$F$1,'Input RM sheet'!$A:$ZZ,DL1,0)</f>
        <v>0.35</v>
      </c>
      <c r="DM6" s="74">
        <f>VLOOKUP($G$6&amp;$F$1,'Input RM sheet'!$A:$ZZ,DM1,0)</f>
        <v>0.31</v>
      </c>
      <c r="DN6" s="74">
        <f>VLOOKUP($G$6&amp;$F$1,'Input RM sheet'!$A:$ZZ,DN1,0)</f>
        <v>0.31</v>
      </c>
      <c r="DO6" s="74">
        <f>VLOOKUP($G$6&amp;$F$1,'Input RM sheet'!$A:$ZZ,DO1,0)</f>
        <v>0.31</v>
      </c>
      <c r="DP6" s="74">
        <f>VLOOKUP($G$6&amp;$F$1,'Input RM sheet'!$A:$ZZ,DP1,0)</f>
        <v>0.32</v>
      </c>
      <c r="DQ6" s="74">
        <f>VLOOKUP($G$6&amp;$F$1,'Input RM sheet'!$A:$ZZ,DQ1,0)</f>
        <v>0.32</v>
      </c>
      <c r="DR6" s="74">
        <f>VLOOKUP($G$6&amp;$F$1,'Input RM sheet'!$A:$ZZ,DR1,0)</f>
        <v>0.31</v>
      </c>
    </row>
    <row r="7" spans="1:139">
      <c r="D7" s="60" t="s">
        <v>403</v>
      </c>
      <c r="E7" s="60" t="s">
        <v>404</v>
      </c>
      <c r="F7" s="60" t="s">
        <v>426</v>
      </c>
      <c r="G7" s="60" t="s">
        <v>45</v>
      </c>
      <c r="H7" s="74">
        <f>VLOOKUP($G$7&amp;$F$1,'Input RM sheet'!$A:$BD,H1,0)</f>
        <v>0.50625069064173545</v>
      </c>
      <c r="I7" s="74">
        <f>VLOOKUP($G$7&amp;$F$1,'Input RM sheet'!$A:$BD,I1,0)</f>
        <v>0.50605053403738476</v>
      </c>
      <c r="J7" s="74">
        <f>VLOOKUP($G$7&amp;$F$1,'Input RM sheet'!$A:$BD,J1,0)</f>
        <v>0.48566205346589675</v>
      </c>
      <c r="K7" s="74">
        <f>VLOOKUP($G$7&amp;$F$1,'Input RM sheet'!$A:$BD,K1,0)</f>
        <v>0.46604911475979133</v>
      </c>
      <c r="L7" s="74">
        <f>VLOOKUP($G$7&amp;$F$1,'Input RM sheet'!$A:$BD,L1,0)</f>
        <v>0.47286371932487081</v>
      </c>
      <c r="M7" s="74">
        <f>VLOOKUP($G$7&amp;$F$1,'Input RM sheet'!$A:$BD,M1,0)</f>
        <v>0.44148091934964817</v>
      </c>
      <c r="N7" s="74">
        <f>VLOOKUP($G$7&amp;$F$1,'Input RM sheet'!$A:$BD,N1,0)</f>
        <v>0.43426534003337747</v>
      </c>
      <c r="O7" s="74">
        <f>VLOOKUP($G$7&amp;$F$1,'Input RM sheet'!$A:$BD,O1,0)</f>
        <v>0.4253624199790475</v>
      </c>
      <c r="P7" s="74">
        <f>VLOOKUP($G$7&amp;$F$1,'Input RM sheet'!$A:$BD,P1,0)</f>
        <v>0.43233741458081631</v>
      </c>
      <c r="Q7" s="74">
        <f>VLOOKUP($G$7&amp;$F$1,'Input RM sheet'!$A:$BD,Q1,0)</f>
        <v>0.4289746699475917</v>
      </c>
      <c r="R7" s="74">
        <f>VLOOKUP($G$7&amp;$F$1,'Input RM sheet'!$A:$BD,R1,0)</f>
        <v>0.42484260760346637</v>
      </c>
      <c r="S7" s="74">
        <f>VLOOKUP($G$7&amp;$F$1,'Input RM sheet'!$A:$BD,S1,0)</f>
        <v>0.45075951239765033</v>
      </c>
      <c r="T7" s="74">
        <f>VLOOKUP($G$7&amp;$F$1,'Input RM sheet'!$A:$BD,T1,0)</f>
        <v>0.47632070741601718</v>
      </c>
      <c r="U7" s="74">
        <f>VLOOKUP($G$7&amp;$F$1,'Input RM sheet'!$A:$BD,U1,0)</f>
        <v>0.50824175824175821</v>
      </c>
      <c r="V7" s="74">
        <f>VLOOKUP($G$7&amp;$F$1,'Input RM sheet'!$A:$BD,V1,0)</f>
        <v>0.50824175824175821</v>
      </c>
      <c r="W7" s="74">
        <f>VLOOKUP($G$7&amp;$F$1,'Input RM sheet'!$A:$BD,W1,0)</f>
        <v>0.53357522262827839</v>
      </c>
      <c r="X7" s="74">
        <f>VLOOKUP($G$7&amp;$F$1,'Input RM sheet'!$A:$BD,X1,0)</f>
        <v>0.59385665529010234</v>
      </c>
      <c r="Y7" s="74">
        <f>VLOOKUP($G$7&amp;$F$1,'Input RM sheet'!$A:$BD,Y1,0)</f>
        <v>0.63431872099725806</v>
      </c>
      <c r="Z7" s="74">
        <f>VLOOKUP($G$7&amp;$F$1,'Input RM sheet'!$A:$BD,Z1,0)</f>
        <v>0.72591659871949687</v>
      </c>
      <c r="AA7" s="74">
        <f>VLOOKUP($G$7&amp;$F$1,'Input RM sheet'!$A:$BD,AA1,0)</f>
        <v>0.72889455792717117</v>
      </c>
      <c r="AB7" s="74">
        <f>VLOOKUP($G$7&amp;$F$1,'Input RM sheet'!$A:$BD,AB1,0)</f>
        <v>0.74862988980369449</v>
      </c>
      <c r="AC7" s="74">
        <f>VLOOKUP($G$7&amp;$F$1,'Input RM sheet'!$A:$BD,AC1,0)</f>
        <v>0.79168514687656644</v>
      </c>
      <c r="AD7" s="74">
        <f>VLOOKUP($G$7&amp;$F$1,'Input RM sheet'!$A:$BD,AD1,0)</f>
        <v>0.82087330176727136</v>
      </c>
      <c r="AE7" s="74">
        <f>VLOOKUP($G$7&amp;$F$1,'Input RM sheet'!$A:$BD,AE1,0)</f>
        <v>0.84614593649711278</v>
      </c>
      <c r="AF7" s="74">
        <f>VLOOKUP($G$7&amp;$F$1,'Input RM sheet'!$A:$BD,AF1,0)</f>
        <v>1.0564787620243885</v>
      </c>
      <c r="AG7" s="74">
        <f>VLOOKUP($G$7&amp;$F$1,'Input RM sheet'!$A:$BD,AG1,0)</f>
        <v>1.2058469531568468</v>
      </c>
      <c r="AH7" s="74">
        <f>VLOOKUP($G$7&amp;$F$1,'Input RM sheet'!$A:$BD,AH1,0)</f>
        <v>1.328155753838079</v>
      </c>
      <c r="AI7" s="74">
        <f>VLOOKUP($G$7&amp;$F$1,'Input RM sheet'!$A:$BD,AI1,0)</f>
        <v>1.2605824467442697</v>
      </c>
      <c r="AJ7" s="74">
        <f>VLOOKUP($G$7&amp;$F$1,'Input RM sheet'!$A:$BD,AJ1,0)</f>
        <v>1.1242096737595759</v>
      </c>
      <c r="AK7" s="74">
        <f>VLOOKUP($G$7&amp;$F$1,'Input RM sheet'!$A:$BD,AK1,0)</f>
        <v>1.1179786985052897</v>
      </c>
      <c r="AL7" s="74">
        <f>VLOOKUP($G$7&amp;$F$1,'Input RM sheet'!$A:$BD,AL1,0)</f>
        <v>1.0829322457612403</v>
      </c>
      <c r="AM7" s="74">
        <f>VLOOKUP($G$7&amp;$F$1,'Input RM sheet'!$A:$BD,AM1,0)</f>
        <v>1.0855018240664733</v>
      </c>
      <c r="AN7" s="74">
        <f>VLOOKUP($G$7&amp;$F$1,'Input RM sheet'!$A:$BD,AN1,0)</f>
        <v>1.0549821404108952</v>
      </c>
      <c r="AO7" s="74">
        <f>VLOOKUP($G$7&amp;$F$1,'Input RM sheet'!$A:$BD,AO1,0)</f>
        <v>1.0740005833527477</v>
      </c>
      <c r="AP7" s="74">
        <f>VLOOKUP($G$7&amp;$F$1,'Input RM sheet'!$A:$BD,AP1,0)</f>
        <v>1.1385193276752337</v>
      </c>
      <c r="AQ7" s="74">
        <f>VLOOKUP($G$7&amp;$F$1,'Input RM sheet'!$A:$BD,AQ1,0)</f>
        <v>1.0816813265611029</v>
      </c>
      <c r="AR7" s="74">
        <f>VLOOKUP($G$7&amp;$F$1,'Input RM sheet'!$A:$BD,AR1,0)</f>
        <v>0.99756298566293211</v>
      </c>
      <c r="AS7" s="74">
        <f>VLOOKUP($G$7&amp;$F$1,'Input RM sheet'!$A:$BD,AS1,0)</f>
        <v>0.92545631998382882</v>
      </c>
      <c r="AT7" s="74">
        <f>VLOOKUP($G$7&amp;$F$1,'Input RM sheet'!$A:$BD,AT1,0)</f>
        <v>0.9011022063000439</v>
      </c>
      <c r="AU7" s="74">
        <f>VLOOKUP($G$7&amp;$F$1,'Input RM sheet'!$A:$BD,AU1,0)</f>
        <v>0.74767129009219857</v>
      </c>
      <c r="AV7" s="74">
        <f>VLOOKUP($G$7&amp;$F$1,'Input RM sheet'!$A:$BD,AV1,0)</f>
        <v>0.70626929682976414</v>
      </c>
      <c r="AW7" s="74">
        <f>VLOOKUP($G$7&amp;$F$1,'Input RM sheet'!$A:$BD,AW1,0)</f>
        <v>0.61818181818181817</v>
      </c>
      <c r="AX7" s="74">
        <f>VLOOKUP($G$7&amp;$F$1,'Input RM sheet'!$A:$BD,AX1,0)</f>
        <v>0.61863173216885003</v>
      </c>
      <c r="AY7" s="74">
        <f>VLOOKUP($G$7&amp;$F$1,'Input RM sheet'!$A:$BD,AY1,0)</f>
        <v>0.6205889510829885</v>
      </c>
      <c r="AZ7" s="74">
        <f>VLOOKUP($G$7&amp;$F$1,'Input RM sheet'!$A:$BD,AZ1,0)</f>
        <v>0.62255859375</v>
      </c>
      <c r="BA7" s="74">
        <f>VLOOKUP($G$7&amp;$F$1,'Input RM sheet'!$A:$BD,BA1,0)</f>
        <v>0.59567225869195228</v>
      </c>
      <c r="BB7" s="74">
        <f>VLOOKUP($G$7&amp;$F$1,'Input RM sheet'!$A:$BD,BB1,0)</f>
        <v>0.59157310153326093</v>
      </c>
      <c r="BC7" s="74">
        <f>VLOOKUP($G$7&amp;$F$1,'Input RM sheet'!$A:$BD,BC1,0)</f>
        <v>0.58858858858858853</v>
      </c>
      <c r="BD7" s="74">
        <f>VLOOKUP($G$7&amp;$F$1,'Input RM sheet'!$A:$BD,BD1,0)</f>
        <v>0.58858858858858853</v>
      </c>
      <c r="BE7" s="74">
        <f>VLOOKUP($G$7&amp;$F$1,'Input RM sheet'!$A:$BD,BE1,0)</f>
        <v>0.59286146400483963</v>
      </c>
      <c r="BF7" s="74">
        <f>VLOOKUP($G$7&amp;$F$1,'Input RM sheet'!$A:$DD,BF1,0)</f>
        <v>0.5900060204695966</v>
      </c>
      <c r="BG7" s="74">
        <f>VLOOKUP($G$7&amp;$F$1,'Input RM sheet'!$A:$DD,BG1,0)</f>
        <v>0.5666747046057391</v>
      </c>
      <c r="BH7" s="74">
        <f>VLOOKUP($G$7&amp;$F$1,'Input RM sheet'!$A:$DD,BH1,0)</f>
        <v>0.59085976124442297</v>
      </c>
      <c r="BI7" s="74">
        <f>VLOOKUP($G$7&amp;$F$1,'Input RM sheet'!$A:$DD,BI1,0)</f>
        <v>0.58851789574825841</v>
      </c>
      <c r="BJ7" s="74">
        <f>VLOOKUP($G$7&amp;$F$1,'Input RM sheet'!$A:$DD,BJ1,0)</f>
        <v>0.68493150684931503</v>
      </c>
      <c r="BK7" s="74">
        <f>VLOOKUP($G$7&amp;$F$1,'Input RM sheet'!$A:$DD,BK1,0)</f>
        <v>0.68468468468468469</v>
      </c>
      <c r="BL7" s="74">
        <f>VLOOKUP($G$7&amp;$F$1,'Input RM sheet'!$A:$DD,BL1,0)</f>
        <v>0.66169393647738206</v>
      </c>
      <c r="BM7" s="74">
        <f>VLOOKUP($G$7&amp;$F$1,'Input RM sheet'!$A:$DD,BM1,0)</f>
        <v>0.69661301945712217</v>
      </c>
      <c r="BN7" s="74">
        <f>VLOOKUP($G$7&amp;$F$1,'Input RM sheet'!$A:$DD,BN1,0)</f>
        <v>0.69694784907474161</v>
      </c>
      <c r="BO7" s="74">
        <f>VLOOKUP($G$7&amp;$F$1,'Input RM sheet'!$A:$DD,BO1,0)</f>
        <v>0.69719918259406177</v>
      </c>
      <c r="BP7" s="74">
        <f>VLOOKUP($G$7&amp;$F$1,'Input RM sheet'!$A:$DD,BP1,0)</f>
        <v>0.69719918259406177</v>
      </c>
      <c r="BQ7" s="74">
        <f>VLOOKUP($G$7&amp;$F$1,'Input RM sheet'!$A:$DD,BQ1,0)</f>
        <v>0.69602784111364457</v>
      </c>
      <c r="BR7" s="74">
        <f>VLOOKUP($G$7&amp;$F$1,'Input RM sheet'!$A:$DD,BR1,0)</f>
        <v>0.69544364508393286</v>
      </c>
      <c r="BS7" s="74">
        <f>VLOOKUP($G$7&amp;$F$1,'Input RM sheet'!$A:$DD,BS1,0)</f>
        <v>0.63579654510556627</v>
      </c>
      <c r="BT7" s="74">
        <f>VLOOKUP($G$7&amp;$F$1,'Input RM sheet'!$A:$DD,BT1,0)</f>
        <v>0.64872657376261422</v>
      </c>
      <c r="BU7" s="74">
        <f>VLOOKUP($G$7&amp;$F$1,'Input RM sheet'!$A:$DD,BU1,0)</f>
        <v>0.64810369659145473</v>
      </c>
      <c r="BV7" s="74">
        <f>VLOOKUP($G$7&amp;$F$1,'Input RM sheet'!$A:$DD,BV1,0)</f>
        <v>0.63146499879720952</v>
      </c>
      <c r="BW7" s="74">
        <f>VLOOKUP($G$7&amp;$F$1,'Input RM sheet'!$A:$DD,BW1,0)</f>
        <v>0.66145520144317493</v>
      </c>
      <c r="BX7" s="74">
        <f>VLOOKUP($G$7&amp;$F$1,'Input RM sheet'!$A:$DD,BX1,0)</f>
        <v>0.66066066066066065</v>
      </c>
      <c r="BY7" s="74">
        <f>VLOOKUP($G$7&amp;$F$1,'Input RM sheet'!$A:$DD,BY1,0)</f>
        <v>0.67421141343607027</v>
      </c>
      <c r="BZ7" s="74">
        <f>VLOOKUP($G$7&amp;$F$1,'Input RM sheet'!$A:$DD,BZ1,0)</f>
        <v>0.67469879518072284</v>
      </c>
      <c r="CA7" s="74">
        <f>VLOOKUP($G$7&amp;$F$1,'Input RM sheet'!$A:$DD,CA1,0)</f>
        <v>0.6746175159619322</v>
      </c>
      <c r="CB7" s="74">
        <f>VLOOKUP($G$7&amp;$F$1,'Input RM sheet'!$A:$DD,CB1,0)</f>
        <v>0.67551266586248493</v>
      </c>
      <c r="CC7" s="74">
        <f>VLOOKUP($G$7&amp;$F$1,'Input RM sheet'!$A:$DD,CC1,0)</f>
        <v>0.67551266586248493</v>
      </c>
      <c r="CD7" s="74">
        <f>VLOOKUP($G$7&amp;$F$1,'Input RM sheet'!$A:$DD,CD1,0)</f>
        <v>0.64087061668681977</v>
      </c>
      <c r="CE7" s="74">
        <f>VLOOKUP($G$7&amp;$F$1,'Input RM sheet'!$A:$DD,CE1,0)</f>
        <v>0.64040599323344605</v>
      </c>
      <c r="CF7" s="74">
        <f>VLOOKUP($G$7&amp;$F$1,'Input RM sheet'!$A:$DD,CF1,0)</f>
        <v>0.63656017295219791</v>
      </c>
      <c r="CG7" s="74">
        <f>VLOOKUP($G$7&amp;$F$1,'Input RM sheet'!$A:$DD,CG1,0)</f>
        <v>0.63556781388655714</v>
      </c>
      <c r="CH7" s="74">
        <f>VLOOKUP($G$7&amp;$F$1,'Input RM sheet'!$A:$DD,CH1,0)</f>
        <v>0.63694267515923575</v>
      </c>
      <c r="CI7" s="74">
        <f>VLOOKUP($G$7&amp;$F$1,'Input RM sheet'!$A:$DD,CI1,0)</f>
        <v>0.63549160671462823</v>
      </c>
      <c r="CJ7" s="74">
        <f>VLOOKUP($G$7&amp;$F$1,'Input RM sheet'!$A:$DD,CJ1,0)</f>
        <v>0.63389546704939603</v>
      </c>
      <c r="CK7" s="74">
        <f>VLOOKUP($G$7&amp;$F$1,'Input RM sheet'!$A:$DD,CK1,0)</f>
        <v>0.65931431311436106</v>
      </c>
      <c r="CL7" s="74">
        <f>VLOOKUP($G$7&amp;$F$1,'Input RM sheet'!$A:$DD,CL1,0)</f>
        <v>0.6586826347305389</v>
      </c>
      <c r="CM7" s="74">
        <f>VLOOKUP($G$7&amp;$F$1,'Input RM sheet'!$A:$DD,CM1,0)</f>
        <v>0.65986802639472109</v>
      </c>
      <c r="CN7" s="74">
        <f>VLOOKUP($G$7&amp;$F$1,'Input RM sheet'!$A:$DD,CN1,0)</f>
        <v>0.62387522495500902</v>
      </c>
      <c r="CO7" s="74">
        <f>VLOOKUP($G$7&amp;$F$1,'Input RM sheet'!$A:$DD,CO1,0)</f>
        <v>0.62387522495500902</v>
      </c>
      <c r="CP7" s="74">
        <f>VLOOKUP($G$7&amp;$F$1,'Input RM sheet'!$A:$DD,CP1,0)</f>
        <v>0.62387522495500902</v>
      </c>
      <c r="CQ7" s="74">
        <f>VLOOKUP($G$7&amp;$F$1,'Input RM sheet'!$A:$DD,CQ1,0)</f>
        <v>0.61985933961139583</v>
      </c>
      <c r="CR7" s="74">
        <f>VLOOKUP($G$7&amp;$F$1,'Input RM sheet'!$A:$DD,CR1,0)</f>
        <v>0.64748201438848918</v>
      </c>
      <c r="CS7" s="74">
        <f>VLOOKUP($G$7&amp;$F$1,'Input RM sheet'!$A:$DD,CS1,0)</f>
        <v>0.6467065868263473</v>
      </c>
      <c r="CT7" s="74">
        <f>VLOOKUP($G$7&amp;$F$1,'Input RM sheet'!$A:$DD,CT1,0)</f>
        <v>0.67106051527860988</v>
      </c>
      <c r="CU7" s="74">
        <f>VLOOKUP($G$7&amp;$F$1,'Input RM sheet'!$A:$ZZ,CU1,0)</f>
        <v>0.67089972445189894</v>
      </c>
      <c r="CV7" s="74">
        <f>VLOOKUP($G$7&amp;$F$1,'Input RM sheet'!$A:$ZZ,CV1,0)</f>
        <v>0.67025733093955719</v>
      </c>
      <c r="CW7" s="74">
        <f>VLOOKUP($G$7&amp;$F$1,'Input RM sheet'!$A:$ZZ,CW1,0)</f>
        <v>0.65710872162485068</v>
      </c>
      <c r="CX7" s="74">
        <f>VLOOKUP($G$7&amp;$F$1,'Input RM sheet'!$A:$ZZ,CX1,0)</f>
        <v>0.65687328317210081</v>
      </c>
      <c r="CY7" s="74">
        <f>VLOOKUP($G$7&amp;$F$1,'Input RM sheet'!$A:$ZZ,CY1,0)</f>
        <v>0.67897558070279929</v>
      </c>
      <c r="CZ7" s="74">
        <f>VLOOKUP($G$7&amp;$F$1,'Input RM sheet'!$A:$ZZ,CZ1,0)</f>
        <v>0.67889471176750837</v>
      </c>
      <c r="DA7" s="74">
        <f>VLOOKUP($G$7&amp;$F$1,'Input RM sheet'!$A:$ZZ,DA1,0)</f>
        <v>0.6793802145411203</v>
      </c>
      <c r="DB7" s="74">
        <f>VLOOKUP($G$7&amp;$F$1,'Input RM sheet'!$A:$ZZ,DB1,0)</f>
        <v>0.67946119918941472</v>
      </c>
      <c r="DC7" s="74">
        <f>VLOOKUP($G$7&amp;$F$1,'Input RM sheet'!$A:$ZZ,DC1,0)</f>
        <v>0.62529776083849453</v>
      </c>
      <c r="DD7" s="74">
        <f>VLOOKUP($G$7&amp;$F$1,'Input RM sheet'!$A:$ZZ,DD1,0)</f>
        <v>0.62529776083849453</v>
      </c>
      <c r="DE7" s="74">
        <f>VLOOKUP($G$7&amp;$F$1,'Input RM sheet'!$A:$ZZ,DE1,0)</f>
        <v>0.59224694903086861</v>
      </c>
      <c r="DF7" s="74">
        <f>VLOOKUP($G$7&amp;$F$1,'Input RM sheet'!$A:$ZZ,DF1,0)</f>
        <v>0.59168061200095623</v>
      </c>
      <c r="DG7" s="74">
        <f>VLOOKUP($G$7&amp;$F$1,'Input RM sheet'!$A:$ZZ,DG1,0)</f>
        <v>0.58949624866023576</v>
      </c>
      <c r="DH7" s="74">
        <f>VLOOKUP($G$7&amp;$F$1,'Input RM sheet'!$A:$ZZ,DH1,0)</f>
        <v>0.60068990127274891</v>
      </c>
      <c r="DI7" s="74">
        <f>VLOOKUP($G$7&amp;$F$1,'Input RM sheet'!$A:$ZZ,DI1,0)</f>
        <v>0.60068990127274891</v>
      </c>
      <c r="DJ7" s="74">
        <f>VLOOKUP($G$7&amp;$F$1,'Input RM sheet'!$A:$ZZ,DJ1,0)</f>
        <v>0.60061845861084684</v>
      </c>
      <c r="DK7" s="74">
        <f>VLOOKUP($G$7&amp;$F$1,'Input RM sheet'!$A:$ZZ,DK1,0)</f>
        <v>0.60033285782215884</v>
      </c>
      <c r="DL7" s="74">
        <f>VLOOKUP($G$7&amp;$F$1,'Input RM sheet'!$A:$ZZ,DL1,0)</f>
        <v>0.59834123222748814</v>
      </c>
      <c r="DM7" s="74">
        <f>VLOOKUP($G$7&amp;$F$1,'Input RM sheet'!$A:$ZZ,DM1,0)</f>
        <v>0.61706419840987303</v>
      </c>
      <c r="DN7" s="74">
        <f>VLOOKUP($G$7&amp;$F$1,'Input RM sheet'!$A:$ZZ,DN1,0)</f>
        <v>0.61443932411674351</v>
      </c>
      <c r="DO7" s="74">
        <f>VLOOKUP($G$7&amp;$F$1,'Input RM sheet'!$A:$ZZ,DO1,0)</f>
        <v>0.6376195536663124</v>
      </c>
      <c r="DP7" s="74">
        <f>VLOOKUP($G$7&amp;$F$1,'Input RM sheet'!$A:$ZZ,DP1,0)</f>
        <v>0.63067311092773781</v>
      </c>
      <c r="DQ7" s="74">
        <f>VLOOKUP($G$7&amp;$F$1,'Input RM sheet'!$A:$ZZ,DQ1,0)</f>
        <v>0.63000471031559113</v>
      </c>
      <c r="DR7" s="74">
        <f>VLOOKUP($G$7&amp;$F$1,'Input RM sheet'!$A:$ZZ,DR1,0)</f>
        <v>0.62808170932143692</v>
      </c>
    </row>
    <row r="8" spans="1:139">
      <c r="A8" s="59" t="s">
        <v>395</v>
      </c>
      <c r="B8" s="59"/>
      <c r="C8" s="59" t="s">
        <v>379</v>
      </c>
      <c r="D8" s="59" t="s">
        <v>380</v>
      </c>
      <c r="E8" s="59" t="s">
        <v>381</v>
      </c>
      <c r="F8" s="59" t="s">
        <v>396</v>
      </c>
    </row>
    <row r="9" spans="1:139">
      <c r="A9" s="365" t="s">
        <v>397</v>
      </c>
      <c r="B9" s="60" t="s">
        <v>70</v>
      </c>
      <c r="C9" s="60">
        <v>1</v>
      </c>
      <c r="D9" s="64">
        <v>98.5</v>
      </c>
      <c r="E9" s="60">
        <f>D9*C9</f>
        <v>98.5</v>
      </c>
      <c r="F9" s="65">
        <f>E9/$D$4</f>
        <v>1.6389351081530781</v>
      </c>
      <c r="G9" s="60" t="s">
        <v>399</v>
      </c>
      <c r="H9" s="74">
        <f t="shared" ref="H9:AV9" si="0">$F$9*H6</f>
        <v>0.49959695625910866</v>
      </c>
      <c r="I9" s="74">
        <f t="shared" si="0"/>
        <v>0.56193229823808732</v>
      </c>
      <c r="J9" s="74">
        <f t="shared" si="0"/>
        <v>0.55226711111669113</v>
      </c>
      <c r="K9" s="74">
        <f t="shared" si="0"/>
        <v>0.53950942655819267</v>
      </c>
      <c r="L9" s="74">
        <f t="shared" si="0"/>
        <v>0.48451224627852163</v>
      </c>
      <c r="M9" s="74">
        <f t="shared" si="0"/>
        <v>0.46654966327988784</v>
      </c>
      <c r="N9" s="74">
        <f t="shared" si="0"/>
        <v>0.3385024049884659</v>
      </c>
      <c r="O9" s="74">
        <f t="shared" si="0"/>
        <v>0.41018018534732759</v>
      </c>
      <c r="P9" s="74">
        <f t="shared" si="0"/>
        <v>0.48320261587507052</v>
      </c>
      <c r="Q9" s="74">
        <f t="shared" si="0"/>
        <v>0.42796680889513461</v>
      </c>
      <c r="R9" s="74">
        <f t="shared" si="0"/>
        <v>0.60923244652849684</v>
      </c>
      <c r="S9" s="74">
        <f t="shared" si="0"/>
        <v>0.61552695332268592</v>
      </c>
      <c r="T9" s="74">
        <f t="shared" si="0"/>
        <v>0.61696974637096968</v>
      </c>
      <c r="U9" s="74">
        <f t="shared" si="0"/>
        <v>0.77313613338017217</v>
      </c>
      <c r="V9" s="74">
        <f t="shared" si="0"/>
        <v>0.90934204405924979</v>
      </c>
      <c r="W9" s="74">
        <f t="shared" si="0"/>
        <v>1.0478966392403899</v>
      </c>
      <c r="X9" s="74">
        <f t="shared" si="0"/>
        <v>1.151347733864694</v>
      </c>
      <c r="Y9" s="74">
        <f t="shared" si="0"/>
        <v>1.1514068924533969</v>
      </c>
      <c r="Z9" s="74">
        <f t="shared" si="0"/>
        <v>1.1056063544652834</v>
      </c>
      <c r="AA9" s="74">
        <f t="shared" si="0"/>
        <v>1.1105219404341324</v>
      </c>
      <c r="AB9" s="74">
        <f t="shared" si="0"/>
        <v>1.1313501035444207</v>
      </c>
      <c r="AC9" s="74">
        <f t="shared" si="0"/>
        <v>1.2210906816519915</v>
      </c>
      <c r="AD9" s="74">
        <f t="shared" si="0"/>
        <v>1.3893365386927177</v>
      </c>
      <c r="AE9" s="74">
        <f t="shared" si="0"/>
        <v>1.2196450895776416</v>
      </c>
      <c r="AF9" s="74">
        <f t="shared" si="0"/>
        <v>1.3856634967602781</v>
      </c>
      <c r="AG9" s="74">
        <f t="shared" si="0"/>
        <v>1.3301111710319009</v>
      </c>
      <c r="AH9" s="74">
        <f t="shared" si="0"/>
        <v>1.216438743456663</v>
      </c>
      <c r="AI9" s="74">
        <f t="shared" si="0"/>
        <v>1.3514692774945363</v>
      </c>
      <c r="AJ9" s="74">
        <f t="shared" si="0"/>
        <v>1.421259597761606</v>
      </c>
      <c r="AK9" s="74">
        <f t="shared" si="0"/>
        <v>1.3822790355671899</v>
      </c>
      <c r="AL9" s="74">
        <f t="shared" si="0"/>
        <v>1.1272071307218645</v>
      </c>
      <c r="AM9" s="74">
        <f t="shared" si="0"/>
        <v>1.1192859950651497</v>
      </c>
      <c r="AN9" s="74">
        <f t="shared" si="0"/>
        <v>0.71965589362554139</v>
      </c>
      <c r="AO9" s="74">
        <f t="shared" si="0"/>
        <v>0.56898266315186607</v>
      </c>
      <c r="AP9" s="74">
        <f t="shared" si="0"/>
        <v>0.58768855364143602</v>
      </c>
      <c r="AQ9" s="74">
        <f t="shared" si="0"/>
        <v>0.48282703408964622</v>
      </c>
      <c r="AR9" s="74">
        <f t="shared" si="0"/>
        <v>1.3505401331125952</v>
      </c>
      <c r="AS9" s="74">
        <f t="shared" si="0"/>
        <v>0.60380756365902</v>
      </c>
      <c r="AT9" s="74">
        <f t="shared" si="0"/>
        <v>0.57194857071201399</v>
      </c>
      <c r="AU9" s="74">
        <f t="shared" si="0"/>
        <v>0.60640599001663886</v>
      </c>
      <c r="AV9" s="74">
        <f t="shared" si="0"/>
        <v>0.65557404326123125</v>
      </c>
      <c r="AW9" s="74">
        <f t="shared" ref="AW9:BN9" si="1">$F$9*AW6</f>
        <v>0.40973377703826952</v>
      </c>
      <c r="AX9" s="74">
        <f t="shared" si="1"/>
        <v>0.40973377703826952</v>
      </c>
      <c r="AY9" s="74">
        <f t="shared" si="1"/>
        <v>0.40973377703826952</v>
      </c>
      <c r="AZ9" s="74">
        <f t="shared" si="1"/>
        <v>0.39334442595673874</v>
      </c>
      <c r="BA9" s="74">
        <f t="shared" si="1"/>
        <v>0.34417637271214641</v>
      </c>
      <c r="BB9" s="74">
        <f t="shared" si="1"/>
        <v>0.47529118136439263</v>
      </c>
      <c r="BC9" s="74">
        <f t="shared" si="1"/>
        <v>0.47529118136439263</v>
      </c>
      <c r="BD9" s="74">
        <f t="shared" si="1"/>
        <v>0.47529118136439263</v>
      </c>
      <c r="BE9" s="74">
        <f t="shared" si="1"/>
        <v>0.47529118136439263</v>
      </c>
      <c r="BF9" s="74">
        <f t="shared" si="1"/>
        <v>0.47529118136439263</v>
      </c>
      <c r="BG9" s="74">
        <f t="shared" si="1"/>
        <v>0.36056572379367718</v>
      </c>
      <c r="BH9" s="74">
        <f t="shared" si="1"/>
        <v>0.36056572379367718</v>
      </c>
      <c r="BI9" s="74">
        <f t="shared" si="1"/>
        <v>0.36056572379367718</v>
      </c>
      <c r="BJ9" s="74">
        <f t="shared" si="1"/>
        <v>0.36056572379367718</v>
      </c>
      <c r="BK9" s="74">
        <f t="shared" si="1"/>
        <v>0.36056572379367718</v>
      </c>
      <c r="BL9" s="74">
        <f t="shared" si="1"/>
        <v>0.36056572379367718</v>
      </c>
      <c r="BM9" s="74">
        <f t="shared" si="1"/>
        <v>0.37695507487520796</v>
      </c>
      <c r="BN9" s="74">
        <f t="shared" si="1"/>
        <v>0.37695507487520796</v>
      </c>
      <c r="BO9" s="74">
        <f t="shared" ref="BO9:BU9" si="2">$F$9*BO6</f>
        <v>0.37695507487520796</v>
      </c>
      <c r="BP9" s="74">
        <f t="shared" si="2"/>
        <v>0.37695507487520796</v>
      </c>
      <c r="BQ9" s="74">
        <f t="shared" si="2"/>
        <v>0.40973377703826952</v>
      </c>
      <c r="BR9" s="74">
        <f t="shared" si="2"/>
        <v>0.40973377703826952</v>
      </c>
      <c r="BS9" s="74">
        <f t="shared" si="2"/>
        <v>0.40973377703826952</v>
      </c>
      <c r="BT9" s="74">
        <f t="shared" si="2"/>
        <v>0.40973377703826952</v>
      </c>
      <c r="BU9" s="74">
        <f t="shared" si="2"/>
        <v>0.40973377703826952</v>
      </c>
      <c r="BV9" s="74">
        <f t="shared" ref="BV9:CK9" si="3">$F$9*BV6</f>
        <v>0.40973377703826952</v>
      </c>
      <c r="BW9" s="74">
        <f t="shared" si="3"/>
        <v>0.40973377703826952</v>
      </c>
      <c r="BX9" s="74">
        <f t="shared" si="3"/>
        <v>0.40973377703826952</v>
      </c>
      <c r="BY9" s="74">
        <f t="shared" si="3"/>
        <v>0.40973377703826952</v>
      </c>
      <c r="BZ9" s="74">
        <f t="shared" si="3"/>
        <v>0.40973377703826952</v>
      </c>
      <c r="CA9" s="74">
        <f t="shared" si="3"/>
        <v>0.40973377703826952</v>
      </c>
      <c r="CB9" s="74">
        <f t="shared" si="3"/>
        <v>0.40973377703826952</v>
      </c>
      <c r="CC9" s="74">
        <f t="shared" si="3"/>
        <v>0.40973377703826952</v>
      </c>
      <c r="CD9" s="74">
        <f t="shared" si="3"/>
        <v>0.40973377703826952</v>
      </c>
      <c r="CE9" s="74">
        <f t="shared" si="3"/>
        <v>0.40973377703826952</v>
      </c>
      <c r="CF9" s="74">
        <f t="shared" si="3"/>
        <v>0.40973377703826952</v>
      </c>
      <c r="CG9" s="74">
        <f t="shared" si="3"/>
        <v>0.40973377703826952</v>
      </c>
      <c r="CH9" s="74">
        <f t="shared" si="3"/>
        <v>0.55723793677204658</v>
      </c>
      <c r="CI9" s="74">
        <f t="shared" si="3"/>
        <v>0.55723793677204658</v>
      </c>
      <c r="CJ9" s="74">
        <f t="shared" si="3"/>
        <v>0.55723793677204658</v>
      </c>
      <c r="CK9" s="74">
        <f t="shared" si="3"/>
        <v>0.55723793677204658</v>
      </c>
      <c r="CL9" s="74">
        <f t="shared" ref="CL9:CW9" si="4">$F$9*CL6</f>
        <v>0.55723793677204658</v>
      </c>
      <c r="CM9" s="74">
        <f t="shared" si="4"/>
        <v>0.55723793677204658</v>
      </c>
      <c r="CN9" s="74">
        <f t="shared" si="4"/>
        <v>0.55723793677204658</v>
      </c>
      <c r="CO9" s="74">
        <f t="shared" si="4"/>
        <v>0.55723793677204658</v>
      </c>
      <c r="CP9" s="74">
        <f t="shared" si="4"/>
        <v>0.55723793677204658</v>
      </c>
      <c r="CQ9" s="74">
        <f t="shared" si="4"/>
        <v>0.32778702163061563</v>
      </c>
      <c r="CR9" s="74">
        <f t="shared" si="4"/>
        <v>0.32778702163061563</v>
      </c>
      <c r="CS9" s="74">
        <f t="shared" si="4"/>
        <v>0.32778702163061563</v>
      </c>
      <c r="CT9" s="74">
        <f t="shared" si="4"/>
        <v>0.32778702163061563</v>
      </c>
      <c r="CU9" s="74">
        <f t="shared" si="4"/>
        <v>0.32778702163061563</v>
      </c>
      <c r="CV9" s="74">
        <f t="shared" si="4"/>
        <v>0.45890183028286191</v>
      </c>
      <c r="CW9" s="74">
        <f t="shared" si="4"/>
        <v>0.44251247920133113</v>
      </c>
      <c r="CX9" s="74">
        <f t="shared" ref="CX9:DR9" si="5">$F$9*CX6</f>
        <v>0.55723793677204658</v>
      </c>
      <c r="CY9" s="74">
        <f t="shared" si="5"/>
        <v>0.55723793677204658</v>
      </c>
      <c r="CZ9" s="74">
        <f t="shared" si="5"/>
        <v>0.55723793677204658</v>
      </c>
      <c r="DA9" s="74">
        <f t="shared" si="5"/>
        <v>0.52445923460898503</v>
      </c>
      <c r="DB9" s="74">
        <f t="shared" si="5"/>
        <v>0.55723793677204658</v>
      </c>
      <c r="DC9" s="74">
        <f t="shared" si="5"/>
        <v>0.55723793677204658</v>
      </c>
      <c r="DD9" s="74">
        <f t="shared" si="5"/>
        <v>0.55723793677204658</v>
      </c>
      <c r="DE9" s="74">
        <f t="shared" si="5"/>
        <v>0.55723793677204658</v>
      </c>
      <c r="DF9" s="74">
        <f t="shared" si="5"/>
        <v>0.55723793677204658</v>
      </c>
      <c r="DG9" s="74">
        <f t="shared" si="5"/>
        <v>0.55723793677204658</v>
      </c>
      <c r="DH9" s="74">
        <f t="shared" si="5"/>
        <v>0.55723793677204658</v>
      </c>
      <c r="DI9" s="74">
        <f t="shared" si="5"/>
        <v>0.55723793677204658</v>
      </c>
      <c r="DJ9" s="74">
        <f t="shared" si="5"/>
        <v>0.55723793677204658</v>
      </c>
      <c r="DK9" s="74">
        <f t="shared" si="5"/>
        <v>0.55723793677204658</v>
      </c>
      <c r="DL9" s="74">
        <f t="shared" si="5"/>
        <v>0.57362728785357731</v>
      </c>
      <c r="DM9" s="74">
        <f t="shared" si="5"/>
        <v>0.50806988352745419</v>
      </c>
      <c r="DN9" s="74">
        <f t="shared" si="5"/>
        <v>0.50806988352745419</v>
      </c>
      <c r="DO9" s="74">
        <f t="shared" si="5"/>
        <v>0.50806988352745419</v>
      </c>
      <c r="DP9" s="74">
        <f t="shared" si="5"/>
        <v>0.52445923460898503</v>
      </c>
      <c r="DQ9" s="74">
        <f t="shared" si="5"/>
        <v>0.52445923460898503</v>
      </c>
      <c r="DR9" s="74">
        <f t="shared" si="5"/>
        <v>0.50806988352745419</v>
      </c>
    </row>
    <row r="10" spans="1:139">
      <c r="A10" s="366"/>
      <c r="B10" s="60" t="s">
        <v>427</v>
      </c>
      <c r="C10" s="60">
        <v>2</v>
      </c>
      <c r="D10" s="64">
        <v>17.03</v>
      </c>
      <c r="E10" s="60">
        <f>D10*C10</f>
        <v>34.06</v>
      </c>
      <c r="F10" s="65">
        <f>(17.03/D4)/2</f>
        <v>0.14168053244592346</v>
      </c>
      <c r="H10" s="74">
        <f t="shared" ref="H10:AV10" si="6">$F$10*H7</f>
        <v>7.1725867401237556E-2</v>
      </c>
      <c r="I10" s="74">
        <f t="shared" si="6"/>
        <v>7.1697509106960586E-2</v>
      </c>
      <c r="J10" s="74">
        <f t="shared" si="6"/>
        <v>6.8808858323828798E-2</v>
      </c>
      <c r="K10" s="74">
        <f t="shared" si="6"/>
        <v>6.6030086725118523E-2</v>
      </c>
      <c r="L10" s="74">
        <f t="shared" si="6"/>
        <v>6.6995583528307409E-2</v>
      </c>
      <c r="M10" s="74">
        <f t="shared" si="6"/>
        <v>6.2549251718173951E-2</v>
      </c>
      <c r="N10" s="74">
        <f t="shared" si="6"/>
        <v>6.152694459873892E-2</v>
      </c>
      <c r="O10" s="74">
        <f t="shared" si="6"/>
        <v>6.0265574145117962E-2</v>
      </c>
      <c r="P10" s="74">
        <f t="shared" si="6"/>
        <v>6.1253795094104009E-2</v>
      </c>
      <c r="Q10" s="74">
        <f t="shared" si="6"/>
        <v>6.0777359643989073E-2</v>
      </c>
      <c r="R10" s="74">
        <f t="shared" si="6"/>
        <v>6.0191926850973645E-2</v>
      </c>
      <c r="S10" s="74">
        <f t="shared" si="6"/>
        <v>6.3863847721563935E-2</v>
      </c>
      <c r="T10" s="74">
        <f t="shared" si="6"/>
        <v>6.7485371441720232E-2</v>
      </c>
      <c r="U10" s="74">
        <f t="shared" si="6"/>
        <v>7.200796291894461E-2</v>
      </c>
      <c r="V10" s="74">
        <f t="shared" si="6"/>
        <v>7.200796291894461E-2</v>
      </c>
      <c r="W10" s="74">
        <f t="shared" si="6"/>
        <v>7.5597221641926629E-2</v>
      </c>
      <c r="X10" s="74">
        <f t="shared" si="6"/>
        <v>8.4137927118056927E-2</v>
      </c>
      <c r="Y10" s="74">
        <f t="shared" si="6"/>
        <v>8.9870614131308688E-2</v>
      </c>
      <c r="Z10" s="74">
        <f t="shared" si="6"/>
        <v>0.10284825021791208</v>
      </c>
      <c r="AA10" s="74">
        <f t="shared" si="6"/>
        <v>0.10327016906405762</v>
      </c>
      <c r="AB10" s="74">
        <f t="shared" si="6"/>
        <v>0.10606628139232044</v>
      </c>
      <c r="AC10" s="74">
        <f t="shared" si="6"/>
        <v>0.11216637313900105</v>
      </c>
      <c r="AD10" s="74">
        <f t="shared" si="6"/>
        <v>0.11630176646503021</v>
      </c>
      <c r="AE10" s="74">
        <f t="shared" si="6"/>
        <v>0.11988240680986548</v>
      </c>
      <c r="AF10" s="74">
        <f t="shared" si="6"/>
        <v>0.14968247352142544</v>
      </c>
      <c r="AG10" s="74">
        <f t="shared" si="6"/>
        <v>0.17084503837155657</v>
      </c>
      <c r="AH10" s="74">
        <f t="shared" si="6"/>
        <v>0.18817381437489589</v>
      </c>
      <c r="AI10" s="74">
        <f t="shared" si="6"/>
        <v>0.17859999224671308</v>
      </c>
      <c r="AJ10" s="74">
        <f t="shared" si="6"/>
        <v>0.15927862515911462</v>
      </c>
      <c r="AK10" s="74">
        <f t="shared" si="6"/>
        <v>0.15839581726742999</v>
      </c>
      <c r="AL10" s="74">
        <f t="shared" si="6"/>
        <v>0.15343041718231215</v>
      </c>
      <c r="AM10" s="74">
        <f t="shared" si="6"/>
        <v>0.15379447640475907</v>
      </c>
      <c r="AN10" s="74">
        <f t="shared" si="6"/>
        <v>0.14947043137435562</v>
      </c>
      <c r="AO10" s="74">
        <f t="shared" si="6"/>
        <v>0.1521649744966497</v>
      </c>
      <c r="AP10" s="74">
        <f t="shared" si="6"/>
        <v>0.1613060245450019</v>
      </c>
      <c r="AQ10" s="74">
        <f t="shared" si="6"/>
        <v>0.15325318628398987</v>
      </c>
      <c r="AR10" s="74">
        <f t="shared" si="6"/>
        <v>0.14133525495706933</v>
      </c>
      <c r="AS10" s="74">
        <f t="shared" si="6"/>
        <v>0.13111914417075379</v>
      </c>
      <c r="AT10" s="74">
        <f t="shared" si="6"/>
        <v>0.12766864037678657</v>
      </c>
      <c r="AU10" s="74">
        <f t="shared" si="6"/>
        <v>0.10593046647479319</v>
      </c>
      <c r="AV10" s="74">
        <f t="shared" si="6"/>
        <v>0.10006461002504895</v>
      </c>
      <c r="AW10" s="74">
        <f t="shared" ref="AW10:BN10" si="7">$F$10*AW7</f>
        <v>8.7584329148389053E-2</v>
      </c>
      <c r="AX10" s="74">
        <f t="shared" si="7"/>
        <v>8.7648073201626597E-2</v>
      </c>
      <c r="AY10" s="74">
        <f t="shared" si="7"/>
        <v>8.7925373019494962E-2</v>
      </c>
      <c r="AZ10" s="74">
        <f t="shared" si="7"/>
        <v>8.8204433041285363E-2</v>
      </c>
      <c r="BA10" s="74">
        <f t="shared" si="7"/>
        <v>8.4395162774741656E-2</v>
      </c>
      <c r="BB10" s="74">
        <f t="shared" si="7"/>
        <v>8.3814392005918753E-2</v>
      </c>
      <c r="BC10" s="74">
        <f t="shared" si="7"/>
        <v>8.3391544622825817E-2</v>
      </c>
      <c r="BD10" s="74">
        <f t="shared" si="7"/>
        <v>8.3391544622825817E-2</v>
      </c>
      <c r="BE10" s="74">
        <f t="shared" si="7"/>
        <v>8.3996927886875364E-2</v>
      </c>
      <c r="BF10" s="74">
        <f t="shared" si="7"/>
        <v>8.3592367126432865E-2</v>
      </c>
      <c r="BG10" s="74">
        <f t="shared" si="7"/>
        <v>8.0286773872177516E-2</v>
      </c>
      <c r="BH10" s="74">
        <f t="shared" si="7"/>
        <v>8.3713325573981062E-2</v>
      </c>
      <c r="BI10" s="74">
        <f t="shared" si="7"/>
        <v>8.3381528823567724E-2</v>
      </c>
      <c r="BJ10" s="74">
        <f t="shared" si="7"/>
        <v>9.7041460579399622E-2</v>
      </c>
      <c r="BK10" s="74">
        <f t="shared" si="7"/>
        <v>9.7006490683695337E-2</v>
      </c>
      <c r="BL10" s="74">
        <f t="shared" si="7"/>
        <v>9.3749149236354551E-2</v>
      </c>
      <c r="BM10" s="74">
        <f t="shared" si="7"/>
        <v>9.8696503505447508E-2</v>
      </c>
      <c r="BN10" s="74">
        <f t="shared" si="7"/>
        <v>9.8743942343950494E-2</v>
      </c>
      <c r="BO10" s="74">
        <f t="shared" ref="BO10:BU10" si="8">$F$10*BO7</f>
        <v>9.8779551410789285E-2</v>
      </c>
      <c r="BP10" s="74">
        <f t="shared" si="8"/>
        <v>9.8779551410789285E-2</v>
      </c>
      <c r="BQ10" s="74">
        <f t="shared" si="8"/>
        <v>9.8613595126167783E-2</v>
      </c>
      <c r="BR10" s="74">
        <f t="shared" si="8"/>
        <v>9.8530825921625431E-2</v>
      </c>
      <c r="BS10" s="74">
        <f t="shared" si="8"/>
        <v>9.0079993037835218E-2</v>
      </c>
      <c r="BT10" s="74">
        <f t="shared" si="8"/>
        <v>9.1911926382506823E-2</v>
      </c>
      <c r="BU10" s="74">
        <f t="shared" si="8"/>
        <v>9.1823676813248531E-2</v>
      </c>
      <c r="BV10" s="74">
        <f t="shared" ref="BV10:CK10" si="9">$F$10*BV7</f>
        <v>8.9466297250553065E-2</v>
      </c>
      <c r="BW10" s="74">
        <f t="shared" si="9"/>
        <v>9.3715325129594587E-2</v>
      </c>
      <c r="BX10" s="74">
        <f t="shared" si="9"/>
        <v>9.3602754168477964E-2</v>
      </c>
      <c r="BY10" s="74">
        <f t="shared" si="9"/>
        <v>9.5522632036741079E-2</v>
      </c>
      <c r="BZ10" s="74">
        <f t="shared" si="9"/>
        <v>9.559168454182787E-2</v>
      </c>
      <c r="CA10" s="74">
        <f t="shared" si="9"/>
        <v>9.5580168858832831E-2</v>
      </c>
      <c r="CB10" s="74">
        <f t="shared" si="9"/>
        <v>9.5706994173362051E-2</v>
      </c>
      <c r="CC10" s="74">
        <f t="shared" si="9"/>
        <v>9.5706994173362051E-2</v>
      </c>
      <c r="CD10" s="74">
        <f t="shared" si="9"/>
        <v>9.0798890201135948E-2</v>
      </c>
      <c r="CE10" s="74">
        <f t="shared" si="9"/>
        <v>9.0733062102875101E-2</v>
      </c>
      <c r="CF10" s="74">
        <f t="shared" si="9"/>
        <v>9.0188184237736529E-2</v>
      </c>
      <c r="CG10" s="74">
        <f t="shared" si="9"/>
        <v>9.0047586276938998E-2</v>
      </c>
      <c r="CH10" s="74">
        <f t="shared" si="9"/>
        <v>9.0242377354091394E-2</v>
      </c>
      <c r="CI10" s="74">
        <f t="shared" si="9"/>
        <v>9.0036789204243919E-2</v>
      </c>
      <c r="CJ10" s="74">
        <f t="shared" si="9"/>
        <v>8.9810647286615766E-2</v>
      </c>
      <c r="CK10" s="74">
        <f t="shared" si="9"/>
        <v>9.3412002931260979E-2</v>
      </c>
      <c r="CL10" s="74">
        <f t="shared" ref="CL10:CW10" si="10">$F$10*CL7</f>
        <v>9.3322506401506466E-2</v>
      </c>
      <c r="CM10" s="74">
        <f t="shared" si="10"/>
        <v>9.3490453323644765E-2</v>
      </c>
      <c r="CN10" s="74">
        <f t="shared" si="10"/>
        <v>8.8390974051445956E-2</v>
      </c>
      <c r="CO10" s="74">
        <f t="shared" si="10"/>
        <v>8.8390974051445956E-2</v>
      </c>
      <c r="CP10" s="74">
        <f t="shared" si="10"/>
        <v>8.8390974051445956E-2</v>
      </c>
      <c r="CQ10" s="74">
        <f t="shared" si="10"/>
        <v>8.7822001277721051E-2</v>
      </c>
      <c r="CR10" s="74">
        <f t="shared" si="10"/>
        <v>9.1735596547720219E-2</v>
      </c>
      <c r="CS10" s="74">
        <f t="shared" si="10"/>
        <v>9.1625733557842717E-2</v>
      </c>
      <c r="CT10" s="74">
        <f t="shared" si="10"/>
        <v>9.507621110810921E-2</v>
      </c>
      <c r="CU10" s="74">
        <f t="shared" si="10"/>
        <v>9.5053430178168377E-2</v>
      </c>
      <c r="CV10" s="74">
        <f>$F$10*CV7</f>
        <v>9.4962415523299995E-2</v>
      </c>
      <c r="CW10" s="74">
        <f t="shared" si="10"/>
        <v>9.3099513554668945E-2</v>
      </c>
      <c r="CX10" s="74">
        <f t="shared" ref="CX10:DR10" si="11">$F$10*CX7</f>
        <v>9.3066156509325093E-2</v>
      </c>
      <c r="CY10" s="74">
        <f t="shared" si="11"/>
        <v>9.6197621791752674E-2</v>
      </c>
      <c r="CZ10" s="74">
        <f t="shared" si="11"/>
        <v>9.6186164237942323E-2</v>
      </c>
      <c r="DA10" s="74">
        <f t="shared" si="11"/>
        <v>9.6254950529411631E-2</v>
      </c>
      <c r="DB10" s="74">
        <f t="shared" si="11"/>
        <v>9.6266424477501944E-2</v>
      </c>
      <c r="DC10" s="74">
        <f t="shared" si="11"/>
        <v>8.8592519692841612E-2</v>
      </c>
      <c r="DD10" s="74">
        <f t="shared" si="11"/>
        <v>8.8592519692841612E-2</v>
      </c>
      <c r="DE10" s="74">
        <f t="shared" si="11"/>
        <v>8.3909863078167155E-2</v>
      </c>
      <c r="DF10" s="74">
        <f t="shared" si="11"/>
        <v>8.3829624146225329E-2</v>
      </c>
      <c r="DG10" s="74">
        <f t="shared" si="11"/>
        <v>8.35201423850567E-2</v>
      </c>
      <c r="DH10" s="74">
        <f t="shared" si="11"/>
        <v>8.5106065047212257E-2</v>
      </c>
      <c r="DI10" s="74">
        <f t="shared" si="11"/>
        <v>8.5106065047212257E-2</v>
      </c>
      <c r="DJ10" s="74">
        <f t="shared" si="11"/>
        <v>8.5095943012834629E-2</v>
      </c>
      <c r="DK10" s="74">
        <f t="shared" si="11"/>
        <v>8.505547894102633E-2</v>
      </c>
      <c r="DL10" s="74">
        <f t="shared" si="11"/>
        <v>8.4773304366340466E-2</v>
      </c>
      <c r="DM10" s="74">
        <f t="shared" si="11"/>
        <v>8.7425984184027764E-2</v>
      </c>
      <c r="DN10" s="74">
        <f t="shared" si="11"/>
        <v>8.7054090596573569E-2</v>
      </c>
      <c r="DO10" s="74">
        <f t="shared" si="11"/>
        <v>9.0338277861375216E-2</v>
      </c>
      <c r="DP10" s="74">
        <f t="shared" si="11"/>
        <v>8.935410215556884E-2</v>
      </c>
      <c r="DQ10" s="74">
        <f t="shared" si="11"/>
        <v>8.9259402800952722E-2</v>
      </c>
      <c r="DR10" s="74">
        <f t="shared" si="11"/>
        <v>8.8986950996206918E-2</v>
      </c>
    </row>
    <row r="11" spans="1:139" s="73" customFormat="1">
      <c r="A11" s="160"/>
      <c r="F11" s="73" t="s">
        <v>400</v>
      </c>
      <c r="H11" s="94">
        <f t="shared" ref="H11:AV11" si="12">SUM(H9:H10)</f>
        <v>0.57132282366034626</v>
      </c>
      <c r="I11" s="94">
        <f t="shared" si="12"/>
        <v>0.63362980734504792</v>
      </c>
      <c r="J11" s="94">
        <f t="shared" si="12"/>
        <v>0.6210759694405199</v>
      </c>
      <c r="K11" s="94">
        <f t="shared" si="12"/>
        <v>0.60553951328331124</v>
      </c>
      <c r="L11" s="94">
        <f t="shared" si="12"/>
        <v>0.551507829806829</v>
      </c>
      <c r="M11" s="94">
        <f t="shared" si="12"/>
        <v>0.52909891499806183</v>
      </c>
      <c r="N11" s="94">
        <f t="shared" si="12"/>
        <v>0.40002934958720482</v>
      </c>
      <c r="O11" s="94">
        <f t="shared" si="12"/>
        <v>0.47044575949244555</v>
      </c>
      <c r="P11" s="94">
        <f t="shared" si="12"/>
        <v>0.54445641096917452</v>
      </c>
      <c r="Q11" s="94">
        <f t="shared" si="12"/>
        <v>0.48874416853912367</v>
      </c>
      <c r="R11" s="94">
        <f t="shared" si="12"/>
        <v>0.66942437337947047</v>
      </c>
      <c r="S11" s="94">
        <f t="shared" si="12"/>
        <v>0.67939080104424987</v>
      </c>
      <c r="T11" s="94">
        <f t="shared" si="12"/>
        <v>0.68445511781268986</v>
      </c>
      <c r="U11" s="94">
        <f t="shared" si="12"/>
        <v>0.8451440962991168</v>
      </c>
      <c r="V11" s="94">
        <f t="shared" si="12"/>
        <v>0.98135000697819441</v>
      </c>
      <c r="W11" s="94">
        <f t="shared" si="12"/>
        <v>1.1234938608823166</v>
      </c>
      <c r="X11" s="94">
        <f t="shared" si="12"/>
        <v>1.2354856609827509</v>
      </c>
      <c r="Y11" s="94">
        <f t="shared" si="12"/>
        <v>1.2412775065847055</v>
      </c>
      <c r="Z11" s="94">
        <f t="shared" si="12"/>
        <v>1.2084546046831954</v>
      </c>
      <c r="AA11" s="94">
        <f t="shared" si="12"/>
        <v>1.2137921094981901</v>
      </c>
      <c r="AB11" s="94">
        <f t="shared" si="12"/>
        <v>1.2374163849367412</v>
      </c>
      <c r="AC11" s="94">
        <f t="shared" si="12"/>
        <v>1.3332570547909925</v>
      </c>
      <c r="AD11" s="94">
        <f t="shared" si="12"/>
        <v>1.5056383051577478</v>
      </c>
      <c r="AE11" s="94">
        <f t="shared" si="12"/>
        <v>1.339527496387507</v>
      </c>
      <c r="AF11" s="94">
        <f t="shared" si="12"/>
        <v>1.5353459702817036</v>
      </c>
      <c r="AG11" s="94">
        <f t="shared" si="12"/>
        <v>1.5009562094034574</v>
      </c>
      <c r="AH11" s="94">
        <f t="shared" si="12"/>
        <v>1.4046125578315589</v>
      </c>
      <c r="AI11" s="94">
        <f t="shared" si="12"/>
        <v>1.5300692697412495</v>
      </c>
      <c r="AJ11" s="94">
        <f t="shared" si="12"/>
        <v>1.5805382229207208</v>
      </c>
      <c r="AK11" s="94">
        <f t="shared" si="12"/>
        <v>1.5406748528346199</v>
      </c>
      <c r="AL11" s="94">
        <f t="shared" si="12"/>
        <v>1.2806375479041767</v>
      </c>
      <c r="AM11" s="94">
        <f t="shared" si="12"/>
        <v>1.2730804714699087</v>
      </c>
      <c r="AN11" s="94">
        <f t="shared" si="12"/>
        <v>0.86912632499989706</v>
      </c>
      <c r="AO11" s="94">
        <f t="shared" si="12"/>
        <v>0.72114763764851575</v>
      </c>
      <c r="AP11" s="94">
        <f t="shared" si="12"/>
        <v>0.74899457818643789</v>
      </c>
      <c r="AQ11" s="94">
        <f t="shared" si="12"/>
        <v>0.6360802203736361</v>
      </c>
      <c r="AR11" s="94">
        <f t="shared" si="12"/>
        <v>1.4918753880696647</v>
      </c>
      <c r="AS11" s="94">
        <f t="shared" si="12"/>
        <v>0.73492670782977376</v>
      </c>
      <c r="AT11" s="94">
        <f t="shared" si="12"/>
        <v>0.69961721108880059</v>
      </c>
      <c r="AU11" s="94">
        <f t="shared" si="12"/>
        <v>0.71233645649143207</v>
      </c>
      <c r="AV11" s="94">
        <f t="shared" si="12"/>
        <v>0.75563865328628022</v>
      </c>
      <c r="AW11" s="94">
        <f t="shared" ref="AW11:BN11" si="13">SUM(AW9:AW10)</f>
        <v>0.49731810618665856</v>
      </c>
      <c r="AX11" s="94">
        <f t="shared" si="13"/>
        <v>0.49738185023989612</v>
      </c>
      <c r="AY11" s="94">
        <f t="shared" si="13"/>
        <v>0.49765915005776451</v>
      </c>
      <c r="AZ11" s="94">
        <f t="shared" si="13"/>
        <v>0.48154885899802413</v>
      </c>
      <c r="BA11" s="94">
        <f t="shared" si="13"/>
        <v>0.42857153548688809</v>
      </c>
      <c r="BB11" s="94">
        <f t="shared" si="13"/>
        <v>0.55910557337031142</v>
      </c>
      <c r="BC11" s="94">
        <f t="shared" si="13"/>
        <v>0.55868272598721846</v>
      </c>
      <c r="BD11" s="94">
        <f t="shared" si="13"/>
        <v>0.55868272598721846</v>
      </c>
      <c r="BE11" s="94">
        <f t="shared" si="13"/>
        <v>0.55928810925126804</v>
      </c>
      <c r="BF11" s="94">
        <f t="shared" si="13"/>
        <v>0.55888354849082544</v>
      </c>
      <c r="BG11" s="94">
        <f t="shared" si="13"/>
        <v>0.44085249766585471</v>
      </c>
      <c r="BH11" s="94">
        <f t="shared" si="13"/>
        <v>0.44427904936765827</v>
      </c>
      <c r="BI11" s="94">
        <f t="shared" si="13"/>
        <v>0.44394725261724488</v>
      </c>
      <c r="BJ11" s="94">
        <f t="shared" si="13"/>
        <v>0.45760718437307679</v>
      </c>
      <c r="BK11" s="94">
        <f t="shared" si="13"/>
        <v>0.45757221447737251</v>
      </c>
      <c r="BL11" s="94">
        <f t="shared" si="13"/>
        <v>0.45431487303003171</v>
      </c>
      <c r="BM11" s="94">
        <f t="shared" si="13"/>
        <v>0.47565157838065547</v>
      </c>
      <c r="BN11" s="94">
        <f t="shared" si="13"/>
        <v>0.47569901721915847</v>
      </c>
      <c r="BO11" s="94">
        <f t="shared" ref="BO11:BU11" si="14">SUM(BO9:BO10)</f>
        <v>0.47573462628599728</v>
      </c>
      <c r="BP11" s="94">
        <f t="shared" si="14"/>
        <v>0.47573462628599728</v>
      </c>
      <c r="BQ11" s="94">
        <f t="shared" si="14"/>
        <v>0.50834737216443726</v>
      </c>
      <c r="BR11" s="94">
        <f t="shared" si="14"/>
        <v>0.50826460295989495</v>
      </c>
      <c r="BS11" s="94">
        <f t="shared" si="14"/>
        <v>0.49981377007610472</v>
      </c>
      <c r="BT11" s="94">
        <f t="shared" si="14"/>
        <v>0.5016457034207763</v>
      </c>
      <c r="BU11" s="94">
        <f t="shared" si="14"/>
        <v>0.50155745385151806</v>
      </c>
      <c r="BV11" s="94">
        <f t="shared" ref="BV11:CK11" si="15">SUM(BV9:BV10)</f>
        <v>0.49920007428882257</v>
      </c>
      <c r="BW11" s="94">
        <f t="shared" si="15"/>
        <v>0.50344910216786409</v>
      </c>
      <c r="BX11" s="94">
        <f t="shared" si="15"/>
        <v>0.50333653120674748</v>
      </c>
      <c r="BY11" s="94">
        <f t="shared" si="15"/>
        <v>0.50525640907501057</v>
      </c>
      <c r="BZ11" s="94">
        <f t="shared" si="15"/>
        <v>0.50532546158009739</v>
      </c>
      <c r="CA11" s="94">
        <f t="shared" si="15"/>
        <v>0.50531394589710232</v>
      </c>
      <c r="CB11" s="94">
        <f t="shared" si="15"/>
        <v>0.50544077121163156</v>
      </c>
      <c r="CC11" s="94">
        <f t="shared" si="15"/>
        <v>0.50544077121163156</v>
      </c>
      <c r="CD11" s="94">
        <f t="shared" si="15"/>
        <v>0.50053266723940548</v>
      </c>
      <c r="CE11" s="94">
        <f t="shared" si="15"/>
        <v>0.50046683914114465</v>
      </c>
      <c r="CF11" s="94">
        <f t="shared" si="15"/>
        <v>0.49992196127600608</v>
      </c>
      <c r="CG11" s="94">
        <f t="shared" si="15"/>
        <v>0.4997813633152085</v>
      </c>
      <c r="CH11" s="94">
        <f t="shared" si="15"/>
        <v>0.64748031412613793</v>
      </c>
      <c r="CI11" s="94">
        <f t="shared" si="15"/>
        <v>0.64727472597629054</v>
      </c>
      <c r="CJ11" s="94">
        <f t="shared" si="15"/>
        <v>0.64704858405866239</v>
      </c>
      <c r="CK11" s="94">
        <f t="shared" si="15"/>
        <v>0.65064993970330753</v>
      </c>
      <c r="CL11" s="94">
        <f t="shared" ref="CL11:CW11" si="16">SUM(CL9:CL10)</f>
        <v>0.65056044317355299</v>
      </c>
      <c r="CM11" s="94">
        <f t="shared" si="16"/>
        <v>0.65072839009569139</v>
      </c>
      <c r="CN11" s="94">
        <f t="shared" si="16"/>
        <v>0.6456289108234925</v>
      </c>
      <c r="CO11" s="94">
        <f t="shared" si="16"/>
        <v>0.6456289108234925</v>
      </c>
      <c r="CP11" s="94">
        <f t="shared" si="16"/>
        <v>0.6456289108234925</v>
      </c>
      <c r="CQ11" s="94">
        <f t="shared" si="16"/>
        <v>0.41560902290833668</v>
      </c>
      <c r="CR11" s="94">
        <f t="shared" si="16"/>
        <v>0.41952261817833586</v>
      </c>
      <c r="CS11" s="94">
        <f t="shared" si="16"/>
        <v>0.41941275518845833</v>
      </c>
      <c r="CT11" s="94">
        <f t="shared" si="16"/>
        <v>0.42286323273872484</v>
      </c>
      <c r="CU11" s="94">
        <f t="shared" si="16"/>
        <v>0.42284045180878399</v>
      </c>
      <c r="CV11" s="94">
        <f t="shared" si="16"/>
        <v>0.55386424580616189</v>
      </c>
      <c r="CW11" s="94">
        <f t="shared" si="16"/>
        <v>0.53561199275600013</v>
      </c>
      <c r="CX11" s="94">
        <f t="shared" ref="CX11:DR11" si="17">SUM(CX9:CX10)</f>
        <v>0.65030409328137173</v>
      </c>
      <c r="CY11" s="94">
        <f t="shared" si="17"/>
        <v>0.6534355585637992</v>
      </c>
      <c r="CZ11" s="94">
        <f t="shared" si="17"/>
        <v>0.65342410100998893</v>
      </c>
      <c r="DA11" s="94">
        <f t="shared" si="17"/>
        <v>0.6207141851383966</v>
      </c>
      <c r="DB11" s="94">
        <f t="shared" si="17"/>
        <v>0.65350436124954858</v>
      </c>
      <c r="DC11" s="94">
        <f t="shared" si="17"/>
        <v>0.64583045646488824</v>
      </c>
      <c r="DD11" s="94">
        <f t="shared" si="17"/>
        <v>0.64583045646488824</v>
      </c>
      <c r="DE11" s="94">
        <f t="shared" si="17"/>
        <v>0.64114779985021375</v>
      </c>
      <c r="DF11" s="94">
        <f t="shared" si="17"/>
        <v>0.64106756091827188</v>
      </c>
      <c r="DG11" s="94">
        <f t="shared" si="17"/>
        <v>0.64075807915710326</v>
      </c>
      <c r="DH11" s="94">
        <f t="shared" si="17"/>
        <v>0.64234400181925888</v>
      </c>
      <c r="DI11" s="94">
        <f t="shared" si="17"/>
        <v>0.64234400181925888</v>
      </c>
      <c r="DJ11" s="94">
        <f t="shared" si="17"/>
        <v>0.64233387978488121</v>
      </c>
      <c r="DK11" s="94">
        <f t="shared" si="17"/>
        <v>0.64229341571307286</v>
      </c>
      <c r="DL11" s="94">
        <f t="shared" si="17"/>
        <v>0.65840059221991776</v>
      </c>
      <c r="DM11" s="94">
        <f t="shared" si="17"/>
        <v>0.595495867711482</v>
      </c>
      <c r="DN11" s="94">
        <f t="shared" si="17"/>
        <v>0.59512397412402773</v>
      </c>
      <c r="DO11" s="94">
        <f t="shared" si="17"/>
        <v>0.59840816138882946</v>
      </c>
      <c r="DP11" s="94">
        <f t="shared" si="17"/>
        <v>0.61381333676455385</v>
      </c>
      <c r="DQ11" s="94">
        <f t="shared" si="17"/>
        <v>0.61371863740993771</v>
      </c>
      <c r="DR11" s="94">
        <f t="shared" si="17"/>
        <v>0.5970568345236611</v>
      </c>
    </row>
    <row r="12" spans="1:139">
      <c r="A12" s="222" t="s">
        <v>428</v>
      </c>
      <c r="G12" s="60" t="s">
        <v>429</v>
      </c>
      <c r="K12" s="60">
        <v>1.63</v>
      </c>
      <c r="L12" s="65">
        <f>140/75.63</f>
        <v>1.8511172815020496</v>
      </c>
      <c r="M12" s="60">
        <v>1.55</v>
      </c>
      <c r="T12" s="74"/>
      <c r="Y12" s="65"/>
      <c r="Z12" s="65"/>
      <c r="AE12" s="65"/>
      <c r="AF12" s="60">
        <v>4.8099999999999996</v>
      </c>
      <c r="AK12" s="60">
        <v>5.51</v>
      </c>
      <c r="AL12" s="60">
        <v>5.4</v>
      </c>
      <c r="AP12" s="60">
        <v>3.3</v>
      </c>
      <c r="AQ12" s="60">
        <v>3.38</v>
      </c>
      <c r="AX12" s="60">
        <v>1.8</v>
      </c>
      <c r="CA12" s="60">
        <f>162/83</f>
        <v>1.9518072289156627</v>
      </c>
      <c r="CE12" s="74">
        <f>200/83</f>
        <v>2.4096385542168677</v>
      </c>
      <c r="CY12" s="60">
        <v>1.73</v>
      </c>
      <c r="DC12" s="60">
        <v>1.39</v>
      </c>
    </row>
    <row r="13" spans="1:139" s="73" customFormat="1">
      <c r="G13" s="73" t="s">
        <v>406</v>
      </c>
      <c r="K13" s="93">
        <f>K12-K11</f>
        <v>1.0244604867166887</v>
      </c>
      <c r="L13" s="93">
        <f>L12-L11</f>
        <v>1.2996094516952206</v>
      </c>
      <c r="M13" s="93">
        <f>M12-M11</f>
        <v>1.0209010850019382</v>
      </c>
      <c r="T13" s="93"/>
      <c r="Y13" s="93"/>
      <c r="Z13" s="93"/>
      <c r="AD13" s="93"/>
      <c r="AE13" s="93"/>
      <c r="AF13" s="93">
        <f>AF12-AF11</f>
        <v>3.2746540297182962</v>
      </c>
      <c r="AK13" s="93">
        <f>AK12-AK11</f>
        <v>3.9693251471653799</v>
      </c>
      <c r="AL13" s="93">
        <f>AL12-AL11</f>
        <v>4.1193624520958236</v>
      </c>
      <c r="AP13" s="93">
        <f>AP12-AP11</f>
        <v>2.5510054218135618</v>
      </c>
      <c r="AQ13" s="93">
        <f>AQ12-AQ11</f>
        <v>2.7439197796263639</v>
      </c>
      <c r="AX13" s="93">
        <f>AX12-AX11</f>
        <v>1.3026181497601039</v>
      </c>
      <c r="CA13" s="93">
        <f>CA12-CA11</f>
        <v>1.4464932830185604</v>
      </c>
      <c r="CE13" s="94">
        <f>CE12-CE11</f>
        <v>1.909171715075723</v>
      </c>
      <c r="CY13" s="93">
        <f>CY12-CY11</f>
        <v>1.0765644414362008</v>
      </c>
      <c r="DC13" s="93">
        <f>DC12-DC11</f>
        <v>0.74416954353511167</v>
      </c>
    </row>
    <row r="16" spans="1:139" s="161" customFormat="1">
      <c r="G16" s="161" t="s">
        <v>407</v>
      </c>
      <c r="H16" s="163">
        <f>1.02+H11</f>
        <v>1.5913228236603463</v>
      </c>
      <c r="I16" s="163">
        <f t="shared" ref="I16:BA16" si="18">1.02+I11</f>
        <v>1.6536298073450479</v>
      </c>
      <c r="J16" s="163">
        <f t="shared" si="18"/>
        <v>1.6410759694405199</v>
      </c>
      <c r="K16" s="163">
        <f t="shared" si="18"/>
        <v>1.6255395132833113</v>
      </c>
      <c r="L16" s="163">
        <f t="shared" si="18"/>
        <v>1.571507829806829</v>
      </c>
      <c r="M16" s="163">
        <f t="shared" si="18"/>
        <v>1.5490989149980618</v>
      </c>
      <c r="N16" s="163">
        <f t="shared" si="18"/>
        <v>1.4200293495872049</v>
      </c>
      <c r="O16" s="163">
        <f t="shared" si="18"/>
        <v>1.4904457594924456</v>
      </c>
      <c r="P16" s="163">
        <f t="shared" si="18"/>
        <v>1.5644564109691745</v>
      </c>
      <c r="Q16" s="163">
        <f t="shared" si="18"/>
        <v>1.5087441685391236</v>
      </c>
      <c r="R16" s="163">
        <f t="shared" si="18"/>
        <v>1.6894243733794705</v>
      </c>
      <c r="S16" s="163">
        <f t="shared" si="18"/>
        <v>1.6993908010442498</v>
      </c>
      <c r="T16" s="163">
        <f t="shared" si="18"/>
        <v>1.7044551178126899</v>
      </c>
      <c r="U16" s="163">
        <f t="shared" si="18"/>
        <v>1.8651440962991168</v>
      </c>
      <c r="V16" s="163">
        <f t="shared" si="18"/>
        <v>2.0013500069781944</v>
      </c>
      <c r="W16" s="163">
        <f t="shared" si="18"/>
        <v>2.1434938608823169</v>
      </c>
      <c r="X16" s="163">
        <f t="shared" si="18"/>
        <v>2.2554856609827509</v>
      </c>
      <c r="Y16" s="163">
        <f t="shared" si="18"/>
        <v>2.2612775065847055</v>
      </c>
      <c r="Z16" s="163">
        <f t="shared" si="18"/>
        <v>2.2284546046831952</v>
      </c>
      <c r="AA16" s="163">
        <f t="shared" si="18"/>
        <v>2.2337921094981903</v>
      </c>
      <c r="AB16" s="163">
        <f t="shared" si="18"/>
        <v>2.2574163849367412</v>
      </c>
      <c r="AC16" s="163">
        <f t="shared" si="18"/>
        <v>2.3532570547909923</v>
      </c>
      <c r="AD16" s="163">
        <f t="shared" si="18"/>
        <v>2.5256383051577478</v>
      </c>
      <c r="AE16" s="163">
        <f t="shared" si="18"/>
        <v>2.359527496387507</v>
      </c>
      <c r="AF16" s="163">
        <f t="shared" si="18"/>
        <v>2.5553459702817038</v>
      </c>
      <c r="AG16" s="163">
        <f t="shared" si="18"/>
        <v>2.5209562094034572</v>
      </c>
      <c r="AH16" s="163">
        <f t="shared" si="18"/>
        <v>2.4246125578315589</v>
      </c>
      <c r="AI16" s="163">
        <f t="shared" si="18"/>
        <v>2.5500692697412495</v>
      </c>
      <c r="AJ16" s="163">
        <f t="shared" si="18"/>
        <v>2.6005382229207208</v>
      </c>
      <c r="AK16" s="163">
        <f t="shared" si="18"/>
        <v>2.5606748528346199</v>
      </c>
      <c r="AL16" s="163">
        <f t="shared" si="18"/>
        <v>2.3006375479041767</v>
      </c>
      <c r="AM16" s="163">
        <f t="shared" si="18"/>
        <v>2.2930804714699087</v>
      </c>
      <c r="AN16" s="163">
        <f t="shared" si="18"/>
        <v>1.8891263249998971</v>
      </c>
      <c r="AO16" s="163">
        <f t="shared" si="18"/>
        <v>1.7411476376485158</v>
      </c>
      <c r="AP16" s="163">
        <f t="shared" si="18"/>
        <v>1.768994578186438</v>
      </c>
      <c r="AQ16" s="163">
        <f t="shared" si="18"/>
        <v>1.656080220373636</v>
      </c>
      <c r="AR16" s="163">
        <f t="shared" si="18"/>
        <v>2.5118753880696647</v>
      </c>
      <c r="AS16" s="163">
        <f t="shared" si="18"/>
        <v>1.7549267078297737</v>
      </c>
      <c r="AT16" s="163">
        <f t="shared" si="18"/>
        <v>1.7196172110888006</v>
      </c>
      <c r="AU16" s="163">
        <f t="shared" si="18"/>
        <v>1.7323364564914321</v>
      </c>
      <c r="AV16" s="163">
        <f t="shared" si="18"/>
        <v>1.7756386532862802</v>
      </c>
      <c r="AW16" s="162">
        <f t="shared" si="18"/>
        <v>1.5173181061866585</v>
      </c>
      <c r="AX16" s="162">
        <f t="shared" si="18"/>
        <v>1.5173818502398961</v>
      </c>
      <c r="AY16" s="162">
        <f t="shared" si="18"/>
        <v>1.5176591500577645</v>
      </c>
      <c r="AZ16" s="162">
        <f t="shared" si="18"/>
        <v>1.5015488589980241</v>
      </c>
      <c r="BA16" s="162">
        <f t="shared" si="18"/>
        <v>1.448571535486888</v>
      </c>
      <c r="BB16" s="162">
        <f t="shared" ref="BB16:BI16" si="19">1.02+BB11</f>
        <v>1.5791055733703114</v>
      </c>
      <c r="BC16" s="162">
        <f t="shared" si="19"/>
        <v>1.5786827259872185</v>
      </c>
      <c r="BD16" s="162">
        <f t="shared" si="19"/>
        <v>1.5786827259872185</v>
      </c>
      <c r="BE16" s="162">
        <f t="shared" si="19"/>
        <v>1.5792881092512681</v>
      </c>
      <c r="BF16" s="162">
        <f t="shared" si="19"/>
        <v>1.5788835484908255</v>
      </c>
      <c r="BG16" s="162">
        <f t="shared" si="19"/>
        <v>1.4608524976658548</v>
      </c>
      <c r="BH16" s="162">
        <f t="shared" si="19"/>
        <v>1.4642790493676583</v>
      </c>
      <c r="BI16" s="162">
        <f t="shared" si="19"/>
        <v>1.463947252617245</v>
      </c>
      <c r="BJ16" s="162">
        <f t="shared" ref="BJ16:BT16" si="20">1.02+BJ11</f>
        <v>1.4776071843730767</v>
      </c>
      <c r="BK16" s="162">
        <f t="shared" si="20"/>
        <v>1.4775722144773726</v>
      </c>
      <c r="BL16" s="162">
        <f t="shared" si="20"/>
        <v>1.4743148730300317</v>
      </c>
      <c r="BM16" s="162">
        <f t="shared" si="20"/>
        <v>1.4956515783806554</v>
      </c>
      <c r="BN16" s="162">
        <f t="shared" si="20"/>
        <v>1.4956990172191584</v>
      </c>
      <c r="BO16" s="162">
        <f t="shared" si="20"/>
        <v>1.4957346262859974</v>
      </c>
      <c r="BP16" s="162">
        <f t="shared" si="20"/>
        <v>1.4957346262859974</v>
      </c>
      <c r="BQ16" s="162">
        <f t="shared" si="20"/>
        <v>1.5283473721644372</v>
      </c>
      <c r="BR16" s="162">
        <f t="shared" si="20"/>
        <v>1.528264602959895</v>
      </c>
      <c r="BS16" s="162">
        <f t="shared" si="20"/>
        <v>1.5198137700761047</v>
      </c>
      <c r="BT16" s="162">
        <f t="shared" si="20"/>
        <v>1.5216457034207762</v>
      </c>
      <c r="BU16" s="162">
        <f>1.02+BU11</f>
        <v>1.5215574538515182</v>
      </c>
      <c r="BV16" s="162">
        <f t="shared" ref="BV16:CJ16" si="21">1.02+BV11</f>
        <v>1.5192000742888225</v>
      </c>
      <c r="BW16" s="162">
        <f t="shared" si="21"/>
        <v>1.5234491021678642</v>
      </c>
      <c r="BX16" s="162">
        <f t="shared" si="21"/>
        <v>1.5233365312067475</v>
      </c>
      <c r="BY16" s="162">
        <f t="shared" si="21"/>
        <v>1.5252564090750105</v>
      </c>
      <c r="BZ16" s="162">
        <f t="shared" si="21"/>
        <v>1.5253254615800973</v>
      </c>
      <c r="CA16" s="162">
        <f t="shared" si="21"/>
        <v>1.5253139458971023</v>
      </c>
      <c r="CB16" s="162">
        <f t="shared" si="21"/>
        <v>1.5254407712116316</v>
      </c>
      <c r="CC16" s="162">
        <f t="shared" si="21"/>
        <v>1.5254407712116316</v>
      </c>
      <c r="CD16" s="162">
        <f t="shared" si="21"/>
        <v>1.5205326672394055</v>
      </c>
      <c r="CE16" s="162">
        <f t="shared" si="21"/>
        <v>1.5204668391411447</v>
      </c>
      <c r="CF16" s="162">
        <f t="shared" si="21"/>
        <v>1.519921961276006</v>
      </c>
      <c r="CG16" s="162">
        <f t="shared" si="21"/>
        <v>1.5197813633152086</v>
      </c>
      <c r="CH16" s="162">
        <f t="shared" si="21"/>
        <v>1.6674803141261378</v>
      </c>
      <c r="CI16" s="162">
        <f t="shared" si="21"/>
        <v>1.6672747259762906</v>
      </c>
      <c r="CJ16" s="162">
        <f t="shared" si="21"/>
        <v>1.6670485840586624</v>
      </c>
      <c r="CK16" s="162">
        <f t="shared" ref="CK16:CW16" si="22">1.02+CK11</f>
        <v>1.6706499397033077</v>
      </c>
      <c r="CL16" s="162">
        <f t="shared" si="22"/>
        <v>1.670560443173553</v>
      </c>
      <c r="CM16" s="162">
        <f t="shared" si="22"/>
        <v>1.6707283900956913</v>
      </c>
      <c r="CN16" s="162">
        <f t="shared" si="22"/>
        <v>1.6656289108234925</v>
      </c>
      <c r="CO16" s="162">
        <f t="shared" si="22"/>
        <v>1.6656289108234925</v>
      </c>
      <c r="CP16" s="162">
        <f t="shared" si="22"/>
        <v>1.6656289108234925</v>
      </c>
      <c r="CQ16" s="162">
        <f t="shared" si="22"/>
        <v>1.4356090229083367</v>
      </c>
      <c r="CR16" s="162">
        <f t="shared" si="22"/>
        <v>1.4395226181783358</v>
      </c>
      <c r="CS16" s="162">
        <f t="shared" si="22"/>
        <v>1.4394127551884583</v>
      </c>
      <c r="CT16" s="162">
        <f t="shared" si="22"/>
        <v>1.4428632327387247</v>
      </c>
      <c r="CU16" s="162">
        <f t="shared" si="22"/>
        <v>1.4428404518087841</v>
      </c>
      <c r="CV16" s="162">
        <f t="shared" si="22"/>
        <v>1.573864245806162</v>
      </c>
      <c r="CW16" s="162">
        <f t="shared" si="22"/>
        <v>1.5556119927560002</v>
      </c>
      <c r="CX16" s="162">
        <f t="shared" ref="CX16:DR16" si="23">1.02+CX11</f>
        <v>1.6703040932813717</v>
      </c>
      <c r="CY16" s="162">
        <f t="shared" si="23"/>
        <v>1.6734355585637992</v>
      </c>
      <c r="CZ16" s="162">
        <f t="shared" si="23"/>
        <v>1.6734241010099891</v>
      </c>
      <c r="DA16" s="162">
        <f t="shared" si="23"/>
        <v>1.6407141851383966</v>
      </c>
      <c r="DB16" s="162">
        <f t="shared" si="23"/>
        <v>1.6735043612495486</v>
      </c>
      <c r="DC16" s="162">
        <f t="shared" ref="DC16:DH16" si="24">0.74+DC11</f>
        <v>1.3858304564648882</v>
      </c>
      <c r="DD16" s="162">
        <f t="shared" si="24"/>
        <v>1.3858304564648882</v>
      </c>
      <c r="DE16" s="162">
        <f t="shared" si="24"/>
        <v>1.3811477998502137</v>
      </c>
      <c r="DF16" s="162">
        <f t="shared" si="24"/>
        <v>1.3810675609182719</v>
      </c>
      <c r="DG16" s="162">
        <f t="shared" si="24"/>
        <v>1.3807580791571032</v>
      </c>
      <c r="DH16" s="162">
        <f t="shared" si="24"/>
        <v>1.3823440018192588</v>
      </c>
      <c r="DI16" s="162">
        <f t="shared" si="23"/>
        <v>1.662344001819259</v>
      </c>
      <c r="DJ16" s="162">
        <f t="shared" si="23"/>
        <v>1.6623338797848812</v>
      </c>
      <c r="DK16" s="162">
        <f t="shared" si="23"/>
        <v>1.6622934157130729</v>
      </c>
      <c r="DL16" s="162">
        <f t="shared" si="23"/>
        <v>1.6784005922199179</v>
      </c>
      <c r="DM16" s="162">
        <f t="shared" si="23"/>
        <v>1.6154958677114819</v>
      </c>
      <c r="DN16" s="162">
        <f t="shared" si="23"/>
        <v>1.6151239741240278</v>
      </c>
      <c r="DO16" s="162">
        <f t="shared" si="23"/>
        <v>1.6184081613888295</v>
      </c>
      <c r="DP16" s="162">
        <f t="shared" si="23"/>
        <v>1.633813336764554</v>
      </c>
      <c r="DQ16" s="162">
        <f t="shared" si="23"/>
        <v>1.6337186374099377</v>
      </c>
      <c r="DR16" s="162">
        <f t="shared" si="23"/>
        <v>1.6170568345236611</v>
      </c>
    </row>
  </sheetData>
  <mergeCells count="1">
    <mergeCell ref="A9:A10"/>
  </mergeCells>
  <phoneticPr fontId="52"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dimension ref="A1:EJ17"/>
  <sheetViews>
    <sheetView workbookViewId="0">
      <pane xSplit="8" ySplit="6" topLeftCell="DI7" activePane="bottomRight" state="frozen"/>
      <selection pane="topRight" activeCell="I1" sqref="I1"/>
      <selection pane="bottomLeft" activeCell="A7" sqref="A7"/>
      <selection pane="bottomRight" activeCell="DI17" sqref="DI17"/>
    </sheetView>
  </sheetViews>
  <sheetFormatPr baseColWidth="10" defaultColWidth="12.5" defaultRowHeight="12"/>
  <cols>
    <col min="1" max="2" width="14.1640625" style="60" bestFit="1" customWidth="1"/>
    <col min="3" max="3" width="4.83203125" style="60" bestFit="1" customWidth="1"/>
    <col min="4" max="4" width="12.33203125" style="60" bestFit="1" customWidth="1"/>
    <col min="5" max="5" width="13.83203125" style="60" bestFit="1" customWidth="1"/>
    <col min="6" max="6" width="7.83203125" style="60" bestFit="1" customWidth="1"/>
    <col min="7" max="7" width="22.83203125" style="60" bestFit="1" customWidth="1"/>
    <col min="8" max="9" width="6.1640625" style="60" bestFit="1" customWidth="1"/>
    <col min="10" max="10" width="8.1640625" style="60" bestFit="1" customWidth="1"/>
    <col min="11" max="11" width="5.5" style="60" bestFit="1" customWidth="1"/>
    <col min="12" max="12" width="5.83203125" style="60" bestFit="1" customWidth="1"/>
    <col min="13" max="17" width="5.5" style="60" bestFit="1" customWidth="1"/>
    <col min="18" max="18" width="5.6640625" style="60" bestFit="1" customWidth="1"/>
    <col min="19" max="89" width="6.1640625" style="60" bestFit="1" customWidth="1"/>
    <col min="90" max="94" width="6.33203125" style="60" bestFit="1" customWidth="1"/>
    <col min="95" max="108" width="6.1640625" style="60" bestFit="1" customWidth="1"/>
    <col min="109" max="109" width="5.6640625" style="60" bestFit="1" customWidth="1"/>
    <col min="110" max="112" width="6.1640625" style="60" bestFit="1" customWidth="1"/>
    <col min="113" max="114" width="5.6640625" style="60" bestFit="1" customWidth="1"/>
    <col min="115" max="118" width="6.1640625" style="60" bestFit="1" customWidth="1"/>
    <col min="119" max="122" width="5.83203125" style="60" bestFit="1" customWidth="1"/>
    <col min="123" max="123" width="5.1640625" style="60" bestFit="1" customWidth="1"/>
    <col min="124" max="140" width="3.33203125" style="60" bestFit="1" customWidth="1"/>
    <col min="141" max="16384" width="12.5" style="60"/>
  </cols>
  <sheetData>
    <row r="1" spans="1:140">
      <c r="A1" s="59" t="s">
        <v>377</v>
      </c>
      <c r="B1" s="59" t="s">
        <v>378</v>
      </c>
      <c r="C1" s="59" t="s">
        <v>379</v>
      </c>
      <c r="D1" s="59" t="s">
        <v>380</v>
      </c>
      <c r="E1" s="59" t="s">
        <v>381</v>
      </c>
      <c r="F1" s="59" t="s">
        <v>33</v>
      </c>
      <c r="H1" s="61">
        <v>6</v>
      </c>
      <c r="I1" s="61">
        <v>7</v>
      </c>
      <c r="J1" s="61">
        <v>8</v>
      </c>
      <c r="K1" s="61">
        <v>9</v>
      </c>
      <c r="L1" s="61">
        <v>10</v>
      </c>
      <c r="M1" s="61">
        <v>11</v>
      </c>
      <c r="N1" s="61">
        <v>12</v>
      </c>
      <c r="O1" s="61">
        <v>13</v>
      </c>
      <c r="P1" s="61">
        <v>14</v>
      </c>
      <c r="Q1" s="61">
        <v>15</v>
      </c>
      <c r="R1" s="61">
        <v>16</v>
      </c>
      <c r="S1" s="61">
        <v>17</v>
      </c>
      <c r="T1" s="61">
        <v>18</v>
      </c>
      <c r="U1" s="61">
        <v>19</v>
      </c>
      <c r="V1" s="61">
        <v>20</v>
      </c>
      <c r="W1" s="61">
        <v>21</v>
      </c>
      <c r="X1" s="61">
        <v>22</v>
      </c>
      <c r="Y1" s="61">
        <v>23</v>
      </c>
      <c r="Z1" s="61">
        <v>24</v>
      </c>
      <c r="AA1" s="61">
        <v>25</v>
      </c>
      <c r="AB1" s="61">
        <v>26</v>
      </c>
      <c r="AC1" s="61">
        <v>27</v>
      </c>
      <c r="AD1" s="61">
        <v>28</v>
      </c>
      <c r="AE1" s="61">
        <v>29</v>
      </c>
      <c r="AF1" s="61">
        <v>30</v>
      </c>
      <c r="AG1" s="61">
        <v>31</v>
      </c>
      <c r="AH1" s="61">
        <v>32</v>
      </c>
      <c r="AI1" s="61">
        <v>33</v>
      </c>
      <c r="AJ1" s="61">
        <v>34</v>
      </c>
      <c r="AK1" s="61">
        <v>35</v>
      </c>
      <c r="AL1" s="61">
        <v>36</v>
      </c>
      <c r="AM1" s="61">
        <v>37</v>
      </c>
      <c r="AN1" s="61">
        <v>38</v>
      </c>
      <c r="AO1" s="61">
        <v>39</v>
      </c>
      <c r="AP1" s="61">
        <v>40</v>
      </c>
      <c r="AQ1" s="61">
        <v>41</v>
      </c>
      <c r="AR1" s="61">
        <v>42</v>
      </c>
      <c r="AS1" s="61">
        <v>43</v>
      </c>
      <c r="AT1" s="61">
        <v>44</v>
      </c>
      <c r="AU1" s="61">
        <v>45</v>
      </c>
      <c r="AV1" s="61">
        <v>46</v>
      </c>
      <c r="AW1" s="61">
        <v>47</v>
      </c>
      <c r="AX1" s="61">
        <v>48</v>
      </c>
      <c r="AY1" s="61">
        <v>49</v>
      </c>
      <c r="AZ1" s="61">
        <v>50</v>
      </c>
      <c r="BA1" s="61">
        <v>51</v>
      </c>
      <c r="BB1" s="61">
        <v>52</v>
      </c>
      <c r="BC1" s="61">
        <v>53</v>
      </c>
      <c r="BD1" s="61">
        <v>54</v>
      </c>
      <c r="BE1" s="61">
        <v>55</v>
      </c>
      <c r="BF1" s="61">
        <v>56</v>
      </c>
      <c r="BG1" s="61">
        <v>57</v>
      </c>
      <c r="BH1" s="61">
        <v>58</v>
      </c>
      <c r="BI1" s="61">
        <v>59</v>
      </c>
      <c r="BJ1" s="61">
        <v>60</v>
      </c>
      <c r="BK1" s="61">
        <v>61</v>
      </c>
      <c r="BL1" s="61">
        <v>62</v>
      </c>
      <c r="BM1" s="61">
        <v>63</v>
      </c>
      <c r="BN1" s="61">
        <v>64</v>
      </c>
      <c r="BO1" s="61">
        <v>65</v>
      </c>
      <c r="BP1" s="61">
        <v>66</v>
      </c>
      <c r="BQ1" s="61">
        <v>67</v>
      </c>
      <c r="BR1" s="61">
        <v>68</v>
      </c>
      <c r="BS1" s="61">
        <v>69</v>
      </c>
      <c r="BT1" s="61">
        <v>70</v>
      </c>
      <c r="BU1" s="61">
        <v>71</v>
      </c>
      <c r="BV1" s="61">
        <v>72</v>
      </c>
      <c r="BW1" s="61">
        <v>73</v>
      </c>
      <c r="BX1" s="61">
        <v>74</v>
      </c>
      <c r="BY1" s="61">
        <v>75</v>
      </c>
      <c r="BZ1" s="61">
        <v>76</v>
      </c>
      <c r="CA1" s="61">
        <v>77</v>
      </c>
      <c r="CB1" s="61">
        <v>78</v>
      </c>
      <c r="CC1" s="61">
        <v>79</v>
      </c>
      <c r="CD1" s="61">
        <v>80</v>
      </c>
      <c r="CE1" s="61">
        <v>81</v>
      </c>
      <c r="CF1" s="61">
        <v>82</v>
      </c>
      <c r="CG1" s="61">
        <v>83</v>
      </c>
      <c r="CH1" s="61">
        <v>84</v>
      </c>
      <c r="CI1" s="61">
        <v>85</v>
      </c>
      <c r="CJ1" s="61">
        <v>86</v>
      </c>
      <c r="CK1" s="61">
        <v>87</v>
      </c>
      <c r="CL1" s="61">
        <v>88</v>
      </c>
      <c r="CM1" s="61">
        <v>89</v>
      </c>
      <c r="CN1" s="61">
        <v>90</v>
      </c>
      <c r="CO1" s="61">
        <v>91</v>
      </c>
      <c r="CP1" s="61">
        <v>92</v>
      </c>
      <c r="CQ1" s="61">
        <v>93</v>
      </c>
      <c r="CR1" s="61">
        <v>94</v>
      </c>
      <c r="CS1" s="61">
        <v>95</v>
      </c>
      <c r="CT1" s="61">
        <v>96</v>
      </c>
      <c r="CU1" s="61">
        <v>97</v>
      </c>
      <c r="CV1" s="61">
        <v>98</v>
      </c>
      <c r="CW1" s="61">
        <v>99</v>
      </c>
      <c r="CX1" s="61">
        <v>100</v>
      </c>
      <c r="CY1" s="61">
        <v>101</v>
      </c>
      <c r="CZ1" s="61">
        <v>102</v>
      </c>
      <c r="DA1" s="61">
        <v>103</v>
      </c>
      <c r="DB1" s="61">
        <v>104</v>
      </c>
      <c r="DC1" s="61">
        <v>105</v>
      </c>
      <c r="DD1" s="61">
        <v>106</v>
      </c>
      <c r="DE1" s="61">
        <v>107</v>
      </c>
      <c r="DF1" s="61">
        <v>108</v>
      </c>
      <c r="DG1" s="61">
        <v>109</v>
      </c>
      <c r="DH1" s="61">
        <v>110</v>
      </c>
      <c r="DI1" s="61">
        <v>111</v>
      </c>
      <c r="DJ1" s="61">
        <v>112</v>
      </c>
      <c r="DK1" s="61">
        <v>113</v>
      </c>
      <c r="DL1" s="61">
        <v>114</v>
      </c>
      <c r="DM1" s="61">
        <v>115</v>
      </c>
      <c r="DN1" s="61">
        <v>116</v>
      </c>
      <c r="DO1" s="61">
        <v>117</v>
      </c>
      <c r="DP1" s="61">
        <v>118</v>
      </c>
      <c r="DQ1" s="61">
        <v>119</v>
      </c>
      <c r="DR1" s="61">
        <v>120</v>
      </c>
      <c r="DS1" s="61">
        <v>121</v>
      </c>
      <c r="DT1" s="61">
        <v>122</v>
      </c>
      <c r="DU1" s="61">
        <v>123</v>
      </c>
      <c r="DV1" s="61">
        <v>124</v>
      </c>
      <c r="DW1" s="61">
        <v>125</v>
      </c>
      <c r="DX1" s="61">
        <v>126</v>
      </c>
      <c r="DY1" s="61">
        <v>127</v>
      </c>
      <c r="DZ1" s="61">
        <v>128</v>
      </c>
      <c r="EA1" s="61">
        <v>129</v>
      </c>
      <c r="EB1" s="61">
        <v>130</v>
      </c>
      <c r="EC1" s="61">
        <v>131</v>
      </c>
      <c r="ED1" s="61">
        <v>132</v>
      </c>
      <c r="EE1" s="61">
        <v>133</v>
      </c>
      <c r="EF1" s="61">
        <v>134</v>
      </c>
      <c r="EG1" s="61">
        <v>135</v>
      </c>
      <c r="EH1" s="61">
        <v>136</v>
      </c>
      <c r="EI1" s="61">
        <v>137</v>
      </c>
      <c r="EJ1" s="61">
        <v>138</v>
      </c>
    </row>
    <row r="2" spans="1:140">
      <c r="A2" s="64" t="s">
        <v>430</v>
      </c>
      <c r="B2" s="114" t="s">
        <v>411</v>
      </c>
      <c r="D2" s="114" t="s">
        <v>412</v>
      </c>
      <c r="J2" s="60" t="s">
        <v>387</v>
      </c>
    </row>
    <row r="3" spans="1:140">
      <c r="A3" s="64" t="s">
        <v>386</v>
      </c>
      <c r="B3" s="114" t="s">
        <v>413</v>
      </c>
      <c r="C3" s="64"/>
      <c r="D3" s="64" t="s">
        <v>414</v>
      </c>
      <c r="E3" s="64" t="s">
        <v>415</v>
      </c>
    </row>
    <row r="4" spans="1:140">
      <c r="A4" s="64">
        <v>61.08</v>
      </c>
      <c r="B4" s="114">
        <v>17.03</v>
      </c>
      <c r="D4" s="64">
        <v>60.1</v>
      </c>
      <c r="E4" s="64">
        <f>2*36.45</f>
        <v>72.900000000000006</v>
      </c>
    </row>
    <row r="5" spans="1:140">
      <c r="A5" s="64"/>
      <c r="B5" s="114"/>
      <c r="D5" s="64"/>
      <c r="E5" s="64"/>
    </row>
    <row r="6" spans="1:140" ht="30">
      <c r="A6" s="65"/>
      <c r="B6" s="115"/>
      <c r="D6" s="64"/>
      <c r="G6" s="59" t="s">
        <v>416</v>
      </c>
      <c r="H6" s="59">
        <v>43831</v>
      </c>
      <c r="I6" s="59">
        <v>43862</v>
      </c>
      <c r="J6" s="59">
        <v>43891</v>
      </c>
      <c r="K6" s="59">
        <v>43922</v>
      </c>
      <c r="L6" s="59">
        <v>43952</v>
      </c>
      <c r="M6" s="59">
        <v>43983</v>
      </c>
      <c r="N6" s="59">
        <v>44013</v>
      </c>
      <c r="O6" s="59">
        <v>44044</v>
      </c>
      <c r="P6" s="59">
        <v>44075</v>
      </c>
      <c r="Q6" s="59">
        <v>44105</v>
      </c>
      <c r="R6" s="59">
        <v>44136</v>
      </c>
      <c r="S6" s="59">
        <v>44166</v>
      </c>
      <c r="T6" s="59">
        <v>44197</v>
      </c>
      <c r="U6" s="59">
        <v>44228</v>
      </c>
      <c r="V6" s="59">
        <v>44256</v>
      </c>
      <c r="W6" s="59">
        <v>44287</v>
      </c>
      <c r="X6" s="59">
        <v>44317</v>
      </c>
      <c r="Y6" s="59">
        <v>44348</v>
      </c>
      <c r="Z6" s="59">
        <v>44378</v>
      </c>
      <c r="AA6" s="59">
        <v>44409</v>
      </c>
      <c r="AB6" s="59">
        <v>44440</v>
      </c>
      <c r="AC6" s="59">
        <v>44470</v>
      </c>
      <c r="AD6" s="59">
        <v>44501</v>
      </c>
      <c r="AE6" s="59">
        <v>44531</v>
      </c>
      <c r="AF6" s="59">
        <v>44562</v>
      </c>
      <c r="AG6" s="59">
        <v>44593</v>
      </c>
      <c r="AH6" s="59">
        <v>44621</v>
      </c>
      <c r="AI6" s="59">
        <v>44652</v>
      </c>
      <c r="AJ6" s="59">
        <v>44682</v>
      </c>
      <c r="AK6" s="59">
        <v>44713</v>
      </c>
      <c r="AL6" s="59">
        <v>44743</v>
      </c>
      <c r="AM6" s="59">
        <v>44774</v>
      </c>
      <c r="AN6" s="59">
        <v>44805</v>
      </c>
      <c r="AO6" s="59">
        <v>44835</v>
      </c>
      <c r="AP6" s="59">
        <v>44866</v>
      </c>
      <c r="AQ6" s="59">
        <v>44896</v>
      </c>
      <c r="AR6" s="59">
        <v>44927</v>
      </c>
      <c r="AS6" s="59">
        <v>44958</v>
      </c>
      <c r="AT6" s="59">
        <v>44986</v>
      </c>
      <c r="AU6" s="59">
        <v>45017</v>
      </c>
      <c r="AV6" s="59">
        <v>45047</v>
      </c>
      <c r="AW6" s="59">
        <v>45078</v>
      </c>
      <c r="AX6" s="59" t="s">
        <v>431</v>
      </c>
      <c r="AY6" s="59" t="s">
        <v>432</v>
      </c>
      <c r="AZ6" s="59" t="s">
        <v>433</v>
      </c>
      <c r="BA6" s="59" t="s">
        <v>434</v>
      </c>
      <c r="BB6" s="59">
        <v>37104</v>
      </c>
      <c r="BC6" s="59">
        <v>37469</v>
      </c>
      <c r="BD6" s="34" t="s">
        <v>168</v>
      </c>
      <c r="BE6" s="34" t="s">
        <v>169</v>
      </c>
      <c r="BF6" s="59" t="s">
        <v>421</v>
      </c>
      <c r="BG6" s="59" t="s">
        <v>422</v>
      </c>
      <c r="BH6" s="59" t="s">
        <v>423</v>
      </c>
      <c r="BI6" s="59" t="s">
        <v>424</v>
      </c>
      <c r="BJ6" s="59" t="s">
        <v>435</v>
      </c>
      <c r="BK6" s="59" t="s">
        <v>436</v>
      </c>
      <c r="BL6" s="59" t="s">
        <v>437</v>
      </c>
      <c r="BM6" s="59" t="s">
        <v>438</v>
      </c>
      <c r="BN6" s="59">
        <v>37196</v>
      </c>
      <c r="BO6" s="59">
        <v>37561</v>
      </c>
      <c r="BP6" s="59">
        <v>37926</v>
      </c>
      <c r="BQ6" s="59">
        <v>38292</v>
      </c>
      <c r="BR6" s="59">
        <v>37226</v>
      </c>
      <c r="BS6" s="59">
        <v>37591</v>
      </c>
      <c r="BT6" s="59">
        <v>37956</v>
      </c>
      <c r="BU6" s="59">
        <v>38322</v>
      </c>
      <c r="BV6" s="59">
        <v>36892</v>
      </c>
      <c r="BW6" s="59">
        <v>37257</v>
      </c>
      <c r="BX6" s="59">
        <v>37622</v>
      </c>
      <c r="BY6" s="59">
        <v>37987</v>
      </c>
      <c r="BZ6" s="59">
        <v>36923</v>
      </c>
      <c r="CA6" s="59">
        <v>37288</v>
      </c>
      <c r="CB6" s="59">
        <v>37653</v>
      </c>
      <c r="CC6" s="59">
        <v>38018</v>
      </c>
      <c r="CD6" s="59" t="str">
        <f>Sheet8!A15</f>
        <v>Mar-w1</v>
      </c>
      <c r="CE6" s="59" t="s">
        <v>285</v>
      </c>
      <c r="CF6" s="59" t="s">
        <v>286</v>
      </c>
      <c r="CG6" s="59" t="s">
        <v>287</v>
      </c>
      <c r="CH6" s="59" t="str">
        <f>Sheet8!E15</f>
        <v>Apr-w1</v>
      </c>
      <c r="CI6" s="59" t="str">
        <f>Sheet8!F15</f>
        <v>Apr-w2</v>
      </c>
      <c r="CJ6" s="59" t="str">
        <f>Sheet8!G15</f>
        <v>Apr-w3</v>
      </c>
      <c r="CK6" s="59" t="str">
        <f>Sheet8!H15</f>
        <v>Apr-w4</v>
      </c>
      <c r="CL6" s="59" t="str">
        <f>Sheet8!I15</f>
        <v>May-w1</v>
      </c>
      <c r="CM6" s="59" t="str">
        <f>Sheet8!J15</f>
        <v>May-w2</v>
      </c>
      <c r="CN6" s="59" t="str">
        <f>Sheet8!K15</f>
        <v>May-w3</v>
      </c>
      <c r="CO6" s="59" t="str">
        <f>Sheet8!L15</f>
        <v>May-w4</v>
      </c>
      <c r="CP6" s="59" t="str">
        <f>Sheet8!M15</f>
        <v>May-w5</v>
      </c>
      <c r="CQ6" s="59" t="str">
        <f>Sheet8!N15</f>
        <v>june-w1</v>
      </c>
      <c r="CR6" s="59" t="str">
        <f>Sheet8!O15</f>
        <v>june-w2</v>
      </c>
      <c r="CS6" s="59" t="str">
        <f>Sheet8!P15</f>
        <v>june-w3</v>
      </c>
      <c r="CT6" s="59" t="str">
        <f>Sheet8!Q15</f>
        <v>june-w4</v>
      </c>
      <c r="CU6" s="59" t="str">
        <f>Sheet8!R15</f>
        <v>Jul-w1</v>
      </c>
      <c r="CV6" s="59" t="str">
        <f>Sheet8!S15</f>
        <v>Jul-w2</v>
      </c>
      <c r="CW6" s="59" t="str">
        <f>Sheet8!T15</f>
        <v>Jul-w3</v>
      </c>
      <c r="CX6" s="59" t="str">
        <f>Sheet8!U15</f>
        <v>Jul-w4</v>
      </c>
      <c r="CY6" s="59" t="str">
        <f>Sheet8!V15</f>
        <v>Aug-w1</v>
      </c>
      <c r="CZ6" s="59" t="str">
        <f>Sheet8!W15</f>
        <v>Aug-w2</v>
      </c>
      <c r="DA6" s="59" t="str">
        <f>Sheet8!X15</f>
        <v>Aug-w3</v>
      </c>
      <c r="DB6" s="59" t="str">
        <f>Sheet8!Y15</f>
        <v>Aug-w4</v>
      </c>
      <c r="DC6" s="59" t="str">
        <f>Sheet8!Z15</f>
        <v>Sep-w1</v>
      </c>
      <c r="DD6" s="59" t="str">
        <f>Sheet8!AA15</f>
        <v>Sep-w2</v>
      </c>
      <c r="DE6" s="59" t="str">
        <f>Sheet8!AB15</f>
        <v>Sep-w3</v>
      </c>
      <c r="DF6" s="59" t="str">
        <f>Sheet8!AC15</f>
        <v>Sep-w4</v>
      </c>
      <c r="DG6" s="59" t="str">
        <f>Sheet8!AD15</f>
        <v>Oct-w1</v>
      </c>
      <c r="DH6" s="59" t="str">
        <f>Sheet8!AE15</f>
        <v>Oct-w2</v>
      </c>
      <c r="DI6" s="59" t="str">
        <f>Sheet8!AF15</f>
        <v>Oct-w3</v>
      </c>
      <c r="DJ6" s="59" t="str">
        <f>Sheet8!AG15</f>
        <v>Oct-w4</v>
      </c>
      <c r="DK6" s="59" t="str">
        <f>Sheet8!AH15</f>
        <v>Nov-w1</v>
      </c>
      <c r="DL6" s="59" t="str">
        <f>Sheet8!AI15</f>
        <v>Nov-w2</v>
      </c>
      <c r="DM6" s="59" t="str">
        <f>Sheet8!AJ15</f>
        <v>Nov-w3</v>
      </c>
      <c r="DN6" s="59" t="str">
        <f>Sheet8!AK15</f>
        <v>Nov-w4</v>
      </c>
      <c r="DO6" s="59" t="str">
        <f>Sheet8!AL15</f>
        <v>Dec-w1</v>
      </c>
      <c r="DP6" s="59" t="str">
        <f>Sheet8!AM15</f>
        <v>Dec-w2</v>
      </c>
      <c r="DQ6" s="59" t="str">
        <f>Sheet8!AN15</f>
        <v>Dec-w3</v>
      </c>
      <c r="DR6" s="59" t="str">
        <f>Sheet8!AO15</f>
        <v>Dec-w4</v>
      </c>
      <c r="DS6" s="59">
        <f>Sheet8!AP15</f>
        <v>0</v>
      </c>
    </row>
    <row r="7" spans="1:140">
      <c r="E7" s="30" t="s">
        <v>46</v>
      </c>
      <c r="G7" s="60" t="s">
        <v>60</v>
      </c>
      <c r="H7" s="74">
        <f>VLOOKUP($G$7&amp;$F$1,'Input RM sheet'!$A:$BD,H1,0)</f>
        <v>1117</v>
      </c>
      <c r="I7" s="74">
        <f>VLOOKUP($G$7&amp;$F$1,'Input RM sheet'!$A:$BD,I1,0)</f>
        <v>1098.125</v>
      </c>
      <c r="J7" s="74">
        <f>VLOOKUP($G$7&amp;$F$1,'Input RM sheet'!$A:$BD,J1,0)</f>
        <v>1021.875</v>
      </c>
      <c r="K7" s="74">
        <f>VLOOKUP($G$7&amp;$F$1,'Input RM sheet'!$A:$BD,K1,0)</f>
        <v>885</v>
      </c>
      <c r="L7" s="74">
        <f>VLOOKUP($G$7&amp;$F$1,'Input RM sheet'!$A:$BD,L1,0)</f>
        <v>818.5</v>
      </c>
      <c r="M7" s="74">
        <f>VLOOKUP($G$7&amp;$F$1,'Input RM sheet'!$A:$BD,M1,0)</f>
        <v>868.125</v>
      </c>
      <c r="N7" s="74">
        <f>VLOOKUP($G$7&amp;$F$1,'Input RM sheet'!$A:$BD,N1,0)</f>
        <v>844</v>
      </c>
      <c r="O7" s="74">
        <f>VLOOKUP($G$7&amp;$F$1,'Input RM sheet'!$A:$BD,O1,0)</f>
        <v>810</v>
      </c>
      <c r="P7" s="74">
        <f>VLOOKUP($G$7&amp;$F$1,'Input RM sheet'!$A:$BD,P1,0)</f>
        <v>827.5</v>
      </c>
      <c r="Q7" s="74">
        <f>VLOOKUP($G$7&amp;$F$1,'Input RM sheet'!$A:$BD,Q1,0)</f>
        <v>855</v>
      </c>
      <c r="R7" s="74">
        <f>VLOOKUP($G$7&amp;$F$1,'Input RM sheet'!$A:$BD,R1,0)</f>
        <v>986.25</v>
      </c>
      <c r="S7" s="74">
        <f>VLOOKUP($G$7&amp;$F$1,'Input RM sheet'!$A:$BD,S1,0)</f>
        <v>1127.5</v>
      </c>
      <c r="T7" s="74">
        <f>VLOOKUP($G$7&amp;$F$1,'Input RM sheet'!$A:$BD,T1,0)</f>
        <v>1078.75</v>
      </c>
      <c r="U7" s="74">
        <f>VLOOKUP($G$7&amp;$F$1,'Input RM sheet'!$A:$BD,U1,0)</f>
        <v>1089</v>
      </c>
      <c r="V7" s="74">
        <f>VLOOKUP($G$7&amp;$F$1,'Input RM sheet'!$A:$BD,V1,0)</f>
        <v>1223</v>
      </c>
      <c r="W7" s="74">
        <f>VLOOKUP($G$7&amp;$F$1,'Input RM sheet'!$A:$BD,W1,0)</f>
        <v>1208</v>
      </c>
      <c r="X7" s="74">
        <f>VLOOKUP($G$7&amp;$F$1,'Input RM sheet'!$A:$BD,X1,0)</f>
        <v>1232.5</v>
      </c>
      <c r="Y7" s="74">
        <f>VLOOKUP($G$7&amp;$F$1,'Input RM sheet'!$A:$BD,Y1,0)</f>
        <v>1167.5</v>
      </c>
      <c r="Z7" s="74">
        <f>VLOOKUP($G$7&amp;$F$1,'Input RM sheet'!$A:$BD,Z1,0)</f>
        <v>1254</v>
      </c>
      <c r="AA7" s="74">
        <f>VLOOKUP($G$7&amp;$F$1,'Input RM sheet'!$A:$BD,AA1,0)</f>
        <v>1325</v>
      </c>
      <c r="AB7" s="74">
        <f>VLOOKUP($G$7&amp;$F$1,'Input RM sheet'!$A:$BD,AB1,0)</f>
        <v>1311.25</v>
      </c>
      <c r="AC7" s="74">
        <f>VLOOKUP($G$7&amp;$F$1,'Input RM sheet'!$A:$BD,AC1,0)</f>
        <v>1455</v>
      </c>
      <c r="AD7" s="74">
        <f>VLOOKUP($G$7&amp;$F$1,'Input RM sheet'!$A:$BD,AD1,0)</f>
        <v>1600</v>
      </c>
      <c r="AE7" s="74">
        <f>VLOOKUP($G$7&amp;$F$1,'Input RM sheet'!$A:$BD,AE1,0)</f>
        <v>1657.5</v>
      </c>
      <c r="AF7" s="74">
        <f>VLOOKUP($G$7&amp;$F$1,'Input RM sheet'!$A:$BD,AF1,0)</f>
        <v>1790</v>
      </c>
      <c r="AG7" s="74">
        <f>VLOOKUP($G$7&amp;$F$1,'Input RM sheet'!$A:$BD,AG1,0)</f>
        <v>1895</v>
      </c>
      <c r="AH7" s="74">
        <f>VLOOKUP($G$7&amp;$F$1,'Input RM sheet'!$A:$BD,AH1,0)</f>
        <v>2007.5</v>
      </c>
      <c r="AI7" s="74">
        <f>VLOOKUP($G$7&amp;$F$1,'Input RM sheet'!$A:$BD,AI1,0)</f>
        <v>2162</v>
      </c>
      <c r="AJ7" s="74">
        <f>VLOOKUP($G$7&amp;$F$1,'Input RM sheet'!$A:$BD,AJ1,0)</f>
        <v>1917.5</v>
      </c>
      <c r="AK7" s="74">
        <f>VLOOKUP($G$7&amp;$F$1,'Input RM sheet'!$A:$BD,AK1,0)</f>
        <v>1706.25</v>
      </c>
      <c r="AL7" s="74">
        <f>VLOOKUP($G$7&amp;$F$1,'Input RM sheet'!$A:$BD,AL1,0)</f>
        <v>1489</v>
      </c>
      <c r="AM7" s="74">
        <f>VLOOKUP($G$7&amp;$F$1,'Input RM sheet'!$A:$BD,AM1,0)</f>
        <v>1226.875</v>
      </c>
      <c r="AN7" s="74">
        <f>VLOOKUP($G$7&amp;$F$1,'Input RM sheet'!$A:$BD,AN1,0)</f>
        <v>1279</v>
      </c>
      <c r="AO7" s="74">
        <f>VLOOKUP($G$7&amp;$F$1,'Input RM sheet'!$A:$BD,AO1,0)</f>
        <v>1240</v>
      </c>
      <c r="AP7" s="74">
        <f>VLOOKUP($G$7&amp;$F$1,'Input RM sheet'!$A:$BD,AP1,0)</f>
        <v>1163.75</v>
      </c>
      <c r="AQ7" s="74">
        <f>VLOOKUP($G$7&amp;$F$1,'Input RM sheet'!$A:$BD,AQ1,0)</f>
        <v>1140</v>
      </c>
      <c r="AR7" s="74">
        <f>VLOOKUP($G$7&amp;$F$1,'Input RM sheet'!$A:$BD,AR1,0)</f>
        <v>1125</v>
      </c>
      <c r="AS7" s="74">
        <f>VLOOKUP($G$7&amp;$F$1,'Input RM sheet'!$A:$BD,AS1,0)</f>
        <v>1234.375</v>
      </c>
      <c r="AT7" s="74">
        <f>VLOOKUP($G$7&amp;$F$1,'Input RM sheet'!$A:$BD,AT1,0)</f>
        <v>1400</v>
      </c>
      <c r="AU7" s="74">
        <f>VLOOKUP($G$7&amp;$F$1,'Input RM sheet'!$A:$BD,AU1,0)</f>
        <v>1400</v>
      </c>
      <c r="AV7" s="74">
        <f>VLOOKUP($G$7&amp;$F$1,'Input RM sheet'!$A:$BD,AV1,0)</f>
        <v>1400</v>
      </c>
      <c r="AW7" s="74">
        <f>VLOOKUP($G$7&amp;$F$1,'Input RM sheet'!$A:$BD,AW1,0)</f>
        <v>1350</v>
      </c>
      <c r="AX7" s="74">
        <f>VLOOKUP($G$7&amp;$F$1,'Input RM sheet'!$A:$BD,AX1,0)</f>
        <v>1350</v>
      </c>
      <c r="AY7" s="74">
        <f>VLOOKUP($G$7&amp;$F$1,'Input RM sheet'!$A:$BD,AY1,0)</f>
        <v>1300</v>
      </c>
      <c r="AZ7" s="74">
        <f>VLOOKUP($G$7&amp;$F$1,'Input RM sheet'!$A:$BD,AZ1,0)</f>
        <v>1300</v>
      </c>
      <c r="BA7" s="74">
        <f>VLOOKUP($G$7&amp;$F$1,'Input RM sheet'!$A:$BD,BA1,0)</f>
        <v>1300</v>
      </c>
      <c r="BB7" s="74">
        <f>VLOOKUP($G$7&amp;$F$1,'Input RM sheet'!$A:$BD,BB1,0)</f>
        <v>1325</v>
      </c>
      <c r="BC7" s="74">
        <f>VLOOKUP($G$7&amp;$F$1,'Input RM sheet'!$A:$BD,BC1,0)</f>
        <v>1350</v>
      </c>
      <c r="BD7" s="74">
        <f>VLOOKUP($G$7&amp;$F$1,'Input RM sheet'!$A:$BD,BD1,0)</f>
        <v>1350</v>
      </c>
      <c r="BE7" s="74">
        <f>VLOOKUP($G$7&amp;$F$1,'Input RM sheet'!$A:$BD,BE1,0)</f>
        <v>1475</v>
      </c>
      <c r="BF7" s="74">
        <f>VLOOKUP($G$7&amp;$F$1,'Input RM sheet'!$A:$DD,BF1,0)</f>
        <v>1500</v>
      </c>
      <c r="BG7" s="74">
        <f>VLOOKUP($G$7&amp;$F$1,'Input RM sheet'!$A:$DD,BG1,0)</f>
        <v>1550</v>
      </c>
      <c r="BH7" s="74">
        <f>VLOOKUP($G$7&amp;$F$1,'Input RM sheet'!$A:$DD,BH1,0)</f>
        <v>1550</v>
      </c>
      <c r="BI7" s="74">
        <f>VLOOKUP($G$7&amp;$F$1,'Input RM sheet'!$A:$DD,BI1,0)</f>
        <v>1550</v>
      </c>
      <c r="BJ7" s="74">
        <f>VLOOKUP($G$7&amp;$F$1,'Input RM sheet'!$A:$DD,BJ1,0)</f>
        <v>1500</v>
      </c>
      <c r="BK7" s="74">
        <f>VLOOKUP($G$7&amp;$F$1,'Input RM sheet'!$A:$DD,BK1,0)</f>
        <v>1500</v>
      </c>
      <c r="BL7" s="74">
        <f>VLOOKUP($G$7&amp;$F$1,'Input RM sheet'!$A:$DD,BL1,0)</f>
        <v>1500</v>
      </c>
      <c r="BM7" s="74">
        <f>VLOOKUP($G$7&amp;$F$1,'Input RM sheet'!$A:$DD,BM1,0)</f>
        <v>1500</v>
      </c>
      <c r="BN7" s="74">
        <f>VLOOKUP($G$7&amp;$F$1,'Input RM sheet'!$A:$DD,BN1,0)</f>
        <v>1500</v>
      </c>
      <c r="BO7" s="74">
        <f>VLOOKUP($G$7&amp;$F$1,'Input RM sheet'!$A:$DD,BO1,0)</f>
        <v>1450</v>
      </c>
      <c r="BP7" s="74">
        <f>VLOOKUP($G$7&amp;$F$1,'Input RM sheet'!$A:$DD,BP1,0)</f>
        <v>1450</v>
      </c>
      <c r="BQ7" s="74">
        <f>VLOOKUP($G$7&amp;$F$1,'Input RM sheet'!$A:$DD,BQ1,0)</f>
        <v>1400</v>
      </c>
      <c r="BR7" s="74">
        <f>VLOOKUP($G$7&amp;$F$1,'Input RM sheet'!$A:$DD,BR1,0)</f>
        <v>1350</v>
      </c>
      <c r="BS7" s="74">
        <f>VLOOKUP($G$7&amp;$F$1,'Input RM sheet'!$A:$DD,BS1,0)</f>
        <v>1350</v>
      </c>
      <c r="BT7" s="74">
        <f>VLOOKUP($G$7&amp;$F$1,'Input RM sheet'!$A:$DD,BT1,0)</f>
        <v>1325</v>
      </c>
      <c r="BU7" s="74">
        <f>VLOOKUP($G$7&amp;$F$1,'Input RM sheet'!$A:$DD,BU1,0)</f>
        <v>1325</v>
      </c>
      <c r="BV7" s="74">
        <f>VLOOKUP($G$7&amp;$F$1,'Input RM sheet'!$A:$DD,BV1,0)</f>
        <v>1325</v>
      </c>
      <c r="BW7" s="74">
        <f>VLOOKUP($G$7&amp;$F$1,'Input RM sheet'!$A:$DD,BW1,0)</f>
        <v>1325</v>
      </c>
      <c r="BX7" s="74">
        <f>VLOOKUP($G$7&amp;$F$1,'Input RM sheet'!$A:$DD,BX1,0)</f>
        <v>1325</v>
      </c>
      <c r="BY7" s="74">
        <f>VLOOKUP($G$7&amp;$F$1,'Input RM sheet'!$A:$DD,BY1,0)</f>
        <v>1350</v>
      </c>
      <c r="BZ7" s="74">
        <f>VLOOKUP($G$7&amp;$F$1,'Input RM sheet'!$A:$DD,BZ1,0)</f>
        <v>1350</v>
      </c>
      <c r="CA7" s="74">
        <f>VLOOKUP($G$7&amp;$F$1,'Input RM sheet'!$A:$DD,CA1,0)</f>
        <v>1350</v>
      </c>
      <c r="CB7" s="74">
        <f>VLOOKUP($G$7&amp;$F$1,'Input RM sheet'!$A:$DD,CB1,0)</f>
        <v>1350</v>
      </c>
      <c r="CC7" s="74">
        <f>VLOOKUP($G$7&amp;$F$1,'Input RM sheet'!$A:$DD,CC1,0)</f>
        <v>1400</v>
      </c>
      <c r="CD7" s="74">
        <f>VLOOKUP($G$7&amp;$F$1,'Input RM sheet'!$A:$DD,CD1,0)</f>
        <v>1400</v>
      </c>
      <c r="CE7" s="74">
        <f>VLOOKUP($G$7&amp;$F$1,'Input RM sheet'!$A:$DD,CE1,0)</f>
        <v>1400</v>
      </c>
      <c r="CF7" s="74">
        <f>VLOOKUP($G$7&amp;$F$1,'Input RM sheet'!$A:$DD,CF1,0)</f>
        <v>1425</v>
      </c>
      <c r="CG7" s="74">
        <f>VLOOKUP($G$7&amp;$F$1,'Input RM sheet'!$A:$DD,CG1,0)</f>
        <v>1400</v>
      </c>
      <c r="CH7" s="74">
        <f>VLOOKUP($G$7&amp;$F$1,'Input RM sheet'!$A:$DD,CH1,0)</f>
        <v>1400</v>
      </c>
      <c r="CI7" s="74">
        <f>VLOOKUP($G$7&amp;$F$1,'Input RM sheet'!$A:$DD,CI1,0)</f>
        <v>1435</v>
      </c>
      <c r="CJ7" s="74">
        <f>VLOOKUP($G$7&amp;$F$1,'Input RM sheet'!$A:$DD,CJ1,0)</f>
        <v>1435</v>
      </c>
      <c r="CK7" s="74">
        <f>VLOOKUP($G$7&amp;$F$1,'Input RM sheet'!$A:$DD,CK1,0)</f>
        <v>1435</v>
      </c>
      <c r="CL7" s="74">
        <f>VLOOKUP($G$7&amp;$F$1,'Input RM sheet'!$A:$DD,CL1,0)</f>
        <v>1435</v>
      </c>
      <c r="CM7" s="74">
        <f>VLOOKUP($G$7&amp;$F$1,'Input RM sheet'!$A:$DD,CM1,0)</f>
        <v>1435</v>
      </c>
      <c r="CN7" s="74">
        <f>VLOOKUP($G$7&amp;$F$1,'Input RM sheet'!$A:$DD,CN1,0)</f>
        <v>1435</v>
      </c>
      <c r="CO7" s="74">
        <f>VLOOKUP($G$7&amp;$F$1,'Input RM sheet'!$A:$DD,CO1,0)</f>
        <v>1435</v>
      </c>
      <c r="CP7" s="74">
        <f>VLOOKUP($G$7&amp;$F$1,'Input RM sheet'!$A:$DD,CP1,0)</f>
        <v>1435</v>
      </c>
      <c r="CQ7" s="74">
        <f>VLOOKUP($G$7&amp;$F$1,'Input RM sheet'!$A:$ZZ,CQ1,0)</f>
        <v>1450</v>
      </c>
      <c r="CR7" s="74">
        <f>VLOOKUP($G$7&amp;$F$1,'Input RM sheet'!$A:$ZZ,CR1,0)</f>
        <v>1385</v>
      </c>
      <c r="CS7" s="74">
        <f>VLOOKUP($G$7&amp;$F$1,'Input RM sheet'!$A:$ZZ,CS1,0)</f>
        <v>1375</v>
      </c>
      <c r="CT7" s="74">
        <f>VLOOKUP($G$7&amp;$F$1,'Input RM sheet'!$A:$ZZ,CT1,0)</f>
        <v>1375</v>
      </c>
      <c r="CU7" s="74">
        <f>VLOOKUP($G$7&amp;$F$1,'Input RM sheet'!$A:$ZZ,CU1,0)</f>
        <v>1375</v>
      </c>
      <c r="CV7" s="74">
        <f>VLOOKUP($G$7&amp;$F$1,'Input RM sheet'!$A:$ZZ,CV1,0)</f>
        <v>1250</v>
      </c>
      <c r="CW7" s="74">
        <f>VLOOKUP($G$7&amp;$F$1,'Input RM sheet'!$A:$ZZ,CW1,0)</f>
        <v>1250</v>
      </c>
      <c r="CX7" s="74">
        <f>VLOOKUP($G$7&amp;$F$1,'Input RM sheet'!$A:$ZZ,CX1,0)</f>
        <v>1250</v>
      </c>
      <c r="CY7" s="74">
        <f>VLOOKUP($G$7&amp;$F$1,'Input RM sheet'!$A:$ZZ,CY1,0)</f>
        <v>1250</v>
      </c>
      <c r="CZ7" s="74">
        <f>VLOOKUP($G$7&amp;$F$1,'Input RM sheet'!$A:$ZZ,CZ1,0)</f>
        <v>1250</v>
      </c>
      <c r="DA7" s="74">
        <f>VLOOKUP($G$7&amp;$F$1,'Input RM sheet'!$A:$ZZ,DA1,0)</f>
        <v>1250</v>
      </c>
      <c r="DB7" s="74">
        <f>VLOOKUP($G$7&amp;$F$1,'Input RM sheet'!$A:$ZZ,DB1,0)</f>
        <v>1250</v>
      </c>
      <c r="DC7" s="74">
        <f>VLOOKUP($G$7&amp;$F$1,'Input RM sheet'!$A:$ZZ,DC1,0)</f>
        <v>1250</v>
      </c>
      <c r="DD7" s="74">
        <f>VLOOKUP($G$7&amp;$F$1,'Input RM sheet'!$A:$ZZ,DD1,0)</f>
        <v>1250</v>
      </c>
      <c r="DE7" s="74">
        <f>VLOOKUP($G$7&amp;$F$1,'Input RM sheet'!$A:$ZZ,DE1,0)</f>
        <v>1250</v>
      </c>
      <c r="DF7" s="74">
        <f>VLOOKUP($G$7&amp;$F$1,'Input RM sheet'!$A:$ZZ,DF1,0)</f>
        <v>1250</v>
      </c>
      <c r="DG7" s="74">
        <f>VLOOKUP($G$7&amp;$F$1,'Input RM sheet'!$A:$ZZ,DG1,0)</f>
        <v>1250</v>
      </c>
      <c r="DH7" s="74">
        <f>VLOOKUP($G$7&amp;$F$1,'Input RM sheet'!$A:$ZZ,DH1,0)</f>
        <v>1200</v>
      </c>
      <c r="DI7" s="74">
        <f>VLOOKUP($G$7&amp;$F$1,'Input RM sheet'!$A:$ZZ,DI1,0)</f>
        <v>1200</v>
      </c>
      <c r="DJ7" s="74">
        <f>VLOOKUP($G$7&amp;$F$1,'Input RM sheet'!$A:$ZZ,DJ1,0)</f>
        <v>1200</v>
      </c>
      <c r="DK7" s="74">
        <f>VLOOKUP($G$7&amp;$F$1,'Input RM sheet'!$A:$ZZ,DK1,0)</f>
        <v>1200</v>
      </c>
      <c r="DL7" s="74">
        <f>VLOOKUP($G$7&amp;$F$1,'Input RM sheet'!$A:$ZZ,DL1,0)</f>
        <v>1150</v>
      </c>
      <c r="DM7" s="74">
        <f>VLOOKUP($G$7&amp;$F$1,'Input RM sheet'!$A:$ZZ,DM1,0)</f>
        <v>1150</v>
      </c>
      <c r="DN7" s="74">
        <f>VLOOKUP($G$7&amp;$F$1,'Input RM sheet'!$A:$ZZ,DN1,0)</f>
        <v>1150</v>
      </c>
      <c r="DO7" s="74">
        <f>VLOOKUP($G$7&amp;$F$1,'Input RM sheet'!$A:$ZZ,DO1,0)</f>
        <v>1150</v>
      </c>
      <c r="DP7" s="74">
        <f>VLOOKUP($G$7&amp;$F$1,'Input RM sheet'!$A:$ZZ,DP1,0)</f>
        <v>1150</v>
      </c>
      <c r="DQ7" s="74">
        <f>VLOOKUP($G$7&amp;$F$1,'Input RM sheet'!$A:$ZZ,DQ1,0)</f>
        <v>1150</v>
      </c>
      <c r="DR7" s="74">
        <f>VLOOKUP($G$7&amp;$F$1,'Input RM sheet'!$A:$ZZ,DR1,0)</f>
        <v>1150</v>
      </c>
    </row>
    <row r="8" spans="1:140">
      <c r="E8" s="30" t="s">
        <v>439</v>
      </c>
      <c r="G8" s="72" t="s">
        <v>45</v>
      </c>
      <c r="H8" s="74">
        <f>VLOOKUP($G$8&amp;$F$1,'Input RM sheet'!$A:$BD,H1,0)</f>
        <v>0.50625069064173545</v>
      </c>
      <c r="I8" s="74">
        <f>VLOOKUP($G$8&amp;$F$1,'Input RM sheet'!$A:$BD,I1,0)</f>
        <v>0.50605053403738476</v>
      </c>
      <c r="J8" s="74">
        <f>VLOOKUP($G$8&amp;$F$1,'Input RM sheet'!$A:$BD,J1,0)</f>
        <v>0.48566205346589675</v>
      </c>
      <c r="K8" s="74">
        <f>VLOOKUP($G$8&amp;$F$1,'Input RM sheet'!$A:$BD,K1,0)</f>
        <v>0.46604911475979133</v>
      </c>
      <c r="L8" s="74">
        <f>VLOOKUP($G$8&amp;$F$1,'Input RM sheet'!$A:$BD,L1,0)</f>
        <v>0.47286371932487081</v>
      </c>
      <c r="M8" s="74">
        <f>VLOOKUP($G$8&amp;$F$1,'Input RM sheet'!$A:$BD,M1,0)</f>
        <v>0.44148091934964817</v>
      </c>
      <c r="N8" s="74">
        <f>VLOOKUP($G$8&amp;$F$1,'Input RM sheet'!$A:$BD,N1,0)</f>
        <v>0.43426534003337747</v>
      </c>
      <c r="O8" s="74">
        <f>VLOOKUP($G$8&amp;$F$1,'Input RM sheet'!$A:$BD,O1,0)</f>
        <v>0.4253624199790475</v>
      </c>
      <c r="P8" s="74">
        <f>VLOOKUP($G$8&amp;$F$1,'Input RM sheet'!$A:$BD,P1,0)</f>
        <v>0.43233741458081631</v>
      </c>
      <c r="Q8" s="74">
        <f>VLOOKUP($G$8&amp;$F$1,'Input RM sheet'!$A:$BD,Q1,0)</f>
        <v>0.4289746699475917</v>
      </c>
      <c r="R8" s="74">
        <f>VLOOKUP($G$8&amp;$F$1,'Input RM sheet'!$A:$BD,R1,0)</f>
        <v>0.42484260760346637</v>
      </c>
      <c r="S8" s="74">
        <f>VLOOKUP($G$8&amp;$F$1,'Input RM sheet'!$A:$BD,S1,0)</f>
        <v>0.45075951239765033</v>
      </c>
      <c r="T8" s="74">
        <f>VLOOKUP($G$8&amp;$F$1,'Input RM sheet'!$A:$BD,T1,0)</f>
        <v>0.47632070741601718</v>
      </c>
      <c r="U8" s="74">
        <f>VLOOKUP($G$8&amp;$F$1,'Input RM sheet'!$A:$BD,U1,0)</f>
        <v>0.50824175824175821</v>
      </c>
      <c r="V8" s="74">
        <f>VLOOKUP($G$8&amp;$F$1,'Input RM sheet'!$A:$BD,V1,0)</f>
        <v>0.50824175824175821</v>
      </c>
      <c r="W8" s="74">
        <f>VLOOKUP($G$8&amp;$F$1,'Input RM sheet'!$A:$BD,W1,0)</f>
        <v>0.53357522262827839</v>
      </c>
      <c r="X8" s="74">
        <f>VLOOKUP($G$8&amp;$F$1,'Input RM sheet'!$A:$BD,X1,0)</f>
        <v>0.59385665529010234</v>
      </c>
      <c r="Y8" s="74">
        <f>VLOOKUP($G$8&amp;$F$1,'Input RM sheet'!$A:$BD,Y1,0)</f>
        <v>0.63431872099725806</v>
      </c>
      <c r="Z8" s="74">
        <f>VLOOKUP($G$8&amp;$F$1,'Input RM sheet'!$A:$BD,Z1,0)</f>
        <v>0.72591659871949687</v>
      </c>
      <c r="AA8" s="74">
        <f>VLOOKUP($G$8&amp;$F$1,'Input RM sheet'!$A:$BD,AA1,0)</f>
        <v>0.72889455792717117</v>
      </c>
      <c r="AB8" s="74">
        <f>VLOOKUP($G$8&amp;$F$1,'Input RM sheet'!$A:$BD,AB1,0)</f>
        <v>0.74862988980369449</v>
      </c>
      <c r="AC8" s="74">
        <f>VLOOKUP($G$8&amp;$F$1,'Input RM sheet'!$A:$BD,AC1,0)</f>
        <v>0.79168514687656644</v>
      </c>
      <c r="AD8" s="74">
        <f>VLOOKUP($G$8&amp;$F$1,'Input RM sheet'!$A:$BD,AD1,0)</f>
        <v>0.82087330176727136</v>
      </c>
      <c r="AE8" s="74">
        <f>VLOOKUP($G$8&amp;$F$1,'Input RM sheet'!$A:$BD,AE1,0)</f>
        <v>0.84614593649711278</v>
      </c>
      <c r="AF8" s="74">
        <f>VLOOKUP($G$8&amp;$F$1,'Input RM sheet'!$A:$BD,AF1,0)</f>
        <v>1.0564787620243885</v>
      </c>
      <c r="AG8" s="74">
        <f>VLOOKUP($G$8&amp;$F$1,'Input RM sheet'!$A:$BD,AG1,0)</f>
        <v>1.2058469531568468</v>
      </c>
      <c r="AH8" s="74">
        <f>VLOOKUP($G$8&amp;$F$1,'Input RM sheet'!$A:$BD,AH1,0)</f>
        <v>1.328155753838079</v>
      </c>
      <c r="AI8" s="74">
        <f>VLOOKUP($G$8&amp;$F$1,'Input RM sheet'!$A:$BD,AI1,0)</f>
        <v>1.2605824467442697</v>
      </c>
      <c r="AJ8" s="74">
        <f>VLOOKUP($G$8&amp;$F$1,'Input RM sheet'!$A:$BD,AJ1,0)</f>
        <v>1.1242096737595759</v>
      </c>
      <c r="AK8" s="74">
        <f>VLOOKUP($G$8&amp;$F$1,'Input RM sheet'!$A:$BD,AK1,0)</f>
        <v>1.1179786985052897</v>
      </c>
      <c r="AL8" s="74">
        <f>VLOOKUP($G$8&amp;$F$1,'Input RM sheet'!$A:$BD,AL1,0)</f>
        <v>1.0829322457612403</v>
      </c>
      <c r="AM8" s="74">
        <f>VLOOKUP($G$8&amp;$F$1,'Input RM sheet'!$A:$BD,AM1,0)</f>
        <v>1.0855018240664733</v>
      </c>
      <c r="AN8" s="74">
        <f>VLOOKUP($G$8&amp;$F$1,'Input RM sheet'!$A:$BD,AN1,0)</f>
        <v>1.0549821404108952</v>
      </c>
      <c r="AO8" s="74">
        <f>VLOOKUP($G$8&amp;$F$1,'Input RM sheet'!$A:$BD,AO1,0)</f>
        <v>1.0740005833527477</v>
      </c>
      <c r="AP8" s="74">
        <f>VLOOKUP($G$8&amp;$F$1,'Input RM sheet'!$A:$BD,AP1,0)</f>
        <v>1.1385193276752337</v>
      </c>
      <c r="AQ8" s="74">
        <f>VLOOKUP($G$8&amp;$F$1,'Input RM sheet'!$A:$BD,AQ1,0)</f>
        <v>1.0816813265611029</v>
      </c>
      <c r="AR8" s="74">
        <f>VLOOKUP($G$8&amp;$F$1,'Input RM sheet'!$A:$BD,AR1,0)</f>
        <v>0.99756298566293211</v>
      </c>
      <c r="AS8" s="74">
        <f>VLOOKUP($G$8&amp;$F$1,'Input RM sheet'!$A:$BD,AS1,0)</f>
        <v>0.92545631998382882</v>
      </c>
      <c r="AT8" s="74">
        <f>VLOOKUP($G$8&amp;$F$1,'Input RM sheet'!$A:$BD,AT1,0)</f>
        <v>0.9011022063000439</v>
      </c>
      <c r="AU8" s="74">
        <f>VLOOKUP($G$8&amp;$F$1,'Input RM sheet'!$A:$BD,AU1,0)</f>
        <v>0.74767129009219857</v>
      </c>
      <c r="AV8" s="74">
        <f>VLOOKUP($G$8&amp;$F$1,'Input RM sheet'!$A:$BD,AV1,0)</f>
        <v>0.70626929682976414</v>
      </c>
      <c r="AW8" s="74">
        <f>VLOOKUP($G$8&amp;$F$1,'Input RM sheet'!$A:$BD,AW1,0)</f>
        <v>0.61818181818181817</v>
      </c>
      <c r="AX8" s="74">
        <f>VLOOKUP($G$8&amp;$F$1,'Input RM sheet'!$A:$BD,AX1,0)</f>
        <v>0.61863173216885003</v>
      </c>
      <c r="AY8" s="74">
        <f>VLOOKUP($G$8&amp;$F$1,'Input RM sheet'!$A:$BD,AY1,0)</f>
        <v>0.6205889510829885</v>
      </c>
      <c r="AZ8" s="74">
        <f>VLOOKUP($G$8&amp;$F$1,'Input RM sheet'!$A:$BD,AZ1,0)</f>
        <v>0.62255859375</v>
      </c>
      <c r="BA8" s="74">
        <f>VLOOKUP($G$8&amp;$F$1,'Input RM sheet'!$A:$BD,BA1,0)</f>
        <v>0.59567225869195228</v>
      </c>
      <c r="BB8" s="74">
        <f>VLOOKUP($G$8&amp;$F$1,'Input RM sheet'!$A:$BD,BB1,0)</f>
        <v>0.59157310153326093</v>
      </c>
      <c r="BC8" s="74">
        <f>VLOOKUP($G$8&amp;$F$1,'Input RM sheet'!$A:$BD,BC1,0)</f>
        <v>0.58858858858858853</v>
      </c>
      <c r="BD8" s="74">
        <f>VLOOKUP($G$8&amp;$F$1,'Input RM sheet'!$A:$BD,BD1,0)</f>
        <v>0.58858858858858853</v>
      </c>
      <c r="BE8" s="74">
        <f>VLOOKUP($G$8&amp;$F$1,'Input RM sheet'!$A:$BD,BE1,0)</f>
        <v>0.59286146400483963</v>
      </c>
      <c r="BF8" s="74">
        <f>VLOOKUP($G$8&amp;$F$1,'Input RM sheet'!$A:$DD,BF1,0)</f>
        <v>0.5900060204695966</v>
      </c>
      <c r="BG8" s="74">
        <f>VLOOKUP($G$8&amp;$F$1,'Input RM sheet'!$A:$DD,BG1,0)</f>
        <v>0.5666747046057391</v>
      </c>
      <c r="BH8" s="74">
        <f>VLOOKUP($G$8&amp;$F$1,'Input RM sheet'!$A:$DD,BH1,0)</f>
        <v>0.59085976124442297</v>
      </c>
      <c r="BI8" s="74">
        <f>VLOOKUP($G$8&amp;$F$1,'Input RM sheet'!$A:$DD,BI1,0)</f>
        <v>0.58851789574825841</v>
      </c>
      <c r="BJ8" s="74">
        <f>VLOOKUP($G$8&amp;$F$1,'Input RM sheet'!$A:$DD,BJ1,0)</f>
        <v>0.68493150684931503</v>
      </c>
      <c r="BK8" s="74">
        <f>VLOOKUP($G$8&amp;$F$1,'Input RM sheet'!$A:$DD,BK1,0)</f>
        <v>0.68468468468468469</v>
      </c>
      <c r="BL8" s="74">
        <f>VLOOKUP($G$8&amp;$F$1,'Input RM sheet'!$A:$DD,BL1,0)</f>
        <v>0.66169393647738206</v>
      </c>
      <c r="BM8" s="74">
        <f>VLOOKUP($G$8&amp;$F$1,'Input RM sheet'!$A:$DD,BM1,0)</f>
        <v>0.69661301945712217</v>
      </c>
      <c r="BN8" s="74">
        <f>VLOOKUP($G$8&amp;$F$1,'Input RM sheet'!$A:$DD,BN1,0)</f>
        <v>0.69694784907474161</v>
      </c>
      <c r="BO8" s="74">
        <f>VLOOKUP($G$8&amp;$F$1,'Input RM sheet'!$A:$DD,BO1,0)</f>
        <v>0.69719918259406177</v>
      </c>
      <c r="BP8" s="74">
        <f>VLOOKUP($G$8&amp;$F$1,'Input RM sheet'!$A:$DD,BP1,0)</f>
        <v>0.69719918259406177</v>
      </c>
      <c r="BQ8" s="74">
        <f>VLOOKUP($G$8&amp;$F$1,'Input RM sheet'!$A:$DD,BQ1,0)</f>
        <v>0.69602784111364457</v>
      </c>
      <c r="BR8" s="74">
        <f>VLOOKUP($G$8&amp;$F$1,'Input RM sheet'!$A:$DD,BR1,0)</f>
        <v>0.69544364508393286</v>
      </c>
      <c r="BS8" s="74">
        <f>VLOOKUP($G$8&amp;$F$1,'Input RM sheet'!$A:$DD,BS1,0)</f>
        <v>0.63579654510556627</v>
      </c>
      <c r="BT8" s="74">
        <f>VLOOKUP($G$8&amp;$F$1,'Input RM sheet'!$A:$DD,BT1,0)</f>
        <v>0.64872657376261422</v>
      </c>
      <c r="BU8" s="74">
        <f>VLOOKUP($G$8&amp;$F$1,'Input RM sheet'!$A:$DD,BU1,0)</f>
        <v>0.64810369659145473</v>
      </c>
      <c r="BV8" s="74">
        <f>VLOOKUP($G$8&amp;$F$1,'Input RM sheet'!$A:$DD,BV1,0)</f>
        <v>0.63146499879720952</v>
      </c>
      <c r="BW8" s="74">
        <f>VLOOKUP($G$8&amp;$F$1,'Input RM sheet'!$A:$DD,BW1,0)</f>
        <v>0.66145520144317493</v>
      </c>
      <c r="BX8" s="74">
        <f>VLOOKUP($G$8&amp;$F$1,'Input RM sheet'!$A:$DD,BX1,0)</f>
        <v>0.66066066066066065</v>
      </c>
      <c r="BY8" s="74">
        <f>VLOOKUP($G$8&amp;$F$1,'Input RM sheet'!$A:$DD,BY1,0)</f>
        <v>0.67421141343607027</v>
      </c>
      <c r="BZ8" s="74">
        <f>VLOOKUP($G$8&amp;$F$1,'Input RM sheet'!$A:$DD,BZ1,0)</f>
        <v>0.67469879518072284</v>
      </c>
      <c r="CA8" s="74">
        <f>VLOOKUP($G$8&amp;$F$1,'Input RM sheet'!$A:$DD,CA1,0)</f>
        <v>0.6746175159619322</v>
      </c>
      <c r="CB8" s="74">
        <f>VLOOKUP($G$8&amp;$F$1,'Input RM sheet'!$A:$DD,CB1,0)</f>
        <v>0.67551266586248493</v>
      </c>
      <c r="CC8" s="74">
        <f>VLOOKUP($G$8&amp;$F$1,'Input RM sheet'!$A:$DD,CC1,0)</f>
        <v>0.67551266586248493</v>
      </c>
      <c r="CD8" s="74">
        <f>VLOOKUP($G$8&amp;$F$1,'Input RM sheet'!$A:$DD,CD1,0)</f>
        <v>0.64087061668681977</v>
      </c>
      <c r="CE8" s="74">
        <f>VLOOKUP($G$8&amp;$F$1,'Input RM sheet'!$A:$DD,CE1,0)</f>
        <v>0.64040599323344605</v>
      </c>
      <c r="CF8" s="74">
        <f>VLOOKUP($G$8&amp;$F$1,'Input RM sheet'!$A:$DD,CF1,0)</f>
        <v>0.63656017295219791</v>
      </c>
      <c r="CG8" s="74">
        <f>VLOOKUP($G$8&amp;$F$1,'Input RM sheet'!$A:$DD,CG1,0)</f>
        <v>0.63556781388655714</v>
      </c>
      <c r="CH8" s="74">
        <f>VLOOKUP($G$8&amp;$F$1,'Input RM sheet'!$A:$DD,CH1,0)</f>
        <v>0.63694267515923575</v>
      </c>
      <c r="CI8" s="74">
        <f>VLOOKUP($G$8&amp;$F$1,'Input RM sheet'!$A:$DD,CI1,0)</f>
        <v>0.63549160671462823</v>
      </c>
      <c r="CJ8" s="74">
        <f>VLOOKUP($G$8&amp;$F$1,'Input RM sheet'!$A:$DD,CJ1,0)</f>
        <v>0.63389546704939603</v>
      </c>
      <c r="CK8" s="74">
        <f>VLOOKUP($G$8&amp;$F$1,'Input RM sheet'!$A:$DD,CK1,0)</f>
        <v>0.65931431311436106</v>
      </c>
      <c r="CL8" s="74">
        <f>VLOOKUP($G$8&amp;$F$1,'Input RM sheet'!$A:$DD,CL1,0)</f>
        <v>0.6586826347305389</v>
      </c>
      <c r="CM8" s="74">
        <f>VLOOKUP($G$8&amp;$F$1,'Input RM sheet'!$A:$DD,CM1,0)</f>
        <v>0.65986802639472109</v>
      </c>
      <c r="CN8" s="74">
        <f>VLOOKUP($G$8&amp;$F$1,'Input RM sheet'!$A:$DD,CN1,0)</f>
        <v>0.62387522495500902</v>
      </c>
      <c r="CO8" s="74">
        <f>VLOOKUP($G$8&amp;$F$1,'Input RM sheet'!$A:$DD,CO1,0)</f>
        <v>0.62387522495500902</v>
      </c>
      <c r="CP8" s="74">
        <f>VLOOKUP($G$8&amp;$F$1,'Input RM sheet'!$A:$DD,CP1,0)</f>
        <v>0.62387522495500902</v>
      </c>
      <c r="CQ8" s="74">
        <f>VLOOKUP($G$8&amp;$F$1,'Input RM sheet'!$A:$ZZ,CQ1,0)</f>
        <v>0.61985933961139583</v>
      </c>
      <c r="CR8" s="74">
        <f>VLOOKUP($G$8&amp;$F$1,'Input RM sheet'!$A:$ZZ,CR1,0)</f>
        <v>0.64748201438848918</v>
      </c>
      <c r="CS8" s="74">
        <f>VLOOKUP($G$8&amp;$F$1,'Input RM sheet'!$A:$ZZ,CS1,0)</f>
        <v>0.6467065868263473</v>
      </c>
      <c r="CT8" s="74">
        <f>VLOOKUP($G$8&amp;$F$1,'Input RM sheet'!$A:$ZZ,CT1,0)</f>
        <v>0.67106051527860988</v>
      </c>
      <c r="CU8" s="74">
        <f>VLOOKUP($G$8&amp;$F$1,'Input RM sheet'!$A:$ZZ,CU1,0)</f>
        <v>0.67089972445189894</v>
      </c>
      <c r="CV8" s="74">
        <f>VLOOKUP($G$8&amp;$F$1,'Input RM sheet'!$A:$ZZ,CV1,0)</f>
        <v>0.67025733093955719</v>
      </c>
      <c r="CW8" s="74">
        <f>VLOOKUP($G$8&amp;$F$1,'Input RM sheet'!$A:$ZZ,CW1,0)</f>
        <v>0.65710872162485068</v>
      </c>
      <c r="CX8" s="74">
        <f>VLOOKUP($G$8&amp;$F$1,'Input RM sheet'!$A:$ZZ,CX1,0)</f>
        <v>0.65687328317210081</v>
      </c>
      <c r="CY8" s="74">
        <f>VLOOKUP($G$8&amp;$F$1,'Input RM sheet'!$A:$ZZ,CY1,0)</f>
        <v>0.67897558070279929</v>
      </c>
      <c r="CZ8" s="74">
        <f>VLOOKUP($G$8&amp;$F$1,'Input RM sheet'!$A:$ZZ,CZ1,0)</f>
        <v>0.67889471176750837</v>
      </c>
      <c r="DA8" s="74">
        <f>VLOOKUP($G$8&amp;$F$1,'Input RM sheet'!$A:$ZZ,DA1,0)</f>
        <v>0.6793802145411203</v>
      </c>
      <c r="DB8" s="74">
        <f>VLOOKUP($G$8&amp;$F$1,'Input RM sheet'!$A:$ZZ,DB1,0)</f>
        <v>0.67946119918941472</v>
      </c>
      <c r="DC8" s="74">
        <f>VLOOKUP($G$8&amp;$F$1,'Input RM sheet'!$A:$ZZ,DC1,0)</f>
        <v>0.62529776083849453</v>
      </c>
      <c r="DD8" s="74">
        <f>VLOOKUP($G$8&amp;$F$1,'Input RM sheet'!$A:$ZZ,DD1,0)</f>
        <v>0.62529776083849453</v>
      </c>
      <c r="DE8" s="74">
        <f>VLOOKUP($G$8&amp;$F$1,'Input RM sheet'!$A:$ZZ,DE1,0)</f>
        <v>0.59224694903086861</v>
      </c>
      <c r="DF8" s="74">
        <f>VLOOKUP($G$8&amp;$F$1,'Input RM sheet'!$A:$ZZ,DF1,0)</f>
        <v>0.59168061200095623</v>
      </c>
      <c r="DG8" s="74">
        <f>VLOOKUP($G$8&amp;$F$1,'Input RM sheet'!$A:$ZZ,DG1,0)</f>
        <v>0.58949624866023576</v>
      </c>
      <c r="DH8" s="74">
        <f>VLOOKUP($G$8&amp;$F$1,'Input RM sheet'!$A:$ZZ,DH1,0)</f>
        <v>0.60068990127274891</v>
      </c>
      <c r="DI8" s="74">
        <f>VLOOKUP($G$8&amp;$F$1,'Input RM sheet'!$A:$ZZ,DI1,0)</f>
        <v>0.60068990127274891</v>
      </c>
      <c r="DJ8" s="74">
        <f>VLOOKUP($G$8&amp;$F$1,'Input RM sheet'!$A:$ZZ,DJ1,0)</f>
        <v>0.60061845861084684</v>
      </c>
      <c r="DK8" s="74">
        <f>VLOOKUP($G$8&amp;$F$1,'Input RM sheet'!$A:$ZZ,DK1,0)</f>
        <v>0.60033285782215884</v>
      </c>
      <c r="DL8" s="74">
        <f>VLOOKUP($G$8&amp;$F$1,'Input RM sheet'!$A:$ZZ,DL1,0)</f>
        <v>0.59834123222748814</v>
      </c>
      <c r="DM8" s="74">
        <f>VLOOKUP($G$8&amp;$F$1,'Input RM sheet'!$A:$ZZ,DM1,0)</f>
        <v>0.61706419840987303</v>
      </c>
      <c r="DN8" s="74">
        <f>VLOOKUP($G$8&amp;$F$1,'Input RM sheet'!$A:$ZZ,DN1,0)</f>
        <v>0.61443932411674351</v>
      </c>
      <c r="DO8" s="74">
        <f>VLOOKUP($G$8&amp;$F$1,'Input RM sheet'!$A:$ZZ,DO1,0)</f>
        <v>0.6376195536663124</v>
      </c>
      <c r="DP8" s="74">
        <f>VLOOKUP($G$8&amp;$F$1,'Input RM sheet'!$A:$ZZ,DP1,0)</f>
        <v>0.63067311092773781</v>
      </c>
      <c r="DQ8" s="74">
        <f>VLOOKUP($G$8&amp;$F$1,'Input RM sheet'!$A:$ZZ,DQ1,0)</f>
        <v>0.63000471031559113</v>
      </c>
      <c r="DR8" s="74">
        <f>VLOOKUP($G$8&amp;$F$1,'Input RM sheet'!$A:$ZZ,DR1,0)</f>
        <v>0.62808170932143692</v>
      </c>
    </row>
    <row r="9" spans="1:140">
      <c r="A9" s="59" t="s">
        <v>395</v>
      </c>
      <c r="B9" s="59"/>
      <c r="C9" s="59" t="s">
        <v>379</v>
      </c>
      <c r="D9" s="59" t="s">
        <v>380</v>
      </c>
      <c r="E9" s="59" t="s">
        <v>381</v>
      </c>
      <c r="F9" s="59" t="s">
        <v>396</v>
      </c>
    </row>
    <row r="10" spans="1:140">
      <c r="A10" s="365" t="s">
        <v>397</v>
      </c>
      <c r="B10" s="60" t="s">
        <v>430</v>
      </c>
      <c r="C10" s="60">
        <v>1</v>
      </c>
      <c r="D10" s="64">
        <v>61.08</v>
      </c>
      <c r="E10" s="60">
        <f>D10*C10</f>
        <v>61.08</v>
      </c>
      <c r="F10" s="65">
        <f>E10/$D$4</f>
        <v>1.0163061564059899</v>
      </c>
      <c r="G10" s="60" t="s">
        <v>399</v>
      </c>
      <c r="H10" s="74">
        <f>$F$10*(H7/1000)</f>
        <v>1.1352139767054907</v>
      </c>
      <c r="I10" s="74">
        <f>$F$10*(I7/1000)</f>
        <v>1.1160311980033277</v>
      </c>
      <c r="J10" s="74">
        <f>$F$10*(J7/1000)</f>
        <v>1.0385378535773711</v>
      </c>
      <c r="K10" s="74">
        <f>$F$10*(K7/1000)</f>
        <v>0.89943094841930105</v>
      </c>
      <c r="L10" s="74">
        <f>$F$10*(L7/1000)</f>
        <v>0.83184658901830266</v>
      </c>
      <c r="M10" s="74">
        <f t="shared" ref="M10:S10" si="0">$F$10*(M7/1000)</f>
        <v>0.88228078202994997</v>
      </c>
      <c r="N10" s="74">
        <f t="shared" si="0"/>
        <v>0.85776239600665538</v>
      </c>
      <c r="O10" s="74">
        <f t="shared" si="0"/>
        <v>0.82320798668885187</v>
      </c>
      <c r="P10" s="74">
        <f t="shared" si="0"/>
        <v>0.84099334442595663</v>
      </c>
      <c r="Q10" s="74">
        <f t="shared" si="0"/>
        <v>0.86894176372712129</v>
      </c>
      <c r="R10" s="74">
        <f t="shared" si="0"/>
        <v>1.0023319467554075</v>
      </c>
      <c r="S10" s="74">
        <f t="shared" si="0"/>
        <v>1.1458851913477535</v>
      </c>
      <c r="T10" s="74">
        <f t="shared" ref="T10:CE10" si="1">$F$10*(T7/1000)</f>
        <v>1.0963402662229618</v>
      </c>
      <c r="U10" s="74">
        <f t="shared" si="1"/>
        <v>1.106757404326123</v>
      </c>
      <c r="V10" s="74">
        <f t="shared" si="1"/>
        <v>1.2429424292845257</v>
      </c>
      <c r="W10" s="74">
        <f t="shared" si="1"/>
        <v>1.2276978369384357</v>
      </c>
      <c r="X10" s="74">
        <f t="shared" si="1"/>
        <v>1.2525973377703825</v>
      </c>
      <c r="Y10" s="74">
        <f t="shared" si="1"/>
        <v>1.1865374376039932</v>
      </c>
      <c r="Z10" s="74">
        <f t="shared" si="1"/>
        <v>1.2744479201331114</v>
      </c>
      <c r="AA10" s="74">
        <f t="shared" si="1"/>
        <v>1.3466056572379366</v>
      </c>
      <c r="AB10" s="74">
        <f t="shared" si="1"/>
        <v>1.3326314475873542</v>
      </c>
      <c r="AC10" s="74">
        <f t="shared" si="1"/>
        <v>1.4787254575707154</v>
      </c>
      <c r="AD10" s="74">
        <f t="shared" si="1"/>
        <v>1.626089850249584</v>
      </c>
      <c r="AE10" s="74">
        <f t="shared" si="1"/>
        <v>1.6845274542429283</v>
      </c>
      <c r="AF10" s="74">
        <f t="shared" si="1"/>
        <v>1.8191880199667219</v>
      </c>
      <c r="AG10" s="74">
        <f t="shared" si="1"/>
        <v>1.9259001663893509</v>
      </c>
      <c r="AH10" s="74">
        <f t="shared" si="1"/>
        <v>2.0402346089850245</v>
      </c>
      <c r="AI10" s="74">
        <f t="shared" si="1"/>
        <v>2.1972539101497501</v>
      </c>
      <c r="AJ10" s="74">
        <f t="shared" si="1"/>
        <v>1.9487670549084855</v>
      </c>
      <c r="AK10" s="74">
        <f t="shared" si="1"/>
        <v>1.7340723793677202</v>
      </c>
      <c r="AL10" s="74">
        <f t="shared" si="1"/>
        <v>1.513279866888519</v>
      </c>
      <c r="AM10" s="74">
        <f t="shared" si="1"/>
        <v>1.2468806156405987</v>
      </c>
      <c r="AN10" s="74">
        <f t="shared" si="1"/>
        <v>1.2998555740432609</v>
      </c>
      <c r="AO10" s="74">
        <f t="shared" si="1"/>
        <v>1.2602196339434275</v>
      </c>
      <c r="AP10" s="74">
        <f t="shared" si="1"/>
        <v>1.1827262895174708</v>
      </c>
      <c r="AQ10" s="74">
        <f t="shared" si="1"/>
        <v>1.1585890183028285</v>
      </c>
      <c r="AR10" s="74">
        <f t="shared" si="1"/>
        <v>1.1433444259567387</v>
      </c>
      <c r="AS10" s="74">
        <f t="shared" si="1"/>
        <v>1.2545029118136437</v>
      </c>
      <c r="AT10" s="74">
        <f t="shared" si="1"/>
        <v>1.4228286189683856</v>
      </c>
      <c r="AU10" s="74">
        <f t="shared" si="1"/>
        <v>1.4228286189683856</v>
      </c>
      <c r="AV10" s="74">
        <f t="shared" si="1"/>
        <v>1.4228286189683856</v>
      </c>
      <c r="AW10" s="74">
        <f t="shared" si="1"/>
        <v>1.3720133111480863</v>
      </c>
      <c r="AX10" s="74">
        <f t="shared" si="1"/>
        <v>1.3720133111480863</v>
      </c>
      <c r="AY10" s="74">
        <f t="shared" si="1"/>
        <v>1.3211980033277868</v>
      </c>
      <c r="AZ10" s="74">
        <f t="shared" si="1"/>
        <v>1.3211980033277868</v>
      </c>
      <c r="BA10" s="74">
        <f t="shared" si="1"/>
        <v>1.3211980033277868</v>
      </c>
      <c r="BB10" s="74">
        <f t="shared" si="1"/>
        <v>1.3466056572379366</v>
      </c>
      <c r="BC10" s="74">
        <f t="shared" si="1"/>
        <v>1.3720133111480863</v>
      </c>
      <c r="BD10" s="74">
        <f t="shared" si="1"/>
        <v>1.3720133111480863</v>
      </c>
      <c r="BE10" s="74">
        <f t="shared" si="1"/>
        <v>1.4990515806988352</v>
      </c>
      <c r="BF10" s="74">
        <f t="shared" si="1"/>
        <v>1.5244592346089849</v>
      </c>
      <c r="BG10" s="74">
        <f t="shared" si="1"/>
        <v>1.5752745424292844</v>
      </c>
      <c r="BH10" s="74">
        <f t="shared" si="1"/>
        <v>1.5752745424292844</v>
      </c>
      <c r="BI10" s="74">
        <f t="shared" si="1"/>
        <v>1.5752745424292844</v>
      </c>
      <c r="BJ10" s="74">
        <f t="shared" si="1"/>
        <v>1.5244592346089849</v>
      </c>
      <c r="BK10" s="74">
        <f t="shared" si="1"/>
        <v>1.5244592346089849</v>
      </c>
      <c r="BL10" s="74">
        <f t="shared" si="1"/>
        <v>1.5244592346089849</v>
      </c>
      <c r="BM10" s="74">
        <f t="shared" si="1"/>
        <v>1.5244592346089849</v>
      </c>
      <c r="BN10" s="74">
        <f t="shared" si="1"/>
        <v>1.5244592346089849</v>
      </c>
      <c r="BO10" s="74">
        <f t="shared" si="1"/>
        <v>1.4736439267886852</v>
      </c>
      <c r="BP10" s="74">
        <f t="shared" si="1"/>
        <v>1.4736439267886852</v>
      </c>
      <c r="BQ10" s="74">
        <f t="shared" si="1"/>
        <v>1.4228286189683856</v>
      </c>
      <c r="BR10" s="74">
        <f t="shared" si="1"/>
        <v>1.3720133111480863</v>
      </c>
      <c r="BS10" s="74">
        <f t="shared" si="1"/>
        <v>1.3720133111480863</v>
      </c>
      <c r="BT10" s="74">
        <f t="shared" si="1"/>
        <v>1.3466056572379366</v>
      </c>
      <c r="BU10" s="74">
        <f t="shared" si="1"/>
        <v>1.3466056572379366</v>
      </c>
      <c r="BV10" s="74">
        <f t="shared" si="1"/>
        <v>1.3466056572379366</v>
      </c>
      <c r="BW10" s="74">
        <f t="shared" si="1"/>
        <v>1.3466056572379366</v>
      </c>
      <c r="BX10" s="74">
        <f t="shared" si="1"/>
        <v>1.3466056572379366</v>
      </c>
      <c r="BY10" s="74">
        <f t="shared" si="1"/>
        <v>1.3720133111480863</v>
      </c>
      <c r="BZ10" s="74">
        <f t="shared" si="1"/>
        <v>1.3720133111480863</v>
      </c>
      <c r="CA10" s="74">
        <f t="shared" si="1"/>
        <v>1.3720133111480863</v>
      </c>
      <c r="CB10" s="74">
        <f t="shared" si="1"/>
        <v>1.3720133111480863</v>
      </c>
      <c r="CC10" s="74">
        <f t="shared" si="1"/>
        <v>1.4228286189683856</v>
      </c>
      <c r="CD10" s="74">
        <f t="shared" si="1"/>
        <v>1.4228286189683856</v>
      </c>
      <c r="CE10" s="74">
        <f t="shared" si="1"/>
        <v>1.4228286189683856</v>
      </c>
      <c r="CF10" s="74">
        <f t="shared" ref="CF10:DR10" si="2">$F$10*(CF7/1000)</f>
        <v>1.4482362728785356</v>
      </c>
      <c r="CG10" s="74">
        <f t="shared" si="2"/>
        <v>1.4228286189683856</v>
      </c>
      <c r="CH10" s="74">
        <f t="shared" si="2"/>
        <v>1.4228286189683856</v>
      </c>
      <c r="CI10" s="74">
        <f t="shared" si="2"/>
        <v>1.4583993344425956</v>
      </c>
      <c r="CJ10" s="74">
        <f t="shared" si="2"/>
        <v>1.4583993344425956</v>
      </c>
      <c r="CK10" s="74">
        <f t="shared" si="2"/>
        <v>1.4583993344425956</v>
      </c>
      <c r="CL10" s="74">
        <f t="shared" si="2"/>
        <v>1.4583993344425956</v>
      </c>
      <c r="CM10" s="74">
        <f t="shared" si="2"/>
        <v>1.4583993344425956</v>
      </c>
      <c r="CN10" s="74">
        <f t="shared" si="2"/>
        <v>1.4583993344425956</v>
      </c>
      <c r="CO10" s="74">
        <f t="shared" si="2"/>
        <v>1.4583993344425956</v>
      </c>
      <c r="CP10" s="74">
        <f t="shared" si="2"/>
        <v>1.4583993344425956</v>
      </c>
      <c r="CQ10" s="74">
        <f t="shared" si="2"/>
        <v>1.4736439267886852</v>
      </c>
      <c r="CR10" s="74">
        <f t="shared" si="2"/>
        <v>1.4075840266222959</v>
      </c>
      <c r="CS10" s="74">
        <f t="shared" si="2"/>
        <v>1.3974209650582361</v>
      </c>
      <c r="CT10" s="74">
        <f t="shared" si="2"/>
        <v>1.3974209650582361</v>
      </c>
      <c r="CU10" s="74">
        <f t="shared" si="2"/>
        <v>1.3974209650582361</v>
      </c>
      <c r="CV10" s="74">
        <f t="shared" si="2"/>
        <v>1.2703826955074873</v>
      </c>
      <c r="CW10" s="74">
        <f t="shared" si="2"/>
        <v>1.2703826955074873</v>
      </c>
      <c r="CX10" s="74">
        <f t="shared" si="2"/>
        <v>1.2703826955074873</v>
      </c>
      <c r="CY10" s="74">
        <f t="shared" si="2"/>
        <v>1.2703826955074873</v>
      </c>
      <c r="CZ10" s="74">
        <f t="shared" si="2"/>
        <v>1.2703826955074873</v>
      </c>
      <c r="DA10" s="74">
        <f t="shared" si="2"/>
        <v>1.2703826955074873</v>
      </c>
      <c r="DB10" s="74">
        <f t="shared" si="2"/>
        <v>1.2703826955074873</v>
      </c>
      <c r="DC10" s="74">
        <f t="shared" si="2"/>
        <v>1.2703826955074873</v>
      </c>
      <c r="DD10" s="74">
        <f t="shared" si="2"/>
        <v>1.2703826955074873</v>
      </c>
      <c r="DE10" s="74">
        <f t="shared" si="2"/>
        <v>1.2703826955074873</v>
      </c>
      <c r="DF10" s="74">
        <f t="shared" si="2"/>
        <v>1.2703826955074873</v>
      </c>
      <c r="DG10" s="74">
        <f t="shared" si="2"/>
        <v>1.2703826955074873</v>
      </c>
      <c r="DH10" s="74">
        <f t="shared" si="2"/>
        <v>1.2195673876871878</v>
      </c>
      <c r="DI10" s="74">
        <f t="shared" si="2"/>
        <v>1.2195673876871878</v>
      </c>
      <c r="DJ10" s="74">
        <f t="shared" si="2"/>
        <v>1.2195673876871878</v>
      </c>
      <c r="DK10" s="74">
        <f t="shared" si="2"/>
        <v>1.2195673876871878</v>
      </c>
      <c r="DL10" s="74">
        <f t="shared" si="2"/>
        <v>1.1687520798668882</v>
      </c>
      <c r="DM10" s="74">
        <f t="shared" si="2"/>
        <v>1.1687520798668882</v>
      </c>
      <c r="DN10" s="74">
        <f t="shared" si="2"/>
        <v>1.1687520798668882</v>
      </c>
      <c r="DO10" s="74">
        <f t="shared" si="2"/>
        <v>1.1687520798668882</v>
      </c>
      <c r="DP10" s="74">
        <f t="shared" si="2"/>
        <v>1.1687520798668882</v>
      </c>
      <c r="DQ10" s="74">
        <f t="shared" si="2"/>
        <v>1.1687520798668882</v>
      </c>
      <c r="DR10" s="74">
        <f t="shared" si="2"/>
        <v>1.1687520798668882</v>
      </c>
    </row>
    <row r="11" spans="1:140">
      <c r="A11" s="366"/>
      <c r="B11" s="60" t="s">
        <v>427</v>
      </c>
      <c r="C11" s="60">
        <v>1</v>
      </c>
      <c r="D11" s="64">
        <v>17.03</v>
      </c>
      <c r="E11" s="60">
        <f>D11*C11</f>
        <v>17.03</v>
      </c>
      <c r="F11" s="65">
        <f>(17.03/D4)/2</f>
        <v>0.14168053244592346</v>
      </c>
      <c r="H11" s="74">
        <f>$F$11*H8</f>
        <v>7.1725867401237556E-2</v>
      </c>
      <c r="I11" s="74">
        <f>$F$11*I8</f>
        <v>7.1697509106960586E-2</v>
      </c>
      <c r="J11" s="74">
        <f>$F$11*J8</f>
        <v>6.8808858323828798E-2</v>
      </c>
      <c r="K11" s="74">
        <f>$F$11*K8</f>
        <v>6.6030086725118523E-2</v>
      </c>
      <c r="L11" s="74">
        <f>$F$11*L8</f>
        <v>6.6995583528307409E-2</v>
      </c>
      <c r="M11" s="74">
        <f t="shared" ref="M11:S11" si="3">$F$11*M8</f>
        <v>6.2549251718173951E-2</v>
      </c>
      <c r="N11" s="74">
        <f t="shared" si="3"/>
        <v>6.152694459873892E-2</v>
      </c>
      <c r="O11" s="74">
        <f t="shared" si="3"/>
        <v>6.0265574145117962E-2</v>
      </c>
      <c r="P11" s="74">
        <f t="shared" si="3"/>
        <v>6.1253795094104009E-2</v>
      </c>
      <c r="Q11" s="74">
        <f t="shared" si="3"/>
        <v>6.0777359643989073E-2</v>
      </c>
      <c r="R11" s="74">
        <f t="shared" si="3"/>
        <v>6.0191926850973645E-2</v>
      </c>
      <c r="S11" s="74">
        <f t="shared" si="3"/>
        <v>6.3863847721563935E-2</v>
      </c>
      <c r="T11" s="74">
        <f t="shared" ref="T11:CE11" si="4">$F$11*T8</f>
        <v>6.7485371441720232E-2</v>
      </c>
      <c r="U11" s="74">
        <f t="shared" si="4"/>
        <v>7.200796291894461E-2</v>
      </c>
      <c r="V11" s="74">
        <f t="shared" si="4"/>
        <v>7.200796291894461E-2</v>
      </c>
      <c r="W11" s="74">
        <f t="shared" si="4"/>
        <v>7.5597221641926629E-2</v>
      </c>
      <c r="X11" s="74">
        <f t="shared" si="4"/>
        <v>8.4137927118056927E-2</v>
      </c>
      <c r="Y11" s="74">
        <f t="shared" si="4"/>
        <v>8.9870614131308688E-2</v>
      </c>
      <c r="Z11" s="74">
        <f t="shared" si="4"/>
        <v>0.10284825021791208</v>
      </c>
      <c r="AA11" s="74">
        <f t="shared" si="4"/>
        <v>0.10327016906405762</v>
      </c>
      <c r="AB11" s="74">
        <f t="shared" si="4"/>
        <v>0.10606628139232044</v>
      </c>
      <c r="AC11" s="74">
        <f t="shared" si="4"/>
        <v>0.11216637313900105</v>
      </c>
      <c r="AD11" s="74">
        <f t="shared" si="4"/>
        <v>0.11630176646503021</v>
      </c>
      <c r="AE11" s="74">
        <f t="shared" si="4"/>
        <v>0.11988240680986548</v>
      </c>
      <c r="AF11" s="74">
        <f t="shared" si="4"/>
        <v>0.14968247352142544</v>
      </c>
      <c r="AG11" s="74">
        <f t="shared" si="4"/>
        <v>0.17084503837155657</v>
      </c>
      <c r="AH11" s="74">
        <f t="shared" si="4"/>
        <v>0.18817381437489589</v>
      </c>
      <c r="AI11" s="74">
        <f t="shared" si="4"/>
        <v>0.17859999224671308</v>
      </c>
      <c r="AJ11" s="74">
        <f t="shared" si="4"/>
        <v>0.15927862515911462</v>
      </c>
      <c r="AK11" s="74">
        <f t="shared" si="4"/>
        <v>0.15839581726742999</v>
      </c>
      <c r="AL11" s="74">
        <f t="shared" si="4"/>
        <v>0.15343041718231215</v>
      </c>
      <c r="AM11" s="74">
        <f t="shared" si="4"/>
        <v>0.15379447640475907</v>
      </c>
      <c r="AN11" s="74">
        <f t="shared" si="4"/>
        <v>0.14947043137435562</v>
      </c>
      <c r="AO11" s="74">
        <f t="shared" si="4"/>
        <v>0.1521649744966497</v>
      </c>
      <c r="AP11" s="74">
        <f t="shared" si="4"/>
        <v>0.1613060245450019</v>
      </c>
      <c r="AQ11" s="74">
        <f t="shared" si="4"/>
        <v>0.15325318628398987</v>
      </c>
      <c r="AR11" s="74">
        <f t="shared" si="4"/>
        <v>0.14133525495706933</v>
      </c>
      <c r="AS11" s="74">
        <f t="shared" si="4"/>
        <v>0.13111914417075379</v>
      </c>
      <c r="AT11" s="74">
        <f t="shared" si="4"/>
        <v>0.12766864037678657</v>
      </c>
      <c r="AU11" s="74">
        <f t="shared" si="4"/>
        <v>0.10593046647479319</v>
      </c>
      <c r="AV11" s="74">
        <f t="shared" si="4"/>
        <v>0.10006461002504895</v>
      </c>
      <c r="AW11" s="74">
        <f t="shared" si="4"/>
        <v>8.7584329148389053E-2</v>
      </c>
      <c r="AX11" s="74">
        <f t="shared" si="4"/>
        <v>8.7648073201626597E-2</v>
      </c>
      <c r="AY11" s="74">
        <f t="shared" si="4"/>
        <v>8.7925373019494962E-2</v>
      </c>
      <c r="AZ11" s="74">
        <f t="shared" si="4"/>
        <v>8.8204433041285363E-2</v>
      </c>
      <c r="BA11" s="74">
        <f t="shared" si="4"/>
        <v>8.4395162774741656E-2</v>
      </c>
      <c r="BB11" s="74">
        <f t="shared" si="4"/>
        <v>8.3814392005918753E-2</v>
      </c>
      <c r="BC11" s="74">
        <f t="shared" si="4"/>
        <v>8.3391544622825817E-2</v>
      </c>
      <c r="BD11" s="74">
        <f t="shared" si="4"/>
        <v>8.3391544622825817E-2</v>
      </c>
      <c r="BE11" s="74">
        <f t="shared" si="4"/>
        <v>8.3996927886875364E-2</v>
      </c>
      <c r="BF11" s="74">
        <f t="shared" si="4"/>
        <v>8.3592367126432865E-2</v>
      </c>
      <c r="BG11" s="74">
        <f t="shared" si="4"/>
        <v>8.0286773872177516E-2</v>
      </c>
      <c r="BH11" s="74">
        <f t="shared" si="4"/>
        <v>8.3713325573981062E-2</v>
      </c>
      <c r="BI11" s="74">
        <f t="shared" si="4"/>
        <v>8.3381528823567724E-2</v>
      </c>
      <c r="BJ11" s="74">
        <f t="shared" si="4"/>
        <v>9.7041460579399622E-2</v>
      </c>
      <c r="BK11" s="74">
        <f t="shared" si="4"/>
        <v>9.7006490683695337E-2</v>
      </c>
      <c r="BL11" s="74">
        <f t="shared" si="4"/>
        <v>9.3749149236354551E-2</v>
      </c>
      <c r="BM11" s="74">
        <f t="shared" si="4"/>
        <v>9.8696503505447508E-2</v>
      </c>
      <c r="BN11" s="74">
        <f t="shared" si="4"/>
        <v>9.8743942343950494E-2</v>
      </c>
      <c r="BO11" s="74">
        <f t="shared" si="4"/>
        <v>9.8779551410789285E-2</v>
      </c>
      <c r="BP11" s="74">
        <f t="shared" si="4"/>
        <v>9.8779551410789285E-2</v>
      </c>
      <c r="BQ11" s="74">
        <f t="shared" si="4"/>
        <v>9.8613595126167783E-2</v>
      </c>
      <c r="BR11" s="74">
        <f t="shared" si="4"/>
        <v>9.8530825921625431E-2</v>
      </c>
      <c r="BS11" s="74">
        <f t="shared" si="4"/>
        <v>9.0079993037835218E-2</v>
      </c>
      <c r="BT11" s="74">
        <f t="shared" si="4"/>
        <v>9.1911926382506823E-2</v>
      </c>
      <c r="BU11" s="74">
        <f t="shared" si="4"/>
        <v>9.1823676813248531E-2</v>
      </c>
      <c r="BV11" s="74">
        <f t="shared" si="4"/>
        <v>8.9466297250553065E-2</v>
      </c>
      <c r="BW11" s="74">
        <f t="shared" si="4"/>
        <v>9.3715325129594587E-2</v>
      </c>
      <c r="BX11" s="74">
        <f t="shared" si="4"/>
        <v>9.3602754168477964E-2</v>
      </c>
      <c r="BY11" s="74">
        <f t="shared" si="4"/>
        <v>9.5522632036741079E-2</v>
      </c>
      <c r="BZ11" s="74">
        <f t="shared" si="4"/>
        <v>9.559168454182787E-2</v>
      </c>
      <c r="CA11" s="74">
        <f t="shared" si="4"/>
        <v>9.5580168858832831E-2</v>
      </c>
      <c r="CB11" s="74">
        <f t="shared" si="4"/>
        <v>9.5706994173362051E-2</v>
      </c>
      <c r="CC11" s="74">
        <f t="shared" si="4"/>
        <v>9.5706994173362051E-2</v>
      </c>
      <c r="CD11" s="74">
        <f t="shared" si="4"/>
        <v>9.0798890201135948E-2</v>
      </c>
      <c r="CE11" s="74">
        <f t="shared" si="4"/>
        <v>9.0733062102875101E-2</v>
      </c>
      <c r="CF11" s="74">
        <f t="shared" ref="CF11:DR11" si="5">$F$11*CF8</f>
        <v>9.0188184237736529E-2</v>
      </c>
      <c r="CG11" s="74">
        <f t="shared" si="5"/>
        <v>9.0047586276938998E-2</v>
      </c>
      <c r="CH11" s="74">
        <f t="shared" si="5"/>
        <v>9.0242377354091394E-2</v>
      </c>
      <c r="CI11" s="74">
        <f t="shared" si="5"/>
        <v>9.0036789204243919E-2</v>
      </c>
      <c r="CJ11" s="74">
        <f t="shared" si="5"/>
        <v>8.9810647286615766E-2</v>
      </c>
      <c r="CK11" s="74">
        <f t="shared" si="5"/>
        <v>9.3412002931260979E-2</v>
      </c>
      <c r="CL11" s="74">
        <f t="shared" si="5"/>
        <v>9.3322506401506466E-2</v>
      </c>
      <c r="CM11" s="74">
        <f t="shared" si="5"/>
        <v>9.3490453323644765E-2</v>
      </c>
      <c r="CN11" s="74">
        <f t="shared" si="5"/>
        <v>8.8390974051445956E-2</v>
      </c>
      <c r="CO11" s="74">
        <f t="shared" si="5"/>
        <v>8.8390974051445956E-2</v>
      </c>
      <c r="CP11" s="74">
        <f t="shared" si="5"/>
        <v>8.8390974051445956E-2</v>
      </c>
      <c r="CQ11" s="74">
        <f t="shared" si="5"/>
        <v>8.7822001277721051E-2</v>
      </c>
      <c r="CR11" s="74">
        <f t="shared" si="5"/>
        <v>9.1735596547720219E-2</v>
      </c>
      <c r="CS11" s="74">
        <f t="shared" si="5"/>
        <v>9.1625733557842717E-2</v>
      </c>
      <c r="CT11" s="74">
        <f t="shared" si="5"/>
        <v>9.507621110810921E-2</v>
      </c>
      <c r="CU11" s="74">
        <f t="shared" si="5"/>
        <v>9.5053430178168377E-2</v>
      </c>
      <c r="CV11" s="74">
        <f t="shared" si="5"/>
        <v>9.4962415523299995E-2</v>
      </c>
      <c r="CW11" s="74">
        <f t="shared" si="5"/>
        <v>9.3099513554668945E-2</v>
      </c>
      <c r="CX11" s="74">
        <f t="shared" si="5"/>
        <v>9.3066156509325093E-2</v>
      </c>
      <c r="CY11" s="74">
        <f t="shared" si="5"/>
        <v>9.6197621791752674E-2</v>
      </c>
      <c r="CZ11" s="74">
        <f t="shared" si="5"/>
        <v>9.6186164237942323E-2</v>
      </c>
      <c r="DA11" s="74">
        <f t="shared" si="5"/>
        <v>9.6254950529411631E-2</v>
      </c>
      <c r="DB11" s="74">
        <f t="shared" si="5"/>
        <v>9.6266424477501944E-2</v>
      </c>
      <c r="DC11" s="74">
        <f t="shared" si="5"/>
        <v>8.8592519692841612E-2</v>
      </c>
      <c r="DD11" s="74">
        <f t="shared" si="5"/>
        <v>8.8592519692841612E-2</v>
      </c>
      <c r="DE11" s="74">
        <f t="shared" si="5"/>
        <v>8.3909863078167155E-2</v>
      </c>
      <c r="DF11" s="74">
        <f t="shared" si="5"/>
        <v>8.3829624146225329E-2</v>
      </c>
      <c r="DG11" s="74">
        <f t="shared" si="5"/>
        <v>8.35201423850567E-2</v>
      </c>
      <c r="DH11" s="74">
        <f t="shared" si="5"/>
        <v>8.5106065047212257E-2</v>
      </c>
      <c r="DI11" s="74">
        <f t="shared" si="5"/>
        <v>8.5106065047212257E-2</v>
      </c>
      <c r="DJ11" s="74">
        <f t="shared" si="5"/>
        <v>8.5095943012834629E-2</v>
      </c>
      <c r="DK11" s="74">
        <f t="shared" si="5"/>
        <v>8.505547894102633E-2</v>
      </c>
      <c r="DL11" s="74">
        <f t="shared" si="5"/>
        <v>8.4773304366340466E-2</v>
      </c>
      <c r="DM11" s="74">
        <f t="shared" si="5"/>
        <v>8.7425984184027764E-2</v>
      </c>
      <c r="DN11" s="74">
        <f t="shared" si="5"/>
        <v>8.7054090596573569E-2</v>
      </c>
      <c r="DO11" s="74">
        <f t="shared" si="5"/>
        <v>9.0338277861375216E-2</v>
      </c>
      <c r="DP11" s="74">
        <f t="shared" si="5"/>
        <v>8.935410215556884E-2</v>
      </c>
      <c r="DQ11" s="74">
        <f t="shared" si="5"/>
        <v>8.9259402800952722E-2</v>
      </c>
      <c r="DR11" s="74">
        <f t="shared" si="5"/>
        <v>8.8986950996206918E-2</v>
      </c>
    </row>
    <row r="12" spans="1:140" s="73" customFormat="1">
      <c r="A12" s="160"/>
      <c r="F12" s="73" t="s">
        <v>400</v>
      </c>
      <c r="H12" s="94">
        <f t="shared" ref="H12:AM12" si="6">SUM(H10:H11)</f>
        <v>1.2069398441067283</v>
      </c>
      <c r="I12" s="94">
        <f t="shared" si="6"/>
        <v>1.1877287071102882</v>
      </c>
      <c r="J12" s="94">
        <f t="shared" si="6"/>
        <v>1.1073467119011999</v>
      </c>
      <c r="K12" s="94">
        <f t="shared" si="6"/>
        <v>0.96546103514441961</v>
      </c>
      <c r="L12" s="94">
        <f t="shared" si="6"/>
        <v>0.89884217254661003</v>
      </c>
      <c r="M12" s="94">
        <f t="shared" si="6"/>
        <v>0.94483003374812391</v>
      </c>
      <c r="N12" s="94">
        <f t="shared" si="6"/>
        <v>0.91928934060539436</v>
      </c>
      <c r="O12" s="94">
        <f t="shared" si="6"/>
        <v>0.88347356083396988</v>
      </c>
      <c r="P12" s="94">
        <f t="shared" si="6"/>
        <v>0.90224713952006064</v>
      </c>
      <c r="Q12" s="94">
        <f t="shared" si="6"/>
        <v>0.9297191233711104</v>
      </c>
      <c r="R12" s="94">
        <f t="shared" si="6"/>
        <v>1.0625238736063811</v>
      </c>
      <c r="S12" s="94">
        <f t="shared" si="6"/>
        <v>1.2097490390693173</v>
      </c>
      <c r="T12" s="94">
        <f t="shared" si="6"/>
        <v>1.1638256376646821</v>
      </c>
      <c r="U12" s="94">
        <f t="shared" si="6"/>
        <v>1.1787653672450675</v>
      </c>
      <c r="V12" s="94">
        <f t="shared" si="6"/>
        <v>1.3149503922034702</v>
      </c>
      <c r="W12" s="94">
        <f t="shared" si="6"/>
        <v>1.3032950585803624</v>
      </c>
      <c r="X12" s="94">
        <f t="shared" si="6"/>
        <v>1.3367352648884394</v>
      </c>
      <c r="Y12" s="94">
        <f t="shared" si="6"/>
        <v>1.2764080517353018</v>
      </c>
      <c r="Z12" s="94">
        <f t="shared" si="6"/>
        <v>1.3772961703510234</v>
      </c>
      <c r="AA12" s="94">
        <f t="shared" si="6"/>
        <v>1.4498758263019942</v>
      </c>
      <c r="AB12" s="94">
        <f t="shared" si="6"/>
        <v>1.4386977289796747</v>
      </c>
      <c r="AC12" s="94">
        <f t="shared" si="6"/>
        <v>1.5908918307097164</v>
      </c>
      <c r="AD12" s="94">
        <f t="shared" si="6"/>
        <v>1.7423916167146141</v>
      </c>
      <c r="AE12" s="94">
        <f t="shared" si="6"/>
        <v>1.8044098610527937</v>
      </c>
      <c r="AF12" s="94">
        <f t="shared" si="6"/>
        <v>1.9688704934881474</v>
      </c>
      <c r="AG12" s="94">
        <f t="shared" si="6"/>
        <v>2.0967452047609076</v>
      </c>
      <c r="AH12" s="94">
        <f t="shared" si="6"/>
        <v>2.2284084233599204</v>
      </c>
      <c r="AI12" s="94">
        <f t="shared" si="6"/>
        <v>2.3758539023964631</v>
      </c>
      <c r="AJ12" s="94">
        <f t="shared" si="6"/>
        <v>2.1080456800676002</v>
      </c>
      <c r="AK12" s="94">
        <f t="shared" si="6"/>
        <v>1.8924681966351502</v>
      </c>
      <c r="AL12" s="94">
        <f t="shared" si="6"/>
        <v>1.6667102840708312</v>
      </c>
      <c r="AM12" s="94">
        <f t="shared" si="6"/>
        <v>1.4006750920453577</v>
      </c>
      <c r="AN12" s="94">
        <f t="shared" ref="AN12:AZ12" si="7">SUM(AN10:AN11)</f>
        <v>1.4493260054176165</v>
      </c>
      <c r="AO12" s="94">
        <f t="shared" si="7"/>
        <v>1.4123846084400773</v>
      </c>
      <c r="AP12" s="94">
        <f t="shared" si="7"/>
        <v>1.3440323140624728</v>
      </c>
      <c r="AQ12" s="94">
        <f t="shared" si="7"/>
        <v>1.3118422045868183</v>
      </c>
      <c r="AR12" s="94">
        <f t="shared" si="7"/>
        <v>1.2846796809138081</v>
      </c>
      <c r="AS12" s="94">
        <f t="shared" si="7"/>
        <v>1.3856220559843975</v>
      </c>
      <c r="AT12" s="94">
        <f t="shared" si="7"/>
        <v>1.5504972593451722</v>
      </c>
      <c r="AU12" s="94">
        <f t="shared" si="7"/>
        <v>1.5287590854431787</v>
      </c>
      <c r="AV12" s="94">
        <f t="shared" si="7"/>
        <v>1.5228932289934345</v>
      </c>
      <c r="AW12" s="94">
        <f t="shared" si="7"/>
        <v>1.4595976402964754</v>
      </c>
      <c r="AX12" s="94">
        <f t="shared" si="7"/>
        <v>1.459661384349713</v>
      </c>
      <c r="AY12" s="94">
        <f t="shared" si="7"/>
        <v>1.4091233763472817</v>
      </c>
      <c r="AZ12" s="94">
        <f t="shared" si="7"/>
        <v>1.4094024363690723</v>
      </c>
      <c r="BA12" s="94">
        <f t="shared" ref="BA12:BM12" si="8">SUM(BA10:BA11)</f>
        <v>1.4055931661025285</v>
      </c>
      <c r="BB12" s="94">
        <f t="shared" si="8"/>
        <v>1.4304200492438552</v>
      </c>
      <c r="BC12" s="94">
        <f t="shared" si="8"/>
        <v>1.4554048557709121</v>
      </c>
      <c r="BD12" s="94">
        <f t="shared" si="8"/>
        <v>1.4554048557709121</v>
      </c>
      <c r="BE12" s="94">
        <f t="shared" si="8"/>
        <v>1.5830485085857104</v>
      </c>
      <c r="BF12" s="94">
        <f t="shared" si="8"/>
        <v>1.6080516017354178</v>
      </c>
      <c r="BG12" s="94">
        <f t="shared" si="8"/>
        <v>1.655561316301462</v>
      </c>
      <c r="BH12" s="94">
        <f t="shared" si="8"/>
        <v>1.6589878680032655</v>
      </c>
      <c r="BI12" s="94">
        <f t="shared" si="8"/>
        <v>1.6586560712528522</v>
      </c>
      <c r="BJ12" s="94">
        <f t="shared" si="8"/>
        <v>1.6215006951883846</v>
      </c>
      <c r="BK12" s="94">
        <f t="shared" si="8"/>
        <v>1.6214657252926803</v>
      </c>
      <c r="BL12" s="94">
        <f t="shared" si="8"/>
        <v>1.6182083838453394</v>
      </c>
      <c r="BM12" s="94">
        <f t="shared" si="8"/>
        <v>1.6231557381144324</v>
      </c>
      <c r="BN12" s="94">
        <f t="shared" ref="BN12:BU12" si="9">SUM(BN10:BN11)</f>
        <v>1.6232031769529354</v>
      </c>
      <c r="BO12" s="94">
        <f t="shared" si="9"/>
        <v>1.5724234781994744</v>
      </c>
      <c r="BP12" s="94">
        <f t="shared" si="9"/>
        <v>1.5724234781994744</v>
      </c>
      <c r="BQ12" s="94">
        <f t="shared" si="9"/>
        <v>1.5214422140945534</v>
      </c>
      <c r="BR12" s="94">
        <f t="shared" si="9"/>
        <v>1.4705441370697119</v>
      </c>
      <c r="BS12" s="94">
        <f t="shared" si="9"/>
        <v>1.4620933041859216</v>
      </c>
      <c r="BT12" s="94">
        <f t="shared" si="9"/>
        <v>1.4385175836204434</v>
      </c>
      <c r="BU12" s="94">
        <f t="shared" si="9"/>
        <v>1.4384293340511851</v>
      </c>
      <c r="BV12" s="94">
        <f t="shared" ref="BV12:CG12" si="10">SUM(BV10:BV11)</f>
        <v>1.4360719544884897</v>
      </c>
      <c r="BW12" s="94">
        <f t="shared" si="10"/>
        <v>1.4403209823675311</v>
      </c>
      <c r="BX12" s="94">
        <f t="shared" si="10"/>
        <v>1.4402084114064144</v>
      </c>
      <c r="BY12" s="94">
        <f t="shared" si="10"/>
        <v>1.4675359431848274</v>
      </c>
      <c r="BZ12" s="94">
        <f t="shared" si="10"/>
        <v>1.4676049956899142</v>
      </c>
      <c r="CA12" s="94">
        <f t="shared" si="10"/>
        <v>1.4675934800069192</v>
      </c>
      <c r="CB12" s="94">
        <f t="shared" si="10"/>
        <v>1.4677203053214485</v>
      </c>
      <c r="CC12" s="94">
        <f t="shared" si="10"/>
        <v>1.5185356131417478</v>
      </c>
      <c r="CD12" s="94">
        <f t="shared" si="10"/>
        <v>1.5136275091695215</v>
      </c>
      <c r="CE12" s="94">
        <f t="shared" si="10"/>
        <v>1.5135616810712607</v>
      </c>
      <c r="CF12" s="94">
        <f t="shared" si="10"/>
        <v>1.5384244571162722</v>
      </c>
      <c r="CG12" s="94">
        <f t="shared" si="10"/>
        <v>1.5128762052453246</v>
      </c>
      <c r="CH12" s="94">
        <f t="shared" ref="CH12:CM12" si="11">SUM(CH10:CH11)</f>
        <v>1.5130709963224771</v>
      </c>
      <c r="CI12" s="94">
        <f t="shared" si="11"/>
        <v>1.5484361236468396</v>
      </c>
      <c r="CJ12" s="94">
        <f t="shared" si="11"/>
        <v>1.5482099817292114</v>
      </c>
      <c r="CK12" s="94">
        <f t="shared" si="11"/>
        <v>1.5518113373738567</v>
      </c>
      <c r="CL12" s="94">
        <f t="shared" si="11"/>
        <v>1.551721840844102</v>
      </c>
      <c r="CM12" s="94">
        <f t="shared" si="11"/>
        <v>1.5518897877662403</v>
      </c>
      <c r="CN12" s="94">
        <f>SUM(CN10:CN11)</f>
        <v>1.5467903084940415</v>
      </c>
      <c r="CO12" s="94">
        <f>SUM(CO10:CO11)</f>
        <v>1.5467903084940415</v>
      </c>
      <c r="CP12" s="94">
        <f>SUM(CP10:CP11)</f>
        <v>1.5467903084940415</v>
      </c>
      <c r="CQ12" s="94">
        <f>SUM(CQ10:CQ11)</f>
        <v>1.5614659280664063</v>
      </c>
      <c r="CR12" s="94">
        <f t="shared" ref="CR12:DR12" si="12">SUM(CR10:CR11)</f>
        <v>1.4993196231700161</v>
      </c>
      <c r="CS12" s="94">
        <f t="shared" si="12"/>
        <v>1.4890466986160789</v>
      </c>
      <c r="CT12" s="94">
        <f t="shared" si="12"/>
        <v>1.4924971761663453</v>
      </c>
      <c r="CU12" s="94">
        <f t="shared" si="12"/>
        <v>1.4924743952364046</v>
      </c>
      <c r="CV12" s="94">
        <f t="shared" si="12"/>
        <v>1.3653451110307873</v>
      </c>
      <c r="CW12" s="94">
        <f t="shared" si="12"/>
        <v>1.3634822090621563</v>
      </c>
      <c r="CX12" s="94">
        <f t="shared" si="12"/>
        <v>1.3634488520168124</v>
      </c>
      <c r="CY12" s="94">
        <f t="shared" si="12"/>
        <v>1.3665803172992399</v>
      </c>
      <c r="CZ12" s="94">
        <f t="shared" si="12"/>
        <v>1.3665688597454295</v>
      </c>
      <c r="DA12" s="94">
        <f t="shared" si="12"/>
        <v>1.366637646036899</v>
      </c>
      <c r="DB12" s="94">
        <f t="shared" si="12"/>
        <v>1.3666491199849893</v>
      </c>
      <c r="DC12" s="94">
        <f t="shared" si="12"/>
        <v>1.3589752152003289</v>
      </c>
      <c r="DD12" s="94">
        <f t="shared" si="12"/>
        <v>1.3589752152003289</v>
      </c>
      <c r="DE12" s="94">
        <f t="shared" si="12"/>
        <v>1.3542925585856544</v>
      </c>
      <c r="DF12" s="94">
        <f t="shared" si="12"/>
        <v>1.3542123196537126</v>
      </c>
      <c r="DG12" s="94">
        <f t="shared" si="12"/>
        <v>1.353902837892544</v>
      </c>
      <c r="DH12" s="94">
        <f t="shared" si="12"/>
        <v>1.3046734527343999</v>
      </c>
      <c r="DI12" s="94">
        <f t="shared" si="12"/>
        <v>1.3046734527343999</v>
      </c>
      <c r="DJ12" s="94">
        <f t="shared" si="12"/>
        <v>1.3046633307000224</v>
      </c>
      <c r="DK12" s="94">
        <f t="shared" si="12"/>
        <v>1.304622866628214</v>
      </c>
      <c r="DL12" s="94">
        <f t="shared" si="12"/>
        <v>1.2535253842332288</v>
      </c>
      <c r="DM12" s="94">
        <f t="shared" si="12"/>
        <v>1.2561780640509159</v>
      </c>
      <c r="DN12" s="94">
        <f t="shared" si="12"/>
        <v>1.2558061704634618</v>
      </c>
      <c r="DO12" s="94">
        <f t="shared" si="12"/>
        <v>1.2590903577282635</v>
      </c>
      <c r="DP12" s="94">
        <f t="shared" si="12"/>
        <v>1.2581061820224571</v>
      </c>
      <c r="DQ12" s="94">
        <f t="shared" si="12"/>
        <v>1.258011482667841</v>
      </c>
      <c r="DR12" s="94">
        <f t="shared" si="12"/>
        <v>1.2577390308630951</v>
      </c>
    </row>
    <row r="13" spans="1:140">
      <c r="G13" s="60" t="s">
        <v>429</v>
      </c>
      <c r="K13" s="60">
        <v>1.63</v>
      </c>
      <c r="L13" s="65">
        <f>140/75.63</f>
        <v>1.8511172815020496</v>
      </c>
      <c r="M13" s="60">
        <v>1.55</v>
      </c>
      <c r="T13" s="74">
        <f>361/73.13</f>
        <v>4.9364146041296326</v>
      </c>
      <c r="Y13" s="65">
        <f>430/73.54</f>
        <v>5.8471580092466677</v>
      </c>
      <c r="Z13" s="65">
        <f>430/73.54</f>
        <v>5.8471580092466677</v>
      </c>
      <c r="AD13" s="60">
        <v>3.3</v>
      </c>
      <c r="AE13" s="65">
        <f>279/75.42</f>
        <v>3.6992840095465391</v>
      </c>
      <c r="AX13" s="60">
        <v>1.8</v>
      </c>
      <c r="CD13" s="60">
        <f>200/83</f>
        <v>2.4096385542168677</v>
      </c>
      <c r="CQ13" s="60">
        <v>1.73</v>
      </c>
      <c r="DC13" s="60">
        <v>1.395</v>
      </c>
    </row>
    <row r="14" spans="1:140" s="73" customFormat="1">
      <c r="G14" s="59" t="s">
        <v>406</v>
      </c>
      <c r="K14" s="93">
        <f>K13-K12</f>
        <v>0.66453896485558028</v>
      </c>
      <c r="L14" s="93">
        <f>L13-L12</f>
        <v>0.95227510895543954</v>
      </c>
      <c r="M14" s="103">
        <f>M13-M12</f>
        <v>0.60516996625187613</v>
      </c>
      <c r="T14" s="93">
        <f>T13-T12</f>
        <v>3.7725889664649506</v>
      </c>
      <c r="Y14" s="93">
        <f>Y13-Y12</f>
        <v>4.5707499575113655</v>
      </c>
      <c r="Z14" s="93">
        <f>Z13-Z12</f>
        <v>4.4698618388956444</v>
      </c>
      <c r="AD14" s="93">
        <f>AD13-AD12</f>
        <v>1.5576083832853858</v>
      </c>
      <c r="AE14" s="93">
        <f>AE13-AE12</f>
        <v>1.8948741484937455</v>
      </c>
      <c r="AX14" s="93">
        <f>AX13-AX12</f>
        <v>0.340338615650287</v>
      </c>
      <c r="CD14" s="93">
        <f>CD13-CD12</f>
        <v>0.89601104504734619</v>
      </c>
      <c r="CQ14" s="93">
        <f>CQ13-CQ12</f>
        <v>0.16853407193359371</v>
      </c>
      <c r="DC14" s="93">
        <f>DC13-DC12</f>
        <v>3.6024784799671083E-2</v>
      </c>
    </row>
    <row r="17" spans="7:122" s="161" customFormat="1">
      <c r="G17" s="161" t="s">
        <v>407</v>
      </c>
      <c r="H17" s="162">
        <f>0.61+H12</f>
        <v>1.8169398441067282</v>
      </c>
      <c r="I17" s="162">
        <f t="shared" ref="I17:AW17" si="13">0.61+I12</f>
        <v>1.7977287071102883</v>
      </c>
      <c r="J17" s="162">
        <f t="shared" si="13"/>
        <v>1.7173467119011998</v>
      </c>
      <c r="K17" s="162">
        <f t="shared" si="13"/>
        <v>1.5754610351444196</v>
      </c>
      <c r="L17" s="162">
        <f t="shared" si="13"/>
        <v>1.5088421725466099</v>
      </c>
      <c r="M17" s="162">
        <f t="shared" si="13"/>
        <v>1.5548300337481238</v>
      </c>
      <c r="N17" s="162">
        <f t="shared" si="13"/>
        <v>1.5292893406053945</v>
      </c>
      <c r="O17" s="162">
        <f t="shared" si="13"/>
        <v>1.4934735608339698</v>
      </c>
      <c r="P17" s="162">
        <f t="shared" si="13"/>
        <v>1.5122471395200607</v>
      </c>
      <c r="Q17" s="162">
        <f t="shared" si="13"/>
        <v>1.5397191233711105</v>
      </c>
      <c r="R17" s="162">
        <f t="shared" si="13"/>
        <v>1.672523873606381</v>
      </c>
      <c r="S17" s="162">
        <f t="shared" si="13"/>
        <v>1.8197490390693174</v>
      </c>
      <c r="T17" s="162">
        <f t="shared" si="13"/>
        <v>1.7738256376646819</v>
      </c>
      <c r="U17" s="162">
        <f t="shared" si="13"/>
        <v>1.7887653672450674</v>
      </c>
      <c r="V17" s="162">
        <f t="shared" si="13"/>
        <v>1.9249503922034701</v>
      </c>
      <c r="W17" s="162">
        <f t="shared" si="13"/>
        <v>1.9132950585803625</v>
      </c>
      <c r="X17" s="162">
        <f t="shared" si="13"/>
        <v>1.9467352648884395</v>
      </c>
      <c r="Y17" s="162">
        <f t="shared" si="13"/>
        <v>1.8864080517353017</v>
      </c>
      <c r="Z17" s="162">
        <f t="shared" si="13"/>
        <v>1.9872961703510232</v>
      </c>
      <c r="AA17" s="162">
        <f t="shared" si="13"/>
        <v>2.0598758263019943</v>
      </c>
      <c r="AB17" s="162">
        <f t="shared" si="13"/>
        <v>2.0486977289796746</v>
      </c>
      <c r="AC17" s="162">
        <f t="shared" si="13"/>
        <v>2.2008918307097165</v>
      </c>
      <c r="AD17" s="162">
        <f t="shared" si="13"/>
        <v>2.3523916167146139</v>
      </c>
      <c r="AE17" s="162">
        <f t="shared" si="13"/>
        <v>2.4144098610527935</v>
      </c>
      <c r="AF17" s="162">
        <f t="shared" si="13"/>
        <v>2.5788704934881475</v>
      </c>
      <c r="AG17" s="162">
        <f t="shared" si="13"/>
        <v>2.7067452047609075</v>
      </c>
      <c r="AH17" s="162">
        <f t="shared" si="13"/>
        <v>2.8384084233599203</v>
      </c>
      <c r="AI17" s="162">
        <f t="shared" si="13"/>
        <v>2.985853902396463</v>
      </c>
      <c r="AJ17" s="162">
        <f t="shared" si="13"/>
        <v>2.7180456800676001</v>
      </c>
      <c r="AK17" s="162">
        <f t="shared" si="13"/>
        <v>2.5024681966351503</v>
      </c>
      <c r="AL17" s="162">
        <f t="shared" si="13"/>
        <v>2.2767102840708313</v>
      </c>
      <c r="AM17" s="162">
        <f t="shared" si="13"/>
        <v>2.0106750920453575</v>
      </c>
      <c r="AN17" s="162">
        <f t="shared" si="13"/>
        <v>2.0593260054176166</v>
      </c>
      <c r="AO17" s="162">
        <f t="shared" si="13"/>
        <v>2.0223846084400772</v>
      </c>
      <c r="AP17" s="162">
        <f t="shared" si="13"/>
        <v>1.9540323140624727</v>
      </c>
      <c r="AQ17" s="162">
        <f t="shared" si="13"/>
        <v>1.9218422045868184</v>
      </c>
      <c r="AR17" s="162">
        <f t="shared" si="13"/>
        <v>1.894679680913808</v>
      </c>
      <c r="AS17" s="162">
        <f t="shared" si="13"/>
        <v>1.9956220559843976</v>
      </c>
      <c r="AT17" s="162">
        <f t="shared" si="13"/>
        <v>2.1604972593451723</v>
      </c>
      <c r="AU17" s="162">
        <f t="shared" si="13"/>
        <v>2.1387590854431786</v>
      </c>
      <c r="AV17" s="162">
        <f t="shared" si="13"/>
        <v>2.1328932289934346</v>
      </c>
      <c r="AW17" s="162">
        <f t="shared" si="13"/>
        <v>2.0695976402964753</v>
      </c>
      <c r="AX17" s="162">
        <f>0.61+AX12</f>
        <v>2.0696613843497129</v>
      </c>
      <c r="AY17" s="162">
        <f>0.34+AY12</f>
        <v>1.7491233763472818</v>
      </c>
      <c r="AZ17" s="162">
        <f t="shared" ref="AZ17:BU17" si="14">0.34+AZ12</f>
        <v>1.7494024363690723</v>
      </c>
      <c r="BA17" s="162">
        <f t="shared" si="14"/>
        <v>1.7455931661025286</v>
      </c>
      <c r="BB17" s="162">
        <f t="shared" si="14"/>
        <v>1.7704200492438553</v>
      </c>
      <c r="BC17" s="162">
        <f t="shared" si="14"/>
        <v>1.7954048557709121</v>
      </c>
      <c r="BD17" s="162">
        <f t="shared" si="14"/>
        <v>1.7954048557709121</v>
      </c>
      <c r="BE17" s="162">
        <f t="shared" si="14"/>
        <v>1.9230485085857105</v>
      </c>
      <c r="BF17" s="162">
        <f t="shared" si="14"/>
        <v>1.9480516017354179</v>
      </c>
      <c r="BG17" s="162">
        <f t="shared" si="14"/>
        <v>1.9955613163014621</v>
      </c>
      <c r="BH17" s="162">
        <f t="shared" si="14"/>
        <v>1.9989878680032656</v>
      </c>
      <c r="BI17" s="162">
        <f t="shared" si="14"/>
        <v>1.9986560712528523</v>
      </c>
      <c r="BJ17" s="162">
        <f t="shared" si="14"/>
        <v>1.9615006951883847</v>
      </c>
      <c r="BK17" s="162">
        <f t="shared" si="14"/>
        <v>1.9614657252926804</v>
      </c>
      <c r="BL17" s="162">
        <f t="shared" si="14"/>
        <v>1.9582083838453395</v>
      </c>
      <c r="BM17" s="162">
        <f t="shared" si="14"/>
        <v>1.9631557381144324</v>
      </c>
      <c r="BN17" s="162">
        <f t="shared" si="14"/>
        <v>1.9632031769529354</v>
      </c>
      <c r="BO17" s="162">
        <f t="shared" si="14"/>
        <v>1.9124234781994744</v>
      </c>
      <c r="BP17" s="162">
        <f t="shared" si="14"/>
        <v>1.9124234781994744</v>
      </c>
      <c r="BQ17" s="162">
        <f t="shared" si="14"/>
        <v>1.8614422140945535</v>
      </c>
      <c r="BR17" s="162">
        <f t="shared" si="14"/>
        <v>1.810544137069712</v>
      </c>
      <c r="BS17" s="162">
        <f t="shared" si="14"/>
        <v>1.8020933041859217</v>
      </c>
      <c r="BT17" s="162">
        <f t="shared" si="14"/>
        <v>1.7785175836204434</v>
      </c>
      <c r="BU17" s="162">
        <f t="shared" si="14"/>
        <v>1.7784293340511852</v>
      </c>
      <c r="BV17" s="162">
        <f>0.34+BV12</f>
        <v>1.7760719544884898</v>
      </c>
      <c r="BW17" s="162">
        <f>0.34+BW12</f>
        <v>1.7803209823675312</v>
      </c>
      <c r="BX17" s="162">
        <f>0.34+BX12</f>
        <v>1.7802084114064145</v>
      </c>
      <c r="BY17" s="162">
        <f>0.34+BY12</f>
        <v>1.8075359431848275</v>
      </c>
      <c r="BZ17" s="162">
        <f t="shared" ref="BZ17:CG17" si="15">0.34+BZ12</f>
        <v>1.8076049956899143</v>
      </c>
      <c r="CA17" s="162">
        <f t="shared" si="15"/>
        <v>1.8075934800069193</v>
      </c>
      <c r="CB17" s="162">
        <f t="shared" si="15"/>
        <v>1.8077203053214486</v>
      </c>
      <c r="CC17" s="162">
        <f t="shared" si="15"/>
        <v>1.8585356131417479</v>
      </c>
      <c r="CD17" s="162">
        <f t="shared" si="15"/>
        <v>1.8536275091695216</v>
      </c>
      <c r="CE17" s="162">
        <f t="shared" si="15"/>
        <v>1.8535616810712607</v>
      </c>
      <c r="CF17" s="162">
        <f t="shared" si="15"/>
        <v>1.8784244571162723</v>
      </c>
      <c r="CG17" s="162">
        <f t="shared" si="15"/>
        <v>1.8528762052453247</v>
      </c>
      <c r="CH17" s="162">
        <f t="shared" ref="CH17:CM17" si="16">0.34+CH12</f>
        <v>1.8530709963224772</v>
      </c>
      <c r="CI17" s="162">
        <f t="shared" si="16"/>
        <v>1.8884361236468397</v>
      </c>
      <c r="CJ17" s="162">
        <f t="shared" si="16"/>
        <v>1.8882099817292115</v>
      </c>
      <c r="CK17" s="162">
        <f t="shared" si="16"/>
        <v>1.8918113373738568</v>
      </c>
      <c r="CL17" s="162">
        <f t="shared" si="16"/>
        <v>1.8917218408441021</v>
      </c>
      <c r="CM17" s="162">
        <f t="shared" si="16"/>
        <v>1.8918897877662404</v>
      </c>
      <c r="CN17" s="162">
        <f>0.34+CN12</f>
        <v>1.8867903084940416</v>
      </c>
      <c r="CO17" s="162">
        <f>0.34+CO12</f>
        <v>1.8867903084940416</v>
      </c>
      <c r="CP17" s="162">
        <f>0.34+CP12</f>
        <v>1.8867903084940416</v>
      </c>
      <c r="CQ17" s="162">
        <f>0.17+CQ12</f>
        <v>1.7314659280664062</v>
      </c>
      <c r="CR17" s="162">
        <f t="shared" ref="CR17:DB17" si="17">0.17+CR12</f>
        <v>1.669319623170016</v>
      </c>
      <c r="CS17" s="162">
        <f t="shared" si="17"/>
        <v>1.6590466986160788</v>
      </c>
      <c r="CT17" s="162">
        <f t="shared" si="17"/>
        <v>1.6624971761663452</v>
      </c>
      <c r="CU17" s="162">
        <f t="shared" si="17"/>
        <v>1.6624743952364045</v>
      </c>
      <c r="CV17" s="162">
        <f t="shared" si="17"/>
        <v>1.5353451110307872</v>
      </c>
      <c r="CW17" s="162">
        <f t="shared" si="17"/>
        <v>1.5334822090621563</v>
      </c>
      <c r="CX17" s="162">
        <f t="shared" si="17"/>
        <v>1.5334488520168124</v>
      </c>
      <c r="CY17" s="162">
        <f t="shared" si="17"/>
        <v>1.5365803172992398</v>
      </c>
      <c r="CZ17" s="162">
        <f t="shared" si="17"/>
        <v>1.5365688597454294</v>
      </c>
      <c r="DA17" s="162">
        <f t="shared" si="17"/>
        <v>1.5366376460368989</v>
      </c>
      <c r="DB17" s="162">
        <f t="shared" si="17"/>
        <v>1.5366491199849892</v>
      </c>
      <c r="DC17" s="162">
        <f t="shared" ref="DC17:DH17" si="18">0.04+DC12</f>
        <v>1.398975215200329</v>
      </c>
      <c r="DD17" s="162">
        <f t="shared" si="18"/>
        <v>1.398975215200329</v>
      </c>
      <c r="DE17" s="162">
        <f t="shared" si="18"/>
        <v>1.3942925585856545</v>
      </c>
      <c r="DF17" s="162">
        <f t="shared" si="18"/>
        <v>1.3942123196537126</v>
      </c>
      <c r="DG17" s="162">
        <f t="shared" si="18"/>
        <v>1.393902837892544</v>
      </c>
      <c r="DH17" s="162">
        <f t="shared" si="18"/>
        <v>1.3446734527344</v>
      </c>
      <c r="DI17" s="162">
        <f t="shared" ref="DI17:DR17" si="19">0.34+DI12</f>
        <v>1.6446734527344</v>
      </c>
      <c r="DJ17" s="162">
        <f t="shared" si="19"/>
        <v>1.6446633307000225</v>
      </c>
      <c r="DK17" s="162">
        <f t="shared" si="19"/>
        <v>1.6446228666282141</v>
      </c>
      <c r="DL17" s="162">
        <f t="shared" si="19"/>
        <v>1.5935253842332289</v>
      </c>
      <c r="DM17" s="162">
        <f t="shared" si="19"/>
        <v>1.596178064050916</v>
      </c>
      <c r="DN17" s="162">
        <f t="shared" si="19"/>
        <v>1.5958061704634618</v>
      </c>
      <c r="DO17" s="162">
        <f t="shared" si="19"/>
        <v>1.5990903577282636</v>
      </c>
      <c r="DP17" s="162">
        <f t="shared" si="19"/>
        <v>1.5981061820224571</v>
      </c>
      <c r="DQ17" s="162">
        <f t="shared" si="19"/>
        <v>1.5980114826678411</v>
      </c>
      <c r="DR17" s="162">
        <f t="shared" si="19"/>
        <v>1.5977390308630952</v>
      </c>
    </row>
  </sheetData>
  <mergeCells count="1">
    <mergeCell ref="A10:A11"/>
  </mergeCells>
  <phoneticPr fontId="52"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DS20"/>
  <sheetViews>
    <sheetView zoomScale="80" zoomScaleNormal="80" workbookViewId="0">
      <pane xSplit="8" ySplit="7" topLeftCell="DX8" activePane="bottomRight" state="frozen"/>
      <selection pane="topRight" activeCell="I1" sqref="I1"/>
      <selection pane="bottomLeft" activeCell="A8" sqref="A8"/>
      <selection pane="bottomRight" activeCell="EC17" sqref="EC17"/>
    </sheetView>
  </sheetViews>
  <sheetFormatPr baseColWidth="10" defaultColWidth="13.83203125" defaultRowHeight="15"/>
  <cols>
    <col min="1" max="1" width="12.5" bestFit="1" customWidth="1"/>
    <col min="2" max="2" width="14.1640625" bestFit="1" customWidth="1"/>
    <col min="3" max="3" width="6" bestFit="1" customWidth="1"/>
    <col min="4" max="4" width="21.83203125" bestFit="1" customWidth="1"/>
    <col min="5" max="5" width="14.83203125" bestFit="1" customWidth="1"/>
    <col min="6" max="6" width="17.33203125" bestFit="1" customWidth="1"/>
    <col min="7" max="7" width="28.6640625" bestFit="1" customWidth="1"/>
    <col min="8" max="8" width="6.5" bestFit="1" customWidth="1"/>
    <col min="9" max="9" width="6.6640625" bestFit="1" customWidth="1"/>
    <col min="10" max="10" width="7.1640625" bestFit="1" customWidth="1"/>
    <col min="11" max="11" width="6.5" bestFit="1" customWidth="1"/>
    <col min="12" max="12" width="10.1640625" bestFit="1" customWidth="1"/>
    <col min="13" max="13" width="6.5" bestFit="1" customWidth="1"/>
    <col min="14" max="14" width="5.83203125" bestFit="1" customWidth="1"/>
    <col min="15" max="15" width="6.83203125" bestFit="1" customWidth="1"/>
    <col min="16" max="17" width="6.6640625" bestFit="1" customWidth="1"/>
    <col min="18" max="18" width="7.1640625" bestFit="1" customWidth="1"/>
    <col min="19" max="19" width="6.83203125" bestFit="1" customWidth="1"/>
    <col min="20" max="20" width="6.5" bestFit="1" customWidth="1"/>
    <col min="21" max="21" width="6.6640625" bestFit="1" customWidth="1"/>
    <col min="22" max="22" width="7.1640625" bestFit="1" customWidth="1"/>
    <col min="23" max="23" width="6.5" bestFit="1" customWidth="1"/>
    <col min="24" max="24" width="7.5" bestFit="1" customWidth="1"/>
    <col min="25" max="25" width="6.5" bestFit="1" customWidth="1"/>
    <col min="26" max="26" width="5.83203125" bestFit="1" customWidth="1"/>
    <col min="27" max="27" width="6.83203125" bestFit="1" customWidth="1"/>
    <col min="28" max="29" width="6.6640625" bestFit="1" customWidth="1"/>
    <col min="30" max="30" width="7.1640625" bestFit="1" customWidth="1"/>
    <col min="31" max="31" width="6.83203125" bestFit="1" customWidth="1"/>
    <col min="32" max="32" width="6.5" bestFit="1" customWidth="1"/>
    <col min="33" max="33" width="6.6640625" bestFit="1" customWidth="1"/>
    <col min="34" max="34" width="7.1640625" bestFit="1" customWidth="1"/>
    <col min="35" max="35" width="6.5" bestFit="1" customWidth="1"/>
    <col min="36" max="36" width="7.5" bestFit="1" customWidth="1"/>
    <col min="37" max="37" width="6.5" bestFit="1" customWidth="1"/>
    <col min="38" max="38" width="5.83203125" bestFit="1" customWidth="1"/>
    <col min="39" max="39" width="6.83203125" bestFit="1" customWidth="1"/>
    <col min="40" max="41" width="6.6640625" bestFit="1" customWidth="1"/>
    <col min="42" max="42" width="7.1640625" bestFit="1" customWidth="1"/>
    <col min="43" max="43" width="6.83203125" bestFit="1" customWidth="1"/>
    <col min="44" max="44" width="6.5" bestFit="1" customWidth="1"/>
    <col min="45" max="45" width="6.6640625" bestFit="1" customWidth="1"/>
    <col min="46" max="46" width="7.1640625" bestFit="1" customWidth="1"/>
    <col min="47" max="47" width="6.5" bestFit="1" customWidth="1"/>
    <col min="48" max="48" width="7.5" bestFit="1" customWidth="1"/>
    <col min="49" max="49" width="6.5" bestFit="1" customWidth="1"/>
    <col min="50" max="53" width="7" bestFit="1" customWidth="1"/>
    <col min="54" max="55" width="6.83203125" bestFit="1" customWidth="1"/>
    <col min="56" max="57" width="7.33203125" bestFit="1" customWidth="1"/>
    <col min="58" max="69" width="7.1640625" bestFit="1" customWidth="1"/>
    <col min="70" max="73" width="6.83203125" bestFit="1" customWidth="1"/>
    <col min="74" max="77" width="6.5" bestFit="1" customWidth="1"/>
    <col min="78" max="81" width="6.6640625" bestFit="1" customWidth="1"/>
    <col min="82" max="85" width="6.1640625" bestFit="1" customWidth="1"/>
    <col min="86" max="89" width="5.5" bestFit="1" customWidth="1"/>
    <col min="90" max="94" width="6.33203125" bestFit="1" customWidth="1"/>
    <col min="95" max="98" width="6.1640625" bestFit="1" customWidth="1"/>
    <col min="99" max="99" width="5.1640625" bestFit="1" customWidth="1"/>
    <col min="100" max="102" width="7.6640625" bestFit="1" customWidth="1"/>
    <col min="103" max="106" width="5.83203125" bestFit="1" customWidth="1"/>
    <col min="107" max="114" width="5.6640625" bestFit="1" customWidth="1"/>
    <col min="115" max="118" width="6.1640625" bestFit="1" customWidth="1"/>
    <col min="119" max="122" width="5.83203125" bestFit="1" customWidth="1"/>
    <col min="123" max="123" width="5.1640625" bestFit="1" customWidth="1"/>
  </cols>
  <sheetData>
    <row r="1" spans="1:123">
      <c r="A1" s="7" t="s">
        <v>377</v>
      </c>
      <c r="B1" s="7" t="s">
        <v>378</v>
      </c>
      <c r="C1" s="7" t="s">
        <v>379</v>
      </c>
      <c r="D1" s="7" t="s">
        <v>380</v>
      </c>
      <c r="E1" s="7" t="s">
        <v>381</v>
      </c>
      <c r="F1" s="7" t="s">
        <v>33</v>
      </c>
      <c r="H1" s="23">
        <v>6</v>
      </c>
      <c r="I1" s="23">
        <v>7</v>
      </c>
      <c r="J1" s="23">
        <v>8</v>
      </c>
      <c r="K1" s="23">
        <v>9</v>
      </c>
      <c r="L1" s="23">
        <v>10</v>
      </c>
      <c r="M1" s="23">
        <v>11</v>
      </c>
      <c r="N1" s="23">
        <v>12</v>
      </c>
      <c r="O1" s="23">
        <v>13</v>
      </c>
      <c r="P1" s="23">
        <v>14</v>
      </c>
      <c r="Q1" s="23">
        <v>15</v>
      </c>
      <c r="R1" s="23">
        <v>16</v>
      </c>
      <c r="S1" s="23">
        <v>17</v>
      </c>
      <c r="T1" s="23">
        <v>18</v>
      </c>
      <c r="U1" s="23">
        <v>19</v>
      </c>
      <c r="V1" s="23">
        <v>20</v>
      </c>
      <c r="W1" s="23">
        <v>21</v>
      </c>
      <c r="X1" s="23">
        <v>22</v>
      </c>
      <c r="Y1" s="23">
        <v>23</v>
      </c>
      <c r="Z1" s="23">
        <v>24</v>
      </c>
      <c r="AA1" s="23">
        <v>25</v>
      </c>
      <c r="AB1" s="23">
        <v>26</v>
      </c>
      <c r="AC1" s="23">
        <v>27</v>
      </c>
      <c r="AD1" s="23">
        <v>28</v>
      </c>
      <c r="AE1" s="23">
        <v>29</v>
      </c>
      <c r="AF1" s="23">
        <v>30</v>
      </c>
      <c r="AG1" s="23">
        <v>31</v>
      </c>
      <c r="AH1" s="23">
        <v>32</v>
      </c>
      <c r="AI1" s="23">
        <v>33</v>
      </c>
      <c r="AJ1" s="23">
        <v>34</v>
      </c>
      <c r="AK1" s="23">
        <v>35</v>
      </c>
      <c r="AL1" s="23">
        <v>36</v>
      </c>
      <c r="AM1" s="23">
        <v>37</v>
      </c>
      <c r="AN1" s="23">
        <v>38</v>
      </c>
      <c r="AO1" s="23">
        <v>39</v>
      </c>
      <c r="AP1" s="23">
        <v>40</v>
      </c>
      <c r="AQ1" s="23">
        <v>41</v>
      </c>
      <c r="AR1" s="23">
        <v>42</v>
      </c>
      <c r="AS1" s="23">
        <v>43</v>
      </c>
      <c r="AT1" s="23">
        <v>44</v>
      </c>
      <c r="AU1" s="23">
        <v>45</v>
      </c>
      <c r="AV1" s="23">
        <v>46</v>
      </c>
      <c r="AW1" s="23">
        <v>47</v>
      </c>
      <c r="AX1" s="23">
        <v>48</v>
      </c>
      <c r="AY1" s="23">
        <v>49</v>
      </c>
      <c r="AZ1" s="23">
        <v>50</v>
      </c>
      <c r="BA1" s="23">
        <v>51</v>
      </c>
      <c r="BB1" s="23">
        <v>52</v>
      </c>
      <c r="BC1" s="23">
        <v>53</v>
      </c>
      <c r="BD1" s="23">
        <v>54</v>
      </c>
      <c r="BE1" s="23">
        <v>55</v>
      </c>
      <c r="BF1" s="23">
        <v>56</v>
      </c>
      <c r="BG1" s="23">
        <v>57</v>
      </c>
      <c r="BH1" s="23">
        <v>58</v>
      </c>
      <c r="BI1" s="23">
        <v>59</v>
      </c>
      <c r="BJ1" s="23">
        <v>60</v>
      </c>
      <c r="BK1" s="23">
        <v>61</v>
      </c>
      <c r="BL1" s="23">
        <v>62</v>
      </c>
      <c r="BM1" s="23">
        <v>63</v>
      </c>
      <c r="BN1" s="23">
        <v>64</v>
      </c>
      <c r="BO1" s="23">
        <v>65</v>
      </c>
      <c r="BP1" s="23">
        <v>66</v>
      </c>
      <c r="BQ1" s="23">
        <v>67</v>
      </c>
      <c r="BR1" s="23">
        <v>68</v>
      </c>
      <c r="BS1" s="23">
        <v>69</v>
      </c>
      <c r="BT1" s="23">
        <v>70</v>
      </c>
      <c r="BU1" s="23">
        <v>71</v>
      </c>
      <c r="BV1" s="23">
        <v>72</v>
      </c>
      <c r="BW1" s="23">
        <v>73</v>
      </c>
      <c r="BX1" s="23">
        <v>74</v>
      </c>
      <c r="BY1" s="23">
        <v>75</v>
      </c>
      <c r="BZ1" s="23">
        <v>76</v>
      </c>
      <c r="CA1" s="23">
        <v>77</v>
      </c>
      <c r="CB1" s="23">
        <v>78</v>
      </c>
      <c r="CC1" s="23">
        <v>79</v>
      </c>
      <c r="CD1" s="23">
        <v>80</v>
      </c>
      <c r="CE1" s="23">
        <v>81</v>
      </c>
      <c r="CF1" s="23">
        <v>82</v>
      </c>
      <c r="CG1" s="23">
        <v>83</v>
      </c>
      <c r="CH1" s="23">
        <v>84</v>
      </c>
      <c r="CI1" s="23">
        <v>85</v>
      </c>
      <c r="CJ1" s="23">
        <v>86</v>
      </c>
      <c r="CK1" s="23">
        <v>87</v>
      </c>
      <c r="CL1" s="23">
        <v>88</v>
      </c>
      <c r="CM1" s="23">
        <v>89</v>
      </c>
      <c r="CN1" s="23">
        <v>90</v>
      </c>
      <c r="CO1" s="23">
        <v>91</v>
      </c>
      <c r="CP1" s="23">
        <v>92</v>
      </c>
      <c r="CQ1" s="23">
        <v>93</v>
      </c>
      <c r="CR1" s="23">
        <v>94</v>
      </c>
      <c r="CS1" s="23">
        <v>95</v>
      </c>
      <c r="CT1" s="23">
        <v>96</v>
      </c>
      <c r="CU1" s="23">
        <v>97</v>
      </c>
      <c r="CV1" s="23">
        <v>98</v>
      </c>
      <c r="CW1" s="23">
        <v>99</v>
      </c>
      <c r="CX1" s="23">
        <v>100</v>
      </c>
      <c r="CY1" s="23">
        <v>101</v>
      </c>
      <c r="CZ1" s="23">
        <v>102</v>
      </c>
      <c r="DA1" s="23">
        <v>103</v>
      </c>
      <c r="DB1" s="23">
        <v>104</v>
      </c>
      <c r="DC1" s="23">
        <v>105</v>
      </c>
      <c r="DD1" s="23">
        <v>106</v>
      </c>
      <c r="DE1" s="23">
        <v>107</v>
      </c>
      <c r="DF1" s="23">
        <v>108</v>
      </c>
      <c r="DG1" s="23">
        <v>109</v>
      </c>
      <c r="DH1" s="23">
        <v>110</v>
      </c>
      <c r="DI1" s="23">
        <v>111</v>
      </c>
      <c r="DJ1" s="23">
        <v>112</v>
      </c>
      <c r="DK1" s="23">
        <v>113</v>
      </c>
      <c r="DL1" s="23">
        <v>114</v>
      </c>
      <c r="DM1" s="23">
        <v>115</v>
      </c>
      <c r="DN1" s="23">
        <v>116</v>
      </c>
      <c r="DO1" s="23">
        <v>117</v>
      </c>
      <c r="DP1" s="23">
        <v>118</v>
      </c>
      <c r="DQ1" s="23">
        <v>119</v>
      </c>
      <c r="DR1" s="23">
        <v>120</v>
      </c>
      <c r="DS1" s="23">
        <v>121</v>
      </c>
    </row>
    <row r="2" spans="1:123">
      <c r="A2" s="3" t="s">
        <v>70</v>
      </c>
      <c r="B2" s="3" t="s">
        <v>411</v>
      </c>
      <c r="C2" s="3"/>
      <c r="D2" s="3" t="s">
        <v>440</v>
      </c>
      <c r="L2" t="s">
        <v>387</v>
      </c>
    </row>
    <row r="3" spans="1:123">
      <c r="A3" s="3" t="s">
        <v>386</v>
      </c>
      <c r="B3" s="3" t="s">
        <v>441</v>
      </c>
      <c r="C3" s="3"/>
      <c r="D3" s="3" t="s">
        <v>442</v>
      </c>
      <c r="E3" s="3" t="s">
        <v>443</v>
      </c>
    </row>
    <row r="4" spans="1:123">
      <c r="A4" s="3">
        <v>98.96</v>
      </c>
      <c r="B4" s="3">
        <v>17.03</v>
      </c>
      <c r="D4" s="3">
        <v>189.3</v>
      </c>
      <c r="E4" s="3">
        <f>8*36.45</f>
        <v>291.60000000000002</v>
      </c>
    </row>
    <row r="5" spans="1:123">
      <c r="A5" s="3"/>
      <c r="B5" s="3"/>
      <c r="C5" s="3"/>
      <c r="D5" s="3"/>
      <c r="E5" s="3"/>
    </row>
    <row r="6" spans="1:123">
      <c r="G6" s="7" t="s">
        <v>416</v>
      </c>
      <c r="H6" s="7">
        <v>43831</v>
      </c>
      <c r="I6" s="7">
        <v>43862</v>
      </c>
      <c r="J6" s="7">
        <v>43891</v>
      </c>
      <c r="K6" s="7">
        <v>43922</v>
      </c>
      <c r="L6" s="7">
        <v>43952</v>
      </c>
      <c r="M6" s="7">
        <v>43983</v>
      </c>
      <c r="N6" s="7">
        <v>44013</v>
      </c>
      <c r="O6" s="7">
        <v>44044</v>
      </c>
      <c r="P6" s="7">
        <v>44075</v>
      </c>
      <c r="Q6" s="7">
        <v>44105</v>
      </c>
      <c r="R6" s="7">
        <v>44136</v>
      </c>
      <c r="S6" s="7">
        <v>44166</v>
      </c>
      <c r="T6" s="7">
        <v>44197</v>
      </c>
      <c r="U6" s="7">
        <v>44228</v>
      </c>
      <c r="V6" s="7">
        <v>44256</v>
      </c>
      <c r="W6" s="7">
        <v>44287</v>
      </c>
      <c r="X6" s="7">
        <v>44317</v>
      </c>
      <c r="Y6" s="7">
        <v>44348</v>
      </c>
      <c r="Z6" s="7">
        <v>44378</v>
      </c>
      <c r="AA6" s="7">
        <v>44409</v>
      </c>
      <c r="AB6" s="7">
        <v>44440</v>
      </c>
      <c r="AC6" s="7">
        <v>44470</v>
      </c>
      <c r="AD6" s="7">
        <v>44501</v>
      </c>
      <c r="AE6" s="7">
        <v>44531</v>
      </c>
      <c r="AF6" s="7">
        <v>44562</v>
      </c>
      <c r="AG6" s="7">
        <v>44593</v>
      </c>
      <c r="AH6" s="7">
        <v>44621</v>
      </c>
      <c r="AI6" s="7">
        <v>44652</v>
      </c>
      <c r="AJ6" s="7">
        <v>44682</v>
      </c>
      <c r="AK6" s="7">
        <v>44713</v>
      </c>
      <c r="AL6" s="7">
        <v>44743</v>
      </c>
      <c r="AM6" s="7">
        <v>44774</v>
      </c>
      <c r="AN6" s="7">
        <v>44805</v>
      </c>
      <c r="AO6" s="7">
        <v>44835</v>
      </c>
      <c r="AP6" s="7">
        <v>44866</v>
      </c>
      <c r="AQ6" s="7">
        <v>44896</v>
      </c>
      <c r="AR6" s="7">
        <v>44927</v>
      </c>
      <c r="AS6" s="7">
        <v>44958</v>
      </c>
      <c r="AT6" s="7">
        <v>44986</v>
      </c>
      <c r="AU6" s="7">
        <v>45017</v>
      </c>
      <c r="AV6" s="7">
        <v>45047</v>
      </c>
      <c r="AW6" s="7">
        <v>45078</v>
      </c>
      <c r="AX6" s="7" t="s">
        <v>431</v>
      </c>
      <c r="AY6" s="7" t="s">
        <v>432</v>
      </c>
      <c r="AZ6" s="7" t="s">
        <v>433</v>
      </c>
      <c r="BA6" s="7" t="s">
        <v>434</v>
      </c>
      <c r="BB6" s="7">
        <v>37104</v>
      </c>
      <c r="BC6" s="7">
        <v>37469</v>
      </c>
      <c r="BD6" s="7" t="s">
        <v>168</v>
      </c>
      <c r="BE6" s="7" t="s">
        <v>169</v>
      </c>
      <c r="BF6" s="7" t="s">
        <v>421</v>
      </c>
      <c r="BG6" s="7" t="s">
        <v>422</v>
      </c>
      <c r="BH6" s="7" t="s">
        <v>423</v>
      </c>
      <c r="BI6" s="7" t="s">
        <v>424</v>
      </c>
      <c r="BJ6" s="7" t="s">
        <v>435</v>
      </c>
      <c r="BK6" s="7" t="s">
        <v>436</v>
      </c>
      <c r="BL6" s="7" t="s">
        <v>437</v>
      </c>
      <c r="BM6" s="7" t="s">
        <v>438</v>
      </c>
      <c r="BN6" s="7">
        <v>37196</v>
      </c>
      <c r="BO6" s="7">
        <v>37561</v>
      </c>
      <c r="BP6" s="7">
        <v>37926</v>
      </c>
      <c r="BQ6" s="7">
        <v>38292</v>
      </c>
      <c r="BR6" s="7">
        <v>37226</v>
      </c>
      <c r="BS6" s="7">
        <v>37591</v>
      </c>
      <c r="BT6" s="7">
        <v>37956</v>
      </c>
      <c r="BU6" s="7">
        <v>38322</v>
      </c>
      <c r="BV6" s="7">
        <v>36892</v>
      </c>
      <c r="BW6" s="7">
        <v>37257</v>
      </c>
      <c r="BX6" s="7">
        <v>37622</v>
      </c>
      <c r="BY6" s="7">
        <v>37987</v>
      </c>
      <c r="BZ6" s="7">
        <v>36923</v>
      </c>
      <c r="CA6" s="7">
        <v>37288</v>
      </c>
      <c r="CB6" s="7">
        <v>37653</v>
      </c>
      <c r="CC6" s="7">
        <v>38018</v>
      </c>
      <c r="CD6" s="59" t="str">
        <f>Sheet8!A15</f>
        <v>Mar-w1</v>
      </c>
      <c r="CE6" s="59" t="s">
        <v>285</v>
      </c>
      <c r="CF6" s="59" t="s">
        <v>286</v>
      </c>
      <c r="CG6" s="59" t="s">
        <v>287</v>
      </c>
      <c r="CH6" s="59" t="str">
        <f>Sheet8!E15</f>
        <v>Apr-w1</v>
      </c>
      <c r="CI6" s="59" t="str">
        <f>Sheet8!F15</f>
        <v>Apr-w2</v>
      </c>
      <c r="CJ6" s="59" t="str">
        <f>Sheet8!G15</f>
        <v>Apr-w3</v>
      </c>
      <c r="CK6" s="59" t="str">
        <f>Sheet8!H15</f>
        <v>Apr-w4</v>
      </c>
      <c r="CL6" s="59" t="str">
        <f>Sheet8!I15</f>
        <v>May-w1</v>
      </c>
      <c r="CM6" s="59" t="str">
        <f>Sheet8!J15</f>
        <v>May-w2</v>
      </c>
      <c r="CN6" s="59" t="str">
        <f>Sheet8!K15</f>
        <v>May-w3</v>
      </c>
      <c r="CO6" s="59" t="str">
        <f>Sheet8!L15</f>
        <v>May-w4</v>
      </c>
      <c r="CP6" s="59" t="str">
        <f>Sheet8!M15</f>
        <v>May-w5</v>
      </c>
      <c r="CQ6" s="59" t="str">
        <f>Sheet8!N15</f>
        <v>june-w1</v>
      </c>
      <c r="CR6" s="59" t="str">
        <f>Sheet8!O15</f>
        <v>june-w2</v>
      </c>
      <c r="CS6" s="59" t="str">
        <f>Sheet8!P15</f>
        <v>june-w3</v>
      </c>
      <c r="CT6" s="59" t="str">
        <f>Sheet8!Q15</f>
        <v>june-w4</v>
      </c>
      <c r="CU6" s="59" t="str">
        <f>Sheet8!R15</f>
        <v>Jul-w1</v>
      </c>
      <c r="CV6" s="59" t="str">
        <f>Sheet8!S15</f>
        <v>Jul-w2</v>
      </c>
      <c r="CW6" s="59" t="str">
        <f>Sheet8!T15</f>
        <v>Jul-w3</v>
      </c>
      <c r="CX6" s="59" t="str">
        <f>Sheet8!U15</f>
        <v>Jul-w4</v>
      </c>
      <c r="CY6" s="59" t="str">
        <f>Sheet8!V15</f>
        <v>Aug-w1</v>
      </c>
      <c r="CZ6" s="59" t="str">
        <f>Sheet8!W15</f>
        <v>Aug-w2</v>
      </c>
      <c r="DA6" s="59" t="str">
        <f>Sheet8!X15</f>
        <v>Aug-w3</v>
      </c>
      <c r="DB6" s="59" t="str">
        <f>Sheet8!Y15</f>
        <v>Aug-w4</v>
      </c>
      <c r="DC6" s="59" t="str">
        <f>Sheet8!Z15</f>
        <v>Sep-w1</v>
      </c>
      <c r="DD6" s="59" t="str">
        <f>Sheet8!AA15</f>
        <v>Sep-w2</v>
      </c>
      <c r="DE6" s="59" t="str">
        <f>Sheet8!AB15</f>
        <v>Sep-w3</v>
      </c>
      <c r="DF6" s="59" t="str">
        <f>Sheet8!AC15</f>
        <v>Sep-w4</v>
      </c>
      <c r="DG6" s="59" t="str">
        <f>Sheet8!AD15</f>
        <v>Oct-w1</v>
      </c>
      <c r="DH6" s="59" t="str">
        <f>Sheet8!AE15</f>
        <v>Oct-w2</v>
      </c>
      <c r="DI6" s="59" t="str">
        <f>Sheet8!AF15</f>
        <v>Oct-w3</v>
      </c>
      <c r="DJ6" s="59" t="str">
        <f>Sheet8!AG15</f>
        <v>Oct-w4</v>
      </c>
      <c r="DK6" s="59" t="str">
        <f>Sheet8!AH15</f>
        <v>Nov-w1</v>
      </c>
      <c r="DL6" s="59" t="str">
        <f>Sheet8!AI15</f>
        <v>Nov-w2</v>
      </c>
      <c r="DM6" s="59" t="str">
        <f>Sheet8!AJ15</f>
        <v>Nov-w3</v>
      </c>
      <c r="DN6" s="59" t="str">
        <f>Sheet8!AK15</f>
        <v>Nov-w4</v>
      </c>
      <c r="DO6" s="59" t="str">
        <f>Sheet8!AL15</f>
        <v>Dec-w1</v>
      </c>
      <c r="DP6" s="59" t="str">
        <f>Sheet8!AM15</f>
        <v>Dec-w2</v>
      </c>
      <c r="DQ6" s="59" t="str">
        <f>Sheet8!AN15</f>
        <v>Dec-w3</v>
      </c>
      <c r="DR6" s="59" t="str">
        <f>Sheet8!AO15</f>
        <v>Dec-w4</v>
      </c>
      <c r="DS6" s="59">
        <f>Sheet8!AP15</f>
        <v>0</v>
      </c>
    </row>
    <row r="7" spans="1:123">
      <c r="A7" s="9"/>
      <c r="B7" t="s">
        <v>402</v>
      </c>
      <c r="D7" t="s">
        <v>403</v>
      </c>
      <c r="E7" t="s">
        <v>404</v>
      </c>
      <c r="F7" s="223" t="s">
        <v>425</v>
      </c>
      <c r="G7" t="s">
        <v>70</v>
      </c>
      <c r="H7" s="4">
        <f>VLOOKUP($G$7&amp;$F$1,'Input RM sheet'!$A:$BD,H1,0)</f>
        <v>0.30483022407281657</v>
      </c>
      <c r="I7" s="4">
        <f>VLOOKUP($G$7&amp;$F$1,'Input RM sheet'!$A:$BD,I1,0)</f>
        <v>0.34286427537166547</v>
      </c>
      <c r="J7" s="4">
        <f>VLOOKUP($G$7&amp;$F$1,'Input RM sheet'!$A:$BD,J1,0)</f>
        <v>0.33696703937170702</v>
      </c>
      <c r="K7" s="4">
        <f>VLOOKUP($G$7&amp;$F$1,'Input RM sheet'!$A:$BD,K1,0)</f>
        <v>0.32918290899642011</v>
      </c>
      <c r="L7" s="4">
        <f>VLOOKUP($G$7&amp;$F$1,'Input RM sheet'!$A:$BD,L1,0)</f>
        <v>0.29562625382070207</v>
      </c>
      <c r="M7" s="4">
        <f>VLOOKUP($G$7&amp;$F$1,'Input RM sheet'!$A:$BD,M1,0)</f>
        <v>0.28466634277280467</v>
      </c>
      <c r="N7" s="4">
        <f>VLOOKUP($G$7&amp;$F$1,'Input RM sheet'!$A:$BD,N1,0)</f>
        <v>0.20653801563255636</v>
      </c>
      <c r="O7" s="4">
        <f>VLOOKUP($G$7&amp;$F$1,'Input RM sheet'!$A:$BD,O1,0)</f>
        <v>0.25027237704948618</v>
      </c>
      <c r="P7" s="4">
        <f>VLOOKUP($G$7&amp;$F$1,'Input RM sheet'!$A:$BD,P1,0)</f>
        <v>0.29482717983849482</v>
      </c>
      <c r="Q7" s="4">
        <f>VLOOKUP($G$7&amp;$F$1,'Input RM sheet'!$A:$BD,Q1,0)</f>
        <v>0.26112492603652376</v>
      </c>
      <c r="R7" s="4">
        <f>VLOOKUP($G$7&amp;$F$1,'Input RM sheet'!$A:$BD,R1,0)</f>
        <v>0.37172456889708289</v>
      </c>
      <c r="S7" s="4">
        <f>VLOOKUP($G$7&amp;$F$1,'Input RM sheet'!$A:$BD,S1,0)</f>
        <v>0.37556517659587235</v>
      </c>
      <c r="T7" s="4">
        <f>VLOOKUP($G$7&amp;$F$1,'Input RM sheet'!$A:$BD,T1,0)</f>
        <v>0.37644550007000283</v>
      </c>
      <c r="U7" s="4">
        <f>VLOOKUP($G$7&amp;$F$1,'Input RM sheet'!$A:$BD,U1,0)</f>
        <v>0.47173077782891726</v>
      </c>
      <c r="V7" s="4">
        <f>VLOOKUP($G$7&amp;$F$1,'Input RM sheet'!$A:$BD,V1,0)</f>
        <v>0.55483712536000929</v>
      </c>
      <c r="W7" s="4">
        <f>VLOOKUP($G$7&amp;$F$1,'Input RM sheet'!$A:$BD,W1,0)</f>
        <v>0.63937652810505008</v>
      </c>
      <c r="X7" s="4">
        <f>VLOOKUP($G$7&amp;$F$1,'Input RM sheet'!$A:$BD,X1,0)</f>
        <v>0.70249744979967632</v>
      </c>
      <c r="Y7" s="4">
        <f>VLOOKUP($G$7&amp;$F$1,'Input RM sheet'!$A:$BD,Y1,0)</f>
        <v>0.70253354554770719</v>
      </c>
      <c r="Z7" s="4">
        <f>VLOOKUP($G$7&amp;$F$1,'Input RM sheet'!$A:$BD,Z1,0)</f>
        <v>0.67458824267374151</v>
      </c>
      <c r="AA7" s="4">
        <f>VLOOKUP($G$7&amp;$F$1,'Input RM sheet'!$A:$BD,AA1,0)</f>
        <v>0.67758749868113066</v>
      </c>
      <c r="AB7" s="4">
        <f>VLOOKUP($G$7&amp;$F$1,'Input RM sheet'!$A:$BD,AB1,0)</f>
        <v>0.69029584997989535</v>
      </c>
      <c r="AC7" s="4">
        <f>VLOOKUP($G$7&amp;$F$1,'Input RM sheet'!$A:$BD,AC1,0)</f>
        <v>0.74505126870339788</v>
      </c>
      <c r="AD7" s="4">
        <f>VLOOKUP($G$7&amp;$F$1,'Input RM sheet'!$A:$BD,AD1,0)</f>
        <v>0.8477068626947446</v>
      </c>
      <c r="AE7" s="4">
        <f>VLOOKUP($G$7&amp;$F$1,'Input RM sheet'!$A:$BD,AE1,0)</f>
        <v>0.74416923739711949</v>
      </c>
      <c r="AF7" s="4">
        <f>VLOOKUP($G$7&amp;$F$1,'Input RM sheet'!$A:$BD,AF1,0)</f>
        <v>0.84546574776946926</v>
      </c>
      <c r="AG7" s="4">
        <f>VLOOKUP($G$7&amp;$F$1,'Input RM sheet'!$A:$BD,AG1,0)</f>
        <v>0.81157036933012439</v>
      </c>
      <c r="AH7" s="4">
        <f>VLOOKUP($G$7&amp;$F$1,'Input RM sheet'!$A:$BD,AH1,0)</f>
        <v>0.74221287798726343</v>
      </c>
      <c r="AI7" s="4">
        <f>VLOOKUP($G$7&amp;$F$1,'Input RM sheet'!$A:$BD,AI1,0)</f>
        <v>0.82460206677585413</v>
      </c>
      <c r="AJ7" s="4">
        <f>VLOOKUP($G$7&amp;$F$1,'Input RM sheet'!$A:$BD,AJ1,0)</f>
        <v>0.8671847901063201</v>
      </c>
      <c r="AK7" s="4">
        <f>VLOOKUP($G$7&amp;$F$1,'Input RM sheet'!$A:$BD,AK1,0)</f>
        <v>0.84340071104150371</v>
      </c>
      <c r="AL7" s="4">
        <f>VLOOKUP($G$7&amp;$F$1,'Input RM sheet'!$A:$BD,AL1,0)</f>
        <v>0.6877680056485691</v>
      </c>
      <c r="AM7" s="4">
        <f>VLOOKUP($G$7&amp;$F$1,'Input RM sheet'!$A:$BD,AM1,0)</f>
        <v>0.68293490663365997</v>
      </c>
      <c r="AN7" s="4">
        <f>VLOOKUP($G$7&amp;$F$1,'Input RM sheet'!$A:$BD,AN1,0)</f>
        <v>0.43909968737964511</v>
      </c>
      <c r="AO7" s="4">
        <f>VLOOKUP($G$7&amp;$F$1,'Input RM sheet'!$A:$BD,AO1,0)</f>
        <v>0.34716607162870206</v>
      </c>
      <c r="AP7" s="4">
        <f>VLOOKUP($G$7&amp;$F$1,'Input RM sheet'!$A:$BD,AP1,0)</f>
        <v>0.35857951344010464</v>
      </c>
      <c r="AQ7" s="4">
        <f>VLOOKUP($G$7&amp;$F$1,'Input RM sheet'!$A:$BD,AQ1,0)</f>
        <v>0.29459801775419026</v>
      </c>
      <c r="AR7" s="4">
        <f>VLOOKUP($G$7&amp;$F$1,'Input RM sheet'!$A:$BD,AR1,0)</f>
        <v>0.82403514720880189</v>
      </c>
      <c r="AS7" s="4">
        <f>VLOOKUP($G$7&amp;$F$1,'Input RM sheet'!$A:$BD,AS1,0)</f>
        <v>0.36841456422240715</v>
      </c>
      <c r="AT7" s="4">
        <f>VLOOKUP($G$7&amp;$F$1,'Input RM sheet'!$A:$BD,AT1,0)</f>
        <v>0.34897572690144207</v>
      </c>
      <c r="AU7" s="4">
        <f>VLOOKUP($G$7&amp;$F$1,'Input RM sheet'!$A:$BD,AU1,0)</f>
        <v>0.37</v>
      </c>
      <c r="AV7" s="4">
        <f>VLOOKUP($G$7&amp;$F$1,'Input RM sheet'!$A:$BD,AV1,0)</f>
        <v>0.4</v>
      </c>
      <c r="AW7" s="4">
        <f>VLOOKUP($G$7&amp;$F$1,'Input RM sheet'!$A:$BD,AW1,0)</f>
        <v>0.25</v>
      </c>
      <c r="AX7" s="4">
        <f>VLOOKUP($G$7&amp;$F$1,'Input RM sheet'!$A:$BD,AX1,0)</f>
        <v>0.25</v>
      </c>
      <c r="AY7" s="4">
        <f>VLOOKUP($G$7&amp;$F$1,'Input RM sheet'!$A:$BD,AY1,0)</f>
        <v>0.25</v>
      </c>
      <c r="AZ7" s="4">
        <f>VLOOKUP($G$7&amp;$F$1,'Input RM sheet'!$A:$BD,AZ1,0)</f>
        <v>0.24</v>
      </c>
      <c r="BA7" s="4">
        <f>VLOOKUP($G$7&amp;$F$1,'Input RM sheet'!$A:$BD,BA1,0)</f>
        <v>0.21</v>
      </c>
      <c r="BB7" s="4">
        <f>VLOOKUP($G$7&amp;$F$1,'Input RM sheet'!$A:$BD,BB1,0)</f>
        <v>0.28999999999999998</v>
      </c>
      <c r="BC7" s="4">
        <f>VLOOKUP($G$7&amp;$F$1,'Input RM sheet'!$A:$BD,BC1,0)</f>
        <v>0.28999999999999998</v>
      </c>
      <c r="BD7" s="4">
        <f>VLOOKUP($G$7&amp;$F$1,'Input RM sheet'!$A:$BD,BD1,0)</f>
        <v>0.28999999999999998</v>
      </c>
      <c r="BE7" s="4">
        <f>VLOOKUP($G$7&amp;$F$1,'Input RM sheet'!$A:$BD,BE1,0)</f>
        <v>0.28999999999999998</v>
      </c>
      <c r="BF7" s="4">
        <f>VLOOKUP($G$7&amp;$F$1,'Input RM sheet'!$A:$DD,BF1,0)</f>
        <v>0.28999999999999998</v>
      </c>
      <c r="BG7" s="4">
        <f>VLOOKUP($G$7&amp;$F$1,'Input RM sheet'!$A:$DD,BG1,0)</f>
        <v>0.22</v>
      </c>
      <c r="BH7" s="4">
        <f>VLOOKUP($G$7&amp;$F$1,'Input RM sheet'!$A:$DD,BH1,0)</f>
        <v>0.22</v>
      </c>
      <c r="BI7" s="4">
        <f>VLOOKUP($G$7&amp;$F$1,'Input RM sheet'!$A:$DD,BI1,0)</f>
        <v>0.22</v>
      </c>
      <c r="BJ7" s="4">
        <f>VLOOKUP($G$7&amp;$F$1,'Input RM sheet'!$A:$DD,BJ1,0)</f>
        <v>0.22</v>
      </c>
      <c r="BK7" s="4">
        <f>VLOOKUP($G$7&amp;$F$1,'Input RM sheet'!$A:$DD,BK1,0)</f>
        <v>0.22</v>
      </c>
      <c r="BL7" s="4">
        <f>VLOOKUP($G$7&amp;$F$1,'Input RM sheet'!$A:$DD,BL1,0)</f>
        <v>0.22</v>
      </c>
      <c r="BM7" s="4">
        <f>VLOOKUP($G$7&amp;$F$1,'Input RM sheet'!$A:$DD,BM1,0)</f>
        <v>0.23</v>
      </c>
      <c r="BN7" s="4">
        <f>VLOOKUP($G$7&amp;$F$1,'Input RM sheet'!$A:$DD,BN1,0)</f>
        <v>0.23</v>
      </c>
      <c r="BO7" s="4">
        <f>VLOOKUP($G$7&amp;$F$1,'Input RM sheet'!$A:$DD,BO1,0)</f>
        <v>0.23</v>
      </c>
      <c r="BP7" s="4">
        <f>VLOOKUP($G$7&amp;$F$1,'Input RM sheet'!$A:$DD,BP1,0)</f>
        <v>0.23</v>
      </c>
      <c r="BQ7" s="4">
        <f>VLOOKUP($G$7&amp;$F$1,'Input RM sheet'!$A:$DD,BQ1,0)</f>
        <v>0.25</v>
      </c>
      <c r="BR7" s="4">
        <f>VLOOKUP($G$7&amp;$F$1,'Input RM sheet'!$A:$DD,BR1,0)</f>
        <v>0.25</v>
      </c>
      <c r="BS7" s="4">
        <f>VLOOKUP($G$7&amp;$F$1,'Input RM sheet'!$A:$DD,BS1,0)</f>
        <v>0.25</v>
      </c>
      <c r="BT7" s="4">
        <f>VLOOKUP($G$7&amp;$F$1,'Input RM sheet'!$A:$DD,BT1,0)</f>
        <v>0.25</v>
      </c>
      <c r="BU7" s="4">
        <f>VLOOKUP($G$7&amp;$F$1,'Input RM sheet'!$A:$DD,BU1,0)</f>
        <v>0.25</v>
      </c>
      <c r="BV7" s="4">
        <f>VLOOKUP($G$7&amp;$F$1,'Input RM sheet'!$A:$DD,BV1,0)</f>
        <v>0.25</v>
      </c>
      <c r="BW7" s="4">
        <f>VLOOKUP($G$7&amp;$F$1,'Input RM sheet'!$A:$DD,BW1,0)</f>
        <v>0.25</v>
      </c>
      <c r="BX7" s="4">
        <f>VLOOKUP($G$7&amp;$F$1,'Input RM sheet'!$A:$DD,BX1,0)</f>
        <v>0.25</v>
      </c>
      <c r="BY7" s="4">
        <f>VLOOKUP($G$7&amp;$F$1,'Input RM sheet'!$A:$DD,BY1,0)</f>
        <v>0.25</v>
      </c>
      <c r="BZ7" s="4">
        <f>VLOOKUP($G$7&amp;$F$1,'Input RM sheet'!$A:$DD,BZ1,0)</f>
        <v>0.25</v>
      </c>
      <c r="CA7" s="4">
        <f>VLOOKUP($G$7&amp;$F$1,'Input RM sheet'!$A:$DD,CA1,0)</f>
        <v>0.25</v>
      </c>
      <c r="CB7" s="4">
        <f>VLOOKUP($G$7&amp;$F$1,'Input RM sheet'!$A:$DD,CB1,0)</f>
        <v>0.25</v>
      </c>
      <c r="CC7" s="4">
        <f>VLOOKUP($G$7&amp;$F$1,'Input RM sheet'!$A:$DD,CC1,0)</f>
        <v>0.25</v>
      </c>
      <c r="CD7" s="4">
        <f>VLOOKUP($G$7&amp;$F$1,'Input RM sheet'!$A:$DD,CD1,0)</f>
        <v>0.25</v>
      </c>
      <c r="CE7" s="4">
        <f>VLOOKUP($G$7&amp;$F$1,'Input RM sheet'!$A:$DD,CE1,0)</f>
        <v>0.25</v>
      </c>
      <c r="CF7" s="4">
        <f>VLOOKUP($G$7&amp;$F$1,'Input RM sheet'!$A:$DD,CF1,0)</f>
        <v>0.25</v>
      </c>
      <c r="CG7" s="4">
        <f>VLOOKUP($G$7&amp;$F$1,'Input RM sheet'!$A:$DD,CG1,0)</f>
        <v>0.25</v>
      </c>
      <c r="CH7" s="4">
        <f>VLOOKUP($G$7&amp;$F$1,'Input RM sheet'!$A:$DD,CH1,0)</f>
        <v>0.34</v>
      </c>
      <c r="CI7" s="4">
        <f>VLOOKUP($G$7&amp;$F$1,'Input RM sheet'!$A:$DD,CI1,0)</f>
        <v>0.34</v>
      </c>
      <c r="CJ7" s="4">
        <f>VLOOKUP($G$7&amp;$F$1,'Input RM sheet'!$A:$DD,CJ1,0)</f>
        <v>0.34</v>
      </c>
      <c r="CK7" s="4">
        <f>VLOOKUP($G$7&amp;$F$1,'Input RM sheet'!$A:$DD,CK1,0)</f>
        <v>0.34</v>
      </c>
      <c r="CL7" s="4">
        <f>VLOOKUP($G$7&amp;$F$1,'Input RM sheet'!$A:$DD,CL1,0)</f>
        <v>0.34</v>
      </c>
      <c r="CM7" s="4">
        <f>VLOOKUP($G$7&amp;$F$1,'Input RM sheet'!$A:$DD,CM1,0)</f>
        <v>0.34</v>
      </c>
      <c r="CN7" s="4">
        <f>VLOOKUP($G$7&amp;$F$1,'Input RM sheet'!$A:$DD,CN1,0)</f>
        <v>0.34</v>
      </c>
      <c r="CO7" s="4">
        <f>VLOOKUP($G$7&amp;$F$1,'Input RM sheet'!$A:$DD,CO1,0)</f>
        <v>0.34</v>
      </c>
      <c r="CP7" s="4">
        <f>VLOOKUP($G$7&amp;$F$1,'Input RM sheet'!$A:$DD,CP1,0)</f>
        <v>0.34</v>
      </c>
      <c r="CQ7" s="4">
        <f>VLOOKUP($G$7&amp;$F$1,'Input RM sheet'!$A:$ZZ,CQ1,0)</f>
        <v>0.2</v>
      </c>
      <c r="CR7" s="4">
        <f>VLOOKUP($G$7&amp;$F$1,'Input RM sheet'!$A:$ZZ,CR1,0)</f>
        <v>0.2</v>
      </c>
      <c r="CS7" s="4">
        <f>VLOOKUP($G$7&amp;$F$1,'Input RM sheet'!$A:$ZZ,CS1,0)</f>
        <v>0.2</v>
      </c>
      <c r="CT7" s="4">
        <f>VLOOKUP($G$7&amp;$F$1,'Input RM sheet'!$A:$ZZ,CT1,0)</f>
        <v>0.2</v>
      </c>
      <c r="CU7" s="4">
        <f>VLOOKUP($G$7&amp;$F$1,'Input RM sheet'!$A:$ZZ,CU1,0)</f>
        <v>0.2</v>
      </c>
      <c r="CV7" s="4">
        <f>VLOOKUP($G$7&amp;$F$1,'Input RM sheet'!$A:$ZZ,CV1,0)</f>
        <v>0.28000000000000003</v>
      </c>
      <c r="CW7" s="4">
        <f>VLOOKUP($G$7&amp;$F$1,'Input RM sheet'!$A:$ZZ,CW1,0)</f>
        <v>0.27</v>
      </c>
      <c r="CX7" s="4">
        <f>VLOOKUP($G$7&amp;$F$1,'Input RM sheet'!$A:$ZZ,CX1,0)</f>
        <v>0.34</v>
      </c>
      <c r="CY7" s="4">
        <f>VLOOKUP($G$7&amp;$F$1,'Input RM sheet'!$A:$ZZ,CY1,0)</f>
        <v>0.34</v>
      </c>
      <c r="CZ7" s="4">
        <f>VLOOKUP($G$7&amp;$F$1,'Input RM sheet'!$A:$ZZ,CZ1,0)</f>
        <v>0.34</v>
      </c>
      <c r="DA7" s="4">
        <f>VLOOKUP($G$7&amp;$F$1,'Input RM sheet'!$A:$ZZ,DA1,0)</f>
        <v>0.32</v>
      </c>
      <c r="DB7" s="4">
        <f>VLOOKUP($G$7&amp;$F$1,'Input RM sheet'!$A:$ZZ,DB1,0)</f>
        <v>0.34</v>
      </c>
      <c r="DC7" s="4">
        <f>VLOOKUP($G$7&amp;$F$1,'Input RM sheet'!$A:$ZZ,DC1,0)</f>
        <v>0.34</v>
      </c>
      <c r="DD7" s="4">
        <f>VLOOKUP($G$7&amp;$F$1,'Input RM sheet'!$A:$ZZ,DD1,0)</f>
        <v>0.34</v>
      </c>
      <c r="DE7" s="4">
        <f>VLOOKUP($G$7&amp;$F$1,'Input RM sheet'!$A:$ZZ,DE1,0)</f>
        <v>0.34</v>
      </c>
      <c r="DF7" s="4">
        <f>VLOOKUP($G$7&amp;$F$1,'Input RM sheet'!$A:$ZZ,DF1,0)</f>
        <v>0.34</v>
      </c>
      <c r="DG7" s="4">
        <f>VLOOKUP($G$7&amp;$F$1,'Input RM sheet'!$A:$ZZ,DG1,0)</f>
        <v>0.34</v>
      </c>
      <c r="DH7" s="4">
        <f>VLOOKUP($G$7&amp;$F$1,'Input RM sheet'!$A:$ZZ,DH1,0)</f>
        <v>0.34</v>
      </c>
      <c r="DI7" s="4">
        <f>VLOOKUP($G$7&amp;$F$1,'Input RM sheet'!$A:$ZZ,DI1,0)</f>
        <v>0.34</v>
      </c>
      <c r="DJ7" s="4">
        <f>VLOOKUP($G$7&amp;$F$1,'Input RM sheet'!$A:$ZZ,DJ1,0)</f>
        <v>0.34</v>
      </c>
      <c r="DK7" s="4">
        <f>VLOOKUP($G$7&amp;$F$1,'Input RM sheet'!$A:$ZZ,DK1,0)</f>
        <v>0.34</v>
      </c>
      <c r="DL7" s="4">
        <f>VLOOKUP($G$7&amp;$F$1,'Input RM sheet'!$A:$ZZ,DL1,0)</f>
        <v>0.35</v>
      </c>
      <c r="DM7" s="4">
        <f>VLOOKUP($G$7&amp;$F$1,'Input RM sheet'!$A:$ZZ,DM1,0)</f>
        <v>0.31</v>
      </c>
      <c r="DN7" s="4">
        <f>VLOOKUP($G$7&amp;$F$1,'Input RM sheet'!$A:$ZZ,DN1,0)</f>
        <v>0.31</v>
      </c>
      <c r="DO7" s="4">
        <f>VLOOKUP($G$7&amp;$F$1,'Input RM sheet'!$A:$ZZ,DO1,0)</f>
        <v>0.31</v>
      </c>
      <c r="DP7" s="4">
        <f>VLOOKUP($G$7&amp;$F$1,'Input RM sheet'!$A:$ZZ,DP1,0)</f>
        <v>0.32</v>
      </c>
      <c r="DQ7" s="4">
        <f>VLOOKUP($G$7&amp;$F$1,'Input RM sheet'!$A:$ZZ,DQ1,0)</f>
        <v>0.32</v>
      </c>
      <c r="DR7" s="4">
        <f>VLOOKUP($G$7&amp;$F$1,'Input RM sheet'!$A:$ZZ,DR1,0)</f>
        <v>0.31</v>
      </c>
    </row>
    <row r="8" spans="1:123">
      <c r="A8" s="9"/>
      <c r="F8" s="223" t="s">
        <v>439</v>
      </c>
      <c r="G8" t="s">
        <v>45</v>
      </c>
      <c r="H8" s="90">
        <f>VLOOKUP($G$8&amp;$F$1,'Input RM sheet'!$A:$BD,H1,0)</f>
        <v>0.50625069064173545</v>
      </c>
      <c r="I8" s="90">
        <f>VLOOKUP($G$8&amp;$F$1,'Input RM sheet'!$A:$BD,I1,0)</f>
        <v>0.50605053403738476</v>
      </c>
      <c r="J8" s="90">
        <f>VLOOKUP($G$8&amp;$F$1,'Input RM sheet'!$A:$BD,J1,0)</f>
        <v>0.48566205346589675</v>
      </c>
      <c r="K8" s="90">
        <f>VLOOKUP($G$8&amp;$F$1,'Input RM sheet'!$A:$BD,K1,0)</f>
        <v>0.46604911475979133</v>
      </c>
      <c r="L8" s="90">
        <f>VLOOKUP($G$8&amp;$F$1,'Input RM sheet'!$A:$BD,L1,0)</f>
        <v>0.47286371932487081</v>
      </c>
      <c r="M8" s="90">
        <f>VLOOKUP($G$8&amp;$F$1,'Input RM sheet'!$A:$BD,M1,0)</f>
        <v>0.44148091934964817</v>
      </c>
      <c r="N8" s="90">
        <f>VLOOKUP($G$8&amp;$F$1,'Input RM sheet'!$A:$BD,N1,0)</f>
        <v>0.43426534003337747</v>
      </c>
      <c r="O8" s="90">
        <f>VLOOKUP($G$8&amp;$F$1,'Input RM sheet'!$A:$BD,O1,0)</f>
        <v>0.4253624199790475</v>
      </c>
      <c r="P8" s="90">
        <f>VLOOKUP($G$8&amp;$F$1,'Input RM sheet'!$A:$BD,P1,0)</f>
        <v>0.43233741458081631</v>
      </c>
      <c r="Q8" s="90">
        <f>VLOOKUP($G$8&amp;$F$1,'Input RM sheet'!$A:$BD,Q1,0)</f>
        <v>0.4289746699475917</v>
      </c>
      <c r="R8" s="90">
        <f>VLOOKUP($G$8&amp;$F$1,'Input RM sheet'!$A:$BD,R1,0)</f>
        <v>0.42484260760346637</v>
      </c>
      <c r="S8" s="90">
        <f>VLOOKUP($G$8&amp;$F$1,'Input RM sheet'!$A:$BD,S1,0)</f>
        <v>0.45075951239765033</v>
      </c>
      <c r="T8" s="90">
        <f>VLOOKUP($G$8&amp;$F$1,'Input RM sheet'!$A:$BD,T1,0)</f>
        <v>0.47632070741601718</v>
      </c>
      <c r="U8" s="90">
        <f>VLOOKUP($G$8&amp;$F$1,'Input RM sheet'!$A:$BD,U1,0)</f>
        <v>0.50824175824175821</v>
      </c>
      <c r="V8" s="90">
        <f>VLOOKUP($G$8&amp;$F$1,'Input RM sheet'!$A:$BD,V1,0)</f>
        <v>0.50824175824175821</v>
      </c>
      <c r="W8" s="90">
        <f>VLOOKUP($G$8&amp;$F$1,'Input RM sheet'!$A:$BD,W1,0)</f>
        <v>0.53357522262827839</v>
      </c>
      <c r="X8" s="90">
        <f>VLOOKUP($G$8&amp;$F$1,'Input RM sheet'!$A:$BD,X1,0)</f>
        <v>0.59385665529010234</v>
      </c>
      <c r="Y8" s="90">
        <f>VLOOKUP($G$8&amp;$F$1,'Input RM sheet'!$A:$BD,Y1,0)</f>
        <v>0.63431872099725806</v>
      </c>
      <c r="Z8" s="90">
        <f>VLOOKUP($G$8&amp;$F$1,'Input RM sheet'!$A:$BD,Z1,0)</f>
        <v>0.72591659871949687</v>
      </c>
      <c r="AA8" s="90">
        <f>VLOOKUP($G$8&amp;$F$1,'Input RM sheet'!$A:$BD,AA1,0)</f>
        <v>0.72889455792717117</v>
      </c>
      <c r="AB8" s="90">
        <f>VLOOKUP($G$8&amp;$F$1,'Input RM sheet'!$A:$BD,AB1,0)</f>
        <v>0.74862988980369449</v>
      </c>
      <c r="AC8" s="90">
        <f>VLOOKUP($G$8&amp;$F$1,'Input RM sheet'!$A:$BD,AC1,0)</f>
        <v>0.79168514687656644</v>
      </c>
      <c r="AD8" s="90">
        <f>VLOOKUP($G$8&amp;$F$1,'Input RM sheet'!$A:$BD,AD1,0)</f>
        <v>0.82087330176727136</v>
      </c>
      <c r="AE8" s="90">
        <f>VLOOKUP($G$8&amp;$F$1,'Input RM sheet'!$A:$BD,AE1,0)</f>
        <v>0.84614593649711278</v>
      </c>
      <c r="AF8" s="90">
        <f>VLOOKUP($G$8&amp;$F$1,'Input RM sheet'!$A:$BD,AF1,0)</f>
        <v>1.0564787620243885</v>
      </c>
      <c r="AG8" s="90">
        <f>VLOOKUP($G$8&amp;$F$1,'Input RM sheet'!$A:$BD,AG1,0)</f>
        <v>1.2058469531568468</v>
      </c>
      <c r="AH8" s="90">
        <f>VLOOKUP($G$8&amp;$F$1,'Input RM sheet'!$A:$BD,AH1,0)</f>
        <v>1.328155753838079</v>
      </c>
      <c r="AI8" s="90">
        <f>VLOOKUP($G$8&amp;$F$1,'Input RM sheet'!$A:$BD,AI1,0)</f>
        <v>1.2605824467442697</v>
      </c>
      <c r="AJ8" s="90">
        <f>VLOOKUP($G$8&amp;$F$1,'Input RM sheet'!$A:$BD,AJ1,0)</f>
        <v>1.1242096737595759</v>
      </c>
      <c r="AK8" s="90">
        <f>VLOOKUP($G$8&amp;$F$1,'Input RM sheet'!$A:$BD,AK1,0)</f>
        <v>1.1179786985052897</v>
      </c>
      <c r="AL8" s="90">
        <f>VLOOKUP($G$8&amp;$F$1,'Input RM sheet'!$A:$BD,AL1,0)</f>
        <v>1.0829322457612403</v>
      </c>
      <c r="AM8" s="90">
        <f>VLOOKUP($G$8&amp;$F$1,'Input RM sheet'!$A:$BD,AM1,0)</f>
        <v>1.0855018240664733</v>
      </c>
      <c r="AN8" s="90">
        <f>VLOOKUP($G$8&amp;$F$1,'Input RM sheet'!$A:$BD,AN1,0)</f>
        <v>1.0549821404108952</v>
      </c>
      <c r="AO8" s="90">
        <f>VLOOKUP($G$8&amp;$F$1,'Input RM sheet'!$A:$BD,AO1,0)</f>
        <v>1.0740005833527477</v>
      </c>
      <c r="AP8" s="90">
        <f>VLOOKUP($G$8&amp;$F$1,'Input RM sheet'!$A:$BD,AP1,0)</f>
        <v>1.1385193276752337</v>
      </c>
      <c r="AQ8" s="90">
        <f>VLOOKUP($G$8&amp;$F$1,'Input RM sheet'!$A:$BD,AQ1,0)</f>
        <v>1.0816813265611029</v>
      </c>
      <c r="AR8" s="90">
        <f>VLOOKUP($G$8&amp;$F$1,'Input RM sheet'!$A:$BD,AR1,0)</f>
        <v>0.99756298566293211</v>
      </c>
      <c r="AS8" s="90">
        <f>VLOOKUP($G$8&amp;$F$1,'Input RM sheet'!$A:$BD,AS1,0)</f>
        <v>0.92545631998382882</v>
      </c>
      <c r="AT8" s="224">
        <f>VLOOKUP($G$8&amp;$F$1,'Input RM sheet'!$A:$BD,AT1,0)</f>
        <v>0.9011022063000439</v>
      </c>
      <c r="AU8" s="90">
        <f>VLOOKUP($G$8&amp;$F$1,'Input RM sheet'!$A:$BD,AU1,0)</f>
        <v>0.74767129009219857</v>
      </c>
      <c r="AV8" s="90">
        <f>VLOOKUP($G$8&amp;$F$1,'Input RM sheet'!$A:$BD,AV1,0)</f>
        <v>0.70626929682976414</v>
      </c>
      <c r="AW8" s="90">
        <f>VLOOKUP($G$8&amp;$F$1,'Input RM sheet'!$A:$BD,AW1,0)</f>
        <v>0.61818181818181817</v>
      </c>
      <c r="AX8" s="90">
        <f>VLOOKUP($G$8&amp;$F$1,'Input RM sheet'!$A:$BD,AX1,0)</f>
        <v>0.61863173216885003</v>
      </c>
      <c r="AY8" s="90">
        <f>VLOOKUP($G$8&amp;$F$1,'Input RM sheet'!$A:$BD,AY1,0)</f>
        <v>0.6205889510829885</v>
      </c>
      <c r="AZ8" s="90">
        <f>VLOOKUP($G$8&amp;$F$1,'Input RM sheet'!$A:$BD,AZ1,0)</f>
        <v>0.62255859375</v>
      </c>
      <c r="BA8" s="90">
        <f>VLOOKUP($G$8&amp;$F$1,'Input RM sheet'!$A:$BD,BA1,0)</f>
        <v>0.59567225869195228</v>
      </c>
      <c r="BB8" s="90">
        <f>VLOOKUP($G$8&amp;$F$1,'Input RM sheet'!$A:$BD,BB1,0)</f>
        <v>0.59157310153326093</v>
      </c>
      <c r="BC8" s="90">
        <f>VLOOKUP($G$8&amp;$F$1,'Input RM sheet'!$A:$BD,BC1,0)</f>
        <v>0.58858858858858853</v>
      </c>
      <c r="BD8" s="90">
        <f>VLOOKUP($G$8&amp;$F$1,'Input RM sheet'!$A:$BD,BD1,0)</f>
        <v>0.58858858858858853</v>
      </c>
      <c r="BE8" s="90">
        <f>VLOOKUP($G$8&amp;$F$1,'Input RM sheet'!$A:$BD,BE1,0)</f>
        <v>0.59286146400483963</v>
      </c>
      <c r="BF8" s="90">
        <f>VLOOKUP($G$8&amp;$F$1,'Input RM sheet'!$A:$DD,BF1,0)</f>
        <v>0.5900060204695966</v>
      </c>
      <c r="BG8" s="90">
        <f>VLOOKUP($G$8&amp;$F$1,'Input RM sheet'!$A:$DD,BG1,0)</f>
        <v>0.5666747046057391</v>
      </c>
      <c r="BH8" s="90">
        <f>VLOOKUP($G$8&amp;$F$1,'Input RM sheet'!$A:$DD,BH1,0)</f>
        <v>0.59085976124442297</v>
      </c>
      <c r="BI8" s="90">
        <f>VLOOKUP($G$8&amp;$F$1,'Input RM sheet'!$A:$DD,BI1,0)</f>
        <v>0.58851789574825841</v>
      </c>
      <c r="BJ8" s="90">
        <f>VLOOKUP($G$8&amp;$F$1,'Input RM sheet'!$A:$DD,BJ1,0)</f>
        <v>0.68493150684931503</v>
      </c>
      <c r="BK8" s="90">
        <f>VLOOKUP($G$8&amp;$F$1,'Input RM sheet'!$A:$DD,BK1,0)</f>
        <v>0.68468468468468469</v>
      </c>
      <c r="BL8" s="90">
        <f>VLOOKUP($G$8&amp;$F$1,'Input RM sheet'!$A:$DD,BL1,0)</f>
        <v>0.66169393647738206</v>
      </c>
      <c r="BM8" s="90">
        <f>VLOOKUP($G$8&amp;$F$1,'Input RM sheet'!$A:$DD,BM1,0)</f>
        <v>0.69661301945712217</v>
      </c>
      <c r="BN8" s="90">
        <f>VLOOKUP($G$8&amp;$F$1,'Input RM sheet'!$A:$DD,BN1,0)</f>
        <v>0.69694784907474161</v>
      </c>
      <c r="BO8" s="90">
        <f>VLOOKUP($G$8&amp;$F$1,'Input RM sheet'!$A:$DD,BO1,0)</f>
        <v>0.69719918259406177</v>
      </c>
      <c r="BP8" s="90">
        <f>VLOOKUP($G$8&amp;$F$1,'Input RM sheet'!$A:$DD,BP1,0)</f>
        <v>0.69719918259406177</v>
      </c>
      <c r="BQ8" s="90">
        <f>VLOOKUP($G$8&amp;$F$1,'Input RM sheet'!$A:$DD,BQ1,0)</f>
        <v>0.69602784111364457</v>
      </c>
      <c r="BR8" s="90">
        <f>VLOOKUP($G$8&amp;$F$1,'Input RM sheet'!$A:$DD,BR1,0)</f>
        <v>0.69544364508393286</v>
      </c>
      <c r="BS8" s="90">
        <f>VLOOKUP($G$8&amp;$F$1,'Input RM sheet'!$A:$DD,BS1,0)</f>
        <v>0.63579654510556627</v>
      </c>
      <c r="BT8" s="90">
        <f>VLOOKUP($G$8&amp;$F$1,'Input RM sheet'!$A:$DD,BT1,0)</f>
        <v>0.64872657376261422</v>
      </c>
      <c r="BU8" s="90">
        <f>VLOOKUP($G$8&amp;$F$1,'Input RM sheet'!$A:$DD,BU1,0)</f>
        <v>0.64810369659145473</v>
      </c>
      <c r="BV8" s="90">
        <f>VLOOKUP($G$8&amp;$F$1,'Input RM sheet'!$A:$DD,BV1,0)</f>
        <v>0.63146499879720952</v>
      </c>
      <c r="BW8" s="90">
        <f>VLOOKUP($G$8&amp;$F$1,'Input RM sheet'!$A:$DD,BW1,0)</f>
        <v>0.66145520144317493</v>
      </c>
      <c r="BX8" s="90">
        <f>VLOOKUP($G$8&amp;$F$1,'Input RM sheet'!$A:$DD,BX1,0)</f>
        <v>0.66066066066066065</v>
      </c>
      <c r="BY8" s="90">
        <f>VLOOKUP($G$8&amp;$F$1,'Input RM sheet'!$A:$DD,BY1,0)</f>
        <v>0.67421141343607027</v>
      </c>
      <c r="BZ8" s="90">
        <f>VLOOKUP($G$8&amp;$F$1,'Input RM sheet'!$A:$DD,BZ1,0)</f>
        <v>0.67469879518072284</v>
      </c>
      <c r="CA8" s="90">
        <f>VLOOKUP($G$8&amp;$F$1,'Input RM sheet'!$A:$DD,CA1,0)</f>
        <v>0.6746175159619322</v>
      </c>
      <c r="CB8" s="90">
        <f>VLOOKUP($G$8&amp;$F$1,'Input RM sheet'!$A:$DD,CB1,0)</f>
        <v>0.67551266586248493</v>
      </c>
      <c r="CC8" s="90">
        <f>VLOOKUP($G$8&amp;$F$1,'Input RM sheet'!$A:$DD,CC1,0)</f>
        <v>0.67551266586248493</v>
      </c>
      <c r="CD8" s="90">
        <f>VLOOKUP($G$8&amp;$F$1,'Input RM sheet'!$A:$DD,CD1,0)</f>
        <v>0.64087061668681977</v>
      </c>
      <c r="CE8" s="90">
        <f>VLOOKUP($G$8&amp;$F$1,'Input RM sheet'!$A:$DD,CE1,0)</f>
        <v>0.64040599323344605</v>
      </c>
      <c r="CF8" s="90">
        <f>VLOOKUP($G$8&amp;$F$1,'Input RM sheet'!$A:$DD,CF1,0)</f>
        <v>0.63656017295219791</v>
      </c>
      <c r="CG8" s="90">
        <f>VLOOKUP($G$8&amp;$F$1,'Input RM sheet'!$A:$DD,CG1,0)</f>
        <v>0.63556781388655714</v>
      </c>
      <c r="CH8" s="90">
        <f>VLOOKUP($G$8&amp;$F$1,'Input RM sheet'!$A:$DD,CH1,0)</f>
        <v>0.63694267515923575</v>
      </c>
      <c r="CI8" s="90">
        <f>VLOOKUP($G$8&amp;$F$1,'Input RM sheet'!$A:$DD,CI1,0)</f>
        <v>0.63549160671462823</v>
      </c>
      <c r="CJ8" s="90">
        <f>VLOOKUP($G$8&amp;$F$1,'Input RM sheet'!$A:$DD,CJ1,0)</f>
        <v>0.63389546704939603</v>
      </c>
      <c r="CK8" s="90">
        <f>VLOOKUP($G$8&amp;$F$1,'Input RM sheet'!$A:$DD,CK1,0)</f>
        <v>0.65931431311436106</v>
      </c>
      <c r="CL8" s="90">
        <f>VLOOKUP($G$8&amp;$F$1,'Input RM sheet'!$A:$DD,CL1,0)</f>
        <v>0.6586826347305389</v>
      </c>
      <c r="CM8" s="90">
        <f>VLOOKUP($G$8&amp;$F$1,'Input RM sheet'!$A:$DD,CM1,0)</f>
        <v>0.65986802639472109</v>
      </c>
      <c r="CN8" s="90">
        <f>VLOOKUP($G$8&amp;$F$1,'Input RM sheet'!$A:$DD,CN1,0)</f>
        <v>0.62387522495500902</v>
      </c>
      <c r="CO8" s="90">
        <f>VLOOKUP($G$8&amp;$F$1,'Input RM sheet'!$A:$DD,CO1,0)</f>
        <v>0.62387522495500902</v>
      </c>
      <c r="CP8" s="90">
        <f>VLOOKUP($G$8&amp;$F$1,'Input RM sheet'!$A:$DD,CP1,0)</f>
        <v>0.62387522495500902</v>
      </c>
      <c r="CQ8" s="90">
        <f>VLOOKUP($G$8&amp;$F$1,'Input RM sheet'!$A:$ZZ,CQ1,0)</f>
        <v>0.61985933961139583</v>
      </c>
      <c r="CR8" s="90">
        <f>VLOOKUP($G$8&amp;$F$1,'Input RM sheet'!$A:$ZZ,CR1,0)</f>
        <v>0.64748201438848918</v>
      </c>
      <c r="CS8" s="90">
        <f>VLOOKUP($G$8&amp;$F$1,'Input RM sheet'!$A:$ZZ,CS1,0)</f>
        <v>0.6467065868263473</v>
      </c>
      <c r="CT8" s="90">
        <f>VLOOKUP($G$8&amp;$F$1,'Input RM sheet'!$A:$ZZ,CT1,0)</f>
        <v>0.67106051527860988</v>
      </c>
      <c r="CU8" s="90">
        <f>VLOOKUP($G$8&amp;$F$1,'Input RM sheet'!$A:$ZZ,CU1,0)</f>
        <v>0.67089972445189894</v>
      </c>
      <c r="CV8" s="90">
        <f>VLOOKUP($G$8&amp;$F$1,'Input RM sheet'!$A:$ZZ,CV1,0)</f>
        <v>0.67025733093955719</v>
      </c>
      <c r="CW8" s="90">
        <f>VLOOKUP($G$8&amp;$F$1,'Input RM sheet'!$A:$ZZ,CW1,0)</f>
        <v>0.65710872162485068</v>
      </c>
      <c r="CX8" s="90">
        <f>VLOOKUP($G$8&amp;$F$1,'Input RM sheet'!$A:$ZZ,CX1,0)</f>
        <v>0.65687328317210081</v>
      </c>
      <c r="CY8" s="90">
        <f>VLOOKUP($G$8&amp;$F$1,'Input RM sheet'!$A:$ZZ,CY1,0)</f>
        <v>0.67897558070279929</v>
      </c>
      <c r="CZ8" s="90">
        <f>VLOOKUP($G$8&amp;$F$1,'Input RM sheet'!$A:$ZZ,CZ1,0)</f>
        <v>0.67889471176750837</v>
      </c>
      <c r="DA8" s="90">
        <f>VLOOKUP($G$8&amp;$F$1,'Input RM sheet'!$A:$ZZ,DA1,0)</f>
        <v>0.6793802145411203</v>
      </c>
      <c r="DB8" s="90">
        <f>VLOOKUP($G$8&amp;$F$1,'Input RM sheet'!$A:$ZZ,DB1,0)</f>
        <v>0.67946119918941472</v>
      </c>
      <c r="DC8" s="90">
        <f>VLOOKUP($G$8&amp;$F$1,'Input RM sheet'!$A:$ZZ,DC1,0)</f>
        <v>0.62529776083849453</v>
      </c>
      <c r="DD8" s="90">
        <f>VLOOKUP($G$8&amp;$F$1,'Input RM sheet'!$A:$ZZ,DD1,0)</f>
        <v>0.62529776083849453</v>
      </c>
      <c r="DE8" s="90">
        <f>VLOOKUP($G$8&amp;$F$1,'Input RM sheet'!$A:$ZZ,DE1,0)</f>
        <v>0.59224694903086861</v>
      </c>
      <c r="DF8" s="90">
        <f>VLOOKUP($G$8&amp;$F$1,'Input RM sheet'!$A:$ZZ,DF1,0)</f>
        <v>0.59168061200095623</v>
      </c>
      <c r="DG8" s="90">
        <f>VLOOKUP($G$8&amp;$F$1,'Input RM sheet'!$A:$ZZ,DG1,0)</f>
        <v>0.58949624866023576</v>
      </c>
      <c r="DH8" s="90">
        <f>VLOOKUP($G$8&amp;$F$1,'Input RM sheet'!$A:$ZZ,DH1,0)</f>
        <v>0.60068990127274891</v>
      </c>
      <c r="DI8" s="90">
        <f>VLOOKUP($G$8&amp;$F$1,'Input RM sheet'!$A:$ZZ,DI1,0)</f>
        <v>0.60068990127274891</v>
      </c>
      <c r="DJ8" s="90">
        <f>VLOOKUP($G$8&amp;$F$1,'Input RM sheet'!$A:$ZZ,DJ1,0)</f>
        <v>0.60061845861084684</v>
      </c>
      <c r="DK8" s="90">
        <f>VLOOKUP($G$8&amp;$F$1,'Input RM sheet'!$A:$ZZ,DK1,0)</f>
        <v>0.60033285782215884</v>
      </c>
      <c r="DL8" s="90">
        <f>VLOOKUP($G$8&amp;$F$1,'Input RM sheet'!$A:$ZZ,DL1,0)</f>
        <v>0.59834123222748814</v>
      </c>
      <c r="DM8" s="90">
        <f>VLOOKUP($G$8&amp;$F$1,'Input RM sheet'!$A:$ZZ,DM1,0)</f>
        <v>0.61706419840987303</v>
      </c>
      <c r="DN8" s="90">
        <f>VLOOKUP($G$8&amp;$F$1,'Input RM sheet'!$A:$ZZ,DN1,0)</f>
        <v>0.61443932411674351</v>
      </c>
      <c r="DO8" s="90">
        <f>VLOOKUP($G$8&amp;$F$1,'Input RM sheet'!$A:$ZZ,DO1,0)</f>
        <v>0.6376195536663124</v>
      </c>
      <c r="DP8" s="90">
        <f>VLOOKUP($G$8&amp;$F$1,'Input RM sheet'!$A:$ZZ,DP1,0)</f>
        <v>0.63067311092773781</v>
      </c>
      <c r="DQ8" s="90">
        <f>VLOOKUP($G$8&amp;$F$1,'Input RM sheet'!$A:$ZZ,DQ1,0)</f>
        <v>0.63000471031559113</v>
      </c>
      <c r="DR8" s="90">
        <f>VLOOKUP($G$8&amp;$F$1,'Input RM sheet'!$A:$ZZ,DR1,0)</f>
        <v>0.62808170932143692</v>
      </c>
    </row>
    <row r="9" spans="1:123">
      <c r="A9" s="7" t="s">
        <v>395</v>
      </c>
      <c r="B9" s="7"/>
      <c r="C9" s="7" t="s">
        <v>379</v>
      </c>
      <c r="D9" s="7" t="s">
        <v>380</v>
      </c>
      <c r="E9" s="7" t="s">
        <v>381</v>
      </c>
      <c r="F9" s="7" t="s">
        <v>396</v>
      </c>
    </row>
    <row r="10" spans="1:123" ht="43.5" customHeight="1">
      <c r="A10" s="368" t="s">
        <v>397</v>
      </c>
      <c r="B10" t="s">
        <v>70</v>
      </c>
      <c r="C10">
        <v>2</v>
      </c>
      <c r="D10" s="3">
        <v>98.96</v>
      </c>
      <c r="E10" s="5">
        <f>D10*C10</f>
        <v>197.92</v>
      </c>
      <c r="F10" s="2">
        <f>E10/$D$4</f>
        <v>1.0455361859482302</v>
      </c>
      <c r="G10" t="s">
        <v>399</v>
      </c>
      <c r="H10" s="4">
        <f>$F$10*H7</f>
        <v>0.31871102983883703</v>
      </c>
      <c r="I10" s="4">
        <f t="shared" ref="I10:BF10" si="0">$F$10*I7</f>
        <v>0.35847700676999483</v>
      </c>
      <c r="J10" s="4">
        <f t="shared" si="0"/>
        <v>0.35231123313496165</v>
      </c>
      <c r="K10" s="4">
        <f t="shared" si="0"/>
        <v>0.3441726431514604</v>
      </c>
      <c r="L10" s="4">
        <f t="shared" si="0"/>
        <v>0.30908794588586025</v>
      </c>
      <c r="M10" s="4">
        <f t="shared" si="0"/>
        <v>0.29762896229050972</v>
      </c>
      <c r="N10" s="4">
        <f t="shared" si="0"/>
        <v>0.21594296911777891</v>
      </c>
      <c r="O10" s="4">
        <f t="shared" si="0"/>
        <v>0.26166882654851714</v>
      </c>
      <c r="P10" s="4">
        <f t="shared" si="0"/>
        <v>0.30825248512221282</v>
      </c>
      <c r="Q10" s="4">
        <f t="shared" si="0"/>
        <v>0.27301555922424076</v>
      </c>
      <c r="R10" s="4">
        <f t="shared" si="0"/>
        <v>0.38865148798790616</v>
      </c>
      <c r="S10" s="4">
        <f t="shared" si="0"/>
        <v>0.39266698231302188</v>
      </c>
      <c r="T10" s="4">
        <f t="shared" si="0"/>
        <v>0.39358739236056495</v>
      </c>
      <c r="U10" s="4">
        <f t="shared" si="0"/>
        <v>0.49321159824563809</v>
      </c>
      <c r="V10" s="4">
        <f t="shared" si="0"/>
        <v>0.58010229187138418</v>
      </c>
      <c r="W10" s="4">
        <f t="shared" si="0"/>
        <v>0.66849129657977546</v>
      </c>
      <c r="X10" s="4">
        <f t="shared" si="0"/>
        <v>0.73448650430191187</v>
      </c>
      <c r="Y10" s="4">
        <f t="shared" si="0"/>
        <v>0.73452424371263703</v>
      </c>
      <c r="Z10" s="4">
        <f t="shared" si="0"/>
        <v>0.7053064183306228</v>
      </c>
      <c r="AA10" s="4">
        <f t="shared" si="0"/>
        <v>0.70844224901727082</v>
      </c>
      <c r="AB10" s="4">
        <f t="shared" si="0"/>
        <v>0.72172929016387144</v>
      </c>
      <c r="AC10" s="4">
        <f t="shared" si="0"/>
        <v>0.77897806181604057</v>
      </c>
      <c r="AD10" s="4">
        <f t="shared" si="0"/>
        <v>0.88630820002400335</v>
      </c>
      <c r="AE10" s="4">
        <f t="shared" si="0"/>
        <v>0.77805586616818734</v>
      </c>
      <c r="AF10" s="4">
        <f t="shared" si="0"/>
        <v>0.88396503327275933</v>
      </c>
      <c r="AG10" s="4">
        <f t="shared" si="0"/>
        <v>0.84852618857801476</v>
      </c>
      <c r="AH10" s="4">
        <f t="shared" si="0"/>
        <v>0.77601042161246248</v>
      </c>
      <c r="AI10" s="4">
        <f t="shared" si="0"/>
        <v>0.86215129982185434</v>
      </c>
      <c r="AJ10" s="4">
        <f t="shared" si="0"/>
        <v>0.90667307796007846</v>
      </c>
      <c r="AK10" s="4">
        <f t="shared" si="0"/>
        <v>0.8818059626483592</v>
      </c>
      <c r="AL10" s="4">
        <f t="shared" si="0"/>
        <v>0.71908633744302575</v>
      </c>
      <c r="AM10" s="4">
        <f t="shared" si="0"/>
        <v>0.7140331575326675</v>
      </c>
      <c r="AN10" s="4">
        <f t="shared" si="0"/>
        <v>0.45909461239397437</v>
      </c>
      <c r="AO10" s="4">
        <f t="shared" si="0"/>
        <v>0.3629746904213032</v>
      </c>
      <c r="AP10" s="4">
        <f t="shared" si="0"/>
        <v>0.37490785684133915</v>
      </c>
      <c r="AQ10" s="4">
        <f t="shared" si="0"/>
        <v>0.30801288787062509</v>
      </c>
      <c r="AR10" s="4">
        <f t="shared" si="0"/>
        <v>0.86155856489997906</v>
      </c>
      <c r="AS10" s="4">
        <f t="shared" si="0"/>
        <v>0.38519075832487487</v>
      </c>
      <c r="AT10" s="4">
        <f t="shared" si="0"/>
        <v>0.36486675049304496</v>
      </c>
      <c r="AU10" s="4">
        <f t="shared" si="0"/>
        <v>0.38684838880084516</v>
      </c>
      <c r="AV10" s="4">
        <f t="shared" si="0"/>
        <v>0.4182144743792921</v>
      </c>
      <c r="AW10" s="4">
        <f t="shared" si="0"/>
        <v>0.26138404648705754</v>
      </c>
      <c r="AX10" s="4">
        <f t="shared" si="0"/>
        <v>0.26138404648705754</v>
      </c>
      <c r="AY10" s="4">
        <f t="shared" si="0"/>
        <v>0.26138404648705754</v>
      </c>
      <c r="AZ10" s="4">
        <f t="shared" si="0"/>
        <v>0.25092868462757523</v>
      </c>
      <c r="BA10" s="4">
        <f t="shared" si="0"/>
        <v>0.21956259904912834</v>
      </c>
      <c r="BB10" s="4">
        <f>$F$10*BB7</f>
        <v>0.30320549392498675</v>
      </c>
      <c r="BC10" s="4">
        <f t="shared" si="0"/>
        <v>0.30320549392498675</v>
      </c>
      <c r="BD10" s="4">
        <f t="shared" si="0"/>
        <v>0.30320549392498675</v>
      </c>
      <c r="BE10" s="4">
        <f t="shared" si="0"/>
        <v>0.30320549392498675</v>
      </c>
      <c r="BF10" s="4">
        <f t="shared" si="0"/>
        <v>0.30320549392498675</v>
      </c>
      <c r="BG10" s="4">
        <f t="shared" ref="BG10:CK10" si="1">$F$10*BG7</f>
        <v>0.23001796090861062</v>
      </c>
      <c r="BH10" s="4">
        <f t="shared" si="1"/>
        <v>0.23001796090861062</v>
      </c>
      <c r="BI10" s="4">
        <f t="shared" si="1"/>
        <v>0.23001796090861062</v>
      </c>
      <c r="BJ10" s="4">
        <f t="shared" si="1"/>
        <v>0.23001796090861062</v>
      </c>
      <c r="BK10" s="4">
        <f t="shared" si="1"/>
        <v>0.23001796090861062</v>
      </c>
      <c r="BL10" s="4">
        <f t="shared" si="1"/>
        <v>0.23001796090861062</v>
      </c>
      <c r="BM10" s="4">
        <f t="shared" si="1"/>
        <v>0.24047332276809294</v>
      </c>
      <c r="BN10" s="4">
        <f t="shared" si="1"/>
        <v>0.24047332276809294</v>
      </c>
      <c r="BO10" s="4">
        <f t="shared" si="1"/>
        <v>0.24047332276809294</v>
      </c>
      <c r="BP10" s="4">
        <f t="shared" si="1"/>
        <v>0.24047332276809294</v>
      </c>
      <c r="BQ10" s="4">
        <f t="shared" si="1"/>
        <v>0.26138404648705754</v>
      </c>
      <c r="BR10" s="4">
        <f t="shared" si="1"/>
        <v>0.26138404648705754</v>
      </c>
      <c r="BS10" s="4">
        <f t="shared" si="1"/>
        <v>0.26138404648705754</v>
      </c>
      <c r="BT10" s="4">
        <f t="shared" si="1"/>
        <v>0.26138404648705754</v>
      </c>
      <c r="BU10" s="4">
        <f t="shared" si="1"/>
        <v>0.26138404648705754</v>
      </c>
      <c r="BV10" s="4">
        <f t="shared" si="1"/>
        <v>0.26138404648705754</v>
      </c>
      <c r="BW10" s="4">
        <f t="shared" si="1"/>
        <v>0.26138404648705754</v>
      </c>
      <c r="BX10" s="4">
        <f t="shared" si="1"/>
        <v>0.26138404648705754</v>
      </c>
      <c r="BY10" s="4">
        <f t="shared" si="1"/>
        <v>0.26138404648705754</v>
      </c>
      <c r="BZ10" s="4">
        <f t="shared" si="1"/>
        <v>0.26138404648705754</v>
      </c>
      <c r="CA10" s="4">
        <f t="shared" si="1"/>
        <v>0.26138404648705754</v>
      </c>
      <c r="CB10" s="4">
        <f t="shared" si="1"/>
        <v>0.26138404648705754</v>
      </c>
      <c r="CC10" s="4">
        <f t="shared" si="1"/>
        <v>0.26138404648705754</v>
      </c>
      <c r="CD10" s="4">
        <f t="shared" si="1"/>
        <v>0.26138404648705754</v>
      </c>
      <c r="CE10" s="4">
        <f t="shared" si="1"/>
        <v>0.26138404648705754</v>
      </c>
      <c r="CF10" s="4">
        <f t="shared" si="1"/>
        <v>0.26138404648705754</v>
      </c>
      <c r="CG10" s="4">
        <f t="shared" si="1"/>
        <v>0.26138404648705754</v>
      </c>
      <c r="CH10" s="4">
        <f t="shared" si="1"/>
        <v>0.35548230322239827</v>
      </c>
      <c r="CI10" s="4">
        <f t="shared" si="1"/>
        <v>0.35548230322239827</v>
      </c>
      <c r="CJ10" s="4">
        <f t="shared" si="1"/>
        <v>0.35548230322239827</v>
      </c>
      <c r="CK10" s="4">
        <f t="shared" si="1"/>
        <v>0.35548230322239827</v>
      </c>
      <c r="CL10" s="4">
        <f t="shared" ref="CL10:CQ10" si="2">$F$10*CL7</f>
        <v>0.35548230322239827</v>
      </c>
      <c r="CM10" s="4">
        <f t="shared" si="2"/>
        <v>0.35548230322239827</v>
      </c>
      <c r="CN10" s="4">
        <f t="shared" si="2"/>
        <v>0.35548230322239827</v>
      </c>
      <c r="CO10" s="4">
        <f t="shared" si="2"/>
        <v>0.35548230322239827</v>
      </c>
      <c r="CP10" s="4">
        <f t="shared" si="2"/>
        <v>0.35548230322239827</v>
      </c>
      <c r="CQ10" s="4">
        <f t="shared" si="2"/>
        <v>0.20910723718964605</v>
      </c>
      <c r="CR10" s="4">
        <f>$F$10*CR7</f>
        <v>0.20910723718964605</v>
      </c>
      <c r="CS10" s="4">
        <f>$F$10*CS7</f>
        <v>0.20910723718964605</v>
      </c>
      <c r="CT10" s="4">
        <f>$F$10*CT7</f>
        <v>0.20910723718964605</v>
      </c>
      <c r="CU10" s="4">
        <f>$F$10*CU7</f>
        <v>0.20910723718964605</v>
      </c>
      <c r="CV10" s="4">
        <f t="shared" ref="CV10:DS10" si="3">$F$10*CV7</f>
        <v>0.29275013206550449</v>
      </c>
      <c r="CW10" s="4">
        <f t="shared" si="3"/>
        <v>0.28229477020602217</v>
      </c>
      <c r="CX10" s="4">
        <f t="shared" si="3"/>
        <v>0.35548230322239827</v>
      </c>
      <c r="CY10" s="4">
        <f t="shared" si="3"/>
        <v>0.35548230322239827</v>
      </c>
      <c r="CZ10" s="4">
        <f t="shared" si="3"/>
        <v>0.35548230322239827</v>
      </c>
      <c r="DA10" s="4">
        <f t="shared" si="3"/>
        <v>0.33457157950343364</v>
      </c>
      <c r="DB10" s="4">
        <f t="shared" si="3"/>
        <v>0.35548230322239827</v>
      </c>
      <c r="DC10" s="4">
        <f t="shared" si="3"/>
        <v>0.35548230322239827</v>
      </c>
      <c r="DD10" s="4">
        <f t="shared" si="3"/>
        <v>0.35548230322239827</v>
      </c>
      <c r="DE10" s="4">
        <f t="shared" si="3"/>
        <v>0.35548230322239827</v>
      </c>
      <c r="DF10" s="4">
        <f t="shared" si="3"/>
        <v>0.35548230322239827</v>
      </c>
      <c r="DG10" s="4">
        <f t="shared" si="3"/>
        <v>0.35548230322239827</v>
      </c>
      <c r="DH10" s="4">
        <f t="shared" si="3"/>
        <v>0.35548230322239827</v>
      </c>
      <c r="DI10" s="4">
        <f t="shared" si="3"/>
        <v>0.35548230322239827</v>
      </c>
      <c r="DJ10" s="4">
        <f t="shared" si="3"/>
        <v>0.35548230322239827</v>
      </c>
      <c r="DK10" s="4">
        <f t="shared" si="3"/>
        <v>0.35548230322239827</v>
      </c>
      <c r="DL10" s="4">
        <f t="shared" si="3"/>
        <v>0.36593766508188053</v>
      </c>
      <c r="DM10" s="4">
        <f t="shared" si="3"/>
        <v>0.32411621764395138</v>
      </c>
      <c r="DN10" s="4">
        <f t="shared" si="3"/>
        <v>0.32411621764395138</v>
      </c>
      <c r="DO10" s="4">
        <f t="shared" si="3"/>
        <v>0.32411621764395138</v>
      </c>
      <c r="DP10" s="4">
        <f t="shared" si="3"/>
        <v>0.33457157950343364</v>
      </c>
      <c r="DQ10" s="4">
        <f t="shared" si="3"/>
        <v>0.33457157950343364</v>
      </c>
      <c r="DR10" s="4">
        <f t="shared" si="3"/>
        <v>0.32411621764395138</v>
      </c>
      <c r="DS10" s="4">
        <f t="shared" si="3"/>
        <v>0</v>
      </c>
    </row>
    <row r="11" spans="1:123">
      <c r="A11" s="369"/>
      <c r="B11" t="s">
        <v>444</v>
      </c>
      <c r="C11">
        <v>5</v>
      </c>
      <c r="D11" s="3">
        <v>17.03</v>
      </c>
      <c r="E11" s="5">
        <f>D11*C11</f>
        <v>85.15</v>
      </c>
      <c r="F11" s="2">
        <f>E11/$D$4</f>
        <v>0.44981510829371368</v>
      </c>
      <c r="H11" s="4">
        <f>$F$11*H8</f>
        <v>0.22771920923477956</v>
      </c>
      <c r="I11" s="4">
        <f t="shared" ref="I11:BF11" si="4">$F$11*I8</f>
        <v>0.22762917577011788</v>
      </c>
      <c r="J11" s="4">
        <f t="shared" si="4"/>
        <v>0.21845812917390972</v>
      </c>
      <c r="K11" s="4">
        <f t="shared" si="4"/>
        <v>0.20963593302586495</v>
      </c>
      <c r="L11" s="4">
        <f t="shared" si="4"/>
        <v>0.21270124511628499</v>
      </c>
      <c r="M11" s="4">
        <f t="shared" si="4"/>
        <v>0.19858478754687026</v>
      </c>
      <c r="N11" s="4">
        <f t="shared" si="4"/>
        <v>0.19533911095532008</v>
      </c>
      <c r="O11" s="4">
        <f t="shared" si="4"/>
        <v>0.19133444300695138</v>
      </c>
      <c r="P11" s="4">
        <f t="shared" si="4"/>
        <v>0.19447190095909409</v>
      </c>
      <c r="Q11" s="4">
        <f t="shared" si="4"/>
        <v>0.19295928761773604</v>
      </c>
      <c r="R11" s="4">
        <f t="shared" si="4"/>
        <v>0.19110062354693694</v>
      </c>
      <c r="S11" s="4">
        <f t="shared" si="4"/>
        <v>0.20275843888357065</v>
      </c>
      <c r="T11" s="4">
        <f t="shared" si="4"/>
        <v>0.21425625058887407</v>
      </c>
      <c r="U11" s="4">
        <f t="shared" si="4"/>
        <v>0.22861482152290391</v>
      </c>
      <c r="V11" s="4">
        <f t="shared" si="4"/>
        <v>0.22861482152290391</v>
      </c>
      <c r="W11" s="4">
        <f t="shared" si="4"/>
        <v>0.24001019654938144</v>
      </c>
      <c r="X11" s="4">
        <f t="shared" si="4"/>
        <v>0.26712569571025996</v>
      </c>
      <c r="Y11" s="4">
        <f t="shared" si="4"/>
        <v>0.28532614417811158</v>
      </c>
      <c r="Z11" s="4">
        <f t="shared" si="4"/>
        <v>0.3265282534652148</v>
      </c>
      <c r="AA11" s="4">
        <f t="shared" si="4"/>
        <v>0.32786778450870907</v>
      </c>
      <c r="AB11" s="4">
        <f t="shared" si="4"/>
        <v>0.3367450349539598</v>
      </c>
      <c r="AC11" s="4">
        <f t="shared" si="4"/>
        <v>0.35611194007680735</v>
      </c>
      <c r="AD11" s="4">
        <f t="shared" si="4"/>
        <v>0.36924121312986347</v>
      </c>
      <c r="AE11" s="4">
        <f t="shared" si="4"/>
        <v>0.38060922605773456</v>
      </c>
      <c r="AF11" s="4">
        <f t="shared" si="4"/>
        <v>0.47522010875000886</v>
      </c>
      <c r="AG11" s="4">
        <f t="shared" si="4"/>
        <v>0.5424081778198917</v>
      </c>
      <c r="AH11" s="4">
        <f t="shared" si="4"/>
        <v>0.59742452424359449</v>
      </c>
      <c r="AI11" s="4">
        <f t="shared" si="4"/>
        <v>0.56702902979542824</v>
      </c>
      <c r="AJ11" s="4">
        <f t="shared" si="4"/>
        <v>0.50568649614700423</v>
      </c>
      <c r="AK11" s="4">
        <f t="shared" si="4"/>
        <v>0.50288370933822202</v>
      </c>
      <c r="AL11" s="4">
        <f t="shared" si="4"/>
        <v>0.48711928540184685</v>
      </c>
      <c r="AM11" s="4">
        <f t="shared" si="4"/>
        <v>0.48827512054548444</v>
      </c>
      <c r="AN11" s="4">
        <f t="shared" si="4"/>
        <v>0.4745469057368607</v>
      </c>
      <c r="AO11" s="4">
        <f t="shared" si="4"/>
        <v>0.48310168870832787</v>
      </c>
      <c r="AP11" s="4">
        <f t="shared" si="4"/>
        <v>0.51212319467272138</v>
      </c>
      <c r="AQ11" s="4">
        <f t="shared" si="4"/>
        <v>0.48655660304637038</v>
      </c>
      <c r="AR11" s="4">
        <f t="shared" si="4"/>
        <v>0.44871890242577217</v>
      </c>
      <c r="AS11" s="4">
        <f t="shared" si="4"/>
        <v>0.41628423479462773</v>
      </c>
      <c r="AT11" s="4">
        <f t="shared" si="4"/>
        <v>0.40532938651055855</v>
      </c>
      <c r="AU11" s="4">
        <f t="shared" si="4"/>
        <v>0.33631384232092293</v>
      </c>
      <c r="AV11" s="4">
        <f t="shared" si="4"/>
        <v>0.31769060023800538</v>
      </c>
      <c r="AW11" s="4">
        <f t="shared" si="4"/>
        <v>0.27806752149065939</v>
      </c>
      <c r="AX11" s="4">
        <f t="shared" si="4"/>
        <v>0.27826989959945897</v>
      </c>
      <c r="AY11" s="4">
        <f t="shared" si="4"/>
        <v>0.27915028623727667</v>
      </c>
      <c r="AZ11" s="4">
        <f t="shared" si="4"/>
        <v>0.28003626126683834</v>
      </c>
      <c r="BA11" s="4">
        <f t="shared" si="4"/>
        <v>0.26794238155108152</v>
      </c>
      <c r="BB11" s="4">
        <f>$F$11*BB8</f>
        <v>0.26609851872983187</v>
      </c>
      <c r="BC11" s="4">
        <f t="shared" si="4"/>
        <v>0.26475603971642003</v>
      </c>
      <c r="BD11" s="4">
        <f t="shared" si="4"/>
        <v>0.26475603971642003</v>
      </c>
      <c r="BE11" s="4">
        <f t="shared" si="4"/>
        <v>0.26667804363450659</v>
      </c>
      <c r="BF11" s="4">
        <f t="shared" si="4"/>
        <v>0.26539362199147465</v>
      </c>
      <c r="BG11" s="4">
        <f t="shared" ref="BG11:CK11" si="5">$F$11*BG8</f>
        <v>0.25489884361953874</v>
      </c>
      <c r="BH11" s="4">
        <f t="shared" si="5"/>
        <v>0.26577764749055793</v>
      </c>
      <c r="BI11" s="4">
        <f t="shared" si="5"/>
        <v>0.26472424100879138</v>
      </c>
      <c r="BJ11" s="4">
        <f t="shared" si="5"/>
        <v>0.30809253992720115</v>
      </c>
      <c r="BK11" s="4">
        <f t="shared" si="5"/>
        <v>0.30798151558848863</v>
      </c>
      <c r="BL11" s="4">
        <f t="shared" si="5"/>
        <v>0.29763992969386732</v>
      </c>
      <c r="BM11" s="4">
        <f t="shared" si="5"/>
        <v>0.31334706078591629</v>
      </c>
      <c r="BN11" s="4">
        <f t="shared" si="5"/>
        <v>0.31349767220662572</v>
      </c>
      <c r="BO11" s="4">
        <f t="shared" si="5"/>
        <v>0.31361072582083654</v>
      </c>
      <c r="BP11" s="4">
        <f t="shared" si="5"/>
        <v>0.31361072582083654</v>
      </c>
      <c r="BQ11" s="4">
        <f t="shared" si="5"/>
        <v>0.31308383872597378</v>
      </c>
      <c r="BR11" s="4">
        <f t="shared" si="5"/>
        <v>0.31282105852560427</v>
      </c>
      <c r="BS11" s="4">
        <f t="shared" si="5"/>
        <v>0.28599089178942932</v>
      </c>
      <c r="BT11" s="4">
        <f t="shared" si="5"/>
        <v>0.29180701403004017</v>
      </c>
      <c r="BU11" s="4">
        <f t="shared" si="5"/>
        <v>0.29152683446784139</v>
      </c>
      <c r="BV11" s="4">
        <f t="shared" si="5"/>
        <v>0.28404249681765659</v>
      </c>
      <c r="BW11" s="4">
        <f t="shared" si="5"/>
        <v>0.29753254306860194</v>
      </c>
      <c r="BX11" s="4">
        <f t="shared" si="5"/>
        <v>0.29717514662047151</v>
      </c>
      <c r="BY11" s="4">
        <f t="shared" si="5"/>
        <v>0.3032704799476037</v>
      </c>
      <c r="BZ11" s="4">
        <f t="shared" si="5"/>
        <v>0.303489711619855</v>
      </c>
      <c r="CA11" s="4">
        <f t="shared" si="5"/>
        <v>0.30345315099925263</v>
      </c>
      <c r="CB11" s="4">
        <f t="shared" si="5"/>
        <v>0.3038558029487089</v>
      </c>
      <c r="CC11" s="4">
        <f t="shared" si="5"/>
        <v>0.3038558029487089</v>
      </c>
      <c r="CD11" s="4">
        <f t="shared" si="5"/>
        <v>0.28827328584724093</v>
      </c>
      <c r="CE11" s="4">
        <f t="shared" si="5"/>
        <v>0.28806429119824578</v>
      </c>
      <c r="CF11" s="4">
        <f t="shared" si="5"/>
        <v>0.28633438313195803</v>
      </c>
      <c r="CG11" s="4">
        <f t="shared" si="5"/>
        <v>0.28588800503138057</v>
      </c>
      <c r="CH11" s="4">
        <f t="shared" si="5"/>
        <v>0.28650643840363932</v>
      </c>
      <c r="CI11" s="4">
        <f t="shared" si="5"/>
        <v>0.28585372589408659</v>
      </c>
      <c r="CJ11" s="4">
        <f t="shared" si="5"/>
        <v>0.2851357581577183</v>
      </c>
      <c r="CK11" s="4">
        <f t="shared" si="5"/>
        <v>0.29656953915313178</v>
      </c>
      <c r="CL11" s="4">
        <f t="shared" ref="CL11:CQ11" si="6">$F$11*CL8</f>
        <v>0.29628540067250603</v>
      </c>
      <c r="CM11" s="4">
        <f t="shared" si="6"/>
        <v>0.29681860775230057</v>
      </c>
      <c r="CN11" s="4">
        <f t="shared" si="6"/>
        <v>0.28062850187490235</v>
      </c>
      <c r="CO11" s="4">
        <f t="shared" si="6"/>
        <v>0.28062850187490235</v>
      </c>
      <c r="CP11" s="4">
        <f t="shared" si="6"/>
        <v>0.28062850187490235</v>
      </c>
      <c r="CQ11" s="4">
        <f t="shared" si="6"/>
        <v>0.27882209597416985</v>
      </c>
      <c r="CR11" s="4">
        <f>$F$11*CR8</f>
        <v>0.29124719242039016</v>
      </c>
      <c r="CS11" s="4">
        <f>$F$11*CS8</f>
        <v>0.29089839338755136</v>
      </c>
      <c r="CT11" s="4">
        <f>$F$11*CT8</f>
        <v>0.30185315835168319</v>
      </c>
      <c r="CU11" s="4">
        <f>$F$11*CU8</f>
        <v>0.30178083220855362</v>
      </c>
      <c r="CV11" s="4">
        <f t="shared" ref="CV11:DS11" si="7">$F$11*CV8</f>
        <v>0.30149187390123239</v>
      </c>
      <c r="CW11" s="4">
        <f t="shared" si="7"/>
        <v>0.29557743077842596</v>
      </c>
      <c r="CX11" s="4">
        <f t="shared" si="7"/>
        <v>0.29547152700530577</v>
      </c>
      <c r="CY11" s="4">
        <f t="shared" si="7"/>
        <v>0.30541347436261679</v>
      </c>
      <c r="CZ11" s="4">
        <f t="shared" si="7"/>
        <v>0.30537709829373133</v>
      </c>
      <c r="DA11" s="4">
        <f t="shared" si="7"/>
        <v>0.30559548477642046</v>
      </c>
      <c r="DB11" s="4">
        <f t="shared" si="7"/>
        <v>0.30563191289476316</v>
      </c>
      <c r="DC11" s="4">
        <f t="shared" si="7"/>
        <v>0.28126838000738408</v>
      </c>
      <c r="DD11" s="4">
        <f t="shared" si="7"/>
        <v>0.28126838000738408</v>
      </c>
      <c r="DE11" s="4">
        <f t="shared" si="7"/>
        <v>0.26640162551494168</v>
      </c>
      <c r="DF11" s="4">
        <f t="shared" si="7"/>
        <v>0.26614687856250091</v>
      </c>
      <c r="DG11" s="4">
        <f t="shared" si="7"/>
        <v>0.26516431892984194</v>
      </c>
      <c r="DH11" s="4">
        <f t="shared" si="7"/>
        <v>0.27019939299194173</v>
      </c>
      <c r="DI11" s="4">
        <f t="shared" si="7"/>
        <v>0.27019939299194173</v>
      </c>
      <c r="DJ11" s="4">
        <f t="shared" si="7"/>
        <v>0.27016725700324146</v>
      </c>
      <c r="DK11" s="4">
        <f t="shared" si="7"/>
        <v>0.27003878945354898</v>
      </c>
      <c r="DL11" s="4">
        <f t="shared" si="7"/>
        <v>0.26914292617100166</v>
      </c>
      <c r="DM11" s="4">
        <f t="shared" si="7"/>
        <v>0.27756479923191069</v>
      </c>
      <c r="DN11" s="4">
        <f t="shared" si="7"/>
        <v>0.27638409111748924</v>
      </c>
      <c r="DO11" s="4">
        <f t="shared" si="7"/>
        <v>0.28681090858260172</v>
      </c>
      <c r="DP11" s="4">
        <f t="shared" si="7"/>
        <v>0.28368629368989368</v>
      </c>
      <c r="DQ11" s="4">
        <f t="shared" si="7"/>
        <v>0.28338563699615732</v>
      </c>
      <c r="DR11" s="4">
        <f t="shared" si="7"/>
        <v>0.28252064209572297</v>
      </c>
      <c r="DS11" s="4">
        <f t="shared" si="7"/>
        <v>0</v>
      </c>
    </row>
    <row r="12" spans="1:123" s="6" customFormat="1">
      <c r="A12" s="38"/>
      <c r="D12" s="6" t="s">
        <v>400</v>
      </c>
      <c r="H12" s="82">
        <f t="shared" ref="H12:AM12" si="8">SUM(H10:H11)</f>
        <v>0.54643023907361665</v>
      </c>
      <c r="I12" s="82">
        <f t="shared" si="8"/>
        <v>0.58610618254011271</v>
      </c>
      <c r="J12" s="82">
        <f t="shared" si="8"/>
        <v>0.57076936230887143</v>
      </c>
      <c r="K12" s="82">
        <f t="shared" si="8"/>
        <v>0.55380857617732537</v>
      </c>
      <c r="L12" s="82">
        <f t="shared" si="8"/>
        <v>0.52178919100214527</v>
      </c>
      <c r="M12" s="82">
        <f t="shared" si="8"/>
        <v>0.49621374983737998</v>
      </c>
      <c r="N12" s="82">
        <f t="shared" si="8"/>
        <v>0.41128208007309897</v>
      </c>
      <c r="O12" s="82">
        <f t="shared" si="8"/>
        <v>0.45300326955546855</v>
      </c>
      <c r="P12" s="82">
        <f t="shared" si="8"/>
        <v>0.50272438608130687</v>
      </c>
      <c r="Q12" s="82">
        <f t="shared" si="8"/>
        <v>0.46597484684197676</v>
      </c>
      <c r="R12" s="82">
        <f t="shared" si="8"/>
        <v>0.57975211153484307</v>
      </c>
      <c r="S12" s="82">
        <f t="shared" si="8"/>
        <v>0.59542542119659259</v>
      </c>
      <c r="T12" s="82">
        <f t="shared" si="8"/>
        <v>0.60784364294943904</v>
      </c>
      <c r="U12" s="82">
        <f t="shared" si="8"/>
        <v>0.721826419768542</v>
      </c>
      <c r="V12" s="82">
        <f t="shared" si="8"/>
        <v>0.80871711339428809</v>
      </c>
      <c r="W12" s="82">
        <f t="shared" si="8"/>
        <v>0.90850149312915685</v>
      </c>
      <c r="X12" s="82">
        <f t="shared" si="8"/>
        <v>1.0016122000121719</v>
      </c>
      <c r="Y12" s="82">
        <f t="shared" si="8"/>
        <v>1.0198503878907486</v>
      </c>
      <c r="Z12" s="82">
        <f t="shared" si="8"/>
        <v>1.0318346717958375</v>
      </c>
      <c r="AA12" s="82">
        <f t="shared" si="8"/>
        <v>1.0363100335259798</v>
      </c>
      <c r="AB12" s="82">
        <f t="shared" si="8"/>
        <v>1.0584743251178312</v>
      </c>
      <c r="AC12" s="82">
        <f t="shared" si="8"/>
        <v>1.135090001892848</v>
      </c>
      <c r="AD12" s="82">
        <f t="shared" si="8"/>
        <v>1.2555494131538669</v>
      </c>
      <c r="AE12" s="82">
        <f t="shared" si="8"/>
        <v>1.1586650922259218</v>
      </c>
      <c r="AF12" s="82">
        <f t="shared" si="8"/>
        <v>1.3591851420227683</v>
      </c>
      <c r="AG12" s="82">
        <f t="shared" si="8"/>
        <v>1.3909343663979064</v>
      </c>
      <c r="AH12" s="82">
        <f t="shared" si="8"/>
        <v>1.3734349458560571</v>
      </c>
      <c r="AI12" s="82">
        <f t="shared" si="8"/>
        <v>1.4291803296172825</v>
      </c>
      <c r="AJ12" s="82">
        <f t="shared" si="8"/>
        <v>1.4123595741070827</v>
      </c>
      <c r="AK12" s="82">
        <f t="shared" si="8"/>
        <v>1.3846896719865813</v>
      </c>
      <c r="AL12" s="82">
        <f t="shared" si="8"/>
        <v>1.2062056228448725</v>
      </c>
      <c r="AM12" s="82">
        <f t="shared" si="8"/>
        <v>1.202308278078152</v>
      </c>
      <c r="AN12" s="82">
        <f t="shared" ref="AN12:BF12" si="9">SUM(AN10:AN11)</f>
        <v>0.93364151813083507</v>
      </c>
      <c r="AO12" s="82">
        <f t="shared" si="9"/>
        <v>0.84607637912963107</v>
      </c>
      <c r="AP12" s="82">
        <f t="shared" si="9"/>
        <v>0.88703105151406048</v>
      </c>
      <c r="AQ12" s="82">
        <f t="shared" si="9"/>
        <v>0.79456949091699547</v>
      </c>
      <c r="AR12" s="82">
        <f t="shared" si="9"/>
        <v>1.3102774673257511</v>
      </c>
      <c r="AS12" s="82">
        <f t="shared" si="9"/>
        <v>0.80147499311950265</v>
      </c>
      <c r="AT12" s="82">
        <f t="shared" si="9"/>
        <v>0.77019613700360345</v>
      </c>
      <c r="AU12" s="82">
        <f t="shared" si="9"/>
        <v>0.72316223112176803</v>
      </c>
      <c r="AV12" s="82">
        <f t="shared" si="9"/>
        <v>0.73590507461729748</v>
      </c>
      <c r="AW12" s="82">
        <f t="shared" si="9"/>
        <v>0.53945156797771698</v>
      </c>
      <c r="AX12" s="82">
        <f t="shared" si="9"/>
        <v>0.53965394608651651</v>
      </c>
      <c r="AY12" s="82">
        <f t="shared" si="9"/>
        <v>0.54053433272433415</v>
      </c>
      <c r="AZ12" s="82">
        <f t="shared" si="9"/>
        <v>0.53096494589441356</v>
      </c>
      <c r="BA12" s="82">
        <f t="shared" si="9"/>
        <v>0.48750498060020986</v>
      </c>
      <c r="BB12" s="82">
        <f>SUM(BB10:BB11)</f>
        <v>0.56930401265481856</v>
      </c>
      <c r="BC12" s="82">
        <f t="shared" si="9"/>
        <v>0.56796153364140678</v>
      </c>
      <c r="BD12" s="82">
        <f t="shared" si="9"/>
        <v>0.56796153364140678</v>
      </c>
      <c r="BE12" s="82">
        <f t="shared" si="9"/>
        <v>0.56988353755949328</v>
      </c>
      <c r="BF12" s="82">
        <f t="shared" si="9"/>
        <v>0.5685991159164614</v>
      </c>
      <c r="BG12" s="82">
        <f t="shared" ref="BG12:CK12" si="10">SUM(BG10:BG11)</f>
        <v>0.48491680452814934</v>
      </c>
      <c r="BH12" s="82">
        <f t="shared" si="10"/>
        <v>0.49579560839916859</v>
      </c>
      <c r="BI12" s="82">
        <f t="shared" si="10"/>
        <v>0.49474220191740204</v>
      </c>
      <c r="BJ12" s="82">
        <f t="shared" si="10"/>
        <v>0.5381105008358118</v>
      </c>
      <c r="BK12" s="82">
        <f t="shared" si="10"/>
        <v>0.53799947649709923</v>
      </c>
      <c r="BL12" s="82">
        <f t="shared" si="10"/>
        <v>0.52765789060247792</v>
      </c>
      <c r="BM12" s="82">
        <f t="shared" si="10"/>
        <v>0.5538203835540092</v>
      </c>
      <c r="BN12" s="82">
        <f t="shared" si="10"/>
        <v>0.55397099497471869</v>
      </c>
      <c r="BO12" s="82">
        <f t="shared" si="10"/>
        <v>0.55408404858892946</v>
      </c>
      <c r="BP12" s="82">
        <f t="shared" si="10"/>
        <v>0.55408404858892946</v>
      </c>
      <c r="BQ12" s="82">
        <f t="shared" si="10"/>
        <v>0.57446788521303138</v>
      </c>
      <c r="BR12" s="82">
        <f t="shared" si="10"/>
        <v>0.57420510501266175</v>
      </c>
      <c r="BS12" s="82">
        <f t="shared" si="10"/>
        <v>0.54737493827648687</v>
      </c>
      <c r="BT12" s="82">
        <f t="shared" si="10"/>
        <v>0.55319106051709777</v>
      </c>
      <c r="BU12" s="82">
        <f t="shared" si="10"/>
        <v>0.55291088095489893</v>
      </c>
      <c r="BV12" s="82">
        <f t="shared" si="10"/>
        <v>0.54542654330471407</v>
      </c>
      <c r="BW12" s="82">
        <f t="shared" si="10"/>
        <v>0.55891658955565948</v>
      </c>
      <c r="BX12" s="82">
        <f t="shared" si="10"/>
        <v>0.55855919310752911</v>
      </c>
      <c r="BY12" s="82">
        <f t="shared" si="10"/>
        <v>0.56465452643466119</v>
      </c>
      <c r="BZ12" s="82">
        <f t="shared" si="10"/>
        <v>0.56487375810691254</v>
      </c>
      <c r="CA12" s="82">
        <f t="shared" si="10"/>
        <v>0.56483719748631023</v>
      </c>
      <c r="CB12" s="82">
        <f t="shared" si="10"/>
        <v>0.56523984943576644</v>
      </c>
      <c r="CC12" s="82">
        <f t="shared" si="10"/>
        <v>0.56523984943576644</v>
      </c>
      <c r="CD12" s="82">
        <f t="shared" si="10"/>
        <v>0.54965733233429848</v>
      </c>
      <c r="CE12" s="82">
        <f t="shared" si="10"/>
        <v>0.54944833768530332</v>
      </c>
      <c r="CF12" s="82">
        <f t="shared" si="10"/>
        <v>0.54771842961901562</v>
      </c>
      <c r="CG12" s="82">
        <f t="shared" si="10"/>
        <v>0.54727205151843816</v>
      </c>
      <c r="CH12" s="82">
        <f t="shared" si="10"/>
        <v>0.64198874162603758</v>
      </c>
      <c r="CI12" s="82">
        <f t="shared" si="10"/>
        <v>0.64133602911648491</v>
      </c>
      <c r="CJ12" s="82">
        <f t="shared" si="10"/>
        <v>0.64061806138011657</v>
      </c>
      <c r="CK12" s="82">
        <f t="shared" si="10"/>
        <v>0.65205184237553004</v>
      </c>
      <c r="CL12" s="82">
        <f t="shared" ref="CL12:CQ12" si="11">SUM(CL10:CL11)</f>
        <v>0.65176770389490435</v>
      </c>
      <c r="CM12" s="82">
        <f t="shared" si="11"/>
        <v>0.65230091097469889</v>
      </c>
      <c r="CN12" s="82">
        <f t="shared" si="11"/>
        <v>0.63611080509730056</v>
      </c>
      <c r="CO12" s="82">
        <f t="shared" si="11"/>
        <v>0.63611080509730056</v>
      </c>
      <c r="CP12" s="82">
        <f t="shared" si="11"/>
        <v>0.63611080509730056</v>
      </c>
      <c r="CQ12" s="82">
        <f t="shared" si="11"/>
        <v>0.48792933316381593</v>
      </c>
      <c r="CR12" s="82">
        <f>SUM(CR10:CR11)</f>
        <v>0.50035442961003618</v>
      </c>
      <c r="CS12" s="82">
        <f>SUM(CS10:CS11)</f>
        <v>0.50000563057719738</v>
      </c>
      <c r="CT12" s="82">
        <f>SUM(CT10:CT11)</f>
        <v>0.51096039554132922</v>
      </c>
      <c r="CU12" s="82">
        <f>SUM(CU10:CU11)</f>
        <v>0.51088806939819964</v>
      </c>
      <c r="CV12" s="82">
        <f t="shared" ref="CV12:DS12" si="12">SUM(CV10:CV11)</f>
        <v>0.59424200596673682</v>
      </c>
      <c r="CW12" s="82">
        <f t="shared" si="12"/>
        <v>0.57787220098444814</v>
      </c>
      <c r="CX12" s="82">
        <f t="shared" si="12"/>
        <v>0.65095383022770403</v>
      </c>
      <c r="CY12" s="82">
        <f t="shared" si="12"/>
        <v>0.66089577758501505</v>
      </c>
      <c r="CZ12" s="82">
        <f t="shared" si="12"/>
        <v>0.66085940151612954</v>
      </c>
      <c r="DA12" s="82">
        <f t="shared" si="12"/>
        <v>0.64016706427985404</v>
      </c>
      <c r="DB12" s="82">
        <f t="shared" si="12"/>
        <v>0.66111421611716148</v>
      </c>
      <c r="DC12" s="82">
        <f t="shared" si="12"/>
        <v>0.63675068322978234</v>
      </c>
      <c r="DD12" s="82">
        <f t="shared" si="12"/>
        <v>0.63675068322978234</v>
      </c>
      <c r="DE12" s="82">
        <f t="shared" si="12"/>
        <v>0.62188392873733989</v>
      </c>
      <c r="DF12" s="82">
        <f t="shared" si="12"/>
        <v>0.62162918178489912</v>
      </c>
      <c r="DG12" s="82">
        <f t="shared" si="12"/>
        <v>0.6206466221522402</v>
      </c>
      <c r="DH12" s="82">
        <f t="shared" si="12"/>
        <v>0.62568169621434</v>
      </c>
      <c r="DI12" s="82">
        <f t="shared" si="12"/>
        <v>0.62568169621434</v>
      </c>
      <c r="DJ12" s="82">
        <f t="shared" si="12"/>
        <v>0.62564956022563978</v>
      </c>
      <c r="DK12" s="82">
        <f t="shared" si="12"/>
        <v>0.62552109267594724</v>
      </c>
      <c r="DL12" s="82">
        <f t="shared" si="12"/>
        <v>0.63508059125288219</v>
      </c>
      <c r="DM12" s="82">
        <f t="shared" si="12"/>
        <v>0.60168101687586206</v>
      </c>
      <c r="DN12" s="82">
        <f t="shared" si="12"/>
        <v>0.60050030876144067</v>
      </c>
      <c r="DO12" s="82">
        <f t="shared" si="12"/>
        <v>0.6109271262265531</v>
      </c>
      <c r="DP12" s="82">
        <f t="shared" si="12"/>
        <v>0.61825787319332726</v>
      </c>
      <c r="DQ12" s="82">
        <f t="shared" si="12"/>
        <v>0.61795721649959101</v>
      </c>
      <c r="DR12" s="82">
        <f t="shared" si="12"/>
        <v>0.60663685973967429</v>
      </c>
      <c r="DS12" s="82">
        <f t="shared" si="12"/>
        <v>0</v>
      </c>
    </row>
    <row r="13" spans="1:123">
      <c r="A13" s="331" t="s">
        <v>445</v>
      </c>
      <c r="G13" t="s">
        <v>429</v>
      </c>
      <c r="H13" s="5"/>
      <c r="I13" s="4">
        <v>2.68</v>
      </c>
      <c r="J13" s="4"/>
      <c r="K13" s="4"/>
      <c r="L13" s="4"/>
      <c r="M13" s="4"/>
      <c r="N13" s="4"/>
      <c r="O13" s="4"/>
      <c r="P13" s="4"/>
      <c r="Q13" s="4">
        <v>2.58</v>
      </c>
      <c r="R13" s="4"/>
      <c r="S13" s="4">
        <v>3.27</v>
      </c>
      <c r="T13" s="4">
        <v>3.55</v>
      </c>
      <c r="U13" s="4"/>
      <c r="V13" s="4">
        <v>4.0999999999999996</v>
      </c>
      <c r="W13" s="4">
        <v>4.6500000000000004</v>
      </c>
      <c r="X13" s="4"/>
      <c r="Y13" s="4">
        <v>5</v>
      </c>
      <c r="Z13" s="4">
        <v>5.15</v>
      </c>
      <c r="AA13" s="4"/>
      <c r="AB13" s="4"/>
      <c r="AC13" s="4"/>
      <c r="AD13" s="225"/>
      <c r="AE13" s="4"/>
      <c r="AF13" s="225"/>
      <c r="AG13" s="4"/>
      <c r="AH13" s="225"/>
      <c r="AI13" s="4"/>
      <c r="AJ13" s="225"/>
      <c r="AK13" s="4"/>
      <c r="AL13" s="225"/>
      <c r="AM13" s="4"/>
      <c r="AN13" s="225"/>
      <c r="AO13" s="4"/>
      <c r="AP13" s="225"/>
      <c r="AR13" s="226">
        <v>6.5</v>
      </c>
      <c r="AS13" s="4"/>
      <c r="AT13" s="4">
        <v>6.5</v>
      </c>
      <c r="AU13" s="4">
        <v>6.7</v>
      </c>
      <c r="AV13" s="4">
        <v>6.7</v>
      </c>
      <c r="AW13" s="4">
        <v>5.3</v>
      </c>
      <c r="AX13" s="4">
        <v>5.3</v>
      </c>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v>5.5</v>
      </c>
      <c r="CA13" s="4"/>
      <c r="CB13" s="4"/>
      <c r="CC13" s="4"/>
      <c r="CL13">
        <v>5.85</v>
      </c>
      <c r="CY13">
        <v>5.8</v>
      </c>
      <c r="DK13">
        <v>5.8</v>
      </c>
    </row>
    <row r="14" spans="1:123" s="6" customFormat="1">
      <c r="A14" s="227"/>
      <c r="G14" s="6" t="s">
        <v>406</v>
      </c>
      <c r="I14" s="87">
        <f>I13-I12</f>
        <v>2.0938938174598873</v>
      </c>
      <c r="Q14" s="40">
        <f>Q13-Q12</f>
        <v>2.1140251531580234</v>
      </c>
      <c r="S14" s="40">
        <f>S13-S12</f>
        <v>2.6745745788034077</v>
      </c>
      <c r="T14" s="40">
        <f>T13-T12</f>
        <v>2.9421563570505609</v>
      </c>
      <c r="V14" s="40">
        <f>V13-V12</f>
        <v>3.2912828866057113</v>
      </c>
      <c r="W14" s="40">
        <f>W13-W12</f>
        <v>3.7414985068708435</v>
      </c>
      <c r="Y14" s="40">
        <f>Y13-Y12</f>
        <v>3.9801496121092512</v>
      </c>
      <c r="Z14" s="40">
        <f>Z13-Z12</f>
        <v>4.1181653282041628</v>
      </c>
      <c r="AA14" s="40"/>
      <c r="AB14" s="40"/>
      <c r="AC14" s="40"/>
      <c r="AD14" s="40"/>
      <c r="AE14" s="40"/>
      <c r="AF14" s="40"/>
      <c r="AG14" s="40"/>
      <c r="AH14" s="40"/>
      <c r="AI14" s="40"/>
      <c r="AJ14" s="40"/>
      <c r="AK14" s="40"/>
      <c r="AL14" s="40"/>
      <c r="AM14" s="40"/>
      <c r="AN14" s="40"/>
      <c r="AO14" s="40"/>
      <c r="AP14" s="40"/>
      <c r="AR14" s="40">
        <f>AR13-AR12</f>
        <v>5.1897225326742493</v>
      </c>
      <c r="AT14" s="40">
        <f>AT13-AT12</f>
        <v>5.7298038629963965</v>
      </c>
      <c r="AU14" s="40">
        <f>AU13-AU12</f>
        <v>5.9768377688782319</v>
      </c>
      <c r="AV14" s="40">
        <f>AV13-AV12</f>
        <v>5.9640949253827031</v>
      </c>
      <c r="AW14" s="40">
        <f>AW13-AW12</f>
        <v>4.7605484320222828</v>
      </c>
      <c r="AX14" s="40">
        <f>AX13-AX12</f>
        <v>4.7603460539134836</v>
      </c>
      <c r="BZ14" s="40">
        <f>BZ13-BZ12</f>
        <v>4.9351262418930872</v>
      </c>
      <c r="CL14" s="40">
        <f>CL13-CL12</f>
        <v>5.1982322961050951</v>
      </c>
      <c r="CY14" s="40">
        <f>CY13-CY12</f>
        <v>5.1391042224149848</v>
      </c>
      <c r="DK14" s="40">
        <f>DK13-DK12</f>
        <v>5.1744789073240529</v>
      </c>
    </row>
    <row r="15" spans="1:123">
      <c r="A15" s="9"/>
    </row>
    <row r="16" spans="1:123" ht="16" thickBot="1">
      <c r="A16" s="9"/>
    </row>
    <row r="17" spans="1:122" s="156" customFormat="1" ht="16" thickBot="1">
      <c r="A17" s="228"/>
      <c r="G17" s="154" t="s">
        <v>407</v>
      </c>
      <c r="H17" s="155">
        <f>2.09+H12</f>
        <v>2.6364302390736167</v>
      </c>
      <c r="I17" s="155">
        <f t="shared" ref="I17:BT17" si="13">2.09+I12</f>
        <v>2.6761061825401127</v>
      </c>
      <c r="J17" s="155">
        <f t="shared" si="13"/>
        <v>2.6607693623088711</v>
      </c>
      <c r="K17" s="155">
        <f t="shared" si="13"/>
        <v>2.6438085761773253</v>
      </c>
      <c r="L17" s="155">
        <f t="shared" si="13"/>
        <v>2.6117891910021451</v>
      </c>
      <c r="M17" s="155">
        <f t="shared" si="13"/>
        <v>2.5862137498373796</v>
      </c>
      <c r="N17" s="155">
        <f t="shared" si="13"/>
        <v>2.501282080073099</v>
      </c>
      <c r="O17" s="155">
        <f t="shared" si="13"/>
        <v>2.5430032695554683</v>
      </c>
      <c r="P17" s="155">
        <f t="shared" si="13"/>
        <v>2.592724386081307</v>
      </c>
      <c r="Q17" s="155">
        <f t="shared" si="13"/>
        <v>2.5559748468419765</v>
      </c>
      <c r="R17" s="155">
        <f t="shared" si="13"/>
        <v>2.669752111534843</v>
      </c>
      <c r="S17" s="155">
        <f t="shared" si="13"/>
        <v>2.6854254211965927</v>
      </c>
      <c r="T17" s="155">
        <f t="shared" si="13"/>
        <v>2.6978436429494388</v>
      </c>
      <c r="U17" s="155">
        <f t="shared" si="13"/>
        <v>2.8118264197685416</v>
      </c>
      <c r="V17" s="155">
        <f t="shared" si="13"/>
        <v>2.8987171133942882</v>
      </c>
      <c r="W17" s="155">
        <f t="shared" si="13"/>
        <v>2.9985014931291567</v>
      </c>
      <c r="X17" s="155">
        <f t="shared" si="13"/>
        <v>3.0916122000121717</v>
      </c>
      <c r="Y17" s="155">
        <f t="shared" si="13"/>
        <v>3.1098503878907486</v>
      </c>
      <c r="Z17" s="155">
        <f t="shared" si="13"/>
        <v>3.1218346717958374</v>
      </c>
      <c r="AA17" s="155">
        <f t="shared" si="13"/>
        <v>3.1263100335259795</v>
      </c>
      <c r="AB17" s="155">
        <f t="shared" si="13"/>
        <v>3.1484743251178311</v>
      </c>
      <c r="AC17" s="155">
        <f t="shared" si="13"/>
        <v>3.2250900018928479</v>
      </c>
      <c r="AD17" s="155">
        <f t="shared" si="13"/>
        <v>3.3455494131538668</v>
      </c>
      <c r="AE17" s="155">
        <f t="shared" si="13"/>
        <v>3.2486650922259219</v>
      </c>
      <c r="AF17" s="155">
        <f t="shared" si="13"/>
        <v>3.4491851420227682</v>
      </c>
      <c r="AG17" s="155">
        <f t="shared" si="13"/>
        <v>3.4809343663979062</v>
      </c>
      <c r="AH17" s="155">
        <f t="shared" si="13"/>
        <v>3.4634349458560569</v>
      </c>
      <c r="AI17" s="155">
        <f t="shared" si="13"/>
        <v>3.5191803296172823</v>
      </c>
      <c r="AJ17" s="155">
        <f t="shared" si="13"/>
        <v>3.5023595741070825</v>
      </c>
      <c r="AK17" s="155">
        <f t="shared" si="13"/>
        <v>3.4746896719865812</v>
      </c>
      <c r="AL17" s="155">
        <f t="shared" si="13"/>
        <v>3.2962056228448722</v>
      </c>
      <c r="AM17" s="155">
        <f t="shared" si="13"/>
        <v>3.2923082780781519</v>
      </c>
      <c r="AN17" s="155">
        <f t="shared" si="13"/>
        <v>3.0236415181308347</v>
      </c>
      <c r="AO17" s="155">
        <f t="shared" si="13"/>
        <v>2.9360763791296307</v>
      </c>
      <c r="AP17" s="155">
        <f t="shared" si="13"/>
        <v>2.9770310515140603</v>
      </c>
      <c r="AQ17" s="155">
        <f t="shared" si="13"/>
        <v>2.8845694909169954</v>
      </c>
      <c r="AR17" s="155">
        <f t="shared" si="13"/>
        <v>3.400277467325751</v>
      </c>
      <c r="AS17" s="155">
        <f t="shared" si="13"/>
        <v>2.8914749931195027</v>
      </c>
      <c r="AT17" s="155">
        <f t="shared" si="13"/>
        <v>2.8601961370036033</v>
      </c>
      <c r="AU17" s="155">
        <f t="shared" si="13"/>
        <v>2.8131622311217681</v>
      </c>
      <c r="AV17" s="155">
        <f t="shared" si="13"/>
        <v>2.8259050746172973</v>
      </c>
      <c r="AW17" s="155">
        <f t="shared" si="13"/>
        <v>2.6294515679777168</v>
      </c>
      <c r="AX17" s="155">
        <f>2.09+AX12</f>
        <v>2.6296539460865165</v>
      </c>
      <c r="AY17" s="155">
        <f t="shared" si="13"/>
        <v>2.6305343327243342</v>
      </c>
      <c r="AZ17" s="155">
        <f t="shared" si="13"/>
        <v>2.6209649458944133</v>
      </c>
      <c r="BA17" s="155">
        <f t="shared" si="13"/>
        <v>2.5775049806002097</v>
      </c>
      <c r="BB17" s="155">
        <f t="shared" si="13"/>
        <v>2.6593040126548182</v>
      </c>
      <c r="BC17" s="155">
        <f t="shared" si="13"/>
        <v>2.6579615336414069</v>
      </c>
      <c r="BD17" s="155">
        <f t="shared" si="13"/>
        <v>2.6579615336414069</v>
      </c>
      <c r="BE17" s="155">
        <f t="shared" si="13"/>
        <v>2.6598835375594931</v>
      </c>
      <c r="BF17" s="155">
        <f t="shared" si="13"/>
        <v>2.658599115916461</v>
      </c>
      <c r="BG17" s="155">
        <f t="shared" si="13"/>
        <v>2.574916804528149</v>
      </c>
      <c r="BH17" s="155">
        <f t="shared" si="13"/>
        <v>2.5857956083991684</v>
      </c>
      <c r="BI17" s="155">
        <f t="shared" si="13"/>
        <v>2.5847422019174018</v>
      </c>
      <c r="BJ17" s="155">
        <f t="shared" si="13"/>
        <v>2.6281105008358114</v>
      </c>
      <c r="BK17" s="155">
        <f t="shared" si="13"/>
        <v>2.6279994764970991</v>
      </c>
      <c r="BL17" s="155">
        <f t="shared" si="13"/>
        <v>2.6176578906024779</v>
      </c>
      <c r="BM17" s="155">
        <f t="shared" si="13"/>
        <v>2.6438203835540088</v>
      </c>
      <c r="BN17" s="155">
        <f t="shared" si="13"/>
        <v>2.6439709949747185</v>
      </c>
      <c r="BO17" s="155">
        <f t="shared" si="13"/>
        <v>2.6440840485889292</v>
      </c>
      <c r="BP17" s="155">
        <f t="shared" si="13"/>
        <v>2.6440840485889292</v>
      </c>
      <c r="BQ17" s="155">
        <f t="shared" si="13"/>
        <v>2.664467885213031</v>
      </c>
      <c r="BR17" s="155">
        <f t="shared" si="13"/>
        <v>2.6642051050126616</v>
      </c>
      <c r="BS17" s="155">
        <f t="shared" si="13"/>
        <v>2.6373749382764866</v>
      </c>
      <c r="BT17" s="155">
        <f t="shared" si="13"/>
        <v>2.6431910605170978</v>
      </c>
      <c r="BU17" s="155">
        <f t="shared" ref="BU17:DR17" si="14">2.09+BU12</f>
        <v>2.6429108809548989</v>
      </c>
      <c r="BV17" s="155">
        <f t="shared" si="14"/>
        <v>2.6354265433047139</v>
      </c>
      <c r="BW17" s="155">
        <f t="shared" si="14"/>
        <v>2.6489165895556592</v>
      </c>
      <c r="BX17" s="155">
        <f t="shared" si="14"/>
        <v>2.6485591931075287</v>
      </c>
      <c r="BY17" s="155">
        <f t="shared" si="14"/>
        <v>2.654654526434661</v>
      </c>
      <c r="BZ17" s="155">
        <f t="shared" si="14"/>
        <v>2.6548737581069126</v>
      </c>
      <c r="CA17" s="155">
        <f t="shared" si="14"/>
        <v>2.6548371974863101</v>
      </c>
      <c r="CB17" s="155">
        <f t="shared" si="14"/>
        <v>2.6552398494357661</v>
      </c>
      <c r="CC17" s="155">
        <f t="shared" si="14"/>
        <v>2.6552398494357661</v>
      </c>
      <c r="CD17" s="155">
        <f t="shared" si="14"/>
        <v>2.6396573323342984</v>
      </c>
      <c r="CE17" s="155">
        <f t="shared" si="14"/>
        <v>2.6394483376853031</v>
      </c>
      <c r="CF17" s="155">
        <f t="shared" si="14"/>
        <v>2.6377184296190155</v>
      </c>
      <c r="CG17" s="155">
        <f t="shared" si="14"/>
        <v>2.6372720515184378</v>
      </c>
      <c r="CH17" s="155">
        <f t="shared" si="14"/>
        <v>2.7319887416260373</v>
      </c>
      <c r="CI17" s="155">
        <f t="shared" si="14"/>
        <v>2.731336029116485</v>
      </c>
      <c r="CJ17" s="155">
        <f t="shared" si="14"/>
        <v>2.7306180613801163</v>
      </c>
      <c r="CK17" s="155">
        <f t="shared" si="14"/>
        <v>2.7420518423755298</v>
      </c>
      <c r="CL17" s="155">
        <f t="shared" si="14"/>
        <v>2.7417677038949044</v>
      </c>
      <c r="CM17" s="155">
        <f t="shared" si="14"/>
        <v>2.7423009109746985</v>
      </c>
      <c r="CN17" s="155">
        <f t="shared" si="14"/>
        <v>2.7261108050973002</v>
      </c>
      <c r="CO17" s="155">
        <f t="shared" si="14"/>
        <v>2.7261108050973002</v>
      </c>
      <c r="CP17" s="155">
        <f t="shared" si="14"/>
        <v>2.7261108050973002</v>
      </c>
      <c r="CQ17" s="155">
        <f t="shared" si="14"/>
        <v>2.5779293331638158</v>
      </c>
      <c r="CR17" s="155">
        <f t="shared" si="14"/>
        <v>2.590354429610036</v>
      </c>
      <c r="CS17" s="155">
        <f t="shared" si="14"/>
        <v>2.5900056305771972</v>
      </c>
      <c r="CT17" s="155">
        <f t="shared" si="14"/>
        <v>2.6009603955413292</v>
      </c>
      <c r="CU17" s="155">
        <f t="shared" si="14"/>
        <v>2.6008880693981995</v>
      </c>
      <c r="CV17" s="155">
        <f t="shared" si="14"/>
        <v>2.6842420059667367</v>
      </c>
      <c r="CW17" s="155">
        <f t="shared" si="14"/>
        <v>2.6678722009844478</v>
      </c>
      <c r="CX17" s="155">
        <f t="shared" si="14"/>
        <v>2.7409538302277037</v>
      </c>
      <c r="CY17" s="155">
        <f t="shared" si="14"/>
        <v>2.7508957775850149</v>
      </c>
      <c r="CZ17" s="155">
        <f t="shared" si="14"/>
        <v>2.7508594015161294</v>
      </c>
      <c r="DA17" s="155">
        <f t="shared" si="14"/>
        <v>2.7301670642798541</v>
      </c>
      <c r="DB17" s="155">
        <f t="shared" si="14"/>
        <v>2.7511142161171613</v>
      </c>
      <c r="DC17" s="155">
        <f t="shared" si="14"/>
        <v>2.7267506832297821</v>
      </c>
      <c r="DD17" s="155">
        <f t="shared" si="14"/>
        <v>2.7267506832297821</v>
      </c>
      <c r="DE17" s="155">
        <f t="shared" si="14"/>
        <v>2.7118839287373397</v>
      </c>
      <c r="DF17" s="155">
        <f t="shared" si="14"/>
        <v>2.711629181784899</v>
      </c>
      <c r="DG17" s="155">
        <f t="shared" si="14"/>
        <v>2.7106466221522401</v>
      </c>
      <c r="DH17" s="155">
        <f t="shared" si="14"/>
        <v>2.71568169621434</v>
      </c>
      <c r="DI17" s="155">
        <f t="shared" si="14"/>
        <v>2.71568169621434</v>
      </c>
      <c r="DJ17" s="155">
        <f t="shared" si="14"/>
        <v>2.7156495602256396</v>
      </c>
      <c r="DK17" s="155">
        <f t="shared" si="14"/>
        <v>2.7155210926759472</v>
      </c>
      <c r="DL17" s="155">
        <f t="shared" si="14"/>
        <v>2.7250805912528819</v>
      </c>
      <c r="DM17" s="155">
        <f t="shared" si="14"/>
        <v>2.691681016875862</v>
      </c>
      <c r="DN17" s="155">
        <f t="shared" si="14"/>
        <v>2.6905003087614405</v>
      </c>
      <c r="DO17" s="155">
        <f t="shared" si="14"/>
        <v>2.7009271262265528</v>
      </c>
      <c r="DP17" s="155">
        <f t="shared" si="14"/>
        <v>2.7082578731933271</v>
      </c>
      <c r="DQ17" s="155">
        <f t="shared" si="14"/>
        <v>2.7079572164995911</v>
      </c>
      <c r="DR17" s="155">
        <f t="shared" si="14"/>
        <v>2.6966368597396739</v>
      </c>
    </row>
    <row r="18" spans="1:122">
      <c r="A18" s="1"/>
    </row>
    <row r="19" spans="1:122">
      <c r="A19" s="1"/>
    </row>
    <row r="20" spans="1:122">
      <c r="A20" s="1"/>
    </row>
  </sheetData>
  <mergeCells count="1">
    <mergeCell ref="A10:A11"/>
  </mergeCells>
  <phoneticPr fontId="52"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dimension ref="A1:EP17"/>
  <sheetViews>
    <sheetView zoomScaleNormal="100" workbookViewId="0">
      <pane xSplit="9" ySplit="7" topLeftCell="DM8" activePane="bottomRight" state="frozen"/>
      <selection pane="topRight" activeCell="J1" sqref="J1"/>
      <selection pane="bottomLeft" activeCell="A8" sqref="A8"/>
      <selection pane="bottomRight" activeCell="DR17" sqref="DR17"/>
    </sheetView>
  </sheetViews>
  <sheetFormatPr baseColWidth="10" defaultColWidth="8.6640625" defaultRowHeight="12"/>
  <cols>
    <col min="1" max="1" width="16.33203125" style="60" bestFit="1" customWidth="1"/>
    <col min="2" max="2" width="13.6640625" style="60" bestFit="1" customWidth="1"/>
    <col min="3" max="3" width="4.83203125" style="60" bestFit="1" customWidth="1"/>
    <col min="4" max="4" width="12.33203125" style="60" bestFit="1" customWidth="1"/>
    <col min="5" max="5" width="18.5" style="60" bestFit="1" customWidth="1"/>
    <col min="6" max="6" width="6" style="60" bestFit="1" customWidth="1"/>
    <col min="7" max="7" width="22.83203125" style="60" bestFit="1" customWidth="1"/>
    <col min="8" max="8" width="5.1640625" style="60" bestFit="1" customWidth="1"/>
    <col min="9" max="9" width="5.5" style="60" bestFit="1" customWidth="1"/>
    <col min="10" max="10" width="5.6640625" style="60" bestFit="1" customWidth="1"/>
    <col min="11" max="11" width="5.33203125" style="60" bestFit="1" customWidth="1"/>
    <col min="12" max="12" width="5.83203125" style="60" bestFit="1" customWidth="1"/>
    <col min="13" max="13" width="5.1640625" style="60" bestFit="1" customWidth="1"/>
    <col min="14" max="14" width="4.6640625" style="60" bestFit="1" customWidth="1"/>
    <col min="15" max="17" width="5.5" style="60" bestFit="1" customWidth="1"/>
    <col min="18" max="18" width="5.6640625" style="60" bestFit="1" customWidth="1"/>
    <col min="19" max="19" width="5.5" style="60" bestFit="1" customWidth="1"/>
    <col min="20" max="20" width="5.1640625" style="60" bestFit="1" customWidth="1"/>
    <col min="21" max="21" width="5.5" style="60" bestFit="1" customWidth="1"/>
    <col min="22" max="22" width="5.6640625" style="60" bestFit="1" customWidth="1"/>
    <col min="23" max="23" width="5.33203125" style="60" bestFit="1" customWidth="1"/>
    <col min="24" max="24" width="5.83203125" style="60" bestFit="1" customWidth="1"/>
    <col min="25" max="25" width="5.1640625" style="60" bestFit="1" customWidth="1"/>
    <col min="26" max="26" width="4.6640625" style="60" bestFit="1" customWidth="1"/>
    <col min="27" max="29" width="5.5" style="60" bestFit="1" customWidth="1"/>
    <col min="30" max="30" width="5.6640625" style="60" bestFit="1" customWidth="1"/>
    <col min="31" max="31" width="5.5" style="60" bestFit="1" customWidth="1"/>
    <col min="32" max="32" width="5.1640625" style="60" bestFit="1" customWidth="1"/>
    <col min="33" max="33" width="5.5" style="60" bestFit="1" customWidth="1"/>
    <col min="34" max="34" width="5.6640625" style="60" bestFit="1" customWidth="1"/>
    <col min="35" max="35" width="5.33203125" style="60" bestFit="1" customWidth="1"/>
    <col min="36" max="36" width="5.83203125" style="60" bestFit="1" customWidth="1"/>
    <col min="37" max="37" width="5.1640625" style="60" bestFit="1" customWidth="1"/>
    <col min="38" max="38" width="4.6640625" style="60" bestFit="1" customWidth="1"/>
    <col min="39" max="41" width="5.5" style="60" bestFit="1" customWidth="1"/>
    <col min="42" max="42" width="5.6640625" style="60" bestFit="1" customWidth="1"/>
    <col min="43" max="43" width="5.5" style="60" bestFit="1" customWidth="1"/>
    <col min="44" max="44" width="5.1640625" style="60" bestFit="1" customWidth="1"/>
    <col min="45" max="45" width="5.5" style="60" bestFit="1" customWidth="1"/>
    <col min="46" max="46" width="5.6640625" style="60" bestFit="1" customWidth="1"/>
    <col min="47" max="47" width="5.33203125" style="60" bestFit="1" customWidth="1"/>
    <col min="48" max="48" width="5.83203125" style="60" bestFit="1" customWidth="1"/>
    <col min="49" max="49" width="5.1640625" style="60" bestFit="1" customWidth="1"/>
    <col min="50" max="53" width="6" style="60" bestFit="1" customWidth="1"/>
    <col min="54" max="55" width="5.5" style="60" bestFit="1" customWidth="1"/>
    <col min="56" max="57" width="5.83203125" style="60" bestFit="1" customWidth="1"/>
    <col min="58" max="58" width="6.1640625" style="60" bestFit="1" customWidth="1"/>
    <col min="59" max="61" width="5.5" style="60" bestFit="1" customWidth="1"/>
    <col min="62" max="62" width="9.83203125" style="60" bestFit="1" customWidth="1"/>
    <col min="63" max="65" width="5.5" style="60" bestFit="1" customWidth="1"/>
    <col min="66" max="66" width="9.83203125" style="60" bestFit="1" customWidth="1"/>
    <col min="67" max="69" width="5.6640625" style="60" bestFit="1" customWidth="1"/>
    <col min="70" max="73" width="5.5" style="60" bestFit="1" customWidth="1"/>
    <col min="74" max="77" width="5.1640625" style="60" bestFit="1" customWidth="1"/>
    <col min="78" max="81" width="5.5" style="60" bestFit="1" customWidth="1"/>
    <col min="82" max="85" width="6.1640625" style="60" bestFit="1" customWidth="1"/>
    <col min="86" max="89" width="5.5" style="60" bestFit="1" customWidth="1"/>
    <col min="90" max="94" width="6.33203125" style="60" bestFit="1" customWidth="1"/>
    <col min="95" max="95" width="5.1640625" style="60" bestFit="1" customWidth="1"/>
    <col min="96" max="96" width="6.83203125" style="60" bestFit="1" customWidth="1"/>
    <col min="97" max="16384" width="8.6640625" style="60"/>
  </cols>
  <sheetData>
    <row r="1" spans="1:146" ht="13">
      <c r="A1" s="59" t="s">
        <v>377</v>
      </c>
      <c r="B1" s="59" t="s">
        <v>378</v>
      </c>
      <c r="C1" s="59" t="s">
        <v>379</v>
      </c>
      <c r="D1" s="98" t="s">
        <v>380</v>
      </c>
      <c r="E1" s="98" t="s">
        <v>381</v>
      </c>
      <c r="F1" s="59" t="s">
        <v>33</v>
      </c>
      <c r="H1" s="61">
        <v>6</v>
      </c>
      <c r="I1" s="61">
        <v>7</v>
      </c>
      <c r="J1" s="61">
        <v>8</v>
      </c>
      <c r="K1" s="61">
        <v>9</v>
      </c>
      <c r="L1" s="61">
        <v>10</v>
      </c>
      <c r="M1" s="61">
        <v>11</v>
      </c>
      <c r="N1" s="61">
        <v>12</v>
      </c>
      <c r="O1" s="61">
        <v>13</v>
      </c>
      <c r="P1" s="61">
        <v>14</v>
      </c>
      <c r="Q1" s="61">
        <v>15</v>
      </c>
      <c r="R1" s="61">
        <v>16</v>
      </c>
      <c r="S1" s="61">
        <v>17</v>
      </c>
      <c r="T1" s="61">
        <v>18</v>
      </c>
      <c r="U1" s="61">
        <v>19</v>
      </c>
      <c r="V1" s="61">
        <v>20</v>
      </c>
      <c r="W1" s="61">
        <v>21</v>
      </c>
      <c r="X1" s="61">
        <v>22</v>
      </c>
      <c r="Y1" s="61">
        <v>23</v>
      </c>
      <c r="Z1" s="61">
        <v>24</v>
      </c>
      <c r="AA1" s="61">
        <v>25</v>
      </c>
      <c r="AB1" s="61">
        <v>26</v>
      </c>
      <c r="AC1" s="61">
        <v>27</v>
      </c>
      <c r="AD1" s="61">
        <v>28</v>
      </c>
      <c r="AE1" s="61">
        <v>29</v>
      </c>
      <c r="AF1" s="61">
        <v>30</v>
      </c>
      <c r="AG1" s="61">
        <v>31</v>
      </c>
      <c r="AH1" s="61">
        <v>32</v>
      </c>
      <c r="AI1" s="61">
        <v>33</v>
      </c>
      <c r="AJ1" s="61">
        <v>34</v>
      </c>
      <c r="AK1" s="61">
        <v>35</v>
      </c>
      <c r="AL1" s="61">
        <v>36</v>
      </c>
      <c r="AM1" s="61">
        <v>37</v>
      </c>
      <c r="AN1" s="61">
        <v>38</v>
      </c>
      <c r="AO1" s="61">
        <v>39</v>
      </c>
      <c r="AP1" s="61">
        <v>40</v>
      </c>
      <c r="AQ1" s="61">
        <v>41</v>
      </c>
      <c r="AR1" s="61">
        <v>42</v>
      </c>
      <c r="AS1" s="61">
        <v>43</v>
      </c>
      <c r="AT1" s="61">
        <v>44</v>
      </c>
      <c r="AU1" s="61">
        <v>45</v>
      </c>
      <c r="AV1" s="61">
        <v>46</v>
      </c>
      <c r="AW1" s="61">
        <v>47</v>
      </c>
      <c r="AX1" s="61">
        <v>48</v>
      </c>
      <c r="AY1" s="61">
        <v>49</v>
      </c>
      <c r="AZ1" s="61">
        <v>50</v>
      </c>
      <c r="BA1" s="61">
        <v>51</v>
      </c>
      <c r="BB1" s="61">
        <v>52</v>
      </c>
      <c r="BC1" s="61">
        <v>53</v>
      </c>
      <c r="BD1" s="61">
        <v>54</v>
      </c>
      <c r="BE1" s="61">
        <v>55</v>
      </c>
      <c r="BF1" s="61">
        <v>56</v>
      </c>
      <c r="BG1" s="61">
        <v>57</v>
      </c>
      <c r="BH1" s="61">
        <v>58</v>
      </c>
      <c r="BI1" s="61">
        <v>59</v>
      </c>
      <c r="BJ1" s="61">
        <v>60</v>
      </c>
      <c r="BK1" s="61">
        <v>61</v>
      </c>
      <c r="BL1" s="61">
        <v>62</v>
      </c>
      <c r="BM1" s="61">
        <v>63</v>
      </c>
      <c r="BN1" s="61">
        <v>64</v>
      </c>
      <c r="BO1" s="61">
        <v>65</v>
      </c>
      <c r="BP1" s="61">
        <v>66</v>
      </c>
      <c r="BQ1" s="61">
        <v>67</v>
      </c>
      <c r="BR1" s="61">
        <v>68</v>
      </c>
      <c r="BS1" s="61">
        <v>69</v>
      </c>
      <c r="BT1" s="61">
        <v>70</v>
      </c>
      <c r="BU1" s="61">
        <v>71</v>
      </c>
      <c r="BV1" s="61">
        <v>72</v>
      </c>
      <c r="BW1" s="61">
        <v>73</v>
      </c>
      <c r="BX1" s="61">
        <v>74</v>
      </c>
      <c r="BY1" s="61">
        <v>75</v>
      </c>
      <c r="BZ1" s="61">
        <v>76</v>
      </c>
      <c r="CA1" s="61">
        <v>77</v>
      </c>
      <c r="CB1" s="61">
        <v>78</v>
      </c>
      <c r="CC1" s="61">
        <v>79</v>
      </c>
      <c r="CD1" s="61">
        <v>80</v>
      </c>
      <c r="CE1" s="61">
        <v>81</v>
      </c>
      <c r="CF1" s="61">
        <v>82</v>
      </c>
      <c r="CG1" s="61">
        <v>83</v>
      </c>
      <c r="CH1" s="61">
        <v>84</v>
      </c>
      <c r="CI1" s="61">
        <v>85</v>
      </c>
      <c r="CJ1" s="61">
        <v>86</v>
      </c>
      <c r="CK1" s="61">
        <v>87</v>
      </c>
      <c r="CL1" s="61">
        <v>88</v>
      </c>
      <c r="CM1" s="61">
        <v>89</v>
      </c>
      <c r="CN1" s="61">
        <v>90</v>
      </c>
      <c r="CO1" s="61">
        <v>91</v>
      </c>
      <c r="CP1" s="61">
        <v>92</v>
      </c>
      <c r="CQ1" s="61">
        <v>93</v>
      </c>
      <c r="CR1" s="61">
        <v>94</v>
      </c>
      <c r="CS1" s="61">
        <v>95</v>
      </c>
      <c r="CT1" s="61">
        <v>96</v>
      </c>
      <c r="CU1" s="61">
        <v>97</v>
      </c>
      <c r="CV1" s="61">
        <v>98</v>
      </c>
      <c r="CW1" s="61">
        <v>99</v>
      </c>
      <c r="CX1" s="61">
        <v>100</v>
      </c>
      <c r="CY1" s="61">
        <v>101</v>
      </c>
      <c r="CZ1" s="61">
        <v>102</v>
      </c>
      <c r="DA1" s="61">
        <v>103</v>
      </c>
      <c r="DB1" s="61">
        <v>104</v>
      </c>
      <c r="DC1" s="61">
        <v>105</v>
      </c>
      <c r="DD1" s="61">
        <v>106</v>
      </c>
      <c r="DE1" s="61">
        <v>107</v>
      </c>
      <c r="DF1" s="61">
        <v>108</v>
      </c>
      <c r="DG1" s="61">
        <v>109</v>
      </c>
      <c r="DH1" s="61">
        <v>110</v>
      </c>
      <c r="DI1" s="61">
        <v>111</v>
      </c>
      <c r="DJ1" s="61">
        <v>112</v>
      </c>
      <c r="DK1" s="61">
        <v>113</v>
      </c>
      <c r="DL1" s="61">
        <v>114</v>
      </c>
      <c r="DM1" s="61">
        <v>115</v>
      </c>
      <c r="DN1" s="61">
        <v>116</v>
      </c>
      <c r="DO1" s="61">
        <v>117</v>
      </c>
      <c r="DP1" s="61">
        <v>118</v>
      </c>
      <c r="DQ1" s="61">
        <v>119</v>
      </c>
      <c r="DR1" s="61">
        <v>120</v>
      </c>
      <c r="DS1" s="61">
        <v>121</v>
      </c>
      <c r="DT1" s="61">
        <v>122</v>
      </c>
      <c r="DU1" s="61">
        <v>123</v>
      </c>
      <c r="DV1" s="61">
        <v>124</v>
      </c>
      <c r="DW1" s="61">
        <v>125</v>
      </c>
      <c r="DX1" s="61">
        <v>126</v>
      </c>
      <c r="DY1" s="61">
        <v>127</v>
      </c>
      <c r="DZ1" s="61">
        <v>128</v>
      </c>
      <c r="EA1" s="61">
        <v>129</v>
      </c>
      <c r="EB1" s="61">
        <v>130</v>
      </c>
      <c r="EC1" s="61">
        <v>131</v>
      </c>
      <c r="ED1" s="61">
        <v>132</v>
      </c>
      <c r="EE1" s="61">
        <v>133</v>
      </c>
      <c r="EF1" s="61">
        <v>134</v>
      </c>
      <c r="EG1" s="61">
        <v>135</v>
      </c>
      <c r="EH1" s="61">
        <v>136</v>
      </c>
      <c r="EI1" s="61">
        <v>137</v>
      </c>
      <c r="EJ1" s="61">
        <v>138</v>
      </c>
      <c r="EK1" s="61">
        <v>139</v>
      </c>
      <c r="EL1" s="61">
        <v>140</v>
      </c>
      <c r="EM1" s="61">
        <v>141</v>
      </c>
      <c r="EN1" s="61">
        <v>142</v>
      </c>
      <c r="EO1" s="61">
        <v>143</v>
      </c>
      <c r="EP1" s="61">
        <v>144</v>
      </c>
    </row>
    <row r="2" spans="1:146">
      <c r="A2" s="64" t="s">
        <v>446</v>
      </c>
      <c r="B2" s="64" t="s">
        <v>447</v>
      </c>
      <c r="C2" s="64"/>
      <c r="D2" s="64">
        <v>118.01</v>
      </c>
      <c r="G2" s="60" t="s">
        <v>387</v>
      </c>
      <c r="I2" s="60">
        <f>785/50</f>
        <v>15.7</v>
      </c>
    </row>
    <row r="3" spans="1:146">
      <c r="A3" s="114" t="s">
        <v>448</v>
      </c>
      <c r="B3" s="60" t="s">
        <v>449</v>
      </c>
      <c r="C3" s="64"/>
      <c r="D3" s="64"/>
      <c r="E3" s="64"/>
    </row>
    <row r="4" spans="1:146">
      <c r="A4" s="60">
        <v>261.97000000000003</v>
      </c>
      <c r="B4" s="60">
        <v>98.07</v>
      </c>
      <c r="C4" s="64"/>
      <c r="D4" s="64"/>
      <c r="E4" s="64"/>
    </row>
    <row r="5" spans="1:146">
      <c r="A5" s="64"/>
      <c r="B5" s="64"/>
      <c r="C5" s="64"/>
      <c r="D5" s="64"/>
      <c r="E5" s="64"/>
    </row>
    <row r="6" spans="1:146">
      <c r="B6" s="64"/>
      <c r="D6" s="64"/>
      <c r="E6" s="64"/>
      <c r="G6" s="59" t="s">
        <v>416</v>
      </c>
      <c r="H6" s="59">
        <v>43831</v>
      </c>
      <c r="I6" s="59">
        <v>43862</v>
      </c>
      <c r="J6" s="59">
        <v>43891</v>
      </c>
      <c r="K6" s="59">
        <v>43922</v>
      </c>
      <c r="L6" s="59">
        <v>43952</v>
      </c>
      <c r="M6" s="59">
        <v>43983</v>
      </c>
      <c r="N6" s="59">
        <v>44013</v>
      </c>
      <c r="O6" s="59">
        <v>44044</v>
      </c>
      <c r="P6" s="59">
        <v>44075</v>
      </c>
      <c r="Q6" s="59">
        <v>44105</v>
      </c>
      <c r="R6" s="59">
        <v>44136</v>
      </c>
      <c r="S6" s="59">
        <v>44166</v>
      </c>
      <c r="T6" s="59">
        <v>44197</v>
      </c>
      <c r="U6" s="59">
        <v>44228</v>
      </c>
      <c r="V6" s="59">
        <v>44256</v>
      </c>
      <c r="W6" s="59">
        <v>44287</v>
      </c>
      <c r="X6" s="59">
        <v>44317</v>
      </c>
      <c r="Y6" s="59">
        <v>44348</v>
      </c>
      <c r="Z6" s="59">
        <v>44378</v>
      </c>
      <c r="AA6" s="59">
        <v>44409</v>
      </c>
      <c r="AB6" s="59">
        <v>44440</v>
      </c>
      <c r="AC6" s="59">
        <v>44470</v>
      </c>
      <c r="AD6" s="59">
        <v>44501</v>
      </c>
      <c r="AE6" s="59">
        <v>44531</v>
      </c>
      <c r="AF6" s="59">
        <v>44562</v>
      </c>
      <c r="AG6" s="59">
        <v>44593</v>
      </c>
      <c r="AH6" s="59">
        <v>44621</v>
      </c>
      <c r="AI6" s="59">
        <v>44652</v>
      </c>
      <c r="AJ6" s="59">
        <v>44682</v>
      </c>
      <c r="AK6" s="59">
        <v>44713</v>
      </c>
      <c r="AL6" s="59">
        <v>44743</v>
      </c>
      <c r="AM6" s="59">
        <v>44774</v>
      </c>
      <c r="AN6" s="59">
        <v>44805</v>
      </c>
      <c r="AO6" s="59">
        <v>44835</v>
      </c>
      <c r="AP6" s="59">
        <v>44866</v>
      </c>
      <c r="AQ6" s="59">
        <v>44896</v>
      </c>
      <c r="AR6" s="59">
        <v>44927</v>
      </c>
      <c r="AS6" s="59">
        <v>44958</v>
      </c>
      <c r="AT6" s="59">
        <v>44986</v>
      </c>
      <c r="AU6" s="59">
        <v>45017</v>
      </c>
      <c r="AV6" s="59">
        <v>45047</v>
      </c>
      <c r="AW6" s="59">
        <v>45078</v>
      </c>
      <c r="AX6" s="59" t="s">
        <v>450</v>
      </c>
      <c r="AY6" s="59" t="s">
        <v>451</v>
      </c>
      <c r="AZ6" s="59" t="s">
        <v>452</v>
      </c>
      <c r="BA6" s="59" t="s">
        <v>453</v>
      </c>
      <c r="BB6" s="59">
        <v>37104</v>
      </c>
      <c r="BC6" s="59">
        <v>37469</v>
      </c>
      <c r="BD6" s="59" t="s">
        <v>168</v>
      </c>
      <c r="BE6" s="59" t="s">
        <v>169</v>
      </c>
      <c r="BF6" s="59" t="s">
        <v>393</v>
      </c>
      <c r="BG6" s="59">
        <v>37500</v>
      </c>
      <c r="BH6" s="59">
        <v>37865</v>
      </c>
      <c r="BI6" s="59">
        <v>38231</v>
      </c>
      <c r="BJ6" s="59">
        <v>37165</v>
      </c>
      <c r="BK6" s="59">
        <v>37530</v>
      </c>
      <c r="BL6" s="59">
        <v>37895</v>
      </c>
      <c r="BM6" s="59">
        <v>38261</v>
      </c>
      <c r="BN6" s="59">
        <v>37196</v>
      </c>
      <c r="BO6" s="59">
        <v>37561</v>
      </c>
      <c r="BP6" s="59">
        <v>37926</v>
      </c>
      <c r="BQ6" s="59">
        <v>38292</v>
      </c>
      <c r="BR6" s="59">
        <v>37226</v>
      </c>
      <c r="BS6" s="59">
        <v>37591</v>
      </c>
      <c r="BT6" s="59">
        <v>37956</v>
      </c>
      <c r="BU6" s="59">
        <v>38322</v>
      </c>
      <c r="BV6" s="59">
        <v>36892</v>
      </c>
      <c r="BW6" s="59">
        <v>37257</v>
      </c>
      <c r="BX6" s="59">
        <v>37622</v>
      </c>
      <c r="BY6" s="59">
        <v>37987</v>
      </c>
      <c r="BZ6" s="59">
        <v>36923</v>
      </c>
      <c r="CA6" s="59">
        <v>37288</v>
      </c>
      <c r="CB6" s="59">
        <v>37653</v>
      </c>
      <c r="CC6" s="59">
        <v>38018</v>
      </c>
      <c r="CD6" s="59" t="str">
        <f>Sheet8!A15</f>
        <v>Mar-w1</v>
      </c>
      <c r="CE6" s="59" t="s">
        <v>285</v>
      </c>
      <c r="CF6" s="59" t="s">
        <v>286</v>
      </c>
      <c r="CG6" s="59" t="s">
        <v>287</v>
      </c>
      <c r="CH6" s="59" t="str">
        <f>Sheet8!E15</f>
        <v>Apr-w1</v>
      </c>
      <c r="CI6" s="59" t="str">
        <f>Sheet8!F15</f>
        <v>Apr-w2</v>
      </c>
      <c r="CJ6" s="59" t="str">
        <f>Sheet8!G15</f>
        <v>Apr-w3</v>
      </c>
      <c r="CK6" s="59" t="str">
        <f>Sheet8!H15</f>
        <v>Apr-w4</v>
      </c>
      <c r="CL6" s="59" t="str">
        <f>Sheet8!I15</f>
        <v>May-w1</v>
      </c>
      <c r="CM6" s="59" t="str">
        <f>Sheet8!J15</f>
        <v>May-w2</v>
      </c>
      <c r="CN6" s="59" t="str">
        <f>Sheet8!K15</f>
        <v>May-w3</v>
      </c>
      <c r="CO6" s="59" t="str">
        <f>Sheet8!L15</f>
        <v>May-w4</v>
      </c>
      <c r="CP6" s="59" t="str">
        <f>Sheet8!M15</f>
        <v>May-w5</v>
      </c>
      <c r="CQ6" s="59" t="str">
        <f>Sheet8!N15</f>
        <v>june-w1</v>
      </c>
      <c r="CR6" s="59" t="str">
        <f>Sheet8!O15</f>
        <v>june-w2</v>
      </c>
      <c r="CS6" s="59" t="str">
        <f>Sheet8!P15</f>
        <v>june-w3</v>
      </c>
      <c r="CT6" s="59" t="str">
        <f>Sheet8!Q15</f>
        <v>june-w4</v>
      </c>
      <c r="CU6" s="59" t="str">
        <f>Sheet8!R15</f>
        <v>Jul-w1</v>
      </c>
      <c r="CV6" s="59" t="str">
        <f>Sheet8!S15</f>
        <v>Jul-w2</v>
      </c>
      <c r="CW6" s="59" t="str">
        <f>Sheet8!T15</f>
        <v>Jul-w3</v>
      </c>
      <c r="CX6" s="59" t="str">
        <f>Sheet8!U15</f>
        <v>Jul-w4</v>
      </c>
      <c r="CY6" s="59" t="str">
        <f>Sheet8!V15</f>
        <v>Aug-w1</v>
      </c>
      <c r="CZ6" s="59" t="str">
        <f>Sheet8!W15</f>
        <v>Aug-w2</v>
      </c>
      <c r="DA6" s="59" t="str">
        <f>Sheet8!X15</f>
        <v>Aug-w3</v>
      </c>
      <c r="DB6" s="59" t="str">
        <f>Sheet8!Y15</f>
        <v>Aug-w4</v>
      </c>
      <c r="DC6" s="59" t="str">
        <f>Sheet8!Z15</f>
        <v>Sep-w1</v>
      </c>
      <c r="DD6" s="59" t="str">
        <f>Sheet8!AA15</f>
        <v>Sep-w2</v>
      </c>
      <c r="DE6" s="59" t="str">
        <f>Sheet8!AB15</f>
        <v>Sep-w3</v>
      </c>
      <c r="DF6" s="59" t="str">
        <f>Sheet8!AC15</f>
        <v>Sep-w4</v>
      </c>
      <c r="DG6" s="59" t="str">
        <f>Sheet8!AD15</f>
        <v>Oct-w1</v>
      </c>
      <c r="DH6" s="59" t="str">
        <f>Sheet8!AE15</f>
        <v>Oct-w2</v>
      </c>
      <c r="DI6" s="59" t="str">
        <f>Sheet8!AF15</f>
        <v>Oct-w3</v>
      </c>
      <c r="DJ6" s="59" t="str">
        <f>Sheet8!AG15</f>
        <v>Oct-w4</v>
      </c>
      <c r="DK6" s="59" t="str">
        <f>Sheet8!AH15</f>
        <v>Nov-w1</v>
      </c>
      <c r="DL6" s="59" t="str">
        <f>Sheet8!AI15</f>
        <v>Nov-w2</v>
      </c>
      <c r="DM6" s="59" t="str">
        <f>Sheet8!AJ15</f>
        <v>Nov-w3</v>
      </c>
      <c r="DN6" s="59" t="str">
        <f>Sheet8!AK15</f>
        <v>Nov-w4</v>
      </c>
      <c r="DO6" s="59" t="str">
        <f>Sheet8!AL15</f>
        <v>Dec-w1</v>
      </c>
      <c r="DP6" s="59" t="str">
        <f>Sheet8!AM15</f>
        <v>Dec-w2</v>
      </c>
      <c r="DQ6" s="59" t="str">
        <f>Sheet8!AN15</f>
        <v>Dec-w3</v>
      </c>
      <c r="DR6" s="59" t="str">
        <f>Sheet8!AO15</f>
        <v>Dec-w4</v>
      </c>
    </row>
    <row r="7" spans="1:146">
      <c r="B7" s="64"/>
      <c r="D7" s="64"/>
      <c r="E7" s="60" t="s">
        <v>454</v>
      </c>
      <c r="G7" s="114" t="s">
        <v>71</v>
      </c>
      <c r="H7" s="65">
        <f>VLOOKUP($G$7&amp;$F$1,'Input RM sheet'!$A:$BD,H1,0)</f>
        <v>1.1958182154977375</v>
      </c>
      <c r="I7" s="65">
        <f>VLOOKUP($G$7&amp;$F$1,'Input RM sheet'!$A:$BD,I1,0)</f>
        <v>1.1782289215686275</v>
      </c>
      <c r="J7" s="65">
        <f>VLOOKUP($G$7&amp;$F$1,'Input RM sheet'!$A:$BD,J1,0)</f>
        <v>1.1214241430700447</v>
      </c>
      <c r="K7" s="65">
        <f>VLOOKUP($G$7&amp;$F$1,'Input RM sheet'!$A:$BD,K1,0)</f>
        <v>1.1434329592439456</v>
      </c>
      <c r="L7" s="65">
        <f>VLOOKUP($G$7&amp;$F$1,'Input RM sheet'!$A:$BD,L1,0)</f>
        <v>1.1374396166134186</v>
      </c>
      <c r="M7" s="65">
        <f>VLOOKUP($G$7&amp;$F$1,'Input RM sheet'!$A:$BD,M1,0)</f>
        <v>1.1342139303482588</v>
      </c>
      <c r="N7" s="65">
        <f>VLOOKUP($G$7&amp;$F$1,'Input RM sheet'!$A:$BD,N1,0)</f>
        <v>1.0985214854111407</v>
      </c>
      <c r="O7" s="65">
        <f>VLOOKUP($G$7&amp;$F$1,'Input RM sheet'!$A:$BD,O1,0)</f>
        <v>1.0813389380530973</v>
      </c>
      <c r="P7" s="65">
        <f>VLOOKUP($G$7&amp;$F$1,'Input RM sheet'!$A:$BD,P1,0)</f>
        <v>1.0416426257459506</v>
      </c>
      <c r="Q7" s="65">
        <f>VLOOKUP($G$7&amp;$F$1,'Input RM sheet'!$A:$BD,Q1,0)</f>
        <v>1.0516280672715885</v>
      </c>
      <c r="R7" s="65">
        <f>VLOOKUP($G$7&amp;$F$1,'Input RM sheet'!$A:$BD,R1,0)</f>
        <v>1.0347949350356589</v>
      </c>
      <c r="S7" s="65">
        <f>VLOOKUP($G$7&amp;$F$1,'Input RM sheet'!$A:$BD,S1,0)</f>
        <v>1.0019336793893132</v>
      </c>
      <c r="T7" s="65">
        <f>VLOOKUP($G$7&amp;$F$1,'Input RM sheet'!$A:$BD,T1,0)</f>
        <v>1.0028085390260173</v>
      </c>
      <c r="U7" s="65">
        <f>VLOOKUP($G$7&amp;$F$1,'Input RM sheet'!$A:$BD,U1,0)</f>
        <v>1.028866545123063</v>
      </c>
      <c r="V7" s="65">
        <f>VLOOKUP($G$7&amp;$F$1,'Input RM sheet'!$A:$BD,V1,0)</f>
        <v>0.98535087369850594</v>
      </c>
      <c r="W7" s="65">
        <f>VLOOKUP($G$7&amp;$F$1,'Input RM sheet'!$A:$BD,W1,0)</f>
        <v>1.0603701250919795</v>
      </c>
      <c r="X7" s="65">
        <f>VLOOKUP($G$7&amp;$F$1,'Input RM sheet'!$A:$BD,X1,0)</f>
        <v>1.0789007130124777</v>
      </c>
      <c r="Y7" s="65">
        <f>VLOOKUP($G$7&amp;$F$1,'Input RM sheet'!$A:$BD,Y1,0)</f>
        <v>1.1000000000000001</v>
      </c>
      <c r="Z7" s="65">
        <f>VLOOKUP($G$7&amp;$F$1,'Input RM sheet'!$A:$BD,Z1,0)</f>
        <v>1.0811212618296531</v>
      </c>
      <c r="AA7" s="65">
        <f>VLOOKUP($G$7&amp;$F$1,'Input RM sheet'!$A:$BD,AA1,0)</f>
        <v>1.1741664499349804</v>
      </c>
      <c r="AB7" s="65">
        <f>VLOOKUP($G$7&amp;$F$1,'Input RM sheet'!$A:$BD,AB1,0)</f>
        <v>1.2064816753926701</v>
      </c>
      <c r="AC7" s="65">
        <f>VLOOKUP($G$7&amp;$F$1,'Input RM sheet'!$A:$BD,AC1,0)</f>
        <v>1.1257328385899814</v>
      </c>
      <c r="AD7" s="65">
        <f>VLOOKUP($G$7&amp;$F$1,'Input RM sheet'!$A:$BD,AD1,0)</f>
        <v>1.0829144981412639</v>
      </c>
      <c r="AE7" s="65">
        <f>VLOOKUP($G$7&amp;$F$1,'Input RM sheet'!$A:$BD,AE1,0)</f>
        <v>1.5244516129032257</v>
      </c>
      <c r="AF7" s="65">
        <f>VLOOKUP($G$7&amp;$F$1,'Input RM sheet'!$A:$BD,AF1,0)</f>
        <v>1.5333477641429549</v>
      </c>
      <c r="AG7" s="65">
        <f>VLOOKUP($G$7&amp;$F$1,'Input RM sheet'!$A:$BD,AG1,0)</f>
        <v>1.2257713414634146</v>
      </c>
      <c r="AH7" s="65">
        <f>VLOOKUP($G$7&amp;$F$1,'Input RM sheet'!$A:$BD,AH1,0)</f>
        <v>2.117777777777778</v>
      </c>
      <c r="AI7" s="65">
        <f>VLOOKUP($G$7&amp;$F$1,'Input RM sheet'!$A:$BD,AI1,0)</f>
        <v>1.9393203883495145</v>
      </c>
      <c r="AJ7" s="65">
        <f>VLOOKUP($G$7&amp;$F$1,'Input RM sheet'!$A:$BD,AJ1,0)</f>
        <v>2.0893333333333333</v>
      </c>
      <c r="AK7" s="65">
        <f>VLOOKUP($G$7&amp;$F$1,'Input RM sheet'!$A:$BD,AK1,0)</f>
        <v>2.1293522267206479</v>
      </c>
      <c r="AL7" s="65">
        <f>VLOOKUP($G$7&amp;$F$1,'Input RM sheet'!$A:$BD,AL1,0)</f>
        <v>2.5428571428571427</v>
      </c>
      <c r="AM7" s="65">
        <f>VLOOKUP($G$7&amp;$F$1,'Input RM sheet'!$A:$BD,AM1,0)</f>
        <v>2.5499999999999998</v>
      </c>
      <c r="AN7" s="65">
        <f>VLOOKUP($G$7&amp;$F$1,'Input RM sheet'!$A:$BD,AN1,0)</f>
        <v>1.8934666666666666</v>
      </c>
      <c r="AO7" s="65">
        <f>VLOOKUP($G$7&amp;$F$1,'Input RM sheet'!$A:$BD,AO1,0)</f>
        <v>2.2182514285714285</v>
      </c>
      <c r="AP7" s="65">
        <f>VLOOKUP($G$7&amp;$F$1,'Input RM sheet'!$A:$BD,AP1,0)</f>
        <v>1.9939299228558462</v>
      </c>
      <c r="AQ7" s="65">
        <f>VLOOKUP($G$7&amp;$F$1,'Input RM sheet'!$A:$BD,AQ1,0)</f>
        <v>1.8900502891933029</v>
      </c>
      <c r="AR7" s="65">
        <f>VLOOKUP($G$7&amp;$F$1,'Input RM sheet'!$A:$BD,AR1,0)</f>
        <v>1.7887940504648077</v>
      </c>
      <c r="AS7" s="65">
        <f>VLOOKUP($G$7&amp;$F$1,'Input RM sheet'!$A:$BD,AS1,0)</f>
        <v>1.6064459261730279</v>
      </c>
      <c r="AT7" s="65">
        <f>VLOOKUP($G$7&amp;$F$1,'Input RM sheet'!$A:$BD,AT1,0)</f>
        <v>1.7015576842105262</v>
      </c>
      <c r="AU7" s="65">
        <f>VLOOKUP($G$7&amp;$F$1,'Input RM sheet'!$A:$BD,AU1,0)</f>
        <v>1.61</v>
      </c>
      <c r="AV7" s="65">
        <f>VLOOKUP($G$7&amp;$F$1,'Input RM sheet'!$A:$BD,AV1,0)</f>
        <v>1.71</v>
      </c>
      <c r="AW7" s="65">
        <f>VLOOKUP($G$7&amp;$F$1,'Input RM sheet'!$A:$BD,AW1,0)</f>
        <v>1.71</v>
      </c>
      <c r="AX7" s="65">
        <f>VLOOKUP($G$7&amp;$F$1,'Input RM sheet'!$A:$BD,AX1,0)</f>
        <v>1.71</v>
      </c>
      <c r="AY7" s="65">
        <f>VLOOKUP($G$7&amp;$F$1,'Input RM sheet'!$A:$BD,AY1,0)</f>
        <v>1.4</v>
      </c>
      <c r="AZ7" s="65">
        <f>VLOOKUP($G$7&amp;$F$1,'Input RM sheet'!$A:$BD,AZ1,0)</f>
        <v>1.35</v>
      </c>
      <c r="BA7" s="65">
        <f>VLOOKUP($G$7&amp;$F$1,'Input RM sheet'!$A:$BD,BA1,0)</f>
        <v>1.35</v>
      </c>
      <c r="BB7" s="65">
        <f>VLOOKUP($G$7&amp;$F$1,'Input RM sheet'!$A:$BD,BB1,0)</f>
        <v>1.35</v>
      </c>
      <c r="BC7" s="65">
        <f>VLOOKUP($G$7&amp;$F$1,'Input RM sheet'!$A:$BD,BC1,0)</f>
        <v>1.35</v>
      </c>
      <c r="BD7" s="65">
        <f>VLOOKUP($G$7&amp;$F$1,'Input RM sheet'!$A:$BD,BD1,0)</f>
        <v>1.35</v>
      </c>
      <c r="BE7" s="65">
        <f>VLOOKUP($G$7&amp;$F$1,'Input RM sheet'!$A:$BD,BE1,0)</f>
        <v>1.35</v>
      </c>
      <c r="BF7" s="65">
        <f>VLOOKUP($G$7&amp;$F$1,'Input RM sheet'!$A:$DD,BF1,0)</f>
        <v>1.35</v>
      </c>
      <c r="BG7" s="65">
        <f>VLOOKUP($G$7&amp;$F$1,'Input RM sheet'!$A:$DD,BG1,0)</f>
        <v>1.35</v>
      </c>
      <c r="BH7" s="65">
        <f>VLOOKUP($G$7&amp;$F$1,'Input RM sheet'!$A:$DD,BH1,0)</f>
        <v>1.35</v>
      </c>
      <c r="BI7" s="65">
        <f>VLOOKUP($G$7&amp;$F$1,'Input RM sheet'!$A:$DD,BI1,0)</f>
        <v>1.35</v>
      </c>
      <c r="BJ7" s="74">
        <f>VLOOKUP($G$7&amp;$F$1,'Input RM sheet'!$A:$DD,BJ1,0)</f>
        <v>1.35</v>
      </c>
      <c r="BK7" s="65">
        <f>VLOOKUP($G$7&amp;$F$1,'Input RM sheet'!$A:$DD,BK1,0)</f>
        <v>1.35</v>
      </c>
      <c r="BL7" s="65">
        <f>VLOOKUP($G$7&amp;$F$1,'Input RM sheet'!$A:$DD,BL1,0)</f>
        <v>1.32</v>
      </c>
      <c r="BM7" s="65">
        <f>VLOOKUP($G$7&amp;$F$1,'Input RM sheet'!$A:$DD,BM1,0)</f>
        <v>1.32</v>
      </c>
      <c r="BN7" s="65">
        <f>VLOOKUP($G$7&amp;$F$1,'Input RM sheet'!$A:$DD,BN1,0)</f>
        <v>1.32</v>
      </c>
      <c r="BO7" s="65">
        <f>VLOOKUP($G$7&amp;$F$1,'Input RM sheet'!$A:$DD,BO1,0)</f>
        <v>1.32</v>
      </c>
      <c r="BP7" s="65">
        <f>VLOOKUP($G$7&amp;$F$1,'Input RM sheet'!$A:$DD,BP1,0)</f>
        <v>1.32</v>
      </c>
      <c r="BQ7" s="65">
        <f>VLOOKUP($G$7&amp;$F$1,'Input RM sheet'!$A:$DD,BQ1,0)</f>
        <v>1.32</v>
      </c>
      <c r="BR7" s="65">
        <f>VLOOKUP($G$7&amp;$F$1,'Input RM sheet'!$A:$DD,BR1,0)</f>
        <v>1.33</v>
      </c>
      <c r="BS7" s="65">
        <f>VLOOKUP($G$7&amp;$F$1,'Input RM sheet'!$A:$DD,BS1,0)</f>
        <v>1.33</v>
      </c>
      <c r="BT7" s="65">
        <f>VLOOKUP($G$7&amp;$F$1,'Input RM sheet'!$A:$DD,BT1,0)</f>
        <v>1.06</v>
      </c>
      <c r="BU7" s="65">
        <f>VLOOKUP($G$7&amp;$F$1,'Input RM sheet'!$A:$DD,BU1,0)</f>
        <v>1.06</v>
      </c>
      <c r="BV7" s="65">
        <f>VLOOKUP($G$7&amp;$F$1,'Input RM sheet'!$A:$DD,BV1,0)</f>
        <v>1.35</v>
      </c>
      <c r="BW7" s="65">
        <f>VLOOKUP($G$7&amp;$F$1,'Input RM sheet'!$A:$DD,BW1,0)</f>
        <v>1.35</v>
      </c>
      <c r="BX7" s="65">
        <f>VLOOKUP($G$7&amp;$F$1,'Input RM sheet'!$A:$DD,BX1,0)</f>
        <v>1.35</v>
      </c>
      <c r="BY7" s="65">
        <f>VLOOKUP($G$7&amp;$F$1,'Input RM sheet'!$A:$DD,BY1,0)</f>
        <v>1.05</v>
      </c>
      <c r="BZ7" s="65">
        <f>VLOOKUP($G$7&amp;$F$1,'Input RM sheet'!$A:$DD,BZ1,0)</f>
        <v>1.05</v>
      </c>
      <c r="CA7" s="65">
        <f>VLOOKUP($G$7&amp;$F$1,'Input RM sheet'!$A:$DD,CA1,0)</f>
        <v>1.05</v>
      </c>
      <c r="CB7" s="65">
        <f>VLOOKUP($G$7&amp;$F$1,'Input RM sheet'!$A:$DD,CB1,0)</f>
        <v>1.54</v>
      </c>
      <c r="CC7" s="65">
        <f>VLOOKUP($G$7&amp;$F$1,'Input RM sheet'!$A:$DD,CC1,0)</f>
        <v>1.54</v>
      </c>
      <c r="CD7" s="65">
        <f>VLOOKUP($G$7&amp;$F$1,'Input RM sheet'!$A:$DD,CD1,0)</f>
        <v>1.54</v>
      </c>
      <c r="CE7" s="65">
        <f>VLOOKUP($G$7&amp;$F$1,'Input RM sheet'!$A:$DD,CE1,0)</f>
        <v>1.54</v>
      </c>
      <c r="CF7" s="65">
        <f>VLOOKUP($G$7&amp;$F$1,'Input RM sheet'!$A:$DD,CF1,0)</f>
        <v>1.54</v>
      </c>
      <c r="CG7" s="65">
        <f>VLOOKUP($G$7&amp;$F$1,'Input RM sheet'!$A:$DD,CG1,0)</f>
        <v>1.54</v>
      </c>
      <c r="CH7" s="65">
        <f>VLOOKUP($G$7&amp;$F$1,'Input RM sheet'!$A:$DD,CH1,0)</f>
        <v>1.5</v>
      </c>
      <c r="CI7" s="65">
        <f>VLOOKUP($G$7&amp;$F$1,'Input RM sheet'!$A:$DD,CI1,0)</f>
        <v>1.5</v>
      </c>
      <c r="CJ7" s="65">
        <f>VLOOKUP($G$7&amp;$F$1,'Input RM sheet'!$A:$DD,CJ1,0)</f>
        <v>1.5</v>
      </c>
      <c r="CK7" s="65">
        <f>VLOOKUP($G$7&amp;$F$1,'Input RM sheet'!$A:$DD,CK1,0)</f>
        <v>1.5</v>
      </c>
      <c r="CL7" s="65">
        <f>VLOOKUP($G$7&amp;$F$1,'Input RM sheet'!$A:$DD,CL1,0)</f>
        <v>1.5</v>
      </c>
      <c r="CM7" s="65">
        <f>VLOOKUP($G$7&amp;$F$1,'Input RM sheet'!$A:$DD,CM1,0)</f>
        <v>1.5</v>
      </c>
      <c r="CN7" s="65">
        <f>VLOOKUP($G$7&amp;$F$1,'Input RM sheet'!$A:$DD,CN1,0)</f>
        <v>1.5</v>
      </c>
      <c r="CO7" s="65">
        <f>VLOOKUP($G$7&amp;$F$1,'Input RM sheet'!$A:$DD,CO1,0)</f>
        <v>1.5</v>
      </c>
      <c r="CP7" s="65">
        <f>VLOOKUP($G$7&amp;$F$1,'Input RM sheet'!$A:$DD,CP1,0)</f>
        <v>1.5</v>
      </c>
      <c r="CQ7" s="65">
        <f>VLOOKUP($G$7&amp;$F$1,'Input RM sheet'!$A:$ZZ,CQ1,0)</f>
        <v>1.5</v>
      </c>
      <c r="CR7" s="65">
        <f>VLOOKUP($G$7&amp;$F$1,'Input RM sheet'!$A:$ZZ,CR1,0)</f>
        <v>1.5</v>
      </c>
      <c r="CS7" s="65">
        <f>VLOOKUP($G$7&amp;$F$1,'Input RM sheet'!$A:$ZZ,CS1,0)</f>
        <v>1.5</v>
      </c>
      <c r="CT7" s="65">
        <f>VLOOKUP($G$7&amp;$F$1,'Input RM sheet'!$A:$ZZ,CT1,0)</f>
        <v>1.5</v>
      </c>
      <c r="CU7" s="65">
        <f>VLOOKUP($G$7&amp;$F$1,'Input RM sheet'!$A:$ZZ,CU1,0)</f>
        <v>1.5</v>
      </c>
      <c r="CV7" s="65">
        <f>VLOOKUP($G$7&amp;$F$1,'Input RM sheet'!$A:$ZZ,CV1,0)</f>
        <v>1.42</v>
      </c>
      <c r="CW7" s="65">
        <f>VLOOKUP($G$7&amp;$F$1,'Input RM sheet'!$A:$ZZ,CW1,0)</f>
        <v>1.42</v>
      </c>
      <c r="CX7" s="65">
        <f>VLOOKUP($G$7&amp;$F$1,'Input RM sheet'!$A:$ZZ,CX1,0)</f>
        <v>1.42</v>
      </c>
      <c r="CY7" s="65">
        <f>VLOOKUP($G$7&amp;$F$1,'Input RM sheet'!$A:$ZZ,CY1,0)</f>
        <v>1.42</v>
      </c>
      <c r="CZ7" s="65">
        <f>VLOOKUP($G$7&amp;$F$1,'Input RM sheet'!$A:$ZZ,CZ1,0)</f>
        <v>1.42</v>
      </c>
      <c r="DA7" s="65">
        <f>VLOOKUP($G$7&amp;$F$1,'Input RM sheet'!$A:$ZZ,DA1,0)</f>
        <v>1.42</v>
      </c>
      <c r="DB7" s="65">
        <f>VLOOKUP($G$7&amp;$F$1,'Input RM sheet'!$A:$ZZ,DB1,0)</f>
        <v>1.39</v>
      </c>
      <c r="DC7" s="65">
        <f>VLOOKUP($G$7&amp;$F$1,'Input RM sheet'!$A:$ZZ,DC1,0)</f>
        <v>1.52</v>
      </c>
      <c r="DD7" s="65">
        <f>VLOOKUP($G$7&amp;$F$1,'Input RM sheet'!$A:$ZZ,DD1,0)</f>
        <v>1.52</v>
      </c>
      <c r="DE7" s="65">
        <f>VLOOKUP($G$7&amp;$F$1,'Input RM sheet'!$A:$ZZ,DE1,0)</f>
        <v>1.52</v>
      </c>
      <c r="DF7" s="65">
        <f>VLOOKUP($G$7&amp;$F$1,'Input RM sheet'!$A:$ZZ,DF1,0)</f>
        <v>1.52</v>
      </c>
      <c r="DG7" s="65">
        <f>VLOOKUP($G$7&amp;$F$1,'Input RM sheet'!$A:$ZZ,DG1,0)</f>
        <v>1.52</v>
      </c>
      <c r="DH7" s="65">
        <f>VLOOKUP($G$7&amp;$F$1,'Input RM sheet'!$A:$ZZ,DH1,0)</f>
        <v>1.52</v>
      </c>
      <c r="DI7" s="65">
        <f>VLOOKUP($G$7&amp;$F$1,'Input RM sheet'!$A:$ZZ,DI1,0)</f>
        <v>1.45</v>
      </c>
      <c r="DJ7" s="65">
        <f>VLOOKUP($G$7&amp;$F$1,'Input RM sheet'!$A:$ZZ,DJ1,0)</f>
        <v>1.45</v>
      </c>
      <c r="DK7" s="65">
        <f>VLOOKUP($G$7&amp;$F$1,'Input RM sheet'!$A:$ZZ,DK1,0)</f>
        <v>1.45</v>
      </c>
      <c r="DL7" s="65">
        <f>VLOOKUP($G$7&amp;$F$1,'Input RM sheet'!$A:$ZZ,DL1,0)</f>
        <v>1.37</v>
      </c>
      <c r="DM7" s="65">
        <f>VLOOKUP($G$7&amp;$F$1,'Input RM sheet'!$A:$ZZ,DM1,0)</f>
        <v>1.37</v>
      </c>
      <c r="DN7" s="65">
        <f>VLOOKUP($G$7&amp;$F$1,'Input RM sheet'!$A:$ZZ,DN1,0)</f>
        <v>1.37</v>
      </c>
      <c r="DO7" s="65">
        <f>VLOOKUP($G$7&amp;$F$1,'Input RM sheet'!$A:$ZZ,DO1,0)</f>
        <v>1.37</v>
      </c>
      <c r="DP7" s="65">
        <f>VLOOKUP($G$7&amp;$F$1,'Input RM sheet'!$A:$ZZ,DP1,0)</f>
        <v>1.55</v>
      </c>
      <c r="DQ7" s="65">
        <f>VLOOKUP($G$7&amp;$F$1,'Input RM sheet'!$A:$ZZ,DQ1,0)</f>
        <v>1.55</v>
      </c>
      <c r="DR7" s="65">
        <f>VLOOKUP($G$7&amp;$F$1,'Input RM sheet'!$A:$ZZ,DR1,0)</f>
        <v>1.59</v>
      </c>
    </row>
    <row r="8" spans="1:146">
      <c r="A8" s="74"/>
      <c r="B8" s="74"/>
      <c r="D8" s="64"/>
      <c r="E8" s="60" t="s">
        <v>394</v>
      </c>
      <c r="G8" s="114" t="s">
        <v>72</v>
      </c>
      <c r="H8" s="65">
        <f>VLOOKUP($G$8&amp;$F$1,'Input RM sheet'!$A:$BD,H1,0)</f>
        <v>0</v>
      </c>
      <c r="I8" s="65">
        <f>VLOOKUP($G$8&amp;$F$1,'Input RM sheet'!$A:$BD,I1,0)</f>
        <v>0</v>
      </c>
      <c r="J8" s="65">
        <f>VLOOKUP($G$8&amp;$F$1,'Input RM sheet'!$A:$BD,J1,0)</f>
        <v>0</v>
      </c>
      <c r="K8" s="65">
        <f>VLOOKUP($G$8&amp;$F$1,'Input RM sheet'!$A:$BD,K1,0)</f>
        <v>0</v>
      </c>
      <c r="L8" s="65">
        <f>VLOOKUP($G$8&amp;$F$1,'Input RM sheet'!$A:$BD,L1,0)</f>
        <v>0</v>
      </c>
      <c r="M8" s="65">
        <f>VLOOKUP($G$8&amp;$F$1,'Input RM sheet'!$A:$BD,M1,0)</f>
        <v>0</v>
      </c>
      <c r="N8" s="65">
        <f>VLOOKUP($G$8&amp;$F$1,'Input RM sheet'!$A:$BD,N1,0)</f>
        <v>0</v>
      </c>
      <c r="O8" s="65">
        <f>VLOOKUP($G$8&amp;$F$1,'Input RM sheet'!$A:$BD,O1,0)</f>
        <v>0</v>
      </c>
      <c r="P8" s="65">
        <f>VLOOKUP($G$8&amp;$F$1,'Input RM sheet'!$A:$BD,P1,0)</f>
        <v>0</v>
      </c>
      <c r="Q8" s="65">
        <f>VLOOKUP($G$8&amp;$F$1,'Input RM sheet'!$A:$BD,Q1,0)</f>
        <v>0</v>
      </c>
      <c r="R8" s="65">
        <f>VLOOKUP($G$8&amp;$F$1,'Input RM sheet'!$A:$BD,R1,0)</f>
        <v>0</v>
      </c>
      <c r="S8" s="65">
        <f>VLOOKUP($G$8&amp;$F$1,'Input RM sheet'!$A:$BD,S1,0)</f>
        <v>0</v>
      </c>
      <c r="T8" s="65">
        <f>VLOOKUP($G$8&amp;$F$1,'Input RM sheet'!$A:$BD,T1,0)</f>
        <v>0</v>
      </c>
      <c r="U8" s="65">
        <f>VLOOKUP($G$8&amp;$F$1,'Input RM sheet'!$A:$BD,U1,0)</f>
        <v>0</v>
      </c>
      <c r="V8" s="65">
        <f>VLOOKUP($G$8&amp;$F$1,'Input RM sheet'!$A:$BD,V1,0)</f>
        <v>0</v>
      </c>
      <c r="W8" s="65">
        <f>VLOOKUP($G$8&amp;$F$1,'Input RM sheet'!$A:$BD,W1,0)</f>
        <v>0</v>
      </c>
      <c r="X8" s="65">
        <f>VLOOKUP($G$8&amp;$F$1,'Input RM sheet'!$A:$BD,X1,0)</f>
        <v>0</v>
      </c>
      <c r="Y8" s="65">
        <f>VLOOKUP($G$8&amp;$F$1,'Input RM sheet'!$A:$BD,Y1,0)</f>
        <v>0</v>
      </c>
      <c r="Z8" s="65">
        <f>VLOOKUP($G$8&amp;$F$1,'Input RM sheet'!$A:$BD,Z1,0)</f>
        <v>0</v>
      </c>
      <c r="AA8" s="65">
        <f>VLOOKUP($G$8&amp;$F$1,'Input RM sheet'!$A:$BD,AA1,0)</f>
        <v>0</v>
      </c>
      <c r="AB8" s="65">
        <f>VLOOKUP($G$8&amp;$F$1,'Input RM sheet'!$A:$BD,AB1,0)</f>
        <v>0</v>
      </c>
      <c r="AC8" s="65">
        <f>VLOOKUP($G$8&amp;$F$1,'Input RM sheet'!$A:$BD,AC1,0)</f>
        <v>0</v>
      </c>
      <c r="AD8" s="65">
        <f>VLOOKUP($G$8&amp;$F$1,'Input RM sheet'!$A:$BD,AD1,0)</f>
        <v>0</v>
      </c>
      <c r="AE8" s="65">
        <f>VLOOKUP($G$8&amp;$F$1,'Input RM sheet'!$A:$BD,AE1,0)</f>
        <v>0</v>
      </c>
      <c r="AF8" s="65">
        <f>VLOOKUP($G$8&amp;$F$1,'Input RM sheet'!$A:$BD,AF1,0)</f>
        <v>0.11</v>
      </c>
      <c r="AG8" s="65">
        <f>VLOOKUP($G$8&amp;$F$1,'Input RM sheet'!$A:$BD,AG1,0)</f>
        <v>0.12</v>
      </c>
      <c r="AH8" s="65">
        <f>VLOOKUP($G$8&amp;$F$1,'Input RM sheet'!$A:$BD,AH1,0)</f>
        <v>0.15</v>
      </c>
      <c r="AI8" s="65">
        <f>VLOOKUP($G$8&amp;$F$1,'Input RM sheet'!$A:$BD,AI1,0)</f>
        <v>0.17</v>
      </c>
      <c r="AJ8" s="65">
        <f>VLOOKUP($G$8&amp;$F$1,'Input RM sheet'!$A:$BD,AJ1,0)</f>
        <v>0.16</v>
      </c>
      <c r="AK8" s="65">
        <f>VLOOKUP($G$8&amp;$F$1,'Input RM sheet'!$A:$BD,AK1,0)</f>
        <v>0.14000000000000001</v>
      </c>
      <c r="AL8" s="65">
        <f>VLOOKUP($G$8&amp;$F$1,'Input RM sheet'!$A:$BD,AL1,0)</f>
        <v>0.12</v>
      </c>
      <c r="AM8" s="65">
        <f>VLOOKUP($G$8&amp;$F$1,'Input RM sheet'!$A:$BD,AM1,0)</f>
        <v>0.08</v>
      </c>
      <c r="AN8" s="65">
        <f>VLOOKUP($G$8&amp;$F$1,'Input RM sheet'!$A:$BD,AN1,0)</f>
        <v>0.04</v>
      </c>
      <c r="AO8" s="65">
        <f>VLOOKUP($G$8&amp;$F$1,'Input RM sheet'!$A:$BD,AO1,0)</f>
        <v>0.05</v>
      </c>
      <c r="AP8" s="65">
        <f>VLOOKUP($G$8&amp;$F$1,'Input RM sheet'!$A:$BD,AP1,0)</f>
        <v>0.05</v>
      </c>
      <c r="AQ8" s="65">
        <f>VLOOKUP($G$8&amp;$F$1,'Input RM sheet'!$A:$BD,AQ1,0)</f>
        <v>0.05</v>
      </c>
      <c r="AR8" s="65">
        <f>VLOOKUP($G$8&amp;$F$1,'Input RM sheet'!$A:$BD,AR1,0)</f>
        <v>0.04</v>
      </c>
      <c r="AS8" s="65">
        <f>VLOOKUP($G$8&amp;$F$1,'Input RM sheet'!$A:$BD,AS1,0)</f>
        <v>0.04</v>
      </c>
      <c r="AT8" s="65">
        <f>VLOOKUP($G$8&amp;$F$1,'Input RM sheet'!$A:$BD,AT1,0)</f>
        <v>0.04</v>
      </c>
      <c r="AU8" s="65">
        <f>VLOOKUP($G$8&amp;$F$1,'Input RM sheet'!$A:$BD,AU1,0)</f>
        <v>0.04</v>
      </c>
      <c r="AV8" s="65">
        <f>VLOOKUP($G$8&amp;$F$1,'Input RM sheet'!$A:$BD,AV1,0)</f>
        <v>0.04</v>
      </c>
      <c r="AW8" s="65">
        <f>VLOOKUP($G$8&amp;$F$1,'Input RM sheet'!$A:$BD,AW1,0)</f>
        <v>0.03</v>
      </c>
      <c r="AX8" s="65">
        <f>VLOOKUP($G$8&amp;$F$1,'Input RM sheet'!$A:$BD,AX1,0)</f>
        <v>0.03</v>
      </c>
      <c r="AY8" s="65">
        <f>VLOOKUP($G$8&amp;$F$1,'Input RM sheet'!$A:$BD,AY1,0)</f>
        <v>0.03</v>
      </c>
      <c r="AZ8" s="65">
        <f>VLOOKUP($G$8&amp;$F$1,'Input RM sheet'!$A:$BD,AZ1,0)</f>
        <v>0.03</v>
      </c>
      <c r="BA8" s="65">
        <f>VLOOKUP($G$8&amp;$F$1,'Input RM sheet'!$A:$BD,BA1,0)</f>
        <v>0.03</v>
      </c>
      <c r="BB8" s="65">
        <f>VLOOKUP($G$8&amp;$F$1,'Input RM sheet'!$A:$BD,BB1,0)</f>
        <v>0.03</v>
      </c>
      <c r="BC8" s="65">
        <f>VLOOKUP($G$8&amp;$F$1,'Input RM sheet'!$A:$BD,BC1,0)</f>
        <v>0.03</v>
      </c>
      <c r="BD8" s="65">
        <f>VLOOKUP($G$8&amp;$F$1,'Input RM sheet'!$A:$BD,BD1,0)</f>
        <v>0.03</v>
      </c>
      <c r="BE8" s="65">
        <f>VLOOKUP($G$8&amp;$F$1,'Input RM sheet'!$A:$BD,BE1,0)</f>
        <v>0.03</v>
      </c>
      <c r="BF8" s="65">
        <f>VLOOKUP($G$8&amp;$F$1,'Input RM sheet'!$A:$DD,BF1,0)</f>
        <v>0.03</v>
      </c>
      <c r="BG8" s="65">
        <f>VLOOKUP($G$8&amp;$F$1,'Input RM sheet'!$A:$DD,BG1,0)</f>
        <v>0.03</v>
      </c>
      <c r="BH8" s="65">
        <f>VLOOKUP($G$8&amp;$F$1,'Input RM sheet'!$A:$DD,BH1,0)</f>
        <v>0.03</v>
      </c>
      <c r="BI8" s="65">
        <f>VLOOKUP($G$8&amp;$F$1,'Input RM sheet'!$A:$DD,BI1,0)</f>
        <v>0.03</v>
      </c>
      <c r="BJ8" s="74">
        <f>VLOOKUP($G$8&amp;$F$1,'Input RM sheet'!$A:$DD,BJ1,0)</f>
        <v>0.03</v>
      </c>
      <c r="BK8" s="65">
        <f>VLOOKUP($G$8&amp;$F$1,'Input RM sheet'!$A:$DD,BK1,0)</f>
        <v>0.03</v>
      </c>
      <c r="BL8" s="65">
        <f>VLOOKUP($G$8&amp;$F$1,'Input RM sheet'!$A:$DD,BL1,0)</f>
        <v>0.03</v>
      </c>
      <c r="BM8" s="65">
        <f>VLOOKUP($G$8&amp;$F$1,'Input RM sheet'!$A:$DD,BM1,0)</f>
        <v>0.03</v>
      </c>
      <c r="BN8" s="65">
        <f>VLOOKUP($G$8&amp;$F$1,'Input RM sheet'!$A:$DD,BN1,0)</f>
        <v>0.03</v>
      </c>
      <c r="BO8" s="65">
        <f>VLOOKUP($G$8&amp;$F$1,'Input RM sheet'!$A:$DD,BO1,0)</f>
        <v>0.03</v>
      </c>
      <c r="BP8" s="65">
        <f>VLOOKUP($G$8&amp;$F$1,'Input RM sheet'!$A:$DD,BP1,0)</f>
        <v>0.03</v>
      </c>
      <c r="BQ8" s="65">
        <f>VLOOKUP($G$8&amp;$F$1,'Input RM sheet'!$A:$DD,BQ1,0)</f>
        <v>0.03</v>
      </c>
      <c r="BR8" s="65">
        <f>VLOOKUP($G$8&amp;$F$1,'Input RM sheet'!$A:$DD,BR1,0)</f>
        <v>0.03</v>
      </c>
      <c r="BS8" s="65">
        <f>VLOOKUP($G$8&amp;$F$1,'Input RM sheet'!$A:$DD,BS1,0)</f>
        <v>0.03</v>
      </c>
      <c r="BT8" s="65">
        <f>VLOOKUP($G$8&amp;$F$1,'Input RM sheet'!$A:$DD,BT1,0)</f>
        <v>0.03</v>
      </c>
      <c r="BU8" s="65">
        <f>VLOOKUP($G$8&amp;$F$1,'Input RM sheet'!$A:$DD,BU1,0)</f>
        <v>0.03</v>
      </c>
      <c r="BV8" s="65">
        <f>VLOOKUP($G$8&amp;$F$1,'Input RM sheet'!$A:$DD,BV1,0)</f>
        <v>0.04</v>
      </c>
      <c r="BW8" s="65">
        <f>VLOOKUP($G$8&amp;$F$1,'Input RM sheet'!$A:$DD,BW1,0)</f>
        <v>0.04</v>
      </c>
      <c r="BX8" s="65">
        <f>VLOOKUP($G$8&amp;$F$1,'Input RM sheet'!$A:$DD,BX1,0)</f>
        <v>0.04</v>
      </c>
      <c r="BY8" s="65">
        <f>VLOOKUP($G$8&amp;$F$1,'Input RM sheet'!$A:$DD,BY1,0)</f>
        <v>0.04</v>
      </c>
      <c r="BZ8" s="65">
        <f>VLOOKUP($G$8&amp;$F$1,'Input RM sheet'!$A:$DD,BZ1,0)</f>
        <v>0.04</v>
      </c>
      <c r="CA8" s="65">
        <f>VLOOKUP($G$8&amp;$F$1,'Input RM sheet'!$A:$DD,CA1,0)</f>
        <v>0.04</v>
      </c>
      <c r="CB8" s="65">
        <f>VLOOKUP($G$8&amp;$F$1,'Input RM sheet'!$A:$DD,CB1,0)</f>
        <v>0.04</v>
      </c>
      <c r="CC8" s="65">
        <f>VLOOKUP($G$8&amp;$F$1,'Input RM sheet'!$A:$DD,CC1,0)</f>
        <v>0.04</v>
      </c>
      <c r="CD8" s="65">
        <f>VLOOKUP($G$8&amp;$F$1,'Input RM sheet'!$A:$DD,CD1,0)</f>
        <v>0.04</v>
      </c>
      <c r="CE8" s="65">
        <f>VLOOKUP($G$8&amp;$F$1,'Input RM sheet'!$A:$DD,CE1,0)</f>
        <v>0.04</v>
      </c>
      <c r="CF8" s="65">
        <f>VLOOKUP($G$8&amp;$F$1,'Input RM sheet'!$A:$DD,CF1,0)</f>
        <v>0.04</v>
      </c>
      <c r="CG8" s="65">
        <f>VLOOKUP($G$8&amp;$F$1,'Input RM sheet'!$A:$DD,CG1,0)</f>
        <v>0.04</v>
      </c>
      <c r="CH8" s="65">
        <f>VLOOKUP($G$8&amp;$F$1,'Input RM sheet'!$A:$DD,CH1,0)</f>
        <v>0.04</v>
      </c>
      <c r="CI8" s="65">
        <f>VLOOKUP($G$8&amp;$F$1,'Input RM sheet'!$A:$DD,CI1,0)</f>
        <v>0.04</v>
      </c>
      <c r="CJ8" s="65">
        <f>VLOOKUP($G$8&amp;$F$1,'Input RM sheet'!$A:$DD,CJ1,0)</f>
        <v>0.04</v>
      </c>
      <c r="CK8" s="65">
        <f>VLOOKUP($G$8&amp;$F$1,'Input RM sheet'!$A:$DD,CK1,0)</f>
        <v>0.04</v>
      </c>
      <c r="CL8" s="65">
        <f>VLOOKUP($G$8&amp;$F$1,'Input RM sheet'!$A:$DD,CL1,0)</f>
        <v>0.04</v>
      </c>
      <c r="CM8" s="65">
        <f>VLOOKUP($G$8&amp;$F$1,'Input RM sheet'!$A:$DD,CM1,0)</f>
        <v>0.04</v>
      </c>
      <c r="CN8" s="65">
        <f>VLOOKUP($G$8&amp;$F$1,'Input RM sheet'!$A:$DD,CN1,0)</f>
        <v>0.04</v>
      </c>
      <c r="CO8" s="65">
        <f>VLOOKUP($G$8&amp;$F$1,'Input RM sheet'!$A:$DD,CO1,0)</f>
        <v>0.04</v>
      </c>
      <c r="CP8" s="65">
        <f>VLOOKUP($G$8&amp;$F$1,'Input RM sheet'!$A:$DD,CP1,0)</f>
        <v>0.04</v>
      </c>
      <c r="CQ8" s="65">
        <f>VLOOKUP($G$8&amp;$F$1,'Input RM sheet'!$A:$ZZ,CQ1,0)</f>
        <v>0.04</v>
      </c>
      <c r="CR8" s="65">
        <f>VLOOKUP($G$8&amp;$F$1,'Input RM sheet'!$A:$ZZ,CR1,0)</f>
        <v>0.04</v>
      </c>
      <c r="CS8" s="65">
        <f>VLOOKUP($G$8&amp;$F$1,'Input RM sheet'!$A:$ZZ,CS1,0)</f>
        <v>0.04</v>
      </c>
      <c r="CT8" s="65">
        <f>VLOOKUP($G$8&amp;$F$1,'Input RM sheet'!$A:$ZZ,CT1,0)</f>
        <v>0.04</v>
      </c>
      <c r="CU8" s="65">
        <f>VLOOKUP($G$8&amp;$F$1,'Input RM sheet'!$A:$ZZ,CU1,0)</f>
        <v>0.04</v>
      </c>
      <c r="CV8" s="65">
        <f>VLOOKUP($G$8&amp;$F$1,'Input RM sheet'!$A:$ZZ,CV1,0)</f>
        <v>0.04</v>
      </c>
      <c r="CW8" s="65">
        <f>VLOOKUP($G$8&amp;$F$1,'Input RM sheet'!$A:$ZZ,CW1,0)</f>
        <v>0.04</v>
      </c>
      <c r="CX8" s="65">
        <f>VLOOKUP($G$8&amp;$F$1,'Input RM sheet'!$A:$ZZ,CX1,0)</f>
        <v>0.04</v>
      </c>
      <c r="CY8" s="65">
        <f>VLOOKUP($G$8&amp;$F$1,'Input RM sheet'!$A:$ZZ,CY1,0)</f>
        <v>0.04</v>
      </c>
      <c r="CZ8" s="65">
        <f>VLOOKUP($G$8&amp;$F$1,'Input RM sheet'!$A:$ZZ,CZ1,0)</f>
        <v>0.04</v>
      </c>
      <c r="DA8" s="65">
        <f>VLOOKUP($G$8&amp;$F$1,'Input RM sheet'!$A:$ZZ,DA1,0)</f>
        <v>0.04</v>
      </c>
      <c r="DB8" s="65">
        <f>VLOOKUP($G$8&amp;$F$1,'Input RM sheet'!$A:$ZZ,DB1,0)</f>
        <v>0.04</v>
      </c>
      <c r="DC8" s="65">
        <f>VLOOKUP($G$8&amp;$F$1,'Input RM sheet'!$A:$ZZ,DC1,0)</f>
        <v>0.04</v>
      </c>
      <c r="DD8" s="65">
        <f>VLOOKUP($G$8&amp;$F$1,'Input RM sheet'!$A:$ZZ,DD1,0)</f>
        <v>0.04</v>
      </c>
      <c r="DE8" s="65">
        <f>VLOOKUP($G$8&amp;$F$1,'Input RM sheet'!$A:$ZZ,DE1,0)</f>
        <v>0.04</v>
      </c>
      <c r="DF8" s="65">
        <f>VLOOKUP($G$8&amp;$F$1,'Input RM sheet'!$A:$ZZ,DF1,0)</f>
        <v>0.04</v>
      </c>
      <c r="DG8" s="65">
        <f>VLOOKUP($G$8&amp;$F$1,'Input RM sheet'!$A:$ZZ,DG1,0)</f>
        <v>0.04</v>
      </c>
      <c r="DH8" s="65">
        <f>VLOOKUP($G$8&amp;$F$1,'Input RM sheet'!$A:$ZZ,DH1,0)</f>
        <v>0.04</v>
      </c>
      <c r="DI8" s="65">
        <f>VLOOKUP($G$8&amp;$F$1,'Input RM sheet'!$A:$ZZ,DI1,0)</f>
        <v>0.04</v>
      </c>
      <c r="DJ8" s="65">
        <f>VLOOKUP($G$8&amp;$F$1,'Input RM sheet'!$A:$ZZ,DJ1,0)</f>
        <v>0.04</v>
      </c>
      <c r="DK8" s="65">
        <f>VLOOKUP($G$8&amp;$F$1,'Input RM sheet'!$A:$ZZ,DK1,0)</f>
        <v>0.04</v>
      </c>
      <c r="DL8" s="65">
        <f>VLOOKUP($G$8&amp;$F$1,'Input RM sheet'!$A:$ZZ,DL1,0)</f>
        <v>0.04</v>
      </c>
      <c r="DM8" s="65">
        <f>VLOOKUP($G$8&amp;$F$1,'Input RM sheet'!$A:$ZZ,DM1,0)</f>
        <v>0.04</v>
      </c>
      <c r="DN8" s="65">
        <f>VLOOKUP($G$8&amp;$F$1,'Input RM sheet'!$A:$ZZ,DN1,0)</f>
        <v>0.04</v>
      </c>
      <c r="DO8" s="65">
        <f>VLOOKUP($G$8&amp;$F$1,'Input RM sheet'!$A:$ZZ,DO1,0)</f>
        <v>0.04</v>
      </c>
      <c r="DP8" s="65">
        <f>VLOOKUP($G$8&amp;$F$1,'Input RM sheet'!$A:$ZZ,DP1,0)</f>
        <v>0.04</v>
      </c>
      <c r="DQ8" s="65">
        <f>VLOOKUP($G$8&amp;$F$1,'Input RM sheet'!$A:$ZZ,DQ1,0)</f>
        <v>0.04</v>
      </c>
      <c r="DR8" s="65">
        <f>VLOOKUP($G$8&amp;$F$1,'Input RM sheet'!$A:$ZZ,DR1,0)</f>
        <v>0.04</v>
      </c>
    </row>
    <row r="9" spans="1:146">
      <c r="A9" s="59" t="s">
        <v>395</v>
      </c>
      <c r="B9" s="59"/>
      <c r="C9" s="59" t="s">
        <v>379</v>
      </c>
      <c r="D9" s="59" t="s">
        <v>380</v>
      </c>
      <c r="E9" s="59" t="s">
        <v>381</v>
      </c>
      <c r="F9" s="59" t="s">
        <v>396</v>
      </c>
      <c r="G9" s="60" t="s">
        <v>399</v>
      </c>
      <c r="BJ9" s="64"/>
    </row>
    <row r="10" spans="1:146">
      <c r="A10" s="370" t="s">
        <v>397</v>
      </c>
      <c r="B10" s="114" t="s">
        <v>448</v>
      </c>
      <c r="C10" s="60">
        <v>1</v>
      </c>
      <c r="D10" s="64">
        <v>261.97000000000003</v>
      </c>
      <c r="E10" s="60">
        <f>D10*C10</f>
        <v>261.97000000000003</v>
      </c>
      <c r="F10" s="65">
        <v>1.8</v>
      </c>
      <c r="G10" s="137">
        <v>1.8</v>
      </c>
      <c r="H10" s="74">
        <f>$F$10*H7</f>
        <v>2.1524727878959276</v>
      </c>
      <c r="I10" s="74">
        <f t="shared" ref="I10:AV10" si="0">$F$10*I7</f>
        <v>2.1208120588235295</v>
      </c>
      <c r="J10" s="74">
        <f t="shared" si="0"/>
        <v>2.0185634575260805</v>
      </c>
      <c r="K10" s="74">
        <f t="shared" si="0"/>
        <v>2.058179326639102</v>
      </c>
      <c r="L10" s="74">
        <f t="shared" si="0"/>
        <v>2.0473913099041536</v>
      </c>
      <c r="M10" s="74">
        <f t="shared" si="0"/>
        <v>2.041585074626866</v>
      </c>
      <c r="N10" s="74">
        <f t="shared" si="0"/>
        <v>1.9773386737400533</v>
      </c>
      <c r="O10" s="74">
        <f t="shared" si="0"/>
        <v>1.9464100884955753</v>
      </c>
      <c r="P10" s="74">
        <f t="shared" si="0"/>
        <v>1.8749567263427112</v>
      </c>
      <c r="Q10" s="74">
        <f t="shared" si="0"/>
        <v>1.8929305210888594</v>
      </c>
      <c r="R10" s="74">
        <f t="shared" si="0"/>
        <v>1.862630883064186</v>
      </c>
      <c r="S10" s="74">
        <f t="shared" si="0"/>
        <v>1.8034806229007638</v>
      </c>
      <c r="T10" s="74">
        <f t="shared" si="0"/>
        <v>1.8050553702468313</v>
      </c>
      <c r="U10" s="74">
        <f t="shared" si="0"/>
        <v>1.8519597812215134</v>
      </c>
      <c r="V10" s="74">
        <f t="shared" si="0"/>
        <v>1.7736315726573106</v>
      </c>
      <c r="W10" s="74">
        <f t="shared" si="0"/>
        <v>1.9086662251655631</v>
      </c>
      <c r="X10" s="74">
        <f t="shared" si="0"/>
        <v>1.9420212834224599</v>
      </c>
      <c r="Y10" s="74">
        <f t="shared" si="0"/>
        <v>1.9800000000000002</v>
      </c>
      <c r="Z10" s="74">
        <f t="shared" si="0"/>
        <v>1.9460182712933756</v>
      </c>
      <c r="AA10" s="74">
        <f t="shared" si="0"/>
        <v>2.113499609882965</v>
      </c>
      <c r="AB10" s="74">
        <f t="shared" si="0"/>
        <v>2.1716670157068063</v>
      </c>
      <c r="AC10" s="74">
        <f t="shared" si="0"/>
        <v>2.0263191094619666</v>
      </c>
      <c r="AD10" s="74">
        <f t="shared" si="0"/>
        <v>1.9492460966542751</v>
      </c>
      <c r="AE10" s="74">
        <f t="shared" si="0"/>
        <v>2.7440129032258063</v>
      </c>
      <c r="AF10" s="74">
        <f t="shared" si="0"/>
        <v>2.7600259754573191</v>
      </c>
      <c r="AG10" s="74">
        <f t="shared" si="0"/>
        <v>2.2063884146341461</v>
      </c>
      <c r="AH10" s="74">
        <f t="shared" si="0"/>
        <v>3.8120000000000003</v>
      </c>
      <c r="AI10" s="74">
        <f t="shared" si="0"/>
        <v>3.490776699029126</v>
      </c>
      <c r="AJ10" s="74">
        <f t="shared" si="0"/>
        <v>3.7608000000000001</v>
      </c>
      <c r="AK10" s="74">
        <f t="shared" si="0"/>
        <v>3.8328340080971666</v>
      </c>
      <c r="AL10" s="74">
        <f t="shared" si="0"/>
        <v>4.5771428571428574</v>
      </c>
      <c r="AM10" s="74">
        <f t="shared" si="0"/>
        <v>4.59</v>
      </c>
      <c r="AN10" s="74">
        <f t="shared" si="0"/>
        <v>3.4082400000000002</v>
      </c>
      <c r="AO10" s="74">
        <f t="shared" si="0"/>
        <v>3.9928525714285716</v>
      </c>
      <c r="AP10" s="74">
        <f t="shared" si="0"/>
        <v>3.5890738611405233</v>
      </c>
      <c r="AQ10" s="74">
        <f t="shared" si="0"/>
        <v>3.402090520547945</v>
      </c>
      <c r="AR10" s="74">
        <f t="shared" si="0"/>
        <v>3.2198292908366537</v>
      </c>
      <c r="AS10" s="74">
        <f t="shared" si="0"/>
        <v>2.8916026671114503</v>
      </c>
      <c r="AT10" s="74">
        <f t="shared" si="0"/>
        <v>3.0628038315789472</v>
      </c>
      <c r="AU10" s="74">
        <f t="shared" si="0"/>
        <v>2.8980000000000001</v>
      </c>
      <c r="AV10" s="74">
        <f t="shared" si="0"/>
        <v>3.0779999999999998</v>
      </c>
      <c r="AW10" s="74">
        <f t="shared" ref="AW10:BM10" si="1">$F$10*AW7</f>
        <v>3.0779999999999998</v>
      </c>
      <c r="AX10" s="74">
        <f t="shared" si="1"/>
        <v>3.0779999999999998</v>
      </c>
      <c r="AY10" s="74">
        <f t="shared" si="1"/>
        <v>2.52</v>
      </c>
      <c r="AZ10" s="74">
        <f t="shared" si="1"/>
        <v>2.4300000000000002</v>
      </c>
      <c r="BA10" s="74">
        <f t="shared" si="1"/>
        <v>2.4300000000000002</v>
      </c>
      <c r="BB10" s="74">
        <f t="shared" si="1"/>
        <v>2.4300000000000002</v>
      </c>
      <c r="BC10" s="74">
        <f t="shared" si="1"/>
        <v>2.4300000000000002</v>
      </c>
      <c r="BD10" s="74">
        <f t="shared" si="1"/>
        <v>2.4300000000000002</v>
      </c>
      <c r="BE10" s="74">
        <f t="shared" si="1"/>
        <v>2.4300000000000002</v>
      </c>
      <c r="BF10" s="74">
        <f t="shared" si="1"/>
        <v>2.4300000000000002</v>
      </c>
      <c r="BG10" s="74">
        <f t="shared" si="1"/>
        <v>2.4300000000000002</v>
      </c>
      <c r="BH10" s="74">
        <f t="shared" si="1"/>
        <v>2.4300000000000002</v>
      </c>
      <c r="BI10" s="74">
        <f t="shared" si="1"/>
        <v>2.4300000000000002</v>
      </c>
      <c r="BJ10" s="74">
        <f t="shared" si="1"/>
        <v>2.4300000000000002</v>
      </c>
      <c r="BK10" s="74">
        <f t="shared" si="1"/>
        <v>2.4300000000000002</v>
      </c>
      <c r="BL10" s="74">
        <f t="shared" si="1"/>
        <v>2.3760000000000003</v>
      </c>
      <c r="BM10" s="74">
        <f t="shared" si="1"/>
        <v>2.3760000000000003</v>
      </c>
      <c r="BN10" s="74">
        <f t="shared" ref="BN10:BU10" si="2">$F$10*BN7</f>
        <v>2.3760000000000003</v>
      </c>
      <c r="BO10" s="74">
        <f t="shared" si="2"/>
        <v>2.3760000000000003</v>
      </c>
      <c r="BP10" s="74">
        <f t="shared" si="2"/>
        <v>2.3760000000000003</v>
      </c>
      <c r="BQ10" s="74">
        <f t="shared" si="2"/>
        <v>2.3760000000000003</v>
      </c>
      <c r="BR10" s="74">
        <f t="shared" si="2"/>
        <v>2.3940000000000001</v>
      </c>
      <c r="BS10" s="74">
        <f t="shared" si="2"/>
        <v>2.3940000000000001</v>
      </c>
      <c r="BT10" s="74">
        <f t="shared" si="2"/>
        <v>1.9080000000000001</v>
      </c>
      <c r="BU10" s="74">
        <f t="shared" si="2"/>
        <v>1.9080000000000001</v>
      </c>
      <c r="BV10" s="74">
        <f t="shared" ref="BV10:CK10" si="3">$F$10*BV7</f>
        <v>2.4300000000000002</v>
      </c>
      <c r="BW10" s="74">
        <f t="shared" si="3"/>
        <v>2.4300000000000002</v>
      </c>
      <c r="BX10" s="74">
        <f t="shared" si="3"/>
        <v>2.4300000000000002</v>
      </c>
      <c r="BY10" s="74">
        <f t="shared" si="3"/>
        <v>1.8900000000000001</v>
      </c>
      <c r="BZ10" s="74">
        <f t="shared" si="3"/>
        <v>1.8900000000000001</v>
      </c>
      <c r="CA10" s="74">
        <f t="shared" si="3"/>
        <v>1.8900000000000001</v>
      </c>
      <c r="CB10" s="74">
        <f t="shared" si="3"/>
        <v>2.7720000000000002</v>
      </c>
      <c r="CC10" s="74">
        <f t="shared" si="3"/>
        <v>2.7720000000000002</v>
      </c>
      <c r="CD10" s="74">
        <f t="shared" si="3"/>
        <v>2.7720000000000002</v>
      </c>
      <c r="CE10" s="74">
        <f t="shared" si="3"/>
        <v>2.7720000000000002</v>
      </c>
      <c r="CF10" s="74">
        <f t="shared" si="3"/>
        <v>2.7720000000000002</v>
      </c>
      <c r="CG10" s="74">
        <f t="shared" si="3"/>
        <v>2.7720000000000002</v>
      </c>
      <c r="CH10" s="74">
        <f t="shared" si="3"/>
        <v>2.7</v>
      </c>
      <c r="CI10" s="74">
        <f t="shared" si="3"/>
        <v>2.7</v>
      </c>
      <c r="CJ10" s="74">
        <f t="shared" si="3"/>
        <v>2.7</v>
      </c>
      <c r="CK10" s="74">
        <f t="shared" si="3"/>
        <v>2.7</v>
      </c>
      <c r="CL10" s="74">
        <f t="shared" ref="CL10:CQ10" si="4">$F$10*CL7</f>
        <v>2.7</v>
      </c>
      <c r="CM10" s="74">
        <f t="shared" si="4"/>
        <v>2.7</v>
      </c>
      <c r="CN10" s="74">
        <f t="shared" si="4"/>
        <v>2.7</v>
      </c>
      <c r="CO10" s="74">
        <f t="shared" si="4"/>
        <v>2.7</v>
      </c>
      <c r="CP10" s="74">
        <f t="shared" si="4"/>
        <v>2.7</v>
      </c>
      <c r="CQ10" s="74">
        <f t="shared" si="4"/>
        <v>2.7</v>
      </c>
      <c r="CR10" s="74">
        <f>$F$10*CR7</f>
        <v>2.7</v>
      </c>
      <c r="CS10" s="74">
        <f>$F$10*CS7</f>
        <v>2.7</v>
      </c>
      <c r="CT10" s="74">
        <f>$F$10*CT7</f>
        <v>2.7</v>
      </c>
      <c r="CU10" s="74">
        <f>$F$10*CU7</f>
        <v>2.7</v>
      </c>
      <c r="CV10" s="74">
        <f>$F$10*CV7</f>
        <v>2.556</v>
      </c>
      <c r="CW10" s="74">
        <f t="shared" ref="CW10:DR10" si="5">$F$10*CW7</f>
        <v>2.556</v>
      </c>
      <c r="CX10" s="74">
        <f t="shared" si="5"/>
        <v>2.556</v>
      </c>
      <c r="CY10" s="74">
        <f t="shared" si="5"/>
        <v>2.556</v>
      </c>
      <c r="CZ10" s="74">
        <f t="shared" si="5"/>
        <v>2.556</v>
      </c>
      <c r="DA10" s="74">
        <f t="shared" si="5"/>
        <v>2.556</v>
      </c>
      <c r="DB10" s="74">
        <f t="shared" si="5"/>
        <v>2.5019999999999998</v>
      </c>
      <c r="DC10" s="74">
        <f t="shared" si="5"/>
        <v>2.7360000000000002</v>
      </c>
      <c r="DD10" s="74">
        <f t="shared" si="5"/>
        <v>2.7360000000000002</v>
      </c>
      <c r="DE10" s="74">
        <f t="shared" si="5"/>
        <v>2.7360000000000002</v>
      </c>
      <c r="DF10" s="74">
        <f t="shared" si="5"/>
        <v>2.7360000000000002</v>
      </c>
      <c r="DG10" s="74">
        <f t="shared" si="5"/>
        <v>2.7360000000000002</v>
      </c>
      <c r="DH10" s="74">
        <f t="shared" si="5"/>
        <v>2.7360000000000002</v>
      </c>
      <c r="DI10" s="74">
        <f t="shared" si="5"/>
        <v>2.61</v>
      </c>
      <c r="DJ10" s="74">
        <f t="shared" si="5"/>
        <v>2.61</v>
      </c>
      <c r="DK10" s="74">
        <f t="shared" si="5"/>
        <v>2.61</v>
      </c>
      <c r="DL10" s="74">
        <f t="shared" si="5"/>
        <v>2.4660000000000002</v>
      </c>
      <c r="DM10" s="74">
        <f t="shared" si="5"/>
        <v>2.4660000000000002</v>
      </c>
      <c r="DN10" s="74">
        <f t="shared" si="5"/>
        <v>2.4660000000000002</v>
      </c>
      <c r="DO10" s="74">
        <f t="shared" si="5"/>
        <v>2.4660000000000002</v>
      </c>
      <c r="DP10" s="74">
        <f t="shared" si="5"/>
        <v>2.79</v>
      </c>
      <c r="DQ10" s="74">
        <f t="shared" si="5"/>
        <v>2.79</v>
      </c>
      <c r="DR10" s="74">
        <f t="shared" si="5"/>
        <v>2.8620000000000001</v>
      </c>
    </row>
    <row r="11" spans="1:146">
      <c r="A11" s="371"/>
      <c r="B11" s="60" t="s">
        <v>449</v>
      </c>
      <c r="C11" s="60">
        <v>1</v>
      </c>
      <c r="D11" s="64">
        <v>98.07</v>
      </c>
      <c r="E11" s="60">
        <f>D11*C11</f>
        <v>98.07</v>
      </c>
      <c r="F11" s="65">
        <v>1.2</v>
      </c>
      <c r="G11" s="137">
        <v>0.83</v>
      </c>
      <c r="H11" s="70">
        <f>$F$11*H8</f>
        <v>0</v>
      </c>
      <c r="I11" s="70">
        <f t="shared" ref="I11:AV11" si="6">$F$11*I8</f>
        <v>0</v>
      </c>
      <c r="J11" s="70">
        <f t="shared" si="6"/>
        <v>0</v>
      </c>
      <c r="K11" s="70">
        <f t="shared" si="6"/>
        <v>0</v>
      </c>
      <c r="L11" s="70">
        <f t="shared" si="6"/>
        <v>0</v>
      </c>
      <c r="M11" s="70">
        <f t="shared" si="6"/>
        <v>0</v>
      </c>
      <c r="N11" s="70">
        <f t="shared" si="6"/>
        <v>0</v>
      </c>
      <c r="O11" s="70">
        <f t="shared" si="6"/>
        <v>0</v>
      </c>
      <c r="P11" s="70">
        <f t="shared" si="6"/>
        <v>0</v>
      </c>
      <c r="Q11" s="70">
        <f t="shared" si="6"/>
        <v>0</v>
      </c>
      <c r="R11" s="70">
        <f t="shared" si="6"/>
        <v>0</v>
      </c>
      <c r="S11" s="70">
        <f t="shared" si="6"/>
        <v>0</v>
      </c>
      <c r="T11" s="70">
        <f t="shared" si="6"/>
        <v>0</v>
      </c>
      <c r="U11" s="70">
        <f t="shared" si="6"/>
        <v>0</v>
      </c>
      <c r="V11" s="70">
        <f t="shared" si="6"/>
        <v>0</v>
      </c>
      <c r="W11" s="70">
        <f t="shared" si="6"/>
        <v>0</v>
      </c>
      <c r="X11" s="70">
        <f t="shared" si="6"/>
        <v>0</v>
      </c>
      <c r="Y11" s="70">
        <f t="shared" si="6"/>
        <v>0</v>
      </c>
      <c r="Z11" s="70">
        <f t="shared" si="6"/>
        <v>0</v>
      </c>
      <c r="AA11" s="70">
        <f t="shared" si="6"/>
        <v>0</v>
      </c>
      <c r="AB11" s="70">
        <f t="shared" si="6"/>
        <v>0</v>
      </c>
      <c r="AC11" s="70">
        <f t="shared" si="6"/>
        <v>0</v>
      </c>
      <c r="AD11" s="70">
        <f t="shared" si="6"/>
        <v>0</v>
      </c>
      <c r="AE11" s="70">
        <f t="shared" si="6"/>
        <v>0</v>
      </c>
      <c r="AF11" s="70">
        <f t="shared" si="6"/>
        <v>0.13200000000000001</v>
      </c>
      <c r="AG11" s="70">
        <f t="shared" si="6"/>
        <v>0.14399999999999999</v>
      </c>
      <c r="AH11" s="70">
        <f t="shared" si="6"/>
        <v>0.18</v>
      </c>
      <c r="AI11" s="70">
        <f t="shared" si="6"/>
        <v>0.20400000000000001</v>
      </c>
      <c r="AJ11" s="70">
        <f t="shared" si="6"/>
        <v>0.192</v>
      </c>
      <c r="AK11" s="70">
        <f t="shared" si="6"/>
        <v>0.16800000000000001</v>
      </c>
      <c r="AL11" s="70">
        <f t="shared" si="6"/>
        <v>0.14399999999999999</v>
      </c>
      <c r="AM11" s="70">
        <f t="shared" si="6"/>
        <v>9.6000000000000002E-2</v>
      </c>
      <c r="AN11" s="70">
        <f t="shared" si="6"/>
        <v>4.8000000000000001E-2</v>
      </c>
      <c r="AO11" s="70">
        <f t="shared" si="6"/>
        <v>0.06</v>
      </c>
      <c r="AP11" s="70">
        <f t="shared" si="6"/>
        <v>0.06</v>
      </c>
      <c r="AQ11" s="70">
        <f t="shared" si="6"/>
        <v>0.06</v>
      </c>
      <c r="AR11" s="70">
        <f t="shared" si="6"/>
        <v>4.8000000000000001E-2</v>
      </c>
      <c r="AS11" s="70">
        <f t="shared" si="6"/>
        <v>4.8000000000000001E-2</v>
      </c>
      <c r="AT11" s="70">
        <f t="shared" si="6"/>
        <v>4.8000000000000001E-2</v>
      </c>
      <c r="AU11" s="70">
        <f t="shared" si="6"/>
        <v>4.8000000000000001E-2</v>
      </c>
      <c r="AV11" s="70">
        <f t="shared" si="6"/>
        <v>4.8000000000000001E-2</v>
      </c>
      <c r="AW11" s="70">
        <f t="shared" ref="AW11:BM11" si="7">$F$11*AW8</f>
        <v>3.5999999999999997E-2</v>
      </c>
      <c r="AX11" s="70">
        <f t="shared" si="7"/>
        <v>3.5999999999999997E-2</v>
      </c>
      <c r="AY11" s="70">
        <f t="shared" si="7"/>
        <v>3.5999999999999997E-2</v>
      </c>
      <c r="AZ11" s="70">
        <f t="shared" si="7"/>
        <v>3.5999999999999997E-2</v>
      </c>
      <c r="BA11" s="70">
        <f t="shared" si="7"/>
        <v>3.5999999999999997E-2</v>
      </c>
      <c r="BB11" s="70">
        <f t="shared" si="7"/>
        <v>3.5999999999999997E-2</v>
      </c>
      <c r="BC11" s="70">
        <f t="shared" si="7"/>
        <v>3.5999999999999997E-2</v>
      </c>
      <c r="BD11" s="70">
        <f t="shared" si="7"/>
        <v>3.5999999999999997E-2</v>
      </c>
      <c r="BE11" s="70">
        <f t="shared" si="7"/>
        <v>3.5999999999999997E-2</v>
      </c>
      <c r="BF11" s="70">
        <f t="shared" si="7"/>
        <v>3.5999999999999997E-2</v>
      </c>
      <c r="BG11" s="70">
        <f t="shared" si="7"/>
        <v>3.5999999999999997E-2</v>
      </c>
      <c r="BH11" s="70">
        <f t="shared" si="7"/>
        <v>3.5999999999999997E-2</v>
      </c>
      <c r="BI11" s="70">
        <f t="shared" si="7"/>
        <v>3.5999999999999997E-2</v>
      </c>
      <c r="BJ11" s="70">
        <f t="shared" si="7"/>
        <v>3.5999999999999997E-2</v>
      </c>
      <c r="BK11" s="70">
        <f t="shared" si="7"/>
        <v>3.5999999999999997E-2</v>
      </c>
      <c r="BL11" s="70">
        <f t="shared" si="7"/>
        <v>3.5999999999999997E-2</v>
      </c>
      <c r="BM11" s="70">
        <f t="shared" si="7"/>
        <v>3.5999999999999997E-2</v>
      </c>
      <c r="BN11" s="70">
        <f t="shared" ref="BN11:BU11" si="8">$F$11*BN8</f>
        <v>3.5999999999999997E-2</v>
      </c>
      <c r="BO11" s="70">
        <f t="shared" si="8"/>
        <v>3.5999999999999997E-2</v>
      </c>
      <c r="BP11" s="70">
        <f t="shared" si="8"/>
        <v>3.5999999999999997E-2</v>
      </c>
      <c r="BQ11" s="70">
        <f t="shared" si="8"/>
        <v>3.5999999999999997E-2</v>
      </c>
      <c r="BR11" s="70">
        <f t="shared" si="8"/>
        <v>3.5999999999999997E-2</v>
      </c>
      <c r="BS11" s="70">
        <f t="shared" si="8"/>
        <v>3.5999999999999997E-2</v>
      </c>
      <c r="BT11" s="70">
        <f t="shared" si="8"/>
        <v>3.5999999999999997E-2</v>
      </c>
      <c r="BU11" s="70">
        <f t="shared" si="8"/>
        <v>3.5999999999999997E-2</v>
      </c>
      <c r="BV11" s="70">
        <f t="shared" ref="BV11:CK11" si="9">$F$11*BV8</f>
        <v>4.8000000000000001E-2</v>
      </c>
      <c r="BW11" s="70">
        <f t="shared" si="9"/>
        <v>4.8000000000000001E-2</v>
      </c>
      <c r="BX11" s="70">
        <f t="shared" si="9"/>
        <v>4.8000000000000001E-2</v>
      </c>
      <c r="BY11" s="70">
        <f t="shared" si="9"/>
        <v>4.8000000000000001E-2</v>
      </c>
      <c r="BZ11" s="70">
        <f t="shared" si="9"/>
        <v>4.8000000000000001E-2</v>
      </c>
      <c r="CA11" s="70">
        <f t="shared" si="9"/>
        <v>4.8000000000000001E-2</v>
      </c>
      <c r="CB11" s="70">
        <f t="shared" si="9"/>
        <v>4.8000000000000001E-2</v>
      </c>
      <c r="CC11" s="70">
        <f t="shared" si="9"/>
        <v>4.8000000000000001E-2</v>
      </c>
      <c r="CD11" s="70">
        <f t="shared" si="9"/>
        <v>4.8000000000000001E-2</v>
      </c>
      <c r="CE11" s="70">
        <f t="shared" si="9"/>
        <v>4.8000000000000001E-2</v>
      </c>
      <c r="CF11" s="70">
        <f t="shared" si="9"/>
        <v>4.8000000000000001E-2</v>
      </c>
      <c r="CG11" s="70">
        <f t="shared" si="9"/>
        <v>4.8000000000000001E-2</v>
      </c>
      <c r="CH11" s="70">
        <f t="shared" si="9"/>
        <v>4.8000000000000001E-2</v>
      </c>
      <c r="CI11" s="70">
        <f t="shared" si="9"/>
        <v>4.8000000000000001E-2</v>
      </c>
      <c r="CJ11" s="70">
        <f t="shared" si="9"/>
        <v>4.8000000000000001E-2</v>
      </c>
      <c r="CK11" s="70">
        <f t="shared" si="9"/>
        <v>4.8000000000000001E-2</v>
      </c>
      <c r="CL11" s="70">
        <f t="shared" ref="CL11:CQ11" si="10">$F$11*CL8</f>
        <v>4.8000000000000001E-2</v>
      </c>
      <c r="CM11" s="70">
        <f t="shared" si="10"/>
        <v>4.8000000000000001E-2</v>
      </c>
      <c r="CN11" s="70">
        <f t="shared" si="10"/>
        <v>4.8000000000000001E-2</v>
      </c>
      <c r="CO11" s="70">
        <f t="shared" si="10"/>
        <v>4.8000000000000001E-2</v>
      </c>
      <c r="CP11" s="70">
        <f t="shared" si="10"/>
        <v>4.8000000000000001E-2</v>
      </c>
      <c r="CQ11" s="70">
        <f t="shared" si="10"/>
        <v>4.8000000000000001E-2</v>
      </c>
      <c r="CR11" s="70">
        <f>$F$11*CR8</f>
        <v>4.8000000000000001E-2</v>
      </c>
      <c r="CS11" s="70">
        <f>$F$11*CS8</f>
        <v>4.8000000000000001E-2</v>
      </c>
      <c r="CT11" s="70">
        <f>$F$11*CT8</f>
        <v>4.8000000000000001E-2</v>
      </c>
      <c r="CU11" s="70">
        <f>$F$11*CU8</f>
        <v>4.8000000000000001E-2</v>
      </c>
      <c r="CV11" s="70">
        <f>$F$11*CV8</f>
        <v>4.8000000000000001E-2</v>
      </c>
      <c r="CW11" s="70">
        <f t="shared" ref="CW11:DR11" si="11">$F$11*CW8</f>
        <v>4.8000000000000001E-2</v>
      </c>
      <c r="CX11" s="70">
        <f t="shared" si="11"/>
        <v>4.8000000000000001E-2</v>
      </c>
      <c r="CY11" s="70">
        <f t="shared" si="11"/>
        <v>4.8000000000000001E-2</v>
      </c>
      <c r="CZ11" s="70">
        <f t="shared" si="11"/>
        <v>4.8000000000000001E-2</v>
      </c>
      <c r="DA11" s="70">
        <f t="shared" si="11"/>
        <v>4.8000000000000001E-2</v>
      </c>
      <c r="DB11" s="70">
        <f t="shared" si="11"/>
        <v>4.8000000000000001E-2</v>
      </c>
      <c r="DC11" s="70">
        <f t="shared" si="11"/>
        <v>4.8000000000000001E-2</v>
      </c>
      <c r="DD11" s="70">
        <f t="shared" si="11"/>
        <v>4.8000000000000001E-2</v>
      </c>
      <c r="DE11" s="70">
        <f t="shared" si="11"/>
        <v>4.8000000000000001E-2</v>
      </c>
      <c r="DF11" s="70">
        <f t="shared" si="11"/>
        <v>4.8000000000000001E-2</v>
      </c>
      <c r="DG11" s="70">
        <f t="shared" si="11"/>
        <v>4.8000000000000001E-2</v>
      </c>
      <c r="DH11" s="70">
        <f t="shared" si="11"/>
        <v>4.8000000000000001E-2</v>
      </c>
      <c r="DI11" s="70">
        <f t="shared" si="11"/>
        <v>4.8000000000000001E-2</v>
      </c>
      <c r="DJ11" s="70">
        <f t="shared" si="11"/>
        <v>4.8000000000000001E-2</v>
      </c>
      <c r="DK11" s="70">
        <f t="shared" si="11"/>
        <v>4.8000000000000001E-2</v>
      </c>
      <c r="DL11" s="70">
        <f t="shared" si="11"/>
        <v>4.8000000000000001E-2</v>
      </c>
      <c r="DM11" s="70">
        <f t="shared" si="11"/>
        <v>4.8000000000000001E-2</v>
      </c>
      <c r="DN11" s="70">
        <f t="shared" si="11"/>
        <v>4.8000000000000001E-2</v>
      </c>
      <c r="DO11" s="70">
        <f t="shared" si="11"/>
        <v>4.8000000000000001E-2</v>
      </c>
      <c r="DP11" s="70">
        <f t="shared" si="11"/>
        <v>4.8000000000000001E-2</v>
      </c>
      <c r="DQ11" s="70">
        <f t="shared" si="11"/>
        <v>4.8000000000000001E-2</v>
      </c>
      <c r="DR11" s="70">
        <f t="shared" si="11"/>
        <v>4.8000000000000001E-2</v>
      </c>
    </row>
    <row r="12" spans="1:146">
      <c r="A12" s="194"/>
      <c r="B12" s="73"/>
      <c r="C12" s="73"/>
      <c r="D12" s="73" t="s">
        <v>400</v>
      </c>
      <c r="E12" s="73"/>
      <c r="F12" s="73"/>
      <c r="G12" s="73"/>
      <c r="H12" s="94">
        <f>SUM(H10:H11)</f>
        <v>2.1524727878959276</v>
      </c>
      <c r="I12" s="94">
        <f t="shared" ref="I12:AV12" si="12">SUM(I10:I11)</f>
        <v>2.1208120588235295</v>
      </c>
      <c r="J12" s="94">
        <f t="shared" si="12"/>
        <v>2.0185634575260805</v>
      </c>
      <c r="K12" s="94">
        <f t="shared" si="12"/>
        <v>2.058179326639102</v>
      </c>
      <c r="L12" s="94">
        <f t="shared" si="12"/>
        <v>2.0473913099041536</v>
      </c>
      <c r="M12" s="94">
        <f t="shared" si="12"/>
        <v>2.041585074626866</v>
      </c>
      <c r="N12" s="94">
        <f t="shared" si="12"/>
        <v>1.9773386737400533</v>
      </c>
      <c r="O12" s="94">
        <f t="shared" si="12"/>
        <v>1.9464100884955753</v>
      </c>
      <c r="P12" s="94">
        <f t="shared" si="12"/>
        <v>1.8749567263427112</v>
      </c>
      <c r="Q12" s="94">
        <f t="shared" si="12"/>
        <v>1.8929305210888594</v>
      </c>
      <c r="R12" s="94">
        <f t="shared" si="12"/>
        <v>1.862630883064186</v>
      </c>
      <c r="S12" s="94">
        <f t="shared" si="12"/>
        <v>1.8034806229007638</v>
      </c>
      <c r="T12" s="94">
        <f t="shared" si="12"/>
        <v>1.8050553702468313</v>
      </c>
      <c r="U12" s="94">
        <f t="shared" si="12"/>
        <v>1.8519597812215134</v>
      </c>
      <c r="V12" s="94">
        <f t="shared" si="12"/>
        <v>1.7736315726573106</v>
      </c>
      <c r="W12" s="94">
        <f t="shared" si="12"/>
        <v>1.9086662251655631</v>
      </c>
      <c r="X12" s="94">
        <f t="shared" si="12"/>
        <v>1.9420212834224599</v>
      </c>
      <c r="Y12" s="94">
        <f t="shared" si="12"/>
        <v>1.9800000000000002</v>
      </c>
      <c r="Z12" s="94">
        <f t="shared" si="12"/>
        <v>1.9460182712933756</v>
      </c>
      <c r="AA12" s="94">
        <f t="shared" si="12"/>
        <v>2.113499609882965</v>
      </c>
      <c r="AB12" s="94">
        <f t="shared" si="12"/>
        <v>2.1716670157068063</v>
      </c>
      <c r="AC12" s="94">
        <f t="shared" si="12"/>
        <v>2.0263191094619666</v>
      </c>
      <c r="AD12" s="94">
        <f t="shared" si="12"/>
        <v>1.9492460966542751</v>
      </c>
      <c r="AE12" s="94">
        <f t="shared" si="12"/>
        <v>2.7440129032258063</v>
      </c>
      <c r="AF12" s="94">
        <f t="shared" si="12"/>
        <v>2.8920259754573192</v>
      </c>
      <c r="AG12" s="94">
        <f t="shared" si="12"/>
        <v>2.3503884146341463</v>
      </c>
      <c r="AH12" s="94">
        <f t="shared" si="12"/>
        <v>3.9920000000000004</v>
      </c>
      <c r="AI12" s="94">
        <f t="shared" si="12"/>
        <v>3.6947766990291262</v>
      </c>
      <c r="AJ12" s="94">
        <f t="shared" si="12"/>
        <v>3.9528000000000003</v>
      </c>
      <c r="AK12" s="94">
        <f t="shared" si="12"/>
        <v>4.0008340080971667</v>
      </c>
      <c r="AL12" s="94">
        <f t="shared" si="12"/>
        <v>4.7211428571428575</v>
      </c>
      <c r="AM12" s="94">
        <f t="shared" si="12"/>
        <v>4.6859999999999999</v>
      </c>
      <c r="AN12" s="94">
        <f t="shared" si="12"/>
        <v>3.4562400000000002</v>
      </c>
      <c r="AO12" s="94">
        <f t="shared" si="12"/>
        <v>4.0528525714285717</v>
      </c>
      <c r="AP12" s="94">
        <f t="shared" si="12"/>
        <v>3.6490738611405233</v>
      </c>
      <c r="AQ12" s="94">
        <f t="shared" si="12"/>
        <v>3.4620905205479451</v>
      </c>
      <c r="AR12" s="94">
        <f t="shared" si="12"/>
        <v>3.2678292908366537</v>
      </c>
      <c r="AS12" s="94">
        <f t="shared" si="12"/>
        <v>2.9396026671114504</v>
      </c>
      <c r="AT12" s="94">
        <f t="shared" si="12"/>
        <v>3.1108038315789472</v>
      </c>
      <c r="AU12" s="94">
        <f t="shared" si="12"/>
        <v>2.9460000000000002</v>
      </c>
      <c r="AV12" s="94">
        <f t="shared" si="12"/>
        <v>3.1259999999999999</v>
      </c>
      <c r="AW12" s="94">
        <f t="shared" ref="AW12:BM12" si="13">SUM(AW10:AW11)</f>
        <v>3.1139999999999999</v>
      </c>
      <c r="AX12" s="94">
        <f t="shared" si="13"/>
        <v>3.1139999999999999</v>
      </c>
      <c r="AY12" s="94">
        <f t="shared" si="13"/>
        <v>2.556</v>
      </c>
      <c r="AZ12" s="94">
        <f t="shared" si="13"/>
        <v>2.4660000000000002</v>
      </c>
      <c r="BA12" s="94">
        <f t="shared" si="13"/>
        <v>2.4660000000000002</v>
      </c>
      <c r="BB12" s="94">
        <f t="shared" si="13"/>
        <v>2.4660000000000002</v>
      </c>
      <c r="BC12" s="94">
        <f t="shared" si="13"/>
        <v>2.4660000000000002</v>
      </c>
      <c r="BD12" s="94">
        <f t="shared" si="13"/>
        <v>2.4660000000000002</v>
      </c>
      <c r="BE12" s="94">
        <f t="shared" si="13"/>
        <v>2.4660000000000002</v>
      </c>
      <c r="BF12" s="94">
        <f t="shared" si="13"/>
        <v>2.4660000000000002</v>
      </c>
      <c r="BG12" s="94">
        <f t="shared" si="13"/>
        <v>2.4660000000000002</v>
      </c>
      <c r="BH12" s="94">
        <f t="shared" si="13"/>
        <v>2.4660000000000002</v>
      </c>
      <c r="BI12" s="94">
        <f t="shared" si="13"/>
        <v>2.4660000000000002</v>
      </c>
      <c r="BJ12" s="94">
        <f t="shared" si="13"/>
        <v>2.4660000000000002</v>
      </c>
      <c r="BK12" s="94">
        <f t="shared" si="13"/>
        <v>2.4660000000000002</v>
      </c>
      <c r="BL12" s="94">
        <f t="shared" si="13"/>
        <v>2.4120000000000004</v>
      </c>
      <c r="BM12" s="94">
        <f t="shared" si="13"/>
        <v>2.4120000000000004</v>
      </c>
      <c r="BN12" s="94">
        <f t="shared" ref="BN12:BU12" si="14">SUM(BN10:BN11)</f>
        <v>2.4120000000000004</v>
      </c>
      <c r="BO12" s="94">
        <f t="shared" si="14"/>
        <v>2.4120000000000004</v>
      </c>
      <c r="BP12" s="94">
        <f t="shared" si="14"/>
        <v>2.4120000000000004</v>
      </c>
      <c r="BQ12" s="94">
        <f t="shared" si="14"/>
        <v>2.4120000000000004</v>
      </c>
      <c r="BR12" s="94">
        <f t="shared" si="14"/>
        <v>2.4300000000000002</v>
      </c>
      <c r="BS12" s="94">
        <f t="shared" si="14"/>
        <v>2.4300000000000002</v>
      </c>
      <c r="BT12" s="94">
        <f t="shared" si="14"/>
        <v>1.9440000000000002</v>
      </c>
      <c r="BU12" s="94">
        <f t="shared" si="14"/>
        <v>1.9440000000000002</v>
      </c>
      <c r="BV12" s="94">
        <f t="shared" ref="BV12:CK12" si="15">SUM(BV10:BV11)</f>
        <v>2.4780000000000002</v>
      </c>
      <c r="BW12" s="94">
        <f t="shared" si="15"/>
        <v>2.4780000000000002</v>
      </c>
      <c r="BX12" s="94">
        <f t="shared" si="15"/>
        <v>2.4780000000000002</v>
      </c>
      <c r="BY12" s="94">
        <f t="shared" si="15"/>
        <v>1.9380000000000002</v>
      </c>
      <c r="BZ12" s="94">
        <f t="shared" si="15"/>
        <v>1.9380000000000002</v>
      </c>
      <c r="CA12" s="94">
        <f t="shared" si="15"/>
        <v>1.9380000000000002</v>
      </c>
      <c r="CB12" s="94">
        <f t="shared" si="15"/>
        <v>2.8200000000000003</v>
      </c>
      <c r="CC12" s="94">
        <f t="shared" si="15"/>
        <v>2.8200000000000003</v>
      </c>
      <c r="CD12" s="94">
        <f t="shared" si="15"/>
        <v>2.8200000000000003</v>
      </c>
      <c r="CE12" s="94">
        <f t="shared" si="15"/>
        <v>2.8200000000000003</v>
      </c>
      <c r="CF12" s="94">
        <f t="shared" si="15"/>
        <v>2.8200000000000003</v>
      </c>
      <c r="CG12" s="94">
        <f t="shared" si="15"/>
        <v>2.8200000000000003</v>
      </c>
      <c r="CH12" s="94">
        <f t="shared" si="15"/>
        <v>2.7480000000000002</v>
      </c>
      <c r="CI12" s="94">
        <f t="shared" si="15"/>
        <v>2.7480000000000002</v>
      </c>
      <c r="CJ12" s="94">
        <f t="shared" si="15"/>
        <v>2.7480000000000002</v>
      </c>
      <c r="CK12" s="94">
        <f t="shared" si="15"/>
        <v>2.7480000000000002</v>
      </c>
      <c r="CL12" s="94">
        <f t="shared" ref="CL12:CQ12" si="16">SUM(CL10:CL11)</f>
        <v>2.7480000000000002</v>
      </c>
      <c r="CM12" s="94">
        <f t="shared" si="16"/>
        <v>2.7480000000000002</v>
      </c>
      <c r="CN12" s="94">
        <f t="shared" si="16"/>
        <v>2.7480000000000002</v>
      </c>
      <c r="CO12" s="94">
        <f t="shared" si="16"/>
        <v>2.7480000000000002</v>
      </c>
      <c r="CP12" s="94">
        <f t="shared" si="16"/>
        <v>2.7480000000000002</v>
      </c>
      <c r="CQ12" s="94">
        <f t="shared" si="16"/>
        <v>2.7480000000000002</v>
      </c>
      <c r="CR12" s="94">
        <f t="shared" ref="CR12:DR12" si="17">SUM(CR10:CR11)</f>
        <v>2.7480000000000002</v>
      </c>
      <c r="CS12" s="94">
        <f t="shared" si="17"/>
        <v>2.7480000000000002</v>
      </c>
      <c r="CT12" s="94">
        <f t="shared" si="17"/>
        <v>2.7480000000000002</v>
      </c>
      <c r="CU12" s="94">
        <f t="shared" si="17"/>
        <v>2.7480000000000002</v>
      </c>
      <c r="CV12" s="94">
        <f t="shared" si="17"/>
        <v>2.6040000000000001</v>
      </c>
      <c r="CW12" s="94">
        <f t="shared" si="17"/>
        <v>2.6040000000000001</v>
      </c>
      <c r="CX12" s="94">
        <f t="shared" si="17"/>
        <v>2.6040000000000001</v>
      </c>
      <c r="CY12" s="94">
        <f t="shared" si="17"/>
        <v>2.6040000000000001</v>
      </c>
      <c r="CZ12" s="94">
        <f t="shared" si="17"/>
        <v>2.6040000000000001</v>
      </c>
      <c r="DA12" s="94">
        <f t="shared" si="17"/>
        <v>2.6040000000000001</v>
      </c>
      <c r="DB12" s="94">
        <f t="shared" si="17"/>
        <v>2.5499999999999998</v>
      </c>
      <c r="DC12" s="94">
        <f t="shared" si="17"/>
        <v>2.7840000000000003</v>
      </c>
      <c r="DD12" s="94">
        <f t="shared" si="17"/>
        <v>2.7840000000000003</v>
      </c>
      <c r="DE12" s="94">
        <f t="shared" si="17"/>
        <v>2.7840000000000003</v>
      </c>
      <c r="DF12" s="94">
        <f t="shared" si="17"/>
        <v>2.7840000000000003</v>
      </c>
      <c r="DG12" s="94">
        <f t="shared" si="17"/>
        <v>2.7840000000000003</v>
      </c>
      <c r="DH12" s="94">
        <f t="shared" si="17"/>
        <v>2.7840000000000003</v>
      </c>
      <c r="DI12" s="94">
        <f t="shared" si="17"/>
        <v>2.6579999999999999</v>
      </c>
      <c r="DJ12" s="94">
        <f t="shared" si="17"/>
        <v>2.6579999999999999</v>
      </c>
      <c r="DK12" s="94">
        <f t="shared" si="17"/>
        <v>2.6579999999999999</v>
      </c>
      <c r="DL12" s="94">
        <f t="shared" si="17"/>
        <v>2.5140000000000002</v>
      </c>
      <c r="DM12" s="94">
        <f t="shared" si="17"/>
        <v>2.5140000000000002</v>
      </c>
      <c r="DN12" s="94">
        <f t="shared" si="17"/>
        <v>2.5140000000000002</v>
      </c>
      <c r="DO12" s="94">
        <f t="shared" si="17"/>
        <v>2.5140000000000002</v>
      </c>
      <c r="DP12" s="94">
        <f t="shared" si="17"/>
        <v>2.8380000000000001</v>
      </c>
      <c r="DQ12" s="94">
        <f t="shared" si="17"/>
        <v>2.8380000000000001</v>
      </c>
      <c r="DR12" s="94">
        <f t="shared" si="17"/>
        <v>2.91</v>
      </c>
    </row>
    <row r="13" spans="1:146" ht="13">
      <c r="A13" s="331" t="s">
        <v>455</v>
      </c>
      <c r="G13" s="60" t="s">
        <v>429</v>
      </c>
      <c r="H13" s="65">
        <v>2.8616061819019518</v>
      </c>
      <c r="I13" s="65"/>
      <c r="J13" s="65"/>
      <c r="K13" s="65"/>
      <c r="L13" s="65"/>
      <c r="M13" s="65">
        <v>2.7262208848850915</v>
      </c>
      <c r="N13" s="65">
        <v>2.7561174268338338</v>
      </c>
      <c r="O13" s="65">
        <v>2.753835026883777</v>
      </c>
      <c r="P13" s="65"/>
      <c r="Q13" s="65"/>
      <c r="R13" s="65"/>
      <c r="S13" s="65"/>
      <c r="T13" s="65"/>
      <c r="U13" s="65"/>
      <c r="V13" s="65">
        <v>2.6923076923076925</v>
      </c>
      <c r="W13" s="65"/>
      <c r="X13" s="65"/>
      <c r="Y13" s="65">
        <v>2.6924122926298613</v>
      </c>
      <c r="Z13" s="65"/>
      <c r="AA13" s="65">
        <v>2.7845199568500543</v>
      </c>
      <c r="AB13" s="65"/>
      <c r="AC13" s="65"/>
      <c r="AD13" s="65"/>
      <c r="AE13" s="65"/>
      <c r="AF13" s="65"/>
      <c r="AG13" s="65"/>
      <c r="AH13" s="65"/>
      <c r="AI13" s="65">
        <v>4.3842127769701875</v>
      </c>
      <c r="AJ13" s="65">
        <v>4.4361512701716359</v>
      </c>
      <c r="AK13" s="65"/>
      <c r="AL13" s="65"/>
      <c r="AM13" s="65"/>
      <c r="AN13" s="65"/>
      <c r="AO13" s="65">
        <v>4.0442012166204107</v>
      </c>
      <c r="AP13" s="65"/>
      <c r="AQ13" s="65">
        <v>3.8804711266766025</v>
      </c>
      <c r="AR13" s="65"/>
      <c r="AS13" s="65">
        <f>298/82.64</f>
        <v>3.6060019361084219</v>
      </c>
      <c r="AW13" s="65">
        <f>289/83</f>
        <v>3.4819277108433737</v>
      </c>
      <c r="BB13" s="65">
        <f>277/82.7</f>
        <v>3.3494558645707375</v>
      </c>
      <c r="BJ13" s="64">
        <f>277/83</f>
        <v>3.3373493975903616</v>
      </c>
      <c r="BN13" s="64">
        <f>277/83</f>
        <v>3.3373493975903616</v>
      </c>
      <c r="BZ13" s="60">
        <f>269/83</f>
        <v>3.2409638554216866</v>
      </c>
      <c r="CD13" s="60">
        <f>269/83</f>
        <v>3.2409638554216866</v>
      </c>
      <c r="CT13" s="60">
        <f>267/83</f>
        <v>3.2168674698795181</v>
      </c>
      <c r="CZ13" s="65">
        <f>268/83.5</f>
        <v>3.2095808383233533</v>
      </c>
      <c r="DG13" s="77">
        <f>267/84</f>
        <v>3.1785714285714284</v>
      </c>
    </row>
    <row r="14" spans="1:146">
      <c r="G14" s="73" t="s">
        <v>406</v>
      </c>
      <c r="H14" s="65">
        <f>H13-H12</f>
        <v>0.70913339400602426</v>
      </c>
      <c r="M14" s="65">
        <f>M13-M12</f>
        <v>0.68463581025822551</v>
      </c>
      <c r="N14" s="65">
        <f>N13-N12</f>
        <v>0.77877875309378042</v>
      </c>
      <c r="O14" s="65">
        <f>O13-O12</f>
        <v>0.80742493838820173</v>
      </c>
      <c r="V14" s="65">
        <f>V13-V12</f>
        <v>0.91867611965038187</v>
      </c>
      <c r="Y14" s="65">
        <f>Y13-Y12</f>
        <v>0.71241229262986105</v>
      </c>
      <c r="Z14" s="65"/>
      <c r="AA14" s="65">
        <f>AA13-AA12</f>
        <v>0.67102034696708923</v>
      </c>
      <c r="AI14" s="65">
        <f>AI13-AI12</f>
        <v>0.68943607794106132</v>
      </c>
      <c r="AJ14" s="65">
        <f>AJ13-AJ12</f>
        <v>0.48335127017163559</v>
      </c>
      <c r="AO14" s="65">
        <f>AO13-AO12</f>
        <v>-8.6513548081610381E-3</v>
      </c>
      <c r="AQ14" s="65">
        <f>AQ13-AQ12</f>
        <v>0.41838060612865746</v>
      </c>
      <c r="AS14" s="65">
        <f>AS13-AS12</f>
        <v>0.66639926899697155</v>
      </c>
      <c r="AW14" s="65">
        <f>AW13-AW12</f>
        <v>0.36792771084337383</v>
      </c>
      <c r="BB14" s="65">
        <f>BB13-BB12</f>
        <v>0.88345586457073733</v>
      </c>
      <c r="BJ14" s="65">
        <f>BJ13-BJ12</f>
        <v>0.87134939759036145</v>
      </c>
      <c r="BN14" s="65">
        <f>BN13-BN12</f>
        <v>0.92534939759036128</v>
      </c>
      <c r="BZ14" s="65">
        <f>BZ13-BZ12</f>
        <v>1.3029638554216865</v>
      </c>
      <c r="CD14" s="65">
        <f>CD13-CD12</f>
        <v>0.42096385542168635</v>
      </c>
      <c r="CT14" s="65">
        <f>CT13-CT12</f>
        <v>0.46886746987951788</v>
      </c>
      <c r="CZ14" s="65">
        <f>CZ13-CZ12</f>
        <v>0.60558083832335319</v>
      </c>
      <c r="DG14" s="65">
        <f>DG13-DG12</f>
        <v>0.39457142857142813</v>
      </c>
    </row>
    <row r="15" spans="1:146">
      <c r="BJ15" s="64"/>
    </row>
    <row r="16" spans="1:146" ht="13" thickBot="1">
      <c r="A16" s="72"/>
      <c r="BJ16" s="64"/>
    </row>
    <row r="17" spans="7:122" s="161" customFormat="1" ht="13" thickBot="1">
      <c r="G17" s="193" t="s">
        <v>407</v>
      </c>
      <c r="H17" s="163">
        <f>0.41+H12</f>
        <v>2.5624727878959277</v>
      </c>
      <c r="I17" s="163">
        <f t="shared" ref="I17:AV17" si="18">0.41+I12</f>
        <v>2.5308120588235297</v>
      </c>
      <c r="J17" s="163">
        <f t="shared" si="18"/>
        <v>2.4285634575260806</v>
      </c>
      <c r="K17" s="163">
        <f t="shared" si="18"/>
        <v>2.4681793266391021</v>
      </c>
      <c r="L17" s="163">
        <f t="shared" si="18"/>
        <v>2.4573913099041538</v>
      </c>
      <c r="M17" s="163">
        <f t="shared" si="18"/>
        <v>2.4515850746268661</v>
      </c>
      <c r="N17" s="163">
        <f t="shared" si="18"/>
        <v>2.3873386737400533</v>
      </c>
      <c r="O17" s="163">
        <f t="shared" si="18"/>
        <v>2.3564100884955752</v>
      </c>
      <c r="P17" s="163">
        <f t="shared" si="18"/>
        <v>2.2849567263427111</v>
      </c>
      <c r="Q17" s="163">
        <f t="shared" si="18"/>
        <v>2.3029305210888595</v>
      </c>
      <c r="R17" s="163">
        <f t="shared" si="18"/>
        <v>2.2726308830641861</v>
      </c>
      <c r="S17" s="163">
        <f t="shared" si="18"/>
        <v>2.213480622900764</v>
      </c>
      <c r="T17" s="163">
        <f t="shared" si="18"/>
        <v>2.2150553702468314</v>
      </c>
      <c r="U17" s="163">
        <f t="shared" si="18"/>
        <v>2.2619597812215133</v>
      </c>
      <c r="V17" s="163">
        <f t="shared" si="18"/>
        <v>2.1836315726573106</v>
      </c>
      <c r="W17" s="163">
        <f t="shared" si="18"/>
        <v>2.318666225165563</v>
      </c>
      <c r="X17" s="163">
        <f t="shared" si="18"/>
        <v>2.3520212834224599</v>
      </c>
      <c r="Y17" s="163">
        <f t="shared" si="18"/>
        <v>2.39</v>
      </c>
      <c r="Z17" s="163">
        <f t="shared" si="18"/>
        <v>2.3560182712933755</v>
      </c>
      <c r="AA17" s="163">
        <f t="shared" si="18"/>
        <v>2.5234996098829652</v>
      </c>
      <c r="AB17" s="163">
        <f t="shared" si="18"/>
        <v>2.5816670157068065</v>
      </c>
      <c r="AC17" s="163">
        <f t="shared" si="18"/>
        <v>2.4363191094619667</v>
      </c>
      <c r="AD17" s="163">
        <f t="shared" si="18"/>
        <v>2.359246096654275</v>
      </c>
      <c r="AE17" s="163">
        <f t="shared" si="18"/>
        <v>3.1540129032258064</v>
      </c>
      <c r="AF17" s="163">
        <f t="shared" si="18"/>
        <v>3.3020259754573194</v>
      </c>
      <c r="AG17" s="163">
        <f t="shared" si="18"/>
        <v>2.7603884146341464</v>
      </c>
      <c r="AH17" s="163">
        <f t="shared" si="18"/>
        <v>4.4020000000000001</v>
      </c>
      <c r="AI17" s="163">
        <f t="shared" si="18"/>
        <v>4.1047766990291263</v>
      </c>
      <c r="AJ17" s="163">
        <f t="shared" si="18"/>
        <v>4.3628</v>
      </c>
      <c r="AK17" s="163">
        <f t="shared" si="18"/>
        <v>4.4108340080971669</v>
      </c>
      <c r="AL17" s="163">
        <f t="shared" si="18"/>
        <v>5.1311428571428577</v>
      </c>
      <c r="AM17" s="163">
        <f t="shared" si="18"/>
        <v>5.0960000000000001</v>
      </c>
      <c r="AN17" s="163">
        <f t="shared" si="18"/>
        <v>3.8662400000000003</v>
      </c>
      <c r="AO17" s="163">
        <f t="shared" si="18"/>
        <v>4.4628525714285718</v>
      </c>
      <c r="AP17" s="163">
        <f t="shared" si="18"/>
        <v>4.059073861140523</v>
      </c>
      <c r="AQ17" s="163">
        <f t="shared" si="18"/>
        <v>3.8720905205479452</v>
      </c>
      <c r="AR17" s="163">
        <f t="shared" si="18"/>
        <v>3.6778292908366539</v>
      </c>
      <c r="AS17" s="163">
        <f t="shared" si="18"/>
        <v>3.3496026671114505</v>
      </c>
      <c r="AT17" s="163">
        <f t="shared" si="18"/>
        <v>3.5208038315789474</v>
      </c>
      <c r="AU17" s="163">
        <f t="shared" si="18"/>
        <v>3.3560000000000003</v>
      </c>
      <c r="AV17" s="163">
        <f t="shared" si="18"/>
        <v>3.536</v>
      </c>
      <c r="AW17" s="163">
        <f>0.37+AW12</f>
        <v>3.484</v>
      </c>
      <c r="AX17" s="163">
        <f t="shared" ref="AX17:DI17" si="19">0.37+AX12</f>
        <v>3.484</v>
      </c>
      <c r="AY17" s="163">
        <f t="shared" si="19"/>
        <v>2.9260000000000002</v>
      </c>
      <c r="AZ17" s="163">
        <f t="shared" si="19"/>
        <v>2.8360000000000003</v>
      </c>
      <c r="BA17" s="163">
        <f t="shared" si="19"/>
        <v>2.8360000000000003</v>
      </c>
      <c r="BB17" s="163">
        <f t="shared" si="19"/>
        <v>2.8360000000000003</v>
      </c>
      <c r="BC17" s="163">
        <f t="shared" si="19"/>
        <v>2.8360000000000003</v>
      </c>
      <c r="BD17" s="163">
        <f t="shared" si="19"/>
        <v>2.8360000000000003</v>
      </c>
      <c r="BE17" s="163">
        <f t="shared" si="19"/>
        <v>2.8360000000000003</v>
      </c>
      <c r="BF17" s="163">
        <f t="shared" si="19"/>
        <v>2.8360000000000003</v>
      </c>
      <c r="BG17" s="163">
        <f t="shared" si="19"/>
        <v>2.8360000000000003</v>
      </c>
      <c r="BH17" s="163">
        <f t="shared" si="19"/>
        <v>2.8360000000000003</v>
      </c>
      <c r="BI17" s="163">
        <f t="shared" si="19"/>
        <v>2.8360000000000003</v>
      </c>
      <c r="BJ17" s="163">
        <f t="shared" si="19"/>
        <v>2.8360000000000003</v>
      </c>
      <c r="BK17" s="163">
        <f t="shared" si="19"/>
        <v>2.8360000000000003</v>
      </c>
      <c r="BL17" s="163">
        <f t="shared" si="19"/>
        <v>2.7820000000000005</v>
      </c>
      <c r="BM17" s="163">
        <f t="shared" si="19"/>
        <v>2.7820000000000005</v>
      </c>
      <c r="BN17" s="163">
        <f t="shared" si="19"/>
        <v>2.7820000000000005</v>
      </c>
      <c r="BO17" s="163">
        <f t="shared" si="19"/>
        <v>2.7820000000000005</v>
      </c>
      <c r="BP17" s="163">
        <f t="shared" si="19"/>
        <v>2.7820000000000005</v>
      </c>
      <c r="BQ17" s="163">
        <f t="shared" si="19"/>
        <v>2.7820000000000005</v>
      </c>
      <c r="BR17" s="163">
        <f t="shared" si="19"/>
        <v>2.8000000000000003</v>
      </c>
      <c r="BS17" s="163">
        <f t="shared" si="19"/>
        <v>2.8000000000000003</v>
      </c>
      <c r="BT17" s="163">
        <f t="shared" si="19"/>
        <v>2.3140000000000001</v>
      </c>
      <c r="BU17" s="163">
        <f t="shared" si="19"/>
        <v>2.3140000000000001</v>
      </c>
      <c r="BV17" s="163">
        <f t="shared" si="19"/>
        <v>2.8480000000000003</v>
      </c>
      <c r="BW17" s="163">
        <f t="shared" si="19"/>
        <v>2.8480000000000003</v>
      </c>
      <c r="BX17" s="163">
        <f t="shared" si="19"/>
        <v>2.8480000000000003</v>
      </c>
      <c r="BY17" s="163">
        <f t="shared" si="19"/>
        <v>2.3080000000000003</v>
      </c>
      <c r="BZ17" s="163">
        <f t="shared" si="19"/>
        <v>2.3080000000000003</v>
      </c>
      <c r="CA17" s="163">
        <f t="shared" si="19"/>
        <v>2.3080000000000003</v>
      </c>
      <c r="CB17" s="163">
        <f t="shared" si="19"/>
        <v>3.1900000000000004</v>
      </c>
      <c r="CC17" s="163">
        <f t="shared" si="19"/>
        <v>3.1900000000000004</v>
      </c>
      <c r="CD17" s="163">
        <f t="shared" si="19"/>
        <v>3.1900000000000004</v>
      </c>
      <c r="CE17" s="163">
        <f t="shared" si="19"/>
        <v>3.1900000000000004</v>
      </c>
      <c r="CF17" s="163">
        <f t="shared" si="19"/>
        <v>3.1900000000000004</v>
      </c>
      <c r="CG17" s="163">
        <f t="shared" si="19"/>
        <v>3.1900000000000004</v>
      </c>
      <c r="CH17" s="163">
        <f t="shared" si="19"/>
        <v>3.1180000000000003</v>
      </c>
      <c r="CI17" s="163">
        <f t="shared" si="19"/>
        <v>3.1180000000000003</v>
      </c>
      <c r="CJ17" s="163">
        <f t="shared" si="19"/>
        <v>3.1180000000000003</v>
      </c>
      <c r="CK17" s="163">
        <f t="shared" si="19"/>
        <v>3.1180000000000003</v>
      </c>
      <c r="CL17" s="163">
        <f t="shared" si="19"/>
        <v>3.1180000000000003</v>
      </c>
      <c r="CM17" s="163">
        <f t="shared" si="19"/>
        <v>3.1180000000000003</v>
      </c>
      <c r="CN17" s="163">
        <f t="shared" si="19"/>
        <v>3.1180000000000003</v>
      </c>
      <c r="CO17" s="163">
        <f t="shared" si="19"/>
        <v>3.1180000000000003</v>
      </c>
      <c r="CP17" s="163">
        <f t="shared" si="19"/>
        <v>3.1180000000000003</v>
      </c>
      <c r="CQ17" s="163">
        <f t="shared" si="19"/>
        <v>3.1180000000000003</v>
      </c>
      <c r="CR17" s="163">
        <f t="shared" si="19"/>
        <v>3.1180000000000003</v>
      </c>
      <c r="CS17" s="163">
        <f t="shared" si="19"/>
        <v>3.1180000000000003</v>
      </c>
      <c r="CT17" s="163">
        <f t="shared" si="19"/>
        <v>3.1180000000000003</v>
      </c>
      <c r="CU17" s="163">
        <f t="shared" si="19"/>
        <v>3.1180000000000003</v>
      </c>
      <c r="CV17" s="163">
        <f t="shared" si="19"/>
        <v>2.9740000000000002</v>
      </c>
      <c r="CW17" s="163">
        <f t="shared" si="19"/>
        <v>2.9740000000000002</v>
      </c>
      <c r="CX17" s="163">
        <f t="shared" si="19"/>
        <v>2.9740000000000002</v>
      </c>
      <c r="CY17" s="163">
        <f t="shared" si="19"/>
        <v>2.9740000000000002</v>
      </c>
      <c r="CZ17" s="163">
        <f t="shared" si="19"/>
        <v>2.9740000000000002</v>
      </c>
      <c r="DA17" s="163">
        <f t="shared" si="19"/>
        <v>2.9740000000000002</v>
      </c>
      <c r="DB17" s="163">
        <f t="shared" si="19"/>
        <v>2.92</v>
      </c>
      <c r="DC17" s="163">
        <f t="shared" si="19"/>
        <v>3.1540000000000004</v>
      </c>
      <c r="DD17" s="163">
        <f t="shared" si="19"/>
        <v>3.1540000000000004</v>
      </c>
      <c r="DE17" s="163">
        <f t="shared" si="19"/>
        <v>3.1540000000000004</v>
      </c>
      <c r="DF17" s="163">
        <f t="shared" si="19"/>
        <v>3.1540000000000004</v>
      </c>
      <c r="DG17" s="163">
        <f t="shared" si="19"/>
        <v>3.1540000000000004</v>
      </c>
      <c r="DH17" s="163">
        <f t="shared" si="19"/>
        <v>3.1540000000000004</v>
      </c>
      <c r="DI17" s="163">
        <f t="shared" si="19"/>
        <v>3.028</v>
      </c>
      <c r="DJ17" s="163">
        <f t="shared" ref="DJ17:DR17" si="20">0.37+DJ12</f>
        <v>3.028</v>
      </c>
      <c r="DK17" s="163">
        <f t="shared" si="20"/>
        <v>3.028</v>
      </c>
      <c r="DL17" s="163">
        <f t="shared" si="20"/>
        <v>2.8840000000000003</v>
      </c>
      <c r="DM17" s="163">
        <f t="shared" si="20"/>
        <v>2.8840000000000003</v>
      </c>
      <c r="DN17" s="163">
        <f t="shared" si="20"/>
        <v>2.8840000000000003</v>
      </c>
      <c r="DO17" s="163">
        <f t="shared" si="20"/>
        <v>2.8840000000000003</v>
      </c>
      <c r="DP17" s="163">
        <f t="shared" si="20"/>
        <v>3.2080000000000002</v>
      </c>
      <c r="DQ17" s="163">
        <f t="shared" si="20"/>
        <v>3.2080000000000002</v>
      </c>
      <c r="DR17" s="163">
        <f t="shared" si="20"/>
        <v>3.2800000000000002</v>
      </c>
    </row>
  </sheetData>
  <mergeCells count="1">
    <mergeCell ref="A10:A11"/>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EH17"/>
  <sheetViews>
    <sheetView zoomScale="90" zoomScaleNormal="90" workbookViewId="0">
      <pane xSplit="9" ySplit="5" topLeftCell="AR6" activePane="bottomRight" state="frozen"/>
      <selection pane="topRight" activeCell="J1" sqref="J1"/>
      <selection pane="bottomLeft" activeCell="A6" sqref="A6"/>
      <selection pane="bottomRight" activeCell="AS12" sqref="AS12"/>
    </sheetView>
  </sheetViews>
  <sheetFormatPr baseColWidth="10" defaultColWidth="8.6640625" defaultRowHeight="12"/>
  <cols>
    <col min="1" max="1" width="19.5" style="60" bestFit="1" customWidth="1"/>
    <col min="2" max="2" width="11.33203125" style="60" bestFit="1" customWidth="1"/>
    <col min="3" max="3" width="4.83203125" style="60" bestFit="1" customWidth="1"/>
    <col min="4" max="4" width="12.33203125" style="60" bestFit="1" customWidth="1"/>
    <col min="5" max="5" width="11.83203125" style="60" bestFit="1" customWidth="1"/>
    <col min="6" max="6" width="6" style="60" bestFit="1" customWidth="1"/>
    <col min="7" max="7" width="22.83203125" style="60" bestFit="1" customWidth="1"/>
    <col min="8" max="8" width="5.1640625" style="60" bestFit="1" customWidth="1"/>
    <col min="9" max="9" width="5.5" style="60" bestFit="1" customWidth="1"/>
    <col min="10" max="10" width="5.6640625" style="60" bestFit="1" customWidth="1"/>
    <col min="11" max="11" width="5.33203125" style="60" bestFit="1" customWidth="1"/>
    <col min="12" max="12" width="5.83203125" style="60" bestFit="1" customWidth="1"/>
    <col min="13" max="13" width="5.1640625" style="60" bestFit="1" customWidth="1"/>
    <col min="14" max="14" width="4.6640625" style="60" bestFit="1" customWidth="1"/>
    <col min="15" max="17" width="5.5" style="60" bestFit="1" customWidth="1"/>
    <col min="18" max="18" width="5.6640625" style="60" bestFit="1" customWidth="1"/>
    <col min="19" max="19" width="5.5" style="60" bestFit="1" customWidth="1"/>
    <col min="20" max="20" width="5.1640625" style="60" bestFit="1" customWidth="1"/>
    <col min="21" max="21" width="5.5" style="60" bestFit="1" customWidth="1"/>
    <col min="22" max="22" width="5.6640625" style="60" bestFit="1" customWidth="1"/>
    <col min="23" max="23" width="5.33203125" style="60" bestFit="1" customWidth="1"/>
    <col min="24" max="24" width="5.83203125" style="60" bestFit="1" customWidth="1"/>
    <col min="25" max="25" width="5.1640625" style="60" bestFit="1" customWidth="1"/>
    <col min="26" max="26" width="4.6640625" style="60" bestFit="1" customWidth="1"/>
    <col min="27" max="29" width="5.5" style="60" bestFit="1" customWidth="1"/>
    <col min="30" max="30" width="5.6640625" style="60" bestFit="1" customWidth="1"/>
    <col min="31" max="31" width="5.5" style="60" bestFit="1" customWidth="1"/>
    <col min="32" max="32" width="5.1640625" style="60" bestFit="1" customWidth="1"/>
    <col min="33" max="33" width="5.5" style="60" bestFit="1" customWidth="1"/>
    <col min="34" max="34" width="5.6640625" style="60" bestFit="1" customWidth="1"/>
    <col min="35" max="35" width="5.33203125" style="60" bestFit="1" customWidth="1"/>
    <col min="36" max="36" width="5.83203125" style="60" bestFit="1" customWidth="1"/>
    <col min="37" max="37" width="5.1640625" style="60" bestFit="1" customWidth="1"/>
    <col min="38" max="38" width="4.6640625" style="60" bestFit="1" customWidth="1"/>
    <col min="39" max="41" width="5.5" style="60" bestFit="1" customWidth="1"/>
    <col min="42" max="42" width="5.6640625" style="60" bestFit="1" customWidth="1"/>
    <col min="43" max="43" width="5.5" style="60" bestFit="1" customWidth="1"/>
    <col min="44" max="44" width="5.1640625" style="60" bestFit="1" customWidth="1"/>
    <col min="45" max="45" width="5.5" style="60" bestFit="1" customWidth="1"/>
    <col min="46" max="46" width="5.6640625" style="60" bestFit="1" customWidth="1"/>
    <col min="47" max="47" width="5.33203125" style="60" bestFit="1" customWidth="1"/>
    <col min="48" max="48" width="5.83203125" style="60" bestFit="1" customWidth="1"/>
    <col min="49" max="49" width="5.1640625" style="60" bestFit="1" customWidth="1"/>
    <col min="50" max="53" width="6" style="60" bestFit="1" customWidth="1"/>
    <col min="54" max="55" width="5.5" style="60" bestFit="1" customWidth="1"/>
    <col min="56" max="57" width="4.33203125" style="60" bestFit="1" customWidth="1"/>
    <col min="58" max="65" width="6.1640625" style="60" bestFit="1" customWidth="1"/>
    <col min="66" max="69" width="5.6640625" style="60" bestFit="1" customWidth="1"/>
    <col min="70" max="73" width="5.5" style="60" bestFit="1" customWidth="1"/>
    <col min="74" max="77" width="5.1640625" style="60" bestFit="1" customWidth="1"/>
    <col min="78" max="16384" width="8.6640625" style="60"/>
  </cols>
  <sheetData>
    <row r="1" spans="1:138">
      <c r="A1" s="59" t="s">
        <v>377</v>
      </c>
      <c r="B1" s="59" t="s">
        <v>378</v>
      </c>
      <c r="C1" s="59" t="s">
        <v>379</v>
      </c>
      <c r="D1" s="59" t="s">
        <v>380</v>
      </c>
      <c r="E1" s="59" t="s">
        <v>381</v>
      </c>
      <c r="F1" s="59" t="s">
        <v>33</v>
      </c>
      <c r="H1" s="61">
        <v>6</v>
      </c>
      <c r="I1" s="61">
        <v>7</v>
      </c>
      <c r="J1" s="61">
        <v>8</v>
      </c>
      <c r="K1" s="61">
        <v>9</v>
      </c>
      <c r="L1" s="61">
        <v>10</v>
      </c>
      <c r="M1" s="61">
        <v>11</v>
      </c>
      <c r="N1" s="61">
        <v>12</v>
      </c>
      <c r="O1" s="61">
        <v>13</v>
      </c>
      <c r="P1" s="61">
        <v>14</v>
      </c>
      <c r="Q1" s="61">
        <v>15</v>
      </c>
      <c r="R1" s="61">
        <v>16</v>
      </c>
      <c r="S1" s="61">
        <v>17</v>
      </c>
      <c r="T1" s="61">
        <v>18</v>
      </c>
      <c r="U1" s="61">
        <v>19</v>
      </c>
      <c r="V1" s="61">
        <v>20</v>
      </c>
      <c r="W1" s="61">
        <v>21</v>
      </c>
      <c r="X1" s="61">
        <v>22</v>
      </c>
      <c r="Y1" s="61">
        <v>23</v>
      </c>
      <c r="Z1" s="61">
        <v>24</v>
      </c>
      <c r="AA1" s="61">
        <v>25</v>
      </c>
      <c r="AB1" s="61">
        <v>26</v>
      </c>
      <c r="AC1" s="61">
        <v>27</v>
      </c>
      <c r="AD1" s="61">
        <v>28</v>
      </c>
      <c r="AE1" s="61">
        <v>29</v>
      </c>
      <c r="AF1" s="61">
        <v>30</v>
      </c>
      <c r="AG1" s="61">
        <v>31</v>
      </c>
      <c r="AH1" s="61">
        <v>32</v>
      </c>
      <c r="AI1" s="61">
        <v>33</v>
      </c>
      <c r="AJ1" s="61">
        <v>34</v>
      </c>
      <c r="AK1" s="61">
        <v>35</v>
      </c>
      <c r="AL1" s="61">
        <v>36</v>
      </c>
      <c r="AM1" s="61">
        <v>37</v>
      </c>
      <c r="AN1" s="61">
        <v>38</v>
      </c>
      <c r="AO1" s="61">
        <v>39</v>
      </c>
      <c r="AP1" s="61">
        <v>40</v>
      </c>
      <c r="AQ1" s="61">
        <v>41</v>
      </c>
      <c r="AR1" s="61">
        <v>42</v>
      </c>
      <c r="AS1" s="61">
        <v>43</v>
      </c>
      <c r="AT1" s="61">
        <v>44</v>
      </c>
      <c r="AU1" s="61">
        <v>45</v>
      </c>
      <c r="AV1" s="61">
        <v>46</v>
      </c>
      <c r="AW1" s="61">
        <v>47</v>
      </c>
      <c r="AX1" s="61">
        <v>48</v>
      </c>
      <c r="AY1" s="61">
        <v>49</v>
      </c>
      <c r="AZ1" s="61">
        <v>50</v>
      </c>
      <c r="BA1" s="61">
        <v>51</v>
      </c>
      <c r="BB1" s="61">
        <v>52</v>
      </c>
      <c r="BC1" s="61">
        <v>53</v>
      </c>
      <c r="BD1" s="61">
        <v>54</v>
      </c>
      <c r="BE1" s="61">
        <v>55</v>
      </c>
      <c r="BF1" s="61">
        <v>56</v>
      </c>
      <c r="BG1" s="61">
        <v>57</v>
      </c>
      <c r="BH1" s="61">
        <v>58</v>
      </c>
      <c r="BI1" s="61">
        <v>59</v>
      </c>
      <c r="BJ1" s="61">
        <v>60</v>
      </c>
      <c r="BK1" s="61">
        <v>61</v>
      </c>
      <c r="BL1" s="61">
        <v>62</v>
      </c>
      <c r="BM1" s="61">
        <v>63</v>
      </c>
      <c r="BN1" s="61">
        <v>64</v>
      </c>
      <c r="BO1" s="61">
        <v>65</v>
      </c>
      <c r="BP1" s="61">
        <v>66</v>
      </c>
      <c r="BQ1" s="61">
        <v>67</v>
      </c>
      <c r="BR1" s="61">
        <v>68</v>
      </c>
      <c r="BS1" s="61">
        <v>69</v>
      </c>
      <c r="BT1" s="61">
        <v>70</v>
      </c>
      <c r="BU1" s="61">
        <v>71</v>
      </c>
      <c r="BV1" s="61">
        <v>72</v>
      </c>
      <c r="BW1" s="61">
        <v>73</v>
      </c>
      <c r="BX1" s="61">
        <v>74</v>
      </c>
      <c r="BY1" s="61">
        <v>75</v>
      </c>
      <c r="BZ1" s="61">
        <v>76</v>
      </c>
      <c r="CA1" s="61">
        <v>77</v>
      </c>
      <c r="CB1" s="61">
        <v>78</v>
      </c>
      <c r="CC1" s="61">
        <v>79</v>
      </c>
      <c r="CD1" s="61">
        <v>80</v>
      </c>
      <c r="CE1" s="61">
        <v>81</v>
      </c>
      <c r="CF1" s="61">
        <v>82</v>
      </c>
      <c r="CG1" s="61">
        <v>83</v>
      </c>
      <c r="CH1" s="61">
        <v>84</v>
      </c>
      <c r="CI1" s="61">
        <v>85</v>
      </c>
      <c r="CJ1" s="61">
        <v>86</v>
      </c>
      <c r="CK1" s="61">
        <v>87</v>
      </c>
      <c r="CL1" s="61">
        <v>88</v>
      </c>
      <c r="CM1" s="61">
        <v>89</v>
      </c>
      <c r="CN1" s="61">
        <v>90</v>
      </c>
      <c r="CO1" s="61">
        <v>91</v>
      </c>
      <c r="CP1" s="61">
        <v>92</v>
      </c>
      <c r="CQ1" s="61">
        <v>93</v>
      </c>
      <c r="CR1" s="61">
        <v>94</v>
      </c>
      <c r="CS1" s="61">
        <v>95</v>
      </c>
      <c r="CT1" s="61">
        <v>96</v>
      </c>
      <c r="CU1" s="61">
        <v>97</v>
      </c>
      <c r="CV1" s="61">
        <v>98</v>
      </c>
      <c r="CW1" s="61">
        <v>99</v>
      </c>
      <c r="CX1" s="61">
        <v>100</v>
      </c>
      <c r="CY1" s="61">
        <v>101</v>
      </c>
      <c r="CZ1" s="61">
        <v>102</v>
      </c>
      <c r="DA1" s="61">
        <v>103</v>
      </c>
      <c r="DB1" s="61">
        <v>104</v>
      </c>
      <c r="DC1" s="61">
        <v>105</v>
      </c>
      <c r="DD1" s="61">
        <v>106</v>
      </c>
      <c r="DE1" s="61">
        <v>107</v>
      </c>
      <c r="DF1" s="61">
        <v>108</v>
      </c>
      <c r="DG1" s="61">
        <v>109</v>
      </c>
      <c r="DH1" s="61">
        <v>110</v>
      </c>
      <c r="DI1" s="61">
        <v>111</v>
      </c>
      <c r="DJ1" s="61">
        <v>112</v>
      </c>
      <c r="DK1" s="61">
        <v>113</v>
      </c>
      <c r="DL1" s="61">
        <v>114</v>
      </c>
      <c r="DM1" s="61">
        <v>115</v>
      </c>
      <c r="DN1" s="61">
        <v>116</v>
      </c>
      <c r="DO1" s="61">
        <v>117</v>
      </c>
      <c r="DP1" s="61">
        <v>118</v>
      </c>
      <c r="DQ1" s="61">
        <v>119</v>
      </c>
      <c r="DR1" s="61">
        <v>120</v>
      </c>
      <c r="DS1" s="61">
        <v>121</v>
      </c>
      <c r="DT1" s="61">
        <v>122</v>
      </c>
      <c r="DU1" s="61">
        <v>123</v>
      </c>
      <c r="DV1" s="61">
        <v>124</v>
      </c>
      <c r="DW1" s="61">
        <v>125</v>
      </c>
      <c r="DX1" s="61">
        <v>126</v>
      </c>
      <c r="DY1" s="61">
        <v>127</v>
      </c>
      <c r="DZ1" s="61">
        <v>128</v>
      </c>
      <c r="EA1" s="61">
        <v>129</v>
      </c>
      <c r="EB1" s="61">
        <v>130</v>
      </c>
      <c r="EC1" s="61">
        <v>131</v>
      </c>
      <c r="ED1" s="61">
        <v>132</v>
      </c>
      <c r="EE1" s="61">
        <v>133</v>
      </c>
      <c r="EF1" s="61">
        <v>134</v>
      </c>
      <c r="EG1" s="61">
        <v>135</v>
      </c>
      <c r="EH1" s="61">
        <v>136</v>
      </c>
    </row>
    <row r="2" spans="1:138">
      <c r="A2" s="64" t="s">
        <v>456</v>
      </c>
      <c r="B2" s="64" t="s">
        <v>457</v>
      </c>
      <c r="C2" s="64"/>
      <c r="D2" s="64">
        <v>241.6</v>
      </c>
      <c r="G2" s="60" t="s">
        <v>387</v>
      </c>
    </row>
    <row r="3" spans="1:138">
      <c r="A3" s="114" t="s">
        <v>62</v>
      </c>
      <c r="B3" s="64" t="s">
        <v>63</v>
      </c>
      <c r="C3" s="64"/>
      <c r="D3" s="64"/>
      <c r="E3" s="64"/>
    </row>
    <row r="4" spans="1:138" ht="30">
      <c r="A4" s="64">
        <v>63.55</v>
      </c>
      <c r="B4" s="64">
        <v>63.012999999999998</v>
      </c>
      <c r="D4" s="64"/>
      <c r="E4" s="64"/>
      <c r="G4" s="59" t="s">
        <v>388</v>
      </c>
      <c r="H4" s="59">
        <v>43831</v>
      </c>
      <c r="I4" s="59">
        <v>43862</v>
      </c>
      <c r="J4" s="59">
        <v>43891</v>
      </c>
      <c r="K4" s="59">
        <v>43922</v>
      </c>
      <c r="L4" s="59">
        <v>43952</v>
      </c>
      <c r="M4" s="59">
        <v>43983</v>
      </c>
      <c r="N4" s="59">
        <v>44013</v>
      </c>
      <c r="O4" s="59">
        <v>44044</v>
      </c>
      <c r="P4" s="59">
        <v>44075</v>
      </c>
      <c r="Q4" s="59">
        <v>44105</v>
      </c>
      <c r="R4" s="59">
        <v>44136</v>
      </c>
      <c r="S4" s="59">
        <v>44166</v>
      </c>
      <c r="T4" s="59">
        <v>44197</v>
      </c>
      <c r="U4" s="59">
        <v>44228</v>
      </c>
      <c r="V4" s="59">
        <v>44256</v>
      </c>
      <c r="W4" s="59">
        <v>44287</v>
      </c>
      <c r="X4" s="59">
        <v>44317</v>
      </c>
      <c r="Y4" s="59">
        <v>44348</v>
      </c>
      <c r="Z4" s="59">
        <v>44378</v>
      </c>
      <c r="AA4" s="59">
        <v>44409</v>
      </c>
      <c r="AB4" s="59">
        <v>44440</v>
      </c>
      <c r="AC4" s="59">
        <v>44470</v>
      </c>
      <c r="AD4" s="59">
        <v>44501</v>
      </c>
      <c r="AE4" s="59">
        <v>44531</v>
      </c>
      <c r="AF4" s="59">
        <v>44562</v>
      </c>
      <c r="AG4" s="59">
        <v>44593</v>
      </c>
      <c r="AH4" s="59">
        <v>44621</v>
      </c>
      <c r="AI4" s="59">
        <v>44652</v>
      </c>
      <c r="AJ4" s="59">
        <v>44682</v>
      </c>
      <c r="AK4" s="59">
        <v>44713</v>
      </c>
      <c r="AL4" s="59">
        <v>44743</v>
      </c>
      <c r="AM4" s="59">
        <v>44774</v>
      </c>
      <c r="AN4" s="59">
        <v>44805</v>
      </c>
      <c r="AO4" s="59">
        <v>44835</v>
      </c>
      <c r="AP4" s="59">
        <v>44866</v>
      </c>
      <c r="AQ4" s="59">
        <v>44896</v>
      </c>
      <c r="AR4" s="59">
        <v>44927</v>
      </c>
      <c r="AS4" s="59">
        <v>44958</v>
      </c>
      <c r="AT4" s="59">
        <v>44986</v>
      </c>
      <c r="AU4" s="59">
        <v>45017</v>
      </c>
      <c r="AV4" s="59">
        <v>45047</v>
      </c>
      <c r="AW4" s="59">
        <v>45078</v>
      </c>
      <c r="AX4" s="59" t="s">
        <v>450</v>
      </c>
      <c r="AY4" s="59" t="s">
        <v>451</v>
      </c>
      <c r="AZ4" s="59" t="s">
        <v>452</v>
      </c>
      <c r="BA4" s="59" t="s">
        <v>453</v>
      </c>
      <c r="BB4" s="59">
        <v>37104</v>
      </c>
      <c r="BC4" s="59">
        <v>37469</v>
      </c>
      <c r="BD4" s="34" t="s">
        <v>168</v>
      </c>
      <c r="BE4" s="34" t="s">
        <v>169</v>
      </c>
      <c r="BF4" s="59" t="s">
        <v>393</v>
      </c>
      <c r="BG4" s="59" t="s">
        <v>458</v>
      </c>
      <c r="BH4" s="59" t="s">
        <v>459</v>
      </c>
      <c r="BI4" s="59" t="s">
        <v>460</v>
      </c>
      <c r="BJ4" s="59" t="s">
        <v>461</v>
      </c>
      <c r="BK4" s="59" t="s">
        <v>462</v>
      </c>
      <c r="BL4" s="59" t="s">
        <v>463</v>
      </c>
      <c r="BM4" s="59" t="s">
        <v>464</v>
      </c>
      <c r="BN4" s="59">
        <v>37196</v>
      </c>
      <c r="BO4" s="59">
        <v>37561</v>
      </c>
      <c r="BP4" s="59">
        <v>37926</v>
      </c>
      <c r="BQ4" s="59">
        <v>38292</v>
      </c>
      <c r="BR4" s="59">
        <v>37226</v>
      </c>
      <c r="BS4" s="59">
        <v>37591</v>
      </c>
      <c r="BT4" s="59">
        <v>37956</v>
      </c>
      <c r="BU4" s="59">
        <v>38322</v>
      </c>
      <c r="BV4" s="59">
        <v>36892</v>
      </c>
      <c r="BW4" s="59">
        <v>37257</v>
      </c>
      <c r="BX4" s="59">
        <v>37622</v>
      </c>
      <c r="BY4" s="59">
        <v>37987</v>
      </c>
      <c r="BZ4" s="59">
        <v>36923</v>
      </c>
      <c r="CA4" s="59">
        <v>37288</v>
      </c>
      <c r="CB4" s="59">
        <v>37653</v>
      </c>
      <c r="CC4" s="59">
        <v>38018</v>
      </c>
      <c r="CD4" s="59" t="str">
        <f>Sheet8!A15</f>
        <v>Mar-w1</v>
      </c>
      <c r="CE4" s="59" t="s">
        <v>285</v>
      </c>
      <c r="CF4" s="59" t="s">
        <v>286</v>
      </c>
      <c r="CG4" s="59" t="s">
        <v>287</v>
      </c>
      <c r="CH4" s="59" t="str">
        <f>Sheet8!E15</f>
        <v>Apr-w1</v>
      </c>
      <c r="CI4" s="59" t="str">
        <f>Sheet8!F15</f>
        <v>Apr-w2</v>
      </c>
      <c r="CJ4" s="59" t="str">
        <f>Sheet8!G15</f>
        <v>Apr-w3</v>
      </c>
      <c r="CK4" s="59" t="str">
        <f>Sheet8!H15</f>
        <v>Apr-w4</v>
      </c>
      <c r="CL4" s="59" t="str">
        <f>Sheet8!I15</f>
        <v>May-w1</v>
      </c>
      <c r="CM4" s="59" t="str">
        <f>Sheet8!J15</f>
        <v>May-w2</v>
      </c>
      <c r="CN4" s="59" t="str">
        <f>Sheet8!K15</f>
        <v>May-w3</v>
      </c>
      <c r="CO4" s="59" t="str">
        <f>Sheet8!L15</f>
        <v>May-w4</v>
      </c>
      <c r="CP4" s="59" t="str">
        <f>Sheet8!M15</f>
        <v>May-w5</v>
      </c>
      <c r="CQ4" s="59" t="str">
        <f>Sheet8!N15</f>
        <v>june-w1</v>
      </c>
      <c r="CR4" s="59" t="str">
        <f>Sheet8!O15</f>
        <v>june-w2</v>
      </c>
      <c r="CS4" s="59" t="str">
        <f>Sheet8!P15</f>
        <v>june-w3</v>
      </c>
      <c r="CT4" s="59" t="str">
        <f>Sheet8!Q15</f>
        <v>june-w4</v>
      </c>
      <c r="CU4" s="59" t="str">
        <f>Sheet8!R15</f>
        <v>Jul-w1</v>
      </c>
      <c r="CV4" s="59" t="str">
        <f>Sheet8!S15</f>
        <v>Jul-w2</v>
      </c>
      <c r="CW4" s="59" t="str">
        <f>Sheet8!T15</f>
        <v>Jul-w3</v>
      </c>
      <c r="CX4" s="59" t="str">
        <f>Sheet8!U15</f>
        <v>Jul-w4</v>
      </c>
      <c r="CY4" s="59" t="str">
        <f>Sheet8!V15</f>
        <v>Aug-w1</v>
      </c>
      <c r="CZ4" s="59" t="str">
        <f>Sheet8!W15</f>
        <v>Aug-w2</v>
      </c>
      <c r="DA4" s="59" t="str">
        <f>Sheet8!X15</f>
        <v>Aug-w3</v>
      </c>
      <c r="DB4" s="59" t="str">
        <f>Sheet8!Y15</f>
        <v>Aug-w4</v>
      </c>
      <c r="DC4" s="59" t="str">
        <f>Sheet8!Z15</f>
        <v>Sep-w1</v>
      </c>
      <c r="DD4" s="59" t="str">
        <f>Sheet8!AA15</f>
        <v>Sep-w2</v>
      </c>
      <c r="DE4" s="59" t="str">
        <f>Sheet8!AB15</f>
        <v>Sep-w3</v>
      </c>
      <c r="DF4" s="59" t="str">
        <f>Sheet8!AC15</f>
        <v>Sep-w4</v>
      </c>
      <c r="DG4" s="59" t="str">
        <f>Sheet8!AD15</f>
        <v>Oct-w1</v>
      </c>
      <c r="DH4" s="59" t="str">
        <f>Sheet8!AE15</f>
        <v>Oct-w2</v>
      </c>
      <c r="DI4" s="59" t="str">
        <f>Sheet8!AF15</f>
        <v>Oct-w3</v>
      </c>
      <c r="DJ4" s="59" t="str">
        <f>Sheet8!AG15</f>
        <v>Oct-w4</v>
      </c>
      <c r="DK4" s="59" t="str">
        <f>Sheet8!AH15</f>
        <v>Nov-w1</v>
      </c>
      <c r="DL4" s="59" t="str">
        <f>Sheet8!AI15</f>
        <v>Nov-w2</v>
      </c>
      <c r="DM4" s="59" t="str">
        <f>Sheet8!AJ15</f>
        <v>Nov-w3</v>
      </c>
      <c r="DN4" s="59" t="str">
        <f>Sheet8!AK15</f>
        <v>Nov-w4</v>
      </c>
      <c r="DO4" s="59" t="str">
        <f>Sheet8!AL15</f>
        <v>Dec-w1</v>
      </c>
      <c r="DP4" s="59" t="str">
        <f>Sheet8!AM15</f>
        <v>Dec-w2</v>
      </c>
      <c r="DQ4" s="59" t="str">
        <f>Sheet8!AN15</f>
        <v>Dec-w3</v>
      </c>
      <c r="DR4" s="59" t="str">
        <f>Sheet8!AO15</f>
        <v>Dec-w4</v>
      </c>
      <c r="DS4" s="59">
        <f>Sheet8!AP15</f>
        <v>0</v>
      </c>
      <c r="DT4" s="59">
        <f>Sheet8!AQ15</f>
        <v>0</v>
      </c>
      <c r="DU4" s="59">
        <f>Sheet8!AR15</f>
        <v>0</v>
      </c>
    </row>
    <row r="5" spans="1:138">
      <c r="A5" s="74">
        <f>A4/D2</f>
        <v>0.26303807947019869</v>
      </c>
      <c r="B5" s="74">
        <f>B4/D2</f>
        <v>0.26081539735099335</v>
      </c>
      <c r="D5" s="64"/>
      <c r="E5" s="60" t="s">
        <v>465</v>
      </c>
      <c r="F5" s="60" t="s">
        <v>466</v>
      </c>
      <c r="G5" s="60" t="s">
        <v>62</v>
      </c>
      <c r="H5" s="70">
        <f>VLOOKUP($G$5&amp;$F$1,'Input RM sheet'!$A$4:$BD$168,H1,0)</f>
        <v>6031.21</v>
      </c>
      <c r="I5" s="70">
        <f>VLOOKUP($G$5&amp;$F$1,'Input RM sheet'!$A$4:$BD$168,I1,0)</f>
        <v>5687.75</v>
      </c>
      <c r="J5" s="70">
        <f>VLOOKUP($G$5&amp;$F$1,'Input RM sheet'!$A$4:$BD$168,J1,0)</f>
        <v>5182.63</v>
      </c>
      <c r="K5" s="70">
        <f>VLOOKUP($G$5&amp;$F$1,'Input RM sheet'!$A$4:$BD$168,K1,0)</f>
        <v>5057.97</v>
      </c>
      <c r="L5" s="70">
        <f>VLOOKUP($G$5&amp;$F$1,'Input RM sheet'!$A$4:$BD$168,L1,0)</f>
        <v>5239.83</v>
      </c>
      <c r="M5" s="70">
        <f>VLOOKUP($G$5&amp;$F$1,'Input RM sheet'!$A$4:$BD$168,M1,0)</f>
        <v>5754.6</v>
      </c>
      <c r="N5" s="70">
        <f>VLOOKUP($G$5&amp;$F$1,'Input RM sheet'!$A$4:$BD$168,N1,0)</f>
        <v>6372.46</v>
      </c>
      <c r="O5" s="70">
        <f>VLOOKUP($G$5&amp;$F$1,'Input RM sheet'!$A$4:$BD$168,O1,0)</f>
        <v>6498.94</v>
      </c>
      <c r="P5" s="70">
        <f>VLOOKUP($G$5&amp;$F$1,'Input RM sheet'!$A$4:$BD$168,P1,0)</f>
        <v>6704.9</v>
      </c>
      <c r="Q5" s="70">
        <f>VLOOKUP($G$5&amp;$F$1,'Input RM sheet'!$A$4:$BD$168,Q1,0)</f>
        <v>6713.81</v>
      </c>
      <c r="R5" s="70">
        <f>VLOOKUP($G$5&amp;$F$1,'Input RM sheet'!$A$4:$BD$168,R1,0)</f>
        <v>7068.91</v>
      </c>
      <c r="S5" s="70">
        <f>VLOOKUP($G$5&amp;$F$1,'Input RM sheet'!$A$4:$BD$168,S1,0)</f>
        <v>7772.24</v>
      </c>
      <c r="T5" s="70">
        <f>VLOOKUP($G$5&amp;$F$1,'Input RM sheet'!$A$4:$BD$168,T1,0)</f>
        <v>7972.15</v>
      </c>
      <c r="U5" s="70">
        <f>VLOOKUP($G$5&amp;$F$1,'Input RM sheet'!$A$4:$BD$168,U1,0)</f>
        <v>8470.94</v>
      </c>
      <c r="V5" s="70">
        <f>VLOOKUP($G$5&amp;$F$1,'Input RM sheet'!$A$4:$BD$168,V1,0)</f>
        <v>8988.25</v>
      </c>
      <c r="W5" s="70">
        <f>VLOOKUP($G$5&amp;$F$1,'Input RM sheet'!$A$4:$BD$168,W1,0)</f>
        <v>9324.82</v>
      </c>
      <c r="X5" s="70">
        <f>VLOOKUP($G$5&amp;$F$1,'Input RM sheet'!$A$4:$BD$168,X1,0)</f>
        <v>10161.969999999999</v>
      </c>
      <c r="Y5" s="70">
        <f>VLOOKUP($G$5&amp;$F$1,'Input RM sheet'!$A$4:$BD$168,Y1,0)</f>
        <v>9631.5</v>
      </c>
      <c r="Z5" s="70">
        <f>VLOOKUP($G$5&amp;$F$1,'Input RM sheet'!$A$4:$BD$168,Z1,0)</f>
        <v>9450.82</v>
      </c>
      <c r="AA5" s="70">
        <f>VLOOKUP($G$5&amp;$F$1,'Input RM sheet'!$A$4:$BD$168,AA1,0)</f>
        <v>9370.14</v>
      </c>
      <c r="AB5" s="70">
        <f>VLOOKUP($G$5&amp;$F$1,'Input RM sheet'!$A$4:$BD$168,AB1,0)</f>
        <v>9324.7099999999991</v>
      </c>
      <c r="AC5" s="70">
        <f>VLOOKUP($G$5&amp;$F$1,'Input RM sheet'!$A$4:$BD$168,AC1,0)</f>
        <v>9829.2199999999993</v>
      </c>
      <c r="AD5" s="70">
        <f>VLOOKUP($G$5&amp;$F$1,'Input RM sheet'!$A$4:$BD$168,AD1,0)</f>
        <v>9728.9</v>
      </c>
      <c r="AE5" s="70">
        <f>VLOOKUP($G$5&amp;$F$1,'Input RM sheet'!$A$4:$BD$168,AE1,0)</f>
        <v>9551.18</v>
      </c>
      <c r="AF5" s="70">
        <f>VLOOKUP($G$5&amp;$F$1,'Input RM sheet'!$A$4:$BD$168,AF1,0)</f>
        <v>9782.34</v>
      </c>
      <c r="AG5" s="70">
        <f>VLOOKUP($G$5&amp;$F$1,'Input RM sheet'!$A$4:$BD$168,AG1,0)</f>
        <v>9943.17</v>
      </c>
      <c r="AH5" s="70">
        <f>VLOOKUP($G$5&amp;$F$1,'Input RM sheet'!$A$4:$BD$168,AH1,0)</f>
        <v>10230.89</v>
      </c>
      <c r="AI5" s="70">
        <f>VLOOKUP($G$5&amp;$F$1,'Input RM sheet'!$A$4:$BD$168,AI1,0)</f>
        <v>10181</v>
      </c>
      <c r="AJ5" s="70">
        <f>VLOOKUP($G$5&amp;$F$1,'Input RM sheet'!$A$4:$BD$168,AJ1,0)</f>
        <v>9377.15</v>
      </c>
      <c r="AK5" s="70">
        <f>VLOOKUP($G$5&amp;$F$1,'Input RM sheet'!$A$4:$BD$168,AK1,0)</f>
        <v>9024.4599999999991</v>
      </c>
      <c r="AL5" s="70">
        <f>VLOOKUP($G$5&amp;$F$1,'Input RM sheet'!$A$4:$BD$168,AL1,0)</f>
        <v>7544.81</v>
      </c>
      <c r="AM5" s="70">
        <f>VLOOKUP($G$5&amp;$F$1,'Input RM sheet'!$A$4:$BD$168,AM1,0)</f>
        <v>7981.84</v>
      </c>
      <c r="AN5" s="70">
        <f>VLOOKUP($G$5&amp;$F$1,'Input RM sheet'!$A$4:$BD$168,AN1,0)</f>
        <v>7746.01</v>
      </c>
      <c r="AO5" s="70">
        <f>VLOOKUP($G$5&amp;$F$1,'Input RM sheet'!$A$4:$BD$168,AO1,0)</f>
        <v>7651.08</v>
      </c>
      <c r="AP5" s="70">
        <f>VLOOKUP($G$5&amp;$F$1,'Input RM sheet'!$A$4:$BD$168,AP1,0)</f>
        <v>8049.86</v>
      </c>
      <c r="AQ5" s="70">
        <f>VLOOKUP($G$5&amp;$F$1,'Input RM sheet'!$A$4:$BD$168,AQ1,0)</f>
        <v>8375.4</v>
      </c>
      <c r="AR5" s="70">
        <f>VLOOKUP($G$5&amp;$F$1,'Input RM sheet'!$A$4:$BD$168,AR1,0)</f>
        <v>8999</v>
      </c>
      <c r="AS5" s="70">
        <f>VLOOKUP($G$5&amp;$F$1,'Input RM sheet'!$A$4:$BD$168,AS1,0)</f>
        <v>8954</v>
      </c>
      <c r="AT5" s="70">
        <f>VLOOKUP($G$5&amp;$F$1,'Input RM sheet'!$A$4:$BD$168,AT1,0)</f>
        <v>8834</v>
      </c>
      <c r="AU5" s="70">
        <f>VLOOKUP($G$5&amp;$F$1,'Input RM sheet'!$A$4:$BD$168,AU1,0)</f>
        <v>8812</v>
      </c>
      <c r="AV5" s="70">
        <f>VLOOKUP($G$5&amp;$F$1,'Input RM sheet'!$A$4:$BD$168,AV1,0)</f>
        <v>8493.5</v>
      </c>
      <c r="AW5" s="70">
        <f>VLOOKUP($G$5&amp;$F$1,'Input RM sheet'!$A$4:$BD$168,AW1,0)</f>
        <v>8367</v>
      </c>
      <c r="AX5" s="70">
        <f>VLOOKUP($G$5&amp;$F$1,'Input RM sheet'!$A$4:$BD$168,AX1,0)</f>
        <v>8251</v>
      </c>
      <c r="AY5" s="70">
        <f>VLOOKUP($G$5&amp;$F$1,'Input RM sheet'!$A$4:$BD$168,AY1,0)</f>
        <v>8651</v>
      </c>
      <c r="AZ5" s="70">
        <f>VLOOKUP($G$5&amp;$F$1,'Input RM sheet'!$A$4:$BD$168,AZ1,0)</f>
        <v>8429</v>
      </c>
      <c r="BA5" s="70">
        <f>VLOOKUP($G$5&amp;$F$1,'Input RM sheet'!$A$4:$BD$168,BA1,0)</f>
        <v>8591</v>
      </c>
      <c r="BB5" s="70">
        <f>VLOOKUP($G$5&amp;$F$1,'Input RM sheet'!$A$4:$BD$168,BB1,0)</f>
        <v>8423</v>
      </c>
      <c r="BC5" s="70">
        <f>VLOOKUP($G$5&amp;$F$1,'Input RM sheet'!$A$4:$BD$168,BC1,0)</f>
        <v>8126</v>
      </c>
      <c r="BD5" s="70">
        <f>VLOOKUP($G$5&amp;$F$1,'Input RM sheet'!$A$4:$BD$168,BD1,0)</f>
        <v>8359</v>
      </c>
      <c r="BE5" s="70">
        <f>VLOOKUP($G$5&amp;$F$1,'Input RM sheet'!$A$4:$BD$168,BE1,0)</f>
        <v>8359</v>
      </c>
      <c r="BF5" s="70">
        <f>VLOOKUP($G$5&amp;$F$1,'Input RM sheet'!$A$4:$DD$168,BF1,0)</f>
        <v>8487</v>
      </c>
      <c r="BG5" s="70">
        <f>VLOOKUP($G$5&amp;$F$1,'Input RM sheet'!$A$4:$DD$168,BG1,0)</f>
        <v>8275</v>
      </c>
      <c r="BH5" s="70">
        <f>VLOOKUP($G$5&amp;$F$1,'Input RM sheet'!$A$4:$DD$168,BH1,0)</f>
        <v>8187</v>
      </c>
      <c r="BI5" s="70">
        <f>VLOOKUP($G$5&amp;$F$1,'Input RM sheet'!$A$4:$DD$168,BI1,0)</f>
        <v>8111</v>
      </c>
      <c r="BJ5" s="70">
        <f>VLOOKUP($G$5&amp;$F$1,'Input RM sheet'!$A$4:$DD$168,BJ1,0)</f>
        <v>8046</v>
      </c>
      <c r="BK5" s="70">
        <f>VLOOKUP($G$5&amp;$F$1,'Input RM sheet'!$A$4:$DD$168,BK1,0)</f>
        <v>7991</v>
      </c>
      <c r="BL5" s="70">
        <f>VLOOKUP($G$5&amp;$F$1,'Input RM sheet'!$A$4:$DD$168,BL1,0)</f>
        <v>8051.5</v>
      </c>
      <c r="BM5" s="70">
        <f>VLOOKUP($G$5&amp;$F$1,'Input RM sheet'!$A$4:$DD$168,BM1,0)</f>
        <v>8099</v>
      </c>
      <c r="BN5" s="70">
        <f>VLOOKUP($G$5&amp;$F$1,'Input RM sheet'!$A$4:$DD$168,BN1,0)</f>
        <v>8175.5</v>
      </c>
      <c r="BO5" s="70">
        <f>VLOOKUP($G$5&amp;$F$1,'Input RM sheet'!$A$4:$DD$168,BO1,0)</f>
        <v>8235</v>
      </c>
      <c r="BP5" s="70">
        <f>VLOOKUP($G$5&amp;$F$1,'Input RM sheet'!$A$4:$DD$168,BP1,0)</f>
        <v>8235</v>
      </c>
      <c r="BQ5" s="70">
        <f>VLOOKUP($G$5&amp;$F$1,'Input RM sheet'!$A$4:$DD$168,BQ1,0)</f>
        <v>8409.5</v>
      </c>
      <c r="BR5" s="70">
        <f>VLOOKUP($G$5&amp;$F$1,'Input RM sheet'!$A$4:$DD$168,BR1,0)</f>
        <v>8334</v>
      </c>
      <c r="BS5" s="70">
        <f>VLOOKUP($G$5&amp;$F$1,'Input RM sheet'!$A$4:$DD$168,BS1,0)</f>
        <v>8330</v>
      </c>
      <c r="BT5" s="70">
        <f>VLOOKUP($G$5&amp;$F$1,'Input RM sheet'!$A$4:$DD$168,BT1,0)</f>
        <v>8595.5</v>
      </c>
      <c r="BU5" s="70">
        <f>VLOOKUP($G$5&amp;$F$1,'Input RM sheet'!$A$4:$DD$168,BU1,0)</f>
        <v>8559</v>
      </c>
      <c r="BV5" s="70">
        <f>VLOOKUP($G$5&amp;$F$1,'Input RM sheet'!$A$4:$DD$168,BV1,0)</f>
        <v>8463</v>
      </c>
      <c r="BW5" s="70">
        <f>VLOOKUP($G$5&amp;$F$1,'Input RM sheet'!$A$4:$DD$168,BW1,0)</f>
        <v>8351</v>
      </c>
      <c r="BX5" s="70">
        <f>VLOOKUP($G$5&amp;$F$1,'Input RM sheet'!$A$4:$DD$168,BX1,0)</f>
        <v>8351</v>
      </c>
      <c r="BY5" s="70">
        <f>VLOOKUP($G$5&amp;$F$1,'Input RM sheet'!$A$4:$DD$168,BY1,0)</f>
        <v>8482</v>
      </c>
      <c r="BZ5" s="70">
        <f>VLOOKUP($G$5&amp;$F$1,'Input RM sheet'!$A$4:$DD$168,BZ1,0)</f>
        <v>8325</v>
      </c>
      <c r="CA5" s="70">
        <f>VLOOKUP($G$5&amp;$F$1,'Input RM sheet'!$A$4:$DD$168,CA1,0)</f>
        <v>8325</v>
      </c>
      <c r="CB5" s="70">
        <f>VLOOKUP($G$5&amp;$F$1,'Input RM sheet'!$A$4:$DD$168,CB1,0)</f>
        <v>8442</v>
      </c>
      <c r="CC5" s="70">
        <f>VLOOKUP($G$5&amp;$F$1,'Input RM sheet'!$A$4:$DD$168,CC1,0)</f>
        <v>8474</v>
      </c>
      <c r="CD5" s="70">
        <f>VLOOKUP($G$5&amp;$F$1,'Input RM sheet'!$A$4:$DD$168,CD1,0)</f>
        <v>8600</v>
      </c>
      <c r="CE5" s="70">
        <f>VLOOKUP($G$5&amp;$F$1,'Input RM sheet'!$A$4:$DD$168,CE1,0)</f>
        <v>8653</v>
      </c>
      <c r="CF5" s="70">
        <f>VLOOKUP($G$5&amp;$F$1,'Input RM sheet'!$A$4:$DD$168,CF1,0)</f>
        <v>8928</v>
      </c>
      <c r="CG5" s="70">
        <f>VLOOKUP($G$5&amp;$F$1,'Input RM sheet'!$A$4:$DD$168,CG1,0)</f>
        <v>8867</v>
      </c>
      <c r="CH5" s="70">
        <f>VLOOKUP($G$5&amp;$F$1,'Input RM sheet'!$A$4:$DD$168,CH1,0)</f>
        <v>9299</v>
      </c>
      <c r="CI5" s="70">
        <f>VLOOKUP($G$5&amp;$F$1,'Input RM sheet'!$A$4:$DD$168,CI1,0)</f>
        <v>9239</v>
      </c>
      <c r="CJ5" s="70">
        <f>VLOOKUP($G$5&amp;$F$1,'Input RM sheet'!$A$4:$DD$168,CJ1,0)</f>
        <v>9432</v>
      </c>
      <c r="CK5" s="70">
        <f>VLOOKUP($G$5&amp;$F$1,'Input RM sheet'!$A$4:$DD$168,CK1,0)</f>
        <v>9930</v>
      </c>
      <c r="CL5" s="70">
        <f>VLOOKUP($G$5&amp;$F$1,'Input RM sheet'!$A$4:$DD$168,CL1,0)</f>
        <v>9910</v>
      </c>
      <c r="CM5" s="70">
        <f>VLOOKUP($G$5&amp;$F$1,'Input RM sheet'!$A$4:$DD$168,CM1,0)</f>
        <v>10424</v>
      </c>
      <c r="CN5" s="70">
        <f>VLOOKUP($G$5&amp;$F$1,'Input RM sheet'!$A$4:$DD$168,CN1,0)</f>
        <v>10221</v>
      </c>
      <c r="CO5" s="70">
        <f>VLOOKUP($G$5&amp;$F$1,'Input RM sheet'!$A$4:$DD$168,CO1,0)</f>
        <v>10775</v>
      </c>
      <c r="CP5" s="70">
        <f>VLOOKUP($G$5&amp;$F$1,'Input RM sheet'!$A$4:$DD$168,CP1,0)</f>
        <v>10256</v>
      </c>
      <c r="CQ5" s="70">
        <f>VLOOKUP($G$5&amp;$F$1,'Input RM sheet'!$A$4:$ZZ$168,CQ1,0)</f>
        <v>9945</v>
      </c>
      <c r="CR5" s="70">
        <f>VLOOKUP($G$5&amp;$F$1,'Input RM sheet'!$A$4:$ZZ$168,CR1,0)</f>
        <v>9651</v>
      </c>
      <c r="CS5" s="70">
        <f>VLOOKUP($G$5&amp;$F$1,'Input RM sheet'!$A$4:$ZZ$168,CS1,0)</f>
        <v>9661</v>
      </c>
      <c r="CT5" s="70">
        <f>VLOOKUP($G$5&amp;$F$1,'Input RM sheet'!$A$4:$ZZ$168,CT1,0)</f>
        <v>9452</v>
      </c>
      <c r="CU5" s="70">
        <f>VLOOKUP($G$5&amp;$F$1,'Input RM sheet'!$A$4:$ZZ$168,CU1,0)</f>
        <v>9944</v>
      </c>
      <c r="CV5" s="70">
        <f>VLOOKUP($G$5&amp;$F$1,'Input RM sheet'!$A$4:$ZZ$168,CV1,0)</f>
        <v>9663</v>
      </c>
      <c r="CW5" s="70">
        <f>VLOOKUP($G$5&amp;$F$1,'Input RM sheet'!$A$4:$ZZ$168,CW1,0)</f>
        <v>9166</v>
      </c>
      <c r="CX5" s="70">
        <f>VLOOKUP($G$5&amp;$F$1,'Input RM sheet'!$A$4:$ZZ$168,CX1,0)</f>
        <v>9052</v>
      </c>
      <c r="CY5" s="70">
        <f>VLOOKUP($G$5&amp;$F$1,'Input RM sheet'!$A$4:$ZZ$168,CY1,0)</f>
        <v>8684</v>
      </c>
      <c r="CZ5" s="70">
        <f>VLOOKUP($G$5&amp;$F$1,'Input RM sheet'!$A$4:$ZZ$168,CZ1,0)</f>
        <v>8850</v>
      </c>
      <c r="DA5" s="70">
        <f>VLOOKUP($G$5&amp;$F$1,'Input RM sheet'!$A$4:$ZZ$168,DA1,0)</f>
        <v>8938</v>
      </c>
      <c r="DB5" s="70">
        <f>VLOOKUP($G$5&amp;$F$1,'Input RM sheet'!$A$4:$ZZ$168,DB1,0)</f>
        <v>9135</v>
      </c>
      <c r="DC5" s="70">
        <f>VLOOKUP($G$5&amp;$F$1,'Input RM sheet'!$A$4:$ZZ$168,DC1,0)</f>
        <v>9013</v>
      </c>
      <c r="DD5" s="70">
        <f>VLOOKUP($G$5&amp;$F$1,'Input RM sheet'!$A$4:$ZZ$168,DD1,0)</f>
        <v>9007</v>
      </c>
      <c r="DE5" s="70">
        <f>VLOOKUP($G$5&amp;$F$1,'Input RM sheet'!$A$4:$ZZ$168,DE1,0)</f>
        <v>9289</v>
      </c>
      <c r="DF5" s="70">
        <f>VLOOKUP($G$5&amp;$F$1,'Input RM sheet'!$A$4:$ZZ$168,DF1,0)</f>
        <v>9882</v>
      </c>
      <c r="DG5" s="70">
        <f>VLOOKUP($G$5&amp;$F$1,'Input RM sheet'!$A$4:$ZZ$168,DG1,0)</f>
        <v>9618</v>
      </c>
      <c r="DH5" s="70">
        <f>VLOOKUP($G$5&amp;$F$1,'Input RM sheet'!$A$4:$ZZ$168,DH1,0)</f>
        <v>9515</v>
      </c>
      <c r="DI5" s="70">
        <f>VLOOKUP($G$5&amp;$F$1,'Input RM sheet'!$A$4:$ZZ$168,DI1,0)</f>
        <v>9413</v>
      </c>
      <c r="DJ5" s="70">
        <f>VLOOKUP($G$5&amp;$F$1,'Input RM sheet'!$A$4:$ZZ$168,DJ1,0)</f>
        <v>9400</v>
      </c>
      <c r="DK5" s="70">
        <f>VLOOKUP($G$5&amp;$F$1,'Input RM sheet'!$A$4:$ZZ$168,DK1,0)</f>
        <v>9504</v>
      </c>
      <c r="DL5" s="70">
        <f>VLOOKUP($G$5&amp;$F$1,'Input RM sheet'!$A$4:$ZZ$168,DL1,0)</f>
        <v>9251</v>
      </c>
      <c r="DM5" s="70">
        <f>VLOOKUP($G$5&amp;$F$1,'Input RM sheet'!$A$4:$ZZ$168,DM1,0)</f>
        <v>8828</v>
      </c>
      <c r="DN5" s="70">
        <f>VLOOKUP($G$5&amp;$F$1,'Input RM sheet'!$A$4:$ZZ$168,DN1,0)</f>
        <v>8878</v>
      </c>
      <c r="DO5" s="70">
        <f>VLOOKUP($G$5&amp;$F$1,'Input RM sheet'!$A$4:$ZZ$168,DO1,0)</f>
        <v>8940</v>
      </c>
      <c r="DP5" s="70">
        <f>VLOOKUP($G$5&amp;$F$1,'Input RM sheet'!$A$4:$ZZ$168,DP1,0)</f>
        <v>9038</v>
      </c>
      <c r="DQ5" s="70">
        <f>VLOOKUP($G$5&amp;$F$1,'Input RM sheet'!$A$4:$ZZ$168,DQ1,0)</f>
        <v>8989</v>
      </c>
      <c r="DR5" s="70">
        <f>VLOOKUP($G$5&amp;$F$1,'Input RM sheet'!$A$4:$ZZ$168,DR1,0)</f>
        <v>8912</v>
      </c>
      <c r="DS5" s="70">
        <f>VLOOKUP($G$5&amp;$F$1,'Input RM sheet'!$A$4:$ZZ$168,DS1,0)</f>
        <v>0</v>
      </c>
      <c r="DT5" s="70">
        <f>VLOOKUP($G$5&amp;$F$1,'Input RM sheet'!$A$4:$ZZ$168,DT1,0)</f>
        <v>0</v>
      </c>
      <c r="DU5" s="70">
        <f>VLOOKUP($G$5&amp;$F$1,'Input RM sheet'!$A$4:$ZZ$168,DU1,0)</f>
        <v>0</v>
      </c>
    </row>
    <row r="6" spans="1:138">
      <c r="A6" s="74" t="s">
        <v>467</v>
      </c>
      <c r="B6" s="74"/>
      <c r="D6" s="64"/>
      <c r="E6" s="60" t="s">
        <v>468</v>
      </c>
      <c r="F6" s="60" t="s">
        <v>469</v>
      </c>
      <c r="G6" s="114" t="s">
        <v>63</v>
      </c>
      <c r="H6" s="74">
        <f>VLOOKUP($G$6&amp;$F$1,'Input RM sheet'!$A$4:$BD$168,H1,0)</f>
        <v>0.21</v>
      </c>
      <c r="I6" s="74">
        <f>VLOOKUP($G$6&amp;$F$1,'Input RM sheet'!$A$4:$BD$168,I1,0)</f>
        <v>0.21</v>
      </c>
      <c r="J6" s="74">
        <f>VLOOKUP($G$6&amp;$F$1,'Input RM sheet'!$A$4:$BD$168,J1,0)</f>
        <v>0.21</v>
      </c>
      <c r="K6" s="74">
        <f>VLOOKUP($G$6&amp;$F$1,'Input RM sheet'!$A$4:$BD$168,K1,0)</f>
        <v>0.2</v>
      </c>
      <c r="L6" s="74">
        <f>VLOOKUP($G$6&amp;$F$1,'Input RM sheet'!$A$4:$BD$168,L1,0)</f>
        <v>0.19</v>
      </c>
      <c r="M6" s="74">
        <f>VLOOKUP($G$6&amp;$F$1,'Input RM sheet'!$A$4:$BD$168,M1,0)</f>
        <v>0.2</v>
      </c>
      <c r="N6" s="74">
        <f>VLOOKUP($G$6&amp;$F$1,'Input RM sheet'!$A$4:$BD$168,N1,0)</f>
        <v>0.2</v>
      </c>
      <c r="O6" s="74">
        <f>VLOOKUP($G$6&amp;$F$1,'Input RM sheet'!$A$4:$BD$168,O1,0)</f>
        <v>0.2</v>
      </c>
      <c r="P6" s="74">
        <f>VLOOKUP($G$6&amp;$F$1,'Input RM sheet'!$A$4:$BD$168,P1,0)</f>
        <v>0.21</v>
      </c>
      <c r="Q6" s="74">
        <f>VLOOKUP($G$6&amp;$F$1,'Input RM sheet'!$A$4:$BD$168,Q1,0)</f>
        <v>0.22</v>
      </c>
      <c r="R6" s="74">
        <f>VLOOKUP($G$6&amp;$F$1,'Input RM sheet'!$A$4:$BD$168,R1,0)</f>
        <v>0.24</v>
      </c>
      <c r="S6" s="74">
        <f>VLOOKUP($G$6&amp;$F$1,'Input RM sheet'!$A$4:$BD$168,S1,0)</f>
        <v>0.28000000000000003</v>
      </c>
      <c r="T6" s="74">
        <f>VLOOKUP($G$6&amp;$F$1,'Input RM sheet'!$A$4:$BD$168,T1,0)</f>
        <v>0.28000000000000003</v>
      </c>
      <c r="U6" s="74">
        <f>VLOOKUP($G$6&amp;$F$1,'Input RM sheet'!$A$4:$BD$168,U1,0)</f>
        <v>0.28000000000000003</v>
      </c>
      <c r="V6" s="74">
        <f>VLOOKUP($G$6&amp;$F$1,'Input RM sheet'!$A$4:$BD$168,V1,0)</f>
        <v>0.28000000000000003</v>
      </c>
      <c r="W6" s="74">
        <f>VLOOKUP($G$6&amp;$F$1,'Input RM sheet'!$A$4:$BD$168,W1,0)</f>
        <v>0.3</v>
      </c>
      <c r="X6" s="74">
        <f>VLOOKUP($G$6&amp;$F$1,'Input RM sheet'!$A$4:$BD$168,X1,0)</f>
        <v>0.31</v>
      </c>
      <c r="Y6" s="74">
        <f>VLOOKUP($G$6&amp;$F$1,'Input RM sheet'!$A$4:$BD$168,Y1,0)</f>
        <v>0.32</v>
      </c>
      <c r="Z6" s="74">
        <f>VLOOKUP($G$6&amp;$F$1,'Input RM sheet'!$A$4:$BD$168,Z1,0)</f>
        <v>0.36</v>
      </c>
      <c r="AA6" s="74">
        <f>VLOOKUP($G$6&amp;$F$1,'Input RM sheet'!$A$4:$BD$168,AA1,0)</f>
        <v>0.4</v>
      </c>
      <c r="AB6" s="74">
        <f>VLOOKUP($G$6&amp;$F$1,'Input RM sheet'!$A$4:$BD$168,AB1,0)</f>
        <v>0.44</v>
      </c>
      <c r="AC6" s="74">
        <f>VLOOKUP($G$6&amp;$F$1,'Input RM sheet'!$A$4:$BD$168,AC1,0)</f>
        <v>0.45</v>
      </c>
      <c r="AD6" s="74">
        <f>VLOOKUP($G$6&amp;$F$1,'Input RM sheet'!$A$4:$BD$168,AD1,0)</f>
        <v>0.41</v>
      </c>
      <c r="AE6" s="74">
        <f>VLOOKUP($G$6&amp;$F$1,'Input RM sheet'!$A$4:$BD$168,AE1,0)</f>
        <v>0.32</v>
      </c>
      <c r="AF6" s="74">
        <f>VLOOKUP($G$6&amp;$F$1,'Input RM sheet'!$A$4:$BD$168,AF1,0)</f>
        <v>0.31</v>
      </c>
      <c r="AG6" s="74">
        <f>VLOOKUP($G$6&amp;$F$1,'Input RM sheet'!$A$4:$BD$168,AG1,0)</f>
        <v>0.4</v>
      </c>
      <c r="AH6" s="74">
        <f>VLOOKUP($G$6&amp;$F$1,'Input RM sheet'!$A$4:$BD$168,AH1,0)</f>
        <v>0.31</v>
      </c>
      <c r="AI6" s="74">
        <f>VLOOKUP($G$6&amp;$F$1,'Input RM sheet'!$A$4:$BD$168,AI1,0)</f>
        <v>0.33</v>
      </c>
      <c r="AJ6" s="74">
        <f>VLOOKUP($G$6&amp;$F$1,'Input RM sheet'!$A$4:$BD$168,AJ1,0)</f>
        <v>0.36</v>
      </c>
      <c r="AK6" s="74">
        <f>VLOOKUP($G$6&amp;$F$1,'Input RM sheet'!$A$4:$BD$168,AK1,0)</f>
        <v>0.38</v>
      </c>
      <c r="AL6" s="74">
        <f>VLOOKUP($G$6&amp;$F$1,'Input RM sheet'!$A$4:$BD$168,AL1,0)</f>
        <v>0.39</v>
      </c>
      <c r="AM6" s="74">
        <f>VLOOKUP($G$6&amp;$F$1,'Input RM sheet'!$A$4:$BD$168,AM1,0)</f>
        <v>0.34</v>
      </c>
      <c r="AN6" s="74">
        <f>VLOOKUP($G$6&amp;$F$1,'Input RM sheet'!$A$4:$BD$168,AN1,0)</f>
        <v>0.3</v>
      </c>
      <c r="AO6" s="74">
        <f>VLOOKUP($G$6&amp;$F$1,'Input RM sheet'!$A$4:$BD$168,AO1,0)</f>
        <v>0.3</v>
      </c>
      <c r="AP6" s="74">
        <f>VLOOKUP($G$6&amp;$F$1,'Input RM sheet'!$A$4:$BD$168,AP1,0)</f>
        <v>0.33</v>
      </c>
      <c r="AQ6" s="74">
        <f>VLOOKUP($G$6&amp;$F$1,'Input RM sheet'!$A$4:$BD$168,AQ1,0)</f>
        <v>0.35</v>
      </c>
      <c r="AR6" s="74">
        <f>VLOOKUP($G$6&amp;$F$1,'Input RM sheet'!$A$4:$BD$168,AR1,0)</f>
        <v>0.34</v>
      </c>
      <c r="AS6" s="74">
        <f>VLOOKUP($G$6&amp;$F$1,'Input RM sheet'!$A$4:$BD$168,AS1,0)</f>
        <v>0.32</v>
      </c>
      <c r="AT6" s="74">
        <f>VLOOKUP($G$6&amp;$F$1,'Input RM sheet'!$A$4:$BD$168,AT1,0)</f>
        <v>0.34</v>
      </c>
      <c r="AU6" s="74">
        <f>VLOOKUP($G$6&amp;$F$1,'Input RM sheet'!$A$4:$BD$168,AU1,0)</f>
        <v>0.32</v>
      </c>
      <c r="AV6" s="74">
        <f>VLOOKUP($G$6&amp;$F$1,'Input RM sheet'!$A$4:$BD$168,AV1,0)</f>
        <v>0.3</v>
      </c>
      <c r="AW6" s="74">
        <f>VLOOKUP($G$6&amp;$F$1,'Input RM sheet'!$A$4:$BD$168,AW1,0)</f>
        <v>0.26</v>
      </c>
      <c r="AX6" s="74">
        <f>VLOOKUP($G$6&amp;$F$1,'Input RM sheet'!$A$4:$BD$168,AX1,0)</f>
        <v>0.25</v>
      </c>
      <c r="AY6" s="74">
        <f>VLOOKUP($G$6&amp;$F$1,'Input RM sheet'!$A$4:$BD$168,AY1,0)</f>
        <v>0.25</v>
      </c>
      <c r="AZ6" s="74">
        <f>VLOOKUP($G$6&amp;$F$1,'Input RM sheet'!$A$4:$BD$168,AZ1,0)</f>
        <v>0.25</v>
      </c>
      <c r="BA6" s="74">
        <f>VLOOKUP($G$6&amp;$F$1,'Input RM sheet'!$A$4:$BD$168,BA1,0)</f>
        <v>0.25</v>
      </c>
      <c r="BB6" s="74">
        <f>VLOOKUP($G$6&amp;$F$1,'Input RM sheet'!$A$4:$BD$168,BB1,0)</f>
        <v>0.25</v>
      </c>
      <c r="BC6" s="74">
        <f>VLOOKUP($G$6&amp;$F$1,'Input RM sheet'!$A$4:$BD$168,BC1,0)</f>
        <v>0.25</v>
      </c>
      <c r="BD6" s="74">
        <f>VLOOKUP($G$6&amp;$F$1,'Input RM sheet'!$A$4:$BD$168,BD1,0)</f>
        <v>0.25</v>
      </c>
      <c r="BE6" s="74">
        <f>VLOOKUP($G$6&amp;$F$1,'Input RM sheet'!$A$4:$BD$168,BE1,0)</f>
        <v>0.25</v>
      </c>
      <c r="BF6" s="74">
        <f>VLOOKUP($G$6&amp;$F$1,'Input RM sheet'!$A$4:$DD$168,BF1,0)</f>
        <v>0.25</v>
      </c>
      <c r="BG6" s="74">
        <f>VLOOKUP($G$6&amp;$F$1,'Input RM sheet'!$A$4:$DD$168,BG1,0)</f>
        <v>0.25</v>
      </c>
      <c r="BH6" s="74">
        <f>VLOOKUP($G$6&amp;$F$1,'Input RM sheet'!$A$4:$DD$168,BH1,0)</f>
        <v>0.25</v>
      </c>
      <c r="BI6" s="74">
        <f>VLOOKUP($G$6&amp;$F$1,'Input RM sheet'!$A$4:$DD$168,BI1,0)</f>
        <v>0.25</v>
      </c>
      <c r="BJ6" s="74">
        <f>VLOOKUP($G$6&amp;$F$1,'Input RM sheet'!$A$4:$DD$168,BJ1,0)</f>
        <v>0.25</v>
      </c>
      <c r="BK6" s="74">
        <f>VLOOKUP($G$6&amp;$F$1,'Input RM sheet'!$A$4:$DD$168,BK1,0)</f>
        <v>0.28999999999999998</v>
      </c>
      <c r="BL6" s="74">
        <f>VLOOKUP($G$6&amp;$F$1,'Input RM sheet'!$A$4:$DD$168,BL1,0)</f>
        <v>0.28999999999999998</v>
      </c>
      <c r="BM6" s="74">
        <f>VLOOKUP($G$6&amp;$F$1,'Input RM sheet'!$A$4:$DD$168,BM1,0)</f>
        <v>0.28999999999999998</v>
      </c>
      <c r="BN6" s="74">
        <f>VLOOKUP($G$6&amp;$F$1,'Input RM sheet'!$A$4:$DD$168,BN1,0)</f>
        <v>0.28999999999999998</v>
      </c>
      <c r="BO6" s="74">
        <f>VLOOKUP($G$6&amp;$F$1,'Input RM sheet'!$A$4:$DD$168,BO1,0)</f>
        <v>0.28999999999999998</v>
      </c>
      <c r="BP6" s="74">
        <f>VLOOKUP($G$6&amp;$F$1,'Input RM sheet'!$A$4:$DD$168,BP1,0)</f>
        <v>0.28999999999999998</v>
      </c>
      <c r="BQ6" s="74">
        <f>VLOOKUP($G$6&amp;$F$1,'Input RM sheet'!$A$4:$DD$168,BQ1,0)</f>
        <v>0.28999999999999998</v>
      </c>
      <c r="BR6" s="74">
        <f>VLOOKUP($G$6&amp;$F$1,'Input RM sheet'!$A$4:$DD$168,BR1,0)</f>
        <v>0.28999999999999998</v>
      </c>
      <c r="BS6" s="74">
        <f>VLOOKUP($G$6&amp;$F$1,'Input RM sheet'!$A$4:$DD$168,BS1,0)</f>
        <v>0.28999999999999998</v>
      </c>
      <c r="BT6" s="74">
        <f>VLOOKUP($G$6&amp;$F$1,'Input RM sheet'!$A$4:$DD$168,BT1,0)</f>
        <v>0.28999999999999998</v>
      </c>
      <c r="BU6" s="74">
        <f>VLOOKUP($G$6&amp;$F$1,'Input RM sheet'!$A$4:$DD$168,BU1,0)</f>
        <v>0.28999999999999998</v>
      </c>
      <c r="BV6" s="74">
        <f>VLOOKUP($G$6&amp;$F$1,'Input RM sheet'!$A$4:$DD$168,BV1,0)</f>
        <v>0.3</v>
      </c>
      <c r="BW6" s="74">
        <f>VLOOKUP($G$6&amp;$F$1,'Input RM sheet'!$A$4:$DD$168,BW1,0)</f>
        <v>0.3</v>
      </c>
      <c r="BX6" s="74">
        <f>VLOOKUP($G$6&amp;$F$1,'Input RM sheet'!$A$4:$DD$168,BX1,0)</f>
        <v>0.3</v>
      </c>
      <c r="BY6" s="74">
        <f>VLOOKUP($G$6&amp;$F$1,'Input RM sheet'!$A$4:$DD$168,BY1,0)</f>
        <v>0.3</v>
      </c>
      <c r="BZ6" s="74">
        <f>VLOOKUP($G$6&amp;$F$1,'Input RM sheet'!$A$4:$DD$168,BZ1,0)</f>
        <v>0.3</v>
      </c>
      <c r="CA6" s="74">
        <f>VLOOKUP($G$6&amp;$F$1,'Input RM sheet'!$A$4:$DD$168,CA1,0)</f>
        <v>0.3</v>
      </c>
      <c r="CB6" s="74">
        <f>VLOOKUP($G$6&amp;$F$1,'Input RM sheet'!$A$4:$DD$168,CB1,0)</f>
        <v>0.3</v>
      </c>
      <c r="CC6" s="74">
        <f>VLOOKUP($G$6&amp;$F$1,'Input RM sheet'!$A$4:$DD$168,CC1,0)</f>
        <v>0.3</v>
      </c>
      <c r="CD6" s="74">
        <f>VLOOKUP($G$6&amp;$F$1,'Input RM sheet'!$A$4:$DD$168,CD1,0)</f>
        <v>0.3</v>
      </c>
      <c r="CE6" s="74">
        <f>VLOOKUP($G$6&amp;$F$1,'Input RM sheet'!$A$4:$DD$168,CE1,0)</f>
        <v>0.3</v>
      </c>
      <c r="CF6" s="74">
        <f>VLOOKUP($G$6&amp;$F$1,'Input RM sheet'!$A$4:$DD$168,CF1,0)</f>
        <v>0.3</v>
      </c>
      <c r="CG6" s="74">
        <f>VLOOKUP($G$6&amp;$F$1,'Input RM sheet'!$A$4:$DD$168,CG1,0)</f>
        <v>0.3</v>
      </c>
      <c r="CH6" s="74">
        <f>VLOOKUP($G$6&amp;$F$1,'Input RM sheet'!$A$4:$DD$168,CH1,0)</f>
        <v>0.3</v>
      </c>
      <c r="CI6" s="74">
        <f>VLOOKUP($G$6&amp;$F$1,'Input RM sheet'!$A$4:$DD$168,CI1,0)</f>
        <v>0.3</v>
      </c>
      <c r="CJ6" s="74">
        <f>VLOOKUP($G$6&amp;$F$1,'Input RM sheet'!$A$4:$DD$168,CJ1,0)</f>
        <v>0.3</v>
      </c>
      <c r="CK6" s="74">
        <f>VLOOKUP($G$6&amp;$F$1,'Input RM sheet'!$A$4:$DD$168,CK1,0)</f>
        <v>0.3</v>
      </c>
      <c r="CL6" s="74">
        <f>VLOOKUP($G$6&amp;$F$1,'Input RM sheet'!$A$4:$DD$168,CL1,0)</f>
        <v>0.3</v>
      </c>
      <c r="CM6" s="74">
        <f>VLOOKUP($G$6&amp;$F$1,'Input RM sheet'!$A$4:$DD$168,CM1,0)</f>
        <v>0.3</v>
      </c>
      <c r="CN6" s="74">
        <f>VLOOKUP($G$6&amp;$F$1,'Input RM sheet'!$A$4:$DD$168,CN1,0)</f>
        <v>0.3</v>
      </c>
      <c r="CO6" s="74">
        <f>VLOOKUP($G$6&amp;$F$1,'Input RM sheet'!$A$4:$DD$168,CO1,0)</f>
        <v>0.3</v>
      </c>
      <c r="CP6" s="74">
        <f>VLOOKUP($G$6&amp;$F$1,'Input RM sheet'!$A$4:$DD$168,CP1,0)</f>
        <v>0.3</v>
      </c>
      <c r="CQ6" s="74">
        <f>VLOOKUP($G$6&amp;$F$1,'Input RM sheet'!$A$4:$ZZ$168,CQ1,0)</f>
        <v>0.3</v>
      </c>
      <c r="CR6" s="74">
        <f>VLOOKUP($G$6&amp;$F$1,'Input RM sheet'!$A$4:$ZZ$168,CR1,0)</f>
        <v>0.3</v>
      </c>
      <c r="CS6" s="74">
        <f>VLOOKUP($G$6&amp;$F$1,'Input RM sheet'!$A$4:$ZZ$168,CS1,0)</f>
        <v>0.3</v>
      </c>
      <c r="CT6" s="74">
        <f>VLOOKUP($G$6&amp;$F$1,'Input RM sheet'!$A$4:$ZZ$168,CT1,0)</f>
        <v>0.3</v>
      </c>
      <c r="CU6" s="74">
        <f>VLOOKUP($G$6&amp;$F$1,'Input RM sheet'!$A$4:$ZZ$168,CU1,0)</f>
        <v>0.3</v>
      </c>
      <c r="CV6" s="74">
        <f>VLOOKUP($G$6&amp;$F$1,'Input RM sheet'!$A$4:$ZZ$168,CV1,0)</f>
        <v>0.3</v>
      </c>
      <c r="CW6" s="74">
        <f>VLOOKUP($G$6&amp;$F$1,'Input RM sheet'!$A$4:$ZZ$168,CW1,0)</f>
        <v>0.3</v>
      </c>
      <c r="CX6" s="74">
        <f>VLOOKUP($G$6&amp;$F$1,'Input RM sheet'!$A$4:$ZZ$168,CX1,0)</f>
        <v>0.3</v>
      </c>
      <c r="CY6" s="74">
        <f>VLOOKUP($G$6&amp;$F$1,'Input RM sheet'!$A$4:$ZZ$168,CY1,0)</f>
        <v>0.3</v>
      </c>
      <c r="CZ6" s="74">
        <f>VLOOKUP($G$6&amp;$F$1,'Input RM sheet'!$A$4:$ZZ$168,CZ1,0)</f>
        <v>0.3</v>
      </c>
      <c r="DA6" s="74">
        <f>VLOOKUP($G$6&amp;$F$1,'Input RM sheet'!$A$4:$ZZ$168,DA1,0)</f>
        <v>0.3</v>
      </c>
      <c r="DB6" s="74">
        <f>VLOOKUP($G$6&amp;$F$1,'Input RM sheet'!$A$4:$ZZ$168,DB1,0)</f>
        <v>0.3</v>
      </c>
      <c r="DC6" s="74">
        <f>VLOOKUP($G$6&amp;$F$1,'Input RM sheet'!$A$4:$ZZ$168,DC1,0)</f>
        <v>0.3</v>
      </c>
      <c r="DD6" s="74">
        <f>VLOOKUP($G$6&amp;$F$1,'Input RM sheet'!$A$4:$ZZ$168,DD1,0)</f>
        <v>0.3</v>
      </c>
      <c r="DE6" s="74">
        <f>VLOOKUP($G$6&amp;$F$1,'Input RM sheet'!$A$4:$ZZ$168,DE1,0)</f>
        <v>0.3</v>
      </c>
      <c r="DF6" s="74">
        <f>VLOOKUP($G$6&amp;$F$1,'Input RM sheet'!$A$4:$ZZ$168,DF1,0)</f>
        <v>0.3</v>
      </c>
      <c r="DG6" s="74">
        <f>VLOOKUP($G$6&amp;$F$1,'Input RM sheet'!$A$4:$ZZ$168,DG1,0)</f>
        <v>0.3</v>
      </c>
      <c r="DH6" s="74">
        <f>VLOOKUP($G$6&amp;$F$1,'Input RM sheet'!$A$4:$ZZ$168,DH1,0)</f>
        <v>0.3</v>
      </c>
      <c r="DI6" s="74">
        <f>VLOOKUP($G$6&amp;$F$1,'Input RM sheet'!$A$4:$ZZ$168,DI1,0)</f>
        <v>0.3</v>
      </c>
      <c r="DJ6" s="74">
        <f>VLOOKUP($G$6&amp;$F$1,'Input RM sheet'!$A$4:$ZZ$168,DJ1,0)</f>
        <v>0.3</v>
      </c>
      <c r="DK6" s="74">
        <f>VLOOKUP($G$6&amp;$F$1,'Input RM sheet'!$A$4:$ZZ$168,DK1,0)</f>
        <v>0.3</v>
      </c>
      <c r="DL6" s="74">
        <f>VLOOKUP($G$6&amp;$F$1,'Input RM sheet'!$A$4:$ZZ$168,DL1,0)</f>
        <v>0.3</v>
      </c>
      <c r="DM6" s="74">
        <f>VLOOKUP($G$6&amp;$F$1,'Input RM sheet'!$A$4:$ZZ$168,DM1,0)</f>
        <v>0.3</v>
      </c>
      <c r="DN6" s="74">
        <f>VLOOKUP($G$6&amp;$F$1,'Input RM sheet'!$A$4:$ZZ$168,DN1,0)</f>
        <v>0.3</v>
      </c>
      <c r="DO6" s="74">
        <f>VLOOKUP($G$6&amp;$F$1,'Input RM sheet'!$A$4:$ZZ$168,DO1,0)</f>
        <v>0.3</v>
      </c>
      <c r="DP6" s="74">
        <f>VLOOKUP($G$6&amp;$F$1,'Input RM sheet'!$A$4:$ZZ$168,DP1,0)</f>
        <v>0.3</v>
      </c>
      <c r="DQ6" s="74">
        <f>VLOOKUP($G$6&amp;$F$1,'Input RM sheet'!$A$4:$ZZ$168,DQ1,0)</f>
        <v>0.3</v>
      </c>
      <c r="DR6" s="74">
        <f>VLOOKUP($G$6&amp;$F$1,'Input RM sheet'!$A$4:$ZZ$168,DR1,0)</f>
        <v>0.3</v>
      </c>
      <c r="DS6" s="74">
        <f>VLOOKUP($G$6&amp;$F$1,'Input RM sheet'!$A$4:$ZZ$168,DS1,0)</f>
        <v>0</v>
      </c>
      <c r="DT6" s="74">
        <f>VLOOKUP($G$6&amp;$F$1,'Input RM sheet'!$A$4:$ZZ$168,DT1,0)</f>
        <v>0</v>
      </c>
      <c r="DU6" s="74">
        <f>VLOOKUP($G$6&amp;$F$1,'Input RM sheet'!$A$4:$ZZ$168,DU1,0)</f>
        <v>0</v>
      </c>
    </row>
    <row r="7" spans="1:138">
      <c r="A7" s="59" t="s">
        <v>395</v>
      </c>
      <c r="B7" s="59"/>
      <c r="C7" s="59" t="s">
        <v>379</v>
      </c>
      <c r="D7" s="59" t="s">
        <v>380</v>
      </c>
      <c r="E7" s="59" t="s">
        <v>381</v>
      </c>
      <c r="F7" s="59" t="s">
        <v>396</v>
      </c>
      <c r="G7" s="60" t="s">
        <v>399</v>
      </c>
    </row>
    <row r="8" spans="1:138">
      <c r="A8" s="365" t="s">
        <v>397</v>
      </c>
      <c r="B8" s="114" t="s">
        <v>62</v>
      </c>
      <c r="C8" s="60">
        <v>1</v>
      </c>
      <c r="D8" s="64">
        <v>63.55</v>
      </c>
      <c r="E8" s="60">
        <f>D8*C8</f>
        <v>63.55</v>
      </c>
      <c r="F8" s="65">
        <v>0.28000000000000003</v>
      </c>
      <c r="G8" s="65">
        <f>E8/D2</f>
        <v>0.26303807947019869</v>
      </c>
      <c r="H8" s="74">
        <f>$F$8*(H5/1000)</f>
        <v>1.6887388000000001</v>
      </c>
      <c r="I8" s="74">
        <f t="shared" ref="I8:BA8" si="0">$F$8*(I5/1000)</f>
        <v>1.5925700000000003</v>
      </c>
      <c r="J8" s="74">
        <f t="shared" si="0"/>
        <v>1.4511364000000002</v>
      </c>
      <c r="K8" s="74">
        <f t="shared" si="0"/>
        <v>1.4162316000000001</v>
      </c>
      <c r="L8" s="74">
        <f t="shared" si="0"/>
        <v>1.4671524</v>
      </c>
      <c r="M8" s="74">
        <f t="shared" si="0"/>
        <v>1.6112880000000001</v>
      </c>
      <c r="N8" s="74">
        <f t="shared" si="0"/>
        <v>1.7842888000000003</v>
      </c>
      <c r="O8" s="74">
        <f t="shared" si="0"/>
        <v>1.8197032</v>
      </c>
      <c r="P8" s="74">
        <f t="shared" si="0"/>
        <v>1.877372</v>
      </c>
      <c r="Q8" s="74">
        <f t="shared" si="0"/>
        <v>1.8798668000000003</v>
      </c>
      <c r="R8" s="74">
        <f t="shared" si="0"/>
        <v>1.9792948000000001</v>
      </c>
      <c r="S8" s="74">
        <f t="shared" si="0"/>
        <v>2.1762272</v>
      </c>
      <c r="T8" s="74">
        <f t="shared" si="0"/>
        <v>2.232202</v>
      </c>
      <c r="U8" s="74">
        <f t="shared" si="0"/>
        <v>2.3718632000000004</v>
      </c>
      <c r="V8" s="74">
        <f t="shared" si="0"/>
        <v>2.5167100000000002</v>
      </c>
      <c r="W8" s="74">
        <f t="shared" si="0"/>
        <v>2.6109496000000001</v>
      </c>
      <c r="X8" s="74">
        <f t="shared" si="0"/>
        <v>2.8453516000000003</v>
      </c>
      <c r="Y8" s="74">
        <f t="shared" si="0"/>
        <v>2.6968200000000007</v>
      </c>
      <c r="Z8" s="74">
        <f t="shared" si="0"/>
        <v>2.6462296000000003</v>
      </c>
      <c r="AA8" s="74">
        <f t="shared" si="0"/>
        <v>2.6236391999999999</v>
      </c>
      <c r="AB8" s="74">
        <f t="shared" si="0"/>
        <v>2.6109188000000003</v>
      </c>
      <c r="AC8" s="74">
        <f t="shared" si="0"/>
        <v>2.7521816000000001</v>
      </c>
      <c r="AD8" s="74">
        <f t="shared" si="0"/>
        <v>2.7240920000000002</v>
      </c>
      <c r="AE8" s="74">
        <f t="shared" si="0"/>
        <v>2.6743304000000006</v>
      </c>
      <c r="AF8" s="74">
        <f t="shared" si="0"/>
        <v>2.7390552000000001</v>
      </c>
      <c r="AG8" s="74">
        <f t="shared" si="0"/>
        <v>2.7840876000000003</v>
      </c>
      <c r="AH8" s="74">
        <f t="shared" si="0"/>
        <v>2.8646492000000001</v>
      </c>
      <c r="AI8" s="74">
        <f t="shared" si="0"/>
        <v>2.8506800000000001</v>
      </c>
      <c r="AJ8" s="74">
        <f t="shared" si="0"/>
        <v>2.6256020000000002</v>
      </c>
      <c r="AK8" s="74">
        <f t="shared" si="0"/>
        <v>2.5268488000000002</v>
      </c>
      <c r="AL8" s="74">
        <f t="shared" si="0"/>
        <v>2.1125468000000001</v>
      </c>
      <c r="AM8" s="74">
        <f t="shared" si="0"/>
        <v>2.2349152000000001</v>
      </c>
      <c r="AN8" s="74">
        <f t="shared" si="0"/>
        <v>2.1688828000000004</v>
      </c>
      <c r="AO8" s="74">
        <f t="shared" si="0"/>
        <v>2.1423024000000002</v>
      </c>
      <c r="AP8" s="74">
        <f t="shared" si="0"/>
        <v>2.2539607999999998</v>
      </c>
      <c r="AQ8" s="74">
        <f t="shared" si="0"/>
        <v>2.3451119999999999</v>
      </c>
      <c r="AR8" s="74">
        <f t="shared" si="0"/>
        <v>2.5197200000000004</v>
      </c>
      <c r="AS8" s="74">
        <f t="shared" si="0"/>
        <v>2.5071200000000005</v>
      </c>
      <c r="AT8" s="74">
        <f t="shared" si="0"/>
        <v>2.4735200000000002</v>
      </c>
      <c r="AU8" s="74">
        <f t="shared" si="0"/>
        <v>2.4673600000000002</v>
      </c>
      <c r="AV8" s="74">
        <f t="shared" si="0"/>
        <v>2.37818</v>
      </c>
      <c r="AW8" s="74">
        <f t="shared" si="0"/>
        <v>2.3427600000000006</v>
      </c>
      <c r="AX8" s="74">
        <f t="shared" si="0"/>
        <v>2.3102800000000001</v>
      </c>
      <c r="AY8" s="74">
        <f t="shared" si="0"/>
        <v>2.4222800000000002</v>
      </c>
      <c r="AZ8" s="74">
        <f t="shared" si="0"/>
        <v>2.3601200000000002</v>
      </c>
      <c r="BA8" s="74">
        <f t="shared" si="0"/>
        <v>2.4054799999999998</v>
      </c>
      <c r="BB8" s="74">
        <f t="shared" ref="BB8:BM8" si="1">$F$8*(BB5/1000)</f>
        <v>2.3584400000000003</v>
      </c>
      <c r="BC8" s="74">
        <f t="shared" si="1"/>
        <v>2.27528</v>
      </c>
      <c r="BD8" s="74">
        <f t="shared" si="1"/>
        <v>2.3405200000000002</v>
      </c>
      <c r="BE8" s="74">
        <f t="shared" si="1"/>
        <v>2.3405200000000002</v>
      </c>
      <c r="BF8" s="74">
        <f t="shared" si="1"/>
        <v>2.3763600000000005</v>
      </c>
      <c r="BG8" s="74">
        <f t="shared" si="1"/>
        <v>2.3170000000000002</v>
      </c>
      <c r="BH8" s="74">
        <f t="shared" si="1"/>
        <v>2.29236</v>
      </c>
      <c r="BI8" s="74">
        <f t="shared" si="1"/>
        <v>2.2710800000000004</v>
      </c>
      <c r="BJ8" s="74">
        <f t="shared" si="1"/>
        <v>2.2528800000000002</v>
      </c>
      <c r="BK8" s="74">
        <f t="shared" si="1"/>
        <v>2.2374800000000001</v>
      </c>
      <c r="BL8" s="74">
        <f t="shared" si="1"/>
        <v>2.2544200000000005</v>
      </c>
      <c r="BM8" s="74">
        <f t="shared" si="1"/>
        <v>2.2677200000000002</v>
      </c>
      <c r="BN8" s="74">
        <f t="shared" ref="BN8:BU8" si="2">$F$8*(BN5/1000)</f>
        <v>2.2891400000000002</v>
      </c>
      <c r="BO8" s="74">
        <f t="shared" si="2"/>
        <v>2.3058000000000001</v>
      </c>
      <c r="BP8" s="74">
        <f t="shared" si="2"/>
        <v>2.3058000000000001</v>
      </c>
      <c r="BQ8" s="74">
        <f t="shared" si="2"/>
        <v>2.35466</v>
      </c>
      <c r="BR8" s="74">
        <f t="shared" si="2"/>
        <v>2.33352</v>
      </c>
      <c r="BS8" s="74">
        <f t="shared" si="2"/>
        <v>2.3324000000000003</v>
      </c>
      <c r="BT8" s="74">
        <f t="shared" si="2"/>
        <v>2.4067400000000001</v>
      </c>
      <c r="BU8" s="74">
        <f t="shared" si="2"/>
        <v>2.3965200000000002</v>
      </c>
      <c r="BV8" s="74">
        <f t="shared" ref="BV8:CQ8" si="3">$F$8*(BV5/1000)</f>
        <v>2.36964</v>
      </c>
      <c r="BW8" s="74">
        <f t="shared" si="3"/>
        <v>2.3382800000000006</v>
      </c>
      <c r="BX8" s="74">
        <f t="shared" si="3"/>
        <v>2.3382800000000006</v>
      </c>
      <c r="BY8" s="74">
        <f t="shared" si="3"/>
        <v>2.3749600000000002</v>
      </c>
      <c r="BZ8" s="74">
        <f t="shared" si="3"/>
        <v>2.331</v>
      </c>
      <c r="CA8" s="74">
        <f t="shared" si="3"/>
        <v>2.331</v>
      </c>
      <c r="CB8" s="74">
        <f t="shared" si="3"/>
        <v>2.3637600000000001</v>
      </c>
      <c r="CC8" s="74">
        <f t="shared" si="3"/>
        <v>2.3727200000000002</v>
      </c>
      <c r="CD8" s="74">
        <f t="shared" si="3"/>
        <v>2.4079999999999999</v>
      </c>
      <c r="CE8" s="74">
        <f t="shared" si="3"/>
        <v>2.4228400000000003</v>
      </c>
      <c r="CF8" s="74">
        <f t="shared" si="3"/>
        <v>2.4998400000000003</v>
      </c>
      <c r="CG8" s="74">
        <f t="shared" si="3"/>
        <v>2.4827600000000003</v>
      </c>
      <c r="CH8" s="74">
        <f t="shared" si="3"/>
        <v>2.60372</v>
      </c>
      <c r="CI8" s="74">
        <f t="shared" si="3"/>
        <v>2.5869200000000006</v>
      </c>
      <c r="CJ8" s="74">
        <f t="shared" si="3"/>
        <v>2.6409600000000002</v>
      </c>
      <c r="CK8" s="74">
        <f t="shared" si="3"/>
        <v>2.7804000000000002</v>
      </c>
      <c r="CL8" s="74">
        <f t="shared" si="3"/>
        <v>2.7748000000000004</v>
      </c>
      <c r="CM8" s="74">
        <f t="shared" si="3"/>
        <v>2.91872</v>
      </c>
      <c r="CN8" s="74">
        <f t="shared" si="3"/>
        <v>2.8618800000000002</v>
      </c>
      <c r="CO8" s="74">
        <f t="shared" si="3"/>
        <v>3.0170000000000003</v>
      </c>
      <c r="CP8" s="74">
        <f t="shared" si="3"/>
        <v>2.8716800000000005</v>
      </c>
      <c r="CQ8" s="74">
        <f t="shared" si="3"/>
        <v>2.7846000000000002</v>
      </c>
      <c r="CR8" s="74">
        <f>$F$8*(CR5/1000)</f>
        <v>2.70228</v>
      </c>
      <c r="CS8" s="74">
        <f>$F$8*(CS5/1000)</f>
        <v>2.7050800000000002</v>
      </c>
      <c r="CT8" s="74">
        <f>$F$8*(CT5/1000)</f>
        <v>2.64656</v>
      </c>
      <c r="CU8" s="74">
        <f>$F$8*(CU5/1000)</f>
        <v>2.7843200000000006</v>
      </c>
      <c r="CV8" s="74">
        <f t="shared" ref="CV8:DC8" si="4">$F$8*(CV5/1000)</f>
        <v>2.7056400000000003</v>
      </c>
      <c r="CW8" s="74">
        <f t="shared" si="4"/>
        <v>2.5664800000000003</v>
      </c>
      <c r="CX8" s="74">
        <f t="shared" si="4"/>
        <v>2.5345599999999999</v>
      </c>
      <c r="CY8" s="74">
        <f t="shared" si="4"/>
        <v>2.4315199999999999</v>
      </c>
      <c r="CZ8" s="74">
        <f t="shared" si="4"/>
        <v>2.4780000000000002</v>
      </c>
      <c r="DA8" s="74">
        <f t="shared" si="4"/>
        <v>2.5026400000000004</v>
      </c>
      <c r="DB8" s="74">
        <f t="shared" si="4"/>
        <v>2.5578000000000003</v>
      </c>
      <c r="DC8" s="74">
        <f t="shared" si="4"/>
        <v>2.5236400000000003</v>
      </c>
      <c r="DD8" s="74">
        <f t="shared" ref="DD8:DU8" si="5">$F$8*(DD5/1000)</f>
        <v>2.52196</v>
      </c>
      <c r="DE8" s="74">
        <f t="shared" si="5"/>
        <v>2.6009200000000003</v>
      </c>
      <c r="DF8" s="74">
        <f t="shared" si="5"/>
        <v>2.7669600000000001</v>
      </c>
      <c r="DG8" s="74">
        <f t="shared" si="5"/>
        <v>2.6930400000000003</v>
      </c>
      <c r="DH8" s="74">
        <f t="shared" si="5"/>
        <v>2.6642000000000006</v>
      </c>
      <c r="DI8" s="74">
        <f t="shared" si="5"/>
        <v>2.6356400000000004</v>
      </c>
      <c r="DJ8" s="74">
        <f t="shared" si="5"/>
        <v>2.6320000000000006</v>
      </c>
      <c r="DK8" s="74">
        <f t="shared" si="5"/>
        <v>2.6611199999999999</v>
      </c>
      <c r="DL8" s="74">
        <f t="shared" si="5"/>
        <v>2.5902799999999999</v>
      </c>
      <c r="DM8" s="74">
        <f t="shared" si="5"/>
        <v>2.4718400000000003</v>
      </c>
      <c r="DN8" s="74">
        <f t="shared" si="5"/>
        <v>2.48584</v>
      </c>
      <c r="DO8" s="74">
        <f t="shared" si="5"/>
        <v>2.5032000000000001</v>
      </c>
      <c r="DP8" s="74">
        <f t="shared" si="5"/>
        <v>2.5306400000000004</v>
      </c>
      <c r="DQ8" s="74">
        <f t="shared" si="5"/>
        <v>2.5169200000000003</v>
      </c>
      <c r="DR8" s="74">
        <f t="shared" si="5"/>
        <v>2.4953600000000002</v>
      </c>
      <c r="DS8" s="74">
        <f t="shared" si="5"/>
        <v>0</v>
      </c>
      <c r="DT8" s="74">
        <f t="shared" si="5"/>
        <v>0</v>
      </c>
      <c r="DU8" s="74">
        <f t="shared" si="5"/>
        <v>0</v>
      </c>
    </row>
    <row r="9" spans="1:138">
      <c r="A9" s="366"/>
      <c r="B9" s="114" t="s">
        <v>63</v>
      </c>
      <c r="C9" s="60">
        <v>2</v>
      </c>
      <c r="D9" s="64">
        <v>63.13</v>
      </c>
      <c r="E9" s="60">
        <f>D9*C9</f>
        <v>126.26</v>
      </c>
      <c r="F9" s="65">
        <v>1.3</v>
      </c>
      <c r="G9" s="65">
        <f>E9/D2</f>
        <v>0.52259933774834444</v>
      </c>
      <c r="H9" s="74">
        <f>$F$9*H6</f>
        <v>0.27300000000000002</v>
      </c>
      <c r="I9" s="74">
        <f t="shared" ref="I9:AT9" si="6">$F$9*I6</f>
        <v>0.27300000000000002</v>
      </c>
      <c r="J9" s="74">
        <f t="shared" si="6"/>
        <v>0.27300000000000002</v>
      </c>
      <c r="K9" s="74">
        <f t="shared" si="6"/>
        <v>0.26</v>
      </c>
      <c r="L9" s="74">
        <f t="shared" si="6"/>
        <v>0.24700000000000003</v>
      </c>
      <c r="M9" s="74">
        <f t="shared" si="6"/>
        <v>0.26</v>
      </c>
      <c r="N9" s="74">
        <f t="shared" si="6"/>
        <v>0.26</v>
      </c>
      <c r="O9" s="74">
        <f t="shared" si="6"/>
        <v>0.26</v>
      </c>
      <c r="P9" s="74">
        <f t="shared" si="6"/>
        <v>0.27300000000000002</v>
      </c>
      <c r="Q9" s="74">
        <f t="shared" si="6"/>
        <v>0.28600000000000003</v>
      </c>
      <c r="R9" s="74">
        <f t="shared" si="6"/>
        <v>0.312</v>
      </c>
      <c r="S9" s="74">
        <f t="shared" si="6"/>
        <v>0.36400000000000005</v>
      </c>
      <c r="T9" s="74">
        <f t="shared" si="6"/>
        <v>0.36400000000000005</v>
      </c>
      <c r="U9" s="74">
        <f t="shared" si="6"/>
        <v>0.36400000000000005</v>
      </c>
      <c r="V9" s="74">
        <f t="shared" si="6"/>
        <v>0.36400000000000005</v>
      </c>
      <c r="W9" s="74">
        <f t="shared" si="6"/>
        <v>0.39</v>
      </c>
      <c r="X9" s="74">
        <f t="shared" si="6"/>
        <v>0.40300000000000002</v>
      </c>
      <c r="Y9" s="74">
        <f t="shared" si="6"/>
        <v>0.41600000000000004</v>
      </c>
      <c r="Z9" s="74">
        <f t="shared" si="6"/>
        <v>0.46799999999999997</v>
      </c>
      <c r="AA9" s="74">
        <f t="shared" si="6"/>
        <v>0.52</v>
      </c>
      <c r="AB9" s="74">
        <f t="shared" si="6"/>
        <v>0.57200000000000006</v>
      </c>
      <c r="AC9" s="74">
        <f t="shared" si="6"/>
        <v>0.58500000000000008</v>
      </c>
      <c r="AD9" s="74">
        <f t="shared" si="6"/>
        <v>0.53300000000000003</v>
      </c>
      <c r="AE9" s="74">
        <f t="shared" si="6"/>
        <v>0.41600000000000004</v>
      </c>
      <c r="AF9" s="74">
        <f t="shared" si="6"/>
        <v>0.40300000000000002</v>
      </c>
      <c r="AG9" s="74">
        <f t="shared" si="6"/>
        <v>0.52</v>
      </c>
      <c r="AH9" s="74">
        <f t="shared" si="6"/>
        <v>0.40300000000000002</v>
      </c>
      <c r="AI9" s="74">
        <f t="shared" si="6"/>
        <v>0.42900000000000005</v>
      </c>
      <c r="AJ9" s="74">
        <f t="shared" si="6"/>
        <v>0.46799999999999997</v>
      </c>
      <c r="AK9" s="74">
        <f t="shared" si="6"/>
        <v>0.49400000000000005</v>
      </c>
      <c r="AL9" s="74">
        <f t="shared" si="6"/>
        <v>0.50700000000000001</v>
      </c>
      <c r="AM9" s="74">
        <f t="shared" si="6"/>
        <v>0.44200000000000006</v>
      </c>
      <c r="AN9" s="74">
        <f t="shared" si="6"/>
        <v>0.39</v>
      </c>
      <c r="AO9" s="74">
        <f t="shared" si="6"/>
        <v>0.39</v>
      </c>
      <c r="AP9" s="74">
        <f t="shared" si="6"/>
        <v>0.42900000000000005</v>
      </c>
      <c r="AQ9" s="74">
        <f t="shared" si="6"/>
        <v>0.45499999999999996</v>
      </c>
      <c r="AR9" s="74">
        <f t="shared" si="6"/>
        <v>0.44200000000000006</v>
      </c>
      <c r="AS9" s="74">
        <f t="shared" si="6"/>
        <v>0.41600000000000004</v>
      </c>
      <c r="AT9" s="74">
        <f t="shared" si="6"/>
        <v>0.44200000000000006</v>
      </c>
      <c r="AU9" s="70">
        <f t="shared" ref="AU9:BA9" si="7">$F$9*AU6</f>
        <v>0.41600000000000004</v>
      </c>
      <c r="AV9" s="70">
        <f t="shared" si="7"/>
        <v>0.39</v>
      </c>
      <c r="AW9" s="70">
        <f t="shared" si="7"/>
        <v>0.33800000000000002</v>
      </c>
      <c r="AX9" s="70">
        <f t="shared" si="7"/>
        <v>0.32500000000000001</v>
      </c>
      <c r="AY9" s="70">
        <f t="shared" si="7"/>
        <v>0.32500000000000001</v>
      </c>
      <c r="AZ9" s="70">
        <f t="shared" si="7"/>
        <v>0.32500000000000001</v>
      </c>
      <c r="BA9" s="70">
        <f t="shared" si="7"/>
        <v>0.32500000000000001</v>
      </c>
      <c r="BB9" s="70">
        <f t="shared" ref="BB9:BM9" si="8">$F$9*BB6</f>
        <v>0.32500000000000001</v>
      </c>
      <c r="BC9" s="70">
        <f t="shared" si="8"/>
        <v>0.32500000000000001</v>
      </c>
      <c r="BD9" s="70">
        <f t="shared" si="8"/>
        <v>0.32500000000000001</v>
      </c>
      <c r="BE9" s="70">
        <f t="shared" si="8"/>
        <v>0.32500000000000001</v>
      </c>
      <c r="BF9" s="70">
        <f t="shared" si="8"/>
        <v>0.32500000000000001</v>
      </c>
      <c r="BG9" s="70">
        <f t="shared" si="8"/>
        <v>0.32500000000000001</v>
      </c>
      <c r="BH9" s="70">
        <f t="shared" si="8"/>
        <v>0.32500000000000001</v>
      </c>
      <c r="BI9" s="70">
        <f t="shared" si="8"/>
        <v>0.32500000000000001</v>
      </c>
      <c r="BJ9" s="70">
        <f t="shared" si="8"/>
        <v>0.32500000000000001</v>
      </c>
      <c r="BK9" s="70">
        <f t="shared" si="8"/>
        <v>0.377</v>
      </c>
      <c r="BL9" s="70">
        <f t="shared" si="8"/>
        <v>0.377</v>
      </c>
      <c r="BM9" s="70">
        <f t="shared" si="8"/>
        <v>0.377</v>
      </c>
      <c r="BN9" s="70">
        <f t="shared" ref="BN9:BU9" si="9">$F$9*BN6</f>
        <v>0.377</v>
      </c>
      <c r="BO9" s="70">
        <f t="shared" si="9"/>
        <v>0.377</v>
      </c>
      <c r="BP9" s="70">
        <f t="shared" si="9"/>
        <v>0.377</v>
      </c>
      <c r="BQ9" s="70">
        <f t="shared" si="9"/>
        <v>0.377</v>
      </c>
      <c r="BR9" s="70">
        <f t="shared" si="9"/>
        <v>0.377</v>
      </c>
      <c r="BS9" s="70">
        <f t="shared" si="9"/>
        <v>0.377</v>
      </c>
      <c r="BT9" s="70">
        <f t="shared" si="9"/>
        <v>0.377</v>
      </c>
      <c r="BU9" s="70">
        <f t="shared" si="9"/>
        <v>0.377</v>
      </c>
      <c r="BV9" s="70">
        <f t="shared" ref="BV9:CQ9" si="10">$F$9*BV6</f>
        <v>0.39</v>
      </c>
      <c r="BW9" s="70">
        <f t="shared" si="10"/>
        <v>0.39</v>
      </c>
      <c r="BX9" s="70">
        <f t="shared" si="10"/>
        <v>0.39</v>
      </c>
      <c r="BY9" s="70">
        <f t="shared" si="10"/>
        <v>0.39</v>
      </c>
      <c r="BZ9" s="70">
        <f t="shared" si="10"/>
        <v>0.39</v>
      </c>
      <c r="CA9" s="70">
        <f t="shared" si="10"/>
        <v>0.39</v>
      </c>
      <c r="CB9" s="70">
        <f t="shared" si="10"/>
        <v>0.39</v>
      </c>
      <c r="CC9" s="70">
        <f t="shared" si="10"/>
        <v>0.39</v>
      </c>
      <c r="CD9" s="70">
        <f t="shared" si="10"/>
        <v>0.39</v>
      </c>
      <c r="CE9" s="70">
        <f t="shared" si="10"/>
        <v>0.39</v>
      </c>
      <c r="CF9" s="70">
        <f t="shared" si="10"/>
        <v>0.39</v>
      </c>
      <c r="CG9" s="70">
        <f t="shared" si="10"/>
        <v>0.39</v>
      </c>
      <c r="CH9" s="70">
        <f t="shared" si="10"/>
        <v>0.39</v>
      </c>
      <c r="CI9" s="70">
        <f t="shared" si="10"/>
        <v>0.39</v>
      </c>
      <c r="CJ9" s="70">
        <f t="shared" si="10"/>
        <v>0.39</v>
      </c>
      <c r="CK9" s="70">
        <f t="shared" si="10"/>
        <v>0.39</v>
      </c>
      <c r="CL9" s="70">
        <f t="shared" si="10"/>
        <v>0.39</v>
      </c>
      <c r="CM9" s="70">
        <f t="shared" si="10"/>
        <v>0.39</v>
      </c>
      <c r="CN9" s="70">
        <f t="shared" si="10"/>
        <v>0.39</v>
      </c>
      <c r="CO9" s="70">
        <f t="shared" si="10"/>
        <v>0.39</v>
      </c>
      <c r="CP9" s="70">
        <f t="shared" si="10"/>
        <v>0.39</v>
      </c>
      <c r="CQ9" s="70">
        <f t="shared" si="10"/>
        <v>0.39</v>
      </c>
      <c r="CR9" s="70">
        <f>$F$9*CR6</f>
        <v>0.39</v>
      </c>
      <c r="CS9" s="70">
        <f>$F$9*CS6</f>
        <v>0.39</v>
      </c>
      <c r="CT9" s="70">
        <f>$F$9*CT6</f>
        <v>0.39</v>
      </c>
      <c r="CU9" s="70">
        <f>$F$9*CU6</f>
        <v>0.39</v>
      </c>
      <c r="CV9" s="70">
        <f t="shared" ref="CV9:DC9" si="11">$F$9*CV6</f>
        <v>0.39</v>
      </c>
      <c r="CW9" s="70">
        <f t="shared" si="11"/>
        <v>0.39</v>
      </c>
      <c r="CX9" s="70">
        <f t="shared" si="11"/>
        <v>0.39</v>
      </c>
      <c r="CY9" s="70">
        <f t="shared" si="11"/>
        <v>0.39</v>
      </c>
      <c r="CZ9" s="70">
        <f t="shared" si="11"/>
        <v>0.39</v>
      </c>
      <c r="DA9" s="70">
        <f t="shared" si="11"/>
        <v>0.39</v>
      </c>
      <c r="DB9" s="70">
        <f t="shared" si="11"/>
        <v>0.39</v>
      </c>
      <c r="DC9" s="70">
        <f t="shared" si="11"/>
        <v>0.39</v>
      </c>
      <c r="DD9" s="70">
        <f t="shared" ref="DD9:DU9" si="12">$F$9*DD6</f>
        <v>0.39</v>
      </c>
      <c r="DE9" s="70">
        <f t="shared" si="12"/>
        <v>0.39</v>
      </c>
      <c r="DF9" s="70">
        <f t="shared" si="12"/>
        <v>0.39</v>
      </c>
      <c r="DG9" s="70">
        <f t="shared" si="12"/>
        <v>0.39</v>
      </c>
      <c r="DH9" s="70">
        <f t="shared" si="12"/>
        <v>0.39</v>
      </c>
      <c r="DI9" s="70">
        <f t="shared" si="12"/>
        <v>0.39</v>
      </c>
      <c r="DJ9" s="70">
        <f t="shared" si="12"/>
        <v>0.39</v>
      </c>
      <c r="DK9" s="70">
        <f t="shared" si="12"/>
        <v>0.39</v>
      </c>
      <c r="DL9" s="70">
        <f t="shared" si="12"/>
        <v>0.39</v>
      </c>
      <c r="DM9" s="70">
        <f t="shared" si="12"/>
        <v>0.39</v>
      </c>
      <c r="DN9" s="70">
        <f t="shared" si="12"/>
        <v>0.39</v>
      </c>
      <c r="DO9" s="70">
        <f t="shared" si="12"/>
        <v>0.39</v>
      </c>
      <c r="DP9" s="70">
        <f t="shared" si="12"/>
        <v>0.39</v>
      </c>
      <c r="DQ9" s="70">
        <f t="shared" si="12"/>
        <v>0.39</v>
      </c>
      <c r="DR9" s="70">
        <f t="shared" si="12"/>
        <v>0.39</v>
      </c>
      <c r="DS9" s="70">
        <f t="shared" si="12"/>
        <v>0</v>
      </c>
      <c r="DT9" s="70">
        <f t="shared" si="12"/>
        <v>0</v>
      </c>
      <c r="DU9" s="70">
        <f t="shared" si="12"/>
        <v>0</v>
      </c>
    </row>
    <row r="10" spans="1:138">
      <c r="A10" s="194"/>
      <c r="B10" s="73"/>
      <c r="C10" s="73"/>
      <c r="D10" s="73" t="s">
        <v>400</v>
      </c>
      <c r="E10" s="73"/>
      <c r="F10" s="73"/>
      <c r="G10" s="73"/>
      <c r="H10" s="94">
        <f>SUM(H8:H9)</f>
        <v>1.9617388</v>
      </c>
      <c r="I10" s="94">
        <f t="shared" ref="I10:AV10" si="13">SUM(I8:I9)</f>
        <v>1.8655700000000004</v>
      </c>
      <c r="J10" s="94">
        <f t="shared" si="13"/>
        <v>1.7241364000000003</v>
      </c>
      <c r="K10" s="94">
        <f t="shared" si="13"/>
        <v>1.6762316000000002</v>
      </c>
      <c r="L10" s="94">
        <f t="shared" si="13"/>
        <v>1.7141524000000001</v>
      </c>
      <c r="M10" s="94">
        <f t="shared" si="13"/>
        <v>1.8712880000000001</v>
      </c>
      <c r="N10" s="94">
        <f t="shared" si="13"/>
        <v>2.0442888000000004</v>
      </c>
      <c r="O10" s="94">
        <f t="shared" si="13"/>
        <v>2.0797032</v>
      </c>
      <c r="P10" s="94">
        <f t="shared" si="13"/>
        <v>2.150372</v>
      </c>
      <c r="Q10" s="94">
        <f t="shared" si="13"/>
        <v>2.1658668000000003</v>
      </c>
      <c r="R10" s="94">
        <f t="shared" si="13"/>
        <v>2.2912948000000002</v>
      </c>
      <c r="S10" s="94">
        <f t="shared" si="13"/>
        <v>2.5402271999999999</v>
      </c>
      <c r="T10" s="94">
        <f t="shared" si="13"/>
        <v>2.5962019999999999</v>
      </c>
      <c r="U10" s="94">
        <f t="shared" si="13"/>
        <v>2.7358632000000003</v>
      </c>
      <c r="V10" s="94">
        <f t="shared" si="13"/>
        <v>2.8807100000000001</v>
      </c>
      <c r="W10" s="94">
        <f t="shared" si="13"/>
        <v>3.0009496000000002</v>
      </c>
      <c r="X10" s="94">
        <f t="shared" si="13"/>
        <v>3.2483516000000003</v>
      </c>
      <c r="Y10" s="94">
        <f t="shared" si="13"/>
        <v>3.1128200000000006</v>
      </c>
      <c r="Z10" s="94">
        <f t="shared" si="13"/>
        <v>3.1142296000000003</v>
      </c>
      <c r="AA10" s="94">
        <f t="shared" si="13"/>
        <v>3.1436392</v>
      </c>
      <c r="AB10" s="94">
        <f t="shared" si="13"/>
        <v>3.1829188000000004</v>
      </c>
      <c r="AC10" s="94">
        <f t="shared" si="13"/>
        <v>3.3371816000000001</v>
      </c>
      <c r="AD10" s="94">
        <f t="shared" si="13"/>
        <v>3.2570920000000001</v>
      </c>
      <c r="AE10" s="94">
        <f t="shared" si="13"/>
        <v>3.0903304000000005</v>
      </c>
      <c r="AF10" s="94">
        <f t="shared" si="13"/>
        <v>3.1420552000000002</v>
      </c>
      <c r="AG10" s="94">
        <f t="shared" si="13"/>
        <v>3.3040876000000003</v>
      </c>
      <c r="AH10" s="94">
        <f t="shared" si="13"/>
        <v>3.2676492000000001</v>
      </c>
      <c r="AI10" s="94">
        <f t="shared" si="13"/>
        <v>3.2796799999999999</v>
      </c>
      <c r="AJ10" s="94">
        <f t="shared" si="13"/>
        <v>3.0936020000000002</v>
      </c>
      <c r="AK10" s="94">
        <f t="shared" si="13"/>
        <v>3.0208488000000004</v>
      </c>
      <c r="AL10" s="94">
        <f t="shared" si="13"/>
        <v>2.6195468000000002</v>
      </c>
      <c r="AM10" s="94">
        <f t="shared" si="13"/>
        <v>2.6769152000000003</v>
      </c>
      <c r="AN10" s="94">
        <f t="shared" si="13"/>
        <v>2.5588828000000006</v>
      </c>
      <c r="AO10" s="94">
        <f t="shared" si="13"/>
        <v>2.5323024000000003</v>
      </c>
      <c r="AP10" s="94">
        <f t="shared" si="13"/>
        <v>2.6829608</v>
      </c>
      <c r="AQ10" s="94">
        <f t="shared" si="13"/>
        <v>2.8001119999999999</v>
      </c>
      <c r="AR10" s="94">
        <f t="shared" si="13"/>
        <v>2.9617200000000006</v>
      </c>
      <c r="AS10" s="94">
        <f t="shared" si="13"/>
        <v>2.9231200000000004</v>
      </c>
      <c r="AT10" s="94">
        <f t="shared" si="13"/>
        <v>2.9155200000000003</v>
      </c>
      <c r="AU10" s="94">
        <f t="shared" si="13"/>
        <v>2.8833600000000001</v>
      </c>
      <c r="AV10" s="94">
        <f t="shared" si="13"/>
        <v>2.7681800000000001</v>
      </c>
      <c r="AW10" s="94">
        <f t="shared" ref="AW10:BM10" si="14">SUM(AW8:AW9)</f>
        <v>2.6807600000000007</v>
      </c>
      <c r="AX10" s="71">
        <f t="shared" si="14"/>
        <v>2.6352800000000003</v>
      </c>
      <c r="AY10" s="71">
        <f t="shared" si="14"/>
        <v>2.7472800000000004</v>
      </c>
      <c r="AZ10" s="71">
        <f t="shared" si="14"/>
        <v>2.6851200000000004</v>
      </c>
      <c r="BA10" s="71">
        <f t="shared" si="14"/>
        <v>2.73048</v>
      </c>
      <c r="BB10" s="71">
        <f t="shared" si="14"/>
        <v>2.6834400000000005</v>
      </c>
      <c r="BC10" s="71">
        <f t="shared" si="14"/>
        <v>2.6002800000000001</v>
      </c>
      <c r="BD10" s="71">
        <f t="shared" si="14"/>
        <v>2.6655200000000003</v>
      </c>
      <c r="BE10" s="71">
        <f t="shared" si="14"/>
        <v>2.6655200000000003</v>
      </c>
      <c r="BF10" s="71">
        <f t="shared" si="14"/>
        <v>2.7013600000000006</v>
      </c>
      <c r="BG10" s="71">
        <f t="shared" si="14"/>
        <v>2.6420000000000003</v>
      </c>
      <c r="BH10" s="71">
        <f t="shared" si="14"/>
        <v>2.6173600000000001</v>
      </c>
      <c r="BI10" s="71">
        <f t="shared" si="14"/>
        <v>2.5960800000000006</v>
      </c>
      <c r="BJ10" s="71">
        <f t="shared" si="14"/>
        <v>2.5778800000000004</v>
      </c>
      <c r="BK10" s="71">
        <f t="shared" si="14"/>
        <v>2.6144800000000004</v>
      </c>
      <c r="BL10" s="71">
        <f t="shared" si="14"/>
        <v>2.6314200000000003</v>
      </c>
      <c r="BM10" s="71">
        <f t="shared" si="14"/>
        <v>2.6447200000000004</v>
      </c>
      <c r="BN10" s="71">
        <f t="shared" ref="BN10:BU10" si="15">SUM(BN8:BN9)</f>
        <v>2.6661400000000004</v>
      </c>
      <c r="BO10" s="71">
        <f t="shared" si="15"/>
        <v>2.6828000000000003</v>
      </c>
      <c r="BP10" s="71">
        <f t="shared" si="15"/>
        <v>2.6828000000000003</v>
      </c>
      <c r="BQ10" s="71">
        <f t="shared" si="15"/>
        <v>2.7316599999999998</v>
      </c>
      <c r="BR10" s="71">
        <f t="shared" si="15"/>
        <v>2.7105199999999998</v>
      </c>
      <c r="BS10" s="71">
        <f t="shared" si="15"/>
        <v>2.7094000000000005</v>
      </c>
      <c r="BT10" s="71">
        <f t="shared" si="15"/>
        <v>2.7837399999999999</v>
      </c>
      <c r="BU10" s="71">
        <f t="shared" si="15"/>
        <v>2.7735200000000004</v>
      </c>
      <c r="BV10" s="71">
        <f t="shared" ref="BV10:CQ10" si="16">SUM(BV8:BV9)</f>
        <v>2.7596400000000001</v>
      </c>
      <c r="BW10" s="71">
        <f t="shared" si="16"/>
        <v>2.7282800000000007</v>
      </c>
      <c r="BX10" s="71">
        <f t="shared" si="16"/>
        <v>2.7282800000000007</v>
      </c>
      <c r="BY10" s="71">
        <f t="shared" si="16"/>
        <v>2.7649600000000003</v>
      </c>
      <c r="BZ10" s="71">
        <f t="shared" si="16"/>
        <v>2.7210000000000001</v>
      </c>
      <c r="CA10" s="71">
        <f t="shared" si="16"/>
        <v>2.7210000000000001</v>
      </c>
      <c r="CB10" s="71">
        <f t="shared" si="16"/>
        <v>2.7537600000000002</v>
      </c>
      <c r="CC10" s="71">
        <f t="shared" si="16"/>
        <v>2.7627200000000003</v>
      </c>
      <c r="CD10" s="71">
        <f t="shared" si="16"/>
        <v>2.798</v>
      </c>
      <c r="CE10" s="71">
        <f t="shared" si="16"/>
        <v>2.8128400000000005</v>
      </c>
      <c r="CF10" s="71">
        <f t="shared" si="16"/>
        <v>2.8898400000000004</v>
      </c>
      <c r="CG10" s="71">
        <f t="shared" si="16"/>
        <v>2.8727600000000004</v>
      </c>
      <c r="CH10" s="71">
        <f t="shared" si="16"/>
        <v>2.9937200000000002</v>
      </c>
      <c r="CI10" s="71">
        <f t="shared" si="16"/>
        <v>2.9769200000000007</v>
      </c>
      <c r="CJ10" s="71">
        <f t="shared" si="16"/>
        <v>3.0309600000000003</v>
      </c>
      <c r="CK10" s="71">
        <f t="shared" si="16"/>
        <v>3.1704000000000003</v>
      </c>
      <c r="CL10" s="71">
        <f t="shared" si="16"/>
        <v>3.1648000000000005</v>
      </c>
      <c r="CM10" s="71">
        <f t="shared" si="16"/>
        <v>3.3087200000000001</v>
      </c>
      <c r="CN10" s="71">
        <f t="shared" si="16"/>
        <v>3.2518800000000003</v>
      </c>
      <c r="CO10" s="71">
        <f t="shared" si="16"/>
        <v>3.4070000000000005</v>
      </c>
      <c r="CP10" s="71">
        <f t="shared" si="16"/>
        <v>3.2616800000000006</v>
      </c>
      <c r="CQ10" s="71">
        <f t="shared" si="16"/>
        <v>3.1746000000000003</v>
      </c>
      <c r="CR10" s="71">
        <f>SUM(CR8:CR9)</f>
        <v>3.0922800000000001</v>
      </c>
      <c r="CS10" s="71">
        <f>SUM(CS8:CS9)</f>
        <v>3.0950800000000003</v>
      </c>
      <c r="CT10" s="71">
        <f>SUM(CT8:CT9)</f>
        <v>3.0365600000000001</v>
      </c>
      <c r="CU10" s="71">
        <f>SUM(CU8:CU9)</f>
        <v>3.1743200000000007</v>
      </c>
      <c r="CV10" s="71">
        <f t="shared" ref="CV10:DC10" si="17">SUM(CV8:CV9)</f>
        <v>3.0956400000000004</v>
      </c>
      <c r="CW10" s="71">
        <f t="shared" si="17"/>
        <v>2.9564800000000004</v>
      </c>
      <c r="CX10" s="71">
        <f t="shared" si="17"/>
        <v>2.92456</v>
      </c>
      <c r="CY10" s="71">
        <f t="shared" si="17"/>
        <v>2.82152</v>
      </c>
      <c r="CZ10" s="71">
        <f t="shared" si="17"/>
        <v>2.8680000000000003</v>
      </c>
      <c r="DA10" s="71">
        <f t="shared" si="17"/>
        <v>2.8926400000000005</v>
      </c>
      <c r="DB10" s="71">
        <f t="shared" si="17"/>
        <v>2.9478000000000004</v>
      </c>
      <c r="DC10" s="71">
        <f t="shared" si="17"/>
        <v>2.9136400000000005</v>
      </c>
      <c r="DD10" s="71">
        <f t="shared" ref="DD10:DU10" si="18">SUM(DD8:DD9)</f>
        <v>2.9119600000000001</v>
      </c>
      <c r="DE10" s="71">
        <f t="shared" si="18"/>
        <v>2.9909200000000005</v>
      </c>
      <c r="DF10" s="71">
        <f t="shared" si="18"/>
        <v>3.1569600000000002</v>
      </c>
      <c r="DG10" s="71">
        <f t="shared" si="18"/>
        <v>3.0830400000000004</v>
      </c>
      <c r="DH10" s="71">
        <f t="shared" si="18"/>
        <v>3.0542000000000007</v>
      </c>
      <c r="DI10" s="71">
        <f t="shared" si="18"/>
        <v>3.0256400000000006</v>
      </c>
      <c r="DJ10" s="71">
        <f t="shared" si="18"/>
        <v>3.0220000000000007</v>
      </c>
      <c r="DK10" s="71">
        <f t="shared" si="18"/>
        <v>3.0511200000000001</v>
      </c>
      <c r="DL10" s="71">
        <f t="shared" si="18"/>
        <v>2.98028</v>
      </c>
      <c r="DM10" s="71">
        <f t="shared" si="18"/>
        <v>2.8618400000000004</v>
      </c>
      <c r="DN10" s="71">
        <f t="shared" si="18"/>
        <v>2.8758400000000002</v>
      </c>
      <c r="DO10" s="71">
        <f t="shared" si="18"/>
        <v>2.8932000000000002</v>
      </c>
      <c r="DP10" s="71">
        <f t="shared" si="18"/>
        <v>2.9206400000000006</v>
      </c>
      <c r="DQ10" s="71">
        <f t="shared" si="18"/>
        <v>2.9069200000000004</v>
      </c>
      <c r="DR10" s="71">
        <f t="shared" si="18"/>
        <v>2.8853600000000004</v>
      </c>
      <c r="DS10" s="71">
        <f t="shared" si="18"/>
        <v>0</v>
      </c>
      <c r="DT10" s="71">
        <f t="shared" si="18"/>
        <v>0</v>
      </c>
      <c r="DU10" s="71">
        <f t="shared" si="18"/>
        <v>0</v>
      </c>
    </row>
    <row r="11" spans="1:138">
      <c r="G11" s="60" t="s">
        <v>429</v>
      </c>
      <c r="H11" s="74">
        <v>5.6109925135332395</v>
      </c>
      <c r="I11" s="74"/>
      <c r="J11" s="74"/>
      <c r="K11" s="74"/>
      <c r="L11" s="74"/>
      <c r="M11" s="74"/>
      <c r="N11" s="74">
        <v>5.3387262505255864</v>
      </c>
      <c r="O11" s="74"/>
      <c r="P11" s="74"/>
      <c r="Q11" s="74"/>
      <c r="R11" s="74"/>
      <c r="S11" s="74"/>
      <c r="T11" s="74"/>
      <c r="U11" s="74"/>
      <c r="V11" s="74">
        <v>6.0439560439560438</v>
      </c>
      <c r="W11" s="74"/>
      <c r="X11" s="74"/>
      <c r="Y11" s="74">
        <v>5.9831384280663578</v>
      </c>
      <c r="Z11" s="74"/>
      <c r="AA11" s="74">
        <v>5.9331175836030203</v>
      </c>
      <c r="AB11" s="74"/>
      <c r="AC11" s="74"/>
      <c r="AD11" s="74"/>
      <c r="AE11" s="74"/>
      <c r="AF11" s="74"/>
      <c r="AG11" s="74"/>
      <c r="AH11" s="74"/>
      <c r="AI11" s="74">
        <v>7.1979612756226965</v>
      </c>
      <c r="AJ11" s="74">
        <v>6.9969616243815018</v>
      </c>
      <c r="AK11" s="74">
        <v>5.7637199677441284</v>
      </c>
      <c r="AL11" s="74">
        <v>5.4961239688673222</v>
      </c>
      <c r="AM11" s="74">
        <v>4.8650524135017985</v>
      </c>
      <c r="AN11" s="74">
        <v>5.3588641331437143</v>
      </c>
      <c r="AO11" s="74">
        <v>4.6745136584900786</v>
      </c>
      <c r="AP11" s="74"/>
      <c r="AQ11" s="74">
        <v>4.6674791770557009</v>
      </c>
      <c r="AR11" s="74"/>
      <c r="AS11" s="74">
        <v>5.3822591241164783</v>
      </c>
      <c r="AT11" s="74"/>
      <c r="AU11" s="74"/>
      <c r="AV11" s="74"/>
      <c r="AW11" s="74"/>
      <c r="AX11" s="74"/>
      <c r="AY11" s="74"/>
      <c r="AZ11" s="74"/>
      <c r="BA11" s="74"/>
      <c r="BB11" s="74"/>
      <c r="BC11" s="74"/>
      <c r="BD11" s="74"/>
      <c r="BE11" s="74"/>
      <c r="BF11" s="74"/>
      <c r="BG11" s="74"/>
      <c r="BH11" s="74"/>
      <c r="BI11" s="74"/>
      <c r="BJ11" s="74"/>
      <c r="BK11" s="74"/>
      <c r="BL11" s="74"/>
      <c r="BM11" s="74"/>
      <c r="BN11" s="60">
        <f>385/83</f>
        <v>4.6385542168674698</v>
      </c>
      <c r="CY11" s="60">
        <f>394/84</f>
        <v>4.6904761904761907</v>
      </c>
      <c r="DC11" s="60">
        <f>389/84</f>
        <v>4.6309523809523814</v>
      </c>
    </row>
    <row r="12" spans="1:138" s="73" customFormat="1">
      <c r="G12" s="73" t="s">
        <v>406</v>
      </c>
      <c r="H12" s="94">
        <f>H11-H10</f>
        <v>3.6492537135332395</v>
      </c>
      <c r="I12" s="94"/>
      <c r="J12" s="94"/>
      <c r="K12" s="94"/>
      <c r="L12" s="94"/>
      <c r="M12" s="94"/>
      <c r="N12" s="94">
        <f>N11-N10</f>
        <v>3.294437450525586</v>
      </c>
      <c r="O12" s="94"/>
      <c r="P12" s="94"/>
      <c r="Q12" s="94"/>
      <c r="R12" s="94"/>
      <c r="S12" s="94"/>
      <c r="T12" s="94"/>
      <c r="U12" s="94"/>
      <c r="V12" s="94">
        <f>V11-V10</f>
        <v>3.1632460439560437</v>
      </c>
      <c r="W12" s="94"/>
      <c r="X12" s="94"/>
      <c r="Y12" s="94">
        <f>Y11-Y10</f>
        <v>2.8703184280663572</v>
      </c>
      <c r="Z12" s="94"/>
      <c r="AA12" s="94">
        <f>AA11-AA10</f>
        <v>2.7894783836030204</v>
      </c>
      <c r="AB12" s="94"/>
      <c r="AC12" s="94"/>
      <c r="AD12" s="94"/>
      <c r="AE12" s="94"/>
      <c r="AF12" s="94"/>
      <c r="AG12" s="94"/>
      <c r="AH12" s="94"/>
      <c r="AI12" s="94">
        <f t="shared" ref="AI12:AO12" si="19">AI11-AI10</f>
        <v>3.9182812756226966</v>
      </c>
      <c r="AJ12" s="94">
        <f t="shared" si="19"/>
        <v>3.9033596243815016</v>
      </c>
      <c r="AK12" s="94">
        <f t="shared" si="19"/>
        <v>2.742871167744128</v>
      </c>
      <c r="AL12" s="94">
        <f t="shared" si="19"/>
        <v>2.8765771688673221</v>
      </c>
      <c r="AM12" s="94">
        <f t="shared" si="19"/>
        <v>2.1881372135017982</v>
      </c>
      <c r="AN12" s="94">
        <f t="shared" si="19"/>
        <v>2.7999813331437138</v>
      </c>
      <c r="AO12" s="94">
        <f t="shared" si="19"/>
        <v>2.1422112584900783</v>
      </c>
      <c r="AP12" s="94"/>
      <c r="AQ12" s="94">
        <f>AQ11-AQ10</f>
        <v>1.867367177055701</v>
      </c>
      <c r="AR12" s="94"/>
      <c r="AS12" s="94">
        <f>AS11-AS10</f>
        <v>2.4591391241164779</v>
      </c>
      <c r="AT12" s="94"/>
      <c r="AU12" s="94"/>
      <c r="AV12" s="94"/>
      <c r="AW12" s="94"/>
      <c r="AX12" s="94"/>
      <c r="AY12" s="94"/>
      <c r="AZ12" s="94"/>
      <c r="BA12" s="94"/>
      <c r="BB12" s="94"/>
      <c r="BC12" s="94"/>
      <c r="BD12" s="94"/>
      <c r="BE12" s="94"/>
      <c r="BF12" s="94"/>
      <c r="BG12" s="94"/>
      <c r="BH12" s="94"/>
      <c r="BI12" s="94"/>
      <c r="BJ12" s="94"/>
      <c r="BK12" s="94"/>
      <c r="BL12" s="94"/>
      <c r="BM12" s="94"/>
      <c r="BN12" s="93">
        <f>BN11-BN10</f>
        <v>1.9724142168674694</v>
      </c>
      <c r="CY12" s="93">
        <f>CY11-CY10</f>
        <v>1.8689561904761907</v>
      </c>
      <c r="DC12" s="93">
        <f>DC11-DC10</f>
        <v>1.7173123809523809</v>
      </c>
    </row>
    <row r="14" spans="1:138" ht="13" thickBot="1">
      <c r="A14" s="72" t="s">
        <v>470</v>
      </c>
    </row>
    <row r="15" spans="1:138" s="161" customFormat="1" ht="13" thickBot="1">
      <c r="G15" s="193" t="s">
        <v>407</v>
      </c>
      <c r="H15" s="163">
        <f>1.93+H10</f>
        <v>3.8917387999999997</v>
      </c>
      <c r="I15" s="163">
        <f t="shared" ref="I15:BT15" si="20">1.93+I10</f>
        <v>3.7955700000000006</v>
      </c>
      <c r="J15" s="163">
        <f t="shared" si="20"/>
        <v>3.6541364000000005</v>
      </c>
      <c r="K15" s="163">
        <f t="shared" si="20"/>
        <v>3.6062316000000001</v>
      </c>
      <c r="L15" s="163">
        <f t="shared" si="20"/>
        <v>3.6441524000000003</v>
      </c>
      <c r="M15" s="163">
        <f t="shared" si="20"/>
        <v>3.801288</v>
      </c>
      <c r="N15" s="163">
        <f t="shared" si="20"/>
        <v>3.9742888000000001</v>
      </c>
      <c r="O15" s="163">
        <f t="shared" si="20"/>
        <v>4.0097031999999997</v>
      </c>
      <c r="P15" s="163">
        <f t="shared" si="20"/>
        <v>4.0803719999999997</v>
      </c>
      <c r="Q15" s="163">
        <f t="shared" si="20"/>
        <v>4.0958668000000005</v>
      </c>
      <c r="R15" s="163">
        <f t="shared" si="20"/>
        <v>4.2212947999999999</v>
      </c>
      <c r="S15" s="163">
        <f t="shared" si="20"/>
        <v>4.4702272000000001</v>
      </c>
      <c r="T15" s="163">
        <f t="shared" si="20"/>
        <v>4.5262019999999996</v>
      </c>
      <c r="U15" s="163">
        <f t="shared" si="20"/>
        <v>4.6658632000000004</v>
      </c>
      <c r="V15" s="163">
        <f t="shared" si="20"/>
        <v>4.8107100000000003</v>
      </c>
      <c r="W15" s="163">
        <f t="shared" si="20"/>
        <v>4.9309495999999999</v>
      </c>
      <c r="X15" s="163">
        <f t="shared" si="20"/>
        <v>5.1783516000000001</v>
      </c>
      <c r="Y15" s="163">
        <f t="shared" si="20"/>
        <v>5.0428200000000007</v>
      </c>
      <c r="Z15" s="163">
        <f t="shared" si="20"/>
        <v>5.0442296000000004</v>
      </c>
      <c r="AA15" s="163">
        <f t="shared" si="20"/>
        <v>5.0736391999999997</v>
      </c>
      <c r="AB15" s="163">
        <f t="shared" si="20"/>
        <v>5.1129188000000001</v>
      </c>
      <c r="AC15" s="163">
        <f t="shared" si="20"/>
        <v>5.2671815999999998</v>
      </c>
      <c r="AD15" s="163">
        <f t="shared" si="20"/>
        <v>5.1870919999999998</v>
      </c>
      <c r="AE15" s="163">
        <f t="shared" si="20"/>
        <v>5.0203304000000006</v>
      </c>
      <c r="AF15" s="163">
        <f t="shared" si="20"/>
        <v>5.0720552000000003</v>
      </c>
      <c r="AG15" s="163">
        <f t="shared" si="20"/>
        <v>5.2340876000000005</v>
      </c>
      <c r="AH15" s="163">
        <f t="shared" si="20"/>
        <v>5.1976491999999999</v>
      </c>
      <c r="AI15" s="163">
        <f t="shared" si="20"/>
        <v>5.2096799999999996</v>
      </c>
      <c r="AJ15" s="163">
        <f t="shared" si="20"/>
        <v>5.0236020000000003</v>
      </c>
      <c r="AK15" s="163">
        <f t="shared" si="20"/>
        <v>4.9508488000000002</v>
      </c>
      <c r="AL15" s="163">
        <f t="shared" si="20"/>
        <v>4.5495467999999999</v>
      </c>
      <c r="AM15" s="163">
        <f t="shared" si="20"/>
        <v>4.6069152000000004</v>
      </c>
      <c r="AN15" s="163">
        <f t="shared" si="20"/>
        <v>4.4888828000000007</v>
      </c>
      <c r="AO15" s="163">
        <f t="shared" si="20"/>
        <v>4.4623024000000004</v>
      </c>
      <c r="AP15" s="163">
        <f t="shared" si="20"/>
        <v>4.6129607999999998</v>
      </c>
      <c r="AQ15" s="163">
        <f t="shared" si="20"/>
        <v>4.7301120000000001</v>
      </c>
      <c r="AR15" s="163">
        <f t="shared" si="20"/>
        <v>4.8917200000000003</v>
      </c>
      <c r="AS15" s="163">
        <f t="shared" si="20"/>
        <v>4.8531200000000005</v>
      </c>
      <c r="AT15" s="163">
        <f t="shared" si="20"/>
        <v>4.8455200000000005</v>
      </c>
      <c r="AU15" s="163">
        <f t="shared" si="20"/>
        <v>4.8133600000000003</v>
      </c>
      <c r="AV15" s="163">
        <f t="shared" si="20"/>
        <v>4.6981799999999998</v>
      </c>
      <c r="AW15" s="163">
        <f t="shared" si="20"/>
        <v>4.6107600000000009</v>
      </c>
      <c r="AX15" s="163">
        <f t="shared" si="20"/>
        <v>4.5652800000000004</v>
      </c>
      <c r="AY15" s="163">
        <f t="shared" si="20"/>
        <v>4.6772800000000005</v>
      </c>
      <c r="AZ15" s="163">
        <f t="shared" si="20"/>
        <v>4.6151200000000001</v>
      </c>
      <c r="BA15" s="163">
        <f t="shared" si="20"/>
        <v>4.6604799999999997</v>
      </c>
      <c r="BB15" s="163">
        <f t="shared" si="20"/>
        <v>4.6134400000000007</v>
      </c>
      <c r="BC15" s="163">
        <f t="shared" si="20"/>
        <v>4.5302800000000003</v>
      </c>
      <c r="BD15" s="163">
        <f t="shared" si="20"/>
        <v>4.5955200000000005</v>
      </c>
      <c r="BE15" s="163">
        <f t="shared" si="20"/>
        <v>4.5955200000000005</v>
      </c>
      <c r="BF15" s="163">
        <f t="shared" si="20"/>
        <v>4.6313600000000008</v>
      </c>
      <c r="BG15" s="163">
        <f t="shared" si="20"/>
        <v>4.5720000000000001</v>
      </c>
      <c r="BH15" s="163">
        <f t="shared" si="20"/>
        <v>4.5473600000000003</v>
      </c>
      <c r="BI15" s="163">
        <f t="shared" si="20"/>
        <v>4.5260800000000003</v>
      </c>
      <c r="BJ15" s="163">
        <f t="shared" si="20"/>
        <v>4.5078800000000001</v>
      </c>
      <c r="BK15" s="163">
        <f t="shared" si="20"/>
        <v>4.5444800000000001</v>
      </c>
      <c r="BL15" s="163">
        <f t="shared" si="20"/>
        <v>4.56142</v>
      </c>
      <c r="BM15" s="163">
        <f t="shared" si="20"/>
        <v>4.5747200000000001</v>
      </c>
      <c r="BN15" s="163">
        <f t="shared" si="20"/>
        <v>4.5961400000000001</v>
      </c>
      <c r="BO15" s="163">
        <f t="shared" si="20"/>
        <v>4.6128</v>
      </c>
      <c r="BP15" s="163">
        <f t="shared" si="20"/>
        <v>4.6128</v>
      </c>
      <c r="BQ15" s="163">
        <f t="shared" si="20"/>
        <v>4.6616599999999995</v>
      </c>
      <c r="BR15" s="163">
        <f t="shared" si="20"/>
        <v>4.6405199999999995</v>
      </c>
      <c r="BS15" s="163">
        <f t="shared" si="20"/>
        <v>4.6394000000000002</v>
      </c>
      <c r="BT15" s="163">
        <f t="shared" si="20"/>
        <v>4.7137399999999996</v>
      </c>
      <c r="BU15" s="163">
        <f>1.93+BU10</f>
        <v>4.7035200000000001</v>
      </c>
      <c r="BV15" s="163">
        <f>1.93+BV10</f>
        <v>4.6896399999999998</v>
      </c>
      <c r="BW15" s="163">
        <f>1.93+BW10</f>
        <v>4.6582800000000004</v>
      </c>
      <c r="BX15" s="163">
        <f>1.93+BX10</f>
        <v>4.6582800000000004</v>
      </c>
      <c r="BY15" s="163">
        <f>1.93+BY10</f>
        <v>4.69496</v>
      </c>
      <c r="BZ15" s="163">
        <f t="shared" ref="BZ15:CG15" si="21">1.93+BZ10</f>
        <v>4.6509999999999998</v>
      </c>
      <c r="CA15" s="163">
        <f t="shared" si="21"/>
        <v>4.6509999999999998</v>
      </c>
      <c r="CB15" s="163">
        <f t="shared" si="21"/>
        <v>4.6837600000000004</v>
      </c>
      <c r="CC15" s="163">
        <f t="shared" si="21"/>
        <v>4.6927200000000004</v>
      </c>
      <c r="CD15" s="163">
        <f t="shared" si="21"/>
        <v>4.7279999999999998</v>
      </c>
      <c r="CE15" s="163">
        <f t="shared" si="21"/>
        <v>4.7428400000000002</v>
      </c>
      <c r="CF15" s="163">
        <f t="shared" si="21"/>
        <v>4.8198400000000001</v>
      </c>
      <c r="CG15" s="163">
        <f t="shared" si="21"/>
        <v>4.8027600000000001</v>
      </c>
      <c r="CH15" s="163">
        <f t="shared" ref="CH15:CQ15" si="22">1.93+CH10</f>
        <v>4.9237200000000003</v>
      </c>
      <c r="CI15" s="163">
        <f t="shared" si="22"/>
        <v>4.9069200000000004</v>
      </c>
      <c r="CJ15" s="163">
        <f t="shared" si="22"/>
        <v>4.96096</v>
      </c>
      <c r="CK15" s="163">
        <f t="shared" si="22"/>
        <v>5.1004000000000005</v>
      </c>
      <c r="CL15" s="163">
        <f t="shared" si="22"/>
        <v>5.0948000000000002</v>
      </c>
      <c r="CM15" s="163">
        <f t="shared" si="22"/>
        <v>5.2387199999999998</v>
      </c>
      <c r="CN15" s="163">
        <f t="shared" si="22"/>
        <v>5.1818800000000005</v>
      </c>
      <c r="CO15" s="163">
        <f t="shared" si="22"/>
        <v>5.3370000000000006</v>
      </c>
      <c r="CP15" s="163">
        <f t="shared" si="22"/>
        <v>5.1916800000000007</v>
      </c>
      <c r="CQ15" s="163">
        <f t="shared" si="22"/>
        <v>5.1046000000000005</v>
      </c>
      <c r="CR15" s="163">
        <f>1.93+CR10</f>
        <v>5.0222800000000003</v>
      </c>
      <c r="CS15" s="163">
        <f>1.93+CS10</f>
        <v>5.02508</v>
      </c>
      <c r="CT15" s="163">
        <f>1.93+CT10</f>
        <v>4.9665600000000003</v>
      </c>
      <c r="CU15" s="163">
        <f>1.93+CU10</f>
        <v>5.1043200000000004</v>
      </c>
      <c r="CV15" s="163">
        <f t="shared" ref="CV15:DC15" si="23">1.93+CV10</f>
        <v>5.0256400000000001</v>
      </c>
      <c r="CW15" s="163">
        <f t="shared" si="23"/>
        <v>4.8864800000000006</v>
      </c>
      <c r="CX15" s="163">
        <f t="shared" si="23"/>
        <v>4.8545600000000002</v>
      </c>
      <c r="CY15" s="163">
        <f t="shared" si="23"/>
        <v>4.7515200000000002</v>
      </c>
      <c r="CZ15" s="163">
        <f t="shared" si="23"/>
        <v>4.798</v>
      </c>
      <c r="DA15" s="163">
        <f t="shared" si="23"/>
        <v>4.8226400000000007</v>
      </c>
      <c r="DB15" s="163">
        <f t="shared" si="23"/>
        <v>4.8778000000000006</v>
      </c>
      <c r="DC15" s="163">
        <f t="shared" si="23"/>
        <v>4.8436400000000006</v>
      </c>
      <c r="DD15" s="163">
        <f t="shared" ref="DD15:DU15" si="24">1.93+DD10</f>
        <v>4.8419600000000003</v>
      </c>
      <c r="DE15" s="163">
        <f t="shared" si="24"/>
        <v>4.9209200000000006</v>
      </c>
      <c r="DF15" s="163">
        <f t="shared" si="24"/>
        <v>5.0869600000000004</v>
      </c>
      <c r="DG15" s="163">
        <f t="shared" si="24"/>
        <v>5.0130400000000002</v>
      </c>
      <c r="DH15" s="163">
        <f t="shared" si="24"/>
        <v>4.9842000000000004</v>
      </c>
      <c r="DI15" s="163">
        <f t="shared" si="24"/>
        <v>4.9556400000000007</v>
      </c>
      <c r="DJ15" s="163">
        <f t="shared" si="24"/>
        <v>4.9520000000000008</v>
      </c>
      <c r="DK15" s="163">
        <f t="shared" si="24"/>
        <v>4.9811199999999998</v>
      </c>
      <c r="DL15" s="163">
        <f t="shared" si="24"/>
        <v>4.9102800000000002</v>
      </c>
      <c r="DM15" s="163">
        <f t="shared" si="24"/>
        <v>4.7918400000000005</v>
      </c>
      <c r="DN15" s="163">
        <f t="shared" si="24"/>
        <v>4.8058399999999999</v>
      </c>
      <c r="DO15" s="163">
        <f t="shared" si="24"/>
        <v>4.8231999999999999</v>
      </c>
      <c r="DP15" s="163">
        <f t="shared" si="24"/>
        <v>4.8506400000000003</v>
      </c>
      <c r="DQ15" s="163">
        <f t="shared" si="24"/>
        <v>4.8369200000000001</v>
      </c>
      <c r="DR15" s="163">
        <f t="shared" si="24"/>
        <v>4.8153600000000001</v>
      </c>
      <c r="DS15" s="163">
        <f t="shared" si="24"/>
        <v>1.93</v>
      </c>
      <c r="DT15" s="163">
        <f t="shared" si="24"/>
        <v>1.93</v>
      </c>
      <c r="DU15" s="163">
        <f t="shared" si="24"/>
        <v>1.93</v>
      </c>
    </row>
    <row r="17" spans="4:4">
      <c r="D17" s="195"/>
    </row>
  </sheetData>
  <mergeCells count="1">
    <mergeCell ref="A8:A9"/>
  </mergeCells>
  <phoneticPr fontId="52" type="noConversion"/>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dimension ref="A1:GH22"/>
  <sheetViews>
    <sheetView zoomScale="80" zoomScaleNormal="80" workbookViewId="0">
      <pane xSplit="10" ySplit="7" topLeftCell="AC8" activePane="bottomRight" state="frozen"/>
      <selection pane="topRight" activeCell="K1" sqref="K1"/>
      <selection pane="bottomLeft" activeCell="A8" sqref="A8"/>
      <selection pane="bottomRight" activeCell="J17" sqref="J17"/>
    </sheetView>
  </sheetViews>
  <sheetFormatPr baseColWidth="10" defaultColWidth="8.83203125" defaultRowHeight="15"/>
  <cols>
    <col min="1" max="1" width="17.33203125" bestFit="1" customWidth="1"/>
    <col min="2" max="2" width="14.1640625" bestFit="1" customWidth="1"/>
    <col min="3" max="3" width="6" bestFit="1" customWidth="1"/>
    <col min="4" max="4" width="17.33203125" bestFit="1" customWidth="1"/>
    <col min="5" max="5" width="14.83203125" bestFit="1" customWidth="1"/>
    <col min="6" max="6" width="7.5" bestFit="1" customWidth="1"/>
    <col min="7" max="7" width="28.6640625" bestFit="1" customWidth="1"/>
    <col min="8" max="8" width="6.5" bestFit="1" customWidth="1"/>
    <col min="9" max="9" width="6.6640625" bestFit="1" customWidth="1"/>
    <col min="10" max="10" width="7.1640625" bestFit="1" customWidth="1"/>
    <col min="11" max="11" width="6.5" bestFit="1" customWidth="1"/>
    <col min="12" max="12" width="7.5" bestFit="1" customWidth="1"/>
    <col min="13" max="13" width="6.5" bestFit="1" customWidth="1"/>
    <col min="14" max="14" width="5.83203125" bestFit="1" customWidth="1"/>
    <col min="15" max="15" width="6.83203125" bestFit="1" customWidth="1"/>
    <col min="16" max="17" width="6.6640625" bestFit="1" customWidth="1"/>
    <col min="18" max="18" width="7.1640625" bestFit="1" customWidth="1"/>
    <col min="19" max="19" width="6.83203125" bestFit="1" customWidth="1"/>
    <col min="20" max="20" width="6.5" bestFit="1" customWidth="1"/>
    <col min="21" max="21" width="6.6640625" bestFit="1" customWidth="1"/>
    <col min="22" max="22" width="7.1640625" bestFit="1" customWidth="1"/>
    <col min="23" max="23" width="6.5" bestFit="1" customWidth="1"/>
    <col min="24" max="24" width="7.5" bestFit="1" customWidth="1"/>
    <col min="25" max="25" width="6.5" bestFit="1" customWidth="1"/>
    <col min="26" max="26" width="5.83203125" bestFit="1" customWidth="1"/>
    <col min="27" max="27" width="6.83203125" bestFit="1" customWidth="1"/>
    <col min="28" max="29" width="6.6640625" bestFit="1" customWidth="1"/>
    <col min="30" max="30" width="7.1640625" bestFit="1" customWidth="1"/>
    <col min="31" max="31" width="6.83203125" bestFit="1" customWidth="1"/>
    <col min="32" max="32" width="6.5" bestFit="1" customWidth="1"/>
    <col min="33" max="33" width="6.6640625" bestFit="1" customWidth="1"/>
    <col min="34" max="34" width="7.1640625" bestFit="1" customWidth="1"/>
    <col min="35" max="35" width="6.5" bestFit="1" customWidth="1"/>
    <col min="36" max="36" width="7.5" bestFit="1" customWidth="1"/>
    <col min="37" max="37" width="6.5" bestFit="1" customWidth="1"/>
    <col min="38" max="38" width="5.83203125" bestFit="1" customWidth="1"/>
    <col min="39" max="39" width="6.83203125" bestFit="1" customWidth="1"/>
    <col min="40" max="41" width="6.6640625" bestFit="1" customWidth="1"/>
    <col min="42" max="42" width="7.1640625" bestFit="1" customWidth="1"/>
    <col min="43" max="43" width="6.83203125" bestFit="1" customWidth="1"/>
    <col min="44" max="44" width="6.5" bestFit="1" customWidth="1"/>
    <col min="45" max="45" width="6.6640625" bestFit="1" customWidth="1"/>
    <col min="46" max="46" width="7.1640625" bestFit="1" customWidth="1"/>
    <col min="47" max="47" width="6.5" bestFit="1" customWidth="1"/>
    <col min="48" max="48" width="7.5" bestFit="1" customWidth="1"/>
    <col min="49" max="49" width="6.5" bestFit="1" customWidth="1"/>
    <col min="50" max="53" width="7.5" bestFit="1" customWidth="1"/>
    <col min="54" max="55" width="6.83203125" bestFit="1" customWidth="1"/>
    <col min="56" max="57" width="6.5" bestFit="1" customWidth="1"/>
    <col min="58" max="65" width="7.1640625" bestFit="1" customWidth="1"/>
    <col min="66" max="69" width="5.6640625" bestFit="1" customWidth="1"/>
    <col min="70" max="73" width="5.5" bestFit="1" customWidth="1"/>
    <col min="74" max="77" width="5.1640625" bestFit="1" customWidth="1"/>
    <col min="78" max="80" width="6.6640625" bestFit="1" customWidth="1"/>
  </cols>
  <sheetData>
    <row r="1" spans="1:190">
      <c r="A1" s="7" t="s">
        <v>377</v>
      </c>
      <c r="B1" s="7" t="s">
        <v>378</v>
      </c>
      <c r="C1" s="7" t="s">
        <v>379</v>
      </c>
      <c r="D1" s="7" t="s">
        <v>380</v>
      </c>
      <c r="E1" s="7" t="s">
        <v>381</v>
      </c>
      <c r="F1" s="7" t="s">
        <v>33</v>
      </c>
      <c r="H1" s="23">
        <v>6</v>
      </c>
      <c r="I1" s="23">
        <v>7</v>
      </c>
      <c r="J1" s="23">
        <v>8</v>
      </c>
      <c r="K1" s="23">
        <v>9</v>
      </c>
      <c r="L1" s="23">
        <v>10</v>
      </c>
      <c r="M1" s="23">
        <v>11</v>
      </c>
      <c r="N1" s="23">
        <v>12</v>
      </c>
      <c r="O1" s="23">
        <v>13</v>
      </c>
      <c r="P1" s="23">
        <v>14</v>
      </c>
      <c r="Q1" s="23">
        <v>15</v>
      </c>
      <c r="R1" s="23">
        <v>16</v>
      </c>
      <c r="S1" s="23">
        <v>17</v>
      </c>
      <c r="T1" s="23">
        <v>18</v>
      </c>
      <c r="U1" s="23">
        <v>19</v>
      </c>
      <c r="V1" s="23">
        <v>20</v>
      </c>
      <c r="W1" s="23">
        <v>21</v>
      </c>
      <c r="X1" s="23">
        <v>22</v>
      </c>
      <c r="Y1" s="23">
        <v>23</v>
      </c>
      <c r="Z1" s="23">
        <v>24</v>
      </c>
      <c r="AA1" s="23">
        <v>25</v>
      </c>
      <c r="AB1" s="23">
        <v>26</v>
      </c>
      <c r="AC1" s="23">
        <v>27</v>
      </c>
      <c r="AD1" s="23">
        <v>28</v>
      </c>
      <c r="AE1" s="23">
        <v>29</v>
      </c>
      <c r="AF1" s="23">
        <v>30</v>
      </c>
      <c r="AG1" s="23">
        <v>31</v>
      </c>
      <c r="AH1" s="23">
        <v>32</v>
      </c>
      <c r="AI1" s="23">
        <v>33</v>
      </c>
      <c r="AJ1" s="23">
        <v>34</v>
      </c>
      <c r="AK1" s="23">
        <v>35</v>
      </c>
      <c r="AL1" s="23">
        <v>36</v>
      </c>
      <c r="AM1" s="23">
        <v>37</v>
      </c>
      <c r="AN1" s="23">
        <v>38</v>
      </c>
      <c r="AO1" s="23">
        <v>39</v>
      </c>
      <c r="AP1" s="23">
        <v>40</v>
      </c>
      <c r="AQ1" s="23">
        <v>41</v>
      </c>
      <c r="AR1" s="23">
        <v>42</v>
      </c>
      <c r="AS1" s="23">
        <v>43</v>
      </c>
      <c r="AT1" s="23">
        <v>44</v>
      </c>
      <c r="AU1" s="23">
        <v>45</v>
      </c>
      <c r="AV1" s="23">
        <v>46</v>
      </c>
      <c r="AW1" s="23">
        <v>47</v>
      </c>
      <c r="AX1" s="23">
        <v>48</v>
      </c>
      <c r="AY1" s="23">
        <v>49</v>
      </c>
      <c r="AZ1" s="23">
        <v>50</v>
      </c>
      <c r="BA1" s="23">
        <v>51</v>
      </c>
      <c r="BB1" s="23">
        <v>52</v>
      </c>
      <c r="BC1" s="23">
        <v>53</v>
      </c>
      <c r="BD1" s="23">
        <v>54</v>
      </c>
      <c r="BE1" s="23">
        <v>55</v>
      </c>
      <c r="BF1" s="23">
        <v>56</v>
      </c>
      <c r="BG1" s="23">
        <v>57</v>
      </c>
      <c r="BH1" s="23">
        <v>58</v>
      </c>
      <c r="BI1" s="23">
        <v>59</v>
      </c>
      <c r="BJ1" s="23">
        <v>60</v>
      </c>
      <c r="BK1" s="23">
        <v>61</v>
      </c>
      <c r="BL1" s="23">
        <v>62</v>
      </c>
      <c r="BM1" s="23">
        <v>63</v>
      </c>
      <c r="BN1" s="23">
        <v>64</v>
      </c>
      <c r="BO1" s="23">
        <v>65</v>
      </c>
      <c r="BP1" s="23">
        <v>66</v>
      </c>
      <c r="BQ1" s="23">
        <v>67</v>
      </c>
      <c r="BR1" s="23">
        <v>68</v>
      </c>
      <c r="BS1" s="23">
        <v>69</v>
      </c>
      <c r="BT1" s="23">
        <v>70</v>
      </c>
      <c r="BU1" s="23">
        <v>71</v>
      </c>
      <c r="BV1" s="23">
        <v>72</v>
      </c>
      <c r="BW1" s="23">
        <v>73</v>
      </c>
      <c r="BX1" s="23">
        <v>74</v>
      </c>
      <c r="BY1" s="23">
        <v>75</v>
      </c>
      <c r="BZ1" s="23">
        <v>76</v>
      </c>
      <c r="CA1" s="23">
        <v>77</v>
      </c>
      <c r="CB1" s="23">
        <v>78</v>
      </c>
      <c r="CC1" s="23">
        <v>79</v>
      </c>
      <c r="CD1" s="23">
        <v>80</v>
      </c>
      <c r="CE1" s="23">
        <v>81</v>
      </c>
      <c r="CF1" s="23">
        <v>82</v>
      </c>
      <c r="CG1" s="23">
        <v>83</v>
      </c>
      <c r="CH1" s="23">
        <v>84</v>
      </c>
      <c r="CI1" s="23">
        <v>85</v>
      </c>
      <c r="CJ1" s="23">
        <v>86</v>
      </c>
      <c r="CK1" s="23">
        <v>87</v>
      </c>
      <c r="CL1" s="23">
        <v>88</v>
      </c>
      <c r="CM1" s="23">
        <v>89</v>
      </c>
      <c r="CN1" s="23">
        <v>90</v>
      </c>
      <c r="CO1" s="23">
        <v>91</v>
      </c>
      <c r="CP1" s="23">
        <v>92</v>
      </c>
      <c r="CQ1" s="23">
        <v>93</v>
      </c>
      <c r="CR1" s="23">
        <v>94</v>
      </c>
      <c r="CS1" s="23">
        <v>95</v>
      </c>
      <c r="CT1" s="23">
        <v>96</v>
      </c>
      <c r="CU1" s="23">
        <v>97</v>
      </c>
      <c r="CV1" s="23">
        <v>98</v>
      </c>
      <c r="CW1" s="23">
        <v>99</v>
      </c>
      <c r="CX1" s="23">
        <v>100</v>
      </c>
      <c r="CY1" s="23">
        <v>101</v>
      </c>
      <c r="CZ1" s="23">
        <v>102</v>
      </c>
      <c r="DA1" s="23">
        <v>103</v>
      </c>
      <c r="DB1" s="23">
        <v>104</v>
      </c>
      <c r="DC1" s="23">
        <v>105</v>
      </c>
      <c r="DD1" s="23">
        <v>106</v>
      </c>
      <c r="DE1" s="23">
        <v>107</v>
      </c>
      <c r="DF1" s="23">
        <v>108</v>
      </c>
      <c r="DG1" s="23">
        <v>109</v>
      </c>
      <c r="DH1" s="23">
        <v>110</v>
      </c>
      <c r="DI1" s="23">
        <v>111</v>
      </c>
      <c r="DJ1" s="23">
        <v>112</v>
      </c>
      <c r="DK1" s="23">
        <v>113</v>
      </c>
      <c r="DL1" s="23">
        <v>114</v>
      </c>
      <c r="DM1" s="23">
        <v>115</v>
      </c>
      <c r="DN1" s="23">
        <v>116</v>
      </c>
      <c r="DO1" s="23">
        <v>117</v>
      </c>
      <c r="DP1" s="23">
        <v>118</v>
      </c>
      <c r="DQ1" s="23">
        <v>119</v>
      </c>
      <c r="DR1" s="23">
        <v>120</v>
      </c>
      <c r="DS1" s="23">
        <v>121</v>
      </c>
      <c r="DT1" s="23">
        <v>122</v>
      </c>
      <c r="DU1" s="23">
        <v>123</v>
      </c>
      <c r="DV1" s="23">
        <v>124</v>
      </c>
      <c r="DW1" s="23">
        <v>125</v>
      </c>
      <c r="DX1" s="23">
        <v>126</v>
      </c>
      <c r="DY1" s="23">
        <v>127</v>
      </c>
      <c r="DZ1" s="23">
        <v>128</v>
      </c>
      <c r="EA1" s="23">
        <v>129</v>
      </c>
      <c r="EB1" s="23">
        <v>130</v>
      </c>
      <c r="EC1" s="23">
        <v>131</v>
      </c>
      <c r="ED1" s="23">
        <v>132</v>
      </c>
      <c r="EE1" s="23">
        <v>133</v>
      </c>
      <c r="EF1" s="23">
        <v>134</v>
      </c>
      <c r="EG1" s="23">
        <v>135</v>
      </c>
      <c r="EH1" s="23">
        <v>136</v>
      </c>
      <c r="EI1" s="23">
        <v>137</v>
      </c>
      <c r="EJ1" s="23">
        <v>138</v>
      </c>
      <c r="EK1" s="23">
        <v>139</v>
      </c>
      <c r="EL1" s="23">
        <v>140</v>
      </c>
      <c r="EM1" s="23">
        <v>141</v>
      </c>
      <c r="EN1" s="23">
        <v>142</v>
      </c>
      <c r="EO1" s="23">
        <v>143</v>
      </c>
      <c r="EP1" s="23">
        <v>144</v>
      </c>
      <c r="EQ1" s="23">
        <v>145</v>
      </c>
      <c r="ER1" s="23">
        <v>146</v>
      </c>
    </row>
    <row r="2" spans="1:190">
      <c r="A2" s="16" t="s">
        <v>314</v>
      </c>
      <c r="B2" s="16" t="s">
        <v>444</v>
      </c>
      <c r="C2" s="3"/>
      <c r="D2" t="s">
        <v>240</v>
      </c>
    </row>
    <row r="3" spans="1:190">
      <c r="A3" s="16" t="s">
        <v>471</v>
      </c>
      <c r="B3" s="16" t="s">
        <v>472</v>
      </c>
      <c r="C3" s="3"/>
      <c r="D3" s="3" t="s">
        <v>473</v>
      </c>
      <c r="E3" s="3"/>
      <c r="G3" t="s">
        <v>387</v>
      </c>
    </row>
    <row r="4" spans="1:190">
      <c r="A4" s="16">
        <v>44.05</v>
      </c>
      <c r="B4" s="16">
        <v>17.030999999999999</v>
      </c>
      <c r="C4" s="3"/>
      <c r="D4" s="3">
        <v>105.14</v>
      </c>
      <c r="E4" s="3"/>
    </row>
    <row r="5" spans="1:190">
      <c r="A5" s="16"/>
      <c r="B5" s="16"/>
      <c r="C5" s="3"/>
      <c r="D5" s="3"/>
      <c r="E5" s="3"/>
    </row>
    <row r="6" spans="1:190">
      <c r="D6" s="3"/>
      <c r="G6" s="7" t="s">
        <v>416</v>
      </c>
      <c r="H6" s="7">
        <v>43831</v>
      </c>
      <c r="I6" s="7">
        <v>43862</v>
      </c>
      <c r="J6" s="7">
        <v>43891</v>
      </c>
      <c r="K6" s="7">
        <v>43922</v>
      </c>
      <c r="L6" s="7">
        <v>43952</v>
      </c>
      <c r="M6" s="7">
        <v>43983</v>
      </c>
      <c r="N6" s="7">
        <v>44013</v>
      </c>
      <c r="O6" s="7">
        <v>44044</v>
      </c>
      <c r="P6" s="7">
        <v>44075</v>
      </c>
      <c r="Q6" s="7">
        <v>44105</v>
      </c>
      <c r="R6" s="7">
        <v>44136</v>
      </c>
      <c r="S6" s="7">
        <v>44166</v>
      </c>
      <c r="T6" s="7">
        <v>44197</v>
      </c>
      <c r="U6" s="7">
        <v>44228</v>
      </c>
      <c r="V6" s="7">
        <v>44256</v>
      </c>
      <c r="W6" s="7">
        <v>44287</v>
      </c>
      <c r="X6" s="7">
        <v>44317</v>
      </c>
      <c r="Y6" s="7">
        <v>44348</v>
      </c>
      <c r="Z6" s="7">
        <v>44378</v>
      </c>
      <c r="AA6" s="7">
        <v>44409</v>
      </c>
      <c r="AB6" s="7">
        <v>44440</v>
      </c>
      <c r="AC6" s="7">
        <v>44470</v>
      </c>
      <c r="AD6" s="7">
        <v>44501</v>
      </c>
      <c r="AE6" s="7">
        <v>44531</v>
      </c>
      <c r="AF6" s="7">
        <v>44562</v>
      </c>
      <c r="AG6" s="7">
        <v>44593</v>
      </c>
      <c r="AH6" s="7">
        <v>44621</v>
      </c>
      <c r="AI6" s="7">
        <v>44652</v>
      </c>
      <c r="AJ6" s="7">
        <v>44682</v>
      </c>
      <c r="AK6" s="7">
        <v>44713</v>
      </c>
      <c r="AL6" s="7">
        <v>44743</v>
      </c>
      <c r="AM6" s="7">
        <v>44774</v>
      </c>
      <c r="AN6" s="7">
        <v>44805</v>
      </c>
      <c r="AO6" s="7">
        <v>44835</v>
      </c>
      <c r="AP6" s="7">
        <v>44866</v>
      </c>
      <c r="AQ6" s="7">
        <v>44896</v>
      </c>
      <c r="AR6" s="7">
        <v>44927</v>
      </c>
      <c r="AS6" s="7">
        <v>44958</v>
      </c>
      <c r="AT6" s="7">
        <v>44986</v>
      </c>
      <c r="AU6" s="7">
        <v>45017</v>
      </c>
      <c r="AV6" s="7">
        <v>45047</v>
      </c>
      <c r="AW6" s="7">
        <v>45078</v>
      </c>
      <c r="AX6" s="7" t="s">
        <v>450</v>
      </c>
      <c r="AY6" s="7" t="s">
        <v>451</v>
      </c>
      <c r="AZ6" s="7" t="s">
        <v>452</v>
      </c>
      <c r="BA6" s="7" t="s">
        <v>453</v>
      </c>
      <c r="BB6" s="7">
        <v>37104</v>
      </c>
      <c r="BC6" s="7">
        <v>37469</v>
      </c>
      <c r="BD6" s="7" t="s">
        <v>168</v>
      </c>
      <c r="BE6" s="7" t="s">
        <v>169</v>
      </c>
      <c r="BF6" s="7" t="s">
        <v>195</v>
      </c>
      <c r="BG6" s="7" t="s">
        <v>196</v>
      </c>
      <c r="BH6" s="7" t="s">
        <v>197</v>
      </c>
      <c r="BI6" s="7" t="s">
        <v>198</v>
      </c>
      <c r="BJ6" s="7" t="s">
        <v>199</v>
      </c>
      <c r="BK6" s="7" t="s">
        <v>200</v>
      </c>
      <c r="BL6" s="7" t="s">
        <v>201</v>
      </c>
      <c r="BM6" s="7" t="s">
        <v>202</v>
      </c>
      <c r="BN6" s="59">
        <v>37196</v>
      </c>
      <c r="BO6" s="59">
        <v>37561</v>
      </c>
      <c r="BP6" s="59">
        <v>37926</v>
      </c>
      <c r="BQ6" s="59">
        <v>38292</v>
      </c>
      <c r="BR6" s="59">
        <v>37226</v>
      </c>
      <c r="BS6" s="59">
        <v>37591</v>
      </c>
      <c r="BT6" s="59">
        <v>37956</v>
      </c>
      <c r="BU6" s="59">
        <v>38322</v>
      </c>
      <c r="BV6" s="59">
        <v>36892</v>
      </c>
      <c r="BW6" s="59">
        <v>37257</v>
      </c>
      <c r="BX6" s="59">
        <v>37622</v>
      </c>
      <c r="BY6" s="59">
        <v>37987</v>
      </c>
      <c r="BZ6" s="7">
        <v>36923</v>
      </c>
      <c r="CA6" s="7">
        <v>37288</v>
      </c>
      <c r="CB6" s="7">
        <v>37653</v>
      </c>
      <c r="CC6" s="7">
        <v>38018</v>
      </c>
      <c r="CD6" s="59" t="str">
        <f>Sheet8!A15</f>
        <v>Mar-w1</v>
      </c>
      <c r="CE6" s="59" t="s">
        <v>285</v>
      </c>
      <c r="CF6" s="59" t="s">
        <v>286</v>
      </c>
      <c r="CG6" s="59" t="s">
        <v>287</v>
      </c>
      <c r="CH6" s="7" t="str">
        <f>Sheet8!E15</f>
        <v>Apr-w1</v>
      </c>
      <c r="CI6" s="7" t="str">
        <f>Sheet8!F15</f>
        <v>Apr-w2</v>
      </c>
      <c r="CJ6" s="7" t="str">
        <f>Sheet8!G15</f>
        <v>Apr-w3</v>
      </c>
      <c r="CK6" s="7" t="str">
        <f>Sheet8!H15</f>
        <v>Apr-w4</v>
      </c>
      <c r="CL6" s="7" t="str">
        <f>Sheet8!I15</f>
        <v>May-w1</v>
      </c>
      <c r="CM6" s="7" t="str">
        <f>Sheet8!J15</f>
        <v>May-w2</v>
      </c>
      <c r="CN6" s="7" t="str">
        <f>Sheet8!K15</f>
        <v>May-w3</v>
      </c>
      <c r="CO6" s="7" t="str">
        <f>Sheet8!L15</f>
        <v>May-w4</v>
      </c>
      <c r="CP6" s="7" t="str">
        <f>Sheet8!M15</f>
        <v>May-w5</v>
      </c>
      <c r="CQ6" s="7" t="str">
        <f>Sheet8!N15</f>
        <v>june-w1</v>
      </c>
      <c r="CR6" s="7" t="str">
        <f>Sheet8!O15</f>
        <v>june-w2</v>
      </c>
      <c r="CS6" s="7" t="str">
        <f>Sheet8!P15</f>
        <v>june-w3</v>
      </c>
      <c r="CT6" s="7" t="str">
        <f>Sheet8!Q15</f>
        <v>june-w4</v>
      </c>
      <c r="CU6" s="7" t="str">
        <f>Sheet8!R15</f>
        <v>Jul-w1</v>
      </c>
      <c r="CV6" s="7" t="str">
        <f>Sheet8!S15</f>
        <v>Jul-w2</v>
      </c>
      <c r="CW6" s="7" t="str">
        <f>Sheet8!T15</f>
        <v>Jul-w3</v>
      </c>
      <c r="CX6" s="7" t="str">
        <f>Sheet8!U15</f>
        <v>Jul-w4</v>
      </c>
      <c r="CY6" s="7" t="str">
        <f>Sheet8!V15</f>
        <v>Aug-w1</v>
      </c>
      <c r="CZ6" s="7" t="str">
        <f>Sheet8!W15</f>
        <v>Aug-w2</v>
      </c>
      <c r="DA6" s="7" t="str">
        <f>Sheet8!X15</f>
        <v>Aug-w3</v>
      </c>
      <c r="DB6" s="7" t="str">
        <f>Sheet8!Y15</f>
        <v>Aug-w4</v>
      </c>
      <c r="DC6" s="7" t="str">
        <f>Sheet8!Z15</f>
        <v>Sep-w1</v>
      </c>
      <c r="DD6" s="7" t="str">
        <f>Sheet8!AA15</f>
        <v>Sep-w2</v>
      </c>
      <c r="DE6" s="7" t="str">
        <f>Sheet8!AB15</f>
        <v>Sep-w3</v>
      </c>
      <c r="DF6" s="7" t="str">
        <f>Sheet8!AC15</f>
        <v>Sep-w4</v>
      </c>
      <c r="DG6" s="7" t="str">
        <f>Sheet8!AD15</f>
        <v>Oct-w1</v>
      </c>
      <c r="DH6" s="7" t="str">
        <f>Sheet8!AE15</f>
        <v>Oct-w2</v>
      </c>
      <c r="DI6" s="7" t="str">
        <f>Sheet8!AF15</f>
        <v>Oct-w3</v>
      </c>
      <c r="DJ6" s="7" t="str">
        <f>Sheet8!AG15</f>
        <v>Oct-w4</v>
      </c>
      <c r="DK6" s="7" t="str">
        <f>Sheet8!AH15</f>
        <v>Nov-w1</v>
      </c>
      <c r="DL6" s="7" t="str">
        <f>Sheet8!AI15</f>
        <v>Nov-w2</v>
      </c>
      <c r="DM6" s="7" t="str">
        <f>Sheet8!AJ15</f>
        <v>Nov-w3</v>
      </c>
      <c r="DN6" s="7" t="str">
        <f>Sheet8!AK15</f>
        <v>Nov-w4</v>
      </c>
      <c r="DO6" s="7" t="str">
        <f>Sheet8!AL15</f>
        <v>Dec-w1</v>
      </c>
      <c r="DP6" s="7" t="str">
        <f>Sheet8!AM15</f>
        <v>Dec-w2</v>
      </c>
      <c r="DQ6" s="7" t="str">
        <f>Sheet8!AN15</f>
        <v>Dec-w3</v>
      </c>
      <c r="DR6" s="7" t="str">
        <f>Sheet8!AO15</f>
        <v>Dec-w4</v>
      </c>
      <c r="DS6" s="7">
        <f>Sheet8!AP15</f>
        <v>0</v>
      </c>
      <c r="DT6" s="7">
        <f>Sheet8!AQ15</f>
        <v>0</v>
      </c>
      <c r="DU6" s="7">
        <f>Sheet8!AR15</f>
        <v>0</v>
      </c>
      <c r="DV6" s="7">
        <f>Sheet8!AS15</f>
        <v>0</v>
      </c>
      <c r="DW6" s="7">
        <f>Sheet8!AT15</f>
        <v>0</v>
      </c>
      <c r="DX6" s="7">
        <f>Sheet8!AU15</f>
        <v>0</v>
      </c>
      <c r="DY6" s="7">
        <f>Sheet8!AV15</f>
        <v>0</v>
      </c>
      <c r="DZ6" s="7">
        <f>Sheet8!AW15</f>
        <v>0</v>
      </c>
      <c r="EA6" s="7">
        <f>Sheet8!AX15</f>
        <v>0</v>
      </c>
      <c r="EB6" s="7">
        <f>Sheet8!AY15</f>
        <v>0</v>
      </c>
      <c r="EC6" s="7">
        <f>Sheet8!AZ15</f>
        <v>0</v>
      </c>
      <c r="ED6" s="7">
        <f>Sheet8!BA15</f>
        <v>0</v>
      </c>
      <c r="EE6" s="7"/>
      <c r="EF6" s="7"/>
      <c r="EG6" s="7"/>
      <c r="EH6" s="7"/>
      <c r="EI6" s="7"/>
      <c r="EJ6" s="7"/>
      <c r="EK6" s="7"/>
      <c r="EL6" s="7"/>
      <c r="EM6" s="7"/>
      <c r="EN6" s="7"/>
      <c r="EO6" s="7"/>
      <c r="EP6" s="7"/>
      <c r="EQ6" s="7"/>
      <c r="ER6" s="7"/>
      <c r="ES6" s="7"/>
      <c r="ET6" s="7"/>
      <c r="EU6" s="7"/>
      <c r="EV6" s="7"/>
      <c r="EW6" s="7"/>
      <c r="EX6" s="7"/>
      <c r="EY6" s="7"/>
      <c r="EZ6" s="7"/>
      <c r="FA6" s="7"/>
      <c r="FB6" s="7"/>
      <c r="FC6" s="7"/>
      <c r="FD6" s="7"/>
      <c r="FE6" s="7"/>
      <c r="FF6" s="7"/>
      <c r="FG6" s="7"/>
      <c r="FH6" s="7"/>
      <c r="FI6" s="7"/>
      <c r="FJ6" s="7"/>
      <c r="FK6" s="7"/>
      <c r="FL6" s="7"/>
      <c r="FM6" s="7"/>
      <c r="FN6" s="7"/>
      <c r="FO6" s="7"/>
      <c r="FP6" s="7"/>
      <c r="FQ6" s="7"/>
      <c r="FR6" s="7"/>
      <c r="FS6" s="7"/>
      <c r="FT6" s="7"/>
      <c r="FU6" s="7"/>
      <c r="FV6" s="7"/>
      <c r="FW6" s="7"/>
      <c r="FX6" s="7"/>
      <c r="FY6" s="7"/>
      <c r="FZ6" s="7"/>
      <c r="GA6" s="7"/>
      <c r="GB6" s="7"/>
      <c r="GC6" s="7"/>
      <c r="GD6" s="7"/>
      <c r="GE6" s="7"/>
      <c r="GF6" s="7"/>
      <c r="GG6" s="7"/>
      <c r="GH6" s="7"/>
    </row>
    <row r="7" spans="1:190">
      <c r="A7" s="9"/>
      <c r="B7" s="51"/>
      <c r="D7" t="s">
        <v>474</v>
      </c>
      <c r="F7" t="s">
        <v>466</v>
      </c>
      <c r="G7" s="30" t="s">
        <v>55</v>
      </c>
      <c r="H7" s="5">
        <f>VLOOKUP($G$7&amp;$F$1,'Input RM sheet'!$A:$AY,H1,0)</f>
        <v>1119</v>
      </c>
      <c r="I7" s="5">
        <f>VLOOKUP($G$7&amp;$F$1,'Input RM sheet'!$A:$AY,I1,0)</f>
        <v>1101</v>
      </c>
      <c r="J7" s="5">
        <f>VLOOKUP($G$7&amp;$F$1,'Input RM sheet'!$A:$AY,J1,0)</f>
        <v>1096</v>
      </c>
      <c r="K7" s="5">
        <f>VLOOKUP($G$7&amp;$F$1,'Input RM sheet'!$A:$AY,K1,0)</f>
        <v>848.53</v>
      </c>
      <c r="L7" s="5">
        <f>VLOOKUP($G$7&amp;$F$1,'Input RM sheet'!$A:$AY,L1,0)</f>
        <v>953.75</v>
      </c>
      <c r="M7" s="5">
        <f>VLOOKUP($G$7&amp;$F$1,'Input RM sheet'!$A:$AY,M1,0)</f>
        <v>1059</v>
      </c>
      <c r="N7" s="5">
        <f>VLOOKUP($G$7&amp;$F$1,'Input RM sheet'!$A:$AY,N1,0)</f>
        <v>1013</v>
      </c>
      <c r="O7" s="5">
        <f>VLOOKUP($G$7&amp;$F$1,'Input RM sheet'!$A:$AY,O1,0)</f>
        <v>995.61</v>
      </c>
      <c r="P7" s="5">
        <f>VLOOKUP($G$7&amp;$F$1,'Input RM sheet'!$A:$AY,P1,0)</f>
        <v>1071</v>
      </c>
      <c r="Q7" s="5">
        <f>VLOOKUP($G$7&amp;$F$1,'Input RM sheet'!$A:$AY,Q1,0)</f>
        <v>1086</v>
      </c>
      <c r="R7" s="5">
        <f>VLOOKUP($G$7&amp;$F$1,'Input RM sheet'!$A:$AY,R1,0)</f>
        <v>1121</v>
      </c>
      <c r="S7" s="5">
        <f>VLOOKUP($G$7&amp;$F$1,'Input RM sheet'!$A:$AY,S1,0)</f>
        <v>1154</v>
      </c>
      <c r="T7" s="5">
        <f>VLOOKUP($G$7&amp;$F$1,'Input RM sheet'!$A:$AY,T1,0)</f>
        <v>1154</v>
      </c>
      <c r="U7" s="5">
        <f>VLOOKUP($G$7&amp;$F$1,'Input RM sheet'!$A:$AY,U1,0)</f>
        <v>1106</v>
      </c>
      <c r="V7" s="5">
        <f>VLOOKUP($G$7&amp;$F$1,'Input RM sheet'!$A:$AY,V1,0)</f>
        <v>1305</v>
      </c>
      <c r="W7" s="5">
        <f>VLOOKUP($G$7&amp;$F$1,'Input RM sheet'!$A:$AY,W1,0)</f>
        <v>1295</v>
      </c>
      <c r="X7" s="5">
        <f>VLOOKUP($G$7&amp;$F$1,'Input RM sheet'!$A:$AY,X1,0)</f>
        <v>1198</v>
      </c>
      <c r="Y7" s="5">
        <f>VLOOKUP($G$7&amp;$F$1,'Input RM sheet'!$A:$AY,Y1,0)</f>
        <v>1074</v>
      </c>
      <c r="Z7" s="5">
        <f>VLOOKUP($G$7&amp;$F$1,'Input RM sheet'!$A:$AY,Z1,0)</f>
        <v>1112</v>
      </c>
      <c r="AA7" s="5">
        <f>VLOOKUP($G$7&amp;$F$1,'Input RM sheet'!$A:$AY,AA1,0)</f>
        <v>1189</v>
      </c>
      <c r="AB7" s="5">
        <f>VLOOKUP($G$7&amp;$F$1,'Input RM sheet'!$A:$AY,AB1,0)</f>
        <v>1200</v>
      </c>
      <c r="AC7" s="5">
        <f>VLOOKUP($G$7&amp;$F$1,'Input RM sheet'!$A:$AY,AC1,0)</f>
        <v>1534</v>
      </c>
      <c r="AD7" s="5">
        <f>VLOOKUP($G$7&amp;$F$1,'Input RM sheet'!$A:$AY,AD1,0)</f>
        <v>1189</v>
      </c>
      <c r="AE7" s="5">
        <f>VLOOKUP($G$7&amp;$F$1,'Input RM sheet'!$A:$AY,AE1,0)</f>
        <v>1177</v>
      </c>
      <c r="AF7" s="5">
        <f>VLOOKUP($G$7&amp;$F$1,'Input RM sheet'!$A:$AY,AF1,0)</f>
        <v>1094</v>
      </c>
      <c r="AG7" s="5">
        <f>VLOOKUP($G$7&amp;$F$1,'Input RM sheet'!$A:$AY,AG1,0)</f>
        <v>1317</v>
      </c>
      <c r="AH7" s="5">
        <f>VLOOKUP($G$7&amp;$F$1,'Input RM sheet'!$A:$AY,AH1,0)</f>
        <v>1292</v>
      </c>
      <c r="AI7" s="5">
        <f>VLOOKUP($G$7&amp;$F$1,'Input RM sheet'!$A:$AY,AI1,0)</f>
        <v>1291</v>
      </c>
      <c r="AJ7" s="5">
        <f>VLOOKUP($G$7&amp;$F$1,'Input RM sheet'!$A:$AY,AJ1,0)</f>
        <v>1239</v>
      </c>
      <c r="AK7" s="5">
        <f>VLOOKUP($G$7&amp;$F$1,'Input RM sheet'!$A:$AY,AK1,0)</f>
        <v>1128</v>
      </c>
      <c r="AL7" s="5">
        <f>VLOOKUP($G$7&amp;$F$1,'Input RM sheet'!$A:$AY,AL1,0)</f>
        <v>972.8</v>
      </c>
      <c r="AM7" s="5">
        <f>VLOOKUP($G$7&amp;$F$1,'Input RM sheet'!$A:$AY,AM1,0)</f>
        <v>955.68</v>
      </c>
      <c r="AN7" s="5">
        <f>VLOOKUP($G$7&amp;$F$1,'Input RM sheet'!$A:$AY,AN1,0)</f>
        <v>1070</v>
      </c>
      <c r="AO7" s="5">
        <f>VLOOKUP($G$7&amp;$F$1,'Input RM sheet'!$A:$AY,AO1,0)</f>
        <v>1015</v>
      </c>
      <c r="AP7" s="5">
        <f>VLOOKUP($G$7&amp;$F$1,'Input RM sheet'!$A:$AY,AP1,0)</f>
        <v>941.53</v>
      </c>
      <c r="AQ7" s="5">
        <f>VLOOKUP($G$7&amp;$F$1,'Input RM sheet'!$A:$AY,AQ1,0)</f>
        <v>960.4</v>
      </c>
      <c r="AR7" s="5">
        <f>VLOOKUP($G$7&amp;$F$1,'Input RM sheet'!$A:$AY,AR1,0)</f>
        <v>898.02</v>
      </c>
      <c r="AS7" s="5">
        <f>VLOOKUP($G$7&amp;$F$1,'Input RM sheet'!$A:$AY,AS1,0)</f>
        <v>993.41</v>
      </c>
      <c r="AT7" s="5">
        <f>VLOOKUP($G$7&amp;$F$1,'Input RM sheet'!$A:$AY,AT1,0)</f>
        <v>1044</v>
      </c>
      <c r="AU7" s="5">
        <f>VLOOKUP($G$7&amp;$F$1,'Input RM sheet'!$A:$AY,AU1,0)</f>
        <v>1016</v>
      </c>
      <c r="AV7" s="5">
        <f>VLOOKUP($G$7&amp;$F$1,'Input RM sheet'!$A:$AY,AV1,0)</f>
        <v>905.25</v>
      </c>
      <c r="AW7" s="5">
        <f>VLOOKUP($G$7&amp;$F$1,'Input RM sheet'!$A:$AY,AW1,0)</f>
        <v>838.5</v>
      </c>
      <c r="AX7" s="5">
        <f>VLOOKUP($G$7&amp;$F$1,'Input RM sheet'!$A:$AY,AX1,0)</f>
        <v>838.5</v>
      </c>
      <c r="AY7" s="5">
        <f>VLOOKUP($G$7&amp;$F$1,'Input RM sheet'!$A:$AY,AY1,0)</f>
        <v>838.5</v>
      </c>
      <c r="AZ7" s="5">
        <f>VLOOKUP($G$7&amp;$F$1,'Input RM sheet'!$A:$AY,AZ1,0)</f>
        <v>838.5</v>
      </c>
      <c r="BA7" s="5">
        <f>VLOOKUP($G$7&amp;$F$1,'Input RM sheet'!$A:$AY,BA1,0)</f>
        <v>848.21</v>
      </c>
      <c r="BB7" s="5">
        <f>VLOOKUP($G$7&amp;$F$1,'Input RM sheet'!$A:$CH,BB1,0)</f>
        <v>848.39</v>
      </c>
      <c r="BC7" s="5">
        <f>VLOOKUP($G$7&amp;$F$1,'Input RM sheet'!$A:$CH,BC1,0)</f>
        <v>848.39</v>
      </c>
      <c r="BD7" s="5">
        <f>VLOOKUP($G$7&amp;$F$1,'Input RM sheet'!$A:$CH,BD1,0)</f>
        <v>848.39</v>
      </c>
      <c r="BE7" s="5">
        <f>VLOOKUP($G$7&amp;$F$1,'Input RM sheet'!$A:$CH,BE1,0)</f>
        <v>848.39</v>
      </c>
      <c r="BF7" s="5">
        <f>VLOOKUP($G$7&amp;$F$1,'Input RM sheet'!$A:$CH,BF1,0)</f>
        <v>890.42</v>
      </c>
      <c r="BG7" s="5">
        <f>VLOOKUP($G$7&amp;$F$1,'Input RM sheet'!$A:$CH,BG1,0)</f>
        <v>890.42</v>
      </c>
      <c r="BH7" s="5">
        <f>VLOOKUP($G$7&amp;$F$1,'Input RM sheet'!$A:$CH,BH1,0)</f>
        <v>911.35</v>
      </c>
      <c r="BI7" s="5">
        <f>VLOOKUP($G$7&amp;$F$1,'Input RM sheet'!$A:$CH,BI1,0)</f>
        <v>911.35</v>
      </c>
      <c r="BJ7" s="5">
        <f>VLOOKUP($G$7&amp;$F$1,'Input RM sheet'!$A:$CH,BJ1,0)</f>
        <v>911.35</v>
      </c>
      <c r="BK7" s="5">
        <f>VLOOKUP($G$7&amp;$F$1,'Input RM sheet'!$A:$CH,BK1,0)</f>
        <v>911.35</v>
      </c>
      <c r="BL7" s="5">
        <f>VLOOKUP($G$7&amp;$F$1,'Input RM sheet'!$A:$CH,BL1,0)</f>
        <v>911.35</v>
      </c>
      <c r="BM7" s="5">
        <f>VLOOKUP($G$7&amp;$F$1,'Input RM sheet'!$A:$CH,BM1,0)</f>
        <v>947.5</v>
      </c>
      <c r="BN7" s="5">
        <f>VLOOKUP($G$7&amp;$F$1,'Input RM sheet'!$A:$CH,BN1,0)</f>
        <v>920.31</v>
      </c>
      <c r="BO7" s="5">
        <f>VLOOKUP($G$7&amp;$F$1,'Input RM sheet'!$A:$CH,BO1,0)</f>
        <v>920.31</v>
      </c>
      <c r="BP7" s="5">
        <f>VLOOKUP($G$7&amp;$F$1,'Input RM sheet'!$A:$CH,BP1,0)</f>
        <v>920.31</v>
      </c>
      <c r="BQ7" s="5">
        <f>VLOOKUP($G$7&amp;$F$1,'Input RM sheet'!$A:$CH,BQ1,0)</f>
        <v>920.31</v>
      </c>
      <c r="BR7" s="5">
        <f>VLOOKUP($G$7&amp;$F$1,'Input RM sheet'!$A:$CH,BR1,0)</f>
        <v>883.61</v>
      </c>
      <c r="BS7" s="5">
        <f>VLOOKUP($G$7&amp;$F$1,'Input RM sheet'!$A:$CH,BS1,0)</f>
        <v>883.61</v>
      </c>
      <c r="BT7" s="5">
        <f>VLOOKUP($G$7&amp;$F$1,'Input RM sheet'!$A:$CH,BT1,0)</f>
        <v>907.02</v>
      </c>
      <c r="BU7" s="5">
        <f>VLOOKUP($G$7&amp;$F$1,'Input RM sheet'!$A:$CH,BU1,0)</f>
        <v>907.19</v>
      </c>
      <c r="BV7" s="5">
        <f>VLOOKUP($G$7&amp;$F$1,'Input RM sheet'!$A:$CH,BV1,0)</f>
        <v>907.19</v>
      </c>
      <c r="BW7" s="5">
        <f>VLOOKUP($G$7&amp;$F$1,'Input RM sheet'!$A:$CH,BW1,0)</f>
        <v>907.19</v>
      </c>
      <c r="BX7" s="5">
        <f>VLOOKUP($G$7&amp;$F$1,'Input RM sheet'!$A:$CH,BX1,0)</f>
        <v>907.19</v>
      </c>
      <c r="BY7" s="5">
        <f>VLOOKUP($G$7&amp;$F$1,'Input RM sheet'!$A:$CH,BY1,0)</f>
        <v>917.02</v>
      </c>
      <c r="BZ7" s="5">
        <f>VLOOKUP($G$7&amp;$F$1,'Input RM sheet'!$A:$CH,BZ1,0)</f>
        <v>917.02</v>
      </c>
      <c r="CA7" s="5">
        <f>VLOOKUP($G$7&amp;$F$1,'Input RM sheet'!$A:$CH,CA1,0)</f>
        <v>917.02</v>
      </c>
      <c r="CB7" s="5">
        <f>VLOOKUP($G$7&amp;$F$1,'Input RM sheet'!$A:$CH,CB1,0)</f>
        <v>917.02</v>
      </c>
      <c r="CC7" s="5">
        <f>VLOOKUP($G$7&amp;$F$1,'Input RM sheet'!$A:$CH,CC1,0)</f>
        <v>917.02</v>
      </c>
      <c r="CD7" s="5">
        <f>VLOOKUP($G$7&amp;$F$1,'Input RM sheet'!$A:$CH,CD1,0)</f>
        <v>925.36</v>
      </c>
      <c r="CE7" s="5">
        <f>VLOOKUP($G$7&amp;$F$1,'Input RM sheet'!$A:$CH,CE1,0)</f>
        <v>925.36</v>
      </c>
      <c r="CF7" s="5">
        <f>VLOOKUP($G$7&amp;$F$1,'Input RM sheet'!$A:$CH,CF1,0)</f>
        <v>925.36</v>
      </c>
      <c r="CG7" s="5">
        <f>VLOOKUP($G$7&amp;$F$1,'Input RM sheet'!$A:$CH,CG1,0)</f>
        <v>937.44</v>
      </c>
      <c r="CH7" s="5">
        <f>VLOOKUP($G$7&amp;$F$1,'Input RM sheet'!$A:$CH,CH1,0)</f>
        <v>937.44</v>
      </c>
      <c r="CI7" s="5">
        <f>VLOOKUP($G$7&amp;$F$1,'Input RM sheet'!$A:$CH,CI1,0)</f>
        <v>937.44</v>
      </c>
      <c r="CJ7" s="5">
        <f>VLOOKUP($G$7&amp;$F$1,'Input RM sheet'!$A:$CH,CJ1,0)</f>
        <v>937.44</v>
      </c>
      <c r="CK7" s="5">
        <f>VLOOKUP($G$7&amp;$F$1,'Input RM sheet'!$A:$ZZ,CK1,0)</f>
        <v>953.19</v>
      </c>
      <c r="CL7" s="5">
        <f>VLOOKUP($G$7&amp;$F$1,'Input RM sheet'!$A:$ZZ,CL1,0)</f>
        <v>982.52</v>
      </c>
      <c r="CM7" s="5">
        <f>VLOOKUP($G$7&amp;$F$1,'Input RM sheet'!$A:$ZZ,CM1,0)</f>
        <v>953.19</v>
      </c>
      <c r="CN7" s="5">
        <f>VLOOKUP($G$7&amp;$F$1,'Input RM sheet'!$A:$ZZ,CN1,0)</f>
        <v>953.19</v>
      </c>
      <c r="CO7" s="5">
        <f>VLOOKUP($G$7&amp;$F$1,'Input RM sheet'!$A:$ZZ,CO1,0)</f>
        <v>953.19</v>
      </c>
      <c r="CP7" s="5">
        <f>VLOOKUP($G$7&amp;$F$1,'Input RM sheet'!$A:$ZZ,CP1,0)</f>
        <v>953.19</v>
      </c>
      <c r="CQ7" s="5">
        <f>VLOOKUP($G$7&amp;$F$1,'Input RM sheet'!$A:$ZZ,CQ1,0)</f>
        <v>940.41</v>
      </c>
      <c r="CR7" s="5">
        <f>VLOOKUP($G$7&amp;$F$1,'Input RM sheet'!$A:$ZZ,CR1,0)</f>
        <v>940.41</v>
      </c>
      <c r="CS7" s="5">
        <f>VLOOKUP($G$7&amp;$F$1,'Input RM sheet'!$A:$ZZ,CS1,0)</f>
        <v>940.41</v>
      </c>
      <c r="CT7" s="5">
        <f>VLOOKUP($G$7&amp;$F$1,'Input RM sheet'!$A:$ZZ,CT1,0)</f>
        <v>917.29</v>
      </c>
      <c r="CU7" s="5">
        <f>VLOOKUP($G$7&amp;$F$1,'Input RM sheet'!$A:$ZZ,CU1,0)</f>
        <v>917.29</v>
      </c>
      <c r="CV7" s="5">
        <f>VLOOKUP($G$7&amp;$F$1,'Input RM sheet'!$A:$ZZ,CV1,0)</f>
        <v>917.29</v>
      </c>
      <c r="CW7" s="5">
        <f>VLOOKUP($G$7&amp;$F$1,'Input RM sheet'!$A:$ZZ,CW1,0)</f>
        <v>917.29</v>
      </c>
      <c r="CX7" s="5">
        <f>VLOOKUP($G$7&amp;$F$1,'Input RM sheet'!$A:$ZZ,CX1,0)</f>
        <v>946.62</v>
      </c>
      <c r="CY7" s="5">
        <f>VLOOKUP($G$7&amp;$F$1,'Input RM sheet'!$A:$ZZ,CY1,0)</f>
        <v>946.62</v>
      </c>
      <c r="CZ7" s="5">
        <f>VLOOKUP($G$7&amp;$F$1,'Input RM sheet'!$A:$ZZ,CZ1,0)</f>
        <v>946.62</v>
      </c>
      <c r="DA7" s="5">
        <f>VLOOKUP($G$7&amp;$F$1,'Input RM sheet'!$A:$ZZ,DA1,0)</f>
        <v>946.62</v>
      </c>
      <c r="DB7" s="5">
        <f>VLOOKUP($G$7&amp;$F$1,'Input RM sheet'!$A:$ZZ,DB1,0)</f>
        <v>946.72</v>
      </c>
      <c r="DC7" s="5">
        <f>VLOOKUP($G$7&amp;$F$1,'Input RM sheet'!$A:$ZZ,DC1,0)</f>
        <v>965.17</v>
      </c>
      <c r="DD7" s="5">
        <f>VLOOKUP($G$7&amp;$F$1,'Input RM sheet'!$A:$ZZ,DD1,0)</f>
        <v>965.17</v>
      </c>
      <c r="DE7" s="5">
        <f>VLOOKUP($G$7&amp;$F$1,'Input RM sheet'!$A:$ZZ,DE1,0)</f>
        <v>965.17</v>
      </c>
      <c r="DF7" s="5">
        <f>VLOOKUP($G$7&amp;$F$1,'Input RM sheet'!$A:$ZZ,DF1,0)</f>
        <v>965.17</v>
      </c>
      <c r="DG7" s="5">
        <f>VLOOKUP($G$7&amp;$F$1,'Input RM sheet'!$A:$ZZ,DG1,0)</f>
        <v>975.36</v>
      </c>
      <c r="DH7" s="5">
        <f>VLOOKUP($G$7&amp;$F$1,'Input RM sheet'!$A:$ZZ,DH1,0)</f>
        <v>975.36</v>
      </c>
      <c r="DI7" s="5">
        <f>VLOOKUP($G$7&amp;$F$1,'Input RM sheet'!$A:$ZZ,DI1,0)</f>
        <v>981.04</v>
      </c>
      <c r="DJ7" s="5">
        <f>VLOOKUP($G$7&amp;$F$1,'Input RM sheet'!$A:$ZZ,DJ1,0)</f>
        <v>981.04</v>
      </c>
      <c r="DK7" s="5">
        <f>VLOOKUP($G$7&amp;$F$1,'Input RM sheet'!$A:$ZZ,DK1,0)</f>
        <v>981.04</v>
      </c>
      <c r="DL7" s="5">
        <f>VLOOKUP($G$7&amp;$F$1,'Input RM sheet'!$A:$ZZ,DL1,0)</f>
        <v>980.47</v>
      </c>
      <c r="DM7" s="5">
        <f>VLOOKUP($G$7&amp;$F$1,'Input RM sheet'!$A:$ZZ,DM1,0)</f>
        <v>980.47</v>
      </c>
      <c r="DN7" s="5">
        <f>VLOOKUP($G$7&amp;$F$1,'Input RM sheet'!$A:$ZZ,DN1,0)</f>
        <v>954.14</v>
      </c>
      <c r="DO7" s="5">
        <f>VLOOKUP($G$7&amp;$F$1,'Input RM sheet'!$A:$ZZ,DO1,0)</f>
        <v>954.14</v>
      </c>
      <c r="DP7" s="5">
        <f>VLOOKUP($G$7&amp;$F$1,'Input RM sheet'!$A:$ZZ,DP1,0)</f>
        <v>954.14</v>
      </c>
      <c r="DQ7" s="5">
        <f>VLOOKUP($G$7&amp;$F$1,'Input RM sheet'!$A:$ZZ,DQ1,0)</f>
        <v>954.14</v>
      </c>
      <c r="DR7" s="5">
        <f>VLOOKUP($G$7&amp;$F$1,'Input RM sheet'!$A:$ZZ,DR1,0)</f>
        <v>955.04</v>
      </c>
      <c r="DS7" s="5">
        <f>VLOOKUP($G$7&amp;$F$1,'Input RM sheet'!$A:$ZZ,DS1,0)</f>
        <v>0</v>
      </c>
      <c r="DT7" s="5">
        <f>VLOOKUP($G$7&amp;$F$1,'Input RM sheet'!$A:$ZZ,DT1,0)</f>
        <v>0</v>
      </c>
      <c r="DU7" s="5">
        <f>VLOOKUP($G$7&amp;$F$1,'Input RM sheet'!$A:$ZZ,DU1,0)</f>
        <v>0</v>
      </c>
      <c r="DV7" s="5">
        <f>VLOOKUP($G$7&amp;$F$1,'Input RM sheet'!$A:$ZZ,DV1,0)</f>
        <v>0</v>
      </c>
      <c r="DW7" s="5">
        <f>VLOOKUP($G$7&amp;$F$1,'Input RM sheet'!$A:$ZZ,DW1,0)</f>
        <v>0</v>
      </c>
      <c r="DX7" s="5">
        <f>VLOOKUP($G$7&amp;$F$1,'Input RM sheet'!$A:$ZZ,DX1,0)</f>
        <v>0</v>
      </c>
      <c r="DY7" s="5">
        <f>VLOOKUP($G$7&amp;$F$1,'Input RM sheet'!$A:$ZZ,DY1,0)</f>
        <v>0</v>
      </c>
      <c r="DZ7" s="5">
        <f>VLOOKUP($G$7&amp;$F$1,'Input RM sheet'!$A:$ZZ,DZ1,0)</f>
        <v>0</v>
      </c>
      <c r="EA7" s="5">
        <f>VLOOKUP($G$7&amp;$F$1,'Input RM sheet'!$A:$ZZ,EA1,0)</f>
        <v>0</v>
      </c>
      <c r="EB7" s="5">
        <f>VLOOKUP($G$7&amp;$F$1,'Input RM sheet'!$A:$ZZ,EB1,0)</f>
        <v>0</v>
      </c>
      <c r="EC7" s="5">
        <f>VLOOKUP($G$7&amp;$F$1,'Input RM sheet'!$A:$ZZ,EC1,0)</f>
        <v>0</v>
      </c>
      <c r="ED7" s="5">
        <f>VLOOKUP($G$7&amp;$F$1,'Input RM sheet'!$A:$ZZ,ED1,0)</f>
        <v>0</v>
      </c>
    </row>
    <row r="8" spans="1:190">
      <c r="A8" s="9"/>
      <c r="D8" t="s">
        <v>426</v>
      </c>
      <c r="F8" t="s">
        <v>475</v>
      </c>
      <c r="G8" s="30" t="s">
        <v>45</v>
      </c>
      <c r="H8" s="90">
        <f>VLOOKUP($G$8&amp;$F$1,'Input RM sheet'!$A:$BD,H1,0)</f>
        <v>0.50625069064173545</v>
      </c>
      <c r="I8" s="90">
        <f>VLOOKUP($G$8&amp;$F$1,'Input RM sheet'!$A:$BD,I1,0)</f>
        <v>0.50605053403738476</v>
      </c>
      <c r="J8" s="90">
        <f>VLOOKUP($G$8&amp;$F$1,'Input RM sheet'!$A:$BD,J1,0)</f>
        <v>0.48566205346589675</v>
      </c>
      <c r="K8" s="90">
        <f>VLOOKUP($G$8&amp;$F$1,'Input RM sheet'!$A:$BD,K1,0)</f>
        <v>0.46604911475979133</v>
      </c>
      <c r="L8" s="90">
        <f>VLOOKUP($G$8&amp;$F$1,'Input RM sheet'!$A:$BD,L1,0)</f>
        <v>0.47286371932487081</v>
      </c>
      <c r="M8" s="90">
        <f>VLOOKUP($G$8&amp;$F$1,'Input RM sheet'!$A:$BD,M1,0)</f>
        <v>0.44148091934964817</v>
      </c>
      <c r="N8" s="90">
        <f>VLOOKUP($G$8&amp;$F$1,'Input RM sheet'!$A:$BD,N1,0)</f>
        <v>0.43426534003337747</v>
      </c>
      <c r="O8" s="90">
        <f>VLOOKUP($G$8&amp;$F$1,'Input RM sheet'!$A:$BD,O1,0)</f>
        <v>0.4253624199790475</v>
      </c>
      <c r="P8" s="90">
        <f>VLOOKUP($G$8&amp;$F$1,'Input RM sheet'!$A:$BD,P1,0)</f>
        <v>0.43233741458081631</v>
      </c>
      <c r="Q8" s="90">
        <f>VLOOKUP($G$8&amp;$F$1,'Input RM sheet'!$A:$BD,Q1,0)</f>
        <v>0.4289746699475917</v>
      </c>
      <c r="R8" s="90">
        <f>VLOOKUP($G$8&amp;$F$1,'Input RM sheet'!$A:$BD,R1,0)</f>
        <v>0.42484260760346637</v>
      </c>
      <c r="S8" s="90">
        <f>VLOOKUP($G$8&amp;$F$1,'Input RM sheet'!$A:$BD,S1,0)</f>
        <v>0.45075951239765033</v>
      </c>
      <c r="T8" s="90">
        <f>VLOOKUP($G$8&amp;$F$1,'Input RM sheet'!$A:$BD,T1,0)</f>
        <v>0.47632070741601718</v>
      </c>
      <c r="U8" s="90">
        <f>VLOOKUP($G$8&amp;$F$1,'Input RM sheet'!$A:$BD,U1,0)</f>
        <v>0.50824175824175821</v>
      </c>
      <c r="V8" s="90">
        <f>VLOOKUP($G$8&amp;$F$1,'Input RM sheet'!$A:$BD,V1,0)</f>
        <v>0.50824175824175821</v>
      </c>
      <c r="W8" s="90">
        <f>VLOOKUP($G$8&amp;$F$1,'Input RM sheet'!$A:$BD,W1,0)</f>
        <v>0.53357522262827839</v>
      </c>
      <c r="X8" s="90">
        <f>VLOOKUP($G$8&amp;$F$1,'Input RM sheet'!$A:$BD,X1,0)</f>
        <v>0.59385665529010234</v>
      </c>
      <c r="Y8" s="90">
        <f>VLOOKUP($G$8&amp;$F$1,'Input RM sheet'!$A:$BD,Y1,0)</f>
        <v>0.63431872099725806</v>
      </c>
      <c r="Z8" s="90">
        <f>VLOOKUP($G$8&amp;$F$1,'Input RM sheet'!$A:$BD,Z1,0)</f>
        <v>0.72591659871949687</v>
      </c>
      <c r="AA8" s="90">
        <f>VLOOKUP($G$8&amp;$F$1,'Input RM sheet'!$A:$BD,AA1,0)</f>
        <v>0.72889455792717117</v>
      </c>
      <c r="AB8" s="90">
        <f>VLOOKUP($G$8&amp;$F$1,'Input RM sheet'!$A:$BD,AB1,0)</f>
        <v>0.74862988980369449</v>
      </c>
      <c r="AC8" s="90">
        <f>VLOOKUP($G$8&amp;$F$1,'Input RM sheet'!$A:$BD,AC1,0)</f>
        <v>0.79168514687656644</v>
      </c>
      <c r="AD8" s="90">
        <f>VLOOKUP($G$8&amp;$F$1,'Input RM sheet'!$A:$BD,AD1,0)</f>
        <v>0.82087330176727136</v>
      </c>
      <c r="AE8" s="90">
        <f>VLOOKUP($G$8&amp;$F$1,'Input RM sheet'!$A:$BD,AE1,0)</f>
        <v>0.84614593649711278</v>
      </c>
      <c r="AF8" s="90">
        <f>VLOOKUP($G$8&amp;$F$1,'Input RM sheet'!$A:$BD,AF1,0)</f>
        <v>1.0564787620243885</v>
      </c>
      <c r="AG8" s="90">
        <f>VLOOKUP($G$8&amp;$F$1,'Input RM sheet'!$A:$BD,AG1,0)</f>
        <v>1.2058469531568468</v>
      </c>
      <c r="AH8" s="90">
        <f>VLOOKUP($G$8&amp;$F$1,'Input RM sheet'!$A:$BD,AH1,0)</f>
        <v>1.328155753838079</v>
      </c>
      <c r="AI8" s="90">
        <f>VLOOKUP($G$8&amp;$F$1,'Input RM sheet'!$A:$BD,AI1,0)</f>
        <v>1.2605824467442697</v>
      </c>
      <c r="AJ8" s="90">
        <f>VLOOKUP($G$8&amp;$F$1,'Input RM sheet'!$A:$BD,AJ1,0)</f>
        <v>1.1242096737595759</v>
      </c>
      <c r="AK8" s="90">
        <f>VLOOKUP($G$8&amp;$F$1,'Input RM sheet'!$A:$BD,AK1,0)</f>
        <v>1.1179786985052897</v>
      </c>
      <c r="AL8" s="90">
        <f>VLOOKUP($G$8&amp;$F$1,'Input RM sheet'!$A:$BD,AL1,0)</f>
        <v>1.0829322457612403</v>
      </c>
      <c r="AM8" s="90">
        <f>VLOOKUP($G$8&amp;$F$1,'Input RM sheet'!$A:$BD,AM1,0)</f>
        <v>1.0855018240664733</v>
      </c>
      <c r="AN8" s="90">
        <f>VLOOKUP($G$8&amp;$F$1,'Input RM sheet'!$A:$BD,AN1,0)</f>
        <v>1.0549821404108952</v>
      </c>
      <c r="AO8" s="90">
        <f>VLOOKUP($G$8&amp;$F$1,'Input RM sheet'!$A:$BD,AO1,0)</f>
        <v>1.0740005833527477</v>
      </c>
      <c r="AP8" s="90">
        <f>VLOOKUP($G$8&amp;$F$1,'Input RM sheet'!$A:$BD,AP1,0)</f>
        <v>1.1385193276752337</v>
      </c>
      <c r="AQ8" s="90">
        <f>VLOOKUP($G$8&amp;$F$1,'Input RM sheet'!$A:$BD,AQ1,0)</f>
        <v>1.0816813265611029</v>
      </c>
      <c r="AR8" s="90">
        <f>VLOOKUP($G$8&amp;$F$1,'Input RM sheet'!$A:$BD,AR1,0)</f>
        <v>0.99756298566293211</v>
      </c>
      <c r="AS8" s="90">
        <f>VLOOKUP($G$8&amp;$F$1,'Input RM sheet'!$A:$BD,AS1,0)</f>
        <v>0.92545631998382882</v>
      </c>
      <c r="AT8" s="90">
        <f>VLOOKUP($G$8&amp;$F$1,'Input RM sheet'!$A:$BD,AT1,0)</f>
        <v>0.9011022063000439</v>
      </c>
      <c r="AU8" s="90">
        <f>VLOOKUP($G$8&amp;$F$1,'Input RM sheet'!$A:$BD,AU1,0)</f>
        <v>0.74767129009219857</v>
      </c>
      <c r="AV8" s="90">
        <f>VLOOKUP($G$8&amp;$F$1,'Input RM sheet'!$A:$BD,AV1,0)</f>
        <v>0.70626929682976414</v>
      </c>
      <c r="AW8" s="90">
        <f>VLOOKUP($G$8&amp;$F$1,'Input RM sheet'!$A:$BD,AW1,0)</f>
        <v>0.61818181818181817</v>
      </c>
      <c r="AX8" s="90">
        <f>VLOOKUP($G$8&amp;$F$1,'Input RM sheet'!$A:$BD,AX1,0)</f>
        <v>0.61863173216885003</v>
      </c>
      <c r="AY8" s="90">
        <f>VLOOKUP($G$8&amp;$F$1,'Input RM sheet'!$A:$BD,AY1,0)</f>
        <v>0.6205889510829885</v>
      </c>
      <c r="AZ8" s="90">
        <f>VLOOKUP($G$8&amp;$F$1,'Input RM sheet'!$A:$BD,AZ1,0)</f>
        <v>0.62255859375</v>
      </c>
      <c r="BA8" s="90">
        <f>VLOOKUP($G$8&amp;$F$1,'Input RM sheet'!$A:$BD,BA1,0)</f>
        <v>0.59567225869195228</v>
      </c>
      <c r="BB8" s="90">
        <f>VLOOKUP($G$8&amp;$F$1,'Input RM sheet'!$A:$BD,BB1,0)</f>
        <v>0.59157310153326093</v>
      </c>
      <c r="BC8" s="90">
        <f>VLOOKUP($G$8&amp;$F$1,'Input RM sheet'!$A:$BD,BC1,0)</f>
        <v>0.58858858858858853</v>
      </c>
      <c r="BD8" s="90">
        <f>VLOOKUP($G$8&amp;$F$1,'Input RM sheet'!$A:$BD,BD1,0)</f>
        <v>0.58858858858858853</v>
      </c>
      <c r="BE8" s="90">
        <f>VLOOKUP($G$8&amp;$F$1,'Input RM sheet'!$A:$BD,BE1,0)</f>
        <v>0.59286146400483963</v>
      </c>
      <c r="BF8" s="90">
        <f>VLOOKUP($G$8&amp;$F$1,'Input RM sheet'!$A:$DD,BF1,0)</f>
        <v>0.5900060204695966</v>
      </c>
      <c r="BG8" s="90">
        <f>VLOOKUP($G$8&amp;$F$1,'Input RM sheet'!$A:$DD,BG1,0)</f>
        <v>0.5666747046057391</v>
      </c>
      <c r="BH8" s="90">
        <f>VLOOKUP($G$8&amp;$F$1,'Input RM sheet'!$A:$DD,BH1,0)</f>
        <v>0.59085976124442297</v>
      </c>
      <c r="BI8" s="90">
        <f>VLOOKUP($G$8&amp;$F$1,'Input RM sheet'!$A:$DD,BI1,0)</f>
        <v>0.58851789574825841</v>
      </c>
      <c r="BJ8" s="90">
        <f>VLOOKUP($G$8&amp;$F$1,'Input RM sheet'!$A:$DD,BJ1,0)</f>
        <v>0.68493150684931503</v>
      </c>
      <c r="BK8" s="90">
        <f>VLOOKUP($G$8&amp;$F$1,'Input RM sheet'!$A:$DD,BK1,0)</f>
        <v>0.68468468468468469</v>
      </c>
      <c r="BL8" s="90">
        <f>VLOOKUP($G$8&amp;$F$1,'Input RM sheet'!$A:$DD,BL1,0)</f>
        <v>0.66169393647738206</v>
      </c>
      <c r="BM8" s="90">
        <f>VLOOKUP($G$8&amp;$F$1,'Input RM sheet'!$A:$DD,BM1,0)</f>
        <v>0.69661301945712217</v>
      </c>
      <c r="BN8" s="90">
        <f>VLOOKUP($G$8&amp;$F$1,'Input RM sheet'!$A:$DD,BN1,0)</f>
        <v>0.69694784907474161</v>
      </c>
      <c r="BO8" s="90">
        <f>VLOOKUP($G$8&amp;$F$1,'Input RM sheet'!$A:$DD,BO1,0)</f>
        <v>0.69719918259406177</v>
      </c>
      <c r="BP8" s="90">
        <f>VLOOKUP($G$8&amp;$F$1,'Input RM sheet'!$A:$DD,BP1,0)</f>
        <v>0.69719918259406177</v>
      </c>
      <c r="BQ8" s="90">
        <f>VLOOKUP($G$8&amp;$F$1,'Input RM sheet'!$A:$DD,BQ1,0)</f>
        <v>0.69602784111364457</v>
      </c>
      <c r="BR8" s="90">
        <f>VLOOKUP($G$8&amp;$F$1,'Input RM sheet'!$A:$DD,BR1,0)</f>
        <v>0.69544364508393286</v>
      </c>
      <c r="BS8" s="90">
        <f>VLOOKUP($G$8&amp;$F$1,'Input RM sheet'!$A:$DD,BS1,0)</f>
        <v>0.63579654510556627</v>
      </c>
      <c r="BT8" s="90">
        <f>VLOOKUP($G$8&amp;$F$1,'Input RM sheet'!$A:$DD,BT1,0)</f>
        <v>0.64872657376261422</v>
      </c>
      <c r="BU8" s="90">
        <f>VLOOKUP($G$8&amp;$F$1,'Input RM sheet'!$A:$DD,BU1,0)</f>
        <v>0.64810369659145473</v>
      </c>
      <c r="BV8" s="90">
        <f>VLOOKUP($G$8&amp;$F$1,'Input RM sheet'!$A:$DD,BV1,0)</f>
        <v>0.63146499879720952</v>
      </c>
      <c r="BW8" s="90">
        <f>VLOOKUP($G$8&amp;$F$1,'Input RM sheet'!$A:$DD,BW1,0)</f>
        <v>0.66145520144317493</v>
      </c>
      <c r="BX8" s="90">
        <f>VLOOKUP($G$8&amp;$F$1,'Input RM sheet'!$A:$DD,BX1,0)</f>
        <v>0.66066066066066065</v>
      </c>
      <c r="BY8" s="90">
        <f>VLOOKUP($G$8&amp;$F$1,'Input RM sheet'!$A:$DD,BY1,0)</f>
        <v>0.67421141343607027</v>
      </c>
      <c r="BZ8" s="90">
        <f>VLOOKUP($G$8&amp;$F$1,'Input RM sheet'!$A:$DD,BZ1,0)</f>
        <v>0.67469879518072284</v>
      </c>
      <c r="CA8" s="90">
        <f>VLOOKUP($G$8&amp;$F$1,'Input RM sheet'!$A:$DD,CA1,0)</f>
        <v>0.6746175159619322</v>
      </c>
      <c r="CB8" s="90">
        <f>VLOOKUP($G$8&amp;$F$1,'Input RM sheet'!$A:$DD,CB1,0)</f>
        <v>0.67551266586248493</v>
      </c>
      <c r="CC8" s="90">
        <f>VLOOKUP($G$8&amp;$F$1,'Input RM sheet'!$A:$DD,CC1,0)</f>
        <v>0.67551266586248493</v>
      </c>
      <c r="CD8" s="90">
        <f>VLOOKUP($G$8&amp;$F$1,'Input RM sheet'!$A:$DD,CD1,0)</f>
        <v>0.64087061668681977</v>
      </c>
      <c r="CE8" s="90">
        <f>VLOOKUP($G$8&amp;$F$1,'Input RM sheet'!$A:$DD,CE1,0)</f>
        <v>0.64040599323344605</v>
      </c>
      <c r="CF8" s="90">
        <f>VLOOKUP($G$8&amp;$F$1,'Input RM sheet'!$A:$DD,CF1,0)</f>
        <v>0.63656017295219791</v>
      </c>
      <c r="CG8" s="90">
        <f>VLOOKUP($G$8&amp;$F$1,'Input RM sheet'!$A:$DD,CG1,0)</f>
        <v>0.63556781388655714</v>
      </c>
      <c r="CH8" s="90">
        <f>VLOOKUP($G$8&amp;$F$1,'Input RM sheet'!$A:$DD,CH1,0)</f>
        <v>0.63694267515923575</v>
      </c>
      <c r="CI8" s="90">
        <f>VLOOKUP($G$8&amp;$F$1,'Input RM sheet'!$A:$DD,CI1,0)</f>
        <v>0.63549160671462823</v>
      </c>
      <c r="CJ8" s="90">
        <f>VLOOKUP($G$8&amp;$F$1,'Input RM sheet'!$A:$DD,CJ1,0)</f>
        <v>0.63389546704939603</v>
      </c>
      <c r="CK8" s="90">
        <f>VLOOKUP($G$8&amp;$F$1,'Input RM sheet'!$A:$DD,CK1,0)</f>
        <v>0.65931431311436106</v>
      </c>
      <c r="CL8" s="90">
        <f>VLOOKUP($G$8&amp;$F$1,'Input RM sheet'!$A:$DD,CL1,0)</f>
        <v>0.6586826347305389</v>
      </c>
      <c r="CM8" s="90">
        <f>VLOOKUP($G$8&amp;$F$1,'Input RM sheet'!$A:$DD,CM1,0)</f>
        <v>0.65986802639472109</v>
      </c>
      <c r="CN8" s="90">
        <f>VLOOKUP($G$8&amp;$F$1,'Input RM sheet'!$A:$DD,CN1,0)</f>
        <v>0.62387522495500902</v>
      </c>
      <c r="CO8" s="90">
        <f>VLOOKUP($G$8&amp;$F$1,'Input RM sheet'!$A:$DD,CO1,0)</f>
        <v>0.62387522495500902</v>
      </c>
      <c r="CP8" s="90">
        <f>VLOOKUP($G$8&amp;$F$1,'Input RM sheet'!$A:$DD,CP1,0)</f>
        <v>0.62387522495500902</v>
      </c>
      <c r="CQ8" s="90">
        <f>VLOOKUP($G$8&amp;$F$1,'Input RM sheet'!$A:$DD,CQ1,0)</f>
        <v>0.61985933961139583</v>
      </c>
      <c r="CR8" s="90">
        <f>VLOOKUP($G$8&amp;$F$1,'Input RM sheet'!$A:$DD,CR1,0)</f>
        <v>0.64748201438848918</v>
      </c>
      <c r="CS8" s="90">
        <f>VLOOKUP($G$8&amp;$F$1,'Input RM sheet'!$A:$DD,CS1,0)</f>
        <v>0.6467065868263473</v>
      </c>
      <c r="CT8" s="90">
        <f>VLOOKUP($G$8&amp;$F$1,'Input RM sheet'!$A:$DD,CT1,0)</f>
        <v>0.67106051527860988</v>
      </c>
      <c r="CU8" s="90">
        <f>VLOOKUP($G$8&amp;$F$1,'Input RM sheet'!$A:$ZZ,CU1,0)</f>
        <v>0.67089972445189894</v>
      </c>
      <c r="CV8" s="90">
        <f>VLOOKUP($G$8&amp;$F$1,'Input RM sheet'!$A:$ZZ,CV1,0)</f>
        <v>0.67025733093955719</v>
      </c>
      <c r="CW8" s="90">
        <f>VLOOKUP($G$8&amp;$F$1,'Input RM sheet'!$A:$ZZ,CW1,0)</f>
        <v>0.65710872162485068</v>
      </c>
      <c r="CX8" s="90">
        <f>VLOOKUP($G$8&amp;$F$1,'Input RM sheet'!$A:$ZZ,CX1,0)</f>
        <v>0.65687328317210081</v>
      </c>
      <c r="CY8" s="90">
        <f>VLOOKUP($G$8&amp;$F$1,'Input RM sheet'!$A:$ZZ,CY1,0)</f>
        <v>0.67897558070279929</v>
      </c>
      <c r="CZ8" s="90">
        <f>VLOOKUP($G$8&amp;$F$1,'Input RM sheet'!$A:$ZZ,CZ1,0)</f>
        <v>0.67889471176750837</v>
      </c>
      <c r="DA8" s="90">
        <f>VLOOKUP($G$8&amp;$F$1,'Input RM sheet'!$A:$ZZ,DA1,0)</f>
        <v>0.6793802145411203</v>
      </c>
      <c r="DB8" s="90">
        <f>VLOOKUP($G$8&amp;$F$1,'Input RM sheet'!$A:$ZZ,DB1,0)</f>
        <v>0.67946119918941472</v>
      </c>
      <c r="DC8" s="90">
        <f>VLOOKUP($G$8&amp;$F$1,'Input RM sheet'!$A:$ZZ,DC1,0)</f>
        <v>0.62529776083849453</v>
      </c>
      <c r="DD8" s="90">
        <f>VLOOKUP($G$8&amp;$F$1,'Input RM sheet'!$A:$ZZ,DD1,0)</f>
        <v>0.62529776083849453</v>
      </c>
      <c r="DE8" s="90">
        <f>VLOOKUP($G$8&amp;$F$1,'Input RM sheet'!$A:$ZZ,DE1,0)</f>
        <v>0.59224694903086861</v>
      </c>
      <c r="DF8" s="90">
        <f>VLOOKUP($G$8&amp;$F$1,'Input RM sheet'!$A:$ZZ,DF1,0)</f>
        <v>0.59168061200095623</v>
      </c>
      <c r="DG8" s="90">
        <f>VLOOKUP($G$8&amp;$F$1,'Input RM sheet'!$A:$ZZ,DG1,0)</f>
        <v>0.58949624866023576</v>
      </c>
      <c r="DH8" s="90">
        <f>VLOOKUP($G$8&amp;$F$1,'Input RM sheet'!$A:$ZZ,DH1,0)</f>
        <v>0.60068990127274891</v>
      </c>
      <c r="DI8" s="90">
        <f>VLOOKUP($G$8&amp;$F$1,'Input RM sheet'!$A:$ZZ,DI1,0)</f>
        <v>0.60068990127274891</v>
      </c>
      <c r="DJ8" s="90">
        <f>VLOOKUP($G$8&amp;$F$1,'Input RM sheet'!$A:$ZZ,DJ1,0)</f>
        <v>0.60061845861084684</v>
      </c>
      <c r="DK8" s="90">
        <f>VLOOKUP($G$8&amp;$F$1,'Input RM sheet'!$A:$ZZ,DK1,0)</f>
        <v>0.60033285782215884</v>
      </c>
      <c r="DL8" s="90">
        <f>VLOOKUP($G$8&amp;$F$1,'Input RM sheet'!$A:$ZZ,DL1,0)</f>
        <v>0.59834123222748814</v>
      </c>
      <c r="DM8" s="90">
        <f>VLOOKUP($G$8&amp;$F$1,'Input RM sheet'!$A:$ZZ,DM1,0)</f>
        <v>0.61706419840987303</v>
      </c>
      <c r="DN8" s="90">
        <f>VLOOKUP($G$8&amp;$F$1,'Input RM sheet'!$A:$ZZ,DN1,0)</f>
        <v>0.61443932411674351</v>
      </c>
      <c r="DO8" s="90">
        <f>VLOOKUP($G$8&amp;$F$1,'Input RM sheet'!$A:$ZZ,DO1,0)</f>
        <v>0.6376195536663124</v>
      </c>
      <c r="DP8" s="90">
        <f>VLOOKUP($G$8&amp;$F$1,'Input RM sheet'!$A:$ZZ,DP1,0)</f>
        <v>0.63067311092773781</v>
      </c>
      <c r="DQ8" s="90">
        <f>VLOOKUP($G$8&amp;$F$1,'Input RM sheet'!$A:$ZZ,DQ1,0)</f>
        <v>0.63000471031559113</v>
      </c>
      <c r="DR8" s="90">
        <f>VLOOKUP($G$8&amp;$F$1,'Input RM sheet'!$A:$ZZ,DR1,0)</f>
        <v>0.62808170932143692</v>
      </c>
      <c r="DS8" s="90">
        <f>VLOOKUP($G$8&amp;$F$1,'Input RM sheet'!$A:$ZZ,DS1,0)</f>
        <v>0</v>
      </c>
      <c r="DT8" s="90">
        <f>VLOOKUP($G$8&amp;$F$1,'Input RM sheet'!$A:$ZZ,DT1,0)</f>
        <v>0</v>
      </c>
      <c r="DU8" s="90">
        <f>VLOOKUP($G$8&amp;$F$1,'Input RM sheet'!$A:$ZZ,DU1,0)</f>
        <v>0</v>
      </c>
      <c r="DV8" s="90">
        <f>VLOOKUP($G$8&amp;$F$1,'Input RM sheet'!$A:$ZZ,DV1,0)</f>
        <v>0</v>
      </c>
      <c r="DW8" s="90">
        <f>VLOOKUP($G$8&amp;$F$1,'Input RM sheet'!$A:$ZZ,DW1,0)</f>
        <v>0</v>
      </c>
      <c r="DX8" s="90">
        <f>VLOOKUP($G$8&amp;$F$1,'Input RM sheet'!$A:$ZZ,DX1,0)</f>
        <v>0</v>
      </c>
      <c r="DY8" s="90">
        <f>VLOOKUP($G$8&amp;$F$1,'Input RM sheet'!$A:$ZZ,DY1,0)</f>
        <v>0</v>
      </c>
      <c r="DZ8" s="90">
        <f>VLOOKUP($G$8&amp;$F$1,'Input RM sheet'!$A:$ZZ,DZ1,0)</f>
        <v>0</v>
      </c>
      <c r="EA8" s="90">
        <f>VLOOKUP($G$8&amp;$F$1,'Input RM sheet'!$A:$ZZ,EA1,0)</f>
        <v>0</v>
      </c>
      <c r="EB8" s="90">
        <f>VLOOKUP($G$8&amp;$F$1,'Input RM sheet'!$A:$ZZ,EB1,0)</f>
        <v>0</v>
      </c>
      <c r="EC8" s="90">
        <f>VLOOKUP($G$8&amp;$F$1,'Input RM sheet'!$A:$ZZ,EC1,0)</f>
        <v>0</v>
      </c>
      <c r="ED8" s="90">
        <f>VLOOKUP($G$8&amp;$F$1,'Input RM sheet'!$A:$ZZ,ED1,0)</f>
        <v>0</v>
      </c>
      <c r="EE8" s="90">
        <f>VLOOKUP($G$8&amp;$F$1,'Input RM sheet'!$A:$ZZ,EE1,0)</f>
        <v>0</v>
      </c>
    </row>
    <row r="9" spans="1:190">
      <c r="A9" s="7" t="s">
        <v>395</v>
      </c>
      <c r="B9" s="7"/>
      <c r="C9" s="7" t="s">
        <v>379</v>
      </c>
      <c r="D9" s="7" t="s">
        <v>380</v>
      </c>
      <c r="E9" s="7" t="s">
        <v>381</v>
      </c>
      <c r="F9" s="7" t="s">
        <v>396</v>
      </c>
    </row>
    <row r="10" spans="1:190">
      <c r="A10" s="368" t="s">
        <v>397</v>
      </c>
      <c r="B10" t="s">
        <v>314</v>
      </c>
      <c r="C10">
        <v>2</v>
      </c>
      <c r="D10" s="3">
        <v>44.05</v>
      </c>
      <c r="E10" s="2">
        <f>D10*C10</f>
        <v>88.1</v>
      </c>
      <c r="F10" s="2">
        <f>E10/$D$4</f>
        <v>0.83793037854289509</v>
      </c>
      <c r="G10" t="s">
        <v>399</v>
      </c>
      <c r="H10" s="4">
        <f>(H7/1000)*$F$10</f>
        <v>0.93764409358949963</v>
      </c>
      <c r="I10" s="4">
        <f t="shared" ref="I10:BC10" si="0">(I7/1000)*$F$10</f>
        <v>0.92256134677572743</v>
      </c>
      <c r="J10" s="4">
        <f t="shared" si="0"/>
        <v>0.91837169488301307</v>
      </c>
      <c r="K10" s="4">
        <f t="shared" si="0"/>
        <v>0.71100906410500275</v>
      </c>
      <c r="L10" s="4">
        <f t="shared" si="0"/>
        <v>0.79917609853528615</v>
      </c>
      <c r="M10" s="4">
        <f t="shared" si="0"/>
        <v>0.88736827087692582</v>
      </c>
      <c r="N10" s="4">
        <f t="shared" si="0"/>
        <v>0.84882347346395259</v>
      </c>
      <c r="O10" s="4">
        <f t="shared" si="0"/>
        <v>0.83425186418109176</v>
      </c>
      <c r="P10" s="4">
        <f t="shared" si="0"/>
        <v>0.89742343541944058</v>
      </c>
      <c r="Q10" s="4">
        <f t="shared" si="0"/>
        <v>0.90999239109758412</v>
      </c>
      <c r="R10" s="4">
        <f t="shared" si="0"/>
        <v>0.93931995434658544</v>
      </c>
      <c r="S10" s="4">
        <f t="shared" si="0"/>
        <v>0.96697165683850084</v>
      </c>
      <c r="T10" s="4">
        <f t="shared" si="0"/>
        <v>0.96697165683850084</v>
      </c>
      <c r="U10" s="4">
        <f t="shared" si="0"/>
        <v>0.92675099866844202</v>
      </c>
      <c r="V10" s="4">
        <f t="shared" si="0"/>
        <v>1.093499143998478</v>
      </c>
      <c r="W10" s="4">
        <f t="shared" si="0"/>
        <v>1.0851198402130491</v>
      </c>
      <c r="X10" s="4">
        <f t="shared" si="0"/>
        <v>1.0038405934943884</v>
      </c>
      <c r="Y10" s="4">
        <f t="shared" si="0"/>
        <v>0.89993722655506936</v>
      </c>
      <c r="Z10" s="4">
        <f t="shared" si="0"/>
        <v>0.93177858093969945</v>
      </c>
      <c r="AA10" s="4">
        <f t="shared" si="0"/>
        <v>0.99629922008750227</v>
      </c>
      <c r="AB10" s="4">
        <f t="shared" si="0"/>
        <v>1.0055164542514741</v>
      </c>
      <c r="AC10" s="4">
        <f t="shared" si="0"/>
        <v>1.285385200684801</v>
      </c>
      <c r="AD10" s="4">
        <f t="shared" si="0"/>
        <v>0.99629922008750227</v>
      </c>
      <c r="AE10" s="4">
        <f t="shared" si="0"/>
        <v>0.98624405554498762</v>
      </c>
      <c r="AF10" s="4">
        <f t="shared" si="0"/>
        <v>0.91669583412592726</v>
      </c>
      <c r="AG10" s="4">
        <f t="shared" si="0"/>
        <v>1.1035543085409929</v>
      </c>
      <c r="AH10" s="4">
        <f t="shared" si="0"/>
        <v>1.0826060490774205</v>
      </c>
      <c r="AI10" s="4">
        <f t="shared" si="0"/>
        <v>1.0817681186988775</v>
      </c>
      <c r="AJ10" s="4">
        <f t="shared" si="0"/>
        <v>1.038195739014647</v>
      </c>
      <c r="AK10" s="4">
        <f t="shared" si="0"/>
        <v>0.94518546699638561</v>
      </c>
      <c r="AL10" s="4">
        <f t="shared" si="0"/>
        <v>0.81513867224652836</v>
      </c>
      <c r="AM10" s="4">
        <f t="shared" si="0"/>
        <v>0.80079330416587391</v>
      </c>
      <c r="AN10" s="4">
        <f t="shared" si="0"/>
        <v>0.89658550504089785</v>
      </c>
      <c r="AO10" s="4">
        <f t="shared" si="0"/>
        <v>0.85049933422103841</v>
      </c>
      <c r="AP10" s="4">
        <f t="shared" si="0"/>
        <v>0.78893658930949195</v>
      </c>
      <c r="AQ10" s="4">
        <f t="shared" si="0"/>
        <v>0.80474833555259651</v>
      </c>
      <c r="AR10" s="4">
        <f t="shared" si="0"/>
        <v>0.75247823853909057</v>
      </c>
      <c r="AS10" s="4">
        <f t="shared" si="0"/>
        <v>0.8324084173482974</v>
      </c>
      <c r="AT10" s="4">
        <f t="shared" si="0"/>
        <v>0.87479931519878251</v>
      </c>
      <c r="AU10" s="4">
        <f>(AU7/1000)*$F$10</f>
        <v>0.85133726459958148</v>
      </c>
      <c r="AV10" s="4">
        <f t="shared" si="0"/>
        <v>0.75853647517595579</v>
      </c>
      <c r="AW10" s="4">
        <f t="shared" si="0"/>
        <v>0.70260462240821753</v>
      </c>
      <c r="AX10" s="4">
        <f t="shared" si="0"/>
        <v>0.70260462240821753</v>
      </c>
      <c r="AY10" s="4">
        <f t="shared" si="0"/>
        <v>0.70260462240821753</v>
      </c>
      <c r="AZ10" s="4">
        <f t="shared" si="0"/>
        <v>0.70260462240821753</v>
      </c>
      <c r="BA10" s="4">
        <f t="shared" si="0"/>
        <v>0.7107409263838691</v>
      </c>
      <c r="BB10" s="4">
        <f>(BB7/1000)*$F$10</f>
        <v>0.71089175385200676</v>
      </c>
      <c r="BC10" s="4">
        <f t="shared" si="0"/>
        <v>0.71089175385200676</v>
      </c>
      <c r="BD10" s="4">
        <f t="shared" ref="BD10:BN10" si="1">(BD7/1000)*$F$10</f>
        <v>0.71089175385200676</v>
      </c>
      <c r="BE10" s="4">
        <f t="shared" si="1"/>
        <v>0.71089175385200676</v>
      </c>
      <c r="BF10" s="4">
        <f t="shared" si="1"/>
        <v>0.74610996766216464</v>
      </c>
      <c r="BG10" s="4">
        <f t="shared" si="1"/>
        <v>0.74610996766216464</v>
      </c>
      <c r="BH10" s="4">
        <f t="shared" si="1"/>
        <v>0.76364785048506745</v>
      </c>
      <c r="BI10" s="4">
        <f t="shared" si="1"/>
        <v>0.76364785048506745</v>
      </c>
      <c r="BJ10" s="4">
        <f t="shared" si="1"/>
        <v>0.76364785048506745</v>
      </c>
      <c r="BK10" s="4">
        <f t="shared" si="1"/>
        <v>0.76364785048506745</v>
      </c>
      <c r="BL10" s="4">
        <f t="shared" si="1"/>
        <v>0.76364785048506745</v>
      </c>
      <c r="BM10" s="4">
        <f t="shared" si="1"/>
        <v>0.79393903366939311</v>
      </c>
      <c r="BN10" s="4">
        <f t="shared" si="1"/>
        <v>0.77115570667681177</v>
      </c>
      <c r="BO10" s="4">
        <f t="shared" ref="BO10:BU10" si="2">(BO7/1000)*$F$10</f>
        <v>0.77115570667681177</v>
      </c>
      <c r="BP10" s="4">
        <f t="shared" si="2"/>
        <v>0.77115570667681177</v>
      </c>
      <c r="BQ10" s="4">
        <f t="shared" si="2"/>
        <v>0.77115570667681177</v>
      </c>
      <c r="BR10" s="4">
        <f t="shared" si="2"/>
        <v>0.74040366178428751</v>
      </c>
      <c r="BS10" s="4">
        <f t="shared" si="2"/>
        <v>0.74040366178428751</v>
      </c>
      <c r="BT10" s="4">
        <f t="shared" si="2"/>
        <v>0.76001961194597667</v>
      </c>
      <c r="BU10" s="4">
        <f t="shared" si="2"/>
        <v>0.76016206011032905</v>
      </c>
      <c r="BV10" s="4">
        <f t="shared" ref="BV10:CQ10" si="3">(BV7/1000)*$F$10</f>
        <v>0.76016206011032905</v>
      </c>
      <c r="BW10" s="4">
        <f t="shared" si="3"/>
        <v>0.76016206011032905</v>
      </c>
      <c r="BX10" s="4">
        <f t="shared" si="3"/>
        <v>0.76016206011032905</v>
      </c>
      <c r="BY10" s="4">
        <f t="shared" si="3"/>
        <v>0.76839891573140562</v>
      </c>
      <c r="BZ10" s="4">
        <f t="shared" si="3"/>
        <v>0.76839891573140562</v>
      </c>
      <c r="CA10" s="4">
        <f t="shared" si="3"/>
        <v>0.76839891573140562</v>
      </c>
      <c r="CB10" s="4">
        <f t="shared" si="3"/>
        <v>0.76839891573140562</v>
      </c>
      <c r="CC10" s="4">
        <f t="shared" si="3"/>
        <v>0.76839891573140562</v>
      </c>
      <c r="CD10" s="4">
        <f t="shared" si="3"/>
        <v>0.77538725508845341</v>
      </c>
      <c r="CE10" s="4">
        <f t="shared" si="3"/>
        <v>0.77538725508845341</v>
      </c>
      <c r="CF10" s="4">
        <f t="shared" si="3"/>
        <v>0.77538725508845341</v>
      </c>
      <c r="CG10" s="4">
        <f t="shared" si="3"/>
        <v>0.78550945406125161</v>
      </c>
      <c r="CH10" s="4">
        <f t="shared" si="3"/>
        <v>0.78550945406125161</v>
      </c>
      <c r="CI10" s="4">
        <f t="shared" si="3"/>
        <v>0.78550945406125161</v>
      </c>
      <c r="CJ10" s="4">
        <f t="shared" si="3"/>
        <v>0.78550945406125161</v>
      </c>
      <c r="CK10" s="4">
        <f t="shared" si="3"/>
        <v>0.79870685752330228</v>
      </c>
      <c r="CL10" s="4">
        <f t="shared" si="3"/>
        <v>0.82328335552596521</v>
      </c>
      <c r="CM10" s="4">
        <f t="shared" si="3"/>
        <v>0.79870685752330228</v>
      </c>
      <c r="CN10" s="4">
        <f t="shared" si="3"/>
        <v>0.79870685752330228</v>
      </c>
      <c r="CO10" s="4">
        <f t="shared" si="3"/>
        <v>0.79870685752330228</v>
      </c>
      <c r="CP10" s="4">
        <f t="shared" si="3"/>
        <v>0.79870685752330228</v>
      </c>
      <c r="CQ10" s="4">
        <f t="shared" si="3"/>
        <v>0.787998107285524</v>
      </c>
      <c r="CR10" s="4">
        <f t="shared" ref="CR10:ED10" si="4">(CR7/1000)*$F$10</f>
        <v>0.787998107285524</v>
      </c>
      <c r="CS10" s="4">
        <f t="shared" si="4"/>
        <v>0.787998107285524</v>
      </c>
      <c r="CT10" s="4">
        <f t="shared" si="4"/>
        <v>0.76862515693361222</v>
      </c>
      <c r="CU10" s="4">
        <f t="shared" si="4"/>
        <v>0.76862515693361222</v>
      </c>
      <c r="CV10" s="4">
        <f t="shared" si="4"/>
        <v>0.76862515693361222</v>
      </c>
      <c r="CW10" s="4">
        <f t="shared" si="4"/>
        <v>0.76862515693361222</v>
      </c>
      <c r="CX10" s="4">
        <f t="shared" si="4"/>
        <v>0.79320165493627537</v>
      </c>
      <c r="CY10" s="4">
        <f t="shared" si="4"/>
        <v>0.79320165493627537</v>
      </c>
      <c r="CZ10" s="4">
        <f t="shared" si="4"/>
        <v>0.79320165493627537</v>
      </c>
      <c r="DA10" s="4">
        <f t="shared" si="4"/>
        <v>0.79320165493627537</v>
      </c>
      <c r="DB10" s="4">
        <f t="shared" si="4"/>
        <v>0.7932854479741297</v>
      </c>
      <c r="DC10" s="4">
        <f t="shared" si="4"/>
        <v>0.80874526345824604</v>
      </c>
      <c r="DD10" s="4">
        <f t="shared" si="4"/>
        <v>0.80874526345824604</v>
      </c>
      <c r="DE10" s="4">
        <f t="shared" si="4"/>
        <v>0.80874526345824604</v>
      </c>
      <c r="DF10" s="4">
        <f t="shared" si="4"/>
        <v>0.80874526345824604</v>
      </c>
      <c r="DG10" s="4">
        <f t="shared" si="4"/>
        <v>0.81728377401559815</v>
      </c>
      <c r="DH10" s="4">
        <f t="shared" si="4"/>
        <v>0.81728377401559815</v>
      </c>
      <c r="DI10" s="4">
        <f t="shared" si="4"/>
        <v>0.82204321856572171</v>
      </c>
      <c r="DJ10" s="4">
        <f t="shared" si="4"/>
        <v>0.82204321856572171</v>
      </c>
      <c r="DK10" s="4">
        <f t="shared" si="4"/>
        <v>0.82204321856572171</v>
      </c>
      <c r="DL10" s="4">
        <f t="shared" si="4"/>
        <v>0.82156559824995246</v>
      </c>
      <c r="DM10" s="4">
        <f t="shared" si="4"/>
        <v>0.82156559824995246</v>
      </c>
      <c r="DN10" s="4">
        <f t="shared" si="4"/>
        <v>0.79950289138291797</v>
      </c>
      <c r="DO10" s="4">
        <f t="shared" si="4"/>
        <v>0.79950289138291797</v>
      </c>
      <c r="DP10" s="4">
        <f t="shared" si="4"/>
        <v>0.79950289138291797</v>
      </c>
      <c r="DQ10" s="4">
        <f t="shared" si="4"/>
        <v>0.79950289138291797</v>
      </c>
      <c r="DR10" s="4">
        <f t="shared" si="4"/>
        <v>0.80025702872360649</v>
      </c>
      <c r="DS10" s="4">
        <f t="shared" si="4"/>
        <v>0</v>
      </c>
      <c r="DT10" s="4">
        <f t="shared" si="4"/>
        <v>0</v>
      </c>
      <c r="DU10" s="4">
        <f t="shared" si="4"/>
        <v>0</v>
      </c>
      <c r="DV10" s="4">
        <f t="shared" si="4"/>
        <v>0</v>
      </c>
      <c r="DW10" s="4">
        <f t="shared" si="4"/>
        <v>0</v>
      </c>
      <c r="DX10" s="4">
        <f t="shared" si="4"/>
        <v>0</v>
      </c>
      <c r="DY10" s="4">
        <f t="shared" si="4"/>
        <v>0</v>
      </c>
      <c r="DZ10" s="4">
        <f t="shared" si="4"/>
        <v>0</v>
      </c>
      <c r="EA10" s="4">
        <f t="shared" si="4"/>
        <v>0</v>
      </c>
      <c r="EB10" s="4">
        <f t="shared" si="4"/>
        <v>0</v>
      </c>
      <c r="EC10" s="4">
        <f t="shared" si="4"/>
        <v>0</v>
      </c>
      <c r="ED10" s="4">
        <f t="shared" si="4"/>
        <v>0</v>
      </c>
    </row>
    <row r="11" spans="1:190">
      <c r="A11" s="369"/>
      <c r="B11" t="s">
        <v>444</v>
      </c>
      <c r="C11">
        <v>1</v>
      </c>
      <c r="D11" s="3">
        <v>17.030999999999999</v>
      </c>
      <c r="E11" s="2">
        <f>D11*C11</f>
        <v>17.030999999999999</v>
      </c>
      <c r="F11" s="2">
        <f>E11/$D$4</f>
        <v>0.16198402130492676</v>
      </c>
      <c r="H11" s="4">
        <f>$F$11*H8</f>
        <v>8.2004522658544757E-2</v>
      </c>
      <c r="I11" s="4">
        <f>$F$11*I8</f>
        <v>8.1972100486881291E-2</v>
      </c>
      <c r="J11" s="4">
        <f t="shared" ref="J11:BC11" si="5">$F$11*J8</f>
        <v>7.8669492415614301E-2</v>
      </c>
      <c r="K11" s="4">
        <f t="shared" si="5"/>
        <v>7.5492509734392296E-2</v>
      </c>
      <c r="L11" s="4">
        <f t="shared" si="5"/>
        <v>7.6596366785446776E-2</v>
      </c>
      <c r="M11" s="4">
        <f t="shared" si="5"/>
        <v>7.151285464565206E-2</v>
      </c>
      <c r="N11" s="4">
        <f t="shared" si="5"/>
        <v>7.0344046091957879E-2</v>
      </c>
      <c r="O11" s="4">
        <f t="shared" si="5"/>
        <v>6.8901915300201233E-2</v>
      </c>
      <c r="P11" s="4">
        <f t="shared" si="5"/>
        <v>7.0031752974375902E-2</v>
      </c>
      <c r="Q11" s="4">
        <f t="shared" si="5"/>
        <v>6.9487042076064612E-2</v>
      </c>
      <c r="R11" s="4">
        <f t="shared" si="5"/>
        <v>6.8817714001280533E-2</v>
      </c>
      <c r="S11" s="4">
        <f t="shared" si="5"/>
        <v>7.3015838459619384E-2</v>
      </c>
      <c r="T11" s="4">
        <f t="shared" si="5"/>
        <v>7.7156343618053916E-2</v>
      </c>
      <c r="U11" s="4">
        <f t="shared" si="5"/>
        <v>8.2327043795086402E-2</v>
      </c>
      <c r="V11" s="4">
        <f t="shared" si="5"/>
        <v>8.2327043795086402E-2</v>
      </c>
      <c r="W11" s="4">
        <f t="shared" si="5"/>
        <v>8.6430660230000081E-2</v>
      </c>
      <c r="X11" s="4">
        <f t="shared" si="5"/>
        <v>9.6195289102584486E-2</v>
      </c>
      <c r="Y11" s="4">
        <f t="shared" si="5"/>
        <v>0.10274949721613374</v>
      </c>
      <c r="Z11" s="4">
        <f t="shared" si="5"/>
        <v>0.11758688979257895</v>
      </c>
      <c r="AA11" s="4">
        <f t="shared" si="5"/>
        <v>0.11806927160032006</v>
      </c>
      <c r="AB11" s="4">
        <f t="shared" si="5"/>
        <v>0.12126608001946662</v>
      </c>
      <c r="AC11" s="4">
        <f t="shared" si="5"/>
        <v>0.12824034369844781</v>
      </c>
      <c r="AD11" s="4">
        <f t="shared" si="5"/>
        <v>0.13296835840211527</v>
      </c>
      <c r="AE11" s="4">
        <f t="shared" si="5"/>
        <v>0.13706212140462551</v>
      </c>
      <c r="AF11" s="4">
        <f t="shared" si="5"/>
        <v>0.17113267829596118</v>
      </c>
      <c r="AG11" s="4">
        <f t="shared" si="5"/>
        <v>0.19532793855063968</v>
      </c>
      <c r="AH11" s="4">
        <f t="shared" si="5"/>
        <v>0.21514000992596846</v>
      </c>
      <c r="AI11" s="4">
        <f t="shared" si="5"/>
        <v>0.20419421391004047</v>
      </c>
      <c r="AJ11" s="4">
        <f t="shared" si="5"/>
        <v>0.18210400374547592</v>
      </c>
      <c r="AK11" s="4">
        <f t="shared" si="5"/>
        <v>0.18109468531713513</v>
      </c>
      <c r="AL11" s="4">
        <f t="shared" si="5"/>
        <v>0.17541771996918093</v>
      </c>
      <c r="AM11" s="4">
        <f t="shared" si="5"/>
        <v>0.17583395059612048</v>
      </c>
      <c r="AN11" s="4">
        <f t="shared" si="5"/>
        <v>0.17089024950863568</v>
      </c>
      <c r="AO11" s="4">
        <f t="shared" si="5"/>
        <v>0.17397093337531525</v>
      </c>
      <c r="AP11" s="4">
        <f t="shared" si="5"/>
        <v>0.18442193903021595</v>
      </c>
      <c r="AQ11" s="4">
        <f t="shared" si="5"/>
        <v>0.17521509104681512</v>
      </c>
      <c r="AR11" s="4">
        <f t="shared" si="5"/>
        <v>0.16158926392263073</v>
      </c>
      <c r="AS11" s="4">
        <f t="shared" si="5"/>
        <v>0.14990913625303964</v>
      </c>
      <c r="AT11" s="4">
        <f t="shared" si="5"/>
        <v>0.14596415898322282</v>
      </c>
      <c r="AU11" s="4">
        <f t="shared" si="5"/>
        <v>0.12111080218337676</v>
      </c>
      <c r="AV11" s="4">
        <f t="shared" si="5"/>
        <v>0.11440434082468816</v>
      </c>
      <c r="AW11" s="4">
        <f t="shared" si="5"/>
        <v>0.10013557680668199</v>
      </c>
      <c r="AX11" s="4">
        <f t="shared" si="5"/>
        <v>0.10020845568354275</v>
      </c>
      <c r="AY11" s="4">
        <f t="shared" si="5"/>
        <v>0.10052549387382896</v>
      </c>
      <c r="AZ11" s="4">
        <f t="shared" si="5"/>
        <v>0.10084454451356524</v>
      </c>
      <c r="BA11" s="4">
        <f t="shared" si="5"/>
        <v>9.6489387842711036E-2</v>
      </c>
      <c r="BB11" s="4">
        <f>$F$11*BB8</f>
        <v>9.5825389882185336E-2</v>
      </c>
      <c r="BC11" s="4">
        <f t="shared" si="5"/>
        <v>9.53419464737707E-2</v>
      </c>
      <c r="BD11" s="4">
        <f t="shared" ref="BD11:BN11" si="6">$F$11*BD8</f>
        <v>9.53419464737707E-2</v>
      </c>
      <c r="BE11" s="4">
        <f t="shared" si="6"/>
        <v>9.6034084016230009E-2</v>
      </c>
      <c r="BF11" s="4">
        <f t="shared" si="6"/>
        <v>9.5571547789782191E-2</v>
      </c>
      <c r="BG11" s="4">
        <f t="shared" si="6"/>
        <v>9.1792247423819112E-2</v>
      </c>
      <c r="BH11" s="4">
        <f t="shared" si="6"/>
        <v>9.5709840153640549E-2</v>
      </c>
      <c r="BI11" s="4">
        <f t="shared" si="6"/>
        <v>9.5330495363216555E-2</v>
      </c>
      <c r="BJ11" s="4">
        <f t="shared" si="6"/>
        <v>0.11094795979789503</v>
      </c>
      <c r="BK11" s="4">
        <f t="shared" si="6"/>
        <v>0.11090797855112103</v>
      </c>
      <c r="BL11" s="4">
        <f t="shared" si="6"/>
        <v>0.1071838447036931</v>
      </c>
      <c r="BM11" s="4">
        <f t="shared" si="6"/>
        <v>0.11284017818503184</v>
      </c>
      <c r="BN11" s="4">
        <f t="shared" si="6"/>
        <v>0.11289441523294583</v>
      </c>
      <c r="BO11" s="4">
        <f t="shared" ref="BO11:BU11" si="7">$F$11*BO8</f>
        <v>0.11293512724709402</v>
      </c>
      <c r="BP11" s="4">
        <f t="shared" si="7"/>
        <v>0.11293512724709402</v>
      </c>
      <c r="BQ11" s="4">
        <f t="shared" si="7"/>
        <v>0.11274538864377477</v>
      </c>
      <c r="BR11" s="4">
        <f t="shared" si="7"/>
        <v>0.1126507582216517</v>
      </c>
      <c r="BS11" s="4">
        <f t="shared" si="7"/>
        <v>0.10298888110797887</v>
      </c>
      <c r="BT11" s="4">
        <f t="shared" si="7"/>
        <v>0.10508333914543544</v>
      </c>
      <c r="BU11" s="4">
        <f t="shared" si="7"/>
        <v>0.10498244299647198</v>
      </c>
      <c r="BV11" s="4">
        <f t="shared" ref="BV11:CQ11" si="8">$F$11*BV8</f>
        <v>0.10228723981848274</v>
      </c>
      <c r="BW11" s="4">
        <f t="shared" si="8"/>
        <v>0.10714517344282587</v>
      </c>
      <c r="BX11" s="4">
        <f t="shared" si="8"/>
        <v>0.10701647053178344</v>
      </c>
      <c r="BY11" s="4">
        <f t="shared" si="8"/>
        <v>0.10921147595805319</v>
      </c>
      <c r="BZ11" s="4">
        <f t="shared" si="8"/>
        <v>0.10929042401296263</v>
      </c>
      <c r="CA11" s="4">
        <f t="shared" si="8"/>
        <v>0.10927725807825439</v>
      </c>
      <c r="CB11" s="4">
        <f t="shared" si="8"/>
        <v>0.10942225805881663</v>
      </c>
      <c r="CC11" s="4">
        <f t="shared" si="8"/>
        <v>0.10942225805881663</v>
      </c>
      <c r="CD11" s="4">
        <f t="shared" si="8"/>
        <v>0.10381079962709937</v>
      </c>
      <c r="CE11" s="4">
        <f t="shared" si="8"/>
        <v>0.1037355380517293</v>
      </c>
      <c r="CF11" s="4">
        <f t="shared" si="8"/>
        <v>0.10311257661735669</v>
      </c>
      <c r="CG11" s="4">
        <f t="shared" si="8"/>
        <v>0.1029518303053258</v>
      </c>
      <c r="CH11" s="4">
        <f t="shared" si="8"/>
        <v>0.10317453586301069</v>
      </c>
      <c r="CI11" s="4">
        <f t="shared" si="8"/>
        <v>0.10293948596116448</v>
      </c>
      <c r="CJ11" s="4">
        <f t="shared" si="8"/>
        <v>0.10268093683962587</v>
      </c>
      <c r="CK11" s="4">
        <f t="shared" si="8"/>
        <v>0.10679838374215982</v>
      </c>
      <c r="CL11" s="4">
        <f t="shared" si="8"/>
        <v>0.10669606193737691</v>
      </c>
      <c r="CM11" s="4">
        <f t="shared" si="8"/>
        <v>0.10688807644596247</v>
      </c>
      <c r="CN11" s="4">
        <f t="shared" si="8"/>
        <v>0.10105781773072815</v>
      </c>
      <c r="CO11" s="4">
        <f t="shared" si="8"/>
        <v>0.10105781773072815</v>
      </c>
      <c r="CP11" s="4">
        <f t="shared" si="8"/>
        <v>0.10105781773072815</v>
      </c>
      <c r="CQ11" s="4">
        <f t="shared" si="8"/>
        <v>0.10040730847367017</v>
      </c>
      <c r="CR11" s="4">
        <f t="shared" ref="CR11:ED11" si="9">$F$11*CR8</f>
        <v>0.10488174041326193</v>
      </c>
      <c r="CS11" s="4">
        <f t="shared" si="9"/>
        <v>0.10475613353851551</v>
      </c>
      <c r="CT11" s="4">
        <f t="shared" si="9"/>
        <v>0.10870108080378547</v>
      </c>
      <c r="CU11" s="4">
        <f t="shared" si="9"/>
        <v>0.10867503525908588</v>
      </c>
      <c r="CV11" s="4">
        <f t="shared" si="9"/>
        <v>0.10857097777469657</v>
      </c>
      <c r="CW11" s="4">
        <f t="shared" si="9"/>
        <v>0.106441113163333</v>
      </c>
      <c r="CX11" s="4">
        <f t="shared" si="9"/>
        <v>0.10640297589598677</v>
      </c>
      <c r="CY11" s="4">
        <f t="shared" si="9"/>
        <v>0.10998319493008725</v>
      </c>
      <c r="CZ11" s="4">
        <f t="shared" si="9"/>
        <v>0.10997009545475019</v>
      </c>
      <c r="DA11" s="4">
        <f t="shared" si="9"/>
        <v>0.11004873914637454</v>
      </c>
      <c r="DB11" s="4">
        <f t="shared" si="9"/>
        <v>0.11006185736536923</v>
      </c>
      <c r="DC11" s="4">
        <f t="shared" si="9"/>
        <v>0.1012882458135857</v>
      </c>
      <c r="DD11" s="4">
        <f t="shared" si="9"/>
        <v>0.1012882458135857</v>
      </c>
      <c r="DE11" s="4">
        <f t="shared" si="9"/>
        <v>9.5934542409594092E-2</v>
      </c>
      <c r="DF11" s="4">
        <f t="shared" si="9"/>
        <v>9.5842804860075001E-2</v>
      </c>
      <c r="DG11" s="4">
        <f t="shared" si="9"/>
        <v>9.5488972902154023E-2</v>
      </c>
      <c r="DH11" s="4">
        <f t="shared" si="9"/>
        <v>9.7302165765419307E-2</v>
      </c>
      <c r="DI11" s="4">
        <f t="shared" si="9"/>
        <v>9.7302165765419307E-2</v>
      </c>
      <c r="DJ11" s="4">
        <f t="shared" si="9"/>
        <v>9.7290593195751687E-2</v>
      </c>
      <c r="DK11" s="4">
        <f t="shared" si="9"/>
        <v>9.7244330431512149E-2</v>
      </c>
      <c r="DL11" s="4">
        <f t="shared" si="9"/>
        <v>9.6921718908753562E-2</v>
      </c>
      <c r="DM11" s="4">
        <f t="shared" si="9"/>
        <v>9.9954540261732422E-2</v>
      </c>
      <c r="DN11" s="4">
        <f t="shared" si="9"/>
        <v>9.9529352568311372E-2</v>
      </c>
      <c r="DO11" s="4">
        <f t="shared" si="9"/>
        <v>0.10328417936552184</v>
      </c>
      <c r="DP11" s="4">
        <f t="shared" si="9"/>
        <v>0.10215896663696311</v>
      </c>
      <c r="DQ11" s="4">
        <f t="shared" si="9"/>
        <v>0.10205069641796492</v>
      </c>
      <c r="DR11" s="4">
        <f t="shared" si="9"/>
        <v>0.10173920098395846</v>
      </c>
      <c r="DS11" s="4">
        <f t="shared" si="9"/>
        <v>0</v>
      </c>
      <c r="DT11" s="4">
        <f t="shared" si="9"/>
        <v>0</v>
      </c>
      <c r="DU11" s="4">
        <f t="shared" si="9"/>
        <v>0</v>
      </c>
      <c r="DV11" s="4">
        <f t="shared" si="9"/>
        <v>0</v>
      </c>
      <c r="DW11" s="4">
        <f t="shared" si="9"/>
        <v>0</v>
      </c>
      <c r="DX11" s="4">
        <f t="shared" si="9"/>
        <v>0</v>
      </c>
      <c r="DY11" s="4">
        <f t="shared" si="9"/>
        <v>0</v>
      </c>
      <c r="DZ11" s="4">
        <f t="shared" si="9"/>
        <v>0</v>
      </c>
      <c r="EA11" s="4">
        <f t="shared" si="9"/>
        <v>0</v>
      </c>
      <c r="EB11" s="4">
        <f t="shared" si="9"/>
        <v>0</v>
      </c>
      <c r="EC11" s="4">
        <f t="shared" si="9"/>
        <v>0</v>
      </c>
      <c r="ED11" s="4">
        <f t="shared" si="9"/>
        <v>0</v>
      </c>
    </row>
    <row r="12" spans="1:190" s="6" customFormat="1">
      <c r="A12" s="6" t="s">
        <v>400</v>
      </c>
      <c r="D12" s="39"/>
      <c r="F12" s="40"/>
      <c r="H12" s="82">
        <f>SUM(H10:H11)</f>
        <v>1.0196486162480445</v>
      </c>
      <c r="I12" s="82">
        <f t="shared" ref="I12:BC12" si="10">SUM(I10:I11)</f>
        <v>1.0045334472626086</v>
      </c>
      <c r="J12" s="82">
        <f t="shared" si="10"/>
        <v>0.99704118729862734</v>
      </c>
      <c r="K12" s="82">
        <f t="shared" si="10"/>
        <v>0.78650157383939501</v>
      </c>
      <c r="L12" s="82">
        <f t="shared" si="10"/>
        <v>0.87577246532073294</v>
      </c>
      <c r="M12" s="82">
        <f t="shared" si="10"/>
        <v>0.95888112552257787</v>
      </c>
      <c r="N12" s="82">
        <f t="shared" si="10"/>
        <v>0.91916751955591047</v>
      </c>
      <c r="O12" s="82">
        <f t="shared" si="10"/>
        <v>0.90315377948129294</v>
      </c>
      <c r="P12" s="82">
        <f t="shared" si="10"/>
        <v>0.9674551883938165</v>
      </c>
      <c r="Q12" s="82">
        <f t="shared" si="10"/>
        <v>0.97947943317364872</v>
      </c>
      <c r="R12" s="82">
        <f t="shared" si="10"/>
        <v>1.008137668347866</v>
      </c>
      <c r="S12" s="82">
        <f t="shared" si="10"/>
        <v>1.0399874952981203</v>
      </c>
      <c r="T12" s="82">
        <f t="shared" si="10"/>
        <v>1.0441280004565547</v>
      </c>
      <c r="U12" s="82">
        <f t="shared" si="10"/>
        <v>1.0090780424635284</v>
      </c>
      <c r="V12" s="82">
        <f t="shared" si="10"/>
        <v>1.1758261877935645</v>
      </c>
      <c r="W12" s="82">
        <f t="shared" si="10"/>
        <v>1.1715505004430491</v>
      </c>
      <c r="X12" s="82">
        <f t="shared" si="10"/>
        <v>1.1000358825969729</v>
      </c>
      <c r="Y12" s="82">
        <f t="shared" si="10"/>
        <v>1.0026867237712032</v>
      </c>
      <c r="Z12" s="82">
        <f t="shared" si="10"/>
        <v>1.0493654707322784</v>
      </c>
      <c r="AA12" s="82">
        <f t="shared" si="10"/>
        <v>1.1143684916878223</v>
      </c>
      <c r="AB12" s="82">
        <f t="shared" si="10"/>
        <v>1.1267825342709408</v>
      </c>
      <c r="AC12" s="82">
        <f t="shared" si="10"/>
        <v>1.4136255443832488</v>
      </c>
      <c r="AD12" s="82">
        <f t="shared" si="10"/>
        <v>1.1292675784896176</v>
      </c>
      <c r="AE12" s="82">
        <f t="shared" si="10"/>
        <v>1.1233061769496131</v>
      </c>
      <c r="AF12" s="82">
        <f t="shared" si="10"/>
        <v>1.0878285124218885</v>
      </c>
      <c r="AG12" s="82">
        <f t="shared" si="10"/>
        <v>1.2988822470916326</v>
      </c>
      <c r="AH12" s="82">
        <f t="shared" si="10"/>
        <v>1.2977460590033889</v>
      </c>
      <c r="AI12" s="82">
        <f t="shared" si="10"/>
        <v>1.285962332608918</v>
      </c>
      <c r="AJ12" s="82">
        <f t="shared" si="10"/>
        <v>1.220299742760123</v>
      </c>
      <c r="AK12" s="82">
        <f t="shared" si="10"/>
        <v>1.1262801523135209</v>
      </c>
      <c r="AL12" s="82">
        <f t="shared" si="10"/>
        <v>0.99055639221570924</v>
      </c>
      <c r="AM12" s="82">
        <f t="shared" si="10"/>
        <v>0.97662725476199441</v>
      </c>
      <c r="AN12" s="82">
        <f t="shared" si="10"/>
        <v>1.0674757545495335</v>
      </c>
      <c r="AO12" s="82">
        <f t="shared" si="10"/>
        <v>1.0244702675963537</v>
      </c>
      <c r="AP12" s="82">
        <f t="shared" si="10"/>
        <v>0.97335852833970793</v>
      </c>
      <c r="AQ12" s="82">
        <f t="shared" si="10"/>
        <v>0.9799634265994116</v>
      </c>
      <c r="AR12" s="82">
        <f t="shared" si="10"/>
        <v>0.9140675024617213</v>
      </c>
      <c r="AS12" s="82">
        <f t="shared" si="10"/>
        <v>0.9823175536013371</v>
      </c>
      <c r="AT12" s="82">
        <f t="shared" si="10"/>
        <v>1.0207634741820053</v>
      </c>
      <c r="AU12" s="82">
        <f t="shared" si="10"/>
        <v>0.97244806678295825</v>
      </c>
      <c r="AV12" s="82">
        <f t="shared" si="10"/>
        <v>0.87294081600064399</v>
      </c>
      <c r="AW12" s="82">
        <f t="shared" si="10"/>
        <v>0.80274019921489947</v>
      </c>
      <c r="AX12" s="82">
        <f t="shared" si="10"/>
        <v>0.80281307809176028</v>
      </c>
      <c r="AY12" s="82">
        <f t="shared" si="10"/>
        <v>0.80313011628204645</v>
      </c>
      <c r="AZ12" s="82">
        <f t="shared" si="10"/>
        <v>0.80344916692178281</v>
      </c>
      <c r="BA12" s="82">
        <f t="shared" si="10"/>
        <v>0.80723031422658009</v>
      </c>
      <c r="BB12" s="82">
        <f>SUM(BB10:BB11)</f>
        <v>0.80671714373419212</v>
      </c>
      <c r="BC12" s="82">
        <f t="shared" si="10"/>
        <v>0.80623370032577746</v>
      </c>
      <c r="BD12" s="82">
        <f t="shared" ref="BD12:BN12" si="11">SUM(BD10:BD11)</f>
        <v>0.80623370032577746</v>
      </c>
      <c r="BE12" s="82">
        <f t="shared" si="11"/>
        <v>0.80692583786823679</v>
      </c>
      <c r="BF12" s="82">
        <f t="shared" si="11"/>
        <v>0.8416815154519468</v>
      </c>
      <c r="BG12" s="82">
        <f t="shared" si="11"/>
        <v>0.83790221508598373</v>
      </c>
      <c r="BH12" s="82">
        <f t="shared" si="11"/>
        <v>0.85935769063870804</v>
      </c>
      <c r="BI12" s="82">
        <f t="shared" si="11"/>
        <v>0.85897834584828403</v>
      </c>
      <c r="BJ12" s="82">
        <f t="shared" si="11"/>
        <v>0.87459581028296252</v>
      </c>
      <c r="BK12" s="82">
        <f t="shared" si="11"/>
        <v>0.87455582903618845</v>
      </c>
      <c r="BL12" s="82">
        <f t="shared" si="11"/>
        <v>0.87083169518876058</v>
      </c>
      <c r="BM12" s="82">
        <f t="shared" si="11"/>
        <v>0.90677921185442489</v>
      </c>
      <c r="BN12" s="82">
        <f t="shared" si="11"/>
        <v>0.88405012190975762</v>
      </c>
      <c r="BO12" s="82">
        <f t="shared" ref="BO12:BU12" si="12">SUM(BO10:BO11)</f>
        <v>0.88409083392390575</v>
      </c>
      <c r="BP12" s="82">
        <f t="shared" si="12"/>
        <v>0.88409083392390575</v>
      </c>
      <c r="BQ12" s="82">
        <f t="shared" si="12"/>
        <v>0.88390109532058658</v>
      </c>
      <c r="BR12" s="82">
        <f t="shared" si="12"/>
        <v>0.85305442000593923</v>
      </c>
      <c r="BS12" s="82">
        <f t="shared" si="12"/>
        <v>0.84339254289226639</v>
      </c>
      <c r="BT12" s="82">
        <f t="shared" si="12"/>
        <v>0.86510295109141211</v>
      </c>
      <c r="BU12" s="82">
        <f t="shared" si="12"/>
        <v>0.86514450310680102</v>
      </c>
      <c r="BV12" s="82">
        <f t="shared" ref="BV12:CQ12" si="13">SUM(BV10:BV11)</f>
        <v>0.86244929992881181</v>
      </c>
      <c r="BW12" s="82">
        <f t="shared" si="13"/>
        <v>0.86730723355315487</v>
      </c>
      <c r="BX12" s="82">
        <f t="shared" si="13"/>
        <v>0.86717853064211248</v>
      </c>
      <c r="BY12" s="82">
        <f t="shared" si="13"/>
        <v>0.87761039168945887</v>
      </c>
      <c r="BZ12" s="82">
        <f t="shared" si="13"/>
        <v>0.87768933974436825</v>
      </c>
      <c r="CA12" s="82">
        <f t="shared" si="13"/>
        <v>0.87767617380966001</v>
      </c>
      <c r="CB12" s="82">
        <f t="shared" si="13"/>
        <v>0.87782117379022229</v>
      </c>
      <c r="CC12" s="82">
        <f t="shared" si="13"/>
        <v>0.87782117379022229</v>
      </c>
      <c r="CD12" s="82">
        <f t="shared" si="13"/>
        <v>0.87919805471555279</v>
      </c>
      <c r="CE12" s="82">
        <f t="shared" si="13"/>
        <v>0.87912279314018271</v>
      </c>
      <c r="CF12" s="82">
        <f t="shared" si="13"/>
        <v>0.87849983170581014</v>
      </c>
      <c r="CG12" s="82">
        <f t="shared" si="13"/>
        <v>0.88846128436657745</v>
      </c>
      <c r="CH12" s="82">
        <f t="shared" si="13"/>
        <v>0.88868398992426234</v>
      </c>
      <c r="CI12" s="82">
        <f t="shared" si="13"/>
        <v>0.88844894002241603</v>
      </c>
      <c r="CJ12" s="82">
        <f t="shared" si="13"/>
        <v>0.88819039090087748</v>
      </c>
      <c r="CK12" s="82">
        <f t="shared" si="13"/>
        <v>0.90550524126546206</v>
      </c>
      <c r="CL12" s="82">
        <f t="shared" si="13"/>
        <v>0.92997941746334212</v>
      </c>
      <c r="CM12" s="82">
        <f t="shared" si="13"/>
        <v>0.90559493396926471</v>
      </c>
      <c r="CN12" s="82">
        <f t="shared" si="13"/>
        <v>0.89976467525403048</v>
      </c>
      <c r="CO12" s="82">
        <f t="shared" si="13"/>
        <v>0.89976467525403048</v>
      </c>
      <c r="CP12" s="82">
        <f t="shared" si="13"/>
        <v>0.89976467525403048</v>
      </c>
      <c r="CQ12" s="82">
        <f t="shared" si="13"/>
        <v>0.88840541575919418</v>
      </c>
      <c r="CR12" s="82">
        <f t="shared" ref="CR12:ED12" si="14">SUM(CR10:CR11)</f>
        <v>0.89287984769878592</v>
      </c>
      <c r="CS12" s="82">
        <f t="shared" si="14"/>
        <v>0.89275424082403954</v>
      </c>
      <c r="CT12" s="82">
        <f t="shared" si="14"/>
        <v>0.87732623773739771</v>
      </c>
      <c r="CU12" s="82">
        <f t="shared" si="14"/>
        <v>0.87730019219269806</v>
      </c>
      <c r="CV12" s="82">
        <f t="shared" si="14"/>
        <v>0.87719613470830882</v>
      </c>
      <c r="CW12" s="82">
        <f t="shared" si="14"/>
        <v>0.87506627009694526</v>
      </c>
      <c r="CX12" s="82">
        <f t="shared" si="14"/>
        <v>0.89960463083226216</v>
      </c>
      <c r="CY12" s="82">
        <f t="shared" si="14"/>
        <v>0.9031848498663626</v>
      </c>
      <c r="CZ12" s="82">
        <f t="shared" si="14"/>
        <v>0.9031717503910256</v>
      </c>
      <c r="DA12" s="82">
        <f t="shared" si="14"/>
        <v>0.90325039408264995</v>
      </c>
      <c r="DB12" s="82">
        <f t="shared" si="14"/>
        <v>0.90334730533949892</v>
      </c>
      <c r="DC12" s="82">
        <f t="shared" si="14"/>
        <v>0.91003350927183169</v>
      </c>
      <c r="DD12" s="82">
        <f t="shared" si="14"/>
        <v>0.91003350927183169</v>
      </c>
      <c r="DE12" s="82">
        <f t="shared" si="14"/>
        <v>0.90467980586784014</v>
      </c>
      <c r="DF12" s="82">
        <f t="shared" si="14"/>
        <v>0.90458806831832106</v>
      </c>
      <c r="DG12" s="82">
        <f t="shared" si="14"/>
        <v>0.91277274691775223</v>
      </c>
      <c r="DH12" s="82">
        <f t="shared" si="14"/>
        <v>0.91458593978101743</v>
      </c>
      <c r="DI12" s="82">
        <f t="shared" si="14"/>
        <v>0.91934538433114099</v>
      </c>
      <c r="DJ12" s="82">
        <f t="shared" si="14"/>
        <v>0.91933381176147344</v>
      </c>
      <c r="DK12" s="82">
        <f t="shared" si="14"/>
        <v>0.91928754899723386</v>
      </c>
      <c r="DL12" s="82">
        <f t="shared" si="14"/>
        <v>0.91848731715870602</v>
      </c>
      <c r="DM12" s="82">
        <f t="shared" si="14"/>
        <v>0.92152013851168491</v>
      </c>
      <c r="DN12" s="82">
        <f t="shared" si="14"/>
        <v>0.89903224395122938</v>
      </c>
      <c r="DO12" s="82">
        <f t="shared" si="14"/>
        <v>0.90278707074843978</v>
      </c>
      <c r="DP12" s="82">
        <f t="shared" si="14"/>
        <v>0.90166185801988108</v>
      </c>
      <c r="DQ12" s="82">
        <f t="shared" si="14"/>
        <v>0.90155358780088291</v>
      </c>
      <c r="DR12" s="82">
        <f t="shared" si="14"/>
        <v>0.90199622970756499</v>
      </c>
      <c r="DS12" s="82">
        <f t="shared" si="14"/>
        <v>0</v>
      </c>
      <c r="DT12" s="82">
        <f t="shared" si="14"/>
        <v>0</v>
      </c>
      <c r="DU12" s="82">
        <f t="shared" si="14"/>
        <v>0</v>
      </c>
      <c r="DV12" s="82">
        <f t="shared" si="14"/>
        <v>0</v>
      </c>
      <c r="DW12" s="82">
        <f t="shared" si="14"/>
        <v>0</v>
      </c>
      <c r="DX12" s="82">
        <f t="shared" si="14"/>
        <v>0</v>
      </c>
      <c r="DY12" s="82">
        <f t="shared" si="14"/>
        <v>0</v>
      </c>
      <c r="DZ12" s="82">
        <f t="shared" si="14"/>
        <v>0</v>
      </c>
      <c r="EA12" s="82">
        <f t="shared" si="14"/>
        <v>0</v>
      </c>
      <c r="EB12" s="82">
        <f t="shared" si="14"/>
        <v>0</v>
      </c>
      <c r="EC12" s="82">
        <f t="shared" si="14"/>
        <v>0</v>
      </c>
      <c r="ED12" s="82">
        <f t="shared" si="14"/>
        <v>0</v>
      </c>
    </row>
    <row r="13" spans="1:190">
      <c r="A13" s="9" t="s">
        <v>476</v>
      </c>
      <c r="G13" t="s">
        <v>429</v>
      </c>
      <c r="H13" s="5"/>
      <c r="I13" s="5"/>
      <c r="J13" s="5"/>
      <c r="K13" s="5"/>
      <c r="L13" s="5"/>
      <c r="M13" s="5"/>
      <c r="N13" s="5"/>
      <c r="O13" s="5"/>
      <c r="P13" s="5"/>
      <c r="Q13" s="5"/>
      <c r="R13" s="5"/>
      <c r="S13" s="5"/>
      <c r="Z13" s="2">
        <v>1.1000000000000001</v>
      </c>
      <c r="AB13">
        <v>1.22</v>
      </c>
      <c r="AD13">
        <v>0.95</v>
      </c>
      <c r="BB13">
        <v>0.875</v>
      </c>
      <c r="BF13">
        <v>0.79</v>
      </c>
      <c r="BJ13">
        <f>104.65/83</f>
        <v>1.2608433734939759</v>
      </c>
      <c r="BQ13">
        <f>98/83</f>
        <v>1.1807228915662651</v>
      </c>
      <c r="BR13">
        <f>95/83</f>
        <v>1.1445783132530121</v>
      </c>
      <c r="BV13">
        <v>1.02</v>
      </c>
      <c r="CQ13">
        <f>98/83</f>
        <v>1.1807228915662651</v>
      </c>
      <c r="CU13">
        <v>1.07</v>
      </c>
      <c r="CY13">
        <v>0.87</v>
      </c>
      <c r="DC13">
        <v>0.79</v>
      </c>
    </row>
    <row r="14" spans="1:190">
      <c r="A14" s="9"/>
      <c r="G14" s="6" t="s">
        <v>406</v>
      </c>
      <c r="H14" s="5"/>
      <c r="I14" s="5"/>
      <c r="J14" s="5"/>
      <c r="K14" s="5"/>
      <c r="L14" s="5"/>
      <c r="M14" s="5"/>
      <c r="N14" s="5"/>
      <c r="O14" s="5"/>
      <c r="P14" s="5"/>
      <c r="Q14" s="5"/>
      <c r="R14" s="5"/>
      <c r="S14" s="5"/>
      <c r="Z14" s="2">
        <f>Z13-Z12</f>
        <v>5.0634529267721717E-2</v>
      </c>
      <c r="AB14" s="2">
        <f>AB13-AB12</f>
        <v>9.3217465729059201E-2</v>
      </c>
      <c r="AD14" s="2">
        <f>AD13-AD12</f>
        <v>-0.17926757848961761</v>
      </c>
      <c r="BB14" s="2">
        <f>BB13-BB12</f>
        <v>6.8282856265807879E-2</v>
      </c>
      <c r="BF14" s="2">
        <f>BF13-BF12</f>
        <v>-5.1681515451946769E-2</v>
      </c>
      <c r="BJ14" s="2">
        <f>BJ13-BJ12</f>
        <v>0.38624756321101339</v>
      </c>
      <c r="BQ14" s="2">
        <f t="shared" ref="BQ14:BR14" si="15">BQ13-BQ12</f>
        <v>0.2968217962456785</v>
      </c>
      <c r="BR14" s="2">
        <f t="shared" si="15"/>
        <v>0.29152389324707284</v>
      </c>
      <c r="BV14" s="2">
        <f>BV13-BV12</f>
        <v>0.15755070007118821</v>
      </c>
      <c r="CQ14" s="2">
        <f>CQ13-CQ12</f>
        <v>0.2923174758070709</v>
      </c>
      <c r="CU14" s="2">
        <f>CU13-CU12</f>
        <v>0.192699807807302</v>
      </c>
      <c r="CY14" s="2">
        <f>CY13-CY12</f>
        <v>-3.3184849866362609E-2</v>
      </c>
      <c r="DC14" s="2">
        <f>DC13-DC12</f>
        <v>-0.12003350927183165</v>
      </c>
    </row>
    <row r="15" spans="1:190">
      <c r="A15" s="9"/>
      <c r="H15" s="5"/>
      <c r="I15" s="5"/>
      <c r="J15" s="5"/>
      <c r="K15" s="5"/>
      <c r="L15" s="5"/>
      <c r="M15" s="5"/>
      <c r="N15" s="5"/>
      <c r="O15" s="5"/>
      <c r="P15" s="5"/>
      <c r="Q15" s="5"/>
      <c r="R15" s="5"/>
      <c r="S15" s="5"/>
    </row>
    <row r="16" spans="1:190" ht="16" thickBot="1"/>
    <row r="17" spans="1:134" s="156" customFormat="1" ht="16" thickBot="1">
      <c r="G17" s="154" t="s">
        <v>407</v>
      </c>
      <c r="H17" s="164">
        <f>0.05+H12</f>
        <v>1.0696486162480445</v>
      </c>
      <c r="I17" s="164">
        <f>0.05+I12</f>
        <v>1.0545334472626087</v>
      </c>
      <c r="J17" s="164">
        <f t="shared" ref="J17:AU17" si="16">0.05+J12</f>
        <v>1.0470411872986274</v>
      </c>
      <c r="K17" s="164">
        <f t="shared" si="16"/>
        <v>0.83650157383939505</v>
      </c>
      <c r="L17" s="164">
        <f t="shared" si="16"/>
        <v>0.92577246532073298</v>
      </c>
      <c r="M17" s="164">
        <f t="shared" si="16"/>
        <v>1.0088811255225778</v>
      </c>
      <c r="N17" s="164">
        <f t="shared" si="16"/>
        <v>0.96916751955591052</v>
      </c>
      <c r="O17" s="164">
        <f t="shared" si="16"/>
        <v>0.95315377948129298</v>
      </c>
      <c r="P17" s="164">
        <f t="shared" si="16"/>
        <v>1.0174551883938165</v>
      </c>
      <c r="Q17" s="164">
        <f t="shared" si="16"/>
        <v>1.0294794331736488</v>
      </c>
      <c r="R17" s="164">
        <f t="shared" si="16"/>
        <v>1.058137668347866</v>
      </c>
      <c r="S17" s="164">
        <f t="shared" si="16"/>
        <v>1.0899874952981203</v>
      </c>
      <c r="T17" s="164">
        <f t="shared" si="16"/>
        <v>1.0941280004565548</v>
      </c>
      <c r="U17" s="164">
        <f t="shared" si="16"/>
        <v>1.0590780424635284</v>
      </c>
      <c r="V17" s="164">
        <f t="shared" si="16"/>
        <v>1.2258261877935646</v>
      </c>
      <c r="W17" s="164">
        <f t="shared" si="16"/>
        <v>1.2215505004430491</v>
      </c>
      <c r="X17" s="164">
        <f t="shared" si="16"/>
        <v>1.150035882596973</v>
      </c>
      <c r="Y17" s="164">
        <f t="shared" si="16"/>
        <v>1.0526867237712032</v>
      </c>
      <c r="Z17" s="164">
        <f t="shared" si="16"/>
        <v>1.0993654707322784</v>
      </c>
      <c r="AA17" s="164">
        <f t="shared" si="16"/>
        <v>1.1643684916878223</v>
      </c>
      <c r="AB17" s="164">
        <f t="shared" si="16"/>
        <v>1.1767825342709408</v>
      </c>
      <c r="AC17" s="164">
        <f t="shared" si="16"/>
        <v>1.4636255443832489</v>
      </c>
      <c r="AD17" s="164">
        <f t="shared" si="16"/>
        <v>1.1792675784896176</v>
      </c>
      <c r="AE17" s="164">
        <f t="shared" si="16"/>
        <v>1.1733061769496131</v>
      </c>
      <c r="AF17" s="164">
        <f t="shared" si="16"/>
        <v>1.1378285124218885</v>
      </c>
      <c r="AG17" s="164">
        <f t="shared" si="16"/>
        <v>1.3488822470916326</v>
      </c>
      <c r="AH17" s="164">
        <f t="shared" si="16"/>
        <v>1.347746059003389</v>
      </c>
      <c r="AI17" s="164">
        <f t="shared" si="16"/>
        <v>1.3359623326089181</v>
      </c>
      <c r="AJ17" s="164">
        <f t="shared" si="16"/>
        <v>1.270299742760123</v>
      </c>
      <c r="AK17" s="164">
        <f t="shared" si="16"/>
        <v>1.1762801523135209</v>
      </c>
      <c r="AL17" s="164">
        <f t="shared" si="16"/>
        <v>1.0405563922157093</v>
      </c>
      <c r="AM17" s="164">
        <f t="shared" si="16"/>
        <v>1.0266272547619943</v>
      </c>
      <c r="AN17" s="164">
        <f t="shared" si="16"/>
        <v>1.1174757545495335</v>
      </c>
      <c r="AO17" s="164">
        <f t="shared" si="16"/>
        <v>1.0744702675963538</v>
      </c>
      <c r="AP17" s="164">
        <f t="shared" si="16"/>
        <v>1.023358528339708</v>
      </c>
      <c r="AQ17" s="164">
        <f t="shared" si="16"/>
        <v>1.0299634265994115</v>
      </c>
      <c r="AR17" s="164">
        <f t="shared" si="16"/>
        <v>0.96406750246172135</v>
      </c>
      <c r="AS17" s="164">
        <f t="shared" si="16"/>
        <v>1.0323175536013371</v>
      </c>
      <c r="AT17" s="164">
        <f t="shared" si="16"/>
        <v>1.0707634741820053</v>
      </c>
      <c r="AU17" s="164">
        <f t="shared" si="16"/>
        <v>1.0224480667829583</v>
      </c>
      <c r="AV17" s="164">
        <f t="shared" ref="AV17:BC17" si="17">0.05+AV12</f>
        <v>0.92294081600064404</v>
      </c>
      <c r="AW17" s="164">
        <f t="shared" si="17"/>
        <v>0.85274019921489952</v>
      </c>
      <c r="AX17" s="164">
        <f t="shared" si="17"/>
        <v>0.85281307809176032</v>
      </c>
      <c r="AY17" s="164">
        <f t="shared" si="17"/>
        <v>0.85313011628204649</v>
      </c>
      <c r="AZ17" s="164">
        <f t="shared" si="17"/>
        <v>0.85344916692178285</v>
      </c>
      <c r="BA17" s="164">
        <f t="shared" si="17"/>
        <v>0.85723031422658014</v>
      </c>
      <c r="BB17" s="164">
        <f t="shared" si="17"/>
        <v>0.85671714373419217</v>
      </c>
      <c r="BC17" s="164">
        <f t="shared" si="17"/>
        <v>0.8562337003257775</v>
      </c>
      <c r="BD17" s="164">
        <f t="shared" ref="BD17:BI17" si="18">0.05+BD12</f>
        <v>0.8562337003257775</v>
      </c>
      <c r="BE17" s="164">
        <f t="shared" si="18"/>
        <v>0.85692583786823684</v>
      </c>
      <c r="BF17" s="164">
        <f>0.05+BF12</f>
        <v>0.89168151545194685</v>
      </c>
      <c r="BG17" s="164">
        <f t="shared" si="18"/>
        <v>0.88790221508598377</v>
      </c>
      <c r="BH17" s="164">
        <f t="shared" si="18"/>
        <v>0.90935769063870808</v>
      </c>
      <c r="BI17" s="164">
        <f t="shared" si="18"/>
        <v>0.90897834584828408</v>
      </c>
      <c r="BJ17" s="164">
        <f t="shared" ref="BJ17:BU17" si="19">0.05+BJ12</f>
        <v>0.92459581028296256</v>
      </c>
      <c r="BK17" s="164">
        <f t="shared" si="19"/>
        <v>0.92455582903618849</v>
      </c>
      <c r="BL17" s="164">
        <f t="shared" si="19"/>
        <v>0.92083169518876062</v>
      </c>
      <c r="BM17" s="164">
        <f t="shared" si="19"/>
        <v>0.95677921185442494</v>
      </c>
      <c r="BN17" s="164">
        <f t="shared" si="19"/>
        <v>0.93405012190975767</v>
      </c>
      <c r="BO17" s="164">
        <f t="shared" si="19"/>
        <v>0.93409083392390579</v>
      </c>
      <c r="BP17" s="164">
        <f t="shared" si="19"/>
        <v>0.93409083392390579</v>
      </c>
      <c r="BQ17" s="164">
        <f t="shared" si="19"/>
        <v>0.93390109532058663</v>
      </c>
      <c r="BR17" s="164">
        <f t="shared" si="19"/>
        <v>0.90305442000593927</v>
      </c>
      <c r="BS17" s="164">
        <f t="shared" si="19"/>
        <v>0.89339254289226644</v>
      </c>
      <c r="BT17" s="164">
        <f t="shared" si="19"/>
        <v>0.91510295109141215</v>
      </c>
      <c r="BU17" s="164">
        <f t="shared" si="19"/>
        <v>0.91514450310680107</v>
      </c>
      <c r="BV17" s="164">
        <f>0.05+BV12</f>
        <v>0.91244929992881185</v>
      </c>
      <c r="BW17" s="164">
        <f>0.05+BW12</f>
        <v>0.91730723355315491</v>
      </c>
      <c r="BX17" s="164">
        <f>0.05+BX12</f>
        <v>0.91717853064211252</v>
      </c>
      <c r="BY17" s="164">
        <f t="shared" ref="BY17:CG17" si="20">0.05+BY12</f>
        <v>0.92761039168945891</v>
      </c>
      <c r="BZ17" s="164">
        <f t="shared" si="20"/>
        <v>0.92768933974436829</v>
      </c>
      <c r="CA17" s="164">
        <f t="shared" si="20"/>
        <v>0.92767617380966005</v>
      </c>
      <c r="CB17" s="164">
        <f t="shared" si="20"/>
        <v>0.92782117379022233</v>
      </c>
      <c r="CC17" s="164">
        <f t="shared" si="20"/>
        <v>0.92782117379022233</v>
      </c>
      <c r="CD17" s="164">
        <f t="shared" si="20"/>
        <v>0.92919805471555283</v>
      </c>
      <c r="CE17" s="164">
        <f t="shared" si="20"/>
        <v>0.92912279314018276</v>
      </c>
      <c r="CF17" s="164">
        <f t="shared" si="20"/>
        <v>0.92849983170581019</v>
      </c>
      <c r="CG17" s="164">
        <f t="shared" si="20"/>
        <v>0.9384612843665775</v>
      </c>
      <c r="CH17" s="164">
        <f t="shared" ref="CH17:CQ17" si="21">0.05+CH12</f>
        <v>0.93868398992426239</v>
      </c>
      <c r="CI17" s="164">
        <f t="shared" si="21"/>
        <v>0.93844894002241608</v>
      </c>
      <c r="CJ17" s="164">
        <f t="shared" si="21"/>
        <v>0.93819039090087752</v>
      </c>
      <c r="CK17" s="164">
        <f t="shared" si="21"/>
        <v>0.9555052412654621</v>
      </c>
      <c r="CL17" s="164">
        <f t="shared" si="21"/>
        <v>0.97997941746334216</v>
      </c>
      <c r="CM17" s="164">
        <f t="shared" si="21"/>
        <v>0.95559493396926476</v>
      </c>
      <c r="CN17" s="164">
        <f t="shared" si="21"/>
        <v>0.94976467525403052</v>
      </c>
      <c r="CO17" s="164">
        <f t="shared" si="21"/>
        <v>0.94976467525403052</v>
      </c>
      <c r="CP17" s="164">
        <f t="shared" si="21"/>
        <v>0.94976467525403052</v>
      </c>
      <c r="CQ17" s="164">
        <f t="shared" si="21"/>
        <v>0.93840541575919423</v>
      </c>
      <c r="CR17" s="164">
        <f t="shared" ref="CR17:ED17" si="22">0.05+CR12</f>
        <v>0.94287984769878597</v>
      </c>
      <c r="CS17" s="164">
        <f t="shared" si="22"/>
        <v>0.94275424082403958</v>
      </c>
      <c r="CT17" s="164">
        <f t="shared" si="22"/>
        <v>0.92732623773739775</v>
      </c>
      <c r="CU17" s="164">
        <f t="shared" si="22"/>
        <v>0.9273001921926981</v>
      </c>
      <c r="CV17" s="164">
        <f>0.05+CV12</f>
        <v>0.92719613470830886</v>
      </c>
      <c r="CW17" s="164">
        <f t="shared" si="22"/>
        <v>0.92506627009694531</v>
      </c>
      <c r="CX17" s="164">
        <f t="shared" si="22"/>
        <v>0.94960463083226221</v>
      </c>
      <c r="CY17" s="164">
        <f t="shared" si="22"/>
        <v>0.95318484986636265</v>
      </c>
      <c r="CZ17" s="164">
        <f t="shared" si="22"/>
        <v>0.95317175039102564</v>
      </c>
      <c r="DA17" s="164">
        <f t="shared" si="22"/>
        <v>0.95325039408265</v>
      </c>
      <c r="DB17" s="164">
        <f t="shared" si="22"/>
        <v>0.95334730533949896</v>
      </c>
      <c r="DC17" s="164">
        <f t="shared" si="22"/>
        <v>0.96003350927183173</v>
      </c>
      <c r="DD17" s="164">
        <f t="shared" si="22"/>
        <v>0.96003350927183173</v>
      </c>
      <c r="DE17" s="164">
        <f t="shared" si="22"/>
        <v>0.95467980586784018</v>
      </c>
      <c r="DF17" s="164">
        <f t="shared" si="22"/>
        <v>0.9545880683183211</v>
      </c>
      <c r="DG17" s="164">
        <f t="shared" si="22"/>
        <v>0.96277274691775228</v>
      </c>
      <c r="DH17" s="164">
        <f t="shared" si="22"/>
        <v>0.96458593978101748</v>
      </c>
      <c r="DI17" s="164">
        <f t="shared" si="22"/>
        <v>0.96934538433114104</v>
      </c>
      <c r="DJ17" s="164">
        <f t="shared" si="22"/>
        <v>0.96933381176147349</v>
      </c>
      <c r="DK17" s="164">
        <f t="shared" si="22"/>
        <v>0.96928754899723391</v>
      </c>
      <c r="DL17" s="164">
        <f t="shared" si="22"/>
        <v>0.96848731715870606</v>
      </c>
      <c r="DM17" s="164">
        <f t="shared" si="22"/>
        <v>0.97152013851168495</v>
      </c>
      <c r="DN17" s="164">
        <f t="shared" si="22"/>
        <v>0.94903224395122943</v>
      </c>
      <c r="DO17" s="164">
        <f t="shared" si="22"/>
        <v>0.95278707074843982</v>
      </c>
      <c r="DP17" s="164">
        <f t="shared" si="22"/>
        <v>0.95166185801988112</v>
      </c>
      <c r="DQ17" s="164">
        <f t="shared" si="22"/>
        <v>0.95155358780088295</v>
      </c>
      <c r="DR17" s="164">
        <f t="shared" si="22"/>
        <v>0.95199622970756503</v>
      </c>
      <c r="DS17" s="164">
        <f t="shared" si="22"/>
        <v>0.05</v>
      </c>
      <c r="DT17" s="164">
        <f t="shared" si="22"/>
        <v>0.05</v>
      </c>
      <c r="DU17" s="164">
        <f t="shared" si="22"/>
        <v>0.05</v>
      </c>
      <c r="DV17" s="164">
        <f t="shared" si="22"/>
        <v>0.05</v>
      </c>
      <c r="DW17" s="164">
        <f t="shared" si="22"/>
        <v>0.05</v>
      </c>
      <c r="DX17" s="164">
        <f t="shared" si="22"/>
        <v>0.05</v>
      </c>
      <c r="DY17" s="164">
        <f t="shared" si="22"/>
        <v>0.05</v>
      </c>
      <c r="DZ17" s="164">
        <f t="shared" si="22"/>
        <v>0.05</v>
      </c>
      <c r="EA17" s="164">
        <f t="shared" si="22"/>
        <v>0.05</v>
      </c>
      <c r="EB17" s="164">
        <f t="shared" si="22"/>
        <v>0.05</v>
      </c>
      <c r="EC17" s="164">
        <f t="shared" si="22"/>
        <v>0.05</v>
      </c>
      <c r="ED17" s="164">
        <f t="shared" si="22"/>
        <v>0.05</v>
      </c>
    </row>
    <row r="18" spans="1:134" s="156" customFormat="1" hidden="1">
      <c r="H18" s="164"/>
      <c r="I18" s="164"/>
      <c r="J18" s="164"/>
      <c r="K18" s="164"/>
      <c r="L18" s="164"/>
      <c r="M18" s="164"/>
      <c r="N18" s="164"/>
      <c r="O18" s="164"/>
      <c r="P18" s="164"/>
      <c r="Q18" s="164"/>
      <c r="R18" s="164"/>
      <c r="S18" s="164"/>
      <c r="T18" s="164"/>
      <c r="U18" s="164"/>
      <c r="V18" s="164"/>
      <c r="W18" s="164"/>
      <c r="X18" s="164"/>
      <c r="Y18" s="164"/>
      <c r="Z18" s="164"/>
      <c r="AA18" s="164"/>
      <c r="AB18" s="164"/>
      <c r="AC18" s="164"/>
      <c r="AD18" s="164"/>
      <c r="AE18" s="164"/>
      <c r="AF18" s="164"/>
      <c r="AG18" s="164"/>
      <c r="AH18" s="164"/>
      <c r="AI18" s="164"/>
      <c r="AJ18" s="164"/>
      <c r="AK18" s="164"/>
      <c r="AL18" s="164"/>
      <c r="AM18" s="164"/>
      <c r="AN18" s="164"/>
      <c r="AO18" s="164"/>
      <c r="AP18" s="164"/>
      <c r="AQ18" s="164"/>
      <c r="AR18" s="164"/>
      <c r="AS18" s="164"/>
      <c r="AT18" s="164"/>
      <c r="AU18" s="164"/>
      <c r="AV18" s="164"/>
      <c r="AW18" s="164"/>
      <c r="AX18" s="164"/>
      <c r="AY18" s="164"/>
      <c r="AZ18" s="164"/>
      <c r="BA18" s="164"/>
      <c r="BB18" s="164"/>
      <c r="BC18" s="164"/>
      <c r="BD18" s="164"/>
      <c r="BE18" s="164"/>
      <c r="BF18" s="164"/>
    </row>
    <row r="19" spans="1:134" s="156" customFormat="1" hidden="1">
      <c r="H19" s="164"/>
      <c r="I19" s="164"/>
      <c r="J19" s="164"/>
      <c r="K19" s="164"/>
      <c r="L19" s="164"/>
      <c r="M19" s="164"/>
      <c r="N19" s="164"/>
      <c r="O19" s="164"/>
      <c r="P19" s="164"/>
      <c r="Q19" s="164"/>
      <c r="R19" s="164"/>
      <c r="S19" s="164"/>
      <c r="T19" s="164"/>
      <c r="U19" s="164"/>
      <c r="V19" s="164"/>
      <c r="W19" s="164"/>
      <c r="X19" s="164"/>
      <c r="Y19" s="164"/>
      <c r="Z19" s="164"/>
      <c r="AA19" s="164"/>
      <c r="AB19" s="164"/>
      <c r="AC19" s="164"/>
      <c r="AD19" s="164"/>
      <c r="AE19" s="164"/>
      <c r="AF19" s="164"/>
      <c r="AG19" s="164"/>
      <c r="AH19" s="164"/>
      <c r="AI19" s="164"/>
      <c r="AJ19" s="164"/>
      <c r="AK19" s="164"/>
      <c r="AL19" s="164"/>
      <c r="AM19" s="164"/>
      <c r="AN19" s="164"/>
      <c r="AO19" s="164"/>
      <c r="AP19" s="164"/>
      <c r="AQ19" s="164"/>
      <c r="AR19" s="164"/>
      <c r="AS19" s="164"/>
      <c r="AT19" s="164"/>
      <c r="AU19" s="164"/>
      <c r="AV19" s="164"/>
      <c r="AW19" s="164"/>
      <c r="AX19" s="164"/>
      <c r="AY19" s="164"/>
      <c r="AZ19" s="164"/>
      <c r="BA19" s="164"/>
      <c r="BB19" s="164"/>
      <c r="BC19" s="164"/>
      <c r="BD19" s="164"/>
      <c r="BE19" s="164"/>
      <c r="BF19" s="164"/>
    </row>
    <row r="20" spans="1:134" s="156" customFormat="1" hidden="1">
      <c r="H20" s="164"/>
      <c r="I20" s="164"/>
      <c r="J20" s="164"/>
      <c r="K20" s="164"/>
      <c r="L20" s="164"/>
      <c r="M20" s="164"/>
      <c r="N20" s="164"/>
      <c r="O20" s="164"/>
      <c r="P20" s="164"/>
      <c r="Q20" s="164"/>
      <c r="R20" s="164"/>
      <c r="S20" s="164"/>
      <c r="T20" s="164"/>
      <c r="U20" s="164"/>
      <c r="V20" s="164"/>
      <c r="W20" s="164"/>
      <c r="X20" s="164"/>
      <c r="Y20" s="164"/>
      <c r="Z20" s="164"/>
      <c r="AA20" s="164"/>
      <c r="AB20" s="164"/>
      <c r="AC20" s="164"/>
      <c r="AD20" s="164"/>
      <c r="AE20" s="164"/>
      <c r="AF20" s="164"/>
      <c r="AG20" s="164"/>
      <c r="AH20" s="164"/>
      <c r="AI20" s="164"/>
      <c r="AJ20" s="164"/>
      <c r="AK20" s="164"/>
      <c r="AL20" s="164"/>
      <c r="AM20" s="164"/>
      <c r="AN20" s="164"/>
      <c r="AO20" s="164"/>
      <c r="AP20" s="164"/>
      <c r="AQ20" s="164"/>
      <c r="AR20" s="164"/>
      <c r="AS20" s="164"/>
      <c r="AT20" s="164"/>
      <c r="AU20" s="164"/>
      <c r="AV20" s="164"/>
      <c r="AW20" s="164"/>
      <c r="AX20" s="164"/>
      <c r="AY20" s="164"/>
      <c r="AZ20" s="164"/>
      <c r="BA20" s="164"/>
      <c r="BB20" s="164"/>
      <c r="BC20" s="164"/>
      <c r="BD20" s="164"/>
      <c r="BE20" s="164"/>
      <c r="BF20" s="164"/>
    </row>
    <row r="22" spans="1:134" ht="377.25" customHeight="1">
      <c r="A22" s="51" t="s">
        <v>477</v>
      </c>
    </row>
  </sheetData>
  <mergeCells count="1">
    <mergeCell ref="A10:A11"/>
  </mergeCells>
  <phoneticPr fontId="52"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dimension ref="A1:ES14"/>
  <sheetViews>
    <sheetView zoomScale="90" zoomScaleNormal="90" workbookViewId="0">
      <pane xSplit="8" ySplit="6" topLeftCell="X7" activePane="bottomRight" state="frozen"/>
      <selection pane="topRight" activeCell="I1" sqref="I1"/>
      <selection pane="bottomLeft" activeCell="A7" sqref="A7"/>
      <selection pane="bottomRight" activeCell="X14" sqref="X14"/>
    </sheetView>
  </sheetViews>
  <sheetFormatPr baseColWidth="10" defaultColWidth="8.6640625" defaultRowHeight="12"/>
  <cols>
    <col min="1" max="1" width="13.33203125" style="60" bestFit="1" customWidth="1"/>
    <col min="2" max="2" width="11.83203125" style="60" bestFit="1" customWidth="1"/>
    <col min="3" max="3" width="4.83203125" style="60" bestFit="1" customWidth="1"/>
    <col min="4" max="4" width="23.6640625" style="60" bestFit="1" customWidth="1"/>
    <col min="5" max="5" width="17.1640625" style="60" bestFit="1" customWidth="1"/>
    <col min="6" max="6" width="8.83203125" style="60" bestFit="1" customWidth="1"/>
    <col min="7" max="7" width="22.83203125" style="60" bestFit="1" customWidth="1"/>
    <col min="8" max="8" width="5.1640625" style="60" bestFit="1" customWidth="1"/>
    <col min="9" max="9" width="5.5" style="60" bestFit="1" customWidth="1"/>
    <col min="10" max="10" width="10.1640625" style="60" bestFit="1" customWidth="1"/>
    <col min="11" max="11" width="5.33203125" style="60" bestFit="1" customWidth="1"/>
    <col min="12" max="12" width="5.83203125" style="60" bestFit="1" customWidth="1"/>
    <col min="13" max="13" width="5.1640625" style="60" bestFit="1" customWidth="1"/>
    <col min="14" max="14" width="4.6640625" style="60" bestFit="1" customWidth="1"/>
    <col min="15" max="17" width="5.5" style="60" bestFit="1" customWidth="1"/>
    <col min="18" max="18" width="5.6640625" style="60" bestFit="1" customWidth="1"/>
    <col min="19" max="19" width="5.5" style="60" bestFit="1" customWidth="1"/>
    <col min="20" max="20" width="5.1640625" style="60" bestFit="1" customWidth="1"/>
    <col min="21" max="21" width="5.5" style="60" bestFit="1" customWidth="1"/>
    <col min="22" max="22" width="5.6640625" style="60" bestFit="1" customWidth="1"/>
    <col min="23" max="23" width="5.33203125" style="60" bestFit="1" customWidth="1"/>
    <col min="24" max="24" width="5.83203125" style="60" bestFit="1" customWidth="1"/>
    <col min="25" max="25" width="5.1640625" style="60" bestFit="1" customWidth="1"/>
    <col min="26" max="26" width="4.6640625" style="60" bestFit="1" customWidth="1"/>
    <col min="27" max="29" width="5.5" style="60" bestFit="1" customWidth="1"/>
    <col min="30" max="30" width="5.6640625" style="60" bestFit="1" customWidth="1"/>
    <col min="31" max="31" width="5.5" style="60" bestFit="1" customWidth="1"/>
    <col min="32" max="32" width="5.1640625" style="60" bestFit="1" customWidth="1"/>
    <col min="33" max="33" width="5.5" style="60" bestFit="1" customWidth="1"/>
    <col min="34" max="34" width="5.6640625" style="60" bestFit="1" customWidth="1"/>
    <col min="35" max="35" width="5.33203125" style="60" bestFit="1" customWidth="1"/>
    <col min="36" max="36" width="5.83203125" style="60" bestFit="1" customWidth="1"/>
    <col min="37" max="37" width="5.1640625" style="60" bestFit="1" customWidth="1"/>
    <col min="38" max="38" width="4.6640625" style="60" bestFit="1" customWidth="1"/>
    <col min="39" max="41" width="5.5" style="60" bestFit="1" customWidth="1"/>
    <col min="42" max="42" width="5.6640625" style="60" bestFit="1" customWidth="1"/>
    <col min="43" max="43" width="5.5" style="60" bestFit="1" customWidth="1"/>
    <col min="44" max="44" width="5.1640625" style="60" bestFit="1" customWidth="1"/>
    <col min="45" max="45" width="5.5" style="60" bestFit="1" customWidth="1"/>
    <col min="46" max="46" width="5.6640625" style="60" bestFit="1" customWidth="1"/>
    <col min="47" max="47" width="5.33203125" style="60" bestFit="1" customWidth="1"/>
    <col min="48" max="48" width="5.83203125" style="60" bestFit="1" customWidth="1"/>
    <col min="49" max="49" width="5.1640625" style="60" bestFit="1" customWidth="1"/>
    <col min="50" max="55" width="5.5" style="60" bestFit="1" customWidth="1"/>
    <col min="56" max="57" width="6.5" style="60" bestFit="1" customWidth="1"/>
    <col min="58" max="65" width="5.1640625" style="60" bestFit="1" customWidth="1"/>
    <col min="66" max="69" width="5.6640625" style="60" bestFit="1" customWidth="1"/>
    <col min="70" max="73" width="5.5" style="60" bestFit="1" customWidth="1"/>
    <col min="74" max="77" width="5.1640625" style="60" bestFit="1" customWidth="1"/>
    <col min="78" max="81" width="5.5" style="60" bestFit="1" customWidth="1"/>
    <col min="82" max="85" width="6.1640625" style="60" bestFit="1" customWidth="1"/>
    <col min="86" max="89" width="5.5" style="60" bestFit="1" customWidth="1"/>
    <col min="90" max="94" width="6.33203125" style="60" bestFit="1" customWidth="1"/>
    <col min="95" max="100" width="6.1640625" style="60" bestFit="1" customWidth="1"/>
    <col min="101" max="101" width="6" style="60" bestFit="1" customWidth="1"/>
    <col min="102" max="102" width="6.1640625" style="60" bestFit="1" customWidth="1"/>
    <col min="103" max="103" width="5.1640625" style="60" bestFit="1" customWidth="1"/>
    <col min="104" max="105" width="6.5" style="60" bestFit="1" customWidth="1"/>
    <col min="106" max="16384" width="8.6640625" style="60"/>
  </cols>
  <sheetData>
    <row r="1" spans="1:149" s="61" customFormat="1">
      <c r="A1" s="59" t="s">
        <v>377</v>
      </c>
      <c r="B1" s="59" t="s">
        <v>378</v>
      </c>
      <c r="C1" s="59" t="s">
        <v>379</v>
      </c>
      <c r="D1" s="59" t="s">
        <v>380</v>
      </c>
      <c r="E1" s="59" t="s">
        <v>381</v>
      </c>
      <c r="F1" s="60" t="s">
        <v>33</v>
      </c>
      <c r="H1" s="61">
        <v>6</v>
      </c>
      <c r="I1" s="61">
        <v>7</v>
      </c>
      <c r="J1" s="61">
        <v>8</v>
      </c>
      <c r="K1" s="61">
        <v>9</v>
      </c>
      <c r="L1" s="61">
        <v>10</v>
      </c>
      <c r="M1" s="61">
        <v>11</v>
      </c>
      <c r="N1" s="61">
        <v>12</v>
      </c>
      <c r="O1" s="61">
        <v>13</v>
      </c>
      <c r="P1" s="61">
        <v>14</v>
      </c>
      <c r="Q1" s="61">
        <v>15</v>
      </c>
      <c r="R1" s="61">
        <v>16</v>
      </c>
      <c r="S1" s="61">
        <v>17</v>
      </c>
      <c r="T1" s="61">
        <v>18</v>
      </c>
      <c r="U1" s="61">
        <v>19</v>
      </c>
      <c r="V1" s="61">
        <v>20</v>
      </c>
      <c r="W1" s="61">
        <v>21</v>
      </c>
      <c r="X1" s="61">
        <v>22</v>
      </c>
      <c r="Y1" s="61">
        <v>23</v>
      </c>
      <c r="Z1" s="61">
        <v>24</v>
      </c>
      <c r="AA1" s="61">
        <v>25</v>
      </c>
      <c r="AB1" s="61">
        <v>26</v>
      </c>
      <c r="AC1" s="61">
        <v>27</v>
      </c>
      <c r="AD1" s="61">
        <v>28</v>
      </c>
      <c r="AE1" s="61">
        <v>29</v>
      </c>
      <c r="AF1" s="61">
        <v>30</v>
      </c>
      <c r="AG1" s="61">
        <v>31</v>
      </c>
      <c r="AH1" s="61">
        <v>32</v>
      </c>
      <c r="AI1" s="61">
        <v>33</v>
      </c>
      <c r="AJ1" s="61">
        <v>34</v>
      </c>
      <c r="AK1" s="61">
        <v>35</v>
      </c>
      <c r="AL1" s="61">
        <v>36</v>
      </c>
      <c r="AM1" s="61">
        <v>37</v>
      </c>
      <c r="AN1" s="61">
        <v>38</v>
      </c>
      <c r="AO1" s="61">
        <v>39</v>
      </c>
      <c r="AP1" s="61">
        <v>40</v>
      </c>
      <c r="AQ1" s="61">
        <v>41</v>
      </c>
      <c r="AR1" s="61">
        <v>42</v>
      </c>
      <c r="AS1" s="61">
        <v>43</v>
      </c>
      <c r="AT1" s="61">
        <v>44</v>
      </c>
      <c r="AU1" s="61">
        <v>45</v>
      </c>
      <c r="AV1" s="61">
        <v>46</v>
      </c>
      <c r="AW1" s="61">
        <v>47</v>
      </c>
      <c r="AX1" s="61">
        <v>48</v>
      </c>
      <c r="AY1" s="61">
        <v>49</v>
      </c>
      <c r="AZ1" s="61">
        <v>50</v>
      </c>
      <c r="BA1" s="61">
        <v>51</v>
      </c>
      <c r="BB1" s="61">
        <v>52</v>
      </c>
      <c r="BC1" s="61">
        <v>53</v>
      </c>
      <c r="BD1" s="61">
        <v>54</v>
      </c>
      <c r="BE1" s="61">
        <v>55</v>
      </c>
      <c r="BF1" s="61">
        <v>56</v>
      </c>
      <c r="BG1" s="61">
        <v>57</v>
      </c>
      <c r="BH1" s="61">
        <v>58</v>
      </c>
      <c r="BI1" s="61">
        <v>59</v>
      </c>
      <c r="BJ1" s="61">
        <v>60</v>
      </c>
      <c r="BK1" s="61">
        <v>61</v>
      </c>
      <c r="BL1" s="61">
        <v>62</v>
      </c>
      <c r="BM1" s="61">
        <v>63</v>
      </c>
      <c r="BN1" s="61">
        <v>64</v>
      </c>
      <c r="BO1" s="61">
        <v>65</v>
      </c>
      <c r="BP1" s="61">
        <v>66</v>
      </c>
      <c r="BQ1" s="61">
        <v>67</v>
      </c>
      <c r="BR1" s="61">
        <v>68</v>
      </c>
      <c r="BS1" s="61">
        <v>69</v>
      </c>
      <c r="BT1" s="61">
        <v>70</v>
      </c>
      <c r="BU1" s="61">
        <v>71</v>
      </c>
      <c r="BV1" s="61">
        <v>72</v>
      </c>
      <c r="BW1" s="61">
        <v>73</v>
      </c>
      <c r="BX1" s="61">
        <v>74</v>
      </c>
      <c r="BY1" s="61">
        <v>75</v>
      </c>
      <c r="BZ1" s="61">
        <v>76</v>
      </c>
      <c r="CA1" s="61">
        <v>77</v>
      </c>
      <c r="CB1" s="61">
        <v>78</v>
      </c>
      <c r="CC1" s="61">
        <v>79</v>
      </c>
      <c r="CD1" s="61">
        <v>80</v>
      </c>
      <c r="CE1" s="61">
        <v>81</v>
      </c>
      <c r="CF1" s="61">
        <v>82</v>
      </c>
      <c r="CG1" s="61">
        <v>83</v>
      </c>
      <c r="CH1" s="61">
        <v>84</v>
      </c>
      <c r="CI1" s="61">
        <v>85</v>
      </c>
      <c r="CJ1" s="61">
        <v>86</v>
      </c>
      <c r="CK1" s="61">
        <v>87</v>
      </c>
      <c r="CL1" s="61">
        <v>88</v>
      </c>
      <c r="CM1" s="61">
        <v>89</v>
      </c>
      <c r="CN1" s="61">
        <v>90</v>
      </c>
      <c r="CO1" s="61">
        <v>91</v>
      </c>
      <c r="CP1" s="61">
        <v>92</v>
      </c>
      <c r="CQ1" s="61">
        <v>93</v>
      </c>
      <c r="CR1" s="61">
        <v>94</v>
      </c>
      <c r="CS1" s="61">
        <v>95</v>
      </c>
      <c r="CT1" s="61">
        <v>96</v>
      </c>
      <c r="CU1" s="61">
        <v>97</v>
      </c>
      <c r="CV1" s="61">
        <v>98</v>
      </c>
      <c r="CW1" s="61">
        <v>99</v>
      </c>
      <c r="CX1" s="61">
        <v>100</v>
      </c>
      <c r="CY1" s="61">
        <v>101</v>
      </c>
      <c r="CZ1" s="61">
        <v>102</v>
      </c>
      <c r="DA1" s="61">
        <v>103</v>
      </c>
      <c r="DB1" s="61">
        <v>104</v>
      </c>
      <c r="DC1" s="61">
        <v>105</v>
      </c>
      <c r="DD1" s="61">
        <v>106</v>
      </c>
      <c r="DE1" s="61">
        <v>107</v>
      </c>
      <c r="DF1" s="61">
        <v>108</v>
      </c>
      <c r="DG1" s="61">
        <v>109</v>
      </c>
      <c r="DH1" s="61">
        <v>110</v>
      </c>
      <c r="DI1" s="61">
        <v>111</v>
      </c>
      <c r="DJ1" s="61">
        <v>112</v>
      </c>
      <c r="DK1" s="61">
        <v>113</v>
      </c>
      <c r="DL1" s="61">
        <v>114</v>
      </c>
      <c r="DM1" s="61">
        <v>115</v>
      </c>
      <c r="DN1" s="61">
        <v>116</v>
      </c>
      <c r="DO1" s="61">
        <v>117</v>
      </c>
      <c r="DP1" s="61">
        <v>118</v>
      </c>
      <c r="DQ1" s="61">
        <v>119</v>
      </c>
      <c r="DR1" s="61">
        <v>120</v>
      </c>
      <c r="DS1" s="61">
        <v>121</v>
      </c>
      <c r="DT1" s="61">
        <v>122</v>
      </c>
      <c r="DU1" s="61">
        <v>123</v>
      </c>
      <c r="DV1" s="61">
        <v>124</v>
      </c>
      <c r="DW1" s="61">
        <v>125</v>
      </c>
      <c r="DX1" s="61">
        <v>126</v>
      </c>
      <c r="DY1" s="61">
        <v>127</v>
      </c>
      <c r="DZ1" s="61">
        <v>128</v>
      </c>
      <c r="EA1" s="61">
        <v>129</v>
      </c>
      <c r="EB1" s="61">
        <v>130</v>
      </c>
      <c r="EC1" s="61">
        <v>131</v>
      </c>
      <c r="ED1" s="61">
        <v>132</v>
      </c>
      <c r="EE1" s="61">
        <v>133</v>
      </c>
      <c r="EF1" s="61">
        <v>134</v>
      </c>
      <c r="EG1" s="61">
        <v>135</v>
      </c>
      <c r="EH1" s="61">
        <v>136</v>
      </c>
      <c r="EI1" s="61">
        <v>137</v>
      </c>
      <c r="EJ1" s="61">
        <v>138</v>
      </c>
      <c r="EK1" s="61">
        <v>139</v>
      </c>
      <c r="EL1" s="61">
        <v>140</v>
      </c>
      <c r="EM1" s="61">
        <v>141</v>
      </c>
      <c r="EN1" s="61">
        <v>142</v>
      </c>
      <c r="EO1" s="61">
        <v>143</v>
      </c>
      <c r="EP1" s="61">
        <v>144</v>
      </c>
      <c r="EQ1" s="61">
        <v>145</v>
      </c>
      <c r="ER1" s="61">
        <v>146</v>
      </c>
      <c r="ES1" s="61">
        <v>147</v>
      </c>
    </row>
    <row r="2" spans="1:149" ht="15">
      <c r="A2" s="60" t="s">
        <v>478</v>
      </c>
      <c r="B2" s="60" t="s">
        <v>479</v>
      </c>
      <c r="D2" s="60" t="s">
        <v>480</v>
      </c>
      <c r="J2" t="s">
        <v>387</v>
      </c>
    </row>
    <row r="3" spans="1:149">
      <c r="A3" s="60" t="s">
        <v>414</v>
      </c>
      <c r="B3" s="60" t="s">
        <v>471</v>
      </c>
      <c r="D3" s="60" t="s">
        <v>481</v>
      </c>
      <c r="E3" s="64"/>
    </row>
    <row r="4" spans="1:149" ht="15">
      <c r="A4" s="60">
        <v>60.1</v>
      </c>
      <c r="B4" s="60">
        <v>44.05</v>
      </c>
      <c r="D4" s="60">
        <v>104.15300000000001</v>
      </c>
      <c r="E4" s="64"/>
      <c r="G4" s="59" t="s">
        <v>416</v>
      </c>
      <c r="H4" s="59">
        <v>43831</v>
      </c>
      <c r="I4" s="59">
        <v>43862</v>
      </c>
      <c r="J4" s="59">
        <v>43891</v>
      </c>
      <c r="K4" s="59">
        <v>43922</v>
      </c>
      <c r="L4" s="59">
        <v>43952</v>
      </c>
      <c r="M4" s="59">
        <v>43983</v>
      </c>
      <c r="N4" s="59">
        <v>44013</v>
      </c>
      <c r="O4" s="59">
        <v>44044</v>
      </c>
      <c r="P4" s="59">
        <v>44075</v>
      </c>
      <c r="Q4" s="59">
        <v>44105</v>
      </c>
      <c r="R4" s="59">
        <v>44136</v>
      </c>
      <c r="S4" s="59">
        <v>44166</v>
      </c>
      <c r="T4" s="59">
        <v>44197</v>
      </c>
      <c r="U4" s="59">
        <v>44228</v>
      </c>
      <c r="V4" s="59">
        <v>44256</v>
      </c>
      <c r="W4" s="59">
        <v>44287</v>
      </c>
      <c r="X4" s="59">
        <v>44317</v>
      </c>
      <c r="Y4" s="59">
        <v>44348</v>
      </c>
      <c r="Z4" s="59">
        <v>44378</v>
      </c>
      <c r="AA4" s="59">
        <v>44409</v>
      </c>
      <c r="AB4" s="59">
        <v>44440</v>
      </c>
      <c r="AC4" s="59">
        <v>44470</v>
      </c>
      <c r="AD4" s="59">
        <v>44501</v>
      </c>
      <c r="AE4" s="59">
        <v>44531</v>
      </c>
      <c r="AF4" s="59">
        <v>44562</v>
      </c>
      <c r="AG4" s="59">
        <v>44593</v>
      </c>
      <c r="AH4" s="59">
        <v>44621</v>
      </c>
      <c r="AI4" s="59">
        <v>44652</v>
      </c>
      <c r="AJ4" s="59">
        <v>44682</v>
      </c>
      <c r="AK4" s="59">
        <v>44713</v>
      </c>
      <c r="AL4" s="59">
        <v>44743</v>
      </c>
      <c r="AM4" s="59">
        <v>44774</v>
      </c>
      <c r="AN4" s="59">
        <v>44805</v>
      </c>
      <c r="AO4" s="59">
        <v>44835</v>
      </c>
      <c r="AP4" s="59">
        <v>44866</v>
      </c>
      <c r="AQ4" s="59">
        <v>44896</v>
      </c>
      <c r="AR4" s="59">
        <v>44927</v>
      </c>
      <c r="AS4" s="59">
        <v>44958</v>
      </c>
      <c r="AT4" s="59">
        <v>44986</v>
      </c>
      <c r="AU4" s="59">
        <v>45017</v>
      </c>
      <c r="AV4" s="59">
        <v>45047</v>
      </c>
      <c r="AW4" s="59">
        <v>45078</v>
      </c>
      <c r="AX4" s="59" t="s">
        <v>417</v>
      </c>
      <c r="AY4" s="59" t="s">
        <v>418</v>
      </c>
      <c r="AZ4" s="59" t="s">
        <v>419</v>
      </c>
      <c r="BA4" s="59" t="s">
        <v>420</v>
      </c>
      <c r="BB4" s="59">
        <v>37104</v>
      </c>
      <c r="BC4" s="59">
        <v>37469</v>
      </c>
      <c r="BD4" s="34" t="s">
        <v>168</v>
      </c>
      <c r="BE4" s="34" t="s">
        <v>169</v>
      </c>
      <c r="BF4" s="59" t="s">
        <v>482</v>
      </c>
      <c r="BG4" s="59" t="s">
        <v>483</v>
      </c>
      <c r="BH4" s="59" t="s">
        <v>484</v>
      </c>
      <c r="BI4" s="59" t="s">
        <v>485</v>
      </c>
      <c r="BJ4" s="59" t="s">
        <v>486</v>
      </c>
      <c r="BK4" s="59" t="s">
        <v>487</v>
      </c>
      <c r="BL4" s="59" t="s">
        <v>488</v>
      </c>
      <c r="BM4" s="59" t="s">
        <v>489</v>
      </c>
      <c r="BN4" s="59">
        <v>37196</v>
      </c>
      <c r="BO4" s="59">
        <v>37561</v>
      </c>
      <c r="BP4" s="59">
        <v>37926</v>
      </c>
      <c r="BQ4" s="59">
        <v>38292</v>
      </c>
      <c r="BR4" s="59">
        <v>37226</v>
      </c>
      <c r="BS4" s="59">
        <v>37591</v>
      </c>
      <c r="BT4" s="59">
        <v>37956</v>
      </c>
      <c r="BU4" s="59">
        <v>38322</v>
      </c>
      <c r="BV4" s="59">
        <v>36892</v>
      </c>
      <c r="BW4" s="59">
        <v>37257</v>
      </c>
      <c r="BX4" s="59">
        <v>37622</v>
      </c>
      <c r="BY4" s="59">
        <v>37987</v>
      </c>
      <c r="BZ4" s="59">
        <v>36923</v>
      </c>
      <c r="CA4" s="59">
        <v>37288</v>
      </c>
      <c r="CB4" s="59">
        <v>37653</v>
      </c>
      <c r="CC4" s="59">
        <v>38018</v>
      </c>
      <c r="CD4" s="59" t="str">
        <f>Sheet8!A15</f>
        <v>Mar-w1</v>
      </c>
      <c r="CE4" s="59" t="s">
        <v>285</v>
      </c>
      <c r="CF4" s="59" t="s">
        <v>286</v>
      </c>
      <c r="CG4" s="59" t="s">
        <v>287</v>
      </c>
      <c r="CH4" s="59" t="str">
        <f>Sheet8!E15</f>
        <v>Apr-w1</v>
      </c>
      <c r="CI4" s="59" t="str">
        <f>Sheet8!F15</f>
        <v>Apr-w2</v>
      </c>
      <c r="CJ4" s="59" t="str">
        <f>Sheet8!G15</f>
        <v>Apr-w3</v>
      </c>
      <c r="CK4" s="59" t="str">
        <f>Sheet8!H15</f>
        <v>Apr-w4</v>
      </c>
      <c r="CL4" s="59" t="str">
        <f>Sheet8!I15</f>
        <v>May-w1</v>
      </c>
      <c r="CM4" s="59" t="str">
        <f>Sheet8!J15</f>
        <v>May-w2</v>
      </c>
      <c r="CN4" s="59" t="str">
        <f>Sheet8!K15</f>
        <v>May-w3</v>
      </c>
      <c r="CO4" s="59" t="str">
        <f>Sheet8!L15</f>
        <v>May-w4</v>
      </c>
      <c r="CP4" s="59" t="str">
        <f>Sheet8!M15</f>
        <v>May-w5</v>
      </c>
      <c r="CQ4" s="59" t="str">
        <f>Sheet8!N15</f>
        <v>june-w1</v>
      </c>
      <c r="CR4" s="59" t="str">
        <f>Sheet8!O15</f>
        <v>june-w2</v>
      </c>
      <c r="CS4" s="59" t="str">
        <f>Sheet8!P15</f>
        <v>june-w3</v>
      </c>
      <c r="CT4" s="59" t="str">
        <f>Sheet8!Q15</f>
        <v>june-w4</v>
      </c>
      <c r="CU4" s="59" t="str">
        <f>Sheet8!R15</f>
        <v>Jul-w1</v>
      </c>
      <c r="CV4" s="59" t="str">
        <f>Sheet8!S15</f>
        <v>Jul-w2</v>
      </c>
      <c r="CW4" s="59" t="str">
        <f>Sheet8!T15</f>
        <v>Jul-w3</v>
      </c>
      <c r="CX4" s="59" t="str">
        <f>Sheet8!U15</f>
        <v>Jul-w4</v>
      </c>
      <c r="CY4" s="59" t="str">
        <f>Sheet8!V15</f>
        <v>Aug-w1</v>
      </c>
      <c r="CZ4" s="59" t="str">
        <f>Sheet8!W15</f>
        <v>Aug-w2</v>
      </c>
      <c r="DA4" s="59" t="str">
        <f>Sheet8!X15</f>
        <v>Aug-w3</v>
      </c>
      <c r="DB4" s="59" t="str">
        <f>Sheet8!Y15</f>
        <v>Aug-w4</v>
      </c>
      <c r="DC4" s="59" t="str">
        <f>Sheet8!Z15</f>
        <v>Sep-w1</v>
      </c>
      <c r="DD4" s="59" t="str">
        <f>Sheet8!AA15</f>
        <v>Sep-w2</v>
      </c>
      <c r="DE4" s="59" t="str">
        <f>Sheet8!AB15</f>
        <v>Sep-w3</v>
      </c>
      <c r="DF4" s="59" t="str">
        <f>Sheet8!AC15</f>
        <v>Sep-w4</v>
      </c>
      <c r="DG4" s="59" t="str">
        <f>Sheet8!AD15</f>
        <v>Oct-w1</v>
      </c>
      <c r="DH4" s="59" t="str">
        <f>Sheet8!AE15</f>
        <v>Oct-w2</v>
      </c>
      <c r="DI4" s="59" t="str">
        <f>Sheet8!AF15</f>
        <v>Oct-w3</v>
      </c>
      <c r="DJ4" s="59" t="str">
        <f>Sheet8!AG15</f>
        <v>Oct-w4</v>
      </c>
      <c r="DK4" s="59" t="str">
        <f>Sheet8!AH15</f>
        <v>Nov-w1</v>
      </c>
      <c r="DL4" s="59" t="str">
        <f>Sheet8!AI15</f>
        <v>Nov-w2</v>
      </c>
      <c r="DM4" s="59" t="str">
        <f>Sheet8!AJ15</f>
        <v>Nov-w3</v>
      </c>
      <c r="DN4" s="59" t="str">
        <f>Sheet8!AK15</f>
        <v>Nov-w4</v>
      </c>
      <c r="DO4" s="59" t="str">
        <f>Sheet8!AL15</f>
        <v>Dec-w1</v>
      </c>
      <c r="DP4" s="59" t="str">
        <f>Sheet8!AM15</f>
        <v>Dec-w2</v>
      </c>
      <c r="DQ4" s="59" t="str">
        <f>Sheet8!AN15</f>
        <v>Dec-w3</v>
      </c>
      <c r="DR4" s="59" t="str">
        <f>Sheet8!AO15</f>
        <v>Dec-w4</v>
      </c>
      <c r="DS4" s="59">
        <f>Sheet8!AP15</f>
        <v>0</v>
      </c>
      <c r="DT4" s="59">
        <f>Sheet8!AQ15</f>
        <v>0</v>
      </c>
      <c r="DU4" s="59">
        <f>Sheet8!AR15</f>
        <v>0</v>
      </c>
    </row>
    <row r="5" spans="1:149">
      <c r="A5" s="65">
        <f>A4/D4</f>
        <v>0.57703570708476948</v>
      </c>
      <c r="B5" s="65">
        <f>B4/D4</f>
        <v>0.42293548913617462</v>
      </c>
      <c r="D5" s="64"/>
      <c r="E5" s="60" t="s">
        <v>490</v>
      </c>
      <c r="F5" s="60" t="s">
        <v>387</v>
      </c>
      <c r="G5" s="30" t="s">
        <v>478</v>
      </c>
      <c r="H5" s="65">
        <f>EDA!H16</f>
        <v>1.5913228236603463</v>
      </c>
      <c r="I5" s="65">
        <f>EDA!I16</f>
        <v>1.6536298073450479</v>
      </c>
      <c r="J5" s="65">
        <f>EDA!J16</f>
        <v>1.6410759694405199</v>
      </c>
      <c r="K5" s="65">
        <f>EDA!K16</f>
        <v>1.6255395132833113</v>
      </c>
      <c r="L5" s="65">
        <f>EDA!L16</f>
        <v>1.571507829806829</v>
      </c>
      <c r="M5" s="65">
        <f>EDA!M16</f>
        <v>1.5490989149980618</v>
      </c>
      <c r="N5" s="65">
        <f>EDA!N16</f>
        <v>1.4200293495872049</v>
      </c>
      <c r="O5" s="65">
        <f>EDA!O16</f>
        <v>1.4904457594924456</v>
      </c>
      <c r="P5" s="65">
        <f>EDA!P16</f>
        <v>1.5644564109691745</v>
      </c>
      <c r="Q5" s="65">
        <f>EDA!Q16</f>
        <v>1.5087441685391236</v>
      </c>
      <c r="R5" s="65">
        <f>EDA!R16</f>
        <v>1.6894243733794705</v>
      </c>
      <c r="S5" s="65">
        <f>EDA!S16</f>
        <v>1.6993908010442498</v>
      </c>
      <c r="T5" s="65">
        <f>EDA!T16</f>
        <v>1.7044551178126899</v>
      </c>
      <c r="U5" s="65">
        <f>EDA!U16</f>
        <v>1.8651440962991168</v>
      </c>
      <c r="V5" s="65">
        <f>EDA!V16</f>
        <v>2.0013500069781944</v>
      </c>
      <c r="W5" s="65">
        <f>EDA!W16</f>
        <v>2.1434938608823169</v>
      </c>
      <c r="X5" s="65">
        <f>EDA!X16</f>
        <v>2.2554856609827509</v>
      </c>
      <c r="Y5" s="65">
        <f>EDA!Y16</f>
        <v>2.2612775065847055</v>
      </c>
      <c r="Z5" s="65">
        <f>EDA!Z16</f>
        <v>2.2284546046831952</v>
      </c>
      <c r="AA5" s="65">
        <f>EDA!AA16</f>
        <v>2.2337921094981903</v>
      </c>
      <c r="AB5" s="65">
        <f>EDA!AB16</f>
        <v>2.2574163849367412</v>
      </c>
      <c r="AC5" s="65">
        <f>EDA!AC16</f>
        <v>2.3532570547909923</v>
      </c>
      <c r="AD5" s="65">
        <f>EDA!AD16</f>
        <v>2.5256383051577478</v>
      </c>
      <c r="AE5" s="65">
        <f>EDA!AE16</f>
        <v>2.359527496387507</v>
      </c>
      <c r="AF5" s="65">
        <f>EDA!AF16</f>
        <v>2.5553459702817038</v>
      </c>
      <c r="AG5" s="65">
        <f>EDA!AG16</f>
        <v>2.5209562094034572</v>
      </c>
      <c r="AH5" s="65">
        <f>EDA!AH16</f>
        <v>2.4246125578315589</v>
      </c>
      <c r="AI5" s="65">
        <f>EDA!AI16</f>
        <v>2.5500692697412495</v>
      </c>
      <c r="AJ5" s="65">
        <f>EDA!AJ16</f>
        <v>2.6005382229207208</v>
      </c>
      <c r="AK5" s="65">
        <f>EDA!AK16</f>
        <v>2.5606748528346199</v>
      </c>
      <c r="AL5" s="65">
        <f>EDA!AL16</f>
        <v>2.3006375479041767</v>
      </c>
      <c r="AM5" s="65">
        <f>EDA!AM16</f>
        <v>2.2930804714699087</v>
      </c>
      <c r="AN5" s="65">
        <f>EDA!AN16</f>
        <v>1.8891263249998971</v>
      </c>
      <c r="AO5" s="65">
        <f>EDA!AO16</f>
        <v>1.7411476376485158</v>
      </c>
      <c r="AP5" s="65">
        <f>EDA!AP16</f>
        <v>1.768994578186438</v>
      </c>
      <c r="AQ5" s="65">
        <f>EDA!AQ16</f>
        <v>1.656080220373636</v>
      </c>
      <c r="AR5" s="65">
        <f>EDA!AR16</f>
        <v>2.5118753880696647</v>
      </c>
      <c r="AS5" s="65">
        <f>EDA!AS16</f>
        <v>1.7549267078297737</v>
      </c>
      <c r="AT5" s="65">
        <f>EDA!AT16</f>
        <v>1.7196172110888006</v>
      </c>
      <c r="AU5" s="65">
        <f>EDA!AU16</f>
        <v>1.7323364564914321</v>
      </c>
      <c r="AV5" s="65">
        <f>EDA!AV16</f>
        <v>1.7756386532862802</v>
      </c>
      <c r="AW5" s="65">
        <f>EDA!AW16</f>
        <v>1.5173181061866585</v>
      </c>
      <c r="AX5" s="65">
        <f>EDA!AX16</f>
        <v>1.5173818502398961</v>
      </c>
      <c r="AY5" s="65">
        <f>EDA!AY16</f>
        <v>1.5176591500577645</v>
      </c>
      <c r="AZ5" s="65">
        <f>EDA!AZ16</f>
        <v>1.5015488589980241</v>
      </c>
      <c r="BA5" s="65">
        <f>EDA!BA16</f>
        <v>1.448571535486888</v>
      </c>
      <c r="BB5" s="65">
        <f>EDA!BB16</f>
        <v>1.5791055733703114</v>
      </c>
      <c r="BC5" s="65">
        <f>EDA!BC16</f>
        <v>1.5786827259872185</v>
      </c>
      <c r="BD5" s="65">
        <f>EDA!BD16</f>
        <v>1.5786827259872185</v>
      </c>
      <c r="BE5" s="65">
        <f>EDA!BE16</f>
        <v>1.5792881092512681</v>
      </c>
      <c r="BF5" s="65">
        <f>EDA!BF16</f>
        <v>1.5788835484908255</v>
      </c>
      <c r="BG5" s="65">
        <f>EDA!BG16</f>
        <v>1.4608524976658548</v>
      </c>
      <c r="BH5" s="65">
        <f>EDA!BH16</f>
        <v>1.4642790493676583</v>
      </c>
      <c r="BI5" s="65">
        <f>EDA!BI16</f>
        <v>1.463947252617245</v>
      </c>
      <c r="BJ5" s="65">
        <f>EDA!BJ16</f>
        <v>1.4776071843730767</v>
      </c>
      <c r="BK5" s="65">
        <f>EDA!BK16</f>
        <v>1.4775722144773726</v>
      </c>
      <c r="BL5" s="65">
        <f>EDA!BL16</f>
        <v>1.4743148730300317</v>
      </c>
      <c r="BM5" s="65">
        <f>EDA!BM16</f>
        <v>1.4956515783806554</v>
      </c>
      <c r="BN5" s="65">
        <f>EDA!BN16</f>
        <v>1.4956990172191584</v>
      </c>
      <c r="BO5" s="65">
        <f>EDA!BO16</f>
        <v>1.4957346262859974</v>
      </c>
      <c r="BP5" s="65">
        <f>EDA!BP16</f>
        <v>1.4957346262859974</v>
      </c>
      <c r="BQ5" s="65">
        <f>EDA!BQ16</f>
        <v>1.5283473721644372</v>
      </c>
      <c r="BR5" s="65">
        <f>EDA!BR16</f>
        <v>1.528264602959895</v>
      </c>
      <c r="BS5" s="65">
        <f>EDA!BS16</f>
        <v>1.5198137700761047</v>
      </c>
      <c r="BT5" s="65">
        <f>EDA!BT16</f>
        <v>1.5216457034207762</v>
      </c>
      <c r="BU5" s="65">
        <f>EDA!BU16</f>
        <v>1.5215574538515182</v>
      </c>
      <c r="BV5" s="65">
        <f>EDA!BV16</f>
        <v>1.5192000742888225</v>
      </c>
      <c r="BW5" s="65">
        <f>EDA!BW16</f>
        <v>1.5234491021678642</v>
      </c>
      <c r="BX5" s="65">
        <f>EDA!BX16</f>
        <v>1.5233365312067475</v>
      </c>
      <c r="BY5" s="65">
        <f>EDA!BY16</f>
        <v>1.5252564090750105</v>
      </c>
      <c r="BZ5" s="65">
        <f>EDA!BZ16</f>
        <v>1.5253254615800973</v>
      </c>
      <c r="CA5" s="65">
        <f>EDA!CA16</f>
        <v>1.5253139458971023</v>
      </c>
      <c r="CB5" s="65">
        <f>EDA!CB16</f>
        <v>1.5254407712116316</v>
      </c>
      <c r="CC5" s="65">
        <f>EDA!CC16</f>
        <v>1.5254407712116316</v>
      </c>
      <c r="CD5" s="65">
        <f>EDA!CD16</f>
        <v>1.5205326672394055</v>
      </c>
      <c r="CE5" s="65">
        <f>EDA!CE16</f>
        <v>1.5204668391411447</v>
      </c>
      <c r="CF5" s="65">
        <f>EDA!CF16</f>
        <v>1.519921961276006</v>
      </c>
      <c r="CG5" s="65">
        <f>EDA!CG16</f>
        <v>1.5197813633152086</v>
      </c>
      <c r="CH5" s="65">
        <f>EDA!CH16</f>
        <v>1.6674803141261378</v>
      </c>
      <c r="CI5" s="65">
        <f>EDA!CI16</f>
        <v>1.6672747259762906</v>
      </c>
      <c r="CJ5" s="65">
        <f>EDA!CJ16</f>
        <v>1.6670485840586624</v>
      </c>
      <c r="CK5" s="65">
        <f>EDA!CK16</f>
        <v>1.6706499397033077</v>
      </c>
      <c r="CL5" s="65">
        <f>EDA!CL16</f>
        <v>1.670560443173553</v>
      </c>
      <c r="CM5" s="65">
        <f>EDA!CM16</f>
        <v>1.6707283900956913</v>
      </c>
      <c r="CN5" s="65">
        <f>EDA!CN16</f>
        <v>1.6656289108234925</v>
      </c>
      <c r="CO5" s="65">
        <f>EDA!CO16</f>
        <v>1.6656289108234925</v>
      </c>
      <c r="CP5" s="65">
        <f>EDA!CP16</f>
        <v>1.6656289108234925</v>
      </c>
      <c r="CQ5" s="65">
        <f>EDA!CQ16</f>
        <v>1.4356090229083367</v>
      </c>
      <c r="CR5" s="65">
        <f>EDA!CR16</f>
        <v>1.4395226181783358</v>
      </c>
      <c r="CS5" s="65">
        <f>EDA!CS16</f>
        <v>1.4394127551884583</v>
      </c>
      <c r="CT5" s="65">
        <f>EDA!CT16</f>
        <v>1.4428632327387247</v>
      </c>
      <c r="CU5" s="65">
        <f>EDA!CU16</f>
        <v>1.4428404518087841</v>
      </c>
      <c r="CV5" s="65">
        <f>EDA!CV16</f>
        <v>1.573864245806162</v>
      </c>
      <c r="CW5" s="65">
        <f>EDA!CW16</f>
        <v>1.5556119927560002</v>
      </c>
      <c r="CX5" s="65">
        <f>EDA!CX16</f>
        <v>1.6703040932813717</v>
      </c>
      <c r="CY5" s="65">
        <f>EDA!CY16</f>
        <v>1.6734355585637992</v>
      </c>
      <c r="CZ5" s="65">
        <f>EDA!CZ16</f>
        <v>1.6734241010099891</v>
      </c>
      <c r="DA5" s="65">
        <f>EDA!DA16</f>
        <v>1.6407141851383966</v>
      </c>
      <c r="DB5" s="65">
        <f>EDA!DB16</f>
        <v>1.6735043612495486</v>
      </c>
      <c r="DC5" s="65">
        <f>EDA!DC16</f>
        <v>1.3858304564648882</v>
      </c>
      <c r="DD5" s="65">
        <f>EDA!DD16</f>
        <v>1.3858304564648882</v>
      </c>
      <c r="DE5" s="65">
        <f>EDA!DE16</f>
        <v>1.3811477998502137</v>
      </c>
      <c r="DF5" s="65">
        <f>EDA!DF16</f>
        <v>1.3810675609182719</v>
      </c>
      <c r="DG5" s="65">
        <f>EDA!DG16</f>
        <v>1.3807580791571032</v>
      </c>
      <c r="DH5" s="65">
        <f>EDA!DH16</f>
        <v>1.3823440018192588</v>
      </c>
      <c r="DI5" s="65">
        <f>EDA!DI16</f>
        <v>1.662344001819259</v>
      </c>
      <c r="DJ5" s="65">
        <f>EDA!DJ16</f>
        <v>1.6623338797848812</v>
      </c>
      <c r="DK5" s="65">
        <f>EDA!DK16</f>
        <v>1.6622934157130729</v>
      </c>
      <c r="DL5" s="65">
        <f>EDA!DL16</f>
        <v>1.6784005922199179</v>
      </c>
      <c r="DM5" s="65">
        <f>EDA!DM16</f>
        <v>1.6154958677114819</v>
      </c>
      <c r="DN5" s="65">
        <f>EDA!DN16</f>
        <v>1.6151239741240278</v>
      </c>
      <c r="DO5" s="65">
        <f>EDA!DO16</f>
        <v>1.6184081613888295</v>
      </c>
      <c r="DP5" s="65">
        <f>EDA!DP16</f>
        <v>1.633813336764554</v>
      </c>
      <c r="DQ5" s="65">
        <f>EDA!DQ16</f>
        <v>1.6337186374099377</v>
      </c>
      <c r="DR5" s="65">
        <f>EDA!DR16</f>
        <v>1.6170568345236611</v>
      </c>
      <c r="DS5" s="65">
        <f>EDA!DS16</f>
        <v>0</v>
      </c>
      <c r="DT5" s="65">
        <f>EDA!DT16</f>
        <v>0</v>
      </c>
      <c r="DU5" s="65">
        <f>EDA!DU16</f>
        <v>0</v>
      </c>
    </row>
    <row r="6" spans="1:149" ht="14.5" customHeight="1">
      <c r="A6" s="74"/>
      <c r="B6" s="74"/>
      <c r="D6" s="64"/>
      <c r="E6" s="60" t="s">
        <v>491</v>
      </c>
      <c r="F6" s="60" t="s">
        <v>492</v>
      </c>
      <c r="G6" s="95" t="s">
        <v>49</v>
      </c>
      <c r="H6" s="91">
        <f>VLOOKUP($G$6&amp;$F$1,'Input RM sheet'!$A:$BD,H1,0)</f>
        <v>1317</v>
      </c>
      <c r="I6" s="91">
        <f>VLOOKUP($G$6&amp;$F$1,'Input RM sheet'!$A:$BD,I1,0)</f>
        <v>1295</v>
      </c>
      <c r="J6" s="91">
        <f>VLOOKUP($G$6&amp;$F$1,'Input RM sheet'!$A:$BD,J1,0)</f>
        <v>1269</v>
      </c>
      <c r="K6" s="91">
        <f>VLOOKUP($G$6&amp;$F$1,'Input RM sheet'!$A:$BD,K1,0)</f>
        <v>1072</v>
      </c>
      <c r="L6" s="91">
        <f>VLOOKUP($G$6&amp;$F$1,'Input RM sheet'!$A:$BD,L1,0)</f>
        <v>990.17</v>
      </c>
      <c r="M6" s="91">
        <f>VLOOKUP($G$6&amp;$F$1,'Input RM sheet'!$A:$BD,M1,0)</f>
        <v>1074</v>
      </c>
      <c r="N6" s="91">
        <f>VLOOKUP($G$6&amp;$F$1,'Input RM sheet'!$A:$BD,N1,0)</f>
        <v>1170</v>
      </c>
      <c r="O6" s="91">
        <f>VLOOKUP($G$6&amp;$F$1,'Input RM sheet'!$A:$BD,O1,0)</f>
        <v>1228</v>
      </c>
      <c r="P6" s="91">
        <f>VLOOKUP($G$6&amp;$F$1,'Input RM sheet'!$A:$BD,P1,0)</f>
        <v>1223</v>
      </c>
      <c r="Q6" s="91">
        <f>VLOOKUP($G$6&amp;$F$1,'Input RM sheet'!$A:$BD,Q1,0)</f>
        <v>1212</v>
      </c>
      <c r="R6" s="91">
        <f>VLOOKUP($G$6&amp;$F$1,'Input RM sheet'!$A:$BD,R1,0)</f>
        <v>1220</v>
      </c>
      <c r="S6" s="91">
        <f>VLOOKUP($G$6&amp;$F$1,'Input RM sheet'!$A:$BD,S1,0)</f>
        <v>1273</v>
      </c>
      <c r="T6" s="91">
        <f>VLOOKUP($G$6&amp;$F$1,'Input RM sheet'!$A:$BD,T1,0)</f>
        <v>1312</v>
      </c>
      <c r="U6" s="91">
        <f>VLOOKUP($G$6&amp;$F$1,'Input RM sheet'!$A:$BD,U1,0)</f>
        <v>1371</v>
      </c>
      <c r="V6" s="91">
        <f>VLOOKUP($G$6&amp;$F$1,'Input RM sheet'!$A:$BD,V1,0)</f>
        <v>1421</v>
      </c>
      <c r="W6" s="91">
        <f>VLOOKUP($G$6&amp;$F$1,'Input RM sheet'!$A:$BD,W1,0)</f>
        <v>1466</v>
      </c>
      <c r="X6" s="91">
        <f>VLOOKUP($G$6&amp;$F$1,'Input RM sheet'!$A:$BD,X1,0)</f>
        <v>1494</v>
      </c>
      <c r="Y6" s="91">
        <f>VLOOKUP($G$6&amp;$F$1,'Input RM sheet'!$A:$BD,Y1,0)</f>
        <v>1509</v>
      </c>
      <c r="Z6" s="91">
        <f>VLOOKUP($G$6&amp;$F$1,'Input RM sheet'!$A:$BD,Z1,0)</f>
        <v>1521</v>
      </c>
      <c r="AA6" s="91">
        <f>VLOOKUP($G$6&amp;$F$1,'Input RM sheet'!$A:$BD,AA1,0)</f>
        <v>1563</v>
      </c>
      <c r="AB6" s="91">
        <f>VLOOKUP($G$6&amp;$F$1,'Input RM sheet'!$A:$BD,AB1,0)</f>
        <v>1556</v>
      </c>
      <c r="AC6" s="91">
        <f>VLOOKUP($G$6&amp;$F$1,'Input RM sheet'!$A:$BD,AC1,0)</f>
        <v>1556</v>
      </c>
      <c r="AD6" s="91">
        <f>VLOOKUP($G$6&amp;$F$1,'Input RM sheet'!$A:$BD,AD1,0)</f>
        <v>1615</v>
      </c>
      <c r="AE6" s="91">
        <f>VLOOKUP($G$6&amp;$F$1,'Input RM sheet'!$A:$BD,AE1,0)</f>
        <v>1592</v>
      </c>
      <c r="AF6" s="91">
        <f>VLOOKUP($G$6&amp;$F$1,'Input RM sheet'!$A:$BD,AF1,0)</f>
        <v>1594</v>
      </c>
      <c r="AG6" s="91">
        <f>VLOOKUP($G$6&amp;$F$1,'Input RM sheet'!$A:$BD,AG1,0)</f>
        <v>1658</v>
      </c>
      <c r="AH6" s="91">
        <f>VLOOKUP($G$6&amp;$F$1,'Input RM sheet'!$A:$BD,AH1,0)</f>
        <v>1693</v>
      </c>
      <c r="AI6" s="91">
        <f>VLOOKUP($G$6&amp;$F$1,'Input RM sheet'!$A:$BD,AI1,0)</f>
        <v>1916</v>
      </c>
      <c r="AJ6" s="91">
        <f>VLOOKUP($G$6&amp;$F$1,'Input RM sheet'!$A:$BD,AJ1,0)</f>
        <v>1815</v>
      </c>
      <c r="AK6" s="91">
        <f>VLOOKUP($G$6&amp;$F$1,'Input RM sheet'!$A:$BD,AK1,0)</f>
        <v>1813</v>
      </c>
      <c r="AL6" s="91">
        <f>VLOOKUP($G$6&amp;$F$1,'Input RM sheet'!$A:$BD,AL1,0)</f>
        <v>1668</v>
      </c>
      <c r="AM6" s="91">
        <f>VLOOKUP($G$6&amp;$F$1,'Input RM sheet'!$A:$BD,AM1,0)</f>
        <v>1599</v>
      </c>
      <c r="AN6" s="91">
        <f>VLOOKUP($G$6&amp;$F$1,'Input RM sheet'!$A:$BD,AN1,0)</f>
        <v>1472</v>
      </c>
      <c r="AO6" s="91">
        <f>VLOOKUP($G$6&amp;$F$1,'Input RM sheet'!$A:$BD,AO1,0)</f>
        <v>1423</v>
      </c>
      <c r="AP6" s="91">
        <f>VLOOKUP($G$6&amp;$F$1,'Input RM sheet'!$A:$BD,AP1,0)</f>
        <v>1507</v>
      </c>
      <c r="AQ6" s="91">
        <f>VLOOKUP($G$6&amp;$F$1,'Input RM sheet'!$A:$BD,AQ1,0)</f>
        <v>1542</v>
      </c>
      <c r="AR6" s="91">
        <f>VLOOKUP($G$6&amp;$F$1,'Input RM sheet'!$A:$BD,AR1,0)</f>
        <v>1488</v>
      </c>
      <c r="AS6" s="91">
        <f>VLOOKUP($G$6&amp;$F$1,'Input RM sheet'!$A:$BD,AS1,0)</f>
        <v>1549</v>
      </c>
      <c r="AT6" s="91">
        <f>VLOOKUP($G$6&amp;$F$1,'Input RM sheet'!$A:$BD,AT1,0)</f>
        <v>1574</v>
      </c>
      <c r="AU6" s="91">
        <f>VLOOKUP($G$6&amp;$F$1,'Input RM sheet'!$A:$BD,AU1,0)</f>
        <v>1561</v>
      </c>
      <c r="AV6" s="91">
        <f>VLOOKUP($G$6&amp;$F$1,'Input RM sheet'!$A:$BD,AV1,0)</f>
        <v>1537</v>
      </c>
      <c r="AW6" s="91">
        <f>VLOOKUP($G$6&amp;$F$1,'Input RM sheet'!$A:$BD,AW1,0)</f>
        <v>1460</v>
      </c>
      <c r="AX6" s="91">
        <f>VLOOKUP($G$6&amp;$F$1,'Input RM sheet'!$A:$BD,AX1,0)</f>
        <v>1460</v>
      </c>
      <c r="AY6" s="91">
        <f>VLOOKUP($G$6&amp;$F$1,'Input RM sheet'!$A:$BD,AY1,0)</f>
        <v>1460</v>
      </c>
      <c r="AZ6" s="91">
        <f>VLOOKUP($G$6&amp;$F$1,'Input RM sheet'!$A:$BD,AZ1,0)</f>
        <v>1460</v>
      </c>
      <c r="BA6" s="91">
        <f>VLOOKUP($G$6&amp;$F$1,'Input RM sheet'!$A:$BD,BA1,0)</f>
        <v>1433</v>
      </c>
      <c r="BB6" s="91">
        <f>VLOOKUP($G$6&amp;$F$1,'Input RM sheet'!$A:$BD,BB1,0)</f>
        <v>1433</v>
      </c>
      <c r="BC6" s="91">
        <f>VLOOKUP($G$6&amp;$F$1,'Input RM sheet'!$A:$BD,BC1,0)</f>
        <v>1433</v>
      </c>
      <c r="BD6" s="91">
        <f>VLOOKUP($G$6&amp;$F$1,'Input RM sheet'!$A:$BD,BD1,0)</f>
        <v>1433</v>
      </c>
      <c r="BE6" s="91">
        <f>VLOOKUP($G$6&amp;$F$1,'Input RM sheet'!$A:$BD,BE1,0)</f>
        <v>1433</v>
      </c>
      <c r="BF6" s="91">
        <f>VLOOKUP($G$6&amp;$F$1,'Input RM sheet'!$A:$DD,BF1,0)</f>
        <v>1414</v>
      </c>
      <c r="BG6" s="91">
        <f>VLOOKUP($G$6&amp;$F$1,'Input RM sheet'!$A:$DD,BG1,0)</f>
        <v>1414</v>
      </c>
      <c r="BH6" s="91">
        <f>VLOOKUP($G$6&amp;$F$1,'Input RM sheet'!$A:$DD,BH1,0)</f>
        <v>1449</v>
      </c>
      <c r="BI6" s="91">
        <f>VLOOKUP($G$6&amp;$F$1,'Input RM sheet'!$A:$DD,BI1,0)</f>
        <v>1449</v>
      </c>
      <c r="BJ6" s="91">
        <f>VLOOKUP($G$6&amp;$F$1,'Input RM sheet'!$A:$DD,BJ1,0)</f>
        <v>1449</v>
      </c>
      <c r="BK6" s="91">
        <f>VLOOKUP($G$6&amp;$F$1,'Input RM sheet'!$A:$DD,BK1,0)</f>
        <v>1449</v>
      </c>
      <c r="BL6" s="91">
        <f>VLOOKUP($G$6&amp;$F$1,'Input RM sheet'!$A:$DD,BL1,0)</f>
        <v>1449</v>
      </c>
      <c r="BM6" s="91">
        <f>VLOOKUP($G$6&amp;$F$1,'Input RM sheet'!$A:$DD,BM1,0)</f>
        <v>1488</v>
      </c>
      <c r="BN6" s="91">
        <f>VLOOKUP($G$6&amp;$F$1,'Input RM sheet'!$A:$DD,BN1,0)</f>
        <v>1488</v>
      </c>
      <c r="BO6" s="91">
        <f>VLOOKUP($G$6&amp;$F$1,'Input RM sheet'!$A:$DD,BO1,0)</f>
        <v>1488</v>
      </c>
      <c r="BP6" s="91">
        <f>VLOOKUP($G$6&amp;$F$1,'Input RM sheet'!$A:$DD,BP1,0)</f>
        <v>1488</v>
      </c>
      <c r="BQ6" s="91">
        <f>VLOOKUP($G$6&amp;$F$1,'Input RM sheet'!$A:$DD,BQ1,0)</f>
        <v>1488</v>
      </c>
      <c r="BR6" s="91">
        <f>VLOOKUP($G$6&amp;$F$1,'Input RM sheet'!$A:$DD,BR1,0)</f>
        <v>1470</v>
      </c>
      <c r="BS6" s="91">
        <f>VLOOKUP($G$6&amp;$F$1,'Input RM sheet'!$A:$DD,BS1,0)</f>
        <v>1463</v>
      </c>
      <c r="BT6" s="91">
        <f>VLOOKUP($G$6&amp;$F$1,'Input RM sheet'!$A:$DD,BT1,0)</f>
        <v>1466</v>
      </c>
      <c r="BU6" s="91">
        <f>VLOOKUP($G$6&amp;$F$1,'Input RM sheet'!$A:$DD,BU1,0)</f>
        <v>1472</v>
      </c>
      <c r="BV6" s="91">
        <f>VLOOKUP($G$6&amp;$F$1,'Input RM sheet'!$A:$DD,BV1,0)</f>
        <v>1472</v>
      </c>
      <c r="BW6" s="91">
        <f>VLOOKUP($G$6&amp;$F$1,'Input RM sheet'!$A:$DD,BW1,0)</f>
        <v>1472</v>
      </c>
      <c r="BX6" s="91">
        <f>VLOOKUP($G$6&amp;$F$1,'Input RM sheet'!$A:$DD,BX1,0)</f>
        <v>1472</v>
      </c>
      <c r="BY6" s="91">
        <f>VLOOKUP($G$6&amp;$F$1,'Input RM sheet'!$A:$DD,BY1,0)</f>
        <v>1430</v>
      </c>
      <c r="BZ6" s="91">
        <f>VLOOKUP($G$6&amp;$F$1,'Input RM sheet'!$A:$DD,BZ1,0)</f>
        <v>1430</v>
      </c>
      <c r="CA6" s="91">
        <f>VLOOKUP($G$6&amp;$F$1,'Input RM sheet'!$A:$DD,CA1,0)</f>
        <v>1430</v>
      </c>
      <c r="CB6" s="91">
        <f>VLOOKUP($G$6&amp;$F$1,'Input RM sheet'!$A:$DD,CB1,0)</f>
        <v>1430</v>
      </c>
      <c r="CC6" s="91">
        <f>VLOOKUP($G$6&amp;$F$1,'Input RM sheet'!$A:$DD,CC1,0)</f>
        <v>1430</v>
      </c>
      <c r="CD6" s="91">
        <f>VLOOKUP($G$6&amp;$F$1,'Input RM sheet'!$A:$DD,CD1,0)</f>
        <v>1416</v>
      </c>
      <c r="CE6" s="91">
        <f>VLOOKUP($G$6&amp;$F$1,'Input RM sheet'!$A:$DD,CE1,0)</f>
        <v>1416</v>
      </c>
      <c r="CF6" s="91">
        <f>VLOOKUP($G$6&amp;$F$1,'Input RM sheet'!$A:$DD,CF1,0)</f>
        <v>1416</v>
      </c>
      <c r="CG6" s="91">
        <f>VLOOKUP($G$6&amp;$F$1,'Input RM sheet'!$A:$DD,CG1,0)</f>
        <v>1452</v>
      </c>
      <c r="CH6" s="91">
        <f>VLOOKUP($G$6&amp;$F$1,'Input RM sheet'!$A:$DD,CH1,0)</f>
        <v>1452</v>
      </c>
      <c r="CI6" s="91">
        <f>VLOOKUP($G$6&amp;$F$1,'Input RM sheet'!$A:$DD,CI1,0)</f>
        <v>1452</v>
      </c>
      <c r="CJ6" s="91">
        <f>VLOOKUP($G$6&amp;$F$1,'Input RM sheet'!$A:$DD,CJ1,0)</f>
        <v>1452</v>
      </c>
      <c r="CK6" s="91">
        <f>VLOOKUP($G$6&amp;$F$1,'Input RM sheet'!$A:$DD,CK1,0)</f>
        <v>1457</v>
      </c>
      <c r="CL6" s="91">
        <f>VLOOKUP($G$6&amp;$F$1,'Input RM sheet'!$A:$DD,CL1,0)</f>
        <v>1457</v>
      </c>
      <c r="CM6" s="91">
        <f>VLOOKUP($G$6&amp;$F$1,'Input RM sheet'!$A:$DD,CM1,0)</f>
        <v>1465</v>
      </c>
      <c r="CN6" s="91">
        <f>VLOOKUP($G$6&amp;$F$1,'Input RM sheet'!$A:$DD,CN1,0)</f>
        <v>1465</v>
      </c>
      <c r="CO6" s="91">
        <f>VLOOKUP($G$6&amp;$F$1,'Input RM sheet'!$A:$DD,CO1,0)</f>
        <v>1465</v>
      </c>
      <c r="CP6" s="91">
        <f>VLOOKUP($G$6&amp;$F$1,'Input RM sheet'!$A:$DD,CP1,0)</f>
        <v>1465</v>
      </c>
      <c r="CQ6" s="91">
        <f>VLOOKUP($G$6&amp;$F$1,'Input RM sheet'!$A:$DD,CQ1,0)</f>
        <v>1470</v>
      </c>
      <c r="CR6" s="91">
        <f>VLOOKUP($G$6&amp;$F$1,'Input RM sheet'!$A:$DD,CR1,0)</f>
        <v>1470</v>
      </c>
      <c r="CS6" s="91">
        <f>VLOOKUP($G$6&amp;$F$1,'Input RM sheet'!$A:$DD,CS1,0)</f>
        <v>1470</v>
      </c>
      <c r="CT6" s="91">
        <f>VLOOKUP($G$6&amp;$F$1,'Input RM sheet'!$A:$DD,CT1,0)</f>
        <v>1438</v>
      </c>
      <c r="CU6" s="91">
        <f>VLOOKUP($G$6&amp;$F$1,'Input RM sheet'!$A:$DD,CU1,0)</f>
        <v>1438</v>
      </c>
      <c r="CV6" s="91">
        <f>VLOOKUP($G$6&amp;$F$1,'Input RM sheet'!$A:$DD,CV1,0)</f>
        <v>1438</v>
      </c>
      <c r="CW6" s="91">
        <f>VLOOKUP($G$6&amp;$F$1,'Input RM sheet'!$A:$DD,CW1,0)</f>
        <v>1438</v>
      </c>
      <c r="CX6" s="91">
        <f>VLOOKUP($G$6&amp;$F$1,'Input RM sheet'!$A:$DD,CX1,0)</f>
        <v>1450</v>
      </c>
      <c r="CY6" s="91">
        <f>VLOOKUP($G$6&amp;$F$1,'Input RM sheet'!$A:$DD,CY1,0)</f>
        <v>1450</v>
      </c>
      <c r="CZ6" s="91">
        <f>VLOOKUP($G$6&amp;$F$1,'Input RM sheet'!$A:$DD,CZ1,0)</f>
        <v>1450</v>
      </c>
      <c r="DA6" s="91">
        <f>VLOOKUP($G$6&amp;$F$1,'Input RM sheet'!$A:$ZZ,DA1,0)</f>
        <v>1450</v>
      </c>
      <c r="DB6" s="91">
        <f>VLOOKUP($G$6&amp;$F$1,'Input RM sheet'!$A:$ZZ,DB1,0)</f>
        <v>1450</v>
      </c>
      <c r="DC6" s="91">
        <f>VLOOKUP($G$6&amp;$F$1,'Input RM sheet'!$A:$ZZ,DC1,0)</f>
        <v>1489</v>
      </c>
      <c r="DD6" s="91">
        <f>VLOOKUP($G$6&amp;$F$1,'Input RM sheet'!$A:$ZZ,DD1,0)</f>
        <v>1489</v>
      </c>
      <c r="DE6" s="91">
        <f>VLOOKUP($G$6&amp;$F$1,'Input RM sheet'!$A:$ZZ,DE1,0)</f>
        <v>1489</v>
      </c>
      <c r="DF6" s="91">
        <f>VLOOKUP($G$6&amp;$F$1,'Input RM sheet'!$A:$ZZ,DF1,0)</f>
        <v>1489</v>
      </c>
      <c r="DG6" s="91">
        <f>VLOOKUP($G$6&amp;$F$1,'Input RM sheet'!$A:$ZZ,DG1,0)</f>
        <v>1480</v>
      </c>
      <c r="DH6" s="91">
        <f>VLOOKUP($G$6&amp;$F$1,'Input RM sheet'!$A:$ZZ,DH1,0)</f>
        <v>1480</v>
      </c>
      <c r="DI6" s="91">
        <f>VLOOKUP($G$6&amp;$F$1,'Input RM sheet'!$A:$ZZ,DI1,0)</f>
        <v>1480</v>
      </c>
      <c r="DJ6" s="91">
        <f>VLOOKUP($G$6&amp;$F$1,'Input RM sheet'!$A:$ZZ,DJ1,0)</f>
        <v>1480</v>
      </c>
      <c r="DK6" s="91">
        <f>VLOOKUP($G$6&amp;$F$1,'Input RM sheet'!$A:$ZZ,DK1,0)</f>
        <v>1424</v>
      </c>
      <c r="DL6" s="91">
        <f>VLOOKUP($G$6&amp;$F$1,'Input RM sheet'!$A:$ZZ,DL1,0)</f>
        <v>1437</v>
      </c>
      <c r="DM6" s="91">
        <f>VLOOKUP($G$6&amp;$F$1,'Input RM sheet'!$A:$ZZ,DM1,0)</f>
        <v>1416</v>
      </c>
      <c r="DN6" s="91">
        <f>VLOOKUP($G$6&amp;$F$1,'Input RM sheet'!$A:$ZZ,DN1,0)</f>
        <v>1413</v>
      </c>
      <c r="DO6" s="91">
        <f>VLOOKUP($G$6&amp;$F$1,'Input RM sheet'!$A:$ZZ,DO1,0)</f>
        <v>1413</v>
      </c>
      <c r="DP6" s="91">
        <f>VLOOKUP($G$6&amp;$F$1,'Input RM sheet'!$A:$ZZ,DP1,0)</f>
        <v>1413</v>
      </c>
      <c r="DQ6" s="91">
        <f>VLOOKUP($G$6&amp;$F$1,'Input RM sheet'!$A:$ZZ,DQ1,0)</f>
        <v>1413</v>
      </c>
      <c r="DR6" s="91">
        <f>VLOOKUP($G$6&amp;$F$1,'Input RM sheet'!$A:$ZZ,DR1,0)</f>
        <v>1395</v>
      </c>
      <c r="DS6" s="91">
        <f>VLOOKUP($G$6&amp;$F$1,'Input RM sheet'!$A:$ZZ,DS1,0)</f>
        <v>0</v>
      </c>
      <c r="DT6" s="91">
        <f>VLOOKUP($G$6&amp;$F$1,'Input RM sheet'!$A:$ZZ,DT1,0)</f>
        <v>0</v>
      </c>
      <c r="DU6" s="91">
        <f>VLOOKUP($G$6&amp;$F$1,'Input RM sheet'!$A:$ZZ,DU1,0)</f>
        <v>0</v>
      </c>
    </row>
    <row r="7" spans="1:149">
      <c r="A7" s="59" t="s">
        <v>395</v>
      </c>
      <c r="B7" s="59"/>
      <c r="C7" s="59" t="s">
        <v>379</v>
      </c>
      <c r="D7" s="59" t="s">
        <v>380</v>
      </c>
      <c r="E7" s="59" t="s">
        <v>381</v>
      </c>
      <c r="F7" s="59" t="s">
        <v>396</v>
      </c>
      <c r="G7" s="95"/>
      <c r="H7" s="96"/>
      <c r="I7" s="96"/>
      <c r="J7" s="96"/>
      <c r="K7" s="96"/>
      <c r="L7" s="96"/>
      <c r="M7" s="96"/>
      <c r="N7" s="96"/>
      <c r="O7" s="96"/>
      <c r="P7" s="96"/>
      <c r="Q7" s="96"/>
      <c r="R7" s="96"/>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c r="CL7" s="30"/>
      <c r="CM7" s="30"/>
      <c r="CN7" s="30"/>
      <c r="CO7" s="30"/>
      <c r="CP7" s="30"/>
      <c r="CQ7" s="30"/>
      <c r="CR7" s="30"/>
      <c r="CS7" s="30"/>
      <c r="CT7" s="30"/>
      <c r="CU7" s="30"/>
      <c r="CV7" s="30"/>
      <c r="CW7" s="30"/>
      <c r="CX7" s="30"/>
      <c r="CY7" s="30"/>
      <c r="CZ7" s="30"/>
      <c r="DA7" s="30"/>
      <c r="DB7" s="30"/>
      <c r="DC7" s="30"/>
      <c r="DD7" s="30"/>
      <c r="DE7" s="30"/>
      <c r="DF7" s="30"/>
      <c r="DG7" s="30"/>
      <c r="DH7" s="30"/>
      <c r="DI7" s="30"/>
      <c r="DJ7" s="30"/>
      <c r="DK7" s="30"/>
      <c r="DL7" s="30"/>
      <c r="DM7" s="30"/>
      <c r="DN7" s="30"/>
      <c r="DO7" s="30"/>
      <c r="DP7" s="30"/>
      <c r="DQ7" s="30"/>
      <c r="DR7" s="30"/>
      <c r="DS7" s="30"/>
      <c r="DT7" s="30"/>
      <c r="DU7" s="30"/>
    </row>
    <row r="8" spans="1:149" ht="14.5" customHeight="1">
      <c r="A8" s="372" t="s">
        <v>397</v>
      </c>
      <c r="B8" s="60" t="s">
        <v>412</v>
      </c>
      <c r="C8" s="60">
        <v>1</v>
      </c>
      <c r="D8" s="60">
        <v>60.1</v>
      </c>
      <c r="E8" s="60">
        <f>D8*C8</f>
        <v>60.1</v>
      </c>
      <c r="F8" s="65">
        <f>E8/$D$4</f>
        <v>0.57703570708476948</v>
      </c>
      <c r="G8" s="95" t="s">
        <v>399</v>
      </c>
      <c r="H8" s="97">
        <f>$F$8*H5</f>
        <v>0.91825009075097985</v>
      </c>
      <c r="I8" s="97">
        <f t="shared" ref="I8:BC8" si="0">$F$8*I5</f>
        <v>0.95420344513780087</v>
      </c>
      <c r="J8" s="97">
        <f t="shared" si="0"/>
        <v>0.94695943240593394</v>
      </c>
      <c r="K8" s="97">
        <f t="shared" si="0"/>
        <v>0.93799434244166757</v>
      </c>
      <c r="L8" s="97">
        <f t="shared" si="0"/>
        <v>0.90681613176183518</v>
      </c>
      <c r="M8" s="97">
        <f t="shared" si="0"/>
        <v>0.8938853877601558</v>
      </c>
      <c r="N8" s="97">
        <f t="shared" si="0"/>
        <v>0.81940763982017806</v>
      </c>
      <c r="O8" s="97">
        <f t="shared" si="0"/>
        <v>0.86004042270021963</v>
      </c>
      <c r="P8" s="97">
        <f t="shared" si="0"/>
        <v>0.90274721130689839</v>
      </c>
      <c r="Q8" s="97">
        <f t="shared" si="0"/>
        <v>0.87059925810299577</v>
      </c>
      <c r="R8" s="97">
        <f t="shared" si="0"/>
        <v>0.97485818785926637</v>
      </c>
      <c r="S8" s="97">
        <f t="shared" si="0"/>
        <v>0.98060917249392143</v>
      </c>
      <c r="T8" s="97">
        <f t="shared" si="0"/>
        <v>0.98353146410129955</v>
      </c>
      <c r="U8" s="97">
        <f t="shared" si="0"/>
        <v>1.0762547424229443</v>
      </c>
      <c r="V8" s="97">
        <f t="shared" si="0"/>
        <v>1.1548504164007707</v>
      </c>
      <c r="W8" s="97">
        <f t="shared" si="0"/>
        <v>1.2368724956460901</v>
      </c>
      <c r="X8" s="97">
        <f t="shared" si="0"/>
        <v>1.3014957632047404</v>
      </c>
      <c r="Y8" s="97">
        <f t="shared" si="0"/>
        <v>1.3048378649269901</v>
      </c>
      <c r="Z8" s="97">
        <f t="shared" si="0"/>
        <v>1.285897878519678</v>
      </c>
      <c r="AA8" s="97">
        <f t="shared" si="0"/>
        <v>1.2889778093846671</v>
      </c>
      <c r="AB8" s="97">
        <f t="shared" si="0"/>
        <v>1.3026098598667166</v>
      </c>
      <c r="AC8" s="97">
        <f t="shared" si="0"/>
        <v>1.3579133485635424</v>
      </c>
      <c r="AD8" s="97">
        <f t="shared" si="0"/>
        <v>1.4573834852570797</v>
      </c>
      <c r="AE8" s="97">
        <f t="shared" si="0"/>
        <v>1.3615316172639209</v>
      </c>
      <c r="AF8" s="97">
        <f t="shared" si="0"/>
        <v>1.4745258688077194</v>
      </c>
      <c r="AG8" s="97">
        <f t="shared" si="0"/>
        <v>1.4546817488228641</v>
      </c>
      <c r="AH8" s="97">
        <f t="shared" si="0"/>
        <v>1.3990880217149451</v>
      </c>
      <c r="AI8" s="97">
        <f t="shared" si="0"/>
        <v>1.4714810241802836</v>
      </c>
      <c r="AJ8" s="97">
        <f t="shared" si="0"/>
        <v>1.5006034122640279</v>
      </c>
      <c r="AK8" s="97">
        <f t="shared" si="0"/>
        <v>1.477600824319613</v>
      </c>
      <c r="AL8" s="97">
        <f t="shared" si="0"/>
        <v>1.3275500142006569</v>
      </c>
      <c r="AM8" s="97">
        <f t="shared" si="0"/>
        <v>1.3231893112569153</v>
      </c>
      <c r="AN8" s="97">
        <f t="shared" si="0"/>
        <v>1.0900933447187677</v>
      </c>
      <c r="AO8" s="97">
        <f t="shared" si="0"/>
        <v>1.0047043582294872</v>
      </c>
      <c r="AP8" s="97">
        <f t="shared" si="0"/>
        <v>1.0207730372529349</v>
      </c>
      <c r="AQ8" s="97">
        <f t="shared" si="0"/>
        <v>0.95561742095240187</v>
      </c>
      <c r="AR8" s="97">
        <f t="shared" si="0"/>
        <v>1.4494417906636088</v>
      </c>
      <c r="AS8" s="97">
        <f t="shared" si="0"/>
        <v>1.0126553737345001</v>
      </c>
      <c r="AT8" s="97">
        <f t="shared" si="0"/>
        <v>0.99228053331576538</v>
      </c>
      <c r="AU8" s="97">
        <f t="shared" si="0"/>
        <v>0.99961999208025754</v>
      </c>
      <c r="AV8" s="97">
        <f t="shared" si="0"/>
        <v>1.0246069058260965</v>
      </c>
      <c r="AW8" s="97">
        <f t="shared" si="0"/>
        <v>0.87554672627594188</v>
      </c>
      <c r="AX8" s="97">
        <f t="shared" si="0"/>
        <v>0.8755835088707743</v>
      </c>
      <c r="AY8" s="97">
        <f t="shared" si="0"/>
        <v>0.87574352076725237</v>
      </c>
      <c r="AZ8" s="97">
        <f t="shared" si="0"/>
        <v>0.8664473075742537</v>
      </c>
      <c r="BA8" s="97">
        <f t="shared" si="0"/>
        <v>0.8358775002425467</v>
      </c>
      <c r="BB8" s="97">
        <f t="shared" si="0"/>
        <v>0.91120030109123795</v>
      </c>
      <c r="BC8" s="97">
        <f t="shared" si="0"/>
        <v>0.91095630305254605</v>
      </c>
      <c r="BD8" s="97">
        <f t="shared" ref="BD8:BN8" si="1">$F$8*BD5</f>
        <v>0.91095630305254605</v>
      </c>
      <c r="BE8" s="97">
        <f t="shared" si="1"/>
        <v>0.91130563081237415</v>
      </c>
      <c r="BF8" s="97">
        <f t="shared" si="1"/>
        <v>0.91107218480791341</v>
      </c>
      <c r="BG8" s="97">
        <f t="shared" si="1"/>
        <v>0.84296405393716811</v>
      </c>
      <c r="BH8" s="97">
        <f t="shared" si="1"/>
        <v>0.84494129662128081</v>
      </c>
      <c r="BI8" s="97">
        <f t="shared" si="1"/>
        <v>0.84474983804879766</v>
      </c>
      <c r="BJ8" s="97">
        <f t="shared" si="1"/>
        <v>0.8526321064282536</v>
      </c>
      <c r="BK8" s="97">
        <f t="shared" si="1"/>
        <v>0.85261192754975934</v>
      </c>
      <c r="BL8" s="97">
        <f t="shared" si="1"/>
        <v>0.8507323252244765</v>
      </c>
      <c r="BM8" s="97">
        <f t="shared" si="1"/>
        <v>0.86304436608333301</v>
      </c>
      <c r="BN8" s="97">
        <f t="shared" si="1"/>
        <v>0.86307173998705189</v>
      </c>
      <c r="BO8" s="97">
        <f t="shared" ref="BO8:BU8" si="2">$F$8*BO5</f>
        <v>0.86309228769011392</v>
      </c>
      <c r="BP8" s="97">
        <f t="shared" si="2"/>
        <v>0.86309228769011392</v>
      </c>
      <c r="BQ8" s="97">
        <f t="shared" si="2"/>
        <v>0.88191100656805532</v>
      </c>
      <c r="BR8" s="97">
        <f t="shared" si="2"/>
        <v>0.88186324578158748</v>
      </c>
      <c r="BS8" s="97">
        <f t="shared" si="2"/>
        <v>0.87698681345303431</v>
      </c>
      <c r="BT8" s="97">
        <f t="shared" si="2"/>
        <v>0.87804390440590907</v>
      </c>
      <c r="BU8" s="97">
        <f t="shared" si="2"/>
        <v>0.87799298125331227</v>
      </c>
      <c r="BV8" s="97">
        <f t="shared" ref="BV8:CC8" si="3">$F$8*BV5</f>
        <v>0.87663268907048508</v>
      </c>
      <c r="BW8" s="97">
        <f t="shared" si="3"/>
        <v>0.87908452987709074</v>
      </c>
      <c r="BX8" s="97">
        <f t="shared" si="3"/>
        <v>0.87901957241294559</v>
      </c>
      <c r="BY8" s="97">
        <f t="shared" si="3"/>
        <v>0.88012741049617504</v>
      </c>
      <c r="BZ8" s="97">
        <f t="shared" si="3"/>
        <v>0.88016725625727388</v>
      </c>
      <c r="CA8" s="97">
        <f t="shared" si="3"/>
        <v>0.8801606112969943</v>
      </c>
      <c r="CB8" s="97">
        <f t="shared" si="3"/>
        <v>0.88023379403203994</v>
      </c>
      <c r="CC8" s="97">
        <f t="shared" si="3"/>
        <v>0.88023379403203994</v>
      </c>
      <c r="CD8" s="97">
        <f t="shared" ref="CD8:DA8" si="4">$F$8*CD5</f>
        <v>0.87740164278598087</v>
      </c>
      <c r="CE8" s="97">
        <f t="shared" si="4"/>
        <v>0.87736365762275481</v>
      </c>
      <c r="CF8" s="97">
        <f t="shared" si="4"/>
        <v>0.87704924363856973</v>
      </c>
      <c r="CG8" s="97">
        <f t="shared" si="4"/>
        <v>0.87696811359484639</v>
      </c>
      <c r="CH8" s="97">
        <f t="shared" si="4"/>
        <v>0.96219568211170947</v>
      </c>
      <c r="CI8" s="97">
        <f t="shared" si="4"/>
        <v>0.96207705040829405</v>
      </c>
      <c r="CJ8" s="97">
        <f t="shared" si="4"/>
        <v>0.96194655844695398</v>
      </c>
      <c r="CK8" s="97">
        <f t="shared" si="4"/>
        <v>0.96402466924782559</v>
      </c>
      <c r="CL8" s="97">
        <f t="shared" si="4"/>
        <v>0.96397302655449701</v>
      </c>
      <c r="CM8" s="97">
        <f t="shared" si="4"/>
        <v>0.9640699379254658</v>
      </c>
      <c r="CN8" s="97">
        <f t="shared" si="4"/>
        <v>0.9611273562978685</v>
      </c>
      <c r="CO8" s="97">
        <f t="shared" si="4"/>
        <v>0.9611273562978685</v>
      </c>
      <c r="CP8" s="97">
        <f t="shared" si="4"/>
        <v>0.9611273562978685</v>
      </c>
      <c r="CQ8" s="97">
        <f t="shared" si="4"/>
        <v>0.82839766763118705</v>
      </c>
      <c r="CR8" s="97">
        <f t="shared" si="4"/>
        <v>0.8306559518450547</v>
      </c>
      <c r="CS8" s="97">
        <f t="shared" si="4"/>
        <v>0.83059255697700829</v>
      </c>
      <c r="CT8" s="97">
        <f t="shared" si="4"/>
        <v>0.83258360573000634</v>
      </c>
      <c r="CU8" s="97">
        <f t="shared" si="4"/>
        <v>0.83257046031998994</v>
      </c>
      <c r="CV8" s="97">
        <f t="shared" si="4"/>
        <v>0.90817586793419613</v>
      </c>
      <c r="CW8" s="97">
        <f t="shared" si="4"/>
        <v>0.89764366618950586</v>
      </c>
      <c r="CX8" s="97">
        <f t="shared" si="4"/>
        <v>0.96382510351320105</v>
      </c>
      <c r="CY8" s="97">
        <f t="shared" si="4"/>
        <v>0.96563207079665803</v>
      </c>
      <c r="CZ8" s="97">
        <f t="shared" si="4"/>
        <v>0.96562545937899369</v>
      </c>
      <c r="DA8" s="97">
        <f t="shared" si="4"/>
        <v>0.94675066994534607</v>
      </c>
      <c r="DB8" s="97">
        <f t="shared" ref="DB8:DU8" si="5">$F$8*DB5</f>
        <v>0.96567177240307878</v>
      </c>
      <c r="DC8" s="97">
        <f t="shared" si="5"/>
        <v>0.79967365734582563</v>
      </c>
      <c r="DD8" s="97">
        <f t="shared" si="5"/>
        <v>0.79967365734582563</v>
      </c>
      <c r="DE8" s="97">
        <f t="shared" si="5"/>
        <v>0.79697159727514177</v>
      </c>
      <c r="DF8" s="97">
        <f t="shared" si="5"/>
        <v>0.79692529654631294</v>
      </c>
      <c r="DG8" s="97">
        <f t="shared" si="5"/>
        <v>0.79674671451942713</v>
      </c>
      <c r="DH8" s="97">
        <f t="shared" si="5"/>
        <v>0.79766184852416588</v>
      </c>
      <c r="DI8" s="97">
        <f t="shared" si="5"/>
        <v>0.95923184650790139</v>
      </c>
      <c r="DJ8" s="97">
        <f t="shared" si="5"/>
        <v>0.95922600573263717</v>
      </c>
      <c r="DK8" s="97">
        <f t="shared" si="5"/>
        <v>0.95920265651834968</v>
      </c>
      <c r="DL8" s="97">
        <f t="shared" si="5"/>
        <v>0.96849707250311612</v>
      </c>
      <c r="DM8" s="97">
        <f t="shared" si="5"/>
        <v>0.9321988003174182</v>
      </c>
      <c r="DN8" s="97">
        <f t="shared" si="5"/>
        <v>0.93198420443822128</v>
      </c>
      <c r="DO8" s="97">
        <f t="shared" si="5"/>
        <v>0.93387929775876488</v>
      </c>
      <c r="DP8" s="97">
        <f t="shared" si="5"/>
        <v>0.94276863402446098</v>
      </c>
      <c r="DQ8" s="97">
        <f t="shared" si="5"/>
        <v>0.94271398911540949</v>
      </c>
      <c r="DR8" s="97">
        <f t="shared" si="5"/>
        <v>0.93309953390561984</v>
      </c>
      <c r="DS8" s="97">
        <f t="shared" si="5"/>
        <v>0</v>
      </c>
      <c r="DT8" s="97">
        <f t="shared" si="5"/>
        <v>0</v>
      </c>
      <c r="DU8" s="97">
        <f t="shared" si="5"/>
        <v>0</v>
      </c>
    </row>
    <row r="9" spans="1:149">
      <c r="A9" s="373"/>
      <c r="B9" s="60" t="s">
        <v>314</v>
      </c>
      <c r="C9" s="60">
        <v>1</v>
      </c>
      <c r="D9" s="60">
        <v>44.05</v>
      </c>
      <c r="E9" s="60">
        <f>D9*C9</f>
        <v>44.05</v>
      </c>
      <c r="F9" s="65">
        <f>E9/$D$4</f>
        <v>0.42293548913617462</v>
      </c>
      <c r="G9" s="70"/>
      <c r="H9" s="97">
        <f>$F$9*(H6/1000)</f>
        <v>0.55700603919234193</v>
      </c>
      <c r="I9" s="97">
        <f>$F$9*(I6/1000)</f>
        <v>0.5477014584313461</v>
      </c>
      <c r="J9" s="97">
        <f t="shared" ref="J9:BC9" si="6">$F$9*(J6/1000)</f>
        <v>0.53670513571380551</v>
      </c>
      <c r="K9" s="97">
        <f t="shared" si="6"/>
        <v>0.45338684435397925</v>
      </c>
      <c r="L9" s="97">
        <f t="shared" si="6"/>
        <v>0.41877803327796603</v>
      </c>
      <c r="M9" s="97">
        <f t="shared" si="6"/>
        <v>0.45423271533225157</v>
      </c>
      <c r="N9" s="97">
        <f t="shared" si="6"/>
        <v>0.49483452228932429</v>
      </c>
      <c r="O9" s="97">
        <f t="shared" si="6"/>
        <v>0.51936478065922242</v>
      </c>
      <c r="P9" s="97">
        <f t="shared" si="6"/>
        <v>0.51725010321354159</v>
      </c>
      <c r="Q9" s="97">
        <f t="shared" si="6"/>
        <v>0.51259781283304362</v>
      </c>
      <c r="R9" s="97">
        <f t="shared" si="6"/>
        <v>0.51598129674613302</v>
      </c>
      <c r="S9" s="97">
        <f t="shared" si="6"/>
        <v>0.53839687767035027</v>
      </c>
      <c r="T9" s="97">
        <f t="shared" si="6"/>
        <v>0.55489136174666109</v>
      </c>
      <c r="U9" s="97">
        <f t="shared" si="6"/>
        <v>0.57984455560569537</v>
      </c>
      <c r="V9" s="97">
        <f t="shared" si="6"/>
        <v>0.60099133006250416</v>
      </c>
      <c r="W9" s="97">
        <f t="shared" si="6"/>
        <v>0.62002342707363201</v>
      </c>
      <c r="X9" s="97">
        <f t="shared" si="6"/>
        <v>0.63186562076944486</v>
      </c>
      <c r="Y9" s="97">
        <f t="shared" si="6"/>
        <v>0.63820965310648747</v>
      </c>
      <c r="Z9" s="97">
        <f t="shared" si="6"/>
        <v>0.64328487897612152</v>
      </c>
      <c r="AA9" s="97">
        <f t="shared" si="6"/>
        <v>0.66104816951984091</v>
      </c>
      <c r="AB9" s="97">
        <f t="shared" si="6"/>
        <v>0.6580876210958877</v>
      </c>
      <c r="AC9" s="97">
        <f t="shared" si="6"/>
        <v>0.6580876210958877</v>
      </c>
      <c r="AD9" s="97">
        <f t="shared" si="6"/>
        <v>0.68304081495492197</v>
      </c>
      <c r="AE9" s="97">
        <f t="shared" si="6"/>
        <v>0.67331329870479006</v>
      </c>
      <c r="AF9" s="97">
        <f t="shared" si="6"/>
        <v>0.67415916968306244</v>
      </c>
      <c r="AG9" s="97">
        <f t="shared" si="6"/>
        <v>0.70122704098777744</v>
      </c>
      <c r="AH9" s="97">
        <f t="shared" si="6"/>
        <v>0.71602978310754362</v>
      </c>
      <c r="AI9" s="97">
        <f t="shared" si="6"/>
        <v>0.81034439718491058</v>
      </c>
      <c r="AJ9" s="97">
        <f t="shared" si="6"/>
        <v>0.76762791278215692</v>
      </c>
      <c r="AK9" s="97">
        <f t="shared" si="6"/>
        <v>0.76678204180388454</v>
      </c>
      <c r="AL9" s="97">
        <f t="shared" si="6"/>
        <v>0.70545639587913922</v>
      </c>
      <c r="AM9" s="97">
        <f t="shared" si="6"/>
        <v>0.67627384712874317</v>
      </c>
      <c r="AN9" s="97">
        <f t="shared" si="6"/>
        <v>0.62256104000844903</v>
      </c>
      <c r="AO9" s="97">
        <f t="shared" si="6"/>
        <v>0.60183720104077654</v>
      </c>
      <c r="AP9" s="97">
        <f t="shared" si="6"/>
        <v>0.6373637821282151</v>
      </c>
      <c r="AQ9" s="97">
        <f t="shared" si="6"/>
        <v>0.65216652424798127</v>
      </c>
      <c r="AR9" s="97">
        <f t="shared" si="6"/>
        <v>0.62932800783462783</v>
      </c>
      <c r="AS9" s="97">
        <f t="shared" si="6"/>
        <v>0.65512707267193449</v>
      </c>
      <c r="AT9" s="97">
        <f t="shared" si="6"/>
        <v>0.66570045990033888</v>
      </c>
      <c r="AU9" s="97">
        <f t="shared" si="6"/>
        <v>0.66020229854156853</v>
      </c>
      <c r="AV9" s="97">
        <f t="shared" si="6"/>
        <v>0.65005184680230033</v>
      </c>
      <c r="AW9" s="97">
        <f t="shared" si="6"/>
        <v>0.61748581413881498</v>
      </c>
      <c r="AX9" s="97">
        <f t="shared" si="6"/>
        <v>0.61748581413881498</v>
      </c>
      <c r="AY9" s="97">
        <f t="shared" si="6"/>
        <v>0.61748581413881498</v>
      </c>
      <c r="AZ9" s="97">
        <f t="shared" si="6"/>
        <v>0.61748581413881498</v>
      </c>
      <c r="BA9" s="97">
        <f t="shared" si="6"/>
        <v>0.60606655593213821</v>
      </c>
      <c r="BB9" s="97">
        <f t="shared" si="6"/>
        <v>0.60606655593213821</v>
      </c>
      <c r="BC9" s="97">
        <f t="shared" si="6"/>
        <v>0.60606655593213821</v>
      </c>
      <c r="BD9" s="97">
        <f t="shared" ref="BD9:BN9" si="7">$F$9*(BD6/1000)</f>
        <v>0.60606655593213821</v>
      </c>
      <c r="BE9" s="97">
        <f t="shared" si="7"/>
        <v>0.60606655593213821</v>
      </c>
      <c r="BF9" s="97">
        <f t="shared" si="7"/>
        <v>0.59803078163855083</v>
      </c>
      <c r="BG9" s="97">
        <f t="shared" si="7"/>
        <v>0.59803078163855083</v>
      </c>
      <c r="BH9" s="97">
        <f t="shared" si="7"/>
        <v>0.61283352375831701</v>
      </c>
      <c r="BI9" s="97">
        <f t="shared" si="7"/>
        <v>0.61283352375831701</v>
      </c>
      <c r="BJ9" s="97">
        <f t="shared" si="7"/>
        <v>0.61283352375831701</v>
      </c>
      <c r="BK9" s="97">
        <f t="shared" si="7"/>
        <v>0.61283352375831701</v>
      </c>
      <c r="BL9" s="97">
        <f t="shared" si="7"/>
        <v>0.61283352375831701</v>
      </c>
      <c r="BM9" s="97">
        <f t="shared" si="7"/>
        <v>0.62932800783462783</v>
      </c>
      <c r="BN9" s="97">
        <f t="shared" si="7"/>
        <v>0.62932800783462783</v>
      </c>
      <c r="BO9" s="97">
        <f t="shared" ref="BO9:BU9" si="8">$F$9*(BO6/1000)</f>
        <v>0.62932800783462783</v>
      </c>
      <c r="BP9" s="97">
        <f t="shared" si="8"/>
        <v>0.62932800783462783</v>
      </c>
      <c r="BQ9" s="97">
        <f t="shared" si="8"/>
        <v>0.62932800783462783</v>
      </c>
      <c r="BR9" s="97">
        <f t="shared" si="8"/>
        <v>0.62171516903017665</v>
      </c>
      <c r="BS9" s="97">
        <f t="shared" si="8"/>
        <v>0.61875462060622355</v>
      </c>
      <c r="BT9" s="97">
        <f t="shared" si="8"/>
        <v>0.62002342707363201</v>
      </c>
      <c r="BU9" s="97">
        <f t="shared" si="8"/>
        <v>0.62256104000844903</v>
      </c>
      <c r="BV9" s="97">
        <f t="shared" ref="BV9:CC9" si="9">$F$9*(BV6/1000)</f>
        <v>0.62256104000844903</v>
      </c>
      <c r="BW9" s="97">
        <f t="shared" si="9"/>
        <v>0.62256104000844903</v>
      </c>
      <c r="BX9" s="97">
        <f t="shared" si="9"/>
        <v>0.62256104000844903</v>
      </c>
      <c r="BY9" s="97">
        <f t="shared" si="9"/>
        <v>0.60479774946472964</v>
      </c>
      <c r="BZ9" s="97">
        <f t="shared" si="9"/>
        <v>0.60479774946472964</v>
      </c>
      <c r="CA9" s="97">
        <f t="shared" si="9"/>
        <v>0.60479774946472964</v>
      </c>
      <c r="CB9" s="97">
        <f t="shared" si="9"/>
        <v>0.60479774946472964</v>
      </c>
      <c r="CC9" s="97">
        <f t="shared" si="9"/>
        <v>0.60479774946472964</v>
      </c>
      <c r="CD9" s="97">
        <f t="shared" ref="CD9:DA9" si="10">$F$9*(CD6/1000)</f>
        <v>0.59887665261682321</v>
      </c>
      <c r="CE9" s="97">
        <f t="shared" si="10"/>
        <v>0.59887665261682321</v>
      </c>
      <c r="CF9" s="97">
        <f t="shared" si="10"/>
        <v>0.59887665261682321</v>
      </c>
      <c r="CG9" s="97">
        <f t="shared" si="10"/>
        <v>0.61410233022572558</v>
      </c>
      <c r="CH9" s="97">
        <f t="shared" si="10"/>
        <v>0.61410233022572558</v>
      </c>
      <c r="CI9" s="97">
        <f t="shared" si="10"/>
        <v>0.61410233022572558</v>
      </c>
      <c r="CJ9" s="97">
        <f t="shared" si="10"/>
        <v>0.61410233022572558</v>
      </c>
      <c r="CK9" s="97">
        <f t="shared" si="10"/>
        <v>0.61621700767140641</v>
      </c>
      <c r="CL9" s="97">
        <f t="shared" si="10"/>
        <v>0.61621700767140641</v>
      </c>
      <c r="CM9" s="97">
        <f t="shared" si="10"/>
        <v>0.61960049158449582</v>
      </c>
      <c r="CN9" s="97">
        <f t="shared" si="10"/>
        <v>0.61960049158449582</v>
      </c>
      <c r="CO9" s="97">
        <f t="shared" si="10"/>
        <v>0.61960049158449582</v>
      </c>
      <c r="CP9" s="97">
        <f t="shared" si="10"/>
        <v>0.61960049158449582</v>
      </c>
      <c r="CQ9" s="97">
        <f t="shared" si="10"/>
        <v>0.62171516903017665</v>
      </c>
      <c r="CR9" s="97">
        <f t="shared" si="10"/>
        <v>0.62171516903017665</v>
      </c>
      <c r="CS9" s="97">
        <f t="shared" si="10"/>
        <v>0.62171516903017665</v>
      </c>
      <c r="CT9" s="97">
        <f t="shared" si="10"/>
        <v>0.60818123337781904</v>
      </c>
      <c r="CU9" s="97">
        <f t="shared" si="10"/>
        <v>0.60818123337781904</v>
      </c>
      <c r="CV9" s="97">
        <f t="shared" si="10"/>
        <v>0.60818123337781904</v>
      </c>
      <c r="CW9" s="97">
        <f t="shared" si="10"/>
        <v>0.60818123337781904</v>
      </c>
      <c r="CX9" s="97">
        <f t="shared" si="10"/>
        <v>0.6132564592474532</v>
      </c>
      <c r="CY9" s="97">
        <f t="shared" si="10"/>
        <v>0.6132564592474532</v>
      </c>
      <c r="CZ9" s="97">
        <f t="shared" si="10"/>
        <v>0.6132564592474532</v>
      </c>
      <c r="DA9" s="97">
        <f t="shared" si="10"/>
        <v>0.6132564592474532</v>
      </c>
      <c r="DB9" s="97">
        <f t="shared" ref="DB9:DU9" si="11">$F$9*(DB6/1000)</f>
        <v>0.6132564592474532</v>
      </c>
      <c r="DC9" s="97">
        <f t="shared" si="11"/>
        <v>0.62975094332376402</v>
      </c>
      <c r="DD9" s="97">
        <f t="shared" si="11"/>
        <v>0.62975094332376402</v>
      </c>
      <c r="DE9" s="97">
        <f t="shared" si="11"/>
        <v>0.62975094332376402</v>
      </c>
      <c r="DF9" s="97">
        <f t="shared" si="11"/>
        <v>0.62975094332376402</v>
      </c>
      <c r="DG9" s="97">
        <f t="shared" si="11"/>
        <v>0.62594452392153843</v>
      </c>
      <c r="DH9" s="97">
        <f t="shared" si="11"/>
        <v>0.62594452392153843</v>
      </c>
      <c r="DI9" s="97">
        <f t="shared" si="11"/>
        <v>0.62594452392153843</v>
      </c>
      <c r="DJ9" s="97">
        <f t="shared" si="11"/>
        <v>0.62594452392153843</v>
      </c>
      <c r="DK9" s="97">
        <f t="shared" si="11"/>
        <v>0.60226013652991262</v>
      </c>
      <c r="DL9" s="97">
        <f t="shared" si="11"/>
        <v>0.60775829788868296</v>
      </c>
      <c r="DM9" s="97">
        <f t="shared" si="11"/>
        <v>0.59887665261682321</v>
      </c>
      <c r="DN9" s="97">
        <f t="shared" si="11"/>
        <v>0.59760784614941476</v>
      </c>
      <c r="DO9" s="97">
        <f t="shared" si="11"/>
        <v>0.59760784614941476</v>
      </c>
      <c r="DP9" s="97">
        <f t="shared" si="11"/>
        <v>0.59760784614941476</v>
      </c>
      <c r="DQ9" s="97">
        <f t="shared" si="11"/>
        <v>0.59760784614941476</v>
      </c>
      <c r="DR9" s="97">
        <f t="shared" si="11"/>
        <v>0.58999500734496357</v>
      </c>
      <c r="DS9" s="97">
        <f t="shared" si="11"/>
        <v>0</v>
      </c>
      <c r="DT9" s="97">
        <f t="shared" si="11"/>
        <v>0</v>
      </c>
      <c r="DU9" s="97">
        <f t="shared" si="11"/>
        <v>0</v>
      </c>
    </row>
    <row r="10" spans="1:149" s="73" customFormat="1">
      <c r="A10" s="73" t="s">
        <v>400</v>
      </c>
      <c r="D10" s="92"/>
      <c r="F10" s="93"/>
      <c r="G10" s="71"/>
      <c r="H10" s="94">
        <f t="shared" ref="H10:AM10" si="12">SUM(H8:H9)</f>
        <v>1.4752561299433218</v>
      </c>
      <c r="I10" s="94">
        <f t="shared" si="12"/>
        <v>1.501904903569147</v>
      </c>
      <c r="J10" s="94">
        <f t="shared" si="12"/>
        <v>1.4836645681197393</v>
      </c>
      <c r="K10" s="94">
        <f t="shared" si="12"/>
        <v>1.3913811867956469</v>
      </c>
      <c r="L10" s="94">
        <f t="shared" si="12"/>
        <v>1.3255941650398011</v>
      </c>
      <c r="M10" s="94">
        <f t="shared" si="12"/>
        <v>1.3481181030924074</v>
      </c>
      <c r="N10" s="94">
        <f t="shared" si="12"/>
        <v>1.3142421621095024</v>
      </c>
      <c r="O10" s="94">
        <f t="shared" si="12"/>
        <v>1.3794052033594419</v>
      </c>
      <c r="P10" s="94">
        <f t="shared" si="12"/>
        <v>1.4199973145204399</v>
      </c>
      <c r="Q10" s="94">
        <f t="shared" si="12"/>
        <v>1.3831970709360393</v>
      </c>
      <c r="R10" s="94">
        <f t="shared" si="12"/>
        <v>1.4908394846053994</v>
      </c>
      <c r="S10" s="94">
        <f t="shared" si="12"/>
        <v>1.5190060501642717</v>
      </c>
      <c r="T10" s="94">
        <f t="shared" si="12"/>
        <v>1.5384228258479606</v>
      </c>
      <c r="U10" s="94">
        <f t="shared" si="12"/>
        <v>1.6560992980286398</v>
      </c>
      <c r="V10" s="94">
        <f t="shared" si="12"/>
        <v>1.755841746463275</v>
      </c>
      <c r="W10" s="94">
        <f t="shared" si="12"/>
        <v>1.8568959227197221</v>
      </c>
      <c r="X10" s="94">
        <f t="shared" si="12"/>
        <v>1.9333613839741852</v>
      </c>
      <c r="Y10" s="94">
        <f t="shared" si="12"/>
        <v>1.9430475180334774</v>
      </c>
      <c r="Z10" s="94">
        <f t="shared" si="12"/>
        <v>1.9291827574957994</v>
      </c>
      <c r="AA10" s="94">
        <f t="shared" si="12"/>
        <v>1.950025978904508</v>
      </c>
      <c r="AB10" s="94">
        <f t="shared" si="12"/>
        <v>1.9606974809626043</v>
      </c>
      <c r="AC10" s="94">
        <f t="shared" si="12"/>
        <v>2.0160009696594301</v>
      </c>
      <c r="AD10" s="94">
        <f t="shared" si="12"/>
        <v>2.1404243002120018</v>
      </c>
      <c r="AE10" s="94">
        <f t="shared" si="12"/>
        <v>2.0348449159687112</v>
      </c>
      <c r="AF10" s="94">
        <f t="shared" si="12"/>
        <v>2.1486850384907816</v>
      </c>
      <c r="AG10" s="94">
        <f t="shared" si="12"/>
        <v>2.1559087898106415</v>
      </c>
      <c r="AH10" s="94">
        <f t="shared" si="12"/>
        <v>2.1151178048224888</v>
      </c>
      <c r="AI10" s="94">
        <f t="shared" si="12"/>
        <v>2.2818254213651943</v>
      </c>
      <c r="AJ10" s="94">
        <f t="shared" si="12"/>
        <v>2.2682313250461847</v>
      </c>
      <c r="AK10" s="94">
        <f t="shared" si="12"/>
        <v>2.2443828661234977</v>
      </c>
      <c r="AL10" s="94">
        <f t="shared" si="12"/>
        <v>2.0330064100797962</v>
      </c>
      <c r="AM10" s="94">
        <f t="shared" si="12"/>
        <v>1.9994631583856584</v>
      </c>
      <c r="AN10" s="94">
        <f t="shared" ref="AN10:BN10" si="13">SUM(AN8:AN9)</f>
        <v>1.7126543847272169</v>
      </c>
      <c r="AO10" s="94">
        <f t="shared" si="13"/>
        <v>1.6065415592702639</v>
      </c>
      <c r="AP10" s="94">
        <f t="shared" si="13"/>
        <v>1.6581368193811499</v>
      </c>
      <c r="AQ10" s="94">
        <f t="shared" si="13"/>
        <v>1.6077839452003833</v>
      </c>
      <c r="AR10" s="94">
        <f t="shared" si="13"/>
        <v>2.0787697984982367</v>
      </c>
      <c r="AS10" s="94">
        <f t="shared" si="13"/>
        <v>1.6677824464064346</v>
      </c>
      <c r="AT10" s="94">
        <f t="shared" si="13"/>
        <v>1.6579809932161043</v>
      </c>
      <c r="AU10" s="94">
        <f t="shared" si="13"/>
        <v>1.6598222906218261</v>
      </c>
      <c r="AV10" s="94">
        <f t="shared" si="13"/>
        <v>1.6746587526283969</v>
      </c>
      <c r="AW10" s="94">
        <f t="shared" si="13"/>
        <v>1.4930325404147569</v>
      </c>
      <c r="AX10" s="94">
        <f t="shared" si="13"/>
        <v>1.4930693230095893</v>
      </c>
      <c r="AY10" s="94">
        <f t="shared" si="13"/>
        <v>1.4932293349060672</v>
      </c>
      <c r="AZ10" s="94">
        <f t="shared" si="13"/>
        <v>1.4839331217130687</v>
      </c>
      <c r="BA10" s="94">
        <f t="shared" si="13"/>
        <v>1.4419440561746848</v>
      </c>
      <c r="BB10" s="94">
        <f t="shared" si="13"/>
        <v>1.517266857023376</v>
      </c>
      <c r="BC10" s="94">
        <f t="shared" si="13"/>
        <v>1.5170228589846841</v>
      </c>
      <c r="BD10" s="94">
        <f t="shared" si="13"/>
        <v>1.5170228589846841</v>
      </c>
      <c r="BE10" s="94">
        <f t="shared" si="13"/>
        <v>1.5173721867445122</v>
      </c>
      <c r="BF10" s="94">
        <f t="shared" si="13"/>
        <v>1.5091029664464641</v>
      </c>
      <c r="BG10" s="94">
        <f t="shared" si="13"/>
        <v>1.4409948355757189</v>
      </c>
      <c r="BH10" s="94">
        <f t="shared" si="13"/>
        <v>1.4577748203795977</v>
      </c>
      <c r="BI10" s="94">
        <f t="shared" si="13"/>
        <v>1.4575833618071146</v>
      </c>
      <c r="BJ10" s="94">
        <f t="shared" si="13"/>
        <v>1.4654656301865705</v>
      </c>
      <c r="BK10" s="94">
        <f t="shared" si="13"/>
        <v>1.4654454513080764</v>
      </c>
      <c r="BL10" s="94">
        <f t="shared" si="13"/>
        <v>1.4635658489827934</v>
      </c>
      <c r="BM10" s="94">
        <f t="shared" si="13"/>
        <v>1.4923723739179608</v>
      </c>
      <c r="BN10" s="94">
        <f t="shared" si="13"/>
        <v>1.4923997478216797</v>
      </c>
      <c r="BO10" s="94">
        <f t="shared" ref="BO10:BU10" si="14">SUM(BO8:BO9)</f>
        <v>1.4924202955247416</v>
      </c>
      <c r="BP10" s="94">
        <f t="shared" si="14"/>
        <v>1.4924202955247416</v>
      </c>
      <c r="BQ10" s="94">
        <f t="shared" si="14"/>
        <v>1.5112390144026833</v>
      </c>
      <c r="BR10" s="94">
        <f t="shared" si="14"/>
        <v>1.5035784148117641</v>
      </c>
      <c r="BS10" s="94">
        <f t="shared" si="14"/>
        <v>1.4957414340592579</v>
      </c>
      <c r="BT10" s="94">
        <f t="shared" si="14"/>
        <v>1.498067331479541</v>
      </c>
      <c r="BU10" s="94">
        <f t="shared" si="14"/>
        <v>1.5005540212617614</v>
      </c>
      <c r="BV10" s="94">
        <f t="shared" ref="BV10:CC10" si="15">SUM(BV8:BV9)</f>
        <v>1.4991937290789341</v>
      </c>
      <c r="BW10" s="94">
        <f t="shared" si="15"/>
        <v>1.5016455698855398</v>
      </c>
      <c r="BX10" s="94">
        <f t="shared" si="15"/>
        <v>1.5015806124213946</v>
      </c>
      <c r="BY10" s="94">
        <f t="shared" si="15"/>
        <v>1.4849251599609046</v>
      </c>
      <c r="BZ10" s="94">
        <f t="shared" si="15"/>
        <v>1.4849650057220036</v>
      </c>
      <c r="CA10" s="94">
        <f t="shared" si="15"/>
        <v>1.4849583607617238</v>
      </c>
      <c r="CB10" s="94">
        <f t="shared" si="15"/>
        <v>1.4850315434967696</v>
      </c>
      <c r="CC10" s="94">
        <f t="shared" si="15"/>
        <v>1.4850315434967696</v>
      </c>
      <c r="CD10" s="94">
        <f t="shared" ref="CD10:DA10" si="16">SUM(CD8:CD9)</f>
        <v>1.4762782954028042</v>
      </c>
      <c r="CE10" s="94">
        <f t="shared" si="16"/>
        <v>1.476240310239578</v>
      </c>
      <c r="CF10" s="94">
        <f t="shared" si="16"/>
        <v>1.4759258962553929</v>
      </c>
      <c r="CG10" s="94">
        <f t="shared" si="16"/>
        <v>1.491070443820572</v>
      </c>
      <c r="CH10" s="94">
        <f t="shared" si="16"/>
        <v>1.5762980123374351</v>
      </c>
      <c r="CI10" s="94">
        <f t="shared" si="16"/>
        <v>1.5761793806340196</v>
      </c>
      <c r="CJ10" s="94">
        <f t="shared" si="16"/>
        <v>1.5760488886726796</v>
      </c>
      <c r="CK10" s="94">
        <f t="shared" si="16"/>
        <v>1.580241676919232</v>
      </c>
      <c r="CL10" s="94">
        <f t="shared" si="16"/>
        <v>1.5801900342259034</v>
      </c>
      <c r="CM10" s="94">
        <f t="shared" si="16"/>
        <v>1.5836704295099615</v>
      </c>
      <c r="CN10" s="94">
        <f t="shared" si="16"/>
        <v>1.5807278478823643</v>
      </c>
      <c r="CO10" s="94">
        <f t="shared" si="16"/>
        <v>1.5807278478823643</v>
      </c>
      <c r="CP10" s="94">
        <f t="shared" si="16"/>
        <v>1.5807278478823643</v>
      </c>
      <c r="CQ10" s="94">
        <f t="shared" si="16"/>
        <v>1.4501128366613636</v>
      </c>
      <c r="CR10" s="94">
        <f t="shared" si="16"/>
        <v>1.4523711208752315</v>
      </c>
      <c r="CS10" s="94">
        <f t="shared" si="16"/>
        <v>1.4523077260071848</v>
      </c>
      <c r="CT10" s="94">
        <f t="shared" si="16"/>
        <v>1.4407648391078254</v>
      </c>
      <c r="CU10" s="94">
        <f t="shared" si="16"/>
        <v>1.4407516936978091</v>
      </c>
      <c r="CV10" s="94">
        <f t="shared" si="16"/>
        <v>1.5163571013120152</v>
      </c>
      <c r="CW10" s="94">
        <f t="shared" si="16"/>
        <v>1.5058248995673249</v>
      </c>
      <c r="CX10" s="94">
        <f t="shared" si="16"/>
        <v>1.5770815627606543</v>
      </c>
      <c r="CY10" s="94">
        <f t="shared" si="16"/>
        <v>1.5788885300441113</v>
      </c>
      <c r="CZ10" s="94">
        <f t="shared" si="16"/>
        <v>1.5788819186264469</v>
      </c>
      <c r="DA10" s="94">
        <f t="shared" si="16"/>
        <v>1.5600071291927993</v>
      </c>
      <c r="DB10" s="94">
        <f t="shared" ref="DB10:DU10" si="17">SUM(DB8:DB9)</f>
        <v>1.578928231650532</v>
      </c>
      <c r="DC10" s="94">
        <f t="shared" si="17"/>
        <v>1.4294246006695897</v>
      </c>
      <c r="DD10" s="94">
        <f t="shared" si="17"/>
        <v>1.4294246006695897</v>
      </c>
      <c r="DE10" s="94">
        <f t="shared" si="17"/>
        <v>1.4267225405989059</v>
      </c>
      <c r="DF10" s="94">
        <f t="shared" si="17"/>
        <v>1.426676239870077</v>
      </c>
      <c r="DG10" s="94">
        <f t="shared" si="17"/>
        <v>1.4226912384409656</v>
      </c>
      <c r="DH10" s="94">
        <f t="shared" si="17"/>
        <v>1.4236063724457044</v>
      </c>
      <c r="DI10" s="94">
        <f t="shared" si="17"/>
        <v>1.5851763704294397</v>
      </c>
      <c r="DJ10" s="94">
        <f t="shared" si="17"/>
        <v>1.5851705296541756</v>
      </c>
      <c r="DK10" s="94">
        <f t="shared" si="17"/>
        <v>1.5614627930482623</v>
      </c>
      <c r="DL10" s="94">
        <f t="shared" si="17"/>
        <v>1.5762553703917992</v>
      </c>
      <c r="DM10" s="94">
        <f t="shared" si="17"/>
        <v>1.5310754529342414</v>
      </c>
      <c r="DN10" s="94">
        <f t="shared" si="17"/>
        <v>1.5295920505876359</v>
      </c>
      <c r="DO10" s="94">
        <f t="shared" si="17"/>
        <v>1.5314871439081796</v>
      </c>
      <c r="DP10" s="94">
        <f t="shared" si="17"/>
        <v>1.5403764801738757</v>
      </c>
      <c r="DQ10" s="94">
        <f t="shared" si="17"/>
        <v>1.5403218352648242</v>
      </c>
      <c r="DR10" s="94">
        <f t="shared" si="17"/>
        <v>1.5230945412505834</v>
      </c>
      <c r="DS10" s="94">
        <f t="shared" si="17"/>
        <v>0</v>
      </c>
      <c r="DT10" s="94">
        <f t="shared" si="17"/>
        <v>0</v>
      </c>
      <c r="DU10" s="94">
        <f t="shared" si="17"/>
        <v>0</v>
      </c>
    </row>
    <row r="11" spans="1:149" ht="13">
      <c r="A11" s="331" t="s">
        <v>493</v>
      </c>
      <c r="D11" s="64"/>
      <c r="F11" s="65"/>
      <c r="G11" s="60" t="s">
        <v>429</v>
      </c>
      <c r="H11" s="70"/>
      <c r="I11" s="70"/>
      <c r="J11" s="70"/>
      <c r="K11" s="70"/>
      <c r="L11" s="70"/>
      <c r="M11" s="70"/>
      <c r="N11" s="70"/>
      <c r="O11" s="70"/>
      <c r="P11" s="70"/>
      <c r="Q11" s="70"/>
      <c r="R11" s="70"/>
      <c r="AF11" s="60">
        <v>2.82</v>
      </c>
      <c r="AI11" s="60">
        <v>3.28</v>
      </c>
      <c r="DH11" s="60">
        <f>127/83</f>
        <v>1.5301204819277108</v>
      </c>
    </row>
    <row r="12" spans="1:149">
      <c r="G12" s="73" t="s">
        <v>406</v>
      </c>
      <c r="AF12" s="65">
        <f>AF11-AF10</f>
        <v>0.67131496150921821</v>
      </c>
      <c r="AI12" s="65">
        <f>AI11-AI10</f>
        <v>0.99817457863480552</v>
      </c>
      <c r="DH12" s="65">
        <f>DH11-DH10</f>
        <v>0.10651410948200635</v>
      </c>
    </row>
    <row r="14" spans="1:149" s="161" customFormat="1">
      <c r="G14" s="165" t="s">
        <v>407</v>
      </c>
      <c r="H14" s="163">
        <f>0.67+H10</f>
        <v>2.1452561299433217</v>
      </c>
      <c r="I14" s="163">
        <f t="shared" ref="I14:BC14" si="18">0.67+I10</f>
        <v>2.1719049035691471</v>
      </c>
      <c r="J14" s="163">
        <f t="shared" si="18"/>
        <v>2.1536645681197393</v>
      </c>
      <c r="K14" s="163">
        <f t="shared" si="18"/>
        <v>2.0613811867956469</v>
      </c>
      <c r="L14" s="163">
        <f t="shared" si="18"/>
        <v>1.995594165039801</v>
      </c>
      <c r="M14" s="163">
        <f t="shared" si="18"/>
        <v>2.0181181030924074</v>
      </c>
      <c r="N14" s="163">
        <f t="shared" si="18"/>
        <v>1.9842421621095023</v>
      </c>
      <c r="O14" s="163">
        <f t="shared" si="18"/>
        <v>2.0494052033594419</v>
      </c>
      <c r="P14" s="163">
        <f t="shared" si="18"/>
        <v>2.0899973145204398</v>
      </c>
      <c r="Q14" s="163">
        <f t="shared" si="18"/>
        <v>2.0531970709360392</v>
      </c>
      <c r="R14" s="163">
        <f t="shared" si="18"/>
        <v>2.1608394846053995</v>
      </c>
      <c r="S14" s="163">
        <f t="shared" si="18"/>
        <v>2.1890060501642719</v>
      </c>
      <c r="T14" s="163">
        <f t="shared" si="18"/>
        <v>2.2084228258479608</v>
      </c>
      <c r="U14" s="163">
        <f t="shared" si="18"/>
        <v>2.3260992980286397</v>
      </c>
      <c r="V14" s="163">
        <f t="shared" si="18"/>
        <v>2.4258417464632749</v>
      </c>
      <c r="W14" s="163">
        <f t="shared" si="18"/>
        <v>2.5268959227197221</v>
      </c>
      <c r="X14" s="163">
        <f t="shared" si="18"/>
        <v>2.6033613839741854</v>
      </c>
      <c r="Y14" s="163">
        <f t="shared" si="18"/>
        <v>2.6130475180334773</v>
      </c>
      <c r="Z14" s="163">
        <f t="shared" si="18"/>
        <v>2.5991827574957993</v>
      </c>
      <c r="AA14" s="163">
        <f t="shared" si="18"/>
        <v>2.6200259789045082</v>
      </c>
      <c r="AB14" s="163">
        <f t="shared" si="18"/>
        <v>2.6306974809626045</v>
      </c>
      <c r="AC14" s="163">
        <f t="shared" si="18"/>
        <v>2.68600096965943</v>
      </c>
      <c r="AD14" s="163">
        <f t="shared" si="18"/>
        <v>2.8104243002120017</v>
      </c>
      <c r="AE14" s="163">
        <f t="shared" si="18"/>
        <v>2.7048449159687111</v>
      </c>
      <c r="AF14" s="163">
        <f t="shared" si="18"/>
        <v>2.8186850384907816</v>
      </c>
      <c r="AG14" s="163">
        <f>0.67+AG10</f>
        <v>2.8259087898106414</v>
      </c>
      <c r="AH14" s="163">
        <f t="shared" si="18"/>
        <v>2.7851178048224887</v>
      </c>
      <c r="AI14" s="163">
        <f t="shared" si="18"/>
        <v>2.9518254213651942</v>
      </c>
      <c r="AJ14" s="163">
        <f>0.67+AJ10</f>
        <v>2.9382313250461847</v>
      </c>
      <c r="AK14" s="163">
        <f t="shared" si="18"/>
        <v>2.9143828661234976</v>
      </c>
      <c r="AL14" s="163">
        <f t="shared" si="18"/>
        <v>2.7030064100797961</v>
      </c>
      <c r="AM14" s="163">
        <f t="shared" si="18"/>
        <v>2.6694631583856583</v>
      </c>
      <c r="AN14" s="163">
        <f t="shared" si="18"/>
        <v>2.3826543847272168</v>
      </c>
      <c r="AO14" s="163">
        <f t="shared" si="18"/>
        <v>2.2765415592702638</v>
      </c>
      <c r="AP14" s="163">
        <f t="shared" si="18"/>
        <v>2.3281368193811498</v>
      </c>
      <c r="AQ14" s="163">
        <f t="shared" si="18"/>
        <v>2.2777839452003832</v>
      </c>
      <c r="AR14" s="163">
        <f t="shared" si="18"/>
        <v>2.7487697984982367</v>
      </c>
      <c r="AS14" s="163">
        <f t="shared" si="18"/>
        <v>2.3377824464064347</v>
      </c>
      <c r="AT14" s="163">
        <f t="shared" si="18"/>
        <v>2.3279809932161042</v>
      </c>
      <c r="AU14" s="163">
        <f t="shared" si="18"/>
        <v>2.3298222906218262</v>
      </c>
      <c r="AV14" s="163">
        <f t="shared" si="18"/>
        <v>2.3446587526283968</v>
      </c>
      <c r="AW14" s="163">
        <f t="shared" si="18"/>
        <v>2.1630325404147568</v>
      </c>
      <c r="AX14" s="163">
        <f t="shared" si="18"/>
        <v>2.1630693230095894</v>
      </c>
      <c r="AY14" s="163">
        <f t="shared" si="18"/>
        <v>2.1632293349060672</v>
      </c>
      <c r="AZ14" s="163">
        <f t="shared" si="18"/>
        <v>2.1539331217130688</v>
      </c>
      <c r="BA14" s="163">
        <f t="shared" si="18"/>
        <v>2.1119440561746847</v>
      </c>
      <c r="BB14" s="163">
        <f t="shared" si="18"/>
        <v>2.187266857023376</v>
      </c>
      <c r="BC14" s="163">
        <f t="shared" si="18"/>
        <v>2.1870228589846841</v>
      </c>
      <c r="BD14" s="163">
        <f t="shared" ref="BD14:BI14" si="19">0.67+BD10</f>
        <v>2.1870228589846841</v>
      </c>
      <c r="BE14" s="163">
        <f t="shared" si="19"/>
        <v>2.1873721867445122</v>
      </c>
      <c r="BF14" s="163">
        <f t="shared" si="19"/>
        <v>2.1791029664464641</v>
      </c>
      <c r="BG14" s="163">
        <f t="shared" si="19"/>
        <v>2.1109948355757191</v>
      </c>
      <c r="BH14" s="163">
        <f t="shared" si="19"/>
        <v>2.1277748203795976</v>
      </c>
      <c r="BI14" s="163">
        <f t="shared" si="19"/>
        <v>2.1275833618071145</v>
      </c>
      <c r="BJ14" s="163">
        <f t="shared" ref="BJ14:BU14" si="20">0.67+BJ10</f>
        <v>2.1354656301865704</v>
      </c>
      <c r="BK14" s="163">
        <f t="shared" si="20"/>
        <v>2.1354454513080765</v>
      </c>
      <c r="BL14" s="163">
        <f t="shared" si="20"/>
        <v>2.1335658489827933</v>
      </c>
      <c r="BM14" s="163">
        <f t="shared" si="20"/>
        <v>2.162372373917961</v>
      </c>
      <c r="BN14" s="163">
        <f t="shared" si="20"/>
        <v>2.1623997478216799</v>
      </c>
      <c r="BO14" s="163">
        <f t="shared" si="20"/>
        <v>2.1624202955247416</v>
      </c>
      <c r="BP14" s="163">
        <f t="shared" si="20"/>
        <v>2.1624202955247416</v>
      </c>
      <c r="BQ14" s="163">
        <f t="shared" si="20"/>
        <v>2.1812390144026832</v>
      </c>
      <c r="BR14" s="163">
        <f t="shared" si="20"/>
        <v>2.1735784148117641</v>
      </c>
      <c r="BS14" s="163">
        <f t="shared" si="20"/>
        <v>2.165741434059258</v>
      </c>
      <c r="BT14" s="163">
        <f t="shared" si="20"/>
        <v>2.1680673314795409</v>
      </c>
      <c r="BU14" s="163">
        <f t="shared" si="20"/>
        <v>2.1705540212617613</v>
      </c>
      <c r="BV14" s="163">
        <f>0.67+BV10</f>
        <v>2.169193729078934</v>
      </c>
      <c r="BW14" s="163">
        <f>0.67+BW10</f>
        <v>2.1716455698855399</v>
      </c>
      <c r="BX14" s="163">
        <f>0.67+BX10</f>
        <v>2.1715806124213946</v>
      </c>
      <c r="BY14" s="163">
        <f>0.67+BY10</f>
        <v>2.1549251599609045</v>
      </c>
      <c r="BZ14" s="163">
        <f t="shared" ref="BZ14:DA14" si="21">0.67+BZ10</f>
        <v>2.1549650057220036</v>
      </c>
      <c r="CA14" s="163">
        <f t="shared" si="21"/>
        <v>2.1549583607617238</v>
      </c>
      <c r="CB14" s="163">
        <f t="shared" si="21"/>
        <v>2.1550315434967695</v>
      </c>
      <c r="CC14" s="163">
        <f t="shared" si="21"/>
        <v>2.1550315434967695</v>
      </c>
      <c r="CD14" s="163">
        <f t="shared" si="21"/>
        <v>2.1462782954028041</v>
      </c>
      <c r="CE14" s="163">
        <f t="shared" si="21"/>
        <v>2.1462403102395782</v>
      </c>
      <c r="CF14" s="163">
        <f t="shared" si="21"/>
        <v>2.1459258962553931</v>
      </c>
      <c r="CG14" s="163">
        <f t="shared" si="21"/>
        <v>2.1610704438205719</v>
      </c>
      <c r="CH14" s="163">
        <f t="shared" si="21"/>
        <v>2.246298012337435</v>
      </c>
      <c r="CI14" s="163">
        <f t="shared" si="21"/>
        <v>2.2461793806340196</v>
      </c>
      <c r="CJ14" s="163">
        <f t="shared" si="21"/>
        <v>2.2460488886726795</v>
      </c>
      <c r="CK14" s="163">
        <f t="shared" si="21"/>
        <v>2.2502416769192322</v>
      </c>
      <c r="CL14" s="163">
        <f t="shared" si="21"/>
        <v>2.2501900342259034</v>
      </c>
      <c r="CM14" s="163">
        <f t="shared" si="21"/>
        <v>2.2536704295099614</v>
      </c>
      <c r="CN14" s="163">
        <f t="shared" si="21"/>
        <v>2.2507278478823642</v>
      </c>
      <c r="CO14" s="163">
        <f t="shared" si="21"/>
        <v>2.2507278478823642</v>
      </c>
      <c r="CP14" s="163">
        <f t="shared" si="21"/>
        <v>2.2507278478823642</v>
      </c>
      <c r="CQ14" s="163">
        <f t="shared" si="21"/>
        <v>2.1201128366613635</v>
      </c>
      <c r="CR14" s="163">
        <f t="shared" si="21"/>
        <v>2.1223711208752314</v>
      </c>
      <c r="CS14" s="163">
        <f t="shared" si="21"/>
        <v>2.1223077260071848</v>
      </c>
      <c r="CT14" s="163">
        <f t="shared" si="21"/>
        <v>2.1107648391078255</v>
      </c>
      <c r="CU14" s="163">
        <f t="shared" si="21"/>
        <v>2.110751693697809</v>
      </c>
      <c r="CV14" s="163">
        <f t="shared" si="21"/>
        <v>2.1863571013120153</v>
      </c>
      <c r="CW14" s="163">
        <f t="shared" si="21"/>
        <v>2.1758248995673251</v>
      </c>
      <c r="CX14" s="163">
        <f t="shared" si="21"/>
        <v>2.2470815627606542</v>
      </c>
      <c r="CY14" s="163">
        <f t="shared" si="21"/>
        <v>2.2488885300441113</v>
      </c>
      <c r="CZ14" s="163">
        <f t="shared" si="21"/>
        <v>2.2488819186264468</v>
      </c>
      <c r="DA14" s="163">
        <f t="shared" si="21"/>
        <v>2.2300071291927992</v>
      </c>
      <c r="DB14" s="163">
        <f t="shared" ref="DB14:DG14" si="22">0.67+DB10</f>
        <v>2.2489282316505319</v>
      </c>
      <c r="DC14" s="163">
        <f t="shared" si="22"/>
        <v>2.0994246006695896</v>
      </c>
      <c r="DD14" s="163">
        <f t="shared" si="22"/>
        <v>2.0994246006695896</v>
      </c>
      <c r="DE14" s="163">
        <f t="shared" si="22"/>
        <v>2.0967225405989058</v>
      </c>
      <c r="DF14" s="163">
        <f t="shared" si="22"/>
        <v>2.0966762398700771</v>
      </c>
      <c r="DG14" s="163">
        <f t="shared" si="22"/>
        <v>2.0926912384409655</v>
      </c>
      <c r="DH14" s="163">
        <f>0.11+DH10</f>
        <v>1.5336063724457045</v>
      </c>
      <c r="DI14" s="163">
        <f t="shared" ref="DI14:DU14" si="23">0.11+DI10</f>
        <v>1.6951763704294398</v>
      </c>
      <c r="DJ14" s="163">
        <f t="shared" si="23"/>
        <v>1.6951705296541757</v>
      </c>
      <c r="DK14" s="163">
        <f t="shared" si="23"/>
        <v>1.6714627930482624</v>
      </c>
      <c r="DL14" s="163">
        <f t="shared" si="23"/>
        <v>1.6862553703917993</v>
      </c>
      <c r="DM14" s="163">
        <f t="shared" si="23"/>
        <v>1.6410754529342415</v>
      </c>
      <c r="DN14" s="163">
        <f t="shared" si="23"/>
        <v>1.639592050587636</v>
      </c>
      <c r="DO14" s="163">
        <f t="shared" si="23"/>
        <v>1.6414871439081797</v>
      </c>
      <c r="DP14" s="163">
        <f t="shared" si="23"/>
        <v>1.6503764801738758</v>
      </c>
      <c r="DQ14" s="163">
        <f t="shared" si="23"/>
        <v>1.6503218352648243</v>
      </c>
      <c r="DR14" s="163">
        <f t="shared" si="23"/>
        <v>1.6330945412505835</v>
      </c>
      <c r="DS14" s="163">
        <f t="shared" si="23"/>
        <v>0.11</v>
      </c>
      <c r="DT14" s="163">
        <f t="shared" si="23"/>
        <v>0.11</v>
      </c>
      <c r="DU14" s="163">
        <f t="shared" si="23"/>
        <v>0.11</v>
      </c>
    </row>
  </sheetData>
  <mergeCells count="1">
    <mergeCell ref="A8:A9"/>
  </mergeCells>
  <phoneticPr fontId="52" type="noConversion"/>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2"/>
  <dimension ref="A1:EN21"/>
  <sheetViews>
    <sheetView topLeftCell="B1" zoomScale="80" zoomScaleNormal="80" workbookViewId="0">
      <pane xSplit="8" ySplit="7" topLeftCell="DF8" activePane="bottomRight" state="frozen"/>
      <selection pane="topRight" activeCell="J1" sqref="J1"/>
      <selection pane="bottomLeft" activeCell="B8" sqref="B8"/>
      <selection pane="bottomRight" activeCell="DP18" sqref="DP18"/>
    </sheetView>
  </sheetViews>
  <sheetFormatPr baseColWidth="10" defaultColWidth="8.83203125" defaultRowHeight="15"/>
  <cols>
    <col min="1" max="1" width="16.5" bestFit="1" customWidth="1"/>
    <col min="2" max="2" width="14.1640625" bestFit="1" customWidth="1"/>
    <col min="3" max="3" width="22.6640625" customWidth="1"/>
    <col min="4" max="4" width="18.5" bestFit="1" customWidth="1"/>
    <col min="5" max="5" width="14.83203125" bestFit="1" customWidth="1"/>
    <col min="6" max="6" width="7.5" bestFit="1" customWidth="1"/>
    <col min="7" max="7" width="22.83203125" bestFit="1" customWidth="1"/>
    <col min="8" max="8" width="6.5" bestFit="1" customWidth="1"/>
    <col min="9" max="9" width="6.6640625" bestFit="1" customWidth="1"/>
    <col min="10" max="10" width="7.1640625" bestFit="1" customWidth="1"/>
    <col min="11" max="11" width="6.5" bestFit="1" customWidth="1"/>
    <col min="12" max="12" width="7.5" bestFit="1" customWidth="1"/>
    <col min="13" max="13" width="6.5" bestFit="1" customWidth="1"/>
    <col min="14" max="14" width="5.83203125" bestFit="1" customWidth="1"/>
    <col min="15" max="15" width="6.83203125" bestFit="1" customWidth="1"/>
    <col min="16" max="17" width="6.6640625" bestFit="1" customWidth="1"/>
    <col min="18" max="18" width="7.1640625" bestFit="1" customWidth="1"/>
    <col min="19" max="19" width="6.83203125" bestFit="1" customWidth="1"/>
    <col min="20" max="20" width="6.5" bestFit="1" customWidth="1"/>
    <col min="21" max="21" width="6.6640625" bestFit="1" customWidth="1"/>
    <col min="22" max="22" width="7.1640625" bestFit="1" customWidth="1"/>
    <col min="23" max="23" width="6.5" bestFit="1" customWidth="1"/>
    <col min="24" max="24" width="7.5" bestFit="1" customWidth="1"/>
    <col min="25" max="25" width="6.5" bestFit="1" customWidth="1"/>
    <col min="26" max="26" width="5.83203125" bestFit="1" customWidth="1"/>
    <col min="27" max="27" width="6.83203125" bestFit="1" customWidth="1"/>
    <col min="28" max="29" width="6.6640625" bestFit="1" customWidth="1"/>
    <col min="30" max="30" width="7.1640625" bestFit="1" customWidth="1"/>
    <col min="31" max="31" width="6.83203125" bestFit="1" customWidth="1"/>
    <col min="32" max="32" width="6.5" bestFit="1" customWidth="1"/>
    <col min="33" max="33" width="6.6640625" bestFit="1" customWidth="1"/>
    <col min="34" max="34" width="7.1640625" bestFit="1" customWidth="1"/>
    <col min="35" max="35" width="6.5" bestFit="1" customWidth="1"/>
    <col min="36" max="36" width="7.5" bestFit="1" customWidth="1"/>
    <col min="37" max="37" width="6.5" bestFit="1" customWidth="1"/>
    <col min="38" max="38" width="5.83203125" bestFit="1" customWidth="1"/>
    <col min="39" max="39" width="6.83203125" bestFit="1" customWidth="1"/>
    <col min="40" max="41" width="6.6640625" bestFit="1" customWidth="1"/>
    <col min="42" max="42" width="7.1640625" bestFit="1" customWidth="1"/>
    <col min="43" max="43" width="6.83203125" bestFit="1" customWidth="1"/>
    <col min="44" max="44" width="6.5" bestFit="1" customWidth="1"/>
    <col min="45" max="45" width="6.6640625" bestFit="1" customWidth="1"/>
    <col min="46" max="46" width="7.6640625" bestFit="1" customWidth="1"/>
    <col min="47" max="47" width="6.5" bestFit="1" customWidth="1"/>
    <col min="48" max="48" width="7.5" bestFit="1" customWidth="1"/>
    <col min="49" max="49" width="6.5" bestFit="1" customWidth="1"/>
    <col min="50" max="53" width="7.5" bestFit="1" customWidth="1"/>
    <col min="54" max="55" width="6.83203125" bestFit="1" customWidth="1"/>
    <col min="56" max="57" width="6.5" bestFit="1" customWidth="1"/>
    <col min="58" max="65" width="7.5" bestFit="1" customWidth="1"/>
    <col min="66" max="69" width="5.6640625" bestFit="1" customWidth="1"/>
    <col min="70" max="73" width="5.5" bestFit="1" customWidth="1"/>
    <col min="74" max="77" width="5.1640625" bestFit="1" customWidth="1"/>
    <col min="95" max="95" width="6.1640625" bestFit="1" customWidth="1"/>
  </cols>
  <sheetData>
    <row r="1" spans="1:144">
      <c r="A1" s="7" t="s">
        <v>377</v>
      </c>
      <c r="B1" s="7" t="s">
        <v>378</v>
      </c>
      <c r="C1" s="7" t="s">
        <v>379</v>
      </c>
      <c r="D1" s="7" t="s">
        <v>380</v>
      </c>
      <c r="E1" s="7" t="s">
        <v>381</v>
      </c>
      <c r="F1" s="7" t="s">
        <v>33</v>
      </c>
      <c r="H1" s="23">
        <v>6</v>
      </c>
      <c r="I1" s="23">
        <v>7</v>
      </c>
      <c r="J1" s="23">
        <v>8</v>
      </c>
      <c r="K1" s="23">
        <v>9</v>
      </c>
      <c r="L1" s="23">
        <v>10</v>
      </c>
      <c r="M1" s="23">
        <v>11</v>
      </c>
      <c r="N1" s="23">
        <v>12</v>
      </c>
      <c r="O1" s="23">
        <v>13</v>
      </c>
      <c r="P1" s="23">
        <v>14</v>
      </c>
      <c r="Q1" s="23">
        <v>15</v>
      </c>
      <c r="R1" s="23">
        <v>16</v>
      </c>
      <c r="S1" s="23">
        <v>17</v>
      </c>
      <c r="T1" s="23">
        <v>18</v>
      </c>
      <c r="U1" s="23">
        <v>19</v>
      </c>
      <c r="V1" s="23">
        <v>20</v>
      </c>
      <c r="W1" s="23">
        <v>21</v>
      </c>
      <c r="X1" s="23">
        <v>22</v>
      </c>
      <c r="Y1" s="23">
        <v>23</v>
      </c>
      <c r="Z1" s="23">
        <v>24</v>
      </c>
      <c r="AA1" s="23">
        <v>25</v>
      </c>
      <c r="AB1" s="23">
        <v>26</v>
      </c>
      <c r="AC1" s="23">
        <v>27</v>
      </c>
      <c r="AD1" s="23">
        <v>28</v>
      </c>
      <c r="AE1" s="23">
        <v>29</v>
      </c>
      <c r="AF1" s="23">
        <v>30</v>
      </c>
      <c r="AG1" s="23">
        <v>31</v>
      </c>
      <c r="AH1" s="23">
        <v>32</v>
      </c>
      <c r="AI1" s="23">
        <v>33</v>
      </c>
      <c r="AJ1" s="23">
        <v>34</v>
      </c>
      <c r="AK1" s="23">
        <v>35</v>
      </c>
      <c r="AL1" s="23">
        <v>36</v>
      </c>
      <c r="AM1" s="23">
        <v>37</v>
      </c>
      <c r="AN1" s="23">
        <v>38</v>
      </c>
      <c r="AO1" s="23">
        <v>39</v>
      </c>
      <c r="AP1" s="23">
        <v>40</v>
      </c>
      <c r="AQ1" s="23">
        <v>41</v>
      </c>
      <c r="AR1" s="23">
        <v>42</v>
      </c>
      <c r="AS1" s="23">
        <v>43</v>
      </c>
      <c r="AT1" s="23">
        <v>44</v>
      </c>
      <c r="AU1" s="23">
        <v>45</v>
      </c>
      <c r="AV1" s="23">
        <v>46</v>
      </c>
      <c r="AW1" s="23">
        <v>47</v>
      </c>
      <c r="AX1" s="23">
        <v>48</v>
      </c>
      <c r="AY1" s="23">
        <v>49</v>
      </c>
      <c r="AZ1" s="23">
        <v>50</v>
      </c>
      <c r="BA1" s="23">
        <v>51</v>
      </c>
      <c r="BB1" s="23">
        <v>52</v>
      </c>
      <c r="BC1" s="23">
        <v>53</v>
      </c>
      <c r="BD1" s="23">
        <v>54</v>
      </c>
      <c r="BE1" s="23">
        <v>55</v>
      </c>
      <c r="BF1" s="23">
        <v>56</v>
      </c>
      <c r="BG1" s="23">
        <v>57</v>
      </c>
      <c r="BH1" s="23">
        <v>58</v>
      </c>
      <c r="BI1" s="23">
        <v>59</v>
      </c>
      <c r="BJ1" s="23">
        <v>60</v>
      </c>
      <c r="BK1" s="23">
        <v>61</v>
      </c>
      <c r="BL1" s="23">
        <v>62</v>
      </c>
      <c r="BM1" s="23">
        <v>63</v>
      </c>
      <c r="BN1" s="23">
        <v>64</v>
      </c>
      <c r="BO1" s="23">
        <v>65</v>
      </c>
      <c r="BP1" s="23">
        <v>66</v>
      </c>
      <c r="BQ1" s="23">
        <v>67</v>
      </c>
      <c r="BR1" s="23">
        <v>68</v>
      </c>
      <c r="BS1" s="23">
        <v>69</v>
      </c>
      <c r="BT1" s="23">
        <v>70</v>
      </c>
      <c r="BU1" s="23">
        <v>71</v>
      </c>
      <c r="BV1" s="23">
        <v>72</v>
      </c>
      <c r="BW1" s="23">
        <v>73</v>
      </c>
      <c r="BX1" s="23">
        <v>74</v>
      </c>
      <c r="BY1" s="23">
        <v>75</v>
      </c>
      <c r="BZ1" s="23">
        <v>76</v>
      </c>
      <c r="CA1" s="23">
        <v>77</v>
      </c>
      <c r="CB1" s="23">
        <v>78</v>
      </c>
      <c r="CC1" s="23">
        <v>79</v>
      </c>
      <c r="CD1" s="23">
        <v>80</v>
      </c>
      <c r="CE1" s="23">
        <v>81</v>
      </c>
      <c r="CF1" s="23">
        <v>82</v>
      </c>
      <c r="CG1" s="23">
        <v>83</v>
      </c>
      <c r="CH1" s="23">
        <v>84</v>
      </c>
      <c r="CI1" s="23">
        <v>85</v>
      </c>
      <c r="CJ1" s="23">
        <v>86</v>
      </c>
      <c r="CK1" s="23">
        <v>87</v>
      </c>
      <c r="CL1" s="23">
        <v>88</v>
      </c>
      <c r="CM1" s="23">
        <v>89</v>
      </c>
      <c r="CN1" s="23">
        <v>90</v>
      </c>
      <c r="CO1" s="23">
        <v>91</v>
      </c>
      <c r="CP1" s="23">
        <v>92</v>
      </c>
      <c r="CQ1" s="23">
        <v>93</v>
      </c>
      <c r="CR1" s="23">
        <v>94</v>
      </c>
      <c r="CS1" s="23">
        <v>95</v>
      </c>
      <c r="CT1" s="23">
        <v>96</v>
      </c>
      <c r="CU1" s="23">
        <v>97</v>
      </c>
      <c r="CV1" s="23">
        <v>98</v>
      </c>
      <c r="CW1" s="23">
        <v>99</v>
      </c>
      <c r="CX1" s="23">
        <v>100</v>
      </c>
      <c r="CY1" s="23">
        <v>101</v>
      </c>
      <c r="CZ1" s="23">
        <v>102</v>
      </c>
      <c r="DA1" s="23">
        <v>103</v>
      </c>
      <c r="DB1" s="23">
        <v>104</v>
      </c>
      <c r="DC1" s="23">
        <v>105</v>
      </c>
      <c r="DD1" s="23">
        <v>106</v>
      </c>
      <c r="DE1" s="23">
        <v>107</v>
      </c>
      <c r="DF1" s="23">
        <v>108</v>
      </c>
      <c r="DG1" s="23">
        <v>109</v>
      </c>
      <c r="DH1" s="23">
        <v>110</v>
      </c>
      <c r="DI1" s="23">
        <v>111</v>
      </c>
      <c r="DJ1" s="23">
        <v>112</v>
      </c>
      <c r="DK1" s="23">
        <v>113</v>
      </c>
      <c r="DL1" s="23">
        <v>114</v>
      </c>
      <c r="DM1" s="23">
        <v>115</v>
      </c>
      <c r="DN1" s="23">
        <v>116</v>
      </c>
      <c r="DO1" s="23">
        <v>117</v>
      </c>
      <c r="DP1" s="23">
        <v>118</v>
      </c>
      <c r="DQ1" s="23">
        <v>119</v>
      </c>
      <c r="DR1" s="23">
        <v>120</v>
      </c>
      <c r="DS1" s="23">
        <v>121</v>
      </c>
      <c r="DT1" s="23">
        <v>122</v>
      </c>
      <c r="DU1" s="23">
        <v>123</v>
      </c>
      <c r="DV1" s="23">
        <v>124</v>
      </c>
      <c r="DW1" s="23">
        <v>125</v>
      </c>
      <c r="DX1" s="23">
        <v>126</v>
      </c>
      <c r="DY1" s="23">
        <v>127</v>
      </c>
      <c r="DZ1" s="23">
        <v>128</v>
      </c>
      <c r="EA1" s="23">
        <v>129</v>
      </c>
      <c r="EB1" s="23">
        <v>130</v>
      </c>
      <c r="EC1" s="23">
        <v>131</v>
      </c>
      <c r="ED1" s="23">
        <v>132</v>
      </c>
      <c r="EE1" s="23">
        <v>133</v>
      </c>
      <c r="EF1" s="23">
        <v>134</v>
      </c>
      <c r="EG1" s="23">
        <v>135</v>
      </c>
      <c r="EH1" s="23">
        <v>136</v>
      </c>
      <c r="EI1" s="23">
        <v>137</v>
      </c>
      <c r="EJ1" s="23">
        <v>138</v>
      </c>
      <c r="EK1" s="23">
        <v>139</v>
      </c>
      <c r="EL1" s="23">
        <v>140</v>
      </c>
      <c r="EM1" s="23">
        <v>141</v>
      </c>
      <c r="EN1" s="23">
        <v>142</v>
      </c>
    </row>
    <row r="2" spans="1:144">
      <c r="A2" s="16" t="s">
        <v>314</v>
      </c>
      <c r="B2" s="16" t="s">
        <v>444</v>
      </c>
      <c r="C2" s="16"/>
      <c r="D2" s="17" t="s">
        <v>494</v>
      </c>
      <c r="L2" t="s">
        <v>495</v>
      </c>
    </row>
    <row r="3" spans="1:144">
      <c r="A3" s="16" t="s">
        <v>471</v>
      </c>
      <c r="B3" s="16" t="s">
        <v>472</v>
      </c>
      <c r="C3" s="16"/>
      <c r="D3" s="16" t="s">
        <v>496</v>
      </c>
      <c r="E3" s="3"/>
      <c r="L3">
        <v>1</v>
      </c>
    </row>
    <row r="4" spans="1:144">
      <c r="A4" s="16">
        <v>44.05</v>
      </c>
      <c r="B4" s="16">
        <v>17.030999999999999</v>
      </c>
      <c r="C4" s="16"/>
      <c r="D4" s="16">
        <v>61.08</v>
      </c>
      <c r="E4" s="3"/>
    </row>
    <row r="5" spans="1:144">
      <c r="A5" s="3">
        <v>0.72</v>
      </c>
      <c r="B5" s="3">
        <v>0.28000000000000003</v>
      </c>
      <c r="G5" t="s">
        <v>387</v>
      </c>
    </row>
    <row r="6" spans="1:144">
      <c r="A6" s="3"/>
      <c r="B6" s="3"/>
      <c r="G6" s="7" t="s">
        <v>388</v>
      </c>
      <c r="H6" s="7">
        <v>43831</v>
      </c>
      <c r="I6" s="7">
        <v>43862</v>
      </c>
      <c r="J6" s="7">
        <v>43891</v>
      </c>
      <c r="K6" s="7">
        <v>43922</v>
      </c>
      <c r="L6" s="7">
        <v>43952</v>
      </c>
      <c r="M6" s="7">
        <v>43983</v>
      </c>
      <c r="N6" s="7">
        <v>44013</v>
      </c>
      <c r="O6" s="7">
        <v>44044</v>
      </c>
      <c r="P6" s="7">
        <v>44075</v>
      </c>
      <c r="Q6" s="7">
        <v>44105</v>
      </c>
      <c r="R6" s="7">
        <v>44136</v>
      </c>
      <c r="S6" s="7">
        <v>44166</v>
      </c>
      <c r="T6" s="7">
        <v>44197</v>
      </c>
      <c r="U6" s="7">
        <v>44228</v>
      </c>
      <c r="V6" s="7">
        <v>44256</v>
      </c>
      <c r="W6" s="7">
        <v>44287</v>
      </c>
      <c r="X6" s="7">
        <v>44317</v>
      </c>
      <c r="Y6" s="7">
        <v>44348</v>
      </c>
      <c r="Z6" s="7">
        <v>44378</v>
      </c>
      <c r="AA6" s="7">
        <v>44409</v>
      </c>
      <c r="AB6" s="7">
        <v>44440</v>
      </c>
      <c r="AC6" s="7">
        <v>44470</v>
      </c>
      <c r="AD6" s="7">
        <v>44501</v>
      </c>
      <c r="AE6" s="7">
        <v>44531</v>
      </c>
      <c r="AF6" s="7">
        <v>44562</v>
      </c>
      <c r="AG6" s="7">
        <v>44593</v>
      </c>
      <c r="AH6" s="7">
        <v>44621</v>
      </c>
      <c r="AI6" s="7">
        <v>44652</v>
      </c>
      <c r="AJ6" s="7">
        <v>44682</v>
      </c>
      <c r="AK6" s="7">
        <v>44713</v>
      </c>
      <c r="AL6" s="7">
        <v>44743</v>
      </c>
      <c r="AM6" s="7">
        <v>44774</v>
      </c>
      <c r="AN6" s="7">
        <v>44805</v>
      </c>
      <c r="AO6" s="7">
        <v>44835</v>
      </c>
      <c r="AP6" s="7">
        <v>44866</v>
      </c>
      <c r="AQ6" s="7">
        <v>44896</v>
      </c>
      <c r="AR6" s="7">
        <v>44927</v>
      </c>
      <c r="AS6" s="7">
        <v>44958</v>
      </c>
      <c r="AT6" s="7">
        <v>44986</v>
      </c>
      <c r="AU6" s="7">
        <v>45017</v>
      </c>
      <c r="AV6" s="7">
        <v>45047</v>
      </c>
      <c r="AW6" s="7">
        <v>45078</v>
      </c>
      <c r="AX6" s="7" t="s">
        <v>450</v>
      </c>
      <c r="AY6" s="7" t="s">
        <v>451</v>
      </c>
      <c r="AZ6" s="7" t="s">
        <v>452</v>
      </c>
      <c r="BA6" s="7" t="s">
        <v>453</v>
      </c>
      <c r="BB6" s="7">
        <v>37104</v>
      </c>
      <c r="BC6" s="7">
        <v>37469</v>
      </c>
      <c r="BD6" s="34" t="s">
        <v>168</v>
      </c>
      <c r="BE6" s="34" t="s">
        <v>169</v>
      </c>
      <c r="BF6" s="7" t="s">
        <v>393</v>
      </c>
      <c r="BG6" s="7" t="s">
        <v>458</v>
      </c>
      <c r="BH6" s="7" t="s">
        <v>459</v>
      </c>
      <c r="BI6" s="7" t="s">
        <v>460</v>
      </c>
      <c r="BJ6" s="7" t="s">
        <v>461</v>
      </c>
      <c r="BK6" s="7" t="s">
        <v>462</v>
      </c>
      <c r="BL6" s="7" t="s">
        <v>463</v>
      </c>
      <c r="BM6" s="7" t="s">
        <v>464</v>
      </c>
      <c r="BN6" s="59">
        <v>37196</v>
      </c>
      <c r="BO6" s="59">
        <v>37561</v>
      </c>
      <c r="BP6" s="59">
        <v>37926</v>
      </c>
      <c r="BQ6" s="59">
        <v>38292</v>
      </c>
      <c r="BR6" s="59">
        <v>37226</v>
      </c>
      <c r="BS6" s="59">
        <v>37591</v>
      </c>
      <c r="BT6" s="59">
        <v>37956</v>
      </c>
      <c r="BU6" s="59">
        <v>38322</v>
      </c>
      <c r="BV6" s="59">
        <v>36892</v>
      </c>
      <c r="BW6" s="59">
        <v>37257</v>
      </c>
      <c r="BX6" s="59">
        <v>37622</v>
      </c>
      <c r="BY6" s="59">
        <v>37987</v>
      </c>
      <c r="BZ6" s="59">
        <v>36923</v>
      </c>
      <c r="CA6" s="59">
        <v>37288</v>
      </c>
      <c r="CB6" s="59">
        <v>37653</v>
      </c>
      <c r="CC6" s="59">
        <v>38018</v>
      </c>
      <c r="CD6" s="59" t="str">
        <f>Sheet8!A15</f>
        <v>Mar-w1</v>
      </c>
      <c r="CE6" s="59" t="s">
        <v>285</v>
      </c>
      <c r="CF6" s="59" t="s">
        <v>286</v>
      </c>
      <c r="CG6" s="59" t="s">
        <v>287</v>
      </c>
      <c r="CH6" s="59" t="str">
        <f>Sheet8!E15</f>
        <v>Apr-w1</v>
      </c>
      <c r="CI6" s="59" t="str">
        <f>Sheet8!F15</f>
        <v>Apr-w2</v>
      </c>
      <c r="CJ6" s="59" t="str">
        <f>Sheet8!G15</f>
        <v>Apr-w3</v>
      </c>
      <c r="CK6" s="59" t="str">
        <f>Sheet8!H15</f>
        <v>Apr-w4</v>
      </c>
      <c r="CL6" s="59" t="str">
        <f>Sheet8!I15</f>
        <v>May-w1</v>
      </c>
      <c r="CM6" s="59" t="str">
        <f>Sheet8!J15</f>
        <v>May-w2</v>
      </c>
      <c r="CN6" s="59" t="str">
        <f>Sheet8!K15</f>
        <v>May-w3</v>
      </c>
      <c r="CO6" s="59" t="str">
        <f>Sheet8!L15</f>
        <v>May-w4</v>
      </c>
      <c r="CP6" s="59" t="str">
        <f>Sheet8!M15</f>
        <v>May-w5</v>
      </c>
      <c r="CQ6" s="59" t="str">
        <f>Sheet8!N15</f>
        <v>june-w1</v>
      </c>
      <c r="CR6" s="59" t="str">
        <f>Sheet8!O15</f>
        <v>june-w2</v>
      </c>
      <c r="CS6" s="59" t="str">
        <f>Sheet8!P15</f>
        <v>june-w3</v>
      </c>
      <c r="CT6" s="59" t="str">
        <f>Sheet8!Q15</f>
        <v>june-w4</v>
      </c>
      <c r="CU6" s="59" t="str">
        <f>Sheet8!R15</f>
        <v>Jul-w1</v>
      </c>
      <c r="CV6" s="59" t="str">
        <f>Sheet8!S15</f>
        <v>Jul-w2</v>
      </c>
      <c r="CW6" s="59" t="str">
        <f>Sheet8!T15</f>
        <v>Jul-w3</v>
      </c>
      <c r="CX6" s="59" t="str">
        <f>Sheet8!U15</f>
        <v>Jul-w4</v>
      </c>
      <c r="CY6" s="59" t="str">
        <f>Sheet8!V15</f>
        <v>Aug-w1</v>
      </c>
      <c r="CZ6" s="59" t="str">
        <f>Sheet8!W15</f>
        <v>Aug-w2</v>
      </c>
      <c r="DA6" s="59" t="str">
        <f>Sheet8!X15</f>
        <v>Aug-w3</v>
      </c>
      <c r="DB6" s="59" t="str">
        <f>Sheet8!Y15</f>
        <v>Aug-w4</v>
      </c>
      <c r="DC6" s="59" t="str">
        <f>Sheet8!Z15</f>
        <v>Sep-w1</v>
      </c>
      <c r="DD6" s="59" t="str">
        <f>Sheet8!AA15</f>
        <v>Sep-w2</v>
      </c>
      <c r="DE6" s="59" t="str">
        <f>Sheet8!AB15</f>
        <v>Sep-w3</v>
      </c>
      <c r="DF6" s="59" t="str">
        <f>Sheet8!AC15</f>
        <v>Sep-w4</v>
      </c>
      <c r="DG6" s="59" t="str">
        <f>Sheet8!AD15</f>
        <v>Oct-w1</v>
      </c>
      <c r="DH6" s="59" t="str">
        <f>Sheet8!AE15</f>
        <v>Oct-w2</v>
      </c>
      <c r="DI6" s="59" t="str">
        <f>Sheet8!AF15</f>
        <v>Oct-w3</v>
      </c>
      <c r="DJ6" s="59" t="str">
        <f>Sheet8!AG15</f>
        <v>Oct-w4</v>
      </c>
      <c r="DK6" s="59" t="str">
        <f>Sheet8!AH15</f>
        <v>Nov-w1</v>
      </c>
      <c r="DL6" s="59" t="str">
        <f>Sheet8!AI15</f>
        <v>Nov-w2</v>
      </c>
      <c r="DM6" s="59" t="str">
        <f>Sheet8!AJ15</f>
        <v>Nov-w3</v>
      </c>
      <c r="DN6" s="59" t="str">
        <f>Sheet8!AK15</f>
        <v>Nov-w4</v>
      </c>
      <c r="DO6" s="59" t="str">
        <f>Sheet8!AL15</f>
        <v>Dec-w1</v>
      </c>
      <c r="DP6" s="59" t="str">
        <f>Sheet8!AM15</f>
        <v>Dec-w2</v>
      </c>
      <c r="DQ6" s="59" t="str">
        <f>Sheet8!AN15</f>
        <v>Dec-w3</v>
      </c>
      <c r="DR6" s="59" t="str">
        <f>Sheet8!AO15</f>
        <v>Dec-w4</v>
      </c>
      <c r="DS6" s="59">
        <f>Sheet8!AP15</f>
        <v>0</v>
      </c>
      <c r="DT6" s="59">
        <f>Sheet8!AQ15</f>
        <v>0</v>
      </c>
      <c r="DU6" s="59">
        <f>Sheet8!AR15</f>
        <v>0</v>
      </c>
      <c r="DV6" s="59">
        <f>Sheet8!AS15</f>
        <v>0</v>
      </c>
      <c r="DW6" s="59">
        <f>Sheet8!AT15</f>
        <v>0</v>
      </c>
      <c r="DX6" s="59">
        <f>Sheet8!AU15</f>
        <v>0</v>
      </c>
      <c r="DY6" s="59">
        <f>Sheet8!AV15</f>
        <v>0</v>
      </c>
      <c r="DZ6" s="59">
        <f>Sheet8!AW15</f>
        <v>0</v>
      </c>
      <c r="EA6" s="59">
        <f>Sheet8!AX15</f>
        <v>0</v>
      </c>
    </row>
    <row r="7" spans="1:144" ht="28.5" customHeight="1">
      <c r="C7" t="s">
        <v>497</v>
      </c>
      <c r="G7" t="s">
        <v>55</v>
      </c>
      <c r="H7" s="5">
        <f>VLOOKUP($G$7&amp;$F$1,'Input RM sheet'!$A:$BD,H1,0)</f>
        <v>1119</v>
      </c>
      <c r="I7" s="5">
        <f>VLOOKUP($G$7&amp;$F$1,'Input RM sheet'!$A:$BD,I1,0)</f>
        <v>1101</v>
      </c>
      <c r="J7" s="5">
        <f>VLOOKUP($G$7&amp;$F$1,'Input RM sheet'!$A:$BD,J1,0)</f>
        <v>1096</v>
      </c>
      <c r="K7" s="5">
        <f>VLOOKUP($G$7&amp;$F$1,'Input RM sheet'!$A:$BD,K1,0)</f>
        <v>848.53</v>
      </c>
      <c r="L7" s="5">
        <f>VLOOKUP($G$7&amp;$F$1,'Input RM sheet'!$A:$BD,L1,0)</f>
        <v>953.75</v>
      </c>
      <c r="M7" s="5">
        <f>VLOOKUP($G$7&amp;$F$1,'Input RM sheet'!$A:$BD,M1,0)</f>
        <v>1059</v>
      </c>
      <c r="N7" s="5">
        <f>VLOOKUP($G$7&amp;$F$1,'Input RM sheet'!$A:$BD,N1,0)</f>
        <v>1013</v>
      </c>
      <c r="O7" s="5">
        <f>VLOOKUP($G$7&amp;$F$1,'Input RM sheet'!$A:$BD,O1,0)</f>
        <v>995.61</v>
      </c>
      <c r="P7" s="5">
        <f>VLOOKUP($G$7&amp;$F$1,'Input RM sheet'!$A:$BD,P1,0)</f>
        <v>1071</v>
      </c>
      <c r="Q7" s="5">
        <f>VLOOKUP($G$7&amp;$F$1,'Input RM sheet'!$A:$BD,Q1,0)</f>
        <v>1086</v>
      </c>
      <c r="R7" s="5">
        <f>VLOOKUP($G$7&amp;$F$1,'Input RM sheet'!$A:$BD,R1,0)</f>
        <v>1121</v>
      </c>
      <c r="S7" s="5">
        <f>VLOOKUP($G$7&amp;$F$1,'Input RM sheet'!$A:$BD,S1,0)</f>
        <v>1154</v>
      </c>
      <c r="T7" s="5">
        <f>VLOOKUP($G$7&amp;$F$1,'Input RM sheet'!$A:$BD,T1,0)</f>
        <v>1154</v>
      </c>
      <c r="U7" s="5">
        <f>VLOOKUP($G$7&amp;$F$1,'Input RM sheet'!$A:$BD,U1,0)</f>
        <v>1106</v>
      </c>
      <c r="V7" s="5">
        <f>VLOOKUP($G$7&amp;$F$1,'Input RM sheet'!$A:$BD,V1,0)</f>
        <v>1305</v>
      </c>
      <c r="W7" s="5">
        <f>VLOOKUP($G$7&amp;$F$1,'Input RM sheet'!$A:$BD,W1,0)</f>
        <v>1295</v>
      </c>
      <c r="X7" s="5">
        <f>VLOOKUP($G$7&amp;$F$1,'Input RM sheet'!$A:$BD,X1,0)</f>
        <v>1198</v>
      </c>
      <c r="Y7" s="5">
        <f>VLOOKUP($G$7&amp;$F$1,'Input RM sheet'!$A:$BD,Y1,0)</f>
        <v>1074</v>
      </c>
      <c r="Z7" s="5">
        <f>VLOOKUP($G$7&amp;$F$1,'Input RM sheet'!$A:$BD,Z1,0)</f>
        <v>1112</v>
      </c>
      <c r="AA7" s="5">
        <f>VLOOKUP($G$7&amp;$F$1,'Input RM sheet'!$A:$BD,AA1,0)</f>
        <v>1189</v>
      </c>
      <c r="AB7" s="5">
        <f>VLOOKUP($G$7&amp;$F$1,'Input RM sheet'!$A:$BD,AB1,0)</f>
        <v>1200</v>
      </c>
      <c r="AC7" s="5">
        <f>VLOOKUP($G$7&amp;$F$1,'Input RM sheet'!$A:$BD,AC1,0)</f>
        <v>1534</v>
      </c>
      <c r="AD7" s="5">
        <f>VLOOKUP($G$7&amp;$F$1,'Input RM sheet'!$A:$BD,AD1,0)</f>
        <v>1189</v>
      </c>
      <c r="AE7" s="5">
        <f>VLOOKUP($G$7&amp;$F$1,'Input RM sheet'!$A:$BD,AE1,0)</f>
        <v>1177</v>
      </c>
      <c r="AF7" s="5">
        <f>VLOOKUP($G$7&amp;$F$1,'Input RM sheet'!$A:$BD,AF1,0)</f>
        <v>1094</v>
      </c>
      <c r="AG7" s="5">
        <f>VLOOKUP($G$7&amp;$F$1,'Input RM sheet'!$A:$BD,AG1,0)</f>
        <v>1317</v>
      </c>
      <c r="AH7" s="5">
        <f>VLOOKUP($G$7&amp;$F$1,'Input RM sheet'!$A:$BD,AH1,0)</f>
        <v>1292</v>
      </c>
      <c r="AI7" s="5">
        <f>VLOOKUP($G$7&amp;$F$1,'Input RM sheet'!$A:$BD,AI1,0)</f>
        <v>1291</v>
      </c>
      <c r="AJ7" s="5">
        <f>VLOOKUP($G$7&amp;$F$1,'Input RM sheet'!$A:$BD,AJ1,0)</f>
        <v>1239</v>
      </c>
      <c r="AK7" s="5">
        <f>VLOOKUP($G$7&amp;$F$1,'Input RM sheet'!$A:$BD,AK1,0)</f>
        <v>1128</v>
      </c>
      <c r="AL7" s="5">
        <f>VLOOKUP($G$7&amp;$F$1,'Input RM sheet'!$A:$BD,AL1,0)</f>
        <v>972.8</v>
      </c>
      <c r="AM7" s="5">
        <f>VLOOKUP($G$7&amp;$F$1,'Input RM sheet'!$A:$BD,AM1,0)</f>
        <v>955.68</v>
      </c>
      <c r="AN7" s="5">
        <f>VLOOKUP($G$7&amp;$F$1,'Input RM sheet'!$A:$BD,AN1,0)</f>
        <v>1070</v>
      </c>
      <c r="AO7" s="5">
        <f>VLOOKUP($G$7&amp;$F$1,'Input RM sheet'!$A:$BD,AO1,0)</f>
        <v>1015</v>
      </c>
      <c r="AP7" s="5">
        <f>VLOOKUP($G$7&amp;$F$1,'Input RM sheet'!$A:$BD,AP1,0)</f>
        <v>941.53</v>
      </c>
      <c r="AQ7" s="5">
        <f>VLOOKUP($G$7&amp;$F$1,'Input RM sheet'!$A:$BD,AQ1,0)</f>
        <v>960.4</v>
      </c>
      <c r="AR7" s="5">
        <f>VLOOKUP($G$7&amp;$F$1,'Input RM sheet'!$A:$BD,AR1,0)</f>
        <v>898.02</v>
      </c>
      <c r="AS7" s="5">
        <f>VLOOKUP($G$7&amp;$F$1,'Input RM sheet'!$A:$BD,AS1,0)</f>
        <v>993.41</v>
      </c>
      <c r="AT7" s="4">
        <f>VLOOKUP($G$7&amp;$F$1,'Input RM sheet'!$A:$BD,AT1,0)</f>
        <v>1044</v>
      </c>
      <c r="AU7" s="5">
        <f>VLOOKUP($G$7&amp;$F$1,'Input RM sheet'!$A:$BD,AU1,0)</f>
        <v>1016</v>
      </c>
      <c r="AV7" s="5">
        <v>1076</v>
      </c>
      <c r="AW7" s="5">
        <f>VLOOKUP($G$7&amp;$F$1,'Input RM sheet'!$A:$BD,AW1,0)</f>
        <v>838.5</v>
      </c>
      <c r="AX7" s="5">
        <f>VLOOKUP($G$7&amp;$F$1,'Input RM sheet'!$A:$BD,AX1,0)</f>
        <v>838.5</v>
      </c>
      <c r="AY7" s="5">
        <f>VLOOKUP($G$7&amp;$F$1,'Input RM sheet'!$A:$BD,AY1,0)</f>
        <v>838.5</v>
      </c>
      <c r="AZ7" s="5">
        <f>VLOOKUP($G$7&amp;$F$1,'Input RM sheet'!$A:$BD,AZ1,0)</f>
        <v>838.5</v>
      </c>
      <c r="BA7" s="5">
        <f>VLOOKUP($G$7&amp;$F$1,'Input RM sheet'!$A:$BD,BA1,0)</f>
        <v>848.21</v>
      </c>
      <c r="BB7" s="5">
        <f>VLOOKUP($G$7&amp;$F$1,'Input RM sheet'!$A:$BD,BB1,0)</f>
        <v>848.39</v>
      </c>
      <c r="BC7" s="5">
        <f>VLOOKUP($G$7&amp;$F$1,'Input RM sheet'!$A:$BD,BC1,0)</f>
        <v>848.39</v>
      </c>
      <c r="BD7" s="5">
        <f>VLOOKUP($G$7&amp;$F$1,'Input RM sheet'!$A:$BD,BD1,0)</f>
        <v>848.39</v>
      </c>
      <c r="BE7" s="5">
        <f>VLOOKUP($G$7&amp;$F$1,'Input RM sheet'!$A:$BD,BE1,0)</f>
        <v>848.39</v>
      </c>
      <c r="BF7" s="5">
        <f>VLOOKUP($G$7&amp;$F$1,'Input RM sheet'!$A:$DD,BF1,0)</f>
        <v>890.42</v>
      </c>
      <c r="BG7" s="5">
        <f>VLOOKUP($G$7&amp;$F$1,'Input RM sheet'!$A:$DD,BG1,0)</f>
        <v>890.42</v>
      </c>
      <c r="BH7" s="5">
        <f>VLOOKUP($G$7&amp;$F$1,'Input RM sheet'!$A:$DD,BH1,0)</f>
        <v>911.35</v>
      </c>
      <c r="BI7" s="5">
        <f>VLOOKUP($G$7&amp;$F$1,'Input RM sheet'!$A:$DD,BI1,0)</f>
        <v>911.35</v>
      </c>
      <c r="BJ7" s="5">
        <f>VLOOKUP($G$7&amp;$F$1,'Input RM sheet'!$A:$DD,BJ1,0)</f>
        <v>911.35</v>
      </c>
      <c r="BK7" s="5">
        <f>VLOOKUP($G$7&amp;$F$1,'Input RM sheet'!$A:$DD,BK1,0)</f>
        <v>911.35</v>
      </c>
      <c r="BL7" s="5">
        <f>VLOOKUP($G$7&amp;$F$1,'Input RM sheet'!$A:$DD,BL1,0)</f>
        <v>911.35</v>
      </c>
      <c r="BM7" s="5">
        <f>VLOOKUP($G$7&amp;$F$1,'Input RM sheet'!$A:$DD,BM1,0)</f>
        <v>947.5</v>
      </c>
      <c r="BN7" s="5">
        <f>VLOOKUP($G$7&amp;$F$1,'Input RM sheet'!$A:$DD,BN1,0)</f>
        <v>920.31</v>
      </c>
      <c r="BO7" s="5">
        <f>VLOOKUP($G$7&amp;$F$1,'Input RM sheet'!$A:$DD,BO1,0)</f>
        <v>920.31</v>
      </c>
      <c r="BP7" s="5">
        <f>VLOOKUP($G$7&amp;$F$1,'Input RM sheet'!$A:$DD,BP1,0)</f>
        <v>920.31</v>
      </c>
      <c r="BQ7" s="5">
        <f>VLOOKUP($G$7&amp;$F$1,'Input RM sheet'!$A:$DD,BQ1,0)</f>
        <v>920.31</v>
      </c>
      <c r="BR7" s="5">
        <f>VLOOKUP($G$7&amp;$F$1,'Input RM sheet'!$A:$DD,BR1,0)</f>
        <v>883.61</v>
      </c>
      <c r="BS7" s="5">
        <f>VLOOKUP($G$7&amp;$F$1,'Input RM sheet'!$A:$DD,BS1,0)</f>
        <v>883.61</v>
      </c>
      <c r="BT7" s="5">
        <f>VLOOKUP($G$7&amp;$F$1,'Input RM sheet'!$A:$DD,BT1,0)</f>
        <v>907.02</v>
      </c>
      <c r="BU7" s="5">
        <f>VLOOKUP($G$7&amp;$F$1,'Input RM sheet'!$A:$DD,BU1,0)</f>
        <v>907.19</v>
      </c>
      <c r="BV7" s="5">
        <f>VLOOKUP($G$7&amp;$F$1,'Input RM sheet'!$A:$DD,BV1,0)</f>
        <v>907.19</v>
      </c>
      <c r="BW7" s="5">
        <f>VLOOKUP($G$7&amp;$F$1,'Input RM sheet'!$A:$DD,BW1,0)</f>
        <v>907.19</v>
      </c>
      <c r="BX7" s="5">
        <f>VLOOKUP($G$7&amp;$F$1,'Input RM sheet'!$A:$DD,BX1,0)</f>
        <v>907.19</v>
      </c>
      <c r="BY7" s="5">
        <f>VLOOKUP($G$7&amp;$F$1,'Input RM sheet'!$A:$DD,BY1,0)</f>
        <v>917.02</v>
      </c>
      <c r="BZ7" s="5">
        <f>VLOOKUP($G$7&amp;$F$1,'Input RM sheet'!$A:$DD,BZ1,0)</f>
        <v>917.02</v>
      </c>
      <c r="CA7" s="5">
        <f>VLOOKUP($G$7&amp;$F$1,'Input RM sheet'!$A:$DD,CA1,0)</f>
        <v>917.02</v>
      </c>
      <c r="CB7" s="5">
        <f>VLOOKUP($G$7&amp;$F$1,'Input RM sheet'!$A:$DD,CB1,0)</f>
        <v>917.02</v>
      </c>
      <c r="CC7" s="5">
        <f>VLOOKUP($G$7&amp;$F$1,'Input RM sheet'!$A:$DD,CC1,0)</f>
        <v>917.02</v>
      </c>
      <c r="CD7" s="5">
        <f>VLOOKUP($G$7&amp;$F$1,'Input RM sheet'!$A:$DD,CD1,0)</f>
        <v>925.36</v>
      </c>
      <c r="CE7" s="5">
        <f>VLOOKUP($G$7&amp;$F$1,'Input RM sheet'!$A:$DD,CE1,0)</f>
        <v>925.36</v>
      </c>
      <c r="CF7" s="5">
        <f>VLOOKUP($G$7&amp;$F$1,'Input RM sheet'!$A:$DD,CF1,0)</f>
        <v>925.36</v>
      </c>
      <c r="CG7" s="5">
        <f>VLOOKUP($G$7&amp;$F$1,'Input RM sheet'!$A:$DD,CG1,0)</f>
        <v>937.44</v>
      </c>
      <c r="CH7" s="5">
        <f>VLOOKUP($G$7&amp;$F$1,'Input RM sheet'!$A:$DD,CH1,0)</f>
        <v>937.44</v>
      </c>
      <c r="CI7" s="5">
        <f>VLOOKUP($G$7&amp;$F$1,'Input RM sheet'!$A:$DD,CI1,0)</f>
        <v>937.44</v>
      </c>
      <c r="CJ7" s="5">
        <f>VLOOKUP($G$7&amp;$F$1,'Input RM sheet'!$A:$DD,CJ1,0)</f>
        <v>937.44</v>
      </c>
      <c r="CK7" s="5">
        <f>VLOOKUP($G$7&amp;$F$1,'Input RM sheet'!$A:$DD,CK1,0)</f>
        <v>953.19</v>
      </c>
      <c r="CL7" s="5">
        <f>VLOOKUP($G$7&amp;$F$1,'Input RM sheet'!$A:$DD,CL1,0)</f>
        <v>982.52</v>
      </c>
      <c r="CM7" s="5">
        <f>VLOOKUP($G$7&amp;$F$1,'Input RM sheet'!$A:$DD,CM1,0)</f>
        <v>953.19</v>
      </c>
      <c r="CN7" s="5">
        <f>VLOOKUP($G$7&amp;$F$1,'Input RM sheet'!$A:$DD,CN1,0)</f>
        <v>953.19</v>
      </c>
      <c r="CO7" s="5">
        <f>VLOOKUP($G$7&amp;$F$1,'Input RM sheet'!$A:$DD,CO1,0)</f>
        <v>953.19</v>
      </c>
      <c r="CP7" s="5">
        <f>VLOOKUP($G$7&amp;$F$1,'Input RM sheet'!$A:$DD,CP1,0)</f>
        <v>953.19</v>
      </c>
      <c r="CQ7" s="5">
        <f>VLOOKUP($G$7&amp;$F$1,'Input RM sheet'!$A:$ZZ,CQ1,0)</f>
        <v>940.41</v>
      </c>
      <c r="CR7" s="5">
        <f>VLOOKUP($G$7&amp;$F$1,'Input RM sheet'!$A:$ZZ,CR1,0)</f>
        <v>940.41</v>
      </c>
      <c r="CS7" s="5">
        <f>VLOOKUP($G$7&amp;$F$1,'Input RM sheet'!$A:$ZZ,CS1,0)</f>
        <v>940.41</v>
      </c>
      <c r="CT7" s="5">
        <f>VLOOKUP($G$7&amp;$F$1,'Input RM sheet'!$A:$ZZ,CT1,0)</f>
        <v>917.29</v>
      </c>
      <c r="CU7" s="5">
        <f>VLOOKUP($G$7&amp;$F$1,'Input RM sheet'!$A:$ZZ,CU1,0)</f>
        <v>917.29</v>
      </c>
      <c r="CV7" s="5">
        <f>VLOOKUP($G$7&amp;$F$1,'Input RM sheet'!$A:$ZZ,CV1,0)</f>
        <v>917.29</v>
      </c>
      <c r="CW7" s="5">
        <f>VLOOKUP($G$7&amp;$F$1,'Input RM sheet'!$A:$ZZ,CW1,0)</f>
        <v>917.29</v>
      </c>
      <c r="CX7" s="5">
        <f>VLOOKUP($G$7&amp;$F$1,'Input RM sheet'!$A:$ZZ,CX1,0)</f>
        <v>946.62</v>
      </c>
      <c r="CY7" s="5">
        <f>VLOOKUP($G$7&amp;$F$1,'Input RM sheet'!$A:$ZZ,CY1,0)</f>
        <v>946.62</v>
      </c>
      <c r="CZ7" s="5">
        <f>VLOOKUP($G$7&amp;$F$1,'Input RM sheet'!$A:$ZZ,CZ1,0)</f>
        <v>946.62</v>
      </c>
      <c r="DA7" s="5">
        <f>VLOOKUP($G$7&amp;$F$1,'Input RM sheet'!$A:$ZZ,DA1,0)</f>
        <v>946.62</v>
      </c>
      <c r="DB7" s="5">
        <f>VLOOKUP($G$7&amp;$F$1,'Input RM sheet'!$A:$ZZ,DB1,0)</f>
        <v>946.72</v>
      </c>
      <c r="DC7" s="5">
        <f>VLOOKUP($G$7&amp;$F$1,'Input RM sheet'!$A:$ZZ,DC1,0)</f>
        <v>965.17</v>
      </c>
      <c r="DD7" s="5">
        <f>VLOOKUP($G$7&amp;$F$1,'Input RM sheet'!$A:$ZZ,DD1,0)</f>
        <v>965.17</v>
      </c>
      <c r="DE7" s="5">
        <f>VLOOKUP($G$7&amp;$F$1,'Input RM sheet'!$A:$ZZ,DE1,0)</f>
        <v>965.17</v>
      </c>
      <c r="DF7" s="5">
        <f>VLOOKUP($G$7&amp;$F$1,'Input RM sheet'!$A:$ZZ,DF1,0)</f>
        <v>965.17</v>
      </c>
      <c r="DG7" s="5">
        <f>VLOOKUP($G$7&amp;$F$1,'Input RM sheet'!$A:$ZZ,DG1,0)</f>
        <v>975.36</v>
      </c>
      <c r="DH7" s="5">
        <f>VLOOKUP($G$7&amp;$F$1,'Input RM sheet'!$A:$ZZ,DH1,0)</f>
        <v>975.36</v>
      </c>
      <c r="DI7" s="5">
        <f>VLOOKUP($G$7&amp;$F$1,'Input RM sheet'!$A:$ZZ,DI1,0)</f>
        <v>981.04</v>
      </c>
      <c r="DJ7" s="5">
        <f>VLOOKUP($G$7&amp;$F$1,'Input RM sheet'!$A:$ZZ,DJ1,0)</f>
        <v>981.04</v>
      </c>
      <c r="DK7" s="5">
        <f>VLOOKUP($G$7&amp;$F$1,'Input RM sheet'!$A:$ZZ,DK1,0)</f>
        <v>981.04</v>
      </c>
      <c r="DL7" s="5">
        <f>VLOOKUP($G$7&amp;$F$1,'Input RM sheet'!$A:$ZZ,DL1,0)</f>
        <v>980.47</v>
      </c>
      <c r="DM7" s="5">
        <f>VLOOKUP($G$7&amp;$F$1,'Input RM sheet'!$A:$ZZ,DM1,0)</f>
        <v>980.47</v>
      </c>
      <c r="DN7" s="5">
        <f>VLOOKUP($G$7&amp;$F$1,'Input RM sheet'!$A:$ZZ,DN1,0)</f>
        <v>954.14</v>
      </c>
      <c r="DO7" s="5">
        <f>VLOOKUP($G$7&amp;$F$1,'Input RM sheet'!$A:$ZZ,DO1,0)</f>
        <v>954.14</v>
      </c>
      <c r="DP7" s="5">
        <f>VLOOKUP($G$7&amp;$F$1,'Input RM sheet'!$A:$ZZ,DP1,0)</f>
        <v>954.14</v>
      </c>
      <c r="DQ7" s="5">
        <f>VLOOKUP($G$7&amp;$F$1,'Input RM sheet'!$A:$ZZ,DQ1,0)</f>
        <v>954.14</v>
      </c>
      <c r="DR7" s="5">
        <f>VLOOKUP($G$7&amp;$F$1,'Input RM sheet'!$A:$ZZ,DR1,0)</f>
        <v>955.04</v>
      </c>
      <c r="DS7" s="5">
        <f>VLOOKUP($G$7&amp;$F$1,'Input RM sheet'!$A:$ZZ,DS1,0)</f>
        <v>0</v>
      </c>
      <c r="DT7" s="5">
        <f>VLOOKUP($G$7&amp;$F$1,'Input RM sheet'!$A:$ZZ,DT1,0)</f>
        <v>0</v>
      </c>
      <c r="DU7" s="5">
        <f>VLOOKUP($G$7&amp;$F$1,'Input RM sheet'!$A:$ZZ,DU1,0)</f>
        <v>0</v>
      </c>
      <c r="DV7" s="5">
        <f>VLOOKUP($G$7&amp;$F$1,'Input RM sheet'!$A:$ZZ,DV1,0)</f>
        <v>0</v>
      </c>
      <c r="DW7" s="5">
        <f>VLOOKUP($G$7&amp;$F$1,'Input RM sheet'!$A:$ZZ,DW1,0)</f>
        <v>0</v>
      </c>
      <c r="DX7" s="5">
        <f>VLOOKUP($G$7&amp;$F$1,'Input RM sheet'!$A:$ZZ,DX1,0)</f>
        <v>0</v>
      </c>
      <c r="DY7" s="5">
        <f>VLOOKUP($G$7&amp;$F$1,'Input RM sheet'!$A:$ZZ,DY1,0)</f>
        <v>0</v>
      </c>
      <c r="DZ7" s="5">
        <f>VLOOKUP($G$7&amp;$F$1,'Input RM sheet'!$A:$ZZ,DZ1,0)</f>
        <v>0</v>
      </c>
      <c r="EA7" s="5">
        <f>VLOOKUP($G$7&amp;$F$1,'Input RM sheet'!$A:$ZZ,EA1,0)</f>
        <v>0</v>
      </c>
    </row>
    <row r="8" spans="1:144">
      <c r="C8" t="s">
        <v>429</v>
      </c>
      <c r="F8" t="s">
        <v>498</v>
      </c>
      <c r="G8" t="s">
        <v>45</v>
      </c>
      <c r="H8" s="4">
        <f>VLOOKUP($G$8&amp;$F$1,'Input RM sheet'!$A:$BD,H1,0)</f>
        <v>0.50625069064173545</v>
      </c>
      <c r="I8" s="4">
        <f>VLOOKUP($G$8&amp;$F$1,'Input RM sheet'!$A:$BD,I1,0)</f>
        <v>0.50605053403738476</v>
      </c>
      <c r="J8" s="4">
        <f>VLOOKUP($G$8&amp;$F$1,'Input RM sheet'!$A:$BD,J1,0)</f>
        <v>0.48566205346589675</v>
      </c>
      <c r="K8" s="4">
        <f>VLOOKUP($G$8&amp;$F$1,'Input RM sheet'!$A:$BD,K1,0)</f>
        <v>0.46604911475979133</v>
      </c>
      <c r="L8" s="4">
        <f>VLOOKUP($G$8&amp;$F$1,'Input RM sheet'!$A:$BD,L1,0)</f>
        <v>0.47286371932487081</v>
      </c>
      <c r="M8" s="4">
        <f>VLOOKUP($G$8&amp;$F$1,'Input RM sheet'!$A:$BD,M1,0)</f>
        <v>0.44148091934964817</v>
      </c>
      <c r="N8" s="4">
        <f>VLOOKUP($G$8&amp;$F$1,'Input RM sheet'!$A:$BD,N1,0)</f>
        <v>0.43426534003337747</v>
      </c>
      <c r="O8" s="4">
        <f>VLOOKUP($G$8&amp;$F$1,'Input RM sheet'!$A:$BD,O1,0)</f>
        <v>0.4253624199790475</v>
      </c>
      <c r="P8" s="4">
        <f>VLOOKUP($G$8&amp;$F$1,'Input RM sheet'!$A:$BD,P1,0)</f>
        <v>0.43233741458081631</v>
      </c>
      <c r="Q8" s="4">
        <f>VLOOKUP($G$8&amp;$F$1,'Input RM sheet'!$A:$BD,Q1,0)</f>
        <v>0.4289746699475917</v>
      </c>
      <c r="R8" s="4">
        <f>VLOOKUP($G$8&amp;$F$1,'Input RM sheet'!$A:$BD,R1,0)</f>
        <v>0.42484260760346637</v>
      </c>
      <c r="S8" s="4">
        <f>VLOOKUP($G$8&amp;$F$1,'Input RM sheet'!$A:$BD,S1,0)</f>
        <v>0.45075951239765033</v>
      </c>
      <c r="T8" s="4">
        <f>VLOOKUP($G$8&amp;$F$1,'Input RM sheet'!$A:$BD,T1,0)</f>
        <v>0.47632070741601718</v>
      </c>
      <c r="U8" s="4">
        <f>VLOOKUP($G$8&amp;$F$1,'Input RM sheet'!$A:$BD,U1,0)</f>
        <v>0.50824175824175821</v>
      </c>
      <c r="V8" s="4">
        <f>VLOOKUP($G$8&amp;$F$1,'Input RM sheet'!$A:$BD,V1,0)</f>
        <v>0.50824175824175821</v>
      </c>
      <c r="W8" s="4">
        <f>VLOOKUP($G$8&amp;$F$1,'Input RM sheet'!$A:$BD,W1,0)</f>
        <v>0.53357522262827839</v>
      </c>
      <c r="X8" s="4">
        <f>VLOOKUP($G$8&amp;$F$1,'Input RM sheet'!$A:$BD,X1,0)</f>
        <v>0.59385665529010234</v>
      </c>
      <c r="Y8" s="4">
        <f>VLOOKUP($G$8&amp;$F$1,'Input RM sheet'!$A:$BD,Y1,0)</f>
        <v>0.63431872099725806</v>
      </c>
      <c r="Z8" s="4">
        <f>VLOOKUP($G$8&amp;$F$1,'Input RM sheet'!$A:$BD,Z1,0)</f>
        <v>0.72591659871949687</v>
      </c>
      <c r="AA8" s="4">
        <f>VLOOKUP($G$8&amp;$F$1,'Input RM sheet'!$A:$BD,AA1,0)</f>
        <v>0.72889455792717117</v>
      </c>
      <c r="AB8" s="4">
        <f>VLOOKUP($G$8&amp;$F$1,'Input RM sheet'!$A:$BD,AB1,0)</f>
        <v>0.74862988980369449</v>
      </c>
      <c r="AC8" s="4">
        <f>VLOOKUP($G$8&amp;$F$1,'Input RM sheet'!$A:$BD,AC1,0)</f>
        <v>0.79168514687656644</v>
      </c>
      <c r="AD8" s="4">
        <f>VLOOKUP($G$8&amp;$F$1,'Input RM sheet'!$A:$BD,AD1,0)</f>
        <v>0.82087330176727136</v>
      </c>
      <c r="AE8" s="4">
        <f>VLOOKUP($G$8&amp;$F$1,'Input RM sheet'!$A:$BD,AE1,0)</f>
        <v>0.84614593649711278</v>
      </c>
      <c r="AF8" s="4">
        <f>VLOOKUP($G$8&amp;$F$1,'Input RM sheet'!$A:$BD,AF1,0)</f>
        <v>1.0564787620243885</v>
      </c>
      <c r="AG8" s="4">
        <f>VLOOKUP($G$8&amp;$F$1,'Input RM sheet'!$A:$BD,AG1,0)</f>
        <v>1.2058469531568468</v>
      </c>
      <c r="AH8" s="4">
        <f>VLOOKUP($G$8&amp;$F$1,'Input RM sheet'!$A:$BD,AH1,0)</f>
        <v>1.328155753838079</v>
      </c>
      <c r="AI8" s="4">
        <f>VLOOKUP($G$8&amp;$F$1,'Input RM sheet'!$A:$BD,AI1,0)</f>
        <v>1.2605824467442697</v>
      </c>
      <c r="AJ8" s="4">
        <f>VLOOKUP($G$8&amp;$F$1,'Input RM sheet'!$A:$BD,AJ1,0)</f>
        <v>1.1242096737595759</v>
      </c>
      <c r="AK8" s="4">
        <f>VLOOKUP($G$8&amp;$F$1,'Input RM sheet'!$A:$BD,AK1,0)</f>
        <v>1.1179786985052897</v>
      </c>
      <c r="AL8" s="4">
        <f>VLOOKUP($G$8&amp;$F$1,'Input RM sheet'!$A:$BD,AL1,0)</f>
        <v>1.0829322457612403</v>
      </c>
      <c r="AM8" s="4">
        <f>VLOOKUP($G$8&amp;$F$1,'Input RM sheet'!$A:$BD,AM1,0)</f>
        <v>1.0855018240664733</v>
      </c>
      <c r="AN8" s="4">
        <f>VLOOKUP($G$8&amp;$F$1,'Input RM sheet'!$A:$BD,AN1,0)</f>
        <v>1.0549821404108952</v>
      </c>
      <c r="AO8" s="4">
        <f>VLOOKUP($G$8&amp;$F$1,'Input RM sheet'!$A:$BD,AO1,0)</f>
        <v>1.0740005833527477</v>
      </c>
      <c r="AP8" s="4">
        <f>VLOOKUP($G$8&amp;$F$1,'Input RM sheet'!$A:$BD,AP1,0)</f>
        <v>1.1385193276752337</v>
      </c>
      <c r="AQ8" s="4">
        <f>VLOOKUP($G$8&amp;$F$1,'Input RM sheet'!$A:$BD,AQ1,0)</f>
        <v>1.0816813265611029</v>
      </c>
      <c r="AR8" s="4">
        <f>VLOOKUP($G$8&amp;$F$1,'Input RM sheet'!$A:$BD,AR1,0)</f>
        <v>0.99756298566293211</v>
      </c>
      <c r="AS8" s="4">
        <f>VLOOKUP($G$8&amp;$F$1,'Input RM sheet'!$A:$BD,AS1,0)</f>
        <v>0.92545631998382882</v>
      </c>
      <c r="AT8" s="4">
        <f>VLOOKUP($G$8&amp;$F$1,'Input RM sheet'!$A:$BD,AT1,0)</f>
        <v>0.9011022063000439</v>
      </c>
      <c r="AU8" s="4">
        <f>VLOOKUP($G$8&amp;$F$1,'Input RM sheet'!$A:$BD,AU1,0)</f>
        <v>0.74767129009219857</v>
      </c>
      <c r="AV8" s="4">
        <f>VLOOKUP($G$8&amp;$F$1,'Input RM sheet'!$A:$BD,AV1,0)</f>
        <v>0.70626929682976414</v>
      </c>
      <c r="AW8" s="4">
        <f>VLOOKUP($G$8&amp;$F$1,'Input RM sheet'!$A:$BD,AW1,0)</f>
        <v>0.61818181818181817</v>
      </c>
      <c r="AX8" s="4">
        <f>VLOOKUP($G$8&amp;$F$1,'Input RM sheet'!$A:$BD,AX1,0)</f>
        <v>0.61863173216885003</v>
      </c>
      <c r="AY8" s="4">
        <f>VLOOKUP($G$8&amp;$F$1,'Input RM sheet'!$A:$BD,AY1,0)</f>
        <v>0.6205889510829885</v>
      </c>
      <c r="AZ8" s="4">
        <f>VLOOKUP($G$8&amp;$F$1,'Input RM sheet'!$A:$BD,AZ1,0)</f>
        <v>0.62255859375</v>
      </c>
      <c r="BA8" s="4">
        <f>VLOOKUP($G$8&amp;$F$1,'Input RM sheet'!$A:$BD,BA1,0)</f>
        <v>0.59567225869195228</v>
      </c>
      <c r="BB8" s="4">
        <f>VLOOKUP($G$8&amp;$F$1,'Input RM sheet'!$A:$BD,BB1,0)</f>
        <v>0.59157310153326093</v>
      </c>
      <c r="BC8" s="4">
        <f>VLOOKUP($G$8&amp;$F$1,'Input RM sheet'!$A:$BD,BC1,0)</f>
        <v>0.58858858858858853</v>
      </c>
      <c r="BD8" s="4">
        <f>VLOOKUP($G$8&amp;$F$1,'Input RM sheet'!$A:$BD,BD1,0)</f>
        <v>0.58858858858858853</v>
      </c>
      <c r="BE8" s="4">
        <f>VLOOKUP($G$8&amp;$F$1,'Input RM sheet'!$A:$BD,BE1,0)</f>
        <v>0.59286146400483963</v>
      </c>
      <c r="BF8" s="4">
        <f>VLOOKUP($G$8&amp;$F$1,'Input RM sheet'!$A:$DD,BF1,0)</f>
        <v>0.5900060204695966</v>
      </c>
      <c r="BG8" s="4">
        <f>VLOOKUP($G$8&amp;$F$1,'Input RM sheet'!$A:$DD,BG1,0)</f>
        <v>0.5666747046057391</v>
      </c>
      <c r="BH8" s="4">
        <f>VLOOKUP($G$8&amp;$F$1,'Input RM sheet'!$A:$DD,BH1,0)</f>
        <v>0.59085976124442297</v>
      </c>
      <c r="BI8" s="4">
        <f>VLOOKUP($G$8&amp;$F$1,'Input RM sheet'!$A:$DD,BI1,0)</f>
        <v>0.58851789574825841</v>
      </c>
      <c r="BJ8" s="4">
        <f>VLOOKUP($G$8&amp;$F$1,'Input RM sheet'!$A:$DD,BJ1,0)</f>
        <v>0.68493150684931503</v>
      </c>
      <c r="BK8" s="4">
        <f>VLOOKUP($G$8&amp;$F$1,'Input RM sheet'!$A:$DD,BK1,0)</f>
        <v>0.68468468468468469</v>
      </c>
      <c r="BL8" s="4">
        <f>VLOOKUP($G$8&amp;$F$1,'Input RM sheet'!$A:$DD,BL1,0)</f>
        <v>0.66169393647738206</v>
      </c>
      <c r="BM8" s="4">
        <f>VLOOKUP($G$8&amp;$F$1,'Input RM sheet'!$A:$DD,BM1,0)</f>
        <v>0.69661301945712217</v>
      </c>
      <c r="BN8" s="4">
        <f>VLOOKUP($G$8&amp;$F$1,'Input RM sheet'!$A:$DD,BN1,0)</f>
        <v>0.69694784907474161</v>
      </c>
      <c r="BO8" s="4">
        <f>VLOOKUP($G$8&amp;$F$1,'Input RM sheet'!$A:$DD,BO1,0)</f>
        <v>0.69719918259406177</v>
      </c>
      <c r="BP8" s="4">
        <f>VLOOKUP($G$8&amp;$F$1,'Input RM sheet'!$A:$DD,BP1,0)</f>
        <v>0.69719918259406177</v>
      </c>
      <c r="BQ8" s="4">
        <f>VLOOKUP($G$8&amp;$F$1,'Input RM sheet'!$A:$DD,BQ1,0)</f>
        <v>0.69602784111364457</v>
      </c>
      <c r="BR8" s="4">
        <f>VLOOKUP($G$8&amp;$F$1,'Input RM sheet'!$A:$DD,BR1,0)</f>
        <v>0.69544364508393286</v>
      </c>
      <c r="BS8" s="4">
        <f>VLOOKUP($G$8&amp;$F$1,'Input RM sheet'!$A:$DD,BS1,0)</f>
        <v>0.63579654510556627</v>
      </c>
      <c r="BT8" s="4">
        <f>VLOOKUP($G$8&amp;$F$1,'Input RM sheet'!$A:$DD,BT1,0)</f>
        <v>0.64872657376261422</v>
      </c>
      <c r="BU8" s="4">
        <f>VLOOKUP($G$8&amp;$F$1,'Input RM sheet'!$A:$DD,BU1,0)</f>
        <v>0.64810369659145473</v>
      </c>
      <c r="BV8" s="4">
        <f>VLOOKUP($G$8&amp;$F$1,'Input RM sheet'!$A:$DD,BV1,0)</f>
        <v>0.63146499879720952</v>
      </c>
      <c r="BW8" s="4">
        <f>VLOOKUP($G$8&amp;$F$1,'Input RM sheet'!$A:$DD,BW1,0)</f>
        <v>0.66145520144317493</v>
      </c>
      <c r="BX8" s="4">
        <f>VLOOKUP($G$8&amp;$F$1,'Input RM sheet'!$A:$DD,BX1,0)</f>
        <v>0.66066066066066065</v>
      </c>
      <c r="BY8" s="4">
        <f>VLOOKUP($G$8&amp;$F$1,'Input RM sheet'!$A:$DD,BY1,0)</f>
        <v>0.67421141343607027</v>
      </c>
      <c r="BZ8" s="4">
        <f>VLOOKUP($G$8&amp;$F$1,'Input RM sheet'!$A:$DD,BZ1,0)</f>
        <v>0.67469879518072284</v>
      </c>
      <c r="CA8" s="4">
        <f>VLOOKUP($G$8&amp;$F$1,'Input RM sheet'!$A:$DD,CA1,0)</f>
        <v>0.6746175159619322</v>
      </c>
      <c r="CB8" s="4">
        <f>VLOOKUP($G$8&amp;$F$1,'Input RM sheet'!$A:$DD,CB1,0)</f>
        <v>0.67551266586248493</v>
      </c>
      <c r="CC8" s="4">
        <f>VLOOKUP($G$8&amp;$F$1,'Input RM sheet'!$A:$DD,CC1,0)</f>
        <v>0.67551266586248493</v>
      </c>
      <c r="CD8" s="4">
        <f>VLOOKUP($G$8&amp;$F$1,'Input RM sheet'!$A:$DD,CD1,0)</f>
        <v>0.64087061668681977</v>
      </c>
      <c r="CE8" s="4">
        <f>VLOOKUP($G$8&amp;$F$1,'Input RM sheet'!$A:$DD,CE1,0)</f>
        <v>0.64040599323344605</v>
      </c>
      <c r="CF8" s="4">
        <f>VLOOKUP($G$8&amp;$F$1,'Input RM sheet'!$A:$DD,CF1,0)</f>
        <v>0.63656017295219791</v>
      </c>
      <c r="CG8" s="4">
        <f>VLOOKUP($G$8&amp;$F$1,'Input RM sheet'!$A:$DD,CG1,0)</f>
        <v>0.63556781388655714</v>
      </c>
      <c r="CH8" s="4">
        <f>VLOOKUP($G$8&amp;$F$1,'Input RM sheet'!$A:$DD,CH1,0)</f>
        <v>0.63694267515923575</v>
      </c>
      <c r="CI8" s="4">
        <f>VLOOKUP($G$8&amp;$F$1,'Input RM sheet'!$A:$DD,CI1,0)</f>
        <v>0.63549160671462823</v>
      </c>
      <c r="CJ8" s="4">
        <f>VLOOKUP($G$8&amp;$F$1,'Input RM sheet'!$A:$DD,CJ1,0)</f>
        <v>0.63389546704939603</v>
      </c>
      <c r="CK8" s="4">
        <f>VLOOKUP($G$8&amp;$F$1,'Input RM sheet'!$A:$DD,CK1,0)</f>
        <v>0.65931431311436106</v>
      </c>
      <c r="CL8" s="4">
        <f>VLOOKUP($G$8&amp;$F$1,'Input RM sheet'!$A:$DD,CL1,0)</f>
        <v>0.6586826347305389</v>
      </c>
      <c r="CM8" s="4">
        <f>VLOOKUP($G$8&amp;$F$1,'Input RM sheet'!$A:$DD,CM1,0)</f>
        <v>0.65986802639472109</v>
      </c>
      <c r="CN8" s="4">
        <f>VLOOKUP($G$8&amp;$F$1,'Input RM sheet'!$A:$DD,CN1,0)</f>
        <v>0.62387522495500902</v>
      </c>
      <c r="CO8" s="4">
        <f>VLOOKUP($G$8&amp;$F$1,'Input RM sheet'!$A:$DD,CO1,0)</f>
        <v>0.62387522495500902</v>
      </c>
      <c r="CP8" s="4">
        <f>VLOOKUP($G$8&amp;$F$1,'Input RM sheet'!$A:$DD,CP1,0)</f>
        <v>0.62387522495500902</v>
      </c>
      <c r="CQ8" s="4">
        <f>VLOOKUP($G$8&amp;$F$1,'Input RM sheet'!$A:$ZZ,CQ1,0)</f>
        <v>0.61985933961139583</v>
      </c>
      <c r="CR8" s="4">
        <f>VLOOKUP($G$8&amp;$F$1,'Input RM sheet'!$A:$ZZ,CR1,0)</f>
        <v>0.64748201438848918</v>
      </c>
      <c r="CS8" s="4">
        <f>VLOOKUP($G$8&amp;$F$1,'Input RM sheet'!$A:$ZZ,CS1,0)</f>
        <v>0.6467065868263473</v>
      </c>
      <c r="CT8" s="4">
        <f>VLOOKUP($G$8&amp;$F$1,'Input RM sheet'!$A:$ZZ,CT1,0)</f>
        <v>0.67106051527860988</v>
      </c>
      <c r="CU8" s="4">
        <f>VLOOKUP($G$8&amp;$F$1,'Input RM sheet'!$A:$ZZ,CU1,0)</f>
        <v>0.67089972445189894</v>
      </c>
      <c r="CV8" s="4">
        <f>VLOOKUP($G$8&amp;$F$1,'Input RM sheet'!$A:$ZZ,CV1,0)</f>
        <v>0.67025733093955719</v>
      </c>
      <c r="CW8" s="4">
        <f>VLOOKUP($G$8&amp;$F$1,'Input RM sheet'!$A:$ZZ,CW1,0)</f>
        <v>0.65710872162485068</v>
      </c>
      <c r="CX8" s="4">
        <f>VLOOKUP($G$8&amp;$F$1,'Input RM sheet'!$A:$ZZ,CX1,0)</f>
        <v>0.65687328317210081</v>
      </c>
      <c r="CY8" s="4">
        <f>VLOOKUP($G$8&amp;$F$1,'Input RM sheet'!$A:$ZZ,CY1,0)</f>
        <v>0.67897558070279929</v>
      </c>
      <c r="CZ8" s="4">
        <f>VLOOKUP($G$8&amp;$F$1,'Input RM sheet'!$A:$ZZ,CZ1,0)</f>
        <v>0.67889471176750837</v>
      </c>
      <c r="DA8" s="4">
        <f>VLOOKUP($G$8&amp;$F$1,'Input RM sheet'!$A:$ZZ,DA1,0)</f>
        <v>0.6793802145411203</v>
      </c>
      <c r="DB8" s="4">
        <f>VLOOKUP($G$8&amp;$F$1,'Input RM sheet'!$A:$ZZ,DB1,0)</f>
        <v>0.67946119918941472</v>
      </c>
      <c r="DC8" s="4">
        <f>VLOOKUP($G$8&amp;$F$1,'Input RM sheet'!$A:$ZZ,DC1,0)</f>
        <v>0.62529776083849453</v>
      </c>
      <c r="DD8" s="4">
        <f>VLOOKUP($G$8&amp;$F$1,'Input RM sheet'!$A:$ZZ,DD1,0)</f>
        <v>0.62529776083849453</v>
      </c>
      <c r="DE8" s="4">
        <f>VLOOKUP($G$8&amp;$F$1,'Input RM sheet'!$A:$ZZ,DE1,0)</f>
        <v>0.59224694903086861</v>
      </c>
      <c r="DF8" s="4">
        <f>VLOOKUP($G$8&amp;$F$1,'Input RM sheet'!$A:$ZZ,DF1,0)</f>
        <v>0.59168061200095623</v>
      </c>
      <c r="DG8" s="4">
        <f>VLOOKUP($G$8&amp;$F$1,'Input RM sheet'!$A:$ZZ,DG1,0)</f>
        <v>0.58949624866023576</v>
      </c>
      <c r="DH8" s="4">
        <f>VLOOKUP($G$8&amp;$F$1,'Input RM sheet'!$A:$ZZ,DH1,0)</f>
        <v>0.60068990127274891</v>
      </c>
      <c r="DI8" s="4">
        <f>VLOOKUP($G$8&amp;$F$1,'Input RM sheet'!$A:$ZZ,DI1,0)</f>
        <v>0.60068990127274891</v>
      </c>
      <c r="DJ8" s="4">
        <f>VLOOKUP($G$8&amp;$F$1,'Input RM sheet'!$A:$ZZ,DJ1,0)</f>
        <v>0.60061845861084684</v>
      </c>
      <c r="DK8" s="4">
        <f>VLOOKUP($G$8&amp;$F$1,'Input RM sheet'!$A:$ZZ,DK1,0)</f>
        <v>0.60033285782215884</v>
      </c>
      <c r="DL8" s="4">
        <f>VLOOKUP($G$8&amp;$F$1,'Input RM sheet'!$A:$ZZ,DL1,0)</f>
        <v>0.59834123222748814</v>
      </c>
      <c r="DM8" s="4">
        <f>VLOOKUP($G$8&amp;$F$1,'Input RM sheet'!$A:$ZZ,DM1,0)</f>
        <v>0.61706419840987303</v>
      </c>
      <c r="DN8" s="4">
        <f>VLOOKUP($G$8&amp;$F$1,'Input RM sheet'!$A:$ZZ,DN1,0)</f>
        <v>0.61443932411674351</v>
      </c>
      <c r="DO8" s="4">
        <f>VLOOKUP($G$8&amp;$F$1,'Input RM sheet'!$A:$ZZ,DO1,0)</f>
        <v>0.6376195536663124</v>
      </c>
      <c r="DP8" s="4">
        <f>VLOOKUP($G$8&amp;$F$1,'Input RM sheet'!$A:$ZZ,DP1,0)</f>
        <v>0.63067311092773781</v>
      </c>
      <c r="DQ8" s="4">
        <f>VLOOKUP($G$8&amp;$F$1,'Input RM sheet'!$A:$ZZ,DQ1,0)</f>
        <v>0.63000471031559113</v>
      </c>
      <c r="DR8" s="4">
        <f>VLOOKUP($G$8&amp;$F$1,'Input RM sheet'!$A:$ZZ,DR1,0)</f>
        <v>0.62808170932143692</v>
      </c>
      <c r="DS8" s="4">
        <f>VLOOKUP($G$8&amp;$F$1,'Input RM sheet'!$A:$ZZ,DS1,0)</f>
        <v>0</v>
      </c>
      <c r="DT8" s="4">
        <f>VLOOKUP($G$8&amp;$F$1,'Input RM sheet'!$A:$ZZ,DT1,0)</f>
        <v>0</v>
      </c>
      <c r="DU8" s="4">
        <f>VLOOKUP($G$8&amp;$F$1,'Input RM sheet'!$A:$ZZ,DU1,0)</f>
        <v>0</v>
      </c>
      <c r="DV8" s="4">
        <f>VLOOKUP($G$8&amp;$F$1,'Input RM sheet'!$A:$ZZ,DV1,0)</f>
        <v>0</v>
      </c>
      <c r="DW8" s="4">
        <f>VLOOKUP($G$8&amp;$F$1,'Input RM sheet'!$A:$ZZ,DW1,0)</f>
        <v>0</v>
      </c>
      <c r="DX8" s="4">
        <f>VLOOKUP($G$8&amp;$F$1,'Input RM sheet'!$A:$ZZ,DX1,0)</f>
        <v>0</v>
      </c>
      <c r="DY8" s="4">
        <f>VLOOKUP($G$8&amp;$F$1,'Input RM sheet'!$A:$ZZ,DY1,0)</f>
        <v>0</v>
      </c>
      <c r="DZ8" s="4">
        <f>VLOOKUP($G$8&amp;$F$1,'Input RM sheet'!$A:$ZZ,DZ1,0)</f>
        <v>0</v>
      </c>
      <c r="EA8" s="4">
        <f>VLOOKUP($G$8&amp;$F$1,'Input RM sheet'!$A:$ZZ,EA1,0)</f>
        <v>0</v>
      </c>
    </row>
    <row r="10" spans="1:144" s="6" customFormat="1">
      <c r="A10" s="7" t="s">
        <v>395</v>
      </c>
      <c r="B10" s="7"/>
      <c r="C10" s="7" t="s">
        <v>379</v>
      </c>
      <c r="D10" s="7" t="s">
        <v>380</v>
      </c>
      <c r="E10" s="7" t="s">
        <v>381</v>
      </c>
      <c r="F10" s="7" t="s">
        <v>396</v>
      </c>
      <c r="G10" s="6" t="s">
        <v>399</v>
      </c>
      <c r="H10" s="7"/>
      <c r="I10" s="7"/>
      <c r="J10" s="7"/>
      <c r="K10" s="7"/>
      <c r="L10" s="7"/>
      <c r="M10" s="7"/>
      <c r="N10" s="7"/>
      <c r="O10" s="7"/>
      <c r="P10" s="7"/>
      <c r="Q10" s="7"/>
      <c r="R10" s="7"/>
      <c r="S10" s="7"/>
      <c r="T10" s="7"/>
      <c r="U10" s="7"/>
      <c r="V10" s="7"/>
    </row>
    <row r="11" spans="1:144">
      <c r="A11" s="368" t="s">
        <v>397</v>
      </c>
      <c r="B11" t="s">
        <v>314</v>
      </c>
      <c r="C11">
        <v>1</v>
      </c>
      <c r="D11">
        <v>44.05</v>
      </c>
      <c r="E11" s="2">
        <f>D11*C11</f>
        <v>44.05</v>
      </c>
      <c r="F11" s="2">
        <f>E11/$D$4</f>
        <v>0.72118533071381796</v>
      </c>
      <c r="G11" s="245"/>
      <c r="H11" s="4">
        <f>$F$11*(H7/1000)</f>
        <v>0.80700638506876232</v>
      </c>
      <c r="I11" s="4">
        <f>$F$11*(I7/1000)</f>
        <v>0.79402504911591354</v>
      </c>
      <c r="J11" s="4">
        <f>$F$11*(J7/1000)</f>
        <v>0.79041912246234458</v>
      </c>
      <c r="K11" s="4">
        <f>$F$11*(K7/1000)</f>
        <v>0.61194738867059595</v>
      </c>
      <c r="L11" s="4">
        <f t="shared" ref="L11:T11" si="0">$F$11*(L7/1000)</f>
        <v>0.68783050916830391</v>
      </c>
      <c r="M11" s="4">
        <f t="shared" si="0"/>
        <v>0.76373526522593316</v>
      </c>
      <c r="N11" s="4">
        <f t="shared" si="0"/>
        <v>0.73056074001309756</v>
      </c>
      <c r="O11" s="4">
        <f t="shared" si="0"/>
        <v>0.71801932711198435</v>
      </c>
      <c r="P11" s="4">
        <f t="shared" si="0"/>
        <v>0.77238948919449901</v>
      </c>
      <c r="Q11" s="4">
        <f t="shared" si="0"/>
        <v>0.78320726915520633</v>
      </c>
      <c r="R11" s="4">
        <f t="shared" si="0"/>
        <v>0.80844875573018993</v>
      </c>
      <c r="S11" s="4">
        <f t="shared" si="0"/>
        <v>0.83224787164374592</v>
      </c>
      <c r="T11" s="4">
        <f t="shared" si="0"/>
        <v>0.83224787164374592</v>
      </c>
      <c r="U11" s="4">
        <f t="shared" ref="U11:BE11" si="1">$F$11*(U7/1000)</f>
        <v>0.79763097576948272</v>
      </c>
      <c r="V11" s="4">
        <f t="shared" si="1"/>
        <v>0.94114685658153241</v>
      </c>
      <c r="W11" s="4">
        <f t="shared" si="1"/>
        <v>0.93393500327439416</v>
      </c>
      <c r="X11" s="4">
        <f t="shared" si="1"/>
        <v>0.86398002619515391</v>
      </c>
      <c r="Y11" s="4">
        <f t="shared" si="1"/>
        <v>0.77455304518664059</v>
      </c>
      <c r="Z11" s="4">
        <f t="shared" si="1"/>
        <v>0.80195808775376565</v>
      </c>
      <c r="AA11" s="4">
        <f t="shared" si="1"/>
        <v>0.85748935821872962</v>
      </c>
      <c r="AB11" s="4">
        <f t="shared" si="1"/>
        <v>0.86542239685658151</v>
      </c>
      <c r="AC11" s="4">
        <f t="shared" si="1"/>
        <v>1.1062982973149968</v>
      </c>
      <c r="AD11" s="4">
        <f t="shared" si="1"/>
        <v>0.85748935821872962</v>
      </c>
      <c r="AE11" s="4">
        <f t="shared" si="1"/>
        <v>0.84883513425016377</v>
      </c>
      <c r="AF11" s="4">
        <f t="shared" si="1"/>
        <v>0.78897675180091686</v>
      </c>
      <c r="AG11" s="4">
        <f t="shared" si="1"/>
        <v>0.94980108055009826</v>
      </c>
      <c r="AH11" s="4">
        <f t="shared" si="1"/>
        <v>0.93177144728225281</v>
      </c>
      <c r="AI11" s="4">
        <f t="shared" si="1"/>
        <v>0.93105026195153895</v>
      </c>
      <c r="AJ11" s="4">
        <f t="shared" si="1"/>
        <v>0.89354862475442054</v>
      </c>
      <c r="AK11" s="4">
        <f t="shared" si="1"/>
        <v>0.8134970530451866</v>
      </c>
      <c r="AL11" s="4">
        <f t="shared" si="1"/>
        <v>0.70156908971840215</v>
      </c>
      <c r="AM11" s="4">
        <f t="shared" si="1"/>
        <v>0.68922239685658149</v>
      </c>
      <c r="AN11" s="4">
        <f t="shared" si="1"/>
        <v>0.77166830386378527</v>
      </c>
      <c r="AO11" s="4">
        <f t="shared" si="1"/>
        <v>0.73200311067452517</v>
      </c>
      <c r="AP11" s="4">
        <f t="shared" si="1"/>
        <v>0.67901762442698099</v>
      </c>
      <c r="AQ11" s="4">
        <f t="shared" si="1"/>
        <v>0.6926263916175508</v>
      </c>
      <c r="AR11" s="4">
        <f t="shared" si="1"/>
        <v>0.64763885068762272</v>
      </c>
      <c r="AS11" s="4">
        <f t="shared" si="1"/>
        <v>0.71643271938441389</v>
      </c>
      <c r="AT11" s="15">
        <f t="shared" si="1"/>
        <v>0.75291748526522595</v>
      </c>
      <c r="AU11" s="4">
        <f t="shared" si="1"/>
        <v>0.73272429600523903</v>
      </c>
      <c r="AV11" s="4">
        <f t="shared" si="1"/>
        <v>0.77599541584806819</v>
      </c>
      <c r="AW11" s="4">
        <f t="shared" si="1"/>
        <v>0.6047138998035364</v>
      </c>
      <c r="AX11" s="4">
        <f t="shared" si="1"/>
        <v>0.6047138998035364</v>
      </c>
      <c r="AY11" s="4">
        <f t="shared" si="1"/>
        <v>0.6047138998035364</v>
      </c>
      <c r="AZ11" s="4">
        <f t="shared" si="1"/>
        <v>0.6047138998035364</v>
      </c>
      <c r="BA11" s="4">
        <f t="shared" si="1"/>
        <v>0.61171660936476757</v>
      </c>
      <c r="BB11" s="4">
        <f t="shared" si="1"/>
        <v>0.61184642272429601</v>
      </c>
      <c r="BC11" s="4">
        <f t="shared" si="1"/>
        <v>0.61184642272429601</v>
      </c>
      <c r="BD11" s="4">
        <f t="shared" si="1"/>
        <v>0.61184642272429601</v>
      </c>
      <c r="BE11" s="4">
        <f t="shared" si="1"/>
        <v>0.61184642272429601</v>
      </c>
      <c r="BF11" s="4">
        <f>$F$11*(BF7/1000)</f>
        <v>0.6421578421741978</v>
      </c>
      <c r="BG11" s="4">
        <f>$F$11*(BG7/1000)</f>
        <v>0.6421578421741978</v>
      </c>
      <c r="BH11" s="4">
        <f>$F$11*(BH7/1000)</f>
        <v>0.65725225114603802</v>
      </c>
      <c r="BI11" s="4">
        <f>$F$11*(BI7/1000)</f>
        <v>0.65725225114603802</v>
      </c>
      <c r="BJ11" s="4">
        <f t="shared" ref="BJ11:BO11" si="2">$F$11*(BJ7/1000)</f>
        <v>0.65725225114603802</v>
      </c>
      <c r="BK11" s="4">
        <f t="shared" si="2"/>
        <v>0.65725225114603802</v>
      </c>
      <c r="BL11" s="4">
        <f t="shared" si="2"/>
        <v>0.65725225114603802</v>
      </c>
      <c r="BM11" s="4">
        <f t="shared" si="2"/>
        <v>0.68332310085134251</v>
      </c>
      <c r="BN11" s="4">
        <f t="shared" si="2"/>
        <v>0.6637140717092338</v>
      </c>
      <c r="BO11" s="4">
        <f t="shared" si="2"/>
        <v>0.6637140717092338</v>
      </c>
      <c r="BP11" s="4">
        <f t="shared" ref="BP11:BU11" si="3">$F$11*(BP7/1000)</f>
        <v>0.6637140717092338</v>
      </c>
      <c r="BQ11" s="4">
        <f t="shared" si="3"/>
        <v>0.6637140717092338</v>
      </c>
      <c r="BR11" s="4">
        <f t="shared" si="3"/>
        <v>0.63724657007203667</v>
      </c>
      <c r="BS11" s="4">
        <f t="shared" si="3"/>
        <v>0.63724657007203667</v>
      </c>
      <c r="BT11" s="4">
        <f t="shared" si="3"/>
        <v>0.65412951866404712</v>
      </c>
      <c r="BU11" s="4">
        <f t="shared" si="3"/>
        <v>0.65425212017026857</v>
      </c>
      <c r="BV11" s="4">
        <f t="shared" ref="BV11:CC11" si="4">$F$11*(BV7/1000)</f>
        <v>0.65425212017026857</v>
      </c>
      <c r="BW11" s="4">
        <f t="shared" si="4"/>
        <v>0.65425212017026857</v>
      </c>
      <c r="BX11" s="4">
        <f t="shared" si="4"/>
        <v>0.65425212017026857</v>
      </c>
      <c r="BY11" s="4">
        <f t="shared" si="4"/>
        <v>0.66134137197118525</v>
      </c>
      <c r="BZ11" s="4">
        <f t="shared" si="4"/>
        <v>0.66134137197118525</v>
      </c>
      <c r="CA11" s="4">
        <f t="shared" si="4"/>
        <v>0.66134137197118525</v>
      </c>
      <c r="CB11" s="4">
        <f t="shared" si="4"/>
        <v>0.66134137197118525</v>
      </c>
      <c r="CC11" s="4">
        <f t="shared" si="4"/>
        <v>0.66134137197118525</v>
      </c>
      <c r="CD11" s="4">
        <f t="shared" ref="CD11:CO11" si="5">$F$11*(CD7/1000)</f>
        <v>0.66735605762933858</v>
      </c>
      <c r="CE11" s="4">
        <f t="shared" si="5"/>
        <v>0.66735605762933858</v>
      </c>
      <c r="CF11" s="4">
        <f t="shared" si="5"/>
        <v>0.66735605762933858</v>
      </c>
      <c r="CG11" s="4">
        <f t="shared" si="5"/>
        <v>0.67606797642436156</v>
      </c>
      <c r="CH11" s="4">
        <f t="shared" si="5"/>
        <v>0.67606797642436156</v>
      </c>
      <c r="CI11" s="4">
        <f t="shared" si="5"/>
        <v>0.67606797642436156</v>
      </c>
      <c r="CJ11" s="4">
        <f t="shared" si="5"/>
        <v>0.67606797642436156</v>
      </c>
      <c r="CK11" s="4">
        <f t="shared" si="5"/>
        <v>0.68742664538310416</v>
      </c>
      <c r="CL11" s="4">
        <f t="shared" si="5"/>
        <v>0.70857901113294042</v>
      </c>
      <c r="CM11" s="4">
        <f t="shared" si="5"/>
        <v>0.68742664538310416</v>
      </c>
      <c r="CN11" s="4">
        <f t="shared" si="5"/>
        <v>0.68742664538310416</v>
      </c>
      <c r="CO11" s="4">
        <f t="shared" si="5"/>
        <v>0.68742664538310416</v>
      </c>
      <c r="CP11" s="4">
        <f>$F$11*(CP7/1000)</f>
        <v>0.68742664538310416</v>
      </c>
      <c r="CQ11" s="4">
        <f>$F$11*(CQ7/1000)</f>
        <v>0.67820989685658151</v>
      </c>
      <c r="CR11" s="4">
        <f t="shared" ref="CR11:CY11" si="6">$F$11*(CR7/1000)</f>
        <v>0.67820989685658151</v>
      </c>
      <c r="CS11" s="4">
        <f t="shared" si="6"/>
        <v>0.67820989685658151</v>
      </c>
      <c r="CT11" s="4">
        <f t="shared" si="6"/>
        <v>0.66153609201047803</v>
      </c>
      <c r="CU11" s="4">
        <f t="shared" si="6"/>
        <v>0.66153609201047803</v>
      </c>
      <c r="CV11" s="4">
        <f t="shared" si="6"/>
        <v>0.66153609201047803</v>
      </c>
      <c r="CW11" s="4">
        <f t="shared" si="6"/>
        <v>0.66153609201047803</v>
      </c>
      <c r="CX11" s="4">
        <f t="shared" si="6"/>
        <v>0.68268845776031439</v>
      </c>
      <c r="CY11" s="4">
        <f t="shared" si="6"/>
        <v>0.68268845776031439</v>
      </c>
      <c r="CZ11" s="4">
        <f t="shared" ref="CZ11:EA11" si="7">$F$11*(CZ7/1000)</f>
        <v>0.68268845776031439</v>
      </c>
      <c r="DA11" s="4">
        <f t="shared" si="7"/>
        <v>0.68268845776031439</v>
      </c>
      <c r="DB11" s="4">
        <f t="shared" si="7"/>
        <v>0.68276057629338571</v>
      </c>
      <c r="DC11" s="4">
        <f t="shared" si="7"/>
        <v>0.69606644564505571</v>
      </c>
      <c r="DD11" s="4">
        <f t="shared" si="7"/>
        <v>0.69606644564505571</v>
      </c>
      <c r="DE11" s="4">
        <f t="shared" si="7"/>
        <v>0.69606644564505571</v>
      </c>
      <c r="DF11" s="4">
        <f t="shared" si="7"/>
        <v>0.69606644564505571</v>
      </c>
      <c r="DG11" s="4">
        <f t="shared" si="7"/>
        <v>0.7034153241650295</v>
      </c>
      <c r="DH11" s="4">
        <f t="shared" si="7"/>
        <v>0.7034153241650295</v>
      </c>
      <c r="DI11" s="4">
        <f t="shared" si="7"/>
        <v>0.70751165684348394</v>
      </c>
      <c r="DJ11" s="4">
        <f t="shared" si="7"/>
        <v>0.70751165684348394</v>
      </c>
      <c r="DK11" s="4">
        <f t="shared" si="7"/>
        <v>0.70751165684348394</v>
      </c>
      <c r="DL11" s="4">
        <f t="shared" si="7"/>
        <v>0.7071005812049771</v>
      </c>
      <c r="DM11" s="4">
        <f t="shared" si="7"/>
        <v>0.7071005812049771</v>
      </c>
      <c r="DN11" s="4">
        <f t="shared" si="7"/>
        <v>0.68811177144728231</v>
      </c>
      <c r="DO11" s="4">
        <f t="shared" si="7"/>
        <v>0.68811177144728231</v>
      </c>
      <c r="DP11" s="4">
        <f t="shared" si="7"/>
        <v>0.68811177144728231</v>
      </c>
      <c r="DQ11" s="4">
        <f t="shared" si="7"/>
        <v>0.68811177144728231</v>
      </c>
      <c r="DR11" s="4">
        <f t="shared" si="7"/>
        <v>0.68876083824492473</v>
      </c>
      <c r="DS11" s="4">
        <f t="shared" si="7"/>
        <v>0</v>
      </c>
      <c r="DT11" s="4">
        <f t="shared" si="7"/>
        <v>0</v>
      </c>
      <c r="DU11" s="4">
        <f t="shared" si="7"/>
        <v>0</v>
      </c>
      <c r="DV11" s="4">
        <f t="shared" si="7"/>
        <v>0</v>
      </c>
      <c r="DW11" s="4">
        <f t="shared" si="7"/>
        <v>0</v>
      </c>
      <c r="DX11" s="4">
        <f t="shared" si="7"/>
        <v>0</v>
      </c>
      <c r="DY11" s="4">
        <f t="shared" si="7"/>
        <v>0</v>
      </c>
      <c r="DZ11" s="4">
        <f t="shared" si="7"/>
        <v>0</v>
      </c>
      <c r="EA11" s="4">
        <f t="shared" si="7"/>
        <v>0</v>
      </c>
    </row>
    <row r="12" spans="1:144">
      <c r="A12" s="369"/>
      <c r="B12" t="s">
        <v>444</v>
      </c>
      <c r="C12">
        <v>1</v>
      </c>
      <c r="D12">
        <v>17.030999999999999</v>
      </c>
      <c r="E12" s="2">
        <f>D12*C12</f>
        <v>17.030999999999999</v>
      </c>
      <c r="F12" s="2">
        <f>E12/$D$4</f>
        <v>0.27883104125736735</v>
      </c>
      <c r="G12" s="245"/>
      <c r="H12" s="4">
        <f>$F$12*H8</f>
        <v>0.14115840720889644</v>
      </c>
      <c r="I12" s="4">
        <f>$F$12*I8</f>
        <v>0.14110259733449082</v>
      </c>
      <c r="J12" s="4">
        <f>$F$12*J8</f>
        <v>0.13541765606708719</v>
      </c>
      <c r="K12" s="4">
        <f>$F$12*K8</f>
        <v>0.12994895994554689</v>
      </c>
      <c r="L12" s="4">
        <f t="shared" ref="L12:T12" si="8">$F$12*L8</f>
        <v>0.13184908323218522</v>
      </c>
      <c r="M12" s="4">
        <f t="shared" si="8"/>
        <v>0.12309858443752222</v>
      </c>
      <c r="N12" s="4">
        <f t="shared" si="8"/>
        <v>0.12108665694349133</v>
      </c>
      <c r="O12" s="4">
        <f t="shared" si="8"/>
        <v>0.11860424647451141</v>
      </c>
      <c r="P12" s="4">
        <f t="shared" si="8"/>
        <v>0.12054909148208713</v>
      </c>
      <c r="Q12" s="4">
        <f t="shared" si="8"/>
        <v>0.11961145389452249</v>
      </c>
      <c r="R12" s="4">
        <f t="shared" si="8"/>
        <v>0.11845930664856966</v>
      </c>
      <c r="S12" s="4">
        <f t="shared" si="8"/>
        <v>0.12568574419850004</v>
      </c>
      <c r="T12" s="4">
        <f t="shared" si="8"/>
        <v>0.13281299882125389</v>
      </c>
      <c r="U12" s="4">
        <f t="shared" ref="U12:BE12" si="9">$F$12*U8</f>
        <v>0.1417135786610246</v>
      </c>
      <c r="V12" s="4">
        <f t="shared" si="9"/>
        <v>0.1417135786610246</v>
      </c>
      <c r="W12" s="4">
        <f t="shared" si="9"/>
        <v>0.14877733491457446</v>
      </c>
      <c r="X12" s="4">
        <f t="shared" si="9"/>
        <v>0.1655856695521567</v>
      </c>
      <c r="Y12" s="4">
        <f t="shared" si="9"/>
        <v>0.17686774946470696</v>
      </c>
      <c r="Z12" s="4">
        <f t="shared" si="9"/>
        <v>0.20240808108696381</v>
      </c>
      <c r="AA12" s="4">
        <f t="shared" si="9"/>
        <v>0.20323842855366162</v>
      </c>
      <c r="AB12" s="4">
        <f t="shared" si="9"/>
        <v>0.20874125169035232</v>
      </c>
      <c r="AC12" s="4">
        <f t="shared" si="9"/>
        <v>0.22074639385158482</v>
      </c>
      <c r="AD12" s="4">
        <f t="shared" si="9"/>
        <v>0.22888495747214141</v>
      </c>
      <c r="AE12" s="4">
        <f t="shared" si="9"/>
        <v>0.23593175252918019</v>
      </c>
      <c r="AF12" s="4">
        <f t="shared" si="9"/>
        <v>0.29457907328155464</v>
      </c>
      <c r="AG12" s="4">
        <f t="shared" si="9"/>
        <v>0.33622756154574746</v>
      </c>
      <c r="AH12" s="4">
        <f t="shared" si="9"/>
        <v>0.37033105179463527</v>
      </c>
      <c r="AI12" s="4">
        <f t="shared" si="9"/>
        <v>0.35148951621646451</v>
      </c>
      <c r="AJ12" s="4">
        <f t="shared" si="9"/>
        <v>0.31346455392598782</v>
      </c>
      <c r="AK12" s="4">
        <f t="shared" si="9"/>
        <v>0.31172716460778632</v>
      </c>
      <c r="AL12" s="4">
        <f t="shared" si="9"/>
        <v>0.30195512569678584</v>
      </c>
      <c r="AM12" s="4">
        <f t="shared" si="9"/>
        <v>0.30267160389122633</v>
      </c>
      <c r="AN12" s="4">
        <f t="shared" si="9"/>
        <v>0.29416176871869604</v>
      </c>
      <c r="AO12" s="4">
        <f t="shared" si="9"/>
        <v>0.29946470096726663</v>
      </c>
      <c r="AP12" s="4">
        <f t="shared" si="9"/>
        <v>0.31745452962732323</v>
      </c>
      <c r="AQ12" s="4">
        <f t="shared" si="9"/>
        <v>0.30160633059368275</v>
      </c>
      <c r="AR12" s="4">
        <f t="shared" si="9"/>
        <v>0.27815152601220355</v>
      </c>
      <c r="AS12" s="4">
        <f t="shared" si="9"/>
        <v>0.25804594933930236</v>
      </c>
      <c r="AT12" s="4">
        <f t="shared" si="9"/>
        <v>0.25125526646195229</v>
      </c>
      <c r="AU12" s="4">
        <f t="shared" si="9"/>
        <v>0.20847396433464691</v>
      </c>
      <c r="AV12" s="4">
        <f t="shared" si="9"/>
        <v>0.19692980344315178</v>
      </c>
      <c r="AW12" s="4">
        <f t="shared" si="9"/>
        <v>0.1723682800500089</v>
      </c>
      <c r="AX12" s="4">
        <f t="shared" si="9"/>
        <v>0.17249373003548926</v>
      </c>
      <c r="AY12" s="4">
        <f t="shared" si="9"/>
        <v>0.1730394634232871</v>
      </c>
      <c r="AZ12" s="4">
        <f t="shared" si="9"/>
        <v>0.17358866093903486</v>
      </c>
      <c r="BA12" s="4">
        <f t="shared" si="9"/>
        <v>0.16609191613920493</v>
      </c>
      <c r="BB12" s="4">
        <f t="shared" si="9"/>
        <v>0.16494894388036943</v>
      </c>
      <c r="BC12" s="4">
        <f t="shared" si="9"/>
        <v>0.16411676902836034</v>
      </c>
      <c r="BD12" s="4">
        <f t="shared" si="9"/>
        <v>0.16411676902836034</v>
      </c>
      <c r="BE12" s="4">
        <f t="shared" si="9"/>
        <v>0.16530817932983666</v>
      </c>
      <c r="BF12" s="4">
        <f>$F$12*BF8</f>
        <v>0.16451199303565323</v>
      </c>
      <c r="BG12" s="4">
        <f>$F$12*BG8</f>
        <v>0.15800649793942931</v>
      </c>
      <c r="BH12" s="4">
        <f>$F$12*BH8</f>
        <v>0.16475004246486191</v>
      </c>
      <c r="BI12" s="4">
        <f>$F$12*BI8</f>
        <v>0.16409705767008165</v>
      </c>
      <c r="BJ12" s="4">
        <f t="shared" ref="BJ12:BO12" si="10">$F$12*BJ8</f>
        <v>0.19098016524477215</v>
      </c>
      <c r="BK12" s="4">
        <f t="shared" si="10"/>
        <v>0.19091134356360287</v>
      </c>
      <c r="BL12" s="4">
        <f t="shared" si="10"/>
        <v>0.18450080930167473</v>
      </c>
      <c r="BM12" s="4">
        <f t="shared" si="10"/>
        <v>0.19423733356866807</v>
      </c>
      <c r="BN12" s="4">
        <f t="shared" si="10"/>
        <v>0.19433069445959272</v>
      </c>
      <c r="BO12" s="4">
        <f t="shared" si="10"/>
        <v>0.19440077404648762</v>
      </c>
      <c r="BP12" s="4">
        <f t="shared" ref="BP12:BU12" si="11">$F$12*BP8</f>
        <v>0.19440077404648762</v>
      </c>
      <c r="BQ12" s="4">
        <f t="shared" si="11"/>
        <v>0.19407416768183497</v>
      </c>
      <c r="BR12" s="4">
        <f t="shared" si="11"/>
        <v>0.19391127569457203</v>
      </c>
      <c r="BS12" s="4">
        <f t="shared" si="11"/>
        <v>0.17727981269962176</v>
      </c>
      <c r="BT12" s="4">
        <f t="shared" si="11"/>
        <v>0.18088510605355404</v>
      </c>
      <c r="BU12" s="4">
        <f t="shared" si="11"/>
        <v>0.18071142856334421</v>
      </c>
      <c r="BV12" s="4">
        <f t="shared" ref="BV12:CC12" si="12">$F$12*BV8</f>
        <v>0.17607204313220814</v>
      </c>
      <c r="BW12" s="4">
        <f t="shared" si="12"/>
        <v>0.18443424256350213</v>
      </c>
      <c r="BX12" s="4">
        <f t="shared" si="12"/>
        <v>0.18421269992979225</v>
      </c>
      <c r="BY12" s="4">
        <f t="shared" si="12"/>
        <v>0.18799107043598087</v>
      </c>
      <c r="BZ12" s="4">
        <f t="shared" si="12"/>
        <v>0.18812696759533218</v>
      </c>
      <c r="CA12" s="4">
        <f t="shared" si="12"/>
        <v>0.18810430442612419</v>
      </c>
      <c r="CB12" s="4">
        <f t="shared" si="12"/>
        <v>0.18835390000497673</v>
      </c>
      <c r="CC12" s="4">
        <f t="shared" si="12"/>
        <v>0.18835390000497673</v>
      </c>
      <c r="CD12" s="4">
        <f t="shared" ref="CD12:CO12" si="13">$F$12*CD8</f>
        <v>0.17869462136203709</v>
      </c>
      <c r="CE12" s="4">
        <f t="shared" si="13"/>
        <v>0.17856506992074031</v>
      </c>
      <c r="CF12" s="4">
        <f t="shared" si="13"/>
        <v>0.17749273584723119</v>
      </c>
      <c r="CG12" s="4">
        <f t="shared" si="13"/>
        <v>0.17721603533565738</v>
      </c>
      <c r="CH12" s="4">
        <f t="shared" si="13"/>
        <v>0.1775993893359028</v>
      </c>
      <c r="CI12" s="4">
        <f t="shared" si="13"/>
        <v>0.17719478641055716</v>
      </c>
      <c r="CJ12" s="4">
        <f t="shared" si="13"/>
        <v>0.1767497331257083</v>
      </c>
      <c r="CK12" s="4">
        <f t="shared" si="13"/>
        <v>0.18383729644156321</v>
      </c>
      <c r="CL12" s="4">
        <f t="shared" si="13"/>
        <v>0.18366116490006232</v>
      </c>
      <c r="CM12" s="4">
        <f t="shared" si="13"/>
        <v>0.18399168889208403</v>
      </c>
      <c r="CN12" s="4">
        <f t="shared" si="13"/>
        <v>0.17395577858887945</v>
      </c>
      <c r="CO12" s="4">
        <f t="shared" si="13"/>
        <v>0.17395577858887945</v>
      </c>
      <c r="CP12" s="4">
        <f>$F$12*CP8</f>
        <v>0.17395577858887945</v>
      </c>
      <c r="CQ12" s="4">
        <f>$F$12*CQ8</f>
        <v>0.17283602509694959</v>
      </c>
      <c r="CR12" s="4">
        <f t="shared" ref="CR12:CY12" si="14">$F$12*CR8</f>
        <v>0.18053808426736015</v>
      </c>
      <c r="CS12" s="4">
        <f t="shared" si="14"/>
        <v>0.18032187099278846</v>
      </c>
      <c r="CT12" s="4">
        <f t="shared" si="14"/>
        <v>0.18711250222184025</v>
      </c>
      <c r="CU12" s="4">
        <f t="shared" si="14"/>
        <v>0.18706766874820382</v>
      </c>
      <c r="CV12" s="4">
        <f t="shared" si="14"/>
        <v>0.1868885494962606</v>
      </c>
      <c r="CW12" s="4">
        <f t="shared" si="14"/>
        <v>0.18322230906995465</v>
      </c>
      <c r="CX12" s="4">
        <f t="shared" si="14"/>
        <v>0.18315666152102239</v>
      </c>
      <c r="CY12" s="4">
        <f t="shared" si="14"/>
        <v>0.18931946815568718</v>
      </c>
      <c r="CZ12" s="4">
        <f t="shared" ref="CZ12:EA12" si="15">$F$12*CZ8</f>
        <v>0.18929691938625465</v>
      </c>
      <c r="DA12" s="4">
        <f t="shared" si="15"/>
        <v>0.18943229263015421</v>
      </c>
      <c r="DB12" s="4">
        <f t="shared" si="15"/>
        <v>0.18945487366396399</v>
      </c>
      <c r="DC12" s="4">
        <f t="shared" si="15"/>
        <v>0.1743524257504977</v>
      </c>
      <c r="DD12" s="4">
        <f t="shared" si="15"/>
        <v>0.1743524257504977</v>
      </c>
      <c r="DE12" s="4">
        <f t="shared" si="15"/>
        <v>0.16513683347977606</v>
      </c>
      <c r="DF12" s="4">
        <f t="shared" si="15"/>
        <v>0.164978921136023</v>
      </c>
      <c r="DG12" s="4">
        <f t="shared" si="15"/>
        <v>0.16436985283124547</v>
      </c>
      <c r="DH12" s="4">
        <f t="shared" si="15"/>
        <v>0.16749099064466577</v>
      </c>
      <c r="DI12" s="4">
        <f t="shared" si="15"/>
        <v>0.16749099064466577</v>
      </c>
      <c r="DJ12" s="4">
        <f t="shared" si="15"/>
        <v>0.16747107021285743</v>
      </c>
      <c r="DK12" s="4">
        <f t="shared" si="15"/>
        <v>0.16739143584756361</v>
      </c>
      <c r="DL12" s="4">
        <f t="shared" si="15"/>
        <v>0.16683610880920677</v>
      </c>
      <c r="DM12" s="4">
        <f t="shared" si="15"/>
        <v>0.17205665296526762</v>
      </c>
      <c r="DN12" s="4">
        <f t="shared" si="15"/>
        <v>0.17132475653294463</v>
      </c>
      <c r="DO12" s="4">
        <f t="shared" si="15"/>
        <v>0.17778812407483571</v>
      </c>
      <c r="DP12" s="4">
        <f t="shared" si="15"/>
        <v>0.17585124021300427</v>
      </c>
      <c r="DQ12" s="4">
        <f t="shared" si="15"/>
        <v>0.17566486937434236</v>
      </c>
      <c r="DR12" s="4">
        <f t="shared" si="15"/>
        <v>0.17512867700480339</v>
      </c>
      <c r="DS12" s="4">
        <f t="shared" si="15"/>
        <v>0</v>
      </c>
      <c r="DT12" s="4">
        <f t="shared" si="15"/>
        <v>0</v>
      </c>
      <c r="DU12" s="4">
        <f t="shared" si="15"/>
        <v>0</v>
      </c>
      <c r="DV12" s="4">
        <f t="shared" si="15"/>
        <v>0</v>
      </c>
      <c r="DW12" s="4">
        <f t="shared" si="15"/>
        <v>0</v>
      </c>
      <c r="DX12" s="4">
        <f t="shared" si="15"/>
        <v>0</v>
      </c>
      <c r="DY12" s="4">
        <f t="shared" si="15"/>
        <v>0</v>
      </c>
      <c r="DZ12" s="4">
        <f t="shared" si="15"/>
        <v>0</v>
      </c>
      <c r="EA12" s="4">
        <f t="shared" si="15"/>
        <v>0</v>
      </c>
    </row>
    <row r="13" spans="1:144">
      <c r="A13" s="13"/>
      <c r="D13" s="3"/>
      <c r="F13" s="2"/>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row>
    <row r="14" spans="1:144" s="6" customFormat="1">
      <c r="A14" s="38"/>
      <c r="B14" s="6" t="s">
        <v>400</v>
      </c>
      <c r="D14" s="39"/>
      <c r="F14" s="40"/>
      <c r="G14"/>
      <c r="H14" s="82">
        <f t="shared" ref="H14:AM14" si="16">SUM(H11:H13)</f>
        <v>0.94816479227765882</v>
      </c>
      <c r="I14" s="82">
        <f t="shared" si="16"/>
        <v>0.93512764645040436</v>
      </c>
      <c r="J14" s="82">
        <f t="shared" si="16"/>
        <v>0.9258367785294318</v>
      </c>
      <c r="K14" s="82">
        <f t="shared" si="16"/>
        <v>0.74189634861614284</v>
      </c>
      <c r="L14" s="82">
        <f t="shared" si="16"/>
        <v>0.81967959240048915</v>
      </c>
      <c r="M14" s="82">
        <f t="shared" si="16"/>
        <v>0.88683384966345535</v>
      </c>
      <c r="N14" s="82">
        <f t="shared" si="16"/>
        <v>0.85164739695658886</v>
      </c>
      <c r="O14" s="82">
        <f t="shared" si="16"/>
        <v>0.83662357358649575</v>
      </c>
      <c r="P14" s="82">
        <f t="shared" si="16"/>
        <v>0.89293858067658616</v>
      </c>
      <c r="Q14" s="82">
        <f t="shared" si="16"/>
        <v>0.90281872304972888</v>
      </c>
      <c r="R14" s="82">
        <f t="shared" si="16"/>
        <v>0.92690806237875956</v>
      </c>
      <c r="S14" s="82">
        <f t="shared" si="16"/>
        <v>0.95793361584224601</v>
      </c>
      <c r="T14" s="82">
        <f t="shared" si="16"/>
        <v>0.96506087046499978</v>
      </c>
      <c r="U14" s="82">
        <f t="shared" si="16"/>
        <v>0.93934455443050735</v>
      </c>
      <c r="V14" s="82">
        <f t="shared" si="16"/>
        <v>1.082860435242557</v>
      </c>
      <c r="W14" s="82">
        <f t="shared" si="16"/>
        <v>1.0827123381889687</v>
      </c>
      <c r="X14" s="82">
        <f t="shared" si="16"/>
        <v>1.0295656957473107</v>
      </c>
      <c r="Y14" s="82">
        <f t="shared" si="16"/>
        <v>0.95142079465134755</v>
      </c>
      <c r="Z14" s="82">
        <f t="shared" si="16"/>
        <v>1.0043661688407295</v>
      </c>
      <c r="AA14" s="82">
        <f t="shared" si="16"/>
        <v>1.0607277867723912</v>
      </c>
      <c r="AB14" s="82">
        <f t="shared" si="16"/>
        <v>1.0741636485469339</v>
      </c>
      <c r="AC14" s="82">
        <f t="shared" si="16"/>
        <v>1.3270446911665816</v>
      </c>
      <c r="AD14" s="82">
        <f t="shared" si="16"/>
        <v>1.086374315690871</v>
      </c>
      <c r="AE14" s="82">
        <f t="shared" si="16"/>
        <v>1.0847668867793439</v>
      </c>
      <c r="AF14" s="82">
        <f t="shared" si="16"/>
        <v>1.0835558250824715</v>
      </c>
      <c r="AG14" s="82">
        <f t="shared" si="16"/>
        <v>1.2860286420958458</v>
      </c>
      <c r="AH14" s="82">
        <f t="shared" si="16"/>
        <v>1.3021024990768881</v>
      </c>
      <c r="AI14" s="82">
        <f t="shared" si="16"/>
        <v>1.2825397781680035</v>
      </c>
      <c r="AJ14" s="82">
        <f t="shared" si="16"/>
        <v>1.2070131786804084</v>
      </c>
      <c r="AK14" s="82">
        <f t="shared" si="16"/>
        <v>1.125224217652973</v>
      </c>
      <c r="AL14" s="82">
        <f t="shared" si="16"/>
        <v>1.003524215415188</v>
      </c>
      <c r="AM14" s="82">
        <f t="shared" si="16"/>
        <v>0.99189400074780787</v>
      </c>
      <c r="AN14" s="82">
        <f t="shared" ref="AN14:BI14" si="17">SUM(AN11:AN13)</f>
        <v>1.0658300725824814</v>
      </c>
      <c r="AO14" s="82">
        <f t="shared" si="17"/>
        <v>1.0314678116417917</v>
      </c>
      <c r="AP14" s="82">
        <f t="shared" si="17"/>
        <v>0.99647215405430423</v>
      </c>
      <c r="AQ14" s="82">
        <f t="shared" si="17"/>
        <v>0.99423272221123349</v>
      </c>
      <c r="AR14" s="82">
        <f t="shared" si="17"/>
        <v>0.92579037669982633</v>
      </c>
      <c r="AS14" s="82">
        <f t="shared" si="17"/>
        <v>0.97447866872371625</v>
      </c>
      <c r="AT14" s="27">
        <f t="shared" si="17"/>
        <v>1.0041727517271783</v>
      </c>
      <c r="AU14" s="27">
        <f t="shared" si="17"/>
        <v>0.94119826033988596</v>
      </c>
      <c r="AV14" s="27">
        <f t="shared" si="17"/>
        <v>0.97292521929122</v>
      </c>
      <c r="AW14" s="27">
        <f t="shared" si="17"/>
        <v>0.77708217985354533</v>
      </c>
      <c r="AX14" s="82">
        <f t="shared" si="17"/>
        <v>0.77720762983902569</v>
      </c>
      <c r="AY14" s="27">
        <f t="shared" si="17"/>
        <v>0.77775336322682354</v>
      </c>
      <c r="AZ14" s="82">
        <f t="shared" si="17"/>
        <v>0.77830256074257131</v>
      </c>
      <c r="BA14" s="82">
        <f t="shared" si="17"/>
        <v>0.7778085255039725</v>
      </c>
      <c r="BB14" s="82">
        <f t="shared" si="17"/>
        <v>0.77679536660466542</v>
      </c>
      <c r="BC14" s="82">
        <f t="shared" si="17"/>
        <v>0.77596319175265638</v>
      </c>
      <c r="BD14" s="82">
        <f t="shared" si="17"/>
        <v>0.77596319175265638</v>
      </c>
      <c r="BE14" s="82">
        <f t="shared" si="17"/>
        <v>0.77715460205413267</v>
      </c>
      <c r="BF14" s="82">
        <f t="shared" si="17"/>
        <v>0.80666983520985103</v>
      </c>
      <c r="BG14" s="82">
        <f t="shared" si="17"/>
        <v>0.80016434011362714</v>
      </c>
      <c r="BH14" s="82">
        <f t="shared" si="17"/>
        <v>0.82200229361089994</v>
      </c>
      <c r="BI14" s="82">
        <f t="shared" si="17"/>
        <v>0.82134930881611967</v>
      </c>
      <c r="BJ14" s="82">
        <f t="shared" ref="BJ14:BO14" si="18">SUM(BJ11:BJ13)</f>
        <v>0.84823241639081015</v>
      </c>
      <c r="BK14" s="82">
        <f t="shared" si="18"/>
        <v>0.84816359470964087</v>
      </c>
      <c r="BL14" s="82">
        <f t="shared" si="18"/>
        <v>0.84175306044771281</v>
      </c>
      <c r="BM14" s="82">
        <f t="shared" si="18"/>
        <v>0.87756043442001053</v>
      </c>
      <c r="BN14" s="82">
        <f t="shared" si="18"/>
        <v>0.85804476616882652</v>
      </c>
      <c r="BO14" s="82">
        <f t="shared" si="18"/>
        <v>0.85811484575572139</v>
      </c>
      <c r="BP14" s="82">
        <f t="shared" ref="BP14:BU14" si="19">SUM(BP11:BP13)</f>
        <v>0.85811484575572139</v>
      </c>
      <c r="BQ14" s="82">
        <f t="shared" si="19"/>
        <v>0.85778823939106874</v>
      </c>
      <c r="BR14" s="82">
        <f t="shared" si="19"/>
        <v>0.83115784576660867</v>
      </c>
      <c r="BS14" s="82">
        <f t="shared" si="19"/>
        <v>0.81452638277165845</v>
      </c>
      <c r="BT14" s="82">
        <f t="shared" si="19"/>
        <v>0.83501462471760113</v>
      </c>
      <c r="BU14" s="82">
        <f t="shared" si="19"/>
        <v>0.83496354873361278</v>
      </c>
      <c r="BV14" s="82">
        <f t="shared" ref="BV14:CC14" si="20">SUM(BV11:BV13)</f>
        <v>0.83032416330247671</v>
      </c>
      <c r="BW14" s="82">
        <f t="shared" si="20"/>
        <v>0.83868636273377073</v>
      </c>
      <c r="BX14" s="82">
        <f t="shared" si="20"/>
        <v>0.83846482010006085</v>
      </c>
      <c r="BY14" s="82">
        <f t="shared" si="20"/>
        <v>0.8493324424071661</v>
      </c>
      <c r="BZ14" s="82">
        <f t="shared" si="20"/>
        <v>0.84946833956651746</v>
      </c>
      <c r="CA14" s="82">
        <f t="shared" si="20"/>
        <v>0.8494456763973095</v>
      </c>
      <c r="CB14" s="82">
        <f t="shared" si="20"/>
        <v>0.84969527197616201</v>
      </c>
      <c r="CC14" s="82">
        <f t="shared" si="20"/>
        <v>0.84969527197616201</v>
      </c>
      <c r="CD14" s="82">
        <f t="shared" ref="CD14:CO14" si="21">SUM(CD11:CD13)</f>
        <v>0.84605067899137565</v>
      </c>
      <c r="CE14" s="82">
        <f t="shared" si="21"/>
        <v>0.84592112755007887</v>
      </c>
      <c r="CF14" s="82">
        <f t="shared" si="21"/>
        <v>0.84484879347656983</v>
      </c>
      <c r="CG14" s="82">
        <f t="shared" si="21"/>
        <v>0.85328401176001889</v>
      </c>
      <c r="CH14" s="82">
        <f t="shared" si="21"/>
        <v>0.85366736576026436</v>
      </c>
      <c r="CI14" s="82">
        <f t="shared" si="21"/>
        <v>0.85326276283491875</v>
      </c>
      <c r="CJ14" s="82">
        <f t="shared" si="21"/>
        <v>0.85281770955006986</v>
      </c>
      <c r="CK14" s="82">
        <f t="shared" si="21"/>
        <v>0.87126394182466738</v>
      </c>
      <c r="CL14" s="82">
        <f t="shared" si="21"/>
        <v>0.89224017603300276</v>
      </c>
      <c r="CM14" s="82">
        <f t="shared" si="21"/>
        <v>0.87141833427518822</v>
      </c>
      <c r="CN14" s="82">
        <f t="shared" si="21"/>
        <v>0.86138242397198361</v>
      </c>
      <c r="CO14" s="82">
        <f t="shared" si="21"/>
        <v>0.86138242397198361</v>
      </c>
      <c r="CP14" s="82">
        <f>SUM(CP11:CP13)</f>
        <v>0.86138242397198361</v>
      </c>
      <c r="CQ14" s="82">
        <f>SUM(CQ11:CQ13)</f>
        <v>0.85104592195353113</v>
      </c>
      <c r="CR14" s="82">
        <f t="shared" ref="CR14:CY14" si="22">SUM(CR11:CR13)</f>
        <v>0.85874798112394168</v>
      </c>
      <c r="CS14" s="82">
        <f t="shared" si="22"/>
        <v>0.85853176784937002</v>
      </c>
      <c r="CT14" s="82">
        <f t="shared" si="22"/>
        <v>0.84864859423231831</v>
      </c>
      <c r="CU14" s="82">
        <f t="shared" si="22"/>
        <v>0.84860376075868182</v>
      </c>
      <c r="CV14" s="82">
        <f t="shared" si="22"/>
        <v>0.84842464150673869</v>
      </c>
      <c r="CW14" s="82">
        <f t="shared" si="22"/>
        <v>0.84475840108043265</v>
      </c>
      <c r="CX14" s="82">
        <f t="shared" si="22"/>
        <v>0.86584511928133678</v>
      </c>
      <c r="CY14" s="82">
        <f t="shared" si="22"/>
        <v>0.87200792591600162</v>
      </c>
      <c r="CZ14" s="82">
        <f t="shared" ref="CZ14:EA14" si="23">SUM(CZ11:CZ13)</f>
        <v>0.8719853771465691</v>
      </c>
      <c r="DA14" s="82">
        <f t="shared" si="23"/>
        <v>0.87212075039046866</v>
      </c>
      <c r="DB14" s="82">
        <f t="shared" si="23"/>
        <v>0.87221544995734968</v>
      </c>
      <c r="DC14" s="82">
        <f t="shared" si="23"/>
        <v>0.87041887139555341</v>
      </c>
      <c r="DD14" s="82">
        <f t="shared" si="23"/>
        <v>0.87041887139555341</v>
      </c>
      <c r="DE14" s="82">
        <f t="shared" si="23"/>
        <v>0.86120327912483174</v>
      </c>
      <c r="DF14" s="82">
        <f t="shared" si="23"/>
        <v>0.86104536678107868</v>
      </c>
      <c r="DG14" s="82">
        <f t="shared" si="23"/>
        <v>0.867785176996275</v>
      </c>
      <c r="DH14" s="82">
        <f t="shared" si="23"/>
        <v>0.87090631480969527</v>
      </c>
      <c r="DI14" s="82">
        <f t="shared" si="23"/>
        <v>0.87500264748814971</v>
      </c>
      <c r="DJ14" s="82">
        <f t="shared" si="23"/>
        <v>0.87498272705634139</v>
      </c>
      <c r="DK14" s="82">
        <f t="shared" si="23"/>
        <v>0.87490309269104749</v>
      </c>
      <c r="DL14" s="82">
        <f t="shared" si="23"/>
        <v>0.87393669001418384</v>
      </c>
      <c r="DM14" s="82">
        <f t="shared" si="23"/>
        <v>0.87915723417024472</v>
      </c>
      <c r="DN14" s="82">
        <f t="shared" si="23"/>
        <v>0.85943652798022696</v>
      </c>
      <c r="DO14" s="82">
        <f t="shared" si="23"/>
        <v>0.86589989552211799</v>
      </c>
      <c r="DP14" s="82">
        <f t="shared" si="23"/>
        <v>0.86396301166028655</v>
      </c>
      <c r="DQ14" s="82">
        <f t="shared" si="23"/>
        <v>0.86377664082162464</v>
      </c>
      <c r="DR14" s="82">
        <f t="shared" si="23"/>
        <v>0.86388951524972812</v>
      </c>
      <c r="DS14" s="82">
        <f t="shared" si="23"/>
        <v>0</v>
      </c>
      <c r="DT14" s="82">
        <f t="shared" si="23"/>
        <v>0</v>
      </c>
      <c r="DU14" s="82">
        <f t="shared" si="23"/>
        <v>0</v>
      </c>
      <c r="DV14" s="82">
        <f t="shared" si="23"/>
        <v>0</v>
      </c>
      <c r="DW14" s="82">
        <f t="shared" si="23"/>
        <v>0</v>
      </c>
      <c r="DX14" s="82">
        <f t="shared" si="23"/>
        <v>0</v>
      </c>
      <c r="DY14" s="82">
        <f t="shared" si="23"/>
        <v>0</v>
      </c>
      <c r="DZ14" s="82">
        <f t="shared" si="23"/>
        <v>0</v>
      </c>
      <c r="EA14" s="82">
        <f t="shared" si="23"/>
        <v>0</v>
      </c>
    </row>
    <row r="15" spans="1:144" hidden="1">
      <c r="A15" s="1"/>
      <c r="B15" t="s">
        <v>499</v>
      </c>
      <c r="H15" s="5" t="e">
        <f>#REF!*110%</f>
        <v>#REF!</v>
      </c>
      <c r="I15" s="5" t="e">
        <f>#REF!*110%</f>
        <v>#REF!</v>
      </c>
      <c r="J15" s="5" t="e">
        <f>#REF!*110%</f>
        <v>#REF!</v>
      </c>
      <c r="K15" s="5" t="e">
        <f>#REF!*110%</f>
        <v>#REF!</v>
      </c>
      <c r="L15" s="5" t="e">
        <f>#REF!*110%</f>
        <v>#REF!</v>
      </c>
      <c r="M15" s="5" t="e">
        <f>#REF!*110%</f>
        <v>#REF!</v>
      </c>
      <c r="N15" s="5" t="e">
        <f>#REF!*110%</f>
        <v>#REF!</v>
      </c>
      <c r="O15" s="5" t="e">
        <f>#REF!*110%</f>
        <v>#REF!</v>
      </c>
      <c r="P15" s="5" t="e">
        <f>#REF!*110%</f>
        <v>#REF!</v>
      </c>
      <c r="Q15" s="5" t="e">
        <f>#REF!*110%</f>
        <v>#REF!</v>
      </c>
      <c r="R15" s="5" t="e">
        <f>#REF!*110%</f>
        <v>#REF!</v>
      </c>
      <c r="S15" s="5" t="e">
        <f>#REF!*110%</f>
        <v>#REF!</v>
      </c>
      <c r="T15" s="5" t="e">
        <f>#REF!*110%</f>
        <v>#REF!</v>
      </c>
      <c r="U15" s="5" t="e">
        <f>#REF!*110%</f>
        <v>#REF!</v>
      </c>
    </row>
    <row r="16" spans="1:144">
      <c r="A16" s="1"/>
      <c r="H16" s="5"/>
      <c r="I16" s="5"/>
      <c r="J16" s="5"/>
      <c r="K16" s="5"/>
      <c r="L16" s="5"/>
      <c r="M16" s="5"/>
      <c r="N16" s="5"/>
      <c r="O16" s="5"/>
      <c r="P16" s="5"/>
      <c r="Q16" s="5"/>
      <c r="R16" s="5"/>
      <c r="S16" s="5"/>
      <c r="T16" s="5"/>
      <c r="U16" s="5"/>
    </row>
    <row r="17" spans="1:131" s="43" customFormat="1">
      <c r="A17" s="10" t="s">
        <v>500</v>
      </c>
      <c r="B17" s="43" t="s">
        <v>501</v>
      </c>
      <c r="G17" t="s">
        <v>429</v>
      </c>
      <c r="H17" s="83">
        <v>0.79</v>
      </c>
      <c r="I17" s="83"/>
      <c r="J17" s="83"/>
      <c r="K17" s="83"/>
      <c r="L17" s="83"/>
      <c r="M17" s="83">
        <v>0.8</v>
      </c>
      <c r="N17" s="83"/>
      <c r="O17" s="83"/>
      <c r="P17" s="83"/>
      <c r="Q17" s="83">
        <v>0.88</v>
      </c>
      <c r="R17" s="83"/>
      <c r="S17" s="83"/>
      <c r="T17" s="83"/>
      <c r="U17" s="49"/>
      <c r="V17" s="43">
        <v>2.89</v>
      </c>
      <c r="Y17" s="87">
        <v>1.4106962197443567</v>
      </c>
      <c r="Z17" s="87">
        <v>1.6206413524755132</v>
      </c>
      <c r="AA17" s="87">
        <v>1.5840614886731392</v>
      </c>
      <c r="AB17" s="87">
        <v>1.5888001359619306</v>
      </c>
      <c r="AC17" s="87">
        <v>2.72</v>
      </c>
      <c r="AE17" s="43">
        <v>2</v>
      </c>
      <c r="AF17" s="43">
        <v>2.13</v>
      </c>
      <c r="AG17" s="43">
        <v>2.1</v>
      </c>
      <c r="AH17" s="43">
        <v>1.94</v>
      </c>
      <c r="AI17" s="43">
        <v>1.98</v>
      </c>
      <c r="AJ17" s="43">
        <v>1.91</v>
      </c>
      <c r="AK17" s="43">
        <v>1.9</v>
      </c>
      <c r="AL17" s="43">
        <v>1.25</v>
      </c>
      <c r="AM17" s="43">
        <v>1.54</v>
      </c>
      <c r="AO17" s="43">
        <v>1.33</v>
      </c>
      <c r="AP17" s="43">
        <v>1.1000000000000001</v>
      </c>
      <c r="AR17" s="43">
        <v>1</v>
      </c>
      <c r="AS17" s="43">
        <v>1.3</v>
      </c>
      <c r="AT17" s="43">
        <v>0.98</v>
      </c>
      <c r="AV17" s="43">
        <v>1.18</v>
      </c>
      <c r="AX17" s="87">
        <v>1</v>
      </c>
      <c r="BB17" s="43">
        <v>1.18</v>
      </c>
      <c r="BF17" s="43">
        <v>1.21</v>
      </c>
      <c r="BJ17" s="43">
        <v>1.17</v>
      </c>
      <c r="BZ17" s="43">
        <v>1.34</v>
      </c>
      <c r="CD17" s="43">
        <v>1.31</v>
      </c>
      <c r="CL17" s="43">
        <v>1.35</v>
      </c>
      <c r="CY17" s="43">
        <v>1.3</v>
      </c>
      <c r="DC17" s="43">
        <v>1.1499999999999999</v>
      </c>
      <c r="DG17" s="43">
        <v>1.01</v>
      </c>
      <c r="DP17" s="43">
        <v>0.87</v>
      </c>
    </row>
    <row r="18" spans="1:131">
      <c r="B18" s="331" t="s">
        <v>500</v>
      </c>
      <c r="G18" s="73" t="s">
        <v>406</v>
      </c>
      <c r="H18" s="4">
        <f>H17-H14</f>
        <v>-0.15816479227765878</v>
      </c>
      <c r="M18" s="4">
        <f>M17-M14</f>
        <v>-8.6833849663455309E-2</v>
      </c>
      <c r="Q18" s="4">
        <f>Q17-Q14</f>
        <v>-2.2818723049728873E-2</v>
      </c>
      <c r="V18" s="4">
        <f>V17-V14</f>
        <v>1.8071395647574431</v>
      </c>
      <c r="Y18" s="4">
        <f>Y17-Y14</f>
        <v>0.45927542509300912</v>
      </c>
      <c r="Z18" s="4">
        <f t="shared" ref="Z18:AE18" si="24">Z17-Z14</f>
        <v>0.61627518363478373</v>
      </c>
      <c r="AA18" s="4">
        <f t="shared" si="24"/>
        <v>0.52333370190074802</v>
      </c>
      <c r="AB18" s="4">
        <f t="shared" si="24"/>
        <v>0.51463648741499668</v>
      </c>
      <c r="AC18" s="4">
        <f t="shared" si="24"/>
        <v>1.3929553088334186</v>
      </c>
      <c r="AE18" s="4">
        <f t="shared" si="24"/>
        <v>0.91523311322065615</v>
      </c>
      <c r="AF18" s="4">
        <f t="shared" ref="AF18:AL18" si="25">AF17-AF14</f>
        <v>1.0464441749175284</v>
      </c>
      <c r="AG18" s="4">
        <f t="shared" si="25"/>
        <v>0.81397135790415431</v>
      </c>
      <c r="AH18" s="4">
        <f t="shared" si="25"/>
        <v>0.63789750092311182</v>
      </c>
      <c r="AI18" s="4">
        <f t="shared" si="25"/>
        <v>0.69746022183199652</v>
      </c>
      <c r="AJ18" s="4">
        <f t="shared" si="25"/>
        <v>0.70298682131959156</v>
      </c>
      <c r="AK18" s="4">
        <f t="shared" si="25"/>
        <v>0.77477578234702693</v>
      </c>
      <c r="AL18" s="4">
        <f t="shared" si="25"/>
        <v>0.24647578458481201</v>
      </c>
      <c r="AM18" s="4">
        <f t="shared" ref="AM18:AX18" si="26">AM17-AM14</f>
        <v>0.54810599925219217</v>
      </c>
      <c r="AO18" s="4">
        <f t="shared" si="26"/>
        <v>0.29853218835820838</v>
      </c>
      <c r="AP18" s="4">
        <f t="shared" si="26"/>
        <v>0.10352784594569586</v>
      </c>
      <c r="AR18" s="4">
        <f t="shared" si="26"/>
        <v>7.4209623300173666E-2</v>
      </c>
      <c r="AS18" s="4">
        <f t="shared" si="26"/>
        <v>0.3255213312762838</v>
      </c>
      <c r="AT18" s="4">
        <f t="shared" si="26"/>
        <v>-2.4172751727178365E-2</v>
      </c>
      <c r="AV18" s="4">
        <f t="shared" si="26"/>
        <v>0.20707478070877994</v>
      </c>
      <c r="AX18" s="4">
        <f t="shared" si="26"/>
        <v>0.22279237016097431</v>
      </c>
      <c r="BB18" s="4">
        <f t="shared" ref="BB18" si="27">BB17-BB14</f>
        <v>0.40320463339533452</v>
      </c>
      <c r="BF18" s="4">
        <f t="shared" ref="BF18" si="28">BF17-BF14</f>
        <v>0.40333016479014894</v>
      </c>
      <c r="BJ18" s="4">
        <f t="shared" ref="BJ18" si="29">BJ17-BJ14</f>
        <v>0.32176758360918978</v>
      </c>
      <c r="BZ18" s="2">
        <f>BZ17-BZ14</f>
        <v>0.49053166043348262</v>
      </c>
      <c r="CD18" s="2">
        <f>CD17-CD14</f>
        <v>0.4639493210086244</v>
      </c>
      <c r="CL18" s="2">
        <f>CL17-CL14</f>
        <v>0.45775982396699733</v>
      </c>
      <c r="CY18" s="2">
        <f>CY17-CY14</f>
        <v>0.42799207408399842</v>
      </c>
      <c r="DC18" s="2">
        <f>DC17-DC14</f>
        <v>0.2795811286044465</v>
      </c>
      <c r="DG18" s="2">
        <f>DG17-DG14</f>
        <v>0.14221482300372501</v>
      </c>
      <c r="DP18" s="2">
        <f>DP17-DP14</f>
        <v>6.036988339713445E-3</v>
      </c>
    </row>
    <row r="20" spans="1:131" ht="16" thickBot="1"/>
    <row r="21" spans="1:131" s="156" customFormat="1" ht="16" thickBot="1">
      <c r="G21" s="154" t="s">
        <v>407</v>
      </c>
      <c r="H21" s="155">
        <f>0.07+H14</f>
        <v>1.0181647922776589</v>
      </c>
      <c r="I21" s="155">
        <f t="shared" ref="I21:Y21" si="30">0.07+I14</f>
        <v>1.0051276464504044</v>
      </c>
      <c r="J21" s="155">
        <f t="shared" si="30"/>
        <v>0.99583677852943175</v>
      </c>
      <c r="K21" s="155">
        <f t="shared" si="30"/>
        <v>0.81189634861614279</v>
      </c>
      <c r="L21" s="155">
        <f t="shared" si="30"/>
        <v>0.88967959240048922</v>
      </c>
      <c r="M21" s="155">
        <f t="shared" si="30"/>
        <v>0.95683384966345542</v>
      </c>
      <c r="N21" s="155">
        <f>0.07+N14</f>
        <v>0.92164739695658882</v>
      </c>
      <c r="O21" s="155">
        <f t="shared" si="30"/>
        <v>0.90662357358649581</v>
      </c>
      <c r="P21" s="155">
        <f t="shared" si="30"/>
        <v>0.96293858067658622</v>
      </c>
      <c r="Q21" s="155">
        <f t="shared" si="30"/>
        <v>0.97281872304972894</v>
      </c>
      <c r="R21" s="155">
        <f>0.07+R14</f>
        <v>0.99690806237875962</v>
      </c>
      <c r="S21" s="155">
        <f t="shared" si="30"/>
        <v>1.0279336158422461</v>
      </c>
      <c r="T21" s="155">
        <f t="shared" si="30"/>
        <v>1.0350608704649997</v>
      </c>
      <c r="U21" s="155">
        <f t="shared" si="30"/>
        <v>1.0093445544305073</v>
      </c>
      <c r="V21" s="155">
        <f t="shared" si="30"/>
        <v>1.1528604352425571</v>
      </c>
      <c r="W21" s="155">
        <f>0.07+W14</f>
        <v>1.1527123381889688</v>
      </c>
      <c r="X21" s="155">
        <f t="shared" si="30"/>
        <v>1.0995656957473108</v>
      </c>
      <c r="Y21" s="155">
        <f t="shared" si="30"/>
        <v>1.0214207946513476</v>
      </c>
      <c r="Z21" s="155">
        <f>0.07+Z14</f>
        <v>1.0743661688407296</v>
      </c>
      <c r="AA21" s="155">
        <f>0.07+AA14</f>
        <v>1.1307277867723913</v>
      </c>
      <c r="AB21" s="155">
        <f t="shared" ref="AB21:AM21" si="31">0.07+AB14</f>
        <v>1.144163648546934</v>
      </c>
      <c r="AC21" s="155">
        <f t="shared" si="31"/>
        <v>1.3970446911665817</v>
      </c>
      <c r="AD21" s="155">
        <f t="shared" si="31"/>
        <v>1.156374315690871</v>
      </c>
      <c r="AE21" s="155">
        <f t="shared" si="31"/>
        <v>1.1547668867793439</v>
      </c>
      <c r="AF21" s="155">
        <f t="shared" si="31"/>
        <v>1.1535558250824716</v>
      </c>
      <c r="AG21" s="155">
        <f>0.07+AG14</f>
        <v>1.3560286420958458</v>
      </c>
      <c r="AH21" s="155">
        <f t="shared" si="31"/>
        <v>1.3721024990768882</v>
      </c>
      <c r="AI21" s="155">
        <f t="shared" si="31"/>
        <v>1.3525397781680035</v>
      </c>
      <c r="AJ21" s="155">
        <f t="shared" si="31"/>
        <v>1.2770131786804084</v>
      </c>
      <c r="AK21" s="155">
        <f>0.07+AK14</f>
        <v>1.195224217652973</v>
      </c>
      <c r="AL21" s="155">
        <f t="shared" si="31"/>
        <v>1.0735242154151881</v>
      </c>
      <c r="AM21" s="155">
        <f t="shared" si="31"/>
        <v>1.0618940007478079</v>
      </c>
      <c r="AN21" s="155">
        <f>0.07+AN14</f>
        <v>1.1358300725824815</v>
      </c>
      <c r="AO21" s="155">
        <f>0.07+AO14</f>
        <v>1.1014678116417917</v>
      </c>
      <c r="AP21" s="155">
        <f>0.07+AP14</f>
        <v>1.0664721540543043</v>
      </c>
      <c r="AQ21" s="155">
        <f>0.07+AQ14</f>
        <v>1.0642327222112336</v>
      </c>
      <c r="AR21" s="155">
        <f t="shared" ref="AR21:BE21" si="32">0.07+AR14</f>
        <v>0.9957903766998264</v>
      </c>
      <c r="AS21" s="155">
        <f t="shared" si="32"/>
        <v>1.0444786687237162</v>
      </c>
      <c r="AT21" s="155">
        <f t="shared" si="32"/>
        <v>1.0741727517271784</v>
      </c>
      <c r="AU21" s="155">
        <f t="shared" si="32"/>
        <v>1.0111982603398859</v>
      </c>
      <c r="AV21" s="155">
        <f t="shared" si="32"/>
        <v>1.04292521929122</v>
      </c>
      <c r="AW21" s="155">
        <f t="shared" si="32"/>
        <v>0.84708217985354528</v>
      </c>
      <c r="AX21" s="155">
        <f t="shared" si="32"/>
        <v>0.84720762983902564</v>
      </c>
      <c r="AY21" s="155">
        <f t="shared" si="32"/>
        <v>0.84775336322682349</v>
      </c>
      <c r="AZ21" s="155">
        <f t="shared" si="32"/>
        <v>0.84830256074257138</v>
      </c>
      <c r="BA21" s="155">
        <f t="shared" si="32"/>
        <v>0.84780852550397245</v>
      </c>
      <c r="BB21" s="155">
        <f t="shared" si="32"/>
        <v>0.84679536660466548</v>
      </c>
      <c r="BC21" s="155">
        <f t="shared" si="32"/>
        <v>0.84596319175265644</v>
      </c>
      <c r="BD21" s="155">
        <f t="shared" si="32"/>
        <v>0.84596319175265644</v>
      </c>
      <c r="BE21" s="155">
        <f t="shared" si="32"/>
        <v>0.84715460205413273</v>
      </c>
      <c r="BF21" s="155">
        <f>0.07+BF14</f>
        <v>0.87666983520985098</v>
      </c>
      <c r="BG21" s="155">
        <f>0.07+BG14</f>
        <v>0.8701643401136272</v>
      </c>
      <c r="BH21" s="155">
        <f>0.07+BH14</f>
        <v>0.8920022936109</v>
      </c>
      <c r="BI21" s="155">
        <f>0.07+BI14</f>
        <v>0.89134930881611973</v>
      </c>
      <c r="BJ21" s="155">
        <f t="shared" ref="BJ21:BX21" si="33">0.07+BJ14</f>
        <v>0.91823241639081021</v>
      </c>
      <c r="BK21" s="155">
        <f t="shared" si="33"/>
        <v>0.91816359470964093</v>
      </c>
      <c r="BL21" s="155">
        <f t="shared" si="33"/>
        <v>0.91175306044771287</v>
      </c>
      <c r="BM21" s="155">
        <f t="shared" si="33"/>
        <v>0.94756043442001059</v>
      </c>
      <c r="BN21" s="155">
        <f t="shared" si="33"/>
        <v>0.92804476616882647</v>
      </c>
      <c r="BO21" s="155">
        <f t="shared" si="33"/>
        <v>0.92811484575572134</v>
      </c>
      <c r="BP21" s="155">
        <f t="shared" si="33"/>
        <v>0.92811484575572134</v>
      </c>
      <c r="BQ21" s="155">
        <f t="shared" si="33"/>
        <v>0.9277882393910688</v>
      </c>
      <c r="BR21" s="155">
        <f t="shared" si="33"/>
        <v>0.90115784576660873</v>
      </c>
      <c r="BS21" s="155">
        <f t="shared" si="33"/>
        <v>0.88452638277165851</v>
      </c>
      <c r="BT21" s="155">
        <f t="shared" si="33"/>
        <v>0.90501462471760119</v>
      </c>
      <c r="BU21" s="155">
        <f t="shared" si="33"/>
        <v>0.90496354873361273</v>
      </c>
      <c r="BV21" s="155">
        <f t="shared" si="33"/>
        <v>0.90032416330247678</v>
      </c>
      <c r="BW21" s="155">
        <f t="shared" si="33"/>
        <v>0.90868636273377068</v>
      </c>
      <c r="BX21" s="155">
        <f t="shared" si="33"/>
        <v>0.90846482010006091</v>
      </c>
      <c r="BY21" s="155">
        <f t="shared" ref="BY21:CO21" si="34">0.07+BY14</f>
        <v>0.91933244240716605</v>
      </c>
      <c r="BZ21" s="155">
        <f t="shared" si="34"/>
        <v>0.91946833956651752</v>
      </c>
      <c r="CA21" s="155">
        <f t="shared" si="34"/>
        <v>0.91944567639730956</v>
      </c>
      <c r="CB21" s="155">
        <f t="shared" si="34"/>
        <v>0.91969527197616197</v>
      </c>
      <c r="CC21" s="155">
        <f t="shared" si="34"/>
        <v>0.91969527197616197</v>
      </c>
      <c r="CD21" s="155">
        <f t="shared" si="34"/>
        <v>0.9160506789913756</v>
      </c>
      <c r="CE21" s="155">
        <f t="shared" si="34"/>
        <v>0.91592112755007893</v>
      </c>
      <c r="CF21" s="155">
        <f t="shared" si="34"/>
        <v>0.91484879347656989</v>
      </c>
      <c r="CG21" s="155">
        <f t="shared" si="34"/>
        <v>0.92328401176001895</v>
      </c>
      <c r="CH21" s="155">
        <f t="shared" si="34"/>
        <v>0.92366736576026431</v>
      </c>
      <c r="CI21" s="155">
        <f t="shared" si="34"/>
        <v>0.92326276283491882</v>
      </c>
      <c r="CJ21" s="155">
        <f t="shared" si="34"/>
        <v>0.92281770955006981</v>
      </c>
      <c r="CK21" s="155">
        <f t="shared" si="34"/>
        <v>0.94126394182466733</v>
      </c>
      <c r="CL21" s="155">
        <f t="shared" si="34"/>
        <v>0.96224017603300283</v>
      </c>
      <c r="CM21" s="155">
        <f t="shared" si="34"/>
        <v>0.94141833427518828</v>
      </c>
      <c r="CN21" s="155">
        <f t="shared" si="34"/>
        <v>0.93138242397198368</v>
      </c>
      <c r="CO21" s="155">
        <f t="shared" si="34"/>
        <v>0.93138242397198368</v>
      </c>
      <c r="CP21" s="155">
        <f>0.07+CP14</f>
        <v>0.93138242397198368</v>
      </c>
      <c r="CQ21" s="155">
        <f>0.07+CQ14</f>
        <v>0.92104592195353119</v>
      </c>
      <c r="CR21" s="155">
        <f t="shared" ref="CR21:CY21" si="35">0.07+CR14</f>
        <v>0.92874798112394163</v>
      </c>
      <c r="CS21" s="155">
        <f t="shared" si="35"/>
        <v>0.92853176784937008</v>
      </c>
      <c r="CT21" s="155">
        <f t="shared" si="35"/>
        <v>0.91864859423231837</v>
      </c>
      <c r="CU21" s="155">
        <f>0.07+CU14</f>
        <v>0.91860376075868189</v>
      </c>
      <c r="CV21" s="155">
        <f t="shared" si="35"/>
        <v>0.91842464150673875</v>
      </c>
      <c r="CW21" s="155">
        <f t="shared" si="35"/>
        <v>0.9147584010804326</v>
      </c>
      <c r="CX21" s="155">
        <f t="shared" si="35"/>
        <v>0.93584511928133685</v>
      </c>
      <c r="CY21" s="155">
        <f t="shared" si="35"/>
        <v>0.94200792591600169</v>
      </c>
      <c r="CZ21" s="155">
        <f t="shared" ref="CZ21:EA21" si="36">0.07+CZ14</f>
        <v>0.94198537714656916</v>
      </c>
      <c r="DA21" s="155">
        <f t="shared" si="36"/>
        <v>0.94212075039046872</v>
      </c>
      <c r="DB21" s="155">
        <f t="shared" si="36"/>
        <v>0.94221544995734963</v>
      </c>
      <c r="DC21" s="155">
        <f t="shared" si="36"/>
        <v>0.94041887139555347</v>
      </c>
      <c r="DD21" s="155">
        <f t="shared" si="36"/>
        <v>0.94041887139555347</v>
      </c>
      <c r="DE21" s="155">
        <f t="shared" si="36"/>
        <v>0.9312032791248317</v>
      </c>
      <c r="DF21" s="155">
        <f t="shared" si="36"/>
        <v>0.93104536678107874</v>
      </c>
      <c r="DG21" s="155">
        <f t="shared" si="36"/>
        <v>0.93778517699627506</v>
      </c>
      <c r="DH21" s="155">
        <f t="shared" si="36"/>
        <v>0.94090631480969522</v>
      </c>
      <c r="DI21" s="155">
        <f t="shared" si="36"/>
        <v>0.94500264748814966</v>
      </c>
      <c r="DJ21" s="155">
        <f t="shared" si="36"/>
        <v>0.94498272705634134</v>
      </c>
      <c r="DK21" s="155">
        <f t="shared" si="36"/>
        <v>0.94490309269104755</v>
      </c>
      <c r="DL21" s="155">
        <f t="shared" si="36"/>
        <v>0.9439366900141839</v>
      </c>
      <c r="DM21" s="155">
        <f t="shared" si="36"/>
        <v>0.94915723417024478</v>
      </c>
      <c r="DN21" s="155">
        <f t="shared" si="36"/>
        <v>0.92943652798022702</v>
      </c>
      <c r="DO21" s="155">
        <f t="shared" si="36"/>
        <v>0.93589989552211805</v>
      </c>
      <c r="DP21" s="155">
        <f t="shared" si="36"/>
        <v>0.93396301166028661</v>
      </c>
      <c r="DQ21" s="155">
        <f t="shared" si="36"/>
        <v>0.93377664082162459</v>
      </c>
      <c r="DR21" s="155">
        <f t="shared" si="36"/>
        <v>0.93388951524972819</v>
      </c>
      <c r="DS21" s="155">
        <f t="shared" si="36"/>
        <v>7.0000000000000007E-2</v>
      </c>
      <c r="DT21" s="155">
        <f t="shared" si="36"/>
        <v>7.0000000000000007E-2</v>
      </c>
      <c r="DU21" s="155">
        <f t="shared" si="36"/>
        <v>7.0000000000000007E-2</v>
      </c>
      <c r="DV21" s="155">
        <f t="shared" si="36"/>
        <v>7.0000000000000007E-2</v>
      </c>
      <c r="DW21" s="155">
        <f t="shared" si="36"/>
        <v>7.0000000000000007E-2</v>
      </c>
      <c r="DX21" s="155">
        <f t="shared" si="36"/>
        <v>7.0000000000000007E-2</v>
      </c>
      <c r="DY21" s="155">
        <f t="shared" si="36"/>
        <v>7.0000000000000007E-2</v>
      </c>
      <c r="DZ21" s="155">
        <f t="shared" si="36"/>
        <v>7.0000000000000007E-2</v>
      </c>
      <c r="EA21" s="155">
        <f t="shared" si="36"/>
        <v>7.0000000000000007E-2</v>
      </c>
    </row>
  </sheetData>
  <mergeCells count="1">
    <mergeCell ref="A11:A12"/>
  </mergeCells>
  <phoneticPr fontId="52" type="noConversion"/>
  <hyperlinks>
    <hyperlink ref="B15" r:id="rId1" xr:uid="{00000000-0004-0000-0D00-000000000000}"/>
    <hyperlink ref="I1" location="'Input RM sheet'!A1" display="'Input RM sheet'!A1" xr:uid="{00000000-0004-0000-0D00-000001000000}"/>
  </hyperlinks>
  <pageMargins left="0.7" right="0.7" top="0.75" bottom="0.75" header="0.3" footer="0.3"/>
  <pageSetup orientation="portrait"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3"/>
  <dimension ref="A1:DV17"/>
  <sheetViews>
    <sheetView workbookViewId="0">
      <pane xSplit="11" ySplit="6" topLeftCell="CW7" activePane="bottomRight" state="frozen"/>
      <selection pane="topRight" activeCell="L1" sqref="L1"/>
      <selection pane="bottomLeft" activeCell="A7" sqref="A7"/>
      <selection pane="bottomRight" activeCell="CZ17" sqref="CZ17"/>
    </sheetView>
  </sheetViews>
  <sheetFormatPr baseColWidth="10" defaultColWidth="8.6640625" defaultRowHeight="12"/>
  <cols>
    <col min="1" max="1" width="13.33203125" style="60" bestFit="1" customWidth="1"/>
    <col min="2" max="2" width="11.33203125" style="60" bestFit="1" customWidth="1"/>
    <col min="3" max="3" width="4.83203125" style="60" bestFit="1" customWidth="1"/>
    <col min="4" max="4" width="17.6640625" style="60" customWidth="1"/>
    <col min="5" max="5" width="11.83203125" style="60" bestFit="1" customWidth="1"/>
    <col min="6" max="6" width="6" style="60" bestFit="1" customWidth="1"/>
    <col min="7" max="7" width="22.83203125" style="60" bestFit="1" customWidth="1"/>
    <col min="8" max="11" width="5.6640625" style="60" bestFit="1" customWidth="1"/>
    <col min="12" max="12" width="5.83203125" style="60" bestFit="1" customWidth="1"/>
    <col min="13" max="19" width="5.6640625" style="60" bestFit="1" customWidth="1"/>
    <col min="20" max="20" width="5.1640625" style="60" bestFit="1" customWidth="1"/>
    <col min="21" max="22" width="5.6640625" style="60" bestFit="1" customWidth="1"/>
    <col min="23" max="23" width="5.33203125" style="60" bestFit="1" customWidth="1"/>
    <col min="24" max="24" width="5.83203125" style="60" bestFit="1" customWidth="1"/>
    <col min="25" max="35" width="5.6640625" style="60" bestFit="1" customWidth="1"/>
    <col min="36" max="36" width="5.83203125" style="60" bestFit="1" customWidth="1"/>
    <col min="37" max="47" width="5.6640625" style="60" bestFit="1" customWidth="1"/>
    <col min="48" max="48" width="5.83203125" style="60" bestFit="1" customWidth="1"/>
    <col min="49" max="49" width="5.6640625" style="60" bestFit="1" customWidth="1"/>
    <col min="50" max="52" width="6" style="60" bestFit="1" customWidth="1"/>
    <col min="53" max="55" width="5.6640625" style="60" bestFit="1" customWidth="1"/>
    <col min="56" max="57" width="5.83203125" style="60" bestFit="1" customWidth="1"/>
    <col min="58" max="63" width="5.6640625" style="60" bestFit="1" customWidth="1"/>
    <col min="64" max="64" width="5.5" style="60" bestFit="1" customWidth="1"/>
    <col min="65" max="76" width="5.6640625" style="60" bestFit="1" customWidth="1"/>
    <col min="77" max="77" width="5.1640625" style="60" bestFit="1" customWidth="1"/>
    <col min="78" max="81" width="5.5" style="60" bestFit="1" customWidth="1"/>
    <col min="82" max="16384" width="8.6640625" style="60"/>
  </cols>
  <sheetData>
    <row r="1" spans="1:126">
      <c r="A1" s="59" t="s">
        <v>377</v>
      </c>
      <c r="B1" s="59" t="s">
        <v>378</v>
      </c>
      <c r="C1" s="59" t="s">
        <v>379</v>
      </c>
      <c r="D1" s="59" t="s">
        <v>380</v>
      </c>
      <c r="E1" s="59" t="s">
        <v>381</v>
      </c>
      <c r="F1" s="60" t="s">
        <v>33</v>
      </c>
      <c r="G1" s="61"/>
      <c r="H1" s="61">
        <v>6</v>
      </c>
      <c r="I1" s="61">
        <v>7</v>
      </c>
      <c r="J1" s="61">
        <v>8</v>
      </c>
      <c r="K1" s="61">
        <v>9</v>
      </c>
      <c r="L1" s="61">
        <v>10</v>
      </c>
      <c r="M1" s="61">
        <v>11</v>
      </c>
      <c r="N1" s="61">
        <v>12</v>
      </c>
      <c r="O1" s="61">
        <v>13</v>
      </c>
      <c r="P1" s="61">
        <v>14</v>
      </c>
      <c r="Q1" s="61">
        <v>15</v>
      </c>
      <c r="R1" s="61">
        <v>16</v>
      </c>
      <c r="S1" s="61">
        <v>17</v>
      </c>
      <c r="T1" s="61">
        <v>18</v>
      </c>
      <c r="U1" s="61">
        <v>19</v>
      </c>
      <c r="V1" s="61">
        <v>20</v>
      </c>
      <c r="W1" s="61">
        <v>21</v>
      </c>
      <c r="X1" s="61">
        <v>22</v>
      </c>
      <c r="Y1" s="61">
        <v>23</v>
      </c>
      <c r="Z1" s="61">
        <v>24</v>
      </c>
      <c r="AA1" s="61">
        <v>25</v>
      </c>
      <c r="AB1" s="61">
        <v>26</v>
      </c>
      <c r="AC1" s="61">
        <v>27</v>
      </c>
      <c r="AD1" s="61">
        <v>28</v>
      </c>
      <c r="AE1" s="61">
        <v>29</v>
      </c>
      <c r="AF1" s="61">
        <v>30</v>
      </c>
      <c r="AG1" s="61">
        <v>31</v>
      </c>
      <c r="AH1" s="61">
        <v>32</v>
      </c>
      <c r="AI1" s="61">
        <v>33</v>
      </c>
      <c r="AJ1" s="61">
        <v>34</v>
      </c>
      <c r="AK1" s="61">
        <v>35</v>
      </c>
      <c r="AL1" s="61">
        <v>36</v>
      </c>
      <c r="AM1" s="61">
        <v>37</v>
      </c>
      <c r="AN1" s="61">
        <v>38</v>
      </c>
      <c r="AO1" s="61">
        <v>39</v>
      </c>
      <c r="AP1" s="61">
        <v>40</v>
      </c>
      <c r="AQ1" s="61">
        <v>41</v>
      </c>
      <c r="AR1" s="61">
        <v>42</v>
      </c>
      <c r="AS1" s="61">
        <v>43</v>
      </c>
      <c r="AT1" s="61">
        <v>44</v>
      </c>
      <c r="AU1" s="61">
        <v>45</v>
      </c>
      <c r="AV1" s="61">
        <v>46</v>
      </c>
      <c r="AW1" s="61">
        <v>47</v>
      </c>
      <c r="AX1" s="61">
        <v>48</v>
      </c>
      <c r="AY1" s="61">
        <v>49</v>
      </c>
      <c r="AZ1" s="61">
        <v>50</v>
      </c>
      <c r="BA1" s="61">
        <v>51</v>
      </c>
      <c r="BB1" s="61">
        <v>52</v>
      </c>
      <c r="BC1" s="61">
        <v>53</v>
      </c>
      <c r="BD1" s="61">
        <v>54</v>
      </c>
      <c r="BE1" s="61">
        <v>55</v>
      </c>
      <c r="BF1" s="61">
        <v>56</v>
      </c>
      <c r="BG1" s="61">
        <v>57</v>
      </c>
      <c r="BH1" s="61">
        <v>58</v>
      </c>
      <c r="BI1" s="61">
        <v>59</v>
      </c>
      <c r="BJ1" s="61">
        <v>60</v>
      </c>
      <c r="BK1" s="61">
        <v>61</v>
      </c>
      <c r="BL1" s="61">
        <v>62</v>
      </c>
      <c r="BM1" s="61">
        <v>63</v>
      </c>
      <c r="BN1" s="61">
        <v>64</v>
      </c>
      <c r="BO1" s="61">
        <v>65</v>
      </c>
      <c r="BP1" s="61">
        <v>66</v>
      </c>
      <c r="BQ1" s="61">
        <v>67</v>
      </c>
      <c r="BR1" s="61">
        <v>68</v>
      </c>
      <c r="BS1" s="61">
        <v>69</v>
      </c>
      <c r="BT1" s="61">
        <v>70</v>
      </c>
      <c r="BU1" s="61">
        <v>71</v>
      </c>
      <c r="BV1" s="61">
        <v>72</v>
      </c>
      <c r="BW1" s="61">
        <v>73</v>
      </c>
      <c r="BX1" s="61">
        <v>74</v>
      </c>
      <c r="BY1" s="61">
        <v>75</v>
      </c>
      <c r="BZ1" s="61">
        <v>76</v>
      </c>
      <c r="CA1" s="61">
        <v>77</v>
      </c>
      <c r="CB1" s="61">
        <v>78</v>
      </c>
      <c r="CC1" s="61">
        <v>79</v>
      </c>
      <c r="CD1" s="61">
        <v>80</v>
      </c>
      <c r="CE1" s="61">
        <v>81</v>
      </c>
      <c r="CF1" s="61">
        <v>82</v>
      </c>
      <c r="CG1" s="61">
        <v>83</v>
      </c>
      <c r="CH1" s="61">
        <v>84</v>
      </c>
      <c r="CI1" s="61">
        <v>85</v>
      </c>
      <c r="CJ1" s="61">
        <v>86</v>
      </c>
      <c r="CK1" s="61">
        <v>87</v>
      </c>
      <c r="CL1" s="61">
        <v>88</v>
      </c>
      <c r="CM1" s="61">
        <v>89</v>
      </c>
      <c r="CN1" s="61">
        <v>90</v>
      </c>
      <c r="CO1" s="61">
        <v>91</v>
      </c>
      <c r="CP1" s="61">
        <v>92</v>
      </c>
      <c r="CQ1" s="61">
        <v>93</v>
      </c>
      <c r="CR1" s="61">
        <v>94</v>
      </c>
      <c r="CS1" s="61">
        <v>95</v>
      </c>
      <c r="CT1" s="61">
        <v>96</v>
      </c>
      <c r="CU1" s="61">
        <v>97</v>
      </c>
      <c r="CV1" s="61">
        <v>98</v>
      </c>
      <c r="CW1" s="61">
        <v>99</v>
      </c>
      <c r="CX1" s="61">
        <v>100</v>
      </c>
      <c r="CY1" s="61">
        <v>101</v>
      </c>
      <c r="CZ1" s="61">
        <v>102</v>
      </c>
      <c r="DA1" s="61">
        <v>103</v>
      </c>
      <c r="DB1" s="61">
        <v>104</v>
      </c>
      <c r="DC1" s="61">
        <v>105</v>
      </c>
      <c r="DD1" s="61">
        <v>106</v>
      </c>
      <c r="DE1" s="61">
        <v>107</v>
      </c>
      <c r="DF1" s="61">
        <v>108</v>
      </c>
      <c r="DG1" s="61">
        <v>109</v>
      </c>
      <c r="DH1" s="61">
        <v>110</v>
      </c>
      <c r="DI1" s="61">
        <v>111</v>
      </c>
      <c r="DJ1" s="61">
        <v>112</v>
      </c>
      <c r="DK1" s="61">
        <v>113</v>
      </c>
      <c r="DL1" s="61">
        <v>114</v>
      </c>
      <c r="DM1" s="61">
        <v>115</v>
      </c>
      <c r="DN1" s="61">
        <v>116</v>
      </c>
      <c r="DO1" s="61">
        <v>117</v>
      </c>
      <c r="DP1" s="61">
        <v>118</v>
      </c>
      <c r="DQ1" s="61">
        <v>119</v>
      </c>
      <c r="DR1" s="61">
        <v>120</v>
      </c>
      <c r="DS1" s="61">
        <v>121</v>
      </c>
      <c r="DT1" s="61">
        <v>122</v>
      </c>
      <c r="DU1" s="61">
        <v>123</v>
      </c>
    </row>
    <row r="4" spans="1:126">
      <c r="H4" s="59">
        <v>43831</v>
      </c>
      <c r="I4" s="59">
        <v>43862</v>
      </c>
      <c r="J4" s="59">
        <v>43891</v>
      </c>
      <c r="K4" s="59">
        <v>43922</v>
      </c>
      <c r="L4" s="59">
        <v>43952</v>
      </c>
      <c r="M4" s="59">
        <v>43983</v>
      </c>
      <c r="N4" s="59">
        <v>44013</v>
      </c>
      <c r="O4" s="59">
        <v>44044</v>
      </c>
      <c r="P4" s="59">
        <v>44075</v>
      </c>
      <c r="Q4" s="59">
        <v>44105</v>
      </c>
      <c r="R4" s="59">
        <v>44136</v>
      </c>
      <c r="S4" s="59">
        <v>44166</v>
      </c>
      <c r="T4" s="59">
        <v>44197</v>
      </c>
      <c r="U4" s="59">
        <v>44228</v>
      </c>
      <c r="V4" s="59">
        <v>44256</v>
      </c>
      <c r="W4" s="59">
        <v>44287</v>
      </c>
      <c r="X4" s="59">
        <v>44317</v>
      </c>
      <c r="Y4" s="59">
        <v>44348</v>
      </c>
      <c r="Z4" s="59">
        <v>44378</v>
      </c>
      <c r="AA4" s="59">
        <v>44409</v>
      </c>
      <c r="AB4" s="59">
        <v>44440</v>
      </c>
      <c r="AC4" s="59">
        <v>44470</v>
      </c>
      <c r="AD4" s="59">
        <v>44501</v>
      </c>
      <c r="AE4" s="59">
        <v>44531</v>
      </c>
      <c r="AF4" s="59">
        <v>44562</v>
      </c>
      <c r="AG4" s="59">
        <v>44593</v>
      </c>
      <c r="AH4" s="59">
        <v>44621</v>
      </c>
      <c r="AI4" s="59">
        <v>44652</v>
      </c>
      <c r="AJ4" s="59">
        <v>44682</v>
      </c>
      <c r="AK4" s="59">
        <v>44713</v>
      </c>
      <c r="AL4" s="59">
        <v>44743</v>
      </c>
      <c r="AM4" s="59">
        <v>44774</v>
      </c>
      <c r="AN4" s="59">
        <v>44805</v>
      </c>
      <c r="AO4" s="59">
        <v>44835</v>
      </c>
      <c r="AP4" s="59">
        <v>44866</v>
      </c>
      <c r="AQ4" s="59">
        <v>44896</v>
      </c>
      <c r="AR4" s="59">
        <v>44927</v>
      </c>
      <c r="AS4" s="59">
        <v>44958</v>
      </c>
      <c r="AT4" s="59">
        <v>44986</v>
      </c>
      <c r="AU4" s="59">
        <v>45017</v>
      </c>
      <c r="AV4" s="59">
        <v>45047</v>
      </c>
      <c r="AW4" s="59">
        <v>45078</v>
      </c>
      <c r="AX4" s="59" t="s">
        <v>450</v>
      </c>
      <c r="AY4" s="59" t="s">
        <v>451</v>
      </c>
      <c r="AZ4" s="59" t="s">
        <v>452</v>
      </c>
      <c r="BA4" s="59" t="s">
        <v>434</v>
      </c>
      <c r="BB4" s="59">
        <v>37104</v>
      </c>
      <c r="BC4" s="59">
        <v>37469</v>
      </c>
      <c r="BD4" s="59" t="s">
        <v>168</v>
      </c>
      <c r="BE4" s="59" t="s">
        <v>169</v>
      </c>
      <c r="BF4" s="59" t="s">
        <v>502</v>
      </c>
      <c r="BG4" s="59" t="s">
        <v>503</v>
      </c>
      <c r="BH4" s="59" t="s">
        <v>504</v>
      </c>
      <c r="BI4" s="59" t="s">
        <v>505</v>
      </c>
      <c r="BJ4" s="59" t="s">
        <v>506</v>
      </c>
      <c r="BK4" s="59" t="s">
        <v>507</v>
      </c>
      <c r="BL4" s="59" t="s">
        <v>508</v>
      </c>
      <c r="BM4" s="59" t="s">
        <v>509</v>
      </c>
      <c r="BN4" s="59">
        <v>37196</v>
      </c>
      <c r="BO4" s="59">
        <v>37561</v>
      </c>
      <c r="BP4" s="59">
        <v>37926</v>
      </c>
      <c r="BQ4" s="59">
        <v>38292</v>
      </c>
      <c r="BR4" s="59">
        <v>37226</v>
      </c>
      <c r="BS4" s="59">
        <v>37591</v>
      </c>
      <c r="BT4" s="59">
        <v>37956</v>
      </c>
      <c r="BU4" s="59">
        <v>38322</v>
      </c>
      <c r="BV4" s="59">
        <v>36892</v>
      </c>
      <c r="BW4" s="59">
        <v>37257</v>
      </c>
      <c r="BX4" s="59">
        <v>37622</v>
      </c>
      <c r="BY4" s="59">
        <v>37987</v>
      </c>
      <c r="BZ4" s="59">
        <v>36923</v>
      </c>
      <c r="CA4" s="59">
        <v>37288</v>
      </c>
      <c r="CB4" s="59">
        <v>37653</v>
      </c>
      <c r="CC4" s="59">
        <v>38018</v>
      </c>
      <c r="CD4" s="59" t="str">
        <f>Sheet8!A15</f>
        <v>Mar-w1</v>
      </c>
      <c r="CE4" s="59" t="s">
        <v>285</v>
      </c>
      <c r="CF4" s="59" t="s">
        <v>286</v>
      </c>
      <c r="CG4" s="59" t="s">
        <v>287</v>
      </c>
      <c r="CH4" s="59" t="str">
        <f>Sheet8!E15</f>
        <v>Apr-w1</v>
      </c>
      <c r="CI4" s="59" t="str">
        <f>Sheet8!F15</f>
        <v>Apr-w2</v>
      </c>
      <c r="CJ4" s="59" t="str">
        <f>Sheet8!G15</f>
        <v>Apr-w3</v>
      </c>
      <c r="CK4" s="59" t="str">
        <f>Sheet8!H15</f>
        <v>Apr-w4</v>
      </c>
      <c r="CL4" s="59" t="str">
        <f>Sheet8!I15</f>
        <v>May-w1</v>
      </c>
      <c r="CM4" s="59" t="str">
        <f>Sheet8!J15</f>
        <v>May-w2</v>
      </c>
      <c r="CN4" s="59" t="str">
        <f>Sheet8!K15</f>
        <v>May-w3</v>
      </c>
      <c r="CO4" s="59" t="str">
        <f>Sheet8!L15</f>
        <v>May-w4</v>
      </c>
      <c r="CP4" s="59" t="str">
        <f>Sheet8!M15</f>
        <v>May-w5</v>
      </c>
      <c r="CQ4" s="59" t="str">
        <f>Sheet8!N15</f>
        <v>june-w1</v>
      </c>
      <c r="CR4" s="59" t="str">
        <f>Sheet8!O15</f>
        <v>june-w2</v>
      </c>
      <c r="CS4" s="59" t="str">
        <f>Sheet8!P15</f>
        <v>june-w3</v>
      </c>
      <c r="CT4" s="59" t="str">
        <f>Sheet8!Q15</f>
        <v>june-w4</v>
      </c>
      <c r="CU4" s="59" t="str">
        <f>Sheet8!R15</f>
        <v>Jul-w1</v>
      </c>
      <c r="CV4" s="59" t="str">
        <f>Sheet8!S15</f>
        <v>Jul-w2</v>
      </c>
      <c r="CW4" s="59" t="str">
        <f>Sheet8!T15</f>
        <v>Jul-w3</v>
      </c>
      <c r="CX4" s="59" t="str">
        <f>Sheet8!U15</f>
        <v>Jul-w4</v>
      </c>
      <c r="CY4" s="59" t="str">
        <f>Sheet8!V15</f>
        <v>Aug-w1</v>
      </c>
      <c r="CZ4" s="59" t="str">
        <f>Sheet8!W15</f>
        <v>Aug-w2</v>
      </c>
      <c r="DA4" s="59" t="str">
        <f>Sheet8!X15</f>
        <v>Aug-w3</v>
      </c>
      <c r="DB4" s="59" t="str">
        <f>Sheet8!Y15</f>
        <v>Aug-w4</v>
      </c>
      <c r="DC4" s="59" t="str">
        <f>Sheet8!Z15</f>
        <v>Sep-w1</v>
      </c>
      <c r="DD4" s="59" t="str">
        <f>Sheet8!AA15</f>
        <v>Sep-w2</v>
      </c>
      <c r="DE4" s="59" t="str">
        <f>Sheet8!AB15</f>
        <v>Sep-w3</v>
      </c>
      <c r="DF4" s="59" t="str">
        <f>Sheet8!AC15</f>
        <v>Sep-w4</v>
      </c>
      <c r="DG4" s="59" t="str">
        <f>Sheet8!AD15</f>
        <v>Oct-w1</v>
      </c>
      <c r="DH4" s="59" t="str">
        <f>Sheet8!AE15</f>
        <v>Oct-w2</v>
      </c>
      <c r="DI4" s="59" t="str">
        <f>Sheet8!AF15</f>
        <v>Oct-w3</v>
      </c>
      <c r="DJ4" s="59" t="str">
        <f>Sheet8!AG15</f>
        <v>Oct-w4</v>
      </c>
      <c r="DK4" s="59" t="str">
        <f>Sheet8!AH15</f>
        <v>Nov-w1</v>
      </c>
      <c r="DL4" s="59" t="str">
        <f>Sheet8!AI15</f>
        <v>Nov-w2</v>
      </c>
      <c r="DM4" s="59" t="str">
        <f>Sheet8!AJ15</f>
        <v>Nov-w3</v>
      </c>
      <c r="DN4" s="59" t="str">
        <f>Sheet8!AK15</f>
        <v>Nov-w4</v>
      </c>
      <c r="DO4" s="59" t="str">
        <f>Sheet8!AL15</f>
        <v>Dec-w1</v>
      </c>
      <c r="DP4" s="59" t="str">
        <f>Sheet8!AM15</f>
        <v>Dec-w2</v>
      </c>
      <c r="DQ4" s="59" t="str">
        <f>Sheet8!AN15</f>
        <v>Dec-w3</v>
      </c>
      <c r="DR4" s="59" t="str">
        <f>Sheet8!AO15</f>
        <v>Dec-w4</v>
      </c>
      <c r="DS4" s="59">
        <f>Sheet8!AP15</f>
        <v>0</v>
      </c>
      <c r="DT4" s="59">
        <f>Sheet8!AQ15</f>
        <v>0</v>
      </c>
      <c r="DU4" s="59">
        <f>Sheet8!AR15</f>
        <v>0</v>
      </c>
      <c r="DV4" s="59">
        <f>Sheet8!AS15</f>
        <v>0</v>
      </c>
    </row>
    <row r="5" spans="1:126" s="198" customFormat="1">
      <c r="D5" s="198" t="s">
        <v>510</v>
      </c>
      <c r="F5" s="198" t="s">
        <v>466</v>
      </c>
      <c r="G5" s="198" t="s">
        <v>30</v>
      </c>
      <c r="H5" s="97">
        <f>VLOOKUP($G$5&amp;$F$1,'Input RM sheet'!$A:$BM,H1,0)</f>
        <v>0</v>
      </c>
      <c r="I5" s="97">
        <f>VLOOKUP($G$5&amp;$F$1,'Input RM sheet'!$A:$BM,I1,0)</f>
        <v>0</v>
      </c>
      <c r="J5" s="97">
        <f>VLOOKUP($G$5&amp;$F$1,'Input RM sheet'!$A:$BM,J1,0)</f>
        <v>0</v>
      </c>
      <c r="K5" s="97">
        <f>VLOOKUP($G$5&amp;$F$1,'Input RM sheet'!$A:$BM,K1,0)</f>
        <v>0</v>
      </c>
      <c r="L5" s="97">
        <f>VLOOKUP($G$5&amp;$F$1,'Input RM sheet'!$A:$BM,L1,0)</f>
        <v>0</v>
      </c>
      <c r="M5" s="97">
        <f>VLOOKUP($G$5&amp;$F$1,'Input RM sheet'!$A:$BM,M1,0)</f>
        <v>0</v>
      </c>
      <c r="N5" s="97">
        <f>VLOOKUP($G$5&amp;$F$1,'Input RM sheet'!$A:$BM,N1,0)</f>
        <v>0</v>
      </c>
      <c r="O5" s="97">
        <f>VLOOKUP($G$5&amp;$F$1,'Input RM sheet'!$A:$BM,O1,0)</f>
        <v>0</v>
      </c>
      <c r="P5" s="97">
        <f>VLOOKUP($G$5&amp;$F$1,'Input RM sheet'!$A:$BM,P1,0)</f>
        <v>0</v>
      </c>
      <c r="Q5" s="97">
        <f>VLOOKUP($G$5&amp;$F$1,'Input RM sheet'!$A:$BM,Q1,0)</f>
        <v>0</v>
      </c>
      <c r="R5" s="97">
        <f>VLOOKUP($G$5&amp;$F$1,'Input RM sheet'!$A:$BM,R1,0)</f>
        <v>0</v>
      </c>
      <c r="S5" s="97">
        <f>VLOOKUP($G$5&amp;$F$1,'Input RM sheet'!$A:$BM,S1,0)</f>
        <v>0</v>
      </c>
      <c r="T5" s="97">
        <f>VLOOKUP($G$5&amp;$F$1,'Input RM sheet'!$A:$BM,T1,0)</f>
        <v>1.8627893846062558</v>
      </c>
      <c r="U5" s="97">
        <f>VLOOKUP($G$5&amp;$F$1,'Input RM sheet'!$A:$BM,U1,0)</f>
        <v>1.8673303026173924</v>
      </c>
      <c r="V5" s="97">
        <f>VLOOKUP($G$5&amp;$F$1,'Input RM sheet'!$A:$BM,V1,0)</f>
        <v>1.8650976616996457</v>
      </c>
      <c r="W5" s="97">
        <f>VLOOKUP($G$5&amp;$F$1,'Input RM sheet'!$A:$BM,W1,0)</f>
        <v>1.8069583892397256</v>
      </c>
      <c r="X5" s="97">
        <f>VLOOKUP($G$5&amp;$F$1,'Input RM sheet'!$A:$BM,X1,0)</f>
        <v>1.8874425195537712</v>
      </c>
      <c r="Y5" s="97">
        <f>VLOOKUP($G$5&amp;$F$1,'Input RM sheet'!$A:$BM,Y1,0)</f>
        <v>1.9382904670042471</v>
      </c>
      <c r="Z5" s="97">
        <f>VLOOKUP($G$5&amp;$F$1,'Input RM sheet'!$A:$BM,Z1,0)</f>
        <v>1.9941430266215356</v>
      </c>
      <c r="AA5" s="97">
        <f>VLOOKUP($G$5&amp;$F$1,'Input RM sheet'!$A:$BM,AA1,0)</f>
        <v>2.629513144894708</v>
      </c>
      <c r="AB5" s="97">
        <f>VLOOKUP($G$5&amp;$F$1,'Input RM sheet'!$A:$BM,AB1,0)</f>
        <v>4.972093405071317</v>
      </c>
      <c r="AC5" s="97">
        <f>VLOOKUP($G$5&amp;$F$1,'Input RM sheet'!$A:$BM,AC1,0)</f>
        <v>7.2575580801674722</v>
      </c>
      <c r="AD5" s="97">
        <f>VLOOKUP($G$5&amp;$F$1,'Input RM sheet'!$A:$BM,AD1,0)</f>
        <v>4.2580661350680202</v>
      </c>
      <c r="AE5" s="97">
        <f>VLOOKUP($G$5&amp;$F$1,'Input RM sheet'!$A:$BM,AE1,0)</f>
        <v>3.2089583513461331</v>
      </c>
      <c r="AF5" s="97">
        <f>VLOOKUP($G$5&amp;$F$1,'Input RM sheet'!$A:$BM,AF1,0)</f>
        <v>2.904273453652761</v>
      </c>
      <c r="AG5" s="97">
        <f>VLOOKUP($G$5&amp;$F$1,'Input RM sheet'!$A:$BM,AG1,0)</f>
        <v>2.9710521239461034</v>
      </c>
      <c r="AH5" s="97">
        <f>VLOOKUP($G$5&amp;$F$1,'Input RM sheet'!$A:$BM,AH1,0)</f>
        <v>3.2377256756810651</v>
      </c>
      <c r="AI5" s="97">
        <f>VLOOKUP($G$5&amp;$F$1,'Input RM sheet'!$A:$BM,AI1,0)</f>
        <v>2.8213578134201951</v>
      </c>
      <c r="AJ5" s="97">
        <f>VLOOKUP($G$5&amp;$F$1,'Input RM sheet'!$A:$BM,AJ1,0)</f>
        <v>2.6204542055356983</v>
      </c>
      <c r="AK5" s="97">
        <f>VLOOKUP($G$5&amp;$F$1,'Input RM sheet'!$A:$BM,AK1,0)</f>
        <v>2.3781566476094458</v>
      </c>
      <c r="AL5" s="97">
        <f>VLOOKUP($G$5&amp;$F$1,'Input RM sheet'!$A:$BM,AL1,0)</f>
        <v>2.3579281177353648</v>
      </c>
      <c r="AM5" s="97">
        <f>VLOOKUP($G$5&amp;$F$1,'Input RM sheet'!$A:$BM,AM1,0)</f>
        <v>2.5694427014231715</v>
      </c>
      <c r="AN5" s="97">
        <f>VLOOKUP($G$5&amp;$F$1,'Input RM sheet'!$A:$BM,AN1,0)</f>
        <v>2.5628163610847663</v>
      </c>
      <c r="AO5" s="97">
        <f>VLOOKUP($G$5&amp;$F$1,'Input RM sheet'!$A:$BM,AO1,0)</f>
        <v>2.6096935730003006</v>
      </c>
      <c r="AP5" s="97">
        <f>VLOOKUP($G$5&amp;$F$1,'Input RM sheet'!$A:$BM,AP1,0)</f>
        <v>2.6241726855274043</v>
      </c>
      <c r="AQ5" s="97">
        <f>VLOOKUP($G$5&amp;$F$1,'Input RM sheet'!$A:$BM,AQ1,0)</f>
        <v>2.5293614814872392</v>
      </c>
      <c r="AR5" s="97">
        <f>VLOOKUP($G$5&amp;$F$1,'Input RM sheet'!$A:$BM,AR1,0)</f>
        <v>2.4410591140200979</v>
      </c>
      <c r="AS5" s="97">
        <f>VLOOKUP($G$5&amp;$F$1,'Input RM sheet'!$A:$BM,AS1,0)</f>
        <v>2.2915787873332105</v>
      </c>
      <c r="AT5" s="97">
        <f>VLOOKUP($G$5&amp;$F$1,'Input RM sheet'!$A:$BM,AT1,0)</f>
        <v>2.2405390526214162</v>
      </c>
      <c r="AU5" s="97">
        <f>VLOOKUP($G$5&amp;$F$1,'Input RM sheet'!$A:$BM,AU1,0)</f>
        <v>2.073031326662985</v>
      </c>
      <c r="AV5" s="97">
        <f>VLOOKUP($G$5&amp;$F$1,'Input RM sheet'!$A:$BM,AV1,0)</f>
        <v>1.973841563967321</v>
      </c>
      <c r="AW5" s="97">
        <f>VLOOKUP($G$5&amp;$F$1,'Input RM sheet'!$A:$BM,AW1,0)</f>
        <v>1.6868694380407032</v>
      </c>
      <c r="AX5" s="97">
        <f>VLOOKUP($G$5&amp;$F$1,'Input RM sheet'!$A:$BM,AX1,0)</f>
        <v>1.6771437290204458</v>
      </c>
      <c r="AY5" s="97">
        <f>VLOOKUP($G$5&amp;$F$1,'Input RM sheet'!$A:$BM,AY1,0)</f>
        <v>1.6771437290204458</v>
      </c>
      <c r="AZ5" s="97">
        <f>VLOOKUP($G$5&amp;$F$1,'Input RM sheet'!$A:$BM,AZ1,0)</f>
        <v>1.6752704031465095</v>
      </c>
      <c r="BA5" s="97">
        <f>VLOOKUP($G$5&amp;$F$1,'Input RM sheet'!$A:$BM,BA1,0)</f>
        <v>1.6869855807908907</v>
      </c>
      <c r="BB5" s="97">
        <f>VLOOKUP($G$5&amp;$F$1,'Input RM sheet'!$A:$BM,BB1,0)</f>
        <v>1.6683190736728726</v>
      </c>
      <c r="BC5" s="97">
        <f>VLOOKUP($G$5&amp;$F$1,'Input RM sheet'!$A:$BM,BC1,0)</f>
        <v>1.6591398765687579</v>
      </c>
      <c r="BD5" s="97">
        <f>VLOOKUP($G$5&amp;$F$1,'Input RM sheet'!$A:$BM,BD1,0)</f>
        <v>1.7055731575561139</v>
      </c>
      <c r="BE5" s="97">
        <f>VLOOKUP($G$5&amp;$F$1,'Input RM sheet'!$A:$BM,BE1,0)</f>
        <v>1.7492746761838864</v>
      </c>
      <c r="BF5" s="97">
        <f>VLOOKUP($G$5&amp;$F$1,'Input RM sheet'!$A:$DD,BF1,0)</f>
        <v>1.7444886989576653</v>
      </c>
      <c r="BG5" s="97">
        <f>VLOOKUP($G$5&amp;$F$1,'Input RM sheet'!$A:$BM,BG1,0)</f>
        <v>1.8536727484613427</v>
      </c>
      <c r="BH5" s="97">
        <f>VLOOKUP($G$5&amp;$F$1,'Input RM sheet'!$A:$BM,BH1,0)</f>
        <v>1.8765911019517518</v>
      </c>
      <c r="BI5" s="97">
        <f>VLOOKUP($G$5&amp;$F$1,'Input RM sheet'!$A:$BM,BI1,0)</f>
        <v>1.8511334707237246</v>
      </c>
      <c r="BJ5" s="97">
        <f>VLOOKUP($G$5&amp;$F$1,'Input RM sheet'!$A:$BM,BJ1,0)</f>
        <v>1.9202327554855136</v>
      </c>
      <c r="BK5" s="97">
        <f>VLOOKUP($G$5&amp;$F$1,'Input RM sheet'!$A:$BM,BK1,0)</f>
        <v>1.9419862340216323</v>
      </c>
      <c r="BL5" s="97">
        <f>VLOOKUP($G$5&amp;$F$1,'Input RM sheet'!$A:$BM,BL1,0)</f>
        <v>1.8946043121920515</v>
      </c>
      <c r="BM5" s="97">
        <f>VLOOKUP($G$5&amp;$F$1,'Input RM sheet'!$A:$DD,BM1,0)</f>
        <v>1.8738817157502781</v>
      </c>
      <c r="BN5" s="97">
        <f>VLOOKUP($G$5&amp;$F$1,'Input RM sheet'!$A:$DD,BN1,0)</f>
        <v>1.877031320373459</v>
      </c>
      <c r="BO5" s="97">
        <f>VLOOKUP($G$5&amp;$F$1,'Input RM sheet'!$A:$DD,BO1,0)</f>
        <v>1.8503620273531778</v>
      </c>
      <c r="BP5" s="97">
        <f>VLOOKUP($G$5&amp;$F$1,'Input RM sheet'!$A:$DD,BP1,0)</f>
        <v>1.8503620273531778</v>
      </c>
      <c r="BQ5" s="97">
        <f>VLOOKUP($G$5&amp;$F$1,'Input RM sheet'!$A:$DD,BQ1,0)</f>
        <v>1.8920603265611369</v>
      </c>
      <c r="BR5" s="97">
        <f>VLOOKUP($G$5&amp;$F$1,'Input RM sheet'!$A:$DD,BR1,0)</f>
        <v>1.8851788503011826</v>
      </c>
      <c r="BS5" s="97">
        <f>VLOOKUP($G$5&amp;$F$1,'Input RM sheet'!$A:$DD,BS1,0)</f>
        <v>1.9047143552554391</v>
      </c>
      <c r="BT5" s="97">
        <f>VLOOKUP($G$5&amp;$F$1,'Input RM sheet'!$A:$DD,BT1,0)</f>
        <v>1.8887307382882608</v>
      </c>
      <c r="BU5" s="97">
        <f>VLOOKUP($G$5&amp;$F$1,'Input RM sheet'!$A:$DD,BU1,0)</f>
        <v>1.9496486388656593</v>
      </c>
      <c r="BV5" s="97">
        <f>VLOOKUP($G$5&amp;$F$1,'Input RM sheet'!$A:$DD,BV1,0)</f>
        <v>1.945656238314845</v>
      </c>
      <c r="BW5" s="97">
        <f>VLOOKUP($G$5&amp;$F$1,'Input RM sheet'!$A:$DD,BW1,0)</f>
        <v>1.9394241555527858</v>
      </c>
      <c r="BX5" s="97">
        <f>VLOOKUP($G$5&amp;$F$1,'Input RM sheet'!$A:$DD,BX1,0)</f>
        <v>1.9128467733916674</v>
      </c>
      <c r="BY5" s="97">
        <f>VLOOKUP($G$5&amp;$F$1,'Input RM sheet'!$A:$DD,BY1,0)</f>
        <v>1.9030904994834645</v>
      </c>
      <c r="BZ5" s="97">
        <f>VLOOKUP($G$5&amp;$F$1,'Input RM sheet'!$A:$DD,BZ1,0)</f>
        <v>1.9030904994834645</v>
      </c>
      <c r="CA5" s="97">
        <f>VLOOKUP($G$5&amp;$F$1,'Input RM sheet'!$A:$DD,CA1,0)</f>
        <v>1.8819156399620909</v>
      </c>
      <c r="CB5" s="97">
        <f>VLOOKUP($G$5&amp;$F$1,'Input RM sheet'!$A:$DD,CB1,0)</f>
        <v>1.8783740478714228</v>
      </c>
      <c r="CC5" s="97">
        <f>VLOOKUP($G$5&amp;$F$1,'Input RM sheet'!$A:$DD,CC1,0)</f>
        <v>1.8436578171091447</v>
      </c>
      <c r="CD5" s="97">
        <f>VLOOKUP($G$5&amp;$F$1,'Input RM sheet'!$A:$DD,CD1,0)</f>
        <v>1.8436578171091447</v>
      </c>
      <c r="CE5" s="97">
        <f>VLOOKUP($G$5&amp;$F$1,'Input RM sheet'!$A:$DD,CE1,0)</f>
        <v>1.8413981807873396</v>
      </c>
      <c r="CF5" s="97">
        <f>VLOOKUP($G$5&amp;$F$1,'Input RM sheet'!$A:$DD,CF1,0)</f>
        <v>1.7821685093030668</v>
      </c>
      <c r="CG5" s="97">
        <f>VLOOKUP($G$5&amp;$F$1,'Input RM sheet'!$A:$DD,CG1,0)</f>
        <v>1.7123832605050244</v>
      </c>
      <c r="CH5" s="97">
        <f>VLOOKUP($G$5&amp;$F$1,'Input RM sheet'!$A:$DD,CH1,0)</f>
        <v>1.6744390996217824</v>
      </c>
      <c r="CI5" s="97">
        <f>VLOOKUP($G$5&amp;$F$1,'Input RM sheet'!$A:$DD,CI1,0)</f>
        <v>1.6721263384344596</v>
      </c>
      <c r="CJ5" s="97">
        <f>VLOOKUP($G$5&amp;$F$1,'Input RM sheet'!$A:$DD,CJ1,0)</f>
        <v>1.6721263384344596</v>
      </c>
      <c r="CK5" s="97">
        <f>VLOOKUP($G$5&amp;$F$1,'Input RM sheet'!$A:$DD,CK1,0)</f>
        <v>1.6696817092847018</v>
      </c>
      <c r="CL5" s="97">
        <f>VLOOKUP($G$5&amp;$F$1,'Input RM sheet'!$A:$DD,CL1,0)</f>
        <v>1.6766290672983692</v>
      </c>
      <c r="CM5" s="97">
        <f>VLOOKUP($G$5&amp;$F$1,'Input RM sheet'!$A:$DD,CM1,0)</f>
        <v>1.6609750425341807</v>
      </c>
      <c r="CN5" s="97">
        <f>VLOOKUP($G$5&amp;$F$1,'Input RM sheet'!$A:$DD,CN1,0)</f>
        <v>1.6499589958261422</v>
      </c>
      <c r="CO5" s="97">
        <f>VLOOKUP($G$5&amp;$F$1,'Input RM sheet'!$A:$DD,CO1,0)</f>
        <v>1.6499589958261422</v>
      </c>
      <c r="CP5" s="97">
        <f>VLOOKUP($G$5&amp;$F$1,'Input RM sheet'!$A:$DD,CP1,0)</f>
        <v>1.6499589958261422</v>
      </c>
      <c r="CQ5" s="97">
        <f>VLOOKUP($G$5&amp;$F$1,'Input RM sheet'!$A:$DD,CQ1,0)</f>
        <v>1.6476800469368797</v>
      </c>
      <c r="CR5" s="97">
        <f>VLOOKUP($G$5&amp;$F$1,'Input RM sheet'!$A:$DD,CR1,0)</f>
        <v>1.6440131032122429</v>
      </c>
      <c r="CS5" s="97">
        <f>VLOOKUP($G$5&amp;$F$1,'Input RM sheet'!$A:$ZZ,CS1,0)</f>
        <v>1.638265194178308</v>
      </c>
      <c r="CT5" s="97">
        <f>VLOOKUP($G$5&amp;$F$1,'Input RM sheet'!$A:$ZZ,CT1,0)</f>
        <v>1.6080145098659786</v>
      </c>
      <c r="CU5" s="97">
        <f>VLOOKUP($G$5&amp;$F$1,'Input RM sheet'!$A:$ZZ,CU1,0)</f>
        <v>1.5861036384219305</v>
      </c>
      <c r="CV5" s="97">
        <f>VLOOKUP($G$5&amp;$F$1,'Input RM sheet'!$A:$ZZ,CV1,0)</f>
        <v>1.5434991661696147</v>
      </c>
      <c r="CW5" s="97">
        <f>VLOOKUP($G$5&amp;$F$1,'Input RM sheet'!$A:$ZZ,CW1,0)</f>
        <v>1.5085578138675484</v>
      </c>
      <c r="CX5" s="97">
        <f>VLOOKUP($G$5&amp;$F$1,'Input RM sheet'!$A:$ZZ,CX1,0)</f>
        <v>1.4810462796362258</v>
      </c>
      <c r="CY5" s="97">
        <f>VLOOKUP($G$5&amp;$F$1,'Input RM sheet'!$A:$ZZ,CY1,0)</f>
        <v>1.4922057244418114</v>
      </c>
      <c r="CZ5" s="97">
        <f>VLOOKUP($G$5&amp;$F$1,'Input RM sheet'!$A:$ZZ,CZ1,0)</f>
        <v>1.4814997411689306</v>
      </c>
      <c r="DA5" s="97">
        <f>VLOOKUP($G$5&amp;$F$1,'Input RM sheet'!$A:$ZZ,DA1,0)</f>
        <v>1.4778142211770533</v>
      </c>
      <c r="DB5" s="97">
        <f>VLOOKUP($G$5&amp;$F$1,'Input RM sheet'!$A:$ZZ,DB1,0)</f>
        <v>1.486128225234308</v>
      </c>
      <c r="DC5" s="97">
        <f>VLOOKUP($G$5&amp;$F$1,'Input RM sheet'!$A:$ZZ,DC1,0)</f>
        <v>1.4953131045845454</v>
      </c>
      <c r="DD5" s="97">
        <f>VLOOKUP($G$5&amp;$F$1,'Input RM sheet'!$A:$ZZ,DD1,0)</f>
        <v>1.4911068792551931</v>
      </c>
      <c r="DE5" s="97">
        <f>VLOOKUP($G$5&amp;$F$1,'Input RM sheet'!$A:$ZZ,DE1,0)</f>
        <v>1.5016671262754144</v>
      </c>
      <c r="DF5" s="97">
        <f>VLOOKUP($G$5&amp;$F$1,'Input RM sheet'!$A:$ZZ,DF1,0)</f>
        <v>1.5089630133877923</v>
      </c>
      <c r="DG5" s="97">
        <f>VLOOKUP($G$5&amp;$F$1,'Input RM sheet'!$A:$ZZ,DG1,0)</f>
        <v>1.5077023926581452</v>
      </c>
      <c r="DH5" s="97">
        <f>VLOOKUP($G$5&amp;$F$1,'Input RM sheet'!$A:$ZZ,DH1,0)</f>
        <v>1.496085533276079</v>
      </c>
      <c r="DI5" s="97">
        <f>VLOOKUP($G$5&amp;$F$1,'Input RM sheet'!$A:$ZZ,DI1,0)</f>
        <v>1.4918889399148558</v>
      </c>
      <c r="DJ5" s="97">
        <f>VLOOKUP($G$5&amp;$F$1,'Input RM sheet'!$A:$ZZ,DJ1,0)</f>
        <v>1.4959966287399915</v>
      </c>
      <c r="DK5" s="97">
        <f>VLOOKUP($G$5&amp;$F$1,'Input RM sheet'!$A:$ZZ,DK1,0)</f>
        <v>1.5085321683282926</v>
      </c>
      <c r="DL5" s="97">
        <f>VLOOKUP($G$5&amp;$F$1,'Input RM sheet'!$A:$ZZ,DL1,0)</f>
        <v>1.4834942900157899</v>
      </c>
      <c r="DM5" s="97">
        <f>VLOOKUP($G$5&amp;$F$1,'Input RM sheet'!$A:$ZZ,DM1,0)</f>
        <v>1.4814452647533372</v>
      </c>
      <c r="DN5" s="97">
        <f>VLOOKUP($G$5&amp;$F$1,'Input RM sheet'!$A:$ZZ,DN1,0)</f>
        <v>1.471269411736025</v>
      </c>
      <c r="DO5" s="97">
        <f>VLOOKUP($G$5&amp;$F$1,'Input RM sheet'!$A:$ZZ,DO1,0)</f>
        <v>1.469245657387007</v>
      </c>
      <c r="DP5" s="97">
        <f>VLOOKUP($G$5&amp;$F$1,'Input RM sheet'!$A:$ZZ,DP1,0)</f>
        <v>1.4595074923007636</v>
      </c>
      <c r="DQ5" s="97">
        <f>VLOOKUP($G$5&amp;$F$1,'Input RM sheet'!$A:$ZZ,DQ1,0)</f>
        <v>1.4336525972055307</v>
      </c>
      <c r="DR5" s="97">
        <f>VLOOKUP($G$5&amp;$F$1,'Input RM sheet'!$A:$ZZ,DR1,0)</f>
        <v>1.4244150806158324</v>
      </c>
    </row>
    <row r="6" spans="1:126" s="30" customFormat="1">
      <c r="D6" s="30" t="s">
        <v>37</v>
      </c>
      <c r="F6" s="198" t="s">
        <v>466</v>
      </c>
      <c r="G6" s="30" t="s">
        <v>38</v>
      </c>
      <c r="H6" s="30">
        <f>VLOOKUP($G$6&amp;$F$1,'Input RM sheet'!$A:$BM,H1,0)</f>
        <v>336.49</v>
      </c>
      <c r="I6" s="30">
        <f>VLOOKUP($G$6&amp;$F$1,'Input RM sheet'!$A:$BM,I1,0)</f>
        <v>307.32</v>
      </c>
      <c r="J6" s="30">
        <f>VLOOKUP($G$6&amp;$F$1,'Input RM sheet'!$A:$BM,J1,0)</f>
        <v>286.76</v>
      </c>
      <c r="K6" s="30">
        <f>VLOOKUP($G$6&amp;$F$1,'Input RM sheet'!$A:$DD,K1,0)</f>
        <v>226.27</v>
      </c>
      <c r="L6" s="30">
        <f>VLOOKUP($G$6&amp;$F$1,'Input RM sheet'!$A:$DD,L1,0)</f>
        <v>244.95</v>
      </c>
      <c r="M6" s="30">
        <f>VLOOKUP($G$6&amp;$F$1,'Input RM sheet'!$A:$DD,M1,0)</f>
        <v>216.04</v>
      </c>
      <c r="N6" s="30">
        <f>VLOOKUP($G$6&amp;$F$1,'Input RM sheet'!$A:$DD,N1,0)</f>
        <v>230.37</v>
      </c>
      <c r="O6" s="30">
        <f>VLOOKUP($G$6&amp;$F$1,'Input RM sheet'!$A:$DD,O1,0)</f>
        <v>236.64</v>
      </c>
      <c r="P6" s="30">
        <f>VLOOKUP($G$6&amp;$F$1,'Input RM sheet'!$A:$DD,P1,0)</f>
        <v>275.17</v>
      </c>
      <c r="Q6" s="30">
        <f>VLOOKUP($G$6&amp;$F$1,'Input RM sheet'!$A:$DD,Q1,0)</f>
        <v>284.07</v>
      </c>
      <c r="R6" s="30">
        <f>VLOOKUP($G$6&amp;$F$1,'Input RM sheet'!$A:$DD,R1,0)</f>
        <v>297.61</v>
      </c>
      <c r="S6" s="30">
        <f>VLOOKUP($G$6&amp;$F$1,'Input RM sheet'!$A:$DD,S1,0)</f>
        <v>343.26</v>
      </c>
      <c r="T6" s="30">
        <f>VLOOKUP($G$6&amp;$F$1,'Input RM sheet'!$A:$DD,T1,0)</f>
        <v>394.6</v>
      </c>
      <c r="U6" s="30">
        <f>VLOOKUP($G$6&amp;$F$1,'Input RM sheet'!$A:$DD,U1,0)</f>
        <v>369.69</v>
      </c>
      <c r="V6" s="30">
        <f>VLOOKUP($G$6&amp;$F$1,'Input RM sheet'!$A:$DD,V1,0)</f>
        <v>395.41</v>
      </c>
      <c r="W6" s="30">
        <f>VLOOKUP($G$6&amp;$F$1,'Input RM sheet'!$A:$DD,W1,0)</f>
        <v>367.9</v>
      </c>
      <c r="X6" s="30">
        <f>VLOOKUP($G$6&amp;$F$1,'Input RM sheet'!$A:$DD,X1,0)</f>
        <v>393.5</v>
      </c>
      <c r="Y6" s="30">
        <f>VLOOKUP($G$6&amp;$F$1,'Input RM sheet'!$A:$DD,Y1,0)</f>
        <v>435.74</v>
      </c>
      <c r="Z6" s="30">
        <f>VLOOKUP($G$6&amp;$F$1,'Input RM sheet'!$A:$DD,Z1,0)</f>
        <v>409.18</v>
      </c>
      <c r="AA6" s="30">
        <f>VLOOKUP($G$6&amp;$F$1,'Input RM sheet'!$A:$DD,AA1,0)</f>
        <v>424.48</v>
      </c>
      <c r="AB6" s="30">
        <f>VLOOKUP($G$6&amp;$F$1,'Input RM sheet'!$A:$DD,AB1,0)</f>
        <v>424.32</v>
      </c>
      <c r="AC6" s="30">
        <f>VLOOKUP($G$6&amp;$F$1,'Input RM sheet'!$A:$DD,AC1,0)</f>
        <v>467.98</v>
      </c>
      <c r="AD6" s="30">
        <f>VLOOKUP($G$6&amp;$F$1,'Input RM sheet'!$A:$DD,AD1,0)</f>
        <v>449.94</v>
      </c>
      <c r="AE6" s="30">
        <f>VLOOKUP($G$6&amp;$F$1,'Input RM sheet'!$A:$DD,AE1,0)</f>
        <v>439.55</v>
      </c>
      <c r="AF6" s="30">
        <f>VLOOKUP($G$6&amp;$F$1,'Input RM sheet'!$A:$DD,AF1,0)</f>
        <v>416.18</v>
      </c>
      <c r="AG6" s="30">
        <f>VLOOKUP($G$6&amp;$F$1,'Input RM sheet'!$A:$DD,AG1,0)</f>
        <v>449.35</v>
      </c>
      <c r="AH6" s="30">
        <f>VLOOKUP($G$6&amp;$F$1,'Input RM sheet'!$A:$DD,AH1,0)</f>
        <v>516.9</v>
      </c>
      <c r="AI6" s="30">
        <f>VLOOKUP($G$6&amp;$F$1,'Input RM sheet'!$A:$DD,AI1,0)</f>
        <v>482.16</v>
      </c>
      <c r="AJ6" s="30">
        <f>VLOOKUP($G$6&amp;$F$1,'Input RM sheet'!$A:$DD,AJ1,0)</f>
        <v>421.71</v>
      </c>
      <c r="AK6" s="30">
        <f>VLOOKUP($G$6&amp;$F$1,'Input RM sheet'!$A:$DD,AK1,0)</f>
        <v>427.14</v>
      </c>
      <c r="AL6" s="30">
        <f>VLOOKUP($G$6&amp;$F$1,'Input RM sheet'!$A:$DD,AL1,0)</f>
        <v>377.24</v>
      </c>
      <c r="AM6" s="30">
        <f>VLOOKUP($G$6&amp;$F$1,'Input RM sheet'!$A:$DD,AM1,0)</f>
        <v>374.18</v>
      </c>
      <c r="AN6" s="30">
        <f>VLOOKUP($G$6&amp;$F$1,'Input RM sheet'!$A:$DD,AN1,0)</f>
        <v>373.62</v>
      </c>
      <c r="AO6" s="30">
        <f>VLOOKUP($G$6&amp;$F$1,'Input RM sheet'!$A:$DD,AO1,0)</f>
        <v>397.78</v>
      </c>
      <c r="AP6" s="30">
        <f>VLOOKUP($G$6&amp;$F$1,'Input RM sheet'!$A:$DD,AP1,0)</f>
        <v>396.14</v>
      </c>
      <c r="AQ6" s="30">
        <f>VLOOKUP($G$6&amp;$F$1,'Input RM sheet'!$A:$DD,AQ1,0)</f>
        <v>392.04</v>
      </c>
      <c r="AR6" s="30">
        <f>VLOOKUP($G$6&amp;$F$1,'Input RM sheet'!$A:$DD,AR1,0)</f>
        <v>392.33</v>
      </c>
      <c r="AS6" s="30">
        <f>VLOOKUP($G$6&amp;$F$1,'Input RM sheet'!$A:$DD,AS1,0)</f>
        <v>398.09</v>
      </c>
      <c r="AT6" s="30">
        <f>VLOOKUP($G$6&amp;$F$1,'Input RM sheet'!$A:$DD,AT1,0)</f>
        <v>392.27</v>
      </c>
      <c r="AU6" s="30">
        <f>VLOOKUP($G$6&amp;$F$1,'Input RM sheet'!$A:$DD,AU1,0)</f>
        <v>369.57</v>
      </c>
      <c r="AV6" s="30">
        <f>VLOOKUP($G$6&amp;$F$1,'Input RM sheet'!$A:$DD,AV1,0)</f>
        <v>353.05</v>
      </c>
      <c r="AW6" s="30">
        <f>VLOOKUP($G$6&amp;$F$1,'Input RM sheet'!$A:$DD,AW1,0)</f>
        <v>308.77999999999997</v>
      </c>
      <c r="AX6" s="30">
        <f>VLOOKUP($G$6&amp;$F$1,'Input RM sheet'!$A:$DD,AX1,0)</f>
        <v>308.77999999999997</v>
      </c>
      <c r="AY6" s="30">
        <f>VLOOKUP($G$6&amp;$F$1,'Input RM sheet'!$A:$DD,AY1,0)</f>
        <v>303.72000000000003</v>
      </c>
      <c r="AZ6" s="30">
        <f>VLOOKUP($G$6&amp;$F$1,'Input RM sheet'!$A:$DD,AZ1,0)</f>
        <v>304.04000000000002</v>
      </c>
      <c r="BA6" s="30">
        <f>VLOOKUP($G$6&amp;$F$1,'Input RM sheet'!$A:$DD,BA1,0)</f>
        <v>304.52</v>
      </c>
      <c r="BB6" s="30">
        <f>VLOOKUP($G$6&amp;$F$1,'Input RM sheet'!$A:$DD,BB1,0)</f>
        <v>305.58999999999997</v>
      </c>
      <c r="BC6" s="30">
        <f>VLOOKUP($G$6&amp;$F$1,'Input RM sheet'!$A:$DD,BC1,0)</f>
        <v>326.83</v>
      </c>
      <c r="BD6" s="30">
        <f>VLOOKUP($G$6&amp;$F$1,'Input RM sheet'!$A:$DD,BD1,0)</f>
        <v>325.62</v>
      </c>
      <c r="BE6" s="30">
        <f>VLOOKUP($G$6&amp;$F$1,'Input RM sheet'!$A:$DD,BE1,0)</f>
        <v>325.24</v>
      </c>
      <c r="BF6" s="30">
        <f>VLOOKUP($G$6&amp;$F$1,'Input RM sheet'!$A:$DD,BF1,0)</f>
        <v>325.11</v>
      </c>
      <c r="BG6" s="30">
        <f>VLOOKUP($G$6&amp;$F$1,'Input RM sheet'!$A:$DD,BG1,0)</f>
        <v>325.11</v>
      </c>
      <c r="BH6" s="30">
        <f>VLOOKUP($G$6&amp;$F$1,'Input RM sheet'!$A:$DD,BH1,0)</f>
        <v>350.84</v>
      </c>
      <c r="BI6" s="30">
        <f>VLOOKUP($G$6&amp;$F$1,'Input RM sheet'!$A:$DD,BI1,0)</f>
        <v>350.84</v>
      </c>
      <c r="BJ6" s="30">
        <f>VLOOKUP($G$6&amp;$F$1,'Input RM sheet'!$A:$DD,BJ1,0)</f>
        <v>350.84</v>
      </c>
      <c r="BK6" s="30">
        <f>VLOOKUP($G$6&amp;$F$1,'Input RM sheet'!$A:$DD,BK1,0)</f>
        <v>351.01</v>
      </c>
      <c r="BL6" s="30">
        <f>VLOOKUP($G$6&amp;$F$1,'Input RM sheet'!$A:$DD,BL1,0)</f>
        <v>350.1</v>
      </c>
      <c r="BM6" s="30">
        <f>VLOOKUP($G$6&amp;$F$1,'Input RM sheet'!$A:$DD,BM1,0)</f>
        <v>349.64</v>
      </c>
      <c r="BN6" s="30">
        <f>VLOOKUP($G$6&amp;$F$1,'Input RM sheet'!$A:$DD,BN1,0)</f>
        <v>349.58</v>
      </c>
      <c r="BO6" s="30">
        <f>VLOOKUP($G$6&amp;$F$1,'Input RM sheet'!$A:$DD,BO1,0)</f>
        <v>340.82</v>
      </c>
      <c r="BP6" s="30">
        <f>VLOOKUP($G$6&amp;$F$1,'Input RM sheet'!$A:$DD,BP1,0)</f>
        <v>340.82</v>
      </c>
      <c r="BQ6" s="30">
        <f>VLOOKUP($G$6&amp;$F$1,'Input RM sheet'!$A:$DD,BQ1,0)</f>
        <v>343.48</v>
      </c>
      <c r="BR6" s="30">
        <f>VLOOKUP($G$6&amp;$F$1,'Input RM sheet'!$A:$DD,BR1,0)</f>
        <v>344.44</v>
      </c>
      <c r="BS6" s="30">
        <f>VLOOKUP($G$6&amp;$F$1,'Input RM sheet'!$A:$DD,BS1,0)</f>
        <v>349.73</v>
      </c>
      <c r="BT6" s="30">
        <f>VLOOKUP($G$6&amp;$F$1,'Input RM sheet'!$A:$DD,BT1,0)</f>
        <v>349.54</v>
      </c>
      <c r="BU6" s="30">
        <f>VLOOKUP($G$6&amp;$F$1,'Input RM sheet'!$A:$DD,BU1,0)</f>
        <v>349.54</v>
      </c>
      <c r="BV6" s="30">
        <f>VLOOKUP($G$6&amp;$F$1,'Input RM sheet'!$A:$DD,BV1,0)</f>
        <v>352.51</v>
      </c>
      <c r="BW6" s="30">
        <f>VLOOKUP($G$6&amp;$F$1,'Input RM sheet'!$A:$DD,BW1,0)</f>
        <v>352.16</v>
      </c>
      <c r="BX6" s="30">
        <f>VLOOKUP($G$6&amp;$F$1,'Input RM sheet'!$A:$DD,BX1,0)</f>
        <v>352.16</v>
      </c>
      <c r="BY6" s="30">
        <f>VLOOKUP($G$6&amp;$F$1,'Input RM sheet'!$A:$DD,BY1,0)</f>
        <v>360.6</v>
      </c>
      <c r="BZ6" s="30">
        <f>VLOOKUP($G$6&amp;$F$1,'Input RM sheet'!$A:$DD,BZ1,0)</f>
        <v>360.6</v>
      </c>
      <c r="CA6" s="30">
        <f>VLOOKUP($G$6&amp;$F$1,'Input RM sheet'!$A:$DD,CA1,0)</f>
        <v>360.6</v>
      </c>
      <c r="CB6" s="30">
        <f>VLOOKUP($G$6&amp;$F$1,'Input RM sheet'!$A:$DD,CB1,0)</f>
        <v>370.21</v>
      </c>
      <c r="CC6" s="30">
        <f>VLOOKUP($G$6&amp;$F$1,'Input RM sheet'!$A:$DD,CC1,0)</f>
        <v>370.21</v>
      </c>
      <c r="CD6" s="30">
        <f>VLOOKUP($G$6&amp;$F$1,'Input RM sheet'!$A:$DD,CD1,0)</f>
        <v>370.15</v>
      </c>
      <c r="CE6" s="30">
        <f>VLOOKUP($G$6&amp;$F$1,'Input RM sheet'!$A:$DD,CE1,0)</f>
        <v>370.15</v>
      </c>
      <c r="CF6" s="30">
        <f>VLOOKUP($G$6&amp;$F$1,'Input RM sheet'!$A:$DD,CF1,0)</f>
        <v>379.02</v>
      </c>
      <c r="CG6" s="30">
        <f>VLOOKUP($G$6&amp;$F$1,'Input RM sheet'!$A:$DD,CG1,0)</f>
        <v>378.45</v>
      </c>
      <c r="CH6" s="30">
        <f>VLOOKUP($G$6&amp;$F$1,'Input RM sheet'!$A:$DD,CH1,0)</f>
        <v>356.6</v>
      </c>
      <c r="CI6" s="30">
        <f>VLOOKUP($G$6&amp;$F$1,'Input RM sheet'!$A:$DD,CI1,0)</f>
        <v>356.6</v>
      </c>
      <c r="CJ6" s="30">
        <f>VLOOKUP($G$6&amp;$F$1,'Input RM sheet'!$A:$DD,CJ1,0)</f>
        <v>356.6</v>
      </c>
      <c r="CK6" s="30">
        <f>VLOOKUP($G$6&amp;$F$1,'Input RM sheet'!$A:$DD,CK1,0)</f>
        <v>356.6</v>
      </c>
      <c r="CL6" s="30">
        <f>VLOOKUP($G$6&amp;$F$1,'Input RM sheet'!$A:$DD,CL1,0)</f>
        <v>371.92</v>
      </c>
      <c r="CM6" s="30">
        <f>VLOOKUP($G$6&amp;$F$1,'Input RM sheet'!$A:$DD,CM1,0)</f>
        <v>371.92</v>
      </c>
      <c r="CN6" s="30">
        <f>VLOOKUP($G$6&amp;$F$1,'Input RM sheet'!$A:$DD,CN1,0)</f>
        <v>371.92</v>
      </c>
      <c r="CO6" s="30">
        <f>VLOOKUP($G$6&amp;$F$1,'Input RM sheet'!$A:$DD,CO1,0)</f>
        <v>371.92</v>
      </c>
      <c r="CP6" s="30">
        <f>VLOOKUP($G$6&amp;$F$1,'Input RM sheet'!$A:$DD,CP1,0)</f>
        <v>371.92</v>
      </c>
      <c r="CQ6" s="30">
        <f>VLOOKUP($G$6&amp;$F$1,'Input RM sheet'!$A:$DD,CQ1,0)</f>
        <v>374.77</v>
      </c>
      <c r="CR6" s="30">
        <f>VLOOKUP($G$6&amp;$F$1,'Input RM sheet'!$A:$DD,CR1,0)</f>
        <v>370.59</v>
      </c>
      <c r="CS6" s="30">
        <f>VLOOKUP($G$6&amp;$F$1,'Input RM sheet'!$A:$ZZ,CS1,0)</f>
        <v>370.59</v>
      </c>
      <c r="CT6" s="30">
        <f>VLOOKUP($G$6&amp;$F$1,'Input RM sheet'!$A:$ZZ,CT1,0)</f>
        <v>370.03</v>
      </c>
      <c r="CU6" s="30">
        <f>VLOOKUP($G$6&amp;$F$1,'Input RM sheet'!$A:$ZZ,CU1,0)</f>
        <v>370.03</v>
      </c>
      <c r="CV6" s="30">
        <f>VLOOKUP($G$6&amp;$F$1,'Input RM sheet'!$A:$ZZ,CV1,0)</f>
        <v>353.02</v>
      </c>
      <c r="CW6" s="30">
        <f>VLOOKUP($G$6&amp;$F$1,'Input RM sheet'!$A:$ZZ,CW1,0)</f>
        <v>352.98</v>
      </c>
      <c r="CX6" s="30">
        <f>VLOOKUP($G$6&amp;$F$1,'Input RM sheet'!$A:$ZZ,CX1,0)</f>
        <v>348.34</v>
      </c>
      <c r="CY6" s="30">
        <f>VLOOKUP($G$6&amp;$F$1,'Input RM sheet'!$A:$ZZ,CY1,0)</f>
        <v>348.34</v>
      </c>
      <c r="CZ6" s="30">
        <f>VLOOKUP($G$6&amp;$F$1,'Input RM sheet'!$A:$ZZ,CZ1,0)</f>
        <v>348.34</v>
      </c>
      <c r="DA6" s="30">
        <f>VLOOKUP($G$6&amp;$F$1,'Input RM sheet'!$A:$ZZ,DA1,0)</f>
        <v>349.02</v>
      </c>
      <c r="DB6" s="30">
        <f>VLOOKUP($G$6&amp;$F$1,'Input RM sheet'!$A:$ZZ,DB1,0)</f>
        <v>350.01</v>
      </c>
      <c r="DC6" s="30">
        <f>VLOOKUP($G$6&amp;$F$1,'Input RM sheet'!$A:$ZZ,DC1,0)</f>
        <v>347</v>
      </c>
      <c r="DD6" s="30">
        <f>VLOOKUP($G$6&amp;$F$1,'Input RM sheet'!$A:$ZZ,DD1,0)</f>
        <v>347</v>
      </c>
      <c r="DE6" s="30">
        <f>VLOOKUP($G$6&amp;$F$1,'Input RM sheet'!$A:$ZZ,DE1,0)</f>
        <v>347</v>
      </c>
      <c r="DF6" s="30">
        <f>VLOOKUP($G$6&amp;$F$1,'Input RM sheet'!$A:$ZZ,DF1,0)</f>
        <v>347</v>
      </c>
      <c r="DG6" s="30">
        <f>VLOOKUP($G$6&amp;$F$1,'Input RM sheet'!$A:$ZZ,DG1,0)</f>
        <v>348.8</v>
      </c>
      <c r="DH6" s="30">
        <f>VLOOKUP($G$6&amp;$F$1,'Input RM sheet'!$A:$ZZ,DH1,0)</f>
        <v>348.8</v>
      </c>
      <c r="DI6" s="30">
        <f>VLOOKUP($G$6&amp;$F$1,'Input RM sheet'!$A:$ZZ,DI1,0)</f>
        <v>369.12</v>
      </c>
      <c r="DJ6" s="30">
        <f>VLOOKUP($G$6&amp;$F$1,'Input RM sheet'!$A:$ZZ,DJ1,0)</f>
        <v>369.12</v>
      </c>
      <c r="DK6" s="30">
        <f>VLOOKUP($G$6&amp;$F$1,'Input RM sheet'!$A:$ZZ,DK1,0)</f>
        <v>368.91</v>
      </c>
      <c r="DL6" s="30">
        <f>VLOOKUP($G$6&amp;$F$1,'Input RM sheet'!$A:$ZZ,DL1,0)</f>
        <v>368.91</v>
      </c>
      <c r="DM6" s="30">
        <f>VLOOKUP($G$6&amp;$F$1,'Input RM sheet'!$A:$ZZ,DM1,0)</f>
        <v>346.74</v>
      </c>
      <c r="DN6" s="30">
        <f>VLOOKUP($G$6&amp;$F$1,'Input RM sheet'!$A:$ZZ,DN1,0)</f>
        <v>346.26</v>
      </c>
      <c r="DO6" s="30">
        <f>VLOOKUP($G$6&amp;$F$1,'Input RM sheet'!$A:$ZZ,DO1,0)</f>
        <v>346.26</v>
      </c>
      <c r="DP6" s="30">
        <f>VLOOKUP($G$6&amp;$F$1,'Input RM sheet'!$A:$ZZ,DP1,0)</f>
        <v>347.74</v>
      </c>
      <c r="DQ6" s="30">
        <f>VLOOKUP($G$6&amp;$F$1,'Input RM sheet'!$A:$ZZ,DQ1,0)</f>
        <v>347.29</v>
      </c>
      <c r="DR6" s="30">
        <f>VLOOKUP($G$6&amp;$F$1,'Input RM sheet'!$A:$ZZ,DR1,0)</f>
        <v>346.47</v>
      </c>
    </row>
    <row r="7" spans="1:126" s="200" customFormat="1">
      <c r="A7" s="199" t="s">
        <v>395</v>
      </c>
      <c r="B7" s="199"/>
      <c r="C7" s="199" t="s">
        <v>379</v>
      </c>
      <c r="D7" s="199" t="s">
        <v>380</v>
      </c>
      <c r="E7" s="199" t="s">
        <v>381</v>
      </c>
      <c r="F7" s="199" t="s">
        <v>396</v>
      </c>
      <c r="H7" s="201">
        <v>44562</v>
      </c>
      <c r="I7" s="201">
        <v>44593</v>
      </c>
      <c r="J7" s="201">
        <v>44621</v>
      </c>
      <c r="K7" s="201">
        <v>44652</v>
      </c>
      <c r="L7" s="201">
        <v>44682</v>
      </c>
      <c r="M7" s="201">
        <v>44713</v>
      </c>
      <c r="N7" s="201">
        <v>44743</v>
      </c>
      <c r="O7" s="201">
        <v>44774</v>
      </c>
      <c r="P7" s="201">
        <v>44805</v>
      </c>
      <c r="Q7" s="201">
        <v>44835</v>
      </c>
      <c r="R7" s="201">
        <v>44866</v>
      </c>
      <c r="S7" s="201">
        <v>44896</v>
      </c>
    </row>
    <row r="8" spans="1:126" s="30" customFormat="1">
      <c r="A8" s="374" t="s">
        <v>397</v>
      </c>
      <c r="B8" s="30" t="s">
        <v>30</v>
      </c>
      <c r="C8" s="202">
        <v>0.37</v>
      </c>
      <c r="E8" s="30">
        <f>C8*D8</f>
        <v>0</v>
      </c>
      <c r="F8" s="30">
        <v>0.37</v>
      </c>
      <c r="H8" s="153">
        <f>$F$8*H5</f>
        <v>0</v>
      </c>
      <c r="I8" s="153">
        <f t="shared" ref="I8:BE8" si="0">$F$8*I5</f>
        <v>0</v>
      </c>
      <c r="J8" s="153">
        <f t="shared" si="0"/>
        <v>0</v>
      </c>
      <c r="K8" s="153">
        <f t="shared" si="0"/>
        <v>0</v>
      </c>
      <c r="L8" s="153">
        <f t="shared" si="0"/>
        <v>0</v>
      </c>
      <c r="M8" s="153">
        <f t="shared" si="0"/>
        <v>0</v>
      </c>
      <c r="N8" s="153">
        <f t="shared" si="0"/>
        <v>0</v>
      </c>
      <c r="O8" s="153">
        <f t="shared" si="0"/>
        <v>0</v>
      </c>
      <c r="P8" s="153">
        <f t="shared" si="0"/>
        <v>0</v>
      </c>
      <c r="Q8" s="153">
        <f t="shared" si="0"/>
        <v>0</v>
      </c>
      <c r="R8" s="153">
        <f t="shared" si="0"/>
        <v>0</v>
      </c>
      <c r="S8" s="153">
        <f t="shared" si="0"/>
        <v>0</v>
      </c>
      <c r="T8" s="153">
        <f t="shared" si="0"/>
        <v>0.6892320723043146</v>
      </c>
      <c r="U8" s="153">
        <f t="shared" si="0"/>
        <v>0.69091221196843522</v>
      </c>
      <c r="V8" s="153">
        <f t="shared" si="0"/>
        <v>0.69008613482886894</v>
      </c>
      <c r="W8" s="153">
        <f t="shared" si="0"/>
        <v>0.6685746040186985</v>
      </c>
      <c r="X8" s="153">
        <f t="shared" si="0"/>
        <v>0.69835373223489527</v>
      </c>
      <c r="Y8" s="153">
        <f t="shared" si="0"/>
        <v>0.71716747279157145</v>
      </c>
      <c r="Z8" s="153">
        <f t="shared" si="0"/>
        <v>0.73783291984996813</v>
      </c>
      <c r="AA8" s="153">
        <f t="shared" si="0"/>
        <v>0.97291986361104199</v>
      </c>
      <c r="AB8" s="153">
        <f t="shared" si="0"/>
        <v>1.8396745598763873</v>
      </c>
      <c r="AC8" s="153">
        <f t="shared" si="0"/>
        <v>2.6852964896619649</v>
      </c>
      <c r="AD8" s="153">
        <f t="shared" si="0"/>
        <v>1.5754844699751676</v>
      </c>
      <c r="AE8" s="153">
        <f t="shared" si="0"/>
        <v>1.1873145899980693</v>
      </c>
      <c r="AF8" s="153">
        <f t="shared" si="0"/>
        <v>1.0745811778515215</v>
      </c>
      <c r="AG8" s="153">
        <f t="shared" si="0"/>
        <v>1.0992892858600583</v>
      </c>
      <c r="AH8" s="153">
        <f t="shared" si="0"/>
        <v>1.1979585000019941</v>
      </c>
      <c r="AI8" s="153">
        <f t="shared" si="0"/>
        <v>1.0439023909654721</v>
      </c>
      <c r="AJ8" s="153">
        <f t="shared" si="0"/>
        <v>0.96956805604820839</v>
      </c>
      <c r="AK8" s="153">
        <f t="shared" si="0"/>
        <v>0.8799179596154949</v>
      </c>
      <c r="AL8" s="153">
        <f t="shared" si="0"/>
        <v>0.87243340356208499</v>
      </c>
      <c r="AM8" s="153">
        <f t="shared" si="0"/>
        <v>0.95069379952657351</v>
      </c>
      <c r="AN8" s="153">
        <f t="shared" si="0"/>
        <v>0.94824205360136349</v>
      </c>
      <c r="AO8" s="153">
        <f t="shared" si="0"/>
        <v>0.96558662201011125</v>
      </c>
      <c r="AP8" s="153">
        <f t="shared" si="0"/>
        <v>0.97094389364513956</v>
      </c>
      <c r="AQ8" s="153">
        <f t="shared" si="0"/>
        <v>0.93586374815027851</v>
      </c>
      <c r="AR8" s="153">
        <f t="shared" si="0"/>
        <v>0.90319187218743624</v>
      </c>
      <c r="AS8" s="153">
        <f t="shared" si="0"/>
        <v>0.84788415131328787</v>
      </c>
      <c r="AT8" s="153">
        <f t="shared" si="0"/>
        <v>0.82899944946992399</v>
      </c>
      <c r="AU8" s="153">
        <f t="shared" si="0"/>
        <v>0.76702159086530441</v>
      </c>
      <c r="AV8" s="153">
        <f t="shared" si="0"/>
        <v>0.7303213786679088</v>
      </c>
      <c r="AW8" s="153">
        <f t="shared" si="0"/>
        <v>0.62414169207506021</v>
      </c>
      <c r="AX8" s="153">
        <f t="shared" si="0"/>
        <v>0.6205431797375649</v>
      </c>
      <c r="AY8" s="153">
        <f t="shared" si="0"/>
        <v>0.6205431797375649</v>
      </c>
      <c r="AZ8" s="153">
        <f t="shared" si="0"/>
        <v>0.61985004916420849</v>
      </c>
      <c r="BA8" s="153">
        <f t="shared" si="0"/>
        <v>0.62418466489262958</v>
      </c>
      <c r="BB8" s="153">
        <f t="shared" si="0"/>
        <v>0.6172780572589629</v>
      </c>
      <c r="BC8" s="153">
        <f t="shared" si="0"/>
        <v>0.61388175433044045</v>
      </c>
      <c r="BD8" s="153">
        <f t="shared" si="0"/>
        <v>0.63106206829576217</v>
      </c>
      <c r="BE8" s="153">
        <f t="shared" si="0"/>
        <v>0.64723163018803798</v>
      </c>
      <c r="BF8" s="153">
        <f t="shared" ref="BF8:BM8" si="1">$F$8*BF5</f>
        <v>0.64546081861433613</v>
      </c>
      <c r="BG8" s="153">
        <f t="shared" si="1"/>
        <v>0.68585891693069678</v>
      </c>
      <c r="BH8" s="153">
        <f t="shared" si="1"/>
        <v>0.69433870772214812</v>
      </c>
      <c r="BI8" s="153">
        <f t="shared" si="1"/>
        <v>0.68491938416777809</v>
      </c>
      <c r="BJ8" s="153">
        <f t="shared" si="1"/>
        <v>0.71048611952964003</v>
      </c>
      <c r="BK8" s="153">
        <f t="shared" si="1"/>
        <v>0.7185349065880039</v>
      </c>
      <c r="BL8" s="153">
        <f t="shared" si="1"/>
        <v>0.70100359551105906</v>
      </c>
      <c r="BM8" s="153">
        <f t="shared" si="1"/>
        <v>0.69333623482760287</v>
      </c>
      <c r="BN8" s="153">
        <f t="shared" ref="BN8:BU8" si="2">$F$8*BN5</f>
        <v>0.69450158853817978</v>
      </c>
      <c r="BO8" s="153">
        <f t="shared" si="2"/>
        <v>0.68463395012067574</v>
      </c>
      <c r="BP8" s="153">
        <f t="shared" si="2"/>
        <v>0.68463395012067574</v>
      </c>
      <c r="BQ8" s="153">
        <f t="shared" si="2"/>
        <v>0.70006232082762065</v>
      </c>
      <c r="BR8" s="153">
        <f t="shared" si="2"/>
        <v>0.69751617461143756</v>
      </c>
      <c r="BS8" s="153">
        <f t="shared" si="2"/>
        <v>0.70474431144451244</v>
      </c>
      <c r="BT8" s="153">
        <f t="shared" si="2"/>
        <v>0.69883037316665653</v>
      </c>
      <c r="BU8" s="153">
        <f t="shared" si="2"/>
        <v>0.72136999638029398</v>
      </c>
      <c r="BV8" s="153">
        <f t="shared" ref="BV8:CH8" si="3">$F$8*BV5</f>
        <v>0.7198928081764927</v>
      </c>
      <c r="BW8" s="153">
        <f t="shared" si="3"/>
        <v>0.71758693755453073</v>
      </c>
      <c r="BX8" s="153">
        <f t="shared" si="3"/>
        <v>0.70775330615491694</v>
      </c>
      <c r="BY8" s="153">
        <f t="shared" si="3"/>
        <v>0.70414348480888189</v>
      </c>
      <c r="BZ8" s="153">
        <f t="shared" si="3"/>
        <v>0.70414348480888189</v>
      </c>
      <c r="CA8" s="153">
        <f t="shared" si="3"/>
        <v>0.69630878678597363</v>
      </c>
      <c r="CB8" s="153">
        <f t="shared" si="3"/>
        <v>0.69499839771242644</v>
      </c>
      <c r="CC8" s="153">
        <f t="shared" si="3"/>
        <v>0.68215339233038352</v>
      </c>
      <c r="CD8" s="153">
        <f t="shared" si="3"/>
        <v>0.68215339233038352</v>
      </c>
      <c r="CE8" s="153">
        <f t="shared" si="3"/>
        <v>0.68131732689131563</v>
      </c>
      <c r="CF8" s="153">
        <f t="shared" si="3"/>
        <v>0.65940234844213474</v>
      </c>
      <c r="CG8" s="153">
        <f t="shared" si="3"/>
        <v>0.63358180638685901</v>
      </c>
      <c r="CH8" s="153">
        <f t="shared" si="3"/>
        <v>0.61954246686005943</v>
      </c>
      <c r="CI8" s="153">
        <f t="shared" ref="CI8:CS8" si="4">$F$8*CI5</f>
        <v>0.61868674522075007</v>
      </c>
      <c r="CJ8" s="153">
        <f t="shared" si="4"/>
        <v>0.61868674522075007</v>
      </c>
      <c r="CK8" s="153">
        <f t="shared" si="4"/>
        <v>0.6177822324353397</v>
      </c>
      <c r="CL8" s="153">
        <f t="shared" si="4"/>
        <v>0.62035275490039665</v>
      </c>
      <c r="CM8" s="153">
        <f t="shared" si="4"/>
        <v>0.61456076573764684</v>
      </c>
      <c r="CN8" s="153">
        <f t="shared" si="4"/>
        <v>0.61048482845567265</v>
      </c>
      <c r="CO8" s="153">
        <f t="shared" si="4"/>
        <v>0.61048482845567265</v>
      </c>
      <c r="CP8" s="153">
        <f t="shared" si="4"/>
        <v>0.61048482845567265</v>
      </c>
      <c r="CQ8" s="153">
        <f t="shared" si="4"/>
        <v>0.60964161736664546</v>
      </c>
      <c r="CR8" s="153">
        <f t="shared" si="4"/>
        <v>0.6082848481885299</v>
      </c>
      <c r="CS8" s="153">
        <f t="shared" si="4"/>
        <v>0.60615812184597395</v>
      </c>
      <c r="CT8" s="153">
        <f>$F$8*CT5</f>
        <v>0.59496536865041205</v>
      </c>
      <c r="CU8" s="153">
        <f>$F$8*CU5</f>
        <v>0.58685834621611421</v>
      </c>
      <c r="CV8" s="153">
        <f>$F$8*CV5</f>
        <v>0.57109469148275738</v>
      </c>
      <c r="CW8" s="153">
        <f t="shared" ref="CW8:DR8" si="5">$F$8*CW5</f>
        <v>0.55816639113099287</v>
      </c>
      <c r="CX8" s="153">
        <f t="shared" si="5"/>
        <v>0.54798712346540357</v>
      </c>
      <c r="CY8" s="153">
        <f t="shared" si="5"/>
        <v>0.55211611804347027</v>
      </c>
      <c r="CZ8" s="153">
        <f t="shared" si="5"/>
        <v>0.54815490423250435</v>
      </c>
      <c r="DA8" s="153">
        <f t="shared" si="5"/>
        <v>0.54679126183550975</v>
      </c>
      <c r="DB8" s="153">
        <f t="shared" si="5"/>
        <v>0.54986744333669391</v>
      </c>
      <c r="DC8" s="153">
        <f t="shared" si="5"/>
        <v>0.55326584869628181</v>
      </c>
      <c r="DD8" s="153">
        <f t="shared" si="5"/>
        <v>0.5517095453244214</v>
      </c>
      <c r="DE8" s="153">
        <f t="shared" si="5"/>
        <v>0.55561683672190332</v>
      </c>
      <c r="DF8" s="153">
        <f t="shared" si="5"/>
        <v>0.55831631495348311</v>
      </c>
      <c r="DG8" s="153">
        <f t="shared" si="5"/>
        <v>0.55784988528351376</v>
      </c>
      <c r="DH8" s="153">
        <f t="shared" si="5"/>
        <v>0.55355164731214923</v>
      </c>
      <c r="DI8" s="153">
        <f t="shared" si="5"/>
        <v>0.55199890776849669</v>
      </c>
      <c r="DJ8" s="153">
        <f t="shared" si="5"/>
        <v>0.5535187526337968</v>
      </c>
      <c r="DK8" s="153">
        <f t="shared" si="5"/>
        <v>0.5581569022814683</v>
      </c>
      <c r="DL8" s="153">
        <f t="shared" si="5"/>
        <v>0.54889288730584229</v>
      </c>
      <c r="DM8" s="153">
        <f t="shared" si="5"/>
        <v>0.54813474795873474</v>
      </c>
      <c r="DN8" s="153">
        <f t="shared" si="5"/>
        <v>0.54436968234232919</v>
      </c>
      <c r="DO8" s="153">
        <f t="shared" si="5"/>
        <v>0.54362089323319263</v>
      </c>
      <c r="DP8" s="153">
        <f t="shared" si="5"/>
        <v>0.54001777215128255</v>
      </c>
      <c r="DQ8" s="153">
        <f t="shared" si="5"/>
        <v>0.53045146096604634</v>
      </c>
      <c r="DR8" s="153">
        <f t="shared" si="5"/>
        <v>0.52703357982785803</v>
      </c>
    </row>
    <row r="9" spans="1:126" s="30" customFormat="1" ht="13">
      <c r="A9" s="374"/>
      <c r="B9" s="203" t="s">
        <v>511</v>
      </c>
      <c r="C9" s="202">
        <v>0.19</v>
      </c>
      <c r="E9" s="30">
        <f>C9*D9</f>
        <v>0</v>
      </c>
    </row>
    <row r="10" spans="1:126" s="30" customFormat="1" ht="13">
      <c r="A10" s="374"/>
      <c r="B10" s="203" t="s">
        <v>512</v>
      </c>
      <c r="C10" s="202">
        <v>0.26</v>
      </c>
      <c r="E10" s="30">
        <f>C10*D10</f>
        <v>0</v>
      </c>
      <c r="G10" s="204"/>
      <c r="H10" s="46"/>
      <c r="I10" s="46"/>
      <c r="J10" s="46"/>
      <c r="K10" s="46"/>
      <c r="L10" s="46"/>
      <c r="M10" s="46"/>
      <c r="N10" s="46"/>
      <c r="O10" s="46"/>
      <c r="P10" s="46"/>
      <c r="Q10" s="46"/>
      <c r="R10" s="46"/>
      <c r="S10" s="46"/>
    </row>
    <row r="11" spans="1:126" s="30" customFormat="1" ht="13">
      <c r="A11" s="374"/>
      <c r="B11" s="203" t="s">
        <v>36</v>
      </c>
      <c r="C11" s="202">
        <v>0.11</v>
      </c>
      <c r="E11" s="30">
        <f>C11*D11</f>
        <v>0</v>
      </c>
      <c r="F11" s="30">
        <v>0.11</v>
      </c>
      <c r="H11" s="97">
        <f>(H6/1000)*$C$11</f>
        <v>3.7013900000000002E-2</v>
      </c>
      <c r="I11" s="97">
        <f t="shared" ref="I11:BE11" si="6">(I6/1000)*$C$11</f>
        <v>3.3805200000000001E-2</v>
      </c>
      <c r="J11" s="97">
        <f t="shared" si="6"/>
        <v>3.1543600000000005E-2</v>
      </c>
      <c r="K11" s="97">
        <f t="shared" si="6"/>
        <v>2.4889700000000001E-2</v>
      </c>
      <c r="L11" s="97">
        <f t="shared" si="6"/>
        <v>2.69445E-2</v>
      </c>
      <c r="M11" s="97">
        <f t="shared" si="6"/>
        <v>2.3764399999999998E-2</v>
      </c>
      <c r="N11" s="97">
        <f t="shared" si="6"/>
        <v>2.5340700000000001E-2</v>
      </c>
      <c r="O11" s="97">
        <f t="shared" si="6"/>
        <v>2.6030399999999999E-2</v>
      </c>
      <c r="P11" s="97">
        <f t="shared" si="6"/>
        <v>3.0268700000000003E-2</v>
      </c>
      <c r="Q11" s="97">
        <f t="shared" si="6"/>
        <v>3.12477E-2</v>
      </c>
      <c r="R11" s="97">
        <f t="shared" si="6"/>
        <v>3.2737100000000005E-2</v>
      </c>
      <c r="S11" s="97">
        <f t="shared" si="6"/>
        <v>3.7758600000000003E-2</v>
      </c>
      <c r="T11" s="97">
        <f t="shared" si="6"/>
        <v>4.3406E-2</v>
      </c>
      <c r="U11" s="97">
        <f t="shared" si="6"/>
        <v>4.0665900000000005E-2</v>
      </c>
      <c r="V11" s="97">
        <f t="shared" si="6"/>
        <v>4.3495100000000002E-2</v>
      </c>
      <c r="W11" s="97">
        <f t="shared" si="6"/>
        <v>4.0468999999999998E-2</v>
      </c>
      <c r="X11" s="97">
        <f t="shared" si="6"/>
        <v>4.3285000000000004E-2</v>
      </c>
      <c r="Y11" s="97">
        <f t="shared" si="6"/>
        <v>4.7931399999999999E-2</v>
      </c>
      <c r="Z11" s="97">
        <f t="shared" si="6"/>
        <v>4.5009799999999996E-2</v>
      </c>
      <c r="AA11" s="97">
        <f t="shared" si="6"/>
        <v>4.66928E-2</v>
      </c>
      <c r="AB11" s="97">
        <f t="shared" si="6"/>
        <v>4.66752E-2</v>
      </c>
      <c r="AC11" s="97">
        <f t="shared" si="6"/>
        <v>5.1477800000000004E-2</v>
      </c>
      <c r="AD11" s="97">
        <f t="shared" si="6"/>
        <v>4.94934E-2</v>
      </c>
      <c r="AE11" s="97">
        <f t="shared" si="6"/>
        <v>4.8350499999999998E-2</v>
      </c>
      <c r="AF11" s="97">
        <f t="shared" si="6"/>
        <v>4.5779800000000002E-2</v>
      </c>
      <c r="AG11" s="97">
        <f t="shared" si="6"/>
        <v>4.94285E-2</v>
      </c>
      <c r="AH11" s="97">
        <f t="shared" si="6"/>
        <v>5.6859E-2</v>
      </c>
      <c r="AI11" s="97">
        <f t="shared" si="6"/>
        <v>5.3037600000000004E-2</v>
      </c>
      <c r="AJ11" s="97">
        <f t="shared" si="6"/>
        <v>4.6388099999999995E-2</v>
      </c>
      <c r="AK11" s="97">
        <f t="shared" si="6"/>
        <v>4.6985399999999997E-2</v>
      </c>
      <c r="AL11" s="97">
        <f t="shared" si="6"/>
        <v>4.1496400000000003E-2</v>
      </c>
      <c r="AM11" s="97">
        <f t="shared" si="6"/>
        <v>4.1159800000000003E-2</v>
      </c>
      <c r="AN11" s="97">
        <f t="shared" si="6"/>
        <v>4.1098200000000001E-2</v>
      </c>
      <c r="AO11" s="97">
        <f t="shared" si="6"/>
        <v>4.3755799999999997E-2</v>
      </c>
      <c r="AP11" s="97">
        <f t="shared" si="6"/>
        <v>4.35754E-2</v>
      </c>
      <c r="AQ11" s="97">
        <f t="shared" si="6"/>
        <v>4.31244E-2</v>
      </c>
      <c r="AR11" s="97">
        <f t="shared" si="6"/>
        <v>4.3156299999999995E-2</v>
      </c>
      <c r="AS11" s="97">
        <f t="shared" si="6"/>
        <v>4.37899E-2</v>
      </c>
      <c r="AT11" s="97">
        <f t="shared" si="6"/>
        <v>4.3149699999999999E-2</v>
      </c>
      <c r="AU11" s="97">
        <f t="shared" si="6"/>
        <v>4.06527E-2</v>
      </c>
      <c r="AV11" s="97">
        <f t="shared" si="6"/>
        <v>3.8835500000000002E-2</v>
      </c>
      <c r="AW11" s="97">
        <f t="shared" si="6"/>
        <v>3.3965799999999997E-2</v>
      </c>
      <c r="AX11" s="97">
        <f t="shared" si="6"/>
        <v>3.3965799999999997E-2</v>
      </c>
      <c r="AY11" s="97">
        <f t="shared" si="6"/>
        <v>3.3409200000000007E-2</v>
      </c>
      <c r="AZ11" s="97">
        <f t="shared" si="6"/>
        <v>3.3444400000000006E-2</v>
      </c>
      <c r="BA11" s="97">
        <f t="shared" si="6"/>
        <v>3.3497199999999998E-2</v>
      </c>
      <c r="BB11" s="97">
        <f t="shared" si="6"/>
        <v>3.3614899999999996E-2</v>
      </c>
      <c r="BC11" s="97">
        <f t="shared" si="6"/>
        <v>3.5951299999999999E-2</v>
      </c>
      <c r="BD11" s="97">
        <f t="shared" si="6"/>
        <v>3.5818200000000001E-2</v>
      </c>
      <c r="BE11" s="97">
        <f t="shared" si="6"/>
        <v>3.5776400000000007E-2</v>
      </c>
      <c r="BF11" s="97">
        <f t="shared" ref="BF11:BM11" si="7">(BF6/1000)*$C$11</f>
        <v>3.5762099999999998E-2</v>
      </c>
      <c r="BG11" s="97">
        <f t="shared" si="7"/>
        <v>3.5762099999999998E-2</v>
      </c>
      <c r="BH11" s="97">
        <f t="shared" si="7"/>
        <v>3.8592399999999999E-2</v>
      </c>
      <c r="BI11" s="97">
        <f t="shared" si="7"/>
        <v>3.8592399999999999E-2</v>
      </c>
      <c r="BJ11" s="97">
        <f t="shared" si="7"/>
        <v>3.8592399999999999E-2</v>
      </c>
      <c r="BK11" s="97">
        <f t="shared" si="7"/>
        <v>3.8611100000000002E-2</v>
      </c>
      <c r="BL11" s="97">
        <f t="shared" si="7"/>
        <v>3.8511000000000004E-2</v>
      </c>
      <c r="BM11" s="97">
        <f t="shared" si="7"/>
        <v>3.8460399999999999E-2</v>
      </c>
      <c r="BN11" s="97">
        <f t="shared" ref="BN11:BU11" si="8">(BN6/1000)*$C$11</f>
        <v>3.8453800000000003E-2</v>
      </c>
      <c r="BO11" s="97">
        <f t="shared" si="8"/>
        <v>3.7490200000000001E-2</v>
      </c>
      <c r="BP11" s="97">
        <f t="shared" si="8"/>
        <v>3.7490200000000001E-2</v>
      </c>
      <c r="BQ11" s="97">
        <f t="shared" si="8"/>
        <v>3.7782799999999998E-2</v>
      </c>
      <c r="BR11" s="97">
        <f t="shared" si="8"/>
        <v>3.7888400000000003E-2</v>
      </c>
      <c r="BS11" s="97">
        <f t="shared" si="8"/>
        <v>3.8470300000000006E-2</v>
      </c>
      <c r="BT11" s="97">
        <f t="shared" si="8"/>
        <v>3.8449400000000002E-2</v>
      </c>
      <c r="BU11" s="97">
        <f t="shared" si="8"/>
        <v>3.8449400000000002E-2</v>
      </c>
      <c r="BV11" s="97">
        <f t="shared" ref="BV11:CH11" si="9">(BV6/1000)*$C$11</f>
        <v>3.8776100000000001E-2</v>
      </c>
      <c r="BW11" s="97">
        <f t="shared" si="9"/>
        <v>3.8737600000000004E-2</v>
      </c>
      <c r="BX11" s="97">
        <f t="shared" si="9"/>
        <v>3.8737600000000004E-2</v>
      </c>
      <c r="BY11" s="97">
        <f t="shared" si="9"/>
        <v>3.9666000000000007E-2</v>
      </c>
      <c r="BZ11" s="97">
        <f t="shared" si="9"/>
        <v>3.9666000000000007E-2</v>
      </c>
      <c r="CA11" s="97">
        <f t="shared" si="9"/>
        <v>3.9666000000000007E-2</v>
      </c>
      <c r="CB11" s="97">
        <f t="shared" si="9"/>
        <v>4.0723099999999998E-2</v>
      </c>
      <c r="CC11" s="97">
        <f t="shared" si="9"/>
        <v>4.0723099999999998E-2</v>
      </c>
      <c r="CD11" s="97">
        <f t="shared" si="9"/>
        <v>4.0716499999999996E-2</v>
      </c>
      <c r="CE11" s="97">
        <f t="shared" si="9"/>
        <v>4.0716499999999996E-2</v>
      </c>
      <c r="CF11" s="97">
        <f t="shared" si="9"/>
        <v>4.1692199999999999E-2</v>
      </c>
      <c r="CG11" s="97">
        <f t="shared" si="9"/>
        <v>4.16295E-2</v>
      </c>
      <c r="CH11" s="97">
        <f t="shared" si="9"/>
        <v>3.9226000000000004E-2</v>
      </c>
      <c r="CI11" s="97">
        <f t="shared" ref="CI11:CS11" si="10">(CI6/1000)*$C$11</f>
        <v>3.9226000000000004E-2</v>
      </c>
      <c r="CJ11" s="97">
        <f t="shared" si="10"/>
        <v>3.9226000000000004E-2</v>
      </c>
      <c r="CK11" s="97">
        <f t="shared" si="10"/>
        <v>3.9226000000000004E-2</v>
      </c>
      <c r="CL11" s="97">
        <f t="shared" si="10"/>
        <v>4.0911200000000002E-2</v>
      </c>
      <c r="CM11" s="97">
        <f t="shared" si="10"/>
        <v>4.0911200000000002E-2</v>
      </c>
      <c r="CN11" s="97">
        <f t="shared" si="10"/>
        <v>4.0911200000000002E-2</v>
      </c>
      <c r="CO11" s="97">
        <f t="shared" si="10"/>
        <v>4.0911200000000002E-2</v>
      </c>
      <c r="CP11" s="97">
        <f t="shared" si="10"/>
        <v>4.0911200000000002E-2</v>
      </c>
      <c r="CQ11" s="97">
        <f t="shared" si="10"/>
        <v>4.1224699999999996E-2</v>
      </c>
      <c r="CR11" s="97">
        <f t="shared" si="10"/>
        <v>4.07649E-2</v>
      </c>
      <c r="CS11" s="97">
        <f t="shared" si="10"/>
        <v>4.07649E-2</v>
      </c>
      <c r="CT11" s="97">
        <f>(CT6/1000)*$C$11</f>
        <v>4.0703299999999998E-2</v>
      </c>
      <c r="CU11" s="97">
        <f>(CU6/1000)*$C$11</f>
        <v>4.0703299999999998E-2</v>
      </c>
      <c r="CV11" s="97">
        <f>(CV6/1000)*$C$11</f>
        <v>3.8832199999999997E-2</v>
      </c>
      <c r="CW11" s="97">
        <f t="shared" ref="CW11:DR11" si="11">(CW6/1000)*$C$11</f>
        <v>3.8827800000000003E-2</v>
      </c>
      <c r="CX11" s="97">
        <f t="shared" si="11"/>
        <v>3.8317400000000001E-2</v>
      </c>
      <c r="CY11" s="97">
        <f t="shared" si="11"/>
        <v>3.8317400000000001E-2</v>
      </c>
      <c r="CZ11" s="97">
        <f t="shared" si="11"/>
        <v>3.8317400000000001E-2</v>
      </c>
      <c r="DA11" s="97">
        <f t="shared" si="11"/>
        <v>3.8392200000000001E-2</v>
      </c>
      <c r="DB11" s="97">
        <f t="shared" si="11"/>
        <v>3.8501099999999996E-2</v>
      </c>
      <c r="DC11" s="97">
        <f t="shared" si="11"/>
        <v>3.8169999999999996E-2</v>
      </c>
      <c r="DD11" s="97">
        <f t="shared" si="11"/>
        <v>3.8169999999999996E-2</v>
      </c>
      <c r="DE11" s="97">
        <f t="shared" si="11"/>
        <v>3.8169999999999996E-2</v>
      </c>
      <c r="DF11" s="97">
        <f t="shared" si="11"/>
        <v>3.8169999999999996E-2</v>
      </c>
      <c r="DG11" s="97">
        <f t="shared" si="11"/>
        <v>3.8367999999999999E-2</v>
      </c>
      <c r="DH11" s="97">
        <f t="shared" si="11"/>
        <v>3.8367999999999999E-2</v>
      </c>
      <c r="DI11" s="97">
        <f t="shared" si="11"/>
        <v>4.0603199999999999E-2</v>
      </c>
      <c r="DJ11" s="97">
        <f t="shared" si="11"/>
        <v>4.0603199999999999E-2</v>
      </c>
      <c r="DK11" s="97">
        <f t="shared" si="11"/>
        <v>4.0580100000000001E-2</v>
      </c>
      <c r="DL11" s="97">
        <f t="shared" si="11"/>
        <v>4.0580100000000001E-2</v>
      </c>
      <c r="DM11" s="97">
        <f t="shared" si="11"/>
        <v>3.8141399999999999E-2</v>
      </c>
      <c r="DN11" s="97">
        <f t="shared" si="11"/>
        <v>3.80886E-2</v>
      </c>
      <c r="DO11" s="97">
        <f t="shared" si="11"/>
        <v>3.80886E-2</v>
      </c>
      <c r="DP11" s="97">
        <f t="shared" si="11"/>
        <v>3.8251399999999998E-2</v>
      </c>
      <c r="DQ11" s="97">
        <f t="shared" si="11"/>
        <v>3.8201900000000004E-2</v>
      </c>
      <c r="DR11" s="97">
        <f t="shared" si="11"/>
        <v>3.8111699999999998E-2</v>
      </c>
    </row>
    <row r="12" spans="1:126" s="75" customFormat="1">
      <c r="B12" s="75" t="s">
        <v>400</v>
      </c>
      <c r="H12" s="205">
        <f>SUM(H8:H11)</f>
        <v>3.7013900000000002E-2</v>
      </c>
      <c r="I12" s="205">
        <f t="shared" ref="I12:BE12" si="12">SUM(I8:I11)</f>
        <v>3.3805200000000001E-2</v>
      </c>
      <c r="J12" s="205">
        <f t="shared" si="12"/>
        <v>3.1543600000000005E-2</v>
      </c>
      <c r="K12" s="205">
        <f t="shared" si="12"/>
        <v>2.4889700000000001E-2</v>
      </c>
      <c r="L12" s="205">
        <f t="shared" si="12"/>
        <v>2.69445E-2</v>
      </c>
      <c r="M12" s="205">
        <f t="shared" si="12"/>
        <v>2.3764399999999998E-2</v>
      </c>
      <c r="N12" s="205">
        <f t="shared" si="12"/>
        <v>2.5340700000000001E-2</v>
      </c>
      <c r="O12" s="205">
        <f t="shared" si="12"/>
        <v>2.6030399999999999E-2</v>
      </c>
      <c r="P12" s="205">
        <f t="shared" si="12"/>
        <v>3.0268700000000003E-2</v>
      </c>
      <c r="Q12" s="205">
        <f t="shared" si="12"/>
        <v>3.12477E-2</v>
      </c>
      <c r="R12" s="205">
        <f t="shared" si="12"/>
        <v>3.2737100000000005E-2</v>
      </c>
      <c r="S12" s="205">
        <f t="shared" si="12"/>
        <v>3.7758600000000003E-2</v>
      </c>
      <c r="T12" s="205">
        <f t="shared" si="12"/>
        <v>0.73263807230431466</v>
      </c>
      <c r="U12" s="205">
        <f t="shared" si="12"/>
        <v>0.73157811196843525</v>
      </c>
      <c r="V12" s="205">
        <f t="shared" si="12"/>
        <v>0.73358123482886894</v>
      </c>
      <c r="W12" s="205">
        <f t="shared" si="12"/>
        <v>0.70904360401869848</v>
      </c>
      <c r="X12" s="205">
        <f t="shared" si="12"/>
        <v>0.74163873223489529</v>
      </c>
      <c r="Y12" s="205">
        <f t="shared" si="12"/>
        <v>0.7650988727915714</v>
      </c>
      <c r="Z12" s="205">
        <f t="shared" si="12"/>
        <v>0.78284271984996812</v>
      </c>
      <c r="AA12" s="205">
        <f t="shared" si="12"/>
        <v>1.0196126636110421</v>
      </c>
      <c r="AB12" s="205">
        <f t="shared" si="12"/>
        <v>1.8863497598763872</v>
      </c>
      <c r="AC12" s="205">
        <f t="shared" si="12"/>
        <v>2.7367742896619647</v>
      </c>
      <c r="AD12" s="205">
        <f t="shared" si="12"/>
        <v>1.6249778699751676</v>
      </c>
      <c r="AE12" s="205">
        <f t="shared" si="12"/>
        <v>1.2356650899980692</v>
      </c>
      <c r="AF12" s="205">
        <f t="shared" si="12"/>
        <v>1.1203609778515216</v>
      </c>
      <c r="AG12" s="205">
        <f t="shared" si="12"/>
        <v>1.1487177858600583</v>
      </c>
      <c r="AH12" s="205">
        <f t="shared" si="12"/>
        <v>1.2548175000019941</v>
      </c>
      <c r="AI12" s="205">
        <f t="shared" si="12"/>
        <v>1.096939990965472</v>
      </c>
      <c r="AJ12" s="205">
        <f t="shared" si="12"/>
        <v>1.0159561560482084</v>
      </c>
      <c r="AK12" s="205">
        <f t="shared" si="12"/>
        <v>0.92690335961549486</v>
      </c>
      <c r="AL12" s="205">
        <f t="shared" si="12"/>
        <v>0.91392980356208497</v>
      </c>
      <c r="AM12" s="205">
        <f t="shared" si="12"/>
        <v>0.99185359952657348</v>
      </c>
      <c r="AN12" s="205">
        <f t="shared" si="12"/>
        <v>0.98934025360136346</v>
      </c>
      <c r="AO12" s="205">
        <f t="shared" si="12"/>
        <v>1.0093424220101113</v>
      </c>
      <c r="AP12" s="205">
        <f t="shared" si="12"/>
        <v>1.0145192936451395</v>
      </c>
      <c r="AQ12" s="205">
        <f t="shared" si="12"/>
        <v>0.97898814815027846</v>
      </c>
      <c r="AR12" s="205">
        <f t="shared" si="12"/>
        <v>0.94634817218743628</v>
      </c>
      <c r="AS12" s="205">
        <f t="shared" si="12"/>
        <v>0.89167405131328792</v>
      </c>
      <c r="AT12" s="205">
        <f t="shared" si="12"/>
        <v>0.87214914946992395</v>
      </c>
      <c r="AU12" s="205">
        <f t="shared" si="12"/>
        <v>0.8076742908653044</v>
      </c>
      <c r="AV12" s="205">
        <f t="shared" si="12"/>
        <v>0.76915687866790883</v>
      </c>
      <c r="AW12" s="205">
        <f t="shared" si="12"/>
        <v>0.65810749207506025</v>
      </c>
      <c r="AX12" s="205">
        <f t="shared" si="12"/>
        <v>0.65450897973756494</v>
      </c>
      <c r="AY12" s="205">
        <f t="shared" si="12"/>
        <v>0.65395237973756493</v>
      </c>
      <c r="AZ12" s="205">
        <f t="shared" si="12"/>
        <v>0.65329444916420853</v>
      </c>
      <c r="BA12" s="205">
        <f t="shared" si="12"/>
        <v>0.65768186489262959</v>
      </c>
      <c r="BB12" s="205">
        <f t="shared" si="12"/>
        <v>0.6508929572589629</v>
      </c>
      <c r="BC12" s="205">
        <f t="shared" si="12"/>
        <v>0.64983305433044047</v>
      </c>
      <c r="BD12" s="205">
        <f t="shared" si="12"/>
        <v>0.66688026829576219</v>
      </c>
      <c r="BE12" s="205">
        <f t="shared" si="12"/>
        <v>0.68300803018803802</v>
      </c>
      <c r="BF12" s="205">
        <f t="shared" ref="BF12:BM12" si="13">SUM(BF8:BF11)</f>
        <v>0.68122291861433615</v>
      </c>
      <c r="BG12" s="205">
        <f t="shared" si="13"/>
        <v>0.7216210169306968</v>
      </c>
      <c r="BH12" s="205">
        <f t="shared" si="13"/>
        <v>0.73293110772214809</v>
      </c>
      <c r="BI12" s="205">
        <f t="shared" si="13"/>
        <v>0.72351178416777806</v>
      </c>
      <c r="BJ12" s="205">
        <f t="shared" si="13"/>
        <v>0.74907851952964</v>
      </c>
      <c r="BK12" s="205">
        <f t="shared" si="13"/>
        <v>0.75714600658800391</v>
      </c>
      <c r="BL12" s="205">
        <f t="shared" si="13"/>
        <v>0.73951459551105903</v>
      </c>
      <c r="BM12" s="205">
        <f t="shared" si="13"/>
        <v>0.73179663482760282</v>
      </c>
      <c r="BN12" s="205">
        <f t="shared" ref="BN12:BU12" si="14">SUM(BN8:BN11)</f>
        <v>0.73295538853817976</v>
      </c>
      <c r="BO12" s="205">
        <f t="shared" si="14"/>
        <v>0.72212415012067577</v>
      </c>
      <c r="BP12" s="205">
        <f t="shared" si="14"/>
        <v>0.72212415012067577</v>
      </c>
      <c r="BQ12" s="205">
        <f t="shared" si="14"/>
        <v>0.73784512082762066</v>
      </c>
      <c r="BR12" s="205">
        <f t="shared" si="14"/>
        <v>0.7354045746114376</v>
      </c>
      <c r="BS12" s="205">
        <f t="shared" si="14"/>
        <v>0.7432146114445124</v>
      </c>
      <c r="BT12" s="205">
        <f t="shared" si="14"/>
        <v>0.73727977316665649</v>
      </c>
      <c r="BU12" s="205">
        <f t="shared" si="14"/>
        <v>0.75981939638029394</v>
      </c>
      <c r="BV12" s="205">
        <f t="shared" ref="BV12:CH12" si="15">SUM(BV8:BV11)</f>
        <v>0.75866890817649268</v>
      </c>
      <c r="BW12" s="205">
        <f t="shared" si="15"/>
        <v>0.75632453755453077</v>
      </c>
      <c r="BX12" s="205">
        <f t="shared" si="15"/>
        <v>0.74649090615491698</v>
      </c>
      <c r="BY12" s="205">
        <f t="shared" si="15"/>
        <v>0.74380948480888187</v>
      </c>
      <c r="BZ12" s="205">
        <f t="shared" si="15"/>
        <v>0.74380948480888187</v>
      </c>
      <c r="CA12" s="205">
        <f t="shared" si="15"/>
        <v>0.73597478678597361</v>
      </c>
      <c r="CB12" s="205">
        <f t="shared" si="15"/>
        <v>0.73572149771242645</v>
      </c>
      <c r="CC12" s="205">
        <f t="shared" si="15"/>
        <v>0.72287649233038354</v>
      </c>
      <c r="CD12" s="205">
        <f t="shared" si="15"/>
        <v>0.72286989233038357</v>
      </c>
      <c r="CE12" s="205">
        <f t="shared" si="15"/>
        <v>0.72203382689131568</v>
      </c>
      <c r="CF12" s="205">
        <f t="shared" si="15"/>
        <v>0.7010945484421347</v>
      </c>
      <c r="CG12" s="205">
        <f t="shared" si="15"/>
        <v>0.675211306386859</v>
      </c>
      <c r="CH12" s="205">
        <f t="shared" si="15"/>
        <v>0.65876846686005941</v>
      </c>
      <c r="CI12" s="205">
        <f t="shared" ref="CI12:CS12" si="16">SUM(CI8:CI11)</f>
        <v>0.65791274522075005</v>
      </c>
      <c r="CJ12" s="205">
        <f t="shared" si="16"/>
        <v>0.65791274522075005</v>
      </c>
      <c r="CK12" s="205">
        <f t="shared" si="16"/>
        <v>0.65700823243533968</v>
      </c>
      <c r="CL12" s="205">
        <f t="shared" si="16"/>
        <v>0.66126395490039669</v>
      </c>
      <c r="CM12" s="205">
        <f t="shared" si="16"/>
        <v>0.65547196573764688</v>
      </c>
      <c r="CN12" s="205">
        <f t="shared" si="16"/>
        <v>0.65139602845567268</v>
      </c>
      <c r="CO12" s="205">
        <f t="shared" si="16"/>
        <v>0.65139602845567268</v>
      </c>
      <c r="CP12" s="205">
        <f t="shared" si="16"/>
        <v>0.65139602845567268</v>
      </c>
      <c r="CQ12" s="205">
        <f t="shared" si="16"/>
        <v>0.65086631736664546</v>
      </c>
      <c r="CR12" s="205">
        <f t="shared" si="16"/>
        <v>0.6490497481885299</v>
      </c>
      <c r="CS12" s="205">
        <f t="shared" si="16"/>
        <v>0.64692302184597394</v>
      </c>
      <c r="CT12" s="205">
        <f>SUM(CT8:CT11)</f>
        <v>0.63566866865041205</v>
      </c>
      <c r="CU12" s="205">
        <f>SUM(CU8:CU11)</f>
        <v>0.62756164621611421</v>
      </c>
      <c r="CV12" s="205">
        <f>SUM(CV8:CV11)</f>
        <v>0.60992689148275736</v>
      </c>
      <c r="CW12" s="205">
        <f t="shared" ref="CW12:DR12" si="17">SUM(CW8:CW11)</f>
        <v>0.59699419113099284</v>
      </c>
      <c r="CX12" s="205">
        <f t="shared" si="17"/>
        <v>0.58630452346540363</v>
      </c>
      <c r="CY12" s="205">
        <f t="shared" si="17"/>
        <v>0.59043351804347033</v>
      </c>
      <c r="CZ12" s="205">
        <f t="shared" si="17"/>
        <v>0.5864723042325044</v>
      </c>
      <c r="DA12" s="205">
        <f t="shared" si="17"/>
        <v>0.58518346183550973</v>
      </c>
      <c r="DB12" s="205">
        <f t="shared" si="17"/>
        <v>0.58836854333669386</v>
      </c>
      <c r="DC12" s="205">
        <f t="shared" si="17"/>
        <v>0.59143584869628185</v>
      </c>
      <c r="DD12" s="205">
        <f t="shared" si="17"/>
        <v>0.58987954532442144</v>
      </c>
      <c r="DE12" s="205">
        <f t="shared" si="17"/>
        <v>0.59378683672190335</v>
      </c>
      <c r="DF12" s="205">
        <f t="shared" si="17"/>
        <v>0.59648631495348314</v>
      </c>
      <c r="DG12" s="205">
        <f t="shared" si="17"/>
        <v>0.59621788528351372</v>
      </c>
      <c r="DH12" s="205">
        <f t="shared" si="17"/>
        <v>0.59191964731214919</v>
      </c>
      <c r="DI12" s="205">
        <f t="shared" si="17"/>
        <v>0.59260210776849664</v>
      </c>
      <c r="DJ12" s="205">
        <f t="shared" si="17"/>
        <v>0.59412195263379675</v>
      </c>
      <c r="DK12" s="205">
        <f t="shared" si="17"/>
        <v>0.59873700228146831</v>
      </c>
      <c r="DL12" s="205">
        <f t="shared" si="17"/>
        <v>0.5894729873058423</v>
      </c>
      <c r="DM12" s="205">
        <f t="shared" si="17"/>
        <v>0.58627614795873473</v>
      </c>
      <c r="DN12" s="205">
        <f t="shared" si="17"/>
        <v>0.58245828234232921</v>
      </c>
      <c r="DO12" s="205">
        <f t="shared" si="17"/>
        <v>0.58170949323319265</v>
      </c>
      <c r="DP12" s="205">
        <f t="shared" si="17"/>
        <v>0.5782691721512826</v>
      </c>
      <c r="DQ12" s="205">
        <f t="shared" si="17"/>
        <v>0.56865336096604635</v>
      </c>
      <c r="DR12" s="205">
        <f t="shared" si="17"/>
        <v>0.565145279827858</v>
      </c>
    </row>
    <row r="13" spans="1:126" s="30" customFormat="1">
      <c r="B13" s="30" t="s">
        <v>401</v>
      </c>
      <c r="H13" s="46"/>
      <c r="I13" s="46"/>
      <c r="J13" s="46"/>
      <c r="K13" s="46"/>
      <c r="L13" s="46"/>
      <c r="M13" s="46"/>
      <c r="N13" s="46"/>
      <c r="O13" s="46"/>
      <c r="P13" s="46"/>
      <c r="Q13" s="46"/>
      <c r="R13" s="97"/>
      <c r="S13" s="46"/>
    </row>
    <row r="14" spans="1:126">
      <c r="A14" s="196" t="s">
        <v>513</v>
      </c>
      <c r="G14" s="60" t="s">
        <v>429</v>
      </c>
      <c r="H14" s="197"/>
      <c r="I14" s="197"/>
      <c r="J14" s="197">
        <v>1.1599999999999999</v>
      </c>
      <c r="K14" s="197"/>
      <c r="L14" s="197"/>
      <c r="M14" s="197">
        <v>1.08</v>
      </c>
      <c r="N14" s="197"/>
      <c r="O14" s="197"/>
      <c r="P14" s="197">
        <v>1.31</v>
      </c>
      <c r="Q14" s="197"/>
      <c r="R14" s="197"/>
      <c r="S14" s="197">
        <v>2.1</v>
      </c>
      <c r="T14" s="60">
        <v>1.85</v>
      </c>
      <c r="V14" s="60">
        <v>2.36</v>
      </c>
      <c r="W14" s="60">
        <v>7</v>
      </c>
      <c r="X14" s="60">
        <v>3.35</v>
      </c>
      <c r="Z14" s="60">
        <v>3.7</v>
      </c>
      <c r="AC14" s="60">
        <v>5.17</v>
      </c>
      <c r="AE14" s="60">
        <v>5.17</v>
      </c>
      <c r="AF14" s="60">
        <v>3.13</v>
      </c>
      <c r="AG14" s="60">
        <v>2.7</v>
      </c>
      <c r="AP14" s="60">
        <v>1.42</v>
      </c>
      <c r="BX14" s="60">
        <v>1.75</v>
      </c>
      <c r="CF14" s="60">
        <v>1.68</v>
      </c>
      <c r="CZ14" s="60">
        <v>1.4</v>
      </c>
    </row>
    <row r="15" spans="1:126">
      <c r="G15" s="73" t="s">
        <v>406</v>
      </c>
      <c r="H15" s="70"/>
      <c r="I15" s="70"/>
      <c r="J15" s="70"/>
      <c r="K15" s="70"/>
      <c r="L15" s="70"/>
      <c r="M15" s="70"/>
      <c r="N15" s="70"/>
      <c r="O15" s="70"/>
      <c r="P15" s="70"/>
      <c r="Q15" s="70"/>
      <c r="R15" s="70"/>
      <c r="S15" s="70"/>
      <c r="T15" s="65">
        <f>T14-T12</f>
        <v>1.1173619276956854</v>
      </c>
      <c r="V15" s="65">
        <f>V14-V12</f>
        <v>1.626418765171131</v>
      </c>
      <c r="W15" s="65">
        <f>W14-W12</f>
        <v>6.2909563959813015</v>
      </c>
      <c r="X15" s="65">
        <f>X14-X12</f>
        <v>2.6083612677651047</v>
      </c>
      <c r="Z15" s="65">
        <f>Z14-Z12</f>
        <v>2.9171572801500321</v>
      </c>
      <c r="AC15" s="65">
        <f>AC14-AC12</f>
        <v>2.4332257103380353</v>
      </c>
      <c r="AE15" s="65">
        <f>AE14-AE12</f>
        <v>3.9343349100019305</v>
      </c>
      <c r="AF15" s="65">
        <f>AF14-AF12</f>
        <v>2.0096390221484786</v>
      </c>
      <c r="AG15" s="65">
        <f>AG14-AG12</f>
        <v>1.5512822141399418</v>
      </c>
      <c r="AP15" s="65">
        <f>AP14-AP12</f>
        <v>0.40548070635486044</v>
      </c>
      <c r="BX15" s="65">
        <f>BX14-BX12</f>
        <v>1.003509093845083</v>
      </c>
      <c r="CF15" s="65">
        <f>CF14-CF12</f>
        <v>0.97890545155786524</v>
      </c>
      <c r="CZ15" s="65">
        <f>CZ14-CZ12</f>
        <v>0.81352769576749551</v>
      </c>
      <c r="DP15" s="65"/>
    </row>
    <row r="16" spans="1:126">
      <c r="H16" s="70"/>
      <c r="I16" s="70"/>
      <c r="J16" s="70"/>
      <c r="K16" s="70"/>
      <c r="L16" s="70"/>
      <c r="M16" s="70"/>
      <c r="N16" s="70"/>
      <c r="O16" s="70"/>
      <c r="P16" s="70"/>
      <c r="Q16" s="70"/>
      <c r="R16" s="70"/>
      <c r="S16" s="70"/>
    </row>
    <row r="17" spans="7:122">
      <c r="G17" s="165" t="s">
        <v>407</v>
      </c>
      <c r="H17" s="206"/>
      <c r="I17" s="206"/>
      <c r="J17" s="206"/>
      <c r="K17" s="206"/>
      <c r="L17" s="206"/>
      <c r="M17" s="206"/>
      <c r="N17" s="206"/>
      <c r="O17" s="206"/>
      <c r="P17" s="206"/>
      <c r="Q17" s="206"/>
      <c r="R17" s="206"/>
      <c r="S17" s="206"/>
      <c r="T17" s="206">
        <f t="shared" ref="T17:BE17" si="18">0.28+T12</f>
        <v>1.0126380723043147</v>
      </c>
      <c r="U17" s="206">
        <f t="shared" si="18"/>
        <v>1.0115781119684353</v>
      </c>
      <c r="V17" s="206">
        <f t="shared" si="18"/>
        <v>1.0135812348288691</v>
      </c>
      <c r="W17" s="206">
        <f t="shared" si="18"/>
        <v>0.98904360401869851</v>
      </c>
      <c r="X17" s="206">
        <f t="shared" si="18"/>
        <v>1.0216387322348952</v>
      </c>
      <c r="Y17" s="206">
        <f t="shared" si="18"/>
        <v>1.0450988727915713</v>
      </c>
      <c r="Z17" s="206">
        <f t="shared" si="18"/>
        <v>1.0628427198499681</v>
      </c>
      <c r="AA17" s="206">
        <f t="shared" si="18"/>
        <v>1.2996126636110421</v>
      </c>
      <c r="AB17" s="206">
        <f t="shared" si="18"/>
        <v>2.166349759876387</v>
      </c>
      <c r="AC17" s="206">
        <f t="shared" si="18"/>
        <v>3.0167742896619645</v>
      </c>
      <c r="AD17" s="206">
        <f t="shared" si="18"/>
        <v>1.9049778699751676</v>
      </c>
      <c r="AE17" s="206">
        <f t="shared" si="18"/>
        <v>1.5156650899980693</v>
      </c>
      <c r="AF17" s="206">
        <f t="shared" si="18"/>
        <v>1.4003609778515216</v>
      </c>
      <c r="AG17" s="206">
        <f t="shared" si="18"/>
        <v>1.4287177858600584</v>
      </c>
      <c r="AH17" s="206">
        <f t="shared" si="18"/>
        <v>1.5348175000019941</v>
      </c>
      <c r="AI17" s="206">
        <f t="shared" si="18"/>
        <v>1.376939990965472</v>
      </c>
      <c r="AJ17" s="206">
        <f t="shared" si="18"/>
        <v>1.2959561560482085</v>
      </c>
      <c r="AK17" s="206">
        <f t="shared" si="18"/>
        <v>1.2069033596154948</v>
      </c>
      <c r="AL17" s="206">
        <f t="shared" si="18"/>
        <v>1.1939298035620851</v>
      </c>
      <c r="AM17" s="206">
        <f t="shared" si="18"/>
        <v>1.2718535995265734</v>
      </c>
      <c r="AN17" s="206">
        <f t="shared" si="18"/>
        <v>1.2693402536013636</v>
      </c>
      <c r="AO17" s="206">
        <f t="shared" si="18"/>
        <v>1.2893424220101113</v>
      </c>
      <c r="AP17" s="206">
        <f t="shared" si="18"/>
        <v>1.2945192936451395</v>
      </c>
      <c r="AQ17" s="206">
        <f t="shared" si="18"/>
        <v>1.2589881481502785</v>
      </c>
      <c r="AR17" s="206">
        <f t="shared" si="18"/>
        <v>1.2263481721874363</v>
      </c>
      <c r="AS17" s="206">
        <f t="shared" si="18"/>
        <v>1.1716740513132879</v>
      </c>
      <c r="AT17" s="206">
        <f t="shared" si="18"/>
        <v>1.1521491494699241</v>
      </c>
      <c r="AU17" s="206">
        <f t="shared" si="18"/>
        <v>1.0876742908653045</v>
      </c>
      <c r="AV17" s="206">
        <f t="shared" si="18"/>
        <v>1.0491568786679089</v>
      </c>
      <c r="AW17" s="206">
        <f t="shared" si="18"/>
        <v>0.93810749207506028</v>
      </c>
      <c r="AX17" s="206">
        <f t="shared" si="18"/>
        <v>0.93450897973756497</v>
      </c>
      <c r="AY17" s="206">
        <f t="shared" si="18"/>
        <v>0.93395237973756495</v>
      </c>
      <c r="AZ17" s="206">
        <f t="shared" si="18"/>
        <v>0.93329444916420856</v>
      </c>
      <c r="BA17" s="206">
        <f t="shared" si="18"/>
        <v>0.93768186489262961</v>
      </c>
      <c r="BB17" s="206">
        <f t="shared" si="18"/>
        <v>0.93089295725896293</v>
      </c>
      <c r="BC17" s="206">
        <f t="shared" si="18"/>
        <v>0.9298330543304405</v>
      </c>
      <c r="BD17" s="206">
        <f t="shared" si="18"/>
        <v>0.94688026829576222</v>
      </c>
      <c r="BE17" s="206">
        <f t="shared" si="18"/>
        <v>0.96300803018803804</v>
      </c>
      <c r="BF17" s="206">
        <f>0.28+BF12</f>
        <v>0.96122291861433617</v>
      </c>
      <c r="BG17" s="206">
        <f>0.28+BG12</f>
        <v>1.0016210169306969</v>
      </c>
      <c r="BH17" s="206">
        <f>0.28+BH12</f>
        <v>1.0129311077221481</v>
      </c>
      <c r="BI17" s="206">
        <f>0.28+BI12</f>
        <v>1.0035117841677781</v>
      </c>
      <c r="BJ17" s="206">
        <f t="shared" ref="BJ17:BX17" si="19">0.28+BJ12</f>
        <v>1.0290785195296399</v>
      </c>
      <c r="BK17" s="206">
        <f t="shared" si="19"/>
        <v>1.0371460065880038</v>
      </c>
      <c r="BL17" s="206">
        <f t="shared" si="19"/>
        <v>1.0195145955110592</v>
      </c>
      <c r="BM17" s="206">
        <f t="shared" si="19"/>
        <v>1.0117966348276028</v>
      </c>
      <c r="BN17" s="206">
        <f t="shared" si="19"/>
        <v>1.0129553885381797</v>
      </c>
      <c r="BO17" s="206">
        <f t="shared" si="19"/>
        <v>1.0021241501206757</v>
      </c>
      <c r="BP17" s="206">
        <f t="shared" si="19"/>
        <v>1.0021241501206757</v>
      </c>
      <c r="BQ17" s="206">
        <f t="shared" si="19"/>
        <v>1.0178451208276207</v>
      </c>
      <c r="BR17" s="206">
        <f t="shared" si="19"/>
        <v>1.0154045746114377</v>
      </c>
      <c r="BS17" s="206">
        <f t="shared" si="19"/>
        <v>1.0232146114445124</v>
      </c>
      <c r="BT17" s="206">
        <f t="shared" si="19"/>
        <v>1.0172797731666565</v>
      </c>
      <c r="BU17" s="206">
        <f t="shared" si="19"/>
        <v>1.039819396380294</v>
      </c>
      <c r="BV17" s="206">
        <f t="shared" si="19"/>
        <v>1.0386689081764926</v>
      </c>
      <c r="BW17" s="206">
        <f t="shared" si="19"/>
        <v>1.0363245375545307</v>
      </c>
      <c r="BX17" s="206">
        <f t="shared" si="19"/>
        <v>1.026490906154917</v>
      </c>
      <c r="BY17" s="206">
        <f t="shared" ref="BY17:CS17" si="20">0.28+BY12</f>
        <v>1.0238094848088819</v>
      </c>
      <c r="BZ17" s="206">
        <f t="shared" si="20"/>
        <v>1.0238094848088819</v>
      </c>
      <c r="CA17" s="206">
        <f t="shared" si="20"/>
        <v>1.0159747867859736</v>
      </c>
      <c r="CB17" s="206">
        <f t="shared" si="20"/>
        <v>1.0157214977124265</v>
      </c>
      <c r="CC17" s="206">
        <f t="shared" si="20"/>
        <v>1.0028764923303837</v>
      </c>
      <c r="CD17" s="206">
        <f t="shared" si="20"/>
        <v>1.0028698923303836</v>
      </c>
      <c r="CE17" s="206">
        <f t="shared" si="20"/>
        <v>1.0020338268913158</v>
      </c>
      <c r="CF17" s="206">
        <f t="shared" si="20"/>
        <v>0.98109454844213473</v>
      </c>
      <c r="CG17" s="206">
        <f t="shared" si="20"/>
        <v>0.95521130638685903</v>
      </c>
      <c r="CH17" s="206">
        <f t="shared" si="20"/>
        <v>0.93876846686005944</v>
      </c>
      <c r="CI17" s="206">
        <f t="shared" si="20"/>
        <v>0.93791274522075008</v>
      </c>
      <c r="CJ17" s="206">
        <f t="shared" si="20"/>
        <v>0.93791274522075008</v>
      </c>
      <c r="CK17" s="206">
        <f t="shared" si="20"/>
        <v>0.93700823243533971</v>
      </c>
      <c r="CL17" s="206">
        <f t="shared" si="20"/>
        <v>0.94126395490039672</v>
      </c>
      <c r="CM17" s="206">
        <f t="shared" si="20"/>
        <v>0.9354719657376469</v>
      </c>
      <c r="CN17" s="206">
        <f t="shared" si="20"/>
        <v>0.93139602845567271</v>
      </c>
      <c r="CO17" s="206">
        <f t="shared" si="20"/>
        <v>0.93139602845567271</v>
      </c>
      <c r="CP17" s="206">
        <f t="shared" si="20"/>
        <v>0.93139602845567271</v>
      </c>
      <c r="CQ17" s="206">
        <f t="shared" si="20"/>
        <v>0.93086631736664549</v>
      </c>
      <c r="CR17" s="206">
        <f t="shared" si="20"/>
        <v>0.92904974818852992</v>
      </c>
      <c r="CS17" s="206">
        <f t="shared" si="20"/>
        <v>0.92692302184597397</v>
      </c>
      <c r="CT17" s="206">
        <f>0.28+CT12</f>
        <v>0.91566866865041208</v>
      </c>
      <c r="CU17" s="206">
        <f>0.28+CU12</f>
        <v>0.90756164621611424</v>
      </c>
      <c r="CV17" s="206">
        <f>0.28+CV12</f>
        <v>0.88992689148275739</v>
      </c>
      <c r="CW17" s="206">
        <f t="shared" ref="CW17:DR17" si="21">0.28+CW12</f>
        <v>0.87699419113099286</v>
      </c>
      <c r="CX17" s="206">
        <f t="shared" si="21"/>
        <v>0.86630452346540365</v>
      </c>
      <c r="CY17" s="206">
        <f t="shared" si="21"/>
        <v>0.87043351804347036</v>
      </c>
      <c r="CZ17" s="206">
        <f t="shared" si="21"/>
        <v>0.86647230423250443</v>
      </c>
      <c r="DA17" s="206">
        <f t="shared" si="21"/>
        <v>0.86518346183550976</v>
      </c>
      <c r="DB17" s="206">
        <f t="shared" si="21"/>
        <v>0.86836854333669389</v>
      </c>
      <c r="DC17" s="206">
        <f t="shared" si="21"/>
        <v>0.87143584869628188</v>
      </c>
      <c r="DD17" s="206">
        <f t="shared" si="21"/>
        <v>0.86987954532442147</v>
      </c>
      <c r="DE17" s="206">
        <f t="shared" si="21"/>
        <v>0.87378683672190338</v>
      </c>
      <c r="DF17" s="206">
        <f t="shared" si="21"/>
        <v>0.87648631495348317</v>
      </c>
      <c r="DG17" s="206">
        <f t="shared" si="21"/>
        <v>0.87621788528351374</v>
      </c>
      <c r="DH17" s="206">
        <f t="shared" si="21"/>
        <v>0.87191964731214922</v>
      </c>
      <c r="DI17" s="206">
        <f t="shared" si="21"/>
        <v>0.87260210776849667</v>
      </c>
      <c r="DJ17" s="206">
        <f t="shared" si="21"/>
        <v>0.87412195263379677</v>
      </c>
      <c r="DK17" s="206">
        <f t="shared" si="21"/>
        <v>0.87873700228146834</v>
      </c>
      <c r="DL17" s="206">
        <f t="shared" si="21"/>
        <v>0.86947298730584233</v>
      </c>
      <c r="DM17" s="206">
        <f t="shared" si="21"/>
        <v>0.86627614795873475</v>
      </c>
      <c r="DN17" s="206">
        <f t="shared" si="21"/>
        <v>0.86245828234232924</v>
      </c>
      <c r="DO17" s="206">
        <f t="shared" si="21"/>
        <v>0.86170949323319268</v>
      </c>
      <c r="DP17" s="206">
        <f t="shared" si="21"/>
        <v>0.85826917215128262</v>
      </c>
      <c r="DQ17" s="206">
        <f t="shared" si="21"/>
        <v>0.84865336096604638</v>
      </c>
      <c r="DR17" s="206">
        <f t="shared" si="21"/>
        <v>0.84514527982785803</v>
      </c>
    </row>
  </sheetData>
  <mergeCells count="1">
    <mergeCell ref="A8:A11"/>
  </mergeCells>
  <phoneticPr fontId="52" type="noConversion"/>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4"/>
  <dimension ref="A1:EE17"/>
  <sheetViews>
    <sheetView workbookViewId="0">
      <pane xSplit="7" ySplit="4" topLeftCell="AO5" activePane="bottomRight" state="frozen"/>
      <selection pane="topRight" activeCell="H1" sqref="H1"/>
      <selection pane="bottomLeft" activeCell="A5" sqref="A5"/>
      <selection pane="bottomRight" activeCell="A11" sqref="A11"/>
    </sheetView>
  </sheetViews>
  <sheetFormatPr baseColWidth="10" defaultColWidth="8.6640625" defaultRowHeight="12"/>
  <cols>
    <col min="1" max="1" width="29.5" style="60" customWidth="1"/>
    <col min="2" max="2" width="5.83203125" style="60" customWidth="1"/>
    <col min="3" max="3" width="4.83203125" style="60" bestFit="1" customWidth="1"/>
    <col min="4" max="4" width="7.1640625" style="60" customWidth="1"/>
    <col min="5" max="5" width="8" style="60" customWidth="1"/>
    <col min="6" max="6" width="6" style="60" bestFit="1" customWidth="1"/>
    <col min="7" max="7" width="22.83203125" style="60" bestFit="1" customWidth="1"/>
    <col min="8" max="8" width="5.1640625" style="60" bestFit="1" customWidth="1"/>
    <col min="9" max="9" width="5.5" style="60" bestFit="1" customWidth="1"/>
    <col min="10" max="10" width="5.6640625" style="60" bestFit="1" customWidth="1"/>
    <col min="11" max="11" width="5.33203125" style="60" bestFit="1" customWidth="1"/>
    <col min="12" max="12" width="5.83203125" style="60" bestFit="1" customWidth="1"/>
    <col min="13" max="13" width="5.1640625" style="60" bestFit="1" customWidth="1"/>
    <col min="14" max="14" width="4.6640625" style="60" bestFit="1" customWidth="1"/>
    <col min="15" max="17" width="5.5" style="60" bestFit="1" customWidth="1"/>
    <col min="18" max="18" width="5.6640625" style="60" bestFit="1" customWidth="1"/>
    <col min="19" max="19" width="5.5" style="60" bestFit="1" customWidth="1"/>
    <col min="20" max="20" width="5.1640625" style="60" bestFit="1" customWidth="1"/>
    <col min="21" max="21" width="5.5" style="60" bestFit="1" customWidth="1"/>
    <col min="22" max="22" width="5.6640625" style="60" bestFit="1" customWidth="1"/>
    <col min="23" max="23" width="5.33203125" style="60" bestFit="1" customWidth="1"/>
    <col min="24" max="24" width="5.83203125" style="60" bestFit="1" customWidth="1"/>
    <col min="25" max="25" width="5.1640625" style="60" bestFit="1" customWidth="1"/>
    <col min="26" max="26" width="4.6640625" style="60" bestFit="1" customWidth="1"/>
    <col min="27" max="29" width="5.5" style="60" bestFit="1" customWidth="1"/>
    <col min="30" max="30" width="5.6640625" style="60" bestFit="1" customWidth="1"/>
    <col min="31" max="31" width="5.5" style="60" bestFit="1" customWidth="1"/>
    <col min="32" max="32" width="5.1640625" style="60" bestFit="1" customWidth="1"/>
    <col min="33" max="33" width="5.5" style="60" bestFit="1" customWidth="1"/>
    <col min="34" max="34" width="5.6640625" style="60" bestFit="1" customWidth="1"/>
    <col min="35" max="35" width="5.33203125" style="60" bestFit="1" customWidth="1"/>
    <col min="36" max="36" width="5.83203125" style="60" bestFit="1" customWidth="1"/>
    <col min="37" max="37" width="5.1640625" style="60" bestFit="1" customWidth="1"/>
    <col min="38" max="38" width="4.6640625" style="60" bestFit="1" customWidth="1"/>
    <col min="39" max="41" width="5.5" style="60" bestFit="1" customWidth="1"/>
    <col min="42" max="42" width="5.6640625" style="60" bestFit="1" customWidth="1"/>
    <col min="43" max="43" width="5.5" style="60" bestFit="1" customWidth="1"/>
    <col min="44" max="44" width="5.1640625" style="60" bestFit="1" customWidth="1"/>
    <col min="45" max="45" width="5.5" style="60" bestFit="1" customWidth="1"/>
    <col min="46" max="46" width="5.6640625" style="60" bestFit="1" customWidth="1"/>
    <col min="47" max="47" width="5.33203125" style="60" bestFit="1" customWidth="1"/>
    <col min="48" max="48" width="5.83203125" style="60" bestFit="1" customWidth="1"/>
    <col min="49" max="49" width="5.1640625" style="60" bestFit="1" customWidth="1"/>
    <col min="50" max="55" width="5.5" style="60" bestFit="1" customWidth="1"/>
    <col min="56" max="57" width="5.83203125" style="60" bestFit="1" customWidth="1"/>
    <col min="58" max="69" width="5.6640625" style="60" bestFit="1" customWidth="1"/>
    <col min="70" max="73" width="5.5" style="60" bestFit="1" customWidth="1"/>
    <col min="74" max="77" width="5.1640625" style="60" bestFit="1" customWidth="1"/>
    <col min="78" max="81" width="5.5" style="60" bestFit="1" customWidth="1"/>
    <col min="82" max="85" width="6.1640625" style="60" bestFit="1" customWidth="1"/>
    <col min="86" max="89" width="5.5" style="60" bestFit="1" customWidth="1"/>
    <col min="90" max="94" width="6.33203125" style="60" bestFit="1" customWidth="1"/>
    <col min="95" max="98" width="6.1640625" style="60" bestFit="1" customWidth="1"/>
    <col min="99" max="102" width="5.1640625" style="60" bestFit="1" customWidth="1"/>
    <col min="103" max="106" width="5.83203125" style="60" bestFit="1" customWidth="1"/>
    <col min="107" max="114" width="5.6640625" style="60" bestFit="1" customWidth="1"/>
    <col min="115" max="118" width="6.1640625" style="60" bestFit="1" customWidth="1"/>
    <col min="119" max="122" width="5.83203125" style="60" bestFit="1" customWidth="1"/>
    <col min="123" max="124" width="5.1640625" style="60" bestFit="1" customWidth="1"/>
    <col min="125" max="135" width="3.33203125" style="60" bestFit="1" customWidth="1"/>
    <col min="136" max="16384" width="8.6640625" style="60"/>
  </cols>
  <sheetData>
    <row r="1" spans="1:135">
      <c r="A1" s="59" t="s">
        <v>377</v>
      </c>
      <c r="B1" s="59" t="s">
        <v>378</v>
      </c>
      <c r="C1" s="59" t="s">
        <v>379</v>
      </c>
      <c r="D1" s="59" t="s">
        <v>380</v>
      </c>
      <c r="E1" s="59" t="s">
        <v>381</v>
      </c>
      <c r="F1" s="59" t="s">
        <v>33</v>
      </c>
      <c r="H1" s="61">
        <v>6</v>
      </c>
      <c r="I1" s="61">
        <v>7</v>
      </c>
      <c r="J1" s="61">
        <v>8</v>
      </c>
      <c r="K1" s="61">
        <v>9</v>
      </c>
      <c r="L1" s="61">
        <v>10</v>
      </c>
      <c r="M1" s="61">
        <v>11</v>
      </c>
      <c r="N1" s="61">
        <v>12</v>
      </c>
      <c r="O1" s="61">
        <v>13</v>
      </c>
      <c r="P1" s="61">
        <v>14</v>
      </c>
      <c r="Q1" s="61">
        <v>15</v>
      </c>
      <c r="R1" s="61">
        <v>16</v>
      </c>
      <c r="S1" s="61">
        <v>17</v>
      </c>
      <c r="T1" s="61">
        <v>18</v>
      </c>
      <c r="U1" s="61">
        <v>19</v>
      </c>
      <c r="V1" s="61">
        <v>20</v>
      </c>
      <c r="W1" s="61">
        <v>21</v>
      </c>
      <c r="X1" s="61">
        <v>22</v>
      </c>
      <c r="Y1" s="61">
        <v>23</v>
      </c>
      <c r="Z1" s="61">
        <v>24</v>
      </c>
      <c r="AA1" s="61">
        <v>25</v>
      </c>
      <c r="AB1" s="61">
        <v>26</v>
      </c>
      <c r="AC1" s="61">
        <v>27</v>
      </c>
      <c r="AD1" s="61">
        <v>28</v>
      </c>
      <c r="AE1" s="61">
        <v>29</v>
      </c>
      <c r="AF1" s="61">
        <v>30</v>
      </c>
      <c r="AG1" s="61">
        <v>31</v>
      </c>
      <c r="AH1" s="61">
        <v>32</v>
      </c>
      <c r="AI1" s="61">
        <v>33</v>
      </c>
      <c r="AJ1" s="61">
        <v>34</v>
      </c>
      <c r="AK1" s="61">
        <v>35</v>
      </c>
      <c r="AL1" s="61">
        <v>36</v>
      </c>
      <c r="AM1" s="61">
        <v>37</v>
      </c>
      <c r="AN1" s="61">
        <v>38</v>
      </c>
      <c r="AO1" s="61">
        <v>39</v>
      </c>
      <c r="AP1" s="61">
        <v>40</v>
      </c>
      <c r="AQ1" s="61">
        <v>41</v>
      </c>
      <c r="AR1" s="61">
        <v>42</v>
      </c>
      <c r="AS1" s="61">
        <v>43</v>
      </c>
      <c r="AT1" s="61">
        <v>44</v>
      </c>
      <c r="AU1" s="61">
        <v>45</v>
      </c>
      <c r="AV1" s="61">
        <v>46</v>
      </c>
      <c r="AW1" s="61">
        <v>47</v>
      </c>
      <c r="AX1" s="61">
        <v>48</v>
      </c>
      <c r="AY1" s="61">
        <v>49</v>
      </c>
      <c r="AZ1" s="61">
        <v>50</v>
      </c>
      <c r="BA1" s="61">
        <v>51</v>
      </c>
      <c r="BB1" s="61">
        <v>52</v>
      </c>
      <c r="BC1" s="61">
        <v>53</v>
      </c>
      <c r="BD1" s="61">
        <v>54</v>
      </c>
      <c r="BE1" s="61">
        <v>55</v>
      </c>
      <c r="BF1" s="61">
        <v>56</v>
      </c>
      <c r="BG1" s="61">
        <v>57</v>
      </c>
      <c r="BH1" s="61">
        <v>58</v>
      </c>
      <c r="BI1" s="61">
        <v>59</v>
      </c>
      <c r="BJ1" s="61">
        <v>60</v>
      </c>
      <c r="BK1" s="61">
        <v>61</v>
      </c>
      <c r="BL1" s="61">
        <v>62</v>
      </c>
      <c r="BM1" s="61">
        <v>63</v>
      </c>
      <c r="BN1" s="61">
        <v>64</v>
      </c>
      <c r="BO1" s="61">
        <v>65</v>
      </c>
      <c r="BP1" s="61">
        <v>66</v>
      </c>
      <c r="BQ1" s="61">
        <v>67</v>
      </c>
      <c r="BR1" s="61">
        <v>68</v>
      </c>
      <c r="BS1" s="61">
        <v>69</v>
      </c>
      <c r="BT1" s="61">
        <v>70</v>
      </c>
      <c r="BU1" s="61">
        <v>71</v>
      </c>
      <c r="BV1" s="61">
        <v>72</v>
      </c>
      <c r="BW1" s="61">
        <v>73</v>
      </c>
      <c r="BX1" s="61">
        <v>74</v>
      </c>
      <c r="BY1" s="61">
        <v>75</v>
      </c>
      <c r="BZ1" s="61">
        <v>76</v>
      </c>
      <c r="CA1" s="61">
        <v>77</v>
      </c>
      <c r="CB1" s="61">
        <v>78</v>
      </c>
      <c r="CC1" s="61">
        <v>79</v>
      </c>
      <c r="CD1" s="61">
        <v>80</v>
      </c>
      <c r="CE1" s="61">
        <v>81</v>
      </c>
      <c r="CF1" s="61">
        <v>82</v>
      </c>
      <c r="CG1" s="61">
        <v>83</v>
      </c>
      <c r="CH1" s="61">
        <v>84</v>
      </c>
      <c r="CI1" s="61">
        <v>85</v>
      </c>
      <c r="CJ1" s="61">
        <v>86</v>
      </c>
      <c r="CK1" s="61">
        <v>87</v>
      </c>
      <c r="CL1" s="61">
        <v>88</v>
      </c>
      <c r="CM1" s="61">
        <v>89</v>
      </c>
      <c r="CN1" s="61">
        <v>90</v>
      </c>
      <c r="CO1" s="61">
        <v>91</v>
      </c>
      <c r="CP1" s="61">
        <v>92</v>
      </c>
      <c r="CQ1" s="61">
        <v>93</v>
      </c>
      <c r="CR1" s="61">
        <v>94</v>
      </c>
      <c r="CS1" s="61">
        <v>95</v>
      </c>
      <c r="CT1" s="61">
        <v>96</v>
      </c>
      <c r="CU1" s="61">
        <v>97</v>
      </c>
      <c r="CV1" s="61">
        <v>98</v>
      </c>
      <c r="CW1" s="61">
        <v>99</v>
      </c>
      <c r="CX1" s="61">
        <v>100</v>
      </c>
      <c r="CY1" s="61">
        <v>101</v>
      </c>
      <c r="CZ1" s="61">
        <v>102</v>
      </c>
      <c r="DA1" s="61">
        <v>103</v>
      </c>
      <c r="DB1" s="61">
        <v>104</v>
      </c>
      <c r="DC1" s="61">
        <v>105</v>
      </c>
      <c r="DD1" s="61">
        <v>106</v>
      </c>
      <c r="DE1" s="61">
        <v>107</v>
      </c>
      <c r="DF1" s="61">
        <v>108</v>
      </c>
      <c r="DG1" s="61">
        <v>109</v>
      </c>
      <c r="DH1" s="61">
        <v>110</v>
      </c>
      <c r="DI1" s="61">
        <v>111</v>
      </c>
      <c r="DJ1" s="61">
        <v>112</v>
      </c>
      <c r="DK1" s="61">
        <v>113</v>
      </c>
      <c r="DL1" s="61">
        <v>114</v>
      </c>
      <c r="DM1" s="61">
        <v>115</v>
      </c>
      <c r="DN1" s="61">
        <v>116</v>
      </c>
      <c r="DO1" s="61">
        <v>117</v>
      </c>
      <c r="DP1" s="61">
        <v>118</v>
      </c>
      <c r="DQ1" s="61">
        <v>119</v>
      </c>
      <c r="DR1" s="61">
        <v>120</v>
      </c>
      <c r="DS1" s="61">
        <v>121</v>
      </c>
      <c r="DT1" s="61">
        <v>122</v>
      </c>
      <c r="DU1" s="61">
        <v>123</v>
      </c>
      <c r="DV1" s="61">
        <v>124</v>
      </c>
      <c r="DW1" s="61">
        <v>125</v>
      </c>
      <c r="DX1" s="61">
        <v>126</v>
      </c>
      <c r="DY1" s="61">
        <v>127</v>
      </c>
      <c r="DZ1" s="61">
        <v>128</v>
      </c>
      <c r="EA1" s="61">
        <v>129</v>
      </c>
      <c r="EB1" s="61">
        <v>130</v>
      </c>
      <c r="EC1" s="61">
        <v>131</v>
      </c>
      <c r="ED1" s="61">
        <v>132</v>
      </c>
      <c r="EE1" s="61">
        <v>133</v>
      </c>
    </row>
    <row r="2" spans="1:135">
      <c r="A2" s="60" t="s">
        <v>74</v>
      </c>
      <c r="B2" s="64" t="s">
        <v>514</v>
      </c>
      <c r="D2" s="64"/>
      <c r="E2" s="60">
        <v>138.21</v>
      </c>
      <c r="F2" s="59"/>
      <c r="H2" s="61"/>
      <c r="I2" s="61"/>
      <c r="J2" s="61"/>
      <c r="K2" s="61"/>
      <c r="L2" s="61"/>
      <c r="M2" s="61"/>
      <c r="N2" s="61"/>
      <c r="O2" s="61"/>
      <c r="P2" s="61"/>
      <c r="Q2" s="61"/>
      <c r="R2" s="61"/>
      <c r="S2" s="61"/>
    </row>
    <row r="3" spans="1:135">
      <c r="A3" s="229"/>
      <c r="B3" s="229"/>
      <c r="C3" s="229"/>
      <c r="D3" s="229"/>
      <c r="E3" s="229"/>
      <c r="F3" s="229"/>
      <c r="H3" s="61"/>
      <c r="I3" s="61"/>
      <c r="J3" s="61"/>
      <c r="K3" s="61"/>
      <c r="L3" s="61"/>
      <c r="M3" s="61"/>
      <c r="N3" s="61"/>
      <c r="O3" s="61"/>
      <c r="P3" s="61"/>
      <c r="Q3" s="61"/>
      <c r="R3" s="61"/>
      <c r="S3" s="61"/>
    </row>
    <row r="4" spans="1:135">
      <c r="A4" s="229"/>
      <c r="B4" s="229"/>
      <c r="C4" s="229"/>
      <c r="D4" s="229"/>
      <c r="E4" s="229"/>
      <c r="F4" s="229"/>
      <c r="H4" s="61"/>
      <c r="I4" s="61"/>
      <c r="J4" s="61"/>
      <c r="K4" s="61"/>
      <c r="L4" s="61"/>
      <c r="M4" s="61"/>
      <c r="N4" s="61"/>
      <c r="O4" s="61"/>
      <c r="P4" s="61"/>
      <c r="Q4" s="61"/>
      <c r="R4" s="61"/>
      <c r="S4" s="61"/>
    </row>
    <row r="5" spans="1:135">
      <c r="G5" s="59" t="s">
        <v>388</v>
      </c>
      <c r="H5" s="59">
        <v>43831</v>
      </c>
      <c r="I5" s="59">
        <v>43862</v>
      </c>
      <c r="J5" s="59">
        <v>43891</v>
      </c>
      <c r="K5" s="59">
        <v>43922</v>
      </c>
      <c r="L5" s="59">
        <v>43952</v>
      </c>
      <c r="M5" s="59">
        <v>43983</v>
      </c>
      <c r="N5" s="59">
        <v>44013</v>
      </c>
      <c r="O5" s="59">
        <v>44044</v>
      </c>
      <c r="P5" s="59">
        <v>44075</v>
      </c>
      <c r="Q5" s="59">
        <v>44105</v>
      </c>
      <c r="R5" s="59">
        <v>44136</v>
      </c>
      <c r="S5" s="59">
        <v>44166</v>
      </c>
      <c r="T5" s="59">
        <v>44197</v>
      </c>
      <c r="U5" s="59">
        <v>44228</v>
      </c>
      <c r="V5" s="59">
        <v>44256</v>
      </c>
      <c r="W5" s="59">
        <v>44287</v>
      </c>
      <c r="X5" s="59">
        <v>44317</v>
      </c>
      <c r="Y5" s="59">
        <v>44348</v>
      </c>
      <c r="Z5" s="59">
        <v>44378</v>
      </c>
      <c r="AA5" s="59">
        <v>44409</v>
      </c>
      <c r="AB5" s="59">
        <v>44440</v>
      </c>
      <c r="AC5" s="59">
        <v>44470</v>
      </c>
      <c r="AD5" s="59">
        <v>44501</v>
      </c>
      <c r="AE5" s="59">
        <v>44531</v>
      </c>
      <c r="AF5" s="59">
        <v>44562</v>
      </c>
      <c r="AG5" s="59">
        <v>44593</v>
      </c>
      <c r="AH5" s="59">
        <v>44621</v>
      </c>
      <c r="AI5" s="59">
        <v>44652</v>
      </c>
      <c r="AJ5" s="59">
        <v>44682</v>
      </c>
      <c r="AK5" s="59">
        <v>44713</v>
      </c>
      <c r="AL5" s="59">
        <v>44743</v>
      </c>
      <c r="AM5" s="59">
        <v>44774</v>
      </c>
      <c r="AN5" s="59">
        <v>44805</v>
      </c>
      <c r="AO5" s="59">
        <v>44835</v>
      </c>
      <c r="AP5" s="59">
        <v>44866</v>
      </c>
      <c r="AQ5" s="59">
        <v>44896</v>
      </c>
      <c r="AR5" s="59">
        <v>44927</v>
      </c>
      <c r="AS5" s="59">
        <v>44958</v>
      </c>
      <c r="AT5" s="59">
        <v>44986</v>
      </c>
      <c r="AU5" s="59">
        <v>45017</v>
      </c>
      <c r="AV5" s="59">
        <v>45047</v>
      </c>
      <c r="AW5" s="59">
        <v>45078</v>
      </c>
      <c r="AX5" s="59" t="s">
        <v>417</v>
      </c>
      <c r="AY5" s="59" t="s">
        <v>418</v>
      </c>
      <c r="AZ5" s="59" t="s">
        <v>419</v>
      </c>
      <c r="BA5" s="59" t="s">
        <v>420</v>
      </c>
      <c r="BB5" s="59">
        <v>37104</v>
      </c>
      <c r="BC5" s="59">
        <v>37469</v>
      </c>
      <c r="BD5" s="59" t="s">
        <v>168</v>
      </c>
      <c r="BE5" s="59" t="s">
        <v>169</v>
      </c>
      <c r="BF5" s="59" t="s">
        <v>421</v>
      </c>
      <c r="BG5" s="59" t="s">
        <v>422</v>
      </c>
      <c r="BH5" s="59" t="s">
        <v>423</v>
      </c>
      <c r="BI5" s="59" t="s">
        <v>424</v>
      </c>
      <c r="BJ5" s="59" t="s">
        <v>435</v>
      </c>
      <c r="BK5" s="59" t="s">
        <v>436</v>
      </c>
      <c r="BL5" s="59" t="s">
        <v>437</v>
      </c>
      <c r="BM5" s="59" t="s">
        <v>438</v>
      </c>
      <c r="BN5" s="59">
        <v>37196</v>
      </c>
      <c r="BO5" s="59">
        <v>37561</v>
      </c>
      <c r="BP5" s="59">
        <v>37926</v>
      </c>
      <c r="BQ5" s="59">
        <v>38292</v>
      </c>
      <c r="BR5" s="59">
        <v>37226</v>
      </c>
      <c r="BS5" s="59">
        <v>37591</v>
      </c>
      <c r="BT5" s="59">
        <v>37956</v>
      </c>
      <c r="BU5" s="59">
        <v>38322</v>
      </c>
      <c r="BV5" s="59">
        <v>36892</v>
      </c>
      <c r="BW5" s="59">
        <v>37257</v>
      </c>
      <c r="BX5" s="59">
        <v>37622</v>
      </c>
      <c r="BY5" s="59">
        <v>37987</v>
      </c>
      <c r="BZ5" s="59">
        <v>36923</v>
      </c>
      <c r="CA5" s="59">
        <v>37288</v>
      </c>
      <c r="CB5" s="59">
        <v>37653</v>
      </c>
      <c r="CC5" s="59">
        <v>38018</v>
      </c>
      <c r="CD5" s="59" t="str">
        <f>Sheet8!A15</f>
        <v>Mar-w1</v>
      </c>
      <c r="CE5" s="59" t="s">
        <v>285</v>
      </c>
      <c r="CF5" s="59" t="s">
        <v>286</v>
      </c>
      <c r="CG5" s="59" t="s">
        <v>287</v>
      </c>
      <c r="CH5" s="59" t="str">
        <f>Sheet8!E15</f>
        <v>Apr-w1</v>
      </c>
      <c r="CI5" s="59" t="str">
        <f>Sheet8!F15</f>
        <v>Apr-w2</v>
      </c>
      <c r="CJ5" s="59" t="str">
        <f>Sheet8!G15</f>
        <v>Apr-w3</v>
      </c>
      <c r="CK5" s="59" t="str">
        <f>Sheet8!H15</f>
        <v>Apr-w4</v>
      </c>
      <c r="CL5" s="59" t="str">
        <f>Sheet8!I15</f>
        <v>May-w1</v>
      </c>
      <c r="CM5" s="59" t="str">
        <f>Sheet8!J15</f>
        <v>May-w2</v>
      </c>
      <c r="CN5" s="59" t="str">
        <f>Sheet8!K15</f>
        <v>May-w3</v>
      </c>
      <c r="CO5" s="59" t="str">
        <f>Sheet8!L15</f>
        <v>May-w4</v>
      </c>
      <c r="CP5" s="59" t="str">
        <f>Sheet8!M15</f>
        <v>May-w5</v>
      </c>
      <c r="CQ5" s="59" t="str">
        <f>Sheet8!N15</f>
        <v>june-w1</v>
      </c>
      <c r="CR5" s="59" t="str">
        <f>Sheet8!O15</f>
        <v>june-w2</v>
      </c>
      <c r="CS5" s="59" t="str">
        <f>Sheet8!P15</f>
        <v>june-w3</v>
      </c>
      <c r="CT5" s="59" t="str">
        <f>Sheet8!Q15</f>
        <v>june-w4</v>
      </c>
      <c r="CU5" s="59" t="str">
        <f>Sheet8!R15</f>
        <v>Jul-w1</v>
      </c>
      <c r="CV5" s="59" t="str">
        <f>Sheet8!S15</f>
        <v>Jul-w2</v>
      </c>
      <c r="CW5" s="59" t="str">
        <f>Sheet8!T15</f>
        <v>Jul-w3</v>
      </c>
      <c r="CX5" s="59" t="str">
        <f>Sheet8!U15</f>
        <v>Jul-w4</v>
      </c>
      <c r="CY5" s="59" t="str">
        <f>Sheet8!V15</f>
        <v>Aug-w1</v>
      </c>
      <c r="CZ5" s="59" t="str">
        <f>Sheet8!W15</f>
        <v>Aug-w2</v>
      </c>
      <c r="DA5" s="59" t="str">
        <f>Sheet8!X15</f>
        <v>Aug-w3</v>
      </c>
      <c r="DB5" s="59" t="str">
        <f>Sheet8!Y15</f>
        <v>Aug-w4</v>
      </c>
      <c r="DC5" s="59" t="str">
        <f>Sheet8!Z15</f>
        <v>Sep-w1</v>
      </c>
      <c r="DD5" s="59" t="str">
        <f>Sheet8!AA15</f>
        <v>Sep-w2</v>
      </c>
      <c r="DE5" s="59" t="str">
        <f>Sheet8!AB15</f>
        <v>Sep-w3</v>
      </c>
      <c r="DF5" s="59" t="str">
        <f>Sheet8!AC15</f>
        <v>Sep-w4</v>
      </c>
      <c r="DG5" s="59" t="str">
        <f>Sheet8!AD15</f>
        <v>Oct-w1</v>
      </c>
      <c r="DH5" s="59" t="str">
        <f>Sheet8!AE15</f>
        <v>Oct-w2</v>
      </c>
      <c r="DI5" s="59" t="str">
        <f>Sheet8!AF15</f>
        <v>Oct-w3</v>
      </c>
      <c r="DJ5" s="59" t="str">
        <f>Sheet8!AG15</f>
        <v>Oct-w4</v>
      </c>
      <c r="DK5" s="59" t="str">
        <f>Sheet8!AH15</f>
        <v>Nov-w1</v>
      </c>
      <c r="DL5" s="59" t="str">
        <f>Sheet8!AI15</f>
        <v>Nov-w2</v>
      </c>
      <c r="DM5" s="59" t="str">
        <f>Sheet8!AJ15</f>
        <v>Nov-w3</v>
      </c>
      <c r="DN5" s="59" t="str">
        <f>Sheet8!AK15</f>
        <v>Nov-w4</v>
      </c>
      <c r="DO5" s="59" t="str">
        <f>Sheet8!AL15</f>
        <v>Dec-w1</v>
      </c>
      <c r="DP5" s="59" t="str">
        <f>Sheet8!AM15</f>
        <v>Dec-w2</v>
      </c>
      <c r="DQ5" s="59" t="str">
        <f>Sheet8!AN15</f>
        <v>Dec-w3</v>
      </c>
      <c r="DR5" s="59" t="str">
        <f>Sheet8!AO15</f>
        <v>Dec-w4</v>
      </c>
      <c r="DS5" s="59">
        <f>Sheet8!AP15</f>
        <v>0</v>
      </c>
      <c r="DT5" s="59">
        <f>Sheet8!AQ15</f>
        <v>0</v>
      </c>
    </row>
    <row r="6" spans="1:135">
      <c r="B6" s="64"/>
      <c r="D6" s="60" t="s">
        <v>515</v>
      </c>
      <c r="E6" s="114" t="s">
        <v>516</v>
      </c>
      <c r="G6" s="60" t="s">
        <v>64</v>
      </c>
      <c r="H6" s="70">
        <f>VLOOKUP($G$6&amp;$F$1,'Input RM sheet'!$A:$BD,H1,0)</f>
        <v>684</v>
      </c>
      <c r="I6" s="70">
        <f>VLOOKUP($G$6&amp;$F$1,'Input RM sheet'!$A:$BD,I1,0)</f>
        <v>706.3</v>
      </c>
      <c r="J6" s="70">
        <f>VLOOKUP($G$6&amp;$F$1,'Input RM sheet'!$A:$BD,J1,0)</f>
        <v>643.79999999999995</v>
      </c>
      <c r="K6" s="70">
        <f>VLOOKUP($G$6&amp;$F$1,'Input RM sheet'!$A:$BD,K1,0)</f>
        <v>590</v>
      </c>
      <c r="L6" s="70">
        <f>VLOOKUP($G$6&amp;$F$1,'Input RM sheet'!$A:$BD,L1,0)</f>
        <v>784</v>
      </c>
      <c r="M6" s="70">
        <f>VLOOKUP($G$6&amp;$F$1,'Input RM sheet'!$A:$BD,M1,0)</f>
        <v>928.8</v>
      </c>
      <c r="N6" s="70">
        <f>VLOOKUP($G$6&amp;$F$1,'Input RM sheet'!$A:$BD,N1,0)</f>
        <v>953.5</v>
      </c>
      <c r="O6" s="70">
        <f>VLOOKUP($G$6&amp;$F$1,'Input RM sheet'!$A:$BD,O1,0)</f>
        <v>892.5</v>
      </c>
      <c r="P6" s="70">
        <f>VLOOKUP($G$6&amp;$F$1,'Input RM sheet'!$A:$BD,P1,0)</f>
        <v>885</v>
      </c>
      <c r="Q6" s="70">
        <f>VLOOKUP($G$6&amp;$F$1,'Input RM sheet'!$A:$BD,Q1,0)</f>
        <v>908</v>
      </c>
      <c r="R6" s="70">
        <f>VLOOKUP($G$6&amp;$F$1,'Input RM sheet'!$A:$BD,R1,0)</f>
        <v>963.8</v>
      </c>
      <c r="S6" s="70">
        <f>VLOOKUP($G$6&amp;$F$1,'Input RM sheet'!$A:$BD,S1,0)</f>
        <v>1053.8</v>
      </c>
      <c r="T6" s="70">
        <f>VLOOKUP($G$6&amp;$F$1,'Input RM sheet'!$A:$BD,T1,0)</f>
        <v>992.5</v>
      </c>
      <c r="U6" s="70">
        <f>VLOOKUP($G$6&amp;$F$1,'Input RM sheet'!$A:$BD,U1,0)</f>
        <v>1085</v>
      </c>
      <c r="V6" s="70">
        <f>VLOOKUP($G$6&amp;$F$1,'Input RM sheet'!$A:$BD,V1,0)</f>
        <v>1280</v>
      </c>
      <c r="W6" s="70">
        <f>VLOOKUP($G$6&amp;$F$1,'Input RM sheet'!$A:$BD,W1,0)</f>
        <v>1305</v>
      </c>
      <c r="X6" s="70">
        <f>VLOOKUP($G$6&amp;$F$1,'Input RM sheet'!$A:$BD,X1,0)</f>
        <v>1237.5</v>
      </c>
      <c r="Y6" s="70">
        <f>VLOOKUP($G$6&amp;$F$1,'Input RM sheet'!$A:$BD,Y1,0)</f>
        <v>1028.8</v>
      </c>
      <c r="Z6" s="70">
        <f>VLOOKUP($G$6&amp;$F$1,'Input RM sheet'!$A:$BD,Z1,0)</f>
        <v>864</v>
      </c>
      <c r="AA6" s="70">
        <f>VLOOKUP($G$6&amp;$F$1,'Input RM sheet'!$A:$BD,AA1,0)</f>
        <v>822.5</v>
      </c>
      <c r="AB6" s="70">
        <f>VLOOKUP($G$6&amp;$F$1,'Input RM sheet'!$A:$BD,AB1,0)</f>
        <v>839</v>
      </c>
      <c r="AC6" s="70">
        <f>VLOOKUP($G$6&amp;$F$1,'Input RM sheet'!$A:$BD,AC1,0)</f>
        <v>902</v>
      </c>
      <c r="AD6" s="70">
        <f>VLOOKUP($G$6&amp;$F$1,'Input RM sheet'!$A:$BD,AD1,0)</f>
        <v>893.8</v>
      </c>
      <c r="AE6" s="70">
        <f>VLOOKUP($G$6&amp;$F$1,'Input RM sheet'!$A:$BD,AE1,0)</f>
        <v>835</v>
      </c>
      <c r="AF6" s="70">
        <f>VLOOKUP($G$6&amp;$F$1,'Input RM sheet'!$A:$BD,AF1,0)</f>
        <v>822.5</v>
      </c>
      <c r="AG6" s="70">
        <f>VLOOKUP($G$6&amp;$F$1,'Input RM sheet'!$A:$BD,AG1,0)</f>
        <v>875</v>
      </c>
      <c r="AH6" s="70">
        <f>VLOOKUP($G$6&amp;$F$1,'Input RM sheet'!$A:$BD,AH1,0)</f>
        <v>986.3</v>
      </c>
      <c r="AI6" s="70">
        <f>VLOOKUP($G$6&amp;$F$1,'Input RM sheet'!$A:$BD,AI1,0)</f>
        <v>962</v>
      </c>
      <c r="AJ6" s="70">
        <f>VLOOKUP($G$6&amp;$F$1,'Input RM sheet'!$A:$BD,AJ1,0)</f>
        <v>955</v>
      </c>
      <c r="AK6" s="70">
        <f>VLOOKUP($G$6&amp;$F$1,'Input RM sheet'!$A:$BD,AK1,0)</f>
        <v>960</v>
      </c>
      <c r="AL6" s="70">
        <f>VLOOKUP($G$6&amp;$F$1,'Input RM sheet'!$A:$BD,AL1,0)</f>
        <v>952</v>
      </c>
      <c r="AM6" s="70">
        <f>VLOOKUP($G$6&amp;$F$1,'Input RM sheet'!$A:$BD,AM1,0)</f>
        <v>875</v>
      </c>
      <c r="AN6" s="70">
        <f>VLOOKUP($G$6&amp;$F$1,'Input RM sheet'!$A:$BD,AN1,0)</f>
        <v>837.5</v>
      </c>
      <c r="AO6" s="70">
        <f>VLOOKUP($G$6&amp;$F$1,'Input RM sheet'!$A:$BD,AO1,0)</f>
        <v>818.8</v>
      </c>
      <c r="AP6" s="70">
        <f>VLOOKUP($G$6&amp;$F$1,'Input RM sheet'!$A:$BD,AP1,0)</f>
        <v>785</v>
      </c>
      <c r="AQ6" s="70">
        <f>VLOOKUP($G$6&amp;$F$1,'Input RM sheet'!$A:$BD,AQ1,0)</f>
        <v>790</v>
      </c>
      <c r="AR6" s="70">
        <f>VLOOKUP($G$6&amp;$F$1,'Input RM sheet'!$A:$BD,AR1,0)</f>
        <v>790</v>
      </c>
      <c r="AS6" s="70">
        <f>VLOOKUP($G$6&amp;$F$1,'Input RM sheet'!$A:$BD,AS1,0)</f>
        <v>833.8</v>
      </c>
      <c r="AT6" s="70">
        <f>VLOOKUP($G$6&amp;$F$1,'Input RM sheet'!$A:$BD,AT1,0)</f>
        <v>915</v>
      </c>
      <c r="AU6" s="70">
        <f>VLOOKUP($G$6&amp;$F$1,'Input RM sheet'!$A:$BD,AU1,0)</f>
        <v>915</v>
      </c>
      <c r="AV6" s="70">
        <f>VLOOKUP($G$6&amp;$F$1,'Input RM sheet'!$A:$BD,AV1,0)</f>
        <v>932.5</v>
      </c>
      <c r="AW6" s="70">
        <f>VLOOKUP($G$6&amp;$F$1,'Input RM sheet'!$A:$BD,AW1,0)</f>
        <v>922.5</v>
      </c>
      <c r="AX6" s="70">
        <f>VLOOKUP($G$6&amp;$F$1,'Input RM sheet'!$A:$BD,AX1,0)</f>
        <v>800</v>
      </c>
      <c r="AY6" s="70">
        <f>VLOOKUP($G$6&amp;$F$1,'Input RM sheet'!$A:$BD,AY1,0)</f>
        <v>815</v>
      </c>
      <c r="AZ6" s="70">
        <f>VLOOKUP($G$6&amp;$F$1,'Input RM sheet'!$A:$BD,AZ1,0)</f>
        <v>815</v>
      </c>
      <c r="BA6" s="70">
        <f>VLOOKUP($G$6&amp;$F$1,'Input RM sheet'!$A:$BD,BA1,0)</f>
        <v>825</v>
      </c>
      <c r="BB6" s="70">
        <f>VLOOKUP($G$6&amp;$F$1,'Input RM sheet'!$A:$BD,BB1,0)</f>
        <v>845</v>
      </c>
      <c r="BC6" s="70">
        <f>VLOOKUP($G$6&amp;$F$1,'Input RM sheet'!$A:$BD,BC1,0)</f>
        <v>860</v>
      </c>
      <c r="BD6" s="70">
        <f>VLOOKUP($G$6&amp;$F$1,'Input RM sheet'!$A:$BD,BD1,0)</f>
        <v>865</v>
      </c>
      <c r="BE6" s="70">
        <f>VLOOKUP($G$6&amp;$F$1,'Input RM sheet'!$A:$BD,BE1,0)</f>
        <v>865</v>
      </c>
      <c r="BF6" s="70">
        <f>VLOOKUP($G$6&amp;$F$1,'Input RM sheet'!$A:$DD,BF1,0)</f>
        <v>865</v>
      </c>
      <c r="BG6" s="70">
        <f>VLOOKUP($G$6&amp;$F$1,'Input RM sheet'!$A:$DD,BG1,0)</f>
        <v>875</v>
      </c>
      <c r="BH6" s="70">
        <f>VLOOKUP($G$6&amp;$F$1,'Input RM sheet'!$A:$DD,BH1,0)</f>
        <v>875</v>
      </c>
      <c r="BI6" s="70">
        <f>VLOOKUP($G$6&amp;$F$1,'Input RM sheet'!$A:$DD,BI1,0)</f>
        <v>925</v>
      </c>
      <c r="BJ6" s="70">
        <f>VLOOKUP($G$6&amp;$F$1,'Input RM sheet'!$A:$DD,BJ1,0)</f>
        <v>940</v>
      </c>
      <c r="BK6" s="70">
        <f>VLOOKUP($G$6&amp;$F$1,'Input RM sheet'!$A:$DD,BK1,0)</f>
        <v>950</v>
      </c>
      <c r="BL6" s="70">
        <f>VLOOKUP($G$6&amp;$F$1,'Input RM sheet'!$A:$DD,BL1,0)</f>
        <v>920</v>
      </c>
      <c r="BM6" s="70">
        <f>VLOOKUP($G$6&amp;$F$1,'Input RM sheet'!$A:$DD,BM1,0)</f>
        <v>920</v>
      </c>
      <c r="BN6" s="70">
        <f>VLOOKUP($G$6&amp;$F$1,'Input RM sheet'!$A:$DD,BN1,0)</f>
        <v>920</v>
      </c>
      <c r="BO6" s="70">
        <f>VLOOKUP($G$6&amp;$F$1,'Input RM sheet'!$A:$DD,BO1,0)</f>
        <v>930</v>
      </c>
      <c r="BP6" s="70">
        <f>VLOOKUP($G$6&amp;$F$1,'Input RM sheet'!$A:$DD,BP1,0)</f>
        <v>930</v>
      </c>
      <c r="BQ6" s="70">
        <f>VLOOKUP($G$6&amp;$F$1,'Input RM sheet'!$A:$DD,BQ1,0)</f>
        <v>930</v>
      </c>
      <c r="BR6" s="70">
        <f>VLOOKUP($G$6&amp;$F$1,'Input RM sheet'!$A:$DD,BR1,0)</f>
        <v>905</v>
      </c>
      <c r="BS6" s="70">
        <f>VLOOKUP($G$6&amp;$F$1,'Input RM sheet'!$A:$DD,BS1,0)</f>
        <v>905</v>
      </c>
      <c r="BT6" s="70">
        <f>VLOOKUP($G$6&amp;$F$1,'Input RM sheet'!$A:$DD,BT1,0)</f>
        <v>905</v>
      </c>
      <c r="BU6" s="70">
        <f>VLOOKUP($G$6&amp;$F$1,'Input RM sheet'!$A:$DD,BU1,0)</f>
        <v>905</v>
      </c>
      <c r="BV6" s="70">
        <f>VLOOKUP($G$6&amp;$F$1,'Input RM sheet'!$A:$DD,BV1,0)</f>
        <v>930</v>
      </c>
      <c r="BW6" s="70">
        <f>VLOOKUP($G$6&amp;$F$1,'Input RM sheet'!$A:$DD,BW1,0)</f>
        <v>925</v>
      </c>
      <c r="BX6" s="70">
        <f>VLOOKUP($G$6&amp;$F$1,'Input RM sheet'!$A:$DD,BX1,0)</f>
        <v>925</v>
      </c>
      <c r="BY6" s="70">
        <f>VLOOKUP($G$6&amp;$F$1,'Input RM sheet'!$A:$DD,BY1,0)</f>
        <v>960</v>
      </c>
      <c r="BZ6" s="70">
        <f>VLOOKUP($G$6&amp;$F$1,'Input RM sheet'!$A:$DD,BZ1,0)</f>
        <v>960</v>
      </c>
      <c r="CA6" s="70">
        <f>VLOOKUP($G$6&amp;$F$1,'Input RM sheet'!$A:$DD,CA1,0)</f>
        <v>980</v>
      </c>
      <c r="CB6" s="70">
        <f>VLOOKUP($G$6&amp;$F$1,'Input RM sheet'!$A:$DD,CB1,0)</f>
        <v>1030</v>
      </c>
      <c r="CC6" s="70">
        <f>VLOOKUP($G$6&amp;$F$1,'Input RM sheet'!$A:$DD,CC1,0)</f>
        <v>1030</v>
      </c>
      <c r="CD6" s="70">
        <f>VLOOKUP($G$6&amp;$F$1,'Input RM sheet'!$A:$DD,CD1,0)</f>
        <v>1030</v>
      </c>
      <c r="CE6" s="70">
        <f>VLOOKUP($G$6&amp;$F$1,'Input RM sheet'!$A:$DD,CE1,0)</f>
        <v>1030</v>
      </c>
      <c r="CF6" s="70">
        <f>VLOOKUP($G$6&amp;$F$1,'Input RM sheet'!$A:$DD,CF1,0)</f>
        <v>1040</v>
      </c>
      <c r="CG6" s="70">
        <f>VLOOKUP($G$6&amp;$F$1,'Input RM sheet'!$A:$DD,CG1,0)</f>
        <v>1040</v>
      </c>
      <c r="CH6" s="70">
        <f>VLOOKUP($G$6&amp;$F$1,'Input RM sheet'!$A:$DD,CH1,0)</f>
        <v>1040</v>
      </c>
      <c r="CI6" s="70">
        <f>VLOOKUP($G$6&amp;$F$1,'Input RM sheet'!$A:$DD,CI1,0)</f>
        <v>1040</v>
      </c>
      <c r="CJ6" s="70">
        <f>VLOOKUP($G$6&amp;$F$1,'Input RM sheet'!$A:$DD,CJ1,0)</f>
        <v>1040</v>
      </c>
      <c r="CK6" s="70">
        <f>VLOOKUP($G$6&amp;$F$1,'Input RM sheet'!$A:$DD,CK1,0)</f>
        <v>1060</v>
      </c>
      <c r="CL6" s="70">
        <f>VLOOKUP($G$6&amp;$F$1,'Input RM sheet'!$A:$DD,CL1,0)</f>
        <v>1060</v>
      </c>
      <c r="CM6" s="70">
        <f>VLOOKUP($G$6&amp;$F$1,'Input RM sheet'!$A:$DD,CM1,0)</f>
        <v>1070</v>
      </c>
      <c r="CN6" s="70">
        <f>VLOOKUP($G$6&amp;$F$1,'Input RM sheet'!$A:$DD,CN1,0)</f>
        <v>1070</v>
      </c>
      <c r="CO6" s="70">
        <f>VLOOKUP($G$6&amp;$F$1,'Input RM sheet'!$A:$DD,CO1,0)</f>
        <v>1070</v>
      </c>
      <c r="CP6" s="70">
        <f>VLOOKUP($G$6&amp;$F$1,'Input RM sheet'!$A:$DD,CP1,0)</f>
        <v>1070</v>
      </c>
      <c r="CQ6" s="70">
        <f>VLOOKUP($G$6&amp;$F$1,'Input RM sheet'!$A:$ZZ,CQ1,0)</f>
        <v>1070</v>
      </c>
      <c r="CR6" s="70">
        <f>VLOOKUP($G$6&amp;$F$1,'Input RM sheet'!$A:$ZZ,CR1,0)</f>
        <v>1065</v>
      </c>
      <c r="CS6" s="70">
        <f>VLOOKUP($G$6&amp;$F$1,'Input RM sheet'!$A:$ZZ,CS1,0)</f>
        <v>1075</v>
      </c>
      <c r="CT6" s="70">
        <f>VLOOKUP($G$6&amp;$F$1,'Input RM sheet'!$A:$ZZ,CT1,0)</f>
        <v>1070</v>
      </c>
      <c r="CU6" s="70">
        <f>VLOOKUP($G$6&amp;$F$1,'Input RM sheet'!$A:$ZZ,CU1,0)</f>
        <v>1070</v>
      </c>
      <c r="CV6" s="70">
        <f>VLOOKUP($G$6&amp;$F$1,'Input RM sheet'!$A:$ZZ,CV1,0)</f>
        <v>1070</v>
      </c>
      <c r="CW6" s="70">
        <f>VLOOKUP($G$6&amp;$F$1,'Input RM sheet'!$A:$ZZ,CW1,0)</f>
        <v>1040</v>
      </c>
      <c r="CX6" s="70">
        <v>1020</v>
      </c>
      <c r="CY6" s="70">
        <f>VLOOKUP($G$6&amp;$F$1,'Input RM sheet'!$A:$ZZ,CY1,0)</f>
        <v>1020</v>
      </c>
      <c r="CZ6" s="70">
        <f>VLOOKUP($G$6&amp;$F$1,'Input RM sheet'!$A:$ZZ,CZ1,0)</f>
        <v>1020</v>
      </c>
      <c r="DA6" s="70">
        <f>VLOOKUP($G$6&amp;$F$1,'Input RM sheet'!$A:$ZZ,DA1,0)</f>
        <v>1020</v>
      </c>
      <c r="DB6" s="70">
        <f>VLOOKUP($G$6&amp;$F$1,'Input RM sheet'!$A:$ZZ,DB1,0)</f>
        <v>1012.5</v>
      </c>
      <c r="DC6" s="70">
        <f>VLOOKUP($G$6&amp;$F$1,'Input RM sheet'!$A:$ZZ,DC1,0)</f>
        <v>960</v>
      </c>
      <c r="DD6" s="70">
        <f>VLOOKUP($G$6&amp;$F$1,'Input RM sheet'!$A:$ZZ,DD1,0)</f>
        <v>955</v>
      </c>
      <c r="DE6" s="70">
        <f>VLOOKUP($G$6&amp;$F$1,'Input RM sheet'!$A:$ZZ,DE1,0)</f>
        <v>875</v>
      </c>
      <c r="DF6" s="70">
        <f>VLOOKUP($G$6&amp;$F$1,'Input RM sheet'!$A:$ZZ,DF1,0)</f>
        <v>850</v>
      </c>
      <c r="DG6" s="70">
        <f>VLOOKUP($G$6&amp;$F$1,'Input RM sheet'!$A:$ZZ,DG1,0)</f>
        <v>865</v>
      </c>
      <c r="DH6" s="70">
        <f>VLOOKUP($G$6&amp;$F$1,'Input RM sheet'!$A:$ZZ,DH1,0)</f>
        <v>855</v>
      </c>
      <c r="DI6" s="70">
        <f>VLOOKUP($G$6&amp;$F$1,'Input RM sheet'!$A:$ZZ,DI1,0)</f>
        <v>840</v>
      </c>
      <c r="DJ6" s="70">
        <f>VLOOKUP($G$6&amp;$F$1,'Input RM sheet'!$A:$ZZ,DJ1,0)</f>
        <v>840</v>
      </c>
      <c r="DK6" s="70">
        <f>VLOOKUP($G$6&amp;$F$1,'Input RM sheet'!$A:$ZZ,DK1,0)</f>
        <v>840</v>
      </c>
      <c r="DL6" s="70">
        <f>VLOOKUP($G$6&amp;$F$1,'Input RM sheet'!$A:$ZZ,DL1,0)</f>
        <v>820</v>
      </c>
      <c r="DM6" s="70">
        <f>VLOOKUP($G$6&amp;$F$1,'Input RM sheet'!$A:$ZZ,DM1,0)</f>
        <v>790</v>
      </c>
      <c r="DN6" s="70">
        <f>VLOOKUP($G$6&amp;$F$1,'Input RM sheet'!$A:$ZZ,DN1,0)</f>
        <v>780</v>
      </c>
      <c r="DO6" s="70">
        <f>VLOOKUP($G$6&amp;$F$1,'Input RM sheet'!$A:$ZZ,DO1,0)</f>
        <v>780</v>
      </c>
      <c r="DP6" s="70">
        <f>VLOOKUP($G$6&amp;$F$1,'Input RM sheet'!$A:$ZZ,DP1,0)</f>
        <v>760</v>
      </c>
      <c r="DQ6" s="70">
        <f>VLOOKUP($G$6&amp;$F$1,'Input RM sheet'!$A:$ZZ,DQ1,0)</f>
        <v>750</v>
      </c>
      <c r="DR6" s="70">
        <f>VLOOKUP($G$6&amp;$F$1,'Input RM sheet'!$A:$ZZ,DR1,0)</f>
        <v>745</v>
      </c>
      <c r="DS6" s="70">
        <f>VLOOKUP($G$6&amp;$F$1,'Input RM sheet'!$A:$ZZ,DS1,0)</f>
        <v>0</v>
      </c>
      <c r="DT6" s="70">
        <f>VLOOKUP($G$6&amp;$F$1,'Input RM sheet'!$A:$ZZ,DT1,0)</f>
        <v>0</v>
      </c>
    </row>
    <row r="8" spans="1:135">
      <c r="A8" s="59" t="s">
        <v>395</v>
      </c>
      <c r="B8" s="59"/>
      <c r="C8" s="59" t="s">
        <v>379</v>
      </c>
      <c r="D8" s="59" t="s">
        <v>380</v>
      </c>
      <c r="E8" s="59" t="s">
        <v>381</v>
      </c>
      <c r="F8" s="59" t="s">
        <v>396</v>
      </c>
      <c r="G8" s="60" t="s">
        <v>399</v>
      </c>
      <c r="H8" s="84"/>
      <c r="I8" s="84"/>
      <c r="J8" s="84"/>
      <c r="K8" s="84"/>
      <c r="L8" s="84"/>
      <c r="M8" s="84"/>
      <c r="N8" s="84"/>
      <c r="O8" s="84"/>
      <c r="P8" s="84"/>
      <c r="Q8" s="84"/>
      <c r="R8" s="84"/>
      <c r="S8" s="84"/>
    </row>
    <row r="9" spans="1:135" ht="13">
      <c r="A9" s="66" t="s">
        <v>397</v>
      </c>
      <c r="B9" s="60" t="s">
        <v>517</v>
      </c>
      <c r="C9" s="60">
        <v>3</v>
      </c>
      <c r="D9" s="64">
        <v>58.02</v>
      </c>
      <c r="E9" s="60">
        <f>D9*C9</f>
        <v>174.06</v>
      </c>
      <c r="F9" s="65">
        <f>E9/$E$2</f>
        <v>1.259387887996527</v>
      </c>
      <c r="H9" s="74">
        <f>$F$9*(H6/1000)</f>
        <v>0.86142131538962452</v>
      </c>
      <c r="I9" s="74">
        <f t="shared" ref="I9:BE9" si="0">$F$9*(I6/1000)</f>
        <v>0.88950566529194697</v>
      </c>
      <c r="J9" s="74">
        <f t="shared" si="0"/>
        <v>0.81079392229216396</v>
      </c>
      <c r="K9" s="74">
        <f t="shared" si="0"/>
        <v>0.74303885391795088</v>
      </c>
      <c r="L9" s="74">
        <f t="shared" si="0"/>
        <v>0.98736010418927722</v>
      </c>
      <c r="M9" s="74">
        <f t="shared" si="0"/>
        <v>1.1697194703711742</v>
      </c>
      <c r="N9" s="74">
        <f t="shared" si="0"/>
        <v>1.2008263512046886</v>
      </c>
      <c r="O9" s="74">
        <f t="shared" si="0"/>
        <v>1.1240036900369004</v>
      </c>
      <c r="P9" s="74">
        <f t="shared" si="0"/>
        <v>1.1145582808769263</v>
      </c>
      <c r="Q9" s="74">
        <f t="shared" si="0"/>
        <v>1.1435242023008465</v>
      </c>
      <c r="R9" s="74">
        <f t="shared" si="0"/>
        <v>1.2137980464510527</v>
      </c>
      <c r="S9" s="74">
        <f t="shared" si="0"/>
        <v>1.32714295637074</v>
      </c>
      <c r="T9" s="74">
        <f t="shared" si="0"/>
        <v>1.2499424788365532</v>
      </c>
      <c r="U9" s="74">
        <f t="shared" si="0"/>
        <v>1.3664358584762317</v>
      </c>
      <c r="V9" s="74">
        <f t="shared" si="0"/>
        <v>1.6120164966355546</v>
      </c>
      <c r="W9" s="74">
        <f t="shared" si="0"/>
        <v>1.6435011938354678</v>
      </c>
      <c r="X9" s="74">
        <f t="shared" si="0"/>
        <v>1.5584925113957022</v>
      </c>
      <c r="Y9" s="74">
        <f t="shared" si="0"/>
        <v>1.295658259170827</v>
      </c>
      <c r="Z9" s="74">
        <f t="shared" si="0"/>
        <v>1.0881111352289994</v>
      </c>
      <c r="AA9" s="74">
        <f t="shared" si="0"/>
        <v>1.0358465378771435</v>
      </c>
      <c r="AB9" s="74">
        <f t="shared" si="0"/>
        <v>1.0566264380290862</v>
      </c>
      <c r="AC9" s="74">
        <f t="shared" si="0"/>
        <v>1.1359678749728674</v>
      </c>
      <c r="AD9" s="74">
        <f t="shared" si="0"/>
        <v>1.1256408942912957</v>
      </c>
      <c r="AE9" s="74">
        <f t="shared" si="0"/>
        <v>1.0515888864770999</v>
      </c>
      <c r="AF9" s="74">
        <f t="shared" si="0"/>
        <v>1.0358465378771435</v>
      </c>
      <c r="AG9" s="74">
        <f t="shared" si="0"/>
        <v>1.1019644019969612</v>
      </c>
      <c r="AH9" s="74">
        <f t="shared" si="0"/>
        <v>1.2421342739309746</v>
      </c>
      <c r="AI9" s="74">
        <f t="shared" si="0"/>
        <v>1.211531148252659</v>
      </c>
      <c r="AJ9" s="74">
        <f t="shared" si="0"/>
        <v>1.2027154330366832</v>
      </c>
      <c r="AK9" s="74">
        <f t="shared" si="0"/>
        <v>1.2090123724766659</v>
      </c>
      <c r="AL9" s="74">
        <f t="shared" si="0"/>
        <v>1.1989372693726936</v>
      </c>
      <c r="AM9" s="74">
        <f t="shared" si="0"/>
        <v>1.1019644019969612</v>
      </c>
      <c r="AN9" s="74">
        <f t="shared" si="0"/>
        <v>1.0547373561970914</v>
      </c>
      <c r="AO9" s="74">
        <f t="shared" si="0"/>
        <v>1.0311868026915563</v>
      </c>
      <c r="AP9" s="74">
        <f t="shared" si="0"/>
        <v>0.98861949207727373</v>
      </c>
      <c r="AQ9" s="74">
        <f t="shared" si="0"/>
        <v>0.99491643151725639</v>
      </c>
      <c r="AR9" s="74">
        <f t="shared" si="0"/>
        <v>0.99491643151725639</v>
      </c>
      <c r="AS9" s="74">
        <f t="shared" si="0"/>
        <v>1.0500776210115041</v>
      </c>
      <c r="AT9" s="74">
        <f t="shared" si="0"/>
        <v>1.1523399175168223</v>
      </c>
      <c r="AU9" s="74">
        <f t="shared" si="0"/>
        <v>1.1523399175168223</v>
      </c>
      <c r="AV9" s="74">
        <f t="shared" si="0"/>
        <v>1.1743792055567615</v>
      </c>
      <c r="AW9" s="74">
        <f t="shared" si="0"/>
        <v>1.1617853266767961</v>
      </c>
      <c r="AX9" s="74">
        <f t="shared" si="0"/>
        <v>1.0075103103972216</v>
      </c>
      <c r="AY9" s="74">
        <f t="shared" si="0"/>
        <v>1.0264011287171695</v>
      </c>
      <c r="AZ9" s="74">
        <f t="shared" si="0"/>
        <v>1.0264011287171695</v>
      </c>
      <c r="BA9" s="74">
        <f t="shared" si="0"/>
        <v>1.0389950075971348</v>
      </c>
      <c r="BB9" s="74">
        <f t="shared" si="0"/>
        <v>1.0641827653570652</v>
      </c>
      <c r="BC9" s="74">
        <f t="shared" si="0"/>
        <v>1.0830735836770131</v>
      </c>
      <c r="BD9" s="74">
        <f t="shared" si="0"/>
        <v>1.0893705231169959</v>
      </c>
      <c r="BE9" s="74">
        <f t="shared" si="0"/>
        <v>1.0893705231169959</v>
      </c>
      <c r="BF9" s="74">
        <f t="shared" ref="BF9:BM9" si="1">$F$9*(BF6/1000)</f>
        <v>1.0893705231169959</v>
      </c>
      <c r="BG9" s="74">
        <f t="shared" si="1"/>
        <v>1.1019644019969612</v>
      </c>
      <c r="BH9" s="74">
        <f t="shared" si="1"/>
        <v>1.1019644019969612</v>
      </c>
      <c r="BI9" s="74">
        <f t="shared" si="1"/>
        <v>1.1649337963967876</v>
      </c>
      <c r="BJ9" s="74">
        <f t="shared" si="1"/>
        <v>1.1838246147167353</v>
      </c>
      <c r="BK9" s="74">
        <f t="shared" si="1"/>
        <v>1.1964184935967006</v>
      </c>
      <c r="BL9" s="74">
        <f t="shared" si="1"/>
        <v>1.1586368569568049</v>
      </c>
      <c r="BM9" s="74">
        <f t="shared" si="1"/>
        <v>1.1586368569568049</v>
      </c>
      <c r="BN9" s="74">
        <f t="shared" ref="BN9:BU9" si="2">$F$9*(BN6/1000)</f>
        <v>1.1586368569568049</v>
      </c>
      <c r="BO9" s="74">
        <f t="shared" si="2"/>
        <v>1.1712307358367702</v>
      </c>
      <c r="BP9" s="74">
        <f t="shared" si="2"/>
        <v>1.1712307358367702</v>
      </c>
      <c r="BQ9" s="74">
        <f t="shared" si="2"/>
        <v>1.1712307358367702</v>
      </c>
      <c r="BR9" s="74">
        <f t="shared" si="2"/>
        <v>1.139746038636857</v>
      </c>
      <c r="BS9" s="74">
        <f t="shared" si="2"/>
        <v>1.139746038636857</v>
      </c>
      <c r="BT9" s="74">
        <f t="shared" si="2"/>
        <v>1.139746038636857</v>
      </c>
      <c r="BU9" s="74">
        <f t="shared" si="2"/>
        <v>1.139746038636857</v>
      </c>
      <c r="BV9" s="74">
        <f t="shared" ref="BV9:CK9" si="3">$F$9*(BV6/1000)</f>
        <v>1.1712307358367702</v>
      </c>
      <c r="BW9" s="74">
        <f t="shared" si="3"/>
        <v>1.1649337963967876</v>
      </c>
      <c r="BX9" s="74">
        <f t="shared" si="3"/>
        <v>1.1649337963967876</v>
      </c>
      <c r="BY9" s="74">
        <f t="shared" si="3"/>
        <v>1.2090123724766659</v>
      </c>
      <c r="BZ9" s="74">
        <f t="shared" si="3"/>
        <v>1.2090123724766659</v>
      </c>
      <c r="CA9" s="74">
        <f t="shared" si="3"/>
        <v>1.2342001302365964</v>
      </c>
      <c r="CB9" s="74">
        <f t="shared" si="3"/>
        <v>1.2971695246364228</v>
      </c>
      <c r="CC9" s="74">
        <f t="shared" si="3"/>
        <v>1.2971695246364228</v>
      </c>
      <c r="CD9" s="74">
        <f t="shared" si="3"/>
        <v>1.2971695246364228</v>
      </c>
      <c r="CE9" s="74">
        <f t="shared" si="3"/>
        <v>1.2971695246364228</v>
      </c>
      <c r="CF9" s="74">
        <f t="shared" si="3"/>
        <v>1.3097634035163881</v>
      </c>
      <c r="CG9" s="74">
        <f t="shared" si="3"/>
        <v>1.3097634035163881</v>
      </c>
      <c r="CH9" s="74">
        <f t="shared" si="3"/>
        <v>1.3097634035163881</v>
      </c>
      <c r="CI9" s="74">
        <f t="shared" si="3"/>
        <v>1.3097634035163881</v>
      </c>
      <c r="CJ9" s="74">
        <f t="shared" si="3"/>
        <v>1.3097634035163881</v>
      </c>
      <c r="CK9" s="74">
        <f t="shared" si="3"/>
        <v>1.3349511612763187</v>
      </c>
      <c r="CL9" s="74">
        <f t="shared" ref="CL9:CQ9" si="4">$F$9*(CL6/1000)</f>
        <v>1.3349511612763187</v>
      </c>
      <c r="CM9" s="74">
        <f t="shared" si="4"/>
        <v>1.3475450401562841</v>
      </c>
      <c r="CN9" s="74">
        <f t="shared" si="4"/>
        <v>1.3475450401562841</v>
      </c>
      <c r="CO9" s="74">
        <f t="shared" si="4"/>
        <v>1.3475450401562841</v>
      </c>
      <c r="CP9" s="74">
        <f t="shared" si="4"/>
        <v>1.3475450401562841</v>
      </c>
      <c r="CQ9" s="74">
        <f t="shared" si="4"/>
        <v>1.3475450401562841</v>
      </c>
      <c r="CR9" s="74">
        <f t="shared" ref="CR9:DE9" si="5">$F$9*(CR6/1000)</f>
        <v>1.3412481007163013</v>
      </c>
      <c r="CS9" s="74">
        <f t="shared" si="5"/>
        <v>1.3538419795962664</v>
      </c>
      <c r="CT9" s="74">
        <f t="shared" si="5"/>
        <v>1.3475450401562841</v>
      </c>
      <c r="CU9" s="74">
        <f t="shared" si="5"/>
        <v>1.3475450401562841</v>
      </c>
      <c r="CV9" s="74">
        <f t="shared" si="5"/>
        <v>1.3475450401562841</v>
      </c>
      <c r="CW9" s="74">
        <f t="shared" si="5"/>
        <v>1.3097634035163881</v>
      </c>
      <c r="CX9" s="74">
        <f t="shared" si="5"/>
        <v>1.2845756457564577</v>
      </c>
      <c r="CY9" s="74">
        <f t="shared" si="5"/>
        <v>1.2845756457564577</v>
      </c>
      <c r="CZ9" s="74">
        <f t="shared" si="5"/>
        <v>1.2845756457564577</v>
      </c>
      <c r="DA9" s="74">
        <f t="shared" si="5"/>
        <v>1.2845756457564577</v>
      </c>
      <c r="DB9" s="74">
        <f t="shared" si="5"/>
        <v>1.2751302365964836</v>
      </c>
      <c r="DC9" s="74">
        <f t="shared" si="5"/>
        <v>1.2090123724766659</v>
      </c>
      <c r="DD9" s="74">
        <f t="shared" si="5"/>
        <v>1.2027154330366832</v>
      </c>
      <c r="DE9" s="74">
        <f t="shared" si="5"/>
        <v>1.1019644019969612</v>
      </c>
      <c r="DF9" s="74">
        <f t="shared" ref="DF9:DT9" si="6">$F$9*(DF6/1000)</f>
        <v>1.070479704797048</v>
      </c>
      <c r="DG9" s="74">
        <f t="shared" si="6"/>
        <v>1.0893705231169959</v>
      </c>
      <c r="DH9" s="74">
        <f t="shared" si="6"/>
        <v>1.0767766442370306</v>
      </c>
      <c r="DI9" s="74">
        <f t="shared" si="6"/>
        <v>1.0578858259170827</v>
      </c>
      <c r="DJ9" s="74">
        <f t="shared" si="6"/>
        <v>1.0578858259170827</v>
      </c>
      <c r="DK9" s="74">
        <f t="shared" si="6"/>
        <v>1.0578858259170827</v>
      </c>
      <c r="DL9" s="74">
        <f t="shared" si="6"/>
        <v>1.032698068157152</v>
      </c>
      <c r="DM9" s="74">
        <f t="shared" si="6"/>
        <v>0.99491643151725639</v>
      </c>
      <c r="DN9" s="74">
        <f t="shared" si="6"/>
        <v>0.98232255263729107</v>
      </c>
      <c r="DO9" s="74">
        <f t="shared" si="6"/>
        <v>0.98232255263729107</v>
      </c>
      <c r="DP9" s="74">
        <f t="shared" si="6"/>
        <v>0.95713479487736053</v>
      </c>
      <c r="DQ9" s="74">
        <f t="shared" si="6"/>
        <v>0.9445409159973952</v>
      </c>
      <c r="DR9" s="74">
        <f t="shared" si="6"/>
        <v>0.93824397655741265</v>
      </c>
      <c r="DS9" s="74">
        <f t="shared" si="6"/>
        <v>0</v>
      </c>
      <c r="DT9" s="74">
        <f t="shared" si="6"/>
        <v>0</v>
      </c>
    </row>
    <row r="10" spans="1:135" s="73" customFormat="1">
      <c r="A10" s="160" t="s">
        <v>518</v>
      </c>
      <c r="H10" s="94">
        <f t="shared" ref="H10:S10" si="7">SUM(H9:H9)</f>
        <v>0.86142131538962452</v>
      </c>
      <c r="I10" s="94">
        <f t="shared" si="7"/>
        <v>0.88950566529194697</v>
      </c>
      <c r="J10" s="94">
        <f t="shared" si="7"/>
        <v>0.81079392229216396</v>
      </c>
      <c r="K10" s="94">
        <f t="shared" si="7"/>
        <v>0.74303885391795088</v>
      </c>
      <c r="L10" s="94">
        <f t="shared" si="7"/>
        <v>0.98736010418927722</v>
      </c>
      <c r="M10" s="94">
        <f t="shared" si="7"/>
        <v>1.1697194703711742</v>
      </c>
      <c r="N10" s="94">
        <f t="shared" si="7"/>
        <v>1.2008263512046886</v>
      </c>
      <c r="O10" s="94">
        <f t="shared" si="7"/>
        <v>1.1240036900369004</v>
      </c>
      <c r="P10" s="94">
        <f t="shared" si="7"/>
        <v>1.1145582808769263</v>
      </c>
      <c r="Q10" s="94">
        <f t="shared" si="7"/>
        <v>1.1435242023008465</v>
      </c>
      <c r="R10" s="94">
        <f t="shared" si="7"/>
        <v>1.2137980464510527</v>
      </c>
      <c r="S10" s="94">
        <f t="shared" si="7"/>
        <v>1.32714295637074</v>
      </c>
      <c r="T10" s="94">
        <f t="shared" ref="T10:BE10" si="8">SUM(T9:T9)</f>
        <v>1.2499424788365532</v>
      </c>
      <c r="U10" s="94">
        <f t="shared" si="8"/>
        <v>1.3664358584762317</v>
      </c>
      <c r="V10" s="94">
        <f t="shared" si="8"/>
        <v>1.6120164966355546</v>
      </c>
      <c r="W10" s="94">
        <f t="shared" si="8"/>
        <v>1.6435011938354678</v>
      </c>
      <c r="X10" s="94">
        <f t="shared" si="8"/>
        <v>1.5584925113957022</v>
      </c>
      <c r="Y10" s="94">
        <f t="shared" si="8"/>
        <v>1.295658259170827</v>
      </c>
      <c r="Z10" s="94">
        <f t="shared" si="8"/>
        <v>1.0881111352289994</v>
      </c>
      <c r="AA10" s="94">
        <f t="shared" si="8"/>
        <v>1.0358465378771435</v>
      </c>
      <c r="AB10" s="94">
        <f t="shared" si="8"/>
        <v>1.0566264380290862</v>
      </c>
      <c r="AC10" s="94">
        <f t="shared" si="8"/>
        <v>1.1359678749728674</v>
      </c>
      <c r="AD10" s="94">
        <f t="shared" si="8"/>
        <v>1.1256408942912957</v>
      </c>
      <c r="AE10" s="94">
        <f t="shared" si="8"/>
        <v>1.0515888864770999</v>
      </c>
      <c r="AF10" s="94">
        <f t="shared" si="8"/>
        <v>1.0358465378771435</v>
      </c>
      <c r="AG10" s="94">
        <f t="shared" si="8"/>
        <v>1.1019644019969612</v>
      </c>
      <c r="AH10" s="94">
        <f t="shared" si="8"/>
        <v>1.2421342739309746</v>
      </c>
      <c r="AI10" s="94">
        <f t="shared" si="8"/>
        <v>1.211531148252659</v>
      </c>
      <c r="AJ10" s="94">
        <f t="shared" si="8"/>
        <v>1.2027154330366832</v>
      </c>
      <c r="AK10" s="94">
        <f t="shared" si="8"/>
        <v>1.2090123724766659</v>
      </c>
      <c r="AL10" s="94">
        <f t="shared" si="8"/>
        <v>1.1989372693726936</v>
      </c>
      <c r="AM10" s="94">
        <f t="shared" si="8"/>
        <v>1.1019644019969612</v>
      </c>
      <c r="AN10" s="94">
        <f t="shared" si="8"/>
        <v>1.0547373561970914</v>
      </c>
      <c r="AO10" s="94">
        <f t="shared" si="8"/>
        <v>1.0311868026915563</v>
      </c>
      <c r="AP10" s="94">
        <f t="shared" si="8"/>
        <v>0.98861949207727373</v>
      </c>
      <c r="AQ10" s="94">
        <f t="shared" si="8"/>
        <v>0.99491643151725639</v>
      </c>
      <c r="AR10" s="94">
        <f t="shared" si="8"/>
        <v>0.99491643151725639</v>
      </c>
      <c r="AS10" s="94">
        <f t="shared" si="8"/>
        <v>1.0500776210115041</v>
      </c>
      <c r="AT10" s="94">
        <f t="shared" si="8"/>
        <v>1.1523399175168223</v>
      </c>
      <c r="AU10" s="94">
        <f t="shared" si="8"/>
        <v>1.1523399175168223</v>
      </c>
      <c r="AV10" s="94">
        <f t="shared" si="8"/>
        <v>1.1743792055567615</v>
      </c>
      <c r="AW10" s="94">
        <f t="shared" si="8"/>
        <v>1.1617853266767961</v>
      </c>
      <c r="AX10" s="94">
        <f t="shared" si="8"/>
        <v>1.0075103103972216</v>
      </c>
      <c r="AY10" s="94">
        <f t="shared" si="8"/>
        <v>1.0264011287171695</v>
      </c>
      <c r="AZ10" s="94">
        <f t="shared" si="8"/>
        <v>1.0264011287171695</v>
      </c>
      <c r="BA10" s="94">
        <f t="shared" si="8"/>
        <v>1.0389950075971348</v>
      </c>
      <c r="BB10" s="94">
        <f t="shared" si="8"/>
        <v>1.0641827653570652</v>
      </c>
      <c r="BC10" s="94">
        <f t="shared" si="8"/>
        <v>1.0830735836770131</v>
      </c>
      <c r="BD10" s="94">
        <f t="shared" si="8"/>
        <v>1.0893705231169959</v>
      </c>
      <c r="BE10" s="94">
        <f t="shared" si="8"/>
        <v>1.0893705231169959</v>
      </c>
      <c r="BF10" s="94">
        <f t="shared" ref="BF10:BM10" si="9">SUM(BF9:BF9)</f>
        <v>1.0893705231169959</v>
      </c>
      <c r="BG10" s="94">
        <f t="shared" si="9"/>
        <v>1.1019644019969612</v>
      </c>
      <c r="BH10" s="94">
        <f t="shared" si="9"/>
        <v>1.1019644019969612</v>
      </c>
      <c r="BI10" s="94">
        <f t="shared" si="9"/>
        <v>1.1649337963967876</v>
      </c>
      <c r="BJ10" s="94">
        <f t="shared" si="9"/>
        <v>1.1838246147167353</v>
      </c>
      <c r="BK10" s="94">
        <f t="shared" si="9"/>
        <v>1.1964184935967006</v>
      </c>
      <c r="BL10" s="94">
        <f t="shared" si="9"/>
        <v>1.1586368569568049</v>
      </c>
      <c r="BM10" s="94">
        <f t="shared" si="9"/>
        <v>1.1586368569568049</v>
      </c>
      <c r="BN10" s="94">
        <f t="shared" ref="BN10:BU10" si="10">SUM(BN9:BN9)</f>
        <v>1.1586368569568049</v>
      </c>
      <c r="BO10" s="94">
        <f t="shared" si="10"/>
        <v>1.1712307358367702</v>
      </c>
      <c r="BP10" s="94">
        <f t="shared" si="10"/>
        <v>1.1712307358367702</v>
      </c>
      <c r="BQ10" s="94">
        <f t="shared" si="10"/>
        <v>1.1712307358367702</v>
      </c>
      <c r="BR10" s="94">
        <f t="shared" si="10"/>
        <v>1.139746038636857</v>
      </c>
      <c r="BS10" s="94">
        <f t="shared" si="10"/>
        <v>1.139746038636857</v>
      </c>
      <c r="BT10" s="94">
        <f t="shared" si="10"/>
        <v>1.139746038636857</v>
      </c>
      <c r="BU10" s="94">
        <f t="shared" si="10"/>
        <v>1.139746038636857</v>
      </c>
      <c r="BV10" s="94">
        <f t="shared" ref="BV10:CK10" si="11">SUM(BV9:BV9)</f>
        <v>1.1712307358367702</v>
      </c>
      <c r="BW10" s="94">
        <f t="shared" si="11"/>
        <v>1.1649337963967876</v>
      </c>
      <c r="BX10" s="94">
        <f t="shared" si="11"/>
        <v>1.1649337963967876</v>
      </c>
      <c r="BY10" s="94">
        <f t="shared" si="11"/>
        <v>1.2090123724766659</v>
      </c>
      <c r="BZ10" s="94">
        <f t="shared" si="11"/>
        <v>1.2090123724766659</v>
      </c>
      <c r="CA10" s="94">
        <f t="shared" si="11"/>
        <v>1.2342001302365964</v>
      </c>
      <c r="CB10" s="94">
        <f t="shared" si="11"/>
        <v>1.2971695246364228</v>
      </c>
      <c r="CC10" s="94">
        <f t="shared" si="11"/>
        <v>1.2971695246364228</v>
      </c>
      <c r="CD10" s="94">
        <f t="shared" si="11"/>
        <v>1.2971695246364228</v>
      </c>
      <c r="CE10" s="94">
        <f t="shared" si="11"/>
        <v>1.2971695246364228</v>
      </c>
      <c r="CF10" s="94">
        <f t="shared" si="11"/>
        <v>1.3097634035163881</v>
      </c>
      <c r="CG10" s="94">
        <f t="shared" si="11"/>
        <v>1.3097634035163881</v>
      </c>
      <c r="CH10" s="94">
        <f t="shared" si="11"/>
        <v>1.3097634035163881</v>
      </c>
      <c r="CI10" s="94">
        <f t="shared" si="11"/>
        <v>1.3097634035163881</v>
      </c>
      <c r="CJ10" s="94">
        <f t="shared" si="11"/>
        <v>1.3097634035163881</v>
      </c>
      <c r="CK10" s="94">
        <f t="shared" si="11"/>
        <v>1.3349511612763187</v>
      </c>
      <c r="CL10" s="94">
        <f t="shared" ref="CL10:CQ10" si="12">SUM(CL9:CL9)</f>
        <v>1.3349511612763187</v>
      </c>
      <c r="CM10" s="94">
        <f t="shared" si="12"/>
        <v>1.3475450401562841</v>
      </c>
      <c r="CN10" s="94">
        <f t="shared" si="12"/>
        <v>1.3475450401562841</v>
      </c>
      <c r="CO10" s="94">
        <f t="shared" si="12"/>
        <v>1.3475450401562841</v>
      </c>
      <c r="CP10" s="94">
        <f t="shared" si="12"/>
        <v>1.3475450401562841</v>
      </c>
      <c r="CQ10" s="94">
        <f t="shared" si="12"/>
        <v>1.3475450401562841</v>
      </c>
      <c r="CR10" s="94">
        <f t="shared" ref="CR10:DE10" si="13">SUM(CR9:CR9)</f>
        <v>1.3412481007163013</v>
      </c>
      <c r="CS10" s="94">
        <f t="shared" si="13"/>
        <v>1.3538419795962664</v>
      </c>
      <c r="CT10" s="94">
        <f t="shared" si="13"/>
        <v>1.3475450401562841</v>
      </c>
      <c r="CU10" s="94">
        <f t="shared" si="13"/>
        <v>1.3475450401562841</v>
      </c>
      <c r="CV10" s="94">
        <f t="shared" si="13"/>
        <v>1.3475450401562841</v>
      </c>
      <c r="CW10" s="94">
        <f t="shared" si="13"/>
        <v>1.3097634035163881</v>
      </c>
      <c r="CX10" s="94">
        <f t="shared" si="13"/>
        <v>1.2845756457564577</v>
      </c>
      <c r="CY10" s="94">
        <f t="shared" si="13"/>
        <v>1.2845756457564577</v>
      </c>
      <c r="CZ10" s="94">
        <f t="shared" si="13"/>
        <v>1.2845756457564577</v>
      </c>
      <c r="DA10" s="94">
        <f t="shared" si="13"/>
        <v>1.2845756457564577</v>
      </c>
      <c r="DB10" s="94">
        <f t="shared" si="13"/>
        <v>1.2751302365964836</v>
      </c>
      <c r="DC10" s="94">
        <f t="shared" si="13"/>
        <v>1.2090123724766659</v>
      </c>
      <c r="DD10" s="94">
        <f t="shared" si="13"/>
        <v>1.2027154330366832</v>
      </c>
      <c r="DE10" s="94">
        <f t="shared" si="13"/>
        <v>1.1019644019969612</v>
      </c>
      <c r="DF10" s="94">
        <f t="shared" ref="DF10:DT10" si="14">SUM(DF9:DF9)</f>
        <v>1.070479704797048</v>
      </c>
      <c r="DG10" s="94">
        <f t="shared" si="14"/>
        <v>1.0893705231169959</v>
      </c>
      <c r="DH10" s="94">
        <f t="shared" si="14"/>
        <v>1.0767766442370306</v>
      </c>
      <c r="DI10" s="94">
        <f t="shared" si="14"/>
        <v>1.0578858259170827</v>
      </c>
      <c r="DJ10" s="94">
        <f t="shared" si="14"/>
        <v>1.0578858259170827</v>
      </c>
      <c r="DK10" s="94">
        <f t="shared" si="14"/>
        <v>1.0578858259170827</v>
      </c>
      <c r="DL10" s="94">
        <f t="shared" si="14"/>
        <v>1.032698068157152</v>
      </c>
      <c r="DM10" s="94">
        <f t="shared" si="14"/>
        <v>0.99491643151725639</v>
      </c>
      <c r="DN10" s="94">
        <f t="shared" si="14"/>
        <v>0.98232255263729107</v>
      </c>
      <c r="DO10" s="94">
        <f t="shared" si="14"/>
        <v>0.98232255263729107</v>
      </c>
      <c r="DP10" s="94">
        <f t="shared" si="14"/>
        <v>0.95713479487736053</v>
      </c>
      <c r="DQ10" s="94">
        <f t="shared" si="14"/>
        <v>0.9445409159973952</v>
      </c>
      <c r="DR10" s="94">
        <f t="shared" si="14"/>
        <v>0.93824397655741265</v>
      </c>
      <c r="DS10" s="94">
        <f t="shared" si="14"/>
        <v>0</v>
      </c>
      <c r="DT10" s="94">
        <f t="shared" si="14"/>
        <v>0</v>
      </c>
    </row>
    <row r="11" spans="1:135" ht="13">
      <c r="A11" s="331" t="s">
        <v>519</v>
      </c>
      <c r="G11" s="60" t="s">
        <v>429</v>
      </c>
      <c r="H11" s="74"/>
      <c r="I11" s="74"/>
      <c r="J11" s="74">
        <v>1.4505794345617096</v>
      </c>
      <c r="K11" s="74">
        <v>1.363905448828497</v>
      </c>
      <c r="L11" s="74">
        <v>1.4545214438902145</v>
      </c>
      <c r="M11" s="74">
        <v>1.6370527347494013</v>
      </c>
      <c r="N11" s="74">
        <v>1.7484328470471295</v>
      </c>
      <c r="O11" s="74">
        <v>1.7553830867568379</v>
      </c>
      <c r="P11" s="74">
        <v>1.7570137076987384</v>
      </c>
      <c r="Q11" s="74"/>
      <c r="R11" s="74"/>
      <c r="S11" s="74">
        <v>1.83</v>
      </c>
      <c r="T11" s="60">
        <v>1.85</v>
      </c>
      <c r="U11" s="60">
        <v>1.9</v>
      </c>
      <c r="AC11" s="60">
        <v>1.79</v>
      </c>
      <c r="AD11" s="60">
        <v>1.76</v>
      </c>
      <c r="AE11" s="60">
        <v>1.85</v>
      </c>
      <c r="AH11" s="60">
        <v>1.86</v>
      </c>
      <c r="AI11" s="60">
        <v>1.9</v>
      </c>
      <c r="AL11" s="60">
        <v>1.75</v>
      </c>
      <c r="AS11" s="64">
        <v>1.46</v>
      </c>
      <c r="AX11" s="60">
        <v>1.45</v>
      </c>
      <c r="BR11" s="60">
        <v>1.51</v>
      </c>
      <c r="CH11" s="60">
        <f>134/84</f>
        <v>1.5952380952380953</v>
      </c>
      <c r="CL11" s="60">
        <f>152.65/84</f>
        <v>1.8172619047619047</v>
      </c>
      <c r="CR11" s="60">
        <f>152.65/84</f>
        <v>1.8172619047619047</v>
      </c>
      <c r="DG11" s="60">
        <f>135/84</f>
        <v>1.6071428571428572</v>
      </c>
      <c r="DL11" s="60">
        <v>1.585</v>
      </c>
    </row>
    <row r="12" spans="1:135" s="64" customFormat="1">
      <c r="A12" s="230"/>
      <c r="G12" s="60" t="s">
        <v>406</v>
      </c>
      <c r="H12" s="74"/>
      <c r="I12" s="74"/>
      <c r="J12" s="74">
        <f>J11-J10</f>
        <v>0.63978551226954561</v>
      </c>
      <c r="K12" s="74">
        <f t="shared" ref="K12:P12" si="15">K11-K10</f>
        <v>0.62086659491054608</v>
      </c>
      <c r="L12" s="74">
        <f t="shared" si="15"/>
        <v>0.46716133970093732</v>
      </c>
      <c r="M12" s="74">
        <f t="shared" si="15"/>
        <v>0.46733326437822709</v>
      </c>
      <c r="N12" s="74">
        <f t="shared" si="15"/>
        <v>0.54760649584244092</v>
      </c>
      <c r="O12" s="74">
        <f t="shared" si="15"/>
        <v>0.63137939671993748</v>
      </c>
      <c r="P12" s="74">
        <f t="shared" si="15"/>
        <v>0.64245542682181211</v>
      </c>
      <c r="S12" s="74">
        <f>S11-S10</f>
        <v>0.50285704362926009</v>
      </c>
      <c r="T12" s="74">
        <f>T11-T10</f>
        <v>0.60005752116344691</v>
      </c>
      <c r="U12" s="74">
        <f>U11-U10</f>
        <v>0.53356414152376819</v>
      </c>
      <c r="AC12" s="74">
        <f>AC11-AC10</f>
        <v>0.65403212502713259</v>
      </c>
      <c r="AD12" s="74">
        <f>AD11-AD10</f>
        <v>0.63435910570870435</v>
      </c>
      <c r="AE12" s="74">
        <f>AE11-AE10</f>
        <v>0.79841111352290017</v>
      </c>
      <c r="AH12" s="74">
        <f>AH11-AH10</f>
        <v>0.61786572606902546</v>
      </c>
      <c r="AI12" s="74">
        <f>AI11-AI10</f>
        <v>0.68846885174734096</v>
      </c>
      <c r="AL12" s="74">
        <f>AL11-AL10</f>
        <v>0.55106273062730637</v>
      </c>
      <c r="AS12" s="108">
        <f>AS11-AS10</f>
        <v>0.40992237898849582</v>
      </c>
      <c r="AX12" s="74">
        <f>AX11-AX10</f>
        <v>0.44248968960277835</v>
      </c>
      <c r="BR12" s="74">
        <f>BR11-BR10</f>
        <v>0.37025396136314304</v>
      </c>
      <c r="CH12" s="74">
        <f>CH11-CH10</f>
        <v>0.28547469172170725</v>
      </c>
      <c r="CL12" s="74">
        <f>CL11-CL10</f>
        <v>0.482310743485586</v>
      </c>
      <c r="CR12" s="74">
        <f>CR11-CR10</f>
        <v>0.47601380404560345</v>
      </c>
      <c r="DG12" s="74">
        <f>DG11-DG10</f>
        <v>0.51777233402586131</v>
      </c>
      <c r="DL12" s="74">
        <f>DL11-DL10</f>
        <v>0.55230193184284793</v>
      </c>
    </row>
    <row r="13" spans="1:135">
      <c r="A13" s="72"/>
      <c r="H13" s="74"/>
      <c r="I13" s="74"/>
      <c r="J13" s="74"/>
      <c r="K13" s="74"/>
      <c r="L13" s="74"/>
      <c r="M13" s="74"/>
      <c r="N13" s="74"/>
      <c r="O13" s="74"/>
      <c r="P13" s="74"/>
      <c r="Q13" s="74"/>
      <c r="R13" s="74"/>
      <c r="S13" s="74"/>
    </row>
    <row r="14" spans="1:135">
      <c r="A14" s="30"/>
    </row>
    <row r="15" spans="1:135" s="161" customFormat="1">
      <c r="A15" s="169"/>
      <c r="G15" s="161" t="s">
        <v>407</v>
      </c>
      <c r="H15" s="162">
        <f>0.41+H10</f>
        <v>1.2714213153896246</v>
      </c>
      <c r="I15" s="162">
        <f t="shared" ref="I15:O15" si="16">0.41+I10</f>
        <v>1.299505665291947</v>
      </c>
      <c r="J15" s="162">
        <f t="shared" si="16"/>
        <v>1.220793922292164</v>
      </c>
      <c r="K15" s="162">
        <f>0.41+K10</f>
        <v>1.1530388539179508</v>
      </c>
      <c r="L15" s="162">
        <f t="shared" si="16"/>
        <v>1.3973601041892771</v>
      </c>
      <c r="M15" s="162">
        <f>0.41+M10</f>
        <v>1.5797194703711741</v>
      </c>
      <c r="N15" s="162">
        <f t="shared" si="16"/>
        <v>1.6108263512046885</v>
      </c>
      <c r="O15" s="162">
        <f t="shared" si="16"/>
        <v>1.5340036900369003</v>
      </c>
      <c r="P15" s="162">
        <f>0.41+P10</f>
        <v>1.5245582808769262</v>
      </c>
      <c r="Q15" s="162">
        <f t="shared" ref="Q15:AE15" si="17">0.41+Q10</f>
        <v>1.5535242023008464</v>
      </c>
      <c r="R15" s="162">
        <f t="shared" si="17"/>
        <v>1.6237980464510526</v>
      </c>
      <c r="S15" s="162">
        <f t="shared" si="17"/>
        <v>1.7371429563707399</v>
      </c>
      <c r="T15" s="162">
        <f t="shared" si="17"/>
        <v>1.6599424788365531</v>
      </c>
      <c r="U15" s="162">
        <f t="shared" si="17"/>
        <v>1.7764358584762316</v>
      </c>
      <c r="V15" s="162">
        <f t="shared" si="17"/>
        <v>2.0220164966355547</v>
      </c>
      <c r="W15" s="162">
        <f t="shared" si="17"/>
        <v>2.0535011938354679</v>
      </c>
      <c r="X15" s="162">
        <f t="shared" si="17"/>
        <v>1.9684925113957021</v>
      </c>
      <c r="Y15" s="162">
        <f t="shared" si="17"/>
        <v>1.7056582591708269</v>
      </c>
      <c r="Z15" s="162">
        <f t="shared" si="17"/>
        <v>1.4981111352289993</v>
      </c>
      <c r="AA15" s="162">
        <f t="shared" si="17"/>
        <v>1.4458465378771435</v>
      </c>
      <c r="AB15" s="162">
        <f t="shared" si="17"/>
        <v>1.4666264380290861</v>
      </c>
      <c r="AC15" s="162">
        <f t="shared" si="17"/>
        <v>1.5459678749728674</v>
      </c>
      <c r="AD15" s="162">
        <f t="shared" si="17"/>
        <v>1.5356408942912956</v>
      </c>
      <c r="AE15" s="162">
        <f t="shared" si="17"/>
        <v>1.4615888864770998</v>
      </c>
      <c r="AF15" s="162">
        <f>0.41+AF10</f>
        <v>1.4458465378771435</v>
      </c>
      <c r="AG15" s="162">
        <f t="shared" ref="AG15:AM15" si="18">0.41+AG10</f>
        <v>1.5119644019969611</v>
      </c>
      <c r="AH15" s="162">
        <f t="shared" si="18"/>
        <v>1.6521342739309746</v>
      </c>
      <c r="AI15" s="162">
        <f>0.41+AI10</f>
        <v>1.6215311482526589</v>
      </c>
      <c r="AJ15" s="162">
        <f t="shared" si="18"/>
        <v>1.6127154330366831</v>
      </c>
      <c r="AK15" s="162">
        <f>0.41+AK10</f>
        <v>1.6190123724766659</v>
      </c>
      <c r="AL15" s="162">
        <f t="shared" si="18"/>
        <v>1.6089372693726935</v>
      </c>
      <c r="AM15" s="162">
        <f t="shared" si="18"/>
        <v>1.5119644019969611</v>
      </c>
      <c r="AN15" s="162">
        <f>0.41+AN10</f>
        <v>1.4647373561970913</v>
      </c>
      <c r="AO15" s="162">
        <f t="shared" ref="AO15:BE15" si="19">0.41+AO10</f>
        <v>1.4411868026915562</v>
      </c>
      <c r="AP15" s="162">
        <f t="shared" si="19"/>
        <v>1.3986194920772737</v>
      </c>
      <c r="AQ15" s="162">
        <f t="shared" si="19"/>
        <v>1.4049164315172564</v>
      </c>
      <c r="AR15" s="162">
        <f t="shared" si="19"/>
        <v>1.4049164315172564</v>
      </c>
      <c r="AS15" s="162">
        <f t="shared" si="19"/>
        <v>1.4600776210115041</v>
      </c>
      <c r="AT15" s="162">
        <f t="shared" si="19"/>
        <v>1.5623399175168222</v>
      </c>
      <c r="AU15" s="162">
        <f t="shared" si="19"/>
        <v>1.5623399175168222</v>
      </c>
      <c r="AV15" s="162">
        <f t="shared" si="19"/>
        <v>1.5843792055567614</v>
      </c>
      <c r="AW15" s="162">
        <f t="shared" si="19"/>
        <v>1.571785326676796</v>
      </c>
      <c r="AX15" s="162">
        <f t="shared" si="19"/>
        <v>1.4175103103972215</v>
      </c>
      <c r="AY15" s="162">
        <f t="shared" si="19"/>
        <v>1.4364011287171694</v>
      </c>
      <c r="AZ15" s="162">
        <f t="shared" si="19"/>
        <v>1.4364011287171694</v>
      </c>
      <c r="BA15" s="162">
        <f t="shared" si="19"/>
        <v>1.4489950075971347</v>
      </c>
      <c r="BB15" s="162">
        <f t="shared" si="19"/>
        <v>1.4741827653570652</v>
      </c>
      <c r="BC15" s="162">
        <f t="shared" si="19"/>
        <v>1.493073583677013</v>
      </c>
      <c r="BD15" s="162">
        <f t="shared" si="19"/>
        <v>1.4993705231169958</v>
      </c>
      <c r="BE15" s="162">
        <f t="shared" si="19"/>
        <v>1.4993705231169958</v>
      </c>
      <c r="BF15" s="162">
        <f>0.41+BF10</f>
        <v>1.4993705231169958</v>
      </c>
      <c r="BG15" s="162">
        <f>0.41+BG10</f>
        <v>1.5119644019969611</v>
      </c>
      <c r="BH15" s="162">
        <f>0.41+BH10</f>
        <v>1.5119644019969611</v>
      </c>
      <c r="BI15" s="162">
        <f>0.41+BI10</f>
        <v>1.5749337963967875</v>
      </c>
      <c r="BJ15" s="162">
        <f t="shared" ref="BJ15:BU15" si="20">0.41+BJ10</f>
        <v>1.5938246147167352</v>
      </c>
      <c r="BK15" s="162">
        <f t="shared" si="20"/>
        <v>1.6064184935967005</v>
      </c>
      <c r="BL15" s="162">
        <f t="shared" si="20"/>
        <v>1.5686368569568048</v>
      </c>
      <c r="BM15" s="162">
        <f t="shared" si="20"/>
        <v>1.5686368569568048</v>
      </c>
      <c r="BN15" s="162">
        <f t="shared" si="20"/>
        <v>1.5686368569568048</v>
      </c>
      <c r="BO15" s="162">
        <f t="shared" si="20"/>
        <v>1.5812307358367701</v>
      </c>
      <c r="BP15" s="162">
        <f t="shared" si="20"/>
        <v>1.5812307358367701</v>
      </c>
      <c r="BQ15" s="162">
        <f t="shared" si="20"/>
        <v>1.5812307358367701</v>
      </c>
      <c r="BR15" s="162">
        <f t="shared" si="20"/>
        <v>1.5497460386368569</v>
      </c>
      <c r="BS15" s="162">
        <f t="shared" si="20"/>
        <v>1.5497460386368569</v>
      </c>
      <c r="BT15" s="162">
        <f t="shared" si="20"/>
        <v>1.5497460386368569</v>
      </c>
      <c r="BU15" s="162">
        <f t="shared" si="20"/>
        <v>1.5497460386368569</v>
      </c>
      <c r="BV15" s="162">
        <f t="shared" ref="BV15:CK15" si="21">0.41+BV10</f>
        <v>1.5812307358367701</v>
      </c>
      <c r="BW15" s="162">
        <f t="shared" si="21"/>
        <v>1.5749337963967875</v>
      </c>
      <c r="BX15" s="162">
        <f t="shared" si="21"/>
        <v>1.5749337963967875</v>
      </c>
      <c r="BY15" s="162">
        <f t="shared" si="21"/>
        <v>1.6190123724766659</v>
      </c>
      <c r="BZ15" s="162">
        <f t="shared" si="21"/>
        <v>1.6190123724766659</v>
      </c>
      <c r="CA15" s="162">
        <f t="shared" si="21"/>
        <v>1.6442001302365963</v>
      </c>
      <c r="CB15" s="162">
        <f t="shared" si="21"/>
        <v>1.7071695246364227</v>
      </c>
      <c r="CC15" s="162">
        <f t="shared" si="21"/>
        <v>1.7071695246364227</v>
      </c>
      <c r="CD15" s="162">
        <f t="shared" si="21"/>
        <v>1.7071695246364227</v>
      </c>
      <c r="CE15" s="162">
        <f t="shared" si="21"/>
        <v>1.7071695246364227</v>
      </c>
      <c r="CF15" s="162">
        <f t="shared" si="21"/>
        <v>1.719763403516388</v>
      </c>
      <c r="CG15" s="162">
        <f t="shared" si="21"/>
        <v>1.719763403516388</v>
      </c>
      <c r="CH15" s="162">
        <f t="shared" si="21"/>
        <v>1.719763403516388</v>
      </c>
      <c r="CI15" s="162">
        <f t="shared" si="21"/>
        <v>1.719763403516388</v>
      </c>
      <c r="CJ15" s="162">
        <f t="shared" si="21"/>
        <v>1.719763403516388</v>
      </c>
      <c r="CK15" s="162">
        <f t="shared" si="21"/>
        <v>1.7449511612763187</v>
      </c>
      <c r="CL15" s="162">
        <f t="shared" ref="CL15:CQ15" si="22">0.41+CL10</f>
        <v>1.7449511612763187</v>
      </c>
      <c r="CM15" s="162">
        <f t="shared" si="22"/>
        <v>1.757545040156284</v>
      </c>
      <c r="CN15" s="162">
        <f t="shared" si="22"/>
        <v>1.757545040156284</v>
      </c>
      <c r="CO15" s="162">
        <f t="shared" si="22"/>
        <v>1.757545040156284</v>
      </c>
      <c r="CP15" s="162">
        <f t="shared" si="22"/>
        <v>1.757545040156284</v>
      </c>
      <c r="CQ15" s="162">
        <f t="shared" si="22"/>
        <v>1.757545040156284</v>
      </c>
      <c r="CR15" s="162">
        <f t="shared" ref="CR15:DE15" si="23">0.41+CR10</f>
        <v>1.7512481007163012</v>
      </c>
      <c r="CS15" s="162">
        <f t="shared" si="23"/>
        <v>1.7638419795962663</v>
      </c>
      <c r="CT15" s="162">
        <f t="shared" si="23"/>
        <v>1.757545040156284</v>
      </c>
      <c r="CU15" s="162">
        <f t="shared" si="23"/>
        <v>1.757545040156284</v>
      </c>
      <c r="CV15" s="162">
        <f t="shared" si="23"/>
        <v>1.757545040156284</v>
      </c>
      <c r="CW15" s="162">
        <f t="shared" si="23"/>
        <v>1.719763403516388</v>
      </c>
      <c r="CX15" s="162">
        <f t="shared" si="23"/>
        <v>1.6945756457564576</v>
      </c>
      <c r="CY15" s="162">
        <f t="shared" si="23"/>
        <v>1.6945756457564576</v>
      </c>
      <c r="CZ15" s="162">
        <f>0.41+CZ10</f>
        <v>1.6945756457564576</v>
      </c>
      <c r="DA15" s="162">
        <f t="shared" si="23"/>
        <v>1.6945756457564576</v>
      </c>
      <c r="DB15" s="162">
        <f t="shared" si="23"/>
        <v>1.6851302365964835</v>
      </c>
      <c r="DC15" s="162">
        <f t="shared" si="23"/>
        <v>1.6190123724766659</v>
      </c>
      <c r="DD15" s="162">
        <f t="shared" si="23"/>
        <v>1.6127154330366831</v>
      </c>
      <c r="DE15" s="162">
        <f t="shared" si="23"/>
        <v>1.5119644019969611</v>
      </c>
      <c r="DF15" s="162">
        <f t="shared" ref="DF15:DT15" si="24">0.41+DF10</f>
        <v>1.4804797047970479</v>
      </c>
      <c r="DG15" s="162">
        <f t="shared" si="24"/>
        <v>1.4993705231169958</v>
      </c>
      <c r="DH15" s="162">
        <f t="shared" si="24"/>
        <v>1.4867766442370305</v>
      </c>
      <c r="DI15" s="162">
        <f t="shared" si="24"/>
        <v>1.4678858259170826</v>
      </c>
      <c r="DJ15" s="162">
        <f t="shared" si="24"/>
        <v>1.4678858259170826</v>
      </c>
      <c r="DK15" s="162">
        <f t="shared" si="24"/>
        <v>1.4678858259170826</v>
      </c>
      <c r="DL15" s="162">
        <f t="shared" si="24"/>
        <v>1.442698068157152</v>
      </c>
      <c r="DM15" s="162">
        <f t="shared" si="24"/>
        <v>1.4049164315172564</v>
      </c>
      <c r="DN15" s="162">
        <f t="shared" si="24"/>
        <v>1.3923225526372911</v>
      </c>
      <c r="DO15" s="162">
        <f t="shared" si="24"/>
        <v>1.3923225526372911</v>
      </c>
      <c r="DP15" s="162">
        <f t="shared" si="24"/>
        <v>1.3671347948773604</v>
      </c>
      <c r="DQ15" s="162">
        <f t="shared" si="24"/>
        <v>1.3545409159973951</v>
      </c>
      <c r="DR15" s="162">
        <f t="shared" si="24"/>
        <v>1.3482439765574126</v>
      </c>
      <c r="DS15" s="162">
        <f t="shared" si="24"/>
        <v>0.41</v>
      </c>
      <c r="DT15" s="162">
        <f t="shared" si="24"/>
        <v>0.41</v>
      </c>
    </row>
    <row r="16" spans="1:135">
      <c r="A16" s="60" t="s">
        <v>520</v>
      </c>
    </row>
    <row r="17" spans="1:1">
      <c r="A17" s="231" t="s">
        <v>521</v>
      </c>
    </row>
  </sheetData>
  <phoneticPr fontId="52" type="noConversion"/>
  <hyperlinks>
    <hyperlink ref="A17" r:id="rId1" xr:uid="{00000000-0004-0000-0F00-000000000000}"/>
  </hyperlinks>
  <pageMargins left="0.7" right="0.7" top="0.75" bottom="0.75" header="0.3" footer="0.3"/>
  <pageSetup orientation="portrait" r:id="rId2"/>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EB16"/>
  <sheetViews>
    <sheetView workbookViewId="0">
      <pane xSplit="10" ySplit="4" topLeftCell="CC5" activePane="bottomRight" state="frozen"/>
      <selection pane="topRight" activeCell="K1" sqref="K1"/>
      <selection pane="bottomLeft" activeCell="A5" sqref="A5"/>
      <selection pane="bottomRight" activeCell="A2" sqref="A2"/>
    </sheetView>
  </sheetViews>
  <sheetFormatPr baseColWidth="10" defaultColWidth="8.6640625" defaultRowHeight="12"/>
  <cols>
    <col min="1" max="1" width="15.33203125" style="60" bestFit="1" customWidth="1"/>
    <col min="2" max="2" width="12.5" style="60" bestFit="1" customWidth="1"/>
    <col min="3" max="3" width="4.83203125" style="60" bestFit="1" customWidth="1"/>
    <col min="4" max="4" width="12.33203125" style="60" bestFit="1" customWidth="1"/>
    <col min="5" max="5" width="18.5" style="60" bestFit="1" customWidth="1"/>
    <col min="6" max="6" width="6" style="60" bestFit="1" customWidth="1"/>
    <col min="7" max="7" width="22.83203125" style="60" bestFit="1" customWidth="1"/>
    <col min="8" max="8" width="5.1640625" style="60" bestFit="1" customWidth="1"/>
    <col min="9" max="9" width="5.5" style="60" bestFit="1" customWidth="1"/>
    <col min="10" max="10" width="5.6640625" style="60" bestFit="1" customWidth="1"/>
    <col min="11" max="11" width="5.33203125" style="60" bestFit="1" customWidth="1"/>
    <col min="12" max="12" width="5.83203125" style="60" bestFit="1" customWidth="1"/>
    <col min="13" max="13" width="5.1640625" style="60" bestFit="1" customWidth="1"/>
    <col min="14" max="14" width="4.6640625" style="60" bestFit="1" customWidth="1"/>
    <col min="15" max="17" width="5.5" style="60" bestFit="1" customWidth="1"/>
    <col min="18" max="18" width="5.6640625" style="60" bestFit="1" customWidth="1"/>
    <col min="19" max="19" width="5.5" style="60" bestFit="1" customWidth="1"/>
    <col min="20" max="20" width="5.1640625" style="60" bestFit="1" customWidth="1"/>
    <col min="21" max="21" width="5.5" style="60" bestFit="1" customWidth="1"/>
    <col min="22" max="22" width="5.6640625" style="60" bestFit="1" customWidth="1"/>
    <col min="23" max="23" width="5.33203125" style="60" bestFit="1" customWidth="1"/>
    <col min="24" max="24" width="5.83203125" style="60" bestFit="1" customWidth="1"/>
    <col min="25" max="25" width="5.1640625" style="60" bestFit="1" customWidth="1"/>
    <col min="26" max="26" width="4.6640625" style="60" bestFit="1" customWidth="1"/>
    <col min="27" max="29" width="5.5" style="60" bestFit="1" customWidth="1"/>
    <col min="30" max="30" width="5.6640625" style="60" bestFit="1" customWidth="1"/>
    <col min="31" max="31" width="5.5" style="60" bestFit="1" customWidth="1"/>
    <col min="32" max="32" width="5.1640625" style="60" bestFit="1" customWidth="1"/>
    <col min="33" max="33" width="5.5" style="60" bestFit="1" customWidth="1"/>
    <col min="34" max="34" width="5.6640625" style="60" bestFit="1" customWidth="1"/>
    <col min="35" max="35" width="5.33203125" style="60" bestFit="1" customWidth="1"/>
    <col min="36" max="36" width="5.83203125" style="60" bestFit="1" customWidth="1"/>
    <col min="37" max="37" width="5.1640625" style="60" bestFit="1" customWidth="1"/>
    <col min="38" max="38" width="4.6640625" style="60" bestFit="1" customWidth="1"/>
    <col min="39" max="41" width="5.5" style="60" bestFit="1" customWidth="1"/>
    <col min="42" max="42" width="5.6640625" style="60" bestFit="1" customWidth="1"/>
    <col min="43" max="43" width="5.5" style="60" bestFit="1" customWidth="1"/>
    <col min="44" max="44" width="5.1640625" style="60" bestFit="1" customWidth="1"/>
    <col min="45" max="45" width="5.5" style="60" bestFit="1" customWidth="1"/>
    <col min="46" max="46" width="5.6640625" style="60" bestFit="1" customWidth="1"/>
    <col min="47" max="47" width="5.33203125" style="60" bestFit="1" customWidth="1"/>
    <col min="48" max="48" width="5.83203125" style="60" bestFit="1" customWidth="1"/>
    <col min="49" max="49" width="5.1640625" style="60" bestFit="1" customWidth="1"/>
    <col min="50" max="53" width="6" style="60" bestFit="1" customWidth="1"/>
    <col min="54" max="55" width="5.5" style="60" bestFit="1" customWidth="1"/>
    <col min="56" max="57" width="5.83203125" style="60" bestFit="1" customWidth="1"/>
    <col min="58" max="65" width="6.1640625" style="60" bestFit="1" customWidth="1"/>
    <col min="66" max="69" width="5.6640625" style="60" bestFit="1" customWidth="1"/>
    <col min="70" max="73" width="5.5" style="60" bestFit="1" customWidth="1"/>
    <col min="74" max="77" width="5.1640625" style="60" bestFit="1" customWidth="1"/>
    <col min="78" max="81" width="5.5" style="60" bestFit="1" customWidth="1"/>
    <col min="82" max="85" width="6.1640625" style="60" bestFit="1" customWidth="1"/>
    <col min="86" max="89" width="5.5" style="60" bestFit="1" customWidth="1"/>
    <col min="90" max="94" width="6.33203125" style="60" bestFit="1" customWidth="1"/>
    <col min="95" max="98" width="6.1640625" style="60" bestFit="1" customWidth="1"/>
    <col min="99" max="102" width="5.1640625" style="60" bestFit="1" customWidth="1"/>
    <col min="103" max="106" width="5.83203125" style="60" bestFit="1" customWidth="1"/>
    <col min="107" max="114" width="5.6640625" style="60" bestFit="1" customWidth="1"/>
    <col min="115" max="118" width="6.1640625" style="60" bestFit="1" customWidth="1"/>
    <col min="119" max="122" width="5.83203125" style="60" bestFit="1" customWidth="1"/>
    <col min="123" max="130" width="5.1640625" style="60" bestFit="1" customWidth="1"/>
    <col min="131" max="132" width="3.33203125" style="60" bestFit="1" customWidth="1"/>
    <col min="133" max="16384" width="8.6640625" style="60"/>
  </cols>
  <sheetData>
    <row r="1" spans="1:132">
      <c r="A1" s="59" t="s">
        <v>377</v>
      </c>
      <c r="B1" s="59" t="s">
        <v>378</v>
      </c>
      <c r="C1" s="59" t="s">
        <v>379</v>
      </c>
      <c r="D1" s="59" t="s">
        <v>380</v>
      </c>
      <c r="E1" s="59" t="s">
        <v>381</v>
      </c>
      <c r="F1" s="59" t="s">
        <v>33</v>
      </c>
      <c r="H1" s="61">
        <v>6</v>
      </c>
      <c r="I1" s="61">
        <v>7</v>
      </c>
      <c r="J1" s="61">
        <v>8</v>
      </c>
      <c r="K1" s="61">
        <v>9</v>
      </c>
      <c r="L1" s="61">
        <v>10</v>
      </c>
      <c r="M1" s="61">
        <v>11</v>
      </c>
      <c r="N1" s="61">
        <v>12</v>
      </c>
      <c r="O1" s="61">
        <v>13</v>
      </c>
      <c r="P1" s="61">
        <v>14</v>
      </c>
      <c r="Q1" s="61">
        <v>15</v>
      </c>
      <c r="R1" s="61">
        <v>16</v>
      </c>
      <c r="S1" s="61">
        <v>17</v>
      </c>
      <c r="T1" s="61">
        <v>18</v>
      </c>
      <c r="U1" s="61">
        <v>19</v>
      </c>
      <c r="V1" s="61">
        <v>20</v>
      </c>
      <c r="W1" s="61">
        <v>21</v>
      </c>
      <c r="X1" s="61">
        <v>22</v>
      </c>
      <c r="Y1" s="61">
        <v>23</v>
      </c>
      <c r="Z1" s="61">
        <v>24</v>
      </c>
      <c r="AA1" s="61">
        <v>25</v>
      </c>
      <c r="AB1" s="61">
        <v>26</v>
      </c>
      <c r="AC1" s="61">
        <v>27</v>
      </c>
      <c r="AD1" s="61">
        <v>28</v>
      </c>
      <c r="AE1" s="61">
        <v>29</v>
      </c>
      <c r="AF1" s="61">
        <v>30</v>
      </c>
      <c r="AG1" s="61">
        <v>31</v>
      </c>
      <c r="AH1" s="61">
        <v>32</v>
      </c>
      <c r="AI1" s="61">
        <v>33</v>
      </c>
      <c r="AJ1" s="61">
        <v>34</v>
      </c>
      <c r="AK1" s="61">
        <v>35</v>
      </c>
      <c r="AL1" s="61">
        <v>36</v>
      </c>
      <c r="AM1" s="61">
        <v>37</v>
      </c>
      <c r="AN1" s="61">
        <v>38</v>
      </c>
      <c r="AO1" s="61">
        <v>39</v>
      </c>
      <c r="AP1" s="61">
        <v>40</v>
      </c>
      <c r="AQ1" s="61">
        <v>41</v>
      </c>
      <c r="AR1" s="61">
        <v>42</v>
      </c>
      <c r="AS1" s="61">
        <v>43</v>
      </c>
      <c r="AT1" s="61">
        <v>44</v>
      </c>
      <c r="AU1" s="61">
        <v>45</v>
      </c>
      <c r="AV1" s="61">
        <v>46</v>
      </c>
      <c r="AW1" s="61">
        <v>47</v>
      </c>
      <c r="AX1" s="61">
        <v>48</v>
      </c>
      <c r="AY1" s="61">
        <v>49</v>
      </c>
      <c r="AZ1" s="61">
        <v>50</v>
      </c>
      <c r="BA1" s="61">
        <v>51</v>
      </c>
      <c r="BB1" s="61">
        <v>52</v>
      </c>
      <c r="BC1" s="61">
        <v>53</v>
      </c>
      <c r="BD1" s="61">
        <v>54</v>
      </c>
      <c r="BE1" s="61">
        <v>55</v>
      </c>
      <c r="BF1" s="61">
        <v>56</v>
      </c>
      <c r="BG1" s="61">
        <v>57</v>
      </c>
      <c r="BH1" s="61">
        <v>58</v>
      </c>
      <c r="BI1" s="61">
        <v>59</v>
      </c>
      <c r="BJ1" s="61">
        <v>60</v>
      </c>
      <c r="BK1" s="61">
        <v>61</v>
      </c>
      <c r="BL1" s="61">
        <v>62</v>
      </c>
      <c r="BM1" s="61">
        <v>63</v>
      </c>
      <c r="BN1" s="61">
        <v>64</v>
      </c>
      <c r="BO1" s="61">
        <v>65</v>
      </c>
      <c r="BP1" s="61">
        <v>66</v>
      </c>
      <c r="BQ1" s="61">
        <v>67</v>
      </c>
      <c r="BR1" s="61">
        <v>68</v>
      </c>
      <c r="BS1" s="61">
        <v>69</v>
      </c>
      <c r="BT1" s="61">
        <v>70</v>
      </c>
      <c r="BU1" s="61">
        <v>71</v>
      </c>
      <c r="BV1" s="61">
        <v>72</v>
      </c>
      <c r="BW1" s="61">
        <v>73</v>
      </c>
      <c r="BX1" s="61">
        <v>74</v>
      </c>
      <c r="BY1" s="61">
        <v>75</v>
      </c>
      <c r="BZ1" s="61">
        <v>76</v>
      </c>
      <c r="CA1" s="61">
        <v>77</v>
      </c>
      <c r="CB1" s="61">
        <v>78</v>
      </c>
      <c r="CC1" s="61">
        <v>79</v>
      </c>
      <c r="CD1" s="61">
        <v>80</v>
      </c>
      <c r="CE1" s="61">
        <v>81</v>
      </c>
      <c r="CF1" s="61">
        <v>82</v>
      </c>
      <c r="CG1" s="61">
        <v>83</v>
      </c>
      <c r="CH1" s="61">
        <v>84</v>
      </c>
      <c r="CI1" s="61">
        <v>85</v>
      </c>
      <c r="CJ1" s="61">
        <v>86</v>
      </c>
      <c r="CK1" s="61">
        <v>87</v>
      </c>
      <c r="CL1" s="61">
        <v>88</v>
      </c>
      <c r="CM1" s="61">
        <v>89</v>
      </c>
      <c r="CN1" s="61">
        <v>90</v>
      </c>
      <c r="CO1" s="61">
        <v>91</v>
      </c>
      <c r="CP1" s="61">
        <v>92</v>
      </c>
      <c r="CQ1" s="61">
        <v>93</v>
      </c>
      <c r="CR1" s="61">
        <v>94</v>
      </c>
      <c r="CS1" s="61">
        <v>95</v>
      </c>
      <c r="CT1" s="61">
        <v>96</v>
      </c>
      <c r="CU1" s="61">
        <v>97</v>
      </c>
      <c r="CV1" s="61">
        <v>98</v>
      </c>
      <c r="CW1" s="61">
        <v>99</v>
      </c>
      <c r="CX1" s="61">
        <v>100</v>
      </c>
      <c r="CY1" s="61">
        <v>101</v>
      </c>
      <c r="CZ1" s="61">
        <v>102</v>
      </c>
      <c r="DA1" s="61">
        <v>103</v>
      </c>
      <c r="DB1" s="61">
        <v>104</v>
      </c>
      <c r="DC1" s="61">
        <v>105</v>
      </c>
      <c r="DD1" s="61">
        <v>106</v>
      </c>
      <c r="DE1" s="61">
        <v>107</v>
      </c>
      <c r="DF1" s="61">
        <v>108</v>
      </c>
      <c r="DG1" s="61">
        <v>109</v>
      </c>
      <c r="DH1" s="61">
        <v>110</v>
      </c>
      <c r="DI1" s="61">
        <v>111</v>
      </c>
      <c r="DJ1" s="61">
        <v>112</v>
      </c>
      <c r="DK1" s="61">
        <v>113</v>
      </c>
      <c r="DL1" s="61">
        <v>114</v>
      </c>
      <c r="DM1" s="61">
        <v>115</v>
      </c>
      <c r="DN1" s="61">
        <v>116</v>
      </c>
      <c r="DO1" s="61">
        <v>117</v>
      </c>
      <c r="DP1" s="61">
        <v>118</v>
      </c>
      <c r="DQ1" s="61">
        <v>119</v>
      </c>
      <c r="DR1" s="61">
        <v>120</v>
      </c>
      <c r="DS1" s="61">
        <v>121</v>
      </c>
      <c r="DT1" s="61">
        <v>122</v>
      </c>
      <c r="DU1" s="61">
        <v>123</v>
      </c>
      <c r="DV1" s="61">
        <v>124</v>
      </c>
      <c r="DW1" s="61">
        <v>125</v>
      </c>
      <c r="DX1" s="61">
        <v>126</v>
      </c>
      <c r="DY1" s="61">
        <v>127</v>
      </c>
      <c r="DZ1" s="61">
        <v>128</v>
      </c>
      <c r="EA1" s="61">
        <v>129</v>
      </c>
      <c r="EB1" s="61">
        <v>130</v>
      </c>
    </row>
    <row r="2" spans="1:132">
      <c r="A2" s="60" t="s">
        <v>214</v>
      </c>
      <c r="B2" s="64" t="s">
        <v>522</v>
      </c>
      <c r="C2" s="60">
        <v>1</v>
      </c>
      <c r="D2" s="64">
        <v>165.23</v>
      </c>
      <c r="E2" s="65">
        <f>C2*D2</f>
        <v>165.23</v>
      </c>
    </row>
    <row r="3" spans="1:132">
      <c r="B3" s="64"/>
      <c r="D3" s="64"/>
      <c r="E3" s="65"/>
    </row>
    <row r="4" spans="1:132" ht="15">
      <c r="B4" s="64"/>
      <c r="D4" s="64"/>
      <c r="E4" s="65"/>
      <c r="G4" s="7" t="s">
        <v>388</v>
      </c>
      <c r="H4" s="110">
        <v>43831</v>
      </c>
      <c r="I4" s="110">
        <v>43862</v>
      </c>
      <c r="J4" s="110">
        <v>43891</v>
      </c>
      <c r="K4" s="110">
        <v>43922</v>
      </c>
      <c r="L4" s="110">
        <v>43952</v>
      </c>
      <c r="M4" s="110">
        <v>43983</v>
      </c>
      <c r="N4" s="110">
        <v>44013</v>
      </c>
      <c r="O4" s="110">
        <v>44044</v>
      </c>
      <c r="P4" s="110">
        <v>44075</v>
      </c>
      <c r="Q4" s="110">
        <v>44105</v>
      </c>
      <c r="R4" s="110">
        <v>44136</v>
      </c>
      <c r="S4" s="110">
        <v>44166</v>
      </c>
      <c r="T4" s="110">
        <v>44197</v>
      </c>
      <c r="U4" s="110">
        <v>44228</v>
      </c>
      <c r="V4" s="110">
        <v>44256</v>
      </c>
      <c r="W4" s="110">
        <v>44287</v>
      </c>
      <c r="X4" s="110">
        <v>44317</v>
      </c>
      <c r="Y4" s="110">
        <v>44348</v>
      </c>
      <c r="Z4" s="110">
        <v>44378</v>
      </c>
      <c r="AA4" s="110">
        <v>44409</v>
      </c>
      <c r="AB4" s="110">
        <v>44440</v>
      </c>
      <c r="AC4" s="110">
        <v>44470</v>
      </c>
      <c r="AD4" s="110">
        <v>44501</v>
      </c>
      <c r="AE4" s="110">
        <v>44531</v>
      </c>
      <c r="AF4" s="110">
        <v>44562</v>
      </c>
      <c r="AG4" s="110">
        <v>44593</v>
      </c>
      <c r="AH4" s="110">
        <v>44621</v>
      </c>
      <c r="AI4" s="110">
        <v>44652</v>
      </c>
      <c r="AJ4" s="110">
        <v>44682</v>
      </c>
      <c r="AK4" s="110">
        <v>44713</v>
      </c>
      <c r="AL4" s="110">
        <v>44743</v>
      </c>
      <c r="AM4" s="110">
        <v>44774</v>
      </c>
      <c r="AN4" s="110">
        <v>44805</v>
      </c>
      <c r="AO4" s="110">
        <v>44835</v>
      </c>
      <c r="AP4" s="110">
        <v>44866</v>
      </c>
      <c r="AQ4" s="110">
        <v>44896</v>
      </c>
      <c r="AR4" s="110">
        <v>44927</v>
      </c>
      <c r="AS4" s="110">
        <v>44958</v>
      </c>
      <c r="AT4" s="110">
        <v>44986</v>
      </c>
      <c r="AU4" s="110">
        <v>45017</v>
      </c>
      <c r="AV4" s="110">
        <v>45047</v>
      </c>
      <c r="AW4" s="110">
        <v>45078</v>
      </c>
      <c r="AX4" s="110" t="s">
        <v>450</v>
      </c>
      <c r="AY4" s="110" t="s">
        <v>451</v>
      </c>
      <c r="AZ4" s="110" t="s">
        <v>452</v>
      </c>
      <c r="BA4" s="110" t="s">
        <v>453</v>
      </c>
      <c r="BB4" s="110">
        <v>37104</v>
      </c>
      <c r="BC4" s="110">
        <v>37469</v>
      </c>
      <c r="BD4" s="110" t="s">
        <v>168</v>
      </c>
      <c r="BE4" s="110" t="s">
        <v>169</v>
      </c>
      <c r="BF4" s="110" t="s">
        <v>393</v>
      </c>
      <c r="BG4" s="110" t="s">
        <v>458</v>
      </c>
      <c r="BH4" s="110" t="s">
        <v>459</v>
      </c>
      <c r="BI4" s="110" t="s">
        <v>460</v>
      </c>
      <c r="BJ4" s="110" t="s">
        <v>461</v>
      </c>
      <c r="BK4" s="110" t="s">
        <v>462</v>
      </c>
      <c r="BL4" s="110" t="s">
        <v>463</v>
      </c>
      <c r="BM4" s="110" t="s">
        <v>464</v>
      </c>
      <c r="BN4" s="59">
        <v>37196</v>
      </c>
      <c r="BO4" s="59">
        <v>37561</v>
      </c>
      <c r="BP4" s="59">
        <v>37926</v>
      </c>
      <c r="BQ4" s="59">
        <v>38292</v>
      </c>
      <c r="BR4" s="59">
        <v>37226</v>
      </c>
      <c r="BS4" s="59">
        <v>37591</v>
      </c>
      <c r="BT4" s="59">
        <v>37956</v>
      </c>
      <c r="BU4" s="59">
        <v>38322</v>
      </c>
      <c r="BV4" s="59">
        <v>36892</v>
      </c>
      <c r="BW4" s="59">
        <v>37257</v>
      </c>
      <c r="BX4" s="59">
        <v>37622</v>
      </c>
      <c r="BY4" s="59">
        <v>37987</v>
      </c>
      <c r="BZ4" s="59">
        <v>36923</v>
      </c>
      <c r="CA4" s="59">
        <v>37288</v>
      </c>
      <c r="CB4" s="59">
        <v>37653</v>
      </c>
      <c r="CC4" s="59">
        <v>38018</v>
      </c>
      <c r="CD4" s="59" t="str">
        <f>Sheet8!A15</f>
        <v>Mar-w1</v>
      </c>
      <c r="CE4" s="59" t="s">
        <v>285</v>
      </c>
      <c r="CF4" s="59" t="s">
        <v>286</v>
      </c>
      <c r="CG4" s="59" t="s">
        <v>287</v>
      </c>
      <c r="CH4" s="59" t="str">
        <f>Sheet8!E15</f>
        <v>Apr-w1</v>
      </c>
      <c r="CI4" s="59" t="str">
        <f>Sheet8!F15</f>
        <v>Apr-w2</v>
      </c>
      <c r="CJ4" s="59" t="str">
        <f>Sheet8!G15</f>
        <v>Apr-w3</v>
      </c>
      <c r="CK4" s="59" t="str">
        <f>Sheet8!H15</f>
        <v>Apr-w4</v>
      </c>
      <c r="CL4" s="59" t="str">
        <f>Sheet8!I15</f>
        <v>May-w1</v>
      </c>
      <c r="CM4" s="59" t="str">
        <f>Sheet8!J15</f>
        <v>May-w2</v>
      </c>
      <c r="CN4" s="59" t="str">
        <f>Sheet8!K15</f>
        <v>May-w3</v>
      </c>
      <c r="CO4" s="59" t="str">
        <f>Sheet8!L15</f>
        <v>May-w4</v>
      </c>
      <c r="CP4" s="59" t="str">
        <f>Sheet8!M15</f>
        <v>May-w5</v>
      </c>
      <c r="CQ4" s="59" t="str">
        <f>Sheet8!N15</f>
        <v>june-w1</v>
      </c>
      <c r="CR4" s="59" t="str">
        <f>Sheet8!O15</f>
        <v>june-w2</v>
      </c>
      <c r="CS4" s="59" t="str">
        <f>Sheet8!P15</f>
        <v>june-w3</v>
      </c>
      <c r="CT4" s="59" t="str">
        <f>Sheet8!Q15</f>
        <v>june-w4</v>
      </c>
      <c r="CU4" s="59" t="str">
        <f>Sheet8!R15</f>
        <v>Jul-w1</v>
      </c>
      <c r="CV4" s="59" t="str">
        <f>Sheet8!S15</f>
        <v>Jul-w2</v>
      </c>
      <c r="CW4" s="59" t="str">
        <f>Sheet8!T15</f>
        <v>Jul-w3</v>
      </c>
      <c r="CX4" s="59" t="str">
        <f>Sheet8!U15</f>
        <v>Jul-w4</v>
      </c>
      <c r="CY4" s="59" t="str">
        <f>Sheet8!V15</f>
        <v>Aug-w1</v>
      </c>
      <c r="CZ4" s="59" t="str">
        <f>Sheet8!W15</f>
        <v>Aug-w2</v>
      </c>
      <c r="DA4" s="59" t="str">
        <f>Sheet8!X15</f>
        <v>Aug-w3</v>
      </c>
      <c r="DB4" s="59" t="str">
        <f>Sheet8!Y15</f>
        <v>Aug-w4</v>
      </c>
      <c r="DC4" s="59" t="str">
        <f>Sheet8!Z15</f>
        <v>Sep-w1</v>
      </c>
      <c r="DD4" s="59" t="str">
        <f>Sheet8!AA15</f>
        <v>Sep-w2</v>
      </c>
      <c r="DE4" s="59" t="str">
        <f>Sheet8!AB15</f>
        <v>Sep-w3</v>
      </c>
      <c r="DF4" s="59" t="str">
        <f>Sheet8!AC15</f>
        <v>Sep-w4</v>
      </c>
      <c r="DG4" s="59" t="str">
        <f>Sheet8!AD15</f>
        <v>Oct-w1</v>
      </c>
      <c r="DH4" s="59" t="str">
        <f>Sheet8!AE15</f>
        <v>Oct-w2</v>
      </c>
      <c r="DI4" s="59" t="str">
        <f>Sheet8!AF15</f>
        <v>Oct-w3</v>
      </c>
      <c r="DJ4" s="59" t="str">
        <f>Sheet8!AG15</f>
        <v>Oct-w4</v>
      </c>
      <c r="DK4" s="59" t="str">
        <f>Sheet8!AH15</f>
        <v>Nov-w1</v>
      </c>
      <c r="DL4" s="59" t="str">
        <f>Sheet8!AI15</f>
        <v>Nov-w2</v>
      </c>
      <c r="DM4" s="59" t="str">
        <f>Sheet8!AJ15</f>
        <v>Nov-w3</v>
      </c>
      <c r="DN4" s="59" t="str">
        <f>Sheet8!AK15</f>
        <v>Nov-w4</v>
      </c>
      <c r="DO4" s="59" t="str">
        <f>Sheet8!AL15</f>
        <v>Dec-w1</v>
      </c>
      <c r="DP4" s="59" t="str">
        <f>Sheet8!AM15</f>
        <v>Dec-w2</v>
      </c>
      <c r="DQ4" s="59" t="str">
        <f>Sheet8!AN15</f>
        <v>Dec-w3</v>
      </c>
      <c r="DR4" s="59" t="str">
        <f>Sheet8!AO15</f>
        <v>Dec-w4</v>
      </c>
      <c r="DS4" s="59">
        <f>Sheet8!AP15</f>
        <v>0</v>
      </c>
      <c r="DT4" s="59">
        <f>Sheet8!AQ15</f>
        <v>0</v>
      </c>
      <c r="DU4" s="59">
        <f>Sheet8!AR15</f>
        <v>0</v>
      </c>
      <c r="DV4" s="59">
        <f>Sheet8!AS15</f>
        <v>0</v>
      </c>
      <c r="DW4" s="59">
        <f>Sheet8!AT15</f>
        <v>0</v>
      </c>
      <c r="DX4" s="59">
        <f>Sheet8!AU15</f>
        <v>0</v>
      </c>
      <c r="DY4" s="59">
        <f>Sheet8!AV15</f>
        <v>0</v>
      </c>
      <c r="DZ4" s="59">
        <f>Sheet8!AW15</f>
        <v>0</v>
      </c>
    </row>
    <row r="5" spans="1:132">
      <c r="E5" s="60" t="s">
        <v>454</v>
      </c>
      <c r="G5" s="60" t="s">
        <v>74</v>
      </c>
      <c r="H5" s="74">
        <f>VLOOKUP($G$5&amp;$F$1,'Input RM sheet'!$A:$BE,H1,0)</f>
        <v>1.5696622152738924</v>
      </c>
      <c r="I5" s="74">
        <f>VLOOKUP($G$5&amp;$F$1,'Input RM sheet'!$A:$BE,I1,0)</f>
        <v>1.4924384935776835</v>
      </c>
      <c r="J5" s="74">
        <f>VLOOKUP($G$5&amp;$F$1,'Input RM sheet'!$A:$BE,J1,0)</f>
        <v>1.5864575476499325</v>
      </c>
      <c r="K5" s="74">
        <f>VLOOKUP($G$5&amp;$F$1,'Input RM sheet'!$A:$BE,K1,0)</f>
        <v>1.475604654554391</v>
      </c>
      <c r="L5" s="74">
        <f>VLOOKUP($G$5&amp;$F$1,'Input RM sheet'!$A:$BE,L1,0)</f>
        <v>1.475604654554391</v>
      </c>
      <c r="M5" s="74">
        <f>VLOOKUP($G$5&amp;$F$1,'Input RM sheet'!$A:$BE,M1,0)</f>
        <v>1.475604654554391</v>
      </c>
      <c r="N5" s="74">
        <f>VLOOKUP($G$5&amp;$F$1,'Input RM sheet'!$A:$BE,N1,0)</f>
        <v>1.8300307430856999</v>
      </c>
      <c r="O5" s="74">
        <f>VLOOKUP($G$5&amp;$F$1,'Input RM sheet'!$A:$BE,O1,0)</f>
        <v>1.8209225143307441</v>
      </c>
      <c r="P5" s="74">
        <f>VLOOKUP($G$5&amp;$F$1,'Input RM sheet'!$A:$BE,P1,0)</f>
        <v>1.7136455321954815</v>
      </c>
      <c r="Q5" s="74">
        <f>VLOOKUP($G$5&amp;$F$1,'Input RM sheet'!$A:$BE,Q1,0)</f>
        <v>1.7483818762900381</v>
      </c>
      <c r="R5" s="74">
        <f>VLOOKUP($G$5&amp;$F$1,'Input RM sheet'!$A:$BE,R1,0)</f>
        <v>1.6827534974421228</v>
      </c>
      <c r="S5" s="74">
        <f>VLOOKUP($G$5&amp;$F$1,'Input RM sheet'!$A:$BE,S1,0)</f>
        <v>1.2148342343729142</v>
      </c>
      <c r="T5" s="74">
        <f>VLOOKUP($G$5&amp;$F$1,'Input RM sheet'!$A:$BE,T1,0)</f>
        <v>1.2148342343729142</v>
      </c>
      <c r="U5" s="74">
        <f>VLOOKUP($G$5&amp;$F$1,'Input RM sheet'!$A:$BE,U1,0)</f>
        <v>1.8713520002533717</v>
      </c>
      <c r="V5" s="74">
        <f>VLOOKUP($G$5&amp;$F$1,'Input RM sheet'!$A:$BE,V1,0)</f>
        <v>1.8704753770124447</v>
      </c>
      <c r="W5" s="74">
        <f>VLOOKUP($G$5&amp;$F$1,'Input RM sheet'!$A:$BE,W1,0)</f>
        <v>1.8300404585300065</v>
      </c>
      <c r="X5" s="74">
        <f>VLOOKUP($G$5&amp;$F$1,'Input RM sheet'!$A:$BE,X1,0)</f>
        <v>2.2768573260742846</v>
      </c>
      <c r="Y5" s="74">
        <f>VLOOKUP($G$5&amp;$F$1,'Input RM sheet'!$A:$BE,Y1,0)</f>
        <v>2.2768573260742846</v>
      </c>
      <c r="Z5" s="74">
        <f>VLOOKUP($G$5&amp;$F$1,'Input RM sheet'!$A:$BE,Z1,0)</f>
        <v>2.2768573260742846</v>
      </c>
      <c r="AA5" s="74">
        <f>VLOOKUP($G$5&amp;$F$1,'Input RM sheet'!$A:$BE,AA1,0)</f>
        <v>1.9015957446808509</v>
      </c>
      <c r="AB5" s="74">
        <f>VLOOKUP($G$5&amp;$F$1,'Input RM sheet'!$A:$BE,AB1,0)</f>
        <v>1.8864097363083163</v>
      </c>
      <c r="AC5" s="74">
        <f>VLOOKUP($G$5&amp;$F$1,'Input RM sheet'!$A:$BE,AC1,0)</f>
        <v>1.7597027741083222</v>
      </c>
      <c r="AD5" s="74">
        <f>VLOOKUP($G$5&amp;$F$1,'Input RM sheet'!$A:$BE,AD1,0)</f>
        <v>1.7597027741083222</v>
      </c>
      <c r="AE5" s="74">
        <f>VLOOKUP($G$5&amp;$F$1,'Input RM sheet'!$A:$BE,AE1,0)</f>
        <v>1.7597027741083222</v>
      </c>
      <c r="AF5" s="74">
        <f>VLOOKUP($G$5&amp;$F$1,'Input RM sheet'!$A:$BE,AF1,0)</f>
        <v>1.7853391262355092</v>
      </c>
      <c r="AG5" s="74">
        <f>VLOOKUP($G$5&amp;$F$1,'Input RM sheet'!$A:$BE,AG1,0)</f>
        <v>1.7855620205349352</v>
      </c>
      <c r="AH5" s="74">
        <f>VLOOKUP($G$5&amp;$F$1,'Input RM sheet'!$A:$BE,AH1,0)</f>
        <v>1.7855620205349352</v>
      </c>
      <c r="AI5" s="74">
        <f>VLOOKUP($G$5&amp;$F$1,'Input RM sheet'!$A:$BE,AI1,0)</f>
        <v>1.7855620205349352</v>
      </c>
      <c r="AJ5" s="74">
        <f>VLOOKUP($G$5&amp;$F$1,'Input RM sheet'!$A:$BE,AJ1,0)</f>
        <v>1.7855620205349352</v>
      </c>
      <c r="AK5" s="74">
        <f>VLOOKUP($G$5&amp;$F$1,'Input RM sheet'!$A:$BE,AK1,0)</f>
        <v>1.84</v>
      </c>
      <c r="AL5" s="74">
        <f>VLOOKUP($G$5&amp;$F$1,'Input RM sheet'!$A:$BE,AL1,0)</f>
        <v>1.8400000000000003</v>
      </c>
      <c r="AM5" s="74">
        <f>VLOOKUP($G$5&amp;$F$1,'Input RM sheet'!$A:$BE,AM1,0)</f>
        <v>1.8400000000000003</v>
      </c>
      <c r="AN5" s="74">
        <f>VLOOKUP($G$5&amp;$F$1,'Input RM sheet'!$A:$BE,AN1,0)</f>
        <v>1.8400000000000003</v>
      </c>
      <c r="AO5" s="74">
        <f>VLOOKUP($G$5&amp;$F$1,'Input RM sheet'!$A:$BE,AO1,0)</f>
        <v>1.59</v>
      </c>
      <c r="AP5" s="74">
        <f>VLOOKUP($G$5&amp;$F$1,'Input RM sheet'!$A:$BE,AP1,0)</f>
        <v>1.5633333333333332</v>
      </c>
      <c r="AQ5" s="74">
        <f>VLOOKUP($G$5&amp;$F$1,'Input RM sheet'!$A:$BE,AQ1,0)</f>
        <v>1.608716447368421</v>
      </c>
      <c r="AR5" s="74">
        <f>VLOOKUP($G$5&amp;$F$1,'Input RM sheet'!$A:$BE,AR1,0)</f>
        <v>1.5922413907284769</v>
      </c>
      <c r="AS5" s="74">
        <f>VLOOKUP($G$5&amp;$F$1,'Input RM sheet'!$A:$BE,AS1,0)</f>
        <v>1.5169598684210528</v>
      </c>
      <c r="AT5" s="74">
        <f>VLOOKUP($G$5&amp;$F$1,'Input RM sheet'!$A:$BE,AT1,0)</f>
        <v>1.5236133771929823</v>
      </c>
      <c r="AU5" s="74">
        <f>VLOOKUP($G$5&amp;$F$1,'Input RM sheet'!$A:$BE,AU1,0)</f>
        <v>1.55</v>
      </c>
      <c r="AV5" s="74">
        <f>VLOOKUP($G$5&amp;$F$1,'Input RM sheet'!$A:$BE,AV1,0)</f>
        <v>1.62</v>
      </c>
      <c r="AW5" s="74">
        <f>VLOOKUP($G$5&amp;$F$1,'Input RM sheet'!$A:$BE,AW1,0)</f>
        <v>1.52</v>
      </c>
      <c r="AX5" s="74">
        <f>VLOOKUP($G$5&amp;$F$1,'Input RM sheet'!$A:$BE,AX1,0)</f>
        <v>1.52</v>
      </c>
      <c r="AY5" s="74">
        <f>VLOOKUP($G$5&amp;$F$1,'Input RM sheet'!$A:$BE,AY1,0)</f>
        <v>1.52</v>
      </c>
      <c r="AZ5" s="74">
        <f>VLOOKUP($G$5&amp;$F$1,'Input RM sheet'!$A:$BE,AZ1,0)</f>
        <v>1.52</v>
      </c>
      <c r="BA5" s="74">
        <f>VLOOKUP($G$5&amp;$F$1,'Input RM sheet'!$A:$BE,BA1,0)</f>
        <v>1.52</v>
      </c>
      <c r="BB5" s="74">
        <f>VLOOKUP($G$5&amp;$F$1,'Input RM sheet'!$A:$BE,BB1,0)</f>
        <v>1.54</v>
      </c>
      <c r="BC5" s="74">
        <f>VLOOKUP($G$5&amp;$F$1,'Input RM sheet'!$A:$BE,BC1,0)</f>
        <v>1.54</v>
      </c>
      <c r="BD5" s="74">
        <f>VLOOKUP($G$5&amp;$F$1,'Input RM sheet'!$A:$BE,BD1,0)</f>
        <v>1.54</v>
      </c>
      <c r="BE5" s="74">
        <f>VLOOKUP($G$5&amp;$F$1,'Input RM sheet'!$A:$DD,BE1,0)</f>
        <v>1.54</v>
      </c>
      <c r="BF5" s="74">
        <f>VLOOKUP($G$5&amp;$F$1,'Input RM sheet'!$A:$DD,BF1,0)</f>
        <v>1.46</v>
      </c>
      <c r="BG5" s="74">
        <f>VLOOKUP($G$5&amp;$F$1,'Input RM sheet'!$A:$DD,BG1,0)</f>
        <v>1.46</v>
      </c>
      <c r="BH5" s="74">
        <f>VLOOKUP($G$5&amp;$F$1,'Input RM sheet'!$A:$DD,BH1,0)</f>
        <v>1.46</v>
      </c>
      <c r="BI5" s="74">
        <f>VLOOKUP($G$5&amp;$F$1,'Input RM sheet'!$A:$DD,BI1,0)</f>
        <v>1.46</v>
      </c>
      <c r="BJ5" s="74">
        <f>VLOOKUP($G$5&amp;$F$1,'Input RM sheet'!$A:$DD,BJ1,0)</f>
        <v>1.46</v>
      </c>
      <c r="BK5" s="74">
        <f>VLOOKUP($G$5&amp;$F$1,'Input RM sheet'!$A:$DD,BK1,0)</f>
        <v>1.46</v>
      </c>
      <c r="BL5" s="74">
        <f>VLOOKUP($G$5&amp;$F$1,'Input RM sheet'!$A:$DD,BL1,0)</f>
        <v>1.45</v>
      </c>
      <c r="BM5" s="74">
        <f>VLOOKUP($G$5&amp;$F$1,'Input RM sheet'!$A:$DD,BM1,0)</f>
        <v>1.55</v>
      </c>
      <c r="BN5" s="74">
        <f>VLOOKUP($G$5&amp;$F$1,'Input RM sheet'!$A:$DD,BN1,0)</f>
        <v>1.55</v>
      </c>
      <c r="BO5" s="74">
        <f>VLOOKUP($G$5&amp;$F$1,'Input RM sheet'!$A:$DD,BO1,0)</f>
        <v>1.55</v>
      </c>
      <c r="BP5" s="74">
        <f>VLOOKUP($G$5&amp;$F$1,'Input RM sheet'!$A:$DD,BP1,0)</f>
        <v>1.55</v>
      </c>
      <c r="BQ5" s="74">
        <f>VLOOKUP($G$5&amp;$F$1,'Input RM sheet'!$A:$DD,BQ1,0)</f>
        <v>1.45</v>
      </c>
      <c r="BR5" s="74">
        <f>VLOOKUP($G$5&amp;$F$1,'Input RM sheet'!$A:$DD,BR1,0)</f>
        <v>1.45</v>
      </c>
      <c r="BS5" s="74">
        <f>VLOOKUP($G$5&amp;$F$1,'Input RM sheet'!$A:$DD,BS1,0)</f>
        <v>1.45</v>
      </c>
      <c r="BT5" s="74">
        <f>VLOOKUP($G$5&amp;$F$1,'Input RM sheet'!$A:$DD,BT1,0)</f>
        <v>1.45</v>
      </c>
      <c r="BU5" s="74">
        <f>VLOOKUP($G$5&amp;$F$1,'Input RM sheet'!$A:$DD,BU1,0)</f>
        <v>1.45</v>
      </c>
      <c r="BV5" s="74">
        <f>VLOOKUP($G$5&amp;$F$1,'Input RM sheet'!$A:$DD,BV1,0)</f>
        <v>1.5</v>
      </c>
      <c r="BW5" s="74">
        <f>VLOOKUP($G$5&amp;$F$1,'Input RM sheet'!$A:$DD,BW1,0)</f>
        <v>1.5</v>
      </c>
      <c r="BX5" s="74">
        <f>VLOOKUP($G$5&amp;$F$1,'Input RM sheet'!$A:$DD,BX1,0)</f>
        <v>1.5</v>
      </c>
      <c r="BY5" s="74">
        <f>VLOOKUP($G$5&amp;$F$1,'Input RM sheet'!$A:$DD,BY1,0)</f>
        <v>1.5</v>
      </c>
      <c r="BZ5" s="74">
        <f>VLOOKUP($G$5&amp;$F$1,'Input RM sheet'!$A:$DD,BZ1,0)</f>
        <v>1.5</v>
      </c>
      <c r="CA5" s="74">
        <f>VLOOKUP($G$5&amp;$F$1,'Input RM sheet'!$A:$DD,CA1,0)</f>
        <v>1.5</v>
      </c>
      <c r="CB5" s="74">
        <f>VLOOKUP($G$5&amp;$F$1,'Input RM sheet'!$A:$DD,CB1,0)</f>
        <v>1.5</v>
      </c>
      <c r="CC5" s="74">
        <f>VLOOKUP($G$5&amp;$F$1,'Input RM sheet'!$A:$DD,CC1,0)</f>
        <v>1.5</v>
      </c>
      <c r="CD5" s="74">
        <f>VLOOKUP($G$5&amp;$F$1,'Input RM sheet'!$A:$DD,CD1,0)</f>
        <v>1.5</v>
      </c>
      <c r="CE5" s="74">
        <f>VLOOKUP($G$5&amp;$F$1,'Input RM sheet'!$A:$DD,CE1,0)</f>
        <v>1.5</v>
      </c>
      <c r="CF5" s="74">
        <f>VLOOKUP($G$5&amp;$F$1,'Input RM sheet'!$A:$DD,CF1,0)</f>
        <v>1.5</v>
      </c>
      <c r="CG5" s="74">
        <f>VLOOKUP($G$5&amp;$F$1,'Input RM sheet'!$A:$DD,CG1,0)</f>
        <v>1.5</v>
      </c>
      <c r="CH5" s="74">
        <f>VLOOKUP($G$5&amp;$F$1,'Input RM sheet'!$A:$DD,CH1,0)</f>
        <v>1.5</v>
      </c>
      <c r="CI5" s="74">
        <f>VLOOKUP($G$5&amp;$F$1,'Input RM sheet'!$A:$DD,CI1,0)</f>
        <v>1.5</v>
      </c>
      <c r="CJ5" s="74">
        <f>VLOOKUP($G$5&amp;$F$1,'Input RM sheet'!$A:$DD,CJ1,0)</f>
        <v>1.5</v>
      </c>
      <c r="CK5" s="74">
        <f>VLOOKUP($G$5&amp;$F$1,'Input RM sheet'!$A:$DD,CK1,0)</f>
        <v>1.5</v>
      </c>
      <c r="CL5" s="74">
        <f>VLOOKUP($G$5&amp;$F$1,'Input RM sheet'!$A:$DD,CL1,0)</f>
        <v>1.5</v>
      </c>
      <c r="CM5" s="74">
        <f>VLOOKUP($G$5&amp;$F$1,'Input RM sheet'!$A:$DD,CM1,0)</f>
        <v>1.5</v>
      </c>
      <c r="CN5" s="74">
        <f>VLOOKUP($G$5&amp;$F$1,'Input RM sheet'!$A:$DD,CN1,0)</f>
        <v>1.5</v>
      </c>
      <c r="CO5" s="74">
        <f>VLOOKUP($G$5&amp;$F$1,'Input RM sheet'!$A:$DD,CO1,0)</f>
        <v>1.5</v>
      </c>
      <c r="CP5" s="74">
        <f>VLOOKUP($G$5&amp;$F$1,'Input RM sheet'!$A:$DD,CP1,0)</f>
        <v>1.5</v>
      </c>
      <c r="CQ5" s="74">
        <f>VLOOKUP($G$5&amp;$F$1,'Input RM sheet'!$A:$DD,CQ1,0)</f>
        <v>1.5</v>
      </c>
      <c r="CR5" s="74">
        <f>VLOOKUP($G$5&amp;$F$1,'Input RM sheet'!$A:$ZZ,CR1,0)</f>
        <v>1.56</v>
      </c>
      <c r="CS5" s="74">
        <f>VLOOKUP($G$5&amp;$F$1,'Input RM sheet'!$A:$ZZ,CS1,0)</f>
        <v>1.6</v>
      </c>
      <c r="CT5" s="74">
        <f>VLOOKUP($G$5&amp;$F$1,'Input RM sheet'!$A:$ZZ,CT1,0)</f>
        <v>1.6</v>
      </c>
      <c r="CU5" s="74">
        <f>VLOOKUP($G$5&amp;$F$1,'Input RM sheet'!$A:$ZZ,CU1,0)</f>
        <v>1.6</v>
      </c>
      <c r="CV5" s="74">
        <f>VLOOKUP($G$5&amp;$F$1,'Input RM sheet'!$A:$ZZ,CV1,0)</f>
        <v>1.6</v>
      </c>
      <c r="CW5" s="74">
        <f>VLOOKUP($G$5&amp;$F$1,'Input RM sheet'!$A:$ZZ,CW1,0)</f>
        <v>1.6</v>
      </c>
      <c r="CX5" s="74">
        <f>VLOOKUP($G$5&amp;$F$1,'Input RM sheet'!$A:$ZZ,CX1,0)</f>
        <v>1.6</v>
      </c>
      <c r="CY5" s="74">
        <f>VLOOKUP($G$5&amp;$F$1,'Input RM sheet'!$A:$ZZ,CY1,0)</f>
        <v>1.6</v>
      </c>
      <c r="CZ5" s="74">
        <f>VLOOKUP($G$5&amp;$F$1,'Input RM sheet'!$A:$ZZ,CZ1,0)</f>
        <v>1.6</v>
      </c>
      <c r="DA5" s="74">
        <f>VLOOKUP($G$5&amp;$F$1,'Input RM sheet'!$A:$ZZ,DA1,0)</f>
        <v>1.6</v>
      </c>
      <c r="DB5" s="74">
        <f>VLOOKUP($G$5&amp;$F$1,'Input RM sheet'!$A:$ZZ,DB1,0)</f>
        <v>1.81</v>
      </c>
      <c r="DC5" s="74">
        <f>VLOOKUP($G$5&amp;$F$1,'Input RM sheet'!$A:$ZZ,DC1,0)</f>
        <v>1.8</v>
      </c>
      <c r="DD5" s="74">
        <f>VLOOKUP($G$5&amp;$F$1,'Input RM sheet'!$A:$ZZ,DD1,0)</f>
        <v>1.8</v>
      </c>
      <c r="DE5" s="74">
        <f>VLOOKUP($G$5&amp;$F$1,'Input RM sheet'!$A:$ZZ,DE1,0)</f>
        <v>1.8</v>
      </c>
      <c r="DF5" s="74">
        <f>VLOOKUP($G$5&amp;$F$1,'Input RM sheet'!$A:$ZZ,DF1,0)</f>
        <v>1.8</v>
      </c>
      <c r="DG5" s="74">
        <f>VLOOKUP($G$5&amp;$F$1,'Input RM sheet'!$A:$ZZ,DG1,0)</f>
        <v>1.79</v>
      </c>
      <c r="DH5" s="74">
        <f>VLOOKUP($G$5&amp;$F$1,'Input RM sheet'!$A:$ZZ,DH1,0)</f>
        <v>1.79</v>
      </c>
      <c r="DI5" s="74">
        <f>VLOOKUP($G$5&amp;$F$1,'Input RM sheet'!$A:$ZZ,DI1,0)</f>
        <v>1.56</v>
      </c>
      <c r="DJ5" s="74">
        <f>VLOOKUP($G$5&amp;$F$1,'Input RM sheet'!$A:$ZZ,DJ1,0)</f>
        <v>1.56</v>
      </c>
      <c r="DK5" s="74">
        <f>VLOOKUP($G$5&amp;$F$1,'Input RM sheet'!$A:$ZZ,DK1,0)</f>
        <v>1.56</v>
      </c>
      <c r="DL5" s="74">
        <f>VLOOKUP($G$5&amp;$F$1,'Input RM sheet'!$A:$ZZ,DL1,0)</f>
        <v>1.63</v>
      </c>
      <c r="DM5" s="74">
        <f>VLOOKUP($G$5&amp;$F$1,'Input RM sheet'!$A:$ZZ,DM1,0)</f>
        <v>1.58</v>
      </c>
      <c r="DN5" s="74">
        <f>VLOOKUP($G$5&amp;$F$1,'Input RM sheet'!$A:$ZZ,DN1,0)</f>
        <v>1.58</v>
      </c>
      <c r="DO5" s="74">
        <f>VLOOKUP($G$5&amp;$F$1,'Input RM sheet'!$A:$ZZ,DO1,0)</f>
        <v>1.58</v>
      </c>
      <c r="DP5" s="74">
        <f>VLOOKUP($G$5&amp;$F$1,'Input RM sheet'!$A:$ZZ,DP1,0)</f>
        <v>1.58</v>
      </c>
      <c r="DQ5" s="74">
        <f>VLOOKUP($G$5&amp;$F$1,'Input RM sheet'!$A:$ZZ,DQ1,0)</f>
        <v>1.58</v>
      </c>
      <c r="DR5" s="74">
        <f>VLOOKUP($G$5&amp;$F$1,'Input RM sheet'!$A:$ZZ,DR1,0)</f>
        <v>1.58</v>
      </c>
      <c r="DS5" s="74">
        <f>VLOOKUP($G$5&amp;$F$1,'Input RM sheet'!$A:$ZZ,DS1,0)</f>
        <v>0</v>
      </c>
      <c r="DT5" s="74">
        <f>VLOOKUP($G$5&amp;$F$1,'Input RM sheet'!$A:$ZZ,DT1,0)</f>
        <v>0</v>
      </c>
      <c r="DU5" s="74">
        <f>VLOOKUP($G$5&amp;$F$1,'Input RM sheet'!$A:$ZZ,DU1,0)</f>
        <v>0</v>
      </c>
      <c r="DV5" s="74">
        <f>VLOOKUP($G$5&amp;$F$1,'Input RM sheet'!$A:$ZZ,DV1,0)</f>
        <v>0</v>
      </c>
      <c r="DW5" s="74">
        <f>VLOOKUP($G$5&amp;$F$1,'Input RM sheet'!$A:$ZZ,DW1,0)</f>
        <v>0</v>
      </c>
      <c r="DX5" s="74">
        <f>VLOOKUP($G$5&amp;$F$1,'Input RM sheet'!$A:$ZZ,DX1,0)</f>
        <v>0</v>
      </c>
      <c r="DY5" s="74">
        <f>VLOOKUP($G$5&amp;$F$1,'Input RM sheet'!$A:$ZZ,DY1,0)</f>
        <v>0</v>
      </c>
      <c r="DZ5" s="74">
        <f>VLOOKUP($G$5&amp;$F$1,'Input RM sheet'!$A:$ZZ,DZ1,0)</f>
        <v>0</v>
      </c>
    </row>
    <row r="6" spans="1:132">
      <c r="G6" s="60" t="s">
        <v>523</v>
      </c>
    </row>
    <row r="8" spans="1:132" ht="14">
      <c r="A8" s="59" t="s">
        <v>395</v>
      </c>
      <c r="B8" s="59"/>
      <c r="C8" s="59" t="s">
        <v>379</v>
      </c>
      <c r="D8" s="59" t="s">
        <v>380</v>
      </c>
      <c r="E8" s="59" t="s">
        <v>381</v>
      </c>
      <c r="F8" s="59" t="s">
        <v>396</v>
      </c>
      <c r="G8" s="8" t="s">
        <v>399</v>
      </c>
      <c r="H8" s="84"/>
      <c r="I8" s="84"/>
      <c r="J8" s="84"/>
      <c r="K8" s="84"/>
      <c r="L8" s="84"/>
      <c r="M8" s="84"/>
      <c r="N8" s="84"/>
      <c r="O8" s="84"/>
      <c r="P8" s="84"/>
      <c r="Q8" s="84"/>
      <c r="R8" s="84"/>
      <c r="S8" s="84"/>
      <c r="T8" s="84"/>
      <c r="U8" s="84"/>
      <c r="V8" s="84"/>
      <c r="W8" s="84"/>
      <c r="X8" s="84"/>
      <c r="Y8" s="84"/>
      <c r="Z8" s="84"/>
      <c r="AA8" s="84"/>
      <c r="AB8" s="84"/>
      <c r="AC8" s="84"/>
      <c r="AD8" s="84"/>
      <c r="AE8" s="84"/>
      <c r="AF8" s="84"/>
      <c r="AG8" s="84"/>
      <c r="AH8" s="84"/>
      <c r="AI8" s="84"/>
      <c r="AJ8" s="84"/>
      <c r="AK8" s="84"/>
      <c r="AL8" s="84"/>
      <c r="AM8" s="84"/>
      <c r="AN8" s="84"/>
      <c r="AO8" s="84"/>
      <c r="AP8" s="84"/>
      <c r="AQ8" s="84"/>
      <c r="AR8" s="84"/>
      <c r="AS8" s="84"/>
      <c r="AT8" s="84"/>
      <c r="AU8" s="84"/>
      <c r="AV8" s="84"/>
      <c r="AW8" s="84"/>
      <c r="AX8" s="84"/>
      <c r="AY8" s="84"/>
      <c r="AZ8" s="84"/>
      <c r="BA8" s="84"/>
      <c r="BB8" s="84"/>
      <c r="BC8" s="84"/>
      <c r="BD8" s="84"/>
      <c r="BE8" s="84"/>
      <c r="BF8" s="84"/>
      <c r="BG8" s="84"/>
      <c r="BH8" s="84"/>
      <c r="BI8" s="84"/>
      <c r="BJ8" s="84"/>
      <c r="BK8" s="84"/>
      <c r="BL8" s="84"/>
      <c r="BM8" s="84"/>
      <c r="BN8" s="84"/>
      <c r="BO8" s="84"/>
      <c r="BP8" s="84"/>
      <c r="BQ8" s="84"/>
      <c r="BR8" s="84"/>
      <c r="BS8" s="84"/>
      <c r="BT8" s="84"/>
      <c r="BU8" s="84"/>
      <c r="BV8" s="84"/>
      <c r="BW8" s="84"/>
      <c r="BX8" s="84"/>
      <c r="BY8" s="84"/>
      <c r="BZ8" s="84"/>
      <c r="CA8" s="84"/>
      <c r="CB8" s="84"/>
      <c r="CC8" s="84"/>
      <c r="CD8" s="84"/>
      <c r="CE8" s="84"/>
      <c r="CF8" s="84"/>
      <c r="CG8" s="84"/>
      <c r="CH8" s="84"/>
      <c r="CI8" s="84"/>
      <c r="CJ8" s="84"/>
      <c r="CK8" s="84"/>
      <c r="CL8" s="84"/>
      <c r="CM8" s="84"/>
      <c r="CN8" s="84"/>
      <c r="CO8" s="84"/>
      <c r="CP8" s="84"/>
      <c r="CQ8" s="84"/>
      <c r="CR8" s="84"/>
      <c r="CS8" s="84"/>
      <c r="CT8" s="84"/>
      <c r="CU8" s="84"/>
      <c r="CV8" s="84"/>
      <c r="CW8" s="84"/>
      <c r="CX8" s="84"/>
      <c r="CY8" s="84"/>
      <c r="CZ8" s="84"/>
      <c r="DA8" s="84"/>
      <c r="DB8" s="84"/>
      <c r="DC8" s="84"/>
      <c r="DD8" s="84"/>
      <c r="DE8" s="84"/>
      <c r="DF8" s="84"/>
      <c r="DG8" s="84"/>
      <c r="DH8" s="84"/>
      <c r="DI8" s="84"/>
      <c r="DJ8" s="84"/>
      <c r="DK8" s="84"/>
      <c r="DL8" s="84"/>
      <c r="DM8" s="84"/>
      <c r="DN8" s="84"/>
      <c r="DO8" s="84"/>
      <c r="DP8" s="84"/>
      <c r="DQ8" s="84"/>
      <c r="DR8" s="84"/>
      <c r="DS8" s="84"/>
      <c r="DT8" s="84"/>
      <c r="DU8" s="84"/>
      <c r="DV8" s="84"/>
      <c r="DW8" s="84"/>
      <c r="DX8" s="84"/>
      <c r="DY8" s="84"/>
      <c r="DZ8" s="84"/>
    </row>
    <row r="9" spans="1:132">
      <c r="A9" s="375" t="s">
        <v>397</v>
      </c>
      <c r="B9" s="60" t="s">
        <v>74</v>
      </c>
      <c r="C9" s="60">
        <v>1</v>
      </c>
      <c r="D9" s="64">
        <v>138.21</v>
      </c>
      <c r="E9" s="60">
        <f>D9*C9</f>
        <v>138.21</v>
      </c>
      <c r="F9" s="65">
        <f>E9/$E$2</f>
        <v>0.83647037462930474</v>
      </c>
      <c r="H9" s="74">
        <f>H5*$F$9</f>
        <v>1.3129759412516171</v>
      </c>
      <c r="I9" s="74">
        <f>I5*$F$9</f>
        <v>1.2483805858341201</v>
      </c>
      <c r="J9" s="74">
        <f>J5*$F$9</f>
        <v>1.3270247392162271</v>
      </c>
      <c r="K9" s="74">
        <f t="shared" ref="K9:BU9" si="0">K5*$F$9</f>
        <v>1.2342995781998574</v>
      </c>
      <c r="L9" s="74">
        <f t="shared" si="0"/>
        <v>1.2342995781998574</v>
      </c>
      <c r="M9" s="74">
        <f t="shared" si="0"/>
        <v>1.2342995781998574</v>
      </c>
      <c r="N9" s="74">
        <f t="shared" si="0"/>
        <v>1.5307665012520404</v>
      </c>
      <c r="O9" s="74">
        <f t="shared" si="0"/>
        <v>1.523147737733173</v>
      </c>
      <c r="P9" s="74">
        <f t="shared" si="0"/>
        <v>1.4334137202973887</v>
      </c>
      <c r="Q9" s="74">
        <f t="shared" si="0"/>
        <v>1.4624696430554149</v>
      </c>
      <c r="R9" s="74">
        <f t="shared" si="0"/>
        <v>1.4075734484141853</v>
      </c>
      <c r="S9" s="74">
        <f t="shared" si="0"/>
        <v>1.0161728471384162</v>
      </c>
      <c r="T9" s="74">
        <f t="shared" si="0"/>
        <v>1.0161728471384162</v>
      </c>
      <c r="U9" s="74">
        <f t="shared" si="0"/>
        <v>1.5653305087152365</v>
      </c>
      <c r="V9" s="74">
        <f t="shared" si="0"/>
        <v>1.5645972393444896</v>
      </c>
      <c r="W9" s="74">
        <f t="shared" si="0"/>
        <v>1.5307746279333792</v>
      </c>
      <c r="X9" s="74">
        <f t="shared" si="0"/>
        <v>1.9045237005188338</v>
      </c>
      <c r="Y9" s="74">
        <f t="shared" si="0"/>
        <v>1.9045237005188338</v>
      </c>
      <c r="Z9" s="74">
        <f t="shared" si="0"/>
        <v>1.9045237005188338</v>
      </c>
      <c r="AA9" s="74">
        <f t="shared" si="0"/>
        <v>1.5906285049466831</v>
      </c>
      <c r="AB9" s="74">
        <f t="shared" si="0"/>
        <v>1.5779258588341853</v>
      </c>
      <c r="AC9" s="74">
        <f t="shared" si="0"/>
        <v>1.4719392386946151</v>
      </c>
      <c r="AD9" s="74">
        <f t="shared" si="0"/>
        <v>1.4719392386946151</v>
      </c>
      <c r="AE9" s="74">
        <f t="shared" si="0"/>
        <v>1.4719392386946151</v>
      </c>
      <c r="AF9" s="74">
        <f t="shared" si="0"/>
        <v>1.4933832877625719</v>
      </c>
      <c r="AG9" s="74">
        <f t="shared" si="0"/>
        <v>1.4935697322407155</v>
      </c>
      <c r="AH9" s="74">
        <f t="shared" si="0"/>
        <v>1.4935697322407155</v>
      </c>
      <c r="AI9" s="74">
        <f t="shared" si="0"/>
        <v>1.4935697322407155</v>
      </c>
      <c r="AJ9" s="74">
        <f t="shared" si="0"/>
        <v>1.4935697322407155</v>
      </c>
      <c r="AK9" s="74">
        <f t="shared" si="0"/>
        <v>1.5391054893179208</v>
      </c>
      <c r="AL9" s="74">
        <f t="shared" si="0"/>
        <v>1.539105489317921</v>
      </c>
      <c r="AM9" s="74">
        <f t="shared" si="0"/>
        <v>1.539105489317921</v>
      </c>
      <c r="AN9" s="74">
        <f t="shared" si="0"/>
        <v>1.539105489317921</v>
      </c>
      <c r="AO9" s="74">
        <f t="shared" si="0"/>
        <v>1.3299878956605946</v>
      </c>
      <c r="AP9" s="74">
        <f t="shared" si="0"/>
        <v>1.307682019003813</v>
      </c>
      <c r="AQ9" s="74">
        <f t="shared" si="0"/>
        <v>1.3456436494025874</v>
      </c>
      <c r="AR9" s="74">
        <f t="shared" si="0"/>
        <v>1.3318627526029343</v>
      </c>
      <c r="AS9" s="74">
        <f t="shared" si="0"/>
        <v>1.2688919894357789</v>
      </c>
      <c r="AT9" s="74">
        <f t="shared" si="0"/>
        <v>1.2744574524108341</v>
      </c>
      <c r="AU9" s="74">
        <f t="shared" si="0"/>
        <v>1.2965290806754224</v>
      </c>
      <c r="AV9" s="74">
        <f t="shared" si="0"/>
        <v>1.3550820068994738</v>
      </c>
      <c r="AW9" s="74">
        <f t="shared" si="0"/>
        <v>1.2714349694365432</v>
      </c>
      <c r="AX9" s="74">
        <f t="shared" si="0"/>
        <v>1.2714349694365432</v>
      </c>
      <c r="AY9" s="74">
        <f t="shared" si="0"/>
        <v>1.2714349694365432</v>
      </c>
      <c r="AZ9" s="74">
        <f t="shared" si="0"/>
        <v>1.2714349694365432</v>
      </c>
      <c r="BA9" s="74">
        <f t="shared" si="0"/>
        <v>1.2714349694365432</v>
      </c>
      <c r="BB9" s="74">
        <f t="shared" si="0"/>
        <v>1.2881643769291293</v>
      </c>
      <c r="BC9" s="74">
        <f t="shared" si="0"/>
        <v>1.2881643769291293</v>
      </c>
      <c r="BD9" s="74">
        <f t="shared" si="0"/>
        <v>1.2881643769291293</v>
      </c>
      <c r="BE9" s="74">
        <f t="shared" si="0"/>
        <v>1.2881643769291293</v>
      </c>
      <c r="BF9" s="74">
        <f t="shared" si="0"/>
        <v>1.2212467469587849</v>
      </c>
      <c r="BG9" s="74">
        <f t="shared" si="0"/>
        <v>1.2212467469587849</v>
      </c>
      <c r="BH9" s="74">
        <f t="shared" si="0"/>
        <v>1.2212467469587849</v>
      </c>
      <c r="BI9" s="74">
        <f t="shared" si="0"/>
        <v>1.2212467469587849</v>
      </c>
      <c r="BJ9" s="74">
        <f t="shared" si="0"/>
        <v>1.2212467469587849</v>
      </c>
      <c r="BK9" s="74">
        <f t="shared" si="0"/>
        <v>1.2212467469587849</v>
      </c>
      <c r="BL9" s="74">
        <f t="shared" si="0"/>
        <v>1.2128820432124918</v>
      </c>
      <c r="BM9" s="74">
        <f t="shared" si="0"/>
        <v>1.2965290806754224</v>
      </c>
      <c r="BN9" s="74">
        <f t="shared" si="0"/>
        <v>1.2965290806754224</v>
      </c>
      <c r="BO9" s="74">
        <f t="shared" si="0"/>
        <v>1.2965290806754224</v>
      </c>
      <c r="BP9" s="74">
        <f t="shared" si="0"/>
        <v>1.2965290806754224</v>
      </c>
      <c r="BQ9" s="74">
        <f t="shared" si="0"/>
        <v>1.2128820432124918</v>
      </c>
      <c r="BR9" s="74">
        <f t="shared" si="0"/>
        <v>1.2128820432124918</v>
      </c>
      <c r="BS9" s="74">
        <f t="shared" si="0"/>
        <v>1.2128820432124918</v>
      </c>
      <c r="BT9" s="74">
        <f t="shared" si="0"/>
        <v>1.2128820432124918</v>
      </c>
      <c r="BU9" s="74">
        <f t="shared" si="0"/>
        <v>1.2128820432124918</v>
      </c>
      <c r="BV9" s="74">
        <f t="shared" ref="BV9:CK9" si="1">BV5*$F$9</f>
        <v>1.2547055619439571</v>
      </c>
      <c r="BW9" s="74">
        <f t="shared" si="1"/>
        <v>1.2547055619439571</v>
      </c>
      <c r="BX9" s="74">
        <f t="shared" si="1"/>
        <v>1.2547055619439571</v>
      </c>
      <c r="BY9" s="74">
        <f t="shared" si="1"/>
        <v>1.2547055619439571</v>
      </c>
      <c r="BZ9" s="74">
        <f t="shared" si="1"/>
        <v>1.2547055619439571</v>
      </c>
      <c r="CA9" s="74">
        <f t="shared" si="1"/>
        <v>1.2547055619439571</v>
      </c>
      <c r="CB9" s="74">
        <f t="shared" si="1"/>
        <v>1.2547055619439571</v>
      </c>
      <c r="CC9" s="74">
        <f t="shared" si="1"/>
        <v>1.2547055619439571</v>
      </c>
      <c r="CD9" s="74">
        <f t="shared" si="1"/>
        <v>1.2547055619439571</v>
      </c>
      <c r="CE9" s="74">
        <f t="shared" si="1"/>
        <v>1.2547055619439571</v>
      </c>
      <c r="CF9" s="74">
        <f t="shared" si="1"/>
        <v>1.2547055619439571</v>
      </c>
      <c r="CG9" s="74">
        <f t="shared" si="1"/>
        <v>1.2547055619439571</v>
      </c>
      <c r="CH9" s="74">
        <f t="shared" si="1"/>
        <v>1.2547055619439571</v>
      </c>
      <c r="CI9" s="74">
        <f t="shared" si="1"/>
        <v>1.2547055619439571</v>
      </c>
      <c r="CJ9" s="74">
        <f t="shared" si="1"/>
        <v>1.2547055619439571</v>
      </c>
      <c r="CK9" s="74">
        <f t="shared" si="1"/>
        <v>1.2547055619439571</v>
      </c>
      <c r="CL9" s="74">
        <f t="shared" ref="CL9:CR9" si="2">CL5*$F$9</f>
        <v>1.2547055619439571</v>
      </c>
      <c r="CM9" s="74">
        <f t="shared" si="2"/>
        <v>1.2547055619439571</v>
      </c>
      <c r="CN9" s="74">
        <f t="shared" si="2"/>
        <v>1.2547055619439571</v>
      </c>
      <c r="CO9" s="74">
        <f t="shared" si="2"/>
        <v>1.2547055619439571</v>
      </c>
      <c r="CP9" s="74">
        <f t="shared" si="2"/>
        <v>1.2547055619439571</v>
      </c>
      <c r="CQ9" s="74">
        <f t="shared" si="2"/>
        <v>1.2547055619439571</v>
      </c>
      <c r="CR9" s="74">
        <f t="shared" si="2"/>
        <v>1.3048937844217154</v>
      </c>
      <c r="CS9" s="74">
        <f>CS5*$F$9</f>
        <v>1.3383525994068877</v>
      </c>
      <c r="CT9" s="74">
        <f>CT5*$F$9</f>
        <v>1.3383525994068877</v>
      </c>
      <c r="CU9" s="74">
        <f>CU5*$F$9</f>
        <v>1.3383525994068877</v>
      </c>
      <c r="CV9" s="74">
        <f>CV5*$F$9</f>
        <v>1.3383525994068877</v>
      </c>
      <c r="CW9" s="74">
        <f>CW5*$F$9</f>
        <v>1.3383525994068877</v>
      </c>
      <c r="CX9" s="74">
        <f t="shared" ref="CX9:DZ9" si="3">CX5*$F$9</f>
        <v>1.3383525994068877</v>
      </c>
      <c r="CY9" s="74">
        <f t="shared" si="3"/>
        <v>1.3383525994068877</v>
      </c>
      <c r="CZ9" s="74">
        <f t="shared" si="3"/>
        <v>1.3383525994068877</v>
      </c>
      <c r="DA9" s="74">
        <f t="shared" si="3"/>
        <v>1.3383525994068877</v>
      </c>
      <c r="DB9" s="74">
        <f t="shared" si="3"/>
        <v>1.5140113780790416</v>
      </c>
      <c r="DC9" s="74">
        <f t="shared" si="3"/>
        <v>1.5056466743327486</v>
      </c>
      <c r="DD9" s="74">
        <f t="shared" si="3"/>
        <v>1.5056466743327486</v>
      </c>
      <c r="DE9" s="74">
        <f t="shared" si="3"/>
        <v>1.5056466743327486</v>
      </c>
      <c r="DF9" s="74">
        <f t="shared" si="3"/>
        <v>1.5056466743327486</v>
      </c>
      <c r="DG9" s="74">
        <f t="shared" si="3"/>
        <v>1.4972819705864555</v>
      </c>
      <c r="DH9" s="74">
        <f t="shared" si="3"/>
        <v>1.4972819705864555</v>
      </c>
      <c r="DI9" s="74">
        <f t="shared" si="3"/>
        <v>1.3048937844217154</v>
      </c>
      <c r="DJ9" s="74">
        <f t="shared" si="3"/>
        <v>1.3048937844217154</v>
      </c>
      <c r="DK9" s="74">
        <f t="shared" si="3"/>
        <v>1.3048937844217154</v>
      </c>
      <c r="DL9" s="74">
        <f t="shared" si="3"/>
        <v>1.3634467106457666</v>
      </c>
      <c r="DM9" s="74">
        <f t="shared" si="3"/>
        <v>1.3216231919143016</v>
      </c>
      <c r="DN9" s="74">
        <f t="shared" si="3"/>
        <v>1.3216231919143016</v>
      </c>
      <c r="DO9" s="74">
        <f t="shared" si="3"/>
        <v>1.3216231919143016</v>
      </c>
      <c r="DP9" s="74">
        <f t="shared" si="3"/>
        <v>1.3216231919143016</v>
      </c>
      <c r="DQ9" s="74">
        <f t="shared" si="3"/>
        <v>1.3216231919143016</v>
      </c>
      <c r="DR9" s="74">
        <f t="shared" si="3"/>
        <v>1.3216231919143016</v>
      </c>
      <c r="DS9" s="74">
        <f t="shared" si="3"/>
        <v>0</v>
      </c>
      <c r="DT9" s="74">
        <f t="shared" si="3"/>
        <v>0</v>
      </c>
      <c r="DU9" s="74">
        <f t="shared" si="3"/>
        <v>0</v>
      </c>
      <c r="DV9" s="74">
        <f t="shared" si="3"/>
        <v>0</v>
      </c>
      <c r="DW9" s="74">
        <f t="shared" si="3"/>
        <v>0</v>
      </c>
      <c r="DX9" s="74">
        <f t="shared" si="3"/>
        <v>0</v>
      </c>
      <c r="DY9" s="74">
        <f t="shared" si="3"/>
        <v>0</v>
      </c>
      <c r="DZ9" s="74">
        <f t="shared" si="3"/>
        <v>0</v>
      </c>
    </row>
    <row r="10" spans="1:132">
      <c r="A10" s="376"/>
      <c r="B10" s="60" t="s">
        <v>523</v>
      </c>
      <c r="C10" s="60">
        <v>1</v>
      </c>
      <c r="D10" s="64">
        <v>27.02</v>
      </c>
      <c r="E10" s="60">
        <f>D10*C10</f>
        <v>27.02</v>
      </c>
      <c r="F10" s="65">
        <f>E10/$E$2</f>
        <v>0.1635296253706954</v>
      </c>
      <c r="H10" s="74">
        <f>H6*$F$10</f>
        <v>0</v>
      </c>
      <c r="I10" s="74">
        <f>I6*$F$10</f>
        <v>0</v>
      </c>
      <c r="J10" s="74">
        <f>J6*$F$10</f>
        <v>0</v>
      </c>
      <c r="K10" s="74">
        <f t="shared" ref="K10:BU10" si="4">K6*$F$10</f>
        <v>0</v>
      </c>
      <c r="L10" s="74">
        <f t="shared" si="4"/>
        <v>0</v>
      </c>
      <c r="M10" s="74">
        <f t="shared" si="4"/>
        <v>0</v>
      </c>
      <c r="N10" s="74">
        <f t="shared" si="4"/>
        <v>0</v>
      </c>
      <c r="O10" s="74">
        <f t="shared" si="4"/>
        <v>0</v>
      </c>
      <c r="P10" s="74">
        <f t="shared" si="4"/>
        <v>0</v>
      </c>
      <c r="Q10" s="74">
        <f t="shared" si="4"/>
        <v>0</v>
      </c>
      <c r="R10" s="74">
        <f t="shared" si="4"/>
        <v>0</v>
      </c>
      <c r="S10" s="74">
        <f t="shared" si="4"/>
        <v>0</v>
      </c>
      <c r="T10" s="74">
        <f t="shared" si="4"/>
        <v>0</v>
      </c>
      <c r="U10" s="74">
        <f t="shared" si="4"/>
        <v>0</v>
      </c>
      <c r="V10" s="74">
        <f t="shared" si="4"/>
        <v>0</v>
      </c>
      <c r="W10" s="74">
        <f t="shared" si="4"/>
        <v>0</v>
      </c>
      <c r="X10" s="74">
        <f t="shared" si="4"/>
        <v>0</v>
      </c>
      <c r="Y10" s="74">
        <f t="shared" si="4"/>
        <v>0</v>
      </c>
      <c r="Z10" s="74">
        <f t="shared" si="4"/>
        <v>0</v>
      </c>
      <c r="AA10" s="74">
        <f t="shared" si="4"/>
        <v>0</v>
      </c>
      <c r="AB10" s="74">
        <f t="shared" si="4"/>
        <v>0</v>
      </c>
      <c r="AC10" s="74">
        <f t="shared" si="4"/>
        <v>0</v>
      </c>
      <c r="AD10" s="74">
        <f t="shared" si="4"/>
        <v>0</v>
      </c>
      <c r="AE10" s="74">
        <f t="shared" si="4"/>
        <v>0</v>
      </c>
      <c r="AF10" s="74">
        <f t="shared" si="4"/>
        <v>0</v>
      </c>
      <c r="AG10" s="74">
        <f t="shared" si="4"/>
        <v>0</v>
      </c>
      <c r="AH10" s="74">
        <f t="shared" si="4"/>
        <v>0</v>
      </c>
      <c r="AI10" s="74">
        <f t="shared" si="4"/>
        <v>0</v>
      </c>
      <c r="AJ10" s="74">
        <f t="shared" si="4"/>
        <v>0</v>
      </c>
      <c r="AK10" s="74">
        <f t="shared" si="4"/>
        <v>0</v>
      </c>
      <c r="AL10" s="74">
        <f t="shared" si="4"/>
        <v>0</v>
      </c>
      <c r="AM10" s="74">
        <f t="shared" si="4"/>
        <v>0</v>
      </c>
      <c r="AN10" s="74">
        <f t="shared" si="4"/>
        <v>0</v>
      </c>
      <c r="AO10" s="74">
        <f t="shared" si="4"/>
        <v>0</v>
      </c>
      <c r="AP10" s="74">
        <f t="shared" si="4"/>
        <v>0</v>
      </c>
      <c r="AQ10" s="74">
        <f t="shared" si="4"/>
        <v>0</v>
      </c>
      <c r="AR10" s="74">
        <f t="shared" si="4"/>
        <v>0</v>
      </c>
      <c r="AS10" s="74">
        <f t="shared" si="4"/>
        <v>0</v>
      </c>
      <c r="AT10" s="74">
        <f t="shared" si="4"/>
        <v>0</v>
      </c>
      <c r="AU10" s="74">
        <f t="shared" si="4"/>
        <v>0</v>
      </c>
      <c r="AV10" s="74">
        <f t="shared" si="4"/>
        <v>0</v>
      </c>
      <c r="AW10" s="74">
        <f t="shared" si="4"/>
        <v>0</v>
      </c>
      <c r="AX10" s="74">
        <f t="shared" si="4"/>
        <v>0</v>
      </c>
      <c r="AY10" s="74">
        <f t="shared" si="4"/>
        <v>0</v>
      </c>
      <c r="AZ10" s="74">
        <f t="shared" si="4"/>
        <v>0</v>
      </c>
      <c r="BA10" s="74">
        <f t="shared" si="4"/>
        <v>0</v>
      </c>
      <c r="BB10" s="74">
        <f t="shared" si="4"/>
        <v>0</v>
      </c>
      <c r="BC10" s="74">
        <f t="shared" si="4"/>
        <v>0</v>
      </c>
      <c r="BD10" s="74">
        <f t="shared" si="4"/>
        <v>0</v>
      </c>
      <c r="BE10" s="74">
        <f t="shared" si="4"/>
        <v>0</v>
      </c>
      <c r="BF10" s="74">
        <f t="shared" si="4"/>
        <v>0</v>
      </c>
      <c r="BG10" s="74">
        <f t="shared" si="4"/>
        <v>0</v>
      </c>
      <c r="BH10" s="74">
        <f t="shared" si="4"/>
        <v>0</v>
      </c>
      <c r="BI10" s="74">
        <f t="shared" si="4"/>
        <v>0</v>
      </c>
      <c r="BJ10" s="74">
        <f t="shared" si="4"/>
        <v>0</v>
      </c>
      <c r="BK10" s="74">
        <f t="shared" si="4"/>
        <v>0</v>
      </c>
      <c r="BL10" s="74">
        <f t="shared" si="4"/>
        <v>0</v>
      </c>
      <c r="BM10" s="74">
        <f t="shared" si="4"/>
        <v>0</v>
      </c>
      <c r="BN10" s="74">
        <f t="shared" si="4"/>
        <v>0</v>
      </c>
      <c r="BO10" s="74">
        <f t="shared" si="4"/>
        <v>0</v>
      </c>
      <c r="BP10" s="74">
        <f t="shared" si="4"/>
        <v>0</v>
      </c>
      <c r="BQ10" s="74">
        <f t="shared" si="4"/>
        <v>0</v>
      </c>
      <c r="BR10" s="74">
        <f t="shared" si="4"/>
        <v>0</v>
      </c>
      <c r="BS10" s="74">
        <f t="shared" si="4"/>
        <v>0</v>
      </c>
      <c r="BT10" s="74">
        <f t="shared" si="4"/>
        <v>0</v>
      </c>
      <c r="BU10" s="74">
        <f t="shared" si="4"/>
        <v>0</v>
      </c>
      <c r="BV10" s="74">
        <f t="shared" ref="BV10:CK10" si="5">BV6*$F$10</f>
        <v>0</v>
      </c>
      <c r="BW10" s="74">
        <f t="shared" si="5"/>
        <v>0</v>
      </c>
      <c r="BX10" s="74">
        <f t="shared" si="5"/>
        <v>0</v>
      </c>
      <c r="BY10" s="74">
        <f t="shared" si="5"/>
        <v>0</v>
      </c>
      <c r="BZ10" s="74">
        <f t="shared" si="5"/>
        <v>0</v>
      </c>
      <c r="CA10" s="74">
        <f t="shared" si="5"/>
        <v>0</v>
      </c>
      <c r="CB10" s="74">
        <f t="shared" si="5"/>
        <v>0</v>
      </c>
      <c r="CC10" s="74">
        <f t="shared" si="5"/>
        <v>0</v>
      </c>
      <c r="CD10" s="74">
        <f t="shared" si="5"/>
        <v>0</v>
      </c>
      <c r="CE10" s="74">
        <f t="shared" si="5"/>
        <v>0</v>
      </c>
      <c r="CF10" s="74">
        <f t="shared" si="5"/>
        <v>0</v>
      </c>
      <c r="CG10" s="74">
        <f t="shared" si="5"/>
        <v>0</v>
      </c>
      <c r="CH10" s="74">
        <f t="shared" si="5"/>
        <v>0</v>
      </c>
      <c r="CI10" s="74">
        <f t="shared" si="5"/>
        <v>0</v>
      </c>
      <c r="CJ10" s="74">
        <f t="shared" si="5"/>
        <v>0</v>
      </c>
      <c r="CK10" s="74">
        <f t="shared" si="5"/>
        <v>0</v>
      </c>
      <c r="CL10" s="74">
        <f t="shared" ref="CL10:CR10" si="6">CL6*$F$10</f>
        <v>0</v>
      </c>
      <c r="CM10" s="74">
        <f t="shared" si="6"/>
        <v>0</v>
      </c>
      <c r="CN10" s="74">
        <f t="shared" si="6"/>
        <v>0</v>
      </c>
      <c r="CO10" s="74">
        <f t="shared" si="6"/>
        <v>0</v>
      </c>
      <c r="CP10" s="74">
        <f t="shared" si="6"/>
        <v>0</v>
      </c>
      <c r="CQ10" s="74">
        <f t="shared" si="6"/>
        <v>0</v>
      </c>
      <c r="CR10" s="74">
        <f t="shared" si="6"/>
        <v>0</v>
      </c>
      <c r="CS10" s="74">
        <f>CS6*$F$10</f>
        <v>0</v>
      </c>
      <c r="CT10" s="74">
        <f>CT6*$F$10</f>
        <v>0</v>
      </c>
      <c r="CU10" s="74">
        <f>CU6*$F$10</f>
        <v>0</v>
      </c>
      <c r="CV10" s="74">
        <f>CV6*$F$10</f>
        <v>0</v>
      </c>
      <c r="CW10" s="74">
        <f>CW6*$F$10</f>
        <v>0</v>
      </c>
      <c r="CX10" s="74">
        <f t="shared" ref="CX10:DZ10" si="7">CX6*$F$10</f>
        <v>0</v>
      </c>
      <c r="CY10" s="74">
        <f t="shared" si="7"/>
        <v>0</v>
      </c>
      <c r="CZ10" s="74">
        <f t="shared" si="7"/>
        <v>0</v>
      </c>
      <c r="DA10" s="74">
        <f t="shared" si="7"/>
        <v>0</v>
      </c>
      <c r="DB10" s="74">
        <f t="shared" si="7"/>
        <v>0</v>
      </c>
      <c r="DC10" s="74">
        <f t="shared" si="7"/>
        <v>0</v>
      </c>
      <c r="DD10" s="74">
        <f t="shared" si="7"/>
        <v>0</v>
      </c>
      <c r="DE10" s="74">
        <f t="shared" si="7"/>
        <v>0</v>
      </c>
      <c r="DF10" s="74">
        <f t="shared" si="7"/>
        <v>0</v>
      </c>
      <c r="DG10" s="74">
        <f t="shared" si="7"/>
        <v>0</v>
      </c>
      <c r="DH10" s="74">
        <f t="shared" si="7"/>
        <v>0</v>
      </c>
      <c r="DI10" s="74">
        <f t="shared" si="7"/>
        <v>0</v>
      </c>
      <c r="DJ10" s="74">
        <f t="shared" si="7"/>
        <v>0</v>
      </c>
      <c r="DK10" s="74">
        <f t="shared" si="7"/>
        <v>0</v>
      </c>
      <c r="DL10" s="74">
        <f t="shared" si="7"/>
        <v>0</v>
      </c>
      <c r="DM10" s="74">
        <f t="shared" si="7"/>
        <v>0</v>
      </c>
      <c r="DN10" s="74">
        <f t="shared" si="7"/>
        <v>0</v>
      </c>
      <c r="DO10" s="74">
        <f t="shared" si="7"/>
        <v>0</v>
      </c>
      <c r="DP10" s="74">
        <f t="shared" si="7"/>
        <v>0</v>
      </c>
      <c r="DQ10" s="74">
        <f t="shared" si="7"/>
        <v>0</v>
      </c>
      <c r="DR10" s="74">
        <f t="shared" si="7"/>
        <v>0</v>
      </c>
      <c r="DS10" s="74">
        <f t="shared" si="7"/>
        <v>0</v>
      </c>
      <c r="DT10" s="74">
        <f t="shared" si="7"/>
        <v>0</v>
      </c>
      <c r="DU10" s="74">
        <f t="shared" si="7"/>
        <v>0</v>
      </c>
      <c r="DV10" s="74">
        <f t="shared" si="7"/>
        <v>0</v>
      </c>
      <c r="DW10" s="74">
        <f t="shared" si="7"/>
        <v>0</v>
      </c>
      <c r="DX10" s="74">
        <f t="shared" si="7"/>
        <v>0</v>
      </c>
      <c r="DY10" s="74">
        <f t="shared" si="7"/>
        <v>0</v>
      </c>
      <c r="DZ10" s="74">
        <f t="shared" si="7"/>
        <v>0</v>
      </c>
    </row>
    <row r="11" spans="1:132" s="73" customFormat="1">
      <c r="A11" s="59" t="s">
        <v>518</v>
      </c>
      <c r="H11" s="94">
        <f>SUM(H9:H10)</f>
        <v>1.3129759412516171</v>
      </c>
      <c r="I11" s="94">
        <f>SUM(I9:I10)</f>
        <v>1.2483805858341201</v>
      </c>
      <c r="J11" s="94">
        <f>SUM(J9:J10)</f>
        <v>1.3270247392162271</v>
      </c>
      <c r="K11" s="94">
        <f t="shared" ref="K11:BU11" si="8">SUM(K9:K10)</f>
        <v>1.2342995781998574</v>
      </c>
      <c r="L11" s="94">
        <f t="shared" si="8"/>
        <v>1.2342995781998574</v>
      </c>
      <c r="M11" s="94">
        <f t="shared" si="8"/>
        <v>1.2342995781998574</v>
      </c>
      <c r="N11" s="94">
        <f t="shared" si="8"/>
        <v>1.5307665012520404</v>
      </c>
      <c r="O11" s="94">
        <f t="shared" si="8"/>
        <v>1.523147737733173</v>
      </c>
      <c r="P11" s="94">
        <f t="shared" si="8"/>
        <v>1.4334137202973887</v>
      </c>
      <c r="Q11" s="94">
        <f t="shared" si="8"/>
        <v>1.4624696430554149</v>
      </c>
      <c r="R11" s="94">
        <f t="shared" si="8"/>
        <v>1.4075734484141853</v>
      </c>
      <c r="S11" s="94">
        <f t="shared" si="8"/>
        <v>1.0161728471384162</v>
      </c>
      <c r="T11" s="94">
        <f t="shared" si="8"/>
        <v>1.0161728471384162</v>
      </c>
      <c r="U11" s="94">
        <f t="shared" si="8"/>
        <v>1.5653305087152365</v>
      </c>
      <c r="V11" s="94">
        <f t="shared" si="8"/>
        <v>1.5645972393444896</v>
      </c>
      <c r="W11" s="94">
        <f t="shared" si="8"/>
        <v>1.5307746279333792</v>
      </c>
      <c r="X11" s="94">
        <f t="shared" si="8"/>
        <v>1.9045237005188338</v>
      </c>
      <c r="Y11" s="94">
        <f t="shared" si="8"/>
        <v>1.9045237005188338</v>
      </c>
      <c r="Z11" s="94">
        <f t="shared" si="8"/>
        <v>1.9045237005188338</v>
      </c>
      <c r="AA11" s="94">
        <f t="shared" si="8"/>
        <v>1.5906285049466831</v>
      </c>
      <c r="AB11" s="94">
        <f t="shared" si="8"/>
        <v>1.5779258588341853</v>
      </c>
      <c r="AC11" s="94">
        <f t="shared" si="8"/>
        <v>1.4719392386946151</v>
      </c>
      <c r="AD11" s="94">
        <f t="shared" si="8"/>
        <v>1.4719392386946151</v>
      </c>
      <c r="AE11" s="94">
        <f t="shared" si="8"/>
        <v>1.4719392386946151</v>
      </c>
      <c r="AF11" s="94">
        <f t="shared" si="8"/>
        <v>1.4933832877625719</v>
      </c>
      <c r="AG11" s="94">
        <f t="shared" si="8"/>
        <v>1.4935697322407155</v>
      </c>
      <c r="AH11" s="94">
        <f t="shared" si="8"/>
        <v>1.4935697322407155</v>
      </c>
      <c r="AI11" s="94">
        <f t="shared" si="8"/>
        <v>1.4935697322407155</v>
      </c>
      <c r="AJ11" s="94">
        <f t="shared" si="8"/>
        <v>1.4935697322407155</v>
      </c>
      <c r="AK11" s="94">
        <f t="shared" si="8"/>
        <v>1.5391054893179208</v>
      </c>
      <c r="AL11" s="94">
        <f t="shared" si="8"/>
        <v>1.539105489317921</v>
      </c>
      <c r="AM11" s="94">
        <f t="shared" si="8"/>
        <v>1.539105489317921</v>
      </c>
      <c r="AN11" s="94">
        <f t="shared" si="8"/>
        <v>1.539105489317921</v>
      </c>
      <c r="AO11" s="94">
        <f t="shared" si="8"/>
        <v>1.3299878956605946</v>
      </c>
      <c r="AP11" s="94">
        <f t="shared" si="8"/>
        <v>1.307682019003813</v>
      </c>
      <c r="AQ11" s="94">
        <f t="shared" si="8"/>
        <v>1.3456436494025874</v>
      </c>
      <c r="AR11" s="94">
        <f t="shared" si="8"/>
        <v>1.3318627526029343</v>
      </c>
      <c r="AS11" s="94">
        <f t="shared" si="8"/>
        <v>1.2688919894357789</v>
      </c>
      <c r="AT11" s="94">
        <f t="shared" si="8"/>
        <v>1.2744574524108341</v>
      </c>
      <c r="AU11" s="94">
        <f t="shared" si="8"/>
        <v>1.2965290806754224</v>
      </c>
      <c r="AV11" s="94">
        <f t="shared" si="8"/>
        <v>1.3550820068994738</v>
      </c>
      <c r="AW11" s="94">
        <f t="shared" si="8"/>
        <v>1.2714349694365432</v>
      </c>
      <c r="AX11" s="94">
        <f t="shared" si="8"/>
        <v>1.2714349694365432</v>
      </c>
      <c r="AY11" s="94">
        <f t="shared" si="8"/>
        <v>1.2714349694365432</v>
      </c>
      <c r="AZ11" s="94">
        <f t="shared" si="8"/>
        <v>1.2714349694365432</v>
      </c>
      <c r="BA11" s="94">
        <f t="shared" si="8"/>
        <v>1.2714349694365432</v>
      </c>
      <c r="BB11" s="94">
        <f t="shared" si="8"/>
        <v>1.2881643769291293</v>
      </c>
      <c r="BC11" s="94">
        <f t="shared" si="8"/>
        <v>1.2881643769291293</v>
      </c>
      <c r="BD11" s="94">
        <f t="shared" si="8"/>
        <v>1.2881643769291293</v>
      </c>
      <c r="BE11" s="94">
        <f t="shared" si="8"/>
        <v>1.2881643769291293</v>
      </c>
      <c r="BF11" s="94">
        <f t="shared" si="8"/>
        <v>1.2212467469587849</v>
      </c>
      <c r="BG11" s="94">
        <f t="shared" si="8"/>
        <v>1.2212467469587849</v>
      </c>
      <c r="BH11" s="94">
        <f t="shared" si="8"/>
        <v>1.2212467469587849</v>
      </c>
      <c r="BI11" s="94">
        <f t="shared" si="8"/>
        <v>1.2212467469587849</v>
      </c>
      <c r="BJ11" s="94">
        <f t="shared" si="8"/>
        <v>1.2212467469587849</v>
      </c>
      <c r="BK11" s="94">
        <f t="shared" si="8"/>
        <v>1.2212467469587849</v>
      </c>
      <c r="BL11" s="94">
        <f t="shared" si="8"/>
        <v>1.2128820432124918</v>
      </c>
      <c r="BM11" s="94">
        <f t="shared" si="8"/>
        <v>1.2965290806754224</v>
      </c>
      <c r="BN11" s="94">
        <f t="shared" si="8"/>
        <v>1.2965290806754224</v>
      </c>
      <c r="BO11" s="94">
        <f t="shared" si="8"/>
        <v>1.2965290806754224</v>
      </c>
      <c r="BP11" s="94">
        <f t="shared" si="8"/>
        <v>1.2965290806754224</v>
      </c>
      <c r="BQ11" s="94">
        <f t="shared" si="8"/>
        <v>1.2128820432124918</v>
      </c>
      <c r="BR11" s="94">
        <f t="shared" si="8"/>
        <v>1.2128820432124918</v>
      </c>
      <c r="BS11" s="94">
        <f t="shared" si="8"/>
        <v>1.2128820432124918</v>
      </c>
      <c r="BT11" s="94">
        <f t="shared" si="8"/>
        <v>1.2128820432124918</v>
      </c>
      <c r="BU11" s="94">
        <f t="shared" si="8"/>
        <v>1.2128820432124918</v>
      </c>
      <c r="BV11" s="94">
        <f t="shared" ref="BV11:CK11" si="9">SUM(BV9:BV10)</f>
        <v>1.2547055619439571</v>
      </c>
      <c r="BW11" s="94">
        <f t="shared" si="9"/>
        <v>1.2547055619439571</v>
      </c>
      <c r="BX11" s="94">
        <f t="shared" si="9"/>
        <v>1.2547055619439571</v>
      </c>
      <c r="BY11" s="94">
        <f t="shared" si="9"/>
        <v>1.2547055619439571</v>
      </c>
      <c r="BZ11" s="94">
        <f t="shared" si="9"/>
        <v>1.2547055619439571</v>
      </c>
      <c r="CA11" s="94">
        <f t="shared" si="9"/>
        <v>1.2547055619439571</v>
      </c>
      <c r="CB11" s="94">
        <f t="shared" si="9"/>
        <v>1.2547055619439571</v>
      </c>
      <c r="CC11" s="94">
        <f t="shared" si="9"/>
        <v>1.2547055619439571</v>
      </c>
      <c r="CD11" s="94">
        <f t="shared" si="9"/>
        <v>1.2547055619439571</v>
      </c>
      <c r="CE11" s="94">
        <f t="shared" si="9"/>
        <v>1.2547055619439571</v>
      </c>
      <c r="CF11" s="94">
        <f t="shared" si="9"/>
        <v>1.2547055619439571</v>
      </c>
      <c r="CG11" s="94">
        <f t="shared" si="9"/>
        <v>1.2547055619439571</v>
      </c>
      <c r="CH11" s="94">
        <f t="shared" si="9"/>
        <v>1.2547055619439571</v>
      </c>
      <c r="CI11" s="94">
        <f t="shared" si="9"/>
        <v>1.2547055619439571</v>
      </c>
      <c r="CJ11" s="94">
        <f t="shared" si="9"/>
        <v>1.2547055619439571</v>
      </c>
      <c r="CK11" s="94">
        <f t="shared" si="9"/>
        <v>1.2547055619439571</v>
      </c>
      <c r="CL11" s="94">
        <f t="shared" ref="CL11:CR11" si="10">SUM(CL9:CL10)</f>
        <v>1.2547055619439571</v>
      </c>
      <c r="CM11" s="94">
        <f t="shared" si="10"/>
        <v>1.2547055619439571</v>
      </c>
      <c r="CN11" s="94">
        <f t="shared" si="10"/>
        <v>1.2547055619439571</v>
      </c>
      <c r="CO11" s="94">
        <f t="shared" si="10"/>
        <v>1.2547055619439571</v>
      </c>
      <c r="CP11" s="94">
        <f t="shared" si="10"/>
        <v>1.2547055619439571</v>
      </c>
      <c r="CQ11" s="94">
        <f t="shared" si="10"/>
        <v>1.2547055619439571</v>
      </c>
      <c r="CR11" s="94">
        <f t="shared" si="10"/>
        <v>1.3048937844217154</v>
      </c>
      <c r="CS11" s="94">
        <f>SUM(CS9:CS10)</f>
        <v>1.3383525994068877</v>
      </c>
      <c r="CT11" s="94">
        <f>SUM(CT9:CT10)</f>
        <v>1.3383525994068877</v>
      </c>
      <c r="CU11" s="94">
        <f>SUM(CU9:CU10)</f>
        <v>1.3383525994068877</v>
      </c>
      <c r="CV11" s="94">
        <f>SUM(CV9:CV10)</f>
        <v>1.3383525994068877</v>
      </c>
      <c r="CW11" s="94">
        <f>SUM(CW9:CW10)</f>
        <v>1.3383525994068877</v>
      </c>
      <c r="CX11" s="94">
        <f t="shared" ref="CX11:DZ11" si="11">SUM(CX9:CX10)</f>
        <v>1.3383525994068877</v>
      </c>
      <c r="CY11" s="94">
        <f t="shared" si="11"/>
        <v>1.3383525994068877</v>
      </c>
      <c r="CZ11" s="94">
        <f t="shared" si="11"/>
        <v>1.3383525994068877</v>
      </c>
      <c r="DA11" s="94">
        <f t="shared" si="11"/>
        <v>1.3383525994068877</v>
      </c>
      <c r="DB11" s="94">
        <f t="shared" si="11"/>
        <v>1.5140113780790416</v>
      </c>
      <c r="DC11" s="94">
        <f t="shared" si="11"/>
        <v>1.5056466743327486</v>
      </c>
      <c r="DD11" s="94">
        <f t="shared" si="11"/>
        <v>1.5056466743327486</v>
      </c>
      <c r="DE11" s="94">
        <f t="shared" si="11"/>
        <v>1.5056466743327486</v>
      </c>
      <c r="DF11" s="94">
        <f t="shared" si="11"/>
        <v>1.5056466743327486</v>
      </c>
      <c r="DG11" s="94">
        <f t="shared" si="11"/>
        <v>1.4972819705864555</v>
      </c>
      <c r="DH11" s="94">
        <f t="shared" si="11"/>
        <v>1.4972819705864555</v>
      </c>
      <c r="DI11" s="94">
        <f t="shared" si="11"/>
        <v>1.3048937844217154</v>
      </c>
      <c r="DJ11" s="94">
        <f t="shared" si="11"/>
        <v>1.3048937844217154</v>
      </c>
      <c r="DK11" s="94">
        <f t="shared" si="11"/>
        <v>1.3048937844217154</v>
      </c>
      <c r="DL11" s="94">
        <f t="shared" si="11"/>
        <v>1.3634467106457666</v>
      </c>
      <c r="DM11" s="94">
        <f t="shared" si="11"/>
        <v>1.3216231919143016</v>
      </c>
      <c r="DN11" s="94">
        <f t="shared" si="11"/>
        <v>1.3216231919143016</v>
      </c>
      <c r="DO11" s="94">
        <f t="shared" si="11"/>
        <v>1.3216231919143016</v>
      </c>
      <c r="DP11" s="94">
        <f t="shared" si="11"/>
        <v>1.3216231919143016</v>
      </c>
      <c r="DQ11" s="94">
        <f t="shared" si="11"/>
        <v>1.3216231919143016</v>
      </c>
      <c r="DR11" s="94">
        <f t="shared" si="11"/>
        <v>1.3216231919143016</v>
      </c>
      <c r="DS11" s="94">
        <f t="shared" si="11"/>
        <v>0</v>
      </c>
      <c r="DT11" s="94">
        <f t="shared" si="11"/>
        <v>0</v>
      </c>
      <c r="DU11" s="94">
        <f t="shared" si="11"/>
        <v>0</v>
      </c>
      <c r="DV11" s="94">
        <f t="shared" si="11"/>
        <v>0</v>
      </c>
      <c r="DW11" s="94">
        <f t="shared" si="11"/>
        <v>0</v>
      </c>
      <c r="DX11" s="94">
        <f t="shared" si="11"/>
        <v>0</v>
      </c>
      <c r="DY11" s="94">
        <f t="shared" si="11"/>
        <v>0</v>
      </c>
      <c r="DZ11" s="94">
        <f t="shared" si="11"/>
        <v>0</v>
      </c>
    </row>
    <row r="12" spans="1:132">
      <c r="G12" s="60" t="s">
        <v>429</v>
      </c>
      <c r="Y12" s="65"/>
      <c r="AD12" s="64"/>
    </row>
    <row r="13" spans="1:132">
      <c r="G13" s="60" t="s">
        <v>406</v>
      </c>
      <c r="Y13" s="65"/>
      <c r="Z13" s="65"/>
      <c r="AD13" s="65"/>
      <c r="AE13" s="65"/>
      <c r="AF13" s="65"/>
      <c r="AG13" s="65"/>
      <c r="AH13" s="65"/>
      <c r="AJ13" s="65"/>
      <c r="AN13" s="65"/>
      <c r="AP13" s="65"/>
    </row>
    <row r="16" spans="1:132" s="161" customFormat="1">
      <c r="G16" s="161" t="s">
        <v>407</v>
      </c>
      <c r="H16" s="163">
        <f>H11</f>
        <v>1.3129759412516171</v>
      </c>
      <c r="I16" s="163">
        <f t="shared" ref="I16:BT16" si="12">I11</f>
        <v>1.2483805858341201</v>
      </c>
      <c r="J16" s="163">
        <f t="shared" si="12"/>
        <v>1.3270247392162271</v>
      </c>
      <c r="K16" s="163">
        <f t="shared" si="12"/>
        <v>1.2342995781998574</v>
      </c>
      <c r="L16" s="163">
        <f t="shared" si="12"/>
        <v>1.2342995781998574</v>
      </c>
      <c r="M16" s="163">
        <f t="shared" si="12"/>
        <v>1.2342995781998574</v>
      </c>
      <c r="N16" s="163">
        <f t="shared" si="12"/>
        <v>1.5307665012520404</v>
      </c>
      <c r="O16" s="163">
        <f t="shared" si="12"/>
        <v>1.523147737733173</v>
      </c>
      <c r="P16" s="163">
        <f t="shared" si="12"/>
        <v>1.4334137202973887</v>
      </c>
      <c r="Q16" s="163">
        <f t="shared" si="12"/>
        <v>1.4624696430554149</v>
      </c>
      <c r="R16" s="163">
        <f t="shared" si="12"/>
        <v>1.4075734484141853</v>
      </c>
      <c r="S16" s="163">
        <f t="shared" si="12"/>
        <v>1.0161728471384162</v>
      </c>
      <c r="T16" s="163">
        <f t="shared" si="12"/>
        <v>1.0161728471384162</v>
      </c>
      <c r="U16" s="163">
        <f t="shared" si="12"/>
        <v>1.5653305087152365</v>
      </c>
      <c r="V16" s="163">
        <f t="shared" si="12"/>
        <v>1.5645972393444896</v>
      </c>
      <c r="W16" s="163">
        <f t="shared" si="12"/>
        <v>1.5307746279333792</v>
      </c>
      <c r="X16" s="163">
        <f t="shared" si="12"/>
        <v>1.9045237005188338</v>
      </c>
      <c r="Y16" s="163">
        <f t="shared" si="12"/>
        <v>1.9045237005188338</v>
      </c>
      <c r="Z16" s="163">
        <f t="shared" si="12"/>
        <v>1.9045237005188338</v>
      </c>
      <c r="AA16" s="163">
        <f t="shared" si="12"/>
        <v>1.5906285049466831</v>
      </c>
      <c r="AB16" s="163">
        <f t="shared" si="12"/>
        <v>1.5779258588341853</v>
      </c>
      <c r="AC16" s="163">
        <f t="shared" si="12"/>
        <v>1.4719392386946151</v>
      </c>
      <c r="AD16" s="163">
        <f t="shared" si="12"/>
        <v>1.4719392386946151</v>
      </c>
      <c r="AE16" s="163">
        <f t="shared" si="12"/>
        <v>1.4719392386946151</v>
      </c>
      <c r="AF16" s="163">
        <f t="shared" si="12"/>
        <v>1.4933832877625719</v>
      </c>
      <c r="AG16" s="163">
        <f t="shared" si="12"/>
        <v>1.4935697322407155</v>
      </c>
      <c r="AH16" s="163">
        <f t="shared" si="12"/>
        <v>1.4935697322407155</v>
      </c>
      <c r="AI16" s="163">
        <f t="shared" si="12"/>
        <v>1.4935697322407155</v>
      </c>
      <c r="AJ16" s="163">
        <f t="shared" si="12"/>
        <v>1.4935697322407155</v>
      </c>
      <c r="AK16" s="163">
        <f t="shared" si="12"/>
        <v>1.5391054893179208</v>
      </c>
      <c r="AL16" s="163">
        <f t="shared" si="12"/>
        <v>1.539105489317921</v>
      </c>
      <c r="AM16" s="163">
        <f t="shared" si="12"/>
        <v>1.539105489317921</v>
      </c>
      <c r="AN16" s="163">
        <f t="shared" si="12"/>
        <v>1.539105489317921</v>
      </c>
      <c r="AO16" s="163">
        <f t="shared" si="12"/>
        <v>1.3299878956605946</v>
      </c>
      <c r="AP16" s="163">
        <f t="shared" si="12"/>
        <v>1.307682019003813</v>
      </c>
      <c r="AQ16" s="163">
        <f t="shared" si="12"/>
        <v>1.3456436494025874</v>
      </c>
      <c r="AR16" s="163">
        <f t="shared" si="12"/>
        <v>1.3318627526029343</v>
      </c>
      <c r="AS16" s="163">
        <f t="shared" si="12"/>
        <v>1.2688919894357789</v>
      </c>
      <c r="AT16" s="163">
        <f t="shared" si="12"/>
        <v>1.2744574524108341</v>
      </c>
      <c r="AU16" s="163">
        <f t="shared" si="12"/>
        <v>1.2965290806754224</v>
      </c>
      <c r="AV16" s="163">
        <f t="shared" si="12"/>
        <v>1.3550820068994738</v>
      </c>
      <c r="AW16" s="163">
        <f t="shared" si="12"/>
        <v>1.2714349694365432</v>
      </c>
      <c r="AX16" s="163">
        <f t="shared" si="12"/>
        <v>1.2714349694365432</v>
      </c>
      <c r="AY16" s="163">
        <f t="shared" si="12"/>
        <v>1.2714349694365432</v>
      </c>
      <c r="AZ16" s="163">
        <f t="shared" si="12"/>
        <v>1.2714349694365432</v>
      </c>
      <c r="BA16" s="163">
        <f t="shared" si="12"/>
        <v>1.2714349694365432</v>
      </c>
      <c r="BB16" s="163">
        <f t="shared" si="12"/>
        <v>1.2881643769291293</v>
      </c>
      <c r="BC16" s="163">
        <f t="shared" si="12"/>
        <v>1.2881643769291293</v>
      </c>
      <c r="BD16" s="163">
        <f t="shared" si="12"/>
        <v>1.2881643769291293</v>
      </c>
      <c r="BE16" s="163">
        <f t="shared" si="12"/>
        <v>1.2881643769291293</v>
      </c>
      <c r="BF16" s="163">
        <f t="shared" si="12"/>
        <v>1.2212467469587849</v>
      </c>
      <c r="BG16" s="163">
        <f t="shared" si="12"/>
        <v>1.2212467469587849</v>
      </c>
      <c r="BH16" s="163">
        <f t="shared" si="12"/>
        <v>1.2212467469587849</v>
      </c>
      <c r="BI16" s="163">
        <f t="shared" si="12"/>
        <v>1.2212467469587849</v>
      </c>
      <c r="BJ16" s="163">
        <f t="shared" si="12"/>
        <v>1.2212467469587849</v>
      </c>
      <c r="BK16" s="163">
        <f t="shared" si="12"/>
        <v>1.2212467469587849</v>
      </c>
      <c r="BL16" s="163">
        <f t="shared" si="12"/>
        <v>1.2128820432124918</v>
      </c>
      <c r="BM16" s="163">
        <f t="shared" si="12"/>
        <v>1.2965290806754224</v>
      </c>
      <c r="BN16" s="163">
        <f t="shared" si="12"/>
        <v>1.2965290806754224</v>
      </c>
      <c r="BO16" s="163">
        <f t="shared" si="12"/>
        <v>1.2965290806754224</v>
      </c>
      <c r="BP16" s="163">
        <f t="shared" si="12"/>
        <v>1.2965290806754224</v>
      </c>
      <c r="BQ16" s="163">
        <f t="shared" si="12"/>
        <v>1.2128820432124918</v>
      </c>
      <c r="BR16" s="163">
        <f t="shared" si="12"/>
        <v>1.2128820432124918</v>
      </c>
      <c r="BS16" s="163">
        <f t="shared" si="12"/>
        <v>1.2128820432124918</v>
      </c>
      <c r="BT16" s="163">
        <f t="shared" si="12"/>
        <v>1.2128820432124918</v>
      </c>
      <c r="BU16" s="163">
        <f t="shared" ref="BU16:CK16" si="13">BU11</f>
        <v>1.2128820432124918</v>
      </c>
      <c r="BV16" s="163">
        <f t="shared" si="13"/>
        <v>1.2547055619439571</v>
      </c>
      <c r="BW16" s="163">
        <f t="shared" si="13"/>
        <v>1.2547055619439571</v>
      </c>
      <c r="BX16" s="163">
        <f t="shared" si="13"/>
        <v>1.2547055619439571</v>
      </c>
      <c r="BY16" s="163">
        <f t="shared" si="13"/>
        <v>1.2547055619439571</v>
      </c>
      <c r="BZ16" s="163">
        <f t="shared" si="13"/>
        <v>1.2547055619439571</v>
      </c>
      <c r="CA16" s="163">
        <f t="shared" si="13"/>
        <v>1.2547055619439571</v>
      </c>
      <c r="CB16" s="163">
        <f t="shared" si="13"/>
        <v>1.2547055619439571</v>
      </c>
      <c r="CC16" s="163">
        <f t="shared" si="13"/>
        <v>1.2547055619439571</v>
      </c>
      <c r="CD16" s="163">
        <f t="shared" si="13"/>
        <v>1.2547055619439571</v>
      </c>
      <c r="CE16" s="163">
        <f t="shared" si="13"/>
        <v>1.2547055619439571</v>
      </c>
      <c r="CF16" s="163">
        <f t="shared" si="13"/>
        <v>1.2547055619439571</v>
      </c>
      <c r="CG16" s="163">
        <f t="shared" si="13"/>
        <v>1.2547055619439571</v>
      </c>
      <c r="CH16" s="163">
        <f t="shared" si="13"/>
        <v>1.2547055619439571</v>
      </c>
      <c r="CI16" s="163">
        <f t="shared" si="13"/>
        <v>1.2547055619439571</v>
      </c>
      <c r="CJ16" s="163">
        <f t="shared" si="13"/>
        <v>1.2547055619439571</v>
      </c>
      <c r="CK16" s="163">
        <f t="shared" si="13"/>
        <v>1.2547055619439571</v>
      </c>
      <c r="CL16" s="163">
        <f t="shared" ref="CL16:CR16" si="14">CL11</f>
        <v>1.2547055619439571</v>
      </c>
      <c r="CM16" s="163">
        <f t="shared" si="14"/>
        <v>1.2547055619439571</v>
      </c>
      <c r="CN16" s="163">
        <f t="shared" si="14"/>
        <v>1.2547055619439571</v>
      </c>
      <c r="CO16" s="163">
        <f t="shared" si="14"/>
        <v>1.2547055619439571</v>
      </c>
      <c r="CP16" s="163">
        <f t="shared" si="14"/>
        <v>1.2547055619439571</v>
      </c>
      <c r="CQ16" s="163">
        <f t="shared" si="14"/>
        <v>1.2547055619439571</v>
      </c>
      <c r="CR16" s="163">
        <f t="shared" si="14"/>
        <v>1.3048937844217154</v>
      </c>
      <c r="CS16" s="163">
        <f>CS11</f>
        <v>1.3383525994068877</v>
      </c>
      <c r="CT16" s="163">
        <f>CT11</f>
        <v>1.3383525994068877</v>
      </c>
      <c r="CU16" s="163">
        <f>CU11</f>
        <v>1.3383525994068877</v>
      </c>
      <c r="CV16" s="163">
        <f>CV11</f>
        <v>1.3383525994068877</v>
      </c>
      <c r="CW16" s="163">
        <f>CW11</f>
        <v>1.3383525994068877</v>
      </c>
      <c r="CX16" s="163">
        <f t="shared" ref="CX16:DZ16" si="15">CX11</f>
        <v>1.3383525994068877</v>
      </c>
      <c r="CY16" s="163">
        <f t="shared" si="15"/>
        <v>1.3383525994068877</v>
      </c>
      <c r="CZ16" s="163">
        <f t="shared" si="15"/>
        <v>1.3383525994068877</v>
      </c>
      <c r="DA16" s="163">
        <f t="shared" si="15"/>
        <v>1.3383525994068877</v>
      </c>
      <c r="DB16" s="163">
        <f t="shared" si="15"/>
        <v>1.5140113780790416</v>
      </c>
      <c r="DC16" s="163">
        <f t="shared" si="15"/>
        <v>1.5056466743327486</v>
      </c>
      <c r="DD16" s="163">
        <f t="shared" si="15"/>
        <v>1.5056466743327486</v>
      </c>
      <c r="DE16" s="163">
        <f t="shared" si="15"/>
        <v>1.5056466743327486</v>
      </c>
      <c r="DF16" s="163">
        <f t="shared" si="15"/>
        <v>1.5056466743327486</v>
      </c>
      <c r="DG16" s="163">
        <f t="shared" si="15"/>
        <v>1.4972819705864555</v>
      </c>
      <c r="DH16" s="163">
        <f t="shared" si="15"/>
        <v>1.4972819705864555</v>
      </c>
      <c r="DI16" s="163">
        <f t="shared" si="15"/>
        <v>1.3048937844217154</v>
      </c>
      <c r="DJ16" s="163">
        <f t="shared" si="15"/>
        <v>1.3048937844217154</v>
      </c>
      <c r="DK16" s="163">
        <f t="shared" si="15"/>
        <v>1.3048937844217154</v>
      </c>
      <c r="DL16" s="163">
        <f t="shared" si="15"/>
        <v>1.3634467106457666</v>
      </c>
      <c r="DM16" s="163">
        <f t="shared" si="15"/>
        <v>1.3216231919143016</v>
      </c>
      <c r="DN16" s="163">
        <f t="shared" si="15"/>
        <v>1.3216231919143016</v>
      </c>
      <c r="DO16" s="163">
        <f t="shared" si="15"/>
        <v>1.3216231919143016</v>
      </c>
      <c r="DP16" s="163">
        <f t="shared" si="15"/>
        <v>1.3216231919143016</v>
      </c>
      <c r="DQ16" s="163">
        <f t="shared" si="15"/>
        <v>1.3216231919143016</v>
      </c>
      <c r="DR16" s="163">
        <f t="shared" si="15"/>
        <v>1.3216231919143016</v>
      </c>
      <c r="DS16" s="163">
        <f t="shared" si="15"/>
        <v>0</v>
      </c>
      <c r="DT16" s="163">
        <f t="shared" si="15"/>
        <v>0</v>
      </c>
      <c r="DU16" s="163">
        <f t="shared" si="15"/>
        <v>0</v>
      </c>
      <c r="DV16" s="163">
        <f t="shared" si="15"/>
        <v>0</v>
      </c>
      <c r="DW16" s="163">
        <f t="shared" si="15"/>
        <v>0</v>
      </c>
      <c r="DX16" s="163">
        <f t="shared" si="15"/>
        <v>0</v>
      </c>
      <c r="DY16" s="163">
        <f t="shared" si="15"/>
        <v>0</v>
      </c>
      <c r="DZ16" s="163">
        <f t="shared" si="15"/>
        <v>0</v>
      </c>
    </row>
  </sheetData>
  <mergeCells count="1">
    <mergeCell ref="A9:A10"/>
  </mergeCells>
  <phoneticPr fontId="52" type="noConversion"/>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EW16"/>
  <sheetViews>
    <sheetView workbookViewId="0">
      <pane xSplit="8" ySplit="13" topLeftCell="I14" activePane="bottomRight" state="frozen"/>
      <selection pane="topRight" activeCell="I1" sqref="I1"/>
      <selection pane="bottomLeft" activeCell="A14" sqref="A14"/>
      <selection pane="bottomRight" activeCell="J16" sqref="J16"/>
    </sheetView>
  </sheetViews>
  <sheetFormatPr baseColWidth="10" defaultColWidth="8.6640625" defaultRowHeight="12"/>
  <cols>
    <col min="1" max="1" width="13.33203125" style="60" bestFit="1" customWidth="1"/>
    <col min="2" max="2" width="15.33203125" style="60" bestFit="1" customWidth="1"/>
    <col min="3" max="3" width="4.83203125" style="60" bestFit="1" customWidth="1"/>
    <col min="4" max="4" width="12.33203125" style="60" bestFit="1" customWidth="1"/>
    <col min="5" max="5" width="14.5" style="60" bestFit="1" customWidth="1"/>
    <col min="6" max="6" width="6" style="60" bestFit="1" customWidth="1"/>
    <col min="7" max="7" width="22.83203125" style="60" bestFit="1" customWidth="1"/>
    <col min="8" max="8" width="5.1640625" style="60" bestFit="1" customWidth="1"/>
    <col min="9" max="16" width="9.83203125" style="60" bestFit="1" customWidth="1"/>
    <col min="17" max="18" width="9" style="60" bestFit="1" customWidth="1"/>
    <col min="19" max="23" width="9.83203125" style="60" bestFit="1" customWidth="1"/>
    <col min="24" max="26" width="9" style="60" bestFit="1" customWidth="1"/>
    <col min="27" max="27" width="9.83203125" style="60" bestFit="1" customWidth="1"/>
    <col min="28" max="28" width="9" style="60" bestFit="1" customWidth="1"/>
    <col min="29" max="92" width="9.83203125" style="60" bestFit="1" customWidth="1"/>
    <col min="93" max="94" width="6.33203125" style="60" bestFit="1" customWidth="1"/>
    <col min="95" max="98" width="6.1640625" style="60" bestFit="1" customWidth="1"/>
    <col min="99" max="102" width="5.1640625" style="60" bestFit="1" customWidth="1"/>
    <col min="103" max="106" width="5.83203125" style="60" bestFit="1" customWidth="1"/>
    <col min="107" max="114" width="5.6640625" style="60" bestFit="1" customWidth="1"/>
    <col min="115" max="122" width="6.1640625" style="60" bestFit="1" customWidth="1"/>
    <col min="123" max="130" width="5.1640625" style="60" bestFit="1" customWidth="1"/>
    <col min="131" max="153" width="3.33203125" style="60" bestFit="1" customWidth="1"/>
    <col min="154" max="16384" width="8.6640625" style="60"/>
  </cols>
  <sheetData>
    <row r="1" spans="1:153">
      <c r="A1" s="111" t="s">
        <v>377</v>
      </c>
      <c r="B1" s="111" t="s">
        <v>378</v>
      </c>
      <c r="C1" s="111" t="s">
        <v>379</v>
      </c>
      <c r="D1" s="111" t="s">
        <v>380</v>
      </c>
      <c r="E1" s="111" t="s">
        <v>381</v>
      </c>
      <c r="F1" s="111" t="s">
        <v>33</v>
      </c>
      <c r="H1" s="61">
        <v>6</v>
      </c>
      <c r="I1" s="61">
        <v>7</v>
      </c>
      <c r="J1" s="61">
        <v>8</v>
      </c>
      <c r="K1" s="61">
        <v>9</v>
      </c>
      <c r="L1" s="61">
        <v>10</v>
      </c>
      <c r="M1" s="61">
        <v>11</v>
      </c>
      <c r="N1" s="61">
        <v>12</v>
      </c>
      <c r="O1" s="61">
        <v>13</v>
      </c>
      <c r="P1" s="61">
        <v>14</v>
      </c>
      <c r="Q1" s="61">
        <v>15</v>
      </c>
      <c r="R1" s="61">
        <v>16</v>
      </c>
      <c r="S1" s="61">
        <v>17</v>
      </c>
      <c r="T1" s="61">
        <v>18</v>
      </c>
      <c r="U1" s="61">
        <v>19</v>
      </c>
      <c r="V1" s="61">
        <v>20</v>
      </c>
      <c r="W1" s="61">
        <v>21</v>
      </c>
      <c r="X1" s="61">
        <v>22</v>
      </c>
      <c r="Y1" s="61">
        <v>23</v>
      </c>
      <c r="Z1" s="61">
        <v>24</v>
      </c>
      <c r="AA1" s="61">
        <v>25</v>
      </c>
      <c r="AB1" s="61">
        <v>26</v>
      </c>
      <c r="AC1" s="61">
        <v>27</v>
      </c>
      <c r="AD1" s="61">
        <v>28</v>
      </c>
      <c r="AE1" s="61">
        <v>29</v>
      </c>
      <c r="AF1" s="61">
        <v>30</v>
      </c>
      <c r="AG1" s="61">
        <v>31</v>
      </c>
      <c r="AH1" s="61">
        <v>32</v>
      </c>
      <c r="AI1" s="61">
        <v>33</v>
      </c>
      <c r="AJ1" s="61">
        <v>34</v>
      </c>
      <c r="AK1" s="61">
        <v>35</v>
      </c>
      <c r="AL1" s="61">
        <v>36</v>
      </c>
      <c r="AM1" s="61">
        <v>37</v>
      </c>
      <c r="AN1" s="61">
        <v>38</v>
      </c>
      <c r="AO1" s="61">
        <v>39</v>
      </c>
      <c r="AP1" s="61">
        <v>40</v>
      </c>
      <c r="AQ1" s="61">
        <v>41</v>
      </c>
      <c r="AR1" s="61">
        <v>42</v>
      </c>
      <c r="AS1" s="61">
        <v>43</v>
      </c>
      <c r="AT1" s="61">
        <v>44</v>
      </c>
      <c r="AU1" s="61">
        <v>45</v>
      </c>
      <c r="AV1" s="61">
        <v>46</v>
      </c>
      <c r="AW1" s="61">
        <v>47</v>
      </c>
      <c r="AX1" s="61">
        <v>48</v>
      </c>
      <c r="AY1" s="61">
        <v>49</v>
      </c>
      <c r="AZ1" s="61">
        <v>50</v>
      </c>
      <c r="BA1" s="61">
        <v>51</v>
      </c>
      <c r="BB1" s="61">
        <v>52</v>
      </c>
      <c r="BC1" s="61">
        <v>53</v>
      </c>
      <c r="BD1" s="61">
        <v>54</v>
      </c>
      <c r="BE1" s="61">
        <v>55</v>
      </c>
      <c r="BF1" s="61">
        <v>56</v>
      </c>
      <c r="BG1" s="61">
        <v>57</v>
      </c>
      <c r="BH1" s="61">
        <v>58</v>
      </c>
      <c r="BI1" s="61">
        <v>59</v>
      </c>
      <c r="BJ1" s="61">
        <v>60</v>
      </c>
      <c r="BK1" s="61">
        <v>61</v>
      </c>
      <c r="BL1" s="61">
        <v>62</v>
      </c>
      <c r="BM1" s="61">
        <v>63</v>
      </c>
      <c r="BN1" s="61">
        <v>64</v>
      </c>
      <c r="BO1" s="61">
        <v>65</v>
      </c>
      <c r="BP1" s="61">
        <v>66</v>
      </c>
      <c r="BQ1" s="61">
        <v>67</v>
      </c>
      <c r="BR1" s="61">
        <v>68</v>
      </c>
      <c r="BS1" s="61">
        <v>69</v>
      </c>
      <c r="BT1" s="61">
        <v>70</v>
      </c>
      <c r="BU1" s="61">
        <v>71</v>
      </c>
      <c r="BV1" s="61">
        <v>72</v>
      </c>
      <c r="BW1" s="61">
        <v>73</v>
      </c>
      <c r="BX1" s="61">
        <v>74</v>
      </c>
      <c r="BY1" s="61">
        <v>75</v>
      </c>
      <c r="BZ1" s="61">
        <v>76</v>
      </c>
      <c r="CA1" s="61">
        <v>77</v>
      </c>
      <c r="CB1" s="61">
        <v>78</v>
      </c>
      <c r="CC1" s="61">
        <v>79</v>
      </c>
      <c r="CD1" s="61">
        <v>80</v>
      </c>
      <c r="CE1" s="61">
        <v>81</v>
      </c>
      <c r="CF1" s="61">
        <v>82</v>
      </c>
      <c r="CG1" s="61">
        <v>83</v>
      </c>
      <c r="CH1" s="61">
        <v>84</v>
      </c>
      <c r="CI1" s="61">
        <v>85</v>
      </c>
      <c r="CJ1" s="61">
        <v>86</v>
      </c>
      <c r="CK1" s="61">
        <v>87</v>
      </c>
      <c r="CL1" s="61">
        <v>88</v>
      </c>
      <c r="CM1" s="61">
        <v>89</v>
      </c>
      <c r="CN1" s="61">
        <v>90</v>
      </c>
      <c r="CO1" s="61">
        <v>91</v>
      </c>
      <c r="CP1" s="61">
        <v>92</v>
      </c>
      <c r="CQ1" s="61">
        <v>93</v>
      </c>
      <c r="CR1" s="61">
        <v>94</v>
      </c>
      <c r="CS1" s="61">
        <v>95</v>
      </c>
      <c r="CT1" s="61">
        <v>96</v>
      </c>
      <c r="CU1" s="61">
        <v>97</v>
      </c>
      <c r="CV1" s="61">
        <v>98</v>
      </c>
      <c r="CW1" s="61">
        <v>99</v>
      </c>
      <c r="CX1" s="61">
        <v>100</v>
      </c>
      <c r="CY1" s="61">
        <v>101</v>
      </c>
      <c r="CZ1" s="61">
        <v>102</v>
      </c>
      <c r="DA1" s="61">
        <v>103</v>
      </c>
      <c r="DB1" s="61">
        <v>104</v>
      </c>
      <c r="DC1" s="61">
        <v>105</v>
      </c>
      <c r="DD1" s="61">
        <v>106</v>
      </c>
      <c r="DE1" s="61">
        <v>107</v>
      </c>
      <c r="DF1" s="61">
        <v>108</v>
      </c>
      <c r="DG1" s="61">
        <v>109</v>
      </c>
      <c r="DH1" s="61">
        <v>110</v>
      </c>
      <c r="DI1" s="61">
        <v>111</v>
      </c>
      <c r="DJ1" s="61">
        <v>112</v>
      </c>
      <c r="DK1" s="61">
        <v>113</v>
      </c>
      <c r="DL1" s="61">
        <v>114</v>
      </c>
      <c r="DM1" s="61">
        <v>115</v>
      </c>
      <c r="DN1" s="61">
        <v>116</v>
      </c>
      <c r="DO1" s="61">
        <v>117</v>
      </c>
      <c r="DP1" s="61">
        <v>118</v>
      </c>
      <c r="DQ1" s="61">
        <v>119</v>
      </c>
      <c r="DR1" s="61">
        <v>120</v>
      </c>
      <c r="DS1" s="61">
        <v>121</v>
      </c>
      <c r="DT1" s="61">
        <v>122</v>
      </c>
      <c r="DU1" s="61">
        <v>123</v>
      </c>
      <c r="DV1" s="61">
        <v>124</v>
      </c>
      <c r="DW1" s="61">
        <v>125</v>
      </c>
      <c r="DX1" s="61">
        <v>126</v>
      </c>
      <c r="DY1" s="61">
        <v>127</v>
      </c>
      <c r="DZ1" s="61">
        <v>128</v>
      </c>
      <c r="EA1" s="61">
        <v>129</v>
      </c>
      <c r="EB1" s="61">
        <v>130</v>
      </c>
      <c r="EC1" s="61">
        <v>131</v>
      </c>
      <c r="ED1" s="61">
        <v>132</v>
      </c>
      <c r="EE1" s="61">
        <v>133</v>
      </c>
      <c r="EF1" s="61">
        <v>134</v>
      </c>
      <c r="EG1" s="61">
        <v>135</v>
      </c>
      <c r="EH1" s="61">
        <v>136</v>
      </c>
      <c r="EI1" s="61">
        <v>137</v>
      </c>
      <c r="EJ1" s="61">
        <v>138</v>
      </c>
      <c r="EK1" s="61">
        <v>139</v>
      </c>
      <c r="EL1" s="61">
        <v>140</v>
      </c>
      <c r="EM1" s="61">
        <v>141</v>
      </c>
      <c r="EN1" s="61">
        <v>142</v>
      </c>
      <c r="EO1" s="61">
        <v>143</v>
      </c>
      <c r="EP1" s="61">
        <v>144</v>
      </c>
      <c r="EQ1" s="61">
        <v>145</v>
      </c>
      <c r="ER1" s="61">
        <v>146</v>
      </c>
      <c r="ES1" s="61">
        <v>147</v>
      </c>
      <c r="ET1" s="61">
        <v>148</v>
      </c>
      <c r="EU1" s="61">
        <v>149</v>
      </c>
      <c r="EV1" s="61">
        <v>150</v>
      </c>
      <c r="EW1" s="61">
        <v>151</v>
      </c>
    </row>
    <row r="2" spans="1:153">
      <c r="A2" s="60" t="s">
        <v>215</v>
      </c>
      <c r="B2" s="64" t="s">
        <v>524</v>
      </c>
      <c r="C2" s="60">
        <v>1</v>
      </c>
      <c r="D2" s="64">
        <v>170.3</v>
      </c>
      <c r="E2" s="78">
        <f>C2*D2</f>
        <v>170.3</v>
      </c>
    </row>
    <row r="3" spans="1:153" ht="15">
      <c r="B3" s="64"/>
      <c r="D3" s="64"/>
      <c r="E3" s="78"/>
      <c r="G3" s="59" t="s">
        <v>388</v>
      </c>
      <c r="H3" s="59">
        <v>43831</v>
      </c>
      <c r="I3" s="59">
        <v>43862</v>
      </c>
      <c r="J3" s="59">
        <v>43891</v>
      </c>
      <c r="K3" s="59">
        <v>43922</v>
      </c>
      <c r="L3" s="59">
        <v>43952</v>
      </c>
      <c r="M3" s="59">
        <v>43983</v>
      </c>
      <c r="N3" s="59">
        <v>44013</v>
      </c>
      <c r="O3" s="59">
        <v>44044</v>
      </c>
      <c r="P3" s="59">
        <v>44075</v>
      </c>
      <c r="Q3" s="59">
        <v>44105</v>
      </c>
      <c r="R3" s="59">
        <v>44136</v>
      </c>
      <c r="S3" s="59">
        <v>44166</v>
      </c>
      <c r="T3" s="59">
        <v>44197</v>
      </c>
      <c r="U3" s="59">
        <v>44228</v>
      </c>
      <c r="V3" s="59">
        <v>44256</v>
      </c>
      <c r="W3" s="59">
        <v>44287</v>
      </c>
      <c r="X3" s="59">
        <v>44317</v>
      </c>
      <c r="Y3" s="59">
        <v>44348</v>
      </c>
      <c r="Z3" s="59">
        <v>44378</v>
      </c>
      <c r="AA3" s="59">
        <v>44409</v>
      </c>
      <c r="AB3" s="59">
        <v>44440</v>
      </c>
      <c r="AC3" s="59">
        <v>44470</v>
      </c>
      <c r="AD3" s="59">
        <v>44501</v>
      </c>
      <c r="AE3" s="59">
        <v>44531</v>
      </c>
      <c r="AF3" s="59">
        <v>44562</v>
      </c>
      <c r="AG3" s="59">
        <v>44593</v>
      </c>
      <c r="AH3" s="59">
        <v>44621</v>
      </c>
      <c r="AI3" s="59">
        <v>44652</v>
      </c>
      <c r="AJ3" s="59">
        <v>44682</v>
      </c>
      <c r="AK3" s="59">
        <v>44713</v>
      </c>
      <c r="AL3" s="59">
        <v>44743</v>
      </c>
      <c r="AM3" s="59">
        <v>44774</v>
      </c>
      <c r="AN3" s="59">
        <v>44805</v>
      </c>
      <c r="AO3" s="59">
        <v>44835</v>
      </c>
      <c r="AP3" s="59">
        <v>44866</v>
      </c>
      <c r="AQ3" s="59">
        <v>44896</v>
      </c>
      <c r="AR3" s="59">
        <v>44927</v>
      </c>
      <c r="AS3" s="59">
        <v>44958</v>
      </c>
      <c r="AT3" s="59">
        <v>44986</v>
      </c>
      <c r="AU3" s="59">
        <v>45017</v>
      </c>
      <c r="AV3" s="59">
        <v>45047</v>
      </c>
      <c r="AW3" s="59">
        <v>45078</v>
      </c>
      <c r="AX3" s="59" t="s">
        <v>450</v>
      </c>
      <c r="AY3" s="59" t="s">
        <v>451</v>
      </c>
      <c r="AZ3" s="59" t="s">
        <v>452</v>
      </c>
      <c r="BA3" s="59" t="s">
        <v>453</v>
      </c>
      <c r="BB3" s="59">
        <v>37104</v>
      </c>
      <c r="BC3" s="59">
        <v>37469</v>
      </c>
      <c r="BD3" s="34" t="s">
        <v>168</v>
      </c>
      <c r="BE3" s="34" t="s">
        <v>169</v>
      </c>
      <c r="BF3" s="144" t="s">
        <v>195</v>
      </c>
      <c r="BG3" s="144" t="s">
        <v>196</v>
      </c>
      <c r="BH3" s="144" t="s">
        <v>197</v>
      </c>
      <c r="BI3" s="144" t="s">
        <v>198</v>
      </c>
      <c r="BJ3" s="144" t="s">
        <v>199</v>
      </c>
      <c r="BK3" s="144" t="s">
        <v>200</v>
      </c>
      <c r="BL3" s="144" t="s">
        <v>201</v>
      </c>
      <c r="BM3" s="144" t="s">
        <v>202</v>
      </c>
      <c r="BN3" s="59">
        <v>37196</v>
      </c>
      <c r="BO3" s="59">
        <v>37561</v>
      </c>
      <c r="BP3" s="59">
        <v>37926</v>
      </c>
      <c r="BQ3" s="59">
        <v>38292</v>
      </c>
      <c r="BR3" s="59">
        <v>37226</v>
      </c>
      <c r="BS3" s="59">
        <v>37591</v>
      </c>
      <c r="BT3" s="59">
        <v>37956</v>
      </c>
      <c r="BU3" s="59">
        <v>38322</v>
      </c>
      <c r="BV3" s="59">
        <v>36892</v>
      </c>
      <c r="BW3" s="59">
        <v>37257</v>
      </c>
      <c r="BX3" s="59">
        <v>37622</v>
      </c>
      <c r="BY3" s="59">
        <v>37987</v>
      </c>
      <c r="BZ3" s="59">
        <v>36923</v>
      </c>
      <c r="CA3" s="59">
        <v>37288</v>
      </c>
      <c r="CB3" s="59">
        <v>37653</v>
      </c>
      <c r="CC3" s="59">
        <v>38018</v>
      </c>
      <c r="CD3" s="59" t="str">
        <f>Sheet8!A15</f>
        <v>Mar-w1</v>
      </c>
      <c r="CE3" s="59" t="s">
        <v>285</v>
      </c>
      <c r="CF3" s="59" t="s">
        <v>286</v>
      </c>
      <c r="CG3" s="59" t="s">
        <v>287</v>
      </c>
      <c r="CH3" s="59" t="str">
        <f>Sheet8!E15</f>
        <v>Apr-w1</v>
      </c>
      <c r="CI3" s="59" t="str">
        <f>Sheet8!F15</f>
        <v>Apr-w2</v>
      </c>
      <c r="CJ3" s="59" t="str">
        <f>Sheet8!G15</f>
        <v>Apr-w3</v>
      </c>
      <c r="CK3" s="59" t="str">
        <f>Sheet8!H15</f>
        <v>Apr-w4</v>
      </c>
      <c r="CL3" s="59" t="str">
        <f>Sheet8!I15</f>
        <v>May-w1</v>
      </c>
      <c r="CM3" s="59" t="str">
        <f>Sheet8!J15</f>
        <v>May-w2</v>
      </c>
      <c r="CN3" s="59" t="str">
        <f>Sheet8!K15</f>
        <v>May-w3</v>
      </c>
      <c r="CO3" s="59" t="str">
        <f>Sheet8!L15</f>
        <v>May-w4</v>
      </c>
      <c r="CP3" s="59" t="str">
        <f>Sheet8!M15</f>
        <v>May-w5</v>
      </c>
      <c r="CQ3" s="59" t="str">
        <f>Sheet8!N15</f>
        <v>june-w1</v>
      </c>
      <c r="CR3" s="59" t="str">
        <f>Sheet8!O15</f>
        <v>june-w2</v>
      </c>
      <c r="CS3" s="59" t="str">
        <f>Sheet8!P15</f>
        <v>june-w3</v>
      </c>
      <c r="CT3" s="59" t="str">
        <f>Sheet8!Q15</f>
        <v>june-w4</v>
      </c>
      <c r="CU3" s="59" t="str">
        <f>Sheet8!R15</f>
        <v>Jul-w1</v>
      </c>
      <c r="CV3" s="59" t="str">
        <f>Sheet8!S15</f>
        <v>Jul-w2</v>
      </c>
      <c r="CW3" s="59" t="str">
        <f>Sheet8!T15</f>
        <v>Jul-w3</v>
      </c>
      <c r="CX3" s="59" t="str">
        <f>Sheet8!U15</f>
        <v>Jul-w4</v>
      </c>
      <c r="CY3" s="59" t="str">
        <f>Sheet8!V15</f>
        <v>Aug-w1</v>
      </c>
      <c r="CZ3" s="59" t="str">
        <f>Sheet8!W15</f>
        <v>Aug-w2</v>
      </c>
      <c r="DA3" s="59" t="str">
        <f>Sheet8!X15</f>
        <v>Aug-w3</v>
      </c>
      <c r="DB3" s="59" t="str">
        <f>Sheet8!Y15</f>
        <v>Aug-w4</v>
      </c>
      <c r="DC3" s="59" t="str">
        <f>Sheet8!Z15</f>
        <v>Sep-w1</v>
      </c>
      <c r="DD3" s="59" t="str">
        <f>Sheet8!AA15</f>
        <v>Sep-w2</v>
      </c>
      <c r="DE3" s="59" t="str">
        <f>Sheet8!AB15</f>
        <v>Sep-w3</v>
      </c>
      <c r="DF3" s="59" t="str">
        <f>Sheet8!AC15</f>
        <v>Sep-w4</v>
      </c>
      <c r="DG3" s="59" t="str">
        <f>Sheet8!AD15</f>
        <v>Oct-w1</v>
      </c>
      <c r="DH3" s="59" t="str">
        <f>Sheet8!AE15</f>
        <v>Oct-w2</v>
      </c>
      <c r="DI3" s="59" t="str">
        <f>Sheet8!AF15</f>
        <v>Oct-w3</v>
      </c>
      <c r="DJ3" s="59" t="str">
        <f>Sheet8!AG15</f>
        <v>Oct-w4</v>
      </c>
      <c r="DK3" s="59" t="str">
        <f>Sheet8!AH15</f>
        <v>Nov-w1</v>
      </c>
      <c r="DL3" s="59" t="str">
        <f>Sheet8!AI15</f>
        <v>Nov-w2</v>
      </c>
      <c r="DM3" s="59" t="str">
        <f>Sheet8!AJ15</f>
        <v>Nov-w3</v>
      </c>
      <c r="DN3" s="59" t="str">
        <f>Sheet8!AK15</f>
        <v>Nov-w4</v>
      </c>
      <c r="DO3" s="59" t="str">
        <f>Sheet8!AL15</f>
        <v>Dec-w1</v>
      </c>
      <c r="DP3" s="59" t="str">
        <f>Sheet8!AM15</f>
        <v>Dec-w2</v>
      </c>
      <c r="DQ3" s="59" t="str">
        <f>Sheet8!AN15</f>
        <v>Dec-w3</v>
      </c>
      <c r="DR3" s="59" t="str">
        <f>Sheet8!AO15</f>
        <v>Dec-w4</v>
      </c>
      <c r="DS3" s="59">
        <f>Sheet8!AP15</f>
        <v>0</v>
      </c>
      <c r="DT3" s="59">
        <f>Sheet8!AQ15</f>
        <v>0</v>
      </c>
      <c r="DU3" s="59">
        <f>Sheet8!AR15</f>
        <v>0</v>
      </c>
      <c r="DV3" s="59">
        <f>Sheet8!AS15</f>
        <v>0</v>
      </c>
      <c r="DW3" s="59">
        <f>Sheet8!AT15</f>
        <v>0</v>
      </c>
      <c r="DX3" s="59">
        <f>Sheet8!AU15</f>
        <v>0</v>
      </c>
      <c r="DY3" s="59">
        <f>Sheet8!AV15</f>
        <v>0</v>
      </c>
      <c r="DZ3" s="59">
        <f>Sheet8!AW15</f>
        <v>0</v>
      </c>
    </row>
    <row r="4" spans="1:153">
      <c r="B4" s="64"/>
      <c r="D4" s="64"/>
      <c r="E4" s="78" t="s">
        <v>525</v>
      </c>
      <c r="G4" s="60" t="s">
        <v>214</v>
      </c>
      <c r="H4" s="65">
        <f>ISOPHORONENITRILE!H16</f>
        <v>1.3129759412516171</v>
      </c>
      <c r="I4" s="65">
        <f>ISOPHORONENITRILE!I16</f>
        <v>1.2483805858341201</v>
      </c>
      <c r="J4" s="65">
        <f>ISOPHORONENITRILE!J16</f>
        <v>1.3270247392162271</v>
      </c>
      <c r="K4" s="65">
        <f>ISOPHORONENITRILE!K16</f>
        <v>1.2342995781998574</v>
      </c>
      <c r="L4" s="65">
        <f>ISOPHORONENITRILE!L16</f>
        <v>1.2342995781998574</v>
      </c>
      <c r="M4" s="65">
        <f>ISOPHORONENITRILE!M16</f>
        <v>1.2342995781998574</v>
      </c>
      <c r="N4" s="65">
        <f>ISOPHORONENITRILE!N16</f>
        <v>1.5307665012520404</v>
      </c>
      <c r="O4" s="65">
        <f>ISOPHORONENITRILE!O16</f>
        <v>1.523147737733173</v>
      </c>
      <c r="P4" s="65">
        <f>ISOPHORONENITRILE!P16</f>
        <v>1.4334137202973887</v>
      </c>
      <c r="Q4" s="65">
        <f>ISOPHORONENITRILE!Q16</f>
        <v>1.4624696430554149</v>
      </c>
      <c r="R4" s="65">
        <f>ISOPHORONENITRILE!R16</f>
        <v>1.4075734484141853</v>
      </c>
      <c r="S4" s="65">
        <f>ISOPHORONENITRILE!S16</f>
        <v>1.0161728471384162</v>
      </c>
      <c r="T4" s="65">
        <f>ISOPHORONENITRILE!T16</f>
        <v>1.0161728471384162</v>
      </c>
      <c r="U4" s="65">
        <f>ISOPHORONENITRILE!U16</f>
        <v>1.5653305087152365</v>
      </c>
      <c r="V4" s="65">
        <f>ISOPHORONENITRILE!V16</f>
        <v>1.5645972393444896</v>
      </c>
      <c r="W4" s="65">
        <f>ISOPHORONENITRILE!W16</f>
        <v>1.5307746279333792</v>
      </c>
      <c r="X4" s="65">
        <f>ISOPHORONENITRILE!X16</f>
        <v>1.9045237005188338</v>
      </c>
      <c r="Y4" s="65">
        <f>ISOPHORONENITRILE!Y16</f>
        <v>1.9045237005188338</v>
      </c>
      <c r="Z4" s="65">
        <f>ISOPHORONENITRILE!Z16</f>
        <v>1.9045237005188338</v>
      </c>
      <c r="AA4" s="65">
        <f>ISOPHORONENITRILE!AA16</f>
        <v>1.5906285049466831</v>
      </c>
      <c r="AB4" s="65">
        <f>ISOPHORONENITRILE!AB16</f>
        <v>1.5779258588341853</v>
      </c>
      <c r="AC4" s="65">
        <f>ISOPHORONENITRILE!AC16</f>
        <v>1.4719392386946151</v>
      </c>
      <c r="AD4" s="65">
        <f>ISOPHORONENITRILE!AD16</f>
        <v>1.4719392386946151</v>
      </c>
      <c r="AE4" s="65">
        <f>ISOPHORONENITRILE!AE16</f>
        <v>1.4719392386946151</v>
      </c>
      <c r="AF4" s="65">
        <f>ISOPHORONENITRILE!AF16</f>
        <v>1.4933832877625719</v>
      </c>
      <c r="AG4" s="65">
        <f>ISOPHORONENITRILE!AG16</f>
        <v>1.4935697322407155</v>
      </c>
      <c r="AH4" s="65">
        <f>ISOPHORONENITRILE!AH16</f>
        <v>1.4935697322407155</v>
      </c>
      <c r="AI4" s="65">
        <f>ISOPHORONENITRILE!AI16</f>
        <v>1.4935697322407155</v>
      </c>
      <c r="AJ4" s="65">
        <f>ISOPHORONENITRILE!AJ16</f>
        <v>1.4935697322407155</v>
      </c>
      <c r="AK4" s="65">
        <f>ISOPHORONENITRILE!AK16</f>
        <v>1.5391054893179208</v>
      </c>
      <c r="AL4" s="65">
        <f>ISOPHORONENITRILE!AL16</f>
        <v>1.539105489317921</v>
      </c>
      <c r="AM4" s="65">
        <f>ISOPHORONENITRILE!AM16</f>
        <v>1.539105489317921</v>
      </c>
      <c r="AN4" s="65">
        <f>ISOPHORONENITRILE!AN16</f>
        <v>1.539105489317921</v>
      </c>
      <c r="AO4" s="65">
        <f>ISOPHORONENITRILE!AO16</f>
        <v>1.3299878956605946</v>
      </c>
      <c r="AP4" s="65">
        <f>ISOPHORONENITRILE!AP16</f>
        <v>1.307682019003813</v>
      </c>
      <c r="AQ4" s="65">
        <f>ISOPHORONENITRILE!AQ16</f>
        <v>1.3456436494025874</v>
      </c>
      <c r="AR4" s="65">
        <f>ISOPHORONENITRILE!AR16</f>
        <v>1.3318627526029343</v>
      </c>
      <c r="AS4" s="65">
        <f>ISOPHORONENITRILE!AS16</f>
        <v>1.2688919894357789</v>
      </c>
      <c r="AT4" s="65">
        <f>ISOPHORONENITRILE!AT16</f>
        <v>1.2744574524108341</v>
      </c>
      <c r="AU4" s="65">
        <f>ISOPHORONENITRILE!AU16</f>
        <v>1.2965290806754224</v>
      </c>
      <c r="AV4" s="65">
        <f>ISOPHORONENITRILE!AV16</f>
        <v>1.3550820068994738</v>
      </c>
      <c r="AW4" s="65">
        <f>ISOPHORONENITRILE!AW16</f>
        <v>1.2714349694365432</v>
      </c>
      <c r="AX4" s="65">
        <f>ISOPHORONENITRILE!AX16</f>
        <v>1.2714349694365432</v>
      </c>
      <c r="AY4" s="65">
        <f>ISOPHORONENITRILE!AY16</f>
        <v>1.2714349694365432</v>
      </c>
      <c r="AZ4" s="65">
        <f>ISOPHORONENITRILE!AZ16</f>
        <v>1.2714349694365432</v>
      </c>
      <c r="BA4" s="65">
        <f>ISOPHORONENITRILE!BA16</f>
        <v>1.2714349694365432</v>
      </c>
      <c r="BB4" s="65">
        <f>ISOPHORONENITRILE!BB16</f>
        <v>1.2881643769291293</v>
      </c>
      <c r="BC4" s="65">
        <f>ISOPHORONENITRILE!BC16</f>
        <v>1.2881643769291293</v>
      </c>
      <c r="BD4" s="65">
        <f>ISOPHORONENITRILE!BD16</f>
        <v>1.2881643769291293</v>
      </c>
      <c r="BE4" s="65">
        <f>ISOPHORONENITRILE!BE16</f>
        <v>1.2881643769291293</v>
      </c>
      <c r="BF4" s="65">
        <f>ISOPHORONENITRILE!BF16</f>
        <v>1.2212467469587849</v>
      </c>
      <c r="BG4" s="65">
        <f>ISOPHORONENITRILE!BG16</f>
        <v>1.2212467469587849</v>
      </c>
      <c r="BH4" s="65">
        <f>ISOPHORONENITRILE!BH16</f>
        <v>1.2212467469587849</v>
      </c>
      <c r="BI4" s="65">
        <f>ISOPHORONENITRILE!BI16</f>
        <v>1.2212467469587849</v>
      </c>
      <c r="BJ4" s="65">
        <f>ISOPHORONENITRILE!BJ16</f>
        <v>1.2212467469587849</v>
      </c>
      <c r="BK4" s="65">
        <f>ISOPHORONENITRILE!BK16</f>
        <v>1.2212467469587849</v>
      </c>
      <c r="BL4" s="65">
        <f>ISOPHORONENITRILE!BL16</f>
        <v>1.2128820432124918</v>
      </c>
      <c r="BM4" s="65">
        <f>ISOPHORONENITRILE!BM16</f>
        <v>1.2965290806754224</v>
      </c>
      <c r="BN4" s="65">
        <f>ISOPHORONENITRILE!BN16</f>
        <v>1.2965290806754224</v>
      </c>
      <c r="BO4" s="65">
        <f>ISOPHORONENITRILE!BO16</f>
        <v>1.2965290806754224</v>
      </c>
      <c r="BP4" s="65">
        <f>ISOPHORONENITRILE!BP16</f>
        <v>1.2965290806754224</v>
      </c>
      <c r="BQ4" s="65">
        <f>ISOPHORONENITRILE!BQ16</f>
        <v>1.2128820432124918</v>
      </c>
      <c r="BR4" s="65">
        <f>ISOPHORONENITRILE!BR16</f>
        <v>1.2128820432124918</v>
      </c>
      <c r="BS4" s="65">
        <f>ISOPHORONENITRILE!BS16</f>
        <v>1.2128820432124918</v>
      </c>
      <c r="BT4" s="65">
        <f>ISOPHORONENITRILE!BT16</f>
        <v>1.2128820432124918</v>
      </c>
      <c r="BU4" s="65">
        <f>ISOPHORONENITRILE!BU16</f>
        <v>1.2128820432124918</v>
      </c>
      <c r="BV4" s="65">
        <f>ISOPHORONENITRILE!BV16</f>
        <v>1.2547055619439571</v>
      </c>
      <c r="BW4" s="65">
        <f>ISOPHORONENITRILE!BW16</f>
        <v>1.2547055619439571</v>
      </c>
      <c r="BX4" s="65">
        <f>ISOPHORONENITRILE!BX16</f>
        <v>1.2547055619439571</v>
      </c>
      <c r="BY4" s="65">
        <f>ISOPHORONENITRILE!BY16</f>
        <v>1.2547055619439571</v>
      </c>
      <c r="BZ4" s="65">
        <f>ISOPHORONENITRILE!BZ16</f>
        <v>1.2547055619439571</v>
      </c>
      <c r="CA4" s="65">
        <f>ISOPHORONENITRILE!CA16</f>
        <v>1.2547055619439571</v>
      </c>
      <c r="CB4" s="65">
        <f>ISOPHORONENITRILE!CB16</f>
        <v>1.2547055619439571</v>
      </c>
      <c r="CC4" s="65">
        <f>ISOPHORONENITRILE!CC16</f>
        <v>1.2547055619439571</v>
      </c>
      <c r="CD4" s="65">
        <f>ISOPHORONENITRILE!CD16</f>
        <v>1.2547055619439571</v>
      </c>
      <c r="CE4" s="65">
        <f>ISOPHORONENITRILE!CE16</f>
        <v>1.2547055619439571</v>
      </c>
      <c r="CF4" s="65">
        <f>ISOPHORONENITRILE!CF16</f>
        <v>1.2547055619439571</v>
      </c>
      <c r="CG4" s="65">
        <f>ISOPHORONENITRILE!CG16</f>
        <v>1.2547055619439571</v>
      </c>
      <c r="CH4" s="65">
        <f>ISOPHORONENITRILE!CH16</f>
        <v>1.2547055619439571</v>
      </c>
      <c r="CI4" s="65">
        <f>ISOPHORONENITRILE!CI16</f>
        <v>1.2547055619439571</v>
      </c>
      <c r="CJ4" s="65">
        <f>ISOPHORONENITRILE!CJ16</f>
        <v>1.2547055619439571</v>
      </c>
      <c r="CK4" s="65">
        <f>ISOPHORONENITRILE!CK16</f>
        <v>1.2547055619439571</v>
      </c>
      <c r="CL4" s="65">
        <f>ISOPHORONENITRILE!CL16</f>
        <v>1.2547055619439571</v>
      </c>
      <c r="CM4" s="65">
        <f>ISOPHORONENITRILE!CM16</f>
        <v>1.2547055619439571</v>
      </c>
      <c r="CN4" s="65">
        <f>ISOPHORONENITRILE!CN16</f>
        <v>1.2547055619439571</v>
      </c>
      <c r="CO4" s="65">
        <f>ISOPHORONENITRILE!CO16</f>
        <v>1.2547055619439571</v>
      </c>
      <c r="CP4" s="65">
        <f>ISOPHORONENITRILE!CP16</f>
        <v>1.2547055619439571</v>
      </c>
      <c r="CQ4" s="65">
        <f>ISOPHORONENITRILE!CQ16</f>
        <v>1.2547055619439571</v>
      </c>
      <c r="CR4" s="65">
        <f>ISOPHORONENITRILE!CR16</f>
        <v>1.3048937844217154</v>
      </c>
      <c r="CS4" s="65">
        <f>ISOPHORONENITRILE!CS16</f>
        <v>1.3383525994068877</v>
      </c>
      <c r="CT4" s="65">
        <f>ISOPHORONENITRILE!CT16</f>
        <v>1.3383525994068877</v>
      </c>
      <c r="CU4" s="65">
        <f>ISOPHORONENITRILE!CU16</f>
        <v>1.3383525994068877</v>
      </c>
      <c r="CV4" s="65">
        <f>ISOPHORONENITRILE!CV16</f>
        <v>1.3383525994068877</v>
      </c>
      <c r="CW4" s="65">
        <f>ISOPHORONENITRILE!CW16</f>
        <v>1.3383525994068877</v>
      </c>
      <c r="CX4" s="65">
        <f>ISOPHORONENITRILE!CX16</f>
        <v>1.3383525994068877</v>
      </c>
      <c r="CY4" s="65">
        <f>ISOPHORONENITRILE!CY16</f>
        <v>1.3383525994068877</v>
      </c>
      <c r="CZ4" s="65">
        <f>ISOPHORONENITRILE!CZ16</f>
        <v>1.3383525994068877</v>
      </c>
      <c r="DA4" s="65">
        <f>ISOPHORONENITRILE!DA16</f>
        <v>1.3383525994068877</v>
      </c>
      <c r="DB4" s="65">
        <f>ISOPHORONENITRILE!DB16</f>
        <v>1.5140113780790416</v>
      </c>
      <c r="DC4" s="65">
        <f>ISOPHORONENITRILE!DC16</f>
        <v>1.5056466743327486</v>
      </c>
      <c r="DD4" s="65">
        <f>ISOPHORONENITRILE!DD16</f>
        <v>1.5056466743327486</v>
      </c>
      <c r="DE4" s="65">
        <f>ISOPHORONENITRILE!DE16</f>
        <v>1.5056466743327486</v>
      </c>
      <c r="DF4" s="65">
        <f>ISOPHORONENITRILE!DF16</f>
        <v>1.5056466743327486</v>
      </c>
      <c r="DG4" s="65">
        <f>ISOPHORONENITRILE!DG16</f>
        <v>1.4972819705864555</v>
      </c>
      <c r="DH4" s="65">
        <f>ISOPHORONENITRILE!DH16</f>
        <v>1.4972819705864555</v>
      </c>
      <c r="DI4" s="65">
        <f>ISOPHORONENITRILE!DI16</f>
        <v>1.3048937844217154</v>
      </c>
      <c r="DJ4" s="65">
        <f>ISOPHORONENITRILE!DJ16</f>
        <v>1.3048937844217154</v>
      </c>
      <c r="DK4" s="65">
        <f>ISOPHORONENITRILE!DK16</f>
        <v>1.3048937844217154</v>
      </c>
      <c r="DL4" s="65">
        <f>ISOPHORONENITRILE!DL16</f>
        <v>1.3634467106457666</v>
      </c>
      <c r="DM4" s="65">
        <f>ISOPHORONENITRILE!DM16</f>
        <v>1.3216231919143016</v>
      </c>
      <c r="DN4" s="65">
        <f>ISOPHORONENITRILE!DN16</f>
        <v>1.3216231919143016</v>
      </c>
      <c r="DO4" s="65">
        <f>ISOPHORONENITRILE!DO16</f>
        <v>1.3216231919143016</v>
      </c>
      <c r="DP4" s="65">
        <f>ISOPHORONENITRILE!DP16</f>
        <v>1.3216231919143016</v>
      </c>
      <c r="DQ4" s="65">
        <f>ISOPHORONENITRILE!DQ16</f>
        <v>1.3216231919143016</v>
      </c>
      <c r="DR4" s="65">
        <f>ISOPHORONENITRILE!DR16</f>
        <v>1.3216231919143016</v>
      </c>
      <c r="DS4" s="65">
        <f>ISOPHORONENITRILE!DS16</f>
        <v>0</v>
      </c>
      <c r="DT4" s="65">
        <f>ISOPHORONENITRILE!DT16</f>
        <v>0</v>
      </c>
      <c r="DU4" s="65">
        <f>ISOPHORONENITRILE!DU16</f>
        <v>0</v>
      </c>
      <c r="DV4" s="65">
        <f>ISOPHORONENITRILE!DV16</f>
        <v>0</v>
      </c>
      <c r="DW4" s="65">
        <f>ISOPHORONENITRILE!DW16</f>
        <v>0</v>
      </c>
      <c r="DX4" s="65">
        <f>ISOPHORONENITRILE!DX16</f>
        <v>0</v>
      </c>
      <c r="DY4" s="65">
        <f>ISOPHORONENITRILE!DY16</f>
        <v>0</v>
      </c>
      <c r="DZ4" s="65">
        <f>ISOPHORONENITRILE!DZ16</f>
        <v>0</v>
      </c>
    </row>
    <row r="5" spans="1:153">
      <c r="B5" s="64"/>
      <c r="D5" s="64"/>
      <c r="E5" s="78"/>
      <c r="G5" s="60" t="s">
        <v>526</v>
      </c>
    </row>
    <row r="6" spans="1:153">
      <c r="A6" s="64"/>
      <c r="B6" s="64"/>
      <c r="D6" s="64"/>
      <c r="E6" s="60" t="s">
        <v>429</v>
      </c>
      <c r="F6" s="64"/>
      <c r="G6" s="60" t="s">
        <v>45</v>
      </c>
      <c r="H6" s="65">
        <f>VLOOKUP($G$6&amp;$F$1,'Input RM sheet'!$A:$BE,H1,0)</f>
        <v>0.50625069064173545</v>
      </c>
      <c r="I6" s="65">
        <f>VLOOKUP($G$6&amp;$F$1,'Input RM sheet'!$A:$BE,I1,0)</f>
        <v>0.50605053403738476</v>
      </c>
      <c r="J6" s="65">
        <f>VLOOKUP($G$6&amp;$F$1,'Input RM sheet'!$A:$BE,J1,0)</f>
        <v>0.48566205346589675</v>
      </c>
      <c r="K6" s="65">
        <f>VLOOKUP($G$6&amp;$F$1,'Input RM sheet'!$A:$BE,K1,0)</f>
        <v>0.46604911475979133</v>
      </c>
      <c r="L6" s="65">
        <f>VLOOKUP($G$6&amp;$F$1,'Input RM sheet'!$A:$BE,L1,0)</f>
        <v>0.47286371932487081</v>
      </c>
      <c r="M6" s="65">
        <f>VLOOKUP($G$6&amp;$F$1,'Input RM sheet'!$A:$BE,M1,0)</f>
        <v>0.44148091934964817</v>
      </c>
      <c r="N6" s="65">
        <f>VLOOKUP($G$6&amp;$F$1,'Input RM sheet'!$A:$BE,N1,0)</f>
        <v>0.43426534003337747</v>
      </c>
      <c r="O6" s="65">
        <f>VLOOKUP($G$6&amp;$F$1,'Input RM sheet'!$A:$BE,O1,0)</f>
        <v>0.4253624199790475</v>
      </c>
      <c r="P6" s="65">
        <f>VLOOKUP($G$6&amp;$F$1,'Input RM sheet'!$A:$BE,P1,0)</f>
        <v>0.43233741458081631</v>
      </c>
      <c r="Q6" s="65">
        <f>VLOOKUP($G$6&amp;$F$1,'Input RM sheet'!$A:$BE,Q1,0)</f>
        <v>0.4289746699475917</v>
      </c>
      <c r="R6" s="65">
        <f>VLOOKUP($G$6&amp;$F$1,'Input RM sheet'!$A:$BE,R1,0)</f>
        <v>0.42484260760346637</v>
      </c>
      <c r="S6" s="65">
        <f>VLOOKUP($G$6&amp;$F$1,'Input RM sheet'!$A:$BE,S1,0)</f>
        <v>0.45075951239765033</v>
      </c>
      <c r="T6" s="65">
        <f>VLOOKUP($G$6&amp;$F$1,'Input RM sheet'!$A:$BE,T1,0)</f>
        <v>0.47632070741601718</v>
      </c>
      <c r="U6" s="65">
        <f>VLOOKUP($G$6&amp;$F$1,'Input RM sheet'!$A:$BE,U1,0)</f>
        <v>0.50824175824175821</v>
      </c>
      <c r="V6" s="65">
        <f>VLOOKUP($G$6&amp;$F$1,'Input RM sheet'!$A:$BE,V1,0)</f>
        <v>0.50824175824175821</v>
      </c>
      <c r="W6" s="65">
        <f>VLOOKUP($G$6&amp;$F$1,'Input RM sheet'!$A:$BE,W1,0)</f>
        <v>0.53357522262827839</v>
      </c>
      <c r="X6" s="65">
        <f>VLOOKUP($G$6&amp;$F$1,'Input RM sheet'!$A:$BE,X1,0)</f>
        <v>0.59385665529010234</v>
      </c>
      <c r="Y6" s="65">
        <f>VLOOKUP($G$6&amp;$F$1,'Input RM sheet'!$A:$BE,Y1,0)</f>
        <v>0.63431872099725806</v>
      </c>
      <c r="Z6" s="65">
        <f>VLOOKUP($G$6&amp;$F$1,'Input RM sheet'!$A:$BE,Z1,0)</f>
        <v>0.72591659871949687</v>
      </c>
      <c r="AA6" s="65">
        <f>VLOOKUP($G$6&amp;$F$1,'Input RM sheet'!$A:$BE,AA1,0)</f>
        <v>0.72889455792717117</v>
      </c>
      <c r="AB6" s="65">
        <f>VLOOKUP($G$6&amp;$F$1,'Input RM sheet'!$A:$BE,AB1,0)</f>
        <v>0.74862988980369449</v>
      </c>
      <c r="AC6" s="65">
        <f>VLOOKUP($G$6&amp;$F$1,'Input RM sheet'!$A:$BE,AC1,0)</f>
        <v>0.79168514687656644</v>
      </c>
      <c r="AD6" s="65">
        <f>VLOOKUP($G$6&amp;$F$1,'Input RM sheet'!$A:$BE,AD1,0)</f>
        <v>0.82087330176727136</v>
      </c>
      <c r="AE6" s="65">
        <f>VLOOKUP($G$6&amp;$F$1,'Input RM sheet'!$A:$BE,AE1,0)</f>
        <v>0.84614593649711278</v>
      </c>
      <c r="AF6" s="65">
        <f>VLOOKUP($G$6&amp;$F$1,'Input RM sheet'!$A:$BE,AF1,0)</f>
        <v>1.0564787620243885</v>
      </c>
      <c r="AG6" s="65">
        <f>VLOOKUP($G$6&amp;$F$1,'Input RM sheet'!$A:$BE,AG1,0)</f>
        <v>1.2058469531568468</v>
      </c>
      <c r="AH6" s="65">
        <f>VLOOKUP($G$6&amp;$F$1,'Input RM sheet'!$A:$BE,AH1,0)</f>
        <v>1.328155753838079</v>
      </c>
      <c r="AI6" s="65">
        <f>VLOOKUP($G$6&amp;$F$1,'Input RM sheet'!$A:$BE,AI1,0)</f>
        <v>1.2605824467442697</v>
      </c>
      <c r="AJ6" s="65">
        <f>VLOOKUP($G$6&amp;$F$1,'Input RM sheet'!$A:$BE,AJ1,0)</f>
        <v>1.1242096737595759</v>
      </c>
      <c r="AK6" s="65">
        <f>VLOOKUP($G$6&amp;$F$1,'Input RM sheet'!$A:$BE,AK1,0)</f>
        <v>1.1179786985052897</v>
      </c>
      <c r="AL6" s="65">
        <f>VLOOKUP($G$6&amp;$F$1,'Input RM sheet'!$A:$BE,AL1,0)</f>
        <v>1.0829322457612403</v>
      </c>
      <c r="AM6" s="65">
        <f>VLOOKUP($G$6&amp;$F$1,'Input RM sheet'!$A:$BE,AM1,0)</f>
        <v>1.0855018240664733</v>
      </c>
      <c r="AN6" s="65">
        <f>VLOOKUP($G$6&amp;$F$1,'Input RM sheet'!$A:$BE,AN1,0)</f>
        <v>1.0549821404108952</v>
      </c>
      <c r="AO6" s="65">
        <f>VLOOKUP($G$6&amp;$F$1,'Input RM sheet'!$A:$BE,AO1,0)</f>
        <v>1.0740005833527477</v>
      </c>
      <c r="AP6" s="65">
        <f>VLOOKUP($G$6&amp;$F$1,'Input RM sheet'!$A:$BE,AP1,0)</f>
        <v>1.1385193276752337</v>
      </c>
      <c r="AQ6" s="65">
        <f>VLOOKUP($G$6&amp;$F$1,'Input RM sheet'!$A:$BE,AQ1,0)</f>
        <v>1.0816813265611029</v>
      </c>
      <c r="AR6" s="65">
        <f>VLOOKUP($G$6&amp;$F$1,'Input RM sheet'!$A:$BE,AR1,0)</f>
        <v>0.99756298566293211</v>
      </c>
      <c r="AS6" s="65">
        <f>VLOOKUP($G$6&amp;$F$1,'Input RM sheet'!$A:$BE,AS1,0)</f>
        <v>0.92545631998382882</v>
      </c>
      <c r="AT6" s="65">
        <f>VLOOKUP($G$6&amp;$F$1,'Input RM sheet'!$A:$BE,AT1,0)</f>
        <v>0.9011022063000439</v>
      </c>
      <c r="AU6" s="65">
        <f>VLOOKUP($G$6&amp;$F$1,'Input RM sheet'!$A:$BE,AU1,0)</f>
        <v>0.74767129009219857</v>
      </c>
      <c r="AV6" s="65">
        <f>VLOOKUP($G$6&amp;$F$1,'Input RM sheet'!$A:$BE,AV1,0)</f>
        <v>0.70626929682976414</v>
      </c>
      <c r="AW6" s="65">
        <f>VLOOKUP($G$6&amp;$F$1,'Input RM sheet'!$A:$BE,AW1,0)</f>
        <v>0.61818181818181817</v>
      </c>
      <c r="AX6" s="65">
        <f>VLOOKUP($G$6&amp;$F$1,'Input RM sheet'!$A:$BE,AX1,0)</f>
        <v>0.61863173216885003</v>
      </c>
      <c r="AY6" s="65">
        <f>VLOOKUP($G$6&amp;$F$1,'Input RM sheet'!$A:$BE,AY1,0)</f>
        <v>0.6205889510829885</v>
      </c>
      <c r="AZ6" s="65">
        <f>VLOOKUP($G$6&amp;$F$1,'Input RM sheet'!$A:$BE,AZ1,0)</f>
        <v>0.62255859375</v>
      </c>
      <c r="BA6" s="65">
        <f>VLOOKUP($G$6&amp;$F$1,'Input RM sheet'!$A:$BE,BA1,0)</f>
        <v>0.59567225869195228</v>
      </c>
      <c r="BB6" s="65">
        <f>VLOOKUP($G$6&amp;$F$1,'Input RM sheet'!$A:$BE,BB1,0)</f>
        <v>0.59157310153326093</v>
      </c>
      <c r="BC6" s="65">
        <f>VLOOKUP($G$6&amp;$F$1,'Input RM sheet'!$A:$BE,BC1,0)</f>
        <v>0.58858858858858853</v>
      </c>
      <c r="BD6" s="65">
        <f>VLOOKUP($G$6&amp;$F$1,'Input RM sheet'!$A:$BE,BD1,0)</f>
        <v>0.58858858858858853</v>
      </c>
      <c r="BE6" s="65">
        <f>VLOOKUP($G$6&amp;$F$1,'Input RM sheet'!$A:$BE,BE1,0)</f>
        <v>0.59286146400483963</v>
      </c>
      <c r="BF6" s="65">
        <f>VLOOKUP($G$6&amp;$F$1,'Input RM sheet'!$A:$DD,BF1,0)</f>
        <v>0.5900060204695966</v>
      </c>
      <c r="BG6" s="65">
        <f>VLOOKUP($G$6&amp;$F$1,'Input RM sheet'!$A:$DD,BG1,0)</f>
        <v>0.5666747046057391</v>
      </c>
      <c r="BH6" s="65">
        <f>VLOOKUP($G$6&amp;$F$1,'Input RM sheet'!$A:$DD,BH1,0)</f>
        <v>0.59085976124442297</v>
      </c>
      <c r="BI6" s="65">
        <f>VLOOKUP($G$6&amp;$F$1,'Input RM sheet'!$A:$DD,BI1,0)</f>
        <v>0.58851789574825841</v>
      </c>
      <c r="BJ6" s="65">
        <f>VLOOKUP($G$6&amp;$F$1,'Input RM sheet'!$A:$DD,BJ1,0)</f>
        <v>0.68493150684931503</v>
      </c>
      <c r="BK6" s="65">
        <f>VLOOKUP($G$6&amp;$F$1,'Input RM sheet'!$A:$DD,BK1,0)</f>
        <v>0.68468468468468469</v>
      </c>
      <c r="BL6" s="65">
        <f>VLOOKUP($G$6&amp;$F$1,'Input RM sheet'!$A:$DD,BL1,0)</f>
        <v>0.66169393647738206</v>
      </c>
      <c r="BM6" s="65">
        <f>VLOOKUP($G$6&amp;$F$1,'Input RM sheet'!$A:$DD,BM1,0)</f>
        <v>0.69661301945712217</v>
      </c>
      <c r="BN6" s="65">
        <f>VLOOKUP($G$6&amp;$F$1,'Input RM sheet'!$A:$DD,BN1,0)</f>
        <v>0.69694784907474161</v>
      </c>
      <c r="BO6" s="65">
        <f>VLOOKUP($G$6&amp;$F$1,'Input RM sheet'!$A:$DD,BO1,0)</f>
        <v>0.69719918259406177</v>
      </c>
      <c r="BP6" s="65">
        <f>VLOOKUP($G$6&amp;$F$1,'Input RM sheet'!$A:$DD,BP1,0)</f>
        <v>0.69719918259406177</v>
      </c>
      <c r="BQ6" s="65">
        <f>VLOOKUP($G$6&amp;$F$1,'Input RM sheet'!$A:$DD,BQ1,0)</f>
        <v>0.69602784111364457</v>
      </c>
      <c r="BR6" s="65">
        <f>VLOOKUP($G$6&amp;$F$1,'Input RM sheet'!$A:$DD,BR1,0)</f>
        <v>0.69544364508393286</v>
      </c>
      <c r="BS6" s="65">
        <f>VLOOKUP($G$6&amp;$F$1,'Input RM sheet'!$A:$DD,BS1,0)</f>
        <v>0.63579654510556627</v>
      </c>
      <c r="BT6" s="65">
        <f>VLOOKUP($G$6&amp;$F$1,'Input RM sheet'!$A:$DD,BT1,0)</f>
        <v>0.64872657376261422</v>
      </c>
      <c r="BU6" s="65">
        <f>VLOOKUP($G$6&amp;$F$1,'Input RM sheet'!$A:$DD,BU1,0)</f>
        <v>0.64810369659145473</v>
      </c>
      <c r="BV6" s="65">
        <f>VLOOKUP($G$6&amp;$F$1,'Input RM sheet'!$A:$DD,BV1,0)</f>
        <v>0.63146499879720952</v>
      </c>
      <c r="BW6" s="65">
        <f>VLOOKUP($G$6&amp;$F$1,'Input RM sheet'!$A:$DD,BW1,0)</f>
        <v>0.66145520144317493</v>
      </c>
      <c r="BX6" s="65">
        <f>VLOOKUP($G$6&amp;$F$1,'Input RM sheet'!$A:$DD,BX1,0)</f>
        <v>0.66066066066066065</v>
      </c>
      <c r="BY6" s="65">
        <f>VLOOKUP($G$6&amp;$F$1,'Input RM sheet'!$A:$DD,BY1,0)</f>
        <v>0.67421141343607027</v>
      </c>
      <c r="BZ6" s="65">
        <f>VLOOKUP($G$6&amp;$F$1,'Input RM sheet'!$A:$DD,BZ1,0)</f>
        <v>0.67469879518072284</v>
      </c>
      <c r="CA6" s="65">
        <f>VLOOKUP($G$6&amp;$F$1,'Input RM sheet'!$A:$DD,CA1,0)</f>
        <v>0.6746175159619322</v>
      </c>
      <c r="CB6" s="65">
        <f>VLOOKUP($G$6&amp;$F$1,'Input RM sheet'!$A:$DD,CB1,0)</f>
        <v>0.67551266586248493</v>
      </c>
      <c r="CC6" s="65">
        <f>VLOOKUP($G$6&amp;$F$1,'Input RM sheet'!$A:$DD,CC1,0)</f>
        <v>0.67551266586248493</v>
      </c>
      <c r="CD6" s="65">
        <f>VLOOKUP($G$6&amp;$F$1,'Input RM sheet'!$A:$DD,CD1,0)</f>
        <v>0.64087061668681977</v>
      </c>
      <c r="CE6" s="65">
        <f>VLOOKUP($G$6&amp;$F$1,'Input RM sheet'!$A:$DD,CE1,0)</f>
        <v>0.64040599323344605</v>
      </c>
      <c r="CF6" s="65">
        <f>VLOOKUP($G$6&amp;$F$1,'Input RM sheet'!$A:$DD,CF1,0)</f>
        <v>0.63656017295219791</v>
      </c>
      <c r="CG6" s="65">
        <f>VLOOKUP($G$6&amp;$F$1,'Input RM sheet'!$A:$DD,CG1,0)</f>
        <v>0.63556781388655714</v>
      </c>
      <c r="CH6" s="65">
        <f>VLOOKUP($G$6&amp;$F$1,'Input RM sheet'!$A:$DD,CH1,0)</f>
        <v>0.63694267515923575</v>
      </c>
      <c r="CI6" s="65">
        <f>VLOOKUP($G$6&amp;$F$1,'Input RM sheet'!$A:$DD,CI1,0)</f>
        <v>0.63549160671462823</v>
      </c>
      <c r="CJ6" s="65">
        <f>VLOOKUP($G$6&amp;$F$1,'Input RM sheet'!$A:$DD,CJ1,0)</f>
        <v>0.63389546704939603</v>
      </c>
      <c r="CK6" s="65">
        <f>VLOOKUP($G$6&amp;$F$1,'Input RM sheet'!$A:$DD,CK1,0)</f>
        <v>0.65931431311436106</v>
      </c>
      <c r="CL6" s="65">
        <f>VLOOKUP($G$6&amp;$F$1,'Input RM sheet'!$A:$DD,CL1,0)</f>
        <v>0.6586826347305389</v>
      </c>
      <c r="CM6" s="65">
        <f>VLOOKUP($G$6&amp;$F$1,'Input RM sheet'!$A:$DD,CM1,0)</f>
        <v>0.65986802639472109</v>
      </c>
      <c r="CN6" s="65">
        <f>VLOOKUP($G$6&amp;$F$1,'Input RM sheet'!$A:$DD,CN1,0)</f>
        <v>0.62387522495500902</v>
      </c>
      <c r="CO6" s="65">
        <f>VLOOKUP($G$6&amp;$F$1,'Input RM sheet'!$A:$DD,CO1,0)</f>
        <v>0.62387522495500902</v>
      </c>
      <c r="CP6" s="65">
        <f>VLOOKUP($G$6&amp;$F$1,'Input RM sheet'!$A:$DD,CP1,0)</f>
        <v>0.62387522495500902</v>
      </c>
      <c r="CQ6" s="65">
        <f>VLOOKUP($G$6&amp;$F$1,'Input RM sheet'!$A:$ZZ,CQ1,0)</f>
        <v>0.61985933961139583</v>
      </c>
      <c r="CR6" s="65">
        <f>VLOOKUP($G$6&amp;$F$1,'Input RM sheet'!$A:$ZZ,CR1,0)</f>
        <v>0.64748201438848918</v>
      </c>
      <c r="CS6" s="65">
        <f>VLOOKUP($G$6&amp;$F$1,'Input RM sheet'!$A:$ZZ,CS1,0)</f>
        <v>0.6467065868263473</v>
      </c>
      <c r="CT6" s="65">
        <f>VLOOKUP($G$6&amp;$F$1,'Input RM sheet'!$A:$ZZ,CT1,0)</f>
        <v>0.67106051527860988</v>
      </c>
      <c r="CU6" s="65">
        <f>VLOOKUP($G$6&amp;$F$1,'Input RM sheet'!$A:$ZZ,CU1,0)</f>
        <v>0.67089972445189894</v>
      </c>
      <c r="CV6" s="65">
        <f>VLOOKUP($G$6&amp;$F$1,'Input RM sheet'!$A:$ZZ,CV1,0)</f>
        <v>0.67025733093955719</v>
      </c>
      <c r="CW6" s="65">
        <f>VLOOKUP($G$6&amp;$F$1,'Input RM sheet'!$A:$ZZ,CW1,0)</f>
        <v>0.65710872162485068</v>
      </c>
      <c r="CX6" s="65">
        <f>VLOOKUP($G$6&amp;$F$1,'Input RM sheet'!$A:$ZZ,CX1,0)</f>
        <v>0.65687328317210081</v>
      </c>
      <c r="CY6" s="65">
        <f>VLOOKUP($G$6&amp;$F$1,'Input RM sheet'!$A:$ZZ,CY1,0)</f>
        <v>0.67897558070279929</v>
      </c>
      <c r="CZ6" s="65">
        <f>VLOOKUP($G$6&amp;$F$1,'Input RM sheet'!$A:$ZZ,CZ1,0)</f>
        <v>0.67889471176750837</v>
      </c>
      <c r="DA6" s="65">
        <f>VLOOKUP($G$6&amp;$F$1,'Input RM sheet'!$A:$ZZ,DA1,0)</f>
        <v>0.6793802145411203</v>
      </c>
      <c r="DB6" s="65">
        <f>VLOOKUP($G$6&amp;$F$1,'Input RM sheet'!$A:$ZZ,DB1,0)</f>
        <v>0.67946119918941472</v>
      </c>
      <c r="DC6" s="65">
        <f>VLOOKUP($G$6&amp;$F$1,'Input RM sheet'!$A:$ZZ,DC1,0)</f>
        <v>0.62529776083849453</v>
      </c>
      <c r="DD6" s="65">
        <f>VLOOKUP($G$6&amp;$F$1,'Input RM sheet'!$A:$ZZ,DD1,0)</f>
        <v>0.62529776083849453</v>
      </c>
      <c r="DE6" s="65">
        <f>VLOOKUP($G$6&amp;$F$1,'Input RM sheet'!$A:$ZZ,DE1,0)</f>
        <v>0.59224694903086861</v>
      </c>
      <c r="DF6" s="65">
        <f>VLOOKUP($G$6&amp;$F$1,'Input RM sheet'!$A:$ZZ,DF1,0)</f>
        <v>0.59168061200095623</v>
      </c>
      <c r="DG6" s="65">
        <f>VLOOKUP($G$6&amp;$F$1,'Input RM sheet'!$A:$ZZ,DG1,0)</f>
        <v>0.58949624866023576</v>
      </c>
      <c r="DH6" s="65">
        <f>VLOOKUP($G$6&amp;$F$1,'Input RM sheet'!$A:$ZZ,DH1,0)</f>
        <v>0.60068990127274891</v>
      </c>
      <c r="DI6" s="65">
        <f>VLOOKUP($G$6&amp;$F$1,'Input RM sheet'!$A:$ZZ,DI1,0)</f>
        <v>0.60068990127274891</v>
      </c>
      <c r="DJ6" s="65">
        <f>VLOOKUP($G$6&amp;$F$1,'Input RM sheet'!$A:$ZZ,DJ1,0)</f>
        <v>0.60061845861084684</v>
      </c>
      <c r="DK6" s="65">
        <f>VLOOKUP($G$6&amp;$F$1,'Input RM sheet'!$A:$ZZ,DK1,0)</f>
        <v>0.60033285782215884</v>
      </c>
      <c r="DL6" s="65">
        <f>VLOOKUP($G$6&amp;$F$1,'Input RM sheet'!$A:$ZZ,DL1,0)</f>
        <v>0.59834123222748814</v>
      </c>
      <c r="DM6" s="65">
        <f>VLOOKUP($G$6&amp;$F$1,'Input RM sheet'!$A:$ZZ,DM1,0)</f>
        <v>0.61706419840987303</v>
      </c>
      <c r="DN6" s="65">
        <f>VLOOKUP($G$6&amp;$F$1,'Input RM sheet'!$A:$ZZ,DN1,0)</f>
        <v>0.61443932411674351</v>
      </c>
      <c r="DO6" s="65">
        <f>VLOOKUP($G$6&amp;$F$1,'Input RM sheet'!$A:$ZZ,DO1,0)</f>
        <v>0.6376195536663124</v>
      </c>
      <c r="DP6" s="65">
        <f>VLOOKUP($G$6&amp;$F$1,'Input RM sheet'!$A:$ZZ,DP1,0)</f>
        <v>0.63067311092773781</v>
      </c>
      <c r="DQ6" s="65">
        <f>VLOOKUP($G$6&amp;$F$1,'Input RM sheet'!$A:$ZZ,DQ1,0)</f>
        <v>0.63000471031559113</v>
      </c>
      <c r="DR6" s="65">
        <f>VLOOKUP($G$6&amp;$F$1,'Input RM sheet'!$A:$ZZ,DR1,0)</f>
        <v>0.62808170932143692</v>
      </c>
      <c r="DS6" s="65">
        <f>VLOOKUP($G$6&amp;$F$1,'Input RM sheet'!$A:$ZZ,DS1,0)</f>
        <v>0</v>
      </c>
      <c r="DT6" s="65">
        <f>VLOOKUP($G$6&amp;$F$1,'Input RM sheet'!$A:$ZZ,DT1,0)</f>
        <v>0</v>
      </c>
      <c r="DU6" s="65">
        <f>VLOOKUP($G$6&amp;$F$1,'Input RM sheet'!$A:$ZZ,DU1,0)</f>
        <v>0</v>
      </c>
      <c r="DV6" s="65">
        <f>VLOOKUP($G$6&amp;$F$1,'Input RM sheet'!$A:$ZZ,DV1,0)</f>
        <v>0</v>
      </c>
      <c r="DW6" s="65">
        <f>VLOOKUP($G$6&amp;$F$1,'Input RM sheet'!$A:$ZZ,DW1,0)</f>
        <v>0</v>
      </c>
      <c r="DX6" s="65">
        <f>VLOOKUP($G$6&amp;$F$1,'Input RM sheet'!$A:$ZZ,DX1,0)</f>
        <v>0</v>
      </c>
      <c r="DY6" s="65">
        <f>VLOOKUP($G$6&amp;$F$1,'Input RM sheet'!$A:$ZZ,DY1,0)</f>
        <v>0</v>
      </c>
      <c r="DZ6" s="65">
        <f>VLOOKUP($G$6&amp;$F$1,'Input RM sheet'!$A:$ZZ,DZ1,0)</f>
        <v>0</v>
      </c>
    </row>
    <row r="7" spans="1:153">
      <c r="A7" s="59" t="s">
        <v>395</v>
      </c>
      <c r="B7" s="59"/>
      <c r="C7" s="59" t="s">
        <v>379</v>
      </c>
      <c r="D7" s="59" t="s">
        <v>380</v>
      </c>
      <c r="E7" s="59" t="s">
        <v>381</v>
      </c>
      <c r="F7" s="59" t="s">
        <v>396</v>
      </c>
      <c r="G7" s="60" t="s">
        <v>399</v>
      </c>
      <c r="H7" s="84"/>
      <c r="I7" s="84"/>
      <c r="J7" s="84"/>
      <c r="K7" s="84"/>
      <c r="L7" s="84"/>
      <c r="M7" s="84"/>
      <c r="N7" s="84"/>
      <c r="O7" s="84"/>
      <c r="P7" s="84"/>
      <c r="Q7" s="84"/>
      <c r="R7" s="84"/>
      <c r="S7" s="84"/>
    </row>
    <row r="8" spans="1:153">
      <c r="A8" s="375" t="s">
        <v>397</v>
      </c>
      <c r="B8" s="60" t="s">
        <v>214</v>
      </c>
      <c r="C8" s="60">
        <v>1</v>
      </c>
      <c r="D8" s="64">
        <v>165.23</v>
      </c>
      <c r="E8" s="60">
        <f>D8*C8</f>
        <v>165.23</v>
      </c>
      <c r="F8" s="65">
        <f>E8/$E$2</f>
        <v>0.97022900763358766</v>
      </c>
      <c r="H8" s="65">
        <f>$F$8*H4</f>
        <v>1.2738873445273322</v>
      </c>
      <c r="I8" s="60">
        <f t="shared" ref="I8:BC8" si="0">$F$8*I4</f>
        <v>1.2112150569428752</v>
      </c>
      <c r="J8" s="60">
        <f t="shared" si="0"/>
        <v>1.2875178958349804</v>
      </c>
      <c r="K8" s="60">
        <f t="shared" si="0"/>
        <v>1.1975532548794035</v>
      </c>
      <c r="L8" s="60">
        <f t="shared" si="0"/>
        <v>1.1975532548794035</v>
      </c>
      <c r="M8" s="60">
        <f t="shared" si="0"/>
        <v>1.1975532548794035</v>
      </c>
      <c r="N8" s="60">
        <f t="shared" si="0"/>
        <v>1.4851940634285061</v>
      </c>
      <c r="O8" s="60">
        <f t="shared" si="0"/>
        <v>1.4778021180602006</v>
      </c>
      <c r="P8" s="60">
        <f t="shared" si="0"/>
        <v>1.3907395713725044</v>
      </c>
      <c r="Q8" s="60">
        <f t="shared" si="0"/>
        <v>1.4189304704759025</v>
      </c>
      <c r="R8" s="60">
        <f t="shared" si="0"/>
        <v>1.3656685900262819</v>
      </c>
      <c r="S8" s="60">
        <f t="shared" si="0"/>
        <v>0.98592037306330282</v>
      </c>
      <c r="T8" s="60">
        <f t="shared" si="0"/>
        <v>0.98592037306330282</v>
      </c>
      <c r="U8" s="60">
        <f t="shared" si="0"/>
        <v>1.5187290660893629</v>
      </c>
      <c r="V8" s="60">
        <f t="shared" si="0"/>
        <v>1.5180176268754551</v>
      </c>
      <c r="W8" s="60">
        <f t="shared" si="0"/>
        <v>1.4852019481704768</v>
      </c>
      <c r="X8" s="60">
        <f t="shared" si="0"/>
        <v>1.8478241399690363</v>
      </c>
      <c r="Y8" s="60">
        <f t="shared" si="0"/>
        <v>1.8478241399690363</v>
      </c>
      <c r="Z8" s="60">
        <f t="shared" si="0"/>
        <v>1.8478241399690363</v>
      </c>
      <c r="AA8" s="60">
        <f t="shared" si="0"/>
        <v>1.5432739158681175</v>
      </c>
      <c r="AB8" s="60">
        <f t="shared" si="0"/>
        <v>1.5309494401360682</v>
      </c>
      <c r="AC8" s="60">
        <f t="shared" si="0"/>
        <v>1.428118146855615</v>
      </c>
      <c r="AD8" s="60">
        <f t="shared" si="0"/>
        <v>1.428118146855615</v>
      </c>
      <c r="AE8" s="60">
        <f t="shared" si="0"/>
        <v>1.428118146855615</v>
      </c>
      <c r="AF8" s="60">
        <f t="shared" si="0"/>
        <v>1.4489237853024646</v>
      </c>
      <c r="AG8" s="60">
        <f t="shared" si="0"/>
        <v>1.4491046791434727</v>
      </c>
      <c r="AH8" s="60">
        <f t="shared" si="0"/>
        <v>1.4491046791434727</v>
      </c>
      <c r="AI8" s="60">
        <f t="shared" si="0"/>
        <v>1.4491046791434727</v>
      </c>
      <c r="AJ8" s="60">
        <f t="shared" si="0"/>
        <v>1.4491046791434727</v>
      </c>
      <c r="AK8" s="60">
        <f t="shared" si="0"/>
        <v>1.4932847915443337</v>
      </c>
      <c r="AL8" s="60">
        <f t="shared" si="0"/>
        <v>1.4932847915443339</v>
      </c>
      <c r="AM8" s="60">
        <f t="shared" si="0"/>
        <v>1.4932847915443339</v>
      </c>
      <c r="AN8" s="60">
        <f t="shared" si="0"/>
        <v>1.4932847915443339</v>
      </c>
      <c r="AO8" s="60">
        <f t="shared" si="0"/>
        <v>1.2903928361714623</v>
      </c>
      <c r="AP8" s="60">
        <f t="shared" si="0"/>
        <v>1.2687510275983558</v>
      </c>
      <c r="AQ8" s="60">
        <f t="shared" si="0"/>
        <v>1.3055825025883117</v>
      </c>
      <c r="AR8" s="60">
        <f t="shared" si="0"/>
        <v>1.2922118767620834</v>
      </c>
      <c r="AS8" s="60">
        <f t="shared" si="0"/>
        <v>1.2311158157044846</v>
      </c>
      <c r="AT8" s="60">
        <f t="shared" si="0"/>
        <v>1.2365155893237938</v>
      </c>
      <c r="AU8" s="60">
        <f t="shared" si="0"/>
        <v>1.2579301233118028</v>
      </c>
      <c r="AV8" s="60">
        <f t="shared" si="0"/>
        <v>1.3147398708162068</v>
      </c>
      <c r="AW8" s="60">
        <f t="shared" si="0"/>
        <v>1.2335830886670582</v>
      </c>
      <c r="AX8" s="60">
        <f t="shared" si="0"/>
        <v>1.2335830886670582</v>
      </c>
      <c r="AY8" s="60">
        <f t="shared" si="0"/>
        <v>1.2335830886670582</v>
      </c>
      <c r="AZ8" s="60">
        <f t="shared" si="0"/>
        <v>1.2335830886670582</v>
      </c>
      <c r="BA8" s="60">
        <f t="shared" si="0"/>
        <v>1.2335830886670582</v>
      </c>
      <c r="BB8" s="60">
        <f>$F$8*BB4</f>
        <v>1.249814445096888</v>
      </c>
      <c r="BC8" s="60">
        <f t="shared" si="0"/>
        <v>1.249814445096888</v>
      </c>
      <c r="BD8" s="60">
        <f t="shared" ref="BD8:BM8" si="1">$F$8*BD4</f>
        <v>1.249814445096888</v>
      </c>
      <c r="BE8" s="60">
        <f t="shared" si="1"/>
        <v>1.249814445096888</v>
      </c>
      <c r="BF8" s="60">
        <f t="shared" si="1"/>
        <v>1.184889019377569</v>
      </c>
      <c r="BG8" s="60">
        <f t="shared" si="1"/>
        <v>1.184889019377569</v>
      </c>
      <c r="BH8" s="60">
        <f t="shared" si="1"/>
        <v>1.184889019377569</v>
      </c>
      <c r="BI8" s="60">
        <f t="shared" si="1"/>
        <v>1.184889019377569</v>
      </c>
      <c r="BJ8" s="60">
        <f t="shared" si="1"/>
        <v>1.184889019377569</v>
      </c>
      <c r="BK8" s="60">
        <f t="shared" si="1"/>
        <v>1.184889019377569</v>
      </c>
      <c r="BL8" s="60">
        <f t="shared" si="1"/>
        <v>1.1767733411626542</v>
      </c>
      <c r="BM8" s="65">
        <f t="shared" si="1"/>
        <v>1.2579301233118028</v>
      </c>
      <c r="BN8" s="65">
        <f t="shared" ref="BN8:BU8" si="2">$F$8*BN4</f>
        <v>1.2579301233118028</v>
      </c>
      <c r="BO8" s="65">
        <f t="shared" si="2"/>
        <v>1.2579301233118028</v>
      </c>
      <c r="BP8" s="65">
        <f t="shared" si="2"/>
        <v>1.2579301233118028</v>
      </c>
      <c r="BQ8" s="65">
        <f t="shared" si="2"/>
        <v>1.1767733411626542</v>
      </c>
      <c r="BR8" s="65">
        <f t="shared" si="2"/>
        <v>1.1767733411626542</v>
      </c>
      <c r="BS8" s="65">
        <f t="shared" si="2"/>
        <v>1.1767733411626542</v>
      </c>
      <c r="BT8" s="65">
        <f t="shared" si="2"/>
        <v>1.1767733411626542</v>
      </c>
      <c r="BU8" s="65">
        <f t="shared" si="2"/>
        <v>1.1767733411626542</v>
      </c>
      <c r="BV8" s="65">
        <f t="shared" ref="BV8:CU8" si="3">$F$8*BV4</f>
        <v>1.2173517322372285</v>
      </c>
      <c r="BW8" s="65">
        <f t="shared" si="3"/>
        <v>1.2173517322372285</v>
      </c>
      <c r="BX8" s="65">
        <f t="shared" si="3"/>
        <v>1.2173517322372285</v>
      </c>
      <c r="BY8" s="65">
        <f t="shared" si="3"/>
        <v>1.2173517322372285</v>
      </c>
      <c r="BZ8" s="65">
        <f t="shared" si="3"/>
        <v>1.2173517322372285</v>
      </c>
      <c r="CA8" s="65">
        <f t="shared" si="3"/>
        <v>1.2173517322372285</v>
      </c>
      <c r="CB8" s="65">
        <f t="shared" si="3"/>
        <v>1.2173517322372285</v>
      </c>
      <c r="CC8" s="65">
        <f t="shared" si="3"/>
        <v>1.2173517322372285</v>
      </c>
      <c r="CD8" s="65">
        <f t="shared" si="3"/>
        <v>1.2173517322372285</v>
      </c>
      <c r="CE8" s="65">
        <f t="shared" si="3"/>
        <v>1.2173517322372285</v>
      </c>
      <c r="CF8" s="65">
        <f t="shared" si="3"/>
        <v>1.2173517322372285</v>
      </c>
      <c r="CG8" s="65">
        <f t="shared" si="3"/>
        <v>1.2173517322372285</v>
      </c>
      <c r="CH8" s="65">
        <f t="shared" si="3"/>
        <v>1.2173517322372285</v>
      </c>
      <c r="CI8" s="65">
        <f t="shared" si="3"/>
        <v>1.2173517322372285</v>
      </c>
      <c r="CJ8" s="65">
        <f t="shared" si="3"/>
        <v>1.2173517322372285</v>
      </c>
      <c r="CK8" s="65">
        <f t="shared" si="3"/>
        <v>1.2173517322372285</v>
      </c>
      <c r="CL8" s="65">
        <f t="shared" si="3"/>
        <v>1.2173517322372285</v>
      </c>
      <c r="CM8" s="65">
        <f t="shared" si="3"/>
        <v>1.2173517322372285</v>
      </c>
      <c r="CN8" s="65">
        <f t="shared" si="3"/>
        <v>1.2173517322372285</v>
      </c>
      <c r="CO8" s="65">
        <f t="shared" si="3"/>
        <v>1.2173517322372285</v>
      </c>
      <c r="CP8" s="65">
        <f t="shared" si="3"/>
        <v>1.2173517322372285</v>
      </c>
      <c r="CQ8" s="65">
        <f t="shared" si="3"/>
        <v>1.2173517322372285</v>
      </c>
      <c r="CR8" s="65">
        <f t="shared" si="3"/>
        <v>1.2660458015267175</v>
      </c>
      <c r="CS8" s="65">
        <f t="shared" si="3"/>
        <v>1.298508514386377</v>
      </c>
      <c r="CT8" s="65">
        <f t="shared" si="3"/>
        <v>1.298508514386377</v>
      </c>
      <c r="CU8" s="65">
        <f t="shared" si="3"/>
        <v>1.298508514386377</v>
      </c>
      <c r="CV8" s="65">
        <f>$F$8*CV4</f>
        <v>1.298508514386377</v>
      </c>
      <c r="CW8" s="65">
        <f>$F$8*CW4</f>
        <v>1.298508514386377</v>
      </c>
      <c r="CX8" s="65">
        <f>$F$8*CX4</f>
        <v>1.298508514386377</v>
      </c>
      <c r="CY8" s="65">
        <f t="shared" ref="CY8:DZ8" si="4">$F$8*CY4</f>
        <v>1.298508514386377</v>
      </c>
      <c r="CZ8" s="65">
        <f t="shared" si="4"/>
        <v>1.298508514386377</v>
      </c>
      <c r="DA8" s="65">
        <f t="shared" si="4"/>
        <v>1.298508514386377</v>
      </c>
      <c r="DB8" s="65">
        <f t="shared" si="4"/>
        <v>1.4689377568995889</v>
      </c>
      <c r="DC8" s="65">
        <f t="shared" si="4"/>
        <v>1.4608220786846742</v>
      </c>
      <c r="DD8" s="65">
        <f t="shared" si="4"/>
        <v>1.4608220786846742</v>
      </c>
      <c r="DE8" s="65">
        <f t="shared" si="4"/>
        <v>1.4608220786846742</v>
      </c>
      <c r="DF8" s="65">
        <f t="shared" si="4"/>
        <v>1.4608220786846742</v>
      </c>
      <c r="DG8" s="65">
        <f t="shared" si="4"/>
        <v>1.4527064004697594</v>
      </c>
      <c r="DH8" s="65">
        <f t="shared" si="4"/>
        <v>1.4527064004697594</v>
      </c>
      <c r="DI8" s="65">
        <f t="shared" si="4"/>
        <v>1.2660458015267175</v>
      </c>
      <c r="DJ8" s="65">
        <f t="shared" si="4"/>
        <v>1.2660458015267175</v>
      </c>
      <c r="DK8" s="65">
        <f t="shared" si="4"/>
        <v>1.2660458015267175</v>
      </c>
      <c r="DL8" s="65">
        <f t="shared" si="4"/>
        <v>1.3228555490311216</v>
      </c>
      <c r="DM8" s="65">
        <f t="shared" si="4"/>
        <v>1.2822771579565473</v>
      </c>
      <c r="DN8" s="65">
        <f t="shared" si="4"/>
        <v>1.2822771579565473</v>
      </c>
      <c r="DO8" s="65">
        <f t="shared" si="4"/>
        <v>1.2822771579565473</v>
      </c>
      <c r="DP8" s="65">
        <f t="shared" si="4"/>
        <v>1.2822771579565473</v>
      </c>
      <c r="DQ8" s="65">
        <f t="shared" si="4"/>
        <v>1.2822771579565473</v>
      </c>
      <c r="DR8" s="65">
        <f t="shared" si="4"/>
        <v>1.2822771579565473</v>
      </c>
      <c r="DS8" s="65">
        <f t="shared" si="4"/>
        <v>0</v>
      </c>
      <c r="DT8" s="65">
        <f t="shared" si="4"/>
        <v>0</v>
      </c>
      <c r="DU8" s="65">
        <f t="shared" si="4"/>
        <v>0</v>
      </c>
      <c r="DV8" s="65">
        <f t="shared" si="4"/>
        <v>0</v>
      </c>
      <c r="DW8" s="65">
        <f t="shared" si="4"/>
        <v>0</v>
      </c>
      <c r="DX8" s="65">
        <f t="shared" si="4"/>
        <v>0</v>
      </c>
      <c r="DY8" s="65">
        <f t="shared" si="4"/>
        <v>0</v>
      </c>
      <c r="DZ8" s="65">
        <f t="shared" si="4"/>
        <v>0</v>
      </c>
    </row>
    <row r="9" spans="1:153">
      <c r="A9" s="376"/>
      <c r="B9" s="60" t="s">
        <v>526</v>
      </c>
      <c r="C9" s="60">
        <v>1</v>
      </c>
      <c r="D9" s="64">
        <v>2.0099999999999998</v>
      </c>
      <c r="E9" s="60">
        <f>D9*C9</f>
        <v>2.0099999999999998</v>
      </c>
      <c r="F9" s="65">
        <f>E9/$E$2</f>
        <v>1.1802701115678212E-2</v>
      </c>
      <c r="H9" s="60">
        <f>$F$9*H5</f>
        <v>0</v>
      </c>
      <c r="I9" s="60">
        <f t="shared" ref="I9:BC9" si="5">$F$9*I5</f>
        <v>0</v>
      </c>
      <c r="J9" s="60">
        <f t="shared" si="5"/>
        <v>0</v>
      </c>
      <c r="K9" s="60">
        <f t="shared" si="5"/>
        <v>0</v>
      </c>
      <c r="L9" s="60">
        <f t="shared" si="5"/>
        <v>0</v>
      </c>
      <c r="M9" s="60">
        <f t="shared" si="5"/>
        <v>0</v>
      </c>
      <c r="N9" s="60">
        <f t="shared" si="5"/>
        <v>0</v>
      </c>
      <c r="O9" s="60">
        <f t="shared" si="5"/>
        <v>0</v>
      </c>
      <c r="P9" s="60">
        <f t="shared" si="5"/>
        <v>0</v>
      </c>
      <c r="Q9" s="60">
        <f t="shared" si="5"/>
        <v>0</v>
      </c>
      <c r="R9" s="60">
        <f t="shared" si="5"/>
        <v>0</v>
      </c>
      <c r="S9" s="60">
        <f t="shared" si="5"/>
        <v>0</v>
      </c>
      <c r="T9" s="60">
        <f t="shared" si="5"/>
        <v>0</v>
      </c>
      <c r="U9" s="60">
        <f t="shared" si="5"/>
        <v>0</v>
      </c>
      <c r="V9" s="60">
        <f t="shared" si="5"/>
        <v>0</v>
      </c>
      <c r="W9" s="60">
        <f t="shared" si="5"/>
        <v>0</v>
      </c>
      <c r="X9" s="60">
        <f t="shared" si="5"/>
        <v>0</v>
      </c>
      <c r="Y9" s="60">
        <f t="shared" si="5"/>
        <v>0</v>
      </c>
      <c r="Z9" s="60">
        <f t="shared" si="5"/>
        <v>0</v>
      </c>
      <c r="AA9" s="60">
        <f t="shared" si="5"/>
        <v>0</v>
      </c>
      <c r="AB9" s="60">
        <f t="shared" si="5"/>
        <v>0</v>
      </c>
      <c r="AC9" s="60">
        <f t="shared" si="5"/>
        <v>0</v>
      </c>
      <c r="AD9" s="60">
        <f t="shared" si="5"/>
        <v>0</v>
      </c>
      <c r="AE9" s="60">
        <f t="shared" si="5"/>
        <v>0</v>
      </c>
      <c r="AF9" s="60">
        <f t="shared" si="5"/>
        <v>0</v>
      </c>
      <c r="AG9" s="60">
        <f t="shared" si="5"/>
        <v>0</v>
      </c>
      <c r="AH9" s="60">
        <f t="shared" si="5"/>
        <v>0</v>
      </c>
      <c r="AI9" s="60">
        <f t="shared" si="5"/>
        <v>0</v>
      </c>
      <c r="AJ9" s="60">
        <f t="shared" si="5"/>
        <v>0</v>
      </c>
      <c r="AK9" s="60">
        <f t="shared" si="5"/>
        <v>0</v>
      </c>
      <c r="AL9" s="60">
        <f t="shared" si="5"/>
        <v>0</v>
      </c>
      <c r="AM9" s="60">
        <f t="shared" si="5"/>
        <v>0</v>
      </c>
      <c r="AN9" s="60">
        <f t="shared" si="5"/>
        <v>0</v>
      </c>
      <c r="AO9" s="60">
        <f t="shared" si="5"/>
        <v>0</v>
      </c>
      <c r="AP9" s="60">
        <f t="shared" si="5"/>
        <v>0</v>
      </c>
      <c r="AQ9" s="60">
        <f t="shared" si="5"/>
        <v>0</v>
      </c>
      <c r="AR9" s="60">
        <f t="shared" si="5"/>
        <v>0</v>
      </c>
      <c r="AS9" s="60">
        <f t="shared" si="5"/>
        <v>0</v>
      </c>
      <c r="AT9" s="60">
        <f t="shared" si="5"/>
        <v>0</v>
      </c>
      <c r="AU9" s="60">
        <f t="shared" si="5"/>
        <v>0</v>
      </c>
      <c r="AV9" s="60">
        <f t="shared" si="5"/>
        <v>0</v>
      </c>
      <c r="AW9" s="60">
        <f t="shared" si="5"/>
        <v>0</v>
      </c>
      <c r="AX9" s="60">
        <f t="shared" si="5"/>
        <v>0</v>
      </c>
      <c r="AY9" s="60">
        <f t="shared" si="5"/>
        <v>0</v>
      </c>
      <c r="AZ9" s="60">
        <f t="shared" si="5"/>
        <v>0</v>
      </c>
      <c r="BA9" s="60">
        <f t="shared" si="5"/>
        <v>0</v>
      </c>
      <c r="BB9" s="60">
        <f>$F$9*BB5</f>
        <v>0</v>
      </c>
      <c r="BC9" s="60">
        <f t="shared" si="5"/>
        <v>0</v>
      </c>
      <c r="BD9" s="60">
        <f t="shared" ref="BD9:BM9" si="6">$F$9*BD5</f>
        <v>0</v>
      </c>
      <c r="BE9" s="60">
        <f t="shared" si="6"/>
        <v>0</v>
      </c>
      <c r="BF9" s="60">
        <f t="shared" si="6"/>
        <v>0</v>
      </c>
      <c r="BG9" s="60">
        <f t="shared" si="6"/>
        <v>0</v>
      </c>
      <c r="BH9" s="60">
        <f t="shared" si="6"/>
        <v>0</v>
      </c>
      <c r="BI9" s="60">
        <f t="shared" si="6"/>
        <v>0</v>
      </c>
      <c r="BJ9" s="60">
        <f t="shared" si="6"/>
        <v>0</v>
      </c>
      <c r="BK9" s="60">
        <f t="shared" si="6"/>
        <v>0</v>
      </c>
      <c r="BL9" s="60">
        <f t="shared" si="6"/>
        <v>0</v>
      </c>
      <c r="BM9" s="60">
        <f t="shared" si="6"/>
        <v>0</v>
      </c>
      <c r="BN9" s="60">
        <f t="shared" ref="BN9:BU9" si="7">$F$9*BN5</f>
        <v>0</v>
      </c>
      <c r="BO9" s="60">
        <f t="shared" si="7"/>
        <v>0</v>
      </c>
      <c r="BP9" s="60">
        <f t="shared" si="7"/>
        <v>0</v>
      </c>
      <c r="BQ9" s="60">
        <f t="shared" si="7"/>
        <v>0</v>
      </c>
      <c r="BR9" s="60">
        <f t="shared" si="7"/>
        <v>0</v>
      </c>
      <c r="BS9" s="60">
        <f t="shared" si="7"/>
        <v>0</v>
      </c>
      <c r="BT9" s="60">
        <f t="shared" si="7"/>
        <v>0</v>
      </c>
      <c r="BU9" s="60">
        <f t="shared" si="7"/>
        <v>0</v>
      </c>
      <c r="BV9" s="60">
        <f t="shared" ref="BV9:CU9" si="8">$F$9*BV5</f>
        <v>0</v>
      </c>
      <c r="BW9" s="60">
        <f t="shared" si="8"/>
        <v>0</v>
      </c>
      <c r="BX9" s="60">
        <f t="shared" si="8"/>
        <v>0</v>
      </c>
      <c r="BY9" s="60">
        <f t="shared" si="8"/>
        <v>0</v>
      </c>
      <c r="BZ9" s="60">
        <f t="shared" si="8"/>
        <v>0</v>
      </c>
      <c r="CA9" s="60">
        <f t="shared" si="8"/>
        <v>0</v>
      </c>
      <c r="CB9" s="60">
        <f t="shared" si="8"/>
        <v>0</v>
      </c>
      <c r="CC9" s="60">
        <f t="shared" si="8"/>
        <v>0</v>
      </c>
      <c r="CD9" s="60">
        <f t="shared" si="8"/>
        <v>0</v>
      </c>
      <c r="CE9" s="60">
        <f t="shared" si="8"/>
        <v>0</v>
      </c>
      <c r="CF9" s="60">
        <f t="shared" si="8"/>
        <v>0</v>
      </c>
      <c r="CG9" s="60">
        <f t="shared" si="8"/>
        <v>0</v>
      </c>
      <c r="CH9" s="60">
        <f t="shared" si="8"/>
        <v>0</v>
      </c>
      <c r="CI9" s="60">
        <f t="shared" si="8"/>
        <v>0</v>
      </c>
      <c r="CJ9" s="60">
        <f t="shared" si="8"/>
        <v>0</v>
      </c>
      <c r="CK9" s="60">
        <f t="shared" si="8"/>
        <v>0</v>
      </c>
      <c r="CL9" s="60">
        <f t="shared" si="8"/>
        <v>0</v>
      </c>
      <c r="CM9" s="60">
        <f t="shared" si="8"/>
        <v>0</v>
      </c>
      <c r="CN9" s="60">
        <f t="shared" si="8"/>
        <v>0</v>
      </c>
      <c r="CO9" s="60">
        <f t="shared" si="8"/>
        <v>0</v>
      </c>
      <c r="CP9" s="60">
        <f t="shared" si="8"/>
        <v>0</v>
      </c>
      <c r="CQ9" s="60">
        <f t="shared" si="8"/>
        <v>0</v>
      </c>
      <c r="CR9" s="60">
        <f t="shared" si="8"/>
        <v>0</v>
      </c>
      <c r="CS9" s="60">
        <f t="shared" si="8"/>
        <v>0</v>
      </c>
      <c r="CT9" s="60">
        <f t="shared" si="8"/>
        <v>0</v>
      </c>
      <c r="CU9" s="60">
        <f t="shared" si="8"/>
        <v>0</v>
      </c>
      <c r="CV9" s="60">
        <f>$F$9*CV5</f>
        <v>0</v>
      </c>
      <c r="CW9" s="60">
        <f>$F$9*CW5</f>
        <v>0</v>
      </c>
      <c r="CX9" s="60">
        <f>$F$9*CX5</f>
        <v>0</v>
      </c>
      <c r="CY9" s="60">
        <f t="shared" ref="CY9:DZ9" si="9">$F$9*CY5</f>
        <v>0</v>
      </c>
      <c r="CZ9" s="60">
        <f t="shared" si="9"/>
        <v>0</v>
      </c>
      <c r="DA9" s="60">
        <f t="shared" si="9"/>
        <v>0</v>
      </c>
      <c r="DB9" s="60">
        <f t="shared" si="9"/>
        <v>0</v>
      </c>
      <c r="DC9" s="60">
        <f t="shared" si="9"/>
        <v>0</v>
      </c>
      <c r="DD9" s="60">
        <f t="shared" si="9"/>
        <v>0</v>
      </c>
      <c r="DE9" s="60">
        <f t="shared" si="9"/>
        <v>0</v>
      </c>
      <c r="DF9" s="60">
        <f t="shared" si="9"/>
        <v>0</v>
      </c>
      <c r="DG9" s="60">
        <f t="shared" si="9"/>
        <v>0</v>
      </c>
      <c r="DH9" s="60">
        <f t="shared" si="9"/>
        <v>0</v>
      </c>
      <c r="DI9" s="60">
        <f t="shared" si="9"/>
        <v>0</v>
      </c>
      <c r="DJ9" s="60">
        <f t="shared" si="9"/>
        <v>0</v>
      </c>
      <c r="DK9" s="60">
        <f t="shared" si="9"/>
        <v>0</v>
      </c>
      <c r="DL9" s="60">
        <f t="shared" si="9"/>
        <v>0</v>
      </c>
      <c r="DM9" s="60">
        <f t="shared" si="9"/>
        <v>0</v>
      </c>
      <c r="DN9" s="60">
        <f t="shared" si="9"/>
        <v>0</v>
      </c>
      <c r="DO9" s="60">
        <f t="shared" si="9"/>
        <v>0</v>
      </c>
      <c r="DP9" s="60">
        <f t="shared" si="9"/>
        <v>0</v>
      </c>
      <c r="DQ9" s="60">
        <f t="shared" si="9"/>
        <v>0</v>
      </c>
      <c r="DR9" s="60">
        <f t="shared" si="9"/>
        <v>0</v>
      </c>
      <c r="DS9" s="60">
        <f t="shared" si="9"/>
        <v>0</v>
      </c>
      <c r="DT9" s="60">
        <f t="shared" si="9"/>
        <v>0</v>
      </c>
      <c r="DU9" s="60">
        <f t="shared" si="9"/>
        <v>0</v>
      </c>
      <c r="DV9" s="60">
        <f t="shared" si="9"/>
        <v>0</v>
      </c>
      <c r="DW9" s="60">
        <f t="shared" si="9"/>
        <v>0</v>
      </c>
      <c r="DX9" s="60">
        <f t="shared" si="9"/>
        <v>0</v>
      </c>
      <c r="DY9" s="60">
        <f t="shared" si="9"/>
        <v>0</v>
      </c>
      <c r="DZ9" s="60">
        <f t="shared" si="9"/>
        <v>0</v>
      </c>
    </row>
    <row r="10" spans="1:153">
      <c r="A10" s="376"/>
      <c r="B10" s="60" t="s">
        <v>444</v>
      </c>
      <c r="C10" s="60">
        <v>1</v>
      </c>
      <c r="D10" s="64">
        <v>17.010000000000002</v>
      </c>
      <c r="E10" s="60">
        <f>D10*C10</f>
        <v>17.010000000000002</v>
      </c>
      <c r="F10" s="65">
        <f>E10/$E$2</f>
        <v>9.9882560187903702E-2</v>
      </c>
      <c r="H10" s="65">
        <f>$F$10*H6</f>
        <v>5.0565615078190955E-2</v>
      </c>
      <c r="I10" s="65">
        <f t="shared" ref="I10:AS10" si="10">$F$10*I6</f>
        <v>5.0545622924109891E-2</v>
      </c>
      <c r="J10" s="65">
        <f t="shared" si="10"/>
        <v>4.8509169286288338E-2</v>
      </c>
      <c r="K10" s="65">
        <f t="shared" si="10"/>
        <v>4.6550178755514093E-2</v>
      </c>
      <c r="L10" s="65">
        <f t="shared" si="10"/>
        <v>4.7230838906142408E-2</v>
      </c>
      <c r="M10" s="65">
        <f t="shared" si="10"/>
        <v>4.4096244498752296E-2</v>
      </c>
      <c r="N10" s="65">
        <f t="shared" si="10"/>
        <v>4.3375533963404295E-2</v>
      </c>
      <c r="O10" s="65">
        <f t="shared" si="10"/>
        <v>4.2486287515229586E-2</v>
      </c>
      <c r="P10" s="65">
        <f t="shared" si="10"/>
        <v>4.3182967833351064E-2</v>
      </c>
      <c r="Q10" s="65">
        <f t="shared" si="10"/>
        <v>4.2847088290126456E-2</v>
      </c>
      <c r="R10" s="65">
        <f t="shared" si="10"/>
        <v>4.2434367324339188E-2</v>
      </c>
      <c r="S10" s="65">
        <f t="shared" si="10"/>
        <v>4.5023014127328433E-2</v>
      </c>
      <c r="T10" s="65">
        <f t="shared" si="10"/>
        <v>4.7576131727225204E-2</v>
      </c>
      <c r="U10" s="65">
        <f t="shared" si="10"/>
        <v>5.0764488007588419E-2</v>
      </c>
      <c r="V10" s="65">
        <f t="shared" si="10"/>
        <v>5.0764488007588419E-2</v>
      </c>
      <c r="W10" s="65">
        <f t="shared" si="10"/>
        <v>5.3294859288943133E-2</v>
      </c>
      <c r="X10" s="65">
        <f t="shared" si="10"/>
        <v>5.9315923115000828E-2</v>
      </c>
      <c r="Y10" s="65">
        <f t="shared" si="10"/>
        <v>6.3357377828322722E-2</v>
      </c>
      <c r="Z10" s="65">
        <f t="shared" si="10"/>
        <v>7.2506408362998487E-2</v>
      </c>
      <c r="AA10" s="65">
        <f t="shared" si="10"/>
        <v>7.2803854552796129E-2</v>
      </c>
      <c r="AB10" s="65">
        <f t="shared" si="10"/>
        <v>7.4775070026781229E-2</v>
      </c>
      <c r="AC10" s="65">
        <f t="shared" si="10"/>
        <v>7.9075539332768036E-2</v>
      </c>
      <c r="AD10" s="65">
        <f t="shared" si="10"/>
        <v>8.1990926970412714E-2</v>
      </c>
      <c r="AE10" s="65">
        <f t="shared" si="10"/>
        <v>8.4515222429923015E-2</v>
      </c>
      <c r="AF10" s="65">
        <f t="shared" si="10"/>
        <v>0.10552380353514297</v>
      </c>
      <c r="AG10" s="65">
        <f t="shared" si="10"/>
        <v>0.12044308087608904</v>
      </c>
      <c r="AH10" s="65">
        <f t="shared" si="10"/>
        <v>0.13265959702164254</v>
      </c>
      <c r="AI10" s="65">
        <f t="shared" si="10"/>
        <v>0.12591020210874942</v>
      </c>
      <c r="AJ10" s="65">
        <f t="shared" si="10"/>
        <v>0.11228894040311442</v>
      </c>
      <c r="AK10" s="65">
        <f t="shared" si="10"/>
        <v>0.11166657464224886</v>
      </c>
      <c r="AL10" s="65">
        <f t="shared" si="10"/>
        <v>0.1081660452166688</v>
      </c>
      <c r="AM10" s="65">
        <f t="shared" si="10"/>
        <v>0.10842270127639878</v>
      </c>
      <c r="AN10" s="65">
        <f t="shared" si="10"/>
        <v>0.10537431713675471</v>
      </c>
      <c r="AO10" s="65">
        <f t="shared" si="10"/>
        <v>0.10727392790857451</v>
      </c>
      <c r="AP10" s="65">
        <f t="shared" si="10"/>
        <v>0.11371822527161318</v>
      </c>
      <c r="AQ10" s="65">
        <f t="shared" si="10"/>
        <v>0.10804110020437088</v>
      </c>
      <c r="AR10" s="65">
        <f t="shared" si="10"/>
        <v>9.963914495670273E-2</v>
      </c>
      <c r="AS10" s="65">
        <f t="shared" si="10"/>
        <v>9.2436946582060656E-2</v>
      </c>
      <c r="AT10" s="60">
        <f t="shared" ref="AT10:BC10" si="11">$F$10*AT6</f>
        <v>9.0004395356216946E-2</v>
      </c>
      <c r="AU10" s="60">
        <f t="shared" si="11"/>
        <v>7.4679322633401629E-2</v>
      </c>
      <c r="AV10" s="60">
        <f t="shared" si="11"/>
        <v>7.0543985549467336E-2</v>
      </c>
      <c r="AW10" s="60">
        <f t="shared" si="11"/>
        <v>6.1745582661613195E-2</v>
      </c>
      <c r="AX10" s="60">
        <f t="shared" si="11"/>
        <v>6.1790521222502288E-2</v>
      </c>
      <c r="AY10" s="60">
        <f t="shared" si="11"/>
        <v>6.1986013258494628E-2</v>
      </c>
      <c r="AZ10" s="60">
        <f t="shared" si="11"/>
        <v>6.2182746210731062E-2</v>
      </c>
      <c r="BA10" s="60">
        <f t="shared" si="11"/>
        <v>5.9497270231063465E-2</v>
      </c>
      <c r="BB10" s="60">
        <f>$F$10*BB6</f>
        <v>5.90878359194408E-2</v>
      </c>
      <c r="BC10" s="60">
        <f t="shared" si="11"/>
        <v>5.8789735125612981E-2</v>
      </c>
      <c r="BD10" s="60">
        <f t="shared" ref="BD10:BM10" si="12">$F$10*BD6</f>
        <v>5.8789735125612981E-2</v>
      </c>
      <c r="BE10" s="60">
        <f t="shared" si="12"/>
        <v>5.9216520861552095E-2</v>
      </c>
      <c r="BF10" s="60">
        <f t="shared" si="12"/>
        <v>5.8931311850780023E-2</v>
      </c>
      <c r="BG10" s="60">
        <f t="shared" si="12"/>
        <v>5.6600920289745289E-2</v>
      </c>
      <c r="BH10" s="60">
        <f t="shared" si="12"/>
        <v>5.9016585665106487E-2</v>
      </c>
      <c r="BI10" s="60">
        <f t="shared" si="12"/>
        <v>5.8782674143733858E-2</v>
      </c>
      <c r="BJ10" s="60">
        <f t="shared" si="12"/>
        <v>6.8412712457468286E-2</v>
      </c>
      <c r="BK10" s="60">
        <f t="shared" si="12"/>
        <v>6.8388059227753886E-2</v>
      </c>
      <c r="BL10" s="60">
        <f t="shared" si="12"/>
        <v>6.609168443617304E-2</v>
      </c>
      <c r="BM10" s="60">
        <f t="shared" si="12"/>
        <v>6.9579491843603333E-2</v>
      </c>
      <c r="BN10" s="60">
        <f t="shared" ref="BN10:BU10" si="13">$F$10*BN6</f>
        <v>6.9612935483037902E-2</v>
      </c>
      <c r="BO10" s="60">
        <f t="shared" si="13"/>
        <v>6.9638039318408632E-2</v>
      </c>
      <c r="BP10" s="60">
        <f t="shared" si="13"/>
        <v>6.9638039318408632E-2</v>
      </c>
      <c r="BQ10" s="60">
        <f t="shared" si="13"/>
        <v>6.9521042732490282E-2</v>
      </c>
      <c r="BR10" s="60">
        <f t="shared" si="13"/>
        <v>6.9462691737391058E-2</v>
      </c>
      <c r="BS10" s="60">
        <f t="shared" si="13"/>
        <v>6.3504986683767958E-2</v>
      </c>
      <c r="BT10" s="60">
        <f t="shared" si="13"/>
        <v>6.4796471049336862E-2</v>
      </c>
      <c r="BU10" s="60">
        <f t="shared" si="13"/>
        <v>6.473425648279886E-2</v>
      </c>
      <c r="BV10" s="60">
        <f t="shared" ref="BV10:CU10" si="14">$F$10*BV6</f>
        <v>6.3072340748916822E-2</v>
      </c>
      <c r="BW10" s="60">
        <f t="shared" si="14"/>
        <v>6.6067838969749881E-2</v>
      </c>
      <c r="BX10" s="60">
        <f t="shared" si="14"/>
        <v>6.5988478202218662E-2</v>
      </c>
      <c r="BY10" s="60">
        <f t="shared" si="14"/>
        <v>6.7341962081899909E-2</v>
      </c>
      <c r="BZ10" s="60">
        <f t="shared" si="14"/>
        <v>6.7390643018344659E-2</v>
      </c>
      <c r="CA10" s="60">
        <f t="shared" si="14"/>
        <v>6.7382524641881783E-2</v>
      </c>
      <c r="CB10" s="60">
        <f t="shared" si="14"/>
        <v>6.7471934505700937E-2</v>
      </c>
      <c r="CC10" s="60">
        <f t="shared" si="14"/>
        <v>6.7471934505700937E-2</v>
      </c>
      <c r="CD10" s="60">
        <f t="shared" si="14"/>
        <v>6.4011797943880233E-2</v>
      </c>
      <c r="CE10" s="60">
        <f t="shared" si="14"/>
        <v>6.396539016383393E-2</v>
      </c>
      <c r="CF10" s="60">
        <f t="shared" si="14"/>
        <v>6.3581259788120292E-2</v>
      </c>
      <c r="CG10" s="60">
        <f t="shared" si="14"/>
        <v>6.3482140424018424E-2</v>
      </c>
      <c r="CH10" s="60">
        <f t="shared" si="14"/>
        <v>6.3619465087836766E-2</v>
      </c>
      <c r="CI10" s="60">
        <f t="shared" si="14"/>
        <v>6.3474528656581486E-2</v>
      </c>
      <c r="CJ10" s="60">
        <f t="shared" si="14"/>
        <v>6.3315102140400634E-2</v>
      </c>
      <c r="CK10" s="60">
        <f t="shared" si="14"/>
        <v>6.5854001562391559E-2</v>
      </c>
      <c r="CL10" s="60">
        <f t="shared" si="14"/>
        <v>6.5790907908200039E-2</v>
      </c>
      <c r="CM10" s="60">
        <f t="shared" si="14"/>
        <v>6.5909307862443964E-2</v>
      </c>
      <c r="CN10" s="60">
        <f t="shared" si="14"/>
        <v>6.2314254706310648E-2</v>
      </c>
      <c r="CO10" s="65">
        <f t="shared" si="14"/>
        <v>6.2314254706310648E-2</v>
      </c>
      <c r="CP10" s="65">
        <f t="shared" si="14"/>
        <v>6.2314254706310648E-2</v>
      </c>
      <c r="CQ10" s="65">
        <f t="shared" si="14"/>
        <v>6.1913137796769484E-2</v>
      </c>
      <c r="CR10" s="65">
        <f t="shared" si="14"/>
        <v>6.4672161272743403E-2</v>
      </c>
      <c r="CS10" s="65">
        <f t="shared" si="14"/>
        <v>6.4594709582596402E-2</v>
      </c>
      <c r="CT10" s="65">
        <f t="shared" si="14"/>
        <v>6.7027242307041421E-2</v>
      </c>
      <c r="CU10" s="65">
        <f t="shared" si="14"/>
        <v>6.7011182107614808E-2</v>
      </c>
      <c r="CV10" s="65">
        <f>$F$10*CV6</f>
        <v>6.6947018198954017E-2</v>
      </c>
      <c r="CW10" s="65">
        <f>$F$10*CW6</f>
        <v>6.5633701437690609E-2</v>
      </c>
      <c r="CX10" s="65">
        <f>$F$10*CX6</f>
        <v>6.5610185242263266E-2</v>
      </c>
      <c r="CY10" s="65">
        <f t="shared" ref="CY10:DZ10" si="15">$F$10*CY6</f>
        <v>6.7817819305664218E-2</v>
      </c>
      <c r="CZ10" s="65">
        <f t="shared" si="15"/>
        <v>6.7809741909367685E-2</v>
      </c>
      <c r="DA10" s="65">
        <f t="shared" si="15"/>
        <v>6.7858235169374378E-2</v>
      </c>
      <c r="DB10" s="65">
        <f t="shared" si="15"/>
        <v>6.7866324123381935E-2</v>
      </c>
      <c r="DC10" s="65">
        <f t="shared" si="15"/>
        <v>6.2456341232312342E-2</v>
      </c>
      <c r="DD10" s="65">
        <f t="shared" si="15"/>
        <v>6.2456341232312342E-2</v>
      </c>
      <c r="DE10" s="65">
        <f t="shared" si="15"/>
        <v>5.915514153267807E-2</v>
      </c>
      <c r="DF10" s="65">
        <f t="shared" si="15"/>
        <v>5.9098574340201208E-2</v>
      </c>
      <c r="DG10" s="65">
        <f t="shared" si="15"/>
        <v>5.8880394537349445E-2</v>
      </c>
      <c r="DH10" s="65">
        <f t="shared" si="15"/>
        <v>5.9998445218141273E-2</v>
      </c>
      <c r="DI10" s="65">
        <f t="shared" si="15"/>
        <v>5.9998445218141273E-2</v>
      </c>
      <c r="DJ10" s="65">
        <f t="shared" si="15"/>
        <v>5.9991309342163859E-2</v>
      </c>
      <c r="DK10" s="65">
        <f t="shared" si="15"/>
        <v>5.9962782804198013E-2</v>
      </c>
      <c r="DL10" s="65">
        <f t="shared" si="15"/>
        <v>5.9763854140866553E-2</v>
      </c>
      <c r="DM10" s="65">
        <f t="shared" si="15"/>
        <v>6.1633951937474694E-2</v>
      </c>
      <c r="DN10" s="65">
        <f t="shared" si="15"/>
        <v>6.1371772772905502E-2</v>
      </c>
      <c r="DO10" s="65">
        <f t="shared" si="15"/>
        <v>6.3687073446059742E-2</v>
      </c>
      <c r="DP10" s="65">
        <f t="shared" si="15"/>
        <v>6.2993244961132233E-2</v>
      </c>
      <c r="DQ10" s="65">
        <f t="shared" si="15"/>
        <v>6.2926483396759866E-2</v>
      </c>
      <c r="DR10" s="65">
        <f t="shared" si="15"/>
        <v>6.2734409134219862E-2</v>
      </c>
      <c r="DS10" s="65">
        <f t="shared" si="15"/>
        <v>0</v>
      </c>
      <c r="DT10" s="65">
        <f t="shared" si="15"/>
        <v>0</v>
      </c>
      <c r="DU10" s="65">
        <f t="shared" si="15"/>
        <v>0</v>
      </c>
      <c r="DV10" s="65">
        <f t="shared" si="15"/>
        <v>0</v>
      </c>
      <c r="DW10" s="65">
        <f t="shared" si="15"/>
        <v>0</v>
      </c>
      <c r="DX10" s="65">
        <f t="shared" si="15"/>
        <v>0</v>
      </c>
      <c r="DY10" s="65">
        <f t="shared" si="15"/>
        <v>0</v>
      </c>
      <c r="DZ10" s="65">
        <f t="shared" si="15"/>
        <v>0</v>
      </c>
    </row>
    <row r="11" spans="1:153" s="73" customFormat="1">
      <c r="A11" s="59" t="s">
        <v>518</v>
      </c>
      <c r="H11" s="94">
        <f>SUM(H8:H10)</f>
        <v>1.3244529596055232</v>
      </c>
      <c r="I11" s="94">
        <f t="shared" ref="I11:BC11" si="16">SUM(I8:I10)</f>
        <v>1.2617606798669851</v>
      </c>
      <c r="J11" s="94">
        <f t="shared" si="16"/>
        <v>1.3360270651212687</v>
      </c>
      <c r="K11" s="94">
        <f t="shared" si="16"/>
        <v>1.2441034336349175</v>
      </c>
      <c r="L11" s="94">
        <f t="shared" si="16"/>
        <v>1.2447840937855459</v>
      </c>
      <c r="M11" s="94">
        <f t="shared" si="16"/>
        <v>1.2416494993781557</v>
      </c>
      <c r="N11" s="94">
        <f t="shared" si="16"/>
        <v>1.5285695973919105</v>
      </c>
      <c r="O11" s="94">
        <f t="shared" si="16"/>
        <v>1.5202884055754302</v>
      </c>
      <c r="P11" s="94">
        <f t="shared" si="16"/>
        <v>1.4339225392058554</v>
      </c>
      <c r="Q11" s="94">
        <f t="shared" si="16"/>
        <v>1.4617775587660289</v>
      </c>
      <c r="R11" s="94">
        <f t="shared" si="16"/>
        <v>1.4081029573506212</v>
      </c>
      <c r="S11" s="94">
        <f t="shared" si="16"/>
        <v>1.0309433871906313</v>
      </c>
      <c r="T11" s="94">
        <f t="shared" si="16"/>
        <v>1.033496504790528</v>
      </c>
      <c r="U11" s="94">
        <f t="shared" si="16"/>
        <v>1.5694935540969512</v>
      </c>
      <c r="V11" s="94">
        <f t="shared" si="16"/>
        <v>1.5687821148830434</v>
      </c>
      <c r="W11" s="94">
        <f t="shared" si="16"/>
        <v>1.5384968074594199</v>
      </c>
      <c r="X11" s="94">
        <f t="shared" si="16"/>
        <v>1.9071400630840372</v>
      </c>
      <c r="Y11" s="94">
        <f t="shared" si="16"/>
        <v>1.911181517797359</v>
      </c>
      <c r="Z11" s="94">
        <f t="shared" si="16"/>
        <v>1.9203305483320348</v>
      </c>
      <c r="AA11" s="94">
        <f t="shared" si="16"/>
        <v>1.6160777704209135</v>
      </c>
      <c r="AB11" s="94">
        <f t="shared" si="16"/>
        <v>1.6057245101628494</v>
      </c>
      <c r="AC11" s="94">
        <f t="shared" si="16"/>
        <v>1.507193686188383</v>
      </c>
      <c r="AD11" s="94">
        <f t="shared" si="16"/>
        <v>1.5101090738260277</v>
      </c>
      <c r="AE11" s="94">
        <f t="shared" si="16"/>
        <v>1.512633369285538</v>
      </c>
      <c r="AF11" s="94">
        <f t="shared" si="16"/>
        <v>1.5544475888376075</v>
      </c>
      <c r="AG11" s="94">
        <f t="shared" si="16"/>
        <v>1.5695477600195618</v>
      </c>
      <c r="AH11" s="94">
        <f t="shared" si="16"/>
        <v>1.5817642761651154</v>
      </c>
      <c r="AI11" s="94">
        <f t="shared" si="16"/>
        <v>1.5750148812522222</v>
      </c>
      <c r="AJ11" s="94">
        <f t="shared" si="16"/>
        <v>1.5613936195465872</v>
      </c>
      <c r="AK11" s="94">
        <f t="shared" si="16"/>
        <v>1.6049513661865826</v>
      </c>
      <c r="AL11" s="94">
        <f t="shared" si="16"/>
        <v>1.6014508367610027</v>
      </c>
      <c r="AM11" s="94">
        <f t="shared" si="16"/>
        <v>1.6017074928207327</v>
      </c>
      <c r="AN11" s="94">
        <f t="shared" si="16"/>
        <v>1.5986591086810886</v>
      </c>
      <c r="AO11" s="94">
        <f t="shared" si="16"/>
        <v>1.3976667640800369</v>
      </c>
      <c r="AP11" s="94">
        <f t="shared" si="16"/>
        <v>1.3824692528699689</v>
      </c>
      <c r="AQ11" s="94">
        <f t="shared" si="16"/>
        <v>1.4136236027926825</v>
      </c>
      <c r="AR11" s="94">
        <f t="shared" si="16"/>
        <v>1.3918510217187861</v>
      </c>
      <c r="AS11" s="94">
        <f t="shared" si="16"/>
        <v>1.3235527622865453</v>
      </c>
      <c r="AT11" s="94">
        <f t="shared" si="16"/>
        <v>1.3265199846800106</v>
      </c>
      <c r="AU11" s="73">
        <f t="shared" si="16"/>
        <v>1.3326094459452045</v>
      </c>
      <c r="AV11" s="73">
        <f t="shared" si="16"/>
        <v>1.3852838563656742</v>
      </c>
      <c r="AW11" s="73">
        <f t="shared" si="16"/>
        <v>1.2953286713286714</v>
      </c>
      <c r="AX11" s="73">
        <f t="shared" si="16"/>
        <v>1.2953736098895605</v>
      </c>
      <c r="AY11" s="73">
        <f t="shared" si="16"/>
        <v>1.2955691019255529</v>
      </c>
      <c r="AZ11" s="73">
        <f t="shared" si="16"/>
        <v>1.2957658348777894</v>
      </c>
      <c r="BA11" s="73">
        <f t="shared" si="16"/>
        <v>1.2930803588981217</v>
      </c>
      <c r="BB11" s="73">
        <f>SUM(BB8:BB10)</f>
        <v>1.3089022810163289</v>
      </c>
      <c r="BC11" s="73">
        <f t="shared" si="16"/>
        <v>1.308604180222501</v>
      </c>
      <c r="BD11" s="73">
        <f t="shared" ref="BD11:BM11" si="17">SUM(BD8:BD10)</f>
        <v>1.308604180222501</v>
      </c>
      <c r="BE11" s="73">
        <f t="shared" si="17"/>
        <v>1.30903096595844</v>
      </c>
      <c r="BF11" s="73">
        <f t="shared" si="17"/>
        <v>1.2438203312283489</v>
      </c>
      <c r="BG11" s="73">
        <f t="shared" si="17"/>
        <v>1.2414899396673142</v>
      </c>
      <c r="BH11" s="73">
        <f t="shared" si="17"/>
        <v>1.2439056050426756</v>
      </c>
      <c r="BI11" s="73">
        <f t="shared" si="17"/>
        <v>1.2436716935213028</v>
      </c>
      <c r="BJ11" s="73">
        <f t="shared" si="17"/>
        <v>1.2533017318350372</v>
      </c>
      <c r="BK11" s="73">
        <f t="shared" si="17"/>
        <v>1.2532770786053229</v>
      </c>
      <c r="BL11" s="73">
        <f t="shared" si="17"/>
        <v>1.2428650255988272</v>
      </c>
      <c r="BM11" s="73">
        <f t="shared" si="17"/>
        <v>1.327509615155406</v>
      </c>
      <c r="BN11" s="73">
        <f t="shared" ref="BN11:BU11" si="18">SUM(BN8:BN10)</f>
        <v>1.3275430587948407</v>
      </c>
      <c r="BO11" s="73">
        <f t="shared" si="18"/>
        <v>1.3275681626302114</v>
      </c>
      <c r="BP11" s="73">
        <f t="shared" si="18"/>
        <v>1.3275681626302114</v>
      </c>
      <c r="BQ11" s="73">
        <f t="shared" si="18"/>
        <v>1.2462943838951446</v>
      </c>
      <c r="BR11" s="73">
        <f t="shared" si="18"/>
        <v>1.2462360329000453</v>
      </c>
      <c r="BS11" s="73">
        <f t="shared" si="18"/>
        <v>1.2402783278464222</v>
      </c>
      <c r="BT11" s="73">
        <f t="shared" si="18"/>
        <v>1.2415698122119911</v>
      </c>
      <c r="BU11" s="73">
        <f t="shared" si="18"/>
        <v>1.241507597645453</v>
      </c>
      <c r="BV11" s="73">
        <f t="shared" ref="BV11:CU11" si="19">SUM(BV8:BV10)</f>
        <v>1.2804240729861454</v>
      </c>
      <c r="BW11" s="73">
        <f t="shared" si="19"/>
        <v>1.2834195712069785</v>
      </c>
      <c r="BX11" s="73">
        <f t="shared" si="19"/>
        <v>1.2833402104394471</v>
      </c>
      <c r="BY11" s="73">
        <f t="shared" si="19"/>
        <v>1.2846936943191283</v>
      </c>
      <c r="BZ11" s="73">
        <f t="shared" si="19"/>
        <v>1.2847423752555731</v>
      </c>
      <c r="CA11" s="73">
        <f t="shared" si="19"/>
        <v>1.2847342568791102</v>
      </c>
      <c r="CB11" s="73">
        <f t="shared" si="19"/>
        <v>1.2848236667429294</v>
      </c>
      <c r="CC11" s="73">
        <f t="shared" si="19"/>
        <v>1.2848236667429294</v>
      </c>
      <c r="CD11" s="73">
        <f t="shared" si="19"/>
        <v>1.2813635301811086</v>
      </c>
      <c r="CE11" s="73">
        <f t="shared" si="19"/>
        <v>1.2813171224010624</v>
      </c>
      <c r="CF11" s="73">
        <f t="shared" si="19"/>
        <v>1.2809329920253487</v>
      </c>
      <c r="CG11" s="73">
        <f t="shared" si="19"/>
        <v>1.2808338726612469</v>
      </c>
      <c r="CH11" s="73">
        <f t="shared" si="19"/>
        <v>1.2809711973250653</v>
      </c>
      <c r="CI11" s="73">
        <f t="shared" si="19"/>
        <v>1.2808262608938099</v>
      </c>
      <c r="CJ11" s="73">
        <f t="shared" si="19"/>
        <v>1.2806668343776291</v>
      </c>
      <c r="CK11" s="73">
        <f t="shared" si="19"/>
        <v>1.2832057337996201</v>
      </c>
      <c r="CL11" s="73">
        <f t="shared" si="19"/>
        <v>1.2831426401454284</v>
      </c>
      <c r="CM11" s="73">
        <f t="shared" si="19"/>
        <v>1.2832610400996725</v>
      </c>
      <c r="CN11" s="94">
        <f t="shared" si="19"/>
        <v>1.2796659869435392</v>
      </c>
      <c r="CO11" s="94">
        <f t="shared" si="19"/>
        <v>1.2796659869435392</v>
      </c>
      <c r="CP11" s="94">
        <f t="shared" si="19"/>
        <v>1.2796659869435392</v>
      </c>
      <c r="CQ11" s="94">
        <f t="shared" si="19"/>
        <v>1.2792648700339979</v>
      </c>
      <c r="CR11" s="94">
        <f t="shared" si="19"/>
        <v>1.330717962799461</v>
      </c>
      <c r="CS11" s="94">
        <f t="shared" si="19"/>
        <v>1.3631032239689735</v>
      </c>
      <c r="CT11" s="94">
        <f t="shared" si="19"/>
        <v>1.3655357566934185</v>
      </c>
      <c r="CU11" s="94">
        <f t="shared" si="19"/>
        <v>1.3655196964939917</v>
      </c>
      <c r="CV11" s="94">
        <f>SUM(CV8:CV10)</f>
        <v>1.365455532585331</v>
      </c>
      <c r="CW11" s="94">
        <f>SUM(CW8:CW10)</f>
        <v>1.3641422158240677</v>
      </c>
      <c r="CX11" s="94">
        <f>SUM(CX8:CX10)</f>
        <v>1.3641186996286403</v>
      </c>
      <c r="CY11" s="94">
        <f t="shared" ref="CY11:DZ11" si="20">SUM(CY8:CY10)</f>
        <v>1.3663263336920413</v>
      </c>
      <c r="CZ11" s="94">
        <f t="shared" si="20"/>
        <v>1.3663182562957448</v>
      </c>
      <c r="DA11" s="94">
        <f t="shared" si="20"/>
        <v>1.3663667495557514</v>
      </c>
      <c r="DB11" s="94">
        <f t="shared" si="20"/>
        <v>1.5368040810229708</v>
      </c>
      <c r="DC11" s="94">
        <f t="shared" si="20"/>
        <v>1.5232784199169864</v>
      </c>
      <c r="DD11" s="94">
        <f t="shared" si="20"/>
        <v>1.5232784199169864</v>
      </c>
      <c r="DE11" s="94">
        <f t="shared" si="20"/>
        <v>1.5199772202173523</v>
      </c>
      <c r="DF11" s="94">
        <f t="shared" si="20"/>
        <v>1.5199206530248754</v>
      </c>
      <c r="DG11" s="94">
        <f t="shared" si="20"/>
        <v>1.5115867950071089</v>
      </c>
      <c r="DH11" s="94">
        <f t="shared" si="20"/>
        <v>1.5127048456879006</v>
      </c>
      <c r="DI11" s="94">
        <f t="shared" si="20"/>
        <v>1.3260442467448588</v>
      </c>
      <c r="DJ11" s="94">
        <f t="shared" si="20"/>
        <v>1.3260371108688813</v>
      </c>
      <c r="DK11" s="94">
        <f t="shared" si="20"/>
        <v>1.3260085843309155</v>
      </c>
      <c r="DL11" s="94">
        <f t="shared" si="20"/>
        <v>1.3826194031719881</v>
      </c>
      <c r="DM11" s="94">
        <f t="shared" si="20"/>
        <v>1.343911109894022</v>
      </c>
      <c r="DN11" s="94">
        <f t="shared" si="20"/>
        <v>1.3436489307294528</v>
      </c>
      <c r="DO11" s="94">
        <f t="shared" si="20"/>
        <v>1.345964231402607</v>
      </c>
      <c r="DP11" s="94">
        <f t="shared" si="20"/>
        <v>1.3452704029176794</v>
      </c>
      <c r="DQ11" s="94">
        <f t="shared" si="20"/>
        <v>1.3452036413533071</v>
      </c>
      <c r="DR11" s="94">
        <f t="shared" si="20"/>
        <v>1.3450115670907672</v>
      </c>
      <c r="DS11" s="94">
        <f t="shared" si="20"/>
        <v>0</v>
      </c>
      <c r="DT11" s="94">
        <f t="shared" si="20"/>
        <v>0</v>
      </c>
      <c r="DU11" s="94">
        <f t="shared" si="20"/>
        <v>0</v>
      </c>
      <c r="DV11" s="94">
        <f t="shared" si="20"/>
        <v>0</v>
      </c>
      <c r="DW11" s="94">
        <f t="shared" si="20"/>
        <v>0</v>
      </c>
      <c r="DX11" s="94">
        <f t="shared" si="20"/>
        <v>0</v>
      </c>
      <c r="DY11" s="94">
        <f t="shared" si="20"/>
        <v>0</v>
      </c>
      <c r="DZ11" s="94">
        <f t="shared" si="20"/>
        <v>0</v>
      </c>
    </row>
    <row r="12" spans="1:153">
      <c r="G12" s="60" t="s">
        <v>429</v>
      </c>
      <c r="Y12" s="60">
        <v>7.88</v>
      </c>
      <c r="Z12" s="60">
        <v>7.14</v>
      </c>
      <c r="AD12" s="60">
        <v>8.8800000000000008</v>
      </c>
      <c r="AE12" s="60">
        <v>9.5399999999999991</v>
      </c>
      <c r="AF12" s="60">
        <v>11.15</v>
      </c>
      <c r="AG12" s="60">
        <v>8.5</v>
      </c>
      <c r="AH12" s="60">
        <v>8.91</v>
      </c>
      <c r="AJ12" s="60">
        <v>8.5500000000000007</v>
      </c>
      <c r="AN12" s="60">
        <v>6</v>
      </c>
      <c r="AP12" s="60">
        <v>6</v>
      </c>
      <c r="BA12" s="60">
        <v>5.2</v>
      </c>
      <c r="BV12" s="60">
        <v>4.5999999999999996</v>
      </c>
    </row>
    <row r="13" spans="1:153" ht="13">
      <c r="A13" s="331" t="s">
        <v>527</v>
      </c>
      <c r="G13" s="60" t="s">
        <v>406</v>
      </c>
      <c r="Y13" s="65">
        <f>Y12-Y11</f>
        <v>5.9688184822026411</v>
      </c>
      <c r="Z13" s="65">
        <f>Z12-Z11</f>
        <v>5.2196694516679649</v>
      </c>
      <c r="AD13" s="65">
        <f>AD12-AD11</f>
        <v>7.3698909261739729</v>
      </c>
      <c r="AE13" s="65">
        <f t="shared" ref="AE13:AJ13" si="21">AE12-AE11</f>
        <v>8.0273666307144609</v>
      </c>
      <c r="AF13" s="65">
        <f t="shared" si="21"/>
        <v>9.5955524111623927</v>
      </c>
      <c r="AG13" s="65">
        <f t="shared" si="21"/>
        <v>6.930452239980438</v>
      </c>
      <c r="AH13" s="65">
        <f t="shared" si="21"/>
        <v>7.3282357238348848</v>
      </c>
      <c r="AJ13" s="65">
        <f t="shared" si="21"/>
        <v>6.9886063804534135</v>
      </c>
      <c r="AN13" s="65">
        <f>AN12-AN11</f>
        <v>4.4013408913189114</v>
      </c>
      <c r="AP13" s="65">
        <f>AP12-AP11</f>
        <v>4.6175307471300311</v>
      </c>
      <c r="BA13" s="65">
        <f>BA12-BA11</f>
        <v>3.9069196411018785</v>
      </c>
      <c r="BV13" s="60">
        <f>BV12-BV11</f>
        <v>3.3195759270138545</v>
      </c>
    </row>
    <row r="16" spans="1:153" s="161" customFormat="1">
      <c r="G16" s="161" t="s">
        <v>407</v>
      </c>
      <c r="H16" s="163">
        <f>4.4+H11</f>
        <v>5.7244529596055234</v>
      </c>
      <c r="I16" s="163">
        <f t="shared" ref="I16:BT16" si="22">4.4+I11</f>
        <v>5.6617606798669851</v>
      </c>
      <c r="J16" s="163">
        <f t="shared" si="22"/>
        <v>5.7360270651212693</v>
      </c>
      <c r="K16" s="163">
        <f t="shared" si="22"/>
        <v>5.6441034336349176</v>
      </c>
      <c r="L16" s="163">
        <f t="shared" si="22"/>
        <v>5.644784093785546</v>
      </c>
      <c r="M16" s="163">
        <f t="shared" si="22"/>
        <v>5.6416494993781559</v>
      </c>
      <c r="N16" s="163">
        <f t="shared" si="22"/>
        <v>5.9285695973919106</v>
      </c>
      <c r="O16" s="163">
        <f t="shared" si="22"/>
        <v>5.9202884055754303</v>
      </c>
      <c r="P16" s="163">
        <f t="shared" si="22"/>
        <v>5.8339225392058562</v>
      </c>
      <c r="Q16" s="163">
        <f t="shared" si="22"/>
        <v>5.861777558766029</v>
      </c>
      <c r="R16" s="163">
        <f t="shared" si="22"/>
        <v>5.8081029573506218</v>
      </c>
      <c r="S16" s="163">
        <f t="shared" si="22"/>
        <v>5.4309433871906316</v>
      </c>
      <c r="T16" s="163">
        <f t="shared" si="22"/>
        <v>5.4334965047905284</v>
      </c>
      <c r="U16" s="163">
        <f t="shared" si="22"/>
        <v>5.9694935540969514</v>
      </c>
      <c r="V16" s="163">
        <f t="shared" si="22"/>
        <v>5.9687821148830436</v>
      </c>
      <c r="W16" s="163">
        <f t="shared" si="22"/>
        <v>5.93849680745942</v>
      </c>
      <c r="X16" s="163">
        <f t="shared" si="22"/>
        <v>6.307140063084038</v>
      </c>
      <c r="Y16" s="163">
        <f t="shared" si="22"/>
        <v>6.3111815177973591</v>
      </c>
      <c r="Z16" s="163">
        <f t="shared" si="22"/>
        <v>6.3203305483320351</v>
      </c>
      <c r="AA16" s="163">
        <f t="shared" si="22"/>
        <v>6.0160777704209139</v>
      </c>
      <c r="AB16" s="163">
        <f t="shared" si="22"/>
        <v>6.0057245101628496</v>
      </c>
      <c r="AC16" s="163">
        <f t="shared" si="22"/>
        <v>5.9071936861883838</v>
      </c>
      <c r="AD16" s="163">
        <f t="shared" si="22"/>
        <v>5.9101090738260282</v>
      </c>
      <c r="AE16" s="163">
        <f t="shared" si="22"/>
        <v>5.9126333692855386</v>
      </c>
      <c r="AF16" s="163">
        <f t="shared" si="22"/>
        <v>5.9544475888376081</v>
      </c>
      <c r="AG16" s="163">
        <f t="shared" si="22"/>
        <v>5.9695477600195623</v>
      </c>
      <c r="AH16" s="163">
        <f t="shared" si="22"/>
        <v>5.9817642761651157</v>
      </c>
      <c r="AI16" s="163">
        <f t="shared" si="22"/>
        <v>5.975014881252223</v>
      </c>
      <c r="AJ16" s="163">
        <f t="shared" si="22"/>
        <v>5.9613936195465875</v>
      </c>
      <c r="AK16" s="163">
        <f t="shared" si="22"/>
        <v>6.0049513661865834</v>
      </c>
      <c r="AL16" s="163">
        <f t="shared" si="22"/>
        <v>6.0014508367610029</v>
      </c>
      <c r="AM16" s="163">
        <f t="shared" si="22"/>
        <v>6.0017074928207332</v>
      </c>
      <c r="AN16" s="163">
        <f t="shared" si="22"/>
        <v>5.998659108681089</v>
      </c>
      <c r="AO16" s="163">
        <f t="shared" si="22"/>
        <v>5.797666764080037</v>
      </c>
      <c r="AP16" s="163">
        <f t="shared" si="22"/>
        <v>5.7824692528699693</v>
      </c>
      <c r="AQ16" s="163">
        <f t="shared" si="22"/>
        <v>5.8136236027926831</v>
      </c>
      <c r="AR16" s="163">
        <f t="shared" si="22"/>
        <v>5.7918510217187862</v>
      </c>
      <c r="AS16" s="163">
        <f t="shared" si="22"/>
        <v>5.7235527622865456</v>
      </c>
      <c r="AT16" s="163">
        <f t="shared" si="22"/>
        <v>5.726519984680011</v>
      </c>
      <c r="AU16" s="163">
        <f t="shared" si="22"/>
        <v>5.7326094459452044</v>
      </c>
      <c r="AV16" s="163">
        <f t="shared" si="22"/>
        <v>5.785283856365675</v>
      </c>
      <c r="AW16" s="163">
        <f t="shared" si="22"/>
        <v>5.6953286713286717</v>
      </c>
      <c r="AX16" s="163">
        <f t="shared" si="22"/>
        <v>5.6953736098895611</v>
      </c>
      <c r="AY16" s="163">
        <f t="shared" si="22"/>
        <v>5.6955691019255532</v>
      </c>
      <c r="AZ16" s="163">
        <f t="shared" si="22"/>
        <v>5.6957658348777898</v>
      </c>
      <c r="BA16" s="163">
        <f t="shared" si="22"/>
        <v>5.693080358898122</v>
      </c>
      <c r="BB16" s="163">
        <f t="shared" si="22"/>
        <v>5.7089022810163295</v>
      </c>
      <c r="BC16" s="163">
        <f t="shared" si="22"/>
        <v>5.7086041802225012</v>
      </c>
      <c r="BD16" s="163">
        <f t="shared" si="22"/>
        <v>5.7086041802225012</v>
      </c>
      <c r="BE16" s="163">
        <f t="shared" si="22"/>
        <v>5.7090309659584406</v>
      </c>
      <c r="BF16" s="163">
        <f t="shared" si="22"/>
        <v>5.6438203312283495</v>
      </c>
      <c r="BG16" s="163">
        <f t="shared" si="22"/>
        <v>5.6414899396673146</v>
      </c>
      <c r="BH16" s="163">
        <f t="shared" si="22"/>
        <v>5.6439056050426757</v>
      </c>
      <c r="BI16" s="163">
        <f t="shared" si="22"/>
        <v>5.6436716935213029</v>
      </c>
      <c r="BJ16" s="163">
        <f t="shared" si="22"/>
        <v>5.6533017318350378</v>
      </c>
      <c r="BK16" s="163">
        <f t="shared" si="22"/>
        <v>5.6532770786053232</v>
      </c>
      <c r="BL16" s="163">
        <f t="shared" si="22"/>
        <v>5.6428650255988275</v>
      </c>
      <c r="BM16" s="163">
        <f t="shared" si="22"/>
        <v>5.7275096151554061</v>
      </c>
      <c r="BN16" s="163">
        <f t="shared" si="22"/>
        <v>5.7275430587948408</v>
      </c>
      <c r="BO16" s="163">
        <f t="shared" si="22"/>
        <v>5.7275681626302113</v>
      </c>
      <c r="BP16" s="163">
        <f t="shared" si="22"/>
        <v>5.7275681626302113</v>
      </c>
      <c r="BQ16" s="163">
        <f t="shared" si="22"/>
        <v>5.6462943838951452</v>
      </c>
      <c r="BR16" s="163">
        <f t="shared" si="22"/>
        <v>5.6462360329000454</v>
      </c>
      <c r="BS16" s="163">
        <f t="shared" si="22"/>
        <v>5.6402783278464224</v>
      </c>
      <c r="BT16" s="163">
        <f t="shared" si="22"/>
        <v>5.6415698122119915</v>
      </c>
      <c r="BU16" s="163">
        <f>4.4+BU11</f>
        <v>5.6415075976454538</v>
      </c>
      <c r="BV16" s="163">
        <f>4.4+BV11</f>
        <v>5.6804240729861455</v>
      </c>
      <c r="BW16" s="163">
        <f>4.4+BW11</f>
        <v>5.6834195712069793</v>
      </c>
      <c r="BX16" s="163">
        <f>4.4+BX11</f>
        <v>5.6833402104394475</v>
      </c>
      <c r="BY16" s="163">
        <f t="shared" ref="BY16:CG16" si="23">4.4+BY11</f>
        <v>5.6846936943191286</v>
      </c>
      <c r="BZ16" s="163">
        <f t="shared" si="23"/>
        <v>5.6847423752555732</v>
      </c>
      <c r="CA16" s="163">
        <f t="shared" si="23"/>
        <v>5.6847342568791106</v>
      </c>
      <c r="CB16" s="163">
        <f t="shared" si="23"/>
        <v>5.6848236667429299</v>
      </c>
      <c r="CC16" s="163">
        <f t="shared" si="23"/>
        <v>5.6848236667429299</v>
      </c>
      <c r="CD16" s="163">
        <f t="shared" si="23"/>
        <v>5.681363530181109</v>
      </c>
      <c r="CE16" s="163">
        <f t="shared" si="23"/>
        <v>5.6813171224010626</v>
      </c>
      <c r="CF16" s="163">
        <f t="shared" si="23"/>
        <v>5.6809329920253493</v>
      </c>
      <c r="CG16" s="163">
        <f t="shared" si="23"/>
        <v>5.6808338726612471</v>
      </c>
      <c r="CH16" s="163">
        <f t="shared" ref="CH16:CT16" si="24">4.4+CH11</f>
        <v>5.6809711973250661</v>
      </c>
      <c r="CI16" s="163">
        <f t="shared" si="24"/>
        <v>5.6808262608938103</v>
      </c>
      <c r="CJ16" s="163">
        <f t="shared" si="24"/>
        <v>5.6806668343776296</v>
      </c>
      <c r="CK16" s="163">
        <f t="shared" si="24"/>
        <v>5.6832057337996202</v>
      </c>
      <c r="CL16" s="163">
        <f t="shared" si="24"/>
        <v>5.6831426401454284</v>
      </c>
      <c r="CM16" s="163">
        <f t="shared" si="24"/>
        <v>5.6832610400996728</v>
      </c>
      <c r="CN16" s="163">
        <f t="shared" si="24"/>
        <v>5.6796659869435393</v>
      </c>
      <c r="CO16" s="163">
        <f t="shared" si="24"/>
        <v>5.6796659869435393</v>
      </c>
      <c r="CP16" s="163">
        <f t="shared" si="24"/>
        <v>5.6796659869435393</v>
      </c>
      <c r="CQ16" s="163">
        <f t="shared" si="24"/>
        <v>5.6792648700339985</v>
      </c>
      <c r="CR16" s="163">
        <f t="shared" si="24"/>
        <v>5.7307179627994618</v>
      </c>
      <c r="CS16" s="163">
        <f t="shared" si="24"/>
        <v>5.7631032239689741</v>
      </c>
      <c r="CT16" s="163">
        <f t="shared" si="24"/>
        <v>5.7655357566934189</v>
      </c>
      <c r="CU16" s="163">
        <f>4.4+CU11</f>
        <v>5.7655196964939925</v>
      </c>
      <c r="CV16" s="163">
        <f>4.4+CV11</f>
        <v>5.7654555325853316</v>
      </c>
      <c r="CW16" s="163">
        <f>4.4+CW11</f>
        <v>5.7641422158240676</v>
      </c>
      <c r="CX16" s="163">
        <f>4.4+CX11</f>
        <v>5.7641186996286411</v>
      </c>
      <c r="CY16" s="163">
        <f t="shared" ref="CY16:DZ16" si="25">4.4+CY11</f>
        <v>5.7663263336920414</v>
      </c>
      <c r="CZ16" s="163">
        <f t="shared" si="25"/>
        <v>5.7663182562957456</v>
      </c>
      <c r="DA16" s="163">
        <f t="shared" si="25"/>
        <v>5.7663667495557522</v>
      </c>
      <c r="DB16" s="163">
        <f t="shared" si="25"/>
        <v>5.936804081022971</v>
      </c>
      <c r="DC16" s="163">
        <f t="shared" si="25"/>
        <v>5.9232784199169863</v>
      </c>
      <c r="DD16" s="163">
        <f t="shared" si="25"/>
        <v>5.9232784199169863</v>
      </c>
      <c r="DE16" s="163">
        <f t="shared" si="25"/>
        <v>5.9199772202173531</v>
      </c>
      <c r="DF16" s="163">
        <f t="shared" si="25"/>
        <v>5.9199206530248762</v>
      </c>
      <c r="DG16" s="163">
        <f t="shared" si="25"/>
        <v>5.9115867950071088</v>
      </c>
      <c r="DH16" s="163">
        <f t="shared" si="25"/>
        <v>5.9127048456879008</v>
      </c>
      <c r="DI16" s="163">
        <f t="shared" si="25"/>
        <v>5.7260442467448591</v>
      </c>
      <c r="DJ16" s="163">
        <f t="shared" si="25"/>
        <v>5.7260371108688819</v>
      </c>
      <c r="DK16" s="163">
        <f t="shared" si="25"/>
        <v>5.7260085843309163</v>
      </c>
      <c r="DL16" s="163">
        <f t="shared" si="25"/>
        <v>5.7826194031719886</v>
      </c>
      <c r="DM16" s="163">
        <f t="shared" si="25"/>
        <v>5.7439111098940225</v>
      </c>
      <c r="DN16" s="163">
        <f t="shared" si="25"/>
        <v>5.7436489307294529</v>
      </c>
      <c r="DO16" s="163">
        <f t="shared" si="25"/>
        <v>5.7459642314026071</v>
      </c>
      <c r="DP16" s="163">
        <f t="shared" si="25"/>
        <v>5.7452704029176793</v>
      </c>
      <c r="DQ16" s="163">
        <f t="shared" si="25"/>
        <v>5.7452036413533074</v>
      </c>
      <c r="DR16" s="163">
        <f t="shared" si="25"/>
        <v>5.7450115670907671</v>
      </c>
      <c r="DS16" s="163">
        <f t="shared" si="25"/>
        <v>4.4000000000000004</v>
      </c>
      <c r="DT16" s="163">
        <f t="shared" si="25"/>
        <v>4.4000000000000004</v>
      </c>
      <c r="DU16" s="163">
        <f t="shared" si="25"/>
        <v>4.4000000000000004</v>
      </c>
      <c r="DV16" s="163">
        <f t="shared" si="25"/>
        <v>4.4000000000000004</v>
      </c>
      <c r="DW16" s="163">
        <f t="shared" si="25"/>
        <v>4.4000000000000004</v>
      </c>
      <c r="DX16" s="163">
        <f t="shared" si="25"/>
        <v>4.4000000000000004</v>
      </c>
      <c r="DY16" s="163">
        <f t="shared" si="25"/>
        <v>4.4000000000000004</v>
      </c>
      <c r="DZ16" s="163">
        <f t="shared" si="25"/>
        <v>4.4000000000000004</v>
      </c>
    </row>
  </sheetData>
  <mergeCells count="1">
    <mergeCell ref="A8:A10"/>
  </mergeCells>
  <phoneticPr fontId="52" type="noConversion"/>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EX16"/>
  <sheetViews>
    <sheetView workbookViewId="0">
      <pane xSplit="9" ySplit="3" topLeftCell="CW4" activePane="bottomRight" state="frozen"/>
      <selection pane="topRight" activeCell="J1" sqref="J1"/>
      <selection pane="bottomLeft" activeCell="A4" sqref="A4"/>
      <selection pane="bottomRight" activeCell="CY10" sqref="CY10"/>
    </sheetView>
  </sheetViews>
  <sheetFormatPr baseColWidth="10" defaultColWidth="8.6640625" defaultRowHeight="12"/>
  <cols>
    <col min="1" max="1" width="16.5" style="60" bestFit="1" customWidth="1"/>
    <col min="2" max="2" width="6.5" style="60" customWidth="1"/>
    <col min="3" max="3" width="4.83203125" style="60" bestFit="1" customWidth="1"/>
    <col min="4" max="4" width="11.1640625" style="60" customWidth="1"/>
    <col min="5" max="5" width="6.83203125" style="60" customWidth="1"/>
    <col min="6" max="6" width="6" style="60" bestFit="1" customWidth="1"/>
    <col min="7" max="7" width="22.83203125" style="60" bestFit="1" customWidth="1"/>
    <col min="8" max="8" width="5.1640625" style="60" bestFit="1" customWidth="1"/>
    <col min="9" max="9" width="5.5" style="60" bestFit="1" customWidth="1"/>
    <col min="10" max="10" width="5.6640625" style="60" bestFit="1" customWidth="1"/>
    <col min="11" max="11" width="5.33203125" style="60" bestFit="1" customWidth="1"/>
    <col min="12" max="12" width="5.83203125" style="60" bestFit="1" customWidth="1"/>
    <col min="13" max="13" width="5.1640625" style="60" bestFit="1" customWidth="1"/>
    <col min="14" max="14" width="4.6640625" style="60" bestFit="1" customWidth="1"/>
    <col min="15" max="17" width="5.5" style="60" bestFit="1" customWidth="1"/>
    <col min="18" max="18" width="5.6640625" style="60" bestFit="1" customWidth="1"/>
    <col min="19" max="19" width="5.5" style="60" bestFit="1" customWidth="1"/>
    <col min="20" max="20" width="5.1640625" style="60" bestFit="1" customWidth="1"/>
    <col min="21" max="21" width="5.5" style="60" bestFit="1" customWidth="1"/>
    <col min="22" max="22" width="5.6640625" style="60" bestFit="1" customWidth="1"/>
    <col min="23" max="23" width="5.33203125" style="60" bestFit="1" customWidth="1"/>
    <col min="24" max="24" width="5.83203125" style="60" bestFit="1" customWidth="1"/>
    <col min="25" max="25" width="5.1640625" style="60" bestFit="1" customWidth="1"/>
    <col min="26" max="26" width="4.6640625" style="60" bestFit="1" customWidth="1"/>
    <col min="27" max="29" width="5.5" style="60" bestFit="1" customWidth="1"/>
    <col min="30" max="30" width="5.6640625" style="60" bestFit="1" customWidth="1"/>
    <col min="31" max="31" width="5.5" style="60" bestFit="1" customWidth="1"/>
    <col min="32" max="32" width="5.1640625" style="60" bestFit="1" customWidth="1"/>
    <col min="33" max="33" width="5.5" style="60" bestFit="1" customWidth="1"/>
    <col min="34" max="34" width="5.6640625" style="60" bestFit="1" customWidth="1"/>
    <col min="35" max="35" width="5.33203125" style="60" bestFit="1" customWidth="1"/>
    <col min="36" max="36" width="5.83203125" style="60" bestFit="1" customWidth="1"/>
    <col min="37" max="37" width="5.1640625" style="60" bestFit="1" customWidth="1"/>
    <col min="38" max="38" width="4.6640625" style="60" bestFit="1" customWidth="1"/>
    <col min="39" max="41" width="5.5" style="60" bestFit="1" customWidth="1"/>
    <col min="42" max="42" width="5.6640625" style="60" bestFit="1" customWidth="1"/>
    <col min="43" max="43" width="5.5" style="60" bestFit="1" customWidth="1"/>
    <col min="44" max="44" width="5.1640625" style="60" bestFit="1" customWidth="1"/>
    <col min="45" max="45" width="5.5" style="60" bestFit="1" customWidth="1"/>
    <col min="46" max="46" width="5.6640625" style="60" bestFit="1" customWidth="1"/>
    <col min="47" max="47" width="5.33203125" style="60" bestFit="1" customWidth="1"/>
    <col min="48" max="48" width="5.83203125" style="60" bestFit="1" customWidth="1"/>
    <col min="49" max="49" width="5.1640625" style="60" bestFit="1" customWidth="1"/>
    <col min="50" max="50" width="4.6640625" style="60" bestFit="1" customWidth="1"/>
    <col min="51" max="53" width="7" style="60" bestFit="1" customWidth="1"/>
    <col min="54" max="55" width="5.5" style="60" bestFit="1" customWidth="1"/>
    <col min="56" max="57" width="6.5" style="60" bestFit="1" customWidth="1"/>
    <col min="58" max="69" width="5.6640625" style="60" bestFit="1" customWidth="1"/>
    <col min="70" max="73" width="5.5" style="60" bestFit="1" customWidth="1"/>
    <col min="74" max="77" width="5.1640625" style="60" bestFit="1" customWidth="1"/>
    <col min="78" max="81" width="5.5" style="60" bestFit="1" customWidth="1"/>
    <col min="82" max="82" width="6.1640625" style="60" bestFit="1" customWidth="1"/>
    <col min="83" max="85" width="5.6640625" style="60" bestFit="1" customWidth="1"/>
    <col min="86" max="89" width="5.5" style="60" bestFit="1" customWidth="1"/>
    <col min="90" max="94" width="6.33203125" style="60" bestFit="1" customWidth="1"/>
    <col min="95" max="98" width="6.1640625" style="60" bestFit="1" customWidth="1"/>
    <col min="99" max="99" width="5.1640625" style="60" bestFit="1" customWidth="1"/>
    <col min="100" max="102" width="6.1640625" style="60" bestFit="1" customWidth="1"/>
    <col min="103" max="106" width="5.83203125" style="60" bestFit="1" customWidth="1"/>
    <col min="107" max="114" width="5.6640625" style="60" bestFit="1" customWidth="1"/>
    <col min="115" max="118" width="6.1640625" style="60" bestFit="1" customWidth="1"/>
    <col min="119" max="122" width="5.83203125" style="60" bestFit="1" customWidth="1"/>
    <col min="123" max="125" width="5.1640625" style="60" bestFit="1" customWidth="1"/>
    <col min="126" max="154" width="3.33203125" style="60" bestFit="1" customWidth="1"/>
    <col min="155" max="16384" width="8.6640625" style="60"/>
  </cols>
  <sheetData>
    <row r="1" spans="1:154">
      <c r="A1" s="111" t="s">
        <v>377</v>
      </c>
      <c r="B1" s="111" t="s">
        <v>378</v>
      </c>
      <c r="C1" s="111" t="s">
        <v>379</v>
      </c>
      <c r="D1" s="111" t="s">
        <v>380</v>
      </c>
      <c r="E1" s="111" t="s">
        <v>381</v>
      </c>
      <c r="F1" s="111" t="s">
        <v>33</v>
      </c>
      <c r="H1" s="61">
        <v>6</v>
      </c>
      <c r="I1" s="61">
        <v>7</v>
      </c>
      <c r="J1" s="61">
        <v>8</v>
      </c>
      <c r="K1" s="61">
        <v>9</v>
      </c>
      <c r="L1" s="61">
        <v>10</v>
      </c>
      <c r="M1" s="61">
        <v>11</v>
      </c>
      <c r="N1" s="61">
        <v>12</v>
      </c>
      <c r="O1" s="61">
        <v>13</v>
      </c>
      <c r="P1" s="61">
        <v>14</v>
      </c>
      <c r="Q1" s="61">
        <v>15</v>
      </c>
      <c r="R1" s="61">
        <v>16</v>
      </c>
      <c r="S1" s="61">
        <v>17</v>
      </c>
      <c r="T1" s="61">
        <v>18</v>
      </c>
      <c r="U1" s="61">
        <v>19</v>
      </c>
      <c r="V1" s="61">
        <v>20</v>
      </c>
      <c r="W1" s="61">
        <v>21</v>
      </c>
      <c r="X1" s="61">
        <v>22</v>
      </c>
      <c r="Y1" s="61">
        <v>23</v>
      </c>
      <c r="Z1" s="61">
        <v>24</v>
      </c>
      <c r="AA1" s="61">
        <v>25</v>
      </c>
      <c r="AB1" s="61">
        <v>26</v>
      </c>
      <c r="AC1" s="61">
        <v>27</v>
      </c>
      <c r="AD1" s="61">
        <v>28</v>
      </c>
      <c r="AE1" s="61">
        <v>29</v>
      </c>
      <c r="AF1" s="61">
        <v>30</v>
      </c>
      <c r="AG1" s="61">
        <v>31</v>
      </c>
      <c r="AH1" s="61">
        <v>32</v>
      </c>
      <c r="AI1" s="61">
        <v>33</v>
      </c>
      <c r="AJ1" s="61">
        <v>34</v>
      </c>
      <c r="AK1" s="61">
        <v>35</v>
      </c>
      <c r="AL1" s="61">
        <v>36</v>
      </c>
      <c r="AM1" s="61">
        <v>37</v>
      </c>
      <c r="AN1" s="61">
        <v>38</v>
      </c>
      <c r="AO1" s="61">
        <v>39</v>
      </c>
      <c r="AP1" s="61">
        <v>40</v>
      </c>
      <c r="AQ1" s="61">
        <v>41</v>
      </c>
      <c r="AR1" s="61">
        <v>42</v>
      </c>
      <c r="AS1" s="61">
        <v>43</v>
      </c>
      <c r="AT1" s="61">
        <v>44</v>
      </c>
      <c r="AU1" s="61">
        <v>45</v>
      </c>
      <c r="AV1" s="61">
        <v>46</v>
      </c>
      <c r="AW1" s="61">
        <v>47</v>
      </c>
      <c r="AX1" s="61">
        <v>48</v>
      </c>
      <c r="AY1" s="61">
        <v>49</v>
      </c>
      <c r="AZ1" s="61">
        <v>50</v>
      </c>
      <c r="BA1" s="61">
        <v>51</v>
      </c>
      <c r="BB1" s="61">
        <v>52</v>
      </c>
      <c r="BC1" s="61">
        <v>53</v>
      </c>
      <c r="BD1" s="61">
        <v>54</v>
      </c>
      <c r="BE1" s="61">
        <v>55</v>
      </c>
      <c r="BF1" s="61">
        <v>56</v>
      </c>
      <c r="BG1" s="61">
        <v>57</v>
      </c>
      <c r="BH1" s="61">
        <v>58</v>
      </c>
      <c r="BI1" s="61">
        <v>59</v>
      </c>
      <c r="BJ1" s="61">
        <v>60</v>
      </c>
      <c r="BK1" s="61">
        <v>61</v>
      </c>
      <c r="BL1" s="61">
        <v>62</v>
      </c>
      <c r="BM1" s="61">
        <v>63</v>
      </c>
      <c r="BN1" s="61">
        <v>64</v>
      </c>
      <c r="BO1" s="61">
        <v>65</v>
      </c>
      <c r="BP1" s="61">
        <v>66</v>
      </c>
      <c r="BQ1" s="61">
        <v>67</v>
      </c>
      <c r="BR1" s="61">
        <v>68</v>
      </c>
      <c r="BS1" s="61">
        <v>69</v>
      </c>
      <c r="BT1" s="61">
        <v>70</v>
      </c>
      <c r="BU1" s="61">
        <v>71</v>
      </c>
      <c r="BV1" s="61">
        <v>72</v>
      </c>
      <c r="BW1" s="61">
        <v>73</v>
      </c>
      <c r="BX1" s="61">
        <v>74</v>
      </c>
      <c r="BY1" s="61">
        <v>75</v>
      </c>
      <c r="BZ1" s="61">
        <v>76</v>
      </c>
      <c r="CA1" s="61">
        <v>77</v>
      </c>
      <c r="CB1" s="61">
        <v>78</v>
      </c>
      <c r="CC1" s="61">
        <v>79</v>
      </c>
      <c r="CD1" s="61">
        <v>80</v>
      </c>
      <c r="CE1" s="61">
        <v>81</v>
      </c>
      <c r="CF1" s="61">
        <v>82</v>
      </c>
      <c r="CG1" s="61">
        <v>83</v>
      </c>
      <c r="CH1" s="61">
        <v>84</v>
      </c>
      <c r="CI1" s="61">
        <v>85</v>
      </c>
      <c r="CJ1" s="61">
        <v>86</v>
      </c>
      <c r="CK1" s="61">
        <v>87</v>
      </c>
      <c r="CL1" s="61">
        <v>88</v>
      </c>
      <c r="CM1" s="61">
        <v>89</v>
      </c>
      <c r="CN1" s="61">
        <v>90</v>
      </c>
      <c r="CO1" s="61">
        <v>91</v>
      </c>
      <c r="CP1" s="61">
        <v>92</v>
      </c>
      <c r="CQ1" s="61">
        <v>93</v>
      </c>
      <c r="CR1" s="61">
        <v>94</v>
      </c>
      <c r="CS1" s="61">
        <v>95</v>
      </c>
      <c r="CT1" s="61">
        <v>96</v>
      </c>
      <c r="CU1" s="61">
        <v>97</v>
      </c>
      <c r="CV1" s="61">
        <v>98</v>
      </c>
      <c r="CW1" s="61">
        <v>99</v>
      </c>
      <c r="CX1" s="61">
        <v>100</v>
      </c>
      <c r="CY1" s="61">
        <v>101</v>
      </c>
      <c r="CZ1" s="61">
        <v>102</v>
      </c>
      <c r="DA1" s="61">
        <v>103</v>
      </c>
      <c r="DB1" s="61">
        <v>104</v>
      </c>
      <c r="DC1" s="61">
        <v>105</v>
      </c>
      <c r="DD1" s="61">
        <v>106</v>
      </c>
      <c r="DE1" s="61">
        <v>107</v>
      </c>
      <c r="DF1" s="61">
        <v>108</v>
      </c>
      <c r="DG1" s="61">
        <v>109</v>
      </c>
      <c r="DH1" s="61">
        <v>110</v>
      </c>
      <c r="DI1" s="61">
        <v>111</v>
      </c>
      <c r="DJ1" s="61">
        <v>112</v>
      </c>
      <c r="DK1" s="61">
        <v>113</v>
      </c>
      <c r="DL1" s="61">
        <v>114</v>
      </c>
      <c r="DM1" s="61">
        <v>115</v>
      </c>
      <c r="DN1" s="61">
        <v>116</v>
      </c>
      <c r="DO1" s="61">
        <v>117</v>
      </c>
      <c r="DP1" s="61">
        <v>118</v>
      </c>
      <c r="DQ1" s="61">
        <v>119</v>
      </c>
      <c r="DR1" s="61">
        <v>120</v>
      </c>
      <c r="DS1" s="61">
        <v>121</v>
      </c>
      <c r="DT1" s="61">
        <v>122</v>
      </c>
      <c r="DU1" s="61">
        <v>123</v>
      </c>
      <c r="DV1" s="61">
        <v>124</v>
      </c>
      <c r="DW1" s="61">
        <v>125</v>
      </c>
      <c r="DX1" s="61">
        <v>126</v>
      </c>
      <c r="DY1" s="61">
        <v>127</v>
      </c>
      <c r="DZ1" s="61">
        <v>128</v>
      </c>
      <c r="EA1" s="61">
        <v>129</v>
      </c>
      <c r="EB1" s="61">
        <v>130</v>
      </c>
      <c r="EC1" s="61">
        <v>131</v>
      </c>
      <c r="ED1" s="61">
        <v>132</v>
      </c>
      <c r="EE1" s="61">
        <v>133</v>
      </c>
      <c r="EF1" s="61">
        <v>134</v>
      </c>
      <c r="EG1" s="61">
        <v>135</v>
      </c>
      <c r="EH1" s="61">
        <v>136</v>
      </c>
      <c r="EI1" s="61">
        <v>137</v>
      </c>
      <c r="EJ1" s="61">
        <v>138</v>
      </c>
      <c r="EK1" s="61">
        <v>139</v>
      </c>
      <c r="EL1" s="61">
        <v>140</v>
      </c>
      <c r="EM1" s="61">
        <v>141</v>
      </c>
      <c r="EN1" s="61">
        <v>142</v>
      </c>
      <c r="EO1" s="61">
        <v>143</v>
      </c>
      <c r="EP1" s="61">
        <v>144</v>
      </c>
      <c r="EQ1" s="61">
        <v>145</v>
      </c>
      <c r="ER1" s="61">
        <v>146</v>
      </c>
      <c r="ES1" s="61">
        <v>147</v>
      </c>
      <c r="ET1" s="61">
        <v>148</v>
      </c>
      <c r="EU1" s="61">
        <v>149</v>
      </c>
      <c r="EV1" s="61">
        <v>150</v>
      </c>
      <c r="EW1" s="61">
        <v>151</v>
      </c>
      <c r="EX1" s="61">
        <v>152</v>
      </c>
    </row>
    <row r="2" spans="1:154">
      <c r="A2" s="60" t="s">
        <v>528</v>
      </c>
      <c r="B2" s="112" t="s">
        <v>529</v>
      </c>
      <c r="C2" s="60">
        <v>1</v>
      </c>
      <c r="D2" s="78">
        <v>283.88900000000001</v>
      </c>
      <c r="E2" s="78">
        <f>D2*C2</f>
        <v>283.88900000000001</v>
      </c>
    </row>
    <row r="3" spans="1:154" ht="15">
      <c r="B3" s="64"/>
      <c r="D3" s="64"/>
      <c r="E3" s="78"/>
      <c r="G3" s="59" t="s">
        <v>388</v>
      </c>
      <c r="H3" s="59">
        <v>43831</v>
      </c>
      <c r="I3" s="59">
        <v>43862</v>
      </c>
      <c r="J3" s="59">
        <v>43891</v>
      </c>
      <c r="K3" s="59">
        <v>43922</v>
      </c>
      <c r="L3" s="59">
        <v>43952</v>
      </c>
      <c r="M3" s="59">
        <v>43983</v>
      </c>
      <c r="N3" s="59">
        <v>44013</v>
      </c>
      <c r="O3" s="59">
        <v>44044</v>
      </c>
      <c r="P3" s="59">
        <v>44075</v>
      </c>
      <c r="Q3" s="59">
        <v>44105</v>
      </c>
      <c r="R3" s="59">
        <v>44136</v>
      </c>
      <c r="S3" s="59">
        <v>44166</v>
      </c>
      <c r="T3" s="59">
        <v>44197</v>
      </c>
      <c r="U3" s="59">
        <v>44228</v>
      </c>
      <c r="V3" s="59">
        <v>44256</v>
      </c>
      <c r="W3" s="59">
        <v>44287</v>
      </c>
      <c r="X3" s="59">
        <v>44317</v>
      </c>
      <c r="Y3" s="59">
        <v>44348</v>
      </c>
      <c r="Z3" s="59">
        <v>44378</v>
      </c>
      <c r="AA3" s="59">
        <v>44409</v>
      </c>
      <c r="AB3" s="59">
        <v>44440</v>
      </c>
      <c r="AC3" s="59">
        <v>44470</v>
      </c>
      <c r="AD3" s="59">
        <v>44501</v>
      </c>
      <c r="AE3" s="59">
        <v>44531</v>
      </c>
      <c r="AF3" s="59">
        <v>44562</v>
      </c>
      <c r="AG3" s="59">
        <v>44593</v>
      </c>
      <c r="AH3" s="59">
        <v>44621</v>
      </c>
      <c r="AI3" s="59">
        <v>44652</v>
      </c>
      <c r="AJ3" s="59">
        <v>44682</v>
      </c>
      <c r="AK3" s="59">
        <v>44713</v>
      </c>
      <c r="AL3" s="59">
        <v>44743</v>
      </c>
      <c r="AM3" s="59">
        <v>44774</v>
      </c>
      <c r="AN3" s="59">
        <v>44805</v>
      </c>
      <c r="AO3" s="59">
        <v>44835</v>
      </c>
      <c r="AP3" s="59">
        <v>44866</v>
      </c>
      <c r="AQ3" s="59">
        <v>44896</v>
      </c>
      <c r="AR3" s="59">
        <v>44927</v>
      </c>
      <c r="AS3" s="59">
        <v>44958</v>
      </c>
      <c r="AT3" s="59">
        <v>44986</v>
      </c>
      <c r="AU3" s="59">
        <v>45017</v>
      </c>
      <c r="AV3" s="59">
        <v>45047</v>
      </c>
      <c r="AW3" s="59">
        <v>45078</v>
      </c>
      <c r="AX3" s="59">
        <v>45108</v>
      </c>
      <c r="AY3" s="59" t="s">
        <v>530</v>
      </c>
      <c r="AZ3" s="59" t="s">
        <v>531</v>
      </c>
      <c r="BA3" s="59" t="s">
        <v>532</v>
      </c>
      <c r="BB3" s="59">
        <v>37104</v>
      </c>
      <c r="BC3" s="59">
        <v>37469</v>
      </c>
      <c r="BD3" s="34" t="s">
        <v>168</v>
      </c>
      <c r="BE3" s="34" t="s">
        <v>169</v>
      </c>
      <c r="BF3" s="59" t="s">
        <v>195</v>
      </c>
      <c r="BG3" s="59" t="s">
        <v>196</v>
      </c>
      <c r="BH3" s="59" t="s">
        <v>197</v>
      </c>
      <c r="BI3" s="59" t="s">
        <v>198</v>
      </c>
      <c r="BJ3" s="59" t="s">
        <v>199</v>
      </c>
      <c r="BK3" s="59" t="s">
        <v>200</v>
      </c>
      <c r="BL3" s="59" t="s">
        <v>201</v>
      </c>
      <c r="BM3" s="59" t="s">
        <v>202</v>
      </c>
      <c r="BN3" s="59">
        <v>37196</v>
      </c>
      <c r="BO3" s="59">
        <v>37561</v>
      </c>
      <c r="BP3" s="59">
        <v>37926</v>
      </c>
      <c r="BQ3" s="59">
        <v>38292</v>
      </c>
      <c r="BR3" s="59">
        <v>37226</v>
      </c>
      <c r="BS3" s="59">
        <v>37591</v>
      </c>
      <c r="BT3" s="59">
        <v>37956</v>
      </c>
      <c r="BU3" s="59">
        <v>38322</v>
      </c>
      <c r="BV3" s="59">
        <v>36892</v>
      </c>
      <c r="BW3" s="59">
        <v>37257</v>
      </c>
      <c r="BX3" s="59">
        <v>37622</v>
      </c>
      <c r="BY3" s="59">
        <v>37987</v>
      </c>
      <c r="BZ3" s="59">
        <v>36923</v>
      </c>
      <c r="CA3" s="59">
        <v>37288</v>
      </c>
      <c r="CB3" s="59">
        <v>37653</v>
      </c>
      <c r="CC3" s="59">
        <v>38018</v>
      </c>
      <c r="CD3" s="59" t="str">
        <f>Sheet8!A15</f>
        <v>Mar-w1</v>
      </c>
      <c r="CE3" s="59">
        <v>37316</v>
      </c>
      <c r="CF3" s="59">
        <v>37681</v>
      </c>
      <c r="CG3" s="59">
        <v>38047</v>
      </c>
      <c r="CH3" s="59" t="str">
        <f>Sheet8!E15</f>
        <v>Apr-w1</v>
      </c>
      <c r="CI3" s="59" t="str">
        <f>Sheet8!F15</f>
        <v>Apr-w2</v>
      </c>
      <c r="CJ3" s="59" t="str">
        <f>Sheet8!G15</f>
        <v>Apr-w3</v>
      </c>
      <c r="CK3" s="59" t="str">
        <f>Sheet8!H15</f>
        <v>Apr-w4</v>
      </c>
      <c r="CL3" s="59" t="str">
        <f>Sheet8!I15</f>
        <v>May-w1</v>
      </c>
      <c r="CM3" s="59" t="str">
        <f>Sheet8!J15</f>
        <v>May-w2</v>
      </c>
      <c r="CN3" s="59" t="str">
        <f>Sheet8!K15</f>
        <v>May-w3</v>
      </c>
      <c r="CO3" s="59" t="str">
        <f>Sheet8!L15</f>
        <v>May-w4</v>
      </c>
      <c r="CP3" s="59" t="str">
        <f>Sheet8!M15</f>
        <v>May-w5</v>
      </c>
      <c r="CQ3" s="59" t="str">
        <f>Sheet8!N15</f>
        <v>june-w1</v>
      </c>
      <c r="CR3" s="59" t="str">
        <f>Sheet8!O15</f>
        <v>june-w2</v>
      </c>
      <c r="CS3" s="59" t="str">
        <f>Sheet8!P15</f>
        <v>june-w3</v>
      </c>
      <c r="CT3" s="59" t="str">
        <f>Sheet8!Q15</f>
        <v>june-w4</v>
      </c>
      <c r="CU3" s="59" t="str">
        <f>Sheet8!R15</f>
        <v>Jul-w1</v>
      </c>
      <c r="CV3" s="59" t="str">
        <f>Sheet8!S15</f>
        <v>Jul-w2</v>
      </c>
      <c r="CW3" s="59" t="str">
        <f>Sheet8!T15</f>
        <v>Jul-w3</v>
      </c>
      <c r="CX3" s="59" t="str">
        <f>Sheet8!U15</f>
        <v>Jul-w4</v>
      </c>
      <c r="CY3" s="59" t="str">
        <f>Sheet8!V15</f>
        <v>Aug-w1</v>
      </c>
      <c r="CZ3" s="59" t="str">
        <f>Sheet8!W15</f>
        <v>Aug-w2</v>
      </c>
      <c r="DA3" s="59" t="str">
        <f>Sheet8!X15</f>
        <v>Aug-w3</v>
      </c>
      <c r="DB3" s="59" t="str">
        <f>Sheet8!Y15</f>
        <v>Aug-w4</v>
      </c>
      <c r="DC3" s="59" t="str">
        <f>Sheet8!Z15</f>
        <v>Sep-w1</v>
      </c>
      <c r="DD3" s="59" t="str">
        <f>Sheet8!AA15</f>
        <v>Sep-w2</v>
      </c>
      <c r="DE3" s="59" t="str">
        <f>Sheet8!AB15</f>
        <v>Sep-w3</v>
      </c>
      <c r="DF3" s="59" t="str">
        <f>Sheet8!AC15</f>
        <v>Sep-w4</v>
      </c>
      <c r="DG3" s="59" t="str">
        <f>Sheet8!AD15</f>
        <v>Oct-w1</v>
      </c>
      <c r="DH3" s="59" t="str">
        <f>Sheet8!AE15</f>
        <v>Oct-w2</v>
      </c>
      <c r="DI3" s="59" t="str">
        <f>Sheet8!AF15</f>
        <v>Oct-w3</v>
      </c>
      <c r="DJ3" s="59" t="str">
        <f>Sheet8!AG15</f>
        <v>Oct-w4</v>
      </c>
      <c r="DK3" s="59" t="str">
        <f>Sheet8!AH15</f>
        <v>Nov-w1</v>
      </c>
      <c r="DL3" s="59" t="str">
        <f>Sheet8!AI15</f>
        <v>Nov-w2</v>
      </c>
      <c r="DM3" s="59" t="str">
        <f>Sheet8!AJ15</f>
        <v>Nov-w3</v>
      </c>
      <c r="DN3" s="59" t="str">
        <f>Sheet8!AK15</f>
        <v>Nov-w4</v>
      </c>
      <c r="DO3" s="59" t="str">
        <f>Sheet8!AL15</f>
        <v>Dec-w1</v>
      </c>
      <c r="DP3" s="59" t="str">
        <f>Sheet8!AM15</f>
        <v>Dec-w2</v>
      </c>
      <c r="DQ3" s="59" t="str">
        <f>Sheet8!AN15</f>
        <v>Dec-w3</v>
      </c>
      <c r="DR3" s="59" t="str">
        <f>Sheet8!AO15</f>
        <v>Dec-w4</v>
      </c>
      <c r="DS3" s="59">
        <f>Sheet8!AP15</f>
        <v>0</v>
      </c>
      <c r="DT3" s="59">
        <f>Sheet8!AQ15</f>
        <v>0</v>
      </c>
      <c r="DU3" s="59">
        <f>Sheet8!AR15</f>
        <v>0</v>
      </c>
    </row>
    <row r="4" spans="1:154">
      <c r="B4" s="64"/>
      <c r="D4" s="64" t="s">
        <v>533</v>
      </c>
      <c r="E4" s="78"/>
      <c r="F4" s="60" t="s">
        <v>534</v>
      </c>
      <c r="G4" s="60" t="s">
        <v>94</v>
      </c>
      <c r="H4" s="65">
        <f>VLOOKUP($G$4&amp;$F$1,'Input RM sheet'!$A:$BD,H1,0)</f>
        <v>2.2453358569547559</v>
      </c>
      <c r="I4" s="65">
        <f>VLOOKUP($G$4&amp;$F$1,'Input RM sheet'!$A:$BD,I1,0)</f>
        <v>2.1263543010008927</v>
      </c>
      <c r="J4" s="65">
        <f>VLOOKUP($G$4&amp;$F$1,'Input RM sheet'!$A:$BD,J1,0)</f>
        <v>2.2116084453454703</v>
      </c>
      <c r="K4" s="65">
        <f>VLOOKUP($G$4&amp;$F$1,'Input RM sheet'!$A:$BD,K1,0)</f>
        <v>2.0550641919349761</v>
      </c>
      <c r="L4" s="65">
        <f>VLOOKUP($G$4&amp;$F$1,'Input RM sheet'!$A:$BD,L1,0)</f>
        <v>2.2194569249287914</v>
      </c>
      <c r="M4" s="65">
        <f>VLOOKUP($G$4&amp;$F$1,'Input RM sheet'!$A:$BD,M1,0)</f>
        <v>2.0582789486242201</v>
      </c>
      <c r="N4" s="65">
        <f>VLOOKUP($G$4&amp;$F$1,'Input RM sheet'!$A:$BD,N1,0)</f>
        <v>1.8332966251102516</v>
      </c>
      <c r="O4" s="65">
        <f>VLOOKUP($G$4&amp;$F$1,'Input RM sheet'!$A:$BD,O1,0)</f>
        <v>1.990000377324747</v>
      </c>
      <c r="P4" s="65">
        <f>VLOOKUP($G$4&amp;$F$1,'Input RM sheet'!$A:$BD,P1,0)</f>
        <v>1.9938480015387818</v>
      </c>
      <c r="Q4" s="65">
        <f>VLOOKUP($G$4&amp;$F$1,'Input RM sheet'!$A:$BD,Q1,0)</f>
        <v>2.0693528056126671</v>
      </c>
      <c r="R4" s="65">
        <f>VLOOKUP($G$4&amp;$F$1,'Input RM sheet'!$A:$BD,R1,0)</f>
        <v>2.1952724431297326</v>
      </c>
      <c r="S4" s="65">
        <f>VLOOKUP($G$4&amp;$F$1,'Input RM sheet'!$A:$BD,S1,0)</f>
        <v>2.1224931598196166</v>
      </c>
      <c r="T4" s="65">
        <f>VLOOKUP($G$4&amp;$F$1,'Input RM sheet'!$A:$BD,T1,0)</f>
        <v>2.2993254605126054</v>
      </c>
      <c r="U4" s="65">
        <f>VLOOKUP($G$4&amp;$F$1,'Input RM sheet'!$A:$BD,U1,0)</f>
        <v>2.2946993130799367</v>
      </c>
      <c r="V4" s="65">
        <f>VLOOKUP($G$4&amp;$F$1,'Input RM sheet'!$A:$BD,V1,0)</f>
        <v>2.3412855911549268</v>
      </c>
      <c r="W4" s="65">
        <f>VLOOKUP($G$4&amp;$F$1,'Input RM sheet'!$A:$BD,W1,0)</f>
        <v>2.3752383497686171</v>
      </c>
      <c r="X4" s="65">
        <f>VLOOKUP($G$4&amp;$F$1,'Input RM sheet'!$A:$BD,X1,0)</f>
        <v>2.713844238658218</v>
      </c>
      <c r="Y4" s="65">
        <f>VLOOKUP($G$4&amp;$F$1,'Input RM sheet'!$A:$BD,Y1,0)</f>
        <v>2.9885265588403307</v>
      </c>
      <c r="Z4" s="65">
        <f>VLOOKUP($G$4&amp;$F$1,'Input RM sheet'!$A:$BD,Z1,0)</f>
        <v>3.3226750771292335</v>
      </c>
      <c r="AA4" s="65">
        <f>VLOOKUP($G$4&amp;$F$1,'Input RM sheet'!$A:$BD,AA1,0)</f>
        <v>3.5189587977975245</v>
      </c>
      <c r="AB4" s="65">
        <f>VLOOKUP($G$4&amp;$F$1,'Input RM sheet'!$A:$BD,AB1,0)</f>
        <v>3.5266554625586299</v>
      </c>
      <c r="AC4" s="65">
        <f>VLOOKUP($G$4&amp;$F$1,'Input RM sheet'!$A:$BD,AC1,0)</f>
        <v>7.2557080658453534</v>
      </c>
      <c r="AD4" s="65">
        <f>VLOOKUP($G$4&amp;$F$1,'Input RM sheet'!$A:$BD,AD1,0)</f>
        <v>5.2855545669543798</v>
      </c>
      <c r="AE4" s="65">
        <f>VLOOKUP($G$4&amp;$F$1,'Input RM sheet'!$A:$BD,AE1,0)</f>
        <v>5.7432113702017071</v>
      </c>
      <c r="AF4" s="65">
        <f>VLOOKUP($G$4&amp;$F$1,'Input RM sheet'!$A:$BD,AF1,0)</f>
        <v>4.663075014046365</v>
      </c>
      <c r="AG4" s="65">
        <f>VLOOKUP($G$4&amp;$F$1,'Input RM sheet'!$A:$BD,AG1,0)</f>
        <v>4.654948939280791</v>
      </c>
      <c r="AH4" s="65">
        <f>VLOOKUP($G$4&amp;$F$1,'Input RM sheet'!$A:$BD,AH1,0)</f>
        <v>5.0635367123036383</v>
      </c>
      <c r="AI4" s="65">
        <f>VLOOKUP($G$4&amp;$F$1,'Input RM sheet'!$A:$BD,AI1,0)</f>
        <v>4.9171916277995793</v>
      </c>
      <c r="AJ4" s="65">
        <f>VLOOKUP($G$4&amp;$F$1,'Input RM sheet'!$A:$BD,AJ1,0)</f>
        <v>5.0996915647002004</v>
      </c>
      <c r="AK4" s="65">
        <f>VLOOKUP($G$4&amp;$F$1,'Input RM sheet'!$A:$BD,AK1,0)</f>
        <v>5.071534069553806</v>
      </c>
      <c r="AL4" s="65">
        <f>VLOOKUP($G$4&amp;$F$1,'Input RM sheet'!$A:$BD,AL1,0)</f>
        <v>4.3279450758850295</v>
      </c>
      <c r="AM4" s="65">
        <f>VLOOKUP($G$4&amp;$F$1,'Input RM sheet'!$A:$BD,AM1,0)</f>
        <v>3.7325883183374797</v>
      </c>
      <c r="AN4" s="65">
        <f>VLOOKUP($G$4&amp;$F$1,'Input RM sheet'!$A:$BD,AN1,0)</f>
        <v>4.3430712618241518</v>
      </c>
      <c r="AO4" s="65">
        <f>VLOOKUP($G$4&amp;$F$1,'Input RM sheet'!$A:$BD,AO1,0)</f>
        <v>4.4990798610645184</v>
      </c>
      <c r="AP4" s="65">
        <f>VLOOKUP($G$4&amp;$F$1,'Input RM sheet'!$A:$BD,AP1,0)</f>
        <v>4.040118476870779</v>
      </c>
      <c r="AQ4" s="65">
        <f>VLOOKUP($G$4&amp;$F$1,'Input RM sheet'!$A:$BD,AQ1,0)</f>
        <v>4.253819483572844</v>
      </c>
      <c r="AR4" s="65">
        <f>VLOOKUP($G$4&amp;$F$1,'Input RM sheet'!$A:$BD,AR1,0)</f>
        <v>4.3433259010717968</v>
      </c>
      <c r="AS4" s="65">
        <f>VLOOKUP($G$4&amp;$F$1,'Input RM sheet'!$A:$BD,AS1,0)</f>
        <v>4.0345708165720628</v>
      </c>
      <c r="AT4" s="65">
        <f>VLOOKUP($G$4&amp;$F$1,'Input RM sheet'!$A:$BD,AT1,0)</f>
        <v>3.8861209382483226</v>
      </c>
      <c r="AU4" s="65">
        <f>VLOOKUP($G$4&amp;$F$1,'Input RM sheet'!$A:$BD,AU1,0)</f>
        <v>3.5475510316640628</v>
      </c>
      <c r="AV4" s="65">
        <f>VLOOKUP($G$4&amp;$F$1,'Input RM sheet'!$A:$BD,AV1,0)</f>
        <v>2.5176550560807662</v>
      </c>
      <c r="AW4" s="65">
        <f>VLOOKUP($G$4&amp;$F$1,'Input RM sheet'!$A:$BD,AW1,0)</f>
        <v>2.8940779851763718</v>
      </c>
      <c r="AX4" s="65">
        <f>VLOOKUP($G$4&amp;$F$1,'Input RM sheet'!$A:$BD,AX1,0)</f>
        <v>2.7952395483674093</v>
      </c>
      <c r="AY4" s="65">
        <f>VLOOKUP($G$4&amp;$F$1,'Input RM sheet'!$A:$BD,AY1,0)</f>
        <v>2.8562709795544707</v>
      </c>
      <c r="AZ4" s="65">
        <f>VLOOKUP($G$4&amp;$F$1,'Input RM sheet'!$A:$BD,AZ1,0)</f>
        <v>2.9006882989183875</v>
      </c>
      <c r="BA4" s="65">
        <f>VLOOKUP($G$4&amp;$F$1,'Input RM sheet'!$A:$BD,BA1,0)</f>
        <v>2.9209728324772573</v>
      </c>
      <c r="BB4" s="65">
        <f>VLOOKUP($G$4&amp;$F$1,'Input RM sheet'!$A:$BD,BB1,0)</f>
        <v>2.9498525073746316</v>
      </c>
      <c r="BC4" s="65">
        <f>VLOOKUP($G$4&amp;$F$1,'Input RM sheet'!$A:$BD,BC1,0)</f>
        <v>2.9701403513043059</v>
      </c>
      <c r="BD4" s="65">
        <f>VLOOKUP($G$4&amp;$F$1,'Input RM sheet'!$A:$BD,BD1,0)</f>
        <v>2.9619918181045684</v>
      </c>
      <c r="BE4" s="65">
        <f>VLOOKUP($G$4&amp;$F$1,'Input RM sheet'!$A:$BD,BE1,0)</f>
        <v>3.1917889702222713</v>
      </c>
      <c r="BF4" s="65">
        <f>VLOOKUP($G$4&amp;$F$1,'Input RM sheet'!$A:$DD,BF1,0)</f>
        <v>3.1960098301514477</v>
      </c>
      <c r="BG4" s="65">
        <f>VLOOKUP($G$4&amp;$F$1,'Input RM sheet'!$A:$DD,BG1,0)</f>
        <v>3.1507580999550853</v>
      </c>
      <c r="BH4" s="65">
        <f>VLOOKUP($G$4&amp;$F$1,'Input RM sheet'!$A:$DD,BH1,0)</f>
        <v>3.0988931991756581</v>
      </c>
      <c r="BI4" s="65">
        <f>VLOOKUP($G$4&amp;$F$1,'Input RM sheet'!$A:$DD,BI1,0)</f>
        <v>3.0988931991756581</v>
      </c>
      <c r="BJ4" s="65">
        <f>VLOOKUP($G$4&amp;$F$1,'Input RM sheet'!$A:$DD,BJ1,0)</f>
        <v>3.0988931991756581</v>
      </c>
      <c r="BK4" s="65">
        <f>VLOOKUP($G$4&amp;$F$1,'Input RM sheet'!$A:$DD,BK1,0)</f>
        <v>3.1707227138643068</v>
      </c>
      <c r="BL4" s="65">
        <f>VLOOKUP($G$4&amp;$F$1,'Input RM sheet'!$A:$DD,BL1,0)</f>
        <v>3.162839122065785</v>
      </c>
      <c r="BM4" s="65">
        <f>VLOOKUP($G$4&amp;$F$1,'Input RM sheet'!$A:$DD,BM1,0)</f>
        <v>3.1384496348953048</v>
      </c>
      <c r="BN4" s="65">
        <f>VLOOKUP($G$4&amp;$F$1,'Input RM sheet'!$A:$DD,BN1,0)</f>
        <v>3.1600345704860571</v>
      </c>
      <c r="BO4" s="65">
        <f>VLOOKUP($G$4&amp;$F$1,'Input RM sheet'!$A:$DD,BO1,0)</f>
        <v>3.2049781808430242</v>
      </c>
      <c r="BP4" s="65">
        <f>VLOOKUP($G$4&amp;$F$1,'Input RM sheet'!$A:$DD,BP1,0)</f>
        <v>3.2049781808430242</v>
      </c>
      <c r="BQ4" s="65">
        <f>VLOOKUP($G$4&amp;$F$1,'Input RM sheet'!$A:$DD,BQ1,0)</f>
        <v>3.2190788981677678</v>
      </c>
      <c r="BR4" s="65">
        <f>VLOOKUP($G$4&amp;$F$1,'Input RM sheet'!$A:$DD,BR1,0)</f>
        <v>3.1889392925311721</v>
      </c>
      <c r="BS4" s="65">
        <f>VLOOKUP($G$4&amp;$F$1,'Input RM sheet'!$A:$DD,BS1,0)</f>
        <v>3.0913127051686913</v>
      </c>
      <c r="BT4" s="65">
        <f>VLOOKUP($G$4&amp;$F$1,'Input RM sheet'!$A:$DD,BT1,0)</f>
        <v>2.9081007488087134</v>
      </c>
      <c r="BU4" s="65">
        <f>VLOOKUP($G$4&amp;$F$1,'Input RM sheet'!$A:$DD,BU1,0)</f>
        <v>2.8661420172996994</v>
      </c>
      <c r="BV4" s="65">
        <f>VLOOKUP($G$4&amp;$F$1,'Input RM sheet'!$A:$DD,BV1,0)</f>
        <v>2.8621051975570242</v>
      </c>
      <c r="BW4" s="65">
        <f>VLOOKUP($G$4&amp;$F$1,'Input RM sheet'!$A:$DD,BW1,0)</f>
        <v>2.9741991773650756</v>
      </c>
      <c r="BX4" s="65">
        <f>VLOOKUP($G$4&amp;$F$1,'Input RM sheet'!$A:$DD,BX1,0)</f>
        <v>2.9824997514169236</v>
      </c>
      <c r="BY4" s="65">
        <f>VLOOKUP($G$4&amp;$F$1,'Input RM sheet'!$A:$DD,BY1,0)</f>
        <v>2.9783553016442008</v>
      </c>
      <c r="BZ4" s="65">
        <f>VLOOKUP($G$4&amp;$F$1,'Input RM sheet'!$A:$DD,BZ1,0)</f>
        <v>2.9871924125312721</v>
      </c>
      <c r="CA4" s="65">
        <f>VLOOKUP($G$4&amp;$F$1,'Input RM sheet'!$A:$DD,CA1,0)</f>
        <v>2.9539552229620787</v>
      </c>
      <c r="CB4" s="65">
        <f>VLOOKUP($G$4&amp;$F$1,'Input RM sheet'!$A:$DD,CB1,0)</f>
        <v>2.95806936672665</v>
      </c>
      <c r="CC4" s="65">
        <f>VLOOKUP($G$4&amp;$F$1,'Input RM sheet'!$A:$DD,CC1,0)</f>
        <v>2.9900036873156339</v>
      </c>
      <c r="CD4" s="65">
        <f>VLOOKUP($G$4&amp;$F$1,'Input RM sheet'!$A:$DD,CD1,0)</f>
        <v>2.9244100294985254</v>
      </c>
      <c r="CE4" s="65">
        <f>VLOOKUP($G$4&amp;$F$1,'Input RM sheet'!$A:$DD,CE1,0)</f>
        <v>2.9325560184386328</v>
      </c>
      <c r="CF4" s="65">
        <f>VLOOKUP($G$4&amp;$F$1,'Input RM sheet'!$A:$DD,CF1,0)</f>
        <v>2.805996126786459</v>
      </c>
      <c r="CG4" s="65">
        <f>VLOOKUP($G$4&amp;$F$1,'Input RM sheet'!$A:$DD,CG1,0)</f>
        <v>2.7735957600460224</v>
      </c>
      <c r="CH4" s="65">
        <f>VLOOKUP($G$4&amp;$F$1,'Input RM sheet'!$A:$DD,CH1,0)</f>
        <v>2.7902422306270585</v>
      </c>
      <c r="CI4" s="65">
        <f>VLOOKUP($G$4&amp;$F$1,'Input RM sheet'!$A:$DD,CI1,0)</f>
        <v>2.8186574096709531</v>
      </c>
      <c r="CJ4" s="65">
        <f>VLOOKUP($G$4&amp;$F$1,'Input RM sheet'!$A:$DD,CJ1,0)</f>
        <v>2.8838471128929744</v>
      </c>
      <c r="CK4" s="65">
        <f>VLOOKUP($G$4&amp;$F$1,'Input RM sheet'!$A:$DD,CK1,0)</f>
        <v>2.8838471128929744</v>
      </c>
      <c r="CL4" s="65">
        <f>VLOOKUP($G$4&amp;$F$1,'Input RM sheet'!$A:$DD,CL1,0)</f>
        <v>2.8958464767468981</v>
      </c>
      <c r="CM4" s="65">
        <f>VLOOKUP($G$4&amp;$F$1,'Input RM sheet'!$A:$DD,CM1,0)</f>
        <v>2.7817965948175618</v>
      </c>
      <c r="CN4" s="65">
        <f>VLOOKUP($G$4&amp;$F$1,'Input RM sheet'!$A:$DD,CN1,0)</f>
        <v>2.7735957600460224</v>
      </c>
      <c r="CO4" s="65">
        <f>VLOOKUP($G$4&amp;$F$1,'Input RM sheet'!$A:$DD,CO1,0)</f>
        <v>2.7735957600460224</v>
      </c>
      <c r="CP4" s="65">
        <f>VLOOKUP($G$4&amp;$F$1,'Input RM sheet'!$A:$DD,CP1,0)</f>
        <v>2.769434142400764</v>
      </c>
      <c r="CQ4" s="65">
        <f>VLOOKUP($G$4&amp;$F$1,'Input RM sheet'!$A:$ZZ,CQ1,0)</f>
        <v>2.7008262846526181</v>
      </c>
      <c r="CR4" s="65">
        <f>VLOOKUP($G$4&amp;$F$1,'Input RM sheet'!$A:$ZZ,CR1,0)</f>
        <v>2.7008262846526181</v>
      </c>
      <c r="CS4" s="65">
        <f>VLOOKUP($G$4&amp;$F$1,'Input RM sheet'!$A:$ZZ,CS1,0)</f>
        <v>2.6978960969306915</v>
      </c>
      <c r="CT4" s="65">
        <f>VLOOKUP($G$4&amp;$F$1,'Input RM sheet'!$A:$ZZ,CT1,0)</f>
        <v>2.6941850981728774</v>
      </c>
      <c r="CU4" s="65">
        <f>VLOOKUP($G$4&amp;$F$1,'Input RM sheet'!$A:$ZZ,CU1,0)</f>
        <v>2.6855424766588363</v>
      </c>
      <c r="CV4" s="65">
        <f>VLOOKUP($G$4&amp;$F$1,'Input RM sheet'!$A:$ZZ,CV1,0)</f>
        <v>2.7585787148056635</v>
      </c>
      <c r="CW4" s="65">
        <f>VLOOKUP($G$4&amp;$F$1,'Input RM sheet'!$A:$ZZ,CW1,0)</f>
        <v>2.7547894583292818</v>
      </c>
      <c r="CX4" s="65">
        <f>VLOOKUP($G$4&amp;$F$1,'Input RM sheet'!$A:$ZZ,CX1,0)</f>
        <v>2.7860806129817992</v>
      </c>
      <c r="CY4" s="65">
        <f>VLOOKUP($G$4&amp;$F$1,'Input RM sheet'!$A:$ZZ,CY1,0)</f>
        <v>2.8511126744917989</v>
      </c>
      <c r="CZ4" s="65">
        <f>VLOOKUP($G$4&amp;$F$1,'Input RM sheet'!$A:$ZZ,CZ1,0)</f>
        <v>2.8471417654744009</v>
      </c>
      <c r="DA4" s="65">
        <f>VLOOKUP($G$4&amp;$F$1,'Input RM sheet'!$A:$ZZ,DA1,0)</f>
        <v>2.8507952224766386</v>
      </c>
      <c r="DB4" s="65">
        <f>VLOOKUP($G$4&amp;$F$1,'Input RM sheet'!$A:$ZZ,DB1,0)</f>
        <v>2.9161221263831325</v>
      </c>
      <c r="DC4" s="65">
        <f>VLOOKUP($G$4&amp;$F$1,'Input RM sheet'!$A:$ZZ,DC1,0)</f>
        <v>3.0408028258671695</v>
      </c>
      <c r="DD4" s="65">
        <f>VLOOKUP($G$4&amp;$F$1,'Input RM sheet'!$A:$ZZ,DD1,0)</f>
        <v>3.0322492314202858</v>
      </c>
      <c r="DE4" s="65">
        <f>VLOOKUP($G$4&amp;$F$1,'Input RM sheet'!$A:$ZZ,DE1,0)</f>
        <v>3.0537240843340276</v>
      </c>
      <c r="DF4" s="65">
        <f>VLOOKUP($G$4&amp;$F$1,'Input RM sheet'!$A:$ZZ,DF1,0)</f>
        <v>3.0333055996772815</v>
      </c>
      <c r="DG4" s="65">
        <f>VLOOKUP($G$4&amp;$F$1,'Input RM sheet'!$A:$ZZ,DG1,0)</f>
        <v>2.98288077049139</v>
      </c>
      <c r="DH4" s="65">
        <f>VLOOKUP($G$4&amp;$F$1,'Input RM sheet'!$A:$ZZ,DH1,0)</f>
        <v>2.9102722079085921</v>
      </c>
      <c r="DI4" s="65">
        <f>VLOOKUP($G$4&amp;$F$1,'Input RM sheet'!$A:$ZZ,DI1,0)</f>
        <v>2.9717385098487017</v>
      </c>
      <c r="DJ4" s="65">
        <f>VLOOKUP($G$4&amp;$F$1,'Input RM sheet'!$A:$ZZ,DJ1,0)</f>
        <v>2.9675764110954117</v>
      </c>
      <c r="DK4" s="65">
        <f>VLOOKUP($G$4&amp;$F$1,'Input RM sheet'!$A:$ZZ,DK1,0)</f>
        <v>2.998643316779309</v>
      </c>
      <c r="DL4" s="65">
        <f>VLOOKUP($G$4&amp;$F$1,'Input RM sheet'!$A:$ZZ,DL1,0)</f>
        <v>2.9212107859337326</v>
      </c>
      <c r="DM4" s="65">
        <f>VLOOKUP($G$4&amp;$F$1,'Input RM sheet'!$A:$ZZ,DM1,0)</f>
        <v>2.8841734708844671</v>
      </c>
      <c r="DN4" s="65">
        <f>VLOOKUP($G$4&amp;$F$1,'Input RM sheet'!$A:$ZZ,DN1,0)</f>
        <v>2.8518491430800368</v>
      </c>
      <c r="DO4" s="65">
        <f>VLOOKUP($G$4&amp;$F$1,'Input RM sheet'!$A:$ZZ,DO1,0)</f>
        <v>2.8462222005818556</v>
      </c>
      <c r="DP4" s="65">
        <f>VLOOKUP($G$4&amp;$F$1,'Input RM sheet'!$A:$ZZ,DP1,0)</f>
        <v>2.8418400262930463</v>
      </c>
      <c r="DQ4" s="65">
        <f>VLOOKUP($G$4&amp;$F$1,'Input RM sheet'!$A:$ZZ,DQ1,0)</f>
        <v>2.791191716134358</v>
      </c>
      <c r="DR4" s="65">
        <f>VLOOKUP($G$4&amp;$F$1,'Input RM sheet'!$A:$ZZ,DR1,0)</f>
        <v>2.7792459692083895</v>
      </c>
      <c r="DS4" s="65" t="e">
        <f>VLOOKUP($G$4&amp;$F$1,'Input RM sheet'!$A:$ZZ,DS1,0)</f>
        <v>#DIV/0!</v>
      </c>
      <c r="DT4" s="65" t="e">
        <f>VLOOKUP($G$4&amp;$F$1,'Input RM sheet'!$A:$ZZ,DT1,0)</f>
        <v>#DIV/0!</v>
      </c>
      <c r="DU4" s="65" t="e">
        <f>VLOOKUP($G$4&amp;$F$1,'Input RM sheet'!$A:$ZZ,DU1,0)</f>
        <v>#DIV/0!</v>
      </c>
    </row>
    <row r="5" spans="1:154">
      <c r="B5" s="64"/>
      <c r="D5" s="64"/>
      <c r="E5" s="78"/>
      <c r="G5" s="60" t="s">
        <v>535</v>
      </c>
    </row>
    <row r="6" spans="1:154" ht="39">
      <c r="A6" s="59" t="s">
        <v>395</v>
      </c>
      <c r="B6" s="59"/>
      <c r="C6" s="59" t="s">
        <v>379</v>
      </c>
      <c r="D6" s="98" t="s">
        <v>380</v>
      </c>
      <c r="E6" s="98" t="s">
        <v>381</v>
      </c>
      <c r="F6" s="59" t="s">
        <v>396</v>
      </c>
      <c r="G6" s="60" t="s">
        <v>399</v>
      </c>
      <c r="H6" s="84"/>
      <c r="I6" s="84"/>
      <c r="J6" s="84"/>
      <c r="K6" s="84"/>
      <c r="L6" s="84"/>
      <c r="M6" s="84"/>
      <c r="N6" s="84"/>
      <c r="O6" s="84"/>
      <c r="P6" s="84"/>
      <c r="Q6" s="84"/>
      <c r="R6" s="84"/>
      <c r="S6" s="84"/>
    </row>
    <row r="7" spans="1:154">
      <c r="A7" s="375" t="s">
        <v>397</v>
      </c>
      <c r="B7" s="60" t="s">
        <v>536</v>
      </c>
      <c r="C7" s="60">
        <v>1</v>
      </c>
      <c r="D7" s="64">
        <v>123.89</v>
      </c>
      <c r="E7" s="60">
        <f>D7*C7</f>
        <v>123.89</v>
      </c>
      <c r="F7" s="65">
        <f>E7/$E$2</f>
        <v>0.43640296031195291</v>
      </c>
      <c r="H7" s="65">
        <f>$F$7*H4</f>
        <v>0.97987121486963114</v>
      </c>
      <c r="I7" s="65">
        <f t="shared" ref="I7:BC7" si="0">$F$7*I4</f>
        <v>0.92794731162884292</v>
      </c>
      <c r="J7" s="65">
        <f t="shared" si="0"/>
        <v>0.96515247259967918</v>
      </c>
      <c r="K7" s="65">
        <f t="shared" si="0"/>
        <v>0.89683609699151501</v>
      </c>
      <c r="L7" s="65">
        <f t="shared" si="0"/>
        <v>0.96857757232378838</v>
      </c>
      <c r="M7" s="65">
        <f t="shared" si="0"/>
        <v>0.89823902632738373</v>
      </c>
      <c r="N7" s="65">
        <f t="shared" si="0"/>
        <v>0.80005607432802639</v>
      </c>
      <c r="O7" s="65">
        <f t="shared" si="0"/>
        <v>0.86844205568642285</v>
      </c>
      <c r="P7" s="65">
        <f t="shared" si="0"/>
        <v>0.87012117028359559</v>
      </c>
      <c r="Q7" s="65">
        <f t="shared" si="0"/>
        <v>0.90307169029921319</v>
      </c>
      <c r="R7" s="65">
        <f t="shared" si="0"/>
        <v>0.95802339287306859</v>
      </c>
      <c r="S7" s="65">
        <f t="shared" si="0"/>
        <v>0.92626229818715167</v>
      </c>
      <c r="T7" s="65">
        <f t="shared" si="0"/>
        <v>1.0034324376883454</v>
      </c>
      <c r="U7" s="65">
        <f t="shared" si="0"/>
        <v>1.0014135732538891</v>
      </c>
      <c r="V7" s="65">
        <f t="shared" si="0"/>
        <v>1.0217439629157308</v>
      </c>
      <c r="W7" s="65">
        <f t="shared" si="0"/>
        <v>1.0365610472855025</v>
      </c>
      <c r="X7" s="65">
        <f t="shared" si="0"/>
        <v>1.1843296595759845</v>
      </c>
      <c r="Y7" s="65">
        <f t="shared" si="0"/>
        <v>1.304201837248814</v>
      </c>
      <c r="Z7" s="65">
        <f t="shared" si="0"/>
        <v>1.4500252398139439</v>
      </c>
      <c r="AA7" s="65">
        <f t="shared" si="0"/>
        <v>1.5356840365746307</v>
      </c>
      <c r="AB7" s="65">
        <f t="shared" si="0"/>
        <v>1.5390428838609058</v>
      </c>
      <c r="AC7" s="65">
        <f t="shared" si="0"/>
        <v>3.1664124790942263</v>
      </c>
      <c r="AD7" s="65">
        <f t="shared" si="0"/>
        <v>2.3066316599092538</v>
      </c>
      <c r="AE7" s="65">
        <f t="shared" si="0"/>
        <v>2.5063544436532923</v>
      </c>
      <c r="AF7" s="65">
        <f t="shared" si="0"/>
        <v>2.0349797402865351</v>
      </c>
      <c r="AG7" s="65">
        <f t="shared" si="0"/>
        <v>2.0314334972031225</v>
      </c>
      <c r="AH7" s="65">
        <f t="shared" si="0"/>
        <v>2.2097424108975612</v>
      </c>
      <c r="AI7" s="65">
        <f t="shared" si="0"/>
        <v>2.145876982792887</v>
      </c>
      <c r="AJ7" s="65">
        <f t="shared" si="0"/>
        <v>2.2255204955130625</v>
      </c>
      <c r="AK7" s="65">
        <f t="shared" si="0"/>
        <v>2.2132324812762065</v>
      </c>
      <c r="AL7" s="65">
        <f t="shared" si="0"/>
        <v>1.8887280431837665</v>
      </c>
      <c r="AM7" s="65">
        <f t="shared" si="0"/>
        <v>1.6289125917482903</v>
      </c>
      <c r="AN7" s="65">
        <f t="shared" si="0"/>
        <v>1.8953291555058287</v>
      </c>
      <c r="AO7" s="65">
        <f t="shared" si="0"/>
        <v>1.9634117700484457</v>
      </c>
      <c r="AP7" s="65">
        <f t="shared" si="0"/>
        <v>1.7631196633174262</v>
      </c>
      <c r="AQ7" s="65">
        <f t="shared" si="0"/>
        <v>1.856379415263852</v>
      </c>
      <c r="AR7" s="65">
        <f t="shared" si="0"/>
        <v>1.8954402808273125</v>
      </c>
      <c r="AS7" s="65">
        <f t="shared" si="0"/>
        <v>1.7606986479402613</v>
      </c>
      <c r="AT7" s="65">
        <f t="shared" si="0"/>
        <v>1.695914681581832</v>
      </c>
      <c r="AU7" s="65">
        <f t="shared" si="0"/>
        <v>1.5481617720759195</v>
      </c>
      <c r="AV7" s="65">
        <f t="shared" si="0"/>
        <v>1.0987121195180023</v>
      </c>
      <c r="AW7" s="65">
        <f t="shared" si="0"/>
        <v>1.2629842001046208</v>
      </c>
      <c r="AX7" s="65">
        <f t="shared" si="0"/>
        <v>1.2198508136885837</v>
      </c>
      <c r="AY7" s="65">
        <f t="shared" si="0"/>
        <v>1.2464851109306925</v>
      </c>
      <c r="AZ7" s="65">
        <f t="shared" si="0"/>
        <v>1.2658689605902274</v>
      </c>
      <c r="BA7" s="65">
        <f t="shared" si="0"/>
        <v>1.2747211910838652</v>
      </c>
      <c r="BB7" s="65">
        <f>$F$7*BB4</f>
        <v>1.2873243667019261</v>
      </c>
      <c r="BC7" s="65">
        <f t="shared" si="0"/>
        <v>1.2961780418511828</v>
      </c>
      <c r="BD7" s="65">
        <f t="shared" ref="BD7:BM7" si="1">$F$7*BD4</f>
        <v>1.2926219978406173</v>
      </c>
      <c r="BE7" s="65">
        <f t="shared" si="1"/>
        <v>1.3929061552960389</v>
      </c>
      <c r="BF7" s="65">
        <f t="shared" si="1"/>
        <v>1.3947481510641937</v>
      </c>
      <c r="BG7" s="65">
        <f t="shared" si="1"/>
        <v>1.3750001620472632</v>
      </c>
      <c r="BH7" s="65">
        <f t="shared" si="1"/>
        <v>1.3523661658108355</v>
      </c>
      <c r="BI7" s="65">
        <f t="shared" si="1"/>
        <v>1.3523661658108355</v>
      </c>
      <c r="BJ7" s="65">
        <f t="shared" si="1"/>
        <v>1.3523661658108355</v>
      </c>
      <c r="BK7" s="65">
        <f t="shared" si="1"/>
        <v>1.3837127786587327</v>
      </c>
      <c r="BL7" s="65">
        <f t="shared" si="1"/>
        <v>1.3802723558599668</v>
      </c>
      <c r="BM7" s="65">
        <f t="shared" si="1"/>
        <v>1.3696287114582788</v>
      </c>
      <c r="BN7" s="65">
        <f t="shared" ref="BN7:BT7" si="2">$F$7*BN4</f>
        <v>1.379048441248226</v>
      </c>
      <c r="BO7" s="65">
        <f t="shared" si="2"/>
        <v>1.3986619658551134</v>
      </c>
      <c r="BP7" s="65">
        <f t="shared" si="2"/>
        <v>1.3986619658551134</v>
      </c>
      <c r="BQ7" s="65">
        <f t="shared" si="2"/>
        <v>1.4048155606381536</v>
      </c>
      <c r="BR7" s="65">
        <f t="shared" si="2"/>
        <v>1.3916625475157083</v>
      </c>
      <c r="BS7" s="65">
        <f t="shared" si="2"/>
        <v>1.3490580157855683</v>
      </c>
      <c r="BT7" s="65">
        <f t="shared" si="2"/>
        <v>1.2691037756655295</v>
      </c>
      <c r="BU7" s="65">
        <f t="shared" ref="BU7:CJ7" si="3">$F$7*BU4</f>
        <v>1.2507928610240613</v>
      </c>
      <c r="BV7" s="65">
        <f t="shared" si="3"/>
        <v>1.2490311809381123</v>
      </c>
      <c r="BW7" s="65">
        <f t="shared" si="3"/>
        <v>1.297949325559494</v>
      </c>
      <c r="BX7" s="65">
        <f t="shared" si="3"/>
        <v>1.3015717206480091</v>
      </c>
      <c r="BY7" s="65">
        <f t="shared" si="3"/>
        <v>1.2997630704983287</v>
      </c>
      <c r="BZ7" s="65">
        <f t="shared" si="3"/>
        <v>1.3036196118500516</v>
      </c>
      <c r="CA7" s="65">
        <f t="shared" si="3"/>
        <v>1.2891148039296061</v>
      </c>
      <c r="CB7" s="65">
        <f t="shared" si="3"/>
        <v>1.2909102284476139</v>
      </c>
      <c r="CC7" s="65">
        <f t="shared" si="3"/>
        <v>1.3048464604881975</v>
      </c>
      <c r="CD7" s="65">
        <f t="shared" si="3"/>
        <v>1.2762211940391219</v>
      </c>
      <c r="CE7" s="65">
        <f t="shared" si="3"/>
        <v>1.2797761277272532</v>
      </c>
      <c r="CF7" s="65">
        <f t="shared" si="3"/>
        <v>1.2245450163534848</v>
      </c>
      <c r="CG7" s="65">
        <f t="shared" si="3"/>
        <v>1.2104054003927651</v>
      </c>
      <c r="CH7" s="65">
        <f t="shared" si="3"/>
        <v>1.2176699694330753</v>
      </c>
      <c r="CI7" s="65">
        <f t="shared" si="3"/>
        <v>1.2300704376856251</v>
      </c>
      <c r="CJ7" s="65">
        <f t="shared" si="3"/>
        <v>1.2585194171535727</v>
      </c>
      <c r="CK7" s="65">
        <f t="shared" ref="CK7:CQ7" si="4">$F$7*CK4</f>
        <v>1.2585194171535727</v>
      </c>
      <c r="CL7" s="65">
        <f t="shared" si="4"/>
        <v>1.2637559750612852</v>
      </c>
      <c r="CM7" s="65">
        <f t="shared" si="4"/>
        <v>1.2139842689640943</v>
      </c>
      <c r="CN7" s="65">
        <f t="shared" si="4"/>
        <v>1.2104054003927651</v>
      </c>
      <c r="CO7" s="65">
        <f t="shared" si="4"/>
        <v>1.2104054003927651</v>
      </c>
      <c r="CP7" s="65">
        <f t="shared" si="4"/>
        <v>1.208589258132688</v>
      </c>
      <c r="CQ7" s="65">
        <f t="shared" si="4"/>
        <v>1.1786485859107358</v>
      </c>
      <c r="CR7" s="65">
        <f t="shared" ref="CR7:DL7" si="5">$F$7*CR4</f>
        <v>1.1786485859107358</v>
      </c>
      <c r="CS7" s="65">
        <f t="shared" si="5"/>
        <v>1.1773698433146174</v>
      </c>
      <c r="CT7" s="65">
        <f t="shared" si="5"/>
        <v>1.1757503524709931</v>
      </c>
      <c r="CU7" s="65">
        <f t="shared" si="5"/>
        <v>1.1719786868574098</v>
      </c>
      <c r="CV7" s="65">
        <f t="shared" si="5"/>
        <v>1.203851917394734</v>
      </c>
      <c r="CW7" s="65">
        <f t="shared" si="5"/>
        <v>1.2021982746510598</v>
      </c>
      <c r="CX7" s="65">
        <f t="shared" si="5"/>
        <v>1.2158538271729975</v>
      </c>
      <c r="CY7" s="65">
        <f t="shared" si="5"/>
        <v>1.2442340113311505</v>
      </c>
      <c r="CZ7" s="65">
        <f t="shared" si="5"/>
        <v>1.2425010948808286</v>
      </c>
      <c r="DA7" s="65">
        <f t="shared" si="5"/>
        <v>1.2440954743319774</v>
      </c>
      <c r="DB7" s="65">
        <f t="shared" si="5"/>
        <v>1.2726043285847859</v>
      </c>
      <c r="DC7" s="65">
        <f t="shared" si="5"/>
        <v>1.3270153549333847</v>
      </c>
      <c r="DD7" s="65">
        <f t="shared" si="5"/>
        <v>1.3232825409954567</v>
      </c>
      <c r="DE7" s="65">
        <f t="shared" si="5"/>
        <v>1.3326542303792774</v>
      </c>
      <c r="DF7" s="65">
        <f t="shared" si="5"/>
        <v>1.3237435432299893</v>
      </c>
      <c r="DG7" s="65">
        <f t="shared" si="5"/>
        <v>1.3017379985000417</v>
      </c>
      <c r="DH7" s="65">
        <f t="shared" si="5"/>
        <v>1.2700514068449129</v>
      </c>
      <c r="DI7" s="65">
        <f t="shared" si="5"/>
        <v>1.296875482971005</v>
      </c>
      <c r="DJ7" s="65">
        <f t="shared" si="5"/>
        <v>1.2950591307539585</v>
      </c>
      <c r="DK7" s="65">
        <f t="shared" si="5"/>
        <v>1.3086168203621436</v>
      </c>
      <c r="DL7" s="65">
        <f t="shared" si="5"/>
        <v>1.2748250346766874</v>
      </c>
      <c r="DM7" s="65">
        <f t="shared" ref="DM7:DU7" si="6">$F$7*DM4</f>
        <v>1.2586618407471815</v>
      </c>
      <c r="DN7" s="65">
        <f t="shared" si="6"/>
        <v>1.2445554084032342</v>
      </c>
      <c r="DO7" s="65">
        <f t="shared" si="6"/>
        <v>1.2420997940395229</v>
      </c>
      <c r="DP7" s="65">
        <f t="shared" si="6"/>
        <v>1.2401874002072835</v>
      </c>
      <c r="DQ7" s="65">
        <f t="shared" si="6"/>
        <v>1.2180843277192339</v>
      </c>
      <c r="DR7" s="65">
        <f t="shared" si="6"/>
        <v>1.2128711683976039</v>
      </c>
      <c r="DS7" s="65" t="e">
        <f t="shared" si="6"/>
        <v>#DIV/0!</v>
      </c>
      <c r="DT7" s="65" t="e">
        <f t="shared" si="6"/>
        <v>#DIV/0!</v>
      </c>
      <c r="DU7" s="65" t="e">
        <f t="shared" si="6"/>
        <v>#DIV/0!</v>
      </c>
    </row>
    <row r="8" spans="1:154">
      <c r="A8" s="376"/>
      <c r="B8" s="60" t="s">
        <v>535</v>
      </c>
      <c r="C8" s="60">
        <v>4</v>
      </c>
      <c r="D8" s="64"/>
      <c r="F8" s="65">
        <v>1.5</v>
      </c>
      <c r="H8" s="60">
        <f>$F$8*H5</f>
        <v>0</v>
      </c>
      <c r="I8" s="60">
        <f t="shared" ref="I8:BC8" si="7">$F$8*I5</f>
        <v>0</v>
      </c>
      <c r="J8" s="60">
        <f t="shared" si="7"/>
        <v>0</v>
      </c>
      <c r="K8" s="60">
        <f t="shared" si="7"/>
        <v>0</v>
      </c>
      <c r="L8" s="60">
        <f t="shared" si="7"/>
        <v>0</v>
      </c>
      <c r="M8" s="60">
        <f t="shared" si="7"/>
        <v>0</v>
      </c>
      <c r="N8" s="60">
        <f t="shared" si="7"/>
        <v>0</v>
      </c>
      <c r="O8" s="60">
        <f t="shared" si="7"/>
        <v>0</v>
      </c>
      <c r="P8" s="60">
        <f t="shared" si="7"/>
        <v>0</v>
      </c>
      <c r="Q8" s="60">
        <f t="shared" si="7"/>
        <v>0</v>
      </c>
      <c r="R8" s="60">
        <f t="shared" si="7"/>
        <v>0</v>
      </c>
      <c r="S8" s="60">
        <f t="shared" si="7"/>
        <v>0</v>
      </c>
      <c r="T8" s="60">
        <f t="shared" si="7"/>
        <v>0</v>
      </c>
      <c r="U8" s="60">
        <f t="shared" si="7"/>
        <v>0</v>
      </c>
      <c r="V8" s="60">
        <f t="shared" si="7"/>
        <v>0</v>
      </c>
      <c r="W8" s="60">
        <f t="shared" si="7"/>
        <v>0</v>
      </c>
      <c r="X8" s="60">
        <f t="shared" si="7"/>
        <v>0</v>
      </c>
      <c r="Y8" s="60">
        <f t="shared" si="7"/>
        <v>0</v>
      </c>
      <c r="Z8" s="60">
        <f t="shared" si="7"/>
        <v>0</v>
      </c>
      <c r="AA8" s="60">
        <f t="shared" si="7"/>
        <v>0</v>
      </c>
      <c r="AB8" s="60">
        <f t="shared" si="7"/>
        <v>0</v>
      </c>
      <c r="AC8" s="60">
        <f t="shared" si="7"/>
        <v>0</v>
      </c>
      <c r="AD8" s="60">
        <f t="shared" si="7"/>
        <v>0</v>
      </c>
      <c r="AE8" s="60">
        <f t="shared" si="7"/>
        <v>0</v>
      </c>
      <c r="AF8" s="60">
        <f t="shared" si="7"/>
        <v>0</v>
      </c>
      <c r="AG8" s="60">
        <f t="shared" si="7"/>
        <v>0</v>
      </c>
      <c r="AH8" s="60">
        <f t="shared" si="7"/>
        <v>0</v>
      </c>
      <c r="AI8" s="60">
        <f t="shared" si="7"/>
        <v>0</v>
      </c>
      <c r="AJ8" s="60">
        <f t="shared" si="7"/>
        <v>0</v>
      </c>
      <c r="AK8" s="60">
        <f t="shared" si="7"/>
        <v>0</v>
      </c>
      <c r="AL8" s="60">
        <f t="shared" si="7"/>
        <v>0</v>
      </c>
      <c r="AM8" s="60">
        <f t="shared" si="7"/>
        <v>0</v>
      </c>
      <c r="AN8" s="60">
        <f t="shared" si="7"/>
        <v>0</v>
      </c>
      <c r="AO8" s="60">
        <f t="shared" si="7"/>
        <v>0</v>
      </c>
      <c r="AP8" s="60">
        <f t="shared" si="7"/>
        <v>0</v>
      </c>
      <c r="AQ8" s="60">
        <f t="shared" si="7"/>
        <v>0</v>
      </c>
      <c r="AR8" s="60">
        <f t="shared" si="7"/>
        <v>0</v>
      </c>
      <c r="AS8" s="60">
        <f t="shared" si="7"/>
        <v>0</v>
      </c>
      <c r="AT8" s="60">
        <f t="shared" si="7"/>
        <v>0</v>
      </c>
      <c r="AU8" s="60">
        <f t="shared" si="7"/>
        <v>0</v>
      </c>
      <c r="AV8" s="60">
        <f t="shared" si="7"/>
        <v>0</v>
      </c>
      <c r="AW8" s="60">
        <f t="shared" si="7"/>
        <v>0</v>
      </c>
      <c r="AX8" s="60">
        <f t="shared" si="7"/>
        <v>0</v>
      </c>
      <c r="AY8" s="60">
        <f t="shared" si="7"/>
        <v>0</v>
      </c>
      <c r="AZ8" s="60">
        <f t="shared" si="7"/>
        <v>0</v>
      </c>
      <c r="BA8" s="60">
        <f t="shared" si="7"/>
        <v>0</v>
      </c>
      <c r="BB8" s="60">
        <f>$F$8*BB5</f>
        <v>0</v>
      </c>
      <c r="BC8" s="60">
        <f t="shared" si="7"/>
        <v>0</v>
      </c>
      <c r="BD8" s="60">
        <f t="shared" ref="BD8:BM8" si="8">$F$8*BD5</f>
        <v>0</v>
      </c>
      <c r="BE8" s="60">
        <f t="shared" si="8"/>
        <v>0</v>
      </c>
      <c r="BF8" s="60">
        <f t="shared" si="8"/>
        <v>0</v>
      </c>
      <c r="BG8" s="60">
        <f t="shared" si="8"/>
        <v>0</v>
      </c>
      <c r="BH8" s="60">
        <f t="shared" si="8"/>
        <v>0</v>
      </c>
      <c r="BI8" s="60">
        <f t="shared" si="8"/>
        <v>0</v>
      </c>
      <c r="BJ8" s="60">
        <f t="shared" si="8"/>
        <v>0</v>
      </c>
      <c r="BK8" s="60">
        <f t="shared" si="8"/>
        <v>0</v>
      </c>
      <c r="BL8" s="60">
        <f t="shared" si="8"/>
        <v>0</v>
      </c>
      <c r="BM8" s="60">
        <f t="shared" si="8"/>
        <v>0</v>
      </c>
      <c r="BN8" s="60">
        <f t="shared" ref="BN8:BT8" si="9">$F$8*BN5</f>
        <v>0</v>
      </c>
      <c r="BO8" s="60">
        <f t="shared" si="9"/>
        <v>0</v>
      </c>
      <c r="BP8" s="60">
        <f t="shared" si="9"/>
        <v>0</v>
      </c>
      <c r="BQ8" s="60">
        <f t="shared" si="9"/>
        <v>0</v>
      </c>
      <c r="BR8" s="60">
        <f t="shared" si="9"/>
        <v>0</v>
      </c>
      <c r="BS8" s="60">
        <f t="shared" si="9"/>
        <v>0</v>
      </c>
      <c r="BT8" s="60">
        <f t="shared" si="9"/>
        <v>0</v>
      </c>
      <c r="BU8" s="60">
        <f t="shared" ref="BU8:CJ8" si="10">$F$8*BU5</f>
        <v>0</v>
      </c>
      <c r="BV8" s="60">
        <f t="shared" si="10"/>
        <v>0</v>
      </c>
      <c r="BW8" s="60">
        <f t="shared" si="10"/>
        <v>0</v>
      </c>
      <c r="BX8" s="60">
        <f t="shared" si="10"/>
        <v>0</v>
      </c>
      <c r="BY8" s="60">
        <f t="shared" si="10"/>
        <v>0</v>
      </c>
      <c r="BZ8" s="60">
        <f t="shared" si="10"/>
        <v>0</v>
      </c>
      <c r="CA8" s="60">
        <f t="shared" si="10"/>
        <v>0</v>
      </c>
      <c r="CB8" s="60">
        <f t="shared" si="10"/>
        <v>0</v>
      </c>
      <c r="CC8" s="60">
        <f t="shared" si="10"/>
        <v>0</v>
      </c>
      <c r="CD8" s="60">
        <f t="shared" si="10"/>
        <v>0</v>
      </c>
      <c r="CE8" s="60">
        <f t="shared" si="10"/>
        <v>0</v>
      </c>
      <c r="CF8" s="60">
        <f t="shared" si="10"/>
        <v>0</v>
      </c>
      <c r="CG8" s="60">
        <f t="shared" si="10"/>
        <v>0</v>
      </c>
      <c r="CH8" s="60">
        <f t="shared" si="10"/>
        <v>0</v>
      </c>
      <c r="CI8" s="60">
        <f t="shared" si="10"/>
        <v>0</v>
      </c>
      <c r="CJ8" s="60">
        <f t="shared" si="10"/>
        <v>0</v>
      </c>
      <c r="CK8" s="60">
        <f t="shared" ref="CK8:CQ8" si="11">$F$8*CK5</f>
        <v>0</v>
      </c>
      <c r="CL8" s="60">
        <f t="shared" si="11"/>
        <v>0</v>
      </c>
      <c r="CM8" s="60">
        <f t="shared" si="11"/>
        <v>0</v>
      </c>
      <c r="CN8" s="60">
        <f t="shared" si="11"/>
        <v>0</v>
      </c>
      <c r="CO8" s="60">
        <f t="shared" si="11"/>
        <v>0</v>
      </c>
      <c r="CP8" s="60">
        <f t="shared" si="11"/>
        <v>0</v>
      </c>
      <c r="CQ8" s="60">
        <f t="shared" si="11"/>
        <v>0</v>
      </c>
      <c r="CR8" s="60">
        <f t="shared" ref="CR8:DL8" si="12">$F$8*CR5</f>
        <v>0</v>
      </c>
      <c r="CS8" s="60">
        <f t="shared" si="12"/>
        <v>0</v>
      </c>
      <c r="CT8" s="60">
        <f t="shared" si="12"/>
        <v>0</v>
      </c>
      <c r="CU8" s="60">
        <f t="shared" si="12"/>
        <v>0</v>
      </c>
      <c r="CV8" s="60">
        <f t="shared" si="12"/>
        <v>0</v>
      </c>
      <c r="CW8" s="60">
        <f t="shared" si="12"/>
        <v>0</v>
      </c>
      <c r="CX8" s="60">
        <f t="shared" si="12"/>
        <v>0</v>
      </c>
      <c r="CY8" s="60">
        <f t="shared" si="12"/>
        <v>0</v>
      </c>
      <c r="CZ8" s="60">
        <f t="shared" si="12"/>
        <v>0</v>
      </c>
      <c r="DA8" s="60">
        <f t="shared" si="12"/>
        <v>0</v>
      </c>
      <c r="DB8" s="60">
        <f t="shared" si="12"/>
        <v>0</v>
      </c>
      <c r="DC8" s="60">
        <f t="shared" si="12"/>
        <v>0</v>
      </c>
      <c r="DD8" s="60">
        <f t="shared" si="12"/>
        <v>0</v>
      </c>
      <c r="DE8" s="60">
        <f t="shared" si="12"/>
        <v>0</v>
      </c>
      <c r="DF8" s="60">
        <f t="shared" si="12"/>
        <v>0</v>
      </c>
      <c r="DG8" s="60">
        <f t="shared" si="12"/>
        <v>0</v>
      </c>
      <c r="DH8" s="60">
        <f t="shared" si="12"/>
        <v>0</v>
      </c>
      <c r="DI8" s="60">
        <f t="shared" si="12"/>
        <v>0</v>
      </c>
      <c r="DJ8" s="60">
        <f t="shared" si="12"/>
        <v>0</v>
      </c>
      <c r="DK8" s="60">
        <f t="shared" si="12"/>
        <v>0</v>
      </c>
      <c r="DL8" s="60">
        <f t="shared" si="12"/>
        <v>0</v>
      </c>
      <c r="DM8" s="60">
        <f t="shared" ref="DM8:DU8" si="13">$F$8*DM5</f>
        <v>0</v>
      </c>
      <c r="DN8" s="60">
        <f t="shared" si="13"/>
        <v>0</v>
      </c>
      <c r="DO8" s="60">
        <f t="shared" si="13"/>
        <v>0</v>
      </c>
      <c r="DP8" s="60">
        <f t="shared" si="13"/>
        <v>0</v>
      </c>
      <c r="DQ8" s="60">
        <f t="shared" si="13"/>
        <v>0</v>
      </c>
      <c r="DR8" s="60">
        <f t="shared" si="13"/>
        <v>0</v>
      </c>
      <c r="DS8" s="60">
        <f t="shared" si="13"/>
        <v>0</v>
      </c>
      <c r="DT8" s="60">
        <f t="shared" si="13"/>
        <v>0</v>
      </c>
      <c r="DU8" s="60">
        <f t="shared" si="13"/>
        <v>0</v>
      </c>
    </row>
    <row r="9" spans="1:154" s="73" customFormat="1">
      <c r="A9" s="59" t="s">
        <v>518</v>
      </c>
      <c r="H9" s="93">
        <f>SUM(H7:H8)</f>
        <v>0.97987121486963114</v>
      </c>
      <c r="I9" s="93">
        <f t="shared" ref="I9:W9" si="14">SUM(I7:I8)</f>
        <v>0.92794731162884292</v>
      </c>
      <c r="J9" s="93">
        <f t="shared" si="14"/>
        <v>0.96515247259967918</v>
      </c>
      <c r="K9" s="93">
        <f t="shared" si="14"/>
        <v>0.89683609699151501</v>
      </c>
      <c r="L9" s="93">
        <f t="shared" si="14"/>
        <v>0.96857757232378838</v>
      </c>
      <c r="M9" s="93">
        <f t="shared" si="14"/>
        <v>0.89823902632738373</v>
      </c>
      <c r="N9" s="93">
        <f t="shared" si="14"/>
        <v>0.80005607432802639</v>
      </c>
      <c r="O9" s="93">
        <f t="shared" si="14"/>
        <v>0.86844205568642285</v>
      </c>
      <c r="P9" s="93">
        <f t="shared" si="14"/>
        <v>0.87012117028359559</v>
      </c>
      <c r="Q9" s="93">
        <f t="shared" si="14"/>
        <v>0.90307169029921319</v>
      </c>
      <c r="R9" s="93">
        <f t="shared" si="14"/>
        <v>0.95802339287306859</v>
      </c>
      <c r="S9" s="93">
        <f t="shared" si="14"/>
        <v>0.92626229818715167</v>
      </c>
      <c r="T9" s="93">
        <f t="shared" si="14"/>
        <v>1.0034324376883454</v>
      </c>
      <c r="U9" s="93">
        <f t="shared" si="14"/>
        <v>1.0014135732538891</v>
      </c>
      <c r="V9" s="93">
        <f t="shared" si="14"/>
        <v>1.0217439629157308</v>
      </c>
      <c r="W9" s="93">
        <f t="shared" si="14"/>
        <v>1.0365610472855025</v>
      </c>
      <c r="X9" s="93">
        <f t="shared" ref="X9:AU9" si="15">SUM(X7:X8)</f>
        <v>1.1843296595759845</v>
      </c>
      <c r="Y9" s="93">
        <f t="shared" si="15"/>
        <v>1.304201837248814</v>
      </c>
      <c r="Z9" s="93">
        <f t="shared" si="15"/>
        <v>1.4500252398139439</v>
      </c>
      <c r="AA9" s="93">
        <f t="shared" si="15"/>
        <v>1.5356840365746307</v>
      </c>
      <c r="AB9" s="93">
        <f t="shared" si="15"/>
        <v>1.5390428838609058</v>
      </c>
      <c r="AC9" s="93">
        <f t="shared" si="15"/>
        <v>3.1664124790942263</v>
      </c>
      <c r="AD9" s="93">
        <f t="shared" si="15"/>
        <v>2.3066316599092538</v>
      </c>
      <c r="AE9" s="93">
        <f t="shared" si="15"/>
        <v>2.5063544436532923</v>
      </c>
      <c r="AF9" s="93">
        <f t="shared" si="15"/>
        <v>2.0349797402865351</v>
      </c>
      <c r="AG9" s="93">
        <f t="shared" si="15"/>
        <v>2.0314334972031225</v>
      </c>
      <c r="AH9" s="93">
        <f t="shared" si="15"/>
        <v>2.2097424108975612</v>
      </c>
      <c r="AI9" s="93">
        <f t="shared" si="15"/>
        <v>2.145876982792887</v>
      </c>
      <c r="AJ9" s="93">
        <f t="shared" si="15"/>
        <v>2.2255204955130625</v>
      </c>
      <c r="AK9" s="93">
        <f t="shared" si="15"/>
        <v>2.2132324812762065</v>
      </c>
      <c r="AL9" s="93">
        <f t="shared" si="15"/>
        <v>1.8887280431837665</v>
      </c>
      <c r="AM9" s="93">
        <f t="shared" si="15"/>
        <v>1.6289125917482903</v>
      </c>
      <c r="AN9" s="93">
        <f t="shared" si="15"/>
        <v>1.8953291555058287</v>
      </c>
      <c r="AO9" s="93">
        <f t="shared" si="15"/>
        <v>1.9634117700484457</v>
      </c>
      <c r="AP9" s="93">
        <f t="shared" si="15"/>
        <v>1.7631196633174262</v>
      </c>
      <c r="AQ9" s="93">
        <f t="shared" si="15"/>
        <v>1.856379415263852</v>
      </c>
      <c r="AR9" s="93">
        <f t="shared" si="15"/>
        <v>1.8954402808273125</v>
      </c>
      <c r="AS9" s="93">
        <f t="shared" si="15"/>
        <v>1.7606986479402613</v>
      </c>
      <c r="AT9" s="93">
        <f t="shared" si="15"/>
        <v>1.695914681581832</v>
      </c>
      <c r="AU9" s="93">
        <f t="shared" si="15"/>
        <v>1.5481617720759195</v>
      </c>
      <c r="AV9" s="93">
        <f t="shared" ref="AV9:BC9" si="16">SUM(AV7:AV8)</f>
        <v>1.0987121195180023</v>
      </c>
      <c r="AW9" s="93">
        <f t="shared" si="16"/>
        <v>1.2629842001046208</v>
      </c>
      <c r="AX9" s="93">
        <f t="shared" si="16"/>
        <v>1.2198508136885837</v>
      </c>
      <c r="AY9" s="93">
        <f t="shared" si="16"/>
        <v>1.2464851109306925</v>
      </c>
      <c r="AZ9" s="93">
        <f t="shared" si="16"/>
        <v>1.2658689605902274</v>
      </c>
      <c r="BA9" s="93">
        <f t="shared" si="16"/>
        <v>1.2747211910838652</v>
      </c>
      <c r="BB9" s="93">
        <f>SUM(BB7:BB8)</f>
        <v>1.2873243667019261</v>
      </c>
      <c r="BC9" s="93">
        <f t="shared" si="16"/>
        <v>1.2961780418511828</v>
      </c>
      <c r="BD9" s="93">
        <f t="shared" ref="BD9:BM9" si="17">SUM(BD7:BD8)</f>
        <v>1.2926219978406173</v>
      </c>
      <c r="BE9" s="93">
        <f t="shared" si="17"/>
        <v>1.3929061552960389</v>
      </c>
      <c r="BF9" s="93">
        <f t="shared" si="17"/>
        <v>1.3947481510641937</v>
      </c>
      <c r="BG9" s="93">
        <f t="shared" si="17"/>
        <v>1.3750001620472632</v>
      </c>
      <c r="BH9" s="93">
        <f t="shared" si="17"/>
        <v>1.3523661658108355</v>
      </c>
      <c r="BI9" s="93">
        <f t="shared" si="17"/>
        <v>1.3523661658108355</v>
      </c>
      <c r="BJ9" s="93">
        <f t="shared" si="17"/>
        <v>1.3523661658108355</v>
      </c>
      <c r="BK9" s="93">
        <f t="shared" si="17"/>
        <v>1.3837127786587327</v>
      </c>
      <c r="BL9" s="93">
        <f t="shared" si="17"/>
        <v>1.3802723558599668</v>
      </c>
      <c r="BM9" s="93">
        <f t="shared" si="17"/>
        <v>1.3696287114582788</v>
      </c>
      <c r="BN9" s="93">
        <f t="shared" ref="BN9:BT9" si="18">SUM(BN7:BN8)</f>
        <v>1.379048441248226</v>
      </c>
      <c r="BO9" s="93">
        <f t="shared" si="18"/>
        <v>1.3986619658551134</v>
      </c>
      <c r="BP9" s="93">
        <f t="shared" si="18"/>
        <v>1.3986619658551134</v>
      </c>
      <c r="BQ9" s="93">
        <f t="shared" si="18"/>
        <v>1.4048155606381536</v>
      </c>
      <c r="BR9" s="93">
        <f t="shared" si="18"/>
        <v>1.3916625475157083</v>
      </c>
      <c r="BS9" s="93">
        <f t="shared" si="18"/>
        <v>1.3490580157855683</v>
      </c>
      <c r="BT9" s="93">
        <f t="shared" si="18"/>
        <v>1.2691037756655295</v>
      </c>
      <c r="BU9" s="93">
        <f t="shared" ref="BU9:CJ9" si="19">SUM(BU7:BU8)</f>
        <v>1.2507928610240613</v>
      </c>
      <c r="BV9" s="93">
        <f t="shared" si="19"/>
        <v>1.2490311809381123</v>
      </c>
      <c r="BW9" s="93">
        <f t="shared" si="19"/>
        <v>1.297949325559494</v>
      </c>
      <c r="BX9" s="93">
        <f t="shared" si="19"/>
        <v>1.3015717206480091</v>
      </c>
      <c r="BY9" s="93">
        <f t="shared" si="19"/>
        <v>1.2997630704983287</v>
      </c>
      <c r="BZ9" s="93">
        <f t="shared" si="19"/>
        <v>1.3036196118500516</v>
      </c>
      <c r="CA9" s="93">
        <f t="shared" si="19"/>
        <v>1.2891148039296061</v>
      </c>
      <c r="CB9" s="93">
        <f t="shared" si="19"/>
        <v>1.2909102284476139</v>
      </c>
      <c r="CC9" s="93">
        <f t="shared" si="19"/>
        <v>1.3048464604881975</v>
      </c>
      <c r="CD9" s="93">
        <f t="shared" si="19"/>
        <v>1.2762211940391219</v>
      </c>
      <c r="CE9" s="93">
        <f t="shared" si="19"/>
        <v>1.2797761277272532</v>
      </c>
      <c r="CF9" s="93">
        <f t="shared" si="19"/>
        <v>1.2245450163534848</v>
      </c>
      <c r="CG9" s="93">
        <f t="shared" si="19"/>
        <v>1.2104054003927651</v>
      </c>
      <c r="CH9" s="93">
        <f t="shared" si="19"/>
        <v>1.2176699694330753</v>
      </c>
      <c r="CI9" s="93">
        <f t="shared" si="19"/>
        <v>1.2300704376856251</v>
      </c>
      <c r="CJ9" s="93">
        <f t="shared" si="19"/>
        <v>1.2585194171535727</v>
      </c>
      <c r="CK9" s="93">
        <f t="shared" ref="CK9:CQ9" si="20">SUM(CK7:CK8)</f>
        <v>1.2585194171535727</v>
      </c>
      <c r="CL9" s="93">
        <f t="shared" si="20"/>
        <v>1.2637559750612852</v>
      </c>
      <c r="CM9" s="93">
        <f t="shared" si="20"/>
        <v>1.2139842689640943</v>
      </c>
      <c r="CN9" s="93">
        <f t="shared" si="20"/>
        <v>1.2104054003927651</v>
      </c>
      <c r="CO9" s="93">
        <f t="shared" si="20"/>
        <v>1.2104054003927651</v>
      </c>
      <c r="CP9" s="93">
        <f t="shared" si="20"/>
        <v>1.208589258132688</v>
      </c>
      <c r="CQ9" s="93">
        <f t="shared" si="20"/>
        <v>1.1786485859107358</v>
      </c>
      <c r="CR9" s="93">
        <f t="shared" ref="CR9:DL9" si="21">SUM(CR7:CR8)</f>
        <v>1.1786485859107358</v>
      </c>
      <c r="CS9" s="93">
        <f t="shared" si="21"/>
        <v>1.1773698433146174</v>
      </c>
      <c r="CT9" s="93">
        <f t="shared" si="21"/>
        <v>1.1757503524709931</v>
      </c>
      <c r="CU9" s="93">
        <f t="shared" si="21"/>
        <v>1.1719786868574098</v>
      </c>
      <c r="CV9" s="93">
        <f t="shared" si="21"/>
        <v>1.203851917394734</v>
      </c>
      <c r="CW9" s="93">
        <f t="shared" si="21"/>
        <v>1.2021982746510598</v>
      </c>
      <c r="CX9" s="93">
        <f t="shared" si="21"/>
        <v>1.2158538271729975</v>
      </c>
      <c r="CY9" s="93">
        <f t="shared" si="21"/>
        <v>1.2442340113311505</v>
      </c>
      <c r="CZ9" s="93">
        <f t="shared" si="21"/>
        <v>1.2425010948808286</v>
      </c>
      <c r="DA9" s="93">
        <f t="shared" si="21"/>
        <v>1.2440954743319774</v>
      </c>
      <c r="DB9" s="93">
        <f t="shared" si="21"/>
        <v>1.2726043285847859</v>
      </c>
      <c r="DC9" s="93">
        <f t="shared" si="21"/>
        <v>1.3270153549333847</v>
      </c>
      <c r="DD9" s="93">
        <f t="shared" si="21"/>
        <v>1.3232825409954567</v>
      </c>
      <c r="DE9" s="93">
        <f t="shared" si="21"/>
        <v>1.3326542303792774</v>
      </c>
      <c r="DF9" s="93">
        <f t="shared" si="21"/>
        <v>1.3237435432299893</v>
      </c>
      <c r="DG9" s="93">
        <f t="shared" si="21"/>
        <v>1.3017379985000417</v>
      </c>
      <c r="DH9" s="93">
        <f>SUM(DH7:DH8)</f>
        <v>1.2700514068449129</v>
      </c>
      <c r="DI9" s="93">
        <f t="shared" si="21"/>
        <v>1.296875482971005</v>
      </c>
      <c r="DJ9" s="93">
        <f t="shared" si="21"/>
        <v>1.2950591307539585</v>
      </c>
      <c r="DK9" s="93">
        <f t="shared" si="21"/>
        <v>1.3086168203621436</v>
      </c>
      <c r="DL9" s="93">
        <f t="shared" si="21"/>
        <v>1.2748250346766874</v>
      </c>
      <c r="DM9" s="93">
        <f t="shared" ref="DM9:DU9" si="22">SUM(DM7:DM8)</f>
        <v>1.2586618407471815</v>
      </c>
      <c r="DN9" s="93">
        <f t="shared" si="22"/>
        <v>1.2445554084032342</v>
      </c>
      <c r="DO9" s="93">
        <f t="shared" si="22"/>
        <v>1.2420997940395229</v>
      </c>
      <c r="DP9" s="93">
        <f t="shared" si="22"/>
        <v>1.2401874002072835</v>
      </c>
      <c r="DQ9" s="93">
        <f t="shared" si="22"/>
        <v>1.2180843277192339</v>
      </c>
      <c r="DR9" s="93">
        <f t="shared" si="22"/>
        <v>1.2128711683976039</v>
      </c>
      <c r="DS9" s="93" t="e">
        <f t="shared" si="22"/>
        <v>#DIV/0!</v>
      </c>
      <c r="DT9" s="93" t="e">
        <f t="shared" si="22"/>
        <v>#DIV/0!</v>
      </c>
      <c r="DU9" s="93" t="e">
        <f t="shared" si="22"/>
        <v>#DIV/0!</v>
      </c>
    </row>
    <row r="10" spans="1:154" ht="13">
      <c r="A10" s="331" t="s">
        <v>537</v>
      </c>
      <c r="G10" s="60" t="s">
        <v>429</v>
      </c>
      <c r="N10" s="60">
        <v>1.6</v>
      </c>
      <c r="Q10" s="60">
        <v>1.88</v>
      </c>
      <c r="R10" s="60">
        <v>1.74</v>
      </c>
      <c r="T10" s="60">
        <v>2.08</v>
      </c>
      <c r="W10" s="60">
        <v>2.08</v>
      </c>
      <c r="X10" s="60">
        <v>1.98</v>
      </c>
      <c r="Y10" s="60">
        <v>2.13</v>
      </c>
      <c r="AC10" s="60">
        <v>4.87</v>
      </c>
      <c r="AD10" s="60">
        <v>3.68</v>
      </c>
      <c r="AE10" s="60">
        <v>3.71</v>
      </c>
      <c r="AJ10" s="60">
        <v>3.62</v>
      </c>
      <c r="AP10" s="60">
        <v>2.69</v>
      </c>
      <c r="CY10" s="60">
        <f>180/84</f>
        <v>2.1428571428571428</v>
      </c>
      <c r="DG10" s="60">
        <f>182/84</f>
        <v>2.1666666666666665</v>
      </c>
    </row>
    <row r="11" spans="1:154">
      <c r="G11" s="60" t="s">
        <v>406</v>
      </c>
      <c r="N11" s="65">
        <f>N10-N9</f>
        <v>0.7999439256719737</v>
      </c>
      <c r="O11" s="65"/>
      <c r="P11" s="65"/>
      <c r="Q11" s="65">
        <f>Q10-Q9</f>
        <v>0.9769283097007867</v>
      </c>
      <c r="R11" s="65">
        <f>R10-R9</f>
        <v>0.7819766071269314</v>
      </c>
      <c r="S11" s="65"/>
      <c r="T11" s="65">
        <f>T10-T9</f>
        <v>1.0765675623116546</v>
      </c>
      <c r="U11" s="65"/>
      <c r="V11" s="65"/>
      <c r="W11" s="65">
        <f>W10-W9</f>
        <v>1.0434389527144976</v>
      </c>
      <c r="X11" s="65">
        <f>X10-X9</f>
        <v>0.79567034042401552</v>
      </c>
      <c r="Y11" s="65">
        <f>Y10-Y9</f>
        <v>0.82579816275118589</v>
      </c>
      <c r="Z11" s="65"/>
      <c r="AA11" s="65"/>
      <c r="AB11" s="65"/>
      <c r="AC11" s="65">
        <f>AC10-AC9</f>
        <v>1.7035875209057738</v>
      </c>
      <c r="AD11" s="65">
        <f>AD10-AD9</f>
        <v>1.3733683400907464</v>
      </c>
      <c r="AE11" s="65">
        <f>AE10-AE9</f>
        <v>1.2036455563467077</v>
      </c>
      <c r="AF11" s="65"/>
      <c r="AG11" s="65"/>
      <c r="AH11" s="65"/>
      <c r="AI11" s="65"/>
      <c r="AJ11" s="65">
        <f>AJ10-AJ9</f>
        <v>1.3944795044869376</v>
      </c>
      <c r="AK11" s="65"/>
      <c r="AL11" s="65"/>
      <c r="AM11" s="65"/>
      <c r="AN11" s="65"/>
      <c r="AO11" s="65"/>
      <c r="AP11" s="65">
        <f>AP10-AP9</f>
        <v>0.92688033668257375</v>
      </c>
      <c r="CY11" s="65">
        <f>CY10-CY9</f>
        <v>0.89862313152599227</v>
      </c>
      <c r="DG11" s="65">
        <f>DG10-DG9</f>
        <v>0.86492866816662484</v>
      </c>
    </row>
    <row r="14" spans="1:154" s="161" customFormat="1">
      <c r="G14" s="161" t="s">
        <v>407</v>
      </c>
      <c r="H14" s="163">
        <f>0.64+H9</f>
        <v>1.6198712148696313</v>
      </c>
      <c r="I14" s="163">
        <f>0.64+I9</f>
        <v>1.5679473116288429</v>
      </c>
      <c r="J14" s="163">
        <f t="shared" ref="J14:BU14" si="23">0.64+J9</f>
        <v>1.6051524725996793</v>
      </c>
      <c r="K14" s="163">
        <f t="shared" si="23"/>
        <v>1.5368360969915149</v>
      </c>
      <c r="L14" s="163">
        <f t="shared" si="23"/>
        <v>1.6085775723237883</v>
      </c>
      <c r="M14" s="163">
        <f t="shared" si="23"/>
        <v>1.5382390263273837</v>
      </c>
      <c r="N14" s="163">
        <f t="shared" si="23"/>
        <v>1.4400560743280264</v>
      </c>
      <c r="O14" s="163">
        <f t="shared" si="23"/>
        <v>1.5084420556864229</v>
      </c>
      <c r="P14" s="163">
        <f t="shared" si="23"/>
        <v>1.5101211702835955</v>
      </c>
      <c r="Q14" s="163">
        <f t="shared" si="23"/>
        <v>1.5430716902992132</v>
      </c>
      <c r="R14" s="163">
        <f t="shared" si="23"/>
        <v>1.5980233928730687</v>
      </c>
      <c r="S14" s="163">
        <f t="shared" si="23"/>
        <v>1.5662622981871517</v>
      </c>
      <c r="T14" s="163">
        <f t="shared" si="23"/>
        <v>1.6434324376883453</v>
      </c>
      <c r="U14" s="163">
        <f t="shared" si="23"/>
        <v>1.6414135732538893</v>
      </c>
      <c r="V14" s="163">
        <f t="shared" si="23"/>
        <v>1.6617439629157307</v>
      </c>
      <c r="W14" s="163">
        <f t="shared" si="23"/>
        <v>1.6765610472855026</v>
      </c>
      <c r="X14" s="163">
        <f t="shared" si="23"/>
        <v>1.8243296595759846</v>
      </c>
      <c r="Y14" s="163">
        <f t="shared" si="23"/>
        <v>1.9442018372488139</v>
      </c>
      <c r="Z14" s="163">
        <f t="shared" si="23"/>
        <v>2.0900252398139441</v>
      </c>
      <c r="AA14" s="163">
        <f t="shared" si="23"/>
        <v>2.1756840365746308</v>
      </c>
      <c r="AB14" s="163">
        <f t="shared" si="23"/>
        <v>2.1790428838609057</v>
      </c>
      <c r="AC14" s="163">
        <f t="shared" si="23"/>
        <v>3.8064124790942264</v>
      </c>
      <c r="AD14" s="163">
        <f t="shared" si="23"/>
        <v>2.9466316599092539</v>
      </c>
      <c r="AE14" s="163">
        <f t="shared" si="23"/>
        <v>3.1463544436532924</v>
      </c>
      <c r="AF14" s="163">
        <f t="shared" si="23"/>
        <v>2.6749797402865352</v>
      </c>
      <c r="AG14" s="163">
        <f t="shared" si="23"/>
        <v>2.6714334972031226</v>
      </c>
      <c r="AH14" s="163">
        <f t="shared" si="23"/>
        <v>2.8497424108975613</v>
      </c>
      <c r="AI14" s="163">
        <f t="shared" si="23"/>
        <v>2.7858769827928871</v>
      </c>
      <c r="AJ14" s="163">
        <f t="shared" si="23"/>
        <v>2.8655204955130626</v>
      </c>
      <c r="AK14" s="163">
        <f t="shared" si="23"/>
        <v>2.8532324812762067</v>
      </c>
      <c r="AL14" s="163">
        <f t="shared" si="23"/>
        <v>2.5287280431837664</v>
      </c>
      <c r="AM14" s="163">
        <f t="shared" si="23"/>
        <v>2.2689125917482902</v>
      </c>
      <c r="AN14" s="163">
        <f t="shared" si="23"/>
        <v>2.5353291555058286</v>
      </c>
      <c r="AO14" s="163">
        <f t="shared" si="23"/>
        <v>2.6034117700484458</v>
      </c>
      <c r="AP14" s="163">
        <f t="shared" si="23"/>
        <v>2.4031196633174261</v>
      </c>
      <c r="AQ14" s="163">
        <f t="shared" si="23"/>
        <v>2.4963794152638519</v>
      </c>
      <c r="AR14" s="163">
        <f t="shared" si="23"/>
        <v>2.5354402808273124</v>
      </c>
      <c r="AS14" s="163">
        <f t="shared" si="23"/>
        <v>2.4006986479402612</v>
      </c>
      <c r="AT14" s="163">
        <f t="shared" si="23"/>
        <v>2.3359146815818321</v>
      </c>
      <c r="AU14" s="163">
        <f t="shared" si="23"/>
        <v>2.1881617720759197</v>
      </c>
      <c r="AV14" s="163">
        <f t="shared" si="23"/>
        <v>1.7387121195180022</v>
      </c>
      <c r="AW14" s="163">
        <f t="shared" si="23"/>
        <v>1.9029842001046209</v>
      </c>
      <c r="AX14" s="163">
        <f t="shared" si="23"/>
        <v>1.8598508136885838</v>
      </c>
      <c r="AY14" s="163">
        <f t="shared" si="23"/>
        <v>1.8864851109306926</v>
      </c>
      <c r="AZ14" s="163">
        <f t="shared" si="23"/>
        <v>1.9058689605902273</v>
      </c>
      <c r="BA14" s="163">
        <f t="shared" si="23"/>
        <v>1.9147211910838653</v>
      </c>
      <c r="BB14" s="163">
        <f t="shared" si="23"/>
        <v>1.9273243667019262</v>
      </c>
      <c r="BC14" s="163">
        <f t="shared" si="23"/>
        <v>1.9361780418511829</v>
      </c>
      <c r="BD14" s="163">
        <f t="shared" si="23"/>
        <v>1.9326219978406174</v>
      </c>
      <c r="BE14" s="163">
        <f t="shared" si="23"/>
        <v>2.0329061552960388</v>
      </c>
      <c r="BF14" s="163">
        <f t="shared" si="23"/>
        <v>2.0347481510641936</v>
      </c>
      <c r="BG14" s="163">
        <f t="shared" si="23"/>
        <v>2.0150001620472633</v>
      </c>
      <c r="BH14" s="163">
        <f t="shared" si="23"/>
        <v>1.9923661658108354</v>
      </c>
      <c r="BI14" s="163">
        <f t="shared" si="23"/>
        <v>1.9923661658108354</v>
      </c>
      <c r="BJ14" s="163">
        <f t="shared" si="23"/>
        <v>1.9923661658108354</v>
      </c>
      <c r="BK14" s="163">
        <f t="shared" si="23"/>
        <v>2.0237127786587328</v>
      </c>
      <c r="BL14" s="163">
        <f t="shared" si="23"/>
        <v>2.0202723558599667</v>
      </c>
      <c r="BM14" s="163">
        <f t="shared" si="23"/>
        <v>2.0096287114582787</v>
      </c>
      <c r="BN14" s="163">
        <f t="shared" si="23"/>
        <v>2.0190484412482261</v>
      </c>
      <c r="BO14" s="163">
        <f t="shared" si="23"/>
        <v>2.0386619658551135</v>
      </c>
      <c r="BP14" s="163">
        <f t="shared" si="23"/>
        <v>2.0386619658551135</v>
      </c>
      <c r="BQ14" s="163">
        <f t="shared" si="23"/>
        <v>2.0448155606381535</v>
      </c>
      <c r="BR14" s="163">
        <f t="shared" si="23"/>
        <v>2.0316625475157082</v>
      </c>
      <c r="BS14" s="163">
        <f t="shared" si="23"/>
        <v>1.9890580157855684</v>
      </c>
      <c r="BT14" s="163">
        <f t="shared" si="23"/>
        <v>1.9091037756655296</v>
      </c>
      <c r="BU14" s="163">
        <f t="shared" si="23"/>
        <v>1.8907928610240612</v>
      </c>
      <c r="BV14" s="163">
        <f t="shared" ref="BV14:CJ14" si="24">0.64+BV9</f>
        <v>1.8890311809381122</v>
      </c>
      <c r="BW14" s="163">
        <f t="shared" si="24"/>
        <v>1.9379493255594942</v>
      </c>
      <c r="BX14" s="163">
        <f t="shared" si="24"/>
        <v>1.941571720648009</v>
      </c>
      <c r="BY14" s="163">
        <f t="shared" si="24"/>
        <v>1.9397630704983286</v>
      </c>
      <c r="BZ14" s="163">
        <f t="shared" si="24"/>
        <v>1.9436196118500515</v>
      </c>
      <c r="CA14" s="163">
        <f t="shared" si="24"/>
        <v>1.9291148039296062</v>
      </c>
      <c r="CB14" s="163">
        <f t="shared" si="24"/>
        <v>1.9309102284476141</v>
      </c>
      <c r="CC14" s="163">
        <f t="shared" si="24"/>
        <v>1.9448464604881974</v>
      </c>
      <c r="CD14" s="163">
        <f t="shared" si="24"/>
        <v>1.9162211940391218</v>
      </c>
      <c r="CE14" s="163">
        <f t="shared" si="24"/>
        <v>1.9197761277272534</v>
      </c>
      <c r="CF14" s="163">
        <f t="shared" si="24"/>
        <v>1.8645450163534849</v>
      </c>
      <c r="CG14" s="163">
        <f t="shared" si="24"/>
        <v>1.850405400392765</v>
      </c>
      <c r="CH14" s="163">
        <f t="shared" si="24"/>
        <v>1.8576699694330752</v>
      </c>
      <c r="CI14" s="163">
        <f t="shared" si="24"/>
        <v>1.8700704376856252</v>
      </c>
      <c r="CJ14" s="163">
        <f t="shared" si="24"/>
        <v>1.8985194171535729</v>
      </c>
      <c r="CK14" s="163">
        <f t="shared" ref="CK14:CQ14" si="25">0.64+CK9</f>
        <v>1.8985194171535729</v>
      </c>
      <c r="CL14" s="163">
        <f t="shared" si="25"/>
        <v>1.9037559750612854</v>
      </c>
      <c r="CM14" s="163">
        <f t="shared" si="25"/>
        <v>1.8539842689640942</v>
      </c>
      <c r="CN14" s="163">
        <f t="shared" si="25"/>
        <v>1.850405400392765</v>
      </c>
      <c r="CO14" s="163">
        <f t="shared" si="25"/>
        <v>1.850405400392765</v>
      </c>
      <c r="CP14" s="163">
        <f t="shared" si="25"/>
        <v>1.8485892581326882</v>
      </c>
      <c r="CQ14" s="163">
        <f t="shared" si="25"/>
        <v>1.818648585910736</v>
      </c>
      <c r="CR14" s="163">
        <f t="shared" ref="CR14:DL14" si="26">0.64+CR9</f>
        <v>1.818648585910736</v>
      </c>
      <c r="CS14" s="163">
        <f t="shared" si="26"/>
        <v>1.8173698433146175</v>
      </c>
      <c r="CT14" s="163">
        <f t="shared" si="26"/>
        <v>1.8157503524709933</v>
      </c>
      <c r="CU14" s="163">
        <f t="shared" si="26"/>
        <v>1.8119786868574099</v>
      </c>
      <c r="CV14" s="163">
        <f t="shared" si="26"/>
        <v>1.8438519173947339</v>
      </c>
      <c r="CW14" s="163">
        <f t="shared" si="26"/>
        <v>1.8421982746510599</v>
      </c>
      <c r="CX14" s="163">
        <f t="shared" si="26"/>
        <v>1.8558538271729974</v>
      </c>
      <c r="CY14" s="163">
        <f t="shared" si="26"/>
        <v>1.8842340113311504</v>
      </c>
      <c r="CZ14" s="163">
        <f t="shared" si="26"/>
        <v>1.8825010948808285</v>
      </c>
      <c r="DA14" s="163">
        <f t="shared" si="26"/>
        <v>1.8840954743319775</v>
      </c>
      <c r="DB14" s="163">
        <f t="shared" si="26"/>
        <v>1.912604328584786</v>
      </c>
      <c r="DC14" s="163">
        <f t="shared" si="26"/>
        <v>1.9670153549333849</v>
      </c>
      <c r="DD14" s="163">
        <f t="shared" si="26"/>
        <v>1.9632825409954568</v>
      </c>
      <c r="DE14" s="163">
        <f t="shared" si="26"/>
        <v>1.9726542303792773</v>
      </c>
      <c r="DF14" s="163">
        <f t="shared" si="26"/>
        <v>1.9637435432299895</v>
      </c>
      <c r="DG14" s="163">
        <f t="shared" si="26"/>
        <v>1.9417379985000416</v>
      </c>
      <c r="DH14" s="163">
        <f t="shared" si="26"/>
        <v>1.910051406844913</v>
      </c>
      <c r="DI14" s="163">
        <f t="shared" si="26"/>
        <v>1.9368754829710051</v>
      </c>
      <c r="DJ14" s="163">
        <f t="shared" si="26"/>
        <v>1.9350591307539586</v>
      </c>
      <c r="DK14" s="163">
        <f t="shared" si="26"/>
        <v>1.9486168203621435</v>
      </c>
      <c r="DL14" s="163">
        <f t="shared" si="26"/>
        <v>1.9148250346766873</v>
      </c>
      <c r="DM14" s="163">
        <f t="shared" ref="DM14:DU14" si="27">0.64+DM9</f>
        <v>1.8986618407471814</v>
      </c>
      <c r="DN14" s="163">
        <f t="shared" si="27"/>
        <v>1.8845554084032341</v>
      </c>
      <c r="DO14" s="163">
        <f t="shared" si="27"/>
        <v>1.8820997940395228</v>
      </c>
      <c r="DP14" s="163">
        <f t="shared" si="27"/>
        <v>1.8801874002072836</v>
      </c>
      <c r="DQ14" s="163">
        <f t="shared" si="27"/>
        <v>1.8580843277192338</v>
      </c>
      <c r="DR14" s="163">
        <f t="shared" si="27"/>
        <v>1.8528711683976038</v>
      </c>
      <c r="DS14" s="163" t="e">
        <f t="shared" si="27"/>
        <v>#DIV/0!</v>
      </c>
      <c r="DT14" s="163" t="e">
        <f t="shared" si="27"/>
        <v>#DIV/0!</v>
      </c>
      <c r="DU14" s="163" t="e">
        <f t="shared" si="27"/>
        <v>#DIV/0!</v>
      </c>
    </row>
    <row r="16" spans="1:154">
      <c r="AW16" s="65"/>
    </row>
  </sheetData>
  <mergeCells count="1">
    <mergeCell ref="A7:A8"/>
  </mergeCells>
  <phoneticPr fontId="52" type="noConversion"/>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EM16"/>
  <sheetViews>
    <sheetView workbookViewId="0">
      <pane xSplit="8" ySplit="5" topLeftCell="CP6" activePane="bottomRight" state="frozen"/>
      <selection pane="topRight" activeCell="I1" sqref="I1"/>
      <selection pane="bottomLeft" activeCell="A6" sqref="A6"/>
      <selection pane="bottomRight" activeCell="A12" sqref="A12"/>
    </sheetView>
  </sheetViews>
  <sheetFormatPr baseColWidth="10" defaultColWidth="8.6640625" defaultRowHeight="12"/>
  <cols>
    <col min="1" max="1" width="13.33203125" style="60" bestFit="1" customWidth="1"/>
    <col min="2" max="2" width="11.33203125" style="60" bestFit="1" customWidth="1"/>
    <col min="3" max="3" width="4.83203125" style="60" bestFit="1" customWidth="1"/>
    <col min="4" max="4" width="14.5" style="60" bestFit="1" customWidth="1"/>
    <col min="5" max="5" width="11.83203125" style="60" bestFit="1" customWidth="1"/>
    <col min="6" max="6" width="6" style="60" bestFit="1" customWidth="1"/>
    <col min="7" max="7" width="22.83203125" style="60" bestFit="1" customWidth="1"/>
    <col min="8" max="8" width="5.1640625" style="60" bestFit="1" customWidth="1"/>
    <col min="9" max="9" width="5.5" style="60" bestFit="1" customWidth="1"/>
    <col min="10" max="10" width="5.6640625" style="60" bestFit="1" customWidth="1"/>
    <col min="11" max="11" width="5.33203125" style="60" bestFit="1" customWidth="1"/>
    <col min="12" max="12" width="5.83203125" style="60" bestFit="1" customWidth="1"/>
    <col min="13" max="13" width="5.1640625" style="60" bestFit="1" customWidth="1"/>
    <col min="14" max="14" width="4.6640625" style="60" bestFit="1" customWidth="1"/>
    <col min="15" max="17" width="5.5" style="60" bestFit="1" customWidth="1"/>
    <col min="18" max="18" width="5.6640625" style="60" bestFit="1" customWidth="1"/>
    <col min="19" max="19" width="5.5" style="60" bestFit="1" customWidth="1"/>
    <col min="20" max="20" width="5.1640625" style="60" bestFit="1" customWidth="1"/>
    <col min="21" max="21" width="5.5" style="60" bestFit="1" customWidth="1"/>
    <col min="22" max="22" width="5.6640625" style="60" bestFit="1" customWidth="1"/>
    <col min="23" max="23" width="5.33203125" style="60" bestFit="1" customWidth="1"/>
    <col min="24" max="24" width="5.83203125" style="60" bestFit="1" customWidth="1"/>
    <col min="25" max="25" width="5.1640625" style="60" bestFit="1" customWidth="1"/>
    <col min="26" max="26" width="4.6640625" style="60" bestFit="1" customWidth="1"/>
    <col min="27" max="29" width="5.5" style="60" bestFit="1" customWidth="1"/>
    <col min="30" max="30" width="5.6640625" style="60" bestFit="1" customWidth="1"/>
    <col min="31" max="31" width="5.5" style="60" bestFit="1" customWidth="1"/>
    <col min="32" max="32" width="5.1640625" style="60" bestFit="1" customWidth="1"/>
    <col min="33" max="33" width="5.5" style="60" bestFit="1" customWidth="1"/>
    <col min="34" max="34" width="5.6640625" style="60" bestFit="1" customWidth="1"/>
    <col min="35" max="35" width="5.33203125" style="60" bestFit="1" customWidth="1"/>
    <col min="36" max="36" width="5.83203125" style="60" bestFit="1" customWidth="1"/>
    <col min="37" max="37" width="5.1640625" style="60" bestFit="1" customWidth="1"/>
    <col min="38" max="38" width="4.6640625" style="60" bestFit="1" customWidth="1"/>
    <col min="39" max="41" width="5.5" style="60" bestFit="1" customWidth="1"/>
    <col min="42" max="42" width="5.6640625" style="60" bestFit="1" customWidth="1"/>
    <col min="43" max="43" width="5.5" style="60" bestFit="1" customWidth="1"/>
    <col min="44" max="44" width="5.1640625" style="60" bestFit="1" customWidth="1"/>
    <col min="45" max="45" width="5.5" style="60" bestFit="1" customWidth="1"/>
    <col min="46" max="46" width="5.6640625" style="60" bestFit="1" customWidth="1"/>
    <col min="47" max="47" width="5.33203125" style="60" bestFit="1" customWidth="1"/>
    <col min="48" max="48" width="5.83203125" style="60" bestFit="1" customWidth="1"/>
    <col min="49" max="49" width="5.1640625" style="60" bestFit="1" customWidth="1"/>
    <col min="50" max="50" width="4.6640625" style="60" bestFit="1" customWidth="1"/>
    <col min="51" max="53" width="7" style="60" bestFit="1" customWidth="1"/>
    <col min="54" max="55" width="5.5" style="60" bestFit="1" customWidth="1"/>
    <col min="56" max="57" width="5.83203125" style="60" bestFit="1" customWidth="1"/>
    <col min="58" max="65" width="6.1640625" style="60" bestFit="1" customWidth="1"/>
    <col min="66" max="69" width="5.6640625" style="60" bestFit="1" customWidth="1"/>
    <col min="70" max="73" width="5.5" style="60" bestFit="1" customWidth="1"/>
    <col min="74" max="77" width="5.1640625" style="60" bestFit="1" customWidth="1"/>
    <col min="78" max="81" width="5.5" style="60" bestFit="1" customWidth="1"/>
    <col min="82" max="85" width="6.1640625" style="60" bestFit="1" customWidth="1"/>
    <col min="86" max="89" width="5.5" style="60" bestFit="1" customWidth="1"/>
    <col min="90" max="94" width="6.33203125" style="60" bestFit="1" customWidth="1"/>
    <col min="95" max="95" width="6.1640625" style="60" bestFit="1" customWidth="1"/>
    <col min="96" max="16384" width="8.6640625" style="60"/>
  </cols>
  <sheetData>
    <row r="1" spans="1:143">
      <c r="A1" s="111" t="s">
        <v>377</v>
      </c>
      <c r="B1" s="111" t="s">
        <v>378</v>
      </c>
      <c r="C1" s="111" t="s">
        <v>379</v>
      </c>
      <c r="D1" s="111" t="s">
        <v>380</v>
      </c>
      <c r="E1" s="111" t="s">
        <v>381</v>
      </c>
      <c r="F1" s="111" t="s">
        <v>33</v>
      </c>
      <c r="H1" s="61">
        <v>6</v>
      </c>
      <c r="I1" s="61">
        <v>7</v>
      </c>
      <c r="J1" s="61">
        <v>8</v>
      </c>
      <c r="K1" s="61">
        <v>9</v>
      </c>
      <c r="L1" s="61">
        <v>10</v>
      </c>
      <c r="M1" s="61">
        <v>11</v>
      </c>
      <c r="N1" s="61">
        <v>12</v>
      </c>
      <c r="O1" s="61">
        <v>13</v>
      </c>
      <c r="P1" s="61">
        <v>14</v>
      </c>
      <c r="Q1" s="61">
        <v>15</v>
      </c>
      <c r="R1" s="61">
        <v>16</v>
      </c>
      <c r="S1" s="61">
        <v>17</v>
      </c>
      <c r="T1" s="61">
        <v>18</v>
      </c>
      <c r="U1" s="61">
        <v>19</v>
      </c>
      <c r="V1" s="61">
        <v>20</v>
      </c>
      <c r="W1" s="61">
        <v>21</v>
      </c>
      <c r="X1" s="61">
        <v>22</v>
      </c>
      <c r="Y1" s="61">
        <v>23</v>
      </c>
      <c r="Z1" s="61">
        <v>24</v>
      </c>
      <c r="AA1" s="61">
        <v>25</v>
      </c>
      <c r="AB1" s="61">
        <v>26</v>
      </c>
      <c r="AC1" s="61">
        <v>27</v>
      </c>
      <c r="AD1" s="61">
        <v>28</v>
      </c>
      <c r="AE1" s="61">
        <v>29</v>
      </c>
      <c r="AF1" s="61">
        <v>30</v>
      </c>
      <c r="AG1" s="61">
        <v>31</v>
      </c>
      <c r="AH1" s="61">
        <v>32</v>
      </c>
      <c r="AI1" s="61">
        <v>33</v>
      </c>
      <c r="AJ1" s="61">
        <v>34</v>
      </c>
      <c r="AK1" s="61">
        <v>35</v>
      </c>
      <c r="AL1" s="61">
        <v>36</v>
      </c>
      <c r="AM1" s="61">
        <v>37</v>
      </c>
      <c r="AN1" s="61">
        <v>38</v>
      </c>
      <c r="AO1" s="61">
        <v>39</v>
      </c>
      <c r="AP1" s="61">
        <v>40</v>
      </c>
      <c r="AQ1" s="61">
        <v>41</v>
      </c>
      <c r="AR1" s="61">
        <v>42</v>
      </c>
      <c r="AS1" s="61">
        <v>43</v>
      </c>
      <c r="AT1" s="61">
        <v>44</v>
      </c>
      <c r="AU1" s="61">
        <v>45</v>
      </c>
      <c r="AV1" s="61">
        <v>46</v>
      </c>
      <c r="AW1" s="61">
        <v>47</v>
      </c>
      <c r="AX1" s="61">
        <v>48</v>
      </c>
      <c r="AY1" s="61">
        <v>49</v>
      </c>
      <c r="AZ1" s="61">
        <v>50</v>
      </c>
      <c r="BA1" s="61">
        <v>51</v>
      </c>
      <c r="BB1" s="61">
        <v>52</v>
      </c>
      <c r="BC1" s="61">
        <v>53</v>
      </c>
      <c r="BD1" s="61">
        <v>54</v>
      </c>
      <c r="BE1" s="61">
        <v>55</v>
      </c>
      <c r="BF1" s="61">
        <v>56</v>
      </c>
      <c r="BG1" s="61">
        <v>57</v>
      </c>
      <c r="BH1" s="61">
        <v>58</v>
      </c>
      <c r="BI1" s="61">
        <v>59</v>
      </c>
      <c r="BJ1" s="61">
        <v>60</v>
      </c>
      <c r="BK1" s="61">
        <v>61</v>
      </c>
      <c r="BL1" s="61">
        <v>62</v>
      </c>
      <c r="BM1" s="61">
        <v>63</v>
      </c>
      <c r="BN1" s="61">
        <v>64</v>
      </c>
      <c r="BO1" s="61">
        <v>65</v>
      </c>
      <c r="BP1" s="61">
        <v>66</v>
      </c>
      <c r="BQ1" s="61">
        <v>67</v>
      </c>
      <c r="BR1" s="61">
        <v>68</v>
      </c>
      <c r="BS1" s="61">
        <v>69</v>
      </c>
      <c r="BT1" s="61">
        <v>70</v>
      </c>
      <c r="BU1" s="61">
        <v>71</v>
      </c>
      <c r="BV1" s="61">
        <v>72</v>
      </c>
      <c r="BW1" s="61">
        <v>73</v>
      </c>
      <c r="BX1" s="61">
        <v>74</v>
      </c>
      <c r="BY1" s="61">
        <v>75</v>
      </c>
      <c r="BZ1" s="61">
        <v>76</v>
      </c>
      <c r="CA1" s="61">
        <v>77</v>
      </c>
      <c r="CB1" s="61">
        <v>78</v>
      </c>
      <c r="CC1" s="61">
        <v>79</v>
      </c>
      <c r="CD1" s="61">
        <v>80</v>
      </c>
      <c r="CE1" s="61">
        <v>81</v>
      </c>
      <c r="CF1" s="61">
        <v>82</v>
      </c>
      <c r="CG1" s="61">
        <v>83</v>
      </c>
      <c r="CH1" s="61">
        <v>84</v>
      </c>
      <c r="CI1" s="61">
        <v>85</v>
      </c>
      <c r="CJ1" s="61">
        <v>86</v>
      </c>
      <c r="CK1" s="61">
        <v>87</v>
      </c>
      <c r="CL1" s="61">
        <v>88</v>
      </c>
      <c r="CM1" s="61">
        <v>89</v>
      </c>
      <c r="CN1" s="61">
        <v>90</v>
      </c>
      <c r="CO1" s="61">
        <v>91</v>
      </c>
      <c r="CP1" s="61">
        <v>92</v>
      </c>
      <c r="CQ1" s="61">
        <v>93</v>
      </c>
      <c r="CR1" s="61">
        <v>94</v>
      </c>
      <c r="CS1" s="61">
        <v>95</v>
      </c>
      <c r="CT1" s="61">
        <v>96</v>
      </c>
      <c r="CU1" s="61">
        <v>97</v>
      </c>
      <c r="CV1" s="61">
        <v>98</v>
      </c>
      <c r="CW1" s="61">
        <v>99</v>
      </c>
      <c r="CX1" s="61">
        <v>100</v>
      </c>
      <c r="CY1" s="61">
        <v>101</v>
      </c>
      <c r="CZ1" s="61">
        <v>102</v>
      </c>
      <c r="DA1" s="61">
        <v>103</v>
      </c>
      <c r="DB1" s="61">
        <v>104</v>
      </c>
      <c r="DC1" s="61">
        <v>105</v>
      </c>
      <c r="DD1" s="61">
        <v>106</v>
      </c>
      <c r="DE1" s="61">
        <v>107</v>
      </c>
      <c r="DF1" s="61">
        <v>108</v>
      </c>
      <c r="DG1" s="61">
        <v>109</v>
      </c>
      <c r="DH1" s="61">
        <v>110</v>
      </c>
      <c r="DI1" s="61">
        <v>111</v>
      </c>
      <c r="DJ1" s="61">
        <v>112</v>
      </c>
      <c r="DK1" s="61">
        <v>113</v>
      </c>
      <c r="DL1" s="61">
        <v>114</v>
      </c>
      <c r="DM1" s="61">
        <v>115</v>
      </c>
      <c r="DN1" s="61">
        <v>116</v>
      </c>
      <c r="DO1" s="61">
        <v>117</v>
      </c>
      <c r="DP1" s="61">
        <v>118</v>
      </c>
      <c r="DQ1" s="61">
        <v>119</v>
      </c>
      <c r="DR1" s="61">
        <v>120</v>
      </c>
      <c r="DS1" s="61">
        <v>121</v>
      </c>
      <c r="DT1" s="61">
        <v>122</v>
      </c>
      <c r="DU1" s="61">
        <v>123</v>
      </c>
      <c r="DV1" s="61">
        <v>124</v>
      </c>
      <c r="DW1" s="61">
        <v>125</v>
      </c>
      <c r="DX1" s="61">
        <v>126</v>
      </c>
      <c r="DY1" s="61">
        <v>127</v>
      </c>
      <c r="DZ1" s="61">
        <v>128</v>
      </c>
      <c r="EA1" s="61">
        <v>129</v>
      </c>
      <c r="EB1" s="61">
        <v>130</v>
      </c>
      <c r="EC1" s="61">
        <v>131</v>
      </c>
      <c r="ED1" s="61">
        <v>132</v>
      </c>
      <c r="EE1" s="61">
        <v>133</v>
      </c>
      <c r="EF1" s="61">
        <v>134</v>
      </c>
      <c r="EG1" s="61">
        <v>135</v>
      </c>
      <c r="EH1" s="61">
        <v>136</v>
      </c>
      <c r="EI1" s="61">
        <v>137</v>
      </c>
      <c r="EJ1" s="61">
        <v>138</v>
      </c>
      <c r="EK1" s="61">
        <v>139</v>
      </c>
      <c r="EL1" s="61">
        <v>140</v>
      </c>
      <c r="EM1" s="61">
        <v>141</v>
      </c>
    </row>
    <row r="2" spans="1:143">
      <c r="A2" s="60" t="s">
        <v>216</v>
      </c>
      <c r="B2" s="37" t="s">
        <v>538</v>
      </c>
      <c r="C2" s="60">
        <v>1</v>
      </c>
      <c r="D2" s="60">
        <v>45.082999999999998</v>
      </c>
      <c r="E2" s="78">
        <f>C2*D2</f>
        <v>45.082999999999998</v>
      </c>
    </row>
    <row r="3" spans="1:143">
      <c r="A3" s="60" t="s">
        <v>539</v>
      </c>
      <c r="B3" s="60" t="s">
        <v>472</v>
      </c>
      <c r="D3" s="64" t="s">
        <v>540</v>
      </c>
      <c r="E3" s="64" t="s">
        <v>541</v>
      </c>
      <c r="G3" s="64"/>
      <c r="H3" s="64"/>
    </row>
    <row r="4" spans="1:143">
      <c r="A4" s="114">
        <f>2*32.04</f>
        <v>64.08</v>
      </c>
      <c r="B4" s="60">
        <v>17.03</v>
      </c>
      <c r="D4" s="60">
        <v>45.085000000000001</v>
      </c>
      <c r="E4" s="60">
        <f>2*18</f>
        <v>36</v>
      </c>
      <c r="G4" s="64"/>
      <c r="H4" s="64"/>
    </row>
    <row r="5" spans="1:143" ht="15">
      <c r="A5" s="115">
        <f>A4/D4</f>
        <v>1.4213152933348119</v>
      </c>
      <c r="B5" s="65">
        <f>B4/D4</f>
        <v>0.37773095264500389</v>
      </c>
      <c r="G5" s="7" t="s">
        <v>388</v>
      </c>
      <c r="H5" s="59">
        <v>43831</v>
      </c>
      <c r="I5" s="59">
        <v>43862</v>
      </c>
      <c r="J5" s="59">
        <v>43891</v>
      </c>
      <c r="K5" s="59">
        <v>43922</v>
      </c>
      <c r="L5" s="59">
        <v>43952</v>
      </c>
      <c r="M5" s="59">
        <v>43983</v>
      </c>
      <c r="N5" s="59">
        <v>44013</v>
      </c>
      <c r="O5" s="59">
        <v>44044</v>
      </c>
      <c r="P5" s="59">
        <v>44075</v>
      </c>
      <c r="Q5" s="59">
        <v>44105</v>
      </c>
      <c r="R5" s="59">
        <v>44136</v>
      </c>
      <c r="S5" s="59">
        <v>44166</v>
      </c>
      <c r="T5" s="59">
        <v>44197</v>
      </c>
      <c r="U5" s="59">
        <v>44228</v>
      </c>
      <c r="V5" s="59">
        <v>44256</v>
      </c>
      <c r="W5" s="59">
        <v>44287</v>
      </c>
      <c r="X5" s="59">
        <v>44317</v>
      </c>
      <c r="Y5" s="59">
        <v>44348</v>
      </c>
      <c r="Z5" s="59">
        <v>44378</v>
      </c>
      <c r="AA5" s="59">
        <v>44409</v>
      </c>
      <c r="AB5" s="59">
        <v>44440</v>
      </c>
      <c r="AC5" s="59">
        <v>44470</v>
      </c>
      <c r="AD5" s="59">
        <v>44501</v>
      </c>
      <c r="AE5" s="59">
        <v>44531</v>
      </c>
      <c r="AF5" s="59">
        <v>44562</v>
      </c>
      <c r="AG5" s="59">
        <v>44593</v>
      </c>
      <c r="AH5" s="59">
        <v>44621</v>
      </c>
      <c r="AI5" s="59">
        <v>44652</v>
      </c>
      <c r="AJ5" s="59">
        <v>44682</v>
      </c>
      <c r="AK5" s="59">
        <v>44713</v>
      </c>
      <c r="AL5" s="59">
        <v>44743</v>
      </c>
      <c r="AM5" s="59">
        <v>44774</v>
      </c>
      <c r="AN5" s="59">
        <v>44805</v>
      </c>
      <c r="AO5" s="59">
        <v>44835</v>
      </c>
      <c r="AP5" s="59">
        <v>44866</v>
      </c>
      <c r="AQ5" s="59">
        <v>44896</v>
      </c>
      <c r="AR5" s="59">
        <v>44927</v>
      </c>
      <c r="AS5" s="59">
        <v>44958</v>
      </c>
      <c r="AT5" s="59">
        <v>44986</v>
      </c>
      <c r="AU5" s="59">
        <v>45017</v>
      </c>
      <c r="AV5" s="59">
        <v>45047</v>
      </c>
      <c r="AW5" s="59">
        <v>45078</v>
      </c>
      <c r="AX5" s="59">
        <v>45108</v>
      </c>
      <c r="AY5" s="59" t="s">
        <v>530</v>
      </c>
      <c r="AZ5" s="59" t="s">
        <v>531</v>
      </c>
      <c r="BA5" s="59" t="s">
        <v>532</v>
      </c>
      <c r="BB5" s="59">
        <v>37104</v>
      </c>
      <c r="BC5" s="59">
        <v>37469</v>
      </c>
      <c r="BD5" s="59" t="s">
        <v>168</v>
      </c>
      <c r="BE5" s="59" t="s">
        <v>169</v>
      </c>
      <c r="BF5" s="59" t="s">
        <v>393</v>
      </c>
      <c r="BG5" s="59" t="s">
        <v>458</v>
      </c>
      <c r="BH5" s="59" t="s">
        <v>459</v>
      </c>
      <c r="BI5" s="59" t="s">
        <v>460</v>
      </c>
      <c r="BJ5" s="59" t="s">
        <v>461</v>
      </c>
      <c r="BK5" s="59" t="s">
        <v>462</v>
      </c>
      <c r="BL5" s="59" t="s">
        <v>463</v>
      </c>
      <c r="BM5" s="59" t="s">
        <v>464</v>
      </c>
      <c r="BN5" s="59">
        <v>37196</v>
      </c>
      <c r="BO5" s="59">
        <v>37561</v>
      </c>
      <c r="BP5" s="59">
        <v>37926</v>
      </c>
      <c r="BQ5" s="59">
        <v>38292</v>
      </c>
      <c r="BR5" s="59">
        <v>37226</v>
      </c>
      <c r="BS5" s="59">
        <v>37591</v>
      </c>
      <c r="BT5" s="59">
        <v>37956</v>
      </c>
      <c r="BU5" s="59">
        <v>38322</v>
      </c>
      <c r="BV5" s="59">
        <v>36892</v>
      </c>
      <c r="BW5" s="59">
        <v>37257</v>
      </c>
      <c r="BX5" s="59">
        <v>37622</v>
      </c>
      <c r="BY5" s="59">
        <v>37987</v>
      </c>
      <c r="BZ5" s="59">
        <v>36923</v>
      </c>
      <c r="CA5" s="59">
        <v>37288</v>
      </c>
      <c r="CB5" s="59">
        <v>37653</v>
      </c>
      <c r="CC5" s="59">
        <v>38018</v>
      </c>
      <c r="CD5" s="59" t="str">
        <f>Sheet8!A15</f>
        <v>Mar-w1</v>
      </c>
      <c r="CE5" s="59" t="str">
        <f>Sheet8!B15</f>
        <v>Mar-w2</v>
      </c>
      <c r="CF5" s="59" t="str">
        <f>Sheet8!C15</f>
        <v>Mar-w3</v>
      </c>
      <c r="CG5" s="59" t="str">
        <f>Sheet8!D15</f>
        <v>Mar-w4</v>
      </c>
      <c r="CH5" s="59" t="str">
        <f>Sheet8!E15</f>
        <v>Apr-w1</v>
      </c>
      <c r="CI5" s="59" t="str">
        <f>Sheet8!E15</f>
        <v>Apr-w1</v>
      </c>
      <c r="CJ5" s="59" t="str">
        <f>Sheet8!G15</f>
        <v>Apr-w3</v>
      </c>
      <c r="CK5" s="59" t="str">
        <f>Sheet8!H15</f>
        <v>Apr-w4</v>
      </c>
      <c r="CL5" s="59" t="str">
        <f>Sheet8!I15</f>
        <v>May-w1</v>
      </c>
      <c r="CM5" s="59" t="str">
        <f>Sheet8!J15</f>
        <v>May-w2</v>
      </c>
      <c r="CN5" s="59" t="str">
        <f>Sheet8!K15</f>
        <v>May-w3</v>
      </c>
      <c r="CO5" s="59" t="str">
        <f>Sheet8!L15</f>
        <v>May-w4</v>
      </c>
      <c r="CP5" s="59" t="str">
        <f>Sheet8!M15</f>
        <v>May-w5</v>
      </c>
      <c r="CQ5" s="59" t="str">
        <f>Sheet8!N15</f>
        <v>june-w1</v>
      </c>
      <c r="CR5" s="59" t="str">
        <f>Sheet8!O15</f>
        <v>june-w2</v>
      </c>
      <c r="CS5" s="59" t="str">
        <f>Sheet8!P15</f>
        <v>june-w3</v>
      </c>
      <c r="CT5" s="59" t="str">
        <f>Sheet8!Q15</f>
        <v>june-w4</v>
      </c>
      <c r="CU5" s="59" t="str">
        <f>Sheet8!R15</f>
        <v>Jul-w1</v>
      </c>
      <c r="CV5" s="59" t="str">
        <f>Sheet8!S15</f>
        <v>Jul-w2</v>
      </c>
      <c r="CW5" s="59" t="str">
        <f>Sheet8!T15</f>
        <v>Jul-w3</v>
      </c>
      <c r="CX5" s="59" t="str">
        <f>Sheet8!U15</f>
        <v>Jul-w4</v>
      </c>
      <c r="CY5" s="59" t="str">
        <f>Sheet8!V15</f>
        <v>Aug-w1</v>
      </c>
      <c r="CZ5" s="59" t="str">
        <f>Sheet8!W15</f>
        <v>Aug-w2</v>
      </c>
      <c r="DA5" s="59" t="str">
        <f>Sheet8!X15</f>
        <v>Aug-w3</v>
      </c>
      <c r="DB5" s="59" t="str">
        <f>Sheet8!Y15</f>
        <v>Aug-w4</v>
      </c>
      <c r="DC5" s="59" t="str">
        <f>Sheet8!Z15</f>
        <v>Sep-w1</v>
      </c>
      <c r="DD5" s="59" t="str">
        <f>Sheet8!AA15</f>
        <v>Sep-w2</v>
      </c>
      <c r="DE5" s="59" t="str">
        <f>Sheet8!AB15</f>
        <v>Sep-w3</v>
      </c>
      <c r="DF5" s="59" t="str">
        <f>Sheet8!AC15</f>
        <v>Sep-w4</v>
      </c>
      <c r="DG5" s="59" t="str">
        <f>Sheet8!AD15</f>
        <v>Oct-w1</v>
      </c>
      <c r="DH5" s="59" t="str">
        <f>Sheet8!AE15</f>
        <v>Oct-w2</v>
      </c>
      <c r="DI5" s="59" t="str">
        <f>Sheet8!AF15</f>
        <v>Oct-w3</v>
      </c>
      <c r="DJ5" s="59" t="str">
        <f>Sheet8!AG15</f>
        <v>Oct-w4</v>
      </c>
      <c r="DK5" s="59" t="str">
        <f>Sheet8!AH15</f>
        <v>Nov-w1</v>
      </c>
      <c r="DL5" s="59" t="str">
        <f>Sheet8!AI15</f>
        <v>Nov-w2</v>
      </c>
      <c r="DM5" s="59" t="str">
        <f>Sheet8!AJ15</f>
        <v>Nov-w3</v>
      </c>
      <c r="DN5" s="59" t="str">
        <f>Sheet8!AK15</f>
        <v>Nov-w4</v>
      </c>
      <c r="DO5" s="59" t="str">
        <f>Sheet8!AL15</f>
        <v>Dec-w1</v>
      </c>
      <c r="DP5" s="59" t="str">
        <f>Sheet8!AM15</f>
        <v>Dec-w2</v>
      </c>
      <c r="DQ5" s="59" t="str">
        <f>Sheet8!AN15</f>
        <v>Dec-w3</v>
      </c>
      <c r="DR5" s="59" t="str">
        <f>Sheet8!AO15</f>
        <v>Dec-w4</v>
      </c>
      <c r="DS5" s="59">
        <f>Sheet8!AP15</f>
        <v>0</v>
      </c>
      <c r="DT5" s="59">
        <f>Sheet8!AQ15</f>
        <v>0</v>
      </c>
      <c r="DU5" s="59">
        <f>Sheet8!AR15</f>
        <v>0</v>
      </c>
      <c r="DV5" s="59">
        <f>Sheet8!AS15</f>
        <v>0</v>
      </c>
      <c r="DW5" s="59">
        <f>Sheet8!AT15</f>
        <v>0</v>
      </c>
      <c r="DX5" s="59">
        <f>Sheet8!AU15</f>
        <v>0</v>
      </c>
      <c r="DY5" s="59">
        <f>Sheet8!AV15</f>
        <v>0</v>
      </c>
      <c r="DZ5" s="59">
        <f>Sheet8!AW15</f>
        <v>0</v>
      </c>
    </row>
    <row r="6" spans="1:143">
      <c r="A6" s="115"/>
      <c r="B6" s="65"/>
      <c r="G6" s="60" t="s">
        <v>36</v>
      </c>
      <c r="H6" s="64">
        <f>VLOOKUP($G$6&amp;$F$1,'Input RM sheet'!$A:$BD,H1,0)</f>
        <v>262.5</v>
      </c>
      <c r="I6" s="64">
        <f>VLOOKUP($G$6&amp;$F$1,'Input RM sheet'!$A:$BD,I1,0)</f>
        <v>322.5</v>
      </c>
      <c r="J6" s="64">
        <f>VLOOKUP($G$6&amp;$F$1,'Input RM sheet'!$A:$BD,J1,0)</f>
        <v>285</v>
      </c>
      <c r="K6" s="64">
        <f>VLOOKUP($G$6&amp;$F$1,'Input RM sheet'!$A:$BD,K1,0)</f>
        <v>210</v>
      </c>
      <c r="L6" s="64">
        <f>VLOOKUP($G$6&amp;$F$1,'Input RM sheet'!$A:$BD,L1,0)</f>
        <v>175</v>
      </c>
      <c r="M6" s="64">
        <f>VLOOKUP($G$6&amp;$F$1,'Input RM sheet'!$A:$BD,M1,0)</f>
        <v>167.5</v>
      </c>
      <c r="N6" s="64">
        <f>VLOOKUP($G$6&amp;$F$1,'Input RM sheet'!$A:$BD,N1,0)</f>
        <v>180</v>
      </c>
      <c r="O6" s="64">
        <f>VLOOKUP($G$6&amp;$F$1,'Input RM sheet'!$A:$BD,O1,0)</f>
        <v>220</v>
      </c>
      <c r="P6" s="64">
        <f>VLOOKUP($G$6&amp;$F$1,'Input RM sheet'!$A:$BD,P1,0)</f>
        <v>230</v>
      </c>
      <c r="Q6" s="64">
        <f>VLOOKUP($G$6&amp;$F$1,'Input RM sheet'!$A:$BD,Q1,0)</f>
        <v>240</v>
      </c>
      <c r="R6" s="64">
        <f>VLOOKUP($G$6&amp;$F$1,'Input RM sheet'!$A:$BD,R1,0)</f>
        <v>270</v>
      </c>
      <c r="S6" s="64">
        <f>VLOOKUP($G$6&amp;$F$1,'Input RM sheet'!$A:$BD,S1,0)</f>
        <v>300</v>
      </c>
      <c r="T6" s="64">
        <f>VLOOKUP($G$6&amp;$F$1,'Input RM sheet'!$A:$BD,T1,0)</f>
        <v>360</v>
      </c>
      <c r="U6" s="64">
        <f>VLOOKUP($G$6&amp;$F$1,'Input RM sheet'!$A:$BD,U1,0)</f>
        <v>365</v>
      </c>
      <c r="V6" s="64">
        <f>VLOOKUP($G$6&amp;$F$1,'Input RM sheet'!$A:$BD,V1,0)</f>
        <v>355</v>
      </c>
      <c r="W6" s="64">
        <f>VLOOKUP($G$6&amp;$F$1,'Input RM sheet'!$A:$BD,W1,0)</f>
        <v>340</v>
      </c>
      <c r="X6" s="64">
        <f>VLOOKUP($G$6&amp;$F$1,'Input RM sheet'!$A:$BD,X1,0)</f>
        <v>347.5</v>
      </c>
      <c r="Y6" s="64">
        <f>VLOOKUP($G$6&amp;$F$1,'Input RM sheet'!$A:$BD,Y1,0)</f>
        <v>357.5</v>
      </c>
      <c r="Z6" s="64">
        <f>VLOOKUP($G$6&amp;$F$1,'Input RM sheet'!$A:$BD,Z1,0)</f>
        <v>360</v>
      </c>
      <c r="AA6" s="64">
        <f>VLOOKUP($G$6&amp;$F$1,'Input RM sheet'!$A:$BD,AA1,0)</f>
        <v>370</v>
      </c>
      <c r="AB6" s="64">
        <f>VLOOKUP($G$6&amp;$F$1,'Input RM sheet'!$A:$BD,AB1,0)</f>
        <v>390</v>
      </c>
      <c r="AC6" s="64">
        <f>VLOOKUP($G$6&amp;$F$1,'Input RM sheet'!$A:$BD,AC1,0)</f>
        <v>467.5</v>
      </c>
      <c r="AD6" s="64">
        <f>VLOOKUP($G$6&amp;$F$1,'Input RM sheet'!$A:$BD,AD1,0)</f>
        <v>392.5</v>
      </c>
      <c r="AE6" s="64">
        <f>VLOOKUP($G$6&amp;$F$1,'Input RM sheet'!$A:$BD,AE1,0)</f>
        <v>340</v>
      </c>
      <c r="AF6" s="64">
        <f>VLOOKUP($G$6&amp;$F$1,'Input RM sheet'!$A:$BD,AF1,0)</f>
        <v>310</v>
      </c>
      <c r="AG6" s="64">
        <f>VLOOKUP($G$6&amp;$F$1,'Input RM sheet'!$A:$BD,AG1,0)</f>
        <v>390</v>
      </c>
      <c r="AH6" s="64">
        <f>VLOOKUP($G$6&amp;$F$1,'Input RM sheet'!$A:$BD,AH1,0)</f>
        <v>430</v>
      </c>
      <c r="AI6" s="64">
        <f>VLOOKUP($G$6&amp;$F$1,'Input RM sheet'!$A:$BD,AI1,0)</f>
        <v>390</v>
      </c>
      <c r="AJ6" s="64">
        <f>VLOOKUP($G$6&amp;$F$1,'Input RM sheet'!$A:$BD,AJ1,0)</f>
        <v>350</v>
      </c>
      <c r="AK6" s="64">
        <f>VLOOKUP($G$6&amp;$F$1,'Input RM sheet'!$A:$BD,AK1,0)</f>
        <v>340</v>
      </c>
      <c r="AL6" s="64">
        <f>VLOOKUP($G$6&amp;$F$1,'Input RM sheet'!$A:$BD,AL1,0)</f>
        <v>315</v>
      </c>
      <c r="AM6" s="64">
        <f>VLOOKUP($G$6&amp;$F$1,'Input RM sheet'!$A:$BD,AM1,0)</f>
        <v>315</v>
      </c>
      <c r="AN6" s="64">
        <f>VLOOKUP($G$6&amp;$F$1,'Input RM sheet'!$A:$BD,AN1,0)</f>
        <v>315</v>
      </c>
      <c r="AO6" s="64">
        <f>VLOOKUP($G$6&amp;$F$1,'Input RM sheet'!$A:$BD,AO1,0)</f>
        <v>325</v>
      </c>
      <c r="AP6" s="64">
        <f>VLOOKUP($G$6&amp;$F$1,'Input RM sheet'!$A:$BD,AP1,0)</f>
        <v>325</v>
      </c>
      <c r="AQ6" s="64">
        <f>VLOOKUP($G$6&amp;$F$1,'Input RM sheet'!$A:$BD,AQ1,0)</f>
        <v>315</v>
      </c>
      <c r="AR6" s="64">
        <f>VLOOKUP($G$6&amp;$F$1,'Input RM sheet'!$A:$BD,AR1,0)</f>
        <v>325</v>
      </c>
      <c r="AS6" s="64">
        <f>VLOOKUP($G$6&amp;$F$1,'Input RM sheet'!$A:$BD,AS1,0)</f>
        <v>347.5</v>
      </c>
      <c r="AT6" s="64">
        <f>VLOOKUP($G$6&amp;$F$1,'Input RM sheet'!$A:$BD,AT1,0)</f>
        <v>362.5</v>
      </c>
      <c r="AU6" s="64">
        <f>VLOOKUP($G$6&amp;$F$1,'Input RM sheet'!$A:$BD,AU1,0)</f>
        <v>335</v>
      </c>
      <c r="AV6" s="64">
        <f>VLOOKUP($G$6&amp;$F$1,'Input RM sheet'!$A:$BD,AV1,0)</f>
        <v>310</v>
      </c>
      <c r="AW6" s="64">
        <f>VLOOKUP($G$6&amp;$F$1,'Input RM sheet'!$A:$BD,AW1,0)</f>
        <v>300</v>
      </c>
      <c r="AX6" s="64">
        <f>VLOOKUP($G$6&amp;$F$1,'Input RM sheet'!$A:$BD,AX1,0)</f>
        <v>300</v>
      </c>
      <c r="AY6" s="64">
        <f>VLOOKUP($G$6&amp;$F$1,'Input RM sheet'!$A:$BD,AY1,0)</f>
        <v>290</v>
      </c>
      <c r="AZ6" s="64">
        <f>VLOOKUP($G$6&amp;$F$1,'Input RM sheet'!$A:$BD,AZ1,0)</f>
        <v>290</v>
      </c>
      <c r="BA6" s="64">
        <f>VLOOKUP($G$6&amp;$F$1,'Input RM sheet'!$A:$BD,BA1,0)</f>
        <v>290</v>
      </c>
      <c r="BB6" s="64">
        <f>VLOOKUP($G$6&amp;$F$1,'Input RM sheet'!$A:$BD,BB1,0)</f>
        <v>290</v>
      </c>
      <c r="BC6" s="64">
        <f>VLOOKUP($G$6&amp;$F$1,'Input RM sheet'!$A:$BD,BC1,0)</f>
        <v>310</v>
      </c>
      <c r="BD6" s="64">
        <f>VLOOKUP($G$6&amp;$F$1,'Input RM sheet'!$A:$BD,BD1,0)</f>
        <v>310</v>
      </c>
      <c r="BE6" s="64">
        <f>VLOOKUP($G$6&amp;$F$1,'Input RM sheet'!$A:$BD,BE1,0)</f>
        <v>310</v>
      </c>
      <c r="BF6" s="64">
        <f>VLOOKUP($G$6&amp;$F$1,'Input RM sheet'!$A:$DD,BF1,0)</f>
        <v>310</v>
      </c>
      <c r="BG6" s="64">
        <f>VLOOKUP($G$6&amp;$F$1,'Input RM sheet'!$A:$DD,BG1,0)</f>
        <v>310</v>
      </c>
      <c r="BH6" s="64">
        <f>VLOOKUP($G$6&amp;$F$1,'Input RM sheet'!$A:$DD,BH1,0)</f>
        <v>330</v>
      </c>
      <c r="BI6" s="64">
        <f>VLOOKUP($G$6&amp;$F$1,'Input RM sheet'!$A:$DD,BI1,0)</f>
        <v>330</v>
      </c>
      <c r="BJ6" s="64">
        <f>VLOOKUP($G$6&amp;$F$1,'Input RM sheet'!$A:$DD,BJ1,0)</f>
        <v>330</v>
      </c>
      <c r="BK6" s="64">
        <f>VLOOKUP($G$6&amp;$F$1,'Input RM sheet'!$A:$DD,BK1,0)</f>
        <v>330</v>
      </c>
      <c r="BL6" s="64">
        <f>VLOOKUP($G$6&amp;$F$1,'Input RM sheet'!$A:$DD,BL1,0)</f>
        <v>330</v>
      </c>
      <c r="BM6" s="64">
        <f>VLOOKUP($G$6&amp;$F$1,'Input RM sheet'!$A:$DD,BM1,0)</f>
        <v>330</v>
      </c>
      <c r="BN6" s="64">
        <f>VLOOKUP($G$6&amp;$F$1,'Input RM sheet'!$A:$DD,BN1,0)</f>
        <v>330</v>
      </c>
      <c r="BO6" s="64">
        <f>VLOOKUP($G$6&amp;$F$1,'Input RM sheet'!$A:$DD,BO1,0)</f>
        <v>315</v>
      </c>
      <c r="BP6" s="64">
        <f>VLOOKUP($G$6&amp;$F$1,'Input RM sheet'!$A:$DD,BP1,0)</f>
        <v>315</v>
      </c>
      <c r="BQ6" s="64">
        <f>VLOOKUP($G$6&amp;$F$1,'Input RM sheet'!$A:$DD,BQ1,0)</f>
        <v>315</v>
      </c>
      <c r="BR6" s="64">
        <f>VLOOKUP($G$6&amp;$F$1,'Input RM sheet'!$A:$DD,BR1,0)</f>
        <v>315</v>
      </c>
      <c r="BS6" s="64">
        <f>VLOOKUP($G$6&amp;$F$1,'Input RM sheet'!$A:$DD,BS1,0)</f>
        <v>335</v>
      </c>
      <c r="BT6" s="64">
        <f>VLOOKUP($G$6&amp;$F$1,'Input RM sheet'!$A:$DD,BT1,0)</f>
        <v>335</v>
      </c>
      <c r="BU6" s="64">
        <f>VLOOKUP($G$6&amp;$F$1,'Input RM sheet'!$A:$DD,BU1,0)</f>
        <v>335</v>
      </c>
      <c r="BV6" s="64">
        <f>VLOOKUP($G$6&amp;$F$1,'Input RM sheet'!$A:$DD,BV1,0)</f>
        <v>337.5</v>
      </c>
      <c r="BW6" s="64">
        <f>VLOOKUP($G$6&amp;$F$1,'Input RM sheet'!$A:$DD,BW1,0)</f>
        <v>337.5</v>
      </c>
      <c r="BX6" s="64">
        <f>VLOOKUP($G$6&amp;$F$1,'Input RM sheet'!$A:$DD,BX1,0)</f>
        <v>337.5</v>
      </c>
      <c r="BY6" s="64">
        <f>VLOOKUP($G$6&amp;$F$1,'Input RM sheet'!$A:$DD,BY1,0)</f>
        <v>347.5</v>
      </c>
      <c r="BZ6" s="64">
        <f>VLOOKUP($G$6&amp;$F$1,'Input RM sheet'!$A:$DD,BZ1,0)</f>
        <v>347.5</v>
      </c>
      <c r="CA6" s="64">
        <f>VLOOKUP($G$6&amp;$F$1,'Input RM sheet'!$A:$DD,CA1,0)</f>
        <v>347.5</v>
      </c>
      <c r="CB6" s="64">
        <f>VLOOKUP($G$6&amp;$F$1,'Input RM sheet'!$A:$DD,CB1,0)</f>
        <v>347.5</v>
      </c>
      <c r="CC6" s="64">
        <f>VLOOKUP($G$6&amp;$F$1,'Input RM sheet'!$A:$DD,CC1,0)</f>
        <v>347.5</v>
      </c>
      <c r="CD6" s="64">
        <f>VLOOKUP($G$6&amp;$F$1,'Input RM sheet'!$A:$DD,CD1,0)</f>
        <v>347.5</v>
      </c>
      <c r="CE6" s="64">
        <f>VLOOKUP($G$6&amp;$F$1,'Input RM sheet'!$A:$DD,CE1,0)</f>
        <v>347.5</v>
      </c>
      <c r="CF6" s="64">
        <f>VLOOKUP($G$6&amp;$F$1,'Input RM sheet'!$A:$DD,CF1,0)</f>
        <v>355</v>
      </c>
      <c r="CG6" s="64">
        <f>VLOOKUP($G$6&amp;$F$1,'Input RM sheet'!$A:$DD,CG1,0)</f>
        <v>355</v>
      </c>
      <c r="CH6" s="64">
        <f>VLOOKUP($G$6&amp;$F$1,'Input RM sheet'!$A:$DD,CH1,0)</f>
        <v>345</v>
      </c>
      <c r="CI6" s="64">
        <f>VLOOKUP($G$6&amp;$F$1,'Input RM sheet'!$A:$DD,CI1,0)</f>
        <v>345</v>
      </c>
      <c r="CJ6" s="64">
        <f>VLOOKUP($G$6&amp;$F$1,'Input RM sheet'!$A:$DD,CJ1,0)</f>
        <v>345</v>
      </c>
      <c r="CK6" s="64">
        <f>VLOOKUP($G$6&amp;$F$1,'Input RM sheet'!$A:$DD,CK1,0)</f>
        <v>345</v>
      </c>
      <c r="CL6" s="64">
        <f>VLOOKUP($G$6&amp;$F$1,'Input RM sheet'!$A:$DD,CL1,0)</f>
        <v>342.5</v>
      </c>
      <c r="CM6" s="64">
        <f>VLOOKUP($G$6&amp;$F$1,'Input RM sheet'!$A:$DD,CM1,0)</f>
        <v>342.5</v>
      </c>
      <c r="CN6" s="64">
        <f>VLOOKUP($G$6&amp;$F$1,'Input RM sheet'!$A:$DD,CN1,0)</f>
        <v>342.5</v>
      </c>
      <c r="CO6" s="64">
        <f>VLOOKUP($G$6&amp;$F$1,'Input RM sheet'!$A:$DD,CO1,0)</f>
        <v>342.5</v>
      </c>
      <c r="CP6" s="64">
        <f>VLOOKUP($G$6&amp;$F$1,'Input RM sheet'!$A:$DD,CP1,0)</f>
        <v>342.5</v>
      </c>
      <c r="CQ6" s="64">
        <f>VLOOKUP($G$6&amp;$F$1,'Input RM sheet'!$A:$ZZ,CQ1,0)</f>
        <v>342.5</v>
      </c>
      <c r="CR6" s="64">
        <f>VLOOKUP($G$6&amp;$F$1,'Input RM sheet'!$A:$ZZ,CR1,0)</f>
        <v>340</v>
      </c>
      <c r="CS6" s="64">
        <f>VLOOKUP($G$6&amp;$F$1,'Input RM sheet'!$A:$ZZ,CS1,0)</f>
        <v>340</v>
      </c>
      <c r="CT6" s="64">
        <f>VLOOKUP($G$6&amp;$F$1,'Input RM sheet'!$A:$ZZ,CT1,0)</f>
        <v>340</v>
      </c>
      <c r="CU6" s="64">
        <f>VLOOKUP($G$6&amp;$F$1,'Input RM sheet'!$A:$ZZ,CU1,0)</f>
        <v>340</v>
      </c>
      <c r="CV6" s="64">
        <f>VLOOKUP($G$6&amp;$F$1,'Input RM sheet'!$A:$ZZ,CV1,0)</f>
        <v>335</v>
      </c>
      <c r="CW6" s="64">
        <f>VLOOKUP($G$6&amp;$F$1,'Input RM sheet'!$A:$ZZ,CW1,0)</f>
        <v>335</v>
      </c>
      <c r="CX6" s="64">
        <f>VLOOKUP($G$6&amp;$F$1,'Input RM sheet'!$A:$ZZ,CX1,0)</f>
        <v>335</v>
      </c>
      <c r="CY6" s="64">
        <f>VLOOKUP($G$6&amp;$F$1,'Input RM sheet'!$A:$ZZ,CY1,0)</f>
        <v>335</v>
      </c>
      <c r="CZ6" s="64">
        <f>VLOOKUP($G$6&amp;$F$1,'Input RM sheet'!$A:$ZZ,CZ1,0)</f>
        <v>335</v>
      </c>
      <c r="DA6" s="64">
        <f>VLOOKUP($G$6&amp;$F$1,'Input RM sheet'!$A:$ZZ,DA1,0)</f>
        <v>335</v>
      </c>
      <c r="DB6" s="64">
        <f>VLOOKUP($G$6&amp;$F$1,'Input RM sheet'!$A:$ZZ,DB1,0)</f>
        <v>335</v>
      </c>
      <c r="DC6" s="64">
        <f>VLOOKUP($G$6&amp;$F$1,'Input RM sheet'!$A:$ZZ,DC1,0)</f>
        <v>335</v>
      </c>
      <c r="DD6" s="64">
        <f>VLOOKUP($G$6&amp;$F$1,'Input RM sheet'!$A:$ZZ,DD1,0)</f>
        <v>335</v>
      </c>
      <c r="DE6" s="64">
        <f>VLOOKUP($G$6&amp;$F$1,'Input RM sheet'!$A:$ZZ,DE1,0)</f>
        <v>335</v>
      </c>
      <c r="DF6" s="64">
        <f>VLOOKUP($G$6&amp;$F$1,'Input RM sheet'!$A:$ZZ,DF1,0)</f>
        <v>335</v>
      </c>
      <c r="DG6" s="64">
        <f>VLOOKUP($G$6&amp;$F$1,'Input RM sheet'!$A:$ZZ,DG1,0)</f>
        <v>335</v>
      </c>
      <c r="DH6" s="64">
        <f>VLOOKUP($G$6&amp;$F$1,'Input RM sheet'!$A:$ZZ,DH1,0)</f>
        <v>335</v>
      </c>
      <c r="DI6" s="64">
        <f>VLOOKUP($G$6&amp;$F$1,'Input RM sheet'!$A:$ZZ,DI1,0)</f>
        <v>345</v>
      </c>
      <c r="DJ6" s="64">
        <f>VLOOKUP($G$6&amp;$F$1,'Input RM sheet'!$A:$ZZ,DJ1,0)</f>
        <v>345</v>
      </c>
      <c r="DK6" s="64">
        <f>VLOOKUP($G$6&amp;$F$1,'Input RM sheet'!$A:$ZZ,DK1,0)</f>
        <v>345</v>
      </c>
      <c r="DL6" s="64">
        <f>VLOOKUP($G$6&amp;$F$1,'Input RM sheet'!$A:$ZZ,DL1,0)</f>
        <v>345</v>
      </c>
      <c r="DM6" s="64">
        <f>VLOOKUP($G$6&amp;$F$1,'Input RM sheet'!$A:$ZZ,DM1,0)</f>
        <v>330</v>
      </c>
      <c r="DN6" s="64">
        <f>VLOOKUP($G$6&amp;$F$1,'Input RM sheet'!$A:$ZZ,DN1,0)</f>
        <v>330</v>
      </c>
      <c r="DO6" s="64">
        <f>VLOOKUP($G$6&amp;$F$1,'Input RM sheet'!$A:$ZZ,DO1,0)</f>
        <v>330</v>
      </c>
      <c r="DP6" s="64">
        <f>VLOOKUP($G$6&amp;$F$1,'Input RM sheet'!$A:$ZZ,DP1,0)</f>
        <v>330</v>
      </c>
      <c r="DQ6" s="64">
        <f>VLOOKUP($G$6&amp;$F$1,'Input RM sheet'!$A:$ZZ,DQ1,0)</f>
        <v>330</v>
      </c>
      <c r="DR6" s="64">
        <f>VLOOKUP($G$6&amp;$F$1,'Input RM sheet'!$A:$ZZ,DR1,0)</f>
        <v>347.5</v>
      </c>
      <c r="DS6" s="64">
        <f>VLOOKUP($G$6&amp;$F$1,'Input RM sheet'!$A:$ZZ,DS1,0)</f>
        <v>0</v>
      </c>
      <c r="DT6" s="64">
        <f>VLOOKUP($G$6&amp;$F$1,'Input RM sheet'!$A:$ZZ,DT1,0)</f>
        <v>0</v>
      </c>
      <c r="DU6" s="64">
        <f>VLOOKUP($G$6&amp;$F$1,'Input RM sheet'!$A:$ZZ,DU1,0)</f>
        <v>0</v>
      </c>
      <c r="DV6" s="64">
        <f>VLOOKUP($G$6&amp;$F$1,'Input RM sheet'!$A:$ZZ,DV1,0)</f>
        <v>0</v>
      </c>
      <c r="DW6" s="64">
        <f>VLOOKUP($G$6&amp;$F$1,'Input RM sheet'!$A:$ZZ,DW1,0)</f>
        <v>0</v>
      </c>
      <c r="DX6" s="64">
        <f>VLOOKUP($G$6&amp;$F$1,'Input RM sheet'!$A:$ZZ,DX1,0)</f>
        <v>0</v>
      </c>
      <c r="DY6" s="64">
        <f>VLOOKUP($G$6&amp;$F$1,'Input RM sheet'!$A:$ZZ,DY1,0)</f>
        <v>0</v>
      </c>
      <c r="DZ6" s="64">
        <f>VLOOKUP($G$6&amp;$F$1,'Input RM sheet'!$A:$ZZ,DZ1,0)</f>
        <v>0</v>
      </c>
    </row>
    <row r="7" spans="1:143">
      <c r="A7" s="115"/>
      <c r="B7" s="65"/>
      <c r="D7" s="60" t="s">
        <v>429</v>
      </c>
      <c r="F7" s="60" t="s">
        <v>542</v>
      </c>
      <c r="G7" s="60" t="s">
        <v>45</v>
      </c>
      <c r="H7" s="74">
        <f>VLOOKUP($G$7&amp;$F$1,'Input RM sheet'!$A:$BD,H1,0)</f>
        <v>0.50625069064173545</v>
      </c>
      <c r="I7" s="74">
        <f>VLOOKUP($G$7&amp;$F$1,'Input RM sheet'!$A:$BD,I1,0)</f>
        <v>0.50605053403738476</v>
      </c>
      <c r="J7" s="74">
        <f>VLOOKUP($G$7&amp;$F$1,'Input RM sheet'!$A:$BD,J1,0)</f>
        <v>0.48566205346589675</v>
      </c>
      <c r="K7" s="74">
        <f>VLOOKUP($G$7&amp;$F$1,'Input RM sheet'!$A:$BD,K1,0)</f>
        <v>0.46604911475979133</v>
      </c>
      <c r="L7" s="74">
        <f>VLOOKUP($G$7&amp;$F$1,'Input RM sheet'!$A:$BD,L1,0)</f>
        <v>0.47286371932487081</v>
      </c>
      <c r="M7" s="74">
        <f>VLOOKUP($G$7&amp;$F$1,'Input RM sheet'!$A:$BD,M1,0)</f>
        <v>0.44148091934964817</v>
      </c>
      <c r="N7" s="74">
        <f>VLOOKUP($G$7&amp;$F$1,'Input RM sheet'!$A:$BD,N1,0)</f>
        <v>0.43426534003337747</v>
      </c>
      <c r="O7" s="74">
        <f>VLOOKUP($G$7&amp;$F$1,'Input RM sheet'!$A:$BD,O1,0)</f>
        <v>0.4253624199790475</v>
      </c>
      <c r="P7" s="74">
        <f>VLOOKUP($G$7&amp;$F$1,'Input RM sheet'!$A:$BD,P1,0)</f>
        <v>0.43233741458081631</v>
      </c>
      <c r="Q7" s="74">
        <f>VLOOKUP($G$7&amp;$F$1,'Input RM sheet'!$A:$BD,Q1,0)</f>
        <v>0.4289746699475917</v>
      </c>
      <c r="R7" s="74">
        <f>VLOOKUP($G$7&amp;$F$1,'Input RM sheet'!$A:$BD,R1,0)</f>
        <v>0.42484260760346637</v>
      </c>
      <c r="S7" s="74">
        <f>VLOOKUP($G$7&amp;$F$1,'Input RM sheet'!$A:$BD,S1,0)</f>
        <v>0.45075951239765033</v>
      </c>
      <c r="T7" s="74">
        <f>VLOOKUP($G$7&amp;$F$1,'Input RM sheet'!$A:$BD,T1,0)</f>
        <v>0.47632070741601718</v>
      </c>
      <c r="U7" s="74">
        <f>VLOOKUP($G$7&amp;$F$1,'Input RM sheet'!$A:$BD,U1,0)</f>
        <v>0.50824175824175821</v>
      </c>
      <c r="V7" s="74">
        <f>VLOOKUP($G$7&amp;$F$1,'Input RM sheet'!$A:$BD,V1,0)</f>
        <v>0.50824175824175821</v>
      </c>
      <c r="W7" s="74">
        <f>VLOOKUP($G$7&amp;$F$1,'Input RM sheet'!$A:$BD,W1,0)</f>
        <v>0.53357522262827839</v>
      </c>
      <c r="X7" s="74">
        <f>VLOOKUP($G$7&amp;$F$1,'Input RM sheet'!$A:$BD,X1,0)</f>
        <v>0.59385665529010234</v>
      </c>
      <c r="Y7" s="74">
        <f>VLOOKUP($G$7&amp;$F$1,'Input RM sheet'!$A:$BD,Y1,0)</f>
        <v>0.63431872099725806</v>
      </c>
      <c r="Z7" s="74">
        <f>VLOOKUP($G$7&amp;$F$1,'Input RM sheet'!$A:$BD,Z1,0)</f>
        <v>0.72591659871949687</v>
      </c>
      <c r="AA7" s="74">
        <f>VLOOKUP($G$7&amp;$F$1,'Input RM sheet'!$A:$BD,AA1,0)</f>
        <v>0.72889455792717117</v>
      </c>
      <c r="AB7" s="74">
        <f>VLOOKUP($G$7&amp;$F$1,'Input RM sheet'!$A:$BD,AB1,0)</f>
        <v>0.74862988980369449</v>
      </c>
      <c r="AC7" s="74">
        <f>VLOOKUP($G$7&amp;$F$1,'Input RM sheet'!$A:$BD,AC1,0)</f>
        <v>0.79168514687656644</v>
      </c>
      <c r="AD7" s="74">
        <f>VLOOKUP($G$7&amp;$F$1,'Input RM sheet'!$A:$BD,AD1,0)</f>
        <v>0.82087330176727136</v>
      </c>
      <c r="AE7" s="74">
        <f>VLOOKUP($G$7&amp;$F$1,'Input RM sheet'!$A:$BD,AE1,0)</f>
        <v>0.84614593649711278</v>
      </c>
      <c r="AF7" s="74">
        <f>VLOOKUP($G$7&amp;$F$1,'Input RM sheet'!$A:$BD,AF1,0)</f>
        <v>1.0564787620243885</v>
      </c>
      <c r="AG7" s="74">
        <f>VLOOKUP($G$7&amp;$F$1,'Input RM sheet'!$A:$BD,AG1,0)</f>
        <v>1.2058469531568468</v>
      </c>
      <c r="AH7" s="74">
        <f>VLOOKUP($G$7&amp;$F$1,'Input RM sheet'!$A:$BD,AH1,0)</f>
        <v>1.328155753838079</v>
      </c>
      <c r="AI7" s="74">
        <f>VLOOKUP($G$7&amp;$F$1,'Input RM sheet'!$A:$BD,AI1,0)</f>
        <v>1.2605824467442697</v>
      </c>
      <c r="AJ7" s="74">
        <f>VLOOKUP($G$7&amp;$F$1,'Input RM sheet'!$A:$BD,AJ1,0)</f>
        <v>1.1242096737595759</v>
      </c>
      <c r="AK7" s="74">
        <f>VLOOKUP($G$7&amp;$F$1,'Input RM sheet'!$A:$BD,AK1,0)</f>
        <v>1.1179786985052897</v>
      </c>
      <c r="AL7" s="74">
        <f>VLOOKUP($G$7&amp;$F$1,'Input RM sheet'!$A:$BD,AL1,0)</f>
        <v>1.0829322457612403</v>
      </c>
      <c r="AM7" s="74">
        <f>VLOOKUP($G$7&amp;$F$1,'Input RM sheet'!$A:$BD,AM1,0)</f>
        <v>1.0855018240664733</v>
      </c>
      <c r="AN7" s="74">
        <f>VLOOKUP($G$7&amp;$F$1,'Input RM sheet'!$A:$BD,AN1,0)</f>
        <v>1.0549821404108952</v>
      </c>
      <c r="AO7" s="74">
        <f>VLOOKUP($G$7&amp;$F$1,'Input RM sheet'!$A:$BD,AO1,0)</f>
        <v>1.0740005833527477</v>
      </c>
      <c r="AP7" s="74">
        <f>VLOOKUP($G$7&amp;$F$1,'Input RM sheet'!$A:$BD,AP1,0)</f>
        <v>1.1385193276752337</v>
      </c>
      <c r="AQ7" s="74">
        <f>VLOOKUP($G$7&amp;$F$1,'Input RM sheet'!$A:$BD,AQ1,0)</f>
        <v>1.0816813265611029</v>
      </c>
      <c r="AR7" s="74">
        <f>VLOOKUP($G$7&amp;$F$1,'Input RM sheet'!$A:$BD,AR1,0)</f>
        <v>0.99756298566293211</v>
      </c>
      <c r="AS7" s="74">
        <f>VLOOKUP($G$7&amp;$F$1,'Input RM sheet'!$A:$BD,AS1,0)</f>
        <v>0.92545631998382882</v>
      </c>
      <c r="AT7" s="74">
        <f>VLOOKUP($G$7&amp;$F$1,'Input RM sheet'!$A:$BD,AT1,0)</f>
        <v>0.9011022063000439</v>
      </c>
      <c r="AU7" s="74">
        <f>VLOOKUP($G$7&amp;$F$1,'Input RM sheet'!$A:$BD,AU1,0)</f>
        <v>0.74767129009219857</v>
      </c>
      <c r="AV7" s="74">
        <f>VLOOKUP($G$7&amp;$F$1,'Input RM sheet'!$A:$BD,AV1,0)</f>
        <v>0.70626929682976414</v>
      </c>
      <c r="AW7" s="74">
        <f>VLOOKUP($G$7&amp;$F$1,'Input RM sheet'!$A:$BD,AW1,0)</f>
        <v>0.61818181818181817</v>
      </c>
      <c r="AX7" s="74">
        <f>VLOOKUP($G$7&amp;$F$1,'Input RM sheet'!$A:$BD,AX1,0)</f>
        <v>0.61863173216885003</v>
      </c>
      <c r="AY7" s="74">
        <f>VLOOKUP($G$7&amp;$F$1,'Input RM sheet'!$A:$BD,AY1,0)</f>
        <v>0.6205889510829885</v>
      </c>
      <c r="AZ7" s="74">
        <f>VLOOKUP($G$7&amp;$F$1,'Input RM sheet'!$A:$BD,AZ1,0)</f>
        <v>0.62255859375</v>
      </c>
      <c r="BA7" s="74">
        <f>VLOOKUP($G$7&amp;$F$1,'Input RM sheet'!$A:$BD,BA1,0)</f>
        <v>0.59567225869195228</v>
      </c>
      <c r="BB7" s="74">
        <f>VLOOKUP($G$7&amp;$F$1,'Input RM sheet'!$A:$BD,BB1,0)</f>
        <v>0.59157310153326093</v>
      </c>
      <c r="BC7" s="74">
        <f>VLOOKUP($G$7&amp;$F$1,'Input RM sheet'!$A:$BD,BC1,0)</f>
        <v>0.58858858858858853</v>
      </c>
      <c r="BD7" s="74">
        <f>VLOOKUP($G$7&amp;$F$1,'Input RM sheet'!$A:$BD,BD1,0)</f>
        <v>0.58858858858858853</v>
      </c>
      <c r="BE7" s="74">
        <f>VLOOKUP($G$7&amp;$F$1,'Input RM sheet'!$A:$BD,BE1,0)</f>
        <v>0.59286146400483963</v>
      </c>
      <c r="BF7" s="74">
        <f>VLOOKUP($G$7&amp;$F$1,'Input RM sheet'!$A:$DD,BF1,0)</f>
        <v>0.5900060204695966</v>
      </c>
      <c r="BG7" s="74">
        <f>VLOOKUP($G$7&amp;$F$1,'Input RM sheet'!$A:$DD,BG1,0)</f>
        <v>0.5666747046057391</v>
      </c>
      <c r="BH7" s="74">
        <f>VLOOKUP($G$7&amp;$F$1,'Input RM sheet'!$A:$DD,BH1,0)</f>
        <v>0.59085976124442297</v>
      </c>
      <c r="BI7" s="74">
        <f>VLOOKUP($G$7&amp;$F$1,'Input RM sheet'!$A:$DD,BI1,0)</f>
        <v>0.58851789574825841</v>
      </c>
      <c r="BJ7" s="74">
        <f>VLOOKUP($G$7&amp;$F$1,'Input RM sheet'!$A:$DD,BJ1,0)</f>
        <v>0.68493150684931503</v>
      </c>
      <c r="BK7" s="74">
        <f>VLOOKUP($G$7&amp;$F$1,'Input RM sheet'!$A:$DD,BK1,0)</f>
        <v>0.68468468468468469</v>
      </c>
      <c r="BL7" s="74">
        <f>VLOOKUP($G$7&amp;$F$1,'Input RM sheet'!$A:$DD,BL1,0)</f>
        <v>0.66169393647738206</v>
      </c>
      <c r="BM7" s="74">
        <f>VLOOKUP($G$7&amp;$F$1,'Input RM sheet'!$A:$DD,BM1,0)</f>
        <v>0.69661301945712217</v>
      </c>
      <c r="BN7" s="74">
        <f>VLOOKUP($G$7&amp;$F$1,'Input RM sheet'!$A:$DD,BN1,0)</f>
        <v>0.69694784907474161</v>
      </c>
      <c r="BO7" s="74">
        <f>VLOOKUP($G$7&amp;$F$1,'Input RM sheet'!$A:$DD,BO1,0)</f>
        <v>0.69719918259406177</v>
      </c>
      <c r="BP7" s="74">
        <f>VLOOKUP($G$7&amp;$F$1,'Input RM sheet'!$A:$DD,BP1,0)</f>
        <v>0.69719918259406177</v>
      </c>
      <c r="BQ7" s="74">
        <f>VLOOKUP($G$7&amp;$F$1,'Input RM sheet'!$A:$DD,BQ1,0)</f>
        <v>0.69602784111364457</v>
      </c>
      <c r="BR7" s="74">
        <f>VLOOKUP($G$7&amp;$F$1,'Input RM sheet'!$A:$DD,BR1,0)</f>
        <v>0.69544364508393286</v>
      </c>
      <c r="BS7" s="74">
        <f>VLOOKUP($G$7&amp;$F$1,'Input RM sheet'!$A:$DD,BS1,0)</f>
        <v>0.63579654510556627</v>
      </c>
      <c r="BT7" s="74">
        <f>VLOOKUP($G$7&amp;$F$1,'Input RM sheet'!$A:$DD,BT1,0)</f>
        <v>0.64872657376261422</v>
      </c>
      <c r="BU7" s="74">
        <f>VLOOKUP($G$7&amp;$F$1,'Input RM sheet'!$A:$DD,BU1,0)</f>
        <v>0.64810369659145473</v>
      </c>
      <c r="BV7" s="74">
        <f>VLOOKUP($G$7&amp;$F$1,'Input RM sheet'!$A:$DD,BV1,0)</f>
        <v>0.63146499879720952</v>
      </c>
      <c r="BW7" s="74">
        <f>VLOOKUP($G$7&amp;$F$1,'Input RM sheet'!$A:$DD,BW1,0)</f>
        <v>0.66145520144317493</v>
      </c>
      <c r="BX7" s="74">
        <f>VLOOKUP($G$7&amp;$F$1,'Input RM sheet'!$A:$DD,BX1,0)</f>
        <v>0.66066066066066065</v>
      </c>
      <c r="BY7" s="74">
        <f>VLOOKUP($G$7&amp;$F$1,'Input RM sheet'!$A:$DD,BY1,0)</f>
        <v>0.67421141343607027</v>
      </c>
      <c r="BZ7" s="74">
        <f>VLOOKUP($G$7&amp;$F$1,'Input RM sheet'!$A:$DD,BZ1,0)</f>
        <v>0.67469879518072284</v>
      </c>
      <c r="CA7" s="74">
        <f>VLOOKUP($G$7&amp;$F$1,'Input RM sheet'!$A:$DD,CA1,0)</f>
        <v>0.6746175159619322</v>
      </c>
      <c r="CB7" s="74">
        <f>VLOOKUP($G$7&amp;$F$1,'Input RM sheet'!$A:$DD,CB1,0)</f>
        <v>0.67551266586248493</v>
      </c>
      <c r="CC7" s="74">
        <f>VLOOKUP($G$7&amp;$F$1,'Input RM sheet'!$A:$DD,CC1,0)</f>
        <v>0.67551266586248493</v>
      </c>
      <c r="CD7" s="74">
        <f>VLOOKUP($G$7&amp;$F$1,'Input RM sheet'!$A:$DD,CD1,0)</f>
        <v>0.64087061668681977</v>
      </c>
      <c r="CE7" s="74">
        <f>VLOOKUP($G$7&amp;$F$1,'Input RM sheet'!$A:$DD,CE1,0)</f>
        <v>0.64040599323344605</v>
      </c>
      <c r="CF7" s="74">
        <f>VLOOKUP($G$7&amp;$F$1,'Input RM sheet'!$A:$DD,CF1,0)</f>
        <v>0.63656017295219791</v>
      </c>
      <c r="CG7" s="74">
        <f>VLOOKUP($G$7&amp;$F$1,'Input RM sheet'!$A:$DD,CG1,0)</f>
        <v>0.63556781388655714</v>
      </c>
      <c r="CH7" s="74">
        <f>VLOOKUP($G$7&amp;$F$1,'Input RM sheet'!$A:$DD,CH1,0)</f>
        <v>0.63694267515923575</v>
      </c>
      <c r="CI7" s="74">
        <f>VLOOKUP($G$7&amp;$F$1,'Input RM sheet'!$A:$DD,CI1,0)</f>
        <v>0.63549160671462823</v>
      </c>
      <c r="CJ7" s="74">
        <f>VLOOKUP($G$7&amp;$F$1,'Input RM sheet'!$A:$DD,CJ1,0)</f>
        <v>0.63389546704939603</v>
      </c>
      <c r="CK7" s="74">
        <f>VLOOKUP($G$7&amp;$F$1,'Input RM sheet'!$A:$DD,CK1,0)</f>
        <v>0.65931431311436106</v>
      </c>
      <c r="CL7" s="74">
        <f>VLOOKUP($G$7&amp;$F$1,'Input RM sheet'!$A:$DD,CL1,0)</f>
        <v>0.6586826347305389</v>
      </c>
      <c r="CM7" s="74">
        <f>VLOOKUP($G$7&amp;$F$1,'Input RM sheet'!$A:$DD,CM1,0)</f>
        <v>0.65986802639472109</v>
      </c>
      <c r="CN7" s="74">
        <f>VLOOKUP($G$7&amp;$F$1,'Input RM sheet'!$A:$DD,CN1,0)</f>
        <v>0.62387522495500902</v>
      </c>
      <c r="CO7" s="74">
        <f>VLOOKUP($G$7&amp;$F$1,'Input RM sheet'!$A:$DD,CO1,0)</f>
        <v>0.62387522495500902</v>
      </c>
      <c r="CP7" s="74">
        <f>VLOOKUP($G$7&amp;$F$1,'Input RM sheet'!$A:$DD,CP1,0)</f>
        <v>0.62387522495500902</v>
      </c>
      <c r="CQ7" s="74">
        <f>VLOOKUP($G$7&amp;$F$1,'Input RM sheet'!$A:$ZZ,CQ1,0)</f>
        <v>0.61985933961139583</v>
      </c>
      <c r="CR7" s="74">
        <f>VLOOKUP($G$7&amp;$F$1,'Input RM sheet'!$A:$ZZ,CR1,0)</f>
        <v>0.64748201438848918</v>
      </c>
      <c r="CS7" s="74">
        <f>VLOOKUP($G$7&amp;$F$1,'Input RM sheet'!$A:$ZZ,CS1,0)</f>
        <v>0.6467065868263473</v>
      </c>
      <c r="CT7" s="74">
        <f>VLOOKUP($G$7&amp;$F$1,'Input RM sheet'!$A:$ZZ,CT1,0)</f>
        <v>0.67106051527860988</v>
      </c>
      <c r="CU7" s="74">
        <f>VLOOKUP($G$7&amp;$F$1,'Input RM sheet'!$A:$ZZ,CU1,0)</f>
        <v>0.67089972445189894</v>
      </c>
      <c r="CV7" s="74">
        <f>VLOOKUP($G$7&amp;$F$1,'Input RM sheet'!$A:$ZZ,CV1,0)</f>
        <v>0.67025733093955719</v>
      </c>
      <c r="CW7" s="74">
        <f>VLOOKUP($G$7&amp;$F$1,'Input RM sheet'!$A:$ZZ,CW1,0)</f>
        <v>0.65710872162485068</v>
      </c>
      <c r="CX7" s="74">
        <f>VLOOKUP($G$7&amp;$F$1,'Input RM sheet'!$A:$ZZ,CX1,0)</f>
        <v>0.65687328317210081</v>
      </c>
      <c r="CY7" s="74">
        <f>VLOOKUP($G$7&amp;$F$1,'Input RM sheet'!$A:$ZZ,CY1,0)</f>
        <v>0.67897558070279929</v>
      </c>
      <c r="CZ7" s="74">
        <f>VLOOKUP($G$7&amp;$F$1,'Input RM sheet'!$A:$ZZ,CZ1,0)</f>
        <v>0.67889471176750837</v>
      </c>
      <c r="DA7" s="74">
        <f>VLOOKUP($G$7&amp;$F$1,'Input RM sheet'!$A:$ZZ,DA1,0)</f>
        <v>0.6793802145411203</v>
      </c>
      <c r="DB7" s="74">
        <f>VLOOKUP($G$7&amp;$F$1,'Input RM sheet'!$A:$ZZ,DB1,0)</f>
        <v>0.67946119918941472</v>
      </c>
      <c r="DC7" s="74">
        <f>VLOOKUP($G$7&amp;$F$1,'Input RM sheet'!$A:$ZZ,DC1,0)</f>
        <v>0.62529776083849453</v>
      </c>
      <c r="DD7" s="74">
        <f>VLOOKUP($G$7&amp;$F$1,'Input RM sheet'!$A:$ZZ,DD1,0)</f>
        <v>0.62529776083849453</v>
      </c>
      <c r="DE7" s="74">
        <f>VLOOKUP($G$7&amp;$F$1,'Input RM sheet'!$A:$ZZ,DE1,0)</f>
        <v>0.59224694903086861</v>
      </c>
      <c r="DF7" s="74">
        <f>VLOOKUP($G$7&amp;$F$1,'Input RM sheet'!$A:$ZZ,DF1,0)</f>
        <v>0.59168061200095623</v>
      </c>
      <c r="DG7" s="74">
        <f>VLOOKUP($G$7&amp;$F$1,'Input RM sheet'!$A:$ZZ,DG1,0)</f>
        <v>0.58949624866023576</v>
      </c>
      <c r="DH7" s="74">
        <f>VLOOKUP($G$7&amp;$F$1,'Input RM sheet'!$A:$ZZ,DH1,0)</f>
        <v>0.60068990127274891</v>
      </c>
      <c r="DI7" s="74">
        <f>VLOOKUP($G$7&amp;$F$1,'Input RM sheet'!$A:$ZZ,DI1,0)</f>
        <v>0.60068990127274891</v>
      </c>
      <c r="DJ7" s="74">
        <f>VLOOKUP($G$7&amp;$F$1,'Input RM sheet'!$A:$ZZ,DJ1,0)</f>
        <v>0.60061845861084684</v>
      </c>
      <c r="DK7" s="74">
        <f>VLOOKUP($G$7&amp;$F$1,'Input RM sheet'!$A:$ZZ,DK1,0)</f>
        <v>0.60033285782215884</v>
      </c>
      <c r="DL7" s="74">
        <f>VLOOKUP($G$7&amp;$F$1,'Input RM sheet'!$A:$ZZ,DL1,0)</f>
        <v>0.59834123222748814</v>
      </c>
      <c r="DM7" s="74">
        <f>VLOOKUP($G$7&amp;$F$1,'Input RM sheet'!$A:$ZZ,DM1,0)</f>
        <v>0.61706419840987303</v>
      </c>
      <c r="DN7" s="74">
        <f>VLOOKUP($G$7&amp;$F$1,'Input RM sheet'!$A:$ZZ,DN1,0)</f>
        <v>0.61443932411674351</v>
      </c>
      <c r="DO7" s="74">
        <f>VLOOKUP($G$7&amp;$F$1,'Input RM sheet'!$A:$ZZ,DO1,0)</f>
        <v>0.6376195536663124</v>
      </c>
      <c r="DP7" s="74">
        <f>VLOOKUP($G$7&amp;$F$1,'Input RM sheet'!$A:$ZZ,DP1,0)</f>
        <v>0.63067311092773781</v>
      </c>
      <c r="DQ7" s="74">
        <f>VLOOKUP($G$7&amp;$F$1,'Input RM sheet'!$A:$ZZ,DQ1,0)</f>
        <v>0.63000471031559113</v>
      </c>
      <c r="DR7" s="74">
        <f>VLOOKUP($G$7&amp;$F$1,'Input RM sheet'!$A:$ZZ,DR1,0)</f>
        <v>0.62808170932143692</v>
      </c>
      <c r="DS7" s="74">
        <f>VLOOKUP($G$7&amp;$F$1,'Input RM sheet'!$A:$ZZ,DS1,0)</f>
        <v>0</v>
      </c>
      <c r="DT7" s="74">
        <f>VLOOKUP($G$7&amp;$F$1,'Input RM sheet'!$A:$ZZ,DT1,0)</f>
        <v>0</v>
      </c>
      <c r="DU7" s="74">
        <f>VLOOKUP($G$7&amp;$F$1,'Input RM sheet'!$A:$ZZ,DU1,0)</f>
        <v>0</v>
      </c>
      <c r="DV7" s="74">
        <f>VLOOKUP($G$7&amp;$F$1,'Input RM sheet'!$A:$ZZ,DV1,0)</f>
        <v>0</v>
      </c>
      <c r="DW7" s="74">
        <f>VLOOKUP($G$7&amp;$F$1,'Input RM sheet'!$A:$ZZ,DW1,0)</f>
        <v>0</v>
      </c>
      <c r="DX7" s="74">
        <f>VLOOKUP($G$7&amp;$F$1,'Input RM sheet'!$A:$ZZ,DX1,0)</f>
        <v>0</v>
      </c>
      <c r="DY7" s="74">
        <f>VLOOKUP($G$7&amp;$F$1,'Input RM sheet'!$A:$ZZ,DY1,0)</f>
        <v>0</v>
      </c>
      <c r="DZ7" s="74">
        <f>VLOOKUP($G$7&amp;$F$1,'Input RM sheet'!$A:$ZZ,DZ1,0)</f>
        <v>0</v>
      </c>
    </row>
    <row r="8" spans="1:143">
      <c r="A8" s="59" t="s">
        <v>395</v>
      </c>
      <c r="B8" s="59"/>
      <c r="C8" s="59" t="s">
        <v>379</v>
      </c>
      <c r="D8" s="59" t="s">
        <v>380</v>
      </c>
      <c r="E8" s="59" t="s">
        <v>381</v>
      </c>
      <c r="F8" s="59" t="s">
        <v>396</v>
      </c>
      <c r="G8" s="60" t="s">
        <v>399</v>
      </c>
      <c r="H8" s="116"/>
      <c r="I8" s="116"/>
      <c r="J8" s="116"/>
      <c r="K8" s="116"/>
      <c r="L8" s="116"/>
      <c r="M8" s="116"/>
      <c r="N8" s="116"/>
      <c r="O8" s="116"/>
      <c r="P8" s="116"/>
      <c r="Q8" s="116"/>
      <c r="R8" s="116"/>
      <c r="S8" s="116"/>
    </row>
    <row r="9" spans="1:143">
      <c r="A9" s="377" t="s">
        <v>397</v>
      </c>
      <c r="B9" s="60" t="s">
        <v>36</v>
      </c>
      <c r="C9" s="60">
        <v>1</v>
      </c>
      <c r="D9" s="64">
        <f>32.04</f>
        <v>32.04</v>
      </c>
      <c r="E9" s="60">
        <f>D9*C9</f>
        <v>32.04</v>
      </c>
      <c r="F9" s="65">
        <f>E9/$E$2</f>
        <v>0.71068917330257531</v>
      </c>
      <c r="H9" s="65">
        <f>$F$9*(H6/1000)</f>
        <v>0.18655590799192603</v>
      </c>
      <c r="I9" s="65">
        <f>$F$9*(I6/1000)</f>
        <v>0.22919725839008054</v>
      </c>
      <c r="J9" s="65">
        <f>$F$9*(J6/1000)</f>
        <v>0.20254641439123394</v>
      </c>
      <c r="K9" s="65">
        <f>$F$9*(K6/1000)</f>
        <v>0.14924472639354081</v>
      </c>
      <c r="L9" s="65">
        <f>$F$9*(L6/1000)</f>
        <v>0.12437060532795068</v>
      </c>
      <c r="M9" s="65">
        <f t="shared" ref="M9:AZ9" si="0">$F$9*(M6/1000)</f>
        <v>0.11904043652818137</v>
      </c>
      <c r="N9" s="65">
        <f t="shared" si="0"/>
        <v>0.12792405119446354</v>
      </c>
      <c r="O9" s="65">
        <f t="shared" si="0"/>
        <v>0.15635161812656656</v>
      </c>
      <c r="P9" s="65">
        <f t="shared" si="0"/>
        <v>0.16345850985959232</v>
      </c>
      <c r="Q9" s="65">
        <f t="shared" si="0"/>
        <v>0.17056540159261807</v>
      </c>
      <c r="R9" s="65">
        <f t="shared" si="0"/>
        <v>0.19188607679169534</v>
      </c>
      <c r="S9" s="65">
        <f t="shared" si="0"/>
        <v>0.21320675199077258</v>
      </c>
      <c r="T9" s="65">
        <f t="shared" si="0"/>
        <v>0.25584810238892708</v>
      </c>
      <c r="U9" s="65">
        <f t="shared" si="0"/>
        <v>0.25940154825543998</v>
      </c>
      <c r="V9" s="65">
        <f t="shared" si="0"/>
        <v>0.25229465652241423</v>
      </c>
      <c r="W9" s="65">
        <f t="shared" si="0"/>
        <v>0.24163431892287562</v>
      </c>
      <c r="X9" s="65">
        <f t="shared" si="0"/>
        <v>0.2469644877226449</v>
      </c>
      <c r="Y9" s="65">
        <f t="shared" si="0"/>
        <v>0.25407137945567065</v>
      </c>
      <c r="Z9" s="65">
        <f t="shared" si="0"/>
        <v>0.25584810238892708</v>
      </c>
      <c r="AA9" s="65">
        <f t="shared" si="0"/>
        <v>0.26295499412195283</v>
      </c>
      <c r="AB9" s="65">
        <f t="shared" si="0"/>
        <v>0.2771687775880044</v>
      </c>
      <c r="AC9" s="65">
        <f t="shared" si="0"/>
        <v>0.33224718851895396</v>
      </c>
      <c r="AD9" s="65">
        <f t="shared" si="0"/>
        <v>0.27894550052126083</v>
      </c>
      <c r="AE9" s="65">
        <f t="shared" si="0"/>
        <v>0.24163431892287562</v>
      </c>
      <c r="AF9" s="65">
        <f t="shared" si="0"/>
        <v>0.22031364372379833</v>
      </c>
      <c r="AG9" s="65">
        <f t="shared" si="0"/>
        <v>0.2771687775880044</v>
      </c>
      <c r="AH9" s="65">
        <f t="shared" si="0"/>
        <v>0.30559634452010737</v>
      </c>
      <c r="AI9" s="65">
        <f t="shared" si="0"/>
        <v>0.2771687775880044</v>
      </c>
      <c r="AJ9" s="65">
        <f t="shared" si="0"/>
        <v>0.24874121065590135</v>
      </c>
      <c r="AK9" s="65">
        <f t="shared" si="0"/>
        <v>0.24163431892287562</v>
      </c>
      <c r="AL9" s="65">
        <f t="shared" si="0"/>
        <v>0.22386708959031124</v>
      </c>
      <c r="AM9" s="65">
        <f t="shared" si="0"/>
        <v>0.22386708959031124</v>
      </c>
      <c r="AN9" s="65">
        <f t="shared" si="0"/>
        <v>0.22386708959031124</v>
      </c>
      <c r="AO9" s="65">
        <f t="shared" si="0"/>
        <v>0.23097398132333699</v>
      </c>
      <c r="AP9" s="65">
        <f t="shared" si="0"/>
        <v>0.23097398132333699</v>
      </c>
      <c r="AQ9" s="65">
        <f t="shared" si="0"/>
        <v>0.22386708959031124</v>
      </c>
      <c r="AR9" s="65">
        <f t="shared" si="0"/>
        <v>0.23097398132333699</v>
      </c>
      <c r="AS9" s="65">
        <f t="shared" si="0"/>
        <v>0.2469644877226449</v>
      </c>
      <c r="AT9" s="65">
        <f t="shared" si="0"/>
        <v>0.25762482532218356</v>
      </c>
      <c r="AU9" s="65">
        <f t="shared" si="0"/>
        <v>0.23808087305636275</v>
      </c>
      <c r="AV9" s="65">
        <f t="shared" si="0"/>
        <v>0.22031364372379833</v>
      </c>
      <c r="AW9" s="65">
        <f t="shared" si="0"/>
        <v>0.21320675199077258</v>
      </c>
      <c r="AX9" s="65">
        <f t="shared" si="0"/>
        <v>0.21320675199077258</v>
      </c>
      <c r="AY9" s="65">
        <f t="shared" si="0"/>
        <v>0.20609986025774682</v>
      </c>
      <c r="AZ9" s="65">
        <f t="shared" si="0"/>
        <v>0.20609986025774682</v>
      </c>
      <c r="BA9" s="65">
        <f t="shared" ref="BA9:BM9" si="1">$F$9*(BA6/1000)</f>
        <v>0.20609986025774682</v>
      </c>
      <c r="BB9" s="65">
        <f t="shared" si="1"/>
        <v>0.20609986025774682</v>
      </c>
      <c r="BC9" s="65">
        <f t="shared" si="1"/>
        <v>0.22031364372379833</v>
      </c>
      <c r="BD9" s="65">
        <f t="shared" si="1"/>
        <v>0.22031364372379833</v>
      </c>
      <c r="BE9" s="65">
        <f t="shared" si="1"/>
        <v>0.22031364372379833</v>
      </c>
      <c r="BF9" s="65">
        <f t="shared" si="1"/>
        <v>0.22031364372379833</v>
      </c>
      <c r="BG9" s="65">
        <f t="shared" si="1"/>
        <v>0.22031364372379833</v>
      </c>
      <c r="BH9" s="65">
        <f t="shared" si="1"/>
        <v>0.23452742718984987</v>
      </c>
      <c r="BI9" s="65">
        <f t="shared" si="1"/>
        <v>0.23452742718984987</v>
      </c>
      <c r="BJ9" s="65">
        <f t="shared" si="1"/>
        <v>0.23452742718984987</v>
      </c>
      <c r="BK9" s="65">
        <f t="shared" si="1"/>
        <v>0.23452742718984987</v>
      </c>
      <c r="BL9" s="65">
        <f t="shared" si="1"/>
        <v>0.23452742718984987</v>
      </c>
      <c r="BM9" s="65">
        <f t="shared" si="1"/>
        <v>0.23452742718984987</v>
      </c>
      <c r="BN9" s="65">
        <f t="shared" ref="BN9:BU9" si="2">$F$9*(BN6/1000)</f>
        <v>0.23452742718984987</v>
      </c>
      <c r="BO9" s="65">
        <f t="shared" si="2"/>
        <v>0.22386708959031124</v>
      </c>
      <c r="BP9" s="65">
        <f t="shared" si="2"/>
        <v>0.22386708959031124</v>
      </c>
      <c r="BQ9" s="65">
        <f t="shared" si="2"/>
        <v>0.22386708959031124</v>
      </c>
      <c r="BR9" s="65">
        <f t="shared" si="2"/>
        <v>0.22386708959031124</v>
      </c>
      <c r="BS9" s="65">
        <f t="shared" si="2"/>
        <v>0.23808087305636275</v>
      </c>
      <c r="BT9" s="65">
        <f t="shared" si="2"/>
        <v>0.23808087305636275</v>
      </c>
      <c r="BU9" s="65">
        <f t="shared" si="2"/>
        <v>0.23808087305636275</v>
      </c>
      <c r="BV9" s="65">
        <f t="shared" ref="BV9:CC9" si="3">$F$9*(BV6/1000)</f>
        <v>0.23985759598961917</v>
      </c>
      <c r="BW9" s="65">
        <f t="shared" si="3"/>
        <v>0.23985759598961917</v>
      </c>
      <c r="BX9" s="65">
        <f t="shared" si="3"/>
        <v>0.23985759598961917</v>
      </c>
      <c r="BY9" s="65">
        <f t="shared" si="3"/>
        <v>0.2469644877226449</v>
      </c>
      <c r="BZ9" s="65">
        <f t="shared" si="3"/>
        <v>0.2469644877226449</v>
      </c>
      <c r="CA9" s="65">
        <f t="shared" si="3"/>
        <v>0.2469644877226449</v>
      </c>
      <c r="CB9" s="65">
        <f t="shared" si="3"/>
        <v>0.2469644877226449</v>
      </c>
      <c r="CC9" s="65">
        <f t="shared" si="3"/>
        <v>0.2469644877226449</v>
      </c>
      <c r="CD9" s="65">
        <f t="shared" ref="CD9:CJ9" si="4">$F$9*(CD6/1000)</f>
        <v>0.2469644877226449</v>
      </c>
      <c r="CE9" s="65">
        <f t="shared" si="4"/>
        <v>0.2469644877226449</v>
      </c>
      <c r="CF9" s="65">
        <f t="shared" si="4"/>
        <v>0.25229465652241423</v>
      </c>
      <c r="CG9" s="65">
        <f t="shared" si="4"/>
        <v>0.25229465652241423</v>
      </c>
      <c r="CH9" s="65">
        <f t="shared" si="4"/>
        <v>0.24518776478938847</v>
      </c>
      <c r="CI9" s="65">
        <f t="shared" si="4"/>
        <v>0.24518776478938847</v>
      </c>
      <c r="CJ9" s="65">
        <f t="shared" si="4"/>
        <v>0.24518776478938847</v>
      </c>
      <c r="CK9" s="65">
        <f t="shared" ref="CK9:CQ9" si="5">$F$9*(CK6/1000)</f>
        <v>0.24518776478938847</v>
      </c>
      <c r="CL9" s="65">
        <f t="shared" si="5"/>
        <v>0.24341104185613205</v>
      </c>
      <c r="CM9" s="65">
        <f t="shared" si="5"/>
        <v>0.24341104185613205</v>
      </c>
      <c r="CN9" s="65">
        <f t="shared" si="5"/>
        <v>0.24341104185613205</v>
      </c>
      <c r="CO9" s="65">
        <f t="shared" si="5"/>
        <v>0.24341104185613205</v>
      </c>
      <c r="CP9" s="65">
        <f t="shared" si="5"/>
        <v>0.24341104185613205</v>
      </c>
      <c r="CQ9" s="65">
        <f t="shared" si="5"/>
        <v>0.24341104185613205</v>
      </c>
      <c r="CR9" s="65">
        <f>$F$9*(CR6/1000)</f>
        <v>0.24163431892287562</v>
      </c>
      <c r="CS9" s="65">
        <f>$F$9*(CS6/1000)</f>
        <v>0.24163431892287562</v>
      </c>
      <c r="CT9" s="65">
        <f>$F$9*(CT6/1000)</f>
        <v>0.24163431892287562</v>
      </c>
      <c r="CU9" s="65">
        <f>$F$9*(CU6/1000)</f>
        <v>0.24163431892287562</v>
      </c>
      <c r="CV9" s="65">
        <f t="shared" ref="CV9:DA9" si="6">$F$9*(CV6/1000)</f>
        <v>0.23808087305636275</v>
      </c>
      <c r="CW9" s="65">
        <f t="shared" si="6"/>
        <v>0.23808087305636275</v>
      </c>
      <c r="CX9" s="65">
        <f t="shared" si="6"/>
        <v>0.23808087305636275</v>
      </c>
      <c r="CY9" s="65">
        <f t="shared" si="6"/>
        <v>0.23808087305636275</v>
      </c>
      <c r="CZ9" s="65">
        <f t="shared" si="6"/>
        <v>0.23808087305636275</v>
      </c>
      <c r="DA9" s="65">
        <f t="shared" si="6"/>
        <v>0.23808087305636275</v>
      </c>
      <c r="DB9" s="65">
        <f t="shared" ref="DB9:DY9" si="7">$F$9*(DB6/1000)</f>
        <v>0.23808087305636275</v>
      </c>
      <c r="DC9" s="65">
        <f t="shared" si="7"/>
        <v>0.23808087305636275</v>
      </c>
      <c r="DD9" s="65">
        <f t="shared" si="7"/>
        <v>0.23808087305636275</v>
      </c>
      <c r="DE9" s="65">
        <f t="shared" si="7"/>
        <v>0.23808087305636275</v>
      </c>
      <c r="DF9" s="65">
        <f t="shared" si="7"/>
        <v>0.23808087305636275</v>
      </c>
      <c r="DG9" s="65">
        <f t="shared" si="7"/>
        <v>0.23808087305636275</v>
      </c>
      <c r="DH9" s="65">
        <f t="shared" si="7"/>
        <v>0.23808087305636275</v>
      </c>
      <c r="DI9" s="65">
        <f t="shared" si="7"/>
        <v>0.24518776478938847</v>
      </c>
      <c r="DJ9" s="65">
        <f t="shared" si="7"/>
        <v>0.24518776478938847</v>
      </c>
      <c r="DK9" s="65">
        <f t="shared" si="7"/>
        <v>0.24518776478938847</v>
      </c>
      <c r="DL9" s="65">
        <f t="shared" si="7"/>
        <v>0.24518776478938847</v>
      </c>
      <c r="DM9" s="65">
        <f t="shared" si="7"/>
        <v>0.23452742718984987</v>
      </c>
      <c r="DN9" s="65">
        <f t="shared" si="7"/>
        <v>0.23452742718984987</v>
      </c>
      <c r="DO9" s="65">
        <f t="shared" si="7"/>
        <v>0.23452742718984987</v>
      </c>
      <c r="DP9" s="65">
        <f t="shared" si="7"/>
        <v>0.23452742718984987</v>
      </c>
      <c r="DQ9" s="65">
        <f t="shared" si="7"/>
        <v>0.23452742718984987</v>
      </c>
      <c r="DR9" s="65">
        <f t="shared" si="7"/>
        <v>0.2469644877226449</v>
      </c>
      <c r="DS9" s="65">
        <f t="shared" si="7"/>
        <v>0</v>
      </c>
      <c r="DT9" s="65">
        <f t="shared" si="7"/>
        <v>0</v>
      </c>
      <c r="DU9" s="65">
        <f t="shared" si="7"/>
        <v>0</v>
      </c>
      <c r="DV9" s="65">
        <f t="shared" si="7"/>
        <v>0</v>
      </c>
      <c r="DW9" s="65">
        <f t="shared" si="7"/>
        <v>0</v>
      </c>
      <c r="DX9" s="65">
        <f t="shared" si="7"/>
        <v>0</v>
      </c>
      <c r="DY9" s="65">
        <f t="shared" si="7"/>
        <v>0</v>
      </c>
      <c r="DZ9" s="65">
        <f>$F$9*(DZ6/1000)</f>
        <v>0</v>
      </c>
    </row>
    <row r="10" spans="1:143">
      <c r="A10" s="378"/>
      <c r="B10" s="60" t="s">
        <v>444</v>
      </c>
      <c r="C10" s="60">
        <v>1</v>
      </c>
      <c r="D10" s="64">
        <v>17.010000000000002</v>
      </c>
      <c r="E10" s="60">
        <f>D10*C10</f>
        <v>17.010000000000002</v>
      </c>
      <c r="F10" s="65">
        <f>E10/$E$2</f>
        <v>0.37730408357917622</v>
      </c>
      <c r="H10" s="65">
        <f>$F$10*H7</f>
        <v>0.19101045289390503</v>
      </c>
      <c r="I10" s="65">
        <f>$F$10*I7</f>
        <v>0.19093493298972819</v>
      </c>
      <c r="J10" s="65">
        <f>$F$10*J7</f>
        <v>0.18324227601213106</v>
      </c>
      <c r="K10" s="65">
        <f>$F$10*K7</f>
        <v>0.17584223414732938</v>
      </c>
      <c r="L10" s="65">
        <f>$F$10*L7</f>
        <v>0.17841341227771118</v>
      </c>
      <c r="M10" s="65">
        <f t="shared" ref="M10:AT10" si="8">$F$10*M7</f>
        <v>0.16657255369291121</v>
      </c>
      <c r="N10" s="65">
        <f t="shared" si="8"/>
        <v>0.16385008615149282</v>
      </c>
      <c r="O10" s="65">
        <f t="shared" si="8"/>
        <v>0.16049097805921519</v>
      </c>
      <c r="P10" s="65">
        <f t="shared" si="8"/>
        <v>0.16312267200540528</v>
      </c>
      <c r="Q10" s="65">
        <f t="shared" si="8"/>
        <v>0.16185389472325568</v>
      </c>
      <c r="R10" s="65">
        <f t="shared" si="8"/>
        <v>0.16029485072721344</v>
      </c>
      <c r="S10" s="65">
        <f t="shared" si="8"/>
        <v>0.17007340473979177</v>
      </c>
      <c r="T10" s="65">
        <f t="shared" si="8"/>
        <v>0.17971774800138529</v>
      </c>
      <c r="U10" s="65">
        <f t="shared" si="8"/>
        <v>0.19176169083007583</v>
      </c>
      <c r="V10" s="65">
        <f t="shared" si="8"/>
        <v>0.19176169083007583</v>
      </c>
      <c r="W10" s="65">
        <f t="shared" si="8"/>
        <v>0.20132011039431752</v>
      </c>
      <c r="X10" s="65">
        <f t="shared" si="8"/>
        <v>0.22406454110162682</v>
      </c>
      <c r="Y10" s="65">
        <f t="shared" si="8"/>
        <v>0.23933104372298561</v>
      </c>
      <c r="Z10" s="65">
        <f t="shared" si="8"/>
        <v>0.27389129703477239</v>
      </c>
      <c r="AA10" s="65">
        <f t="shared" si="8"/>
        <v>0.27501489320456007</v>
      </c>
      <c r="AB10" s="65">
        <f t="shared" si="8"/>
        <v>0.28246111451236261</v>
      </c>
      <c r="AC10" s="65">
        <f t="shared" si="8"/>
        <v>0.29870603882550845</v>
      </c>
      <c r="AD10" s="65">
        <f t="shared" si="8"/>
        <v>0.3097188488579129</v>
      </c>
      <c r="AE10" s="65">
        <f t="shared" si="8"/>
        <v>0.31925431714428698</v>
      </c>
      <c r="AF10" s="65">
        <f t="shared" si="8"/>
        <v>0.39861375112647451</v>
      </c>
      <c r="AG10" s="65">
        <f t="shared" si="8"/>
        <v>0.45497097959758592</v>
      </c>
      <c r="AH10" s="65">
        <f t="shared" si="8"/>
        <v>0.50111858955228639</v>
      </c>
      <c r="AI10" s="65">
        <f t="shared" si="8"/>
        <v>0.47562290484484238</v>
      </c>
      <c r="AJ10" s="65">
        <f t="shared" si="8"/>
        <v>0.42416890070870145</v>
      </c>
      <c r="AK10" s="65">
        <f t="shared" si="8"/>
        <v>0.42181792830057852</v>
      </c>
      <c r="AL10" s="65">
        <f t="shared" si="8"/>
        <v>0.40859475856528399</v>
      </c>
      <c r="AM10" s="65">
        <f t="shared" si="8"/>
        <v>0.40956427095292491</v>
      </c>
      <c r="AN10" s="65">
        <f t="shared" si="8"/>
        <v>0.39804906968013065</v>
      </c>
      <c r="AO10" s="65">
        <f t="shared" si="8"/>
        <v>0.40522480586540915</v>
      </c>
      <c r="AP10" s="65">
        <f t="shared" si="8"/>
        <v>0.42956799156568387</v>
      </c>
      <c r="AQ10" s="65">
        <f t="shared" si="8"/>
        <v>0.4081227816428446</v>
      </c>
      <c r="AR10" s="65">
        <f t="shared" si="8"/>
        <v>0.37638458811805953</v>
      </c>
      <c r="AS10" s="65">
        <f t="shared" si="8"/>
        <v>0.3491784487040554</v>
      </c>
      <c r="AT10" s="65">
        <f t="shared" si="8"/>
        <v>0.33998954215921184</v>
      </c>
      <c r="AU10" s="65">
        <f t="shared" ref="AU10:AZ10" si="9">$F$10*AU7</f>
        <v>0.28209943092669743</v>
      </c>
      <c r="AV10" s="65">
        <f t="shared" si="9"/>
        <v>0.26647828980046334</v>
      </c>
      <c r="AW10" s="65">
        <f t="shared" si="9"/>
        <v>0.23324252439439982</v>
      </c>
      <c r="AX10" s="65">
        <f t="shared" si="9"/>
        <v>0.23341227877896636</v>
      </c>
      <c r="AY10" s="65">
        <f t="shared" si="9"/>
        <v>0.23415074546772921</v>
      </c>
      <c r="AZ10" s="65">
        <f t="shared" si="9"/>
        <v>0.23489389968918442</v>
      </c>
      <c r="BA10" s="65">
        <f t="shared" ref="BA10:BM10" si="10">$F$10*BA7</f>
        <v>0.22474957567930504</v>
      </c>
      <c r="BB10" s="65">
        <f t="shared" si="10"/>
        <v>0.22320294694409798</v>
      </c>
      <c r="BC10" s="65">
        <f t="shared" si="10"/>
        <v>0.22207687802257817</v>
      </c>
      <c r="BD10" s="65">
        <f t="shared" si="10"/>
        <v>0.22207687802257817</v>
      </c>
      <c r="BE10" s="65">
        <f t="shared" si="10"/>
        <v>0.22368905136575479</v>
      </c>
      <c r="BF10" s="65">
        <f t="shared" si="10"/>
        <v>0.22261168085947783</v>
      </c>
      <c r="BG10" s="65">
        <f t="shared" si="10"/>
        <v>0.21380868010876877</v>
      </c>
      <c r="BH10" s="65">
        <f t="shared" si="10"/>
        <v>0.22293380074013786</v>
      </c>
      <c r="BI10" s="65">
        <f t="shared" si="10"/>
        <v>0.22205020532524181</v>
      </c>
      <c r="BJ10" s="65">
        <f t="shared" si="10"/>
        <v>0.25842745450628507</v>
      </c>
      <c r="BK10" s="65">
        <f t="shared" si="10"/>
        <v>0.25833432749565216</v>
      </c>
      <c r="BL10" s="65">
        <f t="shared" si="10"/>
        <v>0.24965982431249628</v>
      </c>
      <c r="BM10" s="65">
        <f t="shared" si="10"/>
        <v>0.26283493691559234</v>
      </c>
      <c r="BN10" s="65">
        <f t="shared" ref="BN10:BU10" si="11">$F$10*BN7</f>
        <v>0.26296126949762338</v>
      </c>
      <c r="BO10" s="65">
        <f t="shared" si="11"/>
        <v>0.26305609866080321</v>
      </c>
      <c r="BP10" s="65">
        <f t="shared" si="11"/>
        <v>0.26305609866080321</v>
      </c>
      <c r="BQ10" s="65">
        <f t="shared" si="11"/>
        <v>0.26261414673697614</v>
      </c>
      <c r="BR10" s="65">
        <f t="shared" si="11"/>
        <v>0.26239372718935516</v>
      </c>
      <c r="BS10" s="65">
        <f t="shared" si="11"/>
        <v>0.23988863279386205</v>
      </c>
      <c r="BT10" s="65">
        <f t="shared" si="11"/>
        <v>0.24476718540696202</v>
      </c>
      <c r="BU10" s="65">
        <f t="shared" si="11"/>
        <v>0.24453217130671531</v>
      </c>
      <c r="BV10" s="65">
        <f t="shared" ref="BV10:CC10" si="12">$F$10*BV7</f>
        <v>0.23825432268350674</v>
      </c>
      <c r="BW10" s="65">
        <f t="shared" si="12"/>
        <v>0.24956974860919651</v>
      </c>
      <c r="BX10" s="65">
        <f t="shared" si="12"/>
        <v>0.2492699651273837</v>
      </c>
      <c r="BY10" s="65">
        <f t="shared" si="12"/>
        <v>0.25438271948511759</v>
      </c>
      <c r="BZ10" s="65">
        <f t="shared" si="12"/>
        <v>0.25456661060763697</v>
      </c>
      <c r="CA10" s="65">
        <f t="shared" si="12"/>
        <v>0.25453594362647713</v>
      </c>
      <c r="CB10" s="65">
        <f t="shared" si="12"/>
        <v>0.25487368733937116</v>
      </c>
      <c r="CC10" s="65">
        <f t="shared" si="12"/>
        <v>0.25487368733937116</v>
      </c>
      <c r="CD10" s="65">
        <f t="shared" ref="CD10:CJ10" si="13">$F$10*CD7</f>
        <v>0.24180310072184205</v>
      </c>
      <c r="CE10" s="65">
        <f t="shared" si="13"/>
        <v>0.24162779639555748</v>
      </c>
      <c r="CF10" s="65">
        <f t="shared" si="13"/>
        <v>0.24017675269873096</v>
      </c>
      <c r="CG10" s="65">
        <f t="shared" si="13"/>
        <v>0.23980233157088787</v>
      </c>
      <c r="CH10" s="65">
        <f t="shared" si="13"/>
        <v>0.24032107234342437</v>
      </c>
      <c r="CI10" s="65">
        <f t="shared" si="13"/>
        <v>0.23977357829372106</v>
      </c>
      <c r="CJ10" s="65">
        <f t="shared" si="13"/>
        <v>0.23917134828006625</v>
      </c>
      <c r="CK10" s="65">
        <f t="shared" ref="CK10:CQ10" si="14">$F$10*CK7</f>
        <v>0.24876198270024805</v>
      </c>
      <c r="CL10" s="65">
        <f t="shared" si="14"/>
        <v>0.24852364786652326</v>
      </c>
      <c r="CM10" s="65">
        <f t="shared" si="14"/>
        <v>0.2489709009820599</v>
      </c>
      <c r="CN10" s="65">
        <f t="shared" si="14"/>
        <v>0.23539067001940209</v>
      </c>
      <c r="CO10" s="65">
        <f t="shared" si="14"/>
        <v>0.23539067001940209</v>
      </c>
      <c r="CP10" s="65">
        <f t="shared" si="14"/>
        <v>0.23539067001940209</v>
      </c>
      <c r="CQ10" s="65">
        <f t="shared" si="14"/>
        <v>0.23387546008007107</v>
      </c>
      <c r="CR10" s="65">
        <f>$F$10*CR7</f>
        <v>0.24429760807284789</v>
      </c>
      <c r="CS10" s="65">
        <f>$F$10*CS7</f>
        <v>0.24400503608713192</v>
      </c>
      <c r="CT10" s="65">
        <f>$F$10*CT7</f>
        <v>0.25319387274336569</v>
      </c>
      <c r="CU10" s="65">
        <f>$F$10*CU7</f>
        <v>0.25313320570784559</v>
      </c>
      <c r="CV10" s="65">
        <f t="shared" ref="CV10:DA10" si="15">$F$10*CV7</f>
        <v>0.25289082801237428</v>
      </c>
      <c r="CW10" s="65">
        <f t="shared" si="15"/>
        <v>0.24792980402454831</v>
      </c>
      <c r="CX10" s="65">
        <f t="shared" si="15"/>
        <v>0.2478409721348942</v>
      </c>
      <c r="CY10" s="65">
        <f t="shared" si="15"/>
        <v>0.25618025924970866</v>
      </c>
      <c r="CZ10" s="65">
        <f t="shared" si="15"/>
        <v>0.25614974707018873</v>
      </c>
      <c r="DA10" s="65">
        <f t="shared" si="15"/>
        <v>0.25633292924926154</v>
      </c>
      <c r="DB10" s="65">
        <f t="shared" ref="DB10:DY10" si="16">$F$10*DB7</f>
        <v>0.25636348508777024</v>
      </c>
      <c r="DC10" s="65">
        <f t="shared" si="16"/>
        <v>0.23592739861727907</v>
      </c>
      <c r="DD10" s="65">
        <f t="shared" si="16"/>
        <v>0.23592739861727907</v>
      </c>
      <c r="DE10" s="65">
        <f t="shared" si="16"/>
        <v>0.22345719235665495</v>
      </c>
      <c r="DF10" s="65">
        <f t="shared" si="16"/>
        <v>0.22324351108258692</v>
      </c>
      <c r="DG10" s="65">
        <f t="shared" si="16"/>
        <v>0.22241934187411244</v>
      </c>
      <c r="DH10" s="65">
        <f t="shared" si="16"/>
        <v>0.22664275271498036</v>
      </c>
      <c r="DI10" s="65">
        <f t="shared" si="16"/>
        <v>0.22664275271498036</v>
      </c>
      <c r="DJ10" s="65">
        <f t="shared" si="16"/>
        <v>0.22661579710690294</v>
      </c>
      <c r="DK10" s="65">
        <f t="shared" si="16"/>
        <v>0.22650803876305753</v>
      </c>
      <c r="DL10" s="65">
        <f t="shared" si="16"/>
        <v>0.22575659029322748</v>
      </c>
      <c r="DM10" s="65">
        <f t="shared" si="16"/>
        <v>0.2328208418905561</v>
      </c>
      <c r="DN10" s="65">
        <f t="shared" si="16"/>
        <v>0.23183046610087635</v>
      </c>
      <c r="DO10" s="65">
        <f t="shared" si="16"/>
        <v>0.24057646136823138</v>
      </c>
      <c r="DP10" s="65">
        <f t="shared" si="16"/>
        <v>0.23795554015661827</v>
      </c>
      <c r="DQ10" s="65">
        <f t="shared" si="16"/>
        <v>0.23770334987618849</v>
      </c>
      <c r="DR10" s="65">
        <f t="shared" si="16"/>
        <v>0.2369777937483673</v>
      </c>
      <c r="DS10" s="65">
        <f t="shared" si="16"/>
        <v>0</v>
      </c>
      <c r="DT10" s="65">
        <f t="shared" si="16"/>
        <v>0</v>
      </c>
      <c r="DU10" s="65">
        <f t="shared" si="16"/>
        <v>0</v>
      </c>
      <c r="DV10" s="65">
        <f t="shared" si="16"/>
        <v>0</v>
      </c>
      <c r="DW10" s="65">
        <f t="shared" si="16"/>
        <v>0</v>
      </c>
      <c r="DX10" s="65">
        <f t="shared" si="16"/>
        <v>0</v>
      </c>
      <c r="DY10" s="65">
        <f t="shared" si="16"/>
        <v>0</v>
      </c>
      <c r="DZ10" s="65">
        <f>$F$10*DZ7</f>
        <v>0</v>
      </c>
    </row>
    <row r="11" spans="1:143" s="73" customFormat="1">
      <c r="A11" s="59" t="s">
        <v>518</v>
      </c>
      <c r="H11" s="94">
        <f>SUM(H9:H10)</f>
        <v>0.37756636088583106</v>
      </c>
      <c r="I11" s="94">
        <f t="shared" ref="I11:R11" si="17">SUM(I9:I10)</f>
        <v>0.42013219137980873</v>
      </c>
      <c r="J11" s="94">
        <f t="shared" si="17"/>
        <v>0.385788690403365</v>
      </c>
      <c r="K11" s="94">
        <f t="shared" si="17"/>
        <v>0.32508696054087016</v>
      </c>
      <c r="L11" s="94">
        <f t="shared" si="17"/>
        <v>0.30278401760566187</v>
      </c>
      <c r="M11" s="94">
        <f t="shared" si="17"/>
        <v>0.2856129902210926</v>
      </c>
      <c r="N11" s="94">
        <f t="shared" si="17"/>
        <v>0.29177413734595636</v>
      </c>
      <c r="O11" s="94">
        <f t="shared" si="17"/>
        <v>0.31684259618578176</v>
      </c>
      <c r="P11" s="94">
        <f t="shared" si="17"/>
        <v>0.32658118186499763</v>
      </c>
      <c r="Q11" s="94">
        <f t="shared" si="17"/>
        <v>0.33241929631587375</v>
      </c>
      <c r="R11" s="94">
        <f t="shared" si="17"/>
        <v>0.35218092751890878</v>
      </c>
      <c r="S11" s="94">
        <f t="shared" ref="S11:AS11" si="18">SUM(S9:S10)</f>
        <v>0.38328015673056437</v>
      </c>
      <c r="T11" s="94">
        <f t="shared" si="18"/>
        <v>0.43556585039031237</v>
      </c>
      <c r="U11" s="94">
        <f t="shared" si="18"/>
        <v>0.45116323908551581</v>
      </c>
      <c r="V11" s="94">
        <f t="shared" si="18"/>
        <v>0.44405634735249006</v>
      </c>
      <c r="W11" s="94">
        <f t="shared" si="18"/>
        <v>0.44295442931719314</v>
      </c>
      <c r="X11" s="94">
        <f t="shared" si="18"/>
        <v>0.47102902882427172</v>
      </c>
      <c r="Y11" s="94">
        <f t="shared" si="18"/>
        <v>0.49340242317865624</v>
      </c>
      <c r="Z11" s="94">
        <f t="shared" si="18"/>
        <v>0.52973939942369941</v>
      </c>
      <c r="AA11" s="94">
        <f t="shared" si="18"/>
        <v>0.53796988732651285</v>
      </c>
      <c r="AB11" s="94">
        <f t="shared" si="18"/>
        <v>0.55962989210036707</v>
      </c>
      <c r="AC11" s="94">
        <f t="shared" si="18"/>
        <v>0.63095322734446246</v>
      </c>
      <c r="AD11" s="94">
        <f t="shared" si="18"/>
        <v>0.58866434937917367</v>
      </c>
      <c r="AE11" s="94">
        <f t="shared" si="18"/>
        <v>0.56088863606716255</v>
      </c>
      <c r="AF11" s="94">
        <f t="shared" si="18"/>
        <v>0.61892739485027282</v>
      </c>
      <c r="AG11" s="94">
        <f t="shared" si="18"/>
        <v>0.73213975718559032</v>
      </c>
      <c r="AH11" s="94">
        <f t="shared" si="18"/>
        <v>0.80671493407239381</v>
      </c>
      <c r="AI11" s="94">
        <f t="shared" si="18"/>
        <v>0.75279168243284678</v>
      </c>
      <c r="AJ11" s="94">
        <f t="shared" si="18"/>
        <v>0.67291011136460277</v>
      </c>
      <c r="AK11" s="94">
        <f t="shared" si="18"/>
        <v>0.66345224722345408</v>
      </c>
      <c r="AL11" s="94">
        <f t="shared" si="18"/>
        <v>0.63246184815559525</v>
      </c>
      <c r="AM11" s="94">
        <f t="shared" si="18"/>
        <v>0.63343136054323612</v>
      </c>
      <c r="AN11" s="94">
        <f t="shared" si="18"/>
        <v>0.62191615927044186</v>
      </c>
      <c r="AO11" s="94">
        <f t="shared" si="18"/>
        <v>0.63619878718874612</v>
      </c>
      <c r="AP11" s="94">
        <f t="shared" si="18"/>
        <v>0.66054197288902083</v>
      </c>
      <c r="AQ11" s="94">
        <f t="shared" si="18"/>
        <v>0.63198987123315586</v>
      </c>
      <c r="AR11" s="94">
        <f t="shared" si="18"/>
        <v>0.60735856944139655</v>
      </c>
      <c r="AS11" s="94">
        <f t="shared" si="18"/>
        <v>0.59614293642670035</v>
      </c>
      <c r="AT11" s="94">
        <f t="shared" ref="AT11:BA11" si="19">SUM(AT9:AT10)</f>
        <v>0.5976143674813954</v>
      </c>
      <c r="AU11" s="94">
        <f t="shared" si="19"/>
        <v>0.52018030398306014</v>
      </c>
      <c r="AV11" s="94">
        <f t="shared" si="19"/>
        <v>0.48679193352426164</v>
      </c>
      <c r="AW11" s="94">
        <f t="shared" si="19"/>
        <v>0.4464492763851724</v>
      </c>
      <c r="AX11" s="94">
        <f t="shared" si="19"/>
        <v>0.44661903076973897</v>
      </c>
      <c r="AY11" s="94">
        <f t="shared" si="19"/>
        <v>0.44025060572547603</v>
      </c>
      <c r="AZ11" s="94">
        <f t="shared" si="19"/>
        <v>0.44099375994693124</v>
      </c>
      <c r="BA11" s="94">
        <f t="shared" si="19"/>
        <v>0.43084943593705183</v>
      </c>
      <c r="BB11" s="94">
        <f t="shared" ref="BB11:BM11" si="20">SUM(BB9:BB10)</f>
        <v>0.42930280720184477</v>
      </c>
      <c r="BC11" s="94">
        <f t="shared" si="20"/>
        <v>0.4423905217463765</v>
      </c>
      <c r="BD11" s="94">
        <f t="shared" si="20"/>
        <v>0.4423905217463765</v>
      </c>
      <c r="BE11" s="94">
        <f t="shared" si="20"/>
        <v>0.44400269508955315</v>
      </c>
      <c r="BF11" s="94">
        <f t="shared" si="20"/>
        <v>0.44292532458327616</v>
      </c>
      <c r="BG11" s="94">
        <f t="shared" si="20"/>
        <v>0.4341223238325671</v>
      </c>
      <c r="BH11" s="94">
        <f t="shared" si="20"/>
        <v>0.45746122792998772</v>
      </c>
      <c r="BI11" s="94">
        <f t="shared" si="20"/>
        <v>0.45657763251509165</v>
      </c>
      <c r="BJ11" s="94">
        <f t="shared" si="20"/>
        <v>0.49295488169613494</v>
      </c>
      <c r="BK11" s="94">
        <f t="shared" si="20"/>
        <v>0.49286175468550203</v>
      </c>
      <c r="BL11" s="94">
        <f t="shared" si="20"/>
        <v>0.48418725150234615</v>
      </c>
      <c r="BM11" s="94">
        <f t="shared" si="20"/>
        <v>0.49736236410544221</v>
      </c>
      <c r="BN11" s="94">
        <f t="shared" ref="BN11:BU11" si="21">SUM(BN9:BN10)</f>
        <v>0.49748869668747325</v>
      </c>
      <c r="BO11" s="94">
        <f t="shared" si="21"/>
        <v>0.48692318825111447</v>
      </c>
      <c r="BP11" s="94">
        <f t="shared" si="21"/>
        <v>0.48692318825111447</v>
      </c>
      <c r="BQ11" s="94">
        <f t="shared" si="21"/>
        <v>0.48648123632728735</v>
      </c>
      <c r="BR11" s="94">
        <f t="shared" si="21"/>
        <v>0.48626081677966637</v>
      </c>
      <c r="BS11" s="94">
        <f t="shared" si="21"/>
        <v>0.4779695058502248</v>
      </c>
      <c r="BT11" s="94">
        <f t="shared" si="21"/>
        <v>0.48284805846332479</v>
      </c>
      <c r="BU11" s="94">
        <f t="shared" si="21"/>
        <v>0.48261304436307806</v>
      </c>
      <c r="BV11" s="94">
        <f t="shared" ref="BV11:CC11" si="22">SUM(BV9:BV10)</f>
        <v>0.47811191867312591</v>
      </c>
      <c r="BW11" s="94">
        <f t="shared" si="22"/>
        <v>0.48942734459881565</v>
      </c>
      <c r="BX11" s="94">
        <f t="shared" si="22"/>
        <v>0.48912756111700284</v>
      </c>
      <c r="BY11" s="94">
        <f t="shared" si="22"/>
        <v>0.50134720720776249</v>
      </c>
      <c r="BZ11" s="94">
        <f t="shared" si="22"/>
        <v>0.50153109833028187</v>
      </c>
      <c r="CA11" s="94">
        <f t="shared" si="22"/>
        <v>0.50150043134912203</v>
      </c>
      <c r="CB11" s="94">
        <f t="shared" si="22"/>
        <v>0.501838175062016</v>
      </c>
      <c r="CC11" s="94">
        <f t="shared" si="22"/>
        <v>0.501838175062016</v>
      </c>
      <c r="CD11" s="94">
        <f t="shared" ref="CD11:CJ11" si="23">SUM(CD9:CD10)</f>
        <v>0.48876758844448698</v>
      </c>
      <c r="CE11" s="94">
        <f t="shared" si="23"/>
        <v>0.48859228411820238</v>
      </c>
      <c r="CF11" s="94">
        <f t="shared" si="23"/>
        <v>0.49247140922114518</v>
      </c>
      <c r="CG11" s="94">
        <f t="shared" si="23"/>
        <v>0.4920969880933021</v>
      </c>
      <c r="CH11" s="94">
        <f t="shared" si="23"/>
        <v>0.48550883713281284</v>
      </c>
      <c r="CI11" s="94">
        <f t="shared" si="23"/>
        <v>0.48496134308310956</v>
      </c>
      <c r="CJ11" s="94">
        <f t="shared" si="23"/>
        <v>0.48435911306945473</v>
      </c>
      <c r="CK11" s="94">
        <f t="shared" ref="CK11:CQ11" si="24">SUM(CK9:CK10)</f>
        <v>0.49394974748963649</v>
      </c>
      <c r="CL11" s="94">
        <f t="shared" si="24"/>
        <v>0.49193468972265531</v>
      </c>
      <c r="CM11" s="94">
        <f t="shared" si="24"/>
        <v>0.49238194283819192</v>
      </c>
      <c r="CN11" s="94">
        <f t="shared" si="24"/>
        <v>0.47880171187553411</v>
      </c>
      <c r="CO11" s="94">
        <f t="shared" si="24"/>
        <v>0.47880171187553411</v>
      </c>
      <c r="CP11" s="94">
        <f t="shared" si="24"/>
        <v>0.47880171187553411</v>
      </c>
      <c r="CQ11" s="94">
        <f t="shared" si="24"/>
        <v>0.47728650193620314</v>
      </c>
      <c r="CR11" s="94">
        <f>SUM(CR9:CR10)</f>
        <v>0.48593192699572352</v>
      </c>
      <c r="CS11" s="94">
        <f>SUM(CS9:CS10)</f>
        <v>0.48563935501000755</v>
      </c>
      <c r="CT11" s="94">
        <f>SUM(CT9:CT10)</f>
        <v>0.49482819166624131</v>
      </c>
      <c r="CU11" s="94">
        <f>SUM(CU9:CU10)</f>
        <v>0.49476752463072121</v>
      </c>
      <c r="CV11" s="94">
        <f t="shared" ref="CV11:DA11" si="25">SUM(CV9:CV10)</f>
        <v>0.490971701068737</v>
      </c>
      <c r="CW11" s="94">
        <f t="shared" si="25"/>
        <v>0.48601067708091106</v>
      </c>
      <c r="CX11" s="94">
        <f t="shared" si="25"/>
        <v>0.48592184519125692</v>
      </c>
      <c r="CY11" s="94">
        <f t="shared" si="25"/>
        <v>0.49426113230607138</v>
      </c>
      <c r="CZ11" s="94">
        <f t="shared" si="25"/>
        <v>0.4942306201265515</v>
      </c>
      <c r="DA11" s="94">
        <f t="shared" si="25"/>
        <v>0.49441380230562426</v>
      </c>
      <c r="DB11" s="94">
        <f t="shared" ref="DB11:DY11" si="26">SUM(DB9:DB10)</f>
        <v>0.49444435814413301</v>
      </c>
      <c r="DC11" s="94">
        <f t="shared" si="26"/>
        <v>0.47400827167364179</v>
      </c>
      <c r="DD11" s="94">
        <f t="shared" si="26"/>
        <v>0.47400827167364179</v>
      </c>
      <c r="DE11" s="94">
        <f t="shared" si="26"/>
        <v>0.46153806541301767</v>
      </c>
      <c r="DF11" s="94">
        <f t="shared" si="26"/>
        <v>0.46132438413894966</v>
      </c>
      <c r="DG11" s="94">
        <f t="shared" si="26"/>
        <v>0.46050021493047522</v>
      </c>
      <c r="DH11" s="94">
        <f t="shared" si="26"/>
        <v>0.46472362577134307</v>
      </c>
      <c r="DI11" s="94">
        <f t="shared" si="26"/>
        <v>0.47183051750436883</v>
      </c>
      <c r="DJ11" s="94">
        <f t="shared" si="26"/>
        <v>0.47180356189629141</v>
      </c>
      <c r="DK11" s="94">
        <f t="shared" si="26"/>
        <v>0.471695803552446</v>
      </c>
      <c r="DL11" s="94">
        <f t="shared" si="26"/>
        <v>0.47094435508261595</v>
      </c>
      <c r="DM11" s="94">
        <f t="shared" si="26"/>
        <v>0.46734826908040594</v>
      </c>
      <c r="DN11" s="94">
        <f t="shared" si="26"/>
        <v>0.46635789329072619</v>
      </c>
      <c r="DO11" s="94">
        <f t="shared" si="26"/>
        <v>0.47510388855808128</v>
      </c>
      <c r="DP11" s="94">
        <f t="shared" si="26"/>
        <v>0.47248296734646811</v>
      </c>
      <c r="DQ11" s="94">
        <f t="shared" si="26"/>
        <v>0.47223077706603833</v>
      </c>
      <c r="DR11" s="94">
        <f t="shared" si="26"/>
        <v>0.4839422814710122</v>
      </c>
      <c r="DS11" s="94">
        <f t="shared" si="26"/>
        <v>0</v>
      </c>
      <c r="DT11" s="94">
        <f t="shared" si="26"/>
        <v>0</v>
      </c>
      <c r="DU11" s="94">
        <f t="shared" si="26"/>
        <v>0</v>
      </c>
      <c r="DV11" s="94">
        <f t="shared" si="26"/>
        <v>0</v>
      </c>
      <c r="DW11" s="94">
        <f t="shared" si="26"/>
        <v>0</v>
      </c>
      <c r="DX11" s="94">
        <f t="shared" si="26"/>
        <v>0</v>
      </c>
      <c r="DY11" s="94">
        <f t="shared" si="26"/>
        <v>0</v>
      </c>
      <c r="DZ11" s="94">
        <f>SUM(DZ9:DZ10)</f>
        <v>0</v>
      </c>
    </row>
    <row r="12" spans="1:143">
      <c r="G12" s="60" t="s">
        <v>429</v>
      </c>
    </row>
    <row r="13" spans="1:143">
      <c r="G13" s="60" t="s">
        <v>406</v>
      </c>
      <c r="DG13" s="65"/>
    </row>
    <row r="16" spans="1:143" s="161" customFormat="1">
      <c r="G16" s="161" t="s">
        <v>407</v>
      </c>
    </row>
  </sheetData>
  <mergeCells count="1">
    <mergeCell ref="A9:A10"/>
  </mergeCells>
  <phoneticPr fontId="52" type="noConversion"/>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EV16"/>
  <sheetViews>
    <sheetView workbookViewId="0">
      <pane xSplit="10" ySplit="4" topLeftCell="DC5" activePane="bottomRight" state="frozen"/>
      <selection pane="topRight" activeCell="K1" sqref="K1"/>
      <selection pane="bottomLeft" activeCell="A5" sqref="A5"/>
      <selection pane="bottomRight" activeCell="DH12" sqref="DH12"/>
    </sheetView>
  </sheetViews>
  <sheetFormatPr baseColWidth="10" defaultColWidth="8.6640625" defaultRowHeight="12"/>
  <cols>
    <col min="1" max="1" width="16" style="60" bestFit="1" customWidth="1"/>
    <col min="2" max="2" width="11.5" style="60" bestFit="1" customWidth="1"/>
    <col min="3" max="3" width="4.83203125" style="60" bestFit="1" customWidth="1"/>
    <col min="4" max="4" width="12.33203125" style="60" bestFit="1" customWidth="1"/>
    <col min="5" max="5" width="11.83203125" style="60" bestFit="1" customWidth="1"/>
    <col min="6" max="6" width="6" style="60" bestFit="1" customWidth="1"/>
    <col min="7" max="7" width="22.83203125" style="60" bestFit="1" customWidth="1"/>
    <col min="8" max="11" width="6.1640625" style="60" bestFit="1" customWidth="1"/>
    <col min="12" max="12" width="5.83203125" style="60" bestFit="1" customWidth="1"/>
    <col min="13" max="50" width="6.1640625" style="60" bestFit="1" customWidth="1"/>
    <col min="51" max="53" width="7" style="60" bestFit="1" customWidth="1"/>
    <col min="54" max="89" width="6.1640625" style="60" bestFit="1" customWidth="1"/>
    <col min="90" max="94" width="6.33203125" style="60" bestFit="1" customWidth="1"/>
    <col min="95" max="95" width="6.1640625" style="60" bestFit="1" customWidth="1"/>
    <col min="96" max="96" width="6.83203125" style="60" bestFit="1" customWidth="1"/>
    <col min="97" max="16384" width="8.6640625" style="60"/>
  </cols>
  <sheetData>
    <row r="1" spans="1:152">
      <c r="A1" s="111" t="s">
        <v>377</v>
      </c>
      <c r="B1" s="111" t="s">
        <v>378</v>
      </c>
      <c r="C1" s="111" t="s">
        <v>379</v>
      </c>
      <c r="D1" s="111" t="s">
        <v>380</v>
      </c>
      <c r="E1" s="111" t="s">
        <v>381</v>
      </c>
      <c r="F1" s="111" t="s">
        <v>33</v>
      </c>
      <c r="H1" s="61">
        <v>6</v>
      </c>
      <c r="I1" s="61">
        <v>7</v>
      </c>
      <c r="J1" s="61">
        <v>8</v>
      </c>
      <c r="K1" s="61">
        <v>9</v>
      </c>
      <c r="L1" s="61">
        <v>10</v>
      </c>
      <c r="M1" s="61">
        <v>11</v>
      </c>
      <c r="N1" s="61">
        <v>12</v>
      </c>
      <c r="O1" s="61">
        <v>13</v>
      </c>
      <c r="P1" s="61">
        <v>14</v>
      </c>
      <c r="Q1" s="61">
        <v>15</v>
      </c>
      <c r="R1" s="61">
        <v>16</v>
      </c>
      <c r="S1" s="61">
        <v>17</v>
      </c>
      <c r="T1" s="61">
        <v>18</v>
      </c>
      <c r="U1" s="61">
        <v>19</v>
      </c>
      <c r="V1" s="61">
        <v>20</v>
      </c>
      <c r="W1" s="61">
        <v>21</v>
      </c>
      <c r="X1" s="61">
        <v>22</v>
      </c>
      <c r="Y1" s="61">
        <v>23</v>
      </c>
      <c r="Z1" s="61">
        <v>24</v>
      </c>
      <c r="AA1" s="61">
        <v>25</v>
      </c>
      <c r="AB1" s="61">
        <v>26</v>
      </c>
      <c r="AC1" s="61">
        <v>27</v>
      </c>
      <c r="AD1" s="61">
        <v>28</v>
      </c>
      <c r="AE1" s="61">
        <v>29</v>
      </c>
      <c r="AF1" s="61">
        <v>30</v>
      </c>
      <c r="AG1" s="61">
        <v>31</v>
      </c>
      <c r="AH1" s="61">
        <v>32</v>
      </c>
      <c r="AI1" s="61">
        <v>33</v>
      </c>
      <c r="AJ1" s="61">
        <v>34</v>
      </c>
      <c r="AK1" s="61">
        <v>35</v>
      </c>
      <c r="AL1" s="61">
        <v>36</v>
      </c>
      <c r="AM1" s="61">
        <v>37</v>
      </c>
      <c r="AN1" s="61">
        <v>38</v>
      </c>
      <c r="AO1" s="61">
        <v>39</v>
      </c>
      <c r="AP1" s="61">
        <v>40</v>
      </c>
      <c r="AQ1" s="61">
        <v>41</v>
      </c>
      <c r="AR1" s="61">
        <v>42</v>
      </c>
      <c r="AS1" s="61">
        <v>43</v>
      </c>
      <c r="AT1" s="61">
        <v>44</v>
      </c>
      <c r="AU1" s="61">
        <v>45</v>
      </c>
      <c r="AV1" s="61">
        <v>46</v>
      </c>
      <c r="AW1" s="61">
        <v>47</v>
      </c>
      <c r="AX1" s="61">
        <v>48</v>
      </c>
      <c r="AY1" s="61">
        <v>49</v>
      </c>
      <c r="AZ1" s="61">
        <v>50</v>
      </c>
      <c r="BA1" s="61">
        <v>51</v>
      </c>
      <c r="BB1" s="61">
        <v>52</v>
      </c>
      <c r="BC1" s="61">
        <v>53</v>
      </c>
      <c r="BD1" s="61">
        <v>54</v>
      </c>
      <c r="BE1" s="61">
        <v>55</v>
      </c>
      <c r="BF1" s="61">
        <v>56</v>
      </c>
      <c r="BG1" s="61">
        <v>57</v>
      </c>
      <c r="BH1" s="61">
        <v>58</v>
      </c>
      <c r="BI1" s="61">
        <v>59</v>
      </c>
      <c r="BJ1" s="61">
        <v>60</v>
      </c>
      <c r="BK1" s="61">
        <v>61</v>
      </c>
      <c r="BL1" s="61">
        <v>62</v>
      </c>
      <c r="BM1" s="61">
        <v>63</v>
      </c>
      <c r="BN1" s="61">
        <v>64</v>
      </c>
      <c r="BO1" s="61">
        <v>65</v>
      </c>
      <c r="BP1" s="61">
        <v>66</v>
      </c>
      <c r="BQ1" s="61">
        <v>67</v>
      </c>
      <c r="BR1" s="61">
        <v>68</v>
      </c>
      <c r="BS1" s="61">
        <v>69</v>
      </c>
      <c r="BT1" s="61">
        <v>70</v>
      </c>
      <c r="BU1" s="61">
        <v>71</v>
      </c>
      <c r="BV1" s="61">
        <v>72</v>
      </c>
      <c r="BW1" s="61">
        <v>73</v>
      </c>
      <c r="BX1" s="61">
        <v>74</v>
      </c>
      <c r="BY1" s="61">
        <v>75</v>
      </c>
      <c r="BZ1" s="61">
        <v>76</v>
      </c>
      <c r="CA1" s="61">
        <v>77</v>
      </c>
      <c r="CB1" s="61">
        <v>78</v>
      </c>
      <c r="CC1" s="61">
        <v>79</v>
      </c>
      <c r="CD1" s="61">
        <v>80</v>
      </c>
      <c r="CE1" s="61">
        <v>81</v>
      </c>
      <c r="CF1" s="61">
        <v>82</v>
      </c>
      <c r="CG1" s="61">
        <v>83</v>
      </c>
      <c r="CH1" s="61">
        <v>84</v>
      </c>
      <c r="CI1" s="61">
        <v>85</v>
      </c>
      <c r="CJ1" s="61">
        <v>86</v>
      </c>
      <c r="CK1" s="61">
        <v>87</v>
      </c>
      <c r="CL1" s="61">
        <v>88</v>
      </c>
      <c r="CM1" s="61">
        <v>89</v>
      </c>
      <c r="CN1" s="61">
        <v>90</v>
      </c>
      <c r="CO1" s="61">
        <v>91</v>
      </c>
      <c r="CP1" s="61">
        <v>92</v>
      </c>
      <c r="CQ1" s="61">
        <v>93</v>
      </c>
      <c r="CR1" s="61">
        <v>94</v>
      </c>
      <c r="CS1" s="61">
        <v>95</v>
      </c>
      <c r="CT1" s="61">
        <v>96</v>
      </c>
      <c r="CU1" s="61">
        <v>97</v>
      </c>
      <c r="CV1" s="61">
        <v>98</v>
      </c>
      <c r="CW1" s="61">
        <v>99</v>
      </c>
      <c r="CX1" s="61">
        <v>100</v>
      </c>
      <c r="CY1" s="61">
        <v>101</v>
      </c>
      <c r="CZ1" s="61">
        <v>102</v>
      </c>
      <c r="DA1" s="61">
        <v>103</v>
      </c>
      <c r="DB1" s="61">
        <v>104</v>
      </c>
      <c r="DC1" s="61">
        <v>105</v>
      </c>
      <c r="DD1" s="61">
        <v>106</v>
      </c>
      <c r="DE1" s="61">
        <v>107</v>
      </c>
      <c r="DF1" s="61">
        <v>108</v>
      </c>
      <c r="DG1" s="61">
        <v>109</v>
      </c>
      <c r="DH1" s="61">
        <v>110</v>
      </c>
      <c r="DI1" s="61">
        <v>111</v>
      </c>
      <c r="DJ1" s="61">
        <v>112</v>
      </c>
      <c r="DK1" s="61">
        <v>113</v>
      </c>
      <c r="DL1" s="61">
        <v>114</v>
      </c>
      <c r="DM1" s="61">
        <v>115</v>
      </c>
      <c r="DN1" s="61">
        <v>116</v>
      </c>
      <c r="DO1" s="61">
        <v>117</v>
      </c>
      <c r="DP1" s="61">
        <v>118</v>
      </c>
      <c r="DQ1" s="61">
        <v>119</v>
      </c>
      <c r="DR1" s="61">
        <v>120</v>
      </c>
      <c r="DS1" s="61">
        <v>121</v>
      </c>
      <c r="DT1" s="61">
        <v>122</v>
      </c>
      <c r="DU1" s="61">
        <v>123</v>
      </c>
      <c r="DV1" s="61">
        <v>124</v>
      </c>
      <c r="DW1" s="61">
        <v>125</v>
      </c>
      <c r="DX1" s="61">
        <v>126</v>
      </c>
      <c r="DY1" s="61">
        <v>127</v>
      </c>
      <c r="DZ1" s="61">
        <v>128</v>
      </c>
      <c r="EA1" s="61">
        <v>129</v>
      </c>
      <c r="EB1" s="61">
        <v>130</v>
      </c>
      <c r="EC1" s="61">
        <v>131</v>
      </c>
      <c r="ED1" s="61">
        <v>132</v>
      </c>
      <c r="EE1" s="61">
        <v>133</v>
      </c>
      <c r="EF1" s="61">
        <v>134</v>
      </c>
      <c r="EG1" s="61">
        <v>135</v>
      </c>
      <c r="EH1" s="61">
        <v>136</v>
      </c>
      <c r="EI1" s="61">
        <v>137</v>
      </c>
      <c r="EJ1" s="61">
        <v>138</v>
      </c>
      <c r="EK1" s="61">
        <v>139</v>
      </c>
      <c r="EL1" s="61">
        <v>140</v>
      </c>
      <c r="EM1" s="61">
        <v>141</v>
      </c>
      <c r="EN1" s="61">
        <v>142</v>
      </c>
      <c r="EO1" s="61">
        <v>143</v>
      </c>
      <c r="EP1" s="61">
        <v>144</v>
      </c>
      <c r="EQ1" s="61">
        <v>145</v>
      </c>
      <c r="ER1" s="61">
        <v>146</v>
      </c>
      <c r="ES1" s="61">
        <v>147</v>
      </c>
      <c r="ET1" s="61">
        <v>148</v>
      </c>
      <c r="EU1" s="61">
        <v>149</v>
      </c>
      <c r="EV1" s="61">
        <v>150</v>
      </c>
    </row>
    <row r="2" spans="1:152">
      <c r="A2" s="60" t="s">
        <v>236</v>
      </c>
      <c r="B2" s="60" t="s">
        <v>543</v>
      </c>
      <c r="C2" s="60">
        <v>1</v>
      </c>
      <c r="D2" s="60">
        <v>88.138000000000005</v>
      </c>
      <c r="E2" s="78">
        <f>C2*D2</f>
        <v>88.138000000000005</v>
      </c>
    </row>
    <row r="3" spans="1:152">
      <c r="D3" s="64"/>
      <c r="E3" s="64"/>
      <c r="G3" s="64"/>
      <c r="H3" s="64"/>
    </row>
    <row r="4" spans="1:152">
      <c r="A4" s="114"/>
      <c r="G4" s="64"/>
      <c r="H4" s="64"/>
    </row>
    <row r="5" spans="1:152" ht="15">
      <c r="A5" s="115"/>
      <c r="B5" s="65"/>
      <c r="G5" s="7" t="s">
        <v>388</v>
      </c>
      <c r="H5" s="59">
        <v>43831</v>
      </c>
      <c r="I5" s="59">
        <v>43862</v>
      </c>
      <c r="J5" s="59">
        <v>43891</v>
      </c>
      <c r="K5" s="59">
        <v>43922</v>
      </c>
      <c r="L5" s="59">
        <v>43952</v>
      </c>
      <c r="M5" s="59">
        <v>43983</v>
      </c>
      <c r="N5" s="59">
        <v>44013</v>
      </c>
      <c r="O5" s="59">
        <v>44044</v>
      </c>
      <c r="P5" s="59">
        <v>44075</v>
      </c>
      <c r="Q5" s="59">
        <v>44105</v>
      </c>
      <c r="R5" s="59">
        <v>44136</v>
      </c>
      <c r="S5" s="59">
        <v>44166</v>
      </c>
      <c r="T5" s="59">
        <v>44197</v>
      </c>
      <c r="U5" s="59">
        <v>44228</v>
      </c>
      <c r="V5" s="59">
        <v>44256</v>
      </c>
      <c r="W5" s="59">
        <v>44287</v>
      </c>
      <c r="X5" s="59">
        <v>44317</v>
      </c>
      <c r="Y5" s="59">
        <v>44348</v>
      </c>
      <c r="Z5" s="59">
        <v>44378</v>
      </c>
      <c r="AA5" s="59">
        <v>44409</v>
      </c>
      <c r="AB5" s="59">
        <v>44440</v>
      </c>
      <c r="AC5" s="59">
        <v>44470</v>
      </c>
      <c r="AD5" s="59">
        <v>44501</v>
      </c>
      <c r="AE5" s="59">
        <v>44531</v>
      </c>
      <c r="AF5" s="59">
        <v>44562</v>
      </c>
      <c r="AG5" s="59">
        <v>44593</v>
      </c>
      <c r="AH5" s="59">
        <v>44621</v>
      </c>
      <c r="AI5" s="59">
        <v>44652</v>
      </c>
      <c r="AJ5" s="59">
        <v>44682</v>
      </c>
      <c r="AK5" s="59">
        <v>44713</v>
      </c>
      <c r="AL5" s="59">
        <v>44743</v>
      </c>
      <c r="AM5" s="59">
        <v>44774</v>
      </c>
      <c r="AN5" s="59">
        <v>44805</v>
      </c>
      <c r="AO5" s="59">
        <v>44835</v>
      </c>
      <c r="AP5" s="59">
        <v>44866</v>
      </c>
      <c r="AQ5" s="59">
        <v>44896</v>
      </c>
      <c r="AR5" s="59">
        <v>44927</v>
      </c>
      <c r="AS5" s="59">
        <v>44958</v>
      </c>
      <c r="AT5" s="59">
        <v>44986</v>
      </c>
      <c r="AU5" s="59">
        <v>45017</v>
      </c>
      <c r="AV5" s="59">
        <v>45047</v>
      </c>
      <c r="AW5" s="59">
        <v>45078</v>
      </c>
      <c r="AX5" s="59">
        <v>45108</v>
      </c>
      <c r="AY5" s="59" t="s">
        <v>530</v>
      </c>
      <c r="AZ5" s="59" t="s">
        <v>531</v>
      </c>
      <c r="BA5" s="59" t="s">
        <v>532</v>
      </c>
      <c r="BB5" s="59">
        <v>37104</v>
      </c>
      <c r="BC5" s="59">
        <v>37469</v>
      </c>
      <c r="BD5" s="59" t="s">
        <v>168</v>
      </c>
      <c r="BE5" s="59" t="s">
        <v>169</v>
      </c>
      <c r="BF5" s="59" t="s">
        <v>421</v>
      </c>
      <c r="BG5" s="59" t="s">
        <v>422</v>
      </c>
      <c r="BH5" s="59" t="s">
        <v>423</v>
      </c>
      <c r="BI5" s="59" t="s">
        <v>424</v>
      </c>
      <c r="BJ5" s="59" t="s">
        <v>435</v>
      </c>
      <c r="BK5" s="59" t="s">
        <v>436</v>
      </c>
      <c r="BL5" s="59" t="s">
        <v>437</v>
      </c>
      <c r="BM5" s="59" t="s">
        <v>438</v>
      </c>
      <c r="BN5" s="59">
        <v>37196</v>
      </c>
      <c r="BO5" s="59">
        <v>37561</v>
      </c>
      <c r="BP5" s="59">
        <v>37926</v>
      </c>
      <c r="BQ5" s="59">
        <v>38292</v>
      </c>
      <c r="BR5" s="59">
        <v>37226</v>
      </c>
      <c r="BS5" s="59">
        <v>37591</v>
      </c>
      <c r="BT5" s="59">
        <v>37956</v>
      </c>
      <c r="BU5" s="59">
        <v>38322</v>
      </c>
      <c r="BV5" s="59">
        <v>36892</v>
      </c>
      <c r="BW5" s="59">
        <v>37257</v>
      </c>
      <c r="BX5" s="59">
        <v>37622</v>
      </c>
      <c r="BY5" s="59">
        <v>37987</v>
      </c>
      <c r="BZ5" s="59">
        <v>36923</v>
      </c>
      <c r="CA5" s="59">
        <v>37288</v>
      </c>
      <c r="CB5" s="59">
        <v>37653</v>
      </c>
      <c r="CC5" s="59">
        <v>38018</v>
      </c>
      <c r="CD5" s="59" t="str">
        <f>Sheet8!A15</f>
        <v>Mar-w1</v>
      </c>
      <c r="CE5" s="59">
        <v>37316</v>
      </c>
      <c r="CF5" s="59">
        <v>37681</v>
      </c>
      <c r="CG5" s="59">
        <v>38047</v>
      </c>
      <c r="CH5" s="59" t="str">
        <f>Sheet8!E15</f>
        <v>Apr-w1</v>
      </c>
      <c r="CI5" s="59" t="str">
        <f>Sheet8!F15</f>
        <v>Apr-w2</v>
      </c>
      <c r="CJ5" s="59" t="str">
        <f>Sheet8!G15</f>
        <v>Apr-w3</v>
      </c>
      <c r="CK5" s="59" t="str">
        <f>Sheet8!H15</f>
        <v>Apr-w4</v>
      </c>
      <c r="CL5" s="59" t="str">
        <f>Sheet8!I15</f>
        <v>May-w1</v>
      </c>
      <c r="CM5" s="59" t="str">
        <f>Sheet8!J15</f>
        <v>May-w2</v>
      </c>
      <c r="CN5" s="59" t="str">
        <f>Sheet8!K15</f>
        <v>May-w3</v>
      </c>
      <c r="CO5" s="59" t="str">
        <f>Sheet8!L15</f>
        <v>May-w4</v>
      </c>
      <c r="CP5" s="59" t="str">
        <f>Sheet8!M15</f>
        <v>May-w5</v>
      </c>
      <c r="CQ5" s="59" t="str">
        <f>Sheet8!N15</f>
        <v>june-w1</v>
      </c>
      <c r="CR5" s="59" t="str">
        <f>Sheet8!O15</f>
        <v>june-w2</v>
      </c>
      <c r="CS5" s="59" t="str">
        <f>Sheet8!P15</f>
        <v>june-w3</v>
      </c>
      <c r="CT5" s="59" t="str">
        <f>Sheet8!Q15</f>
        <v>june-w4</v>
      </c>
      <c r="CU5" s="59" t="str">
        <f>Sheet8!R15</f>
        <v>Jul-w1</v>
      </c>
      <c r="CV5" s="59" t="str">
        <f>Sheet8!S15</f>
        <v>Jul-w2</v>
      </c>
      <c r="CW5" s="59" t="str">
        <f>Sheet8!T15</f>
        <v>Jul-w3</v>
      </c>
      <c r="CX5" s="59" t="str">
        <f>Sheet8!U15</f>
        <v>Jul-w4</v>
      </c>
      <c r="CY5" s="59" t="str">
        <f>Sheet8!V15</f>
        <v>Aug-w1</v>
      </c>
      <c r="CZ5" s="59" t="str">
        <f>Sheet8!W15</f>
        <v>Aug-w2</v>
      </c>
      <c r="DA5" s="59" t="str">
        <f>Sheet8!X15</f>
        <v>Aug-w3</v>
      </c>
      <c r="DB5" s="59" t="str">
        <f>Sheet8!Y15</f>
        <v>Aug-w4</v>
      </c>
      <c r="DC5" s="59" t="str">
        <f>Sheet8!Z15</f>
        <v>Sep-w1</v>
      </c>
      <c r="DD5" s="59" t="str">
        <f>Sheet8!AA15</f>
        <v>Sep-w2</v>
      </c>
      <c r="DE5" s="59" t="str">
        <f>Sheet8!AB15</f>
        <v>Sep-w3</v>
      </c>
      <c r="DF5" s="59" t="str">
        <f>Sheet8!AC15</f>
        <v>Sep-w4</v>
      </c>
      <c r="DG5" s="59" t="str">
        <f>Sheet8!AD15</f>
        <v>Oct-w1</v>
      </c>
      <c r="DH5" s="59" t="str">
        <f>Sheet8!AE15</f>
        <v>Oct-w2</v>
      </c>
      <c r="DI5" s="59" t="str">
        <f>Sheet8!AF15</f>
        <v>Oct-w3</v>
      </c>
      <c r="DJ5" s="59" t="str">
        <f>Sheet8!AG15</f>
        <v>Oct-w4</v>
      </c>
      <c r="DK5" s="59" t="str">
        <f>Sheet8!AH15</f>
        <v>Nov-w1</v>
      </c>
      <c r="DL5" s="59" t="str">
        <f>Sheet8!AI15</f>
        <v>Nov-w2</v>
      </c>
      <c r="DM5" s="59" t="str">
        <f>Sheet8!AJ15</f>
        <v>Nov-w3</v>
      </c>
      <c r="DN5" s="59" t="str">
        <f>Sheet8!AK15</f>
        <v>Nov-w4</v>
      </c>
      <c r="DO5" s="59" t="str">
        <f>Sheet8!AL15</f>
        <v>Dec-w1</v>
      </c>
      <c r="DP5" s="59" t="str">
        <f>Sheet8!AM15</f>
        <v>Dec-w2</v>
      </c>
      <c r="DQ5" s="59" t="str">
        <f>Sheet8!AN15</f>
        <v>Dec-w3</v>
      </c>
      <c r="DR5" s="59" t="str">
        <f>Sheet8!AO15</f>
        <v>Dec-w4</v>
      </c>
      <c r="DS5" s="59">
        <f>Sheet8!AP15</f>
        <v>0</v>
      </c>
      <c r="DT5" s="59">
        <f>Sheet8!AQ15</f>
        <v>0</v>
      </c>
      <c r="DU5" s="59">
        <f>Sheet8!AR15</f>
        <v>0</v>
      </c>
      <c r="DV5" s="59">
        <f>Sheet8!AS15</f>
        <v>0</v>
      </c>
    </row>
    <row r="6" spans="1:152">
      <c r="A6" s="115"/>
      <c r="B6" s="65"/>
      <c r="E6" s="60" t="s">
        <v>544</v>
      </c>
      <c r="G6" s="60" t="s">
        <v>545</v>
      </c>
      <c r="H6" s="74">
        <f>DIMETHYLAMINE!H11</f>
        <v>0.37756636088583106</v>
      </c>
      <c r="I6" s="74">
        <f>DIMETHYLAMINE!I11</f>
        <v>0.42013219137980873</v>
      </c>
      <c r="J6" s="74">
        <f>DIMETHYLAMINE!J11</f>
        <v>0.385788690403365</v>
      </c>
      <c r="K6" s="74">
        <f>DIMETHYLAMINE!K11</f>
        <v>0.32508696054087016</v>
      </c>
      <c r="L6" s="74">
        <f>DIMETHYLAMINE!L11</f>
        <v>0.30278401760566187</v>
      </c>
      <c r="M6" s="74">
        <f>DIMETHYLAMINE!M11</f>
        <v>0.2856129902210926</v>
      </c>
      <c r="N6" s="74">
        <f>DIMETHYLAMINE!N11</f>
        <v>0.29177413734595636</v>
      </c>
      <c r="O6" s="74">
        <f>DIMETHYLAMINE!O11</f>
        <v>0.31684259618578176</v>
      </c>
      <c r="P6" s="74">
        <f>DIMETHYLAMINE!P11</f>
        <v>0.32658118186499763</v>
      </c>
      <c r="Q6" s="74">
        <f>DIMETHYLAMINE!Q11</f>
        <v>0.33241929631587375</v>
      </c>
      <c r="R6" s="74">
        <f>DIMETHYLAMINE!R11</f>
        <v>0.35218092751890878</v>
      </c>
      <c r="S6" s="74">
        <f>DIMETHYLAMINE!S11</f>
        <v>0.38328015673056437</v>
      </c>
      <c r="T6" s="74">
        <f>DIMETHYLAMINE!T11</f>
        <v>0.43556585039031237</v>
      </c>
      <c r="U6" s="74">
        <f>DIMETHYLAMINE!U11</f>
        <v>0.45116323908551581</v>
      </c>
      <c r="V6" s="74">
        <f>DIMETHYLAMINE!V11</f>
        <v>0.44405634735249006</v>
      </c>
      <c r="W6" s="74">
        <f>DIMETHYLAMINE!W11</f>
        <v>0.44295442931719314</v>
      </c>
      <c r="X6" s="74">
        <f>DIMETHYLAMINE!X11</f>
        <v>0.47102902882427172</v>
      </c>
      <c r="Y6" s="74">
        <f>DIMETHYLAMINE!Y11</f>
        <v>0.49340242317865624</v>
      </c>
      <c r="Z6" s="74">
        <f>DIMETHYLAMINE!Z11</f>
        <v>0.52973939942369941</v>
      </c>
      <c r="AA6" s="74">
        <f>DIMETHYLAMINE!AA11</f>
        <v>0.53796988732651285</v>
      </c>
      <c r="AB6" s="74">
        <f>DIMETHYLAMINE!AB11</f>
        <v>0.55962989210036707</v>
      </c>
      <c r="AC6" s="74">
        <f>DIMETHYLAMINE!AC11</f>
        <v>0.63095322734446246</v>
      </c>
      <c r="AD6" s="74">
        <f>DIMETHYLAMINE!AD11</f>
        <v>0.58866434937917367</v>
      </c>
      <c r="AE6" s="74">
        <f>DIMETHYLAMINE!AE11</f>
        <v>0.56088863606716255</v>
      </c>
      <c r="AF6" s="74">
        <f>DIMETHYLAMINE!AF11</f>
        <v>0.61892739485027282</v>
      </c>
      <c r="AG6" s="74">
        <f>DIMETHYLAMINE!AG11</f>
        <v>0.73213975718559032</v>
      </c>
      <c r="AH6" s="74">
        <f>DIMETHYLAMINE!AH11</f>
        <v>0.80671493407239381</v>
      </c>
      <c r="AI6" s="74">
        <f>DIMETHYLAMINE!AI11</f>
        <v>0.75279168243284678</v>
      </c>
      <c r="AJ6" s="74">
        <f>DIMETHYLAMINE!AJ11</f>
        <v>0.67291011136460277</v>
      </c>
      <c r="AK6" s="74">
        <f>DIMETHYLAMINE!AK11</f>
        <v>0.66345224722345408</v>
      </c>
      <c r="AL6" s="74">
        <f>DIMETHYLAMINE!AL11</f>
        <v>0.63246184815559525</v>
      </c>
      <c r="AM6" s="74">
        <f>DIMETHYLAMINE!AM11</f>
        <v>0.63343136054323612</v>
      </c>
      <c r="AN6" s="74">
        <f>DIMETHYLAMINE!AN11</f>
        <v>0.62191615927044186</v>
      </c>
      <c r="AO6" s="74">
        <f>DIMETHYLAMINE!AO11</f>
        <v>0.63619878718874612</v>
      </c>
      <c r="AP6" s="74">
        <f>DIMETHYLAMINE!AP11</f>
        <v>0.66054197288902083</v>
      </c>
      <c r="AQ6" s="74">
        <f>DIMETHYLAMINE!AQ11</f>
        <v>0.63198987123315586</v>
      </c>
      <c r="AR6" s="74">
        <f>DIMETHYLAMINE!AR11</f>
        <v>0.60735856944139655</v>
      </c>
      <c r="AS6" s="74">
        <f>DIMETHYLAMINE!AS11</f>
        <v>0.59614293642670035</v>
      </c>
      <c r="AT6" s="74">
        <f>DIMETHYLAMINE!AT11</f>
        <v>0.5976143674813954</v>
      </c>
      <c r="AU6" s="74">
        <f>DIMETHYLAMINE!AU11</f>
        <v>0.52018030398306014</v>
      </c>
      <c r="AV6" s="74">
        <f>DIMETHYLAMINE!AV11</f>
        <v>0.48679193352426164</v>
      </c>
      <c r="AW6" s="74">
        <f>DIMETHYLAMINE!AW11</f>
        <v>0.4464492763851724</v>
      </c>
      <c r="AX6" s="74">
        <f>DIMETHYLAMINE!AX11</f>
        <v>0.44661903076973897</v>
      </c>
      <c r="AY6" s="74">
        <f>DIMETHYLAMINE!AY11</f>
        <v>0.44025060572547603</v>
      </c>
      <c r="AZ6" s="74">
        <f>DIMETHYLAMINE!AZ11</f>
        <v>0.44099375994693124</v>
      </c>
      <c r="BA6" s="74">
        <f>DIMETHYLAMINE!BA11</f>
        <v>0.43084943593705183</v>
      </c>
      <c r="BB6" s="74">
        <f>DIMETHYLAMINE!BB11</f>
        <v>0.42930280720184477</v>
      </c>
      <c r="BC6" s="74">
        <f>DIMETHYLAMINE!BC11</f>
        <v>0.4423905217463765</v>
      </c>
      <c r="BD6" s="74">
        <f>DIMETHYLAMINE!BD11</f>
        <v>0.4423905217463765</v>
      </c>
      <c r="BE6" s="74">
        <f>DIMETHYLAMINE!BE11</f>
        <v>0.44400269508955315</v>
      </c>
      <c r="BF6" s="74">
        <f>DIMETHYLAMINE!BF11</f>
        <v>0.44292532458327616</v>
      </c>
      <c r="BG6" s="74">
        <f>DIMETHYLAMINE!BG11</f>
        <v>0.4341223238325671</v>
      </c>
      <c r="BH6" s="74">
        <f>DIMETHYLAMINE!BH11</f>
        <v>0.45746122792998772</v>
      </c>
      <c r="BI6" s="74">
        <f>DIMETHYLAMINE!BI11</f>
        <v>0.45657763251509165</v>
      </c>
      <c r="BJ6" s="74">
        <f>DIMETHYLAMINE!BJ11</f>
        <v>0.49295488169613494</v>
      </c>
      <c r="BK6" s="74">
        <f>DIMETHYLAMINE!BK11</f>
        <v>0.49286175468550203</v>
      </c>
      <c r="BL6" s="74">
        <f>DIMETHYLAMINE!BL11</f>
        <v>0.48418725150234615</v>
      </c>
      <c r="BM6" s="74">
        <f>DIMETHYLAMINE!BM11</f>
        <v>0.49736236410544221</v>
      </c>
      <c r="BN6" s="74">
        <f>DIMETHYLAMINE!BN11</f>
        <v>0.49748869668747325</v>
      </c>
      <c r="BO6" s="74">
        <f>DIMETHYLAMINE!BO11</f>
        <v>0.48692318825111447</v>
      </c>
      <c r="BP6" s="74">
        <f>DIMETHYLAMINE!BP11</f>
        <v>0.48692318825111447</v>
      </c>
      <c r="BQ6" s="74">
        <f>DIMETHYLAMINE!BQ11</f>
        <v>0.48648123632728735</v>
      </c>
      <c r="BR6" s="74">
        <f>DIMETHYLAMINE!BR11</f>
        <v>0.48626081677966637</v>
      </c>
      <c r="BS6" s="74">
        <f>DIMETHYLAMINE!BS11</f>
        <v>0.4779695058502248</v>
      </c>
      <c r="BT6" s="74">
        <f>DIMETHYLAMINE!BT11</f>
        <v>0.48284805846332479</v>
      </c>
      <c r="BU6" s="74">
        <f>DIMETHYLAMINE!BU11</f>
        <v>0.48261304436307806</v>
      </c>
      <c r="BV6" s="74">
        <f>DIMETHYLAMINE!BV11</f>
        <v>0.47811191867312591</v>
      </c>
      <c r="BW6" s="74">
        <f>DIMETHYLAMINE!BW11</f>
        <v>0.48942734459881565</v>
      </c>
      <c r="BX6" s="74">
        <f>DIMETHYLAMINE!BX11</f>
        <v>0.48912756111700284</v>
      </c>
      <c r="BY6" s="74">
        <f>DIMETHYLAMINE!BY11</f>
        <v>0.50134720720776249</v>
      </c>
      <c r="BZ6" s="74">
        <f>DIMETHYLAMINE!BZ11</f>
        <v>0.50153109833028187</v>
      </c>
      <c r="CA6" s="74">
        <f>DIMETHYLAMINE!CA11</f>
        <v>0.50150043134912203</v>
      </c>
      <c r="CB6" s="74">
        <f>DIMETHYLAMINE!CB11</f>
        <v>0.501838175062016</v>
      </c>
      <c r="CC6" s="74">
        <f>DIMETHYLAMINE!CC11</f>
        <v>0.501838175062016</v>
      </c>
      <c r="CD6" s="74">
        <f>DIMETHYLAMINE!CD11</f>
        <v>0.48876758844448698</v>
      </c>
      <c r="CE6" s="74">
        <f>DIMETHYLAMINE!CE11</f>
        <v>0.48859228411820238</v>
      </c>
      <c r="CF6" s="74">
        <f>DIMETHYLAMINE!CF11</f>
        <v>0.49247140922114518</v>
      </c>
      <c r="CG6" s="74">
        <f>DIMETHYLAMINE!CG11</f>
        <v>0.4920969880933021</v>
      </c>
      <c r="CH6" s="74">
        <f>DIMETHYLAMINE!CH11</f>
        <v>0.48550883713281284</v>
      </c>
      <c r="CI6" s="74">
        <f>DIMETHYLAMINE!CI11</f>
        <v>0.48496134308310956</v>
      </c>
      <c r="CJ6" s="74">
        <f>DIMETHYLAMINE!CJ11</f>
        <v>0.48435911306945473</v>
      </c>
      <c r="CK6" s="74">
        <f>DIMETHYLAMINE!CK11</f>
        <v>0.49394974748963649</v>
      </c>
      <c r="CL6" s="74">
        <f>DIMETHYLAMINE!CL11</f>
        <v>0.49193468972265531</v>
      </c>
      <c r="CM6" s="74">
        <f>DIMETHYLAMINE!CM11</f>
        <v>0.49238194283819192</v>
      </c>
      <c r="CN6" s="74">
        <f>DIMETHYLAMINE!CN11</f>
        <v>0.47880171187553411</v>
      </c>
      <c r="CO6" s="74">
        <f>DIMETHYLAMINE!CO11</f>
        <v>0.47880171187553411</v>
      </c>
      <c r="CP6" s="74">
        <f>DIMETHYLAMINE!CP11</f>
        <v>0.47880171187553411</v>
      </c>
      <c r="CQ6" s="74">
        <f>DIMETHYLAMINE!CQ11</f>
        <v>0.47728650193620314</v>
      </c>
      <c r="CR6" s="74">
        <f>DIMETHYLAMINE!CR11</f>
        <v>0.48593192699572352</v>
      </c>
      <c r="CS6" s="74">
        <f>DIMETHYLAMINE!CS11</f>
        <v>0.48563935501000755</v>
      </c>
      <c r="CT6" s="74">
        <f>DIMETHYLAMINE!CT11</f>
        <v>0.49482819166624131</v>
      </c>
      <c r="CU6" s="74">
        <f>DIMETHYLAMINE!CU11</f>
        <v>0.49476752463072121</v>
      </c>
      <c r="CV6" s="74">
        <f>DIMETHYLAMINE!CV11</f>
        <v>0.490971701068737</v>
      </c>
      <c r="CW6" s="74">
        <f>DIMETHYLAMINE!CW11</f>
        <v>0.48601067708091106</v>
      </c>
      <c r="CX6" s="74">
        <f>DIMETHYLAMINE!CX11</f>
        <v>0.48592184519125692</v>
      </c>
      <c r="CY6" s="74">
        <f>DIMETHYLAMINE!CY11</f>
        <v>0.49426113230607138</v>
      </c>
      <c r="CZ6" s="74">
        <f>DIMETHYLAMINE!CZ11</f>
        <v>0.4942306201265515</v>
      </c>
      <c r="DA6" s="74">
        <f>DIMETHYLAMINE!DA11</f>
        <v>0.49441380230562426</v>
      </c>
      <c r="DB6" s="74">
        <f>DIMETHYLAMINE!DB11</f>
        <v>0.49444435814413301</v>
      </c>
      <c r="DC6" s="74">
        <f>DIMETHYLAMINE!DC11</f>
        <v>0.47400827167364179</v>
      </c>
      <c r="DD6" s="74">
        <f>DIMETHYLAMINE!DD11</f>
        <v>0.47400827167364179</v>
      </c>
      <c r="DE6" s="74">
        <f>DIMETHYLAMINE!DE11</f>
        <v>0.46153806541301767</v>
      </c>
      <c r="DF6" s="74">
        <f>DIMETHYLAMINE!DF11</f>
        <v>0.46132438413894966</v>
      </c>
      <c r="DG6" s="74">
        <f>DIMETHYLAMINE!DG11</f>
        <v>0.46050021493047522</v>
      </c>
      <c r="DH6" s="74">
        <f>DIMETHYLAMINE!DH11</f>
        <v>0.46472362577134307</v>
      </c>
      <c r="DI6" s="74">
        <f>DIMETHYLAMINE!DI11</f>
        <v>0.47183051750436883</v>
      </c>
      <c r="DJ6" s="74">
        <f>DIMETHYLAMINE!DJ11</f>
        <v>0.47180356189629141</v>
      </c>
      <c r="DK6" s="74">
        <f>DIMETHYLAMINE!DK11</f>
        <v>0.471695803552446</v>
      </c>
      <c r="DL6" s="74">
        <f>DIMETHYLAMINE!DL11</f>
        <v>0.47094435508261595</v>
      </c>
      <c r="DM6" s="74">
        <f>DIMETHYLAMINE!DM11</f>
        <v>0.46734826908040594</v>
      </c>
      <c r="DN6" s="74">
        <f>DIMETHYLAMINE!DN11</f>
        <v>0.46635789329072619</v>
      </c>
      <c r="DO6" s="74">
        <f>DIMETHYLAMINE!DO11</f>
        <v>0.47510388855808128</v>
      </c>
      <c r="DP6" s="74">
        <f>DIMETHYLAMINE!DP11</f>
        <v>0.47248296734646811</v>
      </c>
      <c r="DQ6" s="74">
        <f>DIMETHYLAMINE!DQ11</f>
        <v>0.47223077706603833</v>
      </c>
      <c r="DR6" s="74">
        <f>DIMETHYLAMINE!DR11</f>
        <v>0.4839422814710122</v>
      </c>
      <c r="DS6" s="74">
        <f>DIMETHYLAMINE!DS11</f>
        <v>0</v>
      </c>
      <c r="DT6" s="74">
        <f>DIMETHYLAMINE!DT11</f>
        <v>0</v>
      </c>
      <c r="DU6" s="74">
        <f>DIMETHYLAMINE!DU11</f>
        <v>0</v>
      </c>
      <c r="DV6" s="74">
        <f>DIMETHYLAMINE!DV11</f>
        <v>0</v>
      </c>
    </row>
    <row r="7" spans="1:152">
      <c r="A7" s="115"/>
      <c r="B7" s="65"/>
      <c r="D7" s="60" t="s">
        <v>546</v>
      </c>
      <c r="E7" s="60" t="s">
        <v>547</v>
      </c>
      <c r="G7" s="30" t="s">
        <v>49</v>
      </c>
      <c r="H7" s="74">
        <f>VLOOKUP($G$7&amp;$F$1,'Input RM sheet'!$A:$BD,H1,0)</f>
        <v>1317</v>
      </c>
      <c r="I7" s="74">
        <f>VLOOKUP($G$7&amp;$F$1,'Input RM sheet'!$A:$BD,I1,0)</f>
        <v>1295</v>
      </c>
      <c r="J7" s="74">
        <f>VLOOKUP($G$7&amp;$F$1,'Input RM sheet'!$A:$BD,J1,0)</f>
        <v>1269</v>
      </c>
      <c r="K7" s="74">
        <f>VLOOKUP($G$7&amp;$F$1,'Input RM sheet'!$A:$BD,K1,0)</f>
        <v>1072</v>
      </c>
      <c r="L7" s="74">
        <f>VLOOKUP($G$7&amp;$F$1,'Input RM sheet'!$A:$BD,L1,0)</f>
        <v>990.17</v>
      </c>
      <c r="M7" s="74">
        <f>VLOOKUP($G$7&amp;$F$1,'Input RM sheet'!$A:$BD,M1,0)</f>
        <v>1074</v>
      </c>
      <c r="N7" s="74">
        <f>VLOOKUP($G$7&amp;$F$1,'Input RM sheet'!$A:$BD,N1,0)</f>
        <v>1170</v>
      </c>
      <c r="O7" s="74">
        <f>VLOOKUP($G$7&amp;$F$1,'Input RM sheet'!$A:$BD,O1,0)</f>
        <v>1228</v>
      </c>
      <c r="P7" s="74">
        <f>VLOOKUP($G$7&amp;$F$1,'Input RM sheet'!$A:$BD,P1,0)</f>
        <v>1223</v>
      </c>
      <c r="Q7" s="74">
        <f>VLOOKUP($G$7&amp;$F$1,'Input RM sheet'!$A:$BD,Q1,0)</f>
        <v>1212</v>
      </c>
      <c r="R7" s="74">
        <f>VLOOKUP($G$7&amp;$F$1,'Input RM sheet'!$A:$BD,R1,0)</f>
        <v>1220</v>
      </c>
      <c r="S7" s="74">
        <f>VLOOKUP($G$7&amp;$F$1,'Input RM sheet'!$A:$BD,S1,0)</f>
        <v>1273</v>
      </c>
      <c r="T7" s="74">
        <f>VLOOKUP($G$7&amp;$F$1,'Input RM sheet'!$A:$BD,T1,0)</f>
        <v>1312</v>
      </c>
      <c r="U7" s="74">
        <f>VLOOKUP($G$7&amp;$F$1,'Input RM sheet'!$A:$BD,U1,0)</f>
        <v>1371</v>
      </c>
      <c r="V7" s="74">
        <f>VLOOKUP($G$7&amp;$F$1,'Input RM sheet'!$A:$BD,V1,0)</f>
        <v>1421</v>
      </c>
      <c r="W7" s="74">
        <f>VLOOKUP($G$7&amp;$F$1,'Input RM sheet'!$A:$BD,W1,0)</f>
        <v>1466</v>
      </c>
      <c r="X7" s="74">
        <f>VLOOKUP($G$7&amp;$F$1,'Input RM sheet'!$A:$BD,X1,0)</f>
        <v>1494</v>
      </c>
      <c r="Y7" s="74">
        <f>VLOOKUP($G$7&amp;$F$1,'Input RM sheet'!$A:$BD,Y1,0)</f>
        <v>1509</v>
      </c>
      <c r="Z7" s="74">
        <f>VLOOKUP($G$7&amp;$F$1,'Input RM sheet'!$A:$BD,Z1,0)</f>
        <v>1521</v>
      </c>
      <c r="AA7" s="74">
        <f>VLOOKUP($G$7&amp;$F$1,'Input RM sheet'!$A:$BD,AA1,0)</f>
        <v>1563</v>
      </c>
      <c r="AB7" s="74">
        <f>VLOOKUP($G$7&amp;$F$1,'Input RM sheet'!$A:$BD,AB1,0)</f>
        <v>1556</v>
      </c>
      <c r="AC7" s="74">
        <f>VLOOKUP($G$7&amp;$F$1,'Input RM sheet'!$A:$BD,AC1,0)</f>
        <v>1556</v>
      </c>
      <c r="AD7" s="74">
        <f>VLOOKUP($G$7&amp;$F$1,'Input RM sheet'!$A:$BD,AD1,0)</f>
        <v>1615</v>
      </c>
      <c r="AE7" s="74">
        <f>VLOOKUP($G$7&amp;$F$1,'Input RM sheet'!$A:$BD,AE1,0)</f>
        <v>1592</v>
      </c>
      <c r="AF7" s="74">
        <f>VLOOKUP($G$7&amp;$F$1,'Input RM sheet'!$A:$BD,AF1,0)</f>
        <v>1594</v>
      </c>
      <c r="AG7" s="74">
        <f>VLOOKUP($G$7&amp;$F$1,'Input RM sheet'!$A:$BD,AG1,0)</f>
        <v>1658</v>
      </c>
      <c r="AH7" s="74">
        <f>VLOOKUP($G$7&amp;$F$1,'Input RM sheet'!$A:$BD,AH1,0)</f>
        <v>1693</v>
      </c>
      <c r="AI7" s="74">
        <f>VLOOKUP($G$7&amp;$F$1,'Input RM sheet'!$A:$BD,AI1,0)</f>
        <v>1916</v>
      </c>
      <c r="AJ7" s="74">
        <f>VLOOKUP($G$7&amp;$F$1,'Input RM sheet'!$A:$BD,AJ1,0)</f>
        <v>1815</v>
      </c>
      <c r="AK7" s="74">
        <f>VLOOKUP($G$7&amp;$F$1,'Input RM sheet'!$A:$BD,AK1,0)</f>
        <v>1813</v>
      </c>
      <c r="AL7" s="74">
        <f>VLOOKUP($G$7&amp;$F$1,'Input RM sheet'!$A:$BD,AL1,0)</f>
        <v>1668</v>
      </c>
      <c r="AM7" s="74">
        <f>VLOOKUP($G$7&amp;$F$1,'Input RM sheet'!$A:$BD,AM1,0)</f>
        <v>1599</v>
      </c>
      <c r="AN7" s="74">
        <f>VLOOKUP($G$7&amp;$F$1,'Input RM sheet'!$A:$BD,AN1,0)</f>
        <v>1472</v>
      </c>
      <c r="AO7" s="74">
        <f>VLOOKUP($G$7&amp;$F$1,'Input RM sheet'!$A:$BD,AO1,0)</f>
        <v>1423</v>
      </c>
      <c r="AP7" s="74">
        <f>VLOOKUP($G$7&amp;$F$1,'Input RM sheet'!$A:$BD,AP1,0)</f>
        <v>1507</v>
      </c>
      <c r="AQ7" s="74">
        <f>VLOOKUP($G$7&amp;$F$1,'Input RM sheet'!$A:$BD,AQ1,0)</f>
        <v>1542</v>
      </c>
      <c r="AR7" s="74">
        <f>VLOOKUP($G$7&amp;$F$1,'Input RM sheet'!$A:$BD,AR1,0)</f>
        <v>1488</v>
      </c>
      <c r="AS7" s="74">
        <f>VLOOKUP($G$7&amp;$F$1,'Input RM sheet'!$A:$BD,AS1,0)</f>
        <v>1549</v>
      </c>
      <c r="AT7" s="74">
        <f>VLOOKUP($G$7&amp;$F$1,'Input RM sheet'!$A:$BD,AT1,0)</f>
        <v>1574</v>
      </c>
      <c r="AU7" s="74">
        <f>VLOOKUP($G$7&amp;$F$1,'Input RM sheet'!$A:$BD,AU1,0)</f>
        <v>1561</v>
      </c>
      <c r="AV7" s="74">
        <f>VLOOKUP($G$7&amp;$F$1,'Input RM sheet'!$A:$BD,AV1,0)</f>
        <v>1537</v>
      </c>
      <c r="AW7" s="74">
        <f>VLOOKUP($G$7&amp;$F$1,'Input RM sheet'!$A:$BD,AW1,0)</f>
        <v>1460</v>
      </c>
      <c r="AX7" s="74">
        <f>VLOOKUP($G$7&amp;$F$1,'Input RM sheet'!$A:$BD,AX1,0)</f>
        <v>1460</v>
      </c>
      <c r="AY7" s="74">
        <f>VLOOKUP($G$7&amp;$F$1,'Input RM sheet'!$A:$BD,AY1,0)</f>
        <v>1460</v>
      </c>
      <c r="AZ7" s="74">
        <f>VLOOKUP($G$7&amp;$F$1,'Input RM sheet'!$A:$BD,AZ1,0)</f>
        <v>1460</v>
      </c>
      <c r="BA7" s="74">
        <f>VLOOKUP($G$7&amp;$F$1,'Input RM sheet'!$A:$BD,BA1,0)</f>
        <v>1433</v>
      </c>
      <c r="BB7" s="74">
        <f>VLOOKUP($G$7&amp;$F$1,'Input RM sheet'!$A:$BD,BB1,0)</f>
        <v>1433</v>
      </c>
      <c r="BC7" s="74">
        <f>VLOOKUP($G$7&amp;$F$1,'Input RM sheet'!$A:$BD,BC1,0)</f>
        <v>1433</v>
      </c>
      <c r="BD7" s="74">
        <f>VLOOKUP($G$7&amp;$F$1,'Input RM sheet'!$A:$BD,BD1,0)</f>
        <v>1433</v>
      </c>
      <c r="BE7" s="74">
        <f>VLOOKUP($G$7&amp;$F$1,'Input RM sheet'!$A:$DD,BE1,0)</f>
        <v>1433</v>
      </c>
      <c r="BF7" s="74">
        <f>VLOOKUP($G$7&amp;$F$1,'Input RM sheet'!$A:$DD,BF1,0)</f>
        <v>1414</v>
      </c>
      <c r="BG7" s="74">
        <f>VLOOKUP($G$7&amp;$F$1,'Input RM sheet'!$A:$DD,BG1,0)</f>
        <v>1414</v>
      </c>
      <c r="BH7" s="74">
        <f>VLOOKUP($G$7&amp;$F$1,'Input RM sheet'!$A:$DD,BH1,0)</f>
        <v>1449</v>
      </c>
      <c r="BI7" s="74">
        <f>VLOOKUP($G$7&amp;$F$1,'Input RM sheet'!$A:$DD,BI1,0)</f>
        <v>1449</v>
      </c>
      <c r="BJ7" s="74">
        <f>VLOOKUP($G$7&amp;$F$1,'Input RM sheet'!$A:$DD,BJ1,0)</f>
        <v>1449</v>
      </c>
      <c r="BK7" s="74">
        <f>VLOOKUP($G$7&amp;$F$1,'Input RM sheet'!$A:$DD,BK1,0)</f>
        <v>1449</v>
      </c>
      <c r="BL7" s="74">
        <f>VLOOKUP($G$7&amp;$F$1,'Input RM sheet'!$A:$DD,BL1,0)</f>
        <v>1449</v>
      </c>
      <c r="BM7" s="74">
        <f>VLOOKUP($G$7&amp;$F$1,'Input RM sheet'!$A:$DD,BM1,0)</f>
        <v>1488</v>
      </c>
      <c r="BN7" s="74">
        <f>VLOOKUP($G$7&amp;$F$1,'Input RM sheet'!$A:$DD,BN1,0)</f>
        <v>1488</v>
      </c>
      <c r="BO7" s="74">
        <f>VLOOKUP($G$7&amp;$F$1,'Input RM sheet'!$A:$DD,BO1,0)</f>
        <v>1488</v>
      </c>
      <c r="BP7" s="74">
        <f>VLOOKUP($G$7&amp;$F$1,'Input RM sheet'!$A:$DD,BP1,0)</f>
        <v>1488</v>
      </c>
      <c r="BQ7" s="74">
        <f>VLOOKUP($G$7&amp;$F$1,'Input RM sheet'!$A:$DD,BQ1,0)</f>
        <v>1488</v>
      </c>
      <c r="BR7" s="74">
        <f>VLOOKUP($G$7&amp;$F$1,'Input RM sheet'!$A:$DD,BR1,0)</f>
        <v>1470</v>
      </c>
      <c r="BS7" s="74">
        <f>VLOOKUP($G$7&amp;$F$1,'Input RM sheet'!$A:$DD,BS1,0)</f>
        <v>1463</v>
      </c>
      <c r="BT7" s="74">
        <f>VLOOKUP($G$7&amp;$F$1,'Input RM sheet'!$A:$DD,BT1,0)</f>
        <v>1466</v>
      </c>
      <c r="BU7" s="74">
        <f>VLOOKUP($G$7&amp;$F$1,'Input RM sheet'!$A:$DD,BU1,0)</f>
        <v>1472</v>
      </c>
      <c r="BV7" s="74">
        <f>VLOOKUP($G$7&amp;$F$1,'Input RM sheet'!$A:$DD,BV1,0)</f>
        <v>1472</v>
      </c>
      <c r="BW7" s="74">
        <f>VLOOKUP($G$7&amp;$F$1,'Input RM sheet'!$A:$DD,BW1,0)</f>
        <v>1472</v>
      </c>
      <c r="BX7" s="74">
        <f>VLOOKUP($G$7&amp;$F$1,'Input RM sheet'!$A:$DD,BX1,0)</f>
        <v>1472</v>
      </c>
      <c r="BY7" s="74">
        <f>VLOOKUP($G$7&amp;$F$1,'Input RM sheet'!$A:$DD,BY1,0)</f>
        <v>1430</v>
      </c>
      <c r="BZ7" s="74">
        <f>VLOOKUP($G$7&amp;$F$1,'Input RM sheet'!$A:$DD,BZ1,0)</f>
        <v>1430</v>
      </c>
      <c r="CA7" s="74">
        <f>VLOOKUP($G$7&amp;$F$1,'Input RM sheet'!$A:$DD,CA1,0)</f>
        <v>1430</v>
      </c>
      <c r="CB7" s="74">
        <f>VLOOKUP($G$7&amp;$F$1,'Input RM sheet'!$A:$DD,CB1,0)</f>
        <v>1430</v>
      </c>
      <c r="CC7" s="74">
        <f>VLOOKUP($G$7&amp;$F$1,'Input RM sheet'!$A:$DD,CC1,0)</f>
        <v>1430</v>
      </c>
      <c r="CD7" s="74">
        <f>VLOOKUP($G$7&amp;$F$1,'Input RM sheet'!$A:$DD,CD1,0)</f>
        <v>1416</v>
      </c>
      <c r="CE7" s="74">
        <f>VLOOKUP($G$7&amp;$F$1,'Input RM sheet'!$A:$DD,CE1,0)</f>
        <v>1416</v>
      </c>
      <c r="CF7" s="74">
        <f>VLOOKUP($G$7&amp;$F$1,'Input RM sheet'!$A:$DD,CF1,0)</f>
        <v>1416</v>
      </c>
      <c r="CG7" s="74">
        <f>VLOOKUP($G$7&amp;$F$1,'Input RM sheet'!$A:$DD,CG1,0)</f>
        <v>1452</v>
      </c>
      <c r="CH7" s="74">
        <f>VLOOKUP($G$7&amp;$F$1,'Input RM sheet'!$A:$DD,CH1,0)</f>
        <v>1452</v>
      </c>
      <c r="CI7" s="74">
        <f>VLOOKUP($G$7&amp;$F$1,'Input RM sheet'!$A:$DD,CI1,0)</f>
        <v>1452</v>
      </c>
      <c r="CJ7" s="74">
        <f>VLOOKUP($G$7&amp;$F$1,'Input RM sheet'!$A:$DD,CJ1,0)</f>
        <v>1452</v>
      </c>
      <c r="CK7" s="74">
        <f>VLOOKUP($G$7&amp;$F$1,'Input RM sheet'!$A:$DD,CK1,0)</f>
        <v>1457</v>
      </c>
      <c r="CL7" s="74">
        <f>VLOOKUP($G$7&amp;$F$1,'Input RM sheet'!$A:$DD,CL1,0)</f>
        <v>1457</v>
      </c>
      <c r="CM7" s="74">
        <f>VLOOKUP($G$7&amp;$F$1,'Input RM sheet'!$A:$DD,CM1,0)</f>
        <v>1465</v>
      </c>
      <c r="CN7" s="74">
        <f>VLOOKUP($G$7&amp;$F$1,'Input RM sheet'!$A:$DD,CN1,0)</f>
        <v>1465</v>
      </c>
      <c r="CO7" s="74">
        <f>VLOOKUP($G$7&amp;$F$1,'Input RM sheet'!$A:$DD,CO1,0)</f>
        <v>1465</v>
      </c>
      <c r="CP7" s="74">
        <f>VLOOKUP($G$7&amp;$F$1,'Input RM sheet'!$A:$DD,CP1,0)</f>
        <v>1465</v>
      </c>
      <c r="CQ7" s="74">
        <f>VLOOKUP($G$7&amp;$F$1,'Input RM sheet'!$A:$DD,CQ1,0)</f>
        <v>1470</v>
      </c>
      <c r="CR7" s="74">
        <f>VLOOKUP($G$7&amp;$F$1,'Input RM sheet'!$A:$ZZ,CR1,0)</f>
        <v>1470</v>
      </c>
      <c r="CS7" s="74">
        <f>VLOOKUP($G$7&amp;$F$1,'Input RM sheet'!$A:$ZZ,CS1,0)</f>
        <v>1470</v>
      </c>
      <c r="CT7" s="74">
        <f>VLOOKUP($G$7&amp;$F$1,'Input RM sheet'!$A:$ZZ,CT1,0)</f>
        <v>1438</v>
      </c>
      <c r="CU7" s="74">
        <f>VLOOKUP($G$7&amp;$F$1,'Input RM sheet'!$A:$ZZ,CU1,0)</f>
        <v>1438</v>
      </c>
      <c r="CV7" s="74">
        <f>VLOOKUP($G$7&amp;$F$1,'Input RM sheet'!$A:$ZZ,CV1,0)</f>
        <v>1438</v>
      </c>
      <c r="CW7" s="74">
        <f>VLOOKUP($G$7&amp;$F$1,'Input RM sheet'!$A:$ZZ,CW1,0)</f>
        <v>1438</v>
      </c>
      <c r="CX7" s="74">
        <f>VLOOKUP($G$7&amp;$F$1,'Input RM sheet'!$A:$ZZ,CX1,0)</f>
        <v>1450</v>
      </c>
      <c r="CY7" s="74">
        <f>VLOOKUP($G$7&amp;$F$1,'Input RM sheet'!$A:$ZZ,CY1,0)</f>
        <v>1450</v>
      </c>
      <c r="CZ7" s="74">
        <f>VLOOKUP($G$7&amp;$F$1,'Input RM sheet'!$A:$ZZ,CZ1,0)</f>
        <v>1450</v>
      </c>
      <c r="DA7" s="74">
        <f>VLOOKUP($G$7&amp;$F$1,'Input RM sheet'!$A:$ZZ,DA1,0)</f>
        <v>1450</v>
      </c>
      <c r="DB7" s="74">
        <f>VLOOKUP($G$7&amp;$F$1,'Input RM sheet'!$A:$ZZ,DB1,0)</f>
        <v>1450</v>
      </c>
      <c r="DC7" s="74">
        <f>VLOOKUP($G$7&amp;$F$1,'Input RM sheet'!$A:$ZZ,DC1,0)</f>
        <v>1489</v>
      </c>
      <c r="DD7" s="74">
        <f>VLOOKUP($G$7&amp;$F$1,'Input RM sheet'!$A:$ZZ,DD1,0)</f>
        <v>1489</v>
      </c>
      <c r="DE7" s="74">
        <f>VLOOKUP($G$7&amp;$F$1,'Input RM sheet'!$A:$ZZ,DE1,0)</f>
        <v>1489</v>
      </c>
      <c r="DF7" s="74">
        <f>VLOOKUP($G$7&amp;$F$1,'Input RM sheet'!$A:$ZZ,DF1,0)</f>
        <v>1489</v>
      </c>
      <c r="DG7" s="74">
        <f>VLOOKUP($G$7&amp;$F$1,'Input RM sheet'!$A:$ZZ,DG1,0)</f>
        <v>1480</v>
      </c>
      <c r="DH7" s="74">
        <f>VLOOKUP($G$7&amp;$F$1,'Input RM sheet'!$A:$ZZ,DH1,0)</f>
        <v>1480</v>
      </c>
      <c r="DI7" s="74">
        <f>VLOOKUP($G$7&amp;$F$1,'Input RM sheet'!$A:$ZZ,DI1,0)</f>
        <v>1480</v>
      </c>
      <c r="DJ7" s="74">
        <f>VLOOKUP($G$7&amp;$F$1,'Input RM sheet'!$A:$ZZ,DJ1,0)</f>
        <v>1480</v>
      </c>
      <c r="DK7" s="74">
        <f>VLOOKUP($G$7&amp;$F$1,'Input RM sheet'!$A:$ZZ,DK1,0)</f>
        <v>1424</v>
      </c>
      <c r="DL7" s="74">
        <f>VLOOKUP($G$7&amp;$F$1,'Input RM sheet'!$A:$ZZ,DL1,0)</f>
        <v>1437</v>
      </c>
      <c r="DM7" s="74">
        <f>VLOOKUP($G$7&amp;$F$1,'Input RM sheet'!$A:$ZZ,DM1,0)</f>
        <v>1416</v>
      </c>
      <c r="DN7" s="74">
        <f>VLOOKUP($G$7&amp;$F$1,'Input RM sheet'!$A:$ZZ,DN1,0)</f>
        <v>1413</v>
      </c>
      <c r="DO7" s="74">
        <f>VLOOKUP($G$7&amp;$F$1,'Input RM sheet'!$A:$ZZ,DO1,0)</f>
        <v>1413</v>
      </c>
      <c r="DP7" s="74">
        <f>VLOOKUP($G$7&amp;$F$1,'Input RM sheet'!$A:$ZZ,DP1,0)</f>
        <v>1413</v>
      </c>
      <c r="DQ7" s="74">
        <f>VLOOKUP($G$7&amp;$F$1,'Input RM sheet'!$A:$ZZ,DQ1,0)</f>
        <v>1413</v>
      </c>
      <c r="DR7" s="74">
        <f>VLOOKUP($G$7&amp;$F$1,'Input RM sheet'!$A:$ZZ,DR1,0)</f>
        <v>1395</v>
      </c>
      <c r="DS7" s="74">
        <f>VLOOKUP($G$7&amp;$F$1,'Input RM sheet'!$A:$ZZ,DS1,0)</f>
        <v>0</v>
      </c>
      <c r="DT7" s="74">
        <f>VLOOKUP($G$7&amp;$F$1,'Input RM sheet'!$A:$ZZ,DT1,0)</f>
        <v>0</v>
      </c>
      <c r="DU7" s="74">
        <f>VLOOKUP($G$7&amp;$F$1,'Input RM sheet'!$A:$ZZ,DU1,0)</f>
        <v>0</v>
      </c>
      <c r="DV7" s="74">
        <f>VLOOKUP($G$7&amp;$F$1,'Input RM sheet'!$A:$ZZ,DV1,0)</f>
        <v>0</v>
      </c>
    </row>
    <row r="8" spans="1:152">
      <c r="A8" s="59" t="s">
        <v>395</v>
      </c>
      <c r="B8" s="59"/>
      <c r="C8" s="59" t="s">
        <v>379</v>
      </c>
      <c r="D8" s="59" t="s">
        <v>380</v>
      </c>
      <c r="E8" s="59" t="s">
        <v>381</v>
      </c>
      <c r="F8" s="59" t="s">
        <v>396</v>
      </c>
      <c r="G8" s="60" t="s">
        <v>399</v>
      </c>
      <c r="H8" s="116"/>
      <c r="I8" s="116"/>
      <c r="J8" s="116"/>
      <c r="K8" s="116"/>
      <c r="L8" s="116"/>
      <c r="M8" s="116"/>
      <c r="N8" s="116"/>
      <c r="O8" s="116"/>
      <c r="P8" s="116"/>
      <c r="Q8" s="116"/>
      <c r="R8" s="116"/>
      <c r="S8" s="116"/>
    </row>
    <row r="9" spans="1:152">
      <c r="A9" s="377" t="s">
        <v>397</v>
      </c>
      <c r="B9" s="60" t="s">
        <v>545</v>
      </c>
      <c r="C9" s="60">
        <v>1</v>
      </c>
      <c r="D9" s="74">
        <v>45.082999999999998</v>
      </c>
      <c r="E9" s="60">
        <f>D9*C9</f>
        <v>45.082999999999998</v>
      </c>
      <c r="F9" s="65">
        <f>E9/$E$2</f>
        <v>0.51150468583357911</v>
      </c>
      <c r="H9" s="74">
        <f>$F$9*H6</f>
        <v>0.19312696280623476</v>
      </c>
      <c r="I9" s="74">
        <f t="shared" ref="I9:AT9" si="0">$F$9*I6</f>
        <v>0.2148995845603022</v>
      </c>
      <c r="J9" s="74">
        <f t="shared" si="0"/>
        <v>0.19733272288292114</v>
      </c>
      <c r="K9" s="74">
        <f t="shared" si="0"/>
        <v>0.16628350362005093</v>
      </c>
      <c r="L9" s="74">
        <f t="shared" si="0"/>
        <v>0.15487544380081297</v>
      </c>
      <c r="M9" s="74">
        <f t="shared" si="0"/>
        <v>0.14609238283302908</v>
      </c>
      <c r="N9" s="74">
        <f t="shared" si="0"/>
        <v>0.14924383845750697</v>
      </c>
      <c r="O9" s="74">
        <f t="shared" si="0"/>
        <v>0.16206647262070387</v>
      </c>
      <c r="P9" s="74">
        <f t="shared" si="0"/>
        <v>0.16704780482901457</v>
      </c>
      <c r="Q9" s="74">
        <f t="shared" si="0"/>
        <v>0.17003402772707044</v>
      </c>
      <c r="R9" s="74">
        <f t="shared" si="0"/>
        <v>0.18014219468713794</v>
      </c>
      <c r="S9" s="74">
        <f t="shared" si="0"/>
        <v>0.19604959615471229</v>
      </c>
      <c r="T9" s="74">
        <f t="shared" si="0"/>
        <v>0.22279397346373245</v>
      </c>
      <c r="U9" s="74">
        <f t="shared" si="0"/>
        <v>0.23077211086809671</v>
      </c>
      <c r="V9" s="74">
        <f t="shared" si="0"/>
        <v>0.22713690244494211</v>
      </c>
      <c r="W9" s="74">
        <f t="shared" si="0"/>
        <v>0.22657326620648321</v>
      </c>
      <c r="X9" s="74">
        <f t="shared" si="0"/>
        <v>0.24093355540725497</v>
      </c>
      <c r="Y9" s="74">
        <f t="shared" si="0"/>
        <v>0.25237765145752522</v>
      </c>
      <c r="Z9" s="74">
        <f t="shared" si="0"/>
        <v>0.27096418507588826</v>
      </c>
      <c r="AA9" s="74">
        <f t="shared" si="0"/>
        <v>0.27517411820487392</v>
      </c>
      <c r="AB9" s="74">
        <f t="shared" si="0"/>
        <v>0.28625331214187805</v>
      </c>
      <c r="AC9" s="74">
        <f t="shared" si="0"/>
        <v>0.3227355323285121</v>
      </c>
      <c r="AD9" s="74">
        <f t="shared" si="0"/>
        <v>0.3011045730906225</v>
      </c>
      <c r="AE9" s="74">
        <f t="shared" si="0"/>
        <v>0.28689716557915868</v>
      </c>
      <c r="AF9" s="74">
        <f t="shared" si="0"/>
        <v>0.31658426265668438</v>
      </c>
      <c r="AG9" s="74">
        <f t="shared" si="0"/>
        <v>0.37449291648548827</v>
      </c>
      <c r="AH9" s="74">
        <f t="shared" si="0"/>
        <v>0.41263846890995626</v>
      </c>
      <c r="AI9" s="74">
        <f t="shared" si="0"/>
        <v>0.38505647302094476</v>
      </c>
      <c r="AJ9" s="74">
        <f t="shared" si="0"/>
        <v>0.3441966751077899</v>
      </c>
      <c r="AK9" s="74">
        <f t="shared" si="0"/>
        <v>0.33935893328161493</v>
      </c>
      <c r="AL9" s="74">
        <f t="shared" si="0"/>
        <v>0.32350719894255259</v>
      </c>
      <c r="AM9" s="74">
        <f t="shared" si="0"/>
        <v>0.32400310907180457</v>
      </c>
      <c r="AN9" s="74">
        <f t="shared" si="0"/>
        <v>0.31811302966245353</v>
      </c>
      <c r="AO9" s="74">
        <f t="shared" si="0"/>
        <v>0.32541866076868364</v>
      </c>
      <c r="AP9" s="74">
        <f t="shared" si="0"/>
        <v>0.33787031432249115</v>
      </c>
      <c r="AQ9" s="74">
        <f t="shared" si="0"/>
        <v>0.32326578053511951</v>
      </c>
      <c r="AR9" s="74">
        <f t="shared" si="0"/>
        <v>0.31066675425045359</v>
      </c>
      <c r="AS9" s="74">
        <f t="shared" si="0"/>
        <v>0.30492990540884668</v>
      </c>
      <c r="AT9" s="74">
        <f t="shared" si="0"/>
        <v>0.30568254928820426</v>
      </c>
      <c r="AU9" s="65">
        <f t="shared" ref="AU9:AZ9" si="1">$F$9*AU6</f>
        <v>0.26607466296567084</v>
      </c>
      <c r="AV9" s="65">
        <f t="shared" si="1"/>
        <v>0.24899635502364798</v>
      </c>
      <c r="AW9" s="65">
        <f t="shared" si="1"/>
        <v>0.22836089685802632</v>
      </c>
      <c r="AX9" s="65">
        <f t="shared" si="1"/>
        <v>0.22844772702117294</v>
      </c>
      <c r="AY9" s="65">
        <f t="shared" si="1"/>
        <v>0.22519024776965252</v>
      </c>
      <c r="AZ9" s="65">
        <f t="shared" si="1"/>
        <v>0.22557037463622387</v>
      </c>
      <c r="BA9" s="65">
        <f t="shared" ref="BA9:BM9" si="2">$F$9*BA6</f>
        <v>0.22038150537055645</v>
      </c>
      <c r="BB9" s="65">
        <f t="shared" si="2"/>
        <v>0.21959039752525319</v>
      </c>
      <c r="BC9" s="65">
        <f t="shared" si="2"/>
        <v>0.22628482484163345</v>
      </c>
      <c r="BD9" s="65">
        <f t="shared" si="2"/>
        <v>0.22628482484163345</v>
      </c>
      <c r="BE9" s="65">
        <f t="shared" si="2"/>
        <v>0.22710945906104429</v>
      </c>
      <c r="BF9" s="65">
        <f t="shared" si="2"/>
        <v>0.22655837899870473</v>
      </c>
      <c r="BG9" s="65">
        <f t="shared" si="2"/>
        <v>0.22205560286532053</v>
      </c>
      <c r="BH9" s="65">
        <f t="shared" si="2"/>
        <v>0.23399356167337171</v>
      </c>
      <c r="BI9" s="65">
        <f t="shared" si="2"/>
        <v>0.2335415984782713</v>
      </c>
      <c r="BJ9" s="65">
        <f t="shared" si="2"/>
        <v>0.25214873189211068</v>
      </c>
      <c r="BK9" s="65">
        <f t="shared" si="2"/>
        <v>0.25210109698979427</v>
      </c>
      <c r="BL9" s="65">
        <f t="shared" si="2"/>
        <v>0.24766404796433172</v>
      </c>
      <c r="BM9" s="65">
        <f t="shared" si="2"/>
        <v>0.2544031797972004</v>
      </c>
      <c r="BN9" s="65">
        <f t="shared" ref="BN9:BU9" si="3">$F$9*BN6</f>
        <v>0.25446779950488274</v>
      </c>
      <c r="BO9" s="65">
        <f t="shared" si="3"/>
        <v>0.249063492431471</v>
      </c>
      <c r="BP9" s="65">
        <f t="shared" si="3"/>
        <v>0.249063492431471</v>
      </c>
      <c r="BQ9" s="65">
        <f t="shared" si="3"/>
        <v>0.24883743195152028</v>
      </c>
      <c r="BR9" s="65">
        <f t="shared" si="3"/>
        <v>0.24872468632006281</v>
      </c>
      <c r="BS9" s="65">
        <f t="shared" si="3"/>
        <v>0.24448364192795027</v>
      </c>
      <c r="BT9" s="65">
        <f t="shared" si="3"/>
        <v>0.24697904444963659</v>
      </c>
      <c r="BU9" s="65">
        <f t="shared" si="3"/>
        <v>0.24685883363612343</v>
      </c>
      <c r="BV9" s="65">
        <f t="shared" ref="BV9:CK9" si="4">$F$9*BV6</f>
        <v>0.24455648675418701</v>
      </c>
      <c r="BW9" s="65">
        <f t="shared" si="4"/>
        <v>0.25034438013738008</v>
      </c>
      <c r="BX9" s="65">
        <f t="shared" si="4"/>
        <v>0.2501910394816973</v>
      </c>
      <c r="BY9" s="65">
        <f t="shared" si="4"/>
        <v>0.25644144571634886</v>
      </c>
      <c r="BZ9" s="65">
        <f t="shared" si="4"/>
        <v>0.25653550688720067</v>
      </c>
      <c r="CA9" s="65">
        <f t="shared" si="4"/>
        <v>0.25651982058263706</v>
      </c>
      <c r="CB9" s="65">
        <f t="shared" si="4"/>
        <v>0.25669257807439316</v>
      </c>
      <c r="CC9" s="65">
        <f t="shared" si="4"/>
        <v>0.25669257807439316</v>
      </c>
      <c r="CD9" s="65">
        <f t="shared" si="4"/>
        <v>0.25000691177293338</v>
      </c>
      <c r="CE9" s="65">
        <f t="shared" si="4"/>
        <v>0.24991724278859193</v>
      </c>
      <c r="CF9" s="65">
        <f t="shared" si="4"/>
        <v>0.25190143345568183</v>
      </c>
      <c r="CG9" s="65">
        <f t="shared" si="4"/>
        <v>0.25170991529431502</v>
      </c>
      <c r="CH9" s="65">
        <f t="shared" si="4"/>
        <v>0.24834004520704575</v>
      </c>
      <c r="CI9" s="65">
        <f t="shared" si="4"/>
        <v>0.24805999943515653</v>
      </c>
      <c r="CJ9" s="65">
        <f t="shared" si="4"/>
        <v>0.24775195596122246</v>
      </c>
      <c r="CK9" s="65">
        <f t="shared" si="4"/>
        <v>0.25265761040726226</v>
      </c>
      <c r="CL9" s="65">
        <f t="shared" ref="CL9:CR9" si="5">$F$9*CL6</f>
        <v>0.25162689891722601</v>
      </c>
      <c r="CM9" s="65">
        <f t="shared" si="5"/>
        <v>0.25185567098157668</v>
      </c>
      <c r="CN9" s="65">
        <f t="shared" si="5"/>
        <v>0.24490931920947495</v>
      </c>
      <c r="CO9" s="65">
        <f t="shared" si="5"/>
        <v>0.24490931920947495</v>
      </c>
      <c r="CP9" s="65">
        <f t="shared" si="5"/>
        <v>0.24490931920947495</v>
      </c>
      <c r="CQ9" s="65">
        <f t="shared" si="5"/>
        <v>0.24413428222548553</v>
      </c>
      <c r="CR9" s="65">
        <f t="shared" si="5"/>
        <v>0.24855645765445325</v>
      </c>
      <c r="CS9" s="65">
        <f t="shared" ref="CS9:DK9" si="6">$F$9*CS6</f>
        <v>0.2484068057128159</v>
      </c>
      <c r="CT9" s="65">
        <f t="shared" si="6"/>
        <v>0.2531069387198388</v>
      </c>
      <c r="CU9" s="65">
        <f t="shared" si="6"/>
        <v>0.25307590724689466</v>
      </c>
      <c r="CV9" s="65">
        <f t="shared" si="6"/>
        <v>0.25113432570834221</v>
      </c>
      <c r="CW9" s="65">
        <f t="shared" si="6"/>
        <v>0.24859673869203647</v>
      </c>
      <c r="CX9" s="65">
        <f t="shared" si="6"/>
        <v>0.24855130076422693</v>
      </c>
      <c r="CY9" s="65">
        <f t="shared" si="6"/>
        <v>0.25281688519996615</v>
      </c>
      <c r="CZ9" s="65">
        <f t="shared" si="6"/>
        <v>0.25280127807716668</v>
      </c>
      <c r="DA9" s="65">
        <f t="shared" si="6"/>
        <v>0.25289497662012361</v>
      </c>
      <c r="DB9" s="65">
        <f t="shared" si="6"/>
        <v>0.25291060607470045</v>
      </c>
      <c r="DC9" s="65">
        <f t="shared" si="6"/>
        <v>0.24245745208494396</v>
      </c>
      <c r="DD9" s="65">
        <f t="shared" si="6"/>
        <v>0.24245745208494396</v>
      </c>
      <c r="DE9" s="65">
        <f t="shared" si="6"/>
        <v>0.23607888314932349</v>
      </c>
      <c r="DF9" s="65">
        <f t="shared" si="6"/>
        <v>0.23596958417636282</v>
      </c>
      <c r="DG9" s="65">
        <f t="shared" si="6"/>
        <v>0.23554801776430839</v>
      </c>
      <c r="DH9" s="65">
        <f t="shared" si="6"/>
        <v>0.23770831219961264</v>
      </c>
      <c r="DI9" s="65">
        <f t="shared" si="6"/>
        <v>0.24134352062276723</v>
      </c>
      <c r="DJ9" s="65">
        <f t="shared" si="6"/>
        <v>0.24132973270292613</v>
      </c>
      <c r="DK9" s="65">
        <f t="shared" si="6"/>
        <v>0.24127461380511153</v>
      </c>
      <c r="DL9" s="65">
        <f t="shared" ref="DL9:DV9" si="7">$F$9*DL6</f>
        <v>0.24089024439163101</v>
      </c>
      <c r="DM9" s="65">
        <f t="shared" si="7"/>
        <v>0.23905082955084003</v>
      </c>
      <c r="DN9" s="65">
        <f t="shared" si="7"/>
        <v>0.23854424769368271</v>
      </c>
      <c r="DO9" s="65">
        <f t="shared" si="7"/>
        <v>0.24301786525521316</v>
      </c>
      <c r="DP9" s="65">
        <f t="shared" si="7"/>
        <v>0.24167725177427238</v>
      </c>
      <c r="DQ9" s="65">
        <f t="shared" si="7"/>
        <v>0.24154825526411086</v>
      </c>
      <c r="DR9" s="65">
        <f t="shared" si="7"/>
        <v>0.24753874464541561</v>
      </c>
      <c r="DS9" s="65">
        <f t="shared" si="7"/>
        <v>0</v>
      </c>
      <c r="DT9" s="65">
        <f t="shared" si="7"/>
        <v>0</v>
      </c>
      <c r="DU9" s="65">
        <f t="shared" si="7"/>
        <v>0</v>
      </c>
      <c r="DV9" s="65">
        <f t="shared" si="7"/>
        <v>0</v>
      </c>
    </row>
    <row r="10" spans="1:152">
      <c r="A10" s="378"/>
      <c r="B10" s="60" t="s">
        <v>548</v>
      </c>
      <c r="C10" s="60">
        <v>1</v>
      </c>
      <c r="D10" s="64">
        <v>44.05</v>
      </c>
      <c r="E10" s="60">
        <f>D10*C10</f>
        <v>44.05</v>
      </c>
      <c r="F10" s="65">
        <f>E10/$E$2</f>
        <v>0.49978442896367054</v>
      </c>
      <c r="H10" s="74">
        <f>$F$10*(H7/1000)</f>
        <v>0.65821609294515404</v>
      </c>
      <c r="I10" s="74">
        <f t="shared" ref="I10:AZ10" si="8">$F$10*(I7/1000)</f>
        <v>0.64722083550795328</v>
      </c>
      <c r="J10" s="74">
        <f t="shared" si="8"/>
        <v>0.63422644035489784</v>
      </c>
      <c r="K10" s="74">
        <f t="shared" si="8"/>
        <v>0.53576890784905484</v>
      </c>
      <c r="L10" s="74">
        <f t="shared" si="8"/>
        <v>0.49487154802695765</v>
      </c>
      <c r="M10" s="74">
        <f t="shared" si="8"/>
        <v>0.53676847670698213</v>
      </c>
      <c r="N10" s="74">
        <f t="shared" si="8"/>
        <v>0.58474778188749454</v>
      </c>
      <c r="O10" s="74">
        <f t="shared" si="8"/>
        <v>0.61373527876738743</v>
      </c>
      <c r="P10" s="74">
        <f t="shared" si="8"/>
        <v>0.61123635662256914</v>
      </c>
      <c r="Q10" s="74">
        <f t="shared" si="8"/>
        <v>0.60573872790396865</v>
      </c>
      <c r="R10" s="74">
        <f t="shared" si="8"/>
        <v>0.60973700333567804</v>
      </c>
      <c r="S10" s="74">
        <f t="shared" si="8"/>
        <v>0.63622557807075253</v>
      </c>
      <c r="T10" s="74">
        <f t="shared" si="8"/>
        <v>0.65571717080033576</v>
      </c>
      <c r="U10" s="74">
        <f t="shared" si="8"/>
        <v>0.68520445210919234</v>
      </c>
      <c r="V10" s="74">
        <f t="shared" si="8"/>
        <v>0.71019367355737584</v>
      </c>
      <c r="W10" s="74">
        <f t="shared" si="8"/>
        <v>0.73268397286074094</v>
      </c>
      <c r="X10" s="74">
        <f t="shared" si="8"/>
        <v>0.74667793687172379</v>
      </c>
      <c r="Y10" s="74">
        <f t="shared" si="8"/>
        <v>0.75417470330617875</v>
      </c>
      <c r="Z10" s="74">
        <f t="shared" si="8"/>
        <v>0.76017211645374283</v>
      </c>
      <c r="AA10" s="74">
        <f t="shared" si="8"/>
        <v>0.78116306247021705</v>
      </c>
      <c r="AB10" s="74">
        <f t="shared" si="8"/>
        <v>0.77766457146747137</v>
      </c>
      <c r="AC10" s="74">
        <f t="shared" si="8"/>
        <v>0.77766457146747137</v>
      </c>
      <c r="AD10" s="74">
        <f t="shared" si="8"/>
        <v>0.80715185277632795</v>
      </c>
      <c r="AE10" s="74">
        <f t="shared" si="8"/>
        <v>0.79565681091016349</v>
      </c>
      <c r="AF10" s="74">
        <f t="shared" si="8"/>
        <v>0.79665637976809089</v>
      </c>
      <c r="AG10" s="74">
        <f t="shared" si="8"/>
        <v>0.82864258322176576</v>
      </c>
      <c r="AH10" s="74">
        <f t="shared" si="8"/>
        <v>0.8461350382354943</v>
      </c>
      <c r="AI10" s="74">
        <f t="shared" si="8"/>
        <v>0.95758696589439274</v>
      </c>
      <c r="AJ10" s="74">
        <f t="shared" si="8"/>
        <v>0.90710873856906205</v>
      </c>
      <c r="AK10" s="74">
        <f t="shared" si="8"/>
        <v>0.90610916971113464</v>
      </c>
      <c r="AL10" s="74">
        <f t="shared" si="8"/>
        <v>0.83364042751140244</v>
      </c>
      <c r="AM10" s="74">
        <f t="shared" si="8"/>
        <v>0.79915530191290918</v>
      </c>
      <c r="AN10" s="74">
        <f t="shared" si="8"/>
        <v>0.73568267943452303</v>
      </c>
      <c r="AO10" s="74">
        <f t="shared" si="8"/>
        <v>0.71119324241530324</v>
      </c>
      <c r="AP10" s="74">
        <f t="shared" si="8"/>
        <v>0.75317513444825146</v>
      </c>
      <c r="AQ10" s="74">
        <f t="shared" si="8"/>
        <v>0.77066758946198</v>
      </c>
      <c r="AR10" s="74">
        <f t="shared" si="8"/>
        <v>0.7436792302979417</v>
      </c>
      <c r="AS10" s="74">
        <f t="shared" si="8"/>
        <v>0.77416608046472557</v>
      </c>
      <c r="AT10" s="74">
        <f t="shared" si="8"/>
        <v>0.78666069118881743</v>
      </c>
      <c r="AU10" s="74">
        <f t="shared" si="8"/>
        <v>0.78016349361228965</v>
      </c>
      <c r="AV10" s="74">
        <f t="shared" si="8"/>
        <v>0.7681686673171616</v>
      </c>
      <c r="AW10" s="74">
        <f t="shared" si="8"/>
        <v>0.72968526628695896</v>
      </c>
      <c r="AX10" s="74">
        <f t="shared" si="8"/>
        <v>0.72968526628695896</v>
      </c>
      <c r="AY10" s="74">
        <f t="shared" si="8"/>
        <v>0.72968526628695896</v>
      </c>
      <c r="AZ10" s="74">
        <f t="shared" si="8"/>
        <v>0.72968526628695896</v>
      </c>
      <c r="BA10" s="74">
        <f t="shared" ref="BA10:BM10" si="9">$F$10*(BA7/1000)</f>
        <v>0.71619108670493992</v>
      </c>
      <c r="BB10" s="74">
        <f t="shared" si="9"/>
        <v>0.71619108670493992</v>
      </c>
      <c r="BC10" s="74">
        <f t="shared" si="9"/>
        <v>0.71619108670493992</v>
      </c>
      <c r="BD10" s="74">
        <f t="shared" si="9"/>
        <v>0.71619108670493992</v>
      </c>
      <c r="BE10" s="74">
        <f t="shared" si="9"/>
        <v>0.71619108670493992</v>
      </c>
      <c r="BF10" s="74">
        <f t="shared" si="9"/>
        <v>0.70669518255463015</v>
      </c>
      <c r="BG10" s="74">
        <f t="shared" si="9"/>
        <v>0.70669518255463015</v>
      </c>
      <c r="BH10" s="74">
        <f t="shared" si="9"/>
        <v>0.72418763756835869</v>
      </c>
      <c r="BI10" s="74">
        <f t="shared" si="9"/>
        <v>0.72418763756835869</v>
      </c>
      <c r="BJ10" s="74">
        <f t="shared" si="9"/>
        <v>0.72418763756835869</v>
      </c>
      <c r="BK10" s="74">
        <f t="shared" si="9"/>
        <v>0.72418763756835869</v>
      </c>
      <c r="BL10" s="74">
        <f t="shared" si="9"/>
        <v>0.72418763756835869</v>
      </c>
      <c r="BM10" s="74">
        <f t="shared" si="9"/>
        <v>0.7436792302979417</v>
      </c>
      <c r="BN10" s="74">
        <f t="shared" ref="BN10:BU10" si="10">$F$10*(BN7/1000)</f>
        <v>0.7436792302979417</v>
      </c>
      <c r="BO10" s="74">
        <f t="shared" si="10"/>
        <v>0.7436792302979417</v>
      </c>
      <c r="BP10" s="74">
        <f t="shared" si="10"/>
        <v>0.7436792302979417</v>
      </c>
      <c r="BQ10" s="74">
        <f t="shared" si="10"/>
        <v>0.7436792302979417</v>
      </c>
      <c r="BR10" s="74">
        <f t="shared" si="10"/>
        <v>0.73468311057659563</v>
      </c>
      <c r="BS10" s="74">
        <f t="shared" si="10"/>
        <v>0.73118461957385006</v>
      </c>
      <c r="BT10" s="74">
        <f t="shared" si="10"/>
        <v>0.73268397286074094</v>
      </c>
      <c r="BU10" s="74">
        <f t="shared" si="10"/>
        <v>0.73568267943452303</v>
      </c>
      <c r="BV10" s="74">
        <f t="shared" ref="BV10:CK10" si="11">$F$10*(BV7/1000)</f>
        <v>0.73568267943452303</v>
      </c>
      <c r="BW10" s="74">
        <f t="shared" si="11"/>
        <v>0.73568267943452303</v>
      </c>
      <c r="BX10" s="74">
        <f t="shared" si="11"/>
        <v>0.73568267943452303</v>
      </c>
      <c r="BY10" s="74">
        <f t="shared" si="11"/>
        <v>0.71469173341804881</v>
      </c>
      <c r="BZ10" s="74">
        <f t="shared" si="11"/>
        <v>0.71469173341804881</v>
      </c>
      <c r="CA10" s="74">
        <f t="shared" si="11"/>
        <v>0.71469173341804881</v>
      </c>
      <c r="CB10" s="74">
        <f t="shared" si="11"/>
        <v>0.71469173341804881</v>
      </c>
      <c r="CC10" s="74">
        <f t="shared" si="11"/>
        <v>0.71469173341804881</v>
      </c>
      <c r="CD10" s="74">
        <f t="shared" si="11"/>
        <v>0.70769475141255744</v>
      </c>
      <c r="CE10" s="74">
        <f t="shared" si="11"/>
        <v>0.70769475141255744</v>
      </c>
      <c r="CF10" s="74">
        <f t="shared" si="11"/>
        <v>0.70769475141255744</v>
      </c>
      <c r="CG10" s="74">
        <f t="shared" si="11"/>
        <v>0.72568699085524957</v>
      </c>
      <c r="CH10" s="74">
        <f t="shared" si="11"/>
        <v>0.72568699085524957</v>
      </c>
      <c r="CI10" s="74">
        <f t="shared" si="11"/>
        <v>0.72568699085524957</v>
      </c>
      <c r="CJ10" s="74">
        <f t="shared" si="11"/>
        <v>0.72568699085524957</v>
      </c>
      <c r="CK10" s="74">
        <f t="shared" si="11"/>
        <v>0.72818591300006796</v>
      </c>
      <c r="CL10" s="74">
        <f t="shared" ref="CL10:CR10" si="12">$F$10*(CL7/1000)</f>
        <v>0.72818591300006796</v>
      </c>
      <c r="CM10" s="74">
        <f t="shared" si="12"/>
        <v>0.73218418843177735</v>
      </c>
      <c r="CN10" s="74">
        <f t="shared" si="12"/>
        <v>0.73218418843177735</v>
      </c>
      <c r="CO10" s="74">
        <f t="shared" si="12"/>
        <v>0.73218418843177735</v>
      </c>
      <c r="CP10" s="74">
        <f t="shared" si="12"/>
        <v>0.73218418843177735</v>
      </c>
      <c r="CQ10" s="74">
        <f t="shared" si="12"/>
        <v>0.73468311057659563</v>
      </c>
      <c r="CR10" s="74">
        <f t="shared" si="12"/>
        <v>0.73468311057659563</v>
      </c>
      <c r="CS10" s="74">
        <f t="shared" ref="CS10:DK10" si="13">$F$10*(CS7/1000)</f>
        <v>0.73468311057659563</v>
      </c>
      <c r="CT10" s="74">
        <f t="shared" si="13"/>
        <v>0.7186900088497582</v>
      </c>
      <c r="CU10" s="74">
        <f t="shared" si="13"/>
        <v>0.7186900088497582</v>
      </c>
      <c r="CV10" s="74">
        <f t="shared" si="13"/>
        <v>0.7186900088497582</v>
      </c>
      <c r="CW10" s="74">
        <f t="shared" si="13"/>
        <v>0.7186900088497582</v>
      </c>
      <c r="CX10" s="74">
        <f t="shared" si="13"/>
        <v>0.72468742199732228</v>
      </c>
      <c r="CY10" s="74">
        <f t="shared" si="13"/>
        <v>0.72468742199732228</v>
      </c>
      <c r="CZ10" s="74">
        <f t="shared" si="13"/>
        <v>0.72468742199732228</v>
      </c>
      <c r="DA10" s="74">
        <f t="shared" si="13"/>
        <v>0.72468742199732228</v>
      </c>
      <c r="DB10" s="74">
        <f t="shared" si="13"/>
        <v>0.72468742199732228</v>
      </c>
      <c r="DC10" s="74">
        <f t="shared" si="13"/>
        <v>0.74417901472690551</v>
      </c>
      <c r="DD10" s="74">
        <f t="shared" si="13"/>
        <v>0.74417901472690551</v>
      </c>
      <c r="DE10" s="74">
        <f t="shared" si="13"/>
        <v>0.74417901472690551</v>
      </c>
      <c r="DF10" s="74">
        <f t="shared" si="13"/>
        <v>0.74417901472690551</v>
      </c>
      <c r="DG10" s="74">
        <f t="shared" si="13"/>
        <v>0.73968095486623242</v>
      </c>
      <c r="DH10" s="74">
        <f t="shared" si="13"/>
        <v>0.73968095486623242</v>
      </c>
      <c r="DI10" s="74">
        <f t="shared" si="13"/>
        <v>0.73968095486623242</v>
      </c>
      <c r="DJ10" s="74">
        <f t="shared" si="13"/>
        <v>0.73968095486623242</v>
      </c>
      <c r="DK10" s="74">
        <f t="shared" si="13"/>
        <v>0.71169302684426683</v>
      </c>
      <c r="DL10" s="74">
        <f t="shared" ref="DL10:DV10" si="14">$F$10*(DL7/1000)</f>
        <v>0.71819022442079461</v>
      </c>
      <c r="DM10" s="74">
        <f t="shared" si="14"/>
        <v>0.70769475141255744</v>
      </c>
      <c r="DN10" s="74">
        <f t="shared" si="14"/>
        <v>0.70619539812566645</v>
      </c>
      <c r="DO10" s="74">
        <f t="shared" si="14"/>
        <v>0.70619539812566645</v>
      </c>
      <c r="DP10" s="74">
        <f t="shared" si="14"/>
        <v>0.70619539812566645</v>
      </c>
      <c r="DQ10" s="74">
        <f t="shared" si="14"/>
        <v>0.70619539812566645</v>
      </c>
      <c r="DR10" s="74">
        <f t="shared" si="14"/>
        <v>0.69719927840432039</v>
      </c>
      <c r="DS10" s="74">
        <f t="shared" si="14"/>
        <v>0</v>
      </c>
      <c r="DT10" s="74">
        <f t="shared" si="14"/>
        <v>0</v>
      </c>
      <c r="DU10" s="74">
        <f t="shared" si="14"/>
        <v>0</v>
      </c>
      <c r="DV10" s="74">
        <f t="shared" si="14"/>
        <v>0</v>
      </c>
    </row>
    <row r="11" spans="1:152">
      <c r="A11" s="59" t="s">
        <v>518</v>
      </c>
      <c r="B11" s="73"/>
      <c r="C11" s="73"/>
      <c r="D11" s="73"/>
      <c r="E11" s="73"/>
      <c r="F11" s="73"/>
      <c r="G11" s="73"/>
      <c r="H11" s="94">
        <f>SUM(H9:H10)</f>
        <v>0.8513430557513888</v>
      </c>
      <c r="I11" s="94">
        <f t="shared" ref="I11:BA11" si="15">SUM(I9:I10)</f>
        <v>0.86212042006825551</v>
      </c>
      <c r="J11" s="94">
        <f t="shared" si="15"/>
        <v>0.83155916323781898</v>
      </c>
      <c r="K11" s="94">
        <f t="shared" si="15"/>
        <v>0.7020524114691058</v>
      </c>
      <c r="L11" s="94">
        <f t="shared" si="15"/>
        <v>0.64974699182777063</v>
      </c>
      <c r="M11" s="94">
        <f t="shared" si="15"/>
        <v>0.68286085954001119</v>
      </c>
      <c r="N11" s="94">
        <f t="shared" si="15"/>
        <v>0.73399162034500154</v>
      </c>
      <c r="O11" s="94">
        <f t="shared" si="15"/>
        <v>0.77580175138809127</v>
      </c>
      <c r="P11" s="94">
        <f t="shared" si="15"/>
        <v>0.77828416145158374</v>
      </c>
      <c r="Q11" s="94">
        <f t="shared" si="15"/>
        <v>0.77577275563103909</v>
      </c>
      <c r="R11" s="94">
        <f t="shared" si="15"/>
        <v>0.78987919802281592</v>
      </c>
      <c r="S11" s="94">
        <f t="shared" si="15"/>
        <v>0.83227517422546482</v>
      </c>
      <c r="T11" s="94">
        <f t="shared" si="15"/>
        <v>0.87851114426406818</v>
      </c>
      <c r="U11" s="94">
        <f t="shared" si="15"/>
        <v>0.91597656297728902</v>
      </c>
      <c r="V11" s="94">
        <f t="shared" si="15"/>
        <v>0.93733057600231795</v>
      </c>
      <c r="W11" s="94">
        <f t="shared" si="15"/>
        <v>0.95925723906722415</v>
      </c>
      <c r="X11" s="94">
        <f t="shared" si="15"/>
        <v>0.98761149227897871</v>
      </c>
      <c r="Y11" s="94">
        <f t="shared" si="15"/>
        <v>1.0065523547637039</v>
      </c>
      <c r="Z11" s="94">
        <f t="shared" si="15"/>
        <v>1.0311363015296311</v>
      </c>
      <c r="AA11" s="94">
        <f t="shared" si="15"/>
        <v>1.056337180675091</v>
      </c>
      <c r="AB11" s="94">
        <f t="shared" si="15"/>
        <v>1.0639178836093495</v>
      </c>
      <c r="AC11" s="94">
        <f t="shared" si="15"/>
        <v>1.1004001037959834</v>
      </c>
      <c r="AD11" s="94">
        <f t="shared" si="15"/>
        <v>1.1082564258669505</v>
      </c>
      <c r="AE11" s="94">
        <f t="shared" si="15"/>
        <v>1.0825539764893222</v>
      </c>
      <c r="AF11" s="94">
        <f t="shared" si="15"/>
        <v>1.1132406424247754</v>
      </c>
      <c r="AG11" s="94">
        <f t="shared" si="15"/>
        <v>1.2031354997072541</v>
      </c>
      <c r="AH11" s="94">
        <f t="shared" si="15"/>
        <v>1.2587735071454507</v>
      </c>
      <c r="AI11" s="94">
        <f t="shared" si="15"/>
        <v>1.3426434389153374</v>
      </c>
      <c r="AJ11" s="94">
        <f t="shared" si="15"/>
        <v>1.251305413676852</v>
      </c>
      <c r="AK11" s="94">
        <f t="shared" si="15"/>
        <v>1.2454681029927497</v>
      </c>
      <c r="AL11" s="94">
        <f t="shared" si="15"/>
        <v>1.1571476264539551</v>
      </c>
      <c r="AM11" s="94">
        <f t="shared" si="15"/>
        <v>1.1231584109847137</v>
      </c>
      <c r="AN11" s="94">
        <f t="shared" si="15"/>
        <v>1.0537957090969765</v>
      </c>
      <c r="AO11" s="94">
        <f t="shared" si="15"/>
        <v>1.0366119031839869</v>
      </c>
      <c r="AP11" s="94">
        <f t="shared" si="15"/>
        <v>1.0910454487707426</v>
      </c>
      <c r="AQ11" s="94">
        <f t="shared" si="15"/>
        <v>1.0939333699970994</v>
      </c>
      <c r="AR11" s="94">
        <f t="shared" si="15"/>
        <v>1.0543459845483953</v>
      </c>
      <c r="AS11" s="94">
        <f t="shared" si="15"/>
        <v>1.0790959858735722</v>
      </c>
      <c r="AT11" s="94">
        <f t="shared" si="15"/>
        <v>1.0923432404770217</v>
      </c>
      <c r="AU11" s="94">
        <f t="shared" si="15"/>
        <v>1.0462381565779606</v>
      </c>
      <c r="AV11" s="94">
        <f t="shared" si="15"/>
        <v>1.0171650223408095</v>
      </c>
      <c r="AW11" s="94">
        <f t="shared" si="15"/>
        <v>0.95804616314498525</v>
      </c>
      <c r="AX11" s="94">
        <f t="shared" si="15"/>
        <v>0.95813299330813195</v>
      </c>
      <c r="AY11" s="94">
        <f t="shared" si="15"/>
        <v>0.95487551405661142</v>
      </c>
      <c r="AZ11" s="94">
        <f t="shared" si="15"/>
        <v>0.95525564092318282</v>
      </c>
      <c r="BA11" s="94">
        <f t="shared" si="15"/>
        <v>0.93657259207549637</v>
      </c>
      <c r="BB11" s="94">
        <f t="shared" ref="BB11:BM11" si="16">SUM(BB9:BB10)</f>
        <v>0.93578148423019314</v>
      </c>
      <c r="BC11" s="94">
        <f t="shared" si="16"/>
        <v>0.9424759115465734</v>
      </c>
      <c r="BD11" s="94">
        <f t="shared" si="16"/>
        <v>0.9424759115465734</v>
      </c>
      <c r="BE11" s="94">
        <f t="shared" si="16"/>
        <v>0.94330054576598421</v>
      </c>
      <c r="BF11" s="94">
        <f t="shared" si="16"/>
        <v>0.93325356155333483</v>
      </c>
      <c r="BG11" s="94">
        <f t="shared" si="16"/>
        <v>0.92875078541995071</v>
      </c>
      <c r="BH11" s="94">
        <f t="shared" si="16"/>
        <v>0.9581811992417304</v>
      </c>
      <c r="BI11" s="94">
        <f t="shared" si="16"/>
        <v>0.95772923604662996</v>
      </c>
      <c r="BJ11" s="94">
        <f t="shared" si="16"/>
        <v>0.97633636946046942</v>
      </c>
      <c r="BK11" s="94">
        <f t="shared" si="16"/>
        <v>0.97628873455815302</v>
      </c>
      <c r="BL11" s="94">
        <f t="shared" si="16"/>
        <v>0.97185168553269041</v>
      </c>
      <c r="BM11" s="94">
        <f t="shared" si="16"/>
        <v>0.99808241009514209</v>
      </c>
      <c r="BN11" s="94">
        <f t="shared" ref="BN11:BU11" si="17">SUM(BN9:BN10)</f>
        <v>0.99814702980282444</v>
      </c>
      <c r="BO11" s="94">
        <f t="shared" si="17"/>
        <v>0.99274272272941266</v>
      </c>
      <c r="BP11" s="94">
        <f t="shared" si="17"/>
        <v>0.99274272272941266</v>
      </c>
      <c r="BQ11" s="94">
        <f t="shared" si="17"/>
        <v>0.992516662249462</v>
      </c>
      <c r="BR11" s="94">
        <f t="shared" si="17"/>
        <v>0.98340779689665847</v>
      </c>
      <c r="BS11" s="94">
        <f t="shared" si="17"/>
        <v>0.9756682615018003</v>
      </c>
      <c r="BT11" s="94">
        <f t="shared" si="17"/>
        <v>0.97966301731037753</v>
      </c>
      <c r="BU11" s="94">
        <f t="shared" si="17"/>
        <v>0.98254151307064652</v>
      </c>
      <c r="BV11" s="94">
        <f t="shared" ref="BV11:CK11" si="18">SUM(BV9:BV10)</f>
        <v>0.98023916618870999</v>
      </c>
      <c r="BW11" s="94">
        <f t="shared" si="18"/>
        <v>0.98602705957190317</v>
      </c>
      <c r="BX11" s="94">
        <f t="shared" si="18"/>
        <v>0.98587371891622033</v>
      </c>
      <c r="BY11" s="94">
        <f t="shared" si="18"/>
        <v>0.97113317913439767</v>
      </c>
      <c r="BZ11" s="94">
        <f t="shared" si="18"/>
        <v>0.97122724030524954</v>
      </c>
      <c r="CA11" s="94">
        <f t="shared" si="18"/>
        <v>0.97121155400068582</v>
      </c>
      <c r="CB11" s="94">
        <f t="shared" si="18"/>
        <v>0.97138431149244198</v>
      </c>
      <c r="CC11" s="94">
        <f t="shared" si="18"/>
        <v>0.97138431149244198</v>
      </c>
      <c r="CD11" s="94">
        <f t="shared" si="18"/>
        <v>0.95770166318549088</v>
      </c>
      <c r="CE11" s="94">
        <f t="shared" si="18"/>
        <v>0.9576119942011494</v>
      </c>
      <c r="CF11" s="94">
        <f t="shared" si="18"/>
        <v>0.95959618486823928</v>
      </c>
      <c r="CG11" s="94">
        <f t="shared" si="18"/>
        <v>0.97739690614956465</v>
      </c>
      <c r="CH11" s="94">
        <f t="shared" si="18"/>
        <v>0.97402703606229535</v>
      </c>
      <c r="CI11" s="94">
        <f t="shared" si="18"/>
        <v>0.97374699029040612</v>
      </c>
      <c r="CJ11" s="94">
        <f t="shared" si="18"/>
        <v>0.97343894681647203</v>
      </c>
      <c r="CK11" s="94">
        <f t="shared" si="18"/>
        <v>0.98084352340733028</v>
      </c>
      <c r="CL11" s="94">
        <f t="shared" ref="CL11:CR11" si="19">SUM(CL9:CL10)</f>
        <v>0.97981281191729397</v>
      </c>
      <c r="CM11" s="94">
        <f t="shared" si="19"/>
        <v>0.98403985941335403</v>
      </c>
      <c r="CN11" s="94">
        <f t="shared" si="19"/>
        <v>0.97709350764125236</v>
      </c>
      <c r="CO11" s="94">
        <f t="shared" si="19"/>
        <v>0.97709350764125236</v>
      </c>
      <c r="CP11" s="94">
        <f t="shared" si="19"/>
        <v>0.97709350764125236</v>
      </c>
      <c r="CQ11" s="94">
        <f t="shared" si="19"/>
        <v>0.97881739280208113</v>
      </c>
      <c r="CR11" s="94">
        <f t="shared" si="19"/>
        <v>0.98323956823104885</v>
      </c>
      <c r="CS11" s="94">
        <f t="shared" ref="CS11:DK11" si="20">SUM(CS9:CS10)</f>
        <v>0.98308991628941156</v>
      </c>
      <c r="CT11" s="94">
        <f t="shared" si="20"/>
        <v>0.971796947569597</v>
      </c>
      <c r="CU11" s="94">
        <f t="shared" si="20"/>
        <v>0.97176591609665286</v>
      </c>
      <c r="CV11" s="94">
        <f t="shared" si="20"/>
        <v>0.96982433455810035</v>
      </c>
      <c r="CW11" s="94">
        <f t="shared" si="20"/>
        <v>0.96728674754179467</v>
      </c>
      <c r="CX11" s="94">
        <f t="shared" si="20"/>
        <v>0.97323872276154921</v>
      </c>
      <c r="CY11" s="94">
        <f t="shared" si="20"/>
        <v>0.97750430719728842</v>
      </c>
      <c r="CZ11" s="94">
        <f t="shared" si="20"/>
        <v>0.97748870007448896</v>
      </c>
      <c r="DA11" s="94">
        <f t="shared" si="20"/>
        <v>0.97758239861744589</v>
      </c>
      <c r="DB11" s="94">
        <f t="shared" si="20"/>
        <v>0.97759802807202267</v>
      </c>
      <c r="DC11" s="94">
        <f t="shared" si="20"/>
        <v>0.98663646681184947</v>
      </c>
      <c r="DD11" s="94">
        <f t="shared" si="20"/>
        <v>0.98663646681184947</v>
      </c>
      <c r="DE11" s="94">
        <f t="shared" si="20"/>
        <v>0.98025789787622897</v>
      </c>
      <c r="DF11" s="94">
        <f t="shared" si="20"/>
        <v>0.98014859890326833</v>
      </c>
      <c r="DG11" s="94">
        <f t="shared" si="20"/>
        <v>0.97522897263054076</v>
      </c>
      <c r="DH11" s="94">
        <f t="shared" si="20"/>
        <v>0.97738926706584506</v>
      </c>
      <c r="DI11" s="94">
        <f t="shared" si="20"/>
        <v>0.98102447548899963</v>
      </c>
      <c r="DJ11" s="94">
        <f t="shared" si="20"/>
        <v>0.98101068756915855</v>
      </c>
      <c r="DK11" s="94">
        <f t="shared" si="20"/>
        <v>0.95296764064937833</v>
      </c>
      <c r="DL11" s="94">
        <f t="shared" ref="DL11:DV11" si="21">SUM(DL9:DL10)</f>
        <v>0.95908046881242559</v>
      </c>
      <c r="DM11" s="94">
        <f t="shared" si="21"/>
        <v>0.94674558096339745</v>
      </c>
      <c r="DN11" s="94">
        <f t="shared" si="21"/>
        <v>0.94473964581934911</v>
      </c>
      <c r="DO11" s="94">
        <f t="shared" si="21"/>
        <v>0.94921326338087963</v>
      </c>
      <c r="DP11" s="94">
        <f t="shared" si="21"/>
        <v>0.9478726498999388</v>
      </c>
      <c r="DQ11" s="94">
        <f t="shared" si="21"/>
        <v>0.94774365338977729</v>
      </c>
      <c r="DR11" s="94">
        <f t="shared" si="21"/>
        <v>0.94473802304973598</v>
      </c>
      <c r="DS11" s="94">
        <f t="shared" si="21"/>
        <v>0</v>
      </c>
      <c r="DT11" s="94">
        <f t="shared" si="21"/>
        <v>0</v>
      </c>
      <c r="DU11" s="94">
        <f t="shared" si="21"/>
        <v>0</v>
      </c>
      <c r="DV11" s="94">
        <f t="shared" si="21"/>
        <v>0</v>
      </c>
    </row>
    <row r="12" spans="1:152">
      <c r="A12" s="222" t="s">
        <v>549</v>
      </c>
      <c r="G12" s="60" t="s">
        <v>429</v>
      </c>
      <c r="H12" s="60">
        <v>1.95</v>
      </c>
      <c r="M12" s="60">
        <v>1.8</v>
      </c>
      <c r="O12" s="60">
        <v>1.95</v>
      </c>
      <c r="X12" s="60">
        <v>2.31</v>
      </c>
      <c r="AD12" s="60">
        <v>3.22</v>
      </c>
      <c r="AE12" s="60">
        <v>3.18</v>
      </c>
      <c r="AH12" s="60">
        <v>3.87</v>
      </c>
      <c r="AK12" s="60">
        <v>4</v>
      </c>
      <c r="AN12" s="60">
        <v>3.83</v>
      </c>
      <c r="BJ12" s="60">
        <v>2.2599999999999998</v>
      </c>
      <c r="BV12" s="60">
        <v>2.1</v>
      </c>
      <c r="BZ12" s="60">
        <v>2.1</v>
      </c>
      <c r="CH12" s="60">
        <f>173/84</f>
        <v>2.0595238095238093</v>
      </c>
      <c r="CL12" s="60">
        <v>2.1</v>
      </c>
      <c r="CY12" s="60">
        <f>177/84</f>
        <v>2.1071428571428572</v>
      </c>
      <c r="DG12" s="60">
        <f>177/84</f>
        <v>2.1071428571428572</v>
      </c>
    </row>
    <row r="13" spans="1:152">
      <c r="G13" s="60" t="s">
        <v>406</v>
      </c>
      <c r="H13" s="65">
        <f>H12-H11</f>
        <v>1.0986569442486112</v>
      </c>
      <c r="M13" s="65">
        <f>M12-M11</f>
        <v>1.1171391404599889</v>
      </c>
      <c r="O13" s="65">
        <f>O12-O11</f>
        <v>1.1741982486119087</v>
      </c>
      <c r="X13" s="65">
        <f>X12-X11</f>
        <v>1.3223885077210213</v>
      </c>
      <c r="AD13" s="65">
        <f>AD12-AD11</f>
        <v>2.1117435741330497</v>
      </c>
      <c r="AE13" s="65">
        <f>AE12-AE11</f>
        <v>2.097446023510678</v>
      </c>
      <c r="AH13" s="65">
        <f>AH12-AH11</f>
        <v>2.6112264928545494</v>
      </c>
      <c r="AK13" s="65">
        <f>AK12-AK11</f>
        <v>2.7545318970072503</v>
      </c>
      <c r="AN13" s="65">
        <f>AN12-AN11</f>
        <v>2.7762042909030233</v>
      </c>
      <c r="BJ13" s="65">
        <f>BJ12-BJ11</f>
        <v>1.2836636305395304</v>
      </c>
      <c r="BV13" s="65">
        <f>BV12-BV11</f>
        <v>1.1197608338112901</v>
      </c>
      <c r="BZ13" s="65">
        <f>BZ12-BZ11</f>
        <v>1.1287727596947505</v>
      </c>
      <c r="CH13" s="65">
        <f>CH12-CH11</f>
        <v>1.085496773461514</v>
      </c>
      <c r="CL13" s="65">
        <f>CL12-CL11</f>
        <v>1.1201871880827061</v>
      </c>
      <c r="CY13" s="65">
        <f>CY12-CY11</f>
        <v>1.1296385499455688</v>
      </c>
      <c r="DG13" s="65">
        <f>DG12-DG11</f>
        <v>1.1319138845123164</v>
      </c>
    </row>
    <row r="16" spans="1:152" s="161" customFormat="1">
      <c r="G16" s="161" t="s">
        <v>407</v>
      </c>
      <c r="H16" s="163">
        <f>1.1+H11</f>
        <v>1.9513430557513889</v>
      </c>
      <c r="I16" s="163">
        <f t="shared" ref="I16:BT16" si="22">1.1+I11</f>
        <v>1.9621204200682556</v>
      </c>
      <c r="J16" s="163">
        <f t="shared" si="22"/>
        <v>1.9315591632378191</v>
      </c>
      <c r="K16" s="163">
        <f t="shared" si="22"/>
        <v>1.8020524114691059</v>
      </c>
      <c r="L16" s="163">
        <f t="shared" si="22"/>
        <v>1.7497469918277706</v>
      </c>
      <c r="M16" s="163">
        <f t="shared" si="22"/>
        <v>1.7828608595400113</v>
      </c>
      <c r="N16" s="163">
        <f t="shared" si="22"/>
        <v>1.8339916203450017</v>
      </c>
      <c r="O16" s="163">
        <f t="shared" si="22"/>
        <v>1.8758017513880914</v>
      </c>
      <c r="P16" s="163">
        <f t="shared" si="22"/>
        <v>1.8782841614515839</v>
      </c>
      <c r="Q16" s="163">
        <f t="shared" si="22"/>
        <v>1.8757727556310391</v>
      </c>
      <c r="R16" s="163">
        <f t="shared" si="22"/>
        <v>1.889879198022816</v>
      </c>
      <c r="S16" s="163">
        <f t="shared" si="22"/>
        <v>1.9322751742254649</v>
      </c>
      <c r="T16" s="163">
        <f t="shared" si="22"/>
        <v>1.9785111442640684</v>
      </c>
      <c r="U16" s="163">
        <f t="shared" si="22"/>
        <v>2.015976562977289</v>
      </c>
      <c r="V16" s="163">
        <f t="shared" si="22"/>
        <v>2.0373305760023181</v>
      </c>
      <c r="W16" s="163">
        <f t="shared" si="22"/>
        <v>2.0592572390672244</v>
      </c>
      <c r="X16" s="163">
        <f t="shared" si="22"/>
        <v>2.0876114922789788</v>
      </c>
      <c r="Y16" s="163">
        <f t="shared" si="22"/>
        <v>2.1065523547637039</v>
      </c>
      <c r="Z16" s="163">
        <f t="shared" si="22"/>
        <v>2.1311363015296312</v>
      </c>
      <c r="AA16" s="163">
        <f t="shared" si="22"/>
        <v>2.1563371806750911</v>
      </c>
      <c r="AB16" s="163">
        <f t="shared" si="22"/>
        <v>2.1639178836093498</v>
      </c>
      <c r="AC16" s="163">
        <f t="shared" si="22"/>
        <v>2.2004001037959835</v>
      </c>
      <c r="AD16" s="163">
        <f t="shared" si="22"/>
        <v>2.2082564258669506</v>
      </c>
      <c r="AE16" s="163">
        <f t="shared" si="22"/>
        <v>2.1825539764893223</v>
      </c>
      <c r="AF16" s="163">
        <f t="shared" si="22"/>
        <v>2.2132406424247755</v>
      </c>
      <c r="AG16" s="163">
        <f t="shared" si="22"/>
        <v>2.3031354997072544</v>
      </c>
      <c r="AH16" s="163">
        <f t="shared" si="22"/>
        <v>2.3587735071454508</v>
      </c>
      <c r="AI16" s="163">
        <f t="shared" si="22"/>
        <v>2.4426434389153373</v>
      </c>
      <c r="AJ16" s="163">
        <f t="shared" si="22"/>
        <v>2.3513054136768519</v>
      </c>
      <c r="AK16" s="163">
        <f t="shared" si="22"/>
        <v>2.3454681029927498</v>
      </c>
      <c r="AL16" s="163">
        <f t="shared" si="22"/>
        <v>2.2571476264539552</v>
      </c>
      <c r="AM16" s="163">
        <f t="shared" si="22"/>
        <v>2.2231584109847136</v>
      </c>
      <c r="AN16" s="163">
        <f t="shared" si="22"/>
        <v>2.1537957090969764</v>
      </c>
      <c r="AO16" s="163">
        <f t="shared" si="22"/>
        <v>2.136611903183987</v>
      </c>
      <c r="AP16" s="163">
        <f t="shared" si="22"/>
        <v>2.1910454487707427</v>
      </c>
      <c r="AQ16" s="163">
        <f t="shared" si="22"/>
        <v>2.1939333699970995</v>
      </c>
      <c r="AR16" s="163">
        <f t="shared" si="22"/>
        <v>2.1543459845483954</v>
      </c>
      <c r="AS16" s="163">
        <f t="shared" si="22"/>
        <v>2.1790959858735723</v>
      </c>
      <c r="AT16" s="163">
        <f t="shared" si="22"/>
        <v>2.1923432404770216</v>
      </c>
      <c r="AU16" s="163">
        <f t="shared" si="22"/>
        <v>2.1462381565779607</v>
      </c>
      <c r="AV16" s="163">
        <f t="shared" si="22"/>
        <v>2.1171650223408096</v>
      </c>
      <c r="AW16" s="163">
        <f t="shared" si="22"/>
        <v>2.0580461631449856</v>
      </c>
      <c r="AX16" s="163">
        <f t="shared" si="22"/>
        <v>2.0581329933081323</v>
      </c>
      <c r="AY16" s="163">
        <f t="shared" si="22"/>
        <v>2.0548755140566115</v>
      </c>
      <c r="AZ16" s="163">
        <f t="shared" si="22"/>
        <v>2.0552556409231828</v>
      </c>
      <c r="BA16" s="163">
        <f t="shared" si="22"/>
        <v>2.0365725920754967</v>
      </c>
      <c r="BB16" s="163">
        <f t="shared" si="22"/>
        <v>2.0357814842301933</v>
      </c>
      <c r="BC16" s="163">
        <f t="shared" si="22"/>
        <v>2.0424759115465734</v>
      </c>
      <c r="BD16" s="163">
        <f t="shared" si="22"/>
        <v>2.0424759115465734</v>
      </c>
      <c r="BE16" s="163">
        <f t="shared" si="22"/>
        <v>2.0433005457659843</v>
      </c>
      <c r="BF16" s="163">
        <f t="shared" si="22"/>
        <v>2.0332535615533347</v>
      </c>
      <c r="BG16" s="163">
        <f t="shared" si="22"/>
        <v>2.0287507854199509</v>
      </c>
      <c r="BH16" s="163">
        <f t="shared" si="22"/>
        <v>2.0581811992417305</v>
      </c>
      <c r="BI16" s="163">
        <f t="shared" si="22"/>
        <v>2.0577292360466299</v>
      </c>
      <c r="BJ16" s="163">
        <f t="shared" si="22"/>
        <v>2.0763363694604697</v>
      </c>
      <c r="BK16" s="163">
        <f t="shared" si="22"/>
        <v>2.0762887345581529</v>
      </c>
      <c r="BL16" s="163">
        <f t="shared" si="22"/>
        <v>2.0718516855326907</v>
      </c>
      <c r="BM16" s="163">
        <f t="shared" si="22"/>
        <v>2.0980824100951421</v>
      </c>
      <c r="BN16" s="163">
        <f t="shared" si="22"/>
        <v>2.0981470298028246</v>
      </c>
      <c r="BO16" s="163">
        <f t="shared" si="22"/>
        <v>2.0927427227294126</v>
      </c>
      <c r="BP16" s="163">
        <f t="shared" si="22"/>
        <v>2.0927427227294126</v>
      </c>
      <c r="BQ16" s="163">
        <f t="shared" si="22"/>
        <v>2.0925166622494622</v>
      </c>
      <c r="BR16" s="163">
        <f t="shared" si="22"/>
        <v>2.0834077968966587</v>
      </c>
      <c r="BS16" s="163">
        <f t="shared" si="22"/>
        <v>2.0756682615018005</v>
      </c>
      <c r="BT16" s="163">
        <f t="shared" si="22"/>
        <v>2.0796630173103776</v>
      </c>
      <c r="BU16" s="163">
        <f t="shared" ref="BU16:CG16" si="23">1.1+BU11</f>
        <v>2.0825415130706464</v>
      </c>
      <c r="BV16" s="163">
        <f t="shared" si="23"/>
        <v>2.0802391661887101</v>
      </c>
      <c r="BW16" s="163">
        <f t="shared" si="23"/>
        <v>2.0860270595719035</v>
      </c>
      <c r="BX16" s="163">
        <f t="shared" si="23"/>
        <v>2.0858737189162202</v>
      </c>
      <c r="BY16" s="163">
        <f t="shared" si="23"/>
        <v>2.0711331791343977</v>
      </c>
      <c r="BZ16" s="163">
        <f t="shared" si="23"/>
        <v>2.0712272403052499</v>
      </c>
      <c r="CA16" s="163">
        <f t="shared" si="23"/>
        <v>2.0712115540006861</v>
      </c>
      <c r="CB16" s="163">
        <f t="shared" si="23"/>
        <v>2.0713843114924422</v>
      </c>
      <c r="CC16" s="163">
        <f t="shared" si="23"/>
        <v>2.0713843114924422</v>
      </c>
      <c r="CD16" s="163">
        <f t="shared" si="23"/>
        <v>2.0577016631854912</v>
      </c>
      <c r="CE16" s="163">
        <f t="shared" si="23"/>
        <v>2.0576119942011495</v>
      </c>
      <c r="CF16" s="163">
        <f t="shared" si="23"/>
        <v>2.0595961848682394</v>
      </c>
      <c r="CG16" s="163">
        <f t="shared" si="23"/>
        <v>2.0773969061495645</v>
      </c>
      <c r="CH16" s="163">
        <f>1.09+CH11</f>
        <v>2.0640270360622957</v>
      </c>
      <c r="CI16" s="163">
        <f t="shared" ref="CI16:CY16" si="24">1.09+CI11</f>
        <v>2.0637469902904062</v>
      </c>
      <c r="CJ16" s="163">
        <f t="shared" si="24"/>
        <v>2.063438946816472</v>
      </c>
      <c r="CK16" s="163">
        <f t="shared" si="24"/>
        <v>2.0708435234073304</v>
      </c>
      <c r="CL16" s="163">
        <f t="shared" si="24"/>
        <v>2.069812811917294</v>
      </c>
      <c r="CM16" s="163">
        <f t="shared" si="24"/>
        <v>2.0740398594133542</v>
      </c>
      <c r="CN16" s="163">
        <f t="shared" si="24"/>
        <v>2.0670935076412524</v>
      </c>
      <c r="CO16" s="163">
        <f t="shared" si="24"/>
        <v>2.0670935076412524</v>
      </c>
      <c r="CP16" s="163">
        <f t="shared" si="24"/>
        <v>2.0670935076412524</v>
      </c>
      <c r="CQ16" s="163">
        <f t="shared" si="24"/>
        <v>2.0688173928020812</v>
      </c>
      <c r="CR16" s="163">
        <f t="shared" si="24"/>
        <v>2.0732395682310489</v>
      </c>
      <c r="CS16" s="163">
        <f t="shared" si="24"/>
        <v>2.0730899162894119</v>
      </c>
      <c r="CT16" s="163">
        <f t="shared" si="24"/>
        <v>2.0617969475695972</v>
      </c>
      <c r="CU16" s="163">
        <f t="shared" si="24"/>
        <v>2.0617659160966531</v>
      </c>
      <c r="CV16" s="163">
        <f t="shared" si="24"/>
        <v>2.0598243345581002</v>
      </c>
      <c r="CW16" s="163">
        <f t="shared" si="24"/>
        <v>2.0572867475417946</v>
      </c>
      <c r="CX16" s="163">
        <f t="shared" si="24"/>
        <v>2.0632387227615494</v>
      </c>
      <c r="CY16" s="163">
        <f t="shared" si="24"/>
        <v>2.0675043071972885</v>
      </c>
      <c r="CZ16" s="163">
        <f t="shared" ref="CZ16:DK16" si="25">1.1+CZ11</f>
        <v>2.0774887000744888</v>
      </c>
      <c r="DA16" s="163">
        <f t="shared" si="25"/>
        <v>2.0775823986174462</v>
      </c>
      <c r="DB16" s="163">
        <f t="shared" si="25"/>
        <v>2.077598028072023</v>
      </c>
      <c r="DC16" s="163">
        <f t="shared" si="25"/>
        <v>2.0866364668118496</v>
      </c>
      <c r="DD16" s="163">
        <f t="shared" si="25"/>
        <v>2.0866364668118496</v>
      </c>
      <c r="DE16" s="163">
        <f t="shared" si="25"/>
        <v>2.0802578978762289</v>
      </c>
      <c r="DF16" s="163">
        <f t="shared" si="25"/>
        <v>2.0801485989032686</v>
      </c>
      <c r="DG16" s="163">
        <f t="shared" si="25"/>
        <v>2.0752289726305406</v>
      </c>
      <c r="DH16" s="163">
        <f t="shared" si="25"/>
        <v>2.0773892670658451</v>
      </c>
      <c r="DI16" s="163">
        <f t="shared" si="25"/>
        <v>2.0810244754889995</v>
      </c>
      <c r="DJ16" s="163">
        <f t="shared" si="25"/>
        <v>2.0810106875691585</v>
      </c>
      <c r="DK16" s="163">
        <f t="shared" si="25"/>
        <v>2.0529676406493786</v>
      </c>
      <c r="DL16" s="163">
        <f t="shared" ref="DL16:DV16" si="26">1.1+DL11</f>
        <v>2.0590804688124256</v>
      </c>
      <c r="DM16" s="163">
        <f t="shared" si="26"/>
        <v>2.0467455809633974</v>
      </c>
      <c r="DN16" s="163">
        <f t="shared" si="26"/>
        <v>2.044739645819349</v>
      </c>
      <c r="DO16" s="163">
        <f t="shared" si="26"/>
        <v>2.0492132633808797</v>
      </c>
      <c r="DP16" s="163">
        <f t="shared" si="26"/>
        <v>2.0478726498999391</v>
      </c>
      <c r="DQ16" s="163">
        <f t="shared" si="26"/>
        <v>2.0477436533897775</v>
      </c>
      <c r="DR16" s="163">
        <f t="shared" si="26"/>
        <v>2.0447380230497361</v>
      </c>
      <c r="DS16" s="163">
        <f t="shared" si="26"/>
        <v>1.1000000000000001</v>
      </c>
      <c r="DT16" s="163">
        <f t="shared" si="26"/>
        <v>1.1000000000000001</v>
      </c>
      <c r="DU16" s="163">
        <f t="shared" si="26"/>
        <v>1.1000000000000001</v>
      </c>
      <c r="DV16" s="163">
        <f t="shared" si="26"/>
        <v>1.1000000000000001</v>
      </c>
    </row>
  </sheetData>
  <mergeCells count="1">
    <mergeCell ref="A9:A10"/>
  </mergeCells>
  <phoneticPr fontId="52"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EQ18"/>
  <sheetViews>
    <sheetView zoomScale="90" zoomScaleNormal="90" workbookViewId="0">
      <pane xSplit="9" ySplit="7" topLeftCell="DK8" activePane="bottomRight" state="frozen"/>
      <selection pane="topRight" activeCell="J1" sqref="J1"/>
      <selection pane="bottomLeft" activeCell="A8" sqref="A8"/>
      <selection pane="bottomRight" activeCell="DK8" sqref="DK8"/>
    </sheetView>
  </sheetViews>
  <sheetFormatPr baseColWidth="10" defaultColWidth="7.5" defaultRowHeight="14"/>
  <cols>
    <col min="1" max="6" width="7.5" style="8"/>
    <col min="7" max="7" width="26.1640625" style="8" bestFit="1" customWidth="1"/>
    <col min="8" max="16384" width="7.5" style="8"/>
  </cols>
  <sheetData>
    <row r="1" spans="1:147">
      <c r="A1" s="24" t="s">
        <v>377</v>
      </c>
      <c r="B1" s="24" t="s">
        <v>378</v>
      </c>
      <c r="C1" s="24" t="s">
        <v>379</v>
      </c>
      <c r="D1" s="24" t="s">
        <v>380</v>
      </c>
      <c r="E1" s="24" t="s">
        <v>381</v>
      </c>
      <c r="F1" s="24"/>
      <c r="G1" s="24" t="s">
        <v>33</v>
      </c>
      <c r="H1" s="117">
        <v>6</v>
      </c>
      <c r="I1" s="117">
        <v>7</v>
      </c>
      <c r="J1" s="117">
        <v>8</v>
      </c>
      <c r="K1" s="117">
        <v>9</v>
      </c>
      <c r="L1" s="117">
        <v>10</v>
      </c>
      <c r="M1" s="117">
        <v>11</v>
      </c>
      <c r="N1" s="117">
        <v>12</v>
      </c>
      <c r="O1" s="117">
        <v>13</v>
      </c>
      <c r="P1" s="117">
        <v>14</v>
      </c>
      <c r="Q1" s="117">
        <v>15</v>
      </c>
      <c r="R1" s="117">
        <v>16</v>
      </c>
      <c r="S1" s="117">
        <v>17</v>
      </c>
      <c r="T1" s="117">
        <v>18</v>
      </c>
      <c r="U1" s="117">
        <v>19</v>
      </c>
      <c r="V1" s="117">
        <v>20</v>
      </c>
      <c r="W1" s="117">
        <v>21</v>
      </c>
      <c r="X1" s="117">
        <v>22</v>
      </c>
      <c r="Y1" s="117">
        <v>23</v>
      </c>
      <c r="Z1" s="117">
        <v>24</v>
      </c>
      <c r="AA1" s="117">
        <v>25</v>
      </c>
      <c r="AB1" s="117">
        <v>26</v>
      </c>
      <c r="AC1" s="117">
        <v>27</v>
      </c>
      <c r="AD1" s="117">
        <v>28</v>
      </c>
      <c r="AE1" s="117">
        <v>29</v>
      </c>
      <c r="AF1" s="117">
        <v>30</v>
      </c>
      <c r="AG1" s="117">
        <v>31</v>
      </c>
      <c r="AH1" s="117">
        <v>32</v>
      </c>
      <c r="AI1" s="117">
        <v>33</v>
      </c>
      <c r="AJ1" s="117">
        <v>34</v>
      </c>
      <c r="AK1" s="117">
        <v>35</v>
      </c>
      <c r="AL1" s="117">
        <v>36</v>
      </c>
      <c r="AM1" s="117">
        <v>37</v>
      </c>
      <c r="AN1" s="117">
        <v>38</v>
      </c>
      <c r="AO1" s="117">
        <v>39</v>
      </c>
      <c r="AP1" s="117">
        <v>40</v>
      </c>
      <c r="AQ1" s="117">
        <v>41</v>
      </c>
      <c r="AR1" s="117">
        <v>42</v>
      </c>
      <c r="AS1" s="117">
        <v>43</v>
      </c>
      <c r="AT1" s="117">
        <v>44</v>
      </c>
      <c r="AU1" s="117">
        <v>45</v>
      </c>
      <c r="AV1" s="117">
        <v>46</v>
      </c>
      <c r="AW1" s="117">
        <v>47</v>
      </c>
      <c r="AX1" s="117">
        <v>48</v>
      </c>
      <c r="AY1" s="117">
        <v>49</v>
      </c>
      <c r="AZ1" s="117">
        <v>50</v>
      </c>
      <c r="BA1" s="117">
        <v>51</v>
      </c>
      <c r="BB1" s="117">
        <v>52</v>
      </c>
      <c r="BC1" s="117">
        <v>53</v>
      </c>
      <c r="BD1" s="117">
        <v>54</v>
      </c>
      <c r="BE1" s="117">
        <v>55</v>
      </c>
      <c r="BF1" s="117">
        <v>56</v>
      </c>
      <c r="BG1" s="117">
        <v>57</v>
      </c>
      <c r="BH1" s="117">
        <v>58</v>
      </c>
      <c r="BI1" s="117">
        <v>59</v>
      </c>
      <c r="BJ1" s="117">
        <v>60</v>
      </c>
      <c r="BK1" s="117">
        <v>61</v>
      </c>
      <c r="BL1" s="117">
        <v>62</v>
      </c>
      <c r="BM1" s="117">
        <v>63</v>
      </c>
      <c r="BN1" s="117">
        <v>64</v>
      </c>
      <c r="BO1" s="117">
        <v>65</v>
      </c>
      <c r="BP1" s="117">
        <v>66</v>
      </c>
      <c r="BQ1" s="117">
        <v>67</v>
      </c>
      <c r="BR1" s="117">
        <v>68</v>
      </c>
      <c r="BS1" s="117">
        <v>69</v>
      </c>
      <c r="BT1" s="117">
        <v>70</v>
      </c>
      <c r="BU1" s="117">
        <v>71</v>
      </c>
      <c r="BV1" s="117">
        <v>72</v>
      </c>
      <c r="BW1" s="117">
        <v>73</v>
      </c>
      <c r="BX1" s="117">
        <v>74</v>
      </c>
      <c r="BY1" s="117">
        <v>75</v>
      </c>
      <c r="BZ1" s="117">
        <v>76</v>
      </c>
      <c r="CA1" s="117">
        <v>77</v>
      </c>
      <c r="CB1" s="117">
        <v>78</v>
      </c>
      <c r="CC1" s="117">
        <v>79</v>
      </c>
      <c r="CD1" s="117">
        <v>80</v>
      </c>
      <c r="CE1" s="117">
        <v>81</v>
      </c>
      <c r="CF1" s="117">
        <v>82</v>
      </c>
      <c r="CG1" s="117">
        <v>83</v>
      </c>
      <c r="CH1" s="117">
        <v>84</v>
      </c>
      <c r="CI1" s="117">
        <v>85</v>
      </c>
      <c r="CJ1" s="117">
        <v>86</v>
      </c>
      <c r="CK1" s="117">
        <v>87</v>
      </c>
      <c r="CL1" s="117">
        <v>88</v>
      </c>
      <c r="CM1" s="117">
        <v>89</v>
      </c>
      <c r="CN1" s="117">
        <v>90</v>
      </c>
      <c r="CO1" s="117">
        <v>91</v>
      </c>
      <c r="CP1" s="117">
        <v>92</v>
      </c>
      <c r="CQ1" s="117">
        <v>93</v>
      </c>
      <c r="CR1" s="117">
        <v>94</v>
      </c>
      <c r="CS1" s="117">
        <v>95</v>
      </c>
      <c r="CT1" s="117">
        <v>96</v>
      </c>
      <c r="CU1" s="117">
        <v>97</v>
      </c>
      <c r="CV1" s="117">
        <v>98</v>
      </c>
      <c r="CW1" s="117">
        <v>99</v>
      </c>
      <c r="CX1" s="117">
        <v>100</v>
      </c>
      <c r="CY1" s="117">
        <v>101</v>
      </c>
      <c r="CZ1" s="117">
        <v>102</v>
      </c>
      <c r="DA1" s="117">
        <v>103</v>
      </c>
      <c r="DB1" s="117">
        <v>104</v>
      </c>
      <c r="DC1" s="117">
        <v>105</v>
      </c>
      <c r="DD1" s="117">
        <v>106</v>
      </c>
      <c r="DE1" s="117">
        <v>107</v>
      </c>
      <c r="DF1" s="117">
        <v>108</v>
      </c>
      <c r="DG1" s="117">
        <v>109</v>
      </c>
      <c r="DH1" s="117">
        <v>110</v>
      </c>
      <c r="DI1" s="117">
        <v>111</v>
      </c>
      <c r="DJ1" s="117">
        <v>112</v>
      </c>
      <c r="DK1" s="117">
        <v>113</v>
      </c>
      <c r="DL1" s="117">
        <v>114</v>
      </c>
      <c r="DM1" s="117">
        <v>115</v>
      </c>
      <c r="DN1" s="117">
        <v>116</v>
      </c>
      <c r="DO1" s="117">
        <v>117</v>
      </c>
      <c r="DP1" s="117">
        <v>118</v>
      </c>
      <c r="DQ1" s="117">
        <v>119</v>
      </c>
      <c r="DR1" s="117">
        <v>120</v>
      </c>
      <c r="DS1" s="117">
        <v>121</v>
      </c>
      <c r="DT1" s="117">
        <v>122</v>
      </c>
      <c r="DU1" s="117">
        <v>123</v>
      </c>
      <c r="DV1" s="117">
        <v>124</v>
      </c>
      <c r="DW1" s="117">
        <v>125</v>
      </c>
      <c r="DX1" s="117">
        <v>126</v>
      </c>
      <c r="DY1" s="117">
        <v>127</v>
      </c>
      <c r="DZ1" s="117">
        <v>128</v>
      </c>
      <c r="EA1" s="117">
        <v>129</v>
      </c>
      <c r="EB1" s="117">
        <v>130</v>
      </c>
      <c r="EC1" s="117">
        <v>131</v>
      </c>
      <c r="ED1" s="117">
        <v>132</v>
      </c>
      <c r="EE1" s="117">
        <v>133</v>
      </c>
      <c r="EF1" s="117">
        <v>134</v>
      </c>
      <c r="EG1" s="117">
        <v>135</v>
      </c>
      <c r="EH1" s="117">
        <v>136</v>
      </c>
      <c r="EI1" s="117">
        <v>137</v>
      </c>
      <c r="EJ1" s="117">
        <v>138</v>
      </c>
      <c r="EK1" s="117">
        <v>139</v>
      </c>
      <c r="EL1" s="117">
        <v>140</v>
      </c>
      <c r="EM1" s="117">
        <v>141</v>
      </c>
      <c r="EN1" s="117">
        <v>142</v>
      </c>
      <c r="EO1" s="117">
        <v>143</v>
      </c>
      <c r="EP1" s="117">
        <v>144</v>
      </c>
      <c r="EQ1" s="117">
        <v>145</v>
      </c>
    </row>
    <row r="2" spans="1:147">
      <c r="A2" s="8" t="s">
        <v>550</v>
      </c>
      <c r="B2" s="8" t="s">
        <v>551</v>
      </c>
      <c r="C2" s="79"/>
      <c r="D2" s="118" t="s">
        <v>217</v>
      </c>
      <c r="K2" s="119" t="s">
        <v>274</v>
      </c>
      <c r="M2" s="119" t="s">
        <v>2</v>
      </c>
    </row>
    <row r="3" spans="1:147">
      <c r="A3" s="18"/>
      <c r="B3" s="18"/>
      <c r="D3" s="18" t="s">
        <v>552</v>
      </c>
      <c r="E3" s="18"/>
    </row>
    <row r="4" spans="1:147">
      <c r="A4" s="18">
        <v>128.25</v>
      </c>
      <c r="B4" s="18">
        <v>94.113</v>
      </c>
      <c r="D4" s="18">
        <v>220.35</v>
      </c>
      <c r="E4" s="18"/>
    </row>
    <row r="5" spans="1:147">
      <c r="A5" s="18"/>
      <c r="B5" s="18"/>
      <c r="D5" s="18"/>
      <c r="E5" s="18"/>
    </row>
    <row r="6" spans="1:147">
      <c r="A6" s="19">
        <f>A4/D4</f>
        <v>0.5820285908781484</v>
      </c>
      <c r="B6" s="19">
        <f>B4/D4</f>
        <v>0.4271068754254595</v>
      </c>
    </row>
    <row r="7" spans="1:147" ht="15">
      <c r="A7" s="19"/>
      <c r="B7" s="19"/>
      <c r="G7" s="7" t="s">
        <v>388</v>
      </c>
      <c r="H7" s="24">
        <v>43831</v>
      </c>
      <c r="I7" s="24">
        <v>43862</v>
      </c>
      <c r="J7" s="24">
        <v>43891</v>
      </c>
      <c r="K7" s="24">
        <v>43922</v>
      </c>
      <c r="L7" s="24">
        <v>43952</v>
      </c>
      <c r="M7" s="24">
        <v>43983</v>
      </c>
      <c r="N7" s="24">
        <v>44013</v>
      </c>
      <c r="O7" s="24">
        <v>44044</v>
      </c>
      <c r="P7" s="24">
        <v>44075</v>
      </c>
      <c r="Q7" s="24">
        <v>44105</v>
      </c>
      <c r="R7" s="24">
        <v>44136</v>
      </c>
      <c r="S7" s="24">
        <v>44166</v>
      </c>
      <c r="T7" s="24">
        <v>44197</v>
      </c>
      <c r="U7" s="24">
        <v>44228</v>
      </c>
      <c r="V7" s="24">
        <v>44256</v>
      </c>
      <c r="W7" s="24">
        <v>44287</v>
      </c>
      <c r="X7" s="24">
        <v>44317</v>
      </c>
      <c r="Y7" s="24">
        <v>44348</v>
      </c>
      <c r="Z7" s="24">
        <v>44378</v>
      </c>
      <c r="AA7" s="24">
        <v>44409</v>
      </c>
      <c r="AB7" s="24">
        <v>44440</v>
      </c>
      <c r="AC7" s="24">
        <v>44470</v>
      </c>
      <c r="AD7" s="24">
        <v>44501</v>
      </c>
      <c r="AE7" s="24">
        <v>44531</v>
      </c>
      <c r="AF7" s="24">
        <v>44562</v>
      </c>
      <c r="AG7" s="24">
        <v>44593</v>
      </c>
      <c r="AH7" s="24">
        <v>44621</v>
      </c>
      <c r="AI7" s="24">
        <v>44652</v>
      </c>
      <c r="AJ7" s="24">
        <v>44682</v>
      </c>
      <c r="AK7" s="24">
        <v>44713</v>
      </c>
      <c r="AL7" s="24">
        <v>44743</v>
      </c>
      <c r="AM7" s="24">
        <v>44774</v>
      </c>
      <c r="AN7" s="24">
        <v>44805</v>
      </c>
      <c r="AO7" s="24">
        <v>44835</v>
      </c>
      <c r="AP7" s="24">
        <v>44866</v>
      </c>
      <c r="AQ7" s="24">
        <v>44896</v>
      </c>
      <c r="AR7" s="24">
        <v>44927</v>
      </c>
      <c r="AS7" s="24">
        <v>44958</v>
      </c>
      <c r="AT7" s="24">
        <v>44986</v>
      </c>
      <c r="AU7" s="24">
        <v>45017</v>
      </c>
      <c r="AV7" s="24">
        <v>45047</v>
      </c>
      <c r="AW7" s="24">
        <v>45078</v>
      </c>
      <c r="AX7" s="24">
        <v>45108</v>
      </c>
      <c r="AY7" s="24" t="s">
        <v>530</v>
      </c>
      <c r="AZ7" s="24" t="s">
        <v>553</v>
      </c>
      <c r="BA7" s="24" t="s">
        <v>554</v>
      </c>
      <c r="BB7" s="24">
        <v>37104</v>
      </c>
      <c r="BC7" s="24">
        <v>37469</v>
      </c>
      <c r="BD7" s="24" t="s">
        <v>168</v>
      </c>
      <c r="BE7" s="24" t="s">
        <v>169</v>
      </c>
      <c r="BF7" s="24" t="s">
        <v>421</v>
      </c>
      <c r="BG7" s="24" t="s">
        <v>422</v>
      </c>
      <c r="BH7" s="24" t="s">
        <v>423</v>
      </c>
      <c r="BI7" s="24" t="s">
        <v>424</v>
      </c>
      <c r="BJ7" s="24" t="s">
        <v>435</v>
      </c>
      <c r="BK7" s="24" t="s">
        <v>436</v>
      </c>
      <c r="BL7" s="24" t="s">
        <v>437</v>
      </c>
      <c r="BM7" s="24" t="s">
        <v>438</v>
      </c>
      <c r="BN7" s="59">
        <v>37196</v>
      </c>
      <c r="BO7" s="59">
        <v>37561</v>
      </c>
      <c r="BP7" s="59">
        <v>37926</v>
      </c>
      <c r="BQ7" s="59">
        <v>38292</v>
      </c>
      <c r="BR7" s="59">
        <v>37226</v>
      </c>
      <c r="BS7" s="59">
        <v>37591</v>
      </c>
      <c r="BT7" s="59">
        <v>37956</v>
      </c>
      <c r="BU7" s="59">
        <v>38322</v>
      </c>
      <c r="BV7" s="59">
        <v>36892</v>
      </c>
      <c r="BW7" s="59">
        <v>37257</v>
      </c>
      <c r="BX7" s="59">
        <v>37622</v>
      </c>
      <c r="BY7" s="59">
        <v>37987</v>
      </c>
      <c r="BZ7" s="59">
        <v>36923</v>
      </c>
      <c r="CA7" s="59">
        <v>37288</v>
      </c>
      <c r="CB7" s="59">
        <v>37653</v>
      </c>
      <c r="CC7" s="59">
        <v>38018</v>
      </c>
      <c r="CD7" s="59" t="str">
        <f>Sheet8!A15</f>
        <v>Mar-w1</v>
      </c>
      <c r="CE7" s="59">
        <v>37316</v>
      </c>
      <c r="CF7" s="59">
        <v>37681</v>
      </c>
      <c r="CG7" s="59">
        <v>38047</v>
      </c>
      <c r="CH7" s="59" t="str">
        <f>Sheet8!E15</f>
        <v>Apr-w1</v>
      </c>
      <c r="CI7" s="59" t="str">
        <f>Sheet8!F15</f>
        <v>Apr-w2</v>
      </c>
      <c r="CJ7" s="59" t="str">
        <f>Sheet8!G15</f>
        <v>Apr-w3</v>
      </c>
      <c r="CK7" s="59" t="str">
        <f>Sheet8!H15</f>
        <v>Apr-w4</v>
      </c>
      <c r="CL7" s="59" t="str">
        <f>Sheet8!I15</f>
        <v>May-w1</v>
      </c>
      <c r="CM7" s="59" t="str">
        <f>Sheet8!J15</f>
        <v>May-w2</v>
      </c>
      <c r="CN7" s="59" t="str">
        <f>Sheet8!K15</f>
        <v>May-w3</v>
      </c>
      <c r="CO7" s="59" t="str">
        <f>Sheet8!L15</f>
        <v>May-w4</v>
      </c>
      <c r="CP7" s="59" t="str">
        <f>Sheet8!M15</f>
        <v>May-w5</v>
      </c>
      <c r="CQ7" s="59" t="str">
        <f>Sheet8!N15</f>
        <v>june-w1</v>
      </c>
      <c r="CR7" s="59" t="str">
        <f>Sheet8!O15</f>
        <v>june-w2</v>
      </c>
      <c r="CS7" s="59" t="str">
        <f>Sheet8!P15</f>
        <v>june-w3</v>
      </c>
      <c r="CT7" s="59" t="str">
        <f>Sheet8!Q15</f>
        <v>june-w4</v>
      </c>
      <c r="CU7" s="59" t="str">
        <f>Sheet8!R15</f>
        <v>Jul-w1</v>
      </c>
      <c r="CV7" s="59" t="str">
        <f>Sheet8!S15</f>
        <v>Jul-w2</v>
      </c>
      <c r="CW7" s="59" t="str">
        <f>Sheet8!T15</f>
        <v>Jul-w3</v>
      </c>
      <c r="CX7" s="59" t="str">
        <f>Sheet8!U15</f>
        <v>Jul-w4</v>
      </c>
      <c r="CY7" s="59" t="str">
        <f>Sheet8!V15</f>
        <v>Aug-w1</v>
      </c>
      <c r="CZ7" s="59" t="str">
        <f>Sheet8!W15</f>
        <v>Aug-w2</v>
      </c>
      <c r="DA7" s="59" t="str">
        <f>Sheet8!X15</f>
        <v>Aug-w3</v>
      </c>
      <c r="DB7" s="59" t="str">
        <f>Sheet8!Y15</f>
        <v>Aug-w4</v>
      </c>
      <c r="DC7" s="59" t="str">
        <f>Sheet8!Z15</f>
        <v>Sep-w1</v>
      </c>
      <c r="DD7" s="59" t="str">
        <f>Sheet8!AA15</f>
        <v>Sep-w2</v>
      </c>
      <c r="DE7" s="59" t="str">
        <f>Sheet8!AB15</f>
        <v>Sep-w3</v>
      </c>
      <c r="DF7" s="59" t="str">
        <f>Sheet8!AC15</f>
        <v>Sep-w4</v>
      </c>
      <c r="DG7" s="59" t="str">
        <f>Sheet8!AD15</f>
        <v>Oct-w1</v>
      </c>
      <c r="DH7" s="59" t="str">
        <f>Sheet8!AE15</f>
        <v>Oct-w2</v>
      </c>
      <c r="DI7" s="59" t="str">
        <f>Sheet8!AF15</f>
        <v>Oct-w3</v>
      </c>
      <c r="DJ7" s="59" t="str">
        <f>Sheet8!AG15</f>
        <v>Oct-w4</v>
      </c>
      <c r="DK7" s="59" t="str">
        <f>Sheet8!AH15</f>
        <v>Nov-w1</v>
      </c>
      <c r="DL7" s="59" t="str">
        <f>Sheet8!AI15</f>
        <v>Nov-w2</v>
      </c>
      <c r="DM7" s="59" t="str">
        <f>Sheet8!AJ15</f>
        <v>Nov-w3</v>
      </c>
      <c r="DN7" s="59" t="str">
        <f>Sheet8!AK15</f>
        <v>Nov-w4</v>
      </c>
      <c r="DO7" s="59" t="str">
        <f>Sheet8!AL15</f>
        <v>Dec-w1</v>
      </c>
      <c r="DP7" s="59" t="str">
        <f>Sheet8!AM15</f>
        <v>Dec-w2</v>
      </c>
      <c r="DQ7" s="59" t="str">
        <f>Sheet8!AN15</f>
        <v>Dec-w3</v>
      </c>
      <c r="DR7" s="59" t="str">
        <f>Sheet8!AO15</f>
        <v>Dec-w4</v>
      </c>
    </row>
    <row r="8" spans="1:147">
      <c r="A8" s="22"/>
      <c r="D8" s="8" t="s">
        <v>555</v>
      </c>
      <c r="E8" s="8" t="s">
        <v>556</v>
      </c>
      <c r="F8" s="8" t="s">
        <v>557</v>
      </c>
      <c r="G8" s="8" t="s">
        <v>68</v>
      </c>
      <c r="H8" s="19">
        <f>VLOOKUP($G$8&amp;$G$1,'Input RM sheet'!$A:$BD,H1,0)</f>
        <v>1.1784076038003739</v>
      </c>
      <c r="I8" s="19">
        <f>VLOOKUP($G$8&amp;$G$1,'Input RM sheet'!$A:$BD,I1,0)</f>
        <v>1.1581715799493948</v>
      </c>
      <c r="J8" s="19">
        <f>VLOOKUP($G$8&amp;$G$1,'Input RM sheet'!$A:$BD,J1,0)</f>
        <v>1.1163584398313084</v>
      </c>
      <c r="K8" s="19">
        <f>VLOOKUP($G$8&amp;$G$1,'Input RM sheet'!$A:$BD,K1,0)</f>
        <v>0.94952529268093733</v>
      </c>
      <c r="L8" s="19">
        <f>VLOOKUP($G$8&amp;$G$1,'Input RM sheet'!$A:$BD,L1,0)</f>
        <v>1.2051355188756561</v>
      </c>
      <c r="M8" s="19">
        <f>VLOOKUP($G$8&amp;$G$1,'Input RM sheet'!$A:$BD,M1,0)</f>
        <v>1.1097750932571715</v>
      </c>
      <c r="N8" s="19">
        <f>VLOOKUP($G$8&amp;$G$1,'Input RM sheet'!$A:$BD,N1,0)</f>
        <v>0.90714941123433701</v>
      </c>
      <c r="O8" s="19">
        <f>VLOOKUP($G$8&amp;$G$1,'Input RM sheet'!$A:$BD,O1,0)</f>
        <v>1.0272154658542818</v>
      </c>
      <c r="P8" s="19">
        <f>VLOOKUP($G$8&amp;$G$1,'Input RM sheet'!$A:$BD,P1,0)</f>
        <v>0.88309234588671048</v>
      </c>
      <c r="Q8" s="19">
        <f>VLOOKUP($G$8&amp;$G$1,'Input RM sheet'!$A:$BD,Q1,0)</f>
        <v>0.81422544168833244</v>
      </c>
      <c r="R8" s="19">
        <f>VLOOKUP($G$8&amp;$G$1,'Input RM sheet'!$A:$BD,R1,0)</f>
        <v>0.81402518300498761</v>
      </c>
      <c r="S8" s="19">
        <f>VLOOKUP($G$8&amp;$G$1,'Input RM sheet'!$A:$BD,S1,0)</f>
        <v>0.80551253333582085</v>
      </c>
      <c r="T8" s="19">
        <f>VLOOKUP($G$8&amp;$G$1,'Input RM sheet'!$A:$BD,T1,0)</f>
        <v>0.88693569611730594</v>
      </c>
      <c r="U8" s="19">
        <f>VLOOKUP($G$8&amp;$G$1,'Input RM sheet'!$A:$BD,U1,0)</f>
        <v>0.87395210935680478</v>
      </c>
      <c r="V8" s="19">
        <f>VLOOKUP($G$8&amp;$G$1,'Input RM sheet'!$A:$BD,V1,0)</f>
        <v>1.000993544882022</v>
      </c>
      <c r="W8" s="19">
        <f>VLOOKUP($G$8&amp;$G$1,'Input RM sheet'!$A:$BD,W1,0)</f>
        <v>1.1519594179357699</v>
      </c>
      <c r="X8" s="19">
        <f>VLOOKUP($G$8&amp;$G$1,'Input RM sheet'!$A:$BD,X1,0)</f>
        <v>1.9833783027638483</v>
      </c>
      <c r="Y8" s="19">
        <f>VLOOKUP($G$8&amp;$G$1,'Input RM sheet'!$A:$BD,Y1,0)</f>
        <v>1.3818268376736904</v>
      </c>
      <c r="Z8" s="19">
        <f>VLOOKUP($G$8&amp;$G$1,'Input RM sheet'!$A:$BD,Z1,0)</f>
        <v>1.3608739991321743</v>
      </c>
      <c r="AA8" s="19">
        <f>VLOOKUP($G$8&amp;$G$1,'Input RM sheet'!$A:$BD,AA1,0)</f>
        <v>1.4707497216721062</v>
      </c>
      <c r="AB8" s="19">
        <f>VLOOKUP($G$8&amp;$G$1,'Input RM sheet'!$A:$BD,AB1,0)</f>
        <v>1.4269011373687563</v>
      </c>
      <c r="AC8" s="19">
        <f>VLOOKUP($G$8&amp;$G$1,'Input RM sheet'!$A:$BD,AC1,0)</f>
        <v>1.4286897826495313</v>
      </c>
      <c r="AD8" s="19">
        <f>VLOOKUP($G$8&amp;$G$1,'Input RM sheet'!$A:$BD,AD1,0)</f>
        <v>1.6629754668583374</v>
      </c>
      <c r="AE8" s="19">
        <f>VLOOKUP($G$8&amp;$G$1,'Input RM sheet'!$A:$BD,AE1,0)</f>
        <v>1.4152031714317914</v>
      </c>
      <c r="AF8" s="19">
        <f>VLOOKUP($G$8&amp;$G$1,'Input RM sheet'!$A:$BD,AF1,0)</f>
        <v>1.5029287931089226</v>
      </c>
      <c r="AG8" s="19">
        <f>VLOOKUP($G$8&amp;$G$1,'Input RM sheet'!$A:$BD,AG1,0)</f>
        <v>1.6588430958368658</v>
      </c>
      <c r="AH8" s="19">
        <f>VLOOKUP($G$8&amp;$G$1,'Input RM sheet'!$A:$BD,AH1,0)</f>
        <v>1.6455392733640721</v>
      </c>
      <c r="AI8" s="19">
        <f>VLOOKUP($G$8&amp;$G$1,'Input RM sheet'!$A:$BD,AI1,0)</f>
        <v>1.6880191762117951</v>
      </c>
      <c r="AJ8" s="19">
        <f>VLOOKUP($G$8&amp;$G$1,'Input RM sheet'!$A:$BD,AJ1,0)</f>
        <v>1.8986910789321898</v>
      </c>
      <c r="AK8" s="19">
        <f>VLOOKUP($G$8&amp;$G$1,'Input RM sheet'!$A:$BD,AK1,0)</f>
        <v>1.939705005661905</v>
      </c>
      <c r="AL8" s="19">
        <f>VLOOKUP($G$8&amp;$G$1,'Input RM sheet'!$A:$BD,AL1,0)</f>
        <v>2.0180120544072109</v>
      </c>
      <c r="AM8" s="19">
        <f>VLOOKUP($G$8&amp;$G$1,'Input RM sheet'!$A:$BD,AM1,0)</f>
        <v>1.7776820383768484</v>
      </c>
      <c r="AN8" s="19">
        <f>VLOOKUP($G$8&amp;$G$1,'Input RM sheet'!$A:$BD,AN1,0)</f>
        <v>1.9188085430709374</v>
      </c>
      <c r="AO8" s="19">
        <f>VLOOKUP($G$8&amp;$G$1,'Input RM sheet'!$A:$BD,AO1,0)</f>
        <v>1.6464950247078409</v>
      </c>
      <c r="AP8" s="19">
        <f>VLOOKUP($G$8&amp;$G$1,'Input RM sheet'!$A:$BD,AP1,0)</f>
        <v>2.0833182912040624</v>
      </c>
      <c r="AQ8" s="19">
        <f>VLOOKUP($G$8&amp;$G$1,'Input RM sheet'!$A:$BD,AQ1,0)</f>
        <v>2.0088489010989012</v>
      </c>
      <c r="AR8" s="19">
        <f>VLOOKUP($G$8&amp;$G$1,'Input RM sheet'!$A:$BD,AR1,0)</f>
        <v>1.8546604719447131</v>
      </c>
      <c r="AS8" s="19">
        <f>VLOOKUP($G$8&amp;$G$1,'Input RM sheet'!$A:$BD,AS1,0)</f>
        <v>1.4344275607746728</v>
      </c>
      <c r="AT8" s="19">
        <f>VLOOKUP($G$8&amp;$G$1,'Input RM sheet'!$A:$BD,AT1,0)</f>
        <v>1.3644331809525261</v>
      </c>
      <c r="AU8" s="19">
        <f>VLOOKUP($G$8&amp;$G$1,'Input RM sheet'!$A:$BD,AU1,0)</f>
        <v>1.41</v>
      </c>
      <c r="AV8" s="19">
        <f>VLOOKUP($G$8&amp;$G$1,'Input RM sheet'!$A:$BD,AV1,0)</f>
        <v>1.56</v>
      </c>
      <c r="AW8" s="19">
        <f>VLOOKUP($G$8&amp;$G$1,'Input RM sheet'!$A:$BD,AW1,0)</f>
        <v>1.6</v>
      </c>
      <c r="AX8" s="19">
        <f>VLOOKUP($G$8&amp;$G$1,'Input RM sheet'!$A:$BD,AX1,0)</f>
        <v>1.6</v>
      </c>
      <c r="AY8" s="19">
        <f>VLOOKUP($G$8&amp;$G$1,'Input RM sheet'!$A:$BD,AY1,0)</f>
        <v>1.6</v>
      </c>
      <c r="AZ8" s="19">
        <f>VLOOKUP($G$8&amp;$G$1,'Input RM sheet'!$A:$BD,AZ1,0)</f>
        <v>1.6</v>
      </c>
      <c r="BA8" s="19">
        <f>VLOOKUP($G$8&amp;$G$1,'Input RM sheet'!$A:$BD,BA1,0)</f>
        <v>1.64</v>
      </c>
      <c r="BB8" s="19">
        <f>VLOOKUP($G$8&amp;$G$1,'Input RM sheet'!$A:$BD,BB1,0)</f>
        <v>1.6</v>
      </c>
      <c r="BC8" s="19">
        <f>VLOOKUP($G$8&amp;$G$1,'Input RM sheet'!$A:$BD,BC1,0)</f>
        <v>1.6</v>
      </c>
      <c r="BD8" s="19">
        <f>VLOOKUP($G$8&amp;$G$1,'Input RM sheet'!$A:$BD,BD1,0)</f>
        <v>1.58</v>
      </c>
      <c r="BE8" s="19">
        <f>VLOOKUP($G$8&amp;$G$1,'Input RM sheet'!$A:$BD,BE1,0)</f>
        <v>1.58</v>
      </c>
      <c r="BF8" s="19">
        <f>VLOOKUP($G$8&amp;$G$1,'Input RM sheet'!$A:$DD,BF1,0)</f>
        <v>1.58</v>
      </c>
      <c r="BG8" s="19">
        <f>VLOOKUP($G$8&amp;$G$1,'Input RM sheet'!$A:$DD,BG1,0)</f>
        <v>1.58</v>
      </c>
      <c r="BH8" s="19">
        <f>VLOOKUP($G$8&amp;$G$1,'Input RM sheet'!$A:$DD,BH1,0)</f>
        <v>1.58</v>
      </c>
      <c r="BI8" s="19">
        <f>VLOOKUP($G$8&amp;$G$1,'Input RM sheet'!$A:$DD,BI1,0)</f>
        <v>1.58</v>
      </c>
      <c r="BJ8" s="19">
        <f>VLOOKUP($G$8&amp;$G$1,'Input RM sheet'!$A:$DD,BJ1,0)</f>
        <v>1.58</v>
      </c>
      <c r="BK8" s="19">
        <f>VLOOKUP($G$8&amp;$G$1,'Input RM sheet'!$A:$DD,BK1,0)</f>
        <v>1.58</v>
      </c>
      <c r="BL8" s="19">
        <f>VLOOKUP($G$8&amp;$G$1,'Input RM sheet'!$A:$DD,BL1,0)</f>
        <v>1.47</v>
      </c>
      <c r="BM8" s="19">
        <f>VLOOKUP($G$8&amp;$G$1,'Input RM sheet'!$A:$DD,BM1,0)</f>
        <v>1.2</v>
      </c>
      <c r="BN8" s="19">
        <f>VLOOKUP($G$8&amp;$G$1,'Input RM sheet'!$A:$DD,BN1,0)</f>
        <v>1.3</v>
      </c>
      <c r="BO8" s="19">
        <f>VLOOKUP($G$8&amp;$G$1,'Input RM sheet'!$A:$DD,BO1,0)</f>
        <v>1.4</v>
      </c>
      <c r="BP8" s="19">
        <v>1.3</v>
      </c>
      <c r="BQ8" s="19">
        <f>VLOOKUP($G$8&amp;$G$1,'Input RM sheet'!$A:$DD,BQ1,0)</f>
        <v>1.4</v>
      </c>
      <c r="BR8" s="19">
        <f>VLOOKUP($G$8&amp;$G$1,'Input RM sheet'!$A:$DD,BR1,0)</f>
        <v>1.4</v>
      </c>
      <c r="BS8" s="19">
        <f>VLOOKUP($G$8&amp;$G$1,'Input RM sheet'!$A:$DD,BS1,0)</f>
        <v>1.4</v>
      </c>
      <c r="BT8" s="19">
        <f>VLOOKUP($G$8&amp;$G$1,'Input RM sheet'!$A:$DD,BT1,0)</f>
        <v>1.21</v>
      </c>
      <c r="BU8" s="19">
        <f>VLOOKUP($G$8&amp;$G$1,'Input RM sheet'!$A:$DD,BU1,0)</f>
        <v>1.21</v>
      </c>
      <c r="BV8" s="19">
        <f>VLOOKUP($G$8&amp;$G$1,'Input RM sheet'!$A:$DD,BV1,0)</f>
        <v>1.21</v>
      </c>
      <c r="BW8" s="19">
        <f>VLOOKUP($G$8&amp;$G$1,'Input RM sheet'!$A:$DD,BW1,0)</f>
        <v>1.21</v>
      </c>
      <c r="BX8" s="19">
        <f>VLOOKUP($G$8&amp;$G$1,'Input RM sheet'!$A:$DD,BX1,0)</f>
        <v>1.21</v>
      </c>
      <c r="BY8" s="19">
        <f>VLOOKUP($G$8&amp;$G$1,'Input RM sheet'!$A:$DD,BY1,0)</f>
        <v>1.21</v>
      </c>
      <c r="BZ8" s="19">
        <f>VLOOKUP($G$8&amp;$G$1,'Input RM sheet'!$A:$DD,BZ1,0)</f>
        <v>1.21</v>
      </c>
      <c r="CA8" s="19">
        <f>VLOOKUP($G$8&amp;$G$1,'Input RM sheet'!$A:$DD,CA1,0)</f>
        <v>1.21</v>
      </c>
      <c r="CB8" s="19">
        <f>VLOOKUP($G$8&amp;$G$1,'Input RM sheet'!$A:$DD,CB1,0)</f>
        <v>1.49</v>
      </c>
      <c r="CC8" s="19">
        <f>VLOOKUP($G$8&amp;$G$1,'Input RM sheet'!$A:$DD,CC1,0)</f>
        <v>1.49</v>
      </c>
      <c r="CD8" s="19">
        <f>VLOOKUP($G$8&amp;$G$1,'Input RM sheet'!$A:$DD,CD1,0)</f>
        <v>1.49</v>
      </c>
      <c r="CE8" s="19">
        <f>VLOOKUP($G$8&amp;$G$1,'Input RM sheet'!$A:$DD,CE1,0)</f>
        <v>1.49</v>
      </c>
      <c r="CF8" s="19">
        <f>VLOOKUP($G$8&amp;$G$1,'Input RM sheet'!$A:$DD,CF1,0)</f>
        <v>1.49</v>
      </c>
      <c r="CG8" s="19">
        <f>VLOOKUP($G$8&amp;$G$1,'Input RM sheet'!$A:$DD,CG1,0)</f>
        <v>1.49</v>
      </c>
      <c r="CH8" s="19">
        <f>VLOOKUP($G$8&amp;$G$1,'Input RM sheet'!$A:$DD,CH1,0)</f>
        <v>1.49</v>
      </c>
      <c r="CI8" s="19">
        <f>VLOOKUP($G$8&amp;$G$1,'Input RM sheet'!$A:$DD,CI1,0)</f>
        <v>1.49</v>
      </c>
      <c r="CJ8" s="19">
        <f>VLOOKUP($G$8&amp;$G$1,'Input RM sheet'!$A:$DD,CJ1,0)</f>
        <v>1.49</v>
      </c>
      <c r="CK8" s="19">
        <f>VLOOKUP($G$8&amp;$G$1,'Input RM sheet'!$A:$DD,CK1,0)</f>
        <v>1.49</v>
      </c>
      <c r="CL8" s="19">
        <f>VLOOKUP($G$8&amp;$G$1,'Input RM sheet'!$A:$DD,CL1,0)</f>
        <v>1.49</v>
      </c>
      <c r="CM8" s="19">
        <f>VLOOKUP($G$8&amp;$G$1,'Input RM sheet'!$A:$DD,CM1,0)</f>
        <v>1.49</v>
      </c>
      <c r="CN8" s="19">
        <f>VLOOKUP($G$8&amp;$G$1,'Input RM sheet'!$A:$DD,CN1,0)</f>
        <v>1.49</v>
      </c>
      <c r="CO8" s="19">
        <f>VLOOKUP($G$8&amp;$G$1,'Input RM sheet'!$A:$DD,CO1,0)</f>
        <v>1.49</v>
      </c>
      <c r="CP8" s="19">
        <f>VLOOKUP($G$8&amp;$G$1,'Input RM sheet'!$A:$DD,CP1,0)</f>
        <v>1.49</v>
      </c>
      <c r="CQ8" s="19">
        <f>VLOOKUP($G$8&amp;$G$1,'Input RM sheet'!$A:$DD,CQ1,0)</f>
        <v>1.49</v>
      </c>
      <c r="CR8" s="19">
        <f>VLOOKUP($G$8&amp;$G$1,'Input RM sheet'!$A:$DD,CR1,0)</f>
        <v>1.5</v>
      </c>
      <c r="CS8" s="19">
        <f>VLOOKUP($G$8&amp;$G$1,'Input RM sheet'!$A:$DD,CS1,0)</f>
        <v>1.49</v>
      </c>
      <c r="CT8" s="19">
        <f>VLOOKUP($G$8&amp;$G$1,'Input RM sheet'!$A:$DD,CT1,0)</f>
        <v>1.49</v>
      </c>
      <c r="CU8" s="19">
        <f>VLOOKUP($G$8&amp;$G$1,'Input RM sheet'!$A:$DD,CU1,0)</f>
        <v>1.49</v>
      </c>
      <c r="CV8" s="19">
        <f>VLOOKUP($G$8&amp;$G$1,'Input RM sheet'!$A:$DD,CV1,0)</f>
        <v>1.49</v>
      </c>
      <c r="CW8" s="19">
        <f>VLOOKUP($G$8&amp;$G$1,'Input RM sheet'!$A:$ZZ,CW1,0)</f>
        <v>1.49</v>
      </c>
      <c r="CX8" s="19">
        <f>VLOOKUP($G$8&amp;$G$1,'Input RM sheet'!$A:$ZZ,CX1,0)</f>
        <v>1.49</v>
      </c>
      <c r="CY8" s="19">
        <f>VLOOKUP($G$8&amp;$G$1,'Input RM sheet'!$A:$ZZ,CY1,0)</f>
        <v>1.49</v>
      </c>
      <c r="CZ8" s="19">
        <f>VLOOKUP($G$8&amp;$G$1,'Input RM sheet'!$A:$ZZ,CZ1,0)</f>
        <v>1.49</v>
      </c>
      <c r="DA8" s="19">
        <f>VLOOKUP($G$8&amp;$G$1,'Input RM sheet'!$A:$ZZ,DA1,0)</f>
        <v>1.49</v>
      </c>
      <c r="DB8" s="19">
        <f>VLOOKUP($G$8&amp;$G$1,'Input RM sheet'!$A:$ZZ,DB1,0)</f>
        <v>1.49</v>
      </c>
      <c r="DC8" s="19">
        <f>VLOOKUP($G$8&amp;$G$1,'Input RM sheet'!$A:$ZZ,DC1,0)</f>
        <v>1.49</v>
      </c>
      <c r="DD8" s="19">
        <f>VLOOKUP($G$8&amp;$G$1,'Input RM sheet'!$A:$ZZ,DD1,0)</f>
        <v>1.49</v>
      </c>
      <c r="DE8" s="19">
        <f>VLOOKUP($G$8&amp;$G$1,'Input RM sheet'!$A:$ZZ,DE1,0)</f>
        <v>1.49</v>
      </c>
      <c r="DF8" s="19">
        <f>VLOOKUP($G$8&amp;$G$1,'Input RM sheet'!$A:$ZZ,DF1,0)</f>
        <v>1.49</v>
      </c>
      <c r="DG8" s="19">
        <f>VLOOKUP($G$8&amp;$G$1,'Input RM sheet'!$A:$ZZ,DG1,0)</f>
        <v>1.49</v>
      </c>
      <c r="DH8" s="19">
        <f>VLOOKUP($G$8&amp;$G$1,'Input RM sheet'!$A:$ZZ,DH1,0)</f>
        <v>1.49</v>
      </c>
      <c r="DI8" s="19">
        <f>VLOOKUP($G$8&amp;$G$1,'Input RM sheet'!$A:$ZZ,DI1,0)</f>
        <v>1.58</v>
      </c>
      <c r="DJ8" s="19">
        <f>VLOOKUP($G$8&amp;$G$1,'Input RM sheet'!$A:$ZZ,DJ1,0)</f>
        <v>1.58</v>
      </c>
      <c r="DK8" s="19">
        <f>VLOOKUP($G$8&amp;$G$1,'Input RM sheet'!$A:$ZZ,DK1,0)</f>
        <v>1.58</v>
      </c>
      <c r="DL8" s="19">
        <f>VLOOKUP($G$8&amp;$G$1,'Input RM sheet'!$A:$ZZ,DL1,0)</f>
        <v>1.45</v>
      </c>
      <c r="DM8" s="19">
        <f>VLOOKUP($G$8&amp;$G$1,'Input RM sheet'!$A:$ZZ,DM1,0)</f>
        <v>1.45</v>
      </c>
      <c r="DN8" s="19">
        <f>VLOOKUP($G$8&amp;$G$1,'Input RM sheet'!$A:$ZZ,DN1,0)</f>
        <v>1.45</v>
      </c>
      <c r="DO8" s="19">
        <f>VLOOKUP($G$8&amp;$G$1,'Input RM sheet'!$A:$ZZ,DO1,0)</f>
        <v>1.45</v>
      </c>
      <c r="DP8" s="19">
        <f>VLOOKUP($G$8&amp;$G$1,'Input RM sheet'!$A:$ZZ,DP1,0)</f>
        <v>1.56</v>
      </c>
      <c r="DQ8" s="19">
        <f>VLOOKUP($G$8&amp;$G$1,'Input RM sheet'!$A:$ZZ,DQ1,0)</f>
        <v>1.56</v>
      </c>
      <c r="DR8" s="19">
        <f>VLOOKUP($G$8&amp;$G$1,'Input RM sheet'!$A:$ZZ,DR1,0)</f>
        <v>1.56</v>
      </c>
    </row>
    <row r="9" spans="1:147">
      <c r="A9" s="35"/>
      <c r="E9" s="8" t="s">
        <v>474</v>
      </c>
      <c r="F9" s="8" t="s">
        <v>534</v>
      </c>
      <c r="G9" s="8" t="s">
        <v>67</v>
      </c>
      <c r="H9" s="26">
        <f>VLOOKUP($G$9&amp;$G$1,'Input RM sheet'!$A:$BD,H1,0)</f>
        <v>865</v>
      </c>
      <c r="I9" s="26">
        <f>VLOOKUP($G$9&amp;$G$1,'Input RM sheet'!$A:$BD,I1,0)</f>
        <v>920</v>
      </c>
      <c r="J9" s="26">
        <f>VLOOKUP($G$9&amp;$G$1,'Input RM sheet'!$A:$BD,J1,0)</f>
        <v>795</v>
      </c>
      <c r="K9" s="26">
        <f>VLOOKUP($G$9&amp;$G$1,'Input RM sheet'!$A:$BD,K1,0)</f>
        <v>665</v>
      </c>
      <c r="L9" s="26">
        <f>VLOOKUP($G$9&amp;$G$1,'Input RM sheet'!$A:$BD,L1,0)</f>
        <v>700</v>
      </c>
      <c r="M9" s="26">
        <f>VLOOKUP($G$9&amp;$G$1,'Input RM sheet'!$A:$BD,M1,0)</f>
        <v>840</v>
      </c>
      <c r="N9" s="26">
        <f>VLOOKUP($G$9&amp;$G$1,'Input RM sheet'!$A:$BD,N1,0)</f>
        <v>630</v>
      </c>
      <c r="O9" s="26">
        <f>VLOOKUP($G$9&amp;$G$1,'Input RM sheet'!$A:$BD,O1,0)</f>
        <v>625</v>
      </c>
      <c r="P9" s="26">
        <f>VLOOKUP($G$9&amp;$G$1,'Input RM sheet'!$A:$BD,P1,0)</f>
        <v>625</v>
      </c>
      <c r="Q9" s="26">
        <f>VLOOKUP($G$9&amp;$G$1,'Input RM sheet'!$A:$BD,Q1,0)</f>
        <v>645</v>
      </c>
      <c r="R9" s="26">
        <f>VLOOKUP($G$9&amp;$G$1,'Input RM sheet'!$A:$BD,R1,0)</f>
        <v>750</v>
      </c>
      <c r="S9" s="26">
        <f>VLOOKUP($G$9&amp;$G$1,'Input RM sheet'!$A:$BD,S1,0)</f>
        <v>850</v>
      </c>
      <c r="T9" s="26">
        <f>VLOOKUP($G$9&amp;$G$1,'Input RM sheet'!$A:$BD,T1,0)</f>
        <v>875</v>
      </c>
      <c r="U9" s="26">
        <f>VLOOKUP($G$9&amp;$G$1,'Input RM sheet'!$A:$BD,U1,0)</f>
        <v>925</v>
      </c>
      <c r="V9" s="26">
        <f>VLOOKUP($G$9&amp;$G$1,'Input RM sheet'!$A:$BD,V1,0)</f>
        <v>1150</v>
      </c>
      <c r="W9" s="26">
        <f>VLOOKUP($G$9&amp;$G$1,'Input RM sheet'!$A:$BD,W1,0)</f>
        <v>1200</v>
      </c>
      <c r="X9" s="26">
        <f>VLOOKUP($G$9&amp;$G$1,'Input RM sheet'!$A:$BD,X1,0)</f>
        <v>1300</v>
      </c>
      <c r="Y9" s="26">
        <f>VLOOKUP($G$9&amp;$G$1,'Input RM sheet'!$A:$BD,Y1,0)</f>
        <v>1150</v>
      </c>
      <c r="Z9" s="26">
        <f>VLOOKUP($G$9&amp;$G$1,'Input RM sheet'!$A:$BD,Z1,0)</f>
        <v>1230</v>
      </c>
      <c r="AA9" s="26">
        <f>VLOOKUP($G$9&amp;$G$1,'Input RM sheet'!$A:$BD,AA1,0)</f>
        <v>1215</v>
      </c>
      <c r="AB9" s="26">
        <f>VLOOKUP($G$9&amp;$G$1,'Input RM sheet'!$A:$BD,AB1,0)</f>
        <v>1425</v>
      </c>
      <c r="AC9" s="26">
        <f>VLOOKUP($G$9&amp;$G$1,'Input RM sheet'!$A:$BD,AC1,0)</f>
        <v>1375</v>
      </c>
      <c r="AD9" s="26">
        <f>VLOOKUP($G$9&amp;$G$1,'Input RM sheet'!$A:$BD,AD1,0)</f>
        <v>1250</v>
      </c>
      <c r="AE9" s="26">
        <f>VLOOKUP($G$9&amp;$G$1,'Input RM sheet'!$A:$BD,AE1,0)</f>
        <v>1225</v>
      </c>
      <c r="AF9" s="26">
        <f>VLOOKUP($G$9&amp;$G$1,'Input RM sheet'!$A:$BD,AF1,0)</f>
        <v>1475</v>
      </c>
      <c r="AG9" s="26">
        <f>VLOOKUP($G$9&amp;$G$1,'Input RM sheet'!$A:$BD,AG1,0)</f>
        <v>1495</v>
      </c>
      <c r="AH9" s="26">
        <f>VLOOKUP($G$9&amp;$G$1,'Input RM sheet'!$A:$BD,AH1,0)</f>
        <v>1555</v>
      </c>
      <c r="AI9" s="26">
        <f>VLOOKUP($G$9&amp;$G$1,'Input RM sheet'!$A:$BD,AI1,0)</f>
        <v>1455</v>
      </c>
      <c r="AJ9" s="26">
        <f>VLOOKUP($G$9&amp;$G$1,'Input RM sheet'!$A:$BD,AJ1,0)</f>
        <v>1425</v>
      </c>
      <c r="AK9" s="26">
        <f>VLOOKUP($G$9&amp;$G$1,'Input RM sheet'!$A:$BD,AK1,0)</f>
        <v>1475</v>
      </c>
      <c r="AL9" s="26">
        <f>VLOOKUP($G$9&amp;$G$1,'Input RM sheet'!$A:$BD,AL1,0)</f>
        <v>1225</v>
      </c>
      <c r="AM9" s="26">
        <f>VLOOKUP($G$9&amp;$G$1,'Input RM sheet'!$A:$BD,AM1,0)</f>
        <v>1180</v>
      </c>
      <c r="AN9" s="26">
        <f>VLOOKUP($G$9&amp;$G$1,'Input RM sheet'!$A:$BD,AN1,0)</f>
        <v>1240</v>
      </c>
      <c r="AO9" s="26">
        <f>VLOOKUP($G$9&amp;$G$1,'Input RM sheet'!$A:$BD,AO1,0)</f>
        <v>1190</v>
      </c>
      <c r="AP9" s="26">
        <f>VLOOKUP($G$9&amp;$G$1,'Input RM sheet'!$A:$BD,AP1,0)</f>
        <v>1075</v>
      </c>
      <c r="AQ9" s="26">
        <f>VLOOKUP($G$9&amp;$G$1,'Input RM sheet'!$A:$BD,AQ1,0)</f>
        <v>955</v>
      </c>
      <c r="AR9" s="26">
        <f>VLOOKUP($G$9&amp;$G$1,'Input RM sheet'!$A:$BD,AR1,0)</f>
        <v>910</v>
      </c>
      <c r="AS9" s="26">
        <f>VLOOKUP($G$9&amp;$G$1,'Input RM sheet'!$A:$BD,AS1,0)</f>
        <v>1000</v>
      </c>
      <c r="AT9" s="26">
        <f>VLOOKUP($G$9&amp;$G$1,'Input RM sheet'!$A:$BD,AT1,0)</f>
        <v>940</v>
      </c>
      <c r="AU9" s="26">
        <f>VLOOKUP($G$9&amp;$G$1,'Input RM sheet'!$A:$BD,AU1,0)</f>
        <v>900</v>
      </c>
      <c r="AV9" s="26">
        <f>VLOOKUP($G$9&amp;$G$1,'Input RM sheet'!$A:$BD,AV1,0)</f>
        <v>880</v>
      </c>
      <c r="AW9" s="26">
        <f>VLOOKUP($G$9&amp;$G$1,'Input RM sheet'!$A:$BD,AW1,0)</f>
        <v>725</v>
      </c>
      <c r="AX9" s="26">
        <f>VLOOKUP($G$9&amp;$G$1,'Input RM sheet'!$A:$BD,AX1,0)</f>
        <v>725</v>
      </c>
      <c r="AY9" s="26">
        <f>VLOOKUP($G$9&amp;$G$1,'Input RM sheet'!$A:$BD,AY1,0)</f>
        <v>725</v>
      </c>
      <c r="AZ9" s="26">
        <f>VLOOKUP($G$9&amp;$G$1,'Input RM sheet'!$A:$BD,AZ1,0)</f>
        <v>725</v>
      </c>
      <c r="BA9" s="26">
        <f>VLOOKUP($G$9&amp;$G$1,'Input RM sheet'!$A:$BD,BA1,0)</f>
        <v>825</v>
      </c>
      <c r="BB9" s="26">
        <f>VLOOKUP($G$9&amp;$G$1,'Input RM sheet'!$A:$BD,BB1,0)</f>
        <v>825</v>
      </c>
      <c r="BC9" s="26">
        <f>VLOOKUP($G$9&amp;$G$1,'Input RM sheet'!$A:$BD,BC1,0)</f>
        <v>977.04</v>
      </c>
      <c r="BD9" s="26">
        <f>VLOOKUP($G$9&amp;$G$1,'Input RM sheet'!$A:$BD,BD1,0)</f>
        <v>925</v>
      </c>
      <c r="BE9" s="26">
        <f>VLOOKUP($G$9&amp;$G$1,'Input RM sheet'!$A:$BD,BE1,0)</f>
        <v>925</v>
      </c>
      <c r="BF9" s="26">
        <f>VLOOKUP($G$9&amp;$G$1,'Input RM sheet'!$A:$DD,BF1,0)</f>
        <v>925</v>
      </c>
      <c r="BG9" s="26">
        <f>VLOOKUP($G$9&amp;$G$1,'Input RM sheet'!$A:$DD,BG1,0)</f>
        <v>1050</v>
      </c>
      <c r="BH9" s="26">
        <f>VLOOKUP($G$9&amp;$G$1,'Input RM sheet'!$A:$DD,BH1,0)</f>
        <v>1050</v>
      </c>
      <c r="BI9" s="26">
        <f>VLOOKUP($G$9&amp;$G$1,'Input RM sheet'!$A:$DD,BI1,0)</f>
        <v>1050</v>
      </c>
      <c r="BJ9" s="26">
        <f>VLOOKUP($G$9&amp;$G$1,'Input RM sheet'!$A:$DD,BJ1,0)</f>
        <v>1075</v>
      </c>
      <c r="BK9" s="26">
        <f>VLOOKUP($G$9&amp;$G$1,'Input RM sheet'!$A:$DD,BK1,0)</f>
        <v>1075</v>
      </c>
      <c r="BL9" s="26">
        <f>VLOOKUP($G$9&amp;$G$1,'Input RM sheet'!$A:$DD,BL1,0)</f>
        <v>1075</v>
      </c>
      <c r="BM9" s="26">
        <f>VLOOKUP($G$9&amp;$G$1,'Input RM sheet'!$A:$DD,BM1,0)</f>
        <v>975</v>
      </c>
      <c r="BN9" s="26">
        <f>VLOOKUP($G$9&amp;$G$1,'Input RM sheet'!$A:$DD,BN1,0)</f>
        <v>925</v>
      </c>
      <c r="BO9" s="26">
        <f>VLOOKUP($G$9&amp;$G$1,'Input RM sheet'!$A:$DD,BO1,0)</f>
        <v>925</v>
      </c>
      <c r="BP9" s="26">
        <v>1016</v>
      </c>
      <c r="BQ9" s="26">
        <f>VLOOKUP($G$9&amp;$G$1,'Input RM sheet'!$A:$DD,BQ1,0)</f>
        <v>925</v>
      </c>
      <c r="BR9" s="26">
        <f>VLOOKUP($G$9&amp;$G$1,'Input RM sheet'!$A:$DD,BR1,0)</f>
        <v>925</v>
      </c>
      <c r="BS9" s="26">
        <f>VLOOKUP($G$9&amp;$G$1,'Input RM sheet'!$A:$DD,BS1,0)</f>
        <v>925</v>
      </c>
      <c r="BT9" s="26">
        <f>VLOOKUP($G$9&amp;$G$1,'Input RM sheet'!$A:$DD,BT1,0)</f>
        <v>905</v>
      </c>
      <c r="BU9" s="26">
        <f>VLOOKUP($G$9&amp;$G$1,'Input RM sheet'!$A:$DD,BU1,0)</f>
        <v>905</v>
      </c>
      <c r="BV9" s="26">
        <f>VLOOKUP($G$9&amp;$G$1,'Input RM sheet'!$A:$DD,BV1,0)</f>
        <v>905</v>
      </c>
      <c r="BW9" s="26">
        <f>VLOOKUP($G$9&amp;$G$1,'Input RM sheet'!$A:$DD,BW1,0)</f>
        <v>905</v>
      </c>
      <c r="BX9" s="26">
        <f>VLOOKUP($G$9&amp;$G$1,'Input RM sheet'!$A:$DD,BX1,0)</f>
        <v>905</v>
      </c>
      <c r="BY9" s="26">
        <f>VLOOKUP($G$9&amp;$G$1,'Input RM sheet'!$A:$DD,BY1,0)</f>
        <v>865</v>
      </c>
      <c r="BZ9" s="26">
        <f>VLOOKUP($G$9&amp;$G$1,'Input RM sheet'!$A:$DD,BZ1,0)</f>
        <v>865</v>
      </c>
      <c r="CA9" s="26">
        <f>VLOOKUP($G$9&amp;$G$1,'Input RM sheet'!$A:$DD,CA1,0)</f>
        <v>865</v>
      </c>
      <c r="CB9" s="26">
        <f>VLOOKUP($G$9&amp;$G$1,'Input RM sheet'!$A:$DD,CB1,0)</f>
        <v>940</v>
      </c>
      <c r="CC9" s="26">
        <f>VLOOKUP($G$9&amp;$G$1,'Input RM sheet'!$A:$DD,CC1,0)</f>
        <v>940</v>
      </c>
      <c r="CD9" s="26">
        <f>VLOOKUP($G$9&amp;$G$1,'Input RM sheet'!$A:$DD,CD1,0)</f>
        <v>940</v>
      </c>
      <c r="CE9" s="26">
        <f>VLOOKUP($G$9&amp;$G$1,'Input RM sheet'!$A:$DD,CE1,0)</f>
        <v>940</v>
      </c>
      <c r="CF9" s="26">
        <f>VLOOKUP($G$9&amp;$G$1,'Input RM sheet'!$A:$DD,CF1,0)</f>
        <v>940</v>
      </c>
      <c r="CG9" s="26">
        <f>VLOOKUP($G$9&amp;$G$1,'Input RM sheet'!$A:$DD,CG1,0)</f>
        <v>910</v>
      </c>
      <c r="CH9" s="26">
        <f>VLOOKUP($G$9&amp;$G$1,'Input RM sheet'!$A:$DD,CH1,0)</f>
        <v>910</v>
      </c>
      <c r="CI9" s="26">
        <f>VLOOKUP($G$9&amp;$G$1,'Input RM sheet'!$A:$DD,CI1,0)</f>
        <v>910</v>
      </c>
      <c r="CJ9" s="26">
        <f>VLOOKUP($G$9&amp;$G$1,'Input RM sheet'!$A:$DD,CJ1,0)</f>
        <v>910</v>
      </c>
      <c r="CK9" s="26">
        <f>VLOOKUP($G$9&amp;$G$1,'Input RM sheet'!$A:$DD,CK1,0)</f>
        <v>945</v>
      </c>
      <c r="CL9" s="26">
        <f>VLOOKUP($G$9&amp;$G$1,'Input RM sheet'!$A:$DD,CL1,0)</f>
        <v>945</v>
      </c>
      <c r="CM9" s="26">
        <f>VLOOKUP($G$9&amp;$G$1,'Input RM sheet'!$A:$DD,CM1,0)</f>
        <v>945</v>
      </c>
      <c r="CN9" s="26">
        <f>VLOOKUP($G$9&amp;$G$1,'Input RM sheet'!$A:$DD,CN1,0)</f>
        <v>945</v>
      </c>
      <c r="CO9" s="26">
        <f>VLOOKUP($G$9&amp;$G$1,'Input RM sheet'!$A:$DD,CO1,0)</f>
        <v>945</v>
      </c>
      <c r="CP9" s="26">
        <f>VLOOKUP($G$9&amp;$G$1,'Input RM sheet'!$A:$DD,CP1,0)</f>
        <v>945</v>
      </c>
      <c r="CQ9" s="26">
        <f>VLOOKUP($G$9&amp;$G$1,'Input RM sheet'!$A:$DD,CQ1,0)</f>
        <v>910</v>
      </c>
      <c r="CR9" s="26">
        <f>VLOOKUP($G$9&amp;$G$1,'Input RM sheet'!$A:$DD,CR1,0)</f>
        <v>910</v>
      </c>
      <c r="CS9" s="26">
        <f>VLOOKUP($G$9&amp;$G$1,'Input RM sheet'!$A:$DD,CS1,0)</f>
        <v>910</v>
      </c>
      <c r="CT9" s="26">
        <f>VLOOKUP($G$9&amp;$G$1,'Input RM sheet'!$A:$DD,CT1,0)</f>
        <v>930</v>
      </c>
      <c r="CU9" s="26">
        <f>VLOOKUP($G$9&amp;$G$1,'Input RM sheet'!$A:$DD,CU1,0)</f>
        <v>930</v>
      </c>
      <c r="CV9" s="26">
        <f>VLOOKUP($G$9&amp;$G$1,'Input RM sheet'!$A:$DD,CV1,0)</f>
        <v>930</v>
      </c>
      <c r="CW9" s="26">
        <f>VLOOKUP($G$9&amp;$G$1,'Input RM sheet'!$A:$ZZ,CW1,0)</f>
        <v>930</v>
      </c>
      <c r="CX9" s="26">
        <f>VLOOKUP($G$9&amp;$G$1,'Input RM sheet'!$A:$ZZ,CX1,0)</f>
        <v>970</v>
      </c>
      <c r="CY9" s="26">
        <f>VLOOKUP($G$9&amp;$G$1,'Input RM sheet'!$A:$ZZ,CY1,0)</f>
        <v>1015</v>
      </c>
      <c r="CZ9" s="26">
        <f>VLOOKUP($G$9&amp;$G$1,'Input RM sheet'!$A:$ZZ,CZ1,0)</f>
        <v>1015</v>
      </c>
      <c r="DA9" s="26">
        <f>VLOOKUP($G$9&amp;$G$1,'Input RM sheet'!$A:$ZZ,DA1,0)</f>
        <v>1010</v>
      </c>
      <c r="DB9" s="26">
        <f>VLOOKUP($G$9&amp;$G$1,'Input RM sheet'!$A:$ZZ,DB1,0)</f>
        <v>1090</v>
      </c>
      <c r="DC9" s="26">
        <f>VLOOKUP($G$9&amp;$G$1,'Input RM sheet'!$A:$ZZ,DC1,0)</f>
        <v>1090</v>
      </c>
      <c r="DD9" s="26">
        <f>VLOOKUP($G$9&amp;$G$1,'Input RM sheet'!$A:$ZZ,DD1,0)</f>
        <v>1090</v>
      </c>
      <c r="DE9" s="26">
        <f>VLOOKUP($G$9&amp;$G$1,'Input RM sheet'!$A:$ZZ,DE1,0)</f>
        <v>1025</v>
      </c>
      <c r="DF9" s="26">
        <f>VLOOKUP($G$9&amp;$G$1,'Input RM sheet'!$A:$ZZ,DF1,0)</f>
        <v>1025</v>
      </c>
      <c r="DG9" s="26">
        <f>VLOOKUP($G$9&amp;$G$1,'Input RM sheet'!$A:$ZZ,DG1,0)</f>
        <v>985</v>
      </c>
      <c r="DH9" s="26">
        <f>VLOOKUP($G$9&amp;$G$1,'Input RM sheet'!$A:$ZZ,DH1,0)</f>
        <v>955</v>
      </c>
      <c r="DI9" s="26">
        <f>VLOOKUP($G$9&amp;$G$1,'Input RM sheet'!$A:$ZZ,DI1,0)</f>
        <v>905</v>
      </c>
      <c r="DJ9" s="26">
        <f>VLOOKUP($G$9&amp;$G$1,'Input RM sheet'!$A:$ZZ,DJ1,0)</f>
        <v>895</v>
      </c>
      <c r="DK9" s="26">
        <f>VLOOKUP($G$9&amp;$G$1,'Input RM sheet'!$A:$ZZ,DK1,0)</f>
        <v>895</v>
      </c>
      <c r="DL9" s="26">
        <f>VLOOKUP($G$9&amp;$G$1,'Input RM sheet'!$A:$ZZ,DL1,0)</f>
        <v>900</v>
      </c>
      <c r="DM9" s="26">
        <f>VLOOKUP($G$9&amp;$G$1,'Input RM sheet'!$A:$ZZ,DM1,0)</f>
        <v>910</v>
      </c>
      <c r="DN9" s="26">
        <f>VLOOKUP($G$9&amp;$G$1,'Input RM sheet'!$A:$ZZ,DN1,0)</f>
        <v>895</v>
      </c>
      <c r="DO9" s="26">
        <f>VLOOKUP($G$9&amp;$G$1,'Input RM sheet'!$A:$ZZ,DO1,0)</f>
        <v>895</v>
      </c>
      <c r="DP9" s="26">
        <f>VLOOKUP($G$9&amp;$G$1,'Input RM sheet'!$A:$ZZ,DP1,0)</f>
        <v>900</v>
      </c>
      <c r="DQ9" s="26">
        <f>VLOOKUP($G$9&amp;$G$1,'Input RM sheet'!$A:$ZZ,DQ1,0)</f>
        <v>900</v>
      </c>
      <c r="DR9" s="26">
        <f>VLOOKUP($G$9&amp;$G$1,'Input RM sheet'!$A:$ZZ,DR1,0)</f>
        <v>900</v>
      </c>
    </row>
    <row r="10" spans="1:147">
      <c r="A10" s="24" t="s">
        <v>395</v>
      </c>
      <c r="B10" s="24"/>
      <c r="C10" s="24" t="s">
        <v>379</v>
      </c>
      <c r="D10" s="24" t="s">
        <v>380</v>
      </c>
      <c r="E10" s="24" t="s">
        <v>381</v>
      </c>
      <c r="F10" s="24" t="s">
        <v>396</v>
      </c>
      <c r="G10" s="8" t="s">
        <v>399</v>
      </c>
      <c r="H10" s="120"/>
      <c r="I10" s="120"/>
      <c r="J10" s="120"/>
      <c r="K10" s="120"/>
      <c r="L10" s="120"/>
      <c r="M10" s="120"/>
      <c r="N10" s="120"/>
      <c r="O10" s="120"/>
      <c r="P10" s="120"/>
      <c r="Q10" s="120"/>
      <c r="R10" s="120"/>
      <c r="S10" s="120"/>
      <c r="T10" s="120"/>
      <c r="U10" s="120"/>
      <c r="V10" s="120"/>
    </row>
    <row r="11" spans="1:147">
      <c r="A11" s="379" t="s">
        <v>397</v>
      </c>
      <c r="B11" s="8" t="s">
        <v>550</v>
      </c>
      <c r="C11" s="8">
        <v>1</v>
      </c>
      <c r="D11" s="18">
        <v>128.25</v>
      </c>
      <c r="E11" s="8">
        <f>D11*C11</f>
        <v>128.25</v>
      </c>
      <c r="F11" s="20">
        <f>E11/$D$4</f>
        <v>0.5820285908781484</v>
      </c>
      <c r="H11" s="19">
        <f>$F$11*H8</f>
        <v>0.68586691712002701</v>
      </c>
      <c r="I11" s="19">
        <f t="shared" ref="I11:AV11" si="0">$F$11*I8</f>
        <v>0.674088972673065</v>
      </c>
      <c r="J11" s="19">
        <f t="shared" si="0"/>
        <v>0.64975252964994468</v>
      </c>
      <c r="K11" s="19">
        <f t="shared" si="0"/>
        <v>0.55265086810224739</v>
      </c>
      <c r="L11" s="19">
        <f t="shared" si="0"/>
        <v>0.70142332786840433</v>
      </c>
      <c r="M11" s="19">
        <f t="shared" si="0"/>
        <v>0.64592083372013731</v>
      </c>
      <c r="N11" s="19">
        <f t="shared" si="0"/>
        <v>0.52798689353666317</v>
      </c>
      <c r="O11" s="19">
        <f t="shared" si="0"/>
        <v>0.59786877011940842</v>
      </c>
      <c r="P11" s="19">
        <f t="shared" si="0"/>
        <v>0.51398499369172057</v>
      </c>
      <c r="Q11" s="19">
        <f>$F$11*Q8</f>
        <v>0.4739024864829981</v>
      </c>
      <c r="R11" s="19">
        <f t="shared" si="0"/>
        <v>0.47378593020371979</v>
      </c>
      <c r="S11" s="19">
        <f t="shared" si="0"/>
        <v>0.46883132471213534</v>
      </c>
      <c r="T11" s="19">
        <f t="shared" si="0"/>
        <v>0.51622193341068523</v>
      </c>
      <c r="U11" s="19">
        <f t="shared" si="0"/>
        <v>0.5086651147039265</v>
      </c>
      <c r="V11" s="19">
        <f t="shared" si="0"/>
        <v>0.58260686240580584</v>
      </c>
      <c r="W11" s="19">
        <f t="shared" si="0"/>
        <v>0.67047331676996824</v>
      </c>
      <c r="X11" s="19">
        <f t="shared" si="0"/>
        <v>1.1543828787359363</v>
      </c>
      <c r="Y11" s="19">
        <f t="shared" si="0"/>
        <v>0.80426272716882596</v>
      </c>
      <c r="Z11" s="19">
        <f t="shared" si="0"/>
        <v>0.79206757607761002</v>
      </c>
      <c r="AA11" s="19">
        <f t="shared" si="0"/>
        <v>0.8560183880392449</v>
      </c>
      <c r="AB11" s="19">
        <f t="shared" si="0"/>
        <v>0.83049725830516452</v>
      </c>
      <c r="AC11" s="19">
        <f t="shared" si="0"/>
        <v>0.8315383009975148</v>
      </c>
      <c r="AD11" s="19">
        <f t="shared" si="0"/>
        <v>0.96789926764048906</v>
      </c>
      <c r="AE11" s="19">
        <f t="shared" si="0"/>
        <v>0.82368870767473223</v>
      </c>
      <c r="AF11" s="19">
        <f t="shared" si="0"/>
        <v>0.87474752764338248</v>
      </c>
      <c r="AG11" s="19">
        <f t="shared" si="0"/>
        <v>0.96549410955787629</v>
      </c>
      <c r="AH11" s="19">
        <f t="shared" si="0"/>
        <v>0.95775090451074318</v>
      </c>
      <c r="AI11" s="19">
        <f t="shared" si="0"/>
        <v>0.98247542250584396</v>
      </c>
      <c r="AJ11" s="19">
        <f t="shared" si="0"/>
        <v>1.1050924931838138</v>
      </c>
      <c r="AK11" s="19">
        <f t="shared" si="0"/>
        <v>1.1289637711646894</v>
      </c>
      <c r="AL11" s="19">
        <f t="shared" si="0"/>
        <v>1.1745407124017462</v>
      </c>
      <c r="AM11" s="19">
        <f t="shared" si="0"/>
        <v>1.0346617718258715</v>
      </c>
      <c r="AN11" s="19">
        <f t="shared" si="0"/>
        <v>1.1168014324885307</v>
      </c>
      <c r="AO11" s="19">
        <f t="shared" si="0"/>
        <v>0.95830717911858676</v>
      </c>
      <c r="AP11" s="19">
        <f t="shared" si="0"/>
        <v>1.2125508093801725</v>
      </c>
      <c r="AQ11" s="19">
        <f t="shared" si="0"/>
        <v>1.1692074951937104</v>
      </c>
      <c r="AR11" s="19">
        <f t="shared" si="0"/>
        <v>1.0794654210433829</v>
      </c>
      <c r="AS11" s="19">
        <f t="shared" si="0"/>
        <v>0.8348778519144624</v>
      </c>
      <c r="AT11" s="19">
        <f t="shared" si="0"/>
        <v>0.79413912165718847</v>
      </c>
      <c r="AU11" s="19">
        <f t="shared" si="0"/>
        <v>0.82066031313818921</v>
      </c>
      <c r="AV11" s="19">
        <f t="shared" si="0"/>
        <v>0.90796460176991156</v>
      </c>
      <c r="AW11" s="19">
        <f t="shared" ref="AW11:BM11" si="1">$F$11*AW8</f>
        <v>0.93124574540503746</v>
      </c>
      <c r="AX11" s="19">
        <f t="shared" si="1"/>
        <v>0.93124574540503746</v>
      </c>
      <c r="AY11" s="19">
        <f t="shared" si="1"/>
        <v>0.93124574540503746</v>
      </c>
      <c r="AZ11" s="19">
        <f t="shared" si="1"/>
        <v>0.93124574540503746</v>
      </c>
      <c r="BA11" s="19">
        <f t="shared" si="1"/>
        <v>0.95452688904016336</v>
      </c>
      <c r="BB11" s="19">
        <f t="shared" si="1"/>
        <v>0.93124574540503746</v>
      </c>
      <c r="BC11" s="19">
        <f t="shared" si="1"/>
        <v>0.93124574540503746</v>
      </c>
      <c r="BD11" s="19">
        <f t="shared" si="1"/>
        <v>0.91960517358747451</v>
      </c>
      <c r="BE11" s="19">
        <f t="shared" si="1"/>
        <v>0.91960517358747451</v>
      </c>
      <c r="BF11" s="19">
        <f t="shared" si="1"/>
        <v>0.91960517358747451</v>
      </c>
      <c r="BG11" s="19">
        <f t="shared" si="1"/>
        <v>0.91960517358747451</v>
      </c>
      <c r="BH11" s="19">
        <f t="shared" si="1"/>
        <v>0.91960517358747451</v>
      </c>
      <c r="BI11" s="19">
        <f t="shared" si="1"/>
        <v>0.91960517358747451</v>
      </c>
      <c r="BJ11" s="19">
        <f t="shared" si="1"/>
        <v>0.91960517358747451</v>
      </c>
      <c r="BK11" s="19">
        <f t="shared" si="1"/>
        <v>0.91960517358747451</v>
      </c>
      <c r="BL11" s="19">
        <f t="shared" si="1"/>
        <v>0.85558202859087817</v>
      </c>
      <c r="BM11" s="19">
        <f t="shared" si="1"/>
        <v>0.69843430905377801</v>
      </c>
      <c r="BN11" s="19">
        <f t="shared" ref="BN11:BU11" si="2">$F$11*BN8</f>
        <v>0.75663716814159299</v>
      </c>
      <c r="BO11" s="19">
        <f t="shared" si="2"/>
        <v>0.81484002722940774</v>
      </c>
      <c r="BP11" s="19">
        <f t="shared" si="2"/>
        <v>0.75663716814159299</v>
      </c>
      <c r="BQ11" s="19">
        <f t="shared" si="2"/>
        <v>0.81484002722940774</v>
      </c>
      <c r="BR11" s="19">
        <f t="shared" si="2"/>
        <v>0.81484002722940774</v>
      </c>
      <c r="BS11" s="19">
        <f t="shared" si="2"/>
        <v>0.81484002722940774</v>
      </c>
      <c r="BT11" s="19">
        <f t="shared" si="2"/>
        <v>0.70425459496255949</v>
      </c>
      <c r="BU11" s="19">
        <f t="shared" si="2"/>
        <v>0.70425459496255949</v>
      </c>
      <c r="BV11" s="19">
        <f t="shared" ref="BV11:CE11" si="3">$F$11*BV8</f>
        <v>0.70425459496255949</v>
      </c>
      <c r="BW11" s="19">
        <f t="shared" si="3"/>
        <v>0.70425459496255949</v>
      </c>
      <c r="BX11" s="19">
        <f t="shared" si="3"/>
        <v>0.70425459496255949</v>
      </c>
      <c r="BY11" s="19">
        <f t="shared" si="3"/>
        <v>0.70425459496255949</v>
      </c>
      <c r="BZ11" s="19">
        <f t="shared" si="3"/>
        <v>0.70425459496255949</v>
      </c>
      <c r="CA11" s="19">
        <f t="shared" si="3"/>
        <v>0.70425459496255949</v>
      </c>
      <c r="CB11" s="19">
        <f t="shared" si="3"/>
        <v>0.86722260040844112</v>
      </c>
      <c r="CC11" s="19">
        <f t="shared" si="3"/>
        <v>0.86722260040844112</v>
      </c>
      <c r="CD11" s="19">
        <f t="shared" si="3"/>
        <v>0.86722260040844112</v>
      </c>
      <c r="CE11" s="19">
        <f t="shared" si="3"/>
        <v>0.86722260040844112</v>
      </c>
      <c r="CF11" s="19">
        <f t="shared" ref="CF11:CM11" si="4">$F$11*CF8</f>
        <v>0.86722260040844112</v>
      </c>
      <c r="CG11" s="19">
        <f t="shared" si="4"/>
        <v>0.86722260040844112</v>
      </c>
      <c r="CH11" s="19">
        <f t="shared" si="4"/>
        <v>0.86722260040844112</v>
      </c>
      <c r="CI11" s="19">
        <f t="shared" si="4"/>
        <v>0.86722260040844112</v>
      </c>
      <c r="CJ11" s="19">
        <f t="shared" si="4"/>
        <v>0.86722260040844112</v>
      </c>
      <c r="CK11" s="19">
        <f t="shared" si="4"/>
        <v>0.86722260040844112</v>
      </c>
      <c r="CL11" s="19">
        <f t="shared" si="4"/>
        <v>0.86722260040844112</v>
      </c>
      <c r="CM11" s="19">
        <f t="shared" si="4"/>
        <v>0.86722260040844112</v>
      </c>
      <c r="CN11" s="19">
        <f t="shared" ref="CN11:CW11" si="5">$F$11*CN8</f>
        <v>0.86722260040844112</v>
      </c>
      <c r="CO11" s="19">
        <f t="shared" si="5"/>
        <v>0.86722260040844112</v>
      </c>
      <c r="CP11" s="19">
        <f t="shared" si="5"/>
        <v>0.86722260040844112</v>
      </c>
      <c r="CQ11" s="19">
        <f t="shared" si="5"/>
        <v>0.86722260040844112</v>
      </c>
      <c r="CR11" s="19">
        <f t="shared" si="5"/>
        <v>0.8730428863172226</v>
      </c>
      <c r="CS11" s="19">
        <f t="shared" si="5"/>
        <v>0.86722260040844112</v>
      </c>
      <c r="CT11" s="19">
        <f t="shared" si="5"/>
        <v>0.86722260040844112</v>
      </c>
      <c r="CU11" s="19">
        <f t="shared" si="5"/>
        <v>0.86722260040844112</v>
      </c>
      <c r="CV11" s="19">
        <f t="shared" si="5"/>
        <v>0.86722260040844112</v>
      </c>
      <c r="CW11" s="19">
        <f t="shared" si="5"/>
        <v>0.86722260040844112</v>
      </c>
      <c r="CX11" s="19">
        <f>$F$11*CX8</f>
        <v>0.86722260040844112</v>
      </c>
      <c r="CY11" s="19">
        <f>$F$11*CY8</f>
        <v>0.86722260040844112</v>
      </c>
      <c r="CZ11" s="19">
        <f>$F$11*CZ8</f>
        <v>0.86722260040844112</v>
      </c>
      <c r="DA11" s="19">
        <f>$F$11*DA8</f>
        <v>0.86722260040844112</v>
      </c>
      <c r="DB11" s="19">
        <f>$F$11*DB8</f>
        <v>0.86722260040844112</v>
      </c>
      <c r="DC11" s="19">
        <f t="shared" ref="DC11:DR11" si="6">$F$11*DC8</f>
        <v>0.86722260040844112</v>
      </c>
      <c r="DD11" s="19">
        <f t="shared" si="6"/>
        <v>0.86722260040844112</v>
      </c>
      <c r="DE11" s="19">
        <f t="shared" si="6"/>
        <v>0.86722260040844112</v>
      </c>
      <c r="DF11" s="19">
        <f t="shared" si="6"/>
        <v>0.86722260040844112</v>
      </c>
      <c r="DG11" s="19">
        <f t="shared" si="6"/>
        <v>0.86722260040844112</v>
      </c>
      <c r="DH11" s="19">
        <f t="shared" si="6"/>
        <v>0.86722260040844112</v>
      </c>
      <c r="DI11" s="19">
        <f t="shared" si="6"/>
        <v>0.91960517358747451</v>
      </c>
      <c r="DJ11" s="19">
        <f t="shared" si="6"/>
        <v>0.91960517358747451</v>
      </c>
      <c r="DK11" s="19">
        <f t="shared" si="6"/>
        <v>0.91960517358747451</v>
      </c>
      <c r="DL11" s="19">
        <f t="shared" si="6"/>
        <v>0.84394145677331511</v>
      </c>
      <c r="DM11" s="19">
        <f t="shared" si="6"/>
        <v>0.84394145677331511</v>
      </c>
      <c r="DN11" s="19">
        <f t="shared" si="6"/>
        <v>0.84394145677331511</v>
      </c>
      <c r="DO11" s="19">
        <f t="shared" si="6"/>
        <v>0.84394145677331511</v>
      </c>
      <c r="DP11" s="19">
        <f t="shared" si="6"/>
        <v>0.90796460176991156</v>
      </c>
      <c r="DQ11" s="19">
        <f t="shared" si="6"/>
        <v>0.90796460176991156</v>
      </c>
      <c r="DR11" s="19">
        <f t="shared" si="6"/>
        <v>0.90796460176991156</v>
      </c>
    </row>
    <row r="12" spans="1:147">
      <c r="A12" s="380"/>
      <c r="B12" s="8" t="s">
        <v>301</v>
      </c>
      <c r="C12" s="8">
        <v>1</v>
      </c>
      <c r="D12" s="18">
        <v>94.113</v>
      </c>
      <c r="E12" s="8">
        <f>D12*C12</f>
        <v>94.113</v>
      </c>
      <c r="F12" s="20">
        <f>E12/$D$4</f>
        <v>0.4271068754254595</v>
      </c>
      <c r="H12" s="19">
        <f>$F$12*(H9/1000)</f>
        <v>0.36944744724302248</v>
      </c>
      <c r="I12" s="19">
        <f t="shared" ref="I12:AV12" si="7">$F$12*(I9/1000)</f>
        <v>0.39293832539142276</v>
      </c>
      <c r="J12" s="19">
        <f t="shared" si="7"/>
        <v>0.33954996596324033</v>
      </c>
      <c r="K12" s="19">
        <f t="shared" si="7"/>
        <v>0.28402607215793058</v>
      </c>
      <c r="L12" s="19">
        <f t="shared" si="7"/>
        <v>0.29897481279782162</v>
      </c>
      <c r="M12" s="19">
        <f t="shared" si="7"/>
        <v>0.35876977535738597</v>
      </c>
      <c r="N12" s="19">
        <f t="shared" si="7"/>
        <v>0.26907733151803948</v>
      </c>
      <c r="O12" s="19">
        <f t="shared" si="7"/>
        <v>0.26694179714091221</v>
      </c>
      <c r="P12" s="19">
        <f t="shared" si="7"/>
        <v>0.26694179714091221</v>
      </c>
      <c r="Q12" s="19">
        <f t="shared" si="7"/>
        <v>0.27548393464942139</v>
      </c>
      <c r="R12" s="19">
        <f t="shared" si="7"/>
        <v>0.32033015656909464</v>
      </c>
      <c r="S12" s="19">
        <f t="shared" si="7"/>
        <v>0.36304084411164056</v>
      </c>
      <c r="T12" s="19">
        <f t="shared" si="7"/>
        <v>0.37371851599727707</v>
      </c>
      <c r="U12" s="19">
        <f t="shared" si="7"/>
        <v>0.39507385976855003</v>
      </c>
      <c r="V12" s="19">
        <f t="shared" si="7"/>
        <v>0.49117290673927838</v>
      </c>
      <c r="W12" s="19">
        <f t="shared" si="7"/>
        <v>0.5125282505105514</v>
      </c>
      <c r="X12" s="19">
        <f t="shared" si="7"/>
        <v>0.55523893805309732</v>
      </c>
      <c r="Y12" s="19">
        <f t="shared" si="7"/>
        <v>0.49117290673927838</v>
      </c>
      <c r="Z12" s="19">
        <f t="shared" si="7"/>
        <v>0.52534145677331523</v>
      </c>
      <c r="AA12" s="19">
        <f t="shared" si="7"/>
        <v>0.51893485364193337</v>
      </c>
      <c r="AB12" s="19">
        <f t="shared" si="7"/>
        <v>0.60862729748127975</v>
      </c>
      <c r="AC12" s="19">
        <f t="shared" si="7"/>
        <v>0.58727195371000684</v>
      </c>
      <c r="AD12" s="19">
        <f t="shared" si="7"/>
        <v>0.53388359428182441</v>
      </c>
      <c r="AE12" s="19">
        <f t="shared" si="7"/>
        <v>0.52320592239618791</v>
      </c>
      <c r="AF12" s="19">
        <f t="shared" si="7"/>
        <v>0.62998264125255277</v>
      </c>
      <c r="AG12" s="19">
        <f t="shared" si="7"/>
        <v>0.63852477876106195</v>
      </c>
      <c r="AH12" s="19">
        <f t="shared" si="7"/>
        <v>0.6641511912865895</v>
      </c>
      <c r="AI12" s="19">
        <f t="shared" si="7"/>
        <v>0.62144050374404358</v>
      </c>
      <c r="AJ12" s="19">
        <f t="shared" si="7"/>
        <v>0.60862729748127975</v>
      </c>
      <c r="AK12" s="19">
        <f t="shared" si="7"/>
        <v>0.62998264125255277</v>
      </c>
      <c r="AL12" s="19">
        <f t="shared" si="7"/>
        <v>0.52320592239618791</v>
      </c>
      <c r="AM12" s="19">
        <f t="shared" si="7"/>
        <v>0.50398611300204221</v>
      </c>
      <c r="AN12" s="19">
        <f t="shared" si="7"/>
        <v>0.52961252552756977</v>
      </c>
      <c r="AO12" s="19">
        <f t="shared" si="7"/>
        <v>0.50825718175629675</v>
      </c>
      <c r="AP12" s="19">
        <f t="shared" si="7"/>
        <v>0.45913989108236897</v>
      </c>
      <c r="AQ12" s="19">
        <f t="shared" si="7"/>
        <v>0.40788706603131381</v>
      </c>
      <c r="AR12" s="19">
        <f t="shared" si="7"/>
        <v>0.38866725663716817</v>
      </c>
      <c r="AS12" s="19">
        <f t="shared" si="7"/>
        <v>0.4271068754254595</v>
      </c>
      <c r="AT12" s="19">
        <f t="shared" si="7"/>
        <v>0.40148046289993189</v>
      </c>
      <c r="AU12" s="19">
        <f t="shared" si="7"/>
        <v>0.38439618788291358</v>
      </c>
      <c r="AV12" s="19">
        <f t="shared" si="7"/>
        <v>0.37585405037440434</v>
      </c>
      <c r="AW12" s="19">
        <f t="shared" ref="AW12:BM12" si="8">$F$12*(AW9/1000)</f>
        <v>0.30965248468345813</v>
      </c>
      <c r="AX12" s="19">
        <f t="shared" si="8"/>
        <v>0.30965248468345813</v>
      </c>
      <c r="AY12" s="19">
        <f t="shared" si="8"/>
        <v>0.30965248468345813</v>
      </c>
      <c r="AZ12" s="19">
        <f t="shared" si="8"/>
        <v>0.30965248468345813</v>
      </c>
      <c r="BA12" s="19">
        <f t="shared" si="8"/>
        <v>0.35236317222600405</v>
      </c>
      <c r="BB12" s="19">
        <f t="shared" si="8"/>
        <v>0.35236317222600405</v>
      </c>
      <c r="BC12" s="19">
        <f t="shared" si="8"/>
        <v>0.41730050156569093</v>
      </c>
      <c r="BD12" s="19">
        <f t="shared" si="8"/>
        <v>0.39507385976855003</v>
      </c>
      <c r="BE12" s="19">
        <f t="shared" si="8"/>
        <v>0.39507385976855003</v>
      </c>
      <c r="BF12" s="19">
        <f t="shared" si="8"/>
        <v>0.39507385976855003</v>
      </c>
      <c r="BG12" s="19">
        <f t="shared" si="8"/>
        <v>0.44846221919673251</v>
      </c>
      <c r="BH12" s="19">
        <f t="shared" si="8"/>
        <v>0.44846221919673251</v>
      </c>
      <c r="BI12" s="19">
        <f t="shared" si="8"/>
        <v>0.44846221919673251</v>
      </c>
      <c r="BJ12" s="19">
        <f t="shared" si="8"/>
        <v>0.45913989108236897</v>
      </c>
      <c r="BK12" s="19">
        <f t="shared" si="8"/>
        <v>0.45913989108236897</v>
      </c>
      <c r="BL12" s="19">
        <f t="shared" si="8"/>
        <v>0.45913989108236897</v>
      </c>
      <c r="BM12" s="19">
        <f t="shared" si="8"/>
        <v>0.41642920353982299</v>
      </c>
      <c r="BN12" s="19">
        <f t="shared" ref="BN12:BU12" si="9">$F$12*(BN9/1000)</f>
        <v>0.39507385976855003</v>
      </c>
      <c r="BO12" s="19">
        <f t="shared" si="9"/>
        <v>0.39507385976855003</v>
      </c>
      <c r="BP12" s="19">
        <f t="shared" si="9"/>
        <v>0.43394058543226688</v>
      </c>
      <c r="BQ12" s="19">
        <f t="shared" si="9"/>
        <v>0.39507385976855003</v>
      </c>
      <c r="BR12" s="19">
        <f t="shared" si="9"/>
        <v>0.39507385976855003</v>
      </c>
      <c r="BS12" s="19">
        <f t="shared" si="9"/>
        <v>0.39507385976855003</v>
      </c>
      <c r="BT12" s="19">
        <f t="shared" si="9"/>
        <v>0.38653172226004084</v>
      </c>
      <c r="BU12" s="19">
        <f t="shared" si="9"/>
        <v>0.38653172226004084</v>
      </c>
      <c r="BV12" s="19">
        <f t="shared" ref="BV12:CE12" si="10">$F$12*(BV9/1000)</f>
        <v>0.38653172226004084</v>
      </c>
      <c r="BW12" s="19">
        <f t="shared" si="10"/>
        <v>0.38653172226004084</v>
      </c>
      <c r="BX12" s="19">
        <f t="shared" si="10"/>
        <v>0.38653172226004084</v>
      </c>
      <c r="BY12" s="19">
        <f t="shared" si="10"/>
        <v>0.36944744724302248</v>
      </c>
      <c r="BZ12" s="19">
        <f t="shared" si="10"/>
        <v>0.36944744724302248</v>
      </c>
      <c r="CA12" s="19">
        <f t="shared" si="10"/>
        <v>0.36944744724302248</v>
      </c>
      <c r="CB12" s="19">
        <f t="shared" si="10"/>
        <v>0.40148046289993189</v>
      </c>
      <c r="CC12" s="19">
        <f t="shared" si="10"/>
        <v>0.40148046289993189</v>
      </c>
      <c r="CD12" s="19">
        <f t="shared" si="10"/>
        <v>0.40148046289993189</v>
      </c>
      <c r="CE12" s="19">
        <f t="shared" si="10"/>
        <v>0.40148046289993189</v>
      </c>
      <c r="CF12" s="19">
        <f t="shared" ref="CF12:CM12" si="11">$F$12*(CF9/1000)</f>
        <v>0.40148046289993189</v>
      </c>
      <c r="CG12" s="19">
        <f t="shared" si="11"/>
        <v>0.38866725663716817</v>
      </c>
      <c r="CH12" s="19">
        <f t="shared" si="11"/>
        <v>0.38866725663716817</v>
      </c>
      <c r="CI12" s="19">
        <f t="shared" si="11"/>
        <v>0.38866725663716817</v>
      </c>
      <c r="CJ12" s="19">
        <f t="shared" si="11"/>
        <v>0.38866725663716817</v>
      </c>
      <c r="CK12" s="19">
        <f t="shared" si="11"/>
        <v>0.40361599727705921</v>
      </c>
      <c r="CL12" s="19">
        <f t="shared" si="11"/>
        <v>0.40361599727705921</v>
      </c>
      <c r="CM12" s="19">
        <f t="shared" si="11"/>
        <v>0.40361599727705921</v>
      </c>
      <c r="CN12" s="19">
        <f t="shared" ref="CN12:CW12" si="12">$F$12*(CN9/1000)</f>
        <v>0.40361599727705921</v>
      </c>
      <c r="CO12" s="19">
        <f t="shared" si="12"/>
        <v>0.40361599727705921</v>
      </c>
      <c r="CP12" s="19">
        <f t="shared" si="12"/>
        <v>0.40361599727705921</v>
      </c>
      <c r="CQ12" s="19">
        <f t="shared" si="12"/>
        <v>0.38866725663716817</v>
      </c>
      <c r="CR12" s="19">
        <f t="shared" si="12"/>
        <v>0.38866725663716817</v>
      </c>
      <c r="CS12" s="19">
        <f t="shared" si="12"/>
        <v>0.38866725663716817</v>
      </c>
      <c r="CT12" s="19">
        <f t="shared" si="12"/>
        <v>0.39720939414567735</v>
      </c>
      <c r="CU12" s="19">
        <f t="shared" si="12"/>
        <v>0.39720939414567735</v>
      </c>
      <c r="CV12" s="19">
        <f t="shared" si="12"/>
        <v>0.39720939414567735</v>
      </c>
      <c r="CW12" s="19">
        <f t="shared" si="12"/>
        <v>0.39720939414567735</v>
      </c>
      <c r="CX12" s="19">
        <f>$F$12*(CX9/1000)</f>
        <v>0.41429366916269572</v>
      </c>
      <c r="CY12" s="19">
        <f>$F$12*(CY9/1000)</f>
        <v>0.43351347855684136</v>
      </c>
      <c r="CZ12" s="19">
        <f>$F$12*(CZ9/1000)</f>
        <v>0.43351347855684136</v>
      </c>
      <c r="DA12" s="19">
        <f>$F$12*(DA9/1000)</f>
        <v>0.43137794417971409</v>
      </c>
      <c r="DB12" s="19">
        <f>$F$12*(DB9/1000)</f>
        <v>0.46554649421375088</v>
      </c>
      <c r="DC12" s="19">
        <f t="shared" ref="DC12:DR12" si="13">$F$12*(DC9/1000)</f>
        <v>0.46554649421375088</v>
      </c>
      <c r="DD12" s="19">
        <f t="shared" si="13"/>
        <v>0.46554649421375088</v>
      </c>
      <c r="DE12" s="19">
        <f t="shared" si="13"/>
        <v>0.43778454731109595</v>
      </c>
      <c r="DF12" s="19">
        <f t="shared" si="13"/>
        <v>0.43778454731109595</v>
      </c>
      <c r="DG12" s="19">
        <f t="shared" si="13"/>
        <v>0.42070027229407758</v>
      </c>
      <c r="DH12" s="19">
        <f t="shared" si="13"/>
        <v>0.40788706603131381</v>
      </c>
      <c r="DI12" s="19">
        <f t="shared" si="13"/>
        <v>0.38653172226004084</v>
      </c>
      <c r="DJ12" s="19">
        <f t="shared" si="13"/>
        <v>0.38226065350578625</v>
      </c>
      <c r="DK12" s="19">
        <f t="shared" si="13"/>
        <v>0.38226065350578625</v>
      </c>
      <c r="DL12" s="19">
        <f t="shared" si="13"/>
        <v>0.38439618788291358</v>
      </c>
      <c r="DM12" s="19">
        <f t="shared" si="13"/>
        <v>0.38866725663716817</v>
      </c>
      <c r="DN12" s="19">
        <f t="shared" si="13"/>
        <v>0.38226065350578625</v>
      </c>
      <c r="DO12" s="19">
        <f t="shared" si="13"/>
        <v>0.38226065350578625</v>
      </c>
      <c r="DP12" s="19">
        <f t="shared" si="13"/>
        <v>0.38439618788291358</v>
      </c>
      <c r="DQ12" s="19">
        <f t="shared" si="13"/>
        <v>0.38439618788291358</v>
      </c>
      <c r="DR12" s="19">
        <f t="shared" si="13"/>
        <v>0.38439618788291358</v>
      </c>
    </row>
    <row r="13" spans="1:147" s="80" customFormat="1">
      <c r="A13" s="80" t="s">
        <v>400</v>
      </c>
      <c r="H13" s="121">
        <f>SUM(H11:H12)</f>
        <v>1.0553143643630496</v>
      </c>
      <c r="I13" s="121">
        <f t="shared" ref="I13:AX13" si="14">SUM(I11:I12)</f>
        <v>1.0670272980644877</v>
      </c>
      <c r="J13" s="121">
        <f t="shared" si="14"/>
        <v>0.98930249561318506</v>
      </c>
      <c r="K13" s="121">
        <f t="shared" si="14"/>
        <v>0.83667694026017791</v>
      </c>
      <c r="L13" s="121">
        <f t="shared" si="14"/>
        <v>1.0003981406662259</v>
      </c>
      <c r="M13" s="121">
        <f t="shared" si="14"/>
        <v>1.0046906090775232</v>
      </c>
      <c r="N13" s="121">
        <f t="shared" si="14"/>
        <v>0.79706422505470265</v>
      </c>
      <c r="O13" s="121">
        <f t="shared" si="14"/>
        <v>0.86481056726032057</v>
      </c>
      <c r="P13" s="121">
        <f t="shared" si="14"/>
        <v>0.78092679083263272</v>
      </c>
      <c r="Q13" s="121">
        <f t="shared" si="14"/>
        <v>0.74938642113241949</v>
      </c>
      <c r="R13" s="121">
        <f t="shared" si="14"/>
        <v>0.79411608677281442</v>
      </c>
      <c r="S13" s="121">
        <f t="shared" si="14"/>
        <v>0.8318721688237759</v>
      </c>
      <c r="T13" s="121">
        <f t="shared" si="14"/>
        <v>0.88994044940796235</v>
      </c>
      <c r="U13" s="121">
        <f t="shared" si="14"/>
        <v>0.90373897447247653</v>
      </c>
      <c r="V13" s="121">
        <f t="shared" si="14"/>
        <v>1.0737797691450841</v>
      </c>
      <c r="W13" s="121">
        <f t="shared" si="14"/>
        <v>1.1830015672805196</v>
      </c>
      <c r="X13" s="121">
        <f t="shared" si="14"/>
        <v>1.7096218167890336</v>
      </c>
      <c r="Y13" s="121">
        <f t="shared" si="14"/>
        <v>1.2954356339081043</v>
      </c>
      <c r="Z13" s="121">
        <f t="shared" si="14"/>
        <v>1.3174090328509251</v>
      </c>
      <c r="AA13" s="121">
        <f t="shared" si="14"/>
        <v>1.3749532416811783</v>
      </c>
      <c r="AB13" s="121">
        <f t="shared" si="14"/>
        <v>1.4391245557864443</v>
      </c>
      <c r="AC13" s="121">
        <f t="shared" si="14"/>
        <v>1.4188102547075216</v>
      </c>
      <c r="AD13" s="121">
        <f t="shared" si="14"/>
        <v>1.5017828619223135</v>
      </c>
      <c r="AE13" s="121">
        <f t="shared" si="14"/>
        <v>1.3468946300709201</v>
      </c>
      <c r="AF13" s="121">
        <f t="shared" si="14"/>
        <v>1.5047301688959354</v>
      </c>
      <c r="AG13" s="121">
        <f t="shared" si="14"/>
        <v>1.6040188883189384</v>
      </c>
      <c r="AH13" s="121">
        <f t="shared" si="14"/>
        <v>1.6219020957973327</v>
      </c>
      <c r="AI13" s="121">
        <f t="shared" si="14"/>
        <v>1.6039159262498877</v>
      </c>
      <c r="AJ13" s="121">
        <f t="shared" si="14"/>
        <v>1.7137197906650936</v>
      </c>
      <c r="AK13" s="121">
        <f t="shared" si="14"/>
        <v>1.758946412417242</v>
      </c>
      <c r="AL13" s="121">
        <f t="shared" si="14"/>
        <v>1.6977466347979342</v>
      </c>
      <c r="AM13" s="121">
        <f t="shared" si="14"/>
        <v>1.5386478848279137</v>
      </c>
      <c r="AN13" s="121">
        <f t="shared" si="14"/>
        <v>1.6464139580161006</v>
      </c>
      <c r="AO13" s="121">
        <f t="shared" si="14"/>
        <v>1.4665643608748835</v>
      </c>
      <c r="AP13" s="121">
        <f t="shared" si="14"/>
        <v>1.6716907004625414</v>
      </c>
      <c r="AQ13" s="121">
        <f t="shared" si="14"/>
        <v>1.5770945612250242</v>
      </c>
      <c r="AR13" s="121">
        <f t="shared" si="14"/>
        <v>1.468132677680551</v>
      </c>
      <c r="AS13" s="121">
        <f t="shared" si="14"/>
        <v>1.2619847273399218</v>
      </c>
      <c r="AT13" s="121">
        <f t="shared" si="14"/>
        <v>1.1956195845571203</v>
      </c>
      <c r="AU13" s="121">
        <f t="shared" si="14"/>
        <v>1.2050565010211027</v>
      </c>
      <c r="AV13" s="121">
        <f t="shared" si="14"/>
        <v>1.283818652144316</v>
      </c>
      <c r="AW13" s="121">
        <f>SUM(AW11:AW12)</f>
        <v>1.2408982300884956</v>
      </c>
      <c r="AX13" s="121">
        <f t="shared" si="14"/>
        <v>1.2408982300884956</v>
      </c>
      <c r="AY13" s="121">
        <f t="shared" ref="AY13:BM13" si="15">SUM(AY11:AY12)</f>
        <v>1.2408982300884956</v>
      </c>
      <c r="AZ13" s="121">
        <f t="shared" si="15"/>
        <v>1.2408982300884956</v>
      </c>
      <c r="BA13" s="121">
        <f t="shared" si="15"/>
        <v>1.3068900612661674</v>
      </c>
      <c r="BB13" s="121">
        <f t="shared" si="15"/>
        <v>1.2836089176310415</v>
      </c>
      <c r="BC13" s="121">
        <f t="shared" si="15"/>
        <v>1.3485462469707283</v>
      </c>
      <c r="BD13" s="121">
        <f t="shared" si="15"/>
        <v>1.3146790333560245</v>
      </c>
      <c r="BE13" s="121">
        <f t="shared" si="15"/>
        <v>1.3146790333560245</v>
      </c>
      <c r="BF13" s="121">
        <f t="shared" si="15"/>
        <v>1.3146790333560245</v>
      </c>
      <c r="BG13" s="121">
        <f t="shared" si="15"/>
        <v>1.3680673927842071</v>
      </c>
      <c r="BH13" s="121">
        <f t="shared" si="15"/>
        <v>1.3680673927842071</v>
      </c>
      <c r="BI13" s="121">
        <f t="shared" si="15"/>
        <v>1.3680673927842071</v>
      </c>
      <c r="BJ13" s="121">
        <f t="shared" si="15"/>
        <v>1.3787450646698436</v>
      </c>
      <c r="BK13" s="121">
        <f t="shared" si="15"/>
        <v>1.3787450646698436</v>
      </c>
      <c r="BL13" s="121">
        <f t="shared" si="15"/>
        <v>1.3147219196732471</v>
      </c>
      <c r="BM13" s="121">
        <f t="shared" si="15"/>
        <v>1.1148635125936011</v>
      </c>
      <c r="BN13" s="121">
        <f t="shared" ref="BN13:BU13" si="16">SUM(BN11:BN12)</f>
        <v>1.151711027910143</v>
      </c>
      <c r="BO13" s="121">
        <f t="shared" si="16"/>
        <v>1.2099138869979578</v>
      </c>
      <c r="BP13" s="121">
        <f t="shared" si="16"/>
        <v>1.19057775357386</v>
      </c>
      <c r="BQ13" s="121">
        <f t="shared" si="16"/>
        <v>1.2099138869979578</v>
      </c>
      <c r="BR13" s="121">
        <f t="shared" si="16"/>
        <v>1.2099138869979578</v>
      </c>
      <c r="BS13" s="121">
        <f t="shared" si="16"/>
        <v>1.2099138869979578</v>
      </c>
      <c r="BT13" s="121">
        <f t="shared" si="16"/>
        <v>1.0907863172226002</v>
      </c>
      <c r="BU13" s="121">
        <f t="shared" si="16"/>
        <v>1.0907863172226002</v>
      </c>
      <c r="BV13" s="121">
        <f t="shared" ref="BV13:CE13" si="17">SUM(BV11:BV12)</f>
        <v>1.0907863172226002</v>
      </c>
      <c r="BW13" s="121">
        <f t="shared" si="17"/>
        <v>1.0907863172226002</v>
      </c>
      <c r="BX13" s="121">
        <f t="shared" si="17"/>
        <v>1.0907863172226002</v>
      </c>
      <c r="BY13" s="121">
        <f t="shared" si="17"/>
        <v>1.0737020422055821</v>
      </c>
      <c r="BZ13" s="121">
        <f t="shared" si="17"/>
        <v>1.0737020422055821</v>
      </c>
      <c r="CA13" s="121">
        <f t="shared" si="17"/>
        <v>1.0737020422055821</v>
      </c>
      <c r="CB13" s="121">
        <f t="shared" si="17"/>
        <v>1.2687030633083731</v>
      </c>
      <c r="CC13" s="121">
        <f t="shared" si="17"/>
        <v>1.2687030633083731</v>
      </c>
      <c r="CD13" s="121">
        <f t="shared" si="17"/>
        <v>1.2687030633083731</v>
      </c>
      <c r="CE13" s="121">
        <f t="shared" si="17"/>
        <v>1.2687030633083731</v>
      </c>
      <c r="CF13" s="121">
        <f t="shared" ref="CF13:CM13" si="18">SUM(CF11:CF12)</f>
        <v>1.2687030633083731</v>
      </c>
      <c r="CG13" s="121">
        <f t="shared" si="18"/>
        <v>1.2558898570456094</v>
      </c>
      <c r="CH13" s="121">
        <f t="shared" si="18"/>
        <v>1.2558898570456094</v>
      </c>
      <c r="CI13" s="121">
        <f t="shared" si="18"/>
        <v>1.2558898570456094</v>
      </c>
      <c r="CJ13" s="121">
        <f t="shared" si="18"/>
        <v>1.2558898570456094</v>
      </c>
      <c r="CK13" s="121">
        <f t="shared" si="18"/>
        <v>1.2708385976855003</v>
      </c>
      <c r="CL13" s="121">
        <f t="shared" si="18"/>
        <v>1.2708385976855003</v>
      </c>
      <c r="CM13" s="121">
        <f t="shared" si="18"/>
        <v>1.2708385976855003</v>
      </c>
      <c r="CN13" s="121">
        <f t="shared" ref="CN13:CW13" si="19">SUM(CN11:CN12)</f>
        <v>1.2708385976855003</v>
      </c>
      <c r="CO13" s="121">
        <f t="shared" si="19"/>
        <v>1.2708385976855003</v>
      </c>
      <c r="CP13" s="121">
        <f t="shared" si="19"/>
        <v>1.2708385976855003</v>
      </c>
      <c r="CQ13" s="121">
        <f t="shared" si="19"/>
        <v>1.2558898570456094</v>
      </c>
      <c r="CR13" s="121">
        <f t="shared" si="19"/>
        <v>1.2617101429543909</v>
      </c>
      <c r="CS13" s="121">
        <f t="shared" si="19"/>
        <v>1.2558898570456094</v>
      </c>
      <c r="CT13" s="121">
        <f t="shared" si="19"/>
        <v>1.2644319945541185</v>
      </c>
      <c r="CU13" s="121">
        <f t="shared" si="19"/>
        <v>1.2644319945541185</v>
      </c>
      <c r="CV13" s="121">
        <f t="shared" si="19"/>
        <v>1.2644319945541185</v>
      </c>
      <c r="CW13" s="121">
        <f t="shared" si="19"/>
        <v>1.2644319945541185</v>
      </c>
      <c r="CX13" s="121">
        <f>SUM(CX11:CX12)</f>
        <v>1.2815162695711368</v>
      </c>
      <c r="CY13" s="121">
        <f>SUM(CY11:CY12)</f>
        <v>1.3007360789652824</v>
      </c>
      <c r="CZ13" s="121">
        <f>SUM(CZ11:CZ12)</f>
        <v>1.3007360789652824</v>
      </c>
      <c r="DA13" s="121">
        <f>SUM(DA11:DA12)</f>
        <v>1.2986005445881552</v>
      </c>
      <c r="DB13" s="121">
        <f>SUM(DB11:DB12)</f>
        <v>1.332769094622192</v>
      </c>
      <c r="DC13" s="121">
        <f t="shared" ref="DC13:DR13" si="20">SUM(DC11:DC12)</f>
        <v>1.332769094622192</v>
      </c>
      <c r="DD13" s="121">
        <f t="shared" si="20"/>
        <v>1.332769094622192</v>
      </c>
      <c r="DE13" s="121">
        <f t="shared" si="20"/>
        <v>1.3050071477195371</v>
      </c>
      <c r="DF13" s="121">
        <f t="shared" si="20"/>
        <v>1.3050071477195371</v>
      </c>
      <c r="DG13" s="121">
        <f t="shared" si="20"/>
        <v>1.2879228727025187</v>
      </c>
      <c r="DH13" s="121">
        <f t="shared" si="20"/>
        <v>1.275109666439755</v>
      </c>
      <c r="DI13" s="121">
        <f t="shared" si="20"/>
        <v>1.3061368958475152</v>
      </c>
      <c r="DJ13" s="121">
        <f t="shared" si="20"/>
        <v>1.3018658270932608</v>
      </c>
      <c r="DK13" s="121">
        <f t="shared" si="20"/>
        <v>1.3018658270932608</v>
      </c>
      <c r="DL13" s="121">
        <f t="shared" si="20"/>
        <v>1.2283376446562286</v>
      </c>
      <c r="DM13" s="121">
        <f t="shared" si="20"/>
        <v>1.2326087134104833</v>
      </c>
      <c r="DN13" s="121">
        <f t="shared" si="20"/>
        <v>1.2262021102791014</v>
      </c>
      <c r="DO13" s="121">
        <f t="shared" si="20"/>
        <v>1.2262021102791014</v>
      </c>
      <c r="DP13" s="121">
        <f t="shared" si="20"/>
        <v>1.2923607896528251</v>
      </c>
      <c r="DQ13" s="121">
        <f t="shared" si="20"/>
        <v>1.2923607896528251</v>
      </c>
      <c r="DR13" s="121">
        <f t="shared" si="20"/>
        <v>1.2923607896528251</v>
      </c>
    </row>
    <row r="14" spans="1:147">
      <c r="A14" s="22" t="s">
        <v>558</v>
      </c>
      <c r="G14" s="8" t="s">
        <v>429</v>
      </c>
      <c r="H14" s="26"/>
      <c r="I14" s="26"/>
      <c r="J14" s="26"/>
      <c r="K14" s="26"/>
      <c r="L14" s="19">
        <v>1</v>
      </c>
      <c r="M14" s="26"/>
      <c r="N14" s="26"/>
      <c r="O14" s="19">
        <v>1.02</v>
      </c>
      <c r="P14" s="26"/>
      <c r="Q14" s="26"/>
      <c r="R14" s="26"/>
      <c r="S14" s="26"/>
      <c r="T14" s="26"/>
      <c r="U14" s="18">
        <v>1.35</v>
      </c>
      <c r="V14" s="18">
        <v>1.65</v>
      </c>
      <c r="W14" s="18"/>
      <c r="X14" s="18"/>
      <c r="Y14" s="18">
        <v>1.72</v>
      </c>
      <c r="Z14" s="18"/>
      <c r="AA14" s="18">
        <v>1.75</v>
      </c>
      <c r="AB14" s="18"/>
      <c r="AC14" s="18"/>
      <c r="AD14" s="18"/>
      <c r="AE14" s="18">
        <v>2.2799999999999998</v>
      </c>
      <c r="AF14" s="18"/>
      <c r="AG14" s="18">
        <v>2.35</v>
      </c>
      <c r="AH14" s="18"/>
      <c r="AI14" s="18">
        <v>2.75</v>
      </c>
      <c r="AJ14" s="18">
        <v>2.59</v>
      </c>
      <c r="AK14" s="18"/>
      <c r="AL14" s="18">
        <v>2.5099999999999998</v>
      </c>
      <c r="AM14" s="18">
        <v>2.2799999999999998</v>
      </c>
      <c r="AN14" s="18"/>
      <c r="AO14" s="18"/>
      <c r="AP14" s="18"/>
      <c r="AQ14" s="18">
        <v>1.84</v>
      </c>
      <c r="AR14" s="18">
        <v>1.83</v>
      </c>
      <c r="AW14" s="8">
        <v>1.68</v>
      </c>
      <c r="BC14" s="8">
        <v>1.68</v>
      </c>
      <c r="BF14" s="20">
        <f>142/83</f>
        <v>1.7108433734939759</v>
      </c>
      <c r="BL14" s="8">
        <v>1.7</v>
      </c>
      <c r="CZ14" s="8">
        <v>1.72</v>
      </c>
      <c r="DG14" s="8">
        <v>1.6</v>
      </c>
    </row>
    <row r="15" spans="1:147">
      <c r="A15" s="22"/>
      <c r="G15" s="24" t="s">
        <v>406</v>
      </c>
      <c r="H15" s="26"/>
      <c r="I15" s="26"/>
      <c r="J15" s="26"/>
      <c r="K15" s="26"/>
      <c r="L15" s="19">
        <f>L14-L13</f>
        <v>-3.9814066622589905E-4</v>
      </c>
      <c r="M15" s="26"/>
      <c r="N15" s="26"/>
      <c r="O15" s="19">
        <f>O14-O13</f>
        <v>0.15518943273967944</v>
      </c>
      <c r="P15" s="26"/>
      <c r="Q15" s="26"/>
      <c r="R15" s="26"/>
      <c r="S15" s="26"/>
      <c r="T15" s="18"/>
      <c r="U15" s="19">
        <f>U14-U13</f>
        <v>0.44626102552752356</v>
      </c>
      <c r="V15" s="19">
        <f>V14-V13</f>
        <v>0.5762202308549158</v>
      </c>
      <c r="W15" s="18"/>
      <c r="X15" s="18"/>
      <c r="Y15" s="19">
        <f>Y14-Y13</f>
        <v>0.42456436609189563</v>
      </c>
      <c r="Z15" s="18"/>
      <c r="AA15" s="19">
        <f>AA14-AA13</f>
        <v>0.37504675831882173</v>
      </c>
      <c r="AB15" s="18"/>
      <c r="AC15" s="18"/>
      <c r="AD15" s="18"/>
      <c r="AE15" s="19">
        <f>AE14-AE13</f>
        <v>0.93310536992907966</v>
      </c>
      <c r="AF15" s="18"/>
      <c r="AG15" s="19">
        <f>AG14-AG13</f>
        <v>0.74598111168106174</v>
      </c>
      <c r="AH15" s="18"/>
      <c r="AI15" s="19">
        <f>AI14-AI13</f>
        <v>1.1460840737501123</v>
      </c>
      <c r="AJ15" s="18"/>
      <c r="AK15" s="18"/>
      <c r="AL15" s="19">
        <f>AL14-AL13</f>
        <v>0.81225336520206559</v>
      </c>
      <c r="AM15" s="19">
        <f>AM14-AM13</f>
        <v>0.7413521151720861</v>
      </c>
      <c r="AN15" s="18"/>
      <c r="AO15" s="18"/>
      <c r="AP15" s="18"/>
      <c r="AQ15" s="19">
        <f>AQ14-AQ13</f>
        <v>0.26290543877497585</v>
      </c>
      <c r="AR15" s="19">
        <f>AR14-AR13</f>
        <v>0.36186732231944907</v>
      </c>
      <c r="AW15" s="19">
        <f>AW14-AW13</f>
        <v>0.43910176991150429</v>
      </c>
      <c r="BC15" s="19">
        <f>BC14-BC13</f>
        <v>0.3314537530292716</v>
      </c>
      <c r="BD15" s="19"/>
      <c r="BE15" s="19"/>
      <c r="BF15" s="19">
        <f>BF14-BF13</f>
        <v>0.39616434013795132</v>
      </c>
      <c r="BG15" s="19"/>
      <c r="BH15" s="19"/>
      <c r="BI15" s="19"/>
      <c r="BJ15" s="19"/>
      <c r="BK15" s="19"/>
      <c r="BL15" s="19">
        <f>BL14-BL13</f>
        <v>0.38527808032675281</v>
      </c>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c r="CW15" s="19"/>
      <c r="CX15" s="19"/>
      <c r="CY15" s="19"/>
      <c r="CZ15" s="19">
        <f>CZ14-CZ13</f>
        <v>0.41926392103471755</v>
      </c>
      <c r="DA15" s="19"/>
      <c r="DB15" s="19"/>
      <c r="DC15" s="19"/>
      <c r="DD15" s="19"/>
      <c r="DE15" s="19"/>
      <c r="DF15" s="19"/>
      <c r="DG15" s="19">
        <f>DG14-DG13</f>
        <v>0.31207712729748138</v>
      </c>
      <c r="DH15" s="19"/>
      <c r="DI15" s="19"/>
      <c r="DJ15" s="19"/>
      <c r="DK15" s="19"/>
      <c r="DL15" s="19"/>
      <c r="DM15" s="19"/>
      <c r="DN15" s="19"/>
      <c r="DO15" s="19"/>
      <c r="DP15" s="19"/>
      <c r="DQ15" s="19"/>
      <c r="DR15" s="19"/>
    </row>
    <row r="17" spans="1:122">
      <c r="A17" s="35"/>
    </row>
    <row r="18" spans="1:122" s="157" customFormat="1">
      <c r="G18" s="157" t="s">
        <v>407</v>
      </c>
      <c r="H18" s="159">
        <f>0.16+H13</f>
        <v>1.2153143643630495</v>
      </c>
      <c r="I18" s="159">
        <f t="shared" ref="I18:BM18" si="21">0.16+I13</f>
        <v>1.2270272980644876</v>
      </c>
      <c r="J18" s="159">
        <f t="shared" si="21"/>
        <v>1.149302495613185</v>
      </c>
      <c r="K18" s="159">
        <f t="shared" si="21"/>
        <v>0.99667694026017795</v>
      </c>
      <c r="L18" s="159">
        <f t="shared" si="21"/>
        <v>1.1603981406662258</v>
      </c>
      <c r="M18" s="159">
        <f t="shared" si="21"/>
        <v>1.1646906090775231</v>
      </c>
      <c r="N18" s="159">
        <f t="shared" si="21"/>
        <v>0.95706422505470268</v>
      </c>
      <c r="O18" s="159">
        <f t="shared" si="21"/>
        <v>1.0248105672603205</v>
      </c>
      <c r="P18" s="159">
        <f t="shared" si="21"/>
        <v>0.94092679083263275</v>
      </c>
      <c r="Q18" s="159">
        <f t="shared" si="21"/>
        <v>0.90938642113241952</v>
      </c>
      <c r="R18" s="159">
        <f t="shared" si="21"/>
        <v>0.95411608677281445</v>
      </c>
      <c r="S18" s="159">
        <f t="shared" si="21"/>
        <v>0.99187216882377593</v>
      </c>
      <c r="T18" s="159">
        <f t="shared" si="21"/>
        <v>1.0499404494079623</v>
      </c>
      <c r="U18" s="159">
        <f t="shared" si="21"/>
        <v>1.0637389744724766</v>
      </c>
      <c r="V18" s="159">
        <f t="shared" si="21"/>
        <v>1.233779769145084</v>
      </c>
      <c r="W18" s="159">
        <f t="shared" si="21"/>
        <v>1.3430015672805196</v>
      </c>
      <c r="X18" s="159">
        <f t="shared" si="21"/>
        <v>1.8696218167890335</v>
      </c>
      <c r="Y18" s="159">
        <f t="shared" si="21"/>
        <v>1.4554356339081043</v>
      </c>
      <c r="Z18" s="159">
        <f t="shared" si="21"/>
        <v>1.4774090328509251</v>
      </c>
      <c r="AA18" s="159">
        <f t="shared" si="21"/>
        <v>1.5349532416811782</v>
      </c>
      <c r="AB18" s="159">
        <f t="shared" si="21"/>
        <v>1.5991245557864442</v>
      </c>
      <c r="AC18" s="159">
        <f t="shared" si="21"/>
        <v>1.5788102547075216</v>
      </c>
      <c r="AD18" s="159">
        <f t="shared" si="21"/>
        <v>1.6617828619223134</v>
      </c>
      <c r="AE18" s="159">
        <f t="shared" si="21"/>
        <v>1.5068946300709201</v>
      </c>
      <c r="AF18" s="159">
        <f t="shared" si="21"/>
        <v>1.6647301688959353</v>
      </c>
      <c r="AG18" s="159">
        <f t="shared" si="21"/>
        <v>1.7640188883189383</v>
      </c>
      <c r="AH18" s="159">
        <f t="shared" si="21"/>
        <v>1.7819020957973326</v>
      </c>
      <c r="AI18" s="159">
        <f t="shared" si="21"/>
        <v>1.7639159262498876</v>
      </c>
      <c r="AJ18" s="159">
        <f t="shared" si="21"/>
        <v>1.8737197906650935</v>
      </c>
      <c r="AK18" s="159">
        <f t="shared" si="21"/>
        <v>1.918946412417242</v>
      </c>
      <c r="AL18" s="159">
        <f t="shared" si="21"/>
        <v>1.8577466347979341</v>
      </c>
      <c r="AM18" s="159">
        <f t="shared" si="21"/>
        <v>1.6986478848279136</v>
      </c>
      <c r="AN18" s="159">
        <f t="shared" si="21"/>
        <v>1.8064139580161005</v>
      </c>
      <c r="AO18" s="159">
        <f t="shared" si="21"/>
        <v>1.6265643608748834</v>
      </c>
      <c r="AP18" s="159">
        <f t="shared" si="21"/>
        <v>1.8316907004625413</v>
      </c>
      <c r="AQ18" s="159">
        <f t="shared" si="21"/>
        <v>1.7370945612250241</v>
      </c>
      <c r="AR18" s="159">
        <f t="shared" si="21"/>
        <v>1.6281326776805509</v>
      </c>
      <c r="AS18" s="159">
        <f t="shared" si="21"/>
        <v>1.4219847273399218</v>
      </c>
      <c r="AT18" s="159">
        <f t="shared" si="21"/>
        <v>1.3556195845571202</v>
      </c>
      <c r="AU18" s="159">
        <f t="shared" si="21"/>
        <v>1.3650565010211027</v>
      </c>
      <c r="AV18" s="159">
        <f t="shared" si="21"/>
        <v>1.4438186521443159</v>
      </c>
      <c r="AW18" s="159">
        <f t="shared" si="21"/>
        <v>1.4008982300884956</v>
      </c>
      <c r="AX18" s="159">
        <f t="shared" si="21"/>
        <v>1.4008982300884956</v>
      </c>
      <c r="AY18" s="159">
        <f t="shared" si="21"/>
        <v>1.4008982300884956</v>
      </c>
      <c r="AZ18" s="159">
        <f t="shared" si="21"/>
        <v>1.4008982300884956</v>
      </c>
      <c r="BA18" s="159">
        <f t="shared" si="21"/>
        <v>1.4668900612661673</v>
      </c>
      <c r="BB18" s="159">
        <f t="shared" si="21"/>
        <v>1.4436089176310414</v>
      </c>
      <c r="BC18" s="159">
        <f t="shared" si="21"/>
        <v>1.5085462469707283</v>
      </c>
      <c r="BD18" s="159">
        <f t="shared" si="21"/>
        <v>1.4746790333560245</v>
      </c>
      <c r="BE18" s="159">
        <f t="shared" si="21"/>
        <v>1.4746790333560245</v>
      </c>
      <c r="BF18" s="159">
        <f t="shared" si="21"/>
        <v>1.4746790333560245</v>
      </c>
      <c r="BG18" s="159">
        <f t="shared" si="21"/>
        <v>1.528067392784207</v>
      </c>
      <c r="BH18" s="159">
        <f t="shared" si="21"/>
        <v>1.528067392784207</v>
      </c>
      <c r="BI18" s="159">
        <f t="shared" si="21"/>
        <v>1.528067392784207</v>
      </c>
      <c r="BJ18" s="159">
        <f t="shared" si="21"/>
        <v>1.5387450646698435</v>
      </c>
      <c r="BK18" s="159">
        <f t="shared" si="21"/>
        <v>1.5387450646698435</v>
      </c>
      <c r="BL18" s="159">
        <f>0.16+BL13</f>
        <v>1.4747219196732471</v>
      </c>
      <c r="BM18" s="159">
        <f t="shared" si="21"/>
        <v>1.274863512593601</v>
      </c>
      <c r="BN18" s="159">
        <f t="shared" ref="BN18:BU18" si="22">0.16+BN13</f>
        <v>1.3117110279101429</v>
      </c>
      <c r="BO18" s="159">
        <f t="shared" si="22"/>
        <v>1.3699138869979577</v>
      </c>
      <c r="BP18" s="159">
        <f>0.39+BP13</f>
        <v>1.5805777535738601</v>
      </c>
      <c r="BQ18" s="159">
        <f t="shared" si="22"/>
        <v>1.3699138869979577</v>
      </c>
      <c r="BR18" s="159">
        <f t="shared" si="22"/>
        <v>1.3699138869979577</v>
      </c>
      <c r="BS18" s="159">
        <f t="shared" si="22"/>
        <v>1.3699138869979577</v>
      </c>
      <c r="BT18" s="159">
        <f t="shared" si="22"/>
        <v>1.2507863172226001</v>
      </c>
      <c r="BU18" s="159">
        <f t="shared" si="22"/>
        <v>1.2507863172226001</v>
      </c>
      <c r="BV18" s="159">
        <f t="shared" ref="BV18:CE18" si="23">0.16+BV13</f>
        <v>1.2507863172226001</v>
      </c>
      <c r="BW18" s="159">
        <f t="shared" si="23"/>
        <v>1.2507863172226001</v>
      </c>
      <c r="BX18" s="159">
        <f t="shared" si="23"/>
        <v>1.2507863172226001</v>
      </c>
      <c r="BY18" s="159">
        <f t="shared" si="23"/>
        <v>1.233702042205582</v>
      </c>
      <c r="BZ18" s="159">
        <f t="shared" si="23"/>
        <v>1.233702042205582</v>
      </c>
      <c r="CA18" s="159">
        <f t="shared" si="23"/>
        <v>1.233702042205582</v>
      </c>
      <c r="CB18" s="159">
        <f t="shared" si="23"/>
        <v>1.428703063308373</v>
      </c>
      <c r="CC18" s="159">
        <f t="shared" si="23"/>
        <v>1.428703063308373</v>
      </c>
      <c r="CD18" s="159">
        <f t="shared" si="23"/>
        <v>1.428703063308373</v>
      </c>
      <c r="CE18" s="159">
        <f t="shared" si="23"/>
        <v>1.428703063308373</v>
      </c>
      <c r="CF18" s="159">
        <f t="shared" ref="CF18:CM18" si="24">0.16+CF13</f>
        <v>1.428703063308373</v>
      </c>
      <c r="CG18" s="159">
        <f t="shared" si="24"/>
        <v>1.4158898570456093</v>
      </c>
      <c r="CH18" s="159">
        <f t="shared" si="24"/>
        <v>1.4158898570456093</v>
      </c>
      <c r="CI18" s="159">
        <f t="shared" si="24"/>
        <v>1.4158898570456093</v>
      </c>
      <c r="CJ18" s="159">
        <f t="shared" si="24"/>
        <v>1.4158898570456093</v>
      </c>
      <c r="CK18" s="159">
        <f t="shared" si="24"/>
        <v>1.4308385976855003</v>
      </c>
      <c r="CL18" s="159">
        <f t="shared" si="24"/>
        <v>1.4308385976855003</v>
      </c>
      <c r="CM18" s="159">
        <f t="shared" si="24"/>
        <v>1.4308385976855003</v>
      </c>
      <c r="CN18" s="159">
        <f t="shared" ref="CN18:CW18" si="25">0.16+CN13</f>
        <v>1.4308385976855003</v>
      </c>
      <c r="CO18" s="159">
        <f t="shared" si="25"/>
        <v>1.4308385976855003</v>
      </c>
      <c r="CP18" s="159">
        <f t="shared" si="25"/>
        <v>1.4308385976855003</v>
      </c>
      <c r="CQ18" s="159">
        <f t="shared" si="25"/>
        <v>1.4158898570456093</v>
      </c>
      <c r="CR18" s="159">
        <f t="shared" si="25"/>
        <v>1.4217101429543908</v>
      </c>
      <c r="CS18" s="159">
        <f t="shared" si="25"/>
        <v>1.4158898570456093</v>
      </c>
      <c r="CT18" s="159">
        <f t="shared" si="25"/>
        <v>1.4244319945541184</v>
      </c>
      <c r="CU18" s="159">
        <f t="shared" si="25"/>
        <v>1.4244319945541184</v>
      </c>
      <c r="CV18" s="159">
        <f t="shared" si="25"/>
        <v>1.4244319945541184</v>
      </c>
      <c r="CW18" s="159">
        <f t="shared" si="25"/>
        <v>1.4244319945541184</v>
      </c>
      <c r="CX18" s="159">
        <f>0.16+CX13</f>
        <v>1.4415162695711368</v>
      </c>
      <c r="CY18" s="159">
        <f>0.16+CY13</f>
        <v>1.4607360789652823</v>
      </c>
      <c r="CZ18" s="159">
        <f>0.16+CZ13</f>
        <v>1.4607360789652823</v>
      </c>
      <c r="DA18" s="159">
        <f>0.16+DA13</f>
        <v>1.4586005445881551</v>
      </c>
      <c r="DB18" s="159">
        <f>0.16+DB13</f>
        <v>1.4927690946221919</v>
      </c>
      <c r="DC18" s="159">
        <f t="shared" ref="DC18:DR18" si="26">0.16+DC13</f>
        <v>1.4927690946221919</v>
      </c>
      <c r="DD18" s="159">
        <f t="shared" si="26"/>
        <v>1.4927690946221919</v>
      </c>
      <c r="DE18" s="159">
        <f t="shared" si="26"/>
        <v>1.465007147719537</v>
      </c>
      <c r="DF18" s="159">
        <f t="shared" si="26"/>
        <v>1.465007147719537</v>
      </c>
      <c r="DG18" s="159">
        <f t="shared" si="26"/>
        <v>1.4479228727025186</v>
      </c>
      <c r="DH18" s="159">
        <f t="shared" si="26"/>
        <v>1.4351096664397549</v>
      </c>
      <c r="DI18" s="159">
        <f t="shared" si="26"/>
        <v>1.4661368958475152</v>
      </c>
      <c r="DJ18" s="159">
        <f>0.16+DJ13</f>
        <v>1.4618658270932607</v>
      </c>
      <c r="DK18" s="159">
        <f t="shared" si="26"/>
        <v>1.4618658270932607</v>
      </c>
      <c r="DL18" s="159">
        <f t="shared" si="26"/>
        <v>1.3883376446562286</v>
      </c>
      <c r="DM18" s="159">
        <f t="shared" si="26"/>
        <v>1.3926087134104832</v>
      </c>
      <c r="DN18" s="159">
        <f t="shared" si="26"/>
        <v>1.3862021102791013</v>
      </c>
      <c r="DO18" s="159">
        <f>0.16+DO13</f>
        <v>1.3862021102791013</v>
      </c>
      <c r="DP18" s="159">
        <f t="shared" si="26"/>
        <v>1.452360789652825</v>
      </c>
      <c r="DQ18" s="159">
        <f t="shared" si="26"/>
        <v>1.452360789652825</v>
      </c>
      <c r="DR18" s="159">
        <f t="shared" si="26"/>
        <v>1.452360789652825</v>
      </c>
    </row>
  </sheetData>
  <mergeCells count="1">
    <mergeCell ref="A11:A12"/>
  </mergeCells>
  <phoneticPr fontId="52" type="noConversion"/>
  <hyperlinks>
    <hyperlink ref="K2" location="'Input RM sheet'!A1" display="'Input RM sheet'!A1" xr:uid="{00000000-0004-0000-1500-000000000000}"/>
    <hyperlink ref="M2" location="'Index '!A1" display="'Index '!A1" xr:uid="{00000000-0004-0000-1500-000001000000}"/>
  </hyperlink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1"/>
  <dimension ref="A1:EX32"/>
  <sheetViews>
    <sheetView workbookViewId="0">
      <pane xSplit="1" topLeftCell="BH1" activePane="topRight" state="frozen"/>
      <selection pane="topRight" activeCell="CE2" sqref="CE2"/>
    </sheetView>
  </sheetViews>
  <sheetFormatPr baseColWidth="10" defaultColWidth="8.6640625" defaultRowHeight="12"/>
  <cols>
    <col min="1" max="1" width="28.1640625" style="60" bestFit="1" customWidth="1"/>
    <col min="2" max="2" width="15.5" style="60" bestFit="1" customWidth="1"/>
    <col min="3" max="3" width="4.83203125" style="60" bestFit="1" customWidth="1"/>
    <col min="4" max="4" width="12.33203125" style="60" bestFit="1" customWidth="1"/>
    <col min="5" max="5" width="11.83203125" style="60" bestFit="1" customWidth="1"/>
    <col min="6" max="6" width="6" style="60" bestFit="1" customWidth="1"/>
    <col min="7" max="7" width="22.83203125" style="60" bestFit="1" customWidth="1"/>
    <col min="8" max="8" width="5.1640625" style="60" bestFit="1" customWidth="1"/>
    <col min="9" max="9" width="5.5" style="60" bestFit="1" customWidth="1"/>
    <col min="10" max="10" width="5.6640625" style="60" bestFit="1" customWidth="1"/>
    <col min="11" max="11" width="5.33203125" style="60" bestFit="1" customWidth="1"/>
    <col min="12" max="12" width="5.83203125" style="60" bestFit="1" customWidth="1"/>
    <col min="13" max="13" width="5.1640625" style="60" bestFit="1" customWidth="1"/>
    <col min="14" max="14" width="4.6640625" style="60" bestFit="1" customWidth="1"/>
    <col min="15" max="17" width="5.5" style="60" bestFit="1" customWidth="1"/>
    <col min="18" max="18" width="5.6640625" style="60" bestFit="1" customWidth="1"/>
    <col min="19" max="19" width="5.5" style="60" bestFit="1" customWidth="1"/>
    <col min="20" max="20" width="5.1640625" style="60" bestFit="1" customWidth="1"/>
    <col min="21" max="21" width="5.5" style="60" bestFit="1" customWidth="1"/>
    <col min="22" max="22" width="5.6640625" style="60" bestFit="1" customWidth="1"/>
    <col min="23" max="23" width="5.33203125" style="60" bestFit="1" customWidth="1"/>
    <col min="24" max="24" width="5.83203125" style="60" bestFit="1" customWidth="1"/>
    <col min="25" max="25" width="5.1640625" style="60" bestFit="1" customWidth="1"/>
    <col min="26" max="26" width="4.6640625" style="60" bestFit="1" customWidth="1"/>
    <col min="27" max="29" width="5.5" style="60" bestFit="1" customWidth="1"/>
    <col min="30" max="30" width="5.6640625" style="60" bestFit="1" customWidth="1"/>
    <col min="31" max="31" width="5.5" style="60" bestFit="1" customWidth="1"/>
    <col min="32" max="32" width="5.1640625" style="60" bestFit="1" customWidth="1"/>
    <col min="33" max="33" width="5.5" style="60" bestFit="1" customWidth="1"/>
    <col min="34" max="34" width="5.6640625" style="60" bestFit="1" customWidth="1"/>
    <col min="35" max="35" width="5.33203125" style="60" bestFit="1" customWidth="1"/>
    <col min="36" max="36" width="5.83203125" style="60" bestFit="1" customWidth="1"/>
    <col min="37" max="37" width="5.1640625" style="60" bestFit="1" customWidth="1"/>
    <col min="38" max="38" width="4.6640625" style="60" bestFit="1" customWidth="1"/>
    <col min="39" max="41" width="5.5" style="60" bestFit="1" customWidth="1"/>
    <col min="42" max="42" width="5.6640625" style="60" bestFit="1" customWidth="1"/>
    <col min="43" max="43" width="5.5" style="60" bestFit="1" customWidth="1"/>
    <col min="44" max="44" width="5.1640625" style="60" bestFit="1" customWidth="1"/>
    <col min="45" max="45" width="5.5" style="60" bestFit="1" customWidth="1"/>
    <col min="46" max="46" width="5.6640625" style="60" bestFit="1" customWidth="1"/>
    <col min="47" max="47" width="5.33203125" style="60" bestFit="1" customWidth="1"/>
    <col min="48" max="48" width="5.83203125" style="60" bestFit="1" customWidth="1"/>
    <col min="49" max="50" width="5.1640625" style="60" bestFit="1" customWidth="1"/>
    <col min="51" max="51" width="7.5" style="60" bestFit="1" customWidth="1"/>
    <col min="52" max="53" width="7.1640625" style="60" bestFit="1" customWidth="1"/>
    <col min="54" max="55" width="6.1640625" style="60" bestFit="1" customWidth="1"/>
    <col min="56" max="57" width="6.5" style="60" bestFit="1" customWidth="1"/>
    <col min="58" max="61" width="6.33203125" style="60" bestFit="1" customWidth="1"/>
    <col min="62" max="65" width="6.1640625" style="60" bestFit="1" customWidth="1"/>
    <col min="66" max="69" width="5.6640625" style="60" bestFit="1" customWidth="1"/>
    <col min="70" max="73" width="5.5" style="60" bestFit="1" customWidth="1"/>
    <col min="74" max="77" width="5.1640625" style="60" bestFit="1" customWidth="1"/>
    <col min="78" max="81" width="5.5" style="60" bestFit="1" customWidth="1"/>
    <col min="82" max="85" width="5.6640625" style="60" bestFit="1" customWidth="1"/>
    <col min="86" max="89" width="5.5" style="60" bestFit="1" customWidth="1"/>
    <col min="90" max="94" width="6.33203125" style="60" bestFit="1" customWidth="1"/>
    <col min="95" max="16384" width="8.6640625" style="60"/>
  </cols>
  <sheetData>
    <row r="1" spans="1:154">
      <c r="A1" s="59" t="s">
        <v>377</v>
      </c>
      <c r="B1" s="59" t="s">
        <v>378</v>
      </c>
      <c r="C1" s="59" t="s">
        <v>379</v>
      </c>
      <c r="D1" s="59" t="s">
        <v>380</v>
      </c>
      <c r="E1" s="59" t="s">
        <v>381</v>
      </c>
      <c r="F1" s="59" t="s">
        <v>33</v>
      </c>
      <c r="H1" s="61">
        <v>6</v>
      </c>
      <c r="I1" s="61">
        <v>7</v>
      </c>
      <c r="J1" s="61">
        <v>8</v>
      </c>
      <c r="K1" s="61">
        <v>9</v>
      </c>
      <c r="L1" s="61">
        <v>10</v>
      </c>
      <c r="M1" s="61">
        <v>11</v>
      </c>
      <c r="N1" s="61">
        <v>12</v>
      </c>
      <c r="O1" s="61">
        <v>13</v>
      </c>
      <c r="P1" s="61">
        <v>14</v>
      </c>
      <c r="Q1" s="61">
        <v>15</v>
      </c>
      <c r="R1" s="61">
        <v>16</v>
      </c>
      <c r="S1" s="61">
        <v>17</v>
      </c>
      <c r="T1" s="61">
        <v>18</v>
      </c>
      <c r="U1" s="61">
        <v>19</v>
      </c>
      <c r="V1" s="61">
        <v>20</v>
      </c>
      <c r="W1" s="61">
        <v>21</v>
      </c>
      <c r="X1" s="61">
        <v>22</v>
      </c>
      <c r="Y1" s="61">
        <v>23</v>
      </c>
      <c r="Z1" s="61">
        <v>24</v>
      </c>
      <c r="AA1" s="61">
        <v>25</v>
      </c>
      <c r="AB1" s="61">
        <v>26</v>
      </c>
      <c r="AC1" s="61">
        <v>27</v>
      </c>
      <c r="AD1" s="61">
        <v>28</v>
      </c>
      <c r="AE1" s="61">
        <v>29</v>
      </c>
      <c r="AF1" s="61">
        <v>30</v>
      </c>
      <c r="AG1" s="61">
        <v>31</v>
      </c>
      <c r="AH1" s="61">
        <v>32</v>
      </c>
      <c r="AI1" s="61">
        <v>33</v>
      </c>
      <c r="AJ1" s="61">
        <v>34</v>
      </c>
      <c r="AK1" s="61">
        <v>35</v>
      </c>
      <c r="AL1" s="61">
        <v>36</v>
      </c>
      <c r="AM1" s="61">
        <v>37</v>
      </c>
      <c r="AN1" s="61">
        <v>38</v>
      </c>
      <c r="AO1" s="61">
        <v>39</v>
      </c>
      <c r="AP1" s="61">
        <v>40</v>
      </c>
      <c r="AQ1" s="61">
        <v>41</v>
      </c>
      <c r="AR1" s="61">
        <v>42</v>
      </c>
      <c r="AS1" s="61">
        <v>43</v>
      </c>
      <c r="AT1" s="61">
        <v>44</v>
      </c>
      <c r="AU1" s="61">
        <v>45</v>
      </c>
      <c r="AV1" s="61">
        <v>46</v>
      </c>
      <c r="AW1" s="61">
        <v>47</v>
      </c>
      <c r="AX1" s="61">
        <v>48</v>
      </c>
      <c r="AY1" s="61">
        <v>49</v>
      </c>
      <c r="AZ1" s="61">
        <v>50</v>
      </c>
      <c r="BA1" s="61">
        <v>51</v>
      </c>
      <c r="BB1" s="61">
        <v>52</v>
      </c>
      <c r="BC1" s="61">
        <v>53</v>
      </c>
      <c r="BD1" s="61">
        <v>54</v>
      </c>
      <c r="BE1" s="61">
        <v>55</v>
      </c>
      <c r="BF1" s="61">
        <v>56</v>
      </c>
      <c r="BG1" s="61">
        <v>57</v>
      </c>
      <c r="BH1" s="61">
        <v>58</v>
      </c>
      <c r="BI1" s="61">
        <v>59</v>
      </c>
      <c r="BJ1" s="61">
        <v>60</v>
      </c>
      <c r="BK1" s="61">
        <v>61</v>
      </c>
      <c r="BL1" s="61">
        <v>62</v>
      </c>
      <c r="BM1" s="61">
        <v>63</v>
      </c>
      <c r="BN1" s="61">
        <v>64</v>
      </c>
      <c r="BO1" s="61">
        <v>65</v>
      </c>
      <c r="BP1" s="61">
        <v>66</v>
      </c>
      <c r="BQ1" s="61">
        <v>67</v>
      </c>
      <c r="BR1" s="61">
        <v>68</v>
      </c>
      <c r="BS1" s="61">
        <v>69</v>
      </c>
      <c r="BT1" s="61">
        <v>70</v>
      </c>
      <c r="BU1" s="61">
        <v>71</v>
      </c>
      <c r="BV1" s="61">
        <v>72</v>
      </c>
      <c r="BW1" s="61">
        <v>73</v>
      </c>
      <c r="BX1" s="61">
        <v>74</v>
      </c>
      <c r="BY1" s="61">
        <v>75</v>
      </c>
      <c r="BZ1" s="61">
        <v>76</v>
      </c>
      <c r="CA1" s="61">
        <v>77</v>
      </c>
      <c r="CB1" s="61">
        <v>78</v>
      </c>
      <c r="CC1" s="61">
        <v>79</v>
      </c>
      <c r="CD1" s="61">
        <v>80</v>
      </c>
      <c r="CE1" s="61">
        <v>81</v>
      </c>
      <c r="CF1" s="61">
        <v>82</v>
      </c>
      <c r="CG1" s="61">
        <v>83</v>
      </c>
      <c r="CH1" s="61">
        <v>84</v>
      </c>
      <c r="CI1" s="61">
        <v>85</v>
      </c>
      <c r="CJ1" s="61">
        <v>86</v>
      </c>
      <c r="CK1" s="61">
        <v>87</v>
      </c>
      <c r="CL1" s="61">
        <v>88</v>
      </c>
      <c r="CM1" s="61">
        <v>89</v>
      </c>
      <c r="CN1" s="61">
        <v>90</v>
      </c>
      <c r="CO1" s="61">
        <v>91</v>
      </c>
      <c r="CP1" s="61">
        <v>92</v>
      </c>
      <c r="CQ1" s="61">
        <v>93</v>
      </c>
      <c r="CR1" s="61">
        <v>94</v>
      </c>
      <c r="CS1" s="61">
        <v>95</v>
      </c>
      <c r="CT1" s="61">
        <v>96</v>
      </c>
      <c r="CU1" s="61">
        <v>97</v>
      </c>
      <c r="CV1" s="61">
        <v>98</v>
      </c>
      <c r="CW1" s="61">
        <v>99</v>
      </c>
      <c r="CX1" s="61">
        <v>100</v>
      </c>
      <c r="CY1" s="61">
        <v>101</v>
      </c>
      <c r="CZ1" s="61">
        <v>102</v>
      </c>
      <c r="DA1" s="61">
        <v>103</v>
      </c>
      <c r="DB1" s="61">
        <v>104</v>
      </c>
      <c r="DC1" s="61">
        <v>105</v>
      </c>
      <c r="DD1" s="61">
        <v>106</v>
      </c>
      <c r="DE1" s="61">
        <v>107</v>
      </c>
      <c r="DF1" s="61">
        <v>108</v>
      </c>
      <c r="DG1" s="61">
        <v>109</v>
      </c>
      <c r="DH1" s="61">
        <v>110</v>
      </c>
      <c r="DI1" s="61">
        <v>111</v>
      </c>
      <c r="DJ1" s="61">
        <v>112</v>
      </c>
      <c r="DK1" s="61">
        <v>113</v>
      </c>
      <c r="DL1" s="61">
        <v>114</v>
      </c>
      <c r="DM1" s="61">
        <v>115</v>
      </c>
      <c r="DN1" s="61">
        <v>116</v>
      </c>
      <c r="DO1" s="61">
        <v>117</v>
      </c>
      <c r="DP1" s="61">
        <v>118</v>
      </c>
      <c r="DQ1" s="61">
        <v>119</v>
      </c>
      <c r="DR1" s="61">
        <v>120</v>
      </c>
      <c r="DS1" s="61">
        <v>121</v>
      </c>
      <c r="DT1" s="61">
        <v>122</v>
      </c>
      <c r="DU1" s="61">
        <v>123</v>
      </c>
      <c r="DV1" s="61">
        <v>124</v>
      </c>
      <c r="DW1" s="61">
        <v>125</v>
      </c>
      <c r="DX1" s="61">
        <v>126</v>
      </c>
      <c r="DY1" s="61">
        <v>127</v>
      </c>
      <c r="DZ1" s="61">
        <v>128</v>
      </c>
      <c r="EA1" s="61">
        <v>129</v>
      </c>
      <c r="EB1" s="61">
        <v>130</v>
      </c>
      <c r="EC1" s="61">
        <v>131</v>
      </c>
      <c r="ED1" s="61">
        <v>132</v>
      </c>
      <c r="EE1" s="61">
        <v>133</v>
      </c>
      <c r="EF1" s="61">
        <v>134</v>
      </c>
      <c r="EG1" s="61">
        <v>135</v>
      </c>
      <c r="EH1" s="61">
        <v>136</v>
      </c>
      <c r="EI1" s="61">
        <v>137</v>
      </c>
      <c r="EJ1" s="61">
        <v>138</v>
      </c>
      <c r="EK1" s="61">
        <v>139</v>
      </c>
      <c r="EL1" s="61">
        <v>140</v>
      </c>
      <c r="EM1" s="61">
        <v>141</v>
      </c>
      <c r="EN1" s="61">
        <v>142</v>
      </c>
      <c r="EO1" s="61">
        <v>143</v>
      </c>
      <c r="EP1" s="61">
        <v>144</v>
      </c>
      <c r="EQ1" s="61">
        <v>145</v>
      </c>
      <c r="ER1" s="61">
        <v>146</v>
      </c>
      <c r="ES1" s="61">
        <v>147</v>
      </c>
      <c r="ET1" s="61">
        <v>148</v>
      </c>
      <c r="EU1" s="61">
        <v>149</v>
      </c>
      <c r="EV1" s="61">
        <v>150</v>
      </c>
      <c r="EW1" s="61">
        <v>151</v>
      </c>
      <c r="EX1" s="61">
        <v>152</v>
      </c>
    </row>
    <row r="2" spans="1:154">
      <c r="A2" s="122" t="s">
        <v>559</v>
      </c>
      <c r="B2" s="123"/>
      <c r="C2" s="101"/>
      <c r="D2" s="283">
        <v>81.995800000000003</v>
      </c>
    </row>
    <row r="3" spans="1:154">
      <c r="A3" s="64"/>
      <c r="B3" s="64"/>
      <c r="D3" s="64"/>
      <c r="E3" s="64"/>
    </row>
    <row r="4" spans="1:154">
      <c r="A4" s="64"/>
      <c r="B4" s="64"/>
      <c r="D4" s="64"/>
      <c r="E4" s="64"/>
    </row>
    <row r="5" spans="1:154" ht="15">
      <c r="A5" s="60" t="e">
        <f>A4/D4</f>
        <v>#DIV/0!</v>
      </c>
      <c r="B5" s="60" t="e">
        <f>B4/D4</f>
        <v>#DIV/0!</v>
      </c>
      <c r="G5" s="7" t="s">
        <v>388</v>
      </c>
      <c r="H5" s="59">
        <v>43831</v>
      </c>
      <c r="I5" s="59">
        <v>43862</v>
      </c>
      <c r="J5" s="59">
        <v>43891</v>
      </c>
      <c r="K5" s="59">
        <v>43922</v>
      </c>
      <c r="L5" s="59">
        <v>43952</v>
      </c>
      <c r="M5" s="59">
        <v>43983</v>
      </c>
      <c r="N5" s="59">
        <v>44013</v>
      </c>
      <c r="O5" s="59">
        <v>44044</v>
      </c>
      <c r="P5" s="59">
        <v>44075</v>
      </c>
      <c r="Q5" s="59">
        <v>44105</v>
      </c>
      <c r="R5" s="59">
        <v>44136</v>
      </c>
      <c r="S5" s="59">
        <v>44166</v>
      </c>
      <c r="T5" s="59">
        <v>44197</v>
      </c>
      <c r="U5" s="59">
        <v>44228</v>
      </c>
      <c r="V5" s="59">
        <v>44256</v>
      </c>
      <c r="W5" s="59">
        <v>44287</v>
      </c>
      <c r="X5" s="59">
        <v>44317</v>
      </c>
      <c r="Y5" s="59">
        <v>44348</v>
      </c>
      <c r="Z5" s="59">
        <v>44378</v>
      </c>
      <c r="AA5" s="59">
        <v>44409</v>
      </c>
      <c r="AB5" s="59">
        <v>44440</v>
      </c>
      <c r="AC5" s="59">
        <v>44470</v>
      </c>
      <c r="AD5" s="59">
        <v>44501</v>
      </c>
      <c r="AE5" s="59">
        <v>44531</v>
      </c>
      <c r="AF5" s="59">
        <v>44562</v>
      </c>
      <c r="AG5" s="59">
        <v>44593</v>
      </c>
      <c r="AH5" s="59">
        <v>44621</v>
      </c>
      <c r="AI5" s="59">
        <v>44652</v>
      </c>
      <c r="AJ5" s="59">
        <v>44682</v>
      </c>
      <c r="AK5" s="59">
        <v>44713</v>
      </c>
      <c r="AL5" s="59">
        <v>44743</v>
      </c>
      <c r="AM5" s="59">
        <v>44774</v>
      </c>
      <c r="AN5" s="59">
        <v>44805</v>
      </c>
      <c r="AO5" s="59">
        <v>44835</v>
      </c>
      <c r="AP5" s="59">
        <v>44866</v>
      </c>
      <c r="AQ5" s="59">
        <v>44896</v>
      </c>
      <c r="AR5" s="59">
        <v>44927</v>
      </c>
      <c r="AS5" s="59">
        <v>44958</v>
      </c>
      <c r="AT5" s="59">
        <v>44986</v>
      </c>
      <c r="AU5" s="59">
        <v>45017</v>
      </c>
      <c r="AV5" s="59">
        <v>45047</v>
      </c>
      <c r="AW5" s="59">
        <v>45078</v>
      </c>
      <c r="AX5" s="59">
        <v>45108</v>
      </c>
      <c r="AY5" s="59" t="s">
        <v>530</v>
      </c>
      <c r="AZ5" s="59" t="s">
        <v>553</v>
      </c>
      <c r="BA5" s="59" t="s">
        <v>554</v>
      </c>
      <c r="BB5" s="59">
        <v>37104</v>
      </c>
      <c r="BC5" s="59">
        <v>37469</v>
      </c>
      <c r="BD5" s="24" t="s">
        <v>168</v>
      </c>
      <c r="BE5" s="24" t="s">
        <v>169</v>
      </c>
      <c r="BF5" s="24" t="s">
        <v>421</v>
      </c>
      <c r="BG5" s="24" t="s">
        <v>422</v>
      </c>
      <c r="BH5" s="24" t="s">
        <v>423</v>
      </c>
      <c r="BI5" s="24" t="s">
        <v>424</v>
      </c>
      <c r="BJ5" s="24" t="s">
        <v>435</v>
      </c>
      <c r="BK5" s="24" t="s">
        <v>436</v>
      </c>
      <c r="BL5" s="24" t="s">
        <v>437</v>
      </c>
      <c r="BM5" s="24" t="s">
        <v>438</v>
      </c>
      <c r="BN5" s="59">
        <v>37196</v>
      </c>
      <c r="BO5" s="59">
        <v>37561</v>
      </c>
      <c r="BP5" s="59">
        <v>37926</v>
      </c>
      <c r="BQ5" s="59">
        <v>38292</v>
      </c>
      <c r="BR5" s="59">
        <v>37226</v>
      </c>
      <c r="BS5" s="59">
        <v>37591</v>
      </c>
      <c r="BT5" s="59">
        <v>37956</v>
      </c>
      <c r="BU5" s="59">
        <v>38322</v>
      </c>
      <c r="BV5" s="59">
        <v>36892</v>
      </c>
      <c r="BW5" s="59">
        <v>37257</v>
      </c>
      <c r="BX5" s="59">
        <v>37622</v>
      </c>
      <c r="BY5" s="59">
        <v>37987</v>
      </c>
      <c r="BZ5" s="59">
        <v>36923</v>
      </c>
      <c r="CA5" s="59">
        <v>37288</v>
      </c>
      <c r="CB5" s="59">
        <v>37653</v>
      </c>
      <c r="CC5" s="59">
        <v>38018</v>
      </c>
      <c r="CD5" s="59" t="str">
        <f>Sheet8!A15</f>
        <v>Mar-w1</v>
      </c>
      <c r="CE5" s="59">
        <v>37316</v>
      </c>
      <c r="CF5" s="59">
        <v>37681</v>
      </c>
      <c r="CG5" s="59">
        <v>38047</v>
      </c>
      <c r="CH5" s="59" t="str">
        <f>Sheet8!E15</f>
        <v>Apr-w1</v>
      </c>
      <c r="CI5" s="59" t="str">
        <f>Sheet8!F15</f>
        <v>Apr-w2</v>
      </c>
      <c r="CJ5" s="59" t="str">
        <f>Sheet8!G15</f>
        <v>Apr-w3</v>
      </c>
      <c r="CK5" s="59" t="str">
        <f>Sheet8!H15</f>
        <v>Apr-w4</v>
      </c>
      <c r="CL5" s="59" t="str">
        <f>Sheet8!I15</f>
        <v>May-w1</v>
      </c>
      <c r="CM5" s="59" t="str">
        <f>Sheet8!J15</f>
        <v>May-w2</v>
      </c>
      <c r="CN5" s="59" t="str">
        <f>Sheet8!K15</f>
        <v>May-w3</v>
      </c>
      <c r="CO5" s="59" t="str">
        <f>Sheet8!L15</f>
        <v>May-w4</v>
      </c>
      <c r="CP5" s="59" t="str">
        <f>Sheet8!M15</f>
        <v>May-w5</v>
      </c>
      <c r="CQ5" s="59" t="str">
        <f>Sheet8!N15</f>
        <v>june-w1</v>
      </c>
      <c r="CR5" s="59" t="str">
        <f>Sheet8!O15</f>
        <v>june-w2</v>
      </c>
      <c r="CS5" s="59" t="str">
        <f>Sheet8!P15</f>
        <v>june-w3</v>
      </c>
      <c r="CT5" s="59" t="str">
        <f>Sheet8!Q15</f>
        <v>june-w4</v>
      </c>
      <c r="CU5" s="59" t="str">
        <f>Sheet8!R15</f>
        <v>Jul-w1</v>
      </c>
      <c r="CV5" s="59" t="str">
        <f>Sheet8!S15</f>
        <v>Jul-w2</v>
      </c>
      <c r="CW5" s="59" t="str">
        <f>Sheet8!T15</f>
        <v>Jul-w3</v>
      </c>
      <c r="CX5" s="59" t="str">
        <f>Sheet8!U15</f>
        <v>Jul-w4</v>
      </c>
      <c r="CY5" s="59" t="str">
        <f>Sheet8!V15</f>
        <v>Aug-w1</v>
      </c>
      <c r="CZ5" s="59" t="str">
        <f>Sheet8!W15</f>
        <v>Aug-w2</v>
      </c>
      <c r="DA5" s="59" t="str">
        <f>Sheet8!X15</f>
        <v>Aug-w3</v>
      </c>
      <c r="DB5" s="59" t="str">
        <f>Sheet8!Y15</f>
        <v>Aug-w4</v>
      </c>
      <c r="DC5" s="59" t="str">
        <f>Sheet8!Z15</f>
        <v>Sep-w1</v>
      </c>
      <c r="DD5" s="59" t="str">
        <f>Sheet8!AA15</f>
        <v>Sep-w2</v>
      </c>
      <c r="DE5" s="59" t="str">
        <f>Sheet8!AB15</f>
        <v>Sep-w3</v>
      </c>
      <c r="DF5" s="59" t="str">
        <f>Sheet8!AC15</f>
        <v>Sep-w4</v>
      </c>
      <c r="DG5" s="59" t="str">
        <f>Sheet8!AD15</f>
        <v>Oct-w1</v>
      </c>
      <c r="DH5" s="59" t="str">
        <f>Sheet8!AE15</f>
        <v>Oct-w2</v>
      </c>
      <c r="DI5" s="59" t="str">
        <f>Sheet8!AF15</f>
        <v>Oct-w3</v>
      </c>
      <c r="DJ5" s="59" t="str">
        <f>Sheet8!AG15</f>
        <v>Oct-w4</v>
      </c>
      <c r="DK5" s="59" t="str">
        <f>Sheet8!AH15</f>
        <v>Nov-w1</v>
      </c>
      <c r="DL5" s="59" t="str">
        <f>Sheet8!AI15</f>
        <v>Nov-w2</v>
      </c>
      <c r="DM5" s="59" t="str">
        <f>Sheet8!AJ15</f>
        <v>Nov-w3</v>
      </c>
      <c r="DN5" s="59" t="str">
        <f>Sheet8!AK15</f>
        <v>Nov-w4</v>
      </c>
      <c r="DO5" s="59" t="str">
        <f>Sheet8!AL15</f>
        <v>Dec-w1</v>
      </c>
      <c r="DP5" s="59" t="str">
        <f>Sheet8!AM15</f>
        <v>Dec-w2</v>
      </c>
      <c r="DQ5" s="59" t="str">
        <f>Sheet8!AN15</f>
        <v>Dec-w3</v>
      </c>
      <c r="DR5" s="59" t="str">
        <f>Sheet8!AO15</f>
        <v>Dec-w4</v>
      </c>
      <c r="DS5" s="59">
        <f>Sheet8!AP15</f>
        <v>0</v>
      </c>
      <c r="DT5" s="59">
        <f>Sheet8!AQ15</f>
        <v>0</v>
      </c>
      <c r="DU5" s="59">
        <f>Sheet8!AR15</f>
        <v>0</v>
      </c>
      <c r="DV5" s="59">
        <f>Sheet8!AS15</f>
        <v>0</v>
      </c>
      <c r="DW5" s="59">
        <f>Sheet8!AT15</f>
        <v>0</v>
      </c>
      <c r="DX5" s="59">
        <f>Sheet8!AU15</f>
        <v>0</v>
      </c>
      <c r="DY5" s="59">
        <f>Sheet8!AV15</f>
        <v>0</v>
      </c>
    </row>
    <row r="6" spans="1:154">
      <c r="A6" s="74"/>
      <c r="B6" s="74"/>
      <c r="D6" s="64"/>
      <c r="G6" s="44" t="s">
        <v>153</v>
      </c>
      <c r="H6" s="65">
        <f>VLOOKUP($G$6&amp;$F$1,'Input RM sheet'!$A:$CM,H1,0)</f>
        <v>0.57015730002519083</v>
      </c>
      <c r="I6" s="65">
        <f>VLOOKUP($G$6&amp;$F$1,'Input RM sheet'!$A:$CM,I1,0)</f>
        <v>0.6294972804920792</v>
      </c>
      <c r="J6" s="65">
        <f>VLOOKUP($G$6&amp;$F$1,'Input RM sheet'!$A:$CM,J1,0)</f>
        <v>0.60343904737076348</v>
      </c>
      <c r="K6" s="65">
        <f>VLOOKUP($G$6&amp;$F$1,'Input RM sheet'!$A:$CM,K1,0)</f>
        <v>0.63957777431509166</v>
      </c>
      <c r="L6" s="65">
        <f>VLOOKUP($G$6&amp;$F$1,'Input RM sheet'!$A:$CM,L1,0)</f>
        <v>0.61513247905347612</v>
      </c>
      <c r="M6" s="65">
        <f>VLOOKUP($G$6&amp;$F$1,'Input RM sheet'!$A:$CM,M1,0)</f>
        <v>0.66798243580747441</v>
      </c>
      <c r="N6" s="65">
        <f>VLOOKUP($G$6&amp;$F$1,'Input RM sheet'!$A:$CM,N1,0)</f>
        <v>0.62796227311388653</v>
      </c>
      <c r="O6" s="65">
        <f>VLOOKUP($G$6&amp;$F$1,'Input RM sheet'!$A:$CM,O1,0)</f>
        <v>0.64610700241265606</v>
      </c>
      <c r="P6" s="65">
        <f>VLOOKUP($G$6&amp;$F$1,'Input RM sheet'!$A:$CM,P1,0)</f>
        <v>0.67428811761455698</v>
      </c>
      <c r="Q6" s="65">
        <f>VLOOKUP($G$6&amp;$F$1,'Input RM sheet'!$A:$CM,Q1,0)</f>
        <v>0.66049116813796593</v>
      </c>
      <c r="R6" s="65">
        <f>VLOOKUP($G$6&amp;$F$1,'Input RM sheet'!$A:$CM,R1,0)</f>
        <v>0.69380826465100287</v>
      </c>
      <c r="S6" s="65">
        <f>VLOOKUP($G$6&amp;$F$1,'Input RM sheet'!$A:$CM,S1,0)</f>
        <v>0.69524984000936763</v>
      </c>
      <c r="T6" s="65">
        <f>VLOOKUP($G$6&amp;$F$1,'Input RM sheet'!$A:$CM,T1,0)</f>
        <v>0.70954895192260181</v>
      </c>
      <c r="U6" s="65">
        <f>VLOOKUP($G$6&amp;$F$1,'Input RM sheet'!$A:$CM,U1,0)</f>
        <v>0.80838712304362426</v>
      </c>
      <c r="V6" s="65">
        <f>VLOOKUP($G$6&amp;$F$1,'Input RM sheet'!$A:$CM,V1,0)</f>
        <v>0.81053490260368233</v>
      </c>
      <c r="W6" s="65">
        <f>VLOOKUP($G$6&amp;$F$1,'Input RM sheet'!$A:$CM,W1,0)</f>
        <v>0.80861027585905698</v>
      </c>
      <c r="X6" s="65">
        <f>VLOOKUP($G$6&amp;$F$1,'Input RM sheet'!$A:$CM,X1,0)</f>
        <v>0.97947107376120757</v>
      </c>
      <c r="Y6" s="65">
        <f>VLOOKUP($G$6&amp;$F$1,'Input RM sheet'!$A:$CM,Y1,0)</f>
        <v>0.98006794165711719</v>
      </c>
      <c r="Z6" s="65">
        <f>VLOOKUP($G$6&amp;$F$1,'Input RM sheet'!$A:$CM,Z1,0)</f>
        <v>1.0391990602586787</v>
      </c>
      <c r="AA6" s="65">
        <f>VLOOKUP($G$6&amp;$F$1,'Input RM sheet'!$A:$CM,AA1,0)</f>
        <v>1.1389024247663595</v>
      </c>
      <c r="AB6" s="65">
        <f>VLOOKUP($G$6&amp;$F$1,'Input RM sheet'!$A:$CM,AB1,0)</f>
        <v>1.1404857378238031</v>
      </c>
      <c r="AC6" s="65">
        <f>VLOOKUP($G$6&amp;$F$1,'Input RM sheet'!$A:$CM,AC1,0)</f>
        <v>1.1583476672292665</v>
      </c>
      <c r="AD6" s="65">
        <f>VLOOKUP($G$6&amp;$F$1,'Input RM sheet'!$A:$CM,AD1,0)</f>
        <v>1.3110232969805296</v>
      </c>
      <c r="AE6" s="65">
        <f>VLOOKUP($G$6&amp;$F$1,'Input RM sheet'!$A:$CM,AE1,0)</f>
        <v>1.3388256268736385</v>
      </c>
      <c r="AF6" s="65">
        <f>VLOOKUP($G$6&amp;$F$1,'Input RM sheet'!$A:$CM,AF1,0)</f>
        <v>1.3495866978571565</v>
      </c>
      <c r="AG6" s="65">
        <f>VLOOKUP($G$6&amp;$F$1,'Input RM sheet'!$A:$CM,AG1,0)</f>
        <v>1.3312432583047098</v>
      </c>
      <c r="AH6" s="65">
        <f>VLOOKUP($G$6&amp;$F$1,'Input RM sheet'!$A:$CM,AH1,0)</f>
        <v>1.5240204255965668</v>
      </c>
      <c r="AI6" s="65">
        <f>VLOOKUP($G$6&amp;$F$1,'Input RM sheet'!$A:$CM,AI1,0)</f>
        <v>1.8411982705763026</v>
      </c>
      <c r="AJ6" s="65">
        <f>VLOOKUP($G$6&amp;$F$1,'Input RM sheet'!$A:$CM,AJ1,0)</f>
        <v>1.7285526728848497</v>
      </c>
      <c r="AK6" s="65">
        <f>VLOOKUP($G$6&amp;$F$1,'Input RM sheet'!$A:$CM,AK1,0)</f>
        <v>1.7095762691747993</v>
      </c>
      <c r="AL6" s="65">
        <f>VLOOKUP($G$6&amp;$F$1,'Input RM sheet'!$A:$CM,AL1,0)</f>
        <v>1.8501005262327244</v>
      </c>
      <c r="AM6" s="65">
        <f>VLOOKUP($G$6&amp;$F$1,'Input RM sheet'!$A:$CM,AM1,0)</f>
        <v>1.4419752322906398</v>
      </c>
      <c r="AN6" s="65">
        <f>VLOOKUP($G$6&amp;$F$1,'Input RM sheet'!$A:$CM,AN1,0)</f>
        <v>1.5605965199208647</v>
      </c>
      <c r="AO6" s="65">
        <f>VLOOKUP($G$6&amp;$F$1,'Input RM sheet'!$A:$CM,AO1,0)</f>
        <v>1.080453057826982</v>
      </c>
      <c r="AP6" s="65">
        <f>VLOOKUP($G$6&amp;$F$1,'Input RM sheet'!$A:$CM,AP1,0)</f>
        <v>1.4151927343139847</v>
      </c>
      <c r="AQ6" s="65">
        <f>VLOOKUP($G$6&amp;$F$1,'Input RM sheet'!$A:$CM,AQ1,0)</f>
        <v>1.2420852609822264</v>
      </c>
      <c r="AR6" s="65">
        <f>VLOOKUP($G$6&amp;$F$1,'Input RM sheet'!$A:$CM,AR1,0)</f>
        <v>1.1873706527639396</v>
      </c>
      <c r="AS6" s="65">
        <f>VLOOKUP($G$6&amp;$F$1,'Input RM sheet'!$A:$CM,AS1,0)</f>
        <v>1.2851994550384078</v>
      </c>
      <c r="AT6" s="65">
        <f>VLOOKUP($G$6&amp;$F$1,'Input RM sheet'!$A:$CM,AT1,0)</f>
        <v>0.3579073438036397</v>
      </c>
      <c r="AU6" s="65">
        <f>VLOOKUP($G$6&amp;$F$1,'Input RM sheet'!$A:$CM,AU1,0)</f>
        <v>1.1130592088780549</v>
      </c>
      <c r="AV6" s="65">
        <f>VLOOKUP($G$6&amp;$F$1,'Input RM sheet'!$A:$CM,AV1,0)</f>
        <v>1.2593244568168143</v>
      </c>
      <c r="AW6" s="65">
        <f>VLOOKUP($G$6&amp;$F$1,'Input RM sheet'!$A:$CM,AW1,0)</f>
        <v>1.2593244568168143</v>
      </c>
      <c r="AX6" s="65">
        <f>VLOOKUP($G$6&amp;$F$1,'Input RM sheet'!$A:$CM,AX1,0)</f>
        <v>0.94683695871851492</v>
      </c>
      <c r="AY6" s="65">
        <f>VLOOKUP($G$6&amp;$F$1,'Input RM sheet'!$A:$CM,AY1,0)</f>
        <v>0.94683695871851492</v>
      </c>
      <c r="AZ6" s="65">
        <f>VLOOKUP($G$6&amp;$F$1,'Input RM sheet'!$A:$CM,AZ1,0)</f>
        <v>0.94683695871851492</v>
      </c>
      <c r="BA6" s="65">
        <f>VLOOKUP($G$6&amp;$F$1,'Input RM sheet'!$A:$CM,BA1,0)</f>
        <v>0.94683695871851492</v>
      </c>
      <c r="BB6" s="65">
        <f>VLOOKUP($G$6&amp;$F$1,'Input RM sheet'!$A:$CM,BB1,0)</f>
        <v>0.93797052438640871</v>
      </c>
      <c r="BC6" s="65">
        <f>VLOOKUP($G$6&amp;$F$1,'Input RM sheet'!$A:$CM,BC1,0)</f>
        <v>0.93797052438640871</v>
      </c>
      <c r="BD6" s="65">
        <f>VLOOKUP($G$6&amp;$F$1,'Input RM sheet'!$A:$CM,BD1,0)</f>
        <v>0.93797052438640871</v>
      </c>
      <c r="BE6" s="65">
        <f>VLOOKUP($G$6&amp;$F$1,'Input RM sheet'!$A:$CM,BE1,0)</f>
        <v>0.93797052438640871</v>
      </c>
      <c r="BF6" s="65">
        <f>VLOOKUP($G$6&amp;$F$1,'Input RM sheet'!$A:$CM,BF1,0)</f>
        <v>0.99276892612142864</v>
      </c>
      <c r="BG6" s="65">
        <f>VLOOKUP($G$6&amp;$F$1,'Input RM sheet'!$A:$CM,BG1,0)</f>
        <v>0.99276892612142864</v>
      </c>
      <c r="BH6" s="65">
        <f>VLOOKUP($G$6&amp;$F$1,'Input RM sheet'!$A:$CM,BH1,0)</f>
        <v>0.99276892612142864</v>
      </c>
      <c r="BI6" s="65">
        <f>VLOOKUP($G$6&amp;$F$1,'Input RM sheet'!$A:$CM,BI1,0)</f>
        <v>0.99276892612142864</v>
      </c>
      <c r="BJ6" s="65">
        <f>VLOOKUP($G$6&amp;$F$1,'Input RM sheet'!$A:$CM,BJ1,0)</f>
        <v>1.0642951909878353</v>
      </c>
      <c r="BK6" s="65">
        <f>VLOOKUP($G$6&amp;$F$1,'Input RM sheet'!$A:$CM,BK1,0)</f>
        <v>1.0642951909878353</v>
      </c>
      <c r="BL6" s="65">
        <f>VLOOKUP($G$6&amp;$F$1,'Input RM sheet'!$A:$CM,BL1,0)</f>
        <v>1.0642951909878353</v>
      </c>
      <c r="BM6" s="65">
        <f>VLOOKUP($G$6&amp;$F$1,'Input RM sheet'!$A:$CM,BM1,0)</f>
        <v>0.78</v>
      </c>
      <c r="BN6" s="65">
        <f>VLOOKUP($G$6&amp;$F$1,'Input RM sheet'!$A:$CM,BN1,0)</f>
        <v>0.78</v>
      </c>
      <c r="BO6" s="65">
        <f>VLOOKUP($G$6&amp;$F$1,'Input RM sheet'!$A:$CM,BO1,0)</f>
        <v>0.78</v>
      </c>
      <c r="BP6" s="65">
        <f>VLOOKUP($G$6&amp;$F$1,'Input RM sheet'!$A:$CM,BP1,0)</f>
        <v>0.78</v>
      </c>
      <c r="BQ6" s="65">
        <f>VLOOKUP($G$6&amp;$F$1,'Input RM sheet'!$A:$CM,BQ1,0)</f>
        <v>0.72</v>
      </c>
      <c r="BR6" s="65">
        <f>VLOOKUP($G$6&amp;$F$1,'Input RM sheet'!$A:$CM,BR1,0)</f>
        <v>0.79</v>
      </c>
      <c r="BS6" s="65">
        <f>VLOOKUP($G$6&amp;$F$1,'Input RM sheet'!$A:$CM,BS1,0)</f>
        <v>0.79</v>
      </c>
      <c r="BT6" s="65">
        <f>VLOOKUP($G$6&amp;$F$1,'Input RM sheet'!$A:$CM,BT1,0)</f>
        <v>1.02</v>
      </c>
      <c r="BU6" s="65">
        <f>VLOOKUP($G$6&amp;$F$1,'Input RM sheet'!$A:$CM,BU1,0)</f>
        <v>1.02</v>
      </c>
      <c r="BV6" s="65">
        <f>VLOOKUP($G$6&amp;$F$1,'Input RM sheet'!$A:$CM,BV1,0)</f>
        <v>0.91</v>
      </c>
      <c r="BW6" s="65">
        <f>VLOOKUP($G$6&amp;$F$1,'Input RM sheet'!$A:$CM,BW1,0)</f>
        <v>0.91</v>
      </c>
      <c r="BX6" s="65">
        <f>VLOOKUP($G$6&amp;$F$1,'Input RM sheet'!$A:$CM,BX1,0)</f>
        <v>0.91</v>
      </c>
      <c r="BY6" s="65">
        <f>VLOOKUP($G$6&amp;$F$1,'Input RM sheet'!$A:$CM,BY1,0)</f>
        <v>0.91</v>
      </c>
      <c r="BZ6" s="65">
        <f>VLOOKUP($G$6&amp;$F$1,'Input RM sheet'!$A:$CM,BZ1,0)</f>
        <v>0.91</v>
      </c>
      <c r="CA6" s="65">
        <f>VLOOKUP($G$6&amp;$F$1,'Input RM sheet'!$A:$CM,CA1,0)</f>
        <v>0.91</v>
      </c>
      <c r="CB6" s="65">
        <f>VLOOKUP($G$6&amp;$F$1,'Input RM sheet'!$A:$CM,CB1,0)</f>
        <v>0.92</v>
      </c>
      <c r="CC6" s="65">
        <f>VLOOKUP($G$6&amp;$F$1,'Input RM sheet'!$A:$CM,CC1,0)</f>
        <v>0.92</v>
      </c>
      <c r="CD6" s="65">
        <f>VLOOKUP($G$6&amp;$F$1,'Input RM sheet'!$A:$CM,CD1,0)</f>
        <v>0.92</v>
      </c>
      <c r="CE6" s="65">
        <f>VLOOKUP($G$6&amp;$F$1,'Input RM sheet'!$A:$CM,CE1,0)</f>
        <v>0.92</v>
      </c>
      <c r="CF6" s="65">
        <f>VLOOKUP($G$6&amp;$F$1,'Input RM sheet'!$A:$CM,CF1,0)</f>
        <v>0.92</v>
      </c>
      <c r="CG6" s="65">
        <f>VLOOKUP($G$6&amp;$F$1,'Input RM sheet'!$A:$CM,CG1,0)</f>
        <v>0.92</v>
      </c>
      <c r="CH6" s="65">
        <f>VLOOKUP($G$6&amp;$F$1,'Input RM sheet'!$A:$CM,CH1,0)</f>
        <v>0.91</v>
      </c>
      <c r="CI6" s="65">
        <f>VLOOKUP($G$6&amp;$F$1,'Input RM sheet'!$A:$CM,CI1,0)</f>
        <v>0.91</v>
      </c>
      <c r="CJ6" s="65">
        <f>VLOOKUP($G$6&amp;$F$1,'Input RM sheet'!$A:$CM,CJ1,0)</f>
        <v>0.91</v>
      </c>
      <c r="CK6" s="65">
        <f>VLOOKUP($G$6&amp;$F$1,'Input RM sheet'!$A:$CM,CK1,0)</f>
        <v>1.07</v>
      </c>
      <c r="CL6" s="65">
        <f>VLOOKUP($G$6&amp;$F$1,'Input RM sheet'!$A:$CM,CL1,0)</f>
        <v>1.07</v>
      </c>
      <c r="CM6" s="65">
        <f>VLOOKUP($G$6&amp;$F$1,'Input RM sheet'!$A:$CM,CM1,0)</f>
        <v>1.07</v>
      </c>
      <c r="CN6" s="65">
        <f>VLOOKUP($G$6&amp;$F$1,'Input RM sheet'!$A:$CM,CN1,0)</f>
        <v>1.07</v>
      </c>
      <c r="CO6" s="65">
        <f>VLOOKUP($G$6&amp;$F$1,'Input RM sheet'!$A:$ZM,CO1,0)</f>
        <v>1.07</v>
      </c>
      <c r="CP6" s="65">
        <f>VLOOKUP($G$6&amp;$F$1,'Input RM sheet'!$A:$ZM,CP1,0)</f>
        <v>1.07</v>
      </c>
      <c r="CQ6" s="65">
        <f>VLOOKUP($G$6&amp;$F$1,'Input RM sheet'!$A:$ZZ,CQ1,0)</f>
        <v>1.07</v>
      </c>
      <c r="CR6" s="65">
        <f>VLOOKUP($G$6&amp;$F$1,'Input RM sheet'!$A:$ZZ,CR1,0)</f>
        <v>1.06</v>
      </c>
      <c r="CS6" s="65">
        <f>VLOOKUP($G$6&amp;$F$1,'Input RM sheet'!$A:$ZZ,CS1,0)</f>
        <v>1.06</v>
      </c>
      <c r="CT6" s="65">
        <f>VLOOKUP($G$6&amp;$F$1,'Input RM sheet'!$A:$ZZ,CT1,0)</f>
        <v>1.06</v>
      </c>
      <c r="CU6" s="65">
        <f>VLOOKUP($G$6&amp;$F$1,'Input RM sheet'!$A:$ZZ,CU1,0)</f>
        <v>1.06</v>
      </c>
      <c r="CV6" s="65">
        <f>VLOOKUP($G$6&amp;$F$1,'Input RM sheet'!$A:$ZZ,CV1,0)</f>
        <v>1.06</v>
      </c>
      <c r="CW6" s="65">
        <f>VLOOKUP($G$6&amp;$F$1,'Input RM sheet'!$A:$ZZ,CW1,0)</f>
        <v>1.06</v>
      </c>
      <c r="CX6" s="65">
        <f>VLOOKUP($G$6&amp;$F$1,'Input RM sheet'!$A:$ZZ,CX1,0)</f>
        <v>1.1100000000000001</v>
      </c>
      <c r="CY6" s="65">
        <f>VLOOKUP($G$6&amp;$F$1,'Input RM sheet'!$A:$ZZ,CY1,0)</f>
        <v>1.1100000000000001</v>
      </c>
      <c r="CZ6" s="65">
        <f>VLOOKUP($G$6&amp;$F$1,'Input RM sheet'!$A:$ZZ,CZ1,0)</f>
        <v>1.1100000000000001</v>
      </c>
      <c r="DA6" s="65">
        <f>VLOOKUP($G$6&amp;$F$1,'Input RM sheet'!$A:$ZZ,DA1,0)</f>
        <v>1.1100000000000001</v>
      </c>
      <c r="DB6" s="65">
        <f>VLOOKUP($G$6&amp;$F$1,'Input RM sheet'!$A:$ZZ,DB1,0)</f>
        <v>0.9</v>
      </c>
      <c r="DC6" s="65">
        <f>VLOOKUP($G$6&amp;$F$1,'Input RM sheet'!$A:$ZZ,DC1,0)</f>
        <v>1.05</v>
      </c>
      <c r="DD6" s="65">
        <f>VLOOKUP($G$6&amp;$F$1,'Input RM sheet'!$A:$ZZ,DD1,0)</f>
        <v>1.08</v>
      </c>
      <c r="DE6" s="65">
        <f>VLOOKUP($G$6&amp;$F$1,'Input RM sheet'!$A:$ZZ,DE1,0)</f>
        <v>1.08</v>
      </c>
      <c r="DF6" s="65">
        <f>VLOOKUP($G$6&amp;$F$1,'Input RM sheet'!$A:$ZZ,DF1,0)</f>
        <v>1.08</v>
      </c>
      <c r="DG6" s="65">
        <f>VLOOKUP($G$6&amp;$F$1,'Input RM sheet'!$A:$ZZ,DG1,0)</f>
        <v>0.97</v>
      </c>
      <c r="DH6" s="65">
        <f>VLOOKUP($G$6&amp;$F$1,'Input RM sheet'!$A:$ZZ,DH1,0)</f>
        <v>0.97</v>
      </c>
      <c r="DI6" s="65">
        <f>VLOOKUP($G$6&amp;$F$1,'Input RM sheet'!$A:$ZZ,DI1,0)</f>
        <v>0.97</v>
      </c>
      <c r="DJ6" s="65">
        <f>VLOOKUP($G$6&amp;$F$1,'Input RM sheet'!$A:$ZZ,DJ1,0)</f>
        <v>0.97</v>
      </c>
      <c r="DK6" s="65">
        <f>VLOOKUP($G$6&amp;$F$1,'Input RM sheet'!$A:$ZZ,DK1,0)</f>
        <v>0.97</v>
      </c>
      <c r="DL6" s="65">
        <f>VLOOKUP($G$6&amp;$F$1,'Input RM sheet'!$A:$ZZ,DL1,0)</f>
        <v>0.87</v>
      </c>
      <c r="DM6" s="65">
        <f>VLOOKUP($G$6&amp;$F$1,'Input RM sheet'!$A:$ZZ,DM1,0)</f>
        <v>0.87</v>
      </c>
      <c r="DN6" s="65">
        <f>VLOOKUP($G$6&amp;$F$1,'Input RM sheet'!$A:$ZZ,DN1,0)</f>
        <v>0.87</v>
      </c>
      <c r="DO6" s="65">
        <f>VLOOKUP($G$6&amp;$F$1,'Input RM sheet'!$A:$ZZ,DO1,0)</f>
        <v>0.87</v>
      </c>
      <c r="DP6" s="65">
        <f>VLOOKUP($G$6&amp;$F$1,'Input RM sheet'!$A:$ZZ,DP1,0)</f>
        <v>0.87</v>
      </c>
      <c r="DQ6" s="65">
        <f>VLOOKUP($G$6&amp;$F$1,'Input RM sheet'!$A:$ZZ,DQ1,0)</f>
        <v>0.87</v>
      </c>
      <c r="DR6" s="65">
        <f>VLOOKUP($G$6&amp;$F$1,'Input RM sheet'!$A:$ZZ,DR1,0)</f>
        <v>0.88</v>
      </c>
      <c r="DS6" s="65">
        <f>VLOOKUP($G$6&amp;$F$1,'Input RM sheet'!$A:$ZZ,DS1,0)</f>
        <v>0</v>
      </c>
      <c r="DT6" s="65">
        <f>VLOOKUP($G$6&amp;$F$1,'Input RM sheet'!$A:$ZZ,DT1,0)</f>
        <v>0</v>
      </c>
      <c r="DU6" s="65">
        <f>VLOOKUP($G$6&amp;$F$1,'Input RM sheet'!$A:$ZZ,DU1,0)</f>
        <v>0</v>
      </c>
      <c r="DV6" s="65">
        <f>VLOOKUP($G$6&amp;$F$1,'Input RM sheet'!$A:$ZZ,DV1,0)</f>
        <v>0</v>
      </c>
      <c r="DW6" s="65">
        <f>VLOOKUP($G$6&amp;$F$1,'Input RM sheet'!$A:$ZZ,DW1,0)</f>
        <v>0</v>
      </c>
      <c r="DX6" s="65">
        <f>VLOOKUP($G$6&amp;$F$1,'Input RM sheet'!$A:$ZZ,DX1,0)</f>
        <v>0</v>
      </c>
      <c r="DY6" s="65">
        <f>VLOOKUP($G$6&amp;$F$1,'Input RM sheet'!$A:$ZZ,DY1,0)</f>
        <v>0</v>
      </c>
    </row>
    <row r="7" spans="1:154">
      <c r="G7" s="178" t="s">
        <v>94</v>
      </c>
      <c r="H7" s="65">
        <f>VLOOKUP($G$7&amp;$F$1,'Input RM sheet'!$A:$CM,H1,0)</f>
        <v>2.2453358569547559</v>
      </c>
      <c r="I7" s="65">
        <f>VLOOKUP($G$7&amp;$F$1,'Input RM sheet'!$A:$CM,I1,0)</f>
        <v>2.1263543010008927</v>
      </c>
      <c r="J7" s="65">
        <f>VLOOKUP($G$7&amp;$F$1,'Input RM sheet'!$A:$CM,J1,0)</f>
        <v>2.2116084453454703</v>
      </c>
      <c r="K7" s="65">
        <f>VLOOKUP($G$7&amp;$F$1,'Input RM sheet'!$A:$CM,K1,0)</f>
        <v>2.0550641919349761</v>
      </c>
      <c r="L7" s="65">
        <f>VLOOKUP($G$7&amp;$F$1,'Input RM sheet'!$A:$CM,L1,0)</f>
        <v>2.2194569249287914</v>
      </c>
      <c r="M7" s="65">
        <f>VLOOKUP($G$7&amp;$F$1,'Input RM sheet'!$A:$CM,M1,0)</f>
        <v>2.0582789486242201</v>
      </c>
      <c r="N7" s="65">
        <f>VLOOKUP($G$7&amp;$F$1,'Input RM sheet'!$A:$CM,N1,0)</f>
        <v>1.8332966251102516</v>
      </c>
      <c r="O7" s="65">
        <f>VLOOKUP($G$7&amp;$F$1,'Input RM sheet'!$A:$CM,O1,0)</f>
        <v>1.990000377324747</v>
      </c>
      <c r="P7" s="65">
        <f>VLOOKUP($G$7&amp;$F$1,'Input RM sheet'!$A:$CM,P1,0)</f>
        <v>1.9938480015387818</v>
      </c>
      <c r="Q7" s="65">
        <f>VLOOKUP($G$7&amp;$F$1,'Input RM sheet'!$A:$CM,Q1,0)</f>
        <v>2.0693528056126671</v>
      </c>
      <c r="R7" s="65">
        <f>VLOOKUP($G$7&amp;$F$1,'Input RM sheet'!$A:$CM,R1,0)</f>
        <v>2.1952724431297326</v>
      </c>
      <c r="S7" s="65">
        <f>VLOOKUP($G$7&amp;$F$1,'Input RM sheet'!$A:$CM,S1,0)</f>
        <v>2.1224931598196166</v>
      </c>
      <c r="T7" s="65">
        <f>VLOOKUP($G$7&amp;$F$1,'Input RM sheet'!$A:$CM,T1,0)</f>
        <v>2.2993254605126054</v>
      </c>
      <c r="U7" s="65">
        <f>VLOOKUP($G$7&amp;$F$1,'Input RM sheet'!$A:$CM,U1,0)</f>
        <v>2.2946993130799367</v>
      </c>
      <c r="V7" s="65">
        <f>VLOOKUP($G$7&amp;$F$1,'Input RM sheet'!$A:$CM,V1,0)</f>
        <v>2.3412855911549268</v>
      </c>
      <c r="W7" s="65">
        <f>VLOOKUP($G$7&amp;$F$1,'Input RM sheet'!$A:$CM,W1,0)</f>
        <v>2.3752383497686171</v>
      </c>
      <c r="X7" s="65">
        <f>VLOOKUP($G$7&amp;$F$1,'Input RM sheet'!$A:$CM,X1,0)</f>
        <v>2.713844238658218</v>
      </c>
      <c r="Y7" s="65">
        <f>VLOOKUP($G$7&amp;$F$1,'Input RM sheet'!$A:$CM,Y1,0)</f>
        <v>2.9885265588403307</v>
      </c>
      <c r="Z7" s="65">
        <f>VLOOKUP($G$7&amp;$F$1,'Input RM sheet'!$A:$CM,Z1,0)</f>
        <v>3.3226750771292335</v>
      </c>
      <c r="AA7" s="65">
        <f>VLOOKUP($G$7&amp;$F$1,'Input RM sheet'!$A:$CM,AA1,0)</f>
        <v>3.5189587977975245</v>
      </c>
      <c r="AB7" s="65">
        <f>VLOOKUP($G$7&amp;$F$1,'Input RM sheet'!$A:$CM,AB1,0)</f>
        <v>3.5266554625586299</v>
      </c>
      <c r="AC7" s="65">
        <f>VLOOKUP($G$7&amp;$F$1,'Input RM sheet'!$A:$CM,AC1,0)</f>
        <v>7.2557080658453534</v>
      </c>
      <c r="AD7" s="65">
        <f>VLOOKUP($G$7&amp;$F$1,'Input RM sheet'!$A:$CM,AD1,0)</f>
        <v>5.2855545669543798</v>
      </c>
      <c r="AE7" s="65">
        <f>VLOOKUP($G$7&amp;$F$1,'Input RM sheet'!$A:$CM,AE1,0)</f>
        <v>5.7432113702017071</v>
      </c>
      <c r="AF7" s="65">
        <f>VLOOKUP($G$7&amp;$F$1,'Input RM sheet'!$A:$CM,AF1,0)</f>
        <v>4.663075014046365</v>
      </c>
      <c r="AG7" s="65">
        <f>VLOOKUP($G$7&amp;$F$1,'Input RM sheet'!$A:$CM,AG1,0)</f>
        <v>4.654948939280791</v>
      </c>
      <c r="AH7" s="65">
        <f>VLOOKUP($G$7&amp;$F$1,'Input RM sheet'!$A:$CM,AH1,0)</f>
        <v>5.0635367123036383</v>
      </c>
      <c r="AI7" s="65">
        <f>VLOOKUP($G$7&amp;$F$1,'Input RM sheet'!$A:$CM,AI1,0)</f>
        <v>4.9171916277995793</v>
      </c>
      <c r="AJ7" s="65">
        <f>VLOOKUP($G$7&amp;$F$1,'Input RM sheet'!$A:$CM,AJ1,0)</f>
        <v>5.0996915647002004</v>
      </c>
      <c r="AK7" s="65">
        <f>VLOOKUP($G$7&amp;$F$1,'Input RM sheet'!$A:$CM,AK1,0)</f>
        <v>5.071534069553806</v>
      </c>
      <c r="AL7" s="65">
        <f>VLOOKUP($G$7&amp;$F$1,'Input RM sheet'!$A:$CM,AL1,0)</f>
        <v>4.3279450758850295</v>
      </c>
      <c r="AM7" s="65">
        <f>VLOOKUP($G$7&amp;$F$1,'Input RM sheet'!$A:$CM,AM1,0)</f>
        <v>3.7325883183374797</v>
      </c>
      <c r="AN7" s="65">
        <f>VLOOKUP($G$7&amp;$F$1,'Input RM sheet'!$A:$CM,AN1,0)</f>
        <v>4.3430712618241518</v>
      </c>
      <c r="AO7" s="65">
        <f>VLOOKUP($G$7&amp;$F$1,'Input RM sheet'!$A:$CM,AO1,0)</f>
        <v>4.4990798610645184</v>
      </c>
      <c r="AP7" s="65">
        <f>VLOOKUP($G$7&amp;$F$1,'Input RM sheet'!$A:$CM,AP1,0)</f>
        <v>4.040118476870779</v>
      </c>
      <c r="AQ7" s="65">
        <f>VLOOKUP($G$7&amp;$F$1,'Input RM sheet'!$A:$CM,AQ1,0)</f>
        <v>4.253819483572844</v>
      </c>
      <c r="AR7" s="65">
        <f>VLOOKUP($G$7&amp;$F$1,'Input RM sheet'!$A:$CM,AR1,0)</f>
        <v>4.3433259010717968</v>
      </c>
      <c r="AS7" s="65">
        <f>VLOOKUP($G$7&amp;$F$1,'Input RM sheet'!$A:$CM,AS1,0)</f>
        <v>4.0345708165720628</v>
      </c>
      <c r="AT7" s="65">
        <f>VLOOKUP($G$7&amp;$F$1,'Input RM sheet'!$A:$CM,AT1,0)</f>
        <v>3.8861209382483226</v>
      </c>
      <c r="AU7" s="65">
        <f>VLOOKUP($G$7&amp;$F$1,'Input RM sheet'!$A:$CM,AU1,0)</f>
        <v>3.5475510316640628</v>
      </c>
      <c r="AV7" s="65">
        <f>VLOOKUP($G$7&amp;$F$1,'Input RM sheet'!$A:$CM,AV1,0)</f>
        <v>2.5176550560807662</v>
      </c>
      <c r="AW7" s="65">
        <f>VLOOKUP($G$7&amp;$F$1,'Input RM sheet'!$A:$CM,AW1,0)</f>
        <v>2.8940779851763718</v>
      </c>
      <c r="AX7" s="65">
        <f>VLOOKUP($G$7&amp;$F$1,'Input RM sheet'!$A:$CM,AX1,0)</f>
        <v>2.7952395483674093</v>
      </c>
      <c r="AY7" s="65">
        <f>VLOOKUP($G$7&amp;$F$1,'Input RM sheet'!$A:$CM,AY1,0)</f>
        <v>2.8562709795544707</v>
      </c>
      <c r="AZ7" s="65">
        <f>VLOOKUP($G$7&amp;$F$1,'Input RM sheet'!$A:$CM,AZ1,0)</f>
        <v>2.9006882989183875</v>
      </c>
      <c r="BA7" s="65">
        <f>VLOOKUP($G$7&amp;$F$1,'Input RM sheet'!$A:$CM,BA1,0)</f>
        <v>2.9209728324772573</v>
      </c>
      <c r="BB7" s="65">
        <f>VLOOKUP($G$7&amp;$F$1,'Input RM sheet'!$A:$CM,BB1,0)</f>
        <v>2.9498525073746316</v>
      </c>
      <c r="BC7" s="65">
        <f>VLOOKUP($G$7&amp;$F$1,'Input RM sheet'!$A:$CM,BC1,0)</f>
        <v>2.9701403513043059</v>
      </c>
      <c r="BD7" s="65">
        <f>VLOOKUP($G$7&amp;$F$1,'Input RM sheet'!$A:$CM,BD1,0)</f>
        <v>2.9619918181045684</v>
      </c>
      <c r="BE7" s="65">
        <f>VLOOKUP($G$7&amp;$F$1,'Input RM sheet'!$A:$CM,BE1,0)</f>
        <v>3.1917889702222713</v>
      </c>
      <c r="BF7" s="65">
        <f>VLOOKUP($G$7&amp;$F$1,'Input RM sheet'!$A:$CM,BF1,0)</f>
        <v>3.1960098301514477</v>
      </c>
      <c r="BG7" s="65">
        <f>VLOOKUP($G$7&amp;$F$1,'Input RM sheet'!$A:$CM,BG1,0)</f>
        <v>3.1507580999550853</v>
      </c>
      <c r="BH7" s="65">
        <f>VLOOKUP($G$7&amp;$F$1,'Input RM sheet'!$A:$CM,BH1,0)</f>
        <v>3.0988931991756581</v>
      </c>
      <c r="BI7" s="65">
        <f>VLOOKUP($G$7&amp;$F$1,'Input RM sheet'!$A:$CM,BI1,0)</f>
        <v>3.0988931991756581</v>
      </c>
      <c r="BJ7" s="65">
        <f>VLOOKUP($G$7&amp;$F$1,'Input RM sheet'!$A:$CM,BJ1,0)</f>
        <v>3.0988931991756581</v>
      </c>
      <c r="BK7" s="65">
        <f>VLOOKUP($G$7&amp;$F$1,'Input RM sheet'!$A:$CM,BK1,0)</f>
        <v>3.1707227138643068</v>
      </c>
      <c r="BL7" s="65">
        <f>VLOOKUP($G$7&amp;$F$1,'Input RM sheet'!$A:$CM,BL1,0)</f>
        <v>3.162839122065785</v>
      </c>
      <c r="BM7" s="65">
        <f>VLOOKUP($G$7&amp;$F$1,'Input RM sheet'!$A:$CM,BM1,0)</f>
        <v>3.1384496348953048</v>
      </c>
      <c r="BN7" s="65">
        <f>VLOOKUP($G$7&amp;$F$1,'Input RM sheet'!$A:$CM,BN1,0)</f>
        <v>3.1600345704860571</v>
      </c>
      <c r="BO7" s="65">
        <f>VLOOKUP($G$7&amp;$F$1,'Input RM sheet'!$A:$CM,BO1,0)</f>
        <v>3.2049781808430242</v>
      </c>
      <c r="BP7" s="65">
        <f>VLOOKUP($G$7&amp;$F$1,'Input RM sheet'!$A:$CM,BP1,0)</f>
        <v>3.2049781808430242</v>
      </c>
      <c r="BQ7" s="65">
        <f>VLOOKUP($G$7&amp;$F$1,'Input RM sheet'!$A:$CM,BQ1,0)</f>
        <v>3.2190788981677678</v>
      </c>
      <c r="BR7" s="65">
        <f>VLOOKUP($G$7&amp;$F$1,'Input RM sheet'!$A:$CM,BR1,0)</f>
        <v>3.1889392925311721</v>
      </c>
      <c r="BS7" s="65">
        <f>VLOOKUP($G$7&amp;$F$1,'Input RM sheet'!$A:$CM,BS1,0)</f>
        <v>3.0913127051686913</v>
      </c>
      <c r="BT7" s="65">
        <f>VLOOKUP($G$7&amp;$F$1,'Input RM sheet'!$A:$CM,BT1,0)</f>
        <v>2.9081007488087134</v>
      </c>
      <c r="BU7" s="65">
        <f>VLOOKUP($G$7&amp;$F$1,'Input RM sheet'!$A:$CM,BU1,0)</f>
        <v>2.8661420172996994</v>
      </c>
      <c r="BV7" s="65">
        <f>VLOOKUP($G$7&amp;$F$1,'Input RM sheet'!$A:$CM,BV1,0)</f>
        <v>2.8621051975570242</v>
      </c>
      <c r="BW7" s="65">
        <f>VLOOKUP($G$7&amp;$F$1,'Input RM sheet'!$A:$CM,BW1,0)</f>
        <v>2.9741991773650756</v>
      </c>
      <c r="BX7" s="65">
        <f>VLOOKUP($G$7&amp;$F$1,'Input RM sheet'!$A:$CM,BX1,0)</f>
        <v>2.9824997514169236</v>
      </c>
      <c r="BY7" s="65">
        <f>VLOOKUP($G$7&amp;$F$1,'Input RM sheet'!$A:$CM,BY1,0)</f>
        <v>2.9783553016442008</v>
      </c>
      <c r="BZ7" s="65">
        <f>VLOOKUP($G$7&amp;$F$1,'Input RM sheet'!$A:$CM,BZ1,0)</f>
        <v>2.9871924125312721</v>
      </c>
      <c r="CA7" s="65">
        <f>VLOOKUP($G$7&amp;$F$1,'Input RM sheet'!$A:$CM,CA1,0)</f>
        <v>2.9539552229620787</v>
      </c>
      <c r="CB7" s="65">
        <f>VLOOKUP($G$7&amp;$F$1,'Input RM sheet'!$A:$CM,CB1,0)</f>
        <v>2.95806936672665</v>
      </c>
      <c r="CC7" s="65">
        <f>VLOOKUP($G$7&amp;$F$1,'Input RM sheet'!$A:$CM,CC1,0)</f>
        <v>2.9900036873156339</v>
      </c>
      <c r="CD7" s="65">
        <f>VLOOKUP($G$7&amp;$F$1,'Input RM sheet'!$A:$CM,CD1,0)</f>
        <v>2.9244100294985254</v>
      </c>
      <c r="CE7" s="65">
        <f>VLOOKUP($G$7&amp;$F$1,'Input RM sheet'!$A:$CM,CE1,0)</f>
        <v>2.9325560184386328</v>
      </c>
      <c r="CF7" s="65">
        <f>VLOOKUP($G$7&amp;$F$1,'Input RM sheet'!$A:$CM,CF1,0)</f>
        <v>2.805996126786459</v>
      </c>
      <c r="CG7" s="65">
        <f>VLOOKUP($G$7&amp;$F$1,'Input RM sheet'!$A:$CM,CG1,0)</f>
        <v>2.7735957600460224</v>
      </c>
      <c r="CH7" s="65">
        <f>VLOOKUP($G$7&amp;$F$1,'Input RM sheet'!$A:$CM,CH1,0)</f>
        <v>2.7902422306270585</v>
      </c>
      <c r="CI7" s="65">
        <f>VLOOKUP($G$7&amp;$F$1,'Input RM sheet'!$A:$CM,CI1,0)</f>
        <v>2.8186574096709531</v>
      </c>
      <c r="CJ7" s="65">
        <f>VLOOKUP($G$7&amp;$F$1,'Input RM sheet'!$A:$CM,CJ1,0)</f>
        <v>2.8838471128929744</v>
      </c>
      <c r="CK7" s="65">
        <f>VLOOKUP($G$7&amp;$F$1,'Input RM sheet'!$A:$CM,CK1,0)</f>
        <v>2.8838471128929744</v>
      </c>
      <c r="CL7" s="65">
        <f>VLOOKUP($G$7&amp;$F$1,'Input RM sheet'!$A:$CM,CL1,0)</f>
        <v>2.8958464767468981</v>
      </c>
      <c r="CM7" s="65">
        <f>VLOOKUP($G$7&amp;$F$1,'Input RM sheet'!$A:$CM,CM1,0)</f>
        <v>2.7817965948175618</v>
      </c>
      <c r="CN7" s="65">
        <f>VLOOKUP($G$7&amp;$F$1,'Input RM sheet'!$A:$CM,CN1,0)</f>
        <v>2.7735957600460224</v>
      </c>
      <c r="CO7" s="65">
        <f>VLOOKUP($G$7&amp;$F$1,'Input RM sheet'!$A:$ZM,CO1,0)</f>
        <v>2.7735957600460224</v>
      </c>
      <c r="CP7" s="65">
        <f>VLOOKUP($G$7&amp;$F$1,'Input RM sheet'!$A:$ZM,CP1,0)</f>
        <v>2.769434142400764</v>
      </c>
      <c r="CQ7" s="65">
        <f>VLOOKUP($G$7&amp;$F$1,'Input RM sheet'!$A:$ZZ,CQ1,0)</f>
        <v>2.7008262846526181</v>
      </c>
      <c r="CR7" s="65">
        <f>VLOOKUP($G$7&amp;$F$1,'Input RM sheet'!$A:$ZZ,CR1,0)</f>
        <v>2.7008262846526181</v>
      </c>
      <c r="CS7" s="65">
        <f>VLOOKUP($G$7&amp;$F$1,'Input RM sheet'!$A:$ZZ,CS1,0)</f>
        <v>2.6978960969306915</v>
      </c>
      <c r="CT7" s="65">
        <f>VLOOKUP($G$7&amp;$F$1,'Input RM sheet'!$A:$ZZ,CT1,0)</f>
        <v>2.6941850981728774</v>
      </c>
      <c r="CU7" s="65">
        <f>VLOOKUP($G$7&amp;$F$1,'Input RM sheet'!$A:$ZZ,CU1,0)</f>
        <v>2.6855424766588363</v>
      </c>
      <c r="CV7" s="65">
        <f>VLOOKUP($G$7&amp;$F$1,'Input RM sheet'!$A:$ZZ,CV1,0)</f>
        <v>2.7585787148056635</v>
      </c>
      <c r="CW7" s="65">
        <f>VLOOKUP($G$7&amp;$F$1,'Input RM sheet'!$A:$ZZ,CW1,0)</f>
        <v>2.7547894583292818</v>
      </c>
      <c r="CX7" s="65">
        <f>VLOOKUP($G$7&amp;$F$1,'Input RM sheet'!$A:$ZZ,CX1,0)</f>
        <v>2.7860806129817992</v>
      </c>
      <c r="CY7" s="65">
        <f>VLOOKUP($G$7&amp;$F$1,'Input RM sheet'!$A:$ZZ,CY1,0)</f>
        <v>2.8511126744917989</v>
      </c>
      <c r="CZ7" s="65">
        <f>VLOOKUP($G$7&amp;$F$1,'Input RM sheet'!$A:$ZZ,CZ1,0)</f>
        <v>2.8471417654744009</v>
      </c>
      <c r="DA7" s="65">
        <f>VLOOKUP($G$7&amp;$F$1,'Input RM sheet'!$A:$ZZ,DA1,0)</f>
        <v>2.8507952224766386</v>
      </c>
      <c r="DB7" s="65">
        <f>VLOOKUP($G$7&amp;$F$1,'Input RM sheet'!$A:$ZZ,DB1,0)</f>
        <v>2.9161221263831325</v>
      </c>
      <c r="DC7" s="65">
        <f>VLOOKUP($G$7&amp;$F$1,'Input RM sheet'!$A:$ZZ,DC1,0)</f>
        <v>3.0408028258671695</v>
      </c>
      <c r="DD7" s="65">
        <f>VLOOKUP($G$7&amp;$F$1,'Input RM sheet'!$A:$ZZ,DD1,0)</f>
        <v>3.0322492314202858</v>
      </c>
      <c r="DE7" s="65">
        <f>VLOOKUP($G$7&amp;$F$1,'Input RM sheet'!$A:$ZZ,DE1,0)</f>
        <v>3.0537240843340276</v>
      </c>
      <c r="DF7" s="65">
        <f>VLOOKUP($G$7&amp;$F$1,'Input RM sheet'!$A:$ZZ,DF1,0)</f>
        <v>3.0333055996772815</v>
      </c>
      <c r="DG7" s="65">
        <f>VLOOKUP($G$7&amp;$F$1,'Input RM sheet'!$A:$ZZ,DG1,0)</f>
        <v>2.98288077049139</v>
      </c>
      <c r="DH7" s="65">
        <f>VLOOKUP($G$7&amp;$F$1,'Input RM sheet'!$A:$ZZ,DH1,0)</f>
        <v>2.9102722079085921</v>
      </c>
      <c r="DI7" s="65">
        <f>VLOOKUP($G$7&amp;$F$1,'Input RM sheet'!$A:$ZZ,DI1,0)</f>
        <v>2.9717385098487017</v>
      </c>
      <c r="DJ7" s="65">
        <f>VLOOKUP($G$7&amp;$F$1,'Input RM sheet'!$A:$ZZ,DJ1,0)</f>
        <v>2.9675764110954117</v>
      </c>
      <c r="DK7" s="65">
        <f>VLOOKUP($G$7&amp;$F$1,'Input RM sheet'!$A:$ZZ,DK1,0)</f>
        <v>2.998643316779309</v>
      </c>
      <c r="DL7" s="65">
        <f>VLOOKUP($G$7&amp;$F$1,'Input RM sheet'!$A:$ZZ,DL1,0)</f>
        <v>2.9212107859337326</v>
      </c>
      <c r="DM7" s="65">
        <f>VLOOKUP($G$7&amp;$F$1,'Input RM sheet'!$A:$ZZ,DM1,0)</f>
        <v>2.8841734708844671</v>
      </c>
      <c r="DN7" s="65">
        <f>VLOOKUP($G$7&amp;$F$1,'Input RM sheet'!$A:$ZZ,DN1,0)</f>
        <v>2.8518491430800368</v>
      </c>
      <c r="DO7" s="65">
        <f>VLOOKUP($G$7&amp;$F$1,'Input RM sheet'!$A:$ZZ,DO1,0)</f>
        <v>2.8462222005818556</v>
      </c>
      <c r="DP7" s="65">
        <f>VLOOKUP($G$7&amp;$F$1,'Input RM sheet'!$A:$ZZ,DP1,0)</f>
        <v>2.8418400262930463</v>
      </c>
      <c r="DQ7" s="65">
        <f>VLOOKUP($G$7&amp;$F$1,'Input RM sheet'!$A:$ZZ,DQ1,0)</f>
        <v>2.791191716134358</v>
      </c>
      <c r="DR7" s="65">
        <f>VLOOKUP($G$7&amp;$F$1,'Input RM sheet'!$A:$ZZ,DR1,0)</f>
        <v>2.7792459692083895</v>
      </c>
      <c r="DS7" s="65" t="e">
        <f>VLOOKUP($G$7&amp;$F$1,'Input RM sheet'!$A:$ZZ,DS1,0)</f>
        <v>#DIV/0!</v>
      </c>
      <c r="DT7" s="65" t="e">
        <f>VLOOKUP($G$7&amp;$F$1,'Input RM sheet'!$A:$ZZ,DT1,0)</f>
        <v>#DIV/0!</v>
      </c>
      <c r="DU7" s="65" t="e">
        <f>VLOOKUP($G$7&amp;$F$1,'Input RM sheet'!$A:$ZZ,DU1,0)</f>
        <v>#DIV/0!</v>
      </c>
      <c r="DV7" s="65" t="e">
        <f>VLOOKUP($G$7&amp;$F$1,'Input RM sheet'!$A:$ZZ,DV1,0)</f>
        <v>#DIV/0!</v>
      </c>
      <c r="DW7" s="65">
        <f>VLOOKUP($G$7&amp;$F$1,'Input RM sheet'!$A:$ZZ,DW1,0)</f>
        <v>0</v>
      </c>
      <c r="DX7" s="65">
        <f>VLOOKUP($G$7&amp;$F$1,'Input RM sheet'!$A:$ZZ,DX1,0)</f>
        <v>0</v>
      </c>
      <c r="DY7" s="65">
        <f>VLOOKUP($G$7&amp;$F$1,'Input RM sheet'!$A:$ZZ,DY1,0)</f>
        <v>0</v>
      </c>
    </row>
    <row r="8" spans="1:154">
      <c r="A8" s="59" t="s">
        <v>395</v>
      </c>
      <c r="B8" s="59"/>
      <c r="C8" s="59" t="s">
        <v>379</v>
      </c>
      <c r="D8" s="59" t="s">
        <v>380</v>
      </c>
      <c r="E8" s="59" t="s">
        <v>381</v>
      </c>
      <c r="F8" s="59" t="s">
        <v>396</v>
      </c>
      <c r="G8" s="60" t="s">
        <v>399</v>
      </c>
      <c r="I8" s="84"/>
      <c r="J8" s="84"/>
      <c r="K8" s="84"/>
      <c r="L8" s="84"/>
      <c r="M8" s="84"/>
      <c r="N8" s="84"/>
      <c r="O8" s="84"/>
      <c r="P8" s="84"/>
      <c r="Q8" s="84"/>
      <c r="R8" s="84"/>
      <c r="S8" s="84"/>
    </row>
    <row r="9" spans="1:154">
      <c r="A9" s="365" t="s">
        <v>397</v>
      </c>
      <c r="B9" s="60" t="s">
        <v>560</v>
      </c>
      <c r="C9" s="60">
        <v>1</v>
      </c>
      <c r="D9" s="282">
        <v>97.995199999999997</v>
      </c>
      <c r="F9" s="65">
        <f>D9/D2</f>
        <v>1.195124628334622</v>
      </c>
      <c r="H9" s="74">
        <f>$F$9*H6</f>
        <v>0.68140903128487773</v>
      </c>
      <c r="I9" s="74">
        <f t="shared" ref="I9:BM9" si="0">$F$9*I6</f>
        <v>0.75232770338575139</v>
      </c>
      <c r="J9" s="74">
        <f t="shared" si="0"/>
        <v>0.72118486721158204</v>
      </c>
      <c r="K9" s="74">
        <f t="shared" si="0"/>
        <v>0.76437514981940868</v>
      </c>
      <c r="L9" s="74">
        <f t="shared" si="0"/>
        <v>0.73515997540534028</v>
      </c>
      <c r="M9" s="74">
        <f>$F$9*M6</f>
        <v>0.79832226032846332</v>
      </c>
      <c r="N9" s="74">
        <f t="shared" si="0"/>
        <v>0.75049317826339801</v>
      </c>
      <c r="O9" s="74">
        <f t="shared" si="0"/>
        <v>0.77217839112282227</v>
      </c>
      <c r="P9" s="74">
        <f t="shared" si="0"/>
        <v>0.80585833595454925</v>
      </c>
      <c r="Q9" s="74">
        <f t="shared" si="0"/>
        <v>0.78936926183918688</v>
      </c>
      <c r="R9" s="74">
        <f t="shared" si="0"/>
        <v>0.82918734442651887</v>
      </c>
      <c r="S9" s="74">
        <f t="shared" si="0"/>
        <v>0.83091020664090087</v>
      </c>
      <c r="T9" s="74">
        <f t="shared" si="0"/>
        <v>0.84799942745172008</v>
      </c>
      <c r="U9" s="74">
        <f t="shared" si="0"/>
        <v>0.9661233599780058</v>
      </c>
      <c r="V9" s="74">
        <f t="shared" si="0"/>
        <v>0.96869022422646489</v>
      </c>
      <c r="W9" s="74">
        <f t="shared" si="0"/>
        <v>0.96639005540361156</v>
      </c>
      <c r="X9" s="74">
        <f t="shared" si="0"/>
        <v>1.1705900029933762</v>
      </c>
      <c r="Y9" s="74">
        <f t="shared" si="0"/>
        <v>1.1713033345156401</v>
      </c>
      <c r="Z9" s="74">
        <f t="shared" si="0"/>
        <v>1.2419723906573419</v>
      </c>
      <c r="AA9" s="74">
        <f t="shared" si="0"/>
        <v>1.3611303371082952</v>
      </c>
      <c r="AB9" s="74">
        <f t="shared" si="0"/>
        <v>1.3630225935376099</v>
      </c>
      <c r="AC9" s="74">
        <f t="shared" si="0"/>
        <v>1.3843698252796535</v>
      </c>
      <c r="AD9" s="74">
        <f t="shared" si="0"/>
        <v>1.5668362305418861</v>
      </c>
      <c r="AE9" s="74">
        <f t="shared" si="0"/>
        <v>1.6000634797222244</v>
      </c>
      <c r="AF9" s="74">
        <f t="shared" si="0"/>
        <v>1.6129243006818839</v>
      </c>
      <c r="AG9" s="74">
        <f t="shared" si="0"/>
        <v>1.5910016043043875</v>
      </c>
      <c r="AH9" s="74">
        <f t="shared" si="0"/>
        <v>1.8213943447154692</v>
      </c>
      <c r="AI9" s="74">
        <f t="shared" si="0"/>
        <v>2.2004613988128523</v>
      </c>
      <c r="AJ9" s="74">
        <f t="shared" si="0"/>
        <v>2.0658358707383235</v>
      </c>
      <c r="AK9" s="74">
        <f t="shared" si="0"/>
        <v>2.0431567033072215</v>
      </c>
      <c r="AL9" s="74">
        <f t="shared" si="0"/>
        <v>2.211100703795573</v>
      </c>
      <c r="AM9" s="74">
        <f t="shared" si="0"/>
        <v>1.7233401135590811</v>
      </c>
      <c r="AN9" s="74">
        <f t="shared" si="0"/>
        <v>1.865107335850728</v>
      </c>
      <c r="AO9" s="74">
        <f t="shared" si="0"/>
        <v>1.2912760591684775</v>
      </c>
      <c r="AP9" s="74">
        <f t="shared" si="0"/>
        <v>1.6913316906188585</v>
      </c>
      <c r="AQ9" s="74">
        <f t="shared" si="0"/>
        <v>1.4844466858912952</v>
      </c>
      <c r="AR9" s="74">
        <f t="shared" si="0"/>
        <v>1.4190559100799407</v>
      </c>
      <c r="AS9" s="74">
        <f t="shared" si="0"/>
        <v>1.5359735210386358</v>
      </c>
      <c r="AT9" s="74">
        <f t="shared" si="0"/>
        <v>0.42774388124155666</v>
      </c>
      <c r="AU9" s="74">
        <f t="shared" si="0"/>
        <v>1.3302444733248138</v>
      </c>
      <c r="AV9" s="74">
        <f t="shared" si="0"/>
        <v>1.5050496734058949</v>
      </c>
      <c r="AW9" s="74">
        <f t="shared" si="0"/>
        <v>1.5050496734058949</v>
      </c>
      <c r="AX9" s="74">
        <f t="shared" si="0"/>
        <v>1.1315881683819489</v>
      </c>
      <c r="AY9" s="74">
        <f t="shared" si="0"/>
        <v>1.1315881683819489</v>
      </c>
      <c r="AZ9" s="74">
        <f t="shared" si="0"/>
        <v>1.1315881683819489</v>
      </c>
      <c r="BA9" s="74">
        <f t="shared" si="0"/>
        <v>1.1315881683819489</v>
      </c>
      <c r="BB9" s="74">
        <f t="shared" si="0"/>
        <v>1.1209916743461372</v>
      </c>
      <c r="BC9" s="74">
        <f t="shared" si="0"/>
        <v>1.1209916743461372</v>
      </c>
      <c r="BD9" s="74">
        <f t="shared" si="0"/>
        <v>1.1209916743461372</v>
      </c>
      <c r="BE9" s="74">
        <f t="shared" si="0"/>
        <v>1.1209916743461372</v>
      </c>
      <c r="BF9" s="74">
        <f t="shared" si="0"/>
        <v>1.1864825938530341</v>
      </c>
      <c r="BG9" s="74">
        <f t="shared" si="0"/>
        <v>1.1864825938530341</v>
      </c>
      <c r="BH9" s="74">
        <f t="shared" si="0"/>
        <v>1.1864825938530341</v>
      </c>
      <c r="BI9" s="74">
        <f t="shared" si="0"/>
        <v>1.1864825938530341</v>
      </c>
      <c r="BJ9" s="74">
        <f t="shared" si="0"/>
        <v>1.2719653945676621</v>
      </c>
      <c r="BK9" s="74">
        <f t="shared" si="0"/>
        <v>1.2719653945676621</v>
      </c>
      <c r="BL9" s="74">
        <f t="shared" si="0"/>
        <v>1.2719653945676621</v>
      </c>
      <c r="BM9" s="74">
        <f t="shared" si="0"/>
        <v>0.9321972101010052</v>
      </c>
      <c r="BN9" s="74">
        <f t="shared" ref="BN9:BU9" si="1">$F$9*BN6</f>
        <v>0.9321972101010052</v>
      </c>
      <c r="BO9" s="74">
        <f t="shared" si="1"/>
        <v>0.9321972101010052</v>
      </c>
      <c r="BP9" s="74">
        <f t="shared" si="1"/>
        <v>0.9321972101010052</v>
      </c>
      <c r="BQ9" s="74">
        <f t="shared" si="1"/>
        <v>0.86048973240092774</v>
      </c>
      <c r="BR9" s="74">
        <f t="shared" si="1"/>
        <v>0.94414845638435141</v>
      </c>
      <c r="BS9" s="74">
        <f t="shared" si="1"/>
        <v>0.94414845638435141</v>
      </c>
      <c r="BT9" s="74">
        <f t="shared" si="1"/>
        <v>1.2190271209013144</v>
      </c>
      <c r="BU9" s="74">
        <f t="shared" si="1"/>
        <v>1.2190271209013144</v>
      </c>
      <c r="BV9" s="74">
        <f t="shared" ref="BV9:CJ9" si="2">$F$9*BV6</f>
        <v>1.0875634117845061</v>
      </c>
      <c r="BW9" s="74">
        <f t="shared" si="2"/>
        <v>1.0875634117845061</v>
      </c>
      <c r="BX9" s="74">
        <f t="shared" si="2"/>
        <v>1.0875634117845061</v>
      </c>
      <c r="BY9" s="74">
        <f t="shared" si="2"/>
        <v>1.0875634117845061</v>
      </c>
      <c r="BZ9" s="74">
        <f t="shared" si="2"/>
        <v>1.0875634117845061</v>
      </c>
      <c r="CA9" s="74">
        <f t="shared" si="2"/>
        <v>1.0875634117845061</v>
      </c>
      <c r="CB9" s="74">
        <f t="shared" si="2"/>
        <v>1.0995146580678523</v>
      </c>
      <c r="CC9" s="74">
        <f t="shared" si="2"/>
        <v>1.0995146580678523</v>
      </c>
      <c r="CD9" s="74">
        <f t="shared" si="2"/>
        <v>1.0995146580678523</v>
      </c>
      <c r="CE9" s="74">
        <f t="shared" si="2"/>
        <v>1.0995146580678523</v>
      </c>
      <c r="CF9" s="74">
        <f t="shared" si="2"/>
        <v>1.0995146580678523</v>
      </c>
      <c r="CG9" s="74">
        <f t="shared" si="2"/>
        <v>1.0995146580678523</v>
      </c>
      <c r="CH9" s="74">
        <f t="shared" si="2"/>
        <v>1.0875634117845061</v>
      </c>
      <c r="CI9" s="74">
        <f t="shared" si="2"/>
        <v>1.0875634117845061</v>
      </c>
      <c r="CJ9" s="74">
        <f t="shared" si="2"/>
        <v>1.0875634117845061</v>
      </c>
      <c r="CK9" s="74">
        <f t="shared" ref="CK9:CQ9" si="3">$F$9*CK6</f>
        <v>1.2787833523180456</v>
      </c>
      <c r="CL9" s="74">
        <f t="shared" si="3"/>
        <v>1.2787833523180456</v>
      </c>
      <c r="CM9" s="74">
        <f t="shared" si="3"/>
        <v>1.2787833523180456</v>
      </c>
      <c r="CN9" s="74">
        <f t="shared" si="3"/>
        <v>1.2787833523180456</v>
      </c>
      <c r="CO9" s="74">
        <f t="shared" si="3"/>
        <v>1.2787833523180456</v>
      </c>
      <c r="CP9" s="74">
        <f t="shared" si="3"/>
        <v>1.2787833523180456</v>
      </c>
      <c r="CQ9" s="74">
        <f t="shared" si="3"/>
        <v>1.2787833523180456</v>
      </c>
      <c r="CR9" s="74">
        <f t="shared" ref="CR9:DC9" si="4">$F$9*CR6</f>
        <v>1.2668321060346994</v>
      </c>
      <c r="CS9" s="74">
        <f t="shared" si="4"/>
        <v>1.2668321060346994</v>
      </c>
      <c r="CT9" s="74">
        <f t="shared" si="4"/>
        <v>1.2668321060346994</v>
      </c>
      <c r="CU9" s="74">
        <f t="shared" si="4"/>
        <v>1.2668321060346994</v>
      </c>
      <c r="CV9" s="74">
        <f t="shared" si="4"/>
        <v>1.2668321060346994</v>
      </c>
      <c r="CW9" s="74">
        <f t="shared" si="4"/>
        <v>1.2668321060346994</v>
      </c>
      <c r="CX9" s="74">
        <f t="shared" si="4"/>
        <v>1.3265883374514305</v>
      </c>
      <c r="CY9" s="74">
        <f t="shared" si="4"/>
        <v>1.3265883374514305</v>
      </c>
      <c r="CZ9" s="74">
        <f t="shared" si="4"/>
        <v>1.3265883374514305</v>
      </c>
      <c r="DA9" s="74">
        <f t="shared" si="4"/>
        <v>1.3265883374514305</v>
      </c>
      <c r="DB9" s="74">
        <f t="shared" si="4"/>
        <v>1.0756121655011599</v>
      </c>
      <c r="DC9" s="74">
        <f t="shared" si="4"/>
        <v>1.2548808597513532</v>
      </c>
      <c r="DD9" s="74">
        <f t="shared" ref="DD9:DY9" si="5">$F$9*DD6</f>
        <v>1.2907345986013918</v>
      </c>
      <c r="DE9" s="74">
        <f t="shared" si="5"/>
        <v>1.2907345986013918</v>
      </c>
      <c r="DF9" s="74">
        <f t="shared" si="5"/>
        <v>1.2907345986013918</v>
      </c>
      <c r="DG9" s="74">
        <f t="shared" si="5"/>
        <v>1.1592708894845833</v>
      </c>
      <c r="DH9" s="74">
        <f t="shared" si="5"/>
        <v>1.1592708894845833</v>
      </c>
      <c r="DI9" s="74">
        <f t="shared" si="5"/>
        <v>1.1592708894845833</v>
      </c>
      <c r="DJ9" s="74">
        <f t="shared" si="5"/>
        <v>1.1592708894845833</v>
      </c>
      <c r="DK9" s="74">
        <f t="shared" si="5"/>
        <v>1.1592708894845833</v>
      </c>
      <c r="DL9" s="74">
        <f t="shared" si="5"/>
        <v>1.0397584266511211</v>
      </c>
      <c r="DM9" s="74">
        <f t="shared" si="5"/>
        <v>1.0397584266511211</v>
      </c>
      <c r="DN9" s="74">
        <f t="shared" si="5"/>
        <v>1.0397584266511211</v>
      </c>
      <c r="DO9" s="74">
        <f t="shared" si="5"/>
        <v>1.0397584266511211</v>
      </c>
      <c r="DP9" s="74">
        <f t="shared" si="5"/>
        <v>1.0397584266511211</v>
      </c>
      <c r="DQ9" s="74">
        <f t="shared" si="5"/>
        <v>1.0397584266511211</v>
      </c>
      <c r="DR9" s="74">
        <f t="shared" si="5"/>
        <v>1.0517096729344673</v>
      </c>
      <c r="DS9" s="74">
        <f t="shared" si="5"/>
        <v>0</v>
      </c>
      <c r="DT9" s="74">
        <f t="shared" si="5"/>
        <v>0</v>
      </c>
      <c r="DU9" s="74">
        <f t="shared" si="5"/>
        <v>0</v>
      </c>
      <c r="DV9" s="74">
        <f t="shared" si="5"/>
        <v>0</v>
      </c>
      <c r="DW9" s="74">
        <f t="shared" si="5"/>
        <v>0</v>
      </c>
      <c r="DX9" s="74">
        <f t="shared" si="5"/>
        <v>0</v>
      </c>
      <c r="DY9" s="74">
        <f t="shared" si="5"/>
        <v>0</v>
      </c>
    </row>
    <row r="10" spans="1:154">
      <c r="A10" s="366"/>
      <c r="B10" s="178" t="s">
        <v>94</v>
      </c>
      <c r="D10" s="64">
        <v>123.89</v>
      </c>
      <c r="F10" s="65"/>
      <c r="H10" s="74"/>
      <c r="I10" s="74"/>
      <c r="J10" s="74"/>
      <c r="K10" s="74"/>
      <c r="L10" s="74"/>
      <c r="M10" s="74"/>
      <c r="N10" s="74"/>
      <c r="O10" s="7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row>
    <row r="11" spans="1:154" s="73" customFormat="1" ht="14">
      <c r="A11" s="28" t="s">
        <v>400</v>
      </c>
      <c r="G11" s="125"/>
      <c r="H11" s="94">
        <f>SUM(H9:H10)</f>
        <v>0.68140903128487773</v>
      </c>
      <c r="I11" s="94">
        <f t="shared" ref="I11:BM11" si="6">SUM(I9:I10)</f>
        <v>0.75232770338575139</v>
      </c>
      <c r="J11" s="94">
        <f t="shared" si="6"/>
        <v>0.72118486721158204</v>
      </c>
      <c r="K11" s="94">
        <f t="shared" si="6"/>
        <v>0.76437514981940868</v>
      </c>
      <c r="L11" s="94">
        <f t="shared" si="6"/>
        <v>0.73515997540534028</v>
      </c>
      <c r="M11" s="94">
        <f t="shared" si="6"/>
        <v>0.79832226032846332</v>
      </c>
      <c r="N11" s="94">
        <f t="shared" si="6"/>
        <v>0.75049317826339801</v>
      </c>
      <c r="O11" s="94">
        <f t="shared" si="6"/>
        <v>0.77217839112282227</v>
      </c>
      <c r="P11" s="94">
        <f t="shared" si="6"/>
        <v>0.80585833595454925</v>
      </c>
      <c r="Q11" s="94">
        <f t="shared" si="6"/>
        <v>0.78936926183918688</v>
      </c>
      <c r="R11" s="94">
        <f t="shared" si="6"/>
        <v>0.82918734442651887</v>
      </c>
      <c r="S11" s="94">
        <f t="shared" si="6"/>
        <v>0.83091020664090087</v>
      </c>
      <c r="T11" s="94">
        <f t="shared" si="6"/>
        <v>0.84799942745172008</v>
      </c>
      <c r="U11" s="94">
        <f t="shared" si="6"/>
        <v>0.9661233599780058</v>
      </c>
      <c r="V11" s="94">
        <f t="shared" si="6"/>
        <v>0.96869022422646489</v>
      </c>
      <c r="W11" s="94">
        <f t="shared" si="6"/>
        <v>0.96639005540361156</v>
      </c>
      <c r="X11" s="94">
        <f t="shared" si="6"/>
        <v>1.1705900029933762</v>
      </c>
      <c r="Y11" s="94">
        <f t="shared" si="6"/>
        <v>1.1713033345156401</v>
      </c>
      <c r="Z11" s="94">
        <f t="shared" si="6"/>
        <v>1.2419723906573419</v>
      </c>
      <c r="AA11" s="94">
        <f t="shared" si="6"/>
        <v>1.3611303371082952</v>
      </c>
      <c r="AB11" s="94">
        <f t="shared" si="6"/>
        <v>1.3630225935376099</v>
      </c>
      <c r="AC11" s="94">
        <f t="shared" si="6"/>
        <v>1.3843698252796535</v>
      </c>
      <c r="AD11" s="94">
        <f t="shared" si="6"/>
        <v>1.5668362305418861</v>
      </c>
      <c r="AE11" s="94">
        <f t="shared" si="6"/>
        <v>1.6000634797222244</v>
      </c>
      <c r="AF11" s="94">
        <f t="shared" si="6"/>
        <v>1.6129243006818839</v>
      </c>
      <c r="AG11" s="94">
        <f t="shared" si="6"/>
        <v>1.5910016043043875</v>
      </c>
      <c r="AH11" s="94">
        <f t="shared" si="6"/>
        <v>1.8213943447154692</v>
      </c>
      <c r="AI11" s="94">
        <f t="shared" si="6"/>
        <v>2.2004613988128523</v>
      </c>
      <c r="AJ11" s="94">
        <f t="shared" si="6"/>
        <v>2.0658358707383235</v>
      </c>
      <c r="AK11" s="94">
        <f t="shared" si="6"/>
        <v>2.0431567033072215</v>
      </c>
      <c r="AL11" s="94">
        <f t="shared" si="6"/>
        <v>2.211100703795573</v>
      </c>
      <c r="AM11" s="94">
        <f t="shared" si="6"/>
        <v>1.7233401135590811</v>
      </c>
      <c r="AN11" s="94">
        <f t="shared" si="6"/>
        <v>1.865107335850728</v>
      </c>
      <c r="AO11" s="94">
        <f t="shared" si="6"/>
        <v>1.2912760591684775</v>
      </c>
      <c r="AP11" s="94">
        <f t="shared" si="6"/>
        <v>1.6913316906188585</v>
      </c>
      <c r="AQ11" s="94">
        <f t="shared" si="6"/>
        <v>1.4844466858912952</v>
      </c>
      <c r="AR11" s="94">
        <f t="shared" si="6"/>
        <v>1.4190559100799407</v>
      </c>
      <c r="AS11" s="94">
        <f t="shared" si="6"/>
        <v>1.5359735210386358</v>
      </c>
      <c r="AT11" s="94">
        <f t="shared" si="6"/>
        <v>0.42774388124155666</v>
      </c>
      <c r="AU11" s="94">
        <f t="shared" si="6"/>
        <v>1.3302444733248138</v>
      </c>
      <c r="AV11" s="94">
        <f t="shared" si="6"/>
        <v>1.5050496734058949</v>
      </c>
      <c r="AW11" s="94">
        <f t="shared" si="6"/>
        <v>1.5050496734058949</v>
      </c>
      <c r="AX11" s="94">
        <f t="shared" si="6"/>
        <v>1.1315881683819489</v>
      </c>
      <c r="AY11" s="94">
        <f t="shared" si="6"/>
        <v>1.1315881683819489</v>
      </c>
      <c r="AZ11" s="94">
        <f t="shared" si="6"/>
        <v>1.1315881683819489</v>
      </c>
      <c r="BA11" s="94">
        <f t="shared" si="6"/>
        <v>1.1315881683819489</v>
      </c>
      <c r="BB11" s="94">
        <f t="shared" si="6"/>
        <v>1.1209916743461372</v>
      </c>
      <c r="BC11" s="94">
        <f t="shared" si="6"/>
        <v>1.1209916743461372</v>
      </c>
      <c r="BD11" s="94">
        <f t="shared" si="6"/>
        <v>1.1209916743461372</v>
      </c>
      <c r="BE11" s="94">
        <f t="shared" si="6"/>
        <v>1.1209916743461372</v>
      </c>
      <c r="BF11" s="94">
        <f t="shared" si="6"/>
        <v>1.1864825938530341</v>
      </c>
      <c r="BG11" s="94">
        <f t="shared" si="6"/>
        <v>1.1864825938530341</v>
      </c>
      <c r="BH11" s="94">
        <f t="shared" si="6"/>
        <v>1.1864825938530341</v>
      </c>
      <c r="BI11" s="94">
        <f t="shared" si="6"/>
        <v>1.1864825938530341</v>
      </c>
      <c r="BJ11" s="94">
        <f t="shared" si="6"/>
        <v>1.2719653945676621</v>
      </c>
      <c r="BK11" s="94">
        <f t="shared" si="6"/>
        <v>1.2719653945676621</v>
      </c>
      <c r="BL11" s="94">
        <f t="shared" si="6"/>
        <v>1.2719653945676621</v>
      </c>
      <c r="BM11" s="94">
        <f t="shared" si="6"/>
        <v>0.9321972101010052</v>
      </c>
      <c r="BN11" s="94">
        <f t="shared" ref="BN11:BU11" si="7">SUM(BN9:BN10)</f>
        <v>0.9321972101010052</v>
      </c>
      <c r="BO11" s="94">
        <f t="shared" si="7"/>
        <v>0.9321972101010052</v>
      </c>
      <c r="BP11" s="94">
        <f t="shared" si="7"/>
        <v>0.9321972101010052</v>
      </c>
      <c r="BQ11" s="94">
        <f t="shared" si="7"/>
        <v>0.86048973240092774</v>
      </c>
      <c r="BR11" s="94">
        <f t="shared" si="7"/>
        <v>0.94414845638435141</v>
      </c>
      <c r="BS11" s="94">
        <f t="shared" si="7"/>
        <v>0.94414845638435141</v>
      </c>
      <c r="BT11" s="94">
        <f t="shared" si="7"/>
        <v>1.2190271209013144</v>
      </c>
      <c r="BU11" s="94">
        <f t="shared" si="7"/>
        <v>1.2190271209013144</v>
      </c>
      <c r="BV11" s="94">
        <f t="shared" ref="BV11:CJ11" si="8">SUM(BV9:BV10)</f>
        <v>1.0875634117845061</v>
      </c>
      <c r="BW11" s="94">
        <f t="shared" si="8"/>
        <v>1.0875634117845061</v>
      </c>
      <c r="BX11" s="94">
        <f t="shared" si="8"/>
        <v>1.0875634117845061</v>
      </c>
      <c r="BY11" s="94">
        <f t="shared" si="8"/>
        <v>1.0875634117845061</v>
      </c>
      <c r="BZ11" s="94">
        <f t="shared" si="8"/>
        <v>1.0875634117845061</v>
      </c>
      <c r="CA11" s="94">
        <f t="shared" si="8"/>
        <v>1.0875634117845061</v>
      </c>
      <c r="CB11" s="94">
        <f t="shared" si="8"/>
        <v>1.0995146580678523</v>
      </c>
      <c r="CC11" s="94">
        <f t="shared" si="8"/>
        <v>1.0995146580678523</v>
      </c>
      <c r="CD11" s="94">
        <f t="shared" si="8"/>
        <v>1.0995146580678523</v>
      </c>
      <c r="CE11" s="94">
        <f t="shared" si="8"/>
        <v>1.0995146580678523</v>
      </c>
      <c r="CF11" s="94">
        <f t="shared" si="8"/>
        <v>1.0995146580678523</v>
      </c>
      <c r="CG11" s="94">
        <f t="shared" si="8"/>
        <v>1.0995146580678523</v>
      </c>
      <c r="CH11" s="94">
        <f t="shared" si="8"/>
        <v>1.0875634117845061</v>
      </c>
      <c r="CI11" s="94">
        <f t="shared" si="8"/>
        <v>1.0875634117845061</v>
      </c>
      <c r="CJ11" s="94">
        <f t="shared" si="8"/>
        <v>1.0875634117845061</v>
      </c>
      <c r="CK11" s="94">
        <f t="shared" ref="CK11:CQ11" si="9">SUM(CK9:CK10)</f>
        <v>1.2787833523180456</v>
      </c>
      <c r="CL11" s="94">
        <f t="shared" si="9"/>
        <v>1.2787833523180456</v>
      </c>
      <c r="CM11" s="94">
        <f t="shared" si="9"/>
        <v>1.2787833523180456</v>
      </c>
      <c r="CN11" s="94">
        <f t="shared" si="9"/>
        <v>1.2787833523180456</v>
      </c>
      <c r="CO11" s="94">
        <f t="shared" si="9"/>
        <v>1.2787833523180456</v>
      </c>
      <c r="CP11" s="94">
        <f t="shared" si="9"/>
        <v>1.2787833523180456</v>
      </c>
      <c r="CQ11" s="94">
        <f t="shared" si="9"/>
        <v>1.2787833523180456</v>
      </c>
      <c r="CR11" s="94">
        <f t="shared" ref="CR11:DC11" si="10">SUM(CR9:CR10)</f>
        <v>1.2668321060346994</v>
      </c>
      <c r="CS11" s="94">
        <f t="shared" si="10"/>
        <v>1.2668321060346994</v>
      </c>
      <c r="CT11" s="94">
        <f t="shared" si="10"/>
        <v>1.2668321060346994</v>
      </c>
      <c r="CU11" s="94">
        <f t="shared" si="10"/>
        <v>1.2668321060346994</v>
      </c>
      <c r="CV11" s="94">
        <f t="shared" si="10"/>
        <v>1.2668321060346994</v>
      </c>
      <c r="CW11" s="94">
        <f t="shared" si="10"/>
        <v>1.2668321060346994</v>
      </c>
      <c r="CX11" s="94">
        <f t="shared" si="10"/>
        <v>1.3265883374514305</v>
      </c>
      <c r="CY11" s="94">
        <f t="shared" si="10"/>
        <v>1.3265883374514305</v>
      </c>
      <c r="CZ11" s="94">
        <f t="shared" si="10"/>
        <v>1.3265883374514305</v>
      </c>
      <c r="DA11" s="94">
        <f t="shared" si="10"/>
        <v>1.3265883374514305</v>
      </c>
      <c r="DB11" s="94">
        <f t="shared" si="10"/>
        <v>1.0756121655011599</v>
      </c>
      <c r="DC11" s="94">
        <f t="shared" si="10"/>
        <v>1.2548808597513532</v>
      </c>
      <c r="DD11" s="94">
        <f t="shared" ref="DD11:DY11" si="11">SUM(DD9:DD10)</f>
        <v>1.2907345986013918</v>
      </c>
      <c r="DE11" s="94">
        <f t="shared" si="11"/>
        <v>1.2907345986013918</v>
      </c>
      <c r="DF11" s="94">
        <f t="shared" si="11"/>
        <v>1.2907345986013918</v>
      </c>
      <c r="DG11" s="94">
        <f t="shared" si="11"/>
        <v>1.1592708894845833</v>
      </c>
      <c r="DH11" s="94">
        <f t="shared" si="11"/>
        <v>1.1592708894845833</v>
      </c>
      <c r="DI11" s="94">
        <f t="shared" si="11"/>
        <v>1.1592708894845833</v>
      </c>
      <c r="DJ11" s="94">
        <f t="shared" si="11"/>
        <v>1.1592708894845833</v>
      </c>
      <c r="DK11" s="94">
        <f t="shared" si="11"/>
        <v>1.1592708894845833</v>
      </c>
      <c r="DL11" s="94">
        <f t="shared" si="11"/>
        <v>1.0397584266511211</v>
      </c>
      <c r="DM11" s="94">
        <f t="shared" si="11"/>
        <v>1.0397584266511211</v>
      </c>
      <c r="DN11" s="94">
        <f t="shared" si="11"/>
        <v>1.0397584266511211</v>
      </c>
      <c r="DO11" s="94">
        <f t="shared" si="11"/>
        <v>1.0397584266511211</v>
      </c>
      <c r="DP11" s="94">
        <f t="shared" si="11"/>
        <v>1.0397584266511211</v>
      </c>
      <c r="DQ11" s="94">
        <f t="shared" si="11"/>
        <v>1.0397584266511211</v>
      </c>
      <c r="DR11" s="94">
        <f t="shared" si="11"/>
        <v>1.0517096729344673</v>
      </c>
      <c r="DS11" s="94">
        <f t="shared" si="11"/>
        <v>0</v>
      </c>
      <c r="DT11" s="94">
        <f t="shared" si="11"/>
        <v>0</v>
      </c>
      <c r="DU11" s="94">
        <f t="shared" si="11"/>
        <v>0</v>
      </c>
      <c r="DV11" s="94">
        <f t="shared" si="11"/>
        <v>0</v>
      </c>
      <c r="DW11" s="94">
        <f t="shared" si="11"/>
        <v>0</v>
      </c>
      <c r="DX11" s="94">
        <f t="shared" si="11"/>
        <v>0</v>
      </c>
      <c r="DY11" s="94">
        <f t="shared" si="11"/>
        <v>0</v>
      </c>
    </row>
    <row r="12" spans="1:154">
      <c r="G12" s="60" t="s">
        <v>429</v>
      </c>
      <c r="J12" s="60">
        <v>1.357</v>
      </c>
      <c r="M12" s="60">
        <v>1.35</v>
      </c>
      <c r="P12" s="60">
        <v>1.32</v>
      </c>
      <c r="V12" s="60">
        <v>1.6850000000000001</v>
      </c>
      <c r="W12" s="60">
        <v>1.9330000000000001</v>
      </c>
      <c r="X12" s="60">
        <v>1.998</v>
      </c>
      <c r="Y12" s="60">
        <v>2.17</v>
      </c>
      <c r="Z12" s="60">
        <v>2.1</v>
      </c>
      <c r="AI12" s="60">
        <v>4.0999999999999996</v>
      </c>
      <c r="AJ12" s="60">
        <v>3.75</v>
      </c>
      <c r="AM12" s="60">
        <v>2.0299999999999998</v>
      </c>
      <c r="AN12" s="60">
        <v>1.92</v>
      </c>
      <c r="AO12" s="60">
        <v>1.92</v>
      </c>
      <c r="AP12" s="60">
        <v>1.6</v>
      </c>
    </row>
    <row r="13" spans="1:154">
      <c r="G13" s="59" t="s">
        <v>406</v>
      </c>
      <c r="J13" s="65">
        <f>J12-J11</f>
        <v>0.63581513278841795</v>
      </c>
      <c r="M13" s="65">
        <f>M12-M11</f>
        <v>0.55167773967153677</v>
      </c>
      <c r="P13" s="65">
        <f>P12-P11</f>
        <v>0.51414166404545081</v>
      </c>
      <c r="V13" s="65">
        <f>V12-V11</f>
        <v>0.71630977577353516</v>
      </c>
      <c r="W13" s="65">
        <f>W12-W11</f>
        <v>0.96660994459638849</v>
      </c>
      <c r="X13" s="65">
        <f>X12-X11</f>
        <v>0.82740999700662377</v>
      </c>
      <c r="Y13" s="65">
        <f>Y12-Y11</f>
        <v>0.99869666548435987</v>
      </c>
      <c r="Z13" s="65">
        <f>Z12-Z11</f>
        <v>0.8580276093426582</v>
      </c>
      <c r="AI13" s="65">
        <f>AI12-AI11</f>
        <v>1.8995386011871473</v>
      </c>
      <c r="AJ13" s="65">
        <f>AJ12-AJ11</f>
        <v>1.6841641292616765</v>
      </c>
      <c r="AM13" s="65">
        <f>AM12-AM11</f>
        <v>0.30665988644091868</v>
      </c>
      <c r="AN13" s="65">
        <f>AN12-AN11</f>
        <v>5.4892664149271964E-2</v>
      </c>
      <c r="AO13" s="65">
        <f>AO12-AO11</f>
        <v>0.62872394083152239</v>
      </c>
      <c r="AP13" s="65">
        <f>AP12-AP11</f>
        <v>-9.1331690618858374E-2</v>
      </c>
    </row>
    <row r="14" spans="1:154" ht="14">
      <c r="G14" s="8"/>
    </row>
    <row r="15" spans="1:154" ht="14">
      <c r="G15" s="8"/>
    </row>
    <row r="16" spans="1:154" s="161" customFormat="1">
      <c r="G16" s="161" t="s">
        <v>407</v>
      </c>
      <c r="H16" s="163">
        <f>H11</f>
        <v>0.68140903128487773</v>
      </c>
      <c r="I16" s="163">
        <f t="shared" ref="I16:BM16" si="12">I11</f>
        <v>0.75232770338575139</v>
      </c>
      <c r="J16" s="163">
        <f t="shared" si="12"/>
        <v>0.72118486721158204</v>
      </c>
      <c r="K16" s="163">
        <f t="shared" si="12"/>
        <v>0.76437514981940868</v>
      </c>
      <c r="L16" s="163">
        <f t="shared" si="12"/>
        <v>0.73515997540534028</v>
      </c>
      <c r="M16" s="163">
        <f t="shared" si="12"/>
        <v>0.79832226032846332</v>
      </c>
      <c r="N16" s="163">
        <f t="shared" si="12"/>
        <v>0.75049317826339801</v>
      </c>
      <c r="O16" s="163">
        <f t="shared" si="12"/>
        <v>0.77217839112282227</v>
      </c>
      <c r="P16" s="163">
        <f t="shared" si="12"/>
        <v>0.80585833595454925</v>
      </c>
      <c r="Q16" s="163">
        <f t="shared" si="12"/>
        <v>0.78936926183918688</v>
      </c>
      <c r="R16" s="163">
        <f t="shared" si="12"/>
        <v>0.82918734442651887</v>
      </c>
      <c r="S16" s="163">
        <f t="shared" si="12"/>
        <v>0.83091020664090087</v>
      </c>
      <c r="T16" s="163">
        <f t="shared" si="12"/>
        <v>0.84799942745172008</v>
      </c>
      <c r="U16" s="163">
        <f t="shared" si="12"/>
        <v>0.9661233599780058</v>
      </c>
      <c r="V16" s="163">
        <f t="shared" si="12"/>
        <v>0.96869022422646489</v>
      </c>
      <c r="W16" s="163">
        <f t="shared" si="12"/>
        <v>0.96639005540361156</v>
      </c>
      <c r="X16" s="163">
        <f t="shared" si="12"/>
        <v>1.1705900029933762</v>
      </c>
      <c r="Y16" s="163">
        <f t="shared" si="12"/>
        <v>1.1713033345156401</v>
      </c>
      <c r="Z16" s="163">
        <f t="shared" si="12"/>
        <v>1.2419723906573419</v>
      </c>
      <c r="AA16" s="163">
        <f t="shared" si="12"/>
        <v>1.3611303371082952</v>
      </c>
      <c r="AB16" s="163">
        <f t="shared" si="12"/>
        <v>1.3630225935376099</v>
      </c>
      <c r="AC16" s="163">
        <f t="shared" si="12"/>
        <v>1.3843698252796535</v>
      </c>
      <c r="AD16" s="163">
        <f t="shared" si="12"/>
        <v>1.5668362305418861</v>
      </c>
      <c r="AE16" s="163">
        <f t="shared" si="12"/>
        <v>1.6000634797222244</v>
      </c>
      <c r="AF16" s="163">
        <f t="shared" si="12"/>
        <v>1.6129243006818839</v>
      </c>
      <c r="AG16" s="163">
        <f t="shared" si="12"/>
        <v>1.5910016043043875</v>
      </c>
      <c r="AH16" s="163">
        <f t="shared" si="12"/>
        <v>1.8213943447154692</v>
      </c>
      <c r="AI16" s="163">
        <f t="shared" si="12"/>
        <v>2.2004613988128523</v>
      </c>
      <c r="AJ16" s="163">
        <f t="shared" si="12"/>
        <v>2.0658358707383235</v>
      </c>
      <c r="AK16" s="163">
        <f t="shared" si="12"/>
        <v>2.0431567033072215</v>
      </c>
      <c r="AL16" s="163">
        <f t="shared" si="12"/>
        <v>2.211100703795573</v>
      </c>
      <c r="AM16" s="163">
        <f t="shared" si="12"/>
        <v>1.7233401135590811</v>
      </c>
      <c r="AN16" s="163">
        <f t="shared" si="12"/>
        <v>1.865107335850728</v>
      </c>
      <c r="AO16" s="163">
        <f t="shared" si="12"/>
        <v>1.2912760591684775</v>
      </c>
      <c r="AP16" s="163">
        <f t="shared" si="12"/>
        <v>1.6913316906188585</v>
      </c>
      <c r="AQ16" s="163">
        <f t="shared" si="12"/>
        <v>1.4844466858912952</v>
      </c>
      <c r="AR16" s="163">
        <f t="shared" si="12"/>
        <v>1.4190559100799407</v>
      </c>
      <c r="AS16" s="163">
        <f t="shared" si="12"/>
        <v>1.5359735210386358</v>
      </c>
      <c r="AT16" s="163">
        <f t="shared" si="12"/>
        <v>0.42774388124155666</v>
      </c>
      <c r="AU16" s="163">
        <f t="shared" si="12"/>
        <v>1.3302444733248138</v>
      </c>
      <c r="AV16" s="163">
        <f t="shared" si="12"/>
        <v>1.5050496734058949</v>
      </c>
      <c r="AW16" s="163">
        <f t="shared" si="12"/>
        <v>1.5050496734058949</v>
      </c>
      <c r="AX16" s="163">
        <f t="shared" si="12"/>
        <v>1.1315881683819489</v>
      </c>
      <c r="AY16" s="163">
        <f t="shared" si="12"/>
        <v>1.1315881683819489</v>
      </c>
      <c r="AZ16" s="163">
        <f t="shared" si="12"/>
        <v>1.1315881683819489</v>
      </c>
      <c r="BA16" s="163">
        <f t="shared" si="12"/>
        <v>1.1315881683819489</v>
      </c>
      <c r="BB16" s="163">
        <f t="shared" si="12"/>
        <v>1.1209916743461372</v>
      </c>
      <c r="BC16" s="163">
        <f t="shared" si="12"/>
        <v>1.1209916743461372</v>
      </c>
      <c r="BD16" s="163">
        <f t="shared" si="12"/>
        <v>1.1209916743461372</v>
      </c>
      <c r="BE16" s="163">
        <f t="shared" si="12"/>
        <v>1.1209916743461372</v>
      </c>
      <c r="BF16" s="163">
        <f t="shared" si="12"/>
        <v>1.1864825938530341</v>
      </c>
      <c r="BG16" s="163">
        <f t="shared" si="12"/>
        <v>1.1864825938530341</v>
      </c>
      <c r="BH16" s="163">
        <f t="shared" si="12"/>
        <v>1.1864825938530341</v>
      </c>
      <c r="BI16" s="163">
        <f t="shared" si="12"/>
        <v>1.1864825938530341</v>
      </c>
      <c r="BJ16" s="163">
        <f t="shared" si="12"/>
        <v>1.2719653945676621</v>
      </c>
      <c r="BK16" s="163">
        <f t="shared" si="12"/>
        <v>1.2719653945676621</v>
      </c>
      <c r="BL16" s="163">
        <f t="shared" si="12"/>
        <v>1.2719653945676621</v>
      </c>
      <c r="BM16" s="163">
        <f t="shared" si="12"/>
        <v>0.9321972101010052</v>
      </c>
      <c r="BN16" s="163">
        <f t="shared" ref="BN16:BU16" si="13">BN11</f>
        <v>0.9321972101010052</v>
      </c>
      <c r="BO16" s="163">
        <f t="shared" si="13"/>
        <v>0.9321972101010052</v>
      </c>
      <c r="BP16" s="163">
        <f t="shared" si="13"/>
        <v>0.9321972101010052</v>
      </c>
      <c r="BQ16" s="163">
        <f t="shared" si="13"/>
        <v>0.86048973240092774</v>
      </c>
      <c r="BR16" s="163">
        <f t="shared" si="13"/>
        <v>0.94414845638435141</v>
      </c>
      <c r="BS16" s="163">
        <f t="shared" si="13"/>
        <v>0.94414845638435141</v>
      </c>
      <c r="BT16" s="163">
        <f t="shared" si="13"/>
        <v>1.2190271209013144</v>
      </c>
      <c r="BU16" s="163">
        <f t="shared" si="13"/>
        <v>1.2190271209013144</v>
      </c>
      <c r="BV16" s="163">
        <f t="shared" ref="BV16:CJ16" si="14">BV11</f>
        <v>1.0875634117845061</v>
      </c>
      <c r="BW16" s="163">
        <f t="shared" si="14"/>
        <v>1.0875634117845061</v>
      </c>
      <c r="BX16" s="163">
        <f t="shared" si="14"/>
        <v>1.0875634117845061</v>
      </c>
      <c r="BY16" s="163">
        <f t="shared" si="14"/>
        <v>1.0875634117845061</v>
      </c>
      <c r="BZ16" s="163">
        <f t="shared" si="14"/>
        <v>1.0875634117845061</v>
      </c>
      <c r="CA16" s="163">
        <f t="shared" si="14"/>
        <v>1.0875634117845061</v>
      </c>
      <c r="CB16" s="163">
        <f t="shared" si="14"/>
        <v>1.0995146580678523</v>
      </c>
      <c r="CC16" s="163">
        <f t="shared" si="14"/>
        <v>1.0995146580678523</v>
      </c>
      <c r="CD16" s="163">
        <f t="shared" si="14"/>
        <v>1.0995146580678523</v>
      </c>
      <c r="CE16" s="163">
        <f t="shared" si="14"/>
        <v>1.0995146580678523</v>
      </c>
      <c r="CF16" s="163">
        <f t="shared" si="14"/>
        <v>1.0995146580678523</v>
      </c>
      <c r="CG16" s="163">
        <f t="shared" si="14"/>
        <v>1.0995146580678523</v>
      </c>
      <c r="CH16" s="163">
        <f t="shared" si="14"/>
        <v>1.0875634117845061</v>
      </c>
      <c r="CI16" s="163">
        <f t="shared" si="14"/>
        <v>1.0875634117845061</v>
      </c>
      <c r="CJ16" s="163">
        <f t="shared" si="14"/>
        <v>1.0875634117845061</v>
      </c>
      <c r="CK16" s="163">
        <f t="shared" ref="CK16:CQ16" si="15">CK11</f>
        <v>1.2787833523180456</v>
      </c>
      <c r="CL16" s="163">
        <f t="shared" si="15"/>
        <v>1.2787833523180456</v>
      </c>
      <c r="CM16" s="163">
        <f t="shared" si="15"/>
        <v>1.2787833523180456</v>
      </c>
      <c r="CN16" s="163">
        <f t="shared" si="15"/>
        <v>1.2787833523180456</v>
      </c>
      <c r="CO16" s="163">
        <f t="shared" si="15"/>
        <v>1.2787833523180456</v>
      </c>
      <c r="CP16" s="163">
        <f t="shared" si="15"/>
        <v>1.2787833523180456</v>
      </c>
      <c r="CQ16" s="163">
        <f t="shared" si="15"/>
        <v>1.2787833523180456</v>
      </c>
      <c r="CR16" s="163">
        <f t="shared" ref="CR16:DC16" si="16">CR11</f>
        <v>1.2668321060346994</v>
      </c>
      <c r="CS16" s="163">
        <f t="shared" si="16"/>
        <v>1.2668321060346994</v>
      </c>
      <c r="CT16" s="163">
        <f t="shared" si="16"/>
        <v>1.2668321060346994</v>
      </c>
      <c r="CU16" s="163">
        <f t="shared" si="16"/>
        <v>1.2668321060346994</v>
      </c>
      <c r="CV16" s="163">
        <f t="shared" si="16"/>
        <v>1.2668321060346994</v>
      </c>
      <c r="CW16" s="163">
        <f t="shared" si="16"/>
        <v>1.2668321060346994</v>
      </c>
      <c r="CX16" s="163">
        <f t="shared" si="16"/>
        <v>1.3265883374514305</v>
      </c>
      <c r="CY16" s="163">
        <f t="shared" si="16"/>
        <v>1.3265883374514305</v>
      </c>
      <c r="CZ16" s="163">
        <f t="shared" si="16"/>
        <v>1.3265883374514305</v>
      </c>
      <c r="DA16" s="163">
        <f t="shared" si="16"/>
        <v>1.3265883374514305</v>
      </c>
      <c r="DB16" s="163">
        <f t="shared" si="16"/>
        <v>1.0756121655011599</v>
      </c>
      <c r="DC16" s="163">
        <f t="shared" si="16"/>
        <v>1.2548808597513532</v>
      </c>
      <c r="DD16" s="163">
        <f t="shared" ref="DD16:DY16" si="17">DD11</f>
        <v>1.2907345986013918</v>
      </c>
      <c r="DE16" s="163">
        <f t="shared" si="17"/>
        <v>1.2907345986013918</v>
      </c>
      <c r="DF16" s="163">
        <f t="shared" si="17"/>
        <v>1.2907345986013918</v>
      </c>
      <c r="DG16" s="163">
        <f t="shared" si="17"/>
        <v>1.1592708894845833</v>
      </c>
      <c r="DH16" s="163">
        <f t="shared" si="17"/>
        <v>1.1592708894845833</v>
      </c>
      <c r="DI16" s="163">
        <f t="shared" si="17"/>
        <v>1.1592708894845833</v>
      </c>
      <c r="DJ16" s="163">
        <f t="shared" si="17"/>
        <v>1.1592708894845833</v>
      </c>
      <c r="DK16" s="163">
        <f t="shared" si="17"/>
        <v>1.1592708894845833</v>
      </c>
      <c r="DL16" s="163">
        <f t="shared" si="17"/>
        <v>1.0397584266511211</v>
      </c>
      <c r="DM16" s="163">
        <f t="shared" si="17"/>
        <v>1.0397584266511211</v>
      </c>
      <c r="DN16" s="163">
        <f t="shared" si="17"/>
        <v>1.0397584266511211</v>
      </c>
      <c r="DO16" s="163">
        <f t="shared" si="17"/>
        <v>1.0397584266511211</v>
      </c>
      <c r="DP16" s="163">
        <f t="shared" si="17"/>
        <v>1.0397584266511211</v>
      </c>
      <c r="DQ16" s="163">
        <f t="shared" si="17"/>
        <v>1.0397584266511211</v>
      </c>
      <c r="DR16" s="163">
        <f t="shared" si="17"/>
        <v>1.0517096729344673</v>
      </c>
      <c r="DS16" s="163">
        <f t="shared" si="17"/>
        <v>0</v>
      </c>
      <c r="DT16" s="163">
        <f t="shared" si="17"/>
        <v>0</v>
      </c>
      <c r="DU16" s="163">
        <f t="shared" si="17"/>
        <v>0</v>
      </c>
      <c r="DV16" s="163">
        <f t="shared" si="17"/>
        <v>0</v>
      </c>
      <c r="DW16" s="163">
        <f t="shared" si="17"/>
        <v>0</v>
      </c>
      <c r="DX16" s="163">
        <f t="shared" si="17"/>
        <v>0</v>
      </c>
      <c r="DY16" s="163">
        <f t="shared" si="17"/>
        <v>0</v>
      </c>
    </row>
    <row r="32" spans="1:1">
      <c r="A32" s="60" t="s">
        <v>561</v>
      </c>
    </row>
  </sheetData>
  <mergeCells count="1">
    <mergeCell ref="A9:A10"/>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2"/>
  <dimension ref="A1:DX19"/>
  <sheetViews>
    <sheetView zoomScaleNormal="100" workbookViewId="0">
      <pane xSplit="10" ySplit="5" topLeftCell="AP6" activePane="bottomRight" state="frozen"/>
      <selection pane="topRight" activeCell="K1" sqref="K1"/>
      <selection pane="bottomLeft" activeCell="A6" sqref="A6"/>
      <selection pane="bottomRight" activeCell="AS13" sqref="AS13"/>
    </sheetView>
  </sheetViews>
  <sheetFormatPr baseColWidth="10" defaultColWidth="13.83203125" defaultRowHeight="12"/>
  <cols>
    <col min="1" max="1" width="35.83203125" style="60" bestFit="1" customWidth="1"/>
    <col min="2" max="2" width="11.33203125" style="60" bestFit="1" customWidth="1"/>
    <col min="3" max="3" width="4.83203125" style="60" bestFit="1" customWidth="1"/>
    <col min="4" max="4" width="14.5" style="60" bestFit="1" customWidth="1"/>
    <col min="5" max="5" width="11.83203125" style="60" bestFit="1" customWidth="1"/>
    <col min="6" max="6" width="6" style="60" bestFit="1" customWidth="1"/>
    <col min="7" max="7" width="22.83203125" style="60" bestFit="1" customWidth="1"/>
    <col min="8" max="8" width="5.1640625" style="60" bestFit="1" customWidth="1"/>
    <col min="9" max="9" width="5.5" style="60" bestFit="1" customWidth="1"/>
    <col min="10" max="10" width="5.6640625" style="60" bestFit="1" customWidth="1"/>
    <col min="11" max="11" width="5.33203125" style="60" bestFit="1" customWidth="1"/>
    <col min="12" max="12" width="5.83203125" style="60" bestFit="1" customWidth="1"/>
    <col min="13" max="13" width="5.1640625" style="60" bestFit="1" customWidth="1"/>
    <col min="14" max="14" width="4.6640625" style="60" bestFit="1" customWidth="1"/>
    <col min="15" max="17" width="5.5" style="60" bestFit="1" customWidth="1"/>
    <col min="18" max="18" width="5.6640625" style="60" bestFit="1" customWidth="1"/>
    <col min="19" max="19" width="5.5" style="60" bestFit="1" customWidth="1"/>
    <col min="20" max="20" width="5.1640625" style="60" bestFit="1" customWidth="1"/>
    <col min="21" max="21" width="5.5" style="60" bestFit="1" customWidth="1"/>
    <col min="22" max="22" width="5.6640625" style="60" bestFit="1" customWidth="1"/>
    <col min="23" max="23" width="5.33203125" style="60" bestFit="1" customWidth="1"/>
    <col min="24" max="24" width="5.83203125" style="60" bestFit="1" customWidth="1"/>
    <col min="25" max="25" width="5.1640625" style="60" bestFit="1" customWidth="1"/>
    <col min="26" max="26" width="4.6640625" style="60" bestFit="1" customWidth="1"/>
    <col min="27" max="29" width="5.5" style="60" bestFit="1" customWidth="1"/>
    <col min="30" max="30" width="5.6640625" style="60" bestFit="1" customWidth="1"/>
    <col min="31" max="31" width="5.5" style="60" bestFit="1" customWidth="1"/>
    <col min="32" max="32" width="5.1640625" style="60" bestFit="1" customWidth="1"/>
    <col min="33" max="33" width="5.5" style="60" bestFit="1" customWidth="1"/>
    <col min="34" max="34" width="5.6640625" style="60" bestFit="1" customWidth="1"/>
    <col min="35" max="35" width="5.33203125" style="60" bestFit="1" customWidth="1"/>
    <col min="36" max="36" width="5.83203125" style="60" bestFit="1" customWidth="1"/>
    <col min="37" max="37" width="5.1640625" style="60" bestFit="1" customWidth="1"/>
    <col min="38" max="38" width="4.6640625" style="60" bestFit="1" customWidth="1"/>
    <col min="39" max="41" width="5.5" style="60" bestFit="1" customWidth="1"/>
    <col min="42" max="42" width="5.6640625" style="60" bestFit="1" customWidth="1"/>
    <col min="43" max="43" width="5.5" style="60" bestFit="1" customWidth="1"/>
    <col min="44" max="44" width="5.1640625" style="60" bestFit="1" customWidth="1"/>
    <col min="45" max="45" width="5.5" style="60" bestFit="1" customWidth="1"/>
    <col min="46" max="46" width="5.6640625" style="60" bestFit="1" customWidth="1"/>
    <col min="47" max="47" width="5.33203125" style="60" bestFit="1" customWidth="1"/>
    <col min="48" max="48" width="5.83203125" style="60" bestFit="1" customWidth="1"/>
    <col min="49" max="49" width="5.1640625" style="60" bestFit="1" customWidth="1"/>
    <col min="50" max="50" width="4.6640625" style="60" bestFit="1" customWidth="1"/>
    <col min="51" max="53" width="7" style="60" bestFit="1" customWidth="1"/>
    <col min="54" max="55" width="5.5" style="60" bestFit="1" customWidth="1"/>
    <col min="56" max="57" width="4.33203125" style="60" bestFit="1" customWidth="1"/>
    <col min="58" max="65" width="6.1640625" style="60" bestFit="1" customWidth="1"/>
    <col min="66" max="69" width="5.6640625" style="60" bestFit="1" customWidth="1"/>
    <col min="70" max="73" width="5.5" style="60" bestFit="1" customWidth="1"/>
    <col min="74" max="77" width="5.1640625" style="60" bestFit="1" customWidth="1"/>
    <col min="78" max="81" width="5.5" style="60" bestFit="1" customWidth="1"/>
    <col min="82" max="82" width="6.1640625" style="60" bestFit="1" customWidth="1"/>
    <col min="83" max="85" width="5.6640625" style="60" bestFit="1" customWidth="1"/>
    <col min="86" max="89" width="5.5" style="60" bestFit="1" customWidth="1"/>
    <col min="90" max="94" width="6.33203125" style="60" bestFit="1" customWidth="1"/>
    <col min="95" max="98" width="6.1640625" style="60" bestFit="1" customWidth="1"/>
    <col min="99" max="99" width="5.1640625" style="60" bestFit="1" customWidth="1"/>
    <col min="100" max="102" width="6.1640625" style="60" bestFit="1" customWidth="1"/>
    <col min="103" max="106" width="5.83203125" style="60" bestFit="1" customWidth="1"/>
    <col min="107" max="114" width="5.6640625" style="60" bestFit="1" customWidth="1"/>
    <col min="115" max="118" width="6.1640625" style="60" bestFit="1" customWidth="1"/>
    <col min="119" max="122" width="5.83203125" style="60" bestFit="1" customWidth="1"/>
    <col min="123" max="128" width="5.1640625" style="60" bestFit="1" customWidth="1"/>
    <col min="129" max="16384" width="13.83203125" style="60"/>
  </cols>
  <sheetData>
    <row r="1" spans="1:128">
      <c r="A1" s="59" t="s">
        <v>377</v>
      </c>
      <c r="B1" s="59" t="s">
        <v>378</v>
      </c>
      <c r="C1" s="59" t="s">
        <v>379</v>
      </c>
      <c r="D1" s="59" t="s">
        <v>380</v>
      </c>
      <c r="E1" s="59" t="s">
        <v>381</v>
      </c>
      <c r="F1" s="60" t="s">
        <v>33</v>
      </c>
      <c r="G1" s="61">
        <v>6</v>
      </c>
      <c r="H1" s="61">
        <v>7</v>
      </c>
      <c r="I1" s="61">
        <v>8</v>
      </c>
      <c r="J1" s="61">
        <v>9</v>
      </c>
      <c r="K1" s="61">
        <v>10</v>
      </c>
      <c r="L1" s="61">
        <v>11</v>
      </c>
      <c r="M1" s="61">
        <v>12</v>
      </c>
      <c r="N1" s="61">
        <v>13</v>
      </c>
      <c r="O1" s="61">
        <v>14</v>
      </c>
      <c r="P1" s="61">
        <v>15</v>
      </c>
      <c r="Q1" s="61">
        <v>16</v>
      </c>
      <c r="R1" s="61">
        <v>17</v>
      </c>
      <c r="S1" s="61">
        <v>18</v>
      </c>
      <c r="T1" s="61">
        <v>19</v>
      </c>
      <c r="U1" s="61">
        <v>20</v>
      </c>
      <c r="V1" s="61">
        <v>21</v>
      </c>
      <c r="W1" s="61">
        <v>22</v>
      </c>
      <c r="X1" s="61">
        <v>23</v>
      </c>
      <c r="Y1" s="61">
        <v>24</v>
      </c>
      <c r="Z1" s="61">
        <v>25</v>
      </c>
      <c r="AA1" s="61">
        <v>26</v>
      </c>
      <c r="AB1" s="61">
        <v>27</v>
      </c>
      <c r="AC1" s="61">
        <v>28</v>
      </c>
      <c r="AD1" s="61">
        <v>29</v>
      </c>
      <c r="AE1" s="61">
        <v>30</v>
      </c>
      <c r="AF1" s="61">
        <v>31</v>
      </c>
      <c r="AG1" s="61">
        <v>32</v>
      </c>
      <c r="AH1" s="61">
        <v>33</v>
      </c>
      <c r="AI1" s="61">
        <v>34</v>
      </c>
      <c r="AJ1" s="61">
        <v>35</v>
      </c>
      <c r="AK1" s="61">
        <v>36</v>
      </c>
      <c r="AL1" s="61">
        <v>37</v>
      </c>
      <c r="AM1" s="61">
        <v>38</v>
      </c>
      <c r="AN1" s="61">
        <v>39</v>
      </c>
      <c r="AO1" s="61">
        <v>40</v>
      </c>
      <c r="AP1" s="61">
        <v>41</v>
      </c>
      <c r="AQ1" s="61">
        <v>42</v>
      </c>
      <c r="AR1" s="61">
        <v>43</v>
      </c>
      <c r="AS1" s="61">
        <v>44</v>
      </c>
      <c r="AT1" s="61">
        <v>45</v>
      </c>
      <c r="AU1" s="61">
        <v>46</v>
      </c>
      <c r="AV1" s="61">
        <v>47</v>
      </c>
      <c r="AW1" s="61">
        <v>48</v>
      </c>
      <c r="AX1" s="61">
        <v>49</v>
      </c>
      <c r="AY1" s="61">
        <v>50</v>
      </c>
      <c r="AZ1" s="61">
        <v>51</v>
      </c>
      <c r="BA1" s="61">
        <v>52</v>
      </c>
      <c r="BB1" s="61">
        <v>53</v>
      </c>
      <c r="BC1" s="61">
        <v>54</v>
      </c>
      <c r="BD1" s="61">
        <v>55</v>
      </c>
      <c r="BE1" s="61">
        <v>56</v>
      </c>
      <c r="BF1" s="61">
        <v>57</v>
      </c>
      <c r="BG1" s="61">
        <v>58</v>
      </c>
      <c r="BH1" s="61">
        <v>59</v>
      </c>
      <c r="BI1" s="61">
        <v>60</v>
      </c>
      <c r="BJ1" s="61">
        <v>61</v>
      </c>
      <c r="BK1" s="61">
        <v>62</v>
      </c>
      <c r="BL1" s="61">
        <v>63</v>
      </c>
      <c r="BM1" s="61">
        <v>64</v>
      </c>
      <c r="BN1" s="61">
        <v>65</v>
      </c>
      <c r="BO1" s="61">
        <v>66</v>
      </c>
      <c r="BP1" s="61">
        <v>67</v>
      </c>
      <c r="BQ1" s="61">
        <v>68</v>
      </c>
      <c r="BR1" s="61">
        <v>69</v>
      </c>
      <c r="BS1" s="61">
        <v>70</v>
      </c>
      <c r="BT1" s="61">
        <v>71</v>
      </c>
      <c r="BU1" s="61">
        <v>72</v>
      </c>
      <c r="BV1" s="61">
        <v>73</v>
      </c>
      <c r="BW1" s="61">
        <v>74</v>
      </c>
      <c r="BX1" s="61">
        <v>75</v>
      </c>
      <c r="BY1" s="61">
        <v>76</v>
      </c>
      <c r="BZ1" s="61">
        <v>77</v>
      </c>
      <c r="CA1" s="61">
        <v>78</v>
      </c>
      <c r="CB1" s="61">
        <v>79</v>
      </c>
      <c r="CC1" s="61">
        <v>80</v>
      </c>
      <c r="CD1" s="61">
        <v>81</v>
      </c>
      <c r="CE1" s="61">
        <v>82</v>
      </c>
      <c r="CF1" s="61">
        <v>83</v>
      </c>
      <c r="CG1" s="61">
        <v>84</v>
      </c>
      <c r="CH1" s="61">
        <v>85</v>
      </c>
      <c r="CI1" s="61">
        <v>86</v>
      </c>
      <c r="CJ1" s="61">
        <v>87</v>
      </c>
      <c r="CK1" s="61">
        <v>88</v>
      </c>
      <c r="CL1" s="61">
        <v>89</v>
      </c>
      <c r="CM1" s="61">
        <v>90</v>
      </c>
      <c r="CN1" s="61">
        <v>91</v>
      </c>
      <c r="CO1" s="61">
        <v>92</v>
      </c>
      <c r="CP1" s="61">
        <v>93</v>
      </c>
      <c r="CQ1" s="61">
        <v>94</v>
      </c>
      <c r="CR1" s="61">
        <v>95</v>
      </c>
      <c r="CS1" s="61">
        <v>96</v>
      </c>
      <c r="CT1" s="61">
        <v>97</v>
      </c>
      <c r="CU1" s="61">
        <v>98</v>
      </c>
      <c r="CV1" s="61">
        <v>99</v>
      </c>
      <c r="CW1" s="61">
        <v>100</v>
      </c>
      <c r="CX1" s="61">
        <v>101</v>
      </c>
      <c r="CY1" s="61">
        <v>102</v>
      </c>
      <c r="CZ1" s="61">
        <v>103</v>
      </c>
      <c r="DA1" s="61">
        <v>104</v>
      </c>
      <c r="DB1" s="61">
        <v>105</v>
      </c>
      <c r="DC1" s="61">
        <v>106</v>
      </c>
      <c r="DD1" s="61">
        <v>107</v>
      </c>
      <c r="DE1" s="61">
        <v>108</v>
      </c>
      <c r="DF1" s="61">
        <v>109</v>
      </c>
      <c r="DG1" s="61">
        <v>110</v>
      </c>
      <c r="DH1" s="61">
        <v>111</v>
      </c>
      <c r="DI1" s="61">
        <v>112</v>
      </c>
      <c r="DJ1" s="61">
        <v>113</v>
      </c>
      <c r="DK1" s="61">
        <v>114</v>
      </c>
      <c r="DL1" s="61">
        <v>115</v>
      </c>
      <c r="DM1" s="61">
        <v>116</v>
      </c>
      <c r="DN1" s="61">
        <v>117</v>
      </c>
      <c r="DO1" s="61">
        <v>118</v>
      </c>
      <c r="DP1" s="61">
        <v>119</v>
      </c>
      <c r="DQ1" s="61">
        <v>120</v>
      </c>
      <c r="DR1" s="61">
        <v>121</v>
      </c>
      <c r="DS1" s="61">
        <v>122</v>
      </c>
      <c r="DT1" s="61">
        <v>123</v>
      </c>
      <c r="DU1" s="61">
        <v>124</v>
      </c>
      <c r="DV1" s="61">
        <v>125</v>
      </c>
      <c r="DW1" s="61">
        <v>126</v>
      </c>
    </row>
    <row r="2" spans="1:128">
      <c r="A2" s="60" t="s">
        <v>314</v>
      </c>
      <c r="B2" s="60" t="s">
        <v>444</v>
      </c>
      <c r="C2" s="101"/>
      <c r="D2" s="123"/>
      <c r="E2" s="60" t="s">
        <v>562</v>
      </c>
    </row>
    <row r="3" spans="1:128">
      <c r="A3" s="60" t="s">
        <v>471</v>
      </c>
      <c r="B3" s="60" t="s">
        <v>472</v>
      </c>
      <c r="C3" s="101"/>
      <c r="D3" s="123"/>
      <c r="E3" s="60" t="s">
        <v>563</v>
      </c>
    </row>
    <row r="4" spans="1:128">
      <c r="A4" s="64">
        <v>44.05</v>
      </c>
      <c r="B4" s="64">
        <v>17.030999999999999</v>
      </c>
      <c r="D4" s="64"/>
      <c r="E4" s="64">
        <v>149.88</v>
      </c>
    </row>
    <row r="5" spans="1:128" ht="30">
      <c r="A5" s="64"/>
      <c r="B5" s="64"/>
      <c r="D5" s="64"/>
      <c r="E5" s="64"/>
      <c r="G5" s="59" t="s">
        <v>388</v>
      </c>
      <c r="H5" s="59">
        <v>43831</v>
      </c>
      <c r="I5" s="59">
        <v>43862</v>
      </c>
      <c r="J5" s="59">
        <v>43891</v>
      </c>
      <c r="K5" s="59">
        <v>43922</v>
      </c>
      <c r="L5" s="59">
        <v>43952</v>
      </c>
      <c r="M5" s="59">
        <v>43983</v>
      </c>
      <c r="N5" s="59">
        <v>44013</v>
      </c>
      <c r="O5" s="59">
        <v>44044</v>
      </c>
      <c r="P5" s="59">
        <v>44075</v>
      </c>
      <c r="Q5" s="59">
        <v>44105</v>
      </c>
      <c r="R5" s="59">
        <v>44136</v>
      </c>
      <c r="S5" s="59">
        <v>44166</v>
      </c>
      <c r="T5" s="59">
        <v>44197</v>
      </c>
      <c r="U5" s="59">
        <v>44228</v>
      </c>
      <c r="V5" s="59">
        <v>44256</v>
      </c>
      <c r="W5" s="59">
        <v>44287</v>
      </c>
      <c r="X5" s="59">
        <v>44317</v>
      </c>
      <c r="Y5" s="59">
        <v>44348</v>
      </c>
      <c r="Z5" s="59">
        <v>44378</v>
      </c>
      <c r="AA5" s="59">
        <v>44409</v>
      </c>
      <c r="AB5" s="59">
        <v>44440</v>
      </c>
      <c r="AC5" s="59">
        <v>44470</v>
      </c>
      <c r="AD5" s="59">
        <v>44501</v>
      </c>
      <c r="AE5" s="59">
        <v>44531</v>
      </c>
      <c r="AF5" s="59">
        <v>44562</v>
      </c>
      <c r="AG5" s="59">
        <v>44593</v>
      </c>
      <c r="AH5" s="59">
        <v>44621</v>
      </c>
      <c r="AI5" s="59">
        <v>44652</v>
      </c>
      <c r="AJ5" s="59">
        <v>44682</v>
      </c>
      <c r="AK5" s="59">
        <v>44713</v>
      </c>
      <c r="AL5" s="59">
        <v>44743</v>
      </c>
      <c r="AM5" s="59">
        <v>44774</v>
      </c>
      <c r="AN5" s="59">
        <v>44805</v>
      </c>
      <c r="AO5" s="59">
        <v>44835</v>
      </c>
      <c r="AP5" s="59">
        <v>44866</v>
      </c>
      <c r="AQ5" s="59">
        <v>44896</v>
      </c>
      <c r="AR5" s="59">
        <v>44927</v>
      </c>
      <c r="AS5" s="59">
        <v>44958</v>
      </c>
      <c r="AT5" s="59">
        <v>44986</v>
      </c>
      <c r="AU5" s="59">
        <v>45017</v>
      </c>
      <c r="AV5" s="59">
        <v>45047</v>
      </c>
      <c r="AW5" s="59">
        <v>45078</v>
      </c>
      <c r="AX5" s="59">
        <v>45108</v>
      </c>
      <c r="AY5" s="59" t="s">
        <v>530</v>
      </c>
      <c r="AZ5" s="59" t="s">
        <v>531</v>
      </c>
      <c r="BA5" s="59" t="s">
        <v>532</v>
      </c>
      <c r="BB5" s="59">
        <v>37104</v>
      </c>
      <c r="BC5" s="59">
        <v>37469</v>
      </c>
      <c r="BD5" s="34" t="s">
        <v>168</v>
      </c>
      <c r="BE5" s="34" t="s">
        <v>169</v>
      </c>
      <c r="BF5" s="59" t="s">
        <v>393</v>
      </c>
      <c r="BG5" s="59" t="s">
        <v>458</v>
      </c>
      <c r="BH5" s="59" t="s">
        <v>459</v>
      </c>
      <c r="BI5" s="59" t="s">
        <v>460</v>
      </c>
      <c r="BJ5" s="59" t="s">
        <v>461</v>
      </c>
      <c r="BK5" s="59" t="s">
        <v>462</v>
      </c>
      <c r="BL5" s="59" t="s">
        <v>463</v>
      </c>
      <c r="BM5" s="59" t="s">
        <v>464</v>
      </c>
      <c r="BN5" s="59">
        <v>37196</v>
      </c>
      <c r="BO5" s="59">
        <v>37561</v>
      </c>
      <c r="BP5" s="59">
        <v>37926</v>
      </c>
      <c r="BQ5" s="59">
        <v>38292</v>
      </c>
      <c r="BR5" s="59">
        <v>37226</v>
      </c>
      <c r="BS5" s="59">
        <v>37591</v>
      </c>
      <c r="BT5" s="59">
        <v>37956</v>
      </c>
      <c r="BU5" s="59">
        <v>38322</v>
      </c>
      <c r="BV5" s="59">
        <v>36892</v>
      </c>
      <c r="BW5" s="59">
        <v>37257</v>
      </c>
      <c r="BX5" s="59">
        <v>37622</v>
      </c>
      <c r="BY5" s="59">
        <v>37987</v>
      </c>
      <c r="BZ5" s="59">
        <v>36923</v>
      </c>
      <c r="CA5" s="59">
        <v>37288</v>
      </c>
      <c r="CB5" s="59">
        <v>37653</v>
      </c>
      <c r="CC5" s="59">
        <v>38018</v>
      </c>
      <c r="CD5" s="59" t="str">
        <f>Sheet8!A15</f>
        <v>Mar-w1</v>
      </c>
      <c r="CE5" s="59">
        <v>37316</v>
      </c>
      <c r="CF5" s="59">
        <v>37681</v>
      </c>
      <c r="CG5" s="59">
        <v>38047</v>
      </c>
      <c r="CH5" s="59" t="str">
        <f>Sheet8!E15</f>
        <v>Apr-w1</v>
      </c>
      <c r="CI5" s="59" t="str">
        <f>Sheet8!F15</f>
        <v>Apr-w2</v>
      </c>
      <c r="CJ5" s="59" t="str">
        <f>Sheet8!G15</f>
        <v>Apr-w3</v>
      </c>
      <c r="CK5" s="59" t="str">
        <f>Sheet8!H15</f>
        <v>Apr-w4</v>
      </c>
      <c r="CL5" s="59" t="str">
        <f>Sheet8!I15</f>
        <v>May-w1</v>
      </c>
      <c r="CM5" s="59" t="str">
        <f>Sheet8!J15</f>
        <v>May-w2</v>
      </c>
      <c r="CN5" s="59" t="str">
        <f>Sheet8!K15</f>
        <v>May-w3</v>
      </c>
      <c r="CO5" s="59" t="str">
        <f>Sheet8!L15</f>
        <v>May-w4</v>
      </c>
      <c r="CP5" s="59" t="str">
        <f>Sheet8!M15</f>
        <v>May-w5</v>
      </c>
      <c r="CQ5" s="59" t="str">
        <f>Sheet8!N15</f>
        <v>june-w1</v>
      </c>
      <c r="CR5" s="59" t="str">
        <f>Sheet8!O15</f>
        <v>june-w2</v>
      </c>
      <c r="CS5" s="59" t="str">
        <f>Sheet8!P15</f>
        <v>june-w3</v>
      </c>
      <c r="CT5" s="59" t="str">
        <f>Sheet8!Q15</f>
        <v>june-w4</v>
      </c>
      <c r="CU5" s="59" t="str">
        <f>Sheet8!R15</f>
        <v>Jul-w1</v>
      </c>
      <c r="CV5" s="59" t="str">
        <f>Sheet8!S15</f>
        <v>Jul-w2</v>
      </c>
      <c r="CW5" s="59" t="str">
        <f>Sheet8!T15</f>
        <v>Jul-w3</v>
      </c>
      <c r="CX5" s="59" t="str">
        <f>Sheet8!U15</f>
        <v>Jul-w4</v>
      </c>
      <c r="CY5" s="59" t="str">
        <f>Sheet8!V15</f>
        <v>Aug-w1</v>
      </c>
      <c r="CZ5" s="59" t="str">
        <f>Sheet8!W15</f>
        <v>Aug-w2</v>
      </c>
      <c r="DA5" s="59" t="str">
        <f>Sheet8!X15</f>
        <v>Aug-w3</v>
      </c>
      <c r="DB5" s="59" t="str">
        <f>Sheet8!Y15</f>
        <v>Aug-w4</v>
      </c>
      <c r="DC5" s="59" t="str">
        <f>Sheet8!Z15</f>
        <v>Sep-w1</v>
      </c>
      <c r="DD5" s="59" t="str">
        <f>Sheet8!AA15</f>
        <v>Sep-w2</v>
      </c>
      <c r="DE5" s="59" t="str">
        <f>Sheet8!AB15</f>
        <v>Sep-w3</v>
      </c>
      <c r="DF5" s="59" t="str">
        <f>Sheet8!AC15</f>
        <v>Sep-w4</v>
      </c>
      <c r="DG5" s="59" t="str">
        <f>Sheet8!AD15</f>
        <v>Oct-w1</v>
      </c>
      <c r="DH5" s="59" t="str">
        <f>Sheet8!AE15</f>
        <v>Oct-w2</v>
      </c>
      <c r="DI5" s="59" t="str">
        <f>Sheet8!AF15</f>
        <v>Oct-w3</v>
      </c>
      <c r="DJ5" s="59" t="str">
        <f>Sheet8!AG15</f>
        <v>Oct-w4</v>
      </c>
      <c r="DK5" s="59" t="str">
        <f>Sheet8!AH15</f>
        <v>Nov-w1</v>
      </c>
      <c r="DL5" s="59" t="str">
        <f>Sheet8!AI15</f>
        <v>Nov-w2</v>
      </c>
      <c r="DM5" s="59" t="str">
        <f>Sheet8!AJ15</f>
        <v>Nov-w3</v>
      </c>
      <c r="DN5" s="59" t="str">
        <f>Sheet8!AK15</f>
        <v>Nov-w4</v>
      </c>
      <c r="DO5" s="59" t="str">
        <f>Sheet8!AL15</f>
        <v>Dec-w1</v>
      </c>
      <c r="DP5" s="59" t="str">
        <f>Sheet8!AM15</f>
        <v>Dec-w2</v>
      </c>
      <c r="DQ5" s="59" t="str">
        <f>Sheet8!AN15</f>
        <v>Dec-w3</v>
      </c>
      <c r="DR5" s="59" t="str">
        <f>Sheet8!AO15</f>
        <v>Dec-w4</v>
      </c>
      <c r="DS5" s="59">
        <f>Sheet8!AP15</f>
        <v>0</v>
      </c>
      <c r="DT5" s="59">
        <f>Sheet8!AQ15</f>
        <v>0</v>
      </c>
      <c r="DU5" s="59">
        <f>Sheet8!AR15</f>
        <v>0</v>
      </c>
      <c r="DV5" s="59">
        <f>Sheet8!AS15</f>
        <v>0</v>
      </c>
      <c r="DW5" s="59">
        <f>Sheet8!AT15</f>
        <v>0</v>
      </c>
      <c r="DX5" s="59">
        <f>Sheet8!AU15</f>
        <v>0</v>
      </c>
    </row>
    <row r="6" spans="1:128">
      <c r="D6" s="60" t="s">
        <v>474</v>
      </c>
      <c r="E6" s="60" t="s">
        <v>564</v>
      </c>
      <c r="G6" s="30" t="s">
        <v>55</v>
      </c>
      <c r="H6" s="70">
        <f>VLOOKUP($G$6&amp;$F$1,'Input RM sheet'!$A:$BD,G1,0)</f>
        <v>1119</v>
      </c>
      <c r="I6" s="70">
        <f>VLOOKUP($G$6&amp;$F$1,'Input RM sheet'!$A:$BD,H1,0)</f>
        <v>1101</v>
      </c>
      <c r="J6" s="70">
        <f>VLOOKUP($G$6&amp;$F$1,'Input RM sheet'!$A:$BD,I1,0)</f>
        <v>1096</v>
      </c>
      <c r="K6" s="70">
        <f>VLOOKUP($G$6&amp;$F$1,'Input RM sheet'!$A:$BD,J1,0)</f>
        <v>848.53</v>
      </c>
      <c r="L6" s="70">
        <f>VLOOKUP($G$6&amp;$F$1,'Input RM sheet'!$A:$BD,K1,0)</f>
        <v>953.75</v>
      </c>
      <c r="M6" s="70">
        <f>VLOOKUP($G$6&amp;$F$1,'Input RM sheet'!$A:$BD,L1,0)</f>
        <v>1059</v>
      </c>
      <c r="N6" s="70">
        <f>VLOOKUP($G$6&amp;$F$1,'Input RM sheet'!$A:$BD,M1,0)</f>
        <v>1013</v>
      </c>
      <c r="O6" s="70">
        <f>VLOOKUP($G$6&amp;$F$1,'Input RM sheet'!$A:$BD,N1,0)</f>
        <v>995.61</v>
      </c>
      <c r="P6" s="70">
        <f>VLOOKUP($G$6&amp;$F$1,'Input RM sheet'!$A:$BD,O1,0)</f>
        <v>1071</v>
      </c>
      <c r="Q6" s="70">
        <f>VLOOKUP($G$6&amp;$F$1,'Input RM sheet'!$A:$BD,P1,0)</f>
        <v>1086</v>
      </c>
      <c r="R6" s="70">
        <f>VLOOKUP($G$6&amp;$F$1,'Input RM sheet'!$A:$BD,Q1,0)</f>
        <v>1121</v>
      </c>
      <c r="S6" s="70">
        <f>VLOOKUP($G$6&amp;$F$1,'Input RM sheet'!$A:$BD,R1,0)</f>
        <v>1154</v>
      </c>
      <c r="T6" s="70">
        <f>VLOOKUP($G$6&amp;$F$1,'Input RM sheet'!$A:$BD,S1,0)</f>
        <v>1154</v>
      </c>
      <c r="U6" s="70">
        <f>VLOOKUP($G$6&amp;$F$1,'Input RM sheet'!$A:$BD,T1,0)</f>
        <v>1106</v>
      </c>
      <c r="V6" s="70">
        <f>VLOOKUP($G$6&amp;$F$1,'Input RM sheet'!$A:$BD,U1,0)</f>
        <v>1305</v>
      </c>
      <c r="W6" s="70">
        <f>VLOOKUP($G$6&amp;$F$1,'Input RM sheet'!$A:$BD,V1,0)</f>
        <v>1295</v>
      </c>
      <c r="X6" s="70">
        <f>VLOOKUP($G$6&amp;$F$1,'Input RM sheet'!$A:$BD,W1,0)</f>
        <v>1198</v>
      </c>
      <c r="Y6" s="70">
        <f>VLOOKUP($G$6&amp;$F$1,'Input RM sheet'!$A:$BD,X1,0)</f>
        <v>1074</v>
      </c>
      <c r="Z6" s="70">
        <f>VLOOKUP($G$6&amp;$F$1,'Input RM sheet'!$A:$BD,Y1,0)</f>
        <v>1112</v>
      </c>
      <c r="AA6" s="70">
        <f>VLOOKUP($G$6&amp;$F$1,'Input RM sheet'!$A:$BD,Z1,0)</f>
        <v>1189</v>
      </c>
      <c r="AB6" s="70">
        <f>VLOOKUP($G$6&amp;$F$1,'Input RM sheet'!$A:$BD,AA1,0)</f>
        <v>1200</v>
      </c>
      <c r="AC6" s="70">
        <f>VLOOKUP($G$6&amp;$F$1,'Input RM sheet'!$A:$BD,AB1,0)</f>
        <v>1534</v>
      </c>
      <c r="AD6" s="70">
        <f>VLOOKUP($G$6&amp;$F$1,'Input RM sheet'!$A:$BD,AC1,0)</f>
        <v>1189</v>
      </c>
      <c r="AE6" s="70">
        <f>VLOOKUP($G$6&amp;$F$1,'Input RM sheet'!$A:$BD,AD1,0)</f>
        <v>1177</v>
      </c>
      <c r="AF6" s="70">
        <f>VLOOKUP($G$6&amp;$F$1,'Input RM sheet'!$A:$BD,AE1,0)</f>
        <v>1094</v>
      </c>
      <c r="AG6" s="70">
        <f>VLOOKUP($G$6&amp;$F$1,'Input RM sheet'!$A:$BD,AF1,0)</f>
        <v>1317</v>
      </c>
      <c r="AH6" s="70">
        <f>VLOOKUP($G$6&amp;$F$1,'Input RM sheet'!$A:$BD,AG1,0)</f>
        <v>1292</v>
      </c>
      <c r="AI6" s="70">
        <f>VLOOKUP($G$6&amp;$F$1,'Input RM sheet'!$A:$BD,AH1,0)</f>
        <v>1291</v>
      </c>
      <c r="AJ6" s="70">
        <f>VLOOKUP($G$6&amp;$F$1,'Input RM sheet'!$A:$BD,AI1,0)</f>
        <v>1239</v>
      </c>
      <c r="AK6" s="70">
        <f>VLOOKUP($G$6&amp;$F$1,'Input RM sheet'!$A:$BD,AJ1,0)</f>
        <v>1128</v>
      </c>
      <c r="AL6" s="70">
        <f>VLOOKUP($G$6&amp;$F$1,'Input RM sheet'!$A:$BD,AK1,0)</f>
        <v>972.8</v>
      </c>
      <c r="AM6" s="70">
        <f>VLOOKUP($G$6&amp;$F$1,'Input RM sheet'!$A:$BD,AL1,0)</f>
        <v>955.68</v>
      </c>
      <c r="AN6" s="70">
        <f>VLOOKUP($G$6&amp;$F$1,'Input RM sheet'!$A:$BD,AM1,0)</f>
        <v>1070</v>
      </c>
      <c r="AO6" s="70">
        <f>VLOOKUP($G$6&amp;$F$1,'Input RM sheet'!$A:$BD,AN1,0)</f>
        <v>1015</v>
      </c>
      <c r="AP6" s="70">
        <f>VLOOKUP($G$6&amp;$F$1,'Input RM sheet'!$A:$BD,AO1,0)</f>
        <v>941.53</v>
      </c>
      <c r="AQ6" s="70">
        <f>VLOOKUP($G$6&amp;$F$1,'Input RM sheet'!$A:$BD,AP1,0)</f>
        <v>960.4</v>
      </c>
      <c r="AR6" s="70">
        <f>VLOOKUP($G$6&amp;$F$1,'Input RM sheet'!$A:$BD,AQ1,0)</f>
        <v>898.02</v>
      </c>
      <c r="AS6" s="70">
        <f>VLOOKUP($G$6&amp;$F$1,'Input RM sheet'!$A:$BD,AR1,0)</f>
        <v>993.41</v>
      </c>
      <c r="AT6" s="70">
        <f>VLOOKUP($G$6&amp;$F$1,'Input RM sheet'!$A:$BD,AS1,0)</f>
        <v>1044</v>
      </c>
      <c r="AU6" s="70">
        <f>VLOOKUP($G$6&amp;$F$1,'Input RM sheet'!$A:$BD,AT1,0)</f>
        <v>1016</v>
      </c>
      <c r="AV6" s="70">
        <f>VLOOKUP($G$6&amp;$F$1,'Input RM sheet'!$A:$BD,AU1,0)</f>
        <v>905.25</v>
      </c>
      <c r="AW6" s="70">
        <f>VLOOKUP($G$6&amp;$F$1,'Input RM sheet'!$A:$BD,AV1,0)</f>
        <v>838.5</v>
      </c>
      <c r="AX6" s="70">
        <f>VLOOKUP($G$6&amp;$F$1,'Input RM sheet'!$A:$BD,AW1,0)</f>
        <v>838.5</v>
      </c>
      <c r="AY6" s="70">
        <f>VLOOKUP($G$6&amp;$F$1,'Input RM sheet'!$A:$BD,AX1,0)</f>
        <v>838.5</v>
      </c>
      <c r="AZ6" s="70">
        <f>VLOOKUP($G$6&amp;$F$1,'Input RM sheet'!$A:$BD,AY1,0)</f>
        <v>838.5</v>
      </c>
      <c r="BA6" s="70">
        <f>VLOOKUP($G$6&amp;$F$1,'Input RM sheet'!$A:$BD,AZ1,0)</f>
        <v>848.21</v>
      </c>
      <c r="BB6" s="70">
        <f>VLOOKUP($G$6&amp;$F$1,'Input RM sheet'!$A:$BD,BA1,0)</f>
        <v>848.39</v>
      </c>
      <c r="BC6" s="70">
        <f>VLOOKUP($G$6&amp;$F$1,'Input RM sheet'!$A:$BD,BB1,0)</f>
        <v>848.39</v>
      </c>
      <c r="BD6" s="70">
        <f>VLOOKUP($G$6&amp;$F$1,'Input RM sheet'!$A:$BD,BC1,0)</f>
        <v>848.39</v>
      </c>
      <c r="BE6" s="70">
        <f>VLOOKUP($G$6&amp;$F$1,'Input RM sheet'!$A:$BD,BD1,0)</f>
        <v>848.39</v>
      </c>
      <c r="BF6" s="70">
        <f>VLOOKUP($G$6&amp;$F$1,'Input RM sheet'!$A:$DD,BE1,0)</f>
        <v>890.42</v>
      </c>
      <c r="BG6" s="70">
        <f>VLOOKUP($G$6&amp;$F$1,'Input RM sheet'!$A:$DD,BF1,0)</f>
        <v>890.42</v>
      </c>
      <c r="BH6" s="70">
        <f>VLOOKUP($G$6&amp;$F$1,'Input RM sheet'!$A:$DD,BG1,0)</f>
        <v>911.35</v>
      </c>
      <c r="BI6" s="70">
        <f>VLOOKUP($G$6&amp;$F$1,'Input RM sheet'!$A:$DD,BH1,0)</f>
        <v>911.35</v>
      </c>
      <c r="BJ6" s="70">
        <f>VLOOKUP($G$6&amp;$F$1,'Input RM sheet'!$A:$DD,BI1,0)</f>
        <v>911.35</v>
      </c>
      <c r="BK6" s="70">
        <f>VLOOKUP($G$6&amp;$F$1,'Input RM sheet'!$A:$DD,BJ1,0)</f>
        <v>911.35</v>
      </c>
      <c r="BL6" s="70">
        <f>VLOOKUP($G$6&amp;$F$1,'Input RM sheet'!$A:$DD,BK1,0)</f>
        <v>911.35</v>
      </c>
      <c r="BM6" s="70">
        <f>VLOOKUP($G$6&amp;$F$1,'Input RM sheet'!$A:$DD,BL1,0)</f>
        <v>947.5</v>
      </c>
      <c r="BN6" s="70">
        <f>VLOOKUP($G$6&amp;$F$1,'Input RM sheet'!$A:$DD,BM1,0)</f>
        <v>920.31</v>
      </c>
      <c r="BO6" s="70">
        <f>VLOOKUP($G$6&amp;$F$1,'Input RM sheet'!$A:$DD,BN1,0)</f>
        <v>920.31</v>
      </c>
      <c r="BP6" s="70">
        <f>VLOOKUP($G$6&amp;$F$1,'Input RM sheet'!$A:$DD,BO1,0)</f>
        <v>920.31</v>
      </c>
      <c r="BQ6" s="70">
        <f>VLOOKUP($G$6&amp;$F$1,'Input RM sheet'!$A:$DD,BP1,0)</f>
        <v>920.31</v>
      </c>
      <c r="BR6" s="70">
        <f>VLOOKUP($G$6&amp;$F$1,'Input RM sheet'!$A:$DD,BQ1,0)</f>
        <v>883.61</v>
      </c>
      <c r="BS6" s="70">
        <f>VLOOKUP($G$6&amp;$F$1,'Input RM sheet'!$A:$DD,BR1,0)</f>
        <v>883.61</v>
      </c>
      <c r="BT6" s="70">
        <f>VLOOKUP($G$6&amp;$F$1,'Input RM sheet'!$A:$DD,BS1,0)</f>
        <v>907.02</v>
      </c>
      <c r="BU6" s="70">
        <f>VLOOKUP($G$6&amp;$F$1,'Input RM sheet'!$A:$DD,BT1,0)</f>
        <v>907.19</v>
      </c>
      <c r="BV6" s="70">
        <f>VLOOKUP($G$6&amp;$F$1,'Input RM sheet'!$A:$DD,BU1,0)</f>
        <v>907.19</v>
      </c>
      <c r="BW6" s="70">
        <f>VLOOKUP($G$6&amp;$F$1,'Input RM sheet'!$A:$DD,BV1,0)</f>
        <v>907.19</v>
      </c>
      <c r="BX6" s="70">
        <f>VLOOKUP($G$6&amp;$F$1,'Input RM sheet'!$A:$DD,BW1,0)</f>
        <v>907.19</v>
      </c>
      <c r="BY6" s="70">
        <f>VLOOKUP($G$6&amp;$F$1,'Input RM sheet'!$A:$DD,BX1,0)</f>
        <v>917.02</v>
      </c>
      <c r="BZ6" s="70">
        <f>VLOOKUP($G$6&amp;$F$1,'Input RM sheet'!$A:$DD,BY1,0)</f>
        <v>917.02</v>
      </c>
      <c r="CA6" s="70">
        <f>VLOOKUP($G$6&amp;$F$1,'Input RM sheet'!$A:$DD,BZ1,0)</f>
        <v>917.02</v>
      </c>
      <c r="CB6" s="70">
        <f>VLOOKUP($G$6&amp;$F$1,'Input RM sheet'!$A:$DD,CA1,0)</f>
        <v>917.02</v>
      </c>
      <c r="CC6" s="70">
        <f>VLOOKUP($G$6&amp;$F$1,'Input RM sheet'!$A:$DD,CB1,0)</f>
        <v>917.02</v>
      </c>
      <c r="CD6" s="70">
        <f>VLOOKUP($G$6&amp;$F$1,'Input RM sheet'!$A:$DD,CC1,0)</f>
        <v>925.36</v>
      </c>
      <c r="CE6" s="70">
        <f>VLOOKUP($G$6&amp;$F$1,'Input RM sheet'!$A:$DD,CD1,0)</f>
        <v>925.36</v>
      </c>
      <c r="CF6" s="70">
        <f>VLOOKUP($G$6&amp;$F$1,'Input RM sheet'!$A:$DD,CE1,0)</f>
        <v>925.36</v>
      </c>
      <c r="CG6" s="70">
        <f>VLOOKUP($G$6&amp;$F$1,'Input RM sheet'!$A:$DD,CF1,0)</f>
        <v>937.44</v>
      </c>
      <c r="CH6" s="70">
        <f>VLOOKUP($G$6&amp;$F$1,'Input RM sheet'!$A:$DD,CG1,0)</f>
        <v>937.44</v>
      </c>
      <c r="CI6" s="70">
        <f>VLOOKUP($G$6&amp;$F$1,'Input RM sheet'!$A:$DD,CH1,0)</f>
        <v>937.44</v>
      </c>
      <c r="CJ6" s="70">
        <f>VLOOKUP($G$6&amp;$F$1,'Input RM sheet'!$A:$DD,CI1,0)</f>
        <v>937.44</v>
      </c>
      <c r="CK6" s="70">
        <f>VLOOKUP($G$6&amp;$F$1,'Input RM sheet'!$A:$DD,CJ1,0)</f>
        <v>953.19</v>
      </c>
      <c r="CL6" s="70">
        <f>VLOOKUP($G$6&amp;$F$1,'Input RM sheet'!$A:$DD,CK1,0)</f>
        <v>982.52</v>
      </c>
      <c r="CM6" s="70">
        <f>VLOOKUP($G$6&amp;$F$1,'Input RM sheet'!$A:$DD,CL1,0)</f>
        <v>953.19</v>
      </c>
      <c r="CN6" s="70">
        <f>VLOOKUP($G$6&amp;$F$1,'Input RM sheet'!$A:$DD,CM1,0)</f>
        <v>953.19</v>
      </c>
      <c r="CO6" s="70">
        <f>VLOOKUP($G$6&amp;$F$1,'Input RM sheet'!$A:$DD,CN1,0)</f>
        <v>953.19</v>
      </c>
      <c r="CP6" s="70">
        <f>VLOOKUP($G$6&amp;$F$1,'Input RM sheet'!$A:$DD,CO1,0)</f>
        <v>953.19</v>
      </c>
      <c r="CQ6" s="70">
        <f>VLOOKUP($G$6&amp;$F$1,'Input RM sheet'!$A:$ZZ,CP1,0)</f>
        <v>940.41</v>
      </c>
      <c r="CR6" s="70">
        <f>VLOOKUP($G$6&amp;$F$1,'Input RM sheet'!$A:$ZZ,CQ1,0)</f>
        <v>940.41</v>
      </c>
      <c r="CS6" s="70">
        <f>VLOOKUP($G$6&amp;$F$1,'Input RM sheet'!$A:$ZZ,CR1,0)</f>
        <v>940.41</v>
      </c>
      <c r="CT6" s="70">
        <f>VLOOKUP($G$6&amp;$F$1,'Input RM sheet'!$A:$ZZ,CS1,0)</f>
        <v>917.29</v>
      </c>
      <c r="CU6" s="70">
        <f>VLOOKUP($G$6&amp;$F$1,'Input RM sheet'!$A:$ZZ,CT1,0)</f>
        <v>917.29</v>
      </c>
      <c r="CV6" s="70">
        <f>VLOOKUP($G$6&amp;$F$1,'Input RM sheet'!$A:$ZZ,CU1,0)</f>
        <v>917.29</v>
      </c>
      <c r="CW6" s="70">
        <f>VLOOKUP($G$6&amp;$F$1,'Input RM sheet'!$A:$ZZ,CV1,0)</f>
        <v>917.29</v>
      </c>
      <c r="CX6" s="70">
        <f>VLOOKUP($G$6&amp;$F$1,'Input RM sheet'!$A:$ZZ,CW1,0)</f>
        <v>946.62</v>
      </c>
      <c r="CY6" s="70">
        <f>VLOOKUP($G$6&amp;$F$1,'Input RM sheet'!$A:$ZZ,CX1,0)</f>
        <v>946.62</v>
      </c>
      <c r="CZ6" s="70">
        <f>VLOOKUP($G$6&amp;$F$1,'Input RM sheet'!$A:$ZZ,CY1,0)</f>
        <v>946.62</v>
      </c>
      <c r="DA6" s="70">
        <f>VLOOKUP($G$6&amp;$F$1,'Input RM sheet'!$A:$ZZ,CZ1,0)</f>
        <v>946.62</v>
      </c>
      <c r="DB6" s="70">
        <f>VLOOKUP($G$6&amp;$F$1,'Input RM sheet'!$A:$ZZ,DA1,0)</f>
        <v>946.72</v>
      </c>
      <c r="DC6" s="70">
        <f>VLOOKUP($G$6&amp;$F$1,'Input RM sheet'!$A:$ZZ,DB1,0)</f>
        <v>965.17</v>
      </c>
      <c r="DD6" s="70">
        <f>VLOOKUP($G$6&amp;$F$1,'Input RM sheet'!$A:$ZZ,DC1,0)</f>
        <v>965.17</v>
      </c>
      <c r="DE6" s="70">
        <f>VLOOKUP($G$6&amp;$F$1,'Input RM sheet'!$A:$ZZ,DD1,0)</f>
        <v>965.17</v>
      </c>
      <c r="DF6" s="70">
        <f>VLOOKUP($G$6&amp;$F$1,'Input RM sheet'!$A:$ZZ,DE1,0)</f>
        <v>965.17</v>
      </c>
      <c r="DG6" s="70">
        <f>VLOOKUP($G$6&amp;$F$1,'Input RM sheet'!$A:$ZZ,DF1,0)</f>
        <v>975.36</v>
      </c>
      <c r="DH6" s="70">
        <f>VLOOKUP($G$6&amp;$F$1,'Input RM sheet'!$A:$ZZ,DG1,0)</f>
        <v>975.36</v>
      </c>
      <c r="DI6" s="70">
        <f>VLOOKUP($G$6&amp;$F$1,'Input RM sheet'!$A:$ZZ,DH1,0)</f>
        <v>981.04</v>
      </c>
      <c r="DJ6" s="70">
        <f>VLOOKUP($G$6&amp;$F$1,'Input RM sheet'!$A:$ZZ,DI1,0)</f>
        <v>981.04</v>
      </c>
      <c r="DK6" s="70">
        <f>VLOOKUP($G$6&amp;$F$1,'Input RM sheet'!$A:$ZZ,DJ1,0)</f>
        <v>981.04</v>
      </c>
      <c r="DL6" s="70">
        <f>VLOOKUP($G$6&amp;$F$1,'Input RM sheet'!$A:$ZZ,DK1,0)</f>
        <v>980.47</v>
      </c>
      <c r="DM6" s="70">
        <f>VLOOKUP($G$6&amp;$F$1,'Input RM sheet'!$A:$ZZ,DL1,0)</f>
        <v>980.47</v>
      </c>
      <c r="DN6" s="70">
        <f>VLOOKUP($G$6&amp;$F$1,'Input RM sheet'!$A:$ZZ,DM1,0)</f>
        <v>954.14</v>
      </c>
      <c r="DO6" s="70">
        <f>VLOOKUP($G$6&amp;$F$1,'Input RM sheet'!$A:$ZZ,DN1,0)</f>
        <v>954.14</v>
      </c>
      <c r="DP6" s="70">
        <f>VLOOKUP($G$6&amp;$F$1,'Input RM sheet'!$A:$ZZ,DO1,0)</f>
        <v>954.14</v>
      </c>
      <c r="DQ6" s="70">
        <f>VLOOKUP($G$6&amp;$F$1,'Input RM sheet'!$A:$ZZ,DP1,0)</f>
        <v>954.14</v>
      </c>
      <c r="DR6" s="70">
        <f>VLOOKUP($G$6&amp;$F$1,'Input RM sheet'!$A:$ZZ,DQ1,0)</f>
        <v>955.04</v>
      </c>
      <c r="DS6" s="70">
        <f>VLOOKUP($G$6&amp;$F$1,'Input RM sheet'!$A:$ZZ,DR1,0)</f>
        <v>0</v>
      </c>
      <c r="DT6" s="70">
        <f>VLOOKUP($G$6&amp;$F$1,'Input RM sheet'!$A:$ZZ,DS1,0)</f>
        <v>0</v>
      </c>
      <c r="DU6" s="70">
        <f>VLOOKUP($G$6&amp;$F$1,'Input RM sheet'!$A:$ZZ,DT1,0)</f>
        <v>0</v>
      </c>
      <c r="DV6" s="70">
        <f>VLOOKUP($G$6&amp;$F$1,'Input RM sheet'!$A:$ZZ,DU1,0)</f>
        <v>0</v>
      </c>
      <c r="DW6" s="70">
        <f>VLOOKUP($G$6&amp;$F$1,'Input RM sheet'!$A:$ZZ,DV1,0)</f>
        <v>0</v>
      </c>
      <c r="DX6" s="70">
        <f>VLOOKUP($G$6&amp;$F$1,'Input RM sheet'!$A:$ZZ,DW1,0)</f>
        <v>0</v>
      </c>
    </row>
    <row r="7" spans="1:128">
      <c r="D7" s="60" t="s">
        <v>429</v>
      </c>
      <c r="E7" s="60" t="s">
        <v>542</v>
      </c>
      <c r="G7" s="30" t="s">
        <v>45</v>
      </c>
      <c r="H7" s="74">
        <f>VLOOKUP($G$7&amp;$F$1,'Input RM sheet'!$A:$BD,G1,0)</f>
        <v>0.50625069064173545</v>
      </c>
      <c r="I7" s="74">
        <f>VLOOKUP($G$7&amp;$F$1,'Input RM sheet'!$A:$BD,H1,0)</f>
        <v>0.50605053403738476</v>
      </c>
      <c r="J7" s="74">
        <f>VLOOKUP($G$7&amp;$F$1,'Input RM sheet'!$A:$BD,I1,0)</f>
        <v>0.48566205346589675</v>
      </c>
      <c r="K7" s="74">
        <f>VLOOKUP($G$7&amp;$F$1,'Input RM sheet'!$A:$BD,J1,0)</f>
        <v>0.46604911475979133</v>
      </c>
      <c r="L7" s="74">
        <f>VLOOKUP($G$7&amp;$F$1,'Input RM sheet'!$A:$BD,K1,0)</f>
        <v>0.47286371932487081</v>
      </c>
      <c r="M7" s="74">
        <f>VLOOKUP($G$7&amp;$F$1,'Input RM sheet'!$A:$BD,L1,0)</f>
        <v>0.44148091934964817</v>
      </c>
      <c r="N7" s="74">
        <f>VLOOKUP($G$7&amp;$F$1,'Input RM sheet'!$A:$BD,M1,0)</f>
        <v>0.43426534003337747</v>
      </c>
      <c r="O7" s="74">
        <f>VLOOKUP($G$7&amp;$F$1,'Input RM sheet'!$A:$BD,N1,0)</f>
        <v>0.4253624199790475</v>
      </c>
      <c r="P7" s="74">
        <f>VLOOKUP($G$7&amp;$F$1,'Input RM sheet'!$A:$BD,O1,0)</f>
        <v>0.43233741458081631</v>
      </c>
      <c r="Q7" s="74">
        <f>VLOOKUP($G$7&amp;$F$1,'Input RM sheet'!$A:$BD,P1,0)</f>
        <v>0.4289746699475917</v>
      </c>
      <c r="R7" s="74">
        <f>VLOOKUP($G$7&amp;$F$1,'Input RM sheet'!$A:$BD,Q1,0)</f>
        <v>0.42484260760346637</v>
      </c>
      <c r="S7" s="74">
        <f>VLOOKUP($G$7&amp;$F$1,'Input RM sheet'!$A:$BD,R1,0)</f>
        <v>0.45075951239765033</v>
      </c>
      <c r="T7" s="74">
        <f>VLOOKUP($G$7&amp;$F$1,'Input RM sheet'!$A:$BD,S1,0)</f>
        <v>0.47632070741601718</v>
      </c>
      <c r="U7" s="74">
        <f>VLOOKUP($G$7&amp;$F$1,'Input RM sheet'!$A:$BD,T1,0)</f>
        <v>0.50824175824175821</v>
      </c>
      <c r="V7" s="74">
        <f>VLOOKUP($G$7&amp;$F$1,'Input RM sheet'!$A:$BD,U1,0)</f>
        <v>0.50824175824175821</v>
      </c>
      <c r="W7" s="74">
        <f>VLOOKUP($G$7&amp;$F$1,'Input RM sheet'!$A:$BD,V1,0)</f>
        <v>0.53357522262827839</v>
      </c>
      <c r="X7" s="74">
        <f>VLOOKUP($G$7&amp;$F$1,'Input RM sheet'!$A:$BD,W1,0)</f>
        <v>0.59385665529010234</v>
      </c>
      <c r="Y7" s="74">
        <f>VLOOKUP($G$7&amp;$F$1,'Input RM sheet'!$A:$BD,X1,0)</f>
        <v>0.63431872099725806</v>
      </c>
      <c r="Z7" s="74">
        <f>VLOOKUP($G$7&amp;$F$1,'Input RM sheet'!$A:$BD,Y1,0)</f>
        <v>0.72591659871949687</v>
      </c>
      <c r="AA7" s="74">
        <f>VLOOKUP($G$7&amp;$F$1,'Input RM sheet'!$A:$BD,Z1,0)</f>
        <v>0.72889455792717117</v>
      </c>
      <c r="AB7" s="74">
        <f>VLOOKUP($G$7&amp;$F$1,'Input RM sheet'!$A:$BD,AA1,0)</f>
        <v>0.74862988980369449</v>
      </c>
      <c r="AC7" s="74">
        <f>VLOOKUP($G$7&amp;$F$1,'Input RM sheet'!$A:$BD,AB1,0)</f>
        <v>0.79168514687656644</v>
      </c>
      <c r="AD7" s="74">
        <f>VLOOKUP($G$7&amp;$F$1,'Input RM sheet'!$A:$BD,AC1,0)</f>
        <v>0.82087330176727136</v>
      </c>
      <c r="AE7" s="74">
        <f>VLOOKUP($G$7&amp;$F$1,'Input RM sheet'!$A:$BD,AD1,0)</f>
        <v>0.84614593649711278</v>
      </c>
      <c r="AF7" s="74">
        <f>VLOOKUP($G$7&amp;$F$1,'Input RM sheet'!$A:$BD,AE1,0)</f>
        <v>1.0564787620243885</v>
      </c>
      <c r="AG7" s="74">
        <f>VLOOKUP($G$7&amp;$F$1,'Input RM sheet'!$A:$BD,AF1,0)</f>
        <v>1.2058469531568468</v>
      </c>
      <c r="AH7" s="74">
        <f>VLOOKUP($G$7&amp;$F$1,'Input RM sheet'!$A:$BD,AG1,0)</f>
        <v>1.328155753838079</v>
      </c>
      <c r="AI7" s="74">
        <f>VLOOKUP($G$7&amp;$F$1,'Input RM sheet'!$A:$BD,AH1,0)</f>
        <v>1.2605824467442697</v>
      </c>
      <c r="AJ7" s="74">
        <f>VLOOKUP($G$7&amp;$F$1,'Input RM sheet'!$A:$BD,AI1,0)</f>
        <v>1.1242096737595759</v>
      </c>
      <c r="AK7" s="74">
        <f>VLOOKUP($G$7&amp;$F$1,'Input RM sheet'!$A:$BD,AJ1,0)</f>
        <v>1.1179786985052897</v>
      </c>
      <c r="AL7" s="74">
        <f>VLOOKUP($G$7&amp;$F$1,'Input RM sheet'!$A:$BD,AK1,0)</f>
        <v>1.0829322457612403</v>
      </c>
      <c r="AM7" s="74">
        <f>VLOOKUP($G$7&amp;$F$1,'Input RM sheet'!$A:$BD,AL1,0)</f>
        <v>1.0855018240664733</v>
      </c>
      <c r="AN7" s="74">
        <f>VLOOKUP($G$7&amp;$F$1,'Input RM sheet'!$A:$BD,AM1,0)</f>
        <v>1.0549821404108952</v>
      </c>
      <c r="AO7" s="74">
        <f>VLOOKUP($G$7&amp;$F$1,'Input RM sheet'!$A:$BD,AN1,0)</f>
        <v>1.0740005833527477</v>
      </c>
      <c r="AP7" s="74">
        <f>VLOOKUP($G$7&amp;$F$1,'Input RM sheet'!$A:$BD,AO1,0)</f>
        <v>1.1385193276752337</v>
      </c>
      <c r="AQ7" s="74">
        <f>VLOOKUP($G$7&amp;$F$1,'Input RM sheet'!$A:$BD,AP1,0)</f>
        <v>1.0816813265611029</v>
      </c>
      <c r="AR7" s="74">
        <f>VLOOKUP($G$7&amp;$F$1,'Input RM sheet'!$A:$BD,AQ1,0)</f>
        <v>0.99756298566293211</v>
      </c>
      <c r="AS7" s="74">
        <f>VLOOKUP($G$7&amp;$F$1,'Input RM sheet'!$A:$BD,AR1,0)</f>
        <v>0.92545631998382882</v>
      </c>
      <c r="AT7" s="74">
        <f>VLOOKUP($G$7&amp;$F$1,'Input RM sheet'!$A:$BD,AS1,0)</f>
        <v>0.9011022063000439</v>
      </c>
      <c r="AU7" s="74">
        <f>VLOOKUP($G$7&amp;$F$1,'Input RM sheet'!$A:$BD,AT1,0)</f>
        <v>0.74767129009219857</v>
      </c>
      <c r="AV7" s="74">
        <f>VLOOKUP($G$7&amp;$F$1,'Input RM sheet'!$A:$BD,AU1,0)</f>
        <v>0.70626929682976414</v>
      </c>
      <c r="AW7" s="74">
        <f>VLOOKUP($G$7&amp;$F$1,'Input RM sheet'!$A:$BD,AV1,0)</f>
        <v>0.61818181818181817</v>
      </c>
      <c r="AX7" s="74">
        <f>VLOOKUP($G$7&amp;$F$1,'Input RM sheet'!$A:$BD,AW1,0)</f>
        <v>0.61863173216885003</v>
      </c>
      <c r="AY7" s="74">
        <f>VLOOKUP($G$7&amp;$F$1,'Input RM sheet'!$A:$BD,AX1,0)</f>
        <v>0.6205889510829885</v>
      </c>
      <c r="AZ7" s="74">
        <f>VLOOKUP($G$7&amp;$F$1,'Input RM sheet'!$A:$BD,AY1,0)</f>
        <v>0.62255859375</v>
      </c>
      <c r="BA7" s="74">
        <f>VLOOKUP($G$7&amp;$F$1,'Input RM sheet'!$A:$BD,AZ1,0)</f>
        <v>0.59567225869195228</v>
      </c>
      <c r="BB7" s="74">
        <f>VLOOKUP($G$7&amp;$F$1,'Input RM sheet'!$A:$BD,BA1,0)</f>
        <v>0.59157310153326093</v>
      </c>
      <c r="BC7" s="74">
        <f>VLOOKUP($G$7&amp;$F$1,'Input RM sheet'!$A:$BD,BB1,0)</f>
        <v>0.58858858858858853</v>
      </c>
      <c r="BD7" s="74">
        <f>VLOOKUP($G$7&amp;$F$1,'Input RM sheet'!$A:$BD,BC1,0)</f>
        <v>0.58858858858858853</v>
      </c>
      <c r="BE7" s="74">
        <f>VLOOKUP($G$7&amp;$F$1,'Input RM sheet'!$A:$BD,BD1,0)</f>
        <v>0.59286146400483963</v>
      </c>
      <c r="BF7" s="74">
        <f>VLOOKUP($G$7&amp;$F$1,'Input RM sheet'!$A:$DD,BE1,0)</f>
        <v>0.5900060204695966</v>
      </c>
      <c r="BG7" s="74">
        <f>VLOOKUP($G$7&amp;$F$1,'Input RM sheet'!$A:$DD,BF1,0)</f>
        <v>0.5666747046057391</v>
      </c>
      <c r="BH7" s="74">
        <f>VLOOKUP($G$7&amp;$F$1,'Input RM sheet'!$A:$DD,BG1,0)</f>
        <v>0.59085976124442297</v>
      </c>
      <c r="BI7" s="74">
        <f>VLOOKUP($G$7&amp;$F$1,'Input RM sheet'!$A:$DD,BH1,0)</f>
        <v>0.58851789574825841</v>
      </c>
      <c r="BJ7" s="74">
        <f>VLOOKUP($G$7&amp;$F$1,'Input RM sheet'!$A:$DD,BI1,0)</f>
        <v>0.68493150684931503</v>
      </c>
      <c r="BK7" s="74">
        <f>VLOOKUP($G$7&amp;$F$1,'Input RM sheet'!$A:$DD,BJ1,0)</f>
        <v>0.68468468468468469</v>
      </c>
      <c r="BL7" s="74">
        <f>VLOOKUP($G$7&amp;$F$1,'Input RM sheet'!$A:$DD,BK1,0)</f>
        <v>0.66169393647738206</v>
      </c>
      <c r="BM7" s="74">
        <f>VLOOKUP($G$7&amp;$F$1,'Input RM sheet'!$A:$DD,BL1,0)</f>
        <v>0.69661301945712217</v>
      </c>
      <c r="BN7" s="74">
        <f>VLOOKUP($G$7&amp;$F$1,'Input RM sheet'!$A:$DD,BM1,0)</f>
        <v>0.69694784907474161</v>
      </c>
      <c r="BO7" s="74">
        <f>VLOOKUP($G$7&amp;$F$1,'Input RM sheet'!$A:$DD,BN1,0)</f>
        <v>0.69719918259406177</v>
      </c>
      <c r="BP7" s="74">
        <f>VLOOKUP($G$7&amp;$F$1,'Input RM sheet'!$A:$DD,BO1,0)</f>
        <v>0.69719918259406177</v>
      </c>
      <c r="BQ7" s="74">
        <f>VLOOKUP($G$7&amp;$F$1,'Input RM sheet'!$A:$DD,BP1,0)</f>
        <v>0.69602784111364457</v>
      </c>
      <c r="BR7" s="74">
        <f>VLOOKUP($G$7&amp;$F$1,'Input RM sheet'!$A:$DD,BQ1,0)</f>
        <v>0.69544364508393286</v>
      </c>
      <c r="BS7" s="74">
        <f>VLOOKUP($G$7&amp;$F$1,'Input RM sheet'!$A:$DD,BR1,0)</f>
        <v>0.63579654510556627</v>
      </c>
      <c r="BT7" s="74">
        <f>VLOOKUP($G$7&amp;$F$1,'Input RM sheet'!$A:$DD,BS1,0)</f>
        <v>0.64872657376261422</v>
      </c>
      <c r="BU7" s="74">
        <f>VLOOKUP($G$7&amp;$F$1,'Input RM sheet'!$A:$DD,BT1,0)</f>
        <v>0.64810369659145473</v>
      </c>
      <c r="BV7" s="74">
        <f>VLOOKUP($G$7&amp;$F$1,'Input RM sheet'!$A:$DD,BU1,0)</f>
        <v>0.63146499879720952</v>
      </c>
      <c r="BW7" s="74">
        <f>VLOOKUP($G$7&amp;$F$1,'Input RM sheet'!$A:$DD,BV1,0)</f>
        <v>0.66145520144317493</v>
      </c>
      <c r="BX7" s="74">
        <f>VLOOKUP($G$7&amp;$F$1,'Input RM sheet'!$A:$DD,BW1,0)</f>
        <v>0.66066066066066065</v>
      </c>
      <c r="BY7" s="74">
        <f>VLOOKUP($G$7&amp;$F$1,'Input RM sheet'!$A:$DD,BX1,0)</f>
        <v>0.67421141343607027</v>
      </c>
      <c r="BZ7" s="74">
        <f>VLOOKUP($G$7&amp;$F$1,'Input RM sheet'!$A:$DD,BY1,0)</f>
        <v>0.67469879518072284</v>
      </c>
      <c r="CA7" s="74">
        <f>VLOOKUP($G$7&amp;$F$1,'Input RM sheet'!$A:$DD,BZ1,0)</f>
        <v>0.6746175159619322</v>
      </c>
      <c r="CB7" s="74">
        <f>VLOOKUP($G$7&amp;$F$1,'Input RM sheet'!$A:$DD,CA1,0)</f>
        <v>0.67551266586248493</v>
      </c>
      <c r="CC7" s="74">
        <f>VLOOKUP($G$7&amp;$F$1,'Input RM sheet'!$A:$DD,CB1,0)</f>
        <v>0.67551266586248493</v>
      </c>
      <c r="CD7" s="74">
        <f>VLOOKUP($G$7&amp;$F$1,'Input RM sheet'!$A:$DD,CC1,0)</f>
        <v>0.64087061668681977</v>
      </c>
      <c r="CE7" s="74">
        <f>VLOOKUP($G$7&amp;$F$1,'Input RM sheet'!$A:$DD,CD1,0)</f>
        <v>0.64040599323344605</v>
      </c>
      <c r="CF7" s="74">
        <f>VLOOKUP($G$7&amp;$F$1,'Input RM sheet'!$A:$DD,CE1,0)</f>
        <v>0.63656017295219791</v>
      </c>
      <c r="CG7" s="74">
        <f>VLOOKUP($G$7&amp;$F$1,'Input RM sheet'!$A:$DD,CF1,0)</f>
        <v>0.63556781388655714</v>
      </c>
      <c r="CH7" s="74">
        <f>VLOOKUP($G$7&amp;$F$1,'Input RM sheet'!$A:$DD,CG1,0)</f>
        <v>0.63694267515923575</v>
      </c>
      <c r="CI7" s="74">
        <f>VLOOKUP($G$7&amp;$F$1,'Input RM sheet'!$A:$DD,CH1,0)</f>
        <v>0.63549160671462823</v>
      </c>
      <c r="CJ7" s="74">
        <f>VLOOKUP($G$7&amp;$F$1,'Input RM sheet'!$A:$DD,CI1,0)</f>
        <v>0.63389546704939603</v>
      </c>
      <c r="CK7" s="74">
        <f>VLOOKUP($G$7&amp;$F$1,'Input RM sheet'!$A:$DD,CJ1,0)</f>
        <v>0.65931431311436106</v>
      </c>
      <c r="CL7" s="74">
        <f>VLOOKUP($G$7&amp;$F$1,'Input RM sheet'!$A:$DD,CK1,0)</f>
        <v>0.6586826347305389</v>
      </c>
      <c r="CM7" s="74">
        <f>VLOOKUP($G$7&amp;$F$1,'Input RM sheet'!$A:$DD,CL1,0)</f>
        <v>0.65986802639472109</v>
      </c>
      <c r="CN7" s="74">
        <f>VLOOKUP($G$7&amp;$F$1,'Input RM sheet'!$A:$DD,CM1,0)</f>
        <v>0.62387522495500902</v>
      </c>
      <c r="CO7" s="74">
        <f>VLOOKUP($G$7&amp;$F$1,'Input RM sheet'!$A:$DD,CN1,0)</f>
        <v>0.62387522495500902</v>
      </c>
      <c r="CP7" s="74">
        <f>VLOOKUP($G$7&amp;$F$1,'Input RM sheet'!$A:$DD,CO1,0)</f>
        <v>0.62387522495500902</v>
      </c>
      <c r="CQ7" s="74">
        <f>VLOOKUP($G$7&amp;$F$1,'Input RM sheet'!$A:$ZZ,CP1,0)</f>
        <v>0.61985933961139583</v>
      </c>
      <c r="CR7" s="74">
        <f>VLOOKUP($G$7&amp;$F$1,'Input RM sheet'!$A:$ZZ,CQ1,0)</f>
        <v>0.64748201438848918</v>
      </c>
      <c r="CS7" s="74">
        <f>VLOOKUP($G$7&amp;$F$1,'Input RM sheet'!$A:$ZZ,CR1,0)</f>
        <v>0.6467065868263473</v>
      </c>
      <c r="CT7" s="74">
        <f>VLOOKUP($G$7&amp;$F$1,'Input RM sheet'!$A:$ZZ,CS1,0)</f>
        <v>0.67106051527860988</v>
      </c>
      <c r="CU7" s="74">
        <f>VLOOKUP($G$7&amp;$F$1,'Input RM sheet'!$A:$ZZ,CT1,0)</f>
        <v>0.67089972445189894</v>
      </c>
      <c r="CV7" s="74">
        <f>VLOOKUP($G$7&amp;$F$1,'Input RM sheet'!$A:$ZZ,CU1,0)</f>
        <v>0.67025733093955719</v>
      </c>
      <c r="CW7" s="74">
        <f>VLOOKUP($G$7&amp;$F$1,'Input RM sheet'!$A:$ZZ,CV1,0)</f>
        <v>0.65710872162485068</v>
      </c>
      <c r="CX7" s="74">
        <f>VLOOKUP($G$7&amp;$F$1,'Input RM sheet'!$A:$ZZ,CW1,0)</f>
        <v>0.65687328317210081</v>
      </c>
      <c r="CY7" s="74">
        <f>VLOOKUP($G$7&amp;$F$1,'Input RM sheet'!$A:$ZZ,CX1,0)</f>
        <v>0.67897558070279929</v>
      </c>
      <c r="CZ7" s="74">
        <f>VLOOKUP($G$7&amp;$F$1,'Input RM sheet'!$A:$ZZ,CY1,0)</f>
        <v>0.67889471176750837</v>
      </c>
      <c r="DA7" s="74">
        <f>VLOOKUP($G$7&amp;$F$1,'Input RM sheet'!$A:$ZZ,CZ1,0)</f>
        <v>0.6793802145411203</v>
      </c>
      <c r="DB7" s="74">
        <f>VLOOKUP($G$7&amp;$F$1,'Input RM sheet'!$A:$ZZ,DA1,0)</f>
        <v>0.67946119918941472</v>
      </c>
      <c r="DC7" s="74">
        <f>VLOOKUP($G$7&amp;$F$1,'Input RM sheet'!$A:$ZZ,DB1,0)</f>
        <v>0.62529776083849453</v>
      </c>
      <c r="DD7" s="74">
        <f>VLOOKUP($G$7&amp;$F$1,'Input RM sheet'!$A:$ZZ,DC1,0)</f>
        <v>0.62529776083849453</v>
      </c>
      <c r="DE7" s="74">
        <f>VLOOKUP($G$7&amp;$F$1,'Input RM sheet'!$A:$ZZ,DD1,0)</f>
        <v>0.59224694903086861</v>
      </c>
      <c r="DF7" s="74">
        <f>VLOOKUP($G$7&amp;$F$1,'Input RM sheet'!$A:$ZZ,DE1,0)</f>
        <v>0.59168061200095623</v>
      </c>
      <c r="DG7" s="74">
        <f>VLOOKUP($G$7&amp;$F$1,'Input RM sheet'!$A:$ZZ,DF1,0)</f>
        <v>0.58949624866023576</v>
      </c>
      <c r="DH7" s="74">
        <f>VLOOKUP($G$7&amp;$F$1,'Input RM sheet'!$A:$ZZ,DG1,0)</f>
        <v>0.60068990127274891</v>
      </c>
      <c r="DI7" s="74">
        <f>VLOOKUP($G$7&amp;$F$1,'Input RM sheet'!$A:$ZZ,DH1,0)</f>
        <v>0.60068990127274891</v>
      </c>
      <c r="DJ7" s="74">
        <f>VLOOKUP($G$7&amp;$F$1,'Input RM sheet'!$A:$ZZ,DI1,0)</f>
        <v>0.60061845861084684</v>
      </c>
      <c r="DK7" s="74">
        <f>VLOOKUP($G$7&amp;$F$1,'Input RM sheet'!$A:$ZZ,DJ1,0)</f>
        <v>0.60033285782215884</v>
      </c>
      <c r="DL7" s="74">
        <f>VLOOKUP($G$7&amp;$F$1,'Input RM sheet'!$A:$ZZ,DK1,0)</f>
        <v>0.59834123222748814</v>
      </c>
      <c r="DM7" s="74">
        <f>VLOOKUP($G$7&amp;$F$1,'Input RM sheet'!$A:$ZZ,DL1,0)</f>
        <v>0.61706419840987303</v>
      </c>
      <c r="DN7" s="74">
        <f>VLOOKUP($G$7&amp;$F$1,'Input RM sheet'!$A:$ZZ,DM1,0)</f>
        <v>0.61443932411674351</v>
      </c>
      <c r="DO7" s="74">
        <f>VLOOKUP($G$7&amp;$F$1,'Input RM sheet'!$A:$ZZ,DN1,0)</f>
        <v>0.6376195536663124</v>
      </c>
      <c r="DP7" s="74">
        <f>VLOOKUP($G$7&amp;$F$1,'Input RM sheet'!$A:$ZZ,DO1,0)</f>
        <v>0.63067311092773781</v>
      </c>
      <c r="DQ7" s="74">
        <f>VLOOKUP($G$7&amp;$F$1,'Input RM sheet'!$A:$ZZ,DP1,0)</f>
        <v>0.63000471031559113</v>
      </c>
      <c r="DR7" s="74">
        <f>VLOOKUP($G$7&amp;$F$1,'Input RM sheet'!$A:$ZZ,DQ1,0)</f>
        <v>0.62808170932143692</v>
      </c>
      <c r="DS7" s="74">
        <f>VLOOKUP($G$7&amp;$F$1,'Input RM sheet'!$A:$ZZ,DR1,0)</f>
        <v>0</v>
      </c>
      <c r="DT7" s="74">
        <f>VLOOKUP($G$7&amp;$F$1,'Input RM sheet'!$A:$ZZ,DS1,0)</f>
        <v>0</v>
      </c>
      <c r="DU7" s="74">
        <f>VLOOKUP($G$7&amp;$F$1,'Input RM sheet'!$A:$ZZ,DT1,0)</f>
        <v>0</v>
      </c>
      <c r="DV7" s="74">
        <f>VLOOKUP($G$7&amp;$F$1,'Input RM sheet'!$A:$ZZ,DU1,0)</f>
        <v>0</v>
      </c>
      <c r="DW7" s="74">
        <f>VLOOKUP($G$7&amp;$F$1,'Input RM sheet'!$A:$ZZ,DV1,0)</f>
        <v>0</v>
      </c>
      <c r="DX7" s="74">
        <f>VLOOKUP($G$7&amp;$F$1,'Input RM sheet'!$A:$ZZ,DW1,0)</f>
        <v>0</v>
      </c>
    </row>
    <row r="8" spans="1:128">
      <c r="A8" s="59" t="s">
        <v>395</v>
      </c>
      <c r="B8" s="59"/>
      <c r="C8" s="59" t="s">
        <v>379</v>
      </c>
      <c r="D8" s="59" t="s">
        <v>380</v>
      </c>
      <c r="E8" s="59" t="s">
        <v>381</v>
      </c>
      <c r="F8" s="59" t="s">
        <v>396</v>
      </c>
      <c r="G8" s="60" t="s">
        <v>399</v>
      </c>
      <c r="H8" s="116"/>
      <c r="I8" s="116"/>
      <c r="J8" s="116"/>
      <c r="K8" s="116"/>
      <c r="L8" s="116"/>
      <c r="M8" s="116"/>
      <c r="N8" s="116"/>
      <c r="O8" s="116"/>
      <c r="P8" s="116"/>
      <c r="Q8" s="116"/>
      <c r="R8" s="116"/>
      <c r="S8" s="116"/>
      <c r="T8" s="116"/>
      <c r="U8" s="116"/>
    </row>
    <row r="9" spans="1:128">
      <c r="A9" s="365" t="s">
        <v>397</v>
      </c>
      <c r="B9" s="60" t="s">
        <v>314</v>
      </c>
      <c r="C9" s="60">
        <v>3</v>
      </c>
      <c r="D9" s="64">
        <v>44.05</v>
      </c>
      <c r="E9" s="60">
        <f>D9*C9</f>
        <v>132.14999999999998</v>
      </c>
      <c r="F9" s="65">
        <f>E9/$E$4</f>
        <v>0.88170536429143298</v>
      </c>
      <c r="H9" s="74">
        <f>$F$9*(H6/1000)</f>
        <v>0.98662830264211354</v>
      </c>
      <c r="I9" s="74">
        <f t="shared" ref="I9:AG9" si="0">$F$9*(I6/1000)</f>
        <v>0.97075760608486772</v>
      </c>
      <c r="J9" s="74">
        <f t="shared" si="0"/>
        <v>0.96634907926341063</v>
      </c>
      <c r="K9" s="74">
        <f t="shared" si="0"/>
        <v>0.74815345276220968</v>
      </c>
      <c r="L9" s="74">
        <f t="shared" si="0"/>
        <v>0.84092649119295415</v>
      </c>
      <c r="M9" s="74">
        <f t="shared" si="0"/>
        <v>0.93372598078462743</v>
      </c>
      <c r="N9" s="74">
        <f t="shared" si="0"/>
        <v>0.89316753402722149</v>
      </c>
      <c r="O9" s="74">
        <f t="shared" si="0"/>
        <v>0.87783467774219359</v>
      </c>
      <c r="P9" s="74">
        <f t="shared" si="0"/>
        <v>0.94430644515612472</v>
      </c>
      <c r="Q9" s="74">
        <f t="shared" si="0"/>
        <v>0.95753202562049633</v>
      </c>
      <c r="R9" s="74">
        <f t="shared" si="0"/>
        <v>0.98839171337069642</v>
      </c>
      <c r="S9" s="74">
        <f t="shared" si="0"/>
        <v>1.0174879903923135</v>
      </c>
      <c r="T9" s="74">
        <f t="shared" si="0"/>
        <v>1.0174879903923135</v>
      </c>
      <c r="U9" s="74">
        <f t="shared" si="0"/>
        <v>0.97516613290632492</v>
      </c>
      <c r="V9" s="74">
        <f t="shared" si="0"/>
        <v>1.1506255004003201</v>
      </c>
      <c r="W9" s="74">
        <f t="shared" si="0"/>
        <v>1.1418084467574057</v>
      </c>
      <c r="X9" s="74">
        <f t="shared" si="0"/>
        <v>1.0562830264211367</v>
      </c>
      <c r="Y9" s="74">
        <f t="shared" si="0"/>
        <v>0.94695156124899904</v>
      </c>
      <c r="Z9" s="74">
        <f t="shared" si="0"/>
        <v>0.98045636509207357</v>
      </c>
      <c r="AA9" s="74">
        <f t="shared" si="0"/>
        <v>1.0483476781425138</v>
      </c>
      <c r="AB9" s="74">
        <f t="shared" si="0"/>
        <v>1.0580464371497196</v>
      </c>
      <c r="AC9" s="74">
        <f t="shared" si="0"/>
        <v>1.3525360288230581</v>
      </c>
      <c r="AD9" s="74">
        <f t="shared" si="0"/>
        <v>1.0483476781425138</v>
      </c>
      <c r="AE9" s="74">
        <f t="shared" si="0"/>
        <v>1.0377672137710166</v>
      </c>
      <c r="AF9" s="74">
        <f t="shared" si="0"/>
        <v>0.96458566853482774</v>
      </c>
      <c r="AG9" s="74">
        <f t="shared" si="0"/>
        <v>1.1612059647718171</v>
      </c>
      <c r="AH9" s="74">
        <f t="shared" ref="AH9:BF9" si="1">$F$9*(AH6/1000)</f>
        <v>1.1391633306645315</v>
      </c>
      <c r="AI9" s="74">
        <f t="shared" si="1"/>
        <v>1.1382816253002399</v>
      </c>
      <c r="AJ9" s="74">
        <f t="shared" si="1"/>
        <v>1.0924329463570857</v>
      </c>
      <c r="AK9" s="74">
        <f t="shared" si="1"/>
        <v>0.99456365092073629</v>
      </c>
      <c r="AL9" s="74">
        <f t="shared" si="1"/>
        <v>0.85772297838270595</v>
      </c>
      <c r="AM9" s="74">
        <f t="shared" si="1"/>
        <v>0.84262818254603666</v>
      </c>
      <c r="AN9" s="74">
        <f t="shared" si="1"/>
        <v>0.94342473979183339</v>
      </c>
      <c r="AO9" s="74">
        <f t="shared" si="1"/>
        <v>0.89493094475580437</v>
      </c>
      <c r="AP9" s="74">
        <f t="shared" si="1"/>
        <v>0.83015205164131289</v>
      </c>
      <c r="AQ9" s="74">
        <f t="shared" si="1"/>
        <v>0.84678983186549228</v>
      </c>
      <c r="AR9" s="74">
        <f t="shared" si="1"/>
        <v>0.79178905124099264</v>
      </c>
      <c r="AS9" s="74">
        <f t="shared" si="1"/>
        <v>0.87589492594075247</v>
      </c>
      <c r="AT9" s="74">
        <f t="shared" si="1"/>
        <v>0.92050040032025604</v>
      </c>
      <c r="AU9" s="74">
        <f t="shared" si="1"/>
        <v>0.89581265012009592</v>
      </c>
      <c r="AV9" s="74">
        <f t="shared" si="1"/>
        <v>0.79816378102481966</v>
      </c>
      <c r="AW9" s="74">
        <f t="shared" si="1"/>
        <v>0.73930994795836658</v>
      </c>
      <c r="AX9" s="74">
        <f t="shared" si="1"/>
        <v>0.73930994795836658</v>
      </c>
      <c r="AY9" s="74">
        <f t="shared" si="1"/>
        <v>0.73930994795836658</v>
      </c>
      <c r="AZ9" s="74">
        <f t="shared" si="1"/>
        <v>0.73930994795836658</v>
      </c>
      <c r="BA9" s="74">
        <f t="shared" si="1"/>
        <v>0.74787130704563642</v>
      </c>
      <c r="BB9" s="74">
        <f>$F$9*(BB6/1000)</f>
        <v>0.74803001401120883</v>
      </c>
      <c r="BC9" s="74">
        <f t="shared" si="1"/>
        <v>0.74803001401120883</v>
      </c>
      <c r="BD9" s="74">
        <f>$F$9*(BD6/1000)</f>
        <v>0.74803001401120883</v>
      </c>
      <c r="BE9" s="74">
        <f>$F$9*(BE6/1000)</f>
        <v>0.74803001401120883</v>
      </c>
      <c r="BF9" s="74">
        <f t="shared" si="1"/>
        <v>0.78508809047237771</v>
      </c>
      <c r="BG9" s="74">
        <f t="shared" ref="BG9:BL9" si="2">$F$9*(BG6/1000)</f>
        <v>0.78508809047237771</v>
      </c>
      <c r="BH9" s="74">
        <f t="shared" si="2"/>
        <v>0.80354218374699748</v>
      </c>
      <c r="BI9" s="74">
        <f t="shared" si="2"/>
        <v>0.80354218374699748</v>
      </c>
      <c r="BJ9" s="74">
        <f t="shared" si="2"/>
        <v>0.80354218374699748</v>
      </c>
      <c r="BK9" s="74">
        <f t="shared" si="2"/>
        <v>0.80354218374699748</v>
      </c>
      <c r="BL9" s="74">
        <f t="shared" si="2"/>
        <v>0.80354218374699748</v>
      </c>
      <c r="BM9" s="74">
        <f t="shared" ref="BM9:BU9" si="3">$F$9*(BM6/1000)</f>
        <v>0.83541583266613273</v>
      </c>
      <c r="BN9" s="74">
        <f t="shared" si="3"/>
        <v>0.81144226381104867</v>
      </c>
      <c r="BO9" s="74">
        <f t="shared" si="3"/>
        <v>0.81144226381104867</v>
      </c>
      <c r="BP9" s="74">
        <f t="shared" si="3"/>
        <v>0.81144226381104867</v>
      </c>
      <c r="BQ9" s="74">
        <f t="shared" si="3"/>
        <v>0.81144226381104867</v>
      </c>
      <c r="BR9" s="74">
        <f t="shared" si="3"/>
        <v>0.77908367694155312</v>
      </c>
      <c r="BS9" s="74">
        <f t="shared" si="3"/>
        <v>0.77908367694155312</v>
      </c>
      <c r="BT9" s="74">
        <f t="shared" si="3"/>
        <v>0.79972439951961549</v>
      </c>
      <c r="BU9" s="74">
        <f t="shared" si="3"/>
        <v>0.79987428943154515</v>
      </c>
      <c r="BV9" s="74">
        <f t="shared" ref="BV9:CQ9" si="4">$F$9*(BV6/1000)</f>
        <v>0.79987428943154515</v>
      </c>
      <c r="BW9" s="74">
        <f t="shared" si="4"/>
        <v>0.79987428943154515</v>
      </c>
      <c r="BX9" s="74">
        <f t="shared" si="4"/>
        <v>0.79987428943154515</v>
      </c>
      <c r="BY9" s="74">
        <f t="shared" si="4"/>
        <v>0.80854145316252979</v>
      </c>
      <c r="BZ9" s="74">
        <f t="shared" si="4"/>
        <v>0.80854145316252979</v>
      </c>
      <c r="CA9" s="74">
        <f t="shared" si="4"/>
        <v>0.80854145316252979</v>
      </c>
      <c r="CB9" s="74">
        <f t="shared" si="4"/>
        <v>0.80854145316252979</v>
      </c>
      <c r="CC9" s="74">
        <f t="shared" si="4"/>
        <v>0.80854145316252979</v>
      </c>
      <c r="CD9" s="74">
        <f t="shared" si="4"/>
        <v>0.81589487590072041</v>
      </c>
      <c r="CE9" s="74">
        <f t="shared" si="4"/>
        <v>0.81589487590072041</v>
      </c>
      <c r="CF9" s="74">
        <f t="shared" si="4"/>
        <v>0.81589487590072041</v>
      </c>
      <c r="CG9" s="74">
        <f t="shared" si="4"/>
        <v>0.82654587670136093</v>
      </c>
      <c r="CH9" s="74">
        <f t="shared" si="4"/>
        <v>0.82654587670136093</v>
      </c>
      <c r="CI9" s="74">
        <f t="shared" si="4"/>
        <v>0.82654587670136093</v>
      </c>
      <c r="CJ9" s="74">
        <f t="shared" si="4"/>
        <v>0.82654587670136093</v>
      </c>
      <c r="CK9" s="74">
        <f t="shared" si="4"/>
        <v>0.84043273618895109</v>
      </c>
      <c r="CL9" s="74">
        <f t="shared" si="4"/>
        <v>0.86629315452361866</v>
      </c>
      <c r="CM9" s="74">
        <f t="shared" si="4"/>
        <v>0.84043273618895109</v>
      </c>
      <c r="CN9" s="74">
        <f t="shared" si="4"/>
        <v>0.84043273618895109</v>
      </c>
      <c r="CO9" s="74">
        <f t="shared" si="4"/>
        <v>0.84043273618895109</v>
      </c>
      <c r="CP9" s="74">
        <f t="shared" si="4"/>
        <v>0.84043273618895109</v>
      </c>
      <c r="CQ9" s="74">
        <f t="shared" si="4"/>
        <v>0.82916454163330644</v>
      </c>
      <c r="CR9" s="74">
        <f>$F$9*(CR6/1000)</f>
        <v>0.82916454163330644</v>
      </c>
      <c r="CS9" s="74">
        <f>$F$9*(CS6/1000)</f>
        <v>0.82916454163330644</v>
      </c>
      <c r="CT9" s="74">
        <f>$F$9*(CT6/1000)</f>
        <v>0.80877951361088851</v>
      </c>
      <c r="CU9" s="74">
        <f>$F$9*(CU6/1000)</f>
        <v>0.80877951361088851</v>
      </c>
      <c r="CV9" s="74">
        <f t="shared" ref="CV9:DX9" si="5">$F$9*(CV6/1000)</f>
        <v>0.80877951361088851</v>
      </c>
      <c r="CW9" s="74">
        <f t="shared" si="5"/>
        <v>0.80877951361088851</v>
      </c>
      <c r="CX9" s="74">
        <f t="shared" si="5"/>
        <v>0.8346399319455563</v>
      </c>
      <c r="CY9" s="74">
        <f t="shared" si="5"/>
        <v>0.8346399319455563</v>
      </c>
      <c r="CZ9" s="74">
        <f t="shared" si="5"/>
        <v>0.8346399319455563</v>
      </c>
      <c r="DA9" s="74">
        <f t="shared" si="5"/>
        <v>0.8346399319455563</v>
      </c>
      <c r="DB9" s="74">
        <f t="shared" si="5"/>
        <v>0.83472810248198548</v>
      </c>
      <c r="DC9" s="74">
        <f t="shared" si="5"/>
        <v>0.85099556645316232</v>
      </c>
      <c r="DD9" s="74">
        <f t="shared" si="5"/>
        <v>0.85099556645316232</v>
      </c>
      <c r="DE9" s="74">
        <f t="shared" si="5"/>
        <v>0.85099556645316232</v>
      </c>
      <c r="DF9" s="74">
        <f t="shared" si="5"/>
        <v>0.85099556645316232</v>
      </c>
      <c r="DG9" s="74">
        <f t="shared" si="5"/>
        <v>0.85998014411529211</v>
      </c>
      <c r="DH9" s="74">
        <f t="shared" si="5"/>
        <v>0.85998014411529211</v>
      </c>
      <c r="DI9" s="74">
        <f t="shared" si="5"/>
        <v>0.86498823058446739</v>
      </c>
      <c r="DJ9" s="74">
        <f t="shared" si="5"/>
        <v>0.86498823058446739</v>
      </c>
      <c r="DK9" s="74">
        <f t="shared" si="5"/>
        <v>0.86498823058446739</v>
      </c>
      <c r="DL9" s="74">
        <f t="shared" si="5"/>
        <v>0.86448565852682135</v>
      </c>
      <c r="DM9" s="74">
        <f t="shared" si="5"/>
        <v>0.86448565852682135</v>
      </c>
      <c r="DN9" s="74">
        <f t="shared" si="5"/>
        <v>0.84127035628502789</v>
      </c>
      <c r="DO9" s="74">
        <f t="shared" si="5"/>
        <v>0.84127035628502789</v>
      </c>
      <c r="DP9" s="74">
        <f t="shared" si="5"/>
        <v>0.84127035628502789</v>
      </c>
      <c r="DQ9" s="74">
        <f t="shared" si="5"/>
        <v>0.84127035628502789</v>
      </c>
      <c r="DR9" s="74">
        <f t="shared" si="5"/>
        <v>0.84206389111289015</v>
      </c>
      <c r="DS9" s="74">
        <f t="shared" si="5"/>
        <v>0</v>
      </c>
      <c r="DT9" s="74">
        <f t="shared" si="5"/>
        <v>0</v>
      </c>
      <c r="DU9" s="74">
        <f t="shared" si="5"/>
        <v>0</v>
      </c>
      <c r="DV9" s="74">
        <f t="shared" si="5"/>
        <v>0</v>
      </c>
      <c r="DW9" s="74">
        <f t="shared" si="5"/>
        <v>0</v>
      </c>
      <c r="DX9" s="74">
        <f t="shared" si="5"/>
        <v>0</v>
      </c>
    </row>
    <row r="10" spans="1:128">
      <c r="A10" s="366"/>
      <c r="B10" s="60" t="s">
        <v>444</v>
      </c>
      <c r="C10" s="60">
        <v>1</v>
      </c>
      <c r="D10" s="64">
        <v>17.030999999999999</v>
      </c>
      <c r="E10" s="60">
        <f>D10*C10</f>
        <v>17.030999999999999</v>
      </c>
      <c r="F10" s="65">
        <f>E10/$E$4</f>
        <v>0.11363090472377901</v>
      </c>
      <c r="G10" s="77"/>
      <c r="H10" s="74">
        <f>$F$10*H7</f>
        <v>5.7525723994658363E-2</v>
      </c>
      <c r="I10" s="74">
        <f t="shared" ref="I10:AG10" si="6">$F$10*I7</f>
        <v>5.7502980018619559E-2</v>
      </c>
      <c r="J10" s="74">
        <f t="shared" si="6"/>
        <v>5.5186218525338185E-2</v>
      </c>
      <c r="K10" s="74">
        <f t="shared" si="6"/>
        <v>5.2957582555871401E-2</v>
      </c>
      <c r="L10" s="74">
        <f t="shared" si="6"/>
        <v>5.3731932237936174E-2</v>
      </c>
      <c r="M10" s="74">
        <f t="shared" si="6"/>
        <v>5.0165876283986235E-2</v>
      </c>
      <c r="N10" s="74">
        <f t="shared" si="6"/>
        <v>4.934596347817221E-2</v>
      </c>
      <c r="O10" s="74">
        <f t="shared" si="6"/>
        <v>4.8334316617715221E-2</v>
      </c>
      <c r="P10" s="74">
        <f t="shared" si="6"/>
        <v>4.9126891564757684E-2</v>
      </c>
      <c r="Q10" s="74">
        <f t="shared" si="6"/>
        <v>4.8744779849729344E-2</v>
      </c>
      <c r="R10" s="74">
        <f t="shared" si="6"/>
        <v>4.8275249867191318E-2</v>
      </c>
      <c r="S10" s="74">
        <f t="shared" si="6"/>
        <v>5.1220211206594493E-2</v>
      </c>
      <c r="T10" s="74">
        <f t="shared" si="6"/>
        <v>5.412475292235247E-2</v>
      </c>
      <c r="U10" s="74">
        <f t="shared" si="6"/>
        <v>5.7751970807415155E-2</v>
      </c>
      <c r="V10" s="74">
        <f t="shared" si="6"/>
        <v>5.7751970807415155E-2</v>
      </c>
      <c r="W10" s="74">
        <f t="shared" si="6"/>
        <v>6.0630635285443081E-2</v>
      </c>
      <c r="X10" s="74">
        <f t="shared" si="6"/>
        <v>6.7480469016851702E-2</v>
      </c>
      <c r="Y10" s="74">
        <f t="shared" si="6"/>
        <v>7.2078210150148786E-2</v>
      </c>
      <c r="Z10" s="74">
        <f t="shared" si="6"/>
        <v>8.2486559866504869E-2</v>
      </c>
      <c r="AA10" s="74">
        <f t="shared" si="6"/>
        <v>8.2824948065503418E-2</v>
      </c>
      <c r="AB10" s="74">
        <f t="shared" si="6"/>
        <v>8.5067491681656796E-2</v>
      </c>
      <c r="AC10" s="74">
        <f t="shared" si="6"/>
        <v>8.9959899495962115E-2</v>
      </c>
      <c r="AD10" s="74">
        <f t="shared" si="6"/>
        <v>9.3276575943410711E-2</v>
      </c>
      <c r="AE10" s="74">
        <f t="shared" si="6"/>
        <v>9.6148328292516197E-2</v>
      </c>
      <c r="AF10" s="74">
        <f t="shared" si="6"/>
        <v>0.12004863755028929</v>
      </c>
      <c r="AG10" s="74">
        <f t="shared" si="6"/>
        <v>0.13702148024562488</v>
      </c>
      <c r="AH10" s="74">
        <f t="shared" ref="AH10:BF10" si="7">$F$10*AH7</f>
        <v>0.15091953992271365</v>
      </c>
      <c r="AI10" s="74">
        <f t="shared" si="7"/>
        <v>0.14324112390246635</v>
      </c>
      <c r="AJ10" s="74">
        <f t="shared" si="7"/>
        <v>0.12774496232852506</v>
      </c>
      <c r="AK10" s="74">
        <f t="shared" si="7"/>
        <v>0.12703693097306903</v>
      </c>
      <c r="AL10" s="74">
        <f t="shared" si="7"/>
        <v>0.12305457084040353</v>
      </c>
      <c r="AM10" s="74">
        <f t="shared" si="7"/>
        <v>0.12334655434798576</v>
      </c>
      <c r="AN10" s="74">
        <f t="shared" si="7"/>
        <v>0.11987857508231889</v>
      </c>
      <c r="AO10" s="74">
        <f t="shared" si="7"/>
        <v>0.12203965796023916</v>
      </c>
      <c r="AP10" s="74">
        <f t="shared" si="7"/>
        <v>0.12937098124924543</v>
      </c>
      <c r="AQ10" s="74">
        <f t="shared" si="7"/>
        <v>0.12291242775995558</v>
      </c>
      <c r="AR10" s="74">
        <f t="shared" si="7"/>
        <v>0.11335398457983317</v>
      </c>
      <c r="AS10" s="74">
        <f t="shared" si="7"/>
        <v>0.1051604389221016</v>
      </c>
      <c r="AT10" s="74">
        <f t="shared" si="7"/>
        <v>0.10239305895046735</v>
      </c>
      <c r="AU10" s="74">
        <f t="shared" si="7"/>
        <v>8.4958565129171562E-2</v>
      </c>
      <c r="AV10" s="74">
        <f t="shared" si="7"/>
        <v>8.0254019177393332E-2</v>
      </c>
      <c r="AW10" s="74">
        <f t="shared" si="7"/>
        <v>7.0244559283790656E-2</v>
      </c>
      <c r="AX10" s="74">
        <f t="shared" si="7"/>
        <v>7.0295683417184979E-2</v>
      </c>
      <c r="AY10" s="74">
        <f t="shared" si="7"/>
        <v>7.0518083973141021E-2</v>
      </c>
      <c r="AZ10" s="74">
        <f t="shared" si="7"/>
        <v>7.0741896251376099E-2</v>
      </c>
      <c r="BA10" s="74">
        <f t="shared" si="7"/>
        <v>6.7686777674023479E-2</v>
      </c>
      <c r="BB10" s="74">
        <f>$F$10*BB7</f>
        <v>6.7220986737476424E-2</v>
      </c>
      <c r="BC10" s="74">
        <f t="shared" si="7"/>
        <v>6.6881853831413471E-2</v>
      </c>
      <c r="BD10" s="74">
        <f>$F$10*BD7</f>
        <v>6.6881853831413471E-2</v>
      </c>
      <c r="BE10" s="74">
        <f>$F$10*BE7</f>
        <v>6.736738453073407E-2</v>
      </c>
      <c r="BF10" s="74">
        <f t="shared" si="7"/>
        <v>6.7042917898436749E-2</v>
      </c>
      <c r="BG10" s="74">
        <f t="shared" ref="BG10:BL10" si="8">$F$10*BG7</f>
        <v>6.4391759368430362E-2</v>
      </c>
      <c r="BH10" s="74">
        <f t="shared" si="8"/>
        <v>6.7139929235079845E-2</v>
      </c>
      <c r="BI10" s="74">
        <f t="shared" si="8"/>
        <v>6.6873820940009265E-2</v>
      </c>
      <c r="BJ10" s="74">
        <f t="shared" si="8"/>
        <v>7.7829386797108907E-2</v>
      </c>
      <c r="BK10" s="74">
        <f t="shared" si="8"/>
        <v>7.7801340171236077E-2</v>
      </c>
      <c r="BL10" s="74">
        <f t="shared" si="8"/>
        <v>7.5188880652163684E-2</v>
      </c>
      <c r="BM10" s="74">
        <f t="shared" ref="BM10:BU10" si="9">$F$10*BM7</f>
        <v>7.9156767643276268E-2</v>
      </c>
      <c r="BN10" s="74">
        <f t="shared" si="9"/>
        <v>7.9194814635654684E-2</v>
      </c>
      <c r="BO10" s="74">
        <f t="shared" si="9"/>
        <v>7.9223373890842441E-2</v>
      </c>
      <c r="BP10" s="74">
        <f t="shared" si="9"/>
        <v>7.9223373890842441E-2</v>
      </c>
      <c r="BQ10" s="74">
        <f t="shared" si="9"/>
        <v>7.9090273298682137E-2</v>
      </c>
      <c r="BR10" s="74">
        <f t="shared" si="9"/>
        <v>7.9023890575289968E-2</v>
      </c>
      <c r="BS10" s="74">
        <f t="shared" si="9"/>
        <v>7.2246136640598466E-2</v>
      </c>
      <c r="BT10" s="74">
        <f t="shared" si="9"/>
        <v>7.3715387495003212E-2</v>
      </c>
      <c r="BU10" s="74">
        <f t="shared" si="9"/>
        <v>7.364460939851257E-2</v>
      </c>
      <c r="BV10" s="74">
        <f t="shared" ref="BV10:CQ10" si="10">$F$10*BV7</f>
        <v>7.1753939114726939E-2</v>
      </c>
      <c r="BW10" s="74">
        <f t="shared" si="10"/>
        <v>7.5161752974237467E-2</v>
      </c>
      <c r="BX10" s="74">
        <f t="shared" si="10"/>
        <v>7.5071468586280429E-2</v>
      </c>
      <c r="BY10" s="74">
        <f t="shared" si="10"/>
        <v>7.6611252883838479E-2</v>
      </c>
      <c r="BZ10" s="74">
        <f t="shared" si="10"/>
        <v>7.6666634512429208E-2</v>
      </c>
      <c r="CA10" s="74">
        <f t="shared" si="10"/>
        <v>7.6657398681262784E-2</v>
      </c>
      <c r="CB10" s="74">
        <f t="shared" si="10"/>
        <v>7.675911537432599E-2</v>
      </c>
      <c r="CC10" s="74">
        <f t="shared" si="10"/>
        <v>7.675911537432599E-2</v>
      </c>
      <c r="CD10" s="74">
        <f t="shared" si="10"/>
        <v>7.2822707985009519E-2</v>
      </c>
      <c r="CE10" s="74">
        <f t="shared" si="10"/>
        <v>7.2769912401646777E-2</v>
      </c>
      <c r="CF10" s="74">
        <f t="shared" si="10"/>
        <v>7.2332908363683487E-2</v>
      </c>
      <c r="CG10" s="74">
        <f t="shared" si="10"/>
        <v>7.2220145705243891E-2</v>
      </c>
      <c r="CH10" s="74">
        <f t="shared" si="10"/>
        <v>7.2376372435528039E-2</v>
      </c>
      <c r="CI10" s="74">
        <f t="shared" si="10"/>
        <v>7.2211486215351159E-2</v>
      </c>
      <c r="CJ10" s="74">
        <f t="shared" si="10"/>
        <v>7.2030115421125321E-2</v>
      </c>
      <c r="CK10" s="74">
        <f t="shared" si="10"/>
        <v>7.4918481896521769E-2</v>
      </c>
      <c r="CL10" s="74">
        <f t="shared" si="10"/>
        <v>7.4846703710273604E-2</v>
      </c>
      <c r="CM10" s="74">
        <f t="shared" si="10"/>
        <v>7.4981400837526649E-2</v>
      </c>
      <c r="CN10" s="74">
        <f t="shared" si="10"/>
        <v>7.0891506246388833E-2</v>
      </c>
      <c r="CO10" s="74">
        <f t="shared" si="10"/>
        <v>7.0891506246388833E-2</v>
      </c>
      <c r="CP10" s="74">
        <f t="shared" si="10"/>
        <v>7.0891506246388833E-2</v>
      </c>
      <c r="CQ10" s="74">
        <f t="shared" si="10"/>
        <v>7.0435177561527104E-2</v>
      </c>
      <c r="CR10" s="74">
        <f>$F$10*CR7</f>
        <v>7.3573967087338932E-2</v>
      </c>
      <c r="CS10" s="74">
        <f>$F$10*CS7</f>
        <v>7.3485854551904983E-2</v>
      </c>
      <c r="CT10" s="74">
        <f>$F$10*CT7</f>
        <v>7.6253213475513767E-2</v>
      </c>
      <c r="CU10" s="74">
        <f>$F$10*CU7</f>
        <v>7.6234942668403319E-2</v>
      </c>
      <c r="CV10" s="74">
        <f t="shared" ref="CV10:DX10" si="11">$F$10*CV7</f>
        <v>7.6161946912407241E-2</v>
      </c>
      <c r="CW10" s="74">
        <f t="shared" si="11"/>
        <v>7.4667858540117635E-2</v>
      </c>
      <c r="CX10" s="74">
        <f t="shared" si="11"/>
        <v>7.4641105455724902E-2</v>
      </c>
      <c r="CY10" s="74">
        <f t="shared" si="11"/>
        <v>7.7152609520612314E-2</v>
      </c>
      <c r="CZ10" s="74">
        <f t="shared" si="11"/>
        <v>7.7143420310331154E-2</v>
      </c>
      <c r="DA10" s="74">
        <f t="shared" si="11"/>
        <v>7.7198588429742587E-2</v>
      </c>
      <c r="DB10" s="74">
        <f t="shared" si="11"/>
        <v>7.7207790788597019E-2</v>
      </c>
      <c r="DC10" s="74">
        <f t="shared" si="11"/>
        <v>7.1053150285831326E-2</v>
      </c>
      <c r="DD10" s="74">
        <f t="shared" si="11"/>
        <v>7.1053150285831326E-2</v>
      </c>
      <c r="DE10" s="74">
        <f t="shared" si="11"/>
        <v>6.7297556638275441E-2</v>
      </c>
      <c r="DF10" s="74">
        <f t="shared" si="11"/>
        <v>6.7233203249187912E-2</v>
      </c>
      <c r="DG10" s="74">
        <f t="shared" si="11"/>
        <v>6.6984992066536395E-2</v>
      </c>
      <c r="DH10" s="74">
        <f t="shared" si="11"/>
        <v>6.8256936940059951E-2</v>
      </c>
      <c r="DI10" s="74">
        <f t="shared" si="11"/>
        <v>6.8256936940059951E-2</v>
      </c>
      <c r="DJ10" s="74">
        <f t="shared" si="11"/>
        <v>6.8248818845752152E-2</v>
      </c>
      <c r="DK10" s="74">
        <f t="shared" si="11"/>
        <v>6.82163657697437E-2</v>
      </c>
      <c r="DL10" s="74">
        <f t="shared" si="11"/>
        <v>6.7990055551550244E-2</v>
      </c>
      <c r="DM10" s="74">
        <f t="shared" si="11"/>
        <v>7.0117563137967354E-2</v>
      </c>
      <c r="DN10" s="74">
        <f t="shared" si="11"/>
        <v>6.981929629725285E-2</v>
      </c>
      <c r="DO10" s="74">
        <f t="shared" si="11"/>
        <v>7.2453286752675247E-2</v>
      </c>
      <c r="DP10" s="74">
        <f t="shared" si="11"/>
        <v>7.1663956179679092E-2</v>
      </c>
      <c r="DQ10" s="74">
        <f t="shared" si="11"/>
        <v>7.158800521340293E-2</v>
      </c>
      <c r="DR10" s="74">
        <f t="shared" si="11"/>
        <v>7.136949287065246E-2</v>
      </c>
      <c r="DS10" s="74">
        <f t="shared" si="11"/>
        <v>0</v>
      </c>
      <c r="DT10" s="74">
        <f t="shared" si="11"/>
        <v>0</v>
      </c>
      <c r="DU10" s="74">
        <f t="shared" si="11"/>
        <v>0</v>
      </c>
      <c r="DV10" s="74">
        <f t="shared" si="11"/>
        <v>0</v>
      </c>
      <c r="DW10" s="74">
        <f t="shared" si="11"/>
        <v>0</v>
      </c>
      <c r="DX10" s="74">
        <f t="shared" si="11"/>
        <v>0</v>
      </c>
    </row>
    <row r="11" spans="1:128">
      <c r="A11" s="104" t="s">
        <v>400</v>
      </c>
      <c r="B11" s="104"/>
      <c r="C11" s="104"/>
      <c r="D11" s="104"/>
      <c r="E11" s="104"/>
      <c r="F11" s="104"/>
      <c r="G11" s="104"/>
      <c r="H11" s="105">
        <f>SUM(H9:H10)</f>
        <v>1.0441540266367719</v>
      </c>
      <c r="I11" s="105">
        <f t="shared" ref="I11:AG11" si="12">SUM(I9:I10)</f>
        <v>1.0282605861034873</v>
      </c>
      <c r="J11" s="105">
        <f t="shared" si="12"/>
        <v>1.0215352977887489</v>
      </c>
      <c r="K11" s="105">
        <f t="shared" si="12"/>
        <v>0.80111103531808103</v>
      </c>
      <c r="L11" s="105">
        <f t="shared" si="12"/>
        <v>0.8946584234308903</v>
      </c>
      <c r="M11" s="105">
        <f t="shared" si="12"/>
        <v>0.98389185706861371</v>
      </c>
      <c r="N11" s="105">
        <f t="shared" si="12"/>
        <v>0.9425134975053937</v>
      </c>
      <c r="O11" s="105">
        <f t="shared" si="12"/>
        <v>0.92616899435990885</v>
      </c>
      <c r="P11" s="105">
        <f t="shared" si="12"/>
        <v>0.99343333672088241</v>
      </c>
      <c r="Q11" s="105">
        <f t="shared" si="12"/>
        <v>1.0062768054702256</v>
      </c>
      <c r="R11" s="105">
        <f t="shared" si="12"/>
        <v>1.0366669632378878</v>
      </c>
      <c r="S11" s="105">
        <f t="shared" si="12"/>
        <v>1.068708201598908</v>
      </c>
      <c r="T11" s="105">
        <f t="shared" si="12"/>
        <v>1.071612743314666</v>
      </c>
      <c r="U11" s="105">
        <f t="shared" si="12"/>
        <v>1.03291810371374</v>
      </c>
      <c r="V11" s="105">
        <f t="shared" si="12"/>
        <v>1.2083774712077353</v>
      </c>
      <c r="W11" s="105">
        <f t="shared" si="12"/>
        <v>1.2024390820428488</v>
      </c>
      <c r="X11" s="105">
        <f t="shared" si="12"/>
        <v>1.1237634954379885</v>
      </c>
      <c r="Y11" s="105">
        <f t="shared" si="12"/>
        <v>1.0190297713991479</v>
      </c>
      <c r="Z11" s="105">
        <f t="shared" si="12"/>
        <v>1.0629429249585785</v>
      </c>
      <c r="AA11" s="105">
        <f t="shared" si="12"/>
        <v>1.1311726262080173</v>
      </c>
      <c r="AB11" s="105">
        <f t="shared" si="12"/>
        <v>1.1431139288313763</v>
      </c>
      <c r="AC11" s="105">
        <f t="shared" si="12"/>
        <v>1.4424959283190202</v>
      </c>
      <c r="AD11" s="105">
        <f t="shared" si="12"/>
        <v>1.1416242540859245</v>
      </c>
      <c r="AE11" s="105">
        <f t="shared" si="12"/>
        <v>1.1339155420635327</v>
      </c>
      <c r="AF11" s="105">
        <f t="shared" si="12"/>
        <v>1.0846343060851171</v>
      </c>
      <c r="AG11" s="105">
        <f t="shared" si="12"/>
        <v>1.298227445017442</v>
      </c>
      <c r="AH11" s="105">
        <f t="shared" ref="AH11:BL11" si="13">SUM(AH9:AH10)</f>
        <v>1.2900828705872451</v>
      </c>
      <c r="AI11" s="105">
        <f t="shared" si="13"/>
        <v>1.2815227492027064</v>
      </c>
      <c r="AJ11" s="105">
        <f t="shared" si="13"/>
        <v>1.2201779086856108</v>
      </c>
      <c r="AK11" s="105">
        <f t="shared" si="13"/>
        <v>1.1216005818938053</v>
      </c>
      <c r="AL11" s="105">
        <f t="shared" si="13"/>
        <v>0.98077754922310945</v>
      </c>
      <c r="AM11" s="105">
        <f t="shared" si="13"/>
        <v>0.96597473689402247</v>
      </c>
      <c r="AN11" s="105">
        <f t="shared" si="13"/>
        <v>1.0633033148741522</v>
      </c>
      <c r="AO11" s="105">
        <f t="shared" si="13"/>
        <v>1.0169706027160434</v>
      </c>
      <c r="AP11" s="105">
        <f t="shared" si="13"/>
        <v>0.95952303289055829</v>
      </c>
      <c r="AQ11" s="105">
        <f t="shared" si="13"/>
        <v>0.96970225962544787</v>
      </c>
      <c r="AR11" s="105">
        <f t="shared" si="13"/>
        <v>0.90514303582082578</v>
      </c>
      <c r="AS11" s="105">
        <f t="shared" si="13"/>
        <v>0.98105536486285405</v>
      </c>
      <c r="AT11" s="105">
        <f t="shared" si="13"/>
        <v>1.0228934592707235</v>
      </c>
      <c r="AU11" s="105">
        <f t="shared" si="13"/>
        <v>0.98077121524926747</v>
      </c>
      <c r="AV11" s="105">
        <f t="shared" si="13"/>
        <v>0.87841780020221294</v>
      </c>
      <c r="AW11" s="105">
        <f t="shared" si="13"/>
        <v>0.80955450724215727</v>
      </c>
      <c r="AX11" s="105">
        <f t="shared" si="13"/>
        <v>0.80960563137555153</v>
      </c>
      <c r="AY11" s="105">
        <f t="shared" si="13"/>
        <v>0.80982803193150765</v>
      </c>
      <c r="AZ11" s="105">
        <f t="shared" si="13"/>
        <v>0.81005184420974263</v>
      </c>
      <c r="BA11" s="105">
        <f t="shared" si="13"/>
        <v>0.81555808471965996</v>
      </c>
      <c r="BB11" s="105">
        <f t="shared" si="13"/>
        <v>0.81525100074868528</v>
      </c>
      <c r="BC11" s="105">
        <f t="shared" si="13"/>
        <v>0.81491186784262226</v>
      </c>
      <c r="BD11" s="105">
        <f t="shared" si="13"/>
        <v>0.81491186784262226</v>
      </c>
      <c r="BE11" s="105">
        <f t="shared" si="13"/>
        <v>0.81539739854194293</v>
      </c>
      <c r="BF11" s="105">
        <f t="shared" si="13"/>
        <v>0.85213100837081446</v>
      </c>
      <c r="BG11" s="105">
        <f t="shared" si="13"/>
        <v>0.84947984984080804</v>
      </c>
      <c r="BH11" s="105">
        <f t="shared" si="13"/>
        <v>0.87068211298207732</v>
      </c>
      <c r="BI11" s="105">
        <f t="shared" si="13"/>
        <v>0.87041600468700675</v>
      </c>
      <c r="BJ11" s="105">
        <f t="shared" si="13"/>
        <v>0.88137157054410642</v>
      </c>
      <c r="BK11" s="105">
        <f t="shared" si="13"/>
        <v>0.88134352391823356</v>
      </c>
      <c r="BL11" s="105">
        <f t="shared" si="13"/>
        <v>0.87873106439916115</v>
      </c>
      <c r="BM11" s="105">
        <f t="shared" ref="BM11:BU11" si="14">SUM(BM9:BM10)</f>
        <v>0.91457260030940901</v>
      </c>
      <c r="BN11" s="105">
        <f t="shared" si="14"/>
        <v>0.89063707844670337</v>
      </c>
      <c r="BO11" s="105">
        <f t="shared" si="14"/>
        <v>0.89066563770189111</v>
      </c>
      <c r="BP11" s="105">
        <f t="shared" si="14"/>
        <v>0.89066563770189111</v>
      </c>
      <c r="BQ11" s="105">
        <f t="shared" si="14"/>
        <v>0.89053253710973079</v>
      </c>
      <c r="BR11" s="105">
        <f t="shared" si="14"/>
        <v>0.85810756751684303</v>
      </c>
      <c r="BS11" s="105">
        <f t="shared" si="14"/>
        <v>0.85132981358215154</v>
      </c>
      <c r="BT11" s="105">
        <f t="shared" si="14"/>
        <v>0.87343978701461866</v>
      </c>
      <c r="BU11" s="105">
        <f t="shared" si="14"/>
        <v>0.87351889883005773</v>
      </c>
      <c r="BV11" s="105">
        <f t="shared" ref="BV11:CQ11" si="15">SUM(BV9:BV10)</f>
        <v>0.87162822854627209</v>
      </c>
      <c r="BW11" s="105">
        <f t="shared" si="15"/>
        <v>0.87503604240578259</v>
      </c>
      <c r="BX11" s="105">
        <f t="shared" si="15"/>
        <v>0.87494575801782559</v>
      </c>
      <c r="BY11" s="105">
        <f t="shared" si="15"/>
        <v>0.88515270604636831</v>
      </c>
      <c r="BZ11" s="105">
        <f t="shared" si="15"/>
        <v>0.88520808767495895</v>
      </c>
      <c r="CA11" s="105">
        <f t="shared" si="15"/>
        <v>0.88519885184379254</v>
      </c>
      <c r="CB11" s="105">
        <f t="shared" si="15"/>
        <v>0.88530056853685579</v>
      </c>
      <c r="CC11" s="105">
        <f t="shared" si="15"/>
        <v>0.88530056853685579</v>
      </c>
      <c r="CD11" s="105">
        <f t="shared" si="15"/>
        <v>0.88871758388572997</v>
      </c>
      <c r="CE11" s="105">
        <f t="shared" si="15"/>
        <v>0.88866478830236717</v>
      </c>
      <c r="CF11" s="105">
        <f t="shared" si="15"/>
        <v>0.88822778426440385</v>
      </c>
      <c r="CG11" s="105">
        <f t="shared" si="15"/>
        <v>0.89876602240660486</v>
      </c>
      <c r="CH11" s="105">
        <f t="shared" si="15"/>
        <v>0.89892224913688901</v>
      </c>
      <c r="CI11" s="105">
        <f t="shared" si="15"/>
        <v>0.89875736291671204</v>
      </c>
      <c r="CJ11" s="105">
        <f t="shared" si="15"/>
        <v>0.89857599212248629</v>
      </c>
      <c r="CK11" s="105">
        <f t="shared" si="15"/>
        <v>0.91535121808547282</v>
      </c>
      <c r="CL11" s="105">
        <f t="shared" si="15"/>
        <v>0.94113985823389223</v>
      </c>
      <c r="CM11" s="105">
        <f t="shared" si="15"/>
        <v>0.91541413702647778</v>
      </c>
      <c r="CN11" s="105">
        <f t="shared" si="15"/>
        <v>0.91132424243533994</v>
      </c>
      <c r="CO11" s="105">
        <f t="shared" si="15"/>
        <v>0.91132424243533994</v>
      </c>
      <c r="CP11" s="105">
        <f t="shared" si="15"/>
        <v>0.91132424243533994</v>
      </c>
      <c r="CQ11" s="105">
        <f t="shared" si="15"/>
        <v>0.8995997191948335</v>
      </c>
      <c r="CR11" s="105">
        <f>SUM(CR9:CR10)</f>
        <v>0.90273850872064543</v>
      </c>
      <c r="CS11" s="105">
        <f>SUM(CS9:CS10)</f>
        <v>0.90265039618521148</v>
      </c>
      <c r="CT11" s="105">
        <f>SUM(CT9:CT10)</f>
        <v>0.88503272708640224</v>
      </c>
      <c r="CU11" s="105">
        <f>SUM(CU9:CU10)</f>
        <v>0.88501445627929187</v>
      </c>
      <c r="CV11" s="105">
        <f t="shared" ref="CV11:DX11" si="16">SUM(CV9:CV10)</f>
        <v>0.8849414605232957</v>
      </c>
      <c r="CW11" s="105">
        <f t="shared" si="16"/>
        <v>0.88344737215100611</v>
      </c>
      <c r="CX11" s="105">
        <f t="shared" si="16"/>
        <v>0.90928103740128119</v>
      </c>
      <c r="CY11" s="105">
        <f t="shared" si="16"/>
        <v>0.91179254146616862</v>
      </c>
      <c r="CZ11" s="105">
        <f t="shared" si="16"/>
        <v>0.91178335225588747</v>
      </c>
      <c r="DA11" s="105">
        <f t="shared" si="16"/>
        <v>0.91183852037529889</v>
      </c>
      <c r="DB11" s="105">
        <f t="shared" si="16"/>
        <v>0.91193589327058255</v>
      </c>
      <c r="DC11" s="105">
        <f t="shared" si="16"/>
        <v>0.92204871673899369</v>
      </c>
      <c r="DD11" s="105">
        <f t="shared" si="16"/>
        <v>0.92204871673899369</v>
      </c>
      <c r="DE11" s="105">
        <f t="shared" si="16"/>
        <v>0.91829312309143774</v>
      </c>
      <c r="DF11" s="105">
        <f t="shared" si="16"/>
        <v>0.91822876970235023</v>
      </c>
      <c r="DG11" s="105">
        <f t="shared" si="16"/>
        <v>0.92696513618182852</v>
      </c>
      <c r="DH11" s="105">
        <f t="shared" si="16"/>
        <v>0.92823708105535208</v>
      </c>
      <c r="DI11" s="105">
        <f t="shared" si="16"/>
        <v>0.93324516752452735</v>
      </c>
      <c r="DJ11" s="105">
        <f t="shared" si="16"/>
        <v>0.93323704943021957</v>
      </c>
      <c r="DK11" s="105">
        <f t="shared" si="16"/>
        <v>0.93320459635421105</v>
      </c>
      <c r="DL11" s="105">
        <f t="shared" si="16"/>
        <v>0.9324757140783716</v>
      </c>
      <c r="DM11" s="105">
        <f t="shared" si="16"/>
        <v>0.93460322166478871</v>
      </c>
      <c r="DN11" s="105">
        <f t="shared" si="16"/>
        <v>0.9110896525822807</v>
      </c>
      <c r="DO11" s="105">
        <f t="shared" si="16"/>
        <v>0.91372364303770315</v>
      </c>
      <c r="DP11" s="105">
        <f t="shared" si="16"/>
        <v>0.91293431246470702</v>
      </c>
      <c r="DQ11" s="105">
        <f t="shared" si="16"/>
        <v>0.9128583614984308</v>
      </c>
      <c r="DR11" s="105">
        <f t="shared" si="16"/>
        <v>0.91343338398354257</v>
      </c>
      <c r="DS11" s="105">
        <f t="shared" si="16"/>
        <v>0</v>
      </c>
      <c r="DT11" s="105">
        <f t="shared" si="16"/>
        <v>0</v>
      </c>
      <c r="DU11" s="105">
        <f t="shared" si="16"/>
        <v>0</v>
      </c>
      <c r="DV11" s="105">
        <f t="shared" si="16"/>
        <v>0</v>
      </c>
      <c r="DW11" s="105">
        <f t="shared" si="16"/>
        <v>0</v>
      </c>
      <c r="DX11" s="105">
        <f t="shared" si="16"/>
        <v>0</v>
      </c>
    </row>
    <row r="12" spans="1:128">
      <c r="A12" s="72" t="s">
        <v>565</v>
      </c>
      <c r="G12" s="60" t="s">
        <v>429</v>
      </c>
      <c r="H12" s="74">
        <v>0.82</v>
      </c>
      <c r="I12" s="70"/>
      <c r="J12" s="70"/>
      <c r="K12" s="70"/>
      <c r="L12" s="70"/>
      <c r="M12" s="74">
        <v>0.8</v>
      </c>
      <c r="N12" s="70"/>
      <c r="O12" s="70"/>
      <c r="P12" s="70"/>
      <c r="Q12" s="70"/>
      <c r="R12" s="70"/>
      <c r="S12" s="74">
        <v>0.98</v>
      </c>
      <c r="T12" s="70"/>
      <c r="U12" s="70"/>
      <c r="V12" s="60">
        <v>1.42</v>
      </c>
      <c r="X12" s="60">
        <v>1.55</v>
      </c>
      <c r="Z12" s="60">
        <v>1.22</v>
      </c>
      <c r="AE12" s="60">
        <v>1.35</v>
      </c>
      <c r="AH12" s="60">
        <v>1.3</v>
      </c>
      <c r="AS12" s="60">
        <v>0.99</v>
      </c>
      <c r="BB12" s="60">
        <f>0.97</f>
        <v>0.97</v>
      </c>
      <c r="BJ12" s="60">
        <f>94.5/83</f>
        <v>1.1385542168674698</v>
      </c>
      <c r="BN12" s="60">
        <f>93/83</f>
        <v>1.1204819277108433</v>
      </c>
      <c r="BY12" s="60">
        <v>1.07</v>
      </c>
      <c r="CJ12" s="60">
        <v>1.2</v>
      </c>
      <c r="CY12" s="60">
        <v>1.3</v>
      </c>
      <c r="DC12" s="60">
        <v>1.18</v>
      </c>
    </row>
    <row r="13" spans="1:128">
      <c r="G13" s="59" t="s">
        <v>406</v>
      </c>
      <c r="H13" s="65">
        <f>H12-H11</f>
        <v>-0.22415402663677197</v>
      </c>
      <c r="M13" s="65">
        <f>M12-M11</f>
        <v>-0.18389185706861366</v>
      </c>
      <c r="S13" s="65">
        <f>S12-S11</f>
        <v>-8.8708201598908021E-2</v>
      </c>
      <c r="V13" s="65">
        <f>V12-V11</f>
        <v>0.21162252879226462</v>
      </c>
      <c r="X13" s="65">
        <f>X12-X11</f>
        <v>0.42623650456201156</v>
      </c>
      <c r="Z13" s="65">
        <f>Z12-Z11</f>
        <v>0.15705707504142152</v>
      </c>
      <c r="AE13" s="65">
        <f>AE12-AE11</f>
        <v>0.21608445793646736</v>
      </c>
      <c r="AH13" s="65">
        <f>AH12-AH11</f>
        <v>9.9171294127549103E-3</v>
      </c>
      <c r="AS13" s="65">
        <f>AS12-AS11</f>
        <v>8.9446351371459398E-3</v>
      </c>
      <c r="BB13" s="65">
        <f>BB12-BB11</f>
        <v>0.15474899925131469</v>
      </c>
      <c r="BJ13" s="65">
        <f>BJ12-BJ11</f>
        <v>0.25718264632336341</v>
      </c>
      <c r="BN13" s="65">
        <f>BN12-BN11</f>
        <v>0.22984484926413995</v>
      </c>
      <c r="BY13" s="65">
        <f>BY12-BY11</f>
        <v>0.18484729395363175</v>
      </c>
      <c r="CJ13" s="65">
        <f>CJ12-CJ11</f>
        <v>0.30142400787751367</v>
      </c>
      <c r="CY13" s="65">
        <f>CY12-CY11</f>
        <v>0.38820745853383143</v>
      </c>
      <c r="DC13" s="65">
        <f>DC12-DC11</f>
        <v>0.25795128326100625</v>
      </c>
    </row>
    <row r="14" spans="1:128" ht="14">
      <c r="G14" s="8"/>
    </row>
    <row r="15" spans="1:128" ht="14">
      <c r="G15" s="8"/>
    </row>
    <row r="16" spans="1:128" s="161" customFormat="1" ht="13">
      <c r="A16" s="166" t="s">
        <v>562</v>
      </c>
      <c r="G16" s="161" t="s">
        <v>407</v>
      </c>
      <c r="H16" s="163">
        <f>0.01+H11</f>
        <v>1.0541540266367719</v>
      </c>
      <c r="I16" s="163">
        <f t="shared" ref="I16:AS16" si="17">0.01+I11</f>
        <v>1.0382605861034873</v>
      </c>
      <c r="J16" s="163">
        <f t="shared" si="17"/>
        <v>1.0315352977887489</v>
      </c>
      <c r="K16" s="163">
        <f t="shared" si="17"/>
        <v>0.81111103531808104</v>
      </c>
      <c r="L16" s="163">
        <f t="shared" si="17"/>
        <v>0.90465842343089031</v>
      </c>
      <c r="M16" s="163">
        <f t="shared" si="17"/>
        <v>0.99389185706861372</v>
      </c>
      <c r="N16" s="163">
        <f t="shared" si="17"/>
        <v>0.95251349750539371</v>
      </c>
      <c r="O16" s="163">
        <f t="shared" si="17"/>
        <v>0.93616899435990886</v>
      </c>
      <c r="P16" s="163">
        <f t="shared" si="17"/>
        <v>1.0034333367208823</v>
      </c>
      <c r="Q16" s="163">
        <f t="shared" si="17"/>
        <v>1.0162768054702256</v>
      </c>
      <c r="R16" s="163">
        <f t="shared" si="17"/>
        <v>1.0466669632378878</v>
      </c>
      <c r="S16" s="163">
        <f t="shared" si="17"/>
        <v>1.078708201598908</v>
      </c>
      <c r="T16" s="163">
        <f t="shared" si="17"/>
        <v>1.0816127433146661</v>
      </c>
      <c r="U16" s="163">
        <f t="shared" si="17"/>
        <v>1.0429181037137401</v>
      </c>
      <c r="V16" s="163">
        <f t="shared" si="17"/>
        <v>1.2183774712077353</v>
      </c>
      <c r="W16" s="163">
        <f t="shared" si="17"/>
        <v>1.2124390820428488</v>
      </c>
      <c r="X16" s="163">
        <f t="shared" si="17"/>
        <v>1.1337634954379885</v>
      </c>
      <c r="Y16" s="163">
        <f t="shared" si="17"/>
        <v>1.0290297713991479</v>
      </c>
      <c r="Z16" s="163">
        <f t="shared" si="17"/>
        <v>1.0729429249585785</v>
      </c>
      <c r="AA16" s="163">
        <f t="shared" si="17"/>
        <v>1.1411726262080173</v>
      </c>
      <c r="AB16" s="163">
        <f t="shared" si="17"/>
        <v>1.1531139288313763</v>
      </c>
      <c r="AC16" s="163">
        <f t="shared" si="17"/>
        <v>1.4524959283190202</v>
      </c>
      <c r="AD16" s="163">
        <f t="shared" si="17"/>
        <v>1.1516242540859245</v>
      </c>
      <c r="AE16" s="163">
        <f t="shared" si="17"/>
        <v>1.1439155420635327</v>
      </c>
      <c r="AF16" s="163">
        <f t="shared" si="17"/>
        <v>1.0946343060851171</v>
      </c>
      <c r="AG16" s="163">
        <f t="shared" si="17"/>
        <v>1.308227445017442</v>
      </c>
      <c r="AH16" s="163">
        <f t="shared" si="17"/>
        <v>1.3000828705872451</v>
      </c>
      <c r="AI16" s="163">
        <f t="shared" si="17"/>
        <v>1.2915227492027064</v>
      </c>
      <c r="AJ16" s="163">
        <f t="shared" si="17"/>
        <v>1.2301779086856108</v>
      </c>
      <c r="AK16" s="163">
        <f t="shared" si="17"/>
        <v>1.1316005818938053</v>
      </c>
      <c r="AL16" s="163">
        <f t="shared" si="17"/>
        <v>0.99077754922310945</v>
      </c>
      <c r="AM16" s="163">
        <f t="shared" si="17"/>
        <v>0.97597473689402248</v>
      </c>
      <c r="AN16" s="163">
        <f t="shared" si="17"/>
        <v>1.0733033148741522</v>
      </c>
      <c r="AO16" s="163">
        <f t="shared" si="17"/>
        <v>1.0269706027160435</v>
      </c>
      <c r="AP16" s="163">
        <f t="shared" si="17"/>
        <v>0.9695230328905583</v>
      </c>
      <c r="AQ16" s="163">
        <f t="shared" si="17"/>
        <v>0.97970225962544788</v>
      </c>
      <c r="AR16" s="163">
        <f t="shared" si="17"/>
        <v>0.91514303582082579</v>
      </c>
      <c r="AS16" s="163">
        <f t="shared" si="17"/>
        <v>0.99105536486285406</v>
      </c>
      <c r="AT16" s="163">
        <f>0.01+AT11</f>
        <v>1.0328934592707235</v>
      </c>
      <c r="AU16" s="163">
        <f>0.01+AU11</f>
        <v>0.99077121524926748</v>
      </c>
      <c r="AV16" s="163">
        <f t="shared" ref="AV16:BA16" si="18">0.01+AV11</f>
        <v>0.88841780020221295</v>
      </c>
      <c r="AW16" s="163">
        <f t="shared" si="18"/>
        <v>0.81955450724215728</v>
      </c>
      <c r="AX16" s="163">
        <f t="shared" si="18"/>
        <v>0.81960563137555154</v>
      </c>
      <c r="AY16" s="163">
        <f t="shared" si="18"/>
        <v>0.81982803193150766</v>
      </c>
      <c r="AZ16" s="163">
        <f t="shared" si="18"/>
        <v>0.82005184420974264</v>
      </c>
      <c r="BA16" s="163">
        <f t="shared" si="18"/>
        <v>0.82555808471965997</v>
      </c>
      <c r="BB16" s="163">
        <f t="shared" ref="BB16:BL16" si="19">0.01+BB11</f>
        <v>0.82525100074868529</v>
      </c>
      <c r="BC16" s="163">
        <f t="shared" si="19"/>
        <v>0.82491186784262227</v>
      </c>
      <c r="BD16" s="163">
        <f t="shared" si="19"/>
        <v>0.82491186784262227</v>
      </c>
      <c r="BE16" s="163">
        <f t="shared" si="19"/>
        <v>0.82539739854194294</v>
      </c>
      <c r="BF16" s="163">
        <f t="shared" si="19"/>
        <v>0.86213100837081447</v>
      </c>
      <c r="BG16" s="163">
        <f t="shared" si="19"/>
        <v>0.85947984984080805</v>
      </c>
      <c r="BH16" s="163">
        <f t="shared" si="19"/>
        <v>0.88068211298207733</v>
      </c>
      <c r="BI16" s="163">
        <f t="shared" si="19"/>
        <v>0.88041600468700676</v>
      </c>
      <c r="BJ16" s="163">
        <f t="shared" si="19"/>
        <v>0.89137157054410643</v>
      </c>
      <c r="BK16" s="163">
        <f t="shared" si="19"/>
        <v>0.89134352391823357</v>
      </c>
      <c r="BL16" s="163">
        <f t="shared" si="19"/>
        <v>0.88873106439916116</v>
      </c>
      <c r="BM16" s="163">
        <f t="shared" ref="BM16:BU16" si="20">0.01+BM11</f>
        <v>0.92457260030940902</v>
      </c>
      <c r="BN16" s="163">
        <f t="shared" si="20"/>
        <v>0.90063707844670338</v>
      </c>
      <c r="BO16" s="163">
        <f t="shared" si="20"/>
        <v>0.90066563770189112</v>
      </c>
      <c r="BP16" s="163">
        <f t="shared" si="20"/>
        <v>0.90066563770189112</v>
      </c>
      <c r="BQ16" s="163">
        <f t="shared" si="20"/>
        <v>0.9005325371097308</v>
      </c>
      <c r="BR16" s="163">
        <f t="shared" si="20"/>
        <v>0.86810756751684304</v>
      </c>
      <c r="BS16" s="163">
        <f t="shared" si="20"/>
        <v>0.86132981358215155</v>
      </c>
      <c r="BT16" s="163">
        <f t="shared" si="20"/>
        <v>0.88343978701461867</v>
      </c>
      <c r="BU16" s="163">
        <f t="shared" si="20"/>
        <v>0.88351889883005774</v>
      </c>
      <c r="BV16" s="163">
        <f t="shared" ref="BV16:CQ16" si="21">0.01+BV11</f>
        <v>0.8816282285462721</v>
      </c>
      <c r="BW16" s="163">
        <f t="shared" si="21"/>
        <v>0.8850360424057826</v>
      </c>
      <c r="BX16" s="163">
        <f t="shared" si="21"/>
        <v>0.8849457580178256</v>
      </c>
      <c r="BY16" s="163">
        <f t="shared" si="21"/>
        <v>0.89515270604636832</v>
      </c>
      <c r="BZ16" s="163">
        <f t="shared" si="21"/>
        <v>0.89520808767495896</v>
      </c>
      <c r="CA16" s="163">
        <f t="shared" si="21"/>
        <v>0.89519885184379255</v>
      </c>
      <c r="CB16" s="163">
        <f t="shared" si="21"/>
        <v>0.8953005685368558</v>
      </c>
      <c r="CC16" s="163">
        <f t="shared" si="21"/>
        <v>0.8953005685368558</v>
      </c>
      <c r="CD16" s="163">
        <f t="shared" si="21"/>
        <v>0.89871758388572998</v>
      </c>
      <c r="CE16" s="163">
        <f t="shared" si="21"/>
        <v>0.89866478830236718</v>
      </c>
      <c r="CF16" s="163">
        <f t="shared" si="21"/>
        <v>0.89822778426440386</v>
      </c>
      <c r="CG16" s="163">
        <f t="shared" si="21"/>
        <v>0.90876602240660487</v>
      </c>
      <c r="CH16" s="163">
        <f t="shared" si="21"/>
        <v>0.90892224913688902</v>
      </c>
      <c r="CI16" s="163">
        <f t="shared" si="21"/>
        <v>0.90875736291671205</v>
      </c>
      <c r="CJ16" s="163">
        <f t="shared" si="21"/>
        <v>0.9085759921224863</v>
      </c>
      <c r="CK16" s="163">
        <f t="shared" si="21"/>
        <v>0.92535121808547283</v>
      </c>
      <c r="CL16" s="163">
        <f t="shared" si="21"/>
        <v>0.95113985823389224</v>
      </c>
      <c r="CM16" s="163">
        <f t="shared" si="21"/>
        <v>0.92541413702647779</v>
      </c>
      <c r="CN16" s="163">
        <f t="shared" si="21"/>
        <v>0.92132424243533995</v>
      </c>
      <c r="CO16" s="163">
        <f t="shared" si="21"/>
        <v>0.92132424243533995</v>
      </c>
      <c r="CP16" s="163">
        <f t="shared" si="21"/>
        <v>0.92132424243533995</v>
      </c>
      <c r="CQ16" s="163">
        <f t="shared" si="21"/>
        <v>0.90959971919483351</v>
      </c>
      <c r="CR16" s="163">
        <f>0.01+CR11</f>
        <v>0.91273850872064544</v>
      </c>
      <c r="CS16" s="163">
        <f>0.01+CS11</f>
        <v>0.91265039618521149</v>
      </c>
      <c r="CT16" s="163">
        <f>0.01+CT11</f>
        <v>0.89503272708640225</v>
      </c>
      <c r="CU16" s="163">
        <f>0.01+CU11</f>
        <v>0.89501445627929188</v>
      </c>
      <c r="CV16" s="163">
        <f t="shared" ref="CV16:DX16" si="22">0.01+CV11</f>
        <v>0.89494146052329571</v>
      </c>
      <c r="CW16" s="163">
        <f t="shared" si="22"/>
        <v>0.89344737215100611</v>
      </c>
      <c r="CX16" s="163">
        <f t="shared" si="22"/>
        <v>0.9192810374012812</v>
      </c>
      <c r="CY16" s="163">
        <f t="shared" si="22"/>
        <v>0.92179254146616862</v>
      </c>
      <c r="CZ16" s="163">
        <f t="shared" si="22"/>
        <v>0.92178335225588748</v>
      </c>
      <c r="DA16" s="163">
        <f t="shared" si="22"/>
        <v>0.9218385203752989</v>
      </c>
      <c r="DB16" s="163">
        <f t="shared" si="22"/>
        <v>0.92193589327058256</v>
      </c>
      <c r="DC16" s="163">
        <f t="shared" si="22"/>
        <v>0.9320487167389937</v>
      </c>
      <c r="DD16" s="163">
        <f t="shared" si="22"/>
        <v>0.9320487167389937</v>
      </c>
      <c r="DE16" s="163">
        <f t="shared" si="22"/>
        <v>0.92829312309143774</v>
      </c>
      <c r="DF16" s="163">
        <f t="shared" si="22"/>
        <v>0.92822876970235024</v>
      </c>
      <c r="DG16" s="163">
        <f t="shared" si="22"/>
        <v>0.93696513618182853</v>
      </c>
      <c r="DH16" s="163">
        <f t="shared" si="22"/>
        <v>0.93823708105535208</v>
      </c>
      <c r="DI16" s="163">
        <f t="shared" si="22"/>
        <v>0.94324516752452736</v>
      </c>
      <c r="DJ16" s="163">
        <f t="shared" si="22"/>
        <v>0.94323704943021958</v>
      </c>
      <c r="DK16" s="163">
        <f t="shared" si="22"/>
        <v>0.94320459635421106</v>
      </c>
      <c r="DL16" s="163">
        <f t="shared" si="22"/>
        <v>0.94247571407837161</v>
      </c>
      <c r="DM16" s="163">
        <f t="shared" si="22"/>
        <v>0.94460322166478872</v>
      </c>
      <c r="DN16" s="163">
        <f t="shared" si="22"/>
        <v>0.9210896525822807</v>
      </c>
      <c r="DO16" s="163">
        <f t="shared" si="22"/>
        <v>0.92372364303770316</v>
      </c>
      <c r="DP16" s="163">
        <f t="shared" si="22"/>
        <v>0.92293431246470703</v>
      </c>
      <c r="DQ16" s="163">
        <f t="shared" si="22"/>
        <v>0.92285836149843081</v>
      </c>
      <c r="DR16" s="163">
        <f t="shared" si="22"/>
        <v>0.92343338398354258</v>
      </c>
      <c r="DS16" s="163">
        <f t="shared" si="22"/>
        <v>0.01</v>
      </c>
      <c r="DT16" s="163">
        <f t="shared" si="22"/>
        <v>0.01</v>
      </c>
      <c r="DU16" s="163">
        <f t="shared" si="22"/>
        <v>0.01</v>
      </c>
      <c r="DV16" s="163">
        <f t="shared" si="22"/>
        <v>0.01</v>
      </c>
      <c r="DW16" s="163">
        <f t="shared" si="22"/>
        <v>0.01</v>
      </c>
      <c r="DX16" s="163">
        <f t="shared" si="22"/>
        <v>0.01</v>
      </c>
    </row>
    <row r="19" spans="1:1" ht="104">
      <c r="A19" s="100" t="s">
        <v>566</v>
      </c>
    </row>
  </sheetData>
  <mergeCells count="1">
    <mergeCell ref="A9:A10"/>
  </mergeCells>
  <phoneticPr fontId="52" type="noConversion"/>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dimension ref="A1:EN16"/>
  <sheetViews>
    <sheetView zoomScale="80" zoomScaleNormal="80" workbookViewId="0">
      <pane xSplit="9" ySplit="5" topLeftCell="BJ6" activePane="bottomRight" state="frozen"/>
      <selection pane="topRight" activeCell="J1" sqref="J1"/>
      <selection pane="bottomLeft" activeCell="A6" sqref="A6"/>
      <selection pane="bottomRight" activeCell="BJ16" sqref="BJ16"/>
    </sheetView>
  </sheetViews>
  <sheetFormatPr baseColWidth="10" defaultColWidth="8.6640625" defaultRowHeight="14"/>
  <cols>
    <col min="1" max="1" width="15" style="8" bestFit="1" customWidth="1"/>
    <col min="2" max="2" width="12.5" style="8" bestFit="1" customWidth="1"/>
    <col min="3" max="3" width="6.5" style="8" bestFit="1" customWidth="1"/>
    <col min="4" max="4" width="14.5" style="8" bestFit="1" customWidth="1"/>
    <col min="5" max="5" width="14" style="8" bestFit="1" customWidth="1"/>
    <col min="6" max="6" width="7" style="8" bestFit="1" customWidth="1"/>
    <col min="7" max="7" width="26.1640625" style="8" bestFit="1" customWidth="1"/>
    <col min="8" max="105" width="10.5" style="8" bestFit="1" customWidth="1"/>
    <col min="106" max="16384" width="8.6640625" style="8"/>
  </cols>
  <sheetData>
    <row r="1" spans="1:144">
      <c r="A1" s="24" t="s">
        <v>377</v>
      </c>
      <c r="B1" s="24" t="s">
        <v>378</v>
      </c>
      <c r="C1" s="24" t="s">
        <v>379</v>
      </c>
      <c r="D1" s="24" t="s">
        <v>380</v>
      </c>
      <c r="E1" s="24" t="s">
        <v>381</v>
      </c>
      <c r="F1" s="24" t="s">
        <v>33</v>
      </c>
      <c r="H1" s="25">
        <v>6</v>
      </c>
      <c r="I1" s="25">
        <v>7</v>
      </c>
      <c r="J1" s="25">
        <v>8</v>
      </c>
      <c r="K1" s="25">
        <v>9</v>
      </c>
      <c r="L1" s="25">
        <v>10</v>
      </c>
      <c r="M1" s="25">
        <v>11</v>
      </c>
      <c r="N1" s="25">
        <v>12</v>
      </c>
      <c r="O1" s="25">
        <v>13</v>
      </c>
      <c r="P1" s="25">
        <v>14</v>
      </c>
      <c r="Q1" s="25">
        <v>15</v>
      </c>
      <c r="R1" s="25">
        <v>16</v>
      </c>
      <c r="S1" s="25">
        <v>17</v>
      </c>
      <c r="T1" s="25">
        <v>18</v>
      </c>
      <c r="U1" s="25">
        <v>19</v>
      </c>
      <c r="V1" s="25">
        <v>20</v>
      </c>
      <c r="W1" s="25">
        <v>21</v>
      </c>
      <c r="X1" s="25">
        <v>22</v>
      </c>
      <c r="Y1" s="25">
        <v>23</v>
      </c>
      <c r="Z1" s="25">
        <v>24</v>
      </c>
      <c r="AA1" s="25">
        <v>25</v>
      </c>
      <c r="AB1" s="25">
        <v>26</v>
      </c>
      <c r="AC1" s="25">
        <v>27</v>
      </c>
      <c r="AD1" s="25">
        <v>28</v>
      </c>
      <c r="AE1" s="25">
        <v>29</v>
      </c>
      <c r="AF1" s="25">
        <v>30</v>
      </c>
      <c r="AG1" s="25">
        <v>31</v>
      </c>
      <c r="AH1" s="25">
        <v>32</v>
      </c>
      <c r="AI1" s="25">
        <v>33</v>
      </c>
      <c r="AJ1" s="25">
        <v>34</v>
      </c>
      <c r="AK1" s="25">
        <v>35</v>
      </c>
      <c r="AL1" s="25">
        <v>36</v>
      </c>
      <c r="AM1" s="25">
        <v>37</v>
      </c>
      <c r="AN1" s="25">
        <v>38</v>
      </c>
      <c r="AO1" s="25">
        <v>39</v>
      </c>
      <c r="AP1" s="25">
        <v>40</v>
      </c>
      <c r="AQ1" s="25">
        <v>41</v>
      </c>
      <c r="AR1" s="25">
        <v>42</v>
      </c>
      <c r="AS1" s="25">
        <v>43</v>
      </c>
      <c r="AT1" s="25">
        <v>44</v>
      </c>
      <c r="AU1" s="25">
        <v>45</v>
      </c>
      <c r="AV1" s="25">
        <v>46</v>
      </c>
      <c r="AW1" s="25">
        <v>47</v>
      </c>
      <c r="AX1" s="25">
        <v>48</v>
      </c>
      <c r="AY1" s="25">
        <v>49</v>
      </c>
      <c r="AZ1" s="25">
        <v>50</v>
      </c>
      <c r="BA1" s="25">
        <v>51</v>
      </c>
      <c r="BB1" s="25">
        <v>52</v>
      </c>
      <c r="BC1" s="25">
        <v>53</v>
      </c>
      <c r="BD1" s="25">
        <v>54</v>
      </c>
      <c r="BE1" s="25">
        <v>55</v>
      </c>
      <c r="BF1" s="25">
        <v>56</v>
      </c>
      <c r="BG1" s="25">
        <v>57</v>
      </c>
      <c r="BH1" s="25">
        <v>58</v>
      </c>
      <c r="BI1" s="25">
        <v>59</v>
      </c>
      <c r="BJ1" s="25">
        <v>60</v>
      </c>
      <c r="BK1" s="25">
        <v>61</v>
      </c>
      <c r="BL1" s="25">
        <v>62</v>
      </c>
      <c r="BM1" s="25">
        <v>63</v>
      </c>
      <c r="BN1" s="25">
        <v>64</v>
      </c>
      <c r="BO1" s="25">
        <v>65</v>
      </c>
      <c r="BP1" s="25">
        <v>66</v>
      </c>
      <c r="BQ1" s="25">
        <v>67</v>
      </c>
      <c r="BR1" s="25">
        <v>68</v>
      </c>
      <c r="BS1" s="25">
        <v>69</v>
      </c>
      <c r="BT1" s="25">
        <v>70</v>
      </c>
      <c r="BU1" s="25">
        <v>71</v>
      </c>
      <c r="BV1" s="25">
        <v>72</v>
      </c>
      <c r="BW1" s="25">
        <v>73</v>
      </c>
      <c r="BX1" s="25">
        <v>74</v>
      </c>
      <c r="BY1" s="25">
        <v>75</v>
      </c>
      <c r="BZ1" s="25">
        <v>76</v>
      </c>
      <c r="CA1" s="25">
        <v>77</v>
      </c>
      <c r="CB1" s="25">
        <v>78</v>
      </c>
      <c r="CC1" s="25">
        <v>79</v>
      </c>
      <c r="CD1" s="25">
        <v>80</v>
      </c>
      <c r="CE1" s="25">
        <v>81</v>
      </c>
      <c r="CF1" s="25">
        <v>82</v>
      </c>
      <c r="CG1" s="25">
        <v>83</v>
      </c>
      <c r="CH1" s="25">
        <v>84</v>
      </c>
      <c r="CI1" s="25">
        <v>85</v>
      </c>
      <c r="CJ1" s="25">
        <v>86</v>
      </c>
      <c r="CK1" s="25">
        <v>87</v>
      </c>
      <c r="CL1" s="25">
        <v>88</v>
      </c>
      <c r="CM1" s="25">
        <v>89</v>
      </c>
      <c r="CN1" s="25">
        <v>90</v>
      </c>
      <c r="CO1" s="25">
        <v>91</v>
      </c>
      <c r="CP1" s="25">
        <v>92</v>
      </c>
      <c r="CQ1" s="25">
        <v>93</v>
      </c>
      <c r="CR1" s="25">
        <v>94</v>
      </c>
      <c r="CS1" s="25">
        <v>95</v>
      </c>
      <c r="CT1" s="25">
        <v>96</v>
      </c>
      <c r="CU1" s="25">
        <v>97</v>
      </c>
      <c r="CV1" s="25">
        <v>98</v>
      </c>
      <c r="CW1" s="25">
        <v>99</v>
      </c>
      <c r="CX1" s="25">
        <v>100</v>
      </c>
      <c r="CY1" s="25">
        <v>101</v>
      </c>
      <c r="CZ1" s="25">
        <v>102</v>
      </c>
      <c r="DA1" s="25">
        <v>103</v>
      </c>
      <c r="DB1" s="25">
        <v>104</v>
      </c>
      <c r="DC1" s="25">
        <v>105</v>
      </c>
      <c r="DD1" s="25">
        <v>106</v>
      </c>
      <c r="DE1" s="25">
        <v>107</v>
      </c>
      <c r="DF1" s="25">
        <v>108</v>
      </c>
      <c r="DG1" s="25">
        <v>109</v>
      </c>
      <c r="DH1" s="25">
        <v>110</v>
      </c>
      <c r="DI1" s="25">
        <v>111</v>
      </c>
      <c r="DJ1" s="25">
        <v>112</v>
      </c>
      <c r="DK1" s="25">
        <v>113</v>
      </c>
      <c r="DL1" s="25">
        <v>114</v>
      </c>
      <c r="DM1" s="25">
        <v>115</v>
      </c>
      <c r="DN1" s="25">
        <v>116</v>
      </c>
      <c r="DO1" s="25">
        <v>117</v>
      </c>
      <c r="DP1" s="25">
        <v>118</v>
      </c>
      <c r="DQ1" s="25">
        <v>119</v>
      </c>
      <c r="DR1" s="25">
        <v>120</v>
      </c>
      <c r="DS1" s="25">
        <v>121</v>
      </c>
      <c r="DT1" s="25">
        <v>122</v>
      </c>
      <c r="DU1" s="25">
        <v>123</v>
      </c>
      <c r="DV1" s="25">
        <v>124</v>
      </c>
      <c r="DW1" s="25">
        <v>125</v>
      </c>
      <c r="DX1" s="25">
        <v>126</v>
      </c>
      <c r="DY1" s="25">
        <v>127</v>
      </c>
      <c r="DZ1" s="25">
        <v>128</v>
      </c>
      <c r="EA1" s="25">
        <v>129</v>
      </c>
      <c r="EB1" s="25">
        <v>130</v>
      </c>
      <c r="EC1" s="25">
        <v>131</v>
      </c>
      <c r="ED1" s="25">
        <v>132</v>
      </c>
      <c r="EE1" s="25">
        <v>133</v>
      </c>
      <c r="EF1" s="25">
        <v>134</v>
      </c>
      <c r="EG1" s="25">
        <v>135</v>
      </c>
      <c r="EH1" s="25">
        <v>136</v>
      </c>
      <c r="EI1" s="25">
        <v>137</v>
      </c>
      <c r="EJ1" s="25">
        <v>138</v>
      </c>
      <c r="EK1" s="25">
        <v>139</v>
      </c>
      <c r="EL1" s="25">
        <v>140</v>
      </c>
      <c r="EM1" s="25">
        <v>141</v>
      </c>
      <c r="EN1" s="25">
        <v>142</v>
      </c>
    </row>
    <row r="2" spans="1:144" ht="15">
      <c r="A2" s="54" t="s">
        <v>567</v>
      </c>
      <c r="B2" s="54" t="s">
        <v>568</v>
      </c>
      <c r="D2" s="18"/>
      <c r="E2" s="20">
        <v>106.16800000000001</v>
      </c>
      <c r="H2" s="119"/>
      <c r="I2" s="119"/>
    </row>
    <row r="3" spans="1:144" ht="15">
      <c r="A3" s="53" t="s">
        <v>51</v>
      </c>
      <c r="B3" s="54" t="s">
        <v>569</v>
      </c>
      <c r="C3" s="8" t="s">
        <v>570</v>
      </c>
      <c r="D3" s="18"/>
    </row>
    <row r="4" spans="1:144" s="351" customFormat="1" ht="15">
      <c r="A4" s="348" t="s">
        <v>571</v>
      </c>
      <c r="B4" s="349" t="s">
        <v>569</v>
      </c>
      <c r="C4" s="348" t="s">
        <v>572</v>
      </c>
      <c r="D4" s="350"/>
      <c r="H4" s="347">
        <v>43831</v>
      </c>
      <c r="I4" s="347">
        <v>43862</v>
      </c>
      <c r="J4" s="347">
        <v>43891</v>
      </c>
      <c r="K4" s="347">
        <v>43922</v>
      </c>
      <c r="L4" s="347">
        <v>43952</v>
      </c>
      <c r="M4" s="347">
        <v>43983</v>
      </c>
      <c r="N4" s="347">
        <v>44013</v>
      </c>
      <c r="O4" s="347">
        <v>44044</v>
      </c>
      <c r="P4" s="347">
        <v>44075</v>
      </c>
      <c r="Q4" s="347">
        <v>44105</v>
      </c>
      <c r="R4" s="347">
        <v>44136</v>
      </c>
      <c r="S4" s="347">
        <v>44166</v>
      </c>
      <c r="T4" s="347">
        <v>44197</v>
      </c>
      <c r="U4" s="347">
        <v>44228</v>
      </c>
      <c r="V4" s="347">
        <v>44256</v>
      </c>
      <c r="W4" s="347">
        <v>44287</v>
      </c>
      <c r="X4" s="347">
        <v>44317</v>
      </c>
      <c r="Y4" s="347">
        <v>44348</v>
      </c>
      <c r="Z4" s="347">
        <v>44378</v>
      </c>
      <c r="AA4" s="347">
        <v>44409</v>
      </c>
      <c r="AB4" s="347">
        <v>44440</v>
      </c>
      <c r="AC4" s="347">
        <v>44470</v>
      </c>
      <c r="AD4" s="347">
        <v>44501</v>
      </c>
      <c r="AE4" s="347">
        <v>44531</v>
      </c>
      <c r="AF4" s="347">
        <v>44562</v>
      </c>
      <c r="AG4" s="347">
        <v>44593</v>
      </c>
      <c r="AH4" s="347">
        <v>44621</v>
      </c>
      <c r="AI4" s="347">
        <v>44652</v>
      </c>
      <c r="AJ4" s="347">
        <v>44682</v>
      </c>
      <c r="AK4" s="347">
        <v>44713</v>
      </c>
      <c r="AL4" s="347">
        <v>44743</v>
      </c>
      <c r="AM4" s="347">
        <v>44774</v>
      </c>
      <c r="AN4" s="347">
        <v>44805</v>
      </c>
      <c r="AO4" s="347">
        <v>44835</v>
      </c>
      <c r="AP4" s="347">
        <v>44866</v>
      </c>
      <c r="AQ4" s="347">
        <v>44896</v>
      </c>
      <c r="AR4" s="347">
        <v>44927</v>
      </c>
      <c r="AS4" s="347">
        <v>44958</v>
      </c>
      <c r="AT4" s="347">
        <v>44986</v>
      </c>
      <c r="AU4" s="347">
        <v>45017</v>
      </c>
      <c r="AV4" s="347">
        <v>45047</v>
      </c>
      <c r="AW4" s="347">
        <v>45078</v>
      </c>
      <c r="AX4" s="347">
        <v>45108</v>
      </c>
      <c r="AY4" s="347">
        <v>45115</v>
      </c>
      <c r="AZ4" s="347">
        <v>45154</v>
      </c>
      <c r="BA4" s="347">
        <v>45162</v>
      </c>
      <c r="BB4" s="347">
        <v>45139</v>
      </c>
      <c r="BC4" s="347">
        <v>45146</v>
      </c>
      <c r="BD4" s="347">
        <v>45154</v>
      </c>
      <c r="BE4" s="347">
        <v>45162</v>
      </c>
      <c r="BF4" s="347">
        <v>45170</v>
      </c>
      <c r="BG4" s="347">
        <v>45177</v>
      </c>
      <c r="BH4" s="347">
        <v>45185</v>
      </c>
      <c r="BI4" s="347">
        <v>45193</v>
      </c>
      <c r="BJ4" s="347">
        <v>45200</v>
      </c>
      <c r="BK4" s="347">
        <v>45207</v>
      </c>
      <c r="BL4" s="347">
        <v>45215</v>
      </c>
      <c r="BM4" s="347">
        <v>45223</v>
      </c>
      <c r="BN4" s="347">
        <v>45231</v>
      </c>
      <c r="BO4" s="347">
        <v>45238</v>
      </c>
      <c r="BP4" s="347">
        <v>45246</v>
      </c>
      <c r="BQ4" s="347">
        <v>45254</v>
      </c>
      <c r="BR4" s="347">
        <v>45261</v>
      </c>
      <c r="BS4" s="347">
        <v>45268</v>
      </c>
      <c r="BT4" s="347">
        <v>45276</v>
      </c>
      <c r="BU4" s="347">
        <v>45284</v>
      </c>
      <c r="BV4" s="347">
        <v>45292</v>
      </c>
      <c r="BW4" s="347">
        <v>45299</v>
      </c>
      <c r="BX4" s="347">
        <v>45307</v>
      </c>
      <c r="BY4" s="347">
        <v>45315</v>
      </c>
      <c r="BZ4" s="347">
        <v>45323</v>
      </c>
      <c r="CA4" s="347">
        <v>45330</v>
      </c>
      <c r="CB4" s="347">
        <v>45338</v>
      </c>
      <c r="CC4" s="347">
        <v>45346</v>
      </c>
      <c r="CD4" s="347">
        <v>45352</v>
      </c>
      <c r="CE4" s="347">
        <v>45359</v>
      </c>
      <c r="CF4" s="347">
        <v>45369</v>
      </c>
      <c r="CG4" s="347">
        <v>45375</v>
      </c>
      <c r="CH4" s="347">
        <v>45383</v>
      </c>
      <c r="CI4" s="347">
        <v>45390</v>
      </c>
      <c r="CJ4" s="347">
        <v>45398</v>
      </c>
      <c r="CK4" s="347">
        <v>45406</v>
      </c>
      <c r="CL4" s="347">
        <v>45413</v>
      </c>
      <c r="CM4" s="347">
        <v>45420</v>
      </c>
      <c r="CN4" s="347">
        <v>45428</v>
      </c>
      <c r="CO4" s="347">
        <v>45436</v>
      </c>
      <c r="CP4" s="347">
        <v>45442</v>
      </c>
      <c r="CQ4" s="347">
        <v>45444</v>
      </c>
      <c r="CR4" s="347">
        <v>45451</v>
      </c>
      <c r="CS4" s="347">
        <v>45459</v>
      </c>
      <c r="CT4" s="347">
        <v>45467</v>
      </c>
      <c r="CU4" s="347">
        <v>45474</v>
      </c>
      <c r="CV4" s="347">
        <v>45481</v>
      </c>
      <c r="CW4" s="347">
        <v>45489</v>
      </c>
      <c r="CX4" s="347">
        <v>45497</v>
      </c>
      <c r="CY4" s="347">
        <v>45505</v>
      </c>
      <c r="CZ4" s="347">
        <v>45512</v>
      </c>
      <c r="DA4" s="347">
        <v>45520</v>
      </c>
    </row>
    <row r="5" spans="1:144" ht="15">
      <c r="A5" s="53">
        <v>78.11</v>
      </c>
      <c r="B5" s="18"/>
      <c r="C5" s="53">
        <v>28.05</v>
      </c>
      <c r="D5" s="18"/>
      <c r="G5" s="24" t="s">
        <v>388</v>
      </c>
      <c r="H5" s="24">
        <v>43831</v>
      </c>
      <c r="I5" s="24">
        <v>43862</v>
      </c>
      <c r="J5" s="24">
        <v>43891</v>
      </c>
      <c r="K5" s="24">
        <v>43922</v>
      </c>
      <c r="L5" s="24">
        <v>43952</v>
      </c>
      <c r="M5" s="24">
        <v>43983</v>
      </c>
      <c r="N5" s="24">
        <v>44013</v>
      </c>
      <c r="O5" s="24">
        <v>44044</v>
      </c>
      <c r="P5" s="24">
        <v>44075</v>
      </c>
      <c r="Q5" s="24">
        <v>44105</v>
      </c>
      <c r="R5" s="24">
        <v>44136</v>
      </c>
      <c r="S5" s="24">
        <v>44166</v>
      </c>
      <c r="T5" s="24">
        <v>44197</v>
      </c>
      <c r="U5" s="24">
        <v>44228</v>
      </c>
      <c r="V5" s="24">
        <v>44256</v>
      </c>
      <c r="W5" s="24">
        <v>44287</v>
      </c>
      <c r="X5" s="24">
        <v>44317</v>
      </c>
      <c r="Y5" s="24">
        <v>44348</v>
      </c>
      <c r="Z5" s="24">
        <v>44378</v>
      </c>
      <c r="AA5" s="24">
        <v>44409</v>
      </c>
      <c r="AB5" s="24">
        <v>44440</v>
      </c>
      <c r="AC5" s="24">
        <v>44470</v>
      </c>
      <c r="AD5" s="24">
        <v>44501</v>
      </c>
      <c r="AE5" s="24">
        <v>44531</v>
      </c>
      <c r="AF5" s="24">
        <v>44562</v>
      </c>
      <c r="AG5" s="24">
        <v>44593</v>
      </c>
      <c r="AH5" s="24">
        <v>44621</v>
      </c>
      <c r="AI5" s="24">
        <v>44652</v>
      </c>
      <c r="AJ5" s="24">
        <v>44682</v>
      </c>
      <c r="AK5" s="24">
        <v>44713</v>
      </c>
      <c r="AL5" s="24">
        <v>44743</v>
      </c>
      <c r="AM5" s="24">
        <v>44774</v>
      </c>
      <c r="AN5" s="24">
        <v>44805</v>
      </c>
      <c r="AO5" s="24">
        <v>44835</v>
      </c>
      <c r="AP5" s="24">
        <v>44866</v>
      </c>
      <c r="AQ5" s="24">
        <v>44896</v>
      </c>
      <c r="AR5" s="24">
        <v>44927</v>
      </c>
      <c r="AS5" s="24">
        <v>44958</v>
      </c>
      <c r="AT5" s="24">
        <v>44986</v>
      </c>
      <c r="AU5" s="24">
        <v>45017</v>
      </c>
      <c r="AV5" s="24">
        <v>45047</v>
      </c>
      <c r="AW5" s="24">
        <v>45078</v>
      </c>
      <c r="AX5" s="24">
        <v>45108</v>
      </c>
      <c r="AY5" s="24" t="s">
        <v>530</v>
      </c>
      <c r="AZ5" s="24" t="s">
        <v>531</v>
      </c>
      <c r="BA5" s="24" t="s">
        <v>532</v>
      </c>
      <c r="BB5" s="24">
        <v>37104</v>
      </c>
      <c r="BC5" s="24">
        <v>37469</v>
      </c>
      <c r="BD5" s="34" t="s">
        <v>168</v>
      </c>
      <c r="BE5" s="34" t="s">
        <v>169</v>
      </c>
      <c r="BF5" s="24" t="s">
        <v>195</v>
      </c>
      <c r="BG5" s="24" t="s">
        <v>196</v>
      </c>
      <c r="BH5" s="24" t="s">
        <v>197</v>
      </c>
      <c r="BI5" s="24" t="s">
        <v>198</v>
      </c>
      <c r="BJ5" s="24" t="s">
        <v>199</v>
      </c>
      <c r="BK5" s="24" t="s">
        <v>200</v>
      </c>
      <c r="BL5" s="24" t="s">
        <v>201</v>
      </c>
      <c r="BM5" s="24" t="s">
        <v>202</v>
      </c>
      <c r="BN5" s="59">
        <v>37196</v>
      </c>
      <c r="BO5" s="59">
        <v>37561</v>
      </c>
      <c r="BP5" s="59">
        <v>37926</v>
      </c>
      <c r="BQ5" s="59">
        <v>38292</v>
      </c>
      <c r="BR5" s="59">
        <v>37226</v>
      </c>
      <c r="BS5" s="59">
        <v>37591</v>
      </c>
      <c r="BT5" s="59">
        <v>37956</v>
      </c>
      <c r="BU5" s="59">
        <v>38322</v>
      </c>
      <c r="BV5" s="59">
        <v>36892</v>
      </c>
      <c r="BW5" s="59">
        <v>37257</v>
      </c>
      <c r="BX5" s="59">
        <v>37622</v>
      </c>
      <c r="BY5" s="59">
        <v>37987</v>
      </c>
      <c r="BZ5" s="59">
        <v>36923</v>
      </c>
      <c r="CA5" s="59">
        <v>37288</v>
      </c>
      <c r="CB5" s="59">
        <v>37653</v>
      </c>
      <c r="CC5" s="59">
        <v>38018</v>
      </c>
      <c r="CD5" s="59" t="str">
        <f>Sheet8!A15</f>
        <v>Mar-w1</v>
      </c>
      <c r="CE5" s="59">
        <v>37316</v>
      </c>
      <c r="CF5" s="59">
        <v>37681</v>
      </c>
      <c r="CG5" s="59">
        <v>38047</v>
      </c>
      <c r="CH5" s="59" t="str">
        <f>Sheet8!E15</f>
        <v>Apr-w1</v>
      </c>
      <c r="CI5" s="59" t="str">
        <f>Sheet8!F15</f>
        <v>Apr-w2</v>
      </c>
      <c r="CJ5" s="59" t="str">
        <f>Sheet8!G15</f>
        <v>Apr-w3</v>
      </c>
      <c r="CK5" s="59" t="str">
        <f>Sheet8!H15</f>
        <v>Apr-w4</v>
      </c>
      <c r="CL5" s="59" t="str">
        <f>Sheet8!I15</f>
        <v>May-w1</v>
      </c>
      <c r="CM5" s="59" t="str">
        <f>Sheet8!J15</f>
        <v>May-w2</v>
      </c>
      <c r="CN5" s="59" t="str">
        <f>Sheet8!K15</f>
        <v>May-w3</v>
      </c>
      <c r="CO5" s="59" t="str">
        <f>Sheet8!L15</f>
        <v>May-w4</v>
      </c>
      <c r="CP5" s="59" t="str">
        <f>Sheet8!M15</f>
        <v>May-w5</v>
      </c>
      <c r="CQ5" s="59" t="str">
        <f>Sheet8!N15</f>
        <v>june-w1</v>
      </c>
      <c r="CR5" s="59" t="str">
        <f>Sheet8!O15</f>
        <v>june-w2</v>
      </c>
      <c r="CS5" s="59" t="str">
        <f>Sheet8!P15</f>
        <v>june-w3</v>
      </c>
      <c r="CT5" s="59" t="str">
        <f>Sheet8!Q15</f>
        <v>june-w4</v>
      </c>
      <c r="CU5" s="59" t="str">
        <f>Sheet8!R15</f>
        <v>Jul-w1</v>
      </c>
      <c r="CV5" s="59" t="str">
        <f>Sheet8!S15</f>
        <v>Jul-w2</v>
      </c>
      <c r="CW5" s="59" t="str">
        <f>Sheet8!T15</f>
        <v>Jul-w3</v>
      </c>
      <c r="CX5" s="59" t="str">
        <f>Sheet8!U15</f>
        <v>Jul-w4</v>
      </c>
      <c r="CY5" s="59" t="str">
        <f>Sheet8!V15</f>
        <v>Aug-w1</v>
      </c>
      <c r="CZ5" s="59" t="str">
        <f>Sheet8!W15</f>
        <v>Aug-w2</v>
      </c>
      <c r="DA5" s="59" t="str">
        <f>Sheet8!X15</f>
        <v>Aug-w3</v>
      </c>
      <c r="DB5" s="59" t="str">
        <f>Sheet8!Y15</f>
        <v>Aug-w4</v>
      </c>
      <c r="DC5" s="59" t="str">
        <f>Sheet8!Z15</f>
        <v>Sep-w1</v>
      </c>
      <c r="DD5" s="59" t="str">
        <f>Sheet8!AA15</f>
        <v>Sep-w2</v>
      </c>
      <c r="DE5" s="59" t="str">
        <f>Sheet8!AB15</f>
        <v>Sep-w3</v>
      </c>
      <c r="DF5" s="59" t="str">
        <f>Sheet8!AC15</f>
        <v>Sep-w4</v>
      </c>
      <c r="DG5" s="59" t="str">
        <f>Sheet8!AD15</f>
        <v>Oct-w1</v>
      </c>
      <c r="DH5" s="59" t="str">
        <f>Sheet8!AE15</f>
        <v>Oct-w2</v>
      </c>
      <c r="DI5" s="59" t="str">
        <f>Sheet8!AF15</f>
        <v>Oct-w3</v>
      </c>
      <c r="DJ5" s="59" t="str">
        <f>Sheet8!AG15</f>
        <v>Oct-w4</v>
      </c>
      <c r="DK5" s="59" t="str">
        <f>Sheet8!AH15</f>
        <v>Nov-w1</v>
      </c>
      <c r="DL5" s="59" t="str">
        <f>Sheet8!AI15</f>
        <v>Nov-w2</v>
      </c>
      <c r="DM5" s="59" t="str">
        <f>Sheet8!AJ15</f>
        <v>Nov-w3</v>
      </c>
      <c r="DN5" s="59" t="str">
        <f>Sheet8!AK15</f>
        <v>Nov-w4</v>
      </c>
      <c r="DO5" s="59" t="str">
        <f>Sheet8!AL15</f>
        <v>Dec-w1</v>
      </c>
      <c r="DP5" s="59" t="str">
        <f>Sheet8!AM15</f>
        <v>Dec-w2</v>
      </c>
      <c r="DQ5" s="59" t="str">
        <f>Sheet8!AN15</f>
        <v>Dec-w3</v>
      </c>
      <c r="DR5" s="59" t="str">
        <f>Sheet8!AO15</f>
        <v>Dec-w4</v>
      </c>
      <c r="DS5" s="59">
        <f>Sheet8!AP15</f>
        <v>0</v>
      </c>
      <c r="DT5" s="59">
        <f>Sheet8!AQ15</f>
        <v>0</v>
      </c>
      <c r="DU5" s="59">
        <f>Sheet8!AR15</f>
        <v>0</v>
      </c>
      <c r="DV5" s="59">
        <f>Sheet8!AS15</f>
        <v>0</v>
      </c>
      <c r="DW5" s="59">
        <f>Sheet8!AT15</f>
        <v>0</v>
      </c>
      <c r="DX5" s="59">
        <f>Sheet8!AU15</f>
        <v>0</v>
      </c>
      <c r="DY5" s="59">
        <f>Sheet8!AV15</f>
        <v>0</v>
      </c>
      <c r="DZ5" s="59">
        <f>Sheet8!AW15</f>
        <v>0</v>
      </c>
      <c r="EA5" s="59">
        <f>Sheet8!AX15</f>
        <v>0</v>
      </c>
      <c r="EB5" s="59">
        <f>Sheet8!AY15</f>
        <v>0</v>
      </c>
      <c r="EC5" s="59">
        <f>Sheet8!AZ15</f>
        <v>0</v>
      </c>
      <c r="ED5" s="59">
        <f>Sheet8!BA15</f>
        <v>0</v>
      </c>
      <c r="EE5" s="59">
        <f>Sheet8!BB15</f>
        <v>0</v>
      </c>
      <c r="EF5" s="59">
        <f>Sheet8!BC15</f>
        <v>0</v>
      </c>
      <c r="EG5" s="59">
        <f>Sheet8!BD15</f>
        <v>0</v>
      </c>
      <c r="EH5" s="59">
        <f>Sheet8!BE15</f>
        <v>0</v>
      </c>
      <c r="EI5" s="59">
        <f>Sheet8!BF15</f>
        <v>0</v>
      </c>
      <c r="EJ5" s="59">
        <f>Sheet8!BG15</f>
        <v>0</v>
      </c>
      <c r="EK5" s="59">
        <f>Sheet8!BH15</f>
        <v>0</v>
      </c>
      <c r="EL5" s="59">
        <f>Sheet8!BI15</f>
        <v>0</v>
      </c>
      <c r="EM5" s="59">
        <f>Sheet8!BJ15</f>
        <v>0</v>
      </c>
    </row>
    <row r="6" spans="1:144" ht="15">
      <c r="A6" s="35"/>
      <c r="D6" s="8" t="s">
        <v>50</v>
      </c>
      <c r="E6" s="53" t="s">
        <v>573</v>
      </c>
      <c r="F6" s="8" t="s">
        <v>534</v>
      </c>
      <c r="G6" s="53" t="s">
        <v>51</v>
      </c>
      <c r="H6" s="128">
        <f>VLOOKUP($G$6&amp;$F$1,'Input RM sheet'!$A:$BD,H1,0)</f>
        <v>551.47500000000002</v>
      </c>
      <c r="I6" s="128">
        <f>VLOOKUP($G$6&amp;$F$1,'Input RM sheet'!$A:$BD,I1,0)</f>
        <v>477.74342105263156</v>
      </c>
      <c r="J6" s="128">
        <f>VLOOKUP($G$6&amp;$F$1,'Input RM sheet'!$A:$BD,J1,0)</f>
        <v>290.25568181818181</v>
      </c>
      <c r="K6" s="128">
        <f>VLOOKUP($G$6&amp;$F$1,'Input RM sheet'!$A:$BD,K1,0)</f>
        <v>194.2202380952381</v>
      </c>
      <c r="L6" s="128">
        <f>VLOOKUP($G$6&amp;$F$1,'Input RM sheet'!$A:$BD,L1,0)</f>
        <v>267.16666666666669</v>
      </c>
      <c r="M6" s="128">
        <f>VLOOKUP($G$6&amp;$F$1,'Input RM sheet'!$A:$BD,M1,0)</f>
        <v>363</v>
      </c>
      <c r="N6" s="128">
        <f>VLOOKUP($G$6&amp;$F$1,'Input RM sheet'!$A:$BD,N1,0)</f>
        <v>391</v>
      </c>
      <c r="O6" s="128">
        <f>VLOOKUP($G$6&amp;$F$1,'Input RM sheet'!$A:$BD,O1,0)</f>
        <v>400</v>
      </c>
      <c r="P6" s="128">
        <f>VLOOKUP($G$6&amp;$F$1,'Input RM sheet'!$A:$BD,P1,0)</f>
        <v>401</v>
      </c>
      <c r="Q6" s="128">
        <f>VLOOKUP($G$6&amp;$F$1,'Input RM sheet'!$A:$BD,Q1,0)</f>
        <v>388</v>
      </c>
      <c r="R6" s="128">
        <f>VLOOKUP($G$6&amp;$F$1,'Input RM sheet'!$A:$BD,R1,0)</f>
        <v>382</v>
      </c>
      <c r="S6" s="128">
        <f>VLOOKUP($G$6&amp;$F$1,'Input RM sheet'!$A:$BD,S1,0)</f>
        <v>448.5</v>
      </c>
      <c r="T6" s="128">
        <f>VLOOKUP($G$6&amp;$F$1,'Input RM sheet'!$A:$BD,T1,0)</f>
        <v>515</v>
      </c>
      <c r="U6" s="128">
        <f>VLOOKUP($G$6&amp;$F$1,'Input RM sheet'!$A:$BD,U1,0)</f>
        <v>547</v>
      </c>
      <c r="V6" s="128">
        <f>VLOOKUP($G$6&amp;$F$1,'Input RM sheet'!$A:$BD,V1,0)</f>
        <v>560</v>
      </c>
      <c r="W6" s="128">
        <f>VLOOKUP($G$6&amp;$F$1,'Input RM sheet'!$A:$BD,W1,0)</f>
        <v>574</v>
      </c>
      <c r="X6" s="128">
        <f>VLOOKUP($G$6&amp;$F$1,'Input RM sheet'!$A:$BD,X1,0)</f>
        <v>596</v>
      </c>
      <c r="Y6" s="128">
        <f>VLOOKUP($G$6&amp;$F$1,'Input RM sheet'!$A:$BD,Y1,0)</f>
        <v>644</v>
      </c>
      <c r="Z6" s="128">
        <f>VLOOKUP($G$6&amp;$F$1,'Input RM sheet'!$A:$BD,Z1,0)</f>
        <v>684.875</v>
      </c>
      <c r="AA6" s="128">
        <f>VLOOKUP($G$6&amp;$F$1,'Input RM sheet'!$A:$BD,AA1,0)</f>
        <v>674.5</v>
      </c>
      <c r="AB6" s="128">
        <f>VLOOKUP($G$6&amp;$F$1,'Input RM sheet'!$A:$BD,AB1,0)</f>
        <v>662.5</v>
      </c>
      <c r="AC6" s="128">
        <f>VLOOKUP($G$6&amp;$F$1,'Input RM sheet'!$A:$BD,AC1,0)</f>
        <v>767.55</v>
      </c>
      <c r="AD6" s="128">
        <f>VLOOKUP($G$6&amp;$F$1,'Input RM sheet'!$A:$BD,AD1,0)</f>
        <v>755.84</v>
      </c>
      <c r="AE6" s="128">
        <f>VLOOKUP($G$6&amp;$F$1,'Input RM sheet'!$A:$BD,AE1,0)</f>
        <v>693.2</v>
      </c>
      <c r="AF6" s="128">
        <f>VLOOKUP($G$6&amp;$F$1,'Input RM sheet'!$A:$BD,AF1,0)</f>
        <v>775.4</v>
      </c>
      <c r="AG6" s="128">
        <f>VLOOKUP($G$6&amp;$F$1,'Input RM sheet'!$A:$BD,AG1,0)</f>
        <v>860</v>
      </c>
      <c r="AH6" s="128">
        <f>VLOOKUP($G$6&amp;$F$1,'Input RM sheet'!$A:$BD,AH1,0)</f>
        <v>1011</v>
      </c>
      <c r="AI6" s="128">
        <f>VLOOKUP($G$6&amp;$F$1,'Input RM sheet'!$A:$BD,AI1,0)</f>
        <v>903</v>
      </c>
      <c r="AJ6" s="128">
        <f>VLOOKUP($G$6&amp;$F$1,'Input RM sheet'!$A:$BD,AJ1,0)</f>
        <v>904</v>
      </c>
      <c r="AK6" s="128">
        <f>VLOOKUP($G$6&amp;$F$1,'Input RM sheet'!$A:$BD,AK1,0)</f>
        <v>828</v>
      </c>
      <c r="AL6" s="128">
        <f>VLOOKUP($G$6&amp;$F$1,'Input RM sheet'!$A:$BD,AL1,0)</f>
        <v>791</v>
      </c>
      <c r="AM6" s="128">
        <f>VLOOKUP($G$6&amp;$F$1,'Input RM sheet'!$A:$BD,AM1,0)</f>
        <v>701</v>
      </c>
      <c r="AN6" s="128">
        <f>VLOOKUP($G$6&amp;$F$1,'Input RM sheet'!$A:$BD,AN1,0)</f>
        <v>661</v>
      </c>
      <c r="AO6" s="128">
        <f>VLOOKUP($G$6&amp;$F$1,'Input RM sheet'!$A:$BD,AO1,0)</f>
        <v>683</v>
      </c>
      <c r="AP6" s="128">
        <f>VLOOKUP($G$6&amp;$F$1,'Input RM sheet'!$A:$BD,AP1,0)</f>
        <v>693</v>
      </c>
      <c r="AQ6" s="128">
        <f>VLOOKUP($G$6&amp;$F$1,'Input RM sheet'!$A:$BD,AQ1,0)</f>
        <v>625.5</v>
      </c>
      <c r="AR6" s="128">
        <f>VLOOKUP($G$6&amp;$F$1,'Input RM sheet'!$A:$BD,AR1,0)</f>
        <v>710</v>
      </c>
      <c r="AS6" s="128">
        <f>VLOOKUP($G$6&amp;$F$1,'Input RM sheet'!$A:$BD,AS1,0)</f>
        <v>720</v>
      </c>
      <c r="AT6" s="128">
        <f>VLOOKUP($G$6&amp;$F$1,'Input RM sheet'!$A:$BD,AT1,0)</f>
        <v>840</v>
      </c>
      <c r="AU6" s="128">
        <f>VLOOKUP($G$6&amp;$F$1,'Input RM sheet'!$A:$BD,AU1,0)</f>
        <v>975</v>
      </c>
      <c r="AV6" s="128">
        <f>VLOOKUP($G$6&amp;$F$1,'Input RM sheet'!$A:$BD,AV1,0)</f>
        <v>835</v>
      </c>
      <c r="AW6" s="128">
        <f>VLOOKUP($G$6&amp;$F$1,'Input RM sheet'!$A:$BD,AW1,0)</f>
        <v>670</v>
      </c>
      <c r="AX6" s="128">
        <f>VLOOKUP($G$6&amp;$F$1,'Input RM sheet'!$A:$BD,AX1,0)</f>
        <v>712.5</v>
      </c>
      <c r="AY6" s="128">
        <f>VLOOKUP($G$6&amp;$F$1,'Input RM sheet'!$A:$BD,AY1,0)</f>
        <v>780</v>
      </c>
      <c r="AZ6" s="128">
        <f>VLOOKUP($G$6&amp;$F$1,'Input RM sheet'!$A:$BD,AZ1,0)</f>
        <v>804</v>
      </c>
      <c r="BA6" s="128">
        <f>VLOOKUP($G$6&amp;$F$1,'Input RM sheet'!$A:$BD,BA1,0)</f>
        <v>842</v>
      </c>
      <c r="BB6" s="128">
        <f>VLOOKUP($G$6&amp;$F$1,'Input RM sheet'!$A:$BD,BB1,0)</f>
        <v>873</v>
      </c>
      <c r="BC6" s="128">
        <f>VLOOKUP($G$6&amp;$F$1,'Input RM sheet'!$A:$BD,BC1,0)</f>
        <v>863</v>
      </c>
      <c r="BD6" s="128">
        <f>VLOOKUP($G$6&amp;$F$1,'Input RM sheet'!$A:$BD,BD1,0)</f>
        <v>876</v>
      </c>
      <c r="BE6" s="128">
        <f>VLOOKUP($G$6&amp;$F$1,'Input RM sheet'!$A:$BD,BE1,0)</f>
        <v>876</v>
      </c>
      <c r="BF6" s="128">
        <f>VLOOKUP($G$6&amp;$F$1,'Input RM sheet'!$A:$DD,BF1,0)</f>
        <v>865</v>
      </c>
      <c r="BG6" s="128">
        <f>VLOOKUP($G$6&amp;$F$1,'Input RM sheet'!$A:$DD,BG1,0)</f>
        <v>930</v>
      </c>
      <c r="BH6" s="128">
        <f>VLOOKUP($G$6&amp;$F$1,'Input RM sheet'!$A:$DD,BH1,0)</f>
        <v>1010</v>
      </c>
      <c r="BI6" s="128">
        <f>VLOOKUP($G$6&amp;$F$1,'Input RM sheet'!$A:$DD,BI1,0)</f>
        <v>950</v>
      </c>
      <c r="BJ6" s="128">
        <f>VLOOKUP($G$6&amp;$F$1,'Input RM sheet'!$A:$DD,BJ1,0)</f>
        <v>888</v>
      </c>
      <c r="BK6" s="128">
        <f>VLOOKUP($G$6&amp;$F$1,'Input RM sheet'!$A:$DD,BK1,0)</f>
        <v>901</v>
      </c>
      <c r="BL6" s="128">
        <f>VLOOKUP($G$6&amp;$F$1,'Input RM sheet'!$A:$DD,BL1,0)</f>
        <v>882</v>
      </c>
      <c r="BM6" s="128">
        <f>VLOOKUP($G$6&amp;$F$1,'Input RM sheet'!$A:$DD,BM1,0)</f>
        <v>882</v>
      </c>
      <c r="BN6" s="128">
        <f>VLOOKUP($G$6&amp;$F$1,'Input RM sheet'!$A:$DD,BN1,0)</f>
        <v>882</v>
      </c>
      <c r="BO6" s="128">
        <f>VLOOKUP($G$6&amp;$F$1,'Input RM sheet'!$A:$DD,BO1,0)</f>
        <v>843</v>
      </c>
      <c r="BP6" s="128">
        <f>VLOOKUP($G$6&amp;$F$1,'Input RM sheet'!$A:$DD,BP1,0)</f>
        <v>867</v>
      </c>
      <c r="BQ6" s="128">
        <f>VLOOKUP($G$6&amp;$F$1,'Input RM sheet'!$A:$DD,BQ1,0)</f>
        <v>846</v>
      </c>
      <c r="BR6" s="128">
        <f>VLOOKUP($G$6&amp;$F$1,'Input RM sheet'!$A:$DD,BR1,0)</f>
        <v>826</v>
      </c>
      <c r="BS6" s="128">
        <f>VLOOKUP($G$6&amp;$F$1,'Input RM sheet'!$A:$DD,BS1,0)</f>
        <v>815</v>
      </c>
      <c r="BT6" s="128">
        <f>VLOOKUP($G$6&amp;$F$1,'Input RM sheet'!$A:$DD,BT1,0)</f>
        <v>863</v>
      </c>
      <c r="BU6" s="128">
        <f>VLOOKUP($G$6&amp;$F$1,'Input RM sheet'!$A:$DD,BU1,0)</f>
        <v>855</v>
      </c>
      <c r="BV6" s="128">
        <f>VLOOKUP($G$6&amp;$F$1,'Input RM sheet'!$A:$DD,BV1,0)</f>
        <v>872</v>
      </c>
      <c r="BW6" s="128">
        <f>VLOOKUP($G$6&amp;$F$1,'Input RM sheet'!$A:$DD,BW1,0)</f>
        <v>920</v>
      </c>
      <c r="BX6" s="128">
        <f>VLOOKUP($G$6&amp;$F$1,'Input RM sheet'!$A:$DD,BX1,0)</f>
        <v>922</v>
      </c>
      <c r="BY6" s="128">
        <f>VLOOKUP($G$6&amp;$F$1,'Input RM sheet'!$A:$DD,BY1,0)</f>
        <v>975</v>
      </c>
      <c r="BZ6" s="128">
        <f>VLOOKUP($G$6&amp;$F$1,'Input RM sheet'!$A:$DD,BZ1,0)</f>
        <v>985</v>
      </c>
      <c r="CA6" s="128">
        <f>VLOOKUP($G$6&amp;$F$1,'Input RM sheet'!$A:$DD,CA1,0)</f>
        <v>1024</v>
      </c>
      <c r="CB6" s="128">
        <f>VLOOKUP($G$6&amp;$F$1,'Input RM sheet'!$A:$DD,CB1,0)</f>
        <v>1022</v>
      </c>
      <c r="CC6" s="128">
        <f>VLOOKUP($G$6&amp;$F$1,'Input RM sheet'!$A:$DD,CC1,0)</f>
        <v>1010</v>
      </c>
      <c r="CD6" s="128">
        <f>VLOOKUP($G$6&amp;$F$1,'Input RM sheet'!$A:$DD,CD1,0)</f>
        <v>995</v>
      </c>
      <c r="CE6" s="128">
        <f>VLOOKUP($G$6&amp;$F$1,'Input RM sheet'!$A:$DD,CE1,0)</f>
        <v>1014</v>
      </c>
      <c r="CF6" s="128">
        <f>VLOOKUP($G$6&amp;$F$1,'Input RM sheet'!$A:$DD,CF1,0)</f>
        <v>1014</v>
      </c>
      <c r="CG6" s="128">
        <f>VLOOKUP($G$6&amp;$F$1,'Input RM sheet'!$A:$DD,CG1,0)</f>
        <v>1018</v>
      </c>
      <c r="CH6" s="128">
        <f>VLOOKUP($G$6&amp;$F$1,'Input RM sheet'!$A:$DD,CH1,0)</f>
        <v>1065</v>
      </c>
      <c r="CI6" s="128">
        <f>VLOOKUP($G$6&amp;$F$1,'Input RM sheet'!$A:$DD,CI1,0)</f>
        <v>1052</v>
      </c>
      <c r="CJ6" s="128">
        <f>VLOOKUP($G$6&amp;$F$1,'Input RM sheet'!$A:$DD,CJ1,0)</f>
        <v>1044</v>
      </c>
      <c r="CK6" s="128">
        <f>VLOOKUP($G$6&amp;$F$1,'Input RM sheet'!$A:$DD,CK1,0)</f>
        <v>1035</v>
      </c>
      <c r="CL6" s="128">
        <f>VLOOKUP($G$6&amp;$F$1,'Input RM sheet'!$A:$DD,CL1,0)</f>
        <v>1025</v>
      </c>
      <c r="CM6" s="128">
        <f>VLOOKUP($G$6&amp;$F$1,'Input RM sheet'!$A:$DD,CM1,0)</f>
        <v>1014</v>
      </c>
      <c r="CN6" s="128">
        <f>VLOOKUP($G$6&amp;$F$1,'Input RM sheet'!$A:$DD,CN1,0)</f>
        <v>1021</v>
      </c>
      <c r="CO6" s="128">
        <f>VLOOKUP($G$6&amp;$F$1,'Input RM sheet'!$A:$DD,CO1,0)</f>
        <v>1025</v>
      </c>
      <c r="CP6" s="128">
        <f>VLOOKUP($G$6&amp;$F$1,'Input RM sheet'!$A:$DD,CP1,0)</f>
        <v>1040</v>
      </c>
      <c r="CQ6" s="128">
        <f>VLOOKUP($G$6&amp;$F$1,'Input RM sheet'!$A:$DD,CQ1,0)</f>
        <v>1040</v>
      </c>
      <c r="CR6" s="128">
        <f>VLOOKUP($G$6&amp;$F$1,'Input RM sheet'!$A:$DD,CR1,0)</f>
        <v>1004</v>
      </c>
      <c r="CS6" s="128">
        <f>VLOOKUP($G$6&amp;$F$1,'Input RM sheet'!$A:$DD,CS1,0)</f>
        <v>981</v>
      </c>
      <c r="CT6" s="128">
        <f>VLOOKUP($G$6&amp;$F$1,'Input RM sheet'!$A:$DD,CT1,0)</f>
        <v>1028</v>
      </c>
      <c r="CU6" s="128">
        <f>VLOOKUP($G$6&amp;$F$1,'Input RM sheet'!$A:$ZZ,CU1,0)</f>
        <v>1005</v>
      </c>
      <c r="CV6" s="128">
        <f>VLOOKUP($G$6&amp;$F$1,'Input RM sheet'!$A:$ZZ,CV1,0)</f>
        <v>996</v>
      </c>
      <c r="CW6" s="128">
        <f>VLOOKUP($G$6&amp;$F$1,'Input RM sheet'!$A:$ZZ,CW1,0)</f>
        <v>992</v>
      </c>
      <c r="CX6" s="128">
        <f>VLOOKUP($G$6&amp;$F$1,'Input RM sheet'!$A:$ZZ,CX1,0)</f>
        <v>961</v>
      </c>
      <c r="CY6" s="128">
        <f>VLOOKUP($G$6&amp;$F$1,'Input RM sheet'!$A:$ZZ,CY1,0)</f>
        <v>1003</v>
      </c>
      <c r="CZ6" s="128">
        <f>VLOOKUP($G$6&amp;$F$1,'Input RM sheet'!$A:$ZZ,CZ1,0)</f>
        <v>1011</v>
      </c>
      <c r="DA6" s="128">
        <f>VLOOKUP($G$6&amp;$F$1,'Input RM sheet'!$A:$ZZ,DA1,0)</f>
        <v>987</v>
      </c>
      <c r="DB6" s="128">
        <f>VLOOKUP($G$6&amp;$F$1,'Input RM sheet'!$A:$ZZ,DB1,0)</f>
        <v>995</v>
      </c>
      <c r="DC6" s="128">
        <f>VLOOKUP($G$6&amp;$F$1,'Input RM sheet'!$A:$ZZ,DC1,0)</f>
        <v>980</v>
      </c>
      <c r="DD6" s="128">
        <f>VLOOKUP($G$6&amp;$F$1,'Input RM sheet'!$A:$ZZ,DD1,0)</f>
        <v>935</v>
      </c>
      <c r="DE6" s="128">
        <f>VLOOKUP($G$6&amp;$F$1,'Input RM sheet'!$A:$ZZ,DE1,0)</f>
        <v>942</v>
      </c>
      <c r="DF6" s="128">
        <f>VLOOKUP($G$6&amp;$F$1,'Input RM sheet'!$A:$ZZ,DF1,0)</f>
        <v>933</v>
      </c>
      <c r="DG6" s="128">
        <f>VLOOKUP($G$6&amp;$F$1,'Input RM sheet'!$A:$ZZ,DG1,0)</f>
        <v>982</v>
      </c>
      <c r="DH6" s="128">
        <f>VLOOKUP($G$6&amp;$F$1,'Input RM sheet'!$A:$ZZ,DH1,0)</f>
        <v>888</v>
      </c>
      <c r="DI6" s="128">
        <f>VLOOKUP($G$6&amp;$F$1,'Input RM sheet'!$A:$ZZ,DI1,0)</f>
        <v>884</v>
      </c>
      <c r="DJ6" s="128">
        <f>VLOOKUP($G$6&amp;$F$1,'Input RM sheet'!$A:$ZZ,DJ1,0)</f>
        <v>880</v>
      </c>
      <c r="DK6" s="128">
        <f>VLOOKUP($G$6&amp;$F$1,'Input RM sheet'!$A:$ZZ,DK1,0)</f>
        <v>897</v>
      </c>
      <c r="DL6" s="128">
        <f>VLOOKUP($G$6&amp;$F$1,'Input RM sheet'!$A:$ZZ,DL1,0)</f>
        <v>861</v>
      </c>
      <c r="DM6" s="128">
        <f>VLOOKUP($G$6&amp;$F$1,'Input RM sheet'!$A:$ZZ,DM1,0)</f>
        <v>877</v>
      </c>
      <c r="DN6" s="128">
        <f>VLOOKUP($G$6&amp;$F$1,'Input RM sheet'!$A:$ZZ,DN1,0)</f>
        <v>862</v>
      </c>
      <c r="DO6" s="128">
        <f>VLOOKUP($G$6&amp;$F$1,'Input RM sheet'!$A:$ZZ,DO1,0)</f>
        <v>874</v>
      </c>
      <c r="DP6" s="128">
        <f>VLOOKUP($G$6&amp;$F$1,'Input RM sheet'!$A:$ZZ,DP1,0)</f>
        <v>878</v>
      </c>
      <c r="DQ6" s="128">
        <f>VLOOKUP($G$6&amp;$F$1,'Input RM sheet'!$A:$ZZ,DQ1,0)</f>
        <v>885</v>
      </c>
      <c r="DR6" s="128">
        <f>VLOOKUP($G$6&amp;$F$1,'Input RM sheet'!$A:$ZZ,DR1,0)</f>
        <v>869</v>
      </c>
      <c r="DS6" s="128">
        <f>VLOOKUP($G$6&amp;$F$1,'Input RM sheet'!$A:$ZZ,DS1,0)</f>
        <v>0</v>
      </c>
      <c r="DT6" s="128">
        <f>VLOOKUP($G$6&amp;$F$1,'Input RM sheet'!$A:$ZZ,DT1,0)</f>
        <v>0</v>
      </c>
      <c r="DU6" s="128">
        <f>VLOOKUP($G$6&amp;$F$1,'Input RM sheet'!$A:$ZZ,DU1,0)</f>
        <v>0</v>
      </c>
      <c r="DV6" s="128">
        <f>VLOOKUP($G$6&amp;$F$1,'Input RM sheet'!$A:$ZZ,DV1,0)</f>
        <v>0</v>
      </c>
      <c r="DW6" s="128">
        <f>VLOOKUP($G$6&amp;$F$1,'Input RM sheet'!$A:$ZZ,DW1,0)</f>
        <v>0</v>
      </c>
      <c r="DX6" s="128">
        <f>VLOOKUP($G$6&amp;$F$1,'Input RM sheet'!$A:$ZZ,DX1,0)</f>
        <v>0</v>
      </c>
      <c r="DY6" s="128">
        <f>VLOOKUP($G$6&amp;$F$1,'Input RM sheet'!$A:$ZZ,DY1,0)</f>
        <v>0</v>
      </c>
      <c r="DZ6" s="128">
        <f>VLOOKUP($G$6&amp;$F$1,'Input RM sheet'!$A:$ZZ,DZ1,0)</f>
        <v>0</v>
      </c>
      <c r="EA6" s="128">
        <f>VLOOKUP($G$6&amp;$F$1,'Input RM sheet'!$A:$ZZ,EA1,0)</f>
        <v>0</v>
      </c>
      <c r="EB6" s="128">
        <f>VLOOKUP($G$6&amp;$F$1,'Input RM sheet'!$A:$ZZ,EB1,0)</f>
        <v>0</v>
      </c>
      <c r="EC6" s="128">
        <f>VLOOKUP($G$6&amp;$F$1,'Input RM sheet'!$A:$ZZ,EC1,0)</f>
        <v>0</v>
      </c>
      <c r="ED6" s="128">
        <f>VLOOKUP($G$6&amp;$F$1,'Input RM sheet'!$A:$ZZ,ED1,0)</f>
        <v>0</v>
      </c>
      <c r="EE6" s="128">
        <f>VLOOKUP($G$6&amp;$F$1,'Input RM sheet'!$A:$ZZ,EE1,0)</f>
        <v>0</v>
      </c>
      <c r="EF6" s="128">
        <f>VLOOKUP($G$6&amp;$F$1,'Input RM sheet'!$A:$ZZ,EF1,0)</f>
        <v>0</v>
      </c>
      <c r="EG6" s="128">
        <f>VLOOKUP($G$6&amp;$F$1,'Input RM sheet'!$A:$ZZ,EG1,0)</f>
        <v>0</v>
      </c>
      <c r="EH6" s="128">
        <f>VLOOKUP($G$6&amp;$F$1,'Input RM sheet'!$A:$ZZ,EH1,0)</f>
        <v>0</v>
      </c>
      <c r="EI6" s="128">
        <f>VLOOKUP($G$6&amp;$F$1,'Input RM sheet'!$A:$ZZ,EI1,0)</f>
        <v>0</v>
      </c>
      <c r="EJ6" s="128">
        <f>VLOOKUP($G$6&amp;$F$1,'Input RM sheet'!$A:$ZZ,EJ1,0)</f>
        <v>0</v>
      </c>
      <c r="EK6" s="128">
        <f>VLOOKUP($G$6&amp;$F$1,'Input RM sheet'!$A:$ZZ,EK1,0)</f>
        <v>0</v>
      </c>
      <c r="EL6" s="128">
        <f>VLOOKUP($G$6&amp;$F$1,'Input RM sheet'!$A:$ZZ,EL1,0)</f>
        <v>0</v>
      </c>
      <c r="EM6" s="128">
        <f>VLOOKUP($G$6&amp;$F$1,'Input RM sheet'!$A:$ZZ,EM1,0)</f>
        <v>0</v>
      </c>
      <c r="EN6" s="128">
        <f>VLOOKUP($G$6&amp;$F$1,'Input RM sheet'!$A:$ZZ,EN1,0)</f>
        <v>0</v>
      </c>
    </row>
    <row r="7" spans="1:144">
      <c r="A7" s="35"/>
      <c r="D7" s="8" t="s">
        <v>546</v>
      </c>
      <c r="E7" s="178" t="s">
        <v>53</v>
      </c>
      <c r="F7" s="8" t="s">
        <v>534</v>
      </c>
      <c r="G7" s="178" t="s">
        <v>53</v>
      </c>
      <c r="H7" s="26">
        <f>VLOOKUP($G$7&amp;$F$1,'Input RM sheet'!$A:$BD,H1,0)</f>
        <v>845</v>
      </c>
      <c r="I7" s="26">
        <f>VLOOKUP($G$7&amp;$F$1,'Input RM sheet'!$A:$BD,I1,0)</f>
        <v>695</v>
      </c>
      <c r="J7" s="26">
        <f>VLOOKUP($G$7&amp;$F$1,'Input RM sheet'!$A:$BD,J1,0)</f>
        <v>695</v>
      </c>
      <c r="K7" s="26">
        <f>VLOOKUP($G$7&amp;$F$1,'Input RM sheet'!$A:$BD,K1,0)</f>
        <v>385</v>
      </c>
      <c r="L7" s="26">
        <f>VLOOKUP($G$7&amp;$F$1,'Input RM sheet'!$A:$BD,L1,0)</f>
        <v>685</v>
      </c>
      <c r="M7" s="26">
        <f>VLOOKUP($G$7&amp;$F$1,'Input RM sheet'!$A:$BD,M1,0)</f>
        <v>845</v>
      </c>
      <c r="N7" s="26">
        <f>VLOOKUP($G$7&amp;$F$1,'Input RM sheet'!$A:$BD,N1,0)</f>
        <v>810</v>
      </c>
      <c r="O7" s="26">
        <f>VLOOKUP($G$7&amp;$F$1,'Input RM sheet'!$A:$BD,O1,0)</f>
        <v>725</v>
      </c>
      <c r="P7" s="26">
        <f>VLOOKUP($G$7&amp;$F$1,'Input RM sheet'!$A:$BD,P1,0)</f>
        <v>870</v>
      </c>
      <c r="Q7" s="26">
        <f>VLOOKUP($G$7&amp;$F$1,'Input RM sheet'!$A:$BD,Q1,0)</f>
        <v>800</v>
      </c>
      <c r="R7" s="26">
        <f>VLOOKUP($G$7&amp;$F$1,'Input RM sheet'!$A:$BD,R1,0)</f>
        <v>990</v>
      </c>
      <c r="S7" s="26">
        <f>VLOOKUP($G$7&amp;$F$1,'Input RM sheet'!$A:$BD,S1,0)</f>
        <v>1000</v>
      </c>
      <c r="T7" s="26">
        <f>VLOOKUP($G$7&amp;$F$1,'Input RM sheet'!$A:$BD,T1,0)</f>
        <v>925</v>
      </c>
      <c r="U7" s="26">
        <f>VLOOKUP($G$7&amp;$F$1,'Input RM sheet'!$A:$BD,U1,0)</f>
        <v>980</v>
      </c>
      <c r="V7" s="26">
        <f>VLOOKUP($G$7&amp;$F$1,'Input RM sheet'!$A:$BD,V1,0)</f>
        <v>1050</v>
      </c>
      <c r="W7" s="26">
        <f>VLOOKUP($G$7&amp;$F$1,'Input RM sheet'!$A:$BD,W1,0)</f>
        <v>1110</v>
      </c>
      <c r="X7" s="26">
        <f>VLOOKUP($G$7&amp;$F$1,'Input RM sheet'!$A:$BD,X1,0)</f>
        <v>1058</v>
      </c>
      <c r="Y7" s="26">
        <f>VLOOKUP($G$7&amp;$F$1,'Input RM sheet'!$A:$BD,Y1,0)</f>
        <v>870</v>
      </c>
      <c r="Z7" s="26">
        <f>VLOOKUP($G$7&amp;$F$1,'Input RM sheet'!$A:$BD,Z1,0)</f>
        <v>1005</v>
      </c>
      <c r="AA7" s="26">
        <f>VLOOKUP($G$7&amp;$F$1,'Input RM sheet'!$A:$BD,AA1,0)</f>
        <v>960</v>
      </c>
      <c r="AB7" s="26">
        <f>VLOOKUP($G$7&amp;$F$1,'Input RM sheet'!$A:$BD,AB1,0)</f>
        <v>1140</v>
      </c>
      <c r="AC7" s="26">
        <f>VLOOKUP($G$7&amp;$F$1,'Input RM sheet'!$A:$BD,AC1,0)</f>
        <v>1200</v>
      </c>
      <c r="AD7" s="26">
        <f>VLOOKUP($G$7&amp;$F$1,'Input RM sheet'!$A:$BD,AD1,0)</f>
        <v>1130</v>
      </c>
      <c r="AE7" s="26">
        <f>VLOOKUP($G$7&amp;$F$1,'Input RM sheet'!$A:$BD,AE1,0)</f>
        <v>1055</v>
      </c>
      <c r="AF7" s="26">
        <f>VLOOKUP($G$7&amp;$F$1,'Input RM sheet'!$A:$BD,AF1,0)</f>
        <v>920</v>
      </c>
      <c r="AG7" s="26">
        <f>VLOOKUP($G$7&amp;$F$1,'Input RM sheet'!$A:$BD,AG1,0)</f>
        <v>1220</v>
      </c>
      <c r="AH7" s="26">
        <f>VLOOKUP($G$7&amp;$F$1,'Input RM sheet'!$A:$BD,AH1,0)</f>
        <v>1360</v>
      </c>
      <c r="AI7" s="26">
        <f>VLOOKUP($G$7&amp;$F$1,'Input RM sheet'!$A:$BD,AI1,0)</f>
        <v>1300</v>
      </c>
      <c r="AJ7" s="26">
        <f>VLOOKUP($G$7&amp;$F$1,'Input RM sheet'!$A:$BD,AJ1,0)</f>
        <v>1090</v>
      </c>
      <c r="AK7" s="26">
        <f>VLOOKUP($G$7&amp;$F$1,'Input RM sheet'!$A:$BD,AK1,0)</f>
        <v>980</v>
      </c>
      <c r="AL7" s="26">
        <f>VLOOKUP($G$7&amp;$F$1,'Input RM sheet'!$A:$BD,AL1,0)</f>
        <v>900</v>
      </c>
      <c r="AM7" s="26">
        <f>VLOOKUP($G$7&amp;$F$1,'Input RM sheet'!$A:$BD,AM1,0)</f>
        <v>830</v>
      </c>
      <c r="AN7" s="26">
        <f>VLOOKUP($G$7&amp;$F$1,'Input RM sheet'!$A:$BD,AN1,0)</f>
        <v>970</v>
      </c>
      <c r="AO7" s="26">
        <f>VLOOKUP($G$7&amp;$F$1,'Input RM sheet'!$A:$BD,AO1,0)</f>
        <v>880</v>
      </c>
      <c r="AP7" s="26">
        <f>VLOOKUP($G$7&amp;$F$1,'Input RM sheet'!$A:$BD,AP1,0)</f>
        <v>880</v>
      </c>
      <c r="AQ7" s="26">
        <f>VLOOKUP($G$7&amp;$F$1,'Input RM sheet'!$A:$BD,AQ1,0)</f>
        <v>880</v>
      </c>
      <c r="AR7" s="26">
        <f>VLOOKUP($G$7&amp;$F$1,'Input RM sheet'!$A:$BD,AR1,0)</f>
        <v>780</v>
      </c>
      <c r="AS7" s="26">
        <f>VLOOKUP($G$7&amp;$F$1,'Input RM sheet'!$A:$BD,AS1,0)</f>
        <v>940</v>
      </c>
      <c r="AT7" s="26">
        <f>VLOOKUP($G$7&amp;$F$1,'Input RM sheet'!$A:$BD,AT1,0)</f>
        <v>950</v>
      </c>
      <c r="AU7" s="26">
        <f>VLOOKUP($G$7&amp;$F$1,'Input RM sheet'!$A:$BD,AU1,0)</f>
        <v>920</v>
      </c>
      <c r="AV7" s="26">
        <v>920</v>
      </c>
      <c r="AW7" s="26">
        <f>VLOOKUP($G$7&amp;$F$1,'Input RM sheet'!$A:$BD,AW1,0)</f>
        <v>715</v>
      </c>
      <c r="AX7" s="26">
        <f>VLOOKUP($G$7&amp;$F$1,'Input RM sheet'!$A:$BD,AX1,0)</f>
        <v>715</v>
      </c>
      <c r="AY7" s="26">
        <f>VLOOKUP($G$7&amp;$F$1,'Input RM sheet'!$A:$BD,AY1,0)</f>
        <v>715</v>
      </c>
      <c r="AZ7" s="26">
        <f>VLOOKUP($G$7&amp;$F$1,'Input RM sheet'!$A:$BD,AZ1,0)</f>
        <v>710</v>
      </c>
      <c r="BA7" s="26">
        <f>VLOOKUP($G$7&amp;$F$1,'Input RM sheet'!$A:$BD,BA1,0)</f>
        <v>710</v>
      </c>
      <c r="BB7" s="26">
        <f>VLOOKUP($G$7&amp;$F$1,'Input RM sheet'!$A:$BD,BB1,0)</f>
        <v>770</v>
      </c>
      <c r="BC7" s="26">
        <f>VLOOKUP($G$7&amp;$F$1,'Input RM sheet'!$A:$BD,BC1,0)</f>
        <v>770</v>
      </c>
      <c r="BD7" s="26">
        <f>VLOOKUP($G$7&amp;$F$1,'Input RM sheet'!$A:$BD,BD1,0)</f>
        <v>860</v>
      </c>
      <c r="BE7" s="26">
        <f>VLOOKUP($G$7&amp;$F$1,'Input RM sheet'!$A:$BD,BE1,0)</f>
        <v>860</v>
      </c>
      <c r="BF7" s="26">
        <f>VLOOKUP($G$7&amp;$F$1,'Input RM sheet'!$A:$DD,BF1,0)</f>
        <v>830</v>
      </c>
      <c r="BG7" s="26">
        <f>VLOOKUP($G$7&amp;$F$1,'Input RM sheet'!$A:$DD,BG1,0)</f>
        <v>850</v>
      </c>
      <c r="BH7" s="26">
        <f>VLOOKUP($G$7&amp;$F$1,'Input RM sheet'!$A:$DD,BH1,0)</f>
        <v>865</v>
      </c>
      <c r="BI7" s="26">
        <f>VLOOKUP($G$7&amp;$F$1,'Input RM sheet'!$A:$DD,BI1,0)</f>
        <v>898</v>
      </c>
      <c r="BJ7" s="26">
        <f>VLOOKUP($G$7&amp;$F$1,'Input RM sheet'!$A:$DD,BJ1,0)</f>
        <v>898</v>
      </c>
      <c r="BK7" s="26">
        <f>VLOOKUP($G$7&amp;$F$1,'Input RM sheet'!$A:$DD,BK1,0)</f>
        <v>890</v>
      </c>
      <c r="BL7" s="26">
        <f>VLOOKUP($G$7&amp;$F$1,'Input RM sheet'!$A:$DD,BL1,0)</f>
        <v>890</v>
      </c>
      <c r="BM7" s="26">
        <f>VLOOKUP($G$7&amp;$F$1,'Input RM sheet'!$A:$DD,BM1,0)</f>
        <v>880</v>
      </c>
      <c r="BN7" s="26">
        <f>VLOOKUP($G$7&amp;$F$1,'Input RM sheet'!$A:$DD,BN1,0)</f>
        <v>944</v>
      </c>
      <c r="BO7" s="26">
        <f>VLOOKUP($G$7&amp;$F$1,'Input RM sheet'!$A:$DD,BO1,0)</f>
        <v>938</v>
      </c>
      <c r="BP7" s="26">
        <f>VLOOKUP($G$7&amp;$F$1,'Input RM sheet'!$A:$DD,BP1,0)</f>
        <v>938</v>
      </c>
      <c r="BQ7" s="26">
        <f>VLOOKUP($G$7&amp;$F$1,'Input RM sheet'!$A:$DD,BQ1,0)</f>
        <v>938</v>
      </c>
      <c r="BR7" s="26">
        <f>VLOOKUP($G$7&amp;$F$1,'Input RM sheet'!$A:$DD,BR1,0)</f>
        <v>938</v>
      </c>
      <c r="BS7" s="26">
        <f>VLOOKUP($G$7&amp;$F$1,'Input RM sheet'!$A:$DD,BS1,0)</f>
        <v>889</v>
      </c>
      <c r="BT7" s="26">
        <f>VLOOKUP($G$7&amp;$F$1,'Input RM sheet'!$A:$DD,BT1,0)</f>
        <v>850</v>
      </c>
      <c r="BU7" s="26">
        <f>VLOOKUP($G$7&amp;$F$1,'Input RM sheet'!$A:$DD,BU1,0)</f>
        <v>849</v>
      </c>
      <c r="BV7" s="26">
        <f>VLOOKUP($G$7&amp;$F$1,'Input RM sheet'!$A:$DD,BV1,0)</f>
        <v>849</v>
      </c>
      <c r="BW7" s="26">
        <f>VLOOKUP($G$7&amp;$F$1,'Input RM sheet'!$A:$DD,BW1,0)</f>
        <v>870</v>
      </c>
      <c r="BX7" s="26">
        <f>VLOOKUP($G$7&amp;$F$1,'Input RM sheet'!$A:$DD,BX1,0)</f>
        <v>888</v>
      </c>
      <c r="BY7" s="26">
        <f>VLOOKUP($G$7&amp;$F$1,'Input RM sheet'!$A:$DD,BY1,0)</f>
        <v>930</v>
      </c>
      <c r="BZ7" s="26">
        <f>VLOOKUP($G$7&amp;$F$1,'Input RM sheet'!$A:$DD,BZ1,0)</f>
        <v>948</v>
      </c>
      <c r="CA7" s="26">
        <f>VLOOKUP($G$7&amp;$F$1,'Input RM sheet'!$A:$DD,CA1,0)</f>
        <v>948</v>
      </c>
      <c r="CB7" s="26">
        <f>VLOOKUP($G$7&amp;$F$1,'Input RM sheet'!$A:$DD,CB1,0)</f>
        <v>952</v>
      </c>
      <c r="CC7" s="26">
        <f>VLOOKUP($G$7&amp;$F$1,'Input RM sheet'!$A:$DD,CC1,0)</f>
        <v>968</v>
      </c>
      <c r="CD7" s="26">
        <f>VLOOKUP($G$7&amp;$F$1,'Input RM sheet'!$A:$DD,CD1,0)</f>
        <v>1008</v>
      </c>
      <c r="CE7" s="26">
        <f>VLOOKUP($G$7&amp;$F$1,'Input RM sheet'!$A:$DD,CE1,0)</f>
        <v>1008</v>
      </c>
      <c r="CF7" s="26">
        <f>VLOOKUP($G$7&amp;$F$1,'Input RM sheet'!$A:$DD,CF1,0)</f>
        <v>1003</v>
      </c>
      <c r="CG7" s="26">
        <f>VLOOKUP($G$7&amp;$F$1,'Input RM sheet'!$A:$DD,CG1,0)</f>
        <v>1003</v>
      </c>
      <c r="CH7" s="26">
        <f>VLOOKUP($G$7&amp;$F$1,'Input RM sheet'!$A:$DD,CH1,0)</f>
        <v>1003</v>
      </c>
      <c r="CI7" s="26">
        <f>VLOOKUP($G$7&amp;$F$1,'Input RM sheet'!$A:$DD,CI1,0)</f>
        <v>1003</v>
      </c>
      <c r="CJ7" s="26">
        <f>VLOOKUP($G$7&amp;$F$1,'Input RM sheet'!$A:$DD,CJ1,0)</f>
        <v>1003</v>
      </c>
      <c r="CK7" s="26">
        <f>VLOOKUP($G$7&amp;$F$1,'Input RM sheet'!$A:$DD,CK1,0)</f>
        <v>1006</v>
      </c>
      <c r="CL7" s="26">
        <f>VLOOKUP($G$7&amp;$F$1,'Input RM sheet'!$A:$DD,CL1,0)</f>
        <v>999</v>
      </c>
      <c r="CM7" s="26">
        <f>VLOOKUP($G$7&amp;$F$1,'Input RM sheet'!$A:$DD,CM1,0)</f>
        <v>880</v>
      </c>
      <c r="CN7" s="26">
        <f>VLOOKUP($G$7&amp;$F$1,'Input RM sheet'!$A:$DD,CN1,0)</f>
        <v>860</v>
      </c>
      <c r="CO7" s="26">
        <f>VLOOKUP($G$7&amp;$F$1,'Input RM sheet'!$A:$DD,CO1,0)</f>
        <v>855</v>
      </c>
      <c r="CP7" s="26">
        <f>VLOOKUP($G$7&amp;$F$1,'Input RM sheet'!$A:$DD,CP1,0)</f>
        <v>855</v>
      </c>
      <c r="CQ7" s="26">
        <f>VLOOKUP($G$7&amp;$F$1,'Input RM sheet'!$A:$DD,CQ1,0)</f>
        <v>855</v>
      </c>
      <c r="CR7" s="26">
        <f>VLOOKUP($G$7&amp;$F$1,'Input RM sheet'!$A:$DD,CR1,0)</f>
        <v>855</v>
      </c>
      <c r="CS7" s="26">
        <f>VLOOKUP($G$7&amp;$F$1,'Input RM sheet'!$A:$DD,CS1,0)</f>
        <v>855</v>
      </c>
      <c r="CT7" s="26">
        <f>VLOOKUP($G$7&amp;$F$1,'Input RM sheet'!$A:$DD,CT1,0)</f>
        <v>929</v>
      </c>
      <c r="CU7" s="26">
        <f>VLOOKUP($G$7&amp;$F$1,'Input RM sheet'!$A:$ZZ,CU1,0)</f>
        <v>929</v>
      </c>
      <c r="CV7" s="26">
        <f>VLOOKUP($G$7&amp;$F$1,'Input RM sheet'!$A:$ZZ,CV1,0)</f>
        <v>924</v>
      </c>
      <c r="CW7" s="26">
        <f>VLOOKUP($G$7&amp;$F$1,'Input RM sheet'!$A:$ZZ,CW1,0)</f>
        <v>924</v>
      </c>
      <c r="CX7" s="26">
        <f>VLOOKUP($G$7&amp;$F$1,'Input RM sheet'!$A:$ZZ,CX1,0)</f>
        <v>924</v>
      </c>
      <c r="CY7" s="26">
        <f>VLOOKUP($G$7&amp;$F$1,'Input RM sheet'!$A:$ZZ,CY1,0)</f>
        <v>924</v>
      </c>
      <c r="CZ7" s="26">
        <f>VLOOKUP($G$7&amp;$F$1,'Input RM sheet'!$A:$ZZ,CZ1,0)</f>
        <v>929</v>
      </c>
      <c r="DA7" s="26">
        <f>VLOOKUP($G$7&amp;$F$1,'Input RM sheet'!$A:$ZZ,DA1,0)</f>
        <v>924</v>
      </c>
      <c r="DB7" s="26">
        <f>VLOOKUP($G$7&amp;$F$1,'Input RM sheet'!$A:$ZZ,DB1,0)</f>
        <v>977</v>
      </c>
      <c r="DC7" s="26">
        <f>VLOOKUP($G$7&amp;$F$1,'Input RM sheet'!$A:$ZZ,DC1,0)</f>
        <v>978</v>
      </c>
      <c r="DD7" s="26">
        <f>VLOOKUP($G$7&amp;$F$1,'Input RM sheet'!$A:$ZZ,DD1,0)</f>
        <v>974</v>
      </c>
      <c r="DE7" s="26">
        <f>VLOOKUP($G$7&amp;$F$1,'Input RM sheet'!$A:$ZZ,DE1,0)</f>
        <v>939</v>
      </c>
      <c r="DF7" s="26">
        <f>VLOOKUP($G$7&amp;$F$1,'Input RM sheet'!$A:$ZZ,DF1,0)</f>
        <v>939</v>
      </c>
      <c r="DG7" s="26">
        <f>VLOOKUP($G$7&amp;$F$1,'Input RM sheet'!$A:$ZZ,DG1,0)</f>
        <v>939</v>
      </c>
      <c r="DH7" s="26">
        <f>VLOOKUP($G$7&amp;$F$1,'Input RM sheet'!$A:$ZZ,DH1,0)</f>
        <v>948</v>
      </c>
      <c r="DI7" s="26">
        <f>VLOOKUP($G$7&amp;$F$1,'Input RM sheet'!$A:$ZZ,DI1,0)</f>
        <v>948</v>
      </c>
      <c r="DJ7" s="26">
        <f>VLOOKUP($G$7&amp;$F$1,'Input RM sheet'!$A:$ZZ,DJ1,0)</f>
        <v>938</v>
      </c>
      <c r="DK7" s="26">
        <f>VLOOKUP($G$7&amp;$F$1,'Input RM sheet'!$A:$ZZ,DK1,0)</f>
        <v>938</v>
      </c>
      <c r="DL7" s="26">
        <f>VLOOKUP($G$7&amp;$F$1,'Input RM sheet'!$A:$ZZ,DL1,0)</f>
        <v>938</v>
      </c>
      <c r="DM7" s="26">
        <f>VLOOKUP($G$7&amp;$F$1,'Input RM sheet'!$A:$ZZ,DM1,0)</f>
        <v>918</v>
      </c>
      <c r="DN7" s="26">
        <f>VLOOKUP($G$7&amp;$F$1,'Input RM sheet'!$A:$ZZ,DN1,0)</f>
        <v>924</v>
      </c>
      <c r="DO7" s="26">
        <f>VLOOKUP($G$7&amp;$F$1,'Input RM sheet'!$A:$ZZ,DO1,0)</f>
        <v>924</v>
      </c>
      <c r="DP7" s="26">
        <f>VLOOKUP($G$7&amp;$F$1,'Input RM sheet'!$A:$ZZ,DP1,0)</f>
        <v>924</v>
      </c>
      <c r="DQ7" s="26">
        <f>VLOOKUP($G$7&amp;$F$1,'Input RM sheet'!$A:$ZZ,DQ1,0)</f>
        <v>924</v>
      </c>
      <c r="DR7" s="26">
        <f>VLOOKUP($G$7&amp;$F$1,'Input RM sheet'!$A:$ZZ,DR1,0)</f>
        <v>919</v>
      </c>
      <c r="DS7" s="26">
        <f>VLOOKUP($G$7&amp;$F$1,'Input RM sheet'!$A:$ZZ,DS1,0)</f>
        <v>0</v>
      </c>
      <c r="DT7" s="26">
        <f>VLOOKUP($G$7&amp;$F$1,'Input RM sheet'!$A:$ZZ,DT1,0)</f>
        <v>0</v>
      </c>
      <c r="DU7" s="26">
        <f>VLOOKUP($G$7&amp;$F$1,'Input RM sheet'!$A:$ZZ,DU1,0)</f>
        <v>0</v>
      </c>
      <c r="DV7" s="26">
        <f>VLOOKUP($G$7&amp;$F$1,'Input RM sheet'!$A:$ZZ,DV1,0)</f>
        <v>0</v>
      </c>
      <c r="DW7" s="26">
        <f>VLOOKUP($G$7&amp;$F$1,'Input RM sheet'!$A:$ZZ,DW1,0)</f>
        <v>0</v>
      </c>
      <c r="DX7" s="26">
        <f>VLOOKUP($G$7&amp;$F$1,'Input RM sheet'!$A:$ZZ,DX1,0)</f>
        <v>0</v>
      </c>
      <c r="DY7" s="26">
        <f>VLOOKUP($G$7&amp;$F$1,'Input RM sheet'!$A:$ZZ,DY1,0)</f>
        <v>0</v>
      </c>
      <c r="DZ7" s="26">
        <f>VLOOKUP($G$7&amp;$F$1,'Input RM sheet'!$A:$ZZ,DZ1,0)</f>
        <v>0</v>
      </c>
      <c r="EA7" s="26">
        <f>VLOOKUP($G$7&amp;$F$1,'Input RM sheet'!$A:$ZZ,EA1,0)</f>
        <v>0</v>
      </c>
      <c r="EB7" s="26">
        <f>VLOOKUP($G$7&amp;$F$1,'Input RM sheet'!$A:$ZZ,EB1,0)</f>
        <v>0</v>
      </c>
      <c r="EC7" s="26">
        <f>VLOOKUP($G$7&amp;$F$1,'Input RM sheet'!$A:$ZZ,EC1,0)</f>
        <v>0</v>
      </c>
      <c r="ED7" s="26">
        <f>VLOOKUP($G$7&amp;$F$1,'Input RM sheet'!$A:$ZZ,ED1,0)</f>
        <v>0</v>
      </c>
      <c r="EE7" s="26">
        <f>VLOOKUP($G$7&amp;$F$1,'Input RM sheet'!$A:$ZZ,EE1,0)</f>
        <v>0</v>
      </c>
      <c r="EF7" s="26">
        <f>VLOOKUP($G$7&amp;$F$1,'Input RM sheet'!$A:$ZZ,EF1,0)</f>
        <v>0</v>
      </c>
      <c r="EG7" s="26">
        <f>VLOOKUP($G$7&amp;$F$1,'Input RM sheet'!$A:$ZZ,EG1,0)</f>
        <v>0</v>
      </c>
      <c r="EH7" s="26">
        <f>VLOOKUP($G$7&amp;$F$1,'Input RM sheet'!$A:$ZZ,EH1,0)</f>
        <v>0</v>
      </c>
      <c r="EI7" s="26">
        <f>VLOOKUP($G$7&amp;$F$1,'Input RM sheet'!$A:$ZZ,EI1,0)</f>
        <v>0</v>
      </c>
      <c r="EJ7" s="26">
        <f>VLOOKUP($G$7&amp;$F$1,'Input RM sheet'!$A:$ZZ,EJ1,0)</f>
        <v>0</v>
      </c>
      <c r="EK7" s="26">
        <f>VLOOKUP($G$7&amp;$F$1,'Input RM sheet'!$A:$ZZ,EK1,0)</f>
        <v>0</v>
      </c>
      <c r="EL7" s="26">
        <f>VLOOKUP($G$7&amp;$F$1,'Input RM sheet'!$A:$ZZ,EL1,0)</f>
        <v>0</v>
      </c>
      <c r="EM7" s="26">
        <f>VLOOKUP($G$7&amp;$F$1,'Input RM sheet'!$A:$ZZ,EM1,0)</f>
        <v>0</v>
      </c>
      <c r="EN7" s="26">
        <f>VLOOKUP($G$7&amp;$F$1,'Input RM sheet'!$A:$ZZ,EN1,0)</f>
        <v>0</v>
      </c>
    </row>
    <row r="8" spans="1:144" s="25" customFormat="1" ht="15">
      <c r="A8" s="57" t="s">
        <v>395</v>
      </c>
      <c r="B8" s="57"/>
      <c r="C8" s="57" t="s">
        <v>379</v>
      </c>
      <c r="D8" s="57" t="s">
        <v>380</v>
      </c>
      <c r="E8" s="57" t="s">
        <v>381</v>
      </c>
      <c r="F8" s="57" t="s">
        <v>396</v>
      </c>
      <c r="G8" s="53" t="s">
        <v>399</v>
      </c>
      <c r="H8" s="167">
        <v>44562</v>
      </c>
      <c r="I8" s="167">
        <v>44593</v>
      </c>
      <c r="J8" s="167">
        <v>44621</v>
      </c>
      <c r="K8" s="167">
        <v>44652</v>
      </c>
      <c r="L8" s="167">
        <v>44682</v>
      </c>
      <c r="M8" s="167">
        <v>44713</v>
      </c>
      <c r="N8" s="167">
        <v>44743</v>
      </c>
      <c r="O8" s="167">
        <v>44774</v>
      </c>
      <c r="P8" s="167">
        <v>44805</v>
      </c>
      <c r="Q8" s="167">
        <v>44835</v>
      </c>
      <c r="R8" s="167">
        <v>44866</v>
      </c>
      <c r="S8" s="167">
        <v>44896</v>
      </c>
      <c r="T8" s="167">
        <v>44927</v>
      </c>
    </row>
    <row r="9" spans="1:144" ht="15">
      <c r="A9" s="54" t="s">
        <v>397</v>
      </c>
      <c r="B9" s="53" t="s">
        <v>51</v>
      </c>
      <c r="C9" s="8">
        <v>1</v>
      </c>
      <c r="D9" s="18">
        <v>78.11</v>
      </c>
      <c r="E9" s="8">
        <f>D9*C9</f>
        <v>78.11</v>
      </c>
      <c r="F9" s="20">
        <f>E9/$E$2</f>
        <v>0.735720744480446</v>
      </c>
      <c r="H9" s="19">
        <f>$F$9*(H6/1000)</f>
        <v>0.405731597562354</v>
      </c>
      <c r="I9" s="19">
        <f t="shared" ref="I9:BC9" si="0">$F$9*(I6/1000)</f>
        <v>0.35148574540747729</v>
      </c>
      <c r="J9" s="19">
        <f t="shared" si="0"/>
        <v>0.21354712631695216</v>
      </c>
      <c r="K9" s="19">
        <f t="shared" si="0"/>
        <v>0.14289185816459807</v>
      </c>
      <c r="L9" s="19">
        <f t="shared" si="0"/>
        <v>0.19656005890035916</v>
      </c>
      <c r="M9" s="19">
        <f t="shared" si="0"/>
        <v>0.26706663024640187</v>
      </c>
      <c r="N9" s="19">
        <f t="shared" si="0"/>
        <v>0.28766681109185438</v>
      </c>
      <c r="O9" s="19">
        <f t="shared" si="0"/>
        <v>0.29428829779217841</v>
      </c>
      <c r="P9" s="19">
        <f t="shared" si="0"/>
        <v>0.29502401853665888</v>
      </c>
      <c r="Q9" s="19">
        <f t="shared" si="0"/>
        <v>0.28545964885841307</v>
      </c>
      <c r="R9" s="19">
        <f t="shared" si="0"/>
        <v>0.28104532439153035</v>
      </c>
      <c r="S9" s="19">
        <f t="shared" si="0"/>
        <v>0.32997075389948005</v>
      </c>
      <c r="T9" s="19">
        <f t="shared" si="0"/>
        <v>0.3788961834074297</v>
      </c>
      <c r="U9" s="19">
        <f t="shared" si="0"/>
        <v>0.40243924723080399</v>
      </c>
      <c r="V9" s="19">
        <f t="shared" si="0"/>
        <v>0.4120036169090498</v>
      </c>
      <c r="W9" s="19">
        <f t="shared" si="0"/>
        <v>0.42230370733177597</v>
      </c>
      <c r="X9" s="19">
        <f t="shared" si="0"/>
        <v>0.43848956371034581</v>
      </c>
      <c r="Y9" s="19">
        <f t="shared" si="0"/>
        <v>0.47380415944540721</v>
      </c>
      <c r="Z9" s="19">
        <f t="shared" si="0"/>
        <v>0.5038767448760455</v>
      </c>
      <c r="AA9" s="19">
        <f t="shared" si="0"/>
        <v>0.49624364215206079</v>
      </c>
      <c r="AB9" s="19">
        <f t="shared" si="0"/>
        <v>0.48741499321829546</v>
      </c>
      <c r="AC9" s="19">
        <f t="shared" si="0"/>
        <v>0.56470245742596625</v>
      </c>
      <c r="AD9" s="19">
        <f t="shared" si="0"/>
        <v>0.55608716750810039</v>
      </c>
      <c r="AE9" s="19">
        <f t="shared" si="0"/>
        <v>0.5100016200738452</v>
      </c>
      <c r="AF9" s="19">
        <f t="shared" si="0"/>
        <v>0.57047786527013777</v>
      </c>
      <c r="AG9" s="19">
        <f t="shared" si="0"/>
        <v>0.63271984025318351</v>
      </c>
      <c r="AH9" s="19">
        <f t="shared" si="0"/>
        <v>0.74381367266973086</v>
      </c>
      <c r="AI9" s="19">
        <f t="shared" si="0"/>
        <v>0.66435583226584272</v>
      </c>
      <c r="AJ9" s="19">
        <f t="shared" si="0"/>
        <v>0.66509155301032319</v>
      </c>
      <c r="AK9" s="19">
        <f t="shared" si="0"/>
        <v>0.60917677642980927</v>
      </c>
      <c r="AL9" s="19">
        <f t="shared" si="0"/>
        <v>0.58195510888403279</v>
      </c>
      <c r="AM9" s="19">
        <f t="shared" si="0"/>
        <v>0.51574024188079259</v>
      </c>
      <c r="AN9" s="19">
        <f t="shared" si="0"/>
        <v>0.4863114121015748</v>
      </c>
      <c r="AO9" s="19">
        <f t="shared" si="0"/>
        <v>0.50249726848014464</v>
      </c>
      <c r="AP9" s="19">
        <f t="shared" si="0"/>
        <v>0.50985447592494904</v>
      </c>
      <c r="AQ9" s="19">
        <f t="shared" si="0"/>
        <v>0.46019332567251892</v>
      </c>
      <c r="AR9" s="19">
        <f t="shared" si="0"/>
        <v>0.52236172858111662</v>
      </c>
      <c r="AS9" s="19">
        <f t="shared" si="0"/>
        <v>0.52971893602592113</v>
      </c>
      <c r="AT9" s="19">
        <f t="shared" si="0"/>
        <v>0.61800542536357461</v>
      </c>
      <c r="AU9" s="19">
        <f t="shared" si="0"/>
        <v>0.71732772586843485</v>
      </c>
      <c r="AV9" s="19">
        <f t="shared" si="0"/>
        <v>0.61432682164117236</v>
      </c>
      <c r="AW9" s="19">
        <f t="shared" si="0"/>
        <v>0.49293289880189883</v>
      </c>
      <c r="AX9" s="19">
        <f t="shared" si="0"/>
        <v>0.52420103044231781</v>
      </c>
      <c r="AY9" s="19">
        <f t="shared" si="0"/>
        <v>0.57386218069474793</v>
      </c>
      <c r="AZ9" s="19">
        <f t="shared" si="0"/>
        <v>0.5915194785622786</v>
      </c>
      <c r="BA9" s="19">
        <f t="shared" si="0"/>
        <v>0.61947686685253556</v>
      </c>
      <c r="BB9" s="19">
        <f>$F$9*(BB6/1000)</f>
        <v>0.64228420993142932</v>
      </c>
      <c r="BC9" s="19">
        <f t="shared" si="0"/>
        <v>0.63492700248662493</v>
      </c>
      <c r="BD9" s="19">
        <f t="shared" ref="BD9:BI9" si="1">$F$9*(BD6/1000)</f>
        <v>0.64449137216487073</v>
      </c>
      <c r="BE9" s="19">
        <f t="shared" si="1"/>
        <v>0.64449137216487073</v>
      </c>
      <c r="BF9" s="19">
        <f t="shared" si="1"/>
        <v>0.63639844397558576</v>
      </c>
      <c r="BG9" s="19">
        <f t="shared" si="1"/>
        <v>0.68422029236681481</v>
      </c>
      <c r="BH9" s="19">
        <f t="shared" si="1"/>
        <v>0.7430779519252505</v>
      </c>
      <c r="BI9" s="19">
        <f t="shared" si="1"/>
        <v>0.6989347072564237</v>
      </c>
      <c r="BJ9" s="19">
        <f t="shared" ref="BJ9:BO9" si="2">$F$9*(BJ6/1000)</f>
        <v>0.65332002109863607</v>
      </c>
      <c r="BK9" s="19">
        <f t="shared" si="2"/>
        <v>0.66288439077688188</v>
      </c>
      <c r="BL9" s="19">
        <f t="shared" si="2"/>
        <v>0.64890569663175335</v>
      </c>
      <c r="BM9" s="19">
        <f t="shared" si="2"/>
        <v>0.64890569663175335</v>
      </c>
      <c r="BN9" s="19">
        <f t="shared" si="2"/>
        <v>0.64890569663175335</v>
      </c>
      <c r="BO9" s="19">
        <f t="shared" si="2"/>
        <v>0.62021258759701592</v>
      </c>
      <c r="BP9" s="19">
        <f t="shared" ref="BP9:BU9" si="3">$F$9*(BP6/1000)</f>
        <v>0.6378698854645467</v>
      </c>
      <c r="BQ9" s="19">
        <f t="shared" si="3"/>
        <v>0.62241974983045734</v>
      </c>
      <c r="BR9" s="19">
        <f t="shared" si="3"/>
        <v>0.60770533494084833</v>
      </c>
      <c r="BS9" s="19">
        <f t="shared" si="3"/>
        <v>0.59961240675156346</v>
      </c>
      <c r="BT9" s="19">
        <f t="shared" si="3"/>
        <v>0.63492700248662493</v>
      </c>
      <c r="BU9" s="19">
        <f t="shared" si="3"/>
        <v>0.62904123653078137</v>
      </c>
      <c r="BV9" s="19">
        <f>$F$9*(BV6/1000)</f>
        <v>0.64154848918694896</v>
      </c>
      <c r="BW9" s="19">
        <f>$F$9*(BW6/1000)</f>
        <v>0.67686308492201031</v>
      </c>
      <c r="BX9" s="19">
        <f>$F$9*(BX6/1000)</f>
        <v>0.67833452641097125</v>
      </c>
      <c r="BY9" s="19">
        <f t="shared" ref="BY9:CG9" si="4">$F$9*(BY6/1000)</f>
        <v>0.71732772586843485</v>
      </c>
      <c r="BZ9" s="19">
        <f t="shared" si="4"/>
        <v>0.72468493331323924</v>
      </c>
      <c r="CA9" s="19">
        <f t="shared" si="4"/>
        <v>0.75337804234797667</v>
      </c>
      <c r="CB9" s="19">
        <f t="shared" si="4"/>
        <v>0.75190660085901584</v>
      </c>
      <c r="CC9" s="19">
        <f t="shared" si="4"/>
        <v>0.7430779519252505</v>
      </c>
      <c r="CD9" s="19">
        <f t="shared" si="4"/>
        <v>0.73204214075804375</v>
      </c>
      <c r="CE9" s="19">
        <f t="shared" si="4"/>
        <v>0.74602083490317228</v>
      </c>
      <c r="CF9" s="19">
        <f t="shared" si="4"/>
        <v>0.74602083490317228</v>
      </c>
      <c r="CG9" s="19">
        <f t="shared" si="4"/>
        <v>0.74896371788109406</v>
      </c>
      <c r="CH9" s="19">
        <f>$F$9*(CH6/1000)</f>
        <v>0.78354259287167494</v>
      </c>
      <c r="CI9" s="19">
        <f>$F$9*(CI6/1000)</f>
        <v>0.77397822319342924</v>
      </c>
      <c r="CJ9" s="19">
        <f>$F$9*(CJ6/1000)</f>
        <v>0.76809245723758568</v>
      </c>
      <c r="CK9" s="19">
        <f>$F$9*(CK6/1000)</f>
        <v>0.76147097053726154</v>
      </c>
      <c r="CL9" s="19">
        <f t="shared" ref="CL9:CQ9" si="5">$F$9*(CL6/1000)</f>
        <v>0.75411376309245703</v>
      </c>
      <c r="CM9" s="19">
        <f t="shared" si="5"/>
        <v>0.74602083490317228</v>
      </c>
      <c r="CN9" s="19">
        <f t="shared" si="5"/>
        <v>0.75117088011453526</v>
      </c>
      <c r="CO9" s="19">
        <f t="shared" si="5"/>
        <v>0.75411376309245703</v>
      </c>
      <c r="CP9" s="19">
        <f t="shared" si="5"/>
        <v>0.7651495742596639</v>
      </c>
      <c r="CQ9" s="19">
        <f t="shared" si="5"/>
        <v>0.7651495742596639</v>
      </c>
      <c r="CR9" s="19">
        <f t="shared" ref="CR9:CY9" si="6">$F$9*(CR6/1000)</f>
        <v>0.73866362745836778</v>
      </c>
      <c r="CS9" s="19">
        <f t="shared" si="6"/>
        <v>0.72174205033531746</v>
      </c>
      <c r="CT9" s="19">
        <f t="shared" si="6"/>
        <v>0.75632092532589845</v>
      </c>
      <c r="CU9" s="19">
        <f t="shared" si="6"/>
        <v>0.73939934820284814</v>
      </c>
      <c r="CV9" s="19">
        <f t="shared" si="6"/>
        <v>0.73277786150252422</v>
      </c>
      <c r="CW9" s="19">
        <f t="shared" si="6"/>
        <v>0.72983497852460244</v>
      </c>
      <c r="CX9" s="19">
        <f t="shared" si="6"/>
        <v>0.70702763544570857</v>
      </c>
      <c r="CY9" s="19">
        <f t="shared" si="6"/>
        <v>0.7379279067138873</v>
      </c>
      <c r="CZ9" s="19">
        <f t="shared" ref="CZ9:EA9" si="7">$F$9*(CZ6/1000)</f>
        <v>0.74381367266973086</v>
      </c>
      <c r="DA9" s="19">
        <f t="shared" si="7"/>
        <v>0.72615637480220019</v>
      </c>
      <c r="DB9" s="19">
        <f t="shared" si="7"/>
        <v>0.73204214075804375</v>
      </c>
      <c r="DC9" s="19">
        <f t="shared" si="7"/>
        <v>0.7210063295908371</v>
      </c>
      <c r="DD9" s="19">
        <f t="shared" si="7"/>
        <v>0.68789889608921706</v>
      </c>
      <c r="DE9" s="19">
        <f t="shared" si="7"/>
        <v>0.69304894130058015</v>
      </c>
      <c r="DF9" s="19">
        <f t="shared" si="7"/>
        <v>0.68642745460025612</v>
      </c>
      <c r="DG9" s="19">
        <f t="shared" si="7"/>
        <v>0.72247777107979794</v>
      </c>
      <c r="DH9" s="19">
        <f t="shared" si="7"/>
        <v>0.65332002109863607</v>
      </c>
      <c r="DI9" s="19">
        <f t="shared" si="7"/>
        <v>0.65037713812071429</v>
      </c>
      <c r="DJ9" s="19">
        <f t="shared" si="7"/>
        <v>0.64743425514279251</v>
      </c>
      <c r="DK9" s="19">
        <f t="shared" si="7"/>
        <v>0.6599415077989601</v>
      </c>
      <c r="DL9" s="19">
        <f t="shared" si="7"/>
        <v>0.63345556099766398</v>
      </c>
      <c r="DM9" s="19">
        <f t="shared" si="7"/>
        <v>0.6452270929093511</v>
      </c>
      <c r="DN9" s="19">
        <f t="shared" si="7"/>
        <v>0.63419128174214445</v>
      </c>
      <c r="DO9" s="19">
        <f t="shared" si="7"/>
        <v>0.64301993067590979</v>
      </c>
      <c r="DP9" s="19">
        <f t="shared" si="7"/>
        <v>0.64596281365383157</v>
      </c>
      <c r="DQ9" s="19">
        <f t="shared" si="7"/>
        <v>0.65111285886519477</v>
      </c>
      <c r="DR9" s="19">
        <f t="shared" si="7"/>
        <v>0.63934132695350754</v>
      </c>
      <c r="DS9" s="19">
        <f t="shared" si="7"/>
        <v>0</v>
      </c>
      <c r="DT9" s="19">
        <f t="shared" si="7"/>
        <v>0</v>
      </c>
      <c r="DU9" s="19">
        <f t="shared" si="7"/>
        <v>0</v>
      </c>
      <c r="DV9" s="19">
        <f t="shared" si="7"/>
        <v>0</v>
      </c>
      <c r="DW9" s="19">
        <f t="shared" si="7"/>
        <v>0</v>
      </c>
      <c r="DX9" s="19">
        <f t="shared" si="7"/>
        <v>0</v>
      </c>
      <c r="DY9" s="19">
        <f t="shared" si="7"/>
        <v>0</v>
      </c>
      <c r="DZ9" s="19">
        <f t="shared" si="7"/>
        <v>0</v>
      </c>
      <c r="EA9" s="19">
        <f t="shared" si="7"/>
        <v>0</v>
      </c>
      <c r="EB9" s="19">
        <f t="shared" ref="EB9:EN9" si="8">$F$9*(EB6/1000)</f>
        <v>0</v>
      </c>
      <c r="EC9" s="19">
        <f t="shared" si="8"/>
        <v>0</v>
      </c>
      <c r="ED9" s="19">
        <f t="shared" si="8"/>
        <v>0</v>
      </c>
      <c r="EE9" s="19">
        <f t="shared" si="8"/>
        <v>0</v>
      </c>
      <c r="EF9" s="19">
        <f t="shared" si="8"/>
        <v>0</v>
      </c>
      <c r="EG9" s="19">
        <f t="shared" si="8"/>
        <v>0</v>
      </c>
      <c r="EH9" s="19">
        <f t="shared" si="8"/>
        <v>0</v>
      </c>
      <c r="EI9" s="19">
        <f t="shared" si="8"/>
        <v>0</v>
      </c>
      <c r="EJ9" s="19">
        <f t="shared" si="8"/>
        <v>0</v>
      </c>
      <c r="EK9" s="19">
        <f t="shared" si="8"/>
        <v>0</v>
      </c>
      <c r="EL9" s="19">
        <f t="shared" si="8"/>
        <v>0</v>
      </c>
      <c r="EM9" s="19">
        <f t="shared" si="8"/>
        <v>0</v>
      </c>
      <c r="EN9" s="19">
        <f t="shared" si="8"/>
        <v>0</v>
      </c>
    </row>
    <row r="10" spans="1:144">
      <c r="A10" s="22"/>
      <c r="B10" s="8" t="s">
        <v>570</v>
      </c>
      <c r="C10" s="8">
        <v>1</v>
      </c>
      <c r="D10" s="18">
        <v>28.05</v>
      </c>
      <c r="E10" s="8">
        <f>D10*C10</f>
        <v>28.05</v>
      </c>
      <c r="F10" s="20">
        <f>E10/$E$2</f>
        <v>0.26420390324768289</v>
      </c>
      <c r="H10" s="19">
        <f>$F$10*(H7/1000)</f>
        <v>0.22325229824429205</v>
      </c>
      <c r="I10" s="19">
        <f t="shared" ref="I10:BC10" si="9">$F$10*(I7/1000)</f>
        <v>0.18362171275713959</v>
      </c>
      <c r="J10" s="19">
        <f t="shared" si="9"/>
        <v>0.18362171275713959</v>
      </c>
      <c r="K10" s="19">
        <f t="shared" si="9"/>
        <v>0.10171850275035792</v>
      </c>
      <c r="L10" s="19">
        <f t="shared" si="9"/>
        <v>0.18097967372466278</v>
      </c>
      <c r="M10" s="19">
        <f t="shared" si="9"/>
        <v>0.22325229824429205</v>
      </c>
      <c r="N10" s="19">
        <f t="shared" si="9"/>
        <v>0.21400516163062316</v>
      </c>
      <c r="O10" s="19">
        <f t="shared" si="9"/>
        <v>0.19154782985457008</v>
      </c>
      <c r="P10" s="19">
        <f t="shared" si="9"/>
        <v>0.22985739582548412</v>
      </c>
      <c r="Q10" s="19">
        <f t="shared" si="9"/>
        <v>0.21136312259814632</v>
      </c>
      <c r="R10" s="19">
        <f t="shared" si="9"/>
        <v>0.26156186421520605</v>
      </c>
      <c r="S10" s="19">
        <f t="shared" si="9"/>
        <v>0.26420390324768289</v>
      </c>
      <c r="T10" s="19">
        <f t="shared" si="9"/>
        <v>0.24438861050410668</v>
      </c>
      <c r="U10" s="19">
        <f t="shared" si="9"/>
        <v>0.25891982518272921</v>
      </c>
      <c r="V10" s="19">
        <f t="shared" si="9"/>
        <v>0.27741409841006703</v>
      </c>
      <c r="W10" s="19">
        <f t="shared" si="9"/>
        <v>0.29326633260492802</v>
      </c>
      <c r="X10" s="19">
        <f t="shared" si="9"/>
        <v>0.27952772963604849</v>
      </c>
      <c r="Y10" s="19">
        <f t="shared" si="9"/>
        <v>0.22985739582548412</v>
      </c>
      <c r="Z10" s="19">
        <f t="shared" si="9"/>
        <v>0.26552492276392126</v>
      </c>
      <c r="AA10" s="19">
        <f t="shared" si="9"/>
        <v>0.25363574711777559</v>
      </c>
      <c r="AB10" s="19">
        <f t="shared" si="9"/>
        <v>0.30119244970235848</v>
      </c>
      <c r="AC10" s="19">
        <f t="shared" si="9"/>
        <v>0.31704468389721946</v>
      </c>
      <c r="AD10" s="19">
        <f t="shared" si="9"/>
        <v>0.29855041066988164</v>
      </c>
      <c r="AE10" s="19">
        <f t="shared" si="9"/>
        <v>0.27873511792630545</v>
      </c>
      <c r="AF10" s="19">
        <f t="shared" si="9"/>
        <v>0.24306759098786826</v>
      </c>
      <c r="AG10" s="19">
        <f t="shared" si="9"/>
        <v>0.32232876196217314</v>
      </c>
      <c r="AH10" s="19">
        <f t="shared" si="9"/>
        <v>0.35931730841684878</v>
      </c>
      <c r="AI10" s="19">
        <f t="shared" si="9"/>
        <v>0.3434650742219878</v>
      </c>
      <c r="AJ10" s="19">
        <f t="shared" si="9"/>
        <v>0.28798225453997439</v>
      </c>
      <c r="AK10" s="19">
        <f t="shared" si="9"/>
        <v>0.25891982518272921</v>
      </c>
      <c r="AL10" s="19">
        <f t="shared" si="9"/>
        <v>0.23778351292291461</v>
      </c>
      <c r="AM10" s="19">
        <f t="shared" si="9"/>
        <v>0.21928923969557679</v>
      </c>
      <c r="AN10" s="19">
        <f t="shared" si="9"/>
        <v>0.25627778615025237</v>
      </c>
      <c r="AO10" s="19">
        <f t="shared" si="9"/>
        <v>0.23249943485796096</v>
      </c>
      <c r="AP10" s="19">
        <f t="shared" si="9"/>
        <v>0.23249943485796096</v>
      </c>
      <c r="AQ10" s="19">
        <f t="shared" si="9"/>
        <v>0.23249943485796096</v>
      </c>
      <c r="AR10" s="19">
        <f t="shared" si="9"/>
        <v>0.20607904453319267</v>
      </c>
      <c r="AS10" s="19">
        <f t="shared" si="9"/>
        <v>0.24835166905282191</v>
      </c>
      <c r="AT10" s="19">
        <f t="shared" si="9"/>
        <v>0.25099370808529875</v>
      </c>
      <c r="AU10" s="19">
        <f t="shared" si="9"/>
        <v>0.24306759098786826</v>
      </c>
      <c r="AV10" s="19">
        <f t="shared" si="9"/>
        <v>0.24306759098786826</v>
      </c>
      <c r="AW10" s="19">
        <f t="shared" si="9"/>
        <v>0.18890579082209327</v>
      </c>
      <c r="AX10" s="19">
        <f t="shared" si="9"/>
        <v>0.18890579082209327</v>
      </c>
      <c r="AY10" s="19">
        <f t="shared" si="9"/>
        <v>0.18890579082209327</v>
      </c>
      <c r="AZ10" s="19">
        <f t="shared" si="9"/>
        <v>0.18758477130585485</v>
      </c>
      <c r="BA10" s="19">
        <f t="shared" si="9"/>
        <v>0.18758477130585485</v>
      </c>
      <c r="BB10" s="19">
        <f>$F$10*(BB7/1000)</f>
        <v>0.20343700550071583</v>
      </c>
      <c r="BC10" s="19">
        <f t="shared" si="9"/>
        <v>0.20343700550071583</v>
      </c>
      <c r="BD10" s="19">
        <f t="shared" ref="BD10:BI10" si="10">$F$10*(BD7/1000)</f>
        <v>0.22721535679300728</v>
      </c>
      <c r="BE10" s="19">
        <f t="shared" si="10"/>
        <v>0.22721535679300728</v>
      </c>
      <c r="BF10" s="19">
        <f t="shared" si="10"/>
        <v>0.21928923969557679</v>
      </c>
      <c r="BG10" s="19">
        <f t="shared" si="10"/>
        <v>0.22457331776053044</v>
      </c>
      <c r="BH10" s="19">
        <f t="shared" si="10"/>
        <v>0.2285363763092457</v>
      </c>
      <c r="BI10" s="19">
        <f t="shared" si="10"/>
        <v>0.23725510511641923</v>
      </c>
      <c r="BJ10" s="19">
        <f t="shared" ref="BJ10:BO10" si="11">$F$10*(BJ7/1000)</f>
        <v>0.23725510511641923</v>
      </c>
      <c r="BK10" s="19">
        <f t="shared" si="11"/>
        <v>0.23514147389043777</v>
      </c>
      <c r="BL10" s="19">
        <f t="shared" si="11"/>
        <v>0.23514147389043777</v>
      </c>
      <c r="BM10" s="19">
        <f t="shared" si="11"/>
        <v>0.23249943485796096</v>
      </c>
      <c r="BN10" s="19">
        <f t="shared" si="11"/>
        <v>0.24940848466581264</v>
      </c>
      <c r="BO10" s="19">
        <f t="shared" si="11"/>
        <v>0.24782326124632653</v>
      </c>
      <c r="BP10" s="19">
        <f t="shared" ref="BP10:BU10" si="12">$F$10*(BP7/1000)</f>
        <v>0.24782326124632653</v>
      </c>
      <c r="BQ10" s="19">
        <f t="shared" si="12"/>
        <v>0.24782326124632653</v>
      </c>
      <c r="BR10" s="19">
        <f t="shared" si="12"/>
        <v>0.24782326124632653</v>
      </c>
      <c r="BS10" s="19">
        <f t="shared" si="12"/>
        <v>0.23487726998719011</v>
      </c>
      <c r="BT10" s="19">
        <f t="shared" si="12"/>
        <v>0.22457331776053044</v>
      </c>
      <c r="BU10" s="19">
        <f t="shared" si="12"/>
        <v>0.22430911385728278</v>
      </c>
      <c r="BV10" s="19">
        <f>$F$10*(BV7/1000)</f>
        <v>0.22430911385728278</v>
      </c>
      <c r="BW10" s="19">
        <f>$F$10*(BW7/1000)</f>
        <v>0.22985739582548412</v>
      </c>
      <c r="BX10" s="19">
        <f>$F$10*(BX7/1000)</f>
        <v>0.23461306608394242</v>
      </c>
      <c r="BY10" s="19">
        <f t="shared" ref="BY10:CG10" si="13">$F$10*(BY7/1000)</f>
        <v>0.2457096300203451</v>
      </c>
      <c r="BZ10" s="19">
        <f t="shared" si="13"/>
        <v>0.25046530027880337</v>
      </c>
      <c r="CA10" s="19">
        <f t="shared" si="13"/>
        <v>0.25046530027880337</v>
      </c>
      <c r="CB10" s="19">
        <f t="shared" si="13"/>
        <v>0.25152211589179413</v>
      </c>
      <c r="CC10" s="19">
        <f t="shared" si="13"/>
        <v>0.25574937834375705</v>
      </c>
      <c r="CD10" s="19">
        <f t="shared" si="13"/>
        <v>0.26631753447366435</v>
      </c>
      <c r="CE10" s="19">
        <f t="shared" si="13"/>
        <v>0.26631753447366435</v>
      </c>
      <c r="CF10" s="19">
        <f t="shared" si="13"/>
        <v>0.26499651495742593</v>
      </c>
      <c r="CG10" s="19">
        <f t="shared" si="13"/>
        <v>0.26499651495742593</v>
      </c>
      <c r="CH10" s="19">
        <f>$F$10*(CH7/1000)</f>
        <v>0.26499651495742593</v>
      </c>
      <c r="CI10" s="19">
        <f>$F$10*(CI7/1000)</f>
        <v>0.26499651495742593</v>
      </c>
      <c r="CJ10" s="19">
        <f>$F$10*(CJ7/1000)</f>
        <v>0.26499651495742593</v>
      </c>
      <c r="CK10" s="19">
        <f>$F$10*(CK7/1000)</f>
        <v>0.26578912666716897</v>
      </c>
      <c r="CL10" s="19">
        <f t="shared" ref="CL10:CQ10" si="14">$F$10*(CL7/1000)</f>
        <v>0.26393969934443523</v>
      </c>
      <c r="CM10" s="19">
        <f t="shared" si="14"/>
        <v>0.23249943485796096</v>
      </c>
      <c r="CN10" s="19">
        <f t="shared" si="14"/>
        <v>0.22721535679300728</v>
      </c>
      <c r="CO10" s="19">
        <f t="shared" si="14"/>
        <v>0.22589433727676886</v>
      </c>
      <c r="CP10" s="19">
        <f t="shared" si="14"/>
        <v>0.22589433727676886</v>
      </c>
      <c r="CQ10" s="19">
        <f t="shared" si="14"/>
        <v>0.22589433727676886</v>
      </c>
      <c r="CR10" s="19">
        <f t="shared" ref="CR10:CY10" si="15">$F$10*(CR7/1000)</f>
        <v>0.22589433727676886</v>
      </c>
      <c r="CS10" s="19">
        <f t="shared" si="15"/>
        <v>0.22589433727676886</v>
      </c>
      <c r="CT10" s="19">
        <f t="shared" si="15"/>
        <v>0.24544542611709741</v>
      </c>
      <c r="CU10" s="19">
        <f t="shared" si="15"/>
        <v>0.24544542611709741</v>
      </c>
      <c r="CV10" s="19">
        <f t="shared" si="15"/>
        <v>0.24412440660085902</v>
      </c>
      <c r="CW10" s="19">
        <f t="shared" si="15"/>
        <v>0.24412440660085902</v>
      </c>
      <c r="CX10" s="19">
        <f t="shared" si="15"/>
        <v>0.24412440660085902</v>
      </c>
      <c r="CY10" s="19">
        <f t="shared" si="15"/>
        <v>0.24412440660085902</v>
      </c>
      <c r="CZ10" s="19">
        <f t="shared" ref="CZ10:EA10" si="16">$F$10*(CZ7/1000)</f>
        <v>0.24544542611709741</v>
      </c>
      <c r="DA10" s="19">
        <f t="shared" si="16"/>
        <v>0.24412440660085902</v>
      </c>
      <c r="DB10" s="19">
        <f t="shared" si="16"/>
        <v>0.25812721347298617</v>
      </c>
      <c r="DC10" s="19">
        <f t="shared" si="16"/>
        <v>0.25839141737623389</v>
      </c>
      <c r="DD10" s="19">
        <f t="shared" si="16"/>
        <v>0.25733460176324313</v>
      </c>
      <c r="DE10" s="19">
        <f t="shared" si="16"/>
        <v>0.24808746514957422</v>
      </c>
      <c r="DF10" s="19">
        <f t="shared" si="16"/>
        <v>0.24808746514957422</v>
      </c>
      <c r="DG10" s="19">
        <f t="shared" si="16"/>
        <v>0.24808746514957422</v>
      </c>
      <c r="DH10" s="19">
        <f t="shared" si="16"/>
        <v>0.25046530027880337</v>
      </c>
      <c r="DI10" s="19">
        <f t="shared" si="16"/>
        <v>0.25046530027880337</v>
      </c>
      <c r="DJ10" s="19">
        <f t="shared" si="16"/>
        <v>0.24782326124632653</v>
      </c>
      <c r="DK10" s="19">
        <f t="shared" si="16"/>
        <v>0.24782326124632653</v>
      </c>
      <c r="DL10" s="19">
        <f t="shared" si="16"/>
        <v>0.24782326124632653</v>
      </c>
      <c r="DM10" s="19">
        <f t="shared" si="16"/>
        <v>0.24253918318137291</v>
      </c>
      <c r="DN10" s="19">
        <f t="shared" si="16"/>
        <v>0.24412440660085902</v>
      </c>
      <c r="DO10" s="19">
        <f t="shared" si="16"/>
        <v>0.24412440660085902</v>
      </c>
      <c r="DP10" s="19">
        <f t="shared" si="16"/>
        <v>0.24412440660085902</v>
      </c>
      <c r="DQ10" s="19">
        <f t="shared" si="16"/>
        <v>0.24412440660085902</v>
      </c>
      <c r="DR10" s="19">
        <f t="shared" si="16"/>
        <v>0.2428033870846206</v>
      </c>
      <c r="DS10" s="19">
        <f t="shared" si="16"/>
        <v>0</v>
      </c>
      <c r="DT10" s="19">
        <f t="shared" si="16"/>
        <v>0</v>
      </c>
      <c r="DU10" s="19">
        <f t="shared" si="16"/>
        <v>0</v>
      </c>
      <c r="DV10" s="19">
        <f t="shared" si="16"/>
        <v>0</v>
      </c>
      <c r="DW10" s="19">
        <f t="shared" si="16"/>
        <v>0</v>
      </c>
      <c r="DX10" s="19">
        <f t="shared" si="16"/>
        <v>0</v>
      </c>
      <c r="DY10" s="19">
        <f t="shared" si="16"/>
        <v>0</v>
      </c>
      <c r="DZ10" s="19">
        <f t="shared" si="16"/>
        <v>0</v>
      </c>
      <c r="EA10" s="19">
        <f t="shared" si="16"/>
        <v>0</v>
      </c>
      <c r="EB10" s="19">
        <f t="shared" ref="EB10:EN10" si="17">$F$10*(EB7/1000)</f>
        <v>0</v>
      </c>
      <c r="EC10" s="19">
        <f t="shared" si="17"/>
        <v>0</v>
      </c>
      <c r="ED10" s="19">
        <f t="shared" si="17"/>
        <v>0</v>
      </c>
      <c r="EE10" s="19">
        <f t="shared" si="17"/>
        <v>0</v>
      </c>
      <c r="EF10" s="19">
        <f t="shared" si="17"/>
        <v>0</v>
      </c>
      <c r="EG10" s="19">
        <f t="shared" si="17"/>
        <v>0</v>
      </c>
      <c r="EH10" s="19">
        <f t="shared" si="17"/>
        <v>0</v>
      </c>
      <c r="EI10" s="19">
        <f t="shared" si="17"/>
        <v>0</v>
      </c>
      <c r="EJ10" s="19">
        <f t="shared" si="17"/>
        <v>0</v>
      </c>
      <c r="EK10" s="19">
        <f t="shared" si="17"/>
        <v>0</v>
      </c>
      <c r="EL10" s="19">
        <f t="shared" si="17"/>
        <v>0</v>
      </c>
      <c r="EM10" s="19">
        <f t="shared" si="17"/>
        <v>0</v>
      </c>
      <c r="EN10" s="19">
        <f t="shared" si="17"/>
        <v>0</v>
      </c>
    </row>
    <row r="11" spans="1:144" s="80" customFormat="1">
      <c r="A11" s="80" t="s">
        <v>400</v>
      </c>
      <c r="H11" s="121">
        <f>SUM(H9:H10)</f>
        <v>0.62898389580664604</v>
      </c>
      <c r="I11" s="121">
        <f t="shared" ref="I11:BC11" si="18">SUM(I9:I10)</f>
        <v>0.53510745816461691</v>
      </c>
      <c r="J11" s="121">
        <f t="shared" si="18"/>
        <v>0.39716883907409173</v>
      </c>
      <c r="K11" s="121">
        <f t="shared" si="18"/>
        <v>0.24461036091495597</v>
      </c>
      <c r="L11" s="121">
        <f t="shared" si="18"/>
        <v>0.37753973262502194</v>
      </c>
      <c r="M11" s="121">
        <f t="shared" si="18"/>
        <v>0.49031892849069392</v>
      </c>
      <c r="N11" s="121">
        <f t="shared" si="18"/>
        <v>0.50167197272247754</v>
      </c>
      <c r="O11" s="121">
        <f t="shared" si="18"/>
        <v>0.48583612764674849</v>
      </c>
      <c r="P11" s="121">
        <f t="shared" si="18"/>
        <v>0.52488141436214297</v>
      </c>
      <c r="Q11" s="121">
        <f t="shared" si="18"/>
        <v>0.4968227714565594</v>
      </c>
      <c r="R11" s="121">
        <f t="shared" si="18"/>
        <v>0.5426071886067364</v>
      </c>
      <c r="S11" s="121">
        <f t="shared" si="18"/>
        <v>0.59417465714716289</v>
      </c>
      <c r="T11" s="121">
        <f t="shared" si="18"/>
        <v>0.62328479391153635</v>
      </c>
      <c r="U11" s="121">
        <f t="shared" si="18"/>
        <v>0.6613590724135332</v>
      </c>
      <c r="V11" s="121">
        <f t="shared" si="18"/>
        <v>0.68941771531911678</v>
      </c>
      <c r="W11" s="121">
        <f t="shared" si="18"/>
        <v>0.71557003993670398</v>
      </c>
      <c r="X11" s="121">
        <f t="shared" si="18"/>
        <v>0.7180172933463943</v>
      </c>
      <c r="Y11" s="121">
        <f t="shared" si="18"/>
        <v>0.70366155527089136</v>
      </c>
      <c r="Z11" s="121">
        <f t="shared" si="18"/>
        <v>0.76940166763996676</v>
      </c>
      <c r="AA11" s="121">
        <f t="shared" si="18"/>
        <v>0.74987938926983633</v>
      </c>
      <c r="AB11" s="121">
        <f t="shared" si="18"/>
        <v>0.78860744292065399</v>
      </c>
      <c r="AC11" s="121">
        <f t="shared" si="18"/>
        <v>0.88174714132318566</v>
      </c>
      <c r="AD11" s="121">
        <f t="shared" si="18"/>
        <v>0.85463757817798203</v>
      </c>
      <c r="AE11" s="121">
        <f t="shared" si="18"/>
        <v>0.78873673800015065</v>
      </c>
      <c r="AF11" s="121">
        <f t="shared" si="18"/>
        <v>0.81354545625800601</v>
      </c>
      <c r="AG11" s="121">
        <f t="shared" si="18"/>
        <v>0.95504860221535659</v>
      </c>
      <c r="AH11" s="121">
        <f t="shared" si="18"/>
        <v>1.1031309810865797</v>
      </c>
      <c r="AI11" s="121">
        <f t="shared" si="18"/>
        <v>1.0078209064878305</v>
      </c>
      <c r="AJ11" s="121">
        <f t="shared" si="18"/>
        <v>0.95307380755029758</v>
      </c>
      <c r="AK11" s="121">
        <f t="shared" si="18"/>
        <v>0.86809660161253843</v>
      </c>
      <c r="AL11" s="121">
        <f t="shared" si="18"/>
        <v>0.81973862180694734</v>
      </c>
      <c r="AM11" s="121">
        <f t="shared" si="18"/>
        <v>0.73502948157636938</v>
      </c>
      <c r="AN11" s="121">
        <f t="shared" si="18"/>
        <v>0.74258919825182712</v>
      </c>
      <c r="AO11" s="121">
        <f t="shared" si="18"/>
        <v>0.73499670333810563</v>
      </c>
      <c r="AP11" s="121">
        <f t="shared" si="18"/>
        <v>0.74235391078291002</v>
      </c>
      <c r="AQ11" s="121">
        <f t="shared" si="18"/>
        <v>0.6926927605304799</v>
      </c>
      <c r="AR11" s="121">
        <f t="shared" si="18"/>
        <v>0.72844077311430933</v>
      </c>
      <c r="AS11" s="121">
        <f t="shared" si="18"/>
        <v>0.77807060507874304</v>
      </c>
      <c r="AT11" s="121">
        <f t="shared" si="18"/>
        <v>0.86899913344887336</v>
      </c>
      <c r="AU11" s="121">
        <f t="shared" si="18"/>
        <v>0.96039531685630308</v>
      </c>
      <c r="AV11" s="121">
        <f t="shared" si="18"/>
        <v>0.85739441262904059</v>
      </c>
      <c r="AW11" s="121">
        <f t="shared" si="18"/>
        <v>0.68183868962399208</v>
      </c>
      <c r="AX11" s="121">
        <f t="shared" si="18"/>
        <v>0.71310682126441105</v>
      </c>
      <c r="AY11" s="121">
        <f t="shared" si="18"/>
        <v>0.76276797151684117</v>
      </c>
      <c r="AZ11" s="121">
        <f t="shared" si="18"/>
        <v>0.77910424986813342</v>
      </c>
      <c r="BA11" s="121">
        <f t="shared" si="18"/>
        <v>0.80706163815839038</v>
      </c>
      <c r="BB11" s="121">
        <f>SUM(BB9:BB10)</f>
        <v>0.84572121543214518</v>
      </c>
      <c r="BC11" s="121">
        <f t="shared" si="18"/>
        <v>0.83836400798734079</v>
      </c>
      <c r="BD11" s="121">
        <f t="shared" ref="BD11:BI11" si="19">SUM(BD9:BD10)</f>
        <v>0.87170672895787804</v>
      </c>
      <c r="BE11" s="121">
        <f t="shared" si="19"/>
        <v>0.87170672895787804</v>
      </c>
      <c r="BF11" s="121">
        <f t="shared" si="19"/>
        <v>0.85568768367116255</v>
      </c>
      <c r="BG11" s="121">
        <f t="shared" si="19"/>
        <v>0.90879361012734527</v>
      </c>
      <c r="BH11" s="121">
        <f t="shared" si="19"/>
        <v>0.97161432823449623</v>
      </c>
      <c r="BI11" s="121">
        <f t="shared" si="19"/>
        <v>0.93618981237284293</v>
      </c>
      <c r="BJ11" s="121">
        <f t="shared" ref="BJ11:BO11" si="20">SUM(BJ9:BJ10)</f>
        <v>0.8905751262150553</v>
      </c>
      <c r="BK11" s="121">
        <f t="shared" si="20"/>
        <v>0.8980258646673196</v>
      </c>
      <c r="BL11" s="121">
        <f t="shared" si="20"/>
        <v>0.88404717052219106</v>
      </c>
      <c r="BM11" s="121">
        <f t="shared" si="20"/>
        <v>0.88140513148971433</v>
      </c>
      <c r="BN11" s="121">
        <f t="shared" si="20"/>
        <v>0.89831418129756602</v>
      </c>
      <c r="BO11" s="121">
        <f t="shared" si="20"/>
        <v>0.86803584884334239</v>
      </c>
      <c r="BP11" s="121">
        <f t="shared" ref="BP11:BU11" si="21">SUM(BP9:BP10)</f>
        <v>0.88569314671087329</v>
      </c>
      <c r="BQ11" s="121">
        <f t="shared" si="21"/>
        <v>0.87024301107678381</v>
      </c>
      <c r="BR11" s="121">
        <f t="shared" si="21"/>
        <v>0.85552859618717481</v>
      </c>
      <c r="BS11" s="121">
        <f t="shared" si="21"/>
        <v>0.83448967673875352</v>
      </c>
      <c r="BT11" s="121">
        <f t="shared" si="21"/>
        <v>0.85950032024715539</v>
      </c>
      <c r="BU11" s="121">
        <f t="shared" si="21"/>
        <v>0.85335035038806417</v>
      </c>
      <c r="BV11" s="121">
        <f>SUM(BV9:BV10)</f>
        <v>0.86585760304423176</v>
      </c>
      <c r="BW11" s="121">
        <f>SUM(BW9:BW10)</f>
        <v>0.90672048074749445</v>
      </c>
      <c r="BX11" s="121">
        <f>SUM(BX9:BX10)</f>
        <v>0.91294759249491364</v>
      </c>
      <c r="BY11" s="121">
        <f t="shared" ref="BY11:CG11" si="22">SUM(BY9:BY10)</f>
        <v>0.96303735588877992</v>
      </c>
      <c r="BZ11" s="121">
        <f t="shared" si="22"/>
        <v>0.97515023359204256</v>
      </c>
      <c r="CA11" s="121">
        <f t="shared" si="22"/>
        <v>1.0038433426267801</v>
      </c>
      <c r="CB11" s="121">
        <f t="shared" si="22"/>
        <v>1.00342871675081</v>
      </c>
      <c r="CC11" s="121">
        <f t="shared" si="22"/>
        <v>0.99882733026900761</v>
      </c>
      <c r="CD11" s="121">
        <f t="shared" si="22"/>
        <v>0.9983596752317081</v>
      </c>
      <c r="CE11" s="121">
        <f t="shared" si="22"/>
        <v>1.0123383693768366</v>
      </c>
      <c r="CF11" s="121">
        <f t="shared" si="22"/>
        <v>1.0110173498605981</v>
      </c>
      <c r="CG11" s="121">
        <f t="shared" si="22"/>
        <v>1.01396023283852</v>
      </c>
      <c r="CH11" s="121">
        <f>SUM(CH9:CH10)</f>
        <v>1.0485391078291009</v>
      </c>
      <c r="CI11" s="121">
        <f>SUM(CI9:CI10)</f>
        <v>1.0389747381508552</v>
      </c>
      <c r="CJ11" s="121">
        <f>SUM(CJ9:CJ10)</f>
        <v>1.0330889721950116</v>
      </c>
      <c r="CK11" s="121">
        <f>SUM(CK9:CK10)</f>
        <v>1.0272600972044306</v>
      </c>
      <c r="CL11" s="121">
        <f t="shared" ref="CL11:CQ11" si="23">SUM(CL9:CL10)</f>
        <v>1.0180534624368922</v>
      </c>
      <c r="CM11" s="121">
        <f t="shared" si="23"/>
        <v>0.97852026976113327</v>
      </c>
      <c r="CN11" s="121">
        <f t="shared" si="23"/>
        <v>0.97838623690754256</v>
      </c>
      <c r="CO11" s="121">
        <f t="shared" si="23"/>
        <v>0.98000810036922592</v>
      </c>
      <c r="CP11" s="121">
        <f t="shared" si="23"/>
        <v>0.99104391153643279</v>
      </c>
      <c r="CQ11" s="121">
        <f t="shared" si="23"/>
        <v>0.99104391153643279</v>
      </c>
      <c r="CR11" s="121">
        <f t="shared" ref="CR11:CY11" si="24">SUM(CR9:CR10)</f>
        <v>0.96455796473513666</v>
      </c>
      <c r="CS11" s="121">
        <f t="shared" si="24"/>
        <v>0.94763638761208635</v>
      </c>
      <c r="CT11" s="121">
        <f t="shared" si="24"/>
        <v>1.001766351442996</v>
      </c>
      <c r="CU11" s="121">
        <f t="shared" si="24"/>
        <v>0.98484477431994555</v>
      </c>
      <c r="CV11" s="121">
        <f t="shared" si="24"/>
        <v>0.97690226810338321</v>
      </c>
      <c r="CW11" s="121">
        <f t="shared" si="24"/>
        <v>0.97395938512546143</v>
      </c>
      <c r="CX11" s="121">
        <f t="shared" si="24"/>
        <v>0.95115204204656756</v>
      </c>
      <c r="CY11" s="121">
        <f t="shared" si="24"/>
        <v>0.98205231331474629</v>
      </c>
      <c r="CZ11" s="121">
        <f t="shared" ref="CZ11:EA11" si="25">SUM(CZ9:CZ10)</f>
        <v>0.98925909878682827</v>
      </c>
      <c r="DA11" s="121">
        <f t="shared" si="25"/>
        <v>0.97028078140305918</v>
      </c>
      <c r="DB11" s="121">
        <f t="shared" si="25"/>
        <v>0.99016935423102992</v>
      </c>
      <c r="DC11" s="121">
        <f t="shared" si="25"/>
        <v>0.97939774696707094</v>
      </c>
      <c r="DD11" s="121">
        <f t="shared" si="25"/>
        <v>0.94523349785246014</v>
      </c>
      <c r="DE11" s="121">
        <f t="shared" si="25"/>
        <v>0.94113640645015439</v>
      </c>
      <c r="DF11" s="121">
        <f t="shared" si="25"/>
        <v>0.93451491974983036</v>
      </c>
      <c r="DG11" s="121">
        <f t="shared" si="25"/>
        <v>0.97056523622937219</v>
      </c>
      <c r="DH11" s="121">
        <f t="shared" si="25"/>
        <v>0.90378532137743939</v>
      </c>
      <c r="DI11" s="121">
        <f t="shared" si="25"/>
        <v>0.90084243839951772</v>
      </c>
      <c r="DJ11" s="121">
        <f t="shared" si="25"/>
        <v>0.89525751638911899</v>
      </c>
      <c r="DK11" s="121">
        <f t="shared" si="25"/>
        <v>0.90776476904528658</v>
      </c>
      <c r="DL11" s="121">
        <f t="shared" si="25"/>
        <v>0.88127882224399046</v>
      </c>
      <c r="DM11" s="121">
        <f t="shared" si="25"/>
        <v>0.887766276090724</v>
      </c>
      <c r="DN11" s="121">
        <f t="shared" si="25"/>
        <v>0.87831568834300344</v>
      </c>
      <c r="DO11" s="121">
        <f t="shared" si="25"/>
        <v>0.88714433727676878</v>
      </c>
      <c r="DP11" s="121">
        <f t="shared" si="25"/>
        <v>0.89008722025469056</v>
      </c>
      <c r="DQ11" s="121">
        <f t="shared" si="25"/>
        <v>0.89523726546605376</v>
      </c>
      <c r="DR11" s="121">
        <f t="shared" si="25"/>
        <v>0.88214471403812811</v>
      </c>
      <c r="DS11" s="121">
        <f t="shared" si="25"/>
        <v>0</v>
      </c>
      <c r="DT11" s="121">
        <f t="shared" si="25"/>
        <v>0</v>
      </c>
      <c r="DU11" s="121">
        <f t="shared" si="25"/>
        <v>0</v>
      </c>
      <c r="DV11" s="121">
        <f t="shared" si="25"/>
        <v>0</v>
      </c>
      <c r="DW11" s="121">
        <f t="shared" si="25"/>
        <v>0</v>
      </c>
      <c r="DX11" s="121">
        <f t="shared" si="25"/>
        <v>0</v>
      </c>
      <c r="DY11" s="121">
        <f t="shared" si="25"/>
        <v>0</v>
      </c>
      <c r="DZ11" s="121">
        <f t="shared" si="25"/>
        <v>0</v>
      </c>
      <c r="EA11" s="121">
        <f t="shared" si="25"/>
        <v>0</v>
      </c>
      <c r="EB11" s="121">
        <f t="shared" ref="EB11:EN11" si="26">SUM(EB9:EB10)</f>
        <v>0</v>
      </c>
      <c r="EC11" s="121">
        <f t="shared" si="26"/>
        <v>0</v>
      </c>
      <c r="ED11" s="121">
        <f t="shared" si="26"/>
        <v>0</v>
      </c>
      <c r="EE11" s="121">
        <f t="shared" si="26"/>
        <v>0</v>
      </c>
      <c r="EF11" s="121">
        <f t="shared" si="26"/>
        <v>0</v>
      </c>
      <c r="EG11" s="121">
        <f t="shared" si="26"/>
        <v>0</v>
      </c>
      <c r="EH11" s="121">
        <f t="shared" si="26"/>
        <v>0</v>
      </c>
      <c r="EI11" s="121">
        <f t="shared" si="26"/>
        <v>0</v>
      </c>
      <c r="EJ11" s="121">
        <f t="shared" si="26"/>
        <v>0</v>
      </c>
      <c r="EK11" s="121">
        <f t="shared" si="26"/>
        <v>0</v>
      </c>
      <c r="EL11" s="121">
        <f t="shared" si="26"/>
        <v>0</v>
      </c>
      <c r="EM11" s="121">
        <f t="shared" si="26"/>
        <v>0</v>
      </c>
      <c r="EN11" s="121">
        <f t="shared" si="26"/>
        <v>0</v>
      </c>
    </row>
    <row r="12" spans="1:144" s="48" customFormat="1">
      <c r="A12" s="143" t="s">
        <v>574</v>
      </c>
      <c r="G12" s="8" t="s">
        <v>429</v>
      </c>
      <c r="H12" s="113"/>
      <c r="I12" s="113"/>
      <c r="J12" s="113"/>
      <c r="K12" s="113"/>
      <c r="L12" s="113"/>
      <c r="M12" s="113"/>
      <c r="N12" s="113">
        <v>1.05</v>
      </c>
      <c r="O12" s="113"/>
      <c r="P12" s="113"/>
      <c r="Q12" s="113"/>
      <c r="R12" s="113">
        <v>1.28</v>
      </c>
      <c r="S12" s="113">
        <v>1.45</v>
      </c>
      <c r="T12" s="113"/>
      <c r="U12" s="113">
        <v>1.4</v>
      </c>
      <c r="V12" s="113">
        <v>1.55</v>
      </c>
      <c r="W12" s="113"/>
      <c r="X12" s="113"/>
      <c r="Y12" s="113">
        <v>1.8</v>
      </c>
      <c r="Z12" s="113"/>
      <c r="AA12" s="113"/>
      <c r="AB12" s="113">
        <v>2.15</v>
      </c>
      <c r="AC12" s="113"/>
      <c r="AD12" s="113">
        <v>2.25</v>
      </c>
      <c r="AE12" s="113">
        <v>2</v>
      </c>
      <c r="AF12" s="113"/>
      <c r="AG12" s="113"/>
      <c r="AH12" s="113">
        <v>2.1</v>
      </c>
      <c r="AI12" s="113"/>
      <c r="AJ12" s="113"/>
      <c r="AK12" s="113"/>
      <c r="AL12" s="113"/>
      <c r="AM12" s="113"/>
      <c r="AN12" s="113">
        <v>1.8</v>
      </c>
      <c r="AO12" s="113"/>
      <c r="AP12" s="113"/>
      <c r="AQ12" s="113">
        <v>1.65</v>
      </c>
      <c r="AR12" s="113"/>
      <c r="AS12" s="113"/>
      <c r="AT12" s="113"/>
      <c r="AU12" s="113"/>
      <c r="AV12" s="113">
        <v>1.6</v>
      </c>
      <c r="AW12" s="113"/>
      <c r="AX12" s="113">
        <v>1.56</v>
      </c>
      <c r="AY12" s="113"/>
      <c r="AZ12" s="113"/>
      <c r="BA12" s="113"/>
      <c r="BB12" s="113">
        <v>1.63</v>
      </c>
      <c r="BC12" s="113"/>
      <c r="BD12" s="113"/>
      <c r="BE12" s="113"/>
      <c r="BF12" s="113"/>
      <c r="BG12" s="113"/>
      <c r="BH12" s="113"/>
      <c r="BI12" s="113"/>
      <c r="BJ12" s="113">
        <v>1.63</v>
      </c>
      <c r="BK12" s="113"/>
      <c r="BL12" s="113"/>
      <c r="BM12" s="113"/>
      <c r="BN12" s="113"/>
      <c r="BO12" s="113"/>
      <c r="BP12" s="113"/>
      <c r="BQ12" s="113"/>
      <c r="BR12" s="113">
        <f>140.64/83</f>
        <v>1.6944578313253011</v>
      </c>
      <c r="BS12" s="113"/>
      <c r="BT12" s="113"/>
      <c r="BU12" s="113"/>
      <c r="BV12" s="113">
        <v>1.6379999999999999</v>
      </c>
      <c r="BW12" s="113"/>
      <c r="BX12" s="113"/>
      <c r="BY12" s="113"/>
      <c r="BZ12" s="113"/>
      <c r="CA12" s="113"/>
      <c r="CB12" s="113"/>
      <c r="CC12" s="113"/>
      <c r="CD12" s="113"/>
      <c r="CE12" s="113">
        <v>1.6379999999999999</v>
      </c>
      <c r="CF12" s="113"/>
      <c r="CG12" s="113"/>
      <c r="CH12" s="113"/>
      <c r="CI12" s="113"/>
      <c r="CJ12" s="113"/>
      <c r="CK12" s="113"/>
      <c r="CL12" s="113"/>
      <c r="CM12" s="113"/>
      <c r="CN12" s="113"/>
      <c r="CO12" s="113"/>
      <c r="CP12" s="113"/>
      <c r="CQ12" s="113"/>
      <c r="CR12" s="113"/>
      <c r="CS12" s="113"/>
      <c r="CT12" s="113"/>
      <c r="CU12" s="113"/>
      <c r="CV12" s="113"/>
      <c r="CW12" s="113"/>
      <c r="CX12" s="113"/>
      <c r="CY12" s="113"/>
      <c r="CZ12" s="113"/>
      <c r="DA12" s="113"/>
      <c r="DB12" s="113"/>
      <c r="DC12" s="113">
        <v>1.73</v>
      </c>
      <c r="DD12" s="113"/>
      <c r="DE12" s="113"/>
      <c r="DF12" s="113"/>
      <c r="DG12" s="113">
        <v>1.68</v>
      </c>
      <c r="DH12" s="113"/>
      <c r="DI12" s="113"/>
      <c r="DJ12" s="113"/>
      <c r="DK12" s="113"/>
      <c r="DL12" s="113"/>
      <c r="DM12" s="113"/>
      <c r="DN12" s="113"/>
      <c r="DO12" s="113"/>
      <c r="DP12" s="113"/>
      <c r="DQ12" s="113"/>
      <c r="DR12" s="113"/>
      <c r="DS12" s="113"/>
      <c r="DT12" s="113"/>
      <c r="DU12" s="113"/>
      <c r="DV12" s="113"/>
      <c r="DW12" s="113"/>
      <c r="DX12" s="113"/>
      <c r="DY12" s="113"/>
      <c r="DZ12" s="113"/>
      <c r="EA12" s="113"/>
      <c r="EB12" s="113"/>
      <c r="EC12" s="113"/>
      <c r="ED12" s="113"/>
      <c r="EE12" s="113"/>
      <c r="EF12" s="113"/>
      <c r="EG12" s="113"/>
      <c r="EH12" s="113"/>
      <c r="EI12" s="113"/>
      <c r="EJ12" s="113"/>
      <c r="EK12" s="113"/>
      <c r="EL12" s="113"/>
      <c r="EM12" s="113"/>
      <c r="EN12" s="113"/>
    </row>
    <row r="13" spans="1:144">
      <c r="A13" s="35"/>
      <c r="G13" s="24" t="s">
        <v>406</v>
      </c>
      <c r="H13" s="19"/>
      <c r="I13" s="19"/>
      <c r="J13" s="19"/>
      <c r="K13" s="19"/>
      <c r="L13" s="19"/>
      <c r="M13" s="19"/>
      <c r="N13" s="19">
        <f>N12-N11</f>
        <v>0.5483280272775225</v>
      </c>
      <c r="O13" s="19"/>
      <c r="P13" s="19"/>
      <c r="Q13" s="19"/>
      <c r="R13" s="19">
        <f>R12-R11</f>
        <v>0.73739281139326363</v>
      </c>
      <c r="S13" s="19">
        <f>S12-S11</f>
        <v>0.85582534285283707</v>
      </c>
      <c r="T13" s="19"/>
      <c r="U13" s="19">
        <f>U12-U11</f>
        <v>0.73864092758646671</v>
      </c>
      <c r="V13" s="19">
        <f>V12-V11</f>
        <v>0.86058228468088327</v>
      </c>
      <c r="W13" s="19"/>
      <c r="X13" s="19"/>
      <c r="Y13" s="19">
        <f>Y12-Y11</f>
        <v>1.0963384447291087</v>
      </c>
      <c r="Z13" s="19"/>
      <c r="AA13" s="19"/>
      <c r="AB13" s="19">
        <f>AB12-AB11</f>
        <v>1.3613925570793459</v>
      </c>
      <c r="AC13" s="19"/>
      <c r="AD13" s="19">
        <f>AD12-AD11</f>
        <v>1.395362421822018</v>
      </c>
      <c r="AE13" s="19">
        <f>AE12-AE11</f>
        <v>1.2112632619998493</v>
      </c>
      <c r="AF13" s="19"/>
      <c r="AG13" s="19"/>
      <c r="AH13" s="19">
        <f>AH12-AH11</f>
        <v>0.99686901891342039</v>
      </c>
      <c r="AI13" s="19"/>
      <c r="AJ13" s="19"/>
      <c r="AK13" s="19"/>
      <c r="AL13" s="19"/>
      <c r="AM13" s="19"/>
      <c r="AN13" s="19">
        <f>AN12-AN11</f>
        <v>1.0574108017481729</v>
      </c>
      <c r="AO13" s="19"/>
      <c r="AP13" s="19"/>
      <c r="AQ13" s="19">
        <f>AQ12-AQ11</f>
        <v>0.95730723946952001</v>
      </c>
      <c r="AR13" s="19"/>
      <c r="AS13" s="19"/>
      <c r="AT13" s="19"/>
      <c r="AU13" s="19"/>
      <c r="AV13" s="19">
        <f>AV12-AV11</f>
        <v>0.7426055873709595</v>
      </c>
      <c r="AW13" s="19"/>
      <c r="AX13" s="19">
        <f>AX12-AX11</f>
        <v>0.846893178735589</v>
      </c>
      <c r="AY13" s="19"/>
      <c r="AZ13" s="19"/>
      <c r="BA13" s="19"/>
      <c r="BB13" s="19">
        <f>BB12-BB11</f>
        <v>0.78427878456785471</v>
      </c>
      <c r="BC13" s="19"/>
      <c r="BD13" s="19"/>
      <c r="BE13" s="19"/>
      <c r="BF13" s="19"/>
      <c r="BG13" s="19"/>
      <c r="BH13" s="19"/>
      <c r="BI13" s="19"/>
      <c r="BJ13" s="19">
        <f>BJ12-BJ11</f>
        <v>0.73942487378494459</v>
      </c>
      <c r="BK13" s="19"/>
      <c r="BL13" s="19"/>
      <c r="BM13" s="19"/>
      <c r="BN13" s="19"/>
      <c r="BO13" s="19"/>
      <c r="BP13" s="19"/>
      <c r="BQ13" s="19"/>
      <c r="BR13" s="19">
        <f>BR12-BR11</f>
        <v>0.83892923513812634</v>
      </c>
      <c r="BS13" s="19"/>
      <c r="BT13" s="19"/>
      <c r="BU13" s="19"/>
      <c r="BV13" s="19">
        <f>BV12-BV11</f>
        <v>0.77214239695576814</v>
      </c>
      <c r="BW13" s="19"/>
      <c r="BX13" s="19"/>
      <c r="BY13" s="19"/>
      <c r="BZ13" s="19"/>
      <c r="CA13" s="19"/>
      <c r="CB13" s="19"/>
      <c r="CC13" s="19"/>
      <c r="CD13" s="19"/>
      <c r="CE13" s="19">
        <f>CE12-CE11</f>
        <v>0.62566163062316327</v>
      </c>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f>DC12-DC11</f>
        <v>0.75060225303292905</v>
      </c>
      <c r="DD13" s="19"/>
      <c r="DE13" s="19"/>
      <c r="DF13" s="19"/>
      <c r="DG13" s="19">
        <f>DG12-DG11</f>
        <v>0.70943476377062775</v>
      </c>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row>
    <row r="16" spans="1:144" s="157" customFormat="1">
      <c r="G16" s="157" t="s">
        <v>407</v>
      </c>
      <c r="H16" s="158">
        <f>0.55+H11</f>
        <v>1.1789838958066461</v>
      </c>
      <c r="I16" s="158">
        <f>0.55+I11</f>
        <v>1.085107458164617</v>
      </c>
      <c r="J16" s="158">
        <f t="shared" ref="J16:AK16" si="27">0.55+J11</f>
        <v>0.94716883907409177</v>
      </c>
      <c r="K16" s="158">
        <f t="shared" si="27"/>
        <v>0.79461036091495596</v>
      </c>
      <c r="L16" s="158">
        <f t="shared" si="27"/>
        <v>0.92753973262502198</v>
      </c>
      <c r="M16" s="158">
        <f t="shared" si="27"/>
        <v>1.040318928490694</v>
      </c>
      <c r="N16" s="158">
        <f t="shared" si="27"/>
        <v>1.0516719727224775</v>
      </c>
      <c r="O16" s="158">
        <f t="shared" si="27"/>
        <v>1.0358361276467485</v>
      </c>
      <c r="P16" s="158">
        <f t="shared" si="27"/>
        <v>1.074881414362143</v>
      </c>
      <c r="Q16" s="158">
        <f t="shared" si="27"/>
        <v>1.0468227714565594</v>
      </c>
      <c r="R16" s="158">
        <f t="shared" si="27"/>
        <v>1.0926071886067366</v>
      </c>
      <c r="S16" s="158">
        <f t="shared" si="27"/>
        <v>1.1441746571471629</v>
      </c>
      <c r="T16" s="158">
        <f t="shared" si="27"/>
        <v>1.1732847939115363</v>
      </c>
      <c r="U16" s="158">
        <f t="shared" si="27"/>
        <v>1.2113590724135332</v>
      </c>
      <c r="V16" s="158">
        <f t="shared" si="27"/>
        <v>1.2394177153191168</v>
      </c>
      <c r="W16" s="158">
        <f t="shared" si="27"/>
        <v>1.265570039936704</v>
      </c>
      <c r="X16" s="158">
        <f t="shared" si="27"/>
        <v>1.2680172933463942</v>
      </c>
      <c r="Y16" s="158">
        <f t="shared" si="27"/>
        <v>1.2536615552708914</v>
      </c>
      <c r="Z16" s="158">
        <f t="shared" si="27"/>
        <v>1.3194016676399669</v>
      </c>
      <c r="AA16" s="158">
        <f t="shared" si="27"/>
        <v>1.2998793892698364</v>
      </c>
      <c r="AB16" s="158">
        <f t="shared" si="27"/>
        <v>1.338607442920654</v>
      </c>
      <c r="AC16" s="158">
        <f t="shared" si="27"/>
        <v>1.4317471413231857</v>
      </c>
      <c r="AD16" s="158">
        <f t="shared" si="27"/>
        <v>1.4046375781779821</v>
      </c>
      <c r="AE16" s="158">
        <f t="shared" si="27"/>
        <v>1.3387367380001507</v>
      </c>
      <c r="AF16" s="158">
        <f t="shared" si="27"/>
        <v>1.3635454562580061</v>
      </c>
      <c r="AG16" s="158">
        <f t="shared" si="27"/>
        <v>1.5050486022153566</v>
      </c>
      <c r="AH16" s="158">
        <f t="shared" si="27"/>
        <v>1.6531309810865797</v>
      </c>
      <c r="AI16" s="158">
        <f t="shared" si="27"/>
        <v>1.5578209064878306</v>
      </c>
      <c r="AJ16" s="158">
        <f t="shared" si="27"/>
        <v>1.5030738075502976</v>
      </c>
      <c r="AK16" s="158">
        <f t="shared" si="27"/>
        <v>1.4180966016125385</v>
      </c>
      <c r="AL16" s="158">
        <f>0.55+AL11</f>
        <v>1.3697386218069474</v>
      </c>
      <c r="AM16" s="158">
        <f>0.55+AM11</f>
        <v>1.2850294815763694</v>
      </c>
      <c r="AN16" s="158">
        <f t="shared" ref="AN16:BA16" si="28">0.55+AN11</f>
        <v>1.2925891982518272</v>
      </c>
      <c r="AO16" s="158">
        <f t="shared" si="28"/>
        <v>1.2849967033381056</v>
      </c>
      <c r="AP16" s="158">
        <f t="shared" si="28"/>
        <v>1.2923539107829101</v>
      </c>
      <c r="AQ16" s="158">
        <f t="shared" si="28"/>
        <v>1.2426927605304798</v>
      </c>
      <c r="AR16" s="158">
        <f t="shared" si="28"/>
        <v>1.2784407731143093</v>
      </c>
      <c r="AS16" s="158">
        <f t="shared" si="28"/>
        <v>1.328070605078743</v>
      </c>
      <c r="AT16" s="158">
        <f t="shared" si="28"/>
        <v>1.4189991334488734</v>
      </c>
      <c r="AU16" s="158">
        <f t="shared" si="28"/>
        <v>1.5103953168563031</v>
      </c>
      <c r="AV16" s="158">
        <f t="shared" si="28"/>
        <v>1.4073944126290407</v>
      </c>
      <c r="AW16" s="158">
        <f t="shared" si="28"/>
        <v>1.2318386896239921</v>
      </c>
      <c r="AX16" s="158">
        <f t="shared" si="28"/>
        <v>1.2631068212644112</v>
      </c>
      <c r="AY16" s="158">
        <f t="shared" si="28"/>
        <v>1.3127679715168412</v>
      </c>
      <c r="AZ16" s="158">
        <f t="shared" si="28"/>
        <v>1.3291042498681334</v>
      </c>
      <c r="BA16" s="158">
        <f t="shared" si="28"/>
        <v>1.3570616381583904</v>
      </c>
      <c r="BB16" s="158">
        <f t="shared" ref="BB16:BI16" si="29">0.55+BB11</f>
        <v>1.3957212154321452</v>
      </c>
      <c r="BC16" s="158">
        <f t="shared" si="29"/>
        <v>1.3883640079873407</v>
      </c>
      <c r="BD16" s="158">
        <f t="shared" si="29"/>
        <v>1.421706728957878</v>
      </c>
      <c r="BE16" s="158">
        <f t="shared" si="29"/>
        <v>1.421706728957878</v>
      </c>
      <c r="BF16" s="158">
        <f t="shared" si="29"/>
        <v>1.4056876836711627</v>
      </c>
      <c r="BG16" s="158">
        <f t="shared" si="29"/>
        <v>1.4587936101273453</v>
      </c>
      <c r="BH16" s="158">
        <f t="shared" si="29"/>
        <v>1.5216143282344963</v>
      </c>
      <c r="BI16" s="158">
        <f t="shared" si="29"/>
        <v>1.486189812372843</v>
      </c>
      <c r="BJ16" s="158">
        <f t="shared" ref="BJ16:BO16" si="30">0.55+BJ11</f>
        <v>1.4405751262150552</v>
      </c>
      <c r="BK16" s="158">
        <f t="shared" si="30"/>
        <v>1.4480258646673196</v>
      </c>
      <c r="BL16" s="158">
        <f t="shared" si="30"/>
        <v>1.4340471705221911</v>
      </c>
      <c r="BM16" s="158">
        <f t="shared" si="30"/>
        <v>1.4314051314897145</v>
      </c>
      <c r="BN16" s="158">
        <f t="shared" si="30"/>
        <v>1.4483141812975662</v>
      </c>
      <c r="BO16" s="158">
        <f t="shared" si="30"/>
        <v>1.4180358488433424</v>
      </c>
      <c r="BP16" s="158">
        <f t="shared" ref="BP16:BU16" si="31">0.55+BP11</f>
        <v>1.4356931467108733</v>
      </c>
      <c r="BQ16" s="158">
        <f t="shared" si="31"/>
        <v>1.4202430110767839</v>
      </c>
      <c r="BR16" s="158">
        <f t="shared" si="31"/>
        <v>1.4055285961871749</v>
      </c>
      <c r="BS16" s="158">
        <f t="shared" si="31"/>
        <v>1.3844896767387536</v>
      </c>
      <c r="BT16" s="158">
        <f t="shared" si="31"/>
        <v>1.4095003202471554</v>
      </c>
      <c r="BU16" s="158">
        <f t="shared" si="31"/>
        <v>1.4033503503880642</v>
      </c>
      <c r="BV16" s="158">
        <f>0.55+BV11</f>
        <v>1.4158576030442318</v>
      </c>
      <c r="BW16" s="158">
        <f>0.55+BW11</f>
        <v>1.4567204807474945</v>
      </c>
      <c r="BX16" s="158">
        <f>0.55+BX11</f>
        <v>1.4629475924949138</v>
      </c>
      <c r="BY16" s="158">
        <f t="shared" ref="BY16:CG16" si="32">0.55+BY11</f>
        <v>1.51303735588878</v>
      </c>
      <c r="BZ16" s="158">
        <f t="shared" si="32"/>
        <v>1.5251502335920426</v>
      </c>
      <c r="CA16" s="158">
        <f t="shared" si="32"/>
        <v>1.5538433426267801</v>
      </c>
      <c r="CB16" s="158">
        <f t="shared" si="32"/>
        <v>1.5534287167508101</v>
      </c>
      <c r="CC16" s="158">
        <f t="shared" si="32"/>
        <v>1.5488273302690077</v>
      </c>
      <c r="CD16" s="158">
        <f t="shared" si="32"/>
        <v>1.5483596752317081</v>
      </c>
      <c r="CE16" s="158">
        <f t="shared" si="32"/>
        <v>1.5623383693768367</v>
      </c>
      <c r="CF16" s="158">
        <f t="shared" si="32"/>
        <v>1.5610173498605981</v>
      </c>
      <c r="CG16" s="158">
        <f t="shared" si="32"/>
        <v>1.56396023283852</v>
      </c>
      <c r="CH16" s="158">
        <f>0.55+CH11</f>
        <v>1.5985391078291009</v>
      </c>
      <c r="CI16" s="158">
        <f>0.55+CI11</f>
        <v>1.5889747381508552</v>
      </c>
      <c r="CJ16" s="158">
        <f>0.55+CJ11</f>
        <v>1.5830889721950117</v>
      </c>
      <c r="CK16" s="158">
        <f>0.55+CK11</f>
        <v>1.5772600972044306</v>
      </c>
      <c r="CL16" s="158">
        <f t="shared" ref="CL16:CQ16" si="33">0.55+CL11</f>
        <v>1.5680534624368923</v>
      </c>
      <c r="CM16" s="158">
        <f t="shared" si="33"/>
        <v>1.5285202697611333</v>
      </c>
      <c r="CN16" s="158">
        <f t="shared" si="33"/>
        <v>1.5283862369075427</v>
      </c>
      <c r="CO16" s="158">
        <f t="shared" si="33"/>
        <v>1.5300081003692259</v>
      </c>
      <c r="CP16" s="158">
        <f t="shared" si="33"/>
        <v>1.5410439115364327</v>
      </c>
      <c r="CQ16" s="158">
        <f t="shared" si="33"/>
        <v>1.5410439115364327</v>
      </c>
      <c r="CR16" s="158">
        <f t="shared" ref="CR16:CY16" si="34">0.55+CR11</f>
        <v>1.5145579647351366</v>
      </c>
      <c r="CS16" s="158">
        <f t="shared" si="34"/>
        <v>1.4976363876120864</v>
      </c>
      <c r="CT16" s="158">
        <f t="shared" si="34"/>
        <v>1.551766351442996</v>
      </c>
      <c r="CU16" s="158">
        <f t="shared" si="34"/>
        <v>1.5348447743199456</v>
      </c>
      <c r="CV16" s="158">
        <f t="shared" si="34"/>
        <v>1.5269022681033833</v>
      </c>
      <c r="CW16" s="158">
        <f t="shared" si="34"/>
        <v>1.5239593851254614</v>
      </c>
      <c r="CX16" s="158">
        <f t="shared" si="34"/>
        <v>1.5011520420465676</v>
      </c>
      <c r="CY16" s="158">
        <f t="shared" si="34"/>
        <v>1.5320523133147463</v>
      </c>
      <c r="CZ16" s="158">
        <f t="shared" ref="CZ16:EA16" si="35">0.55+CZ11</f>
        <v>1.5392590987868284</v>
      </c>
      <c r="DA16" s="158">
        <f t="shared" si="35"/>
        <v>1.5202807814030592</v>
      </c>
      <c r="DB16" s="158">
        <f t="shared" si="35"/>
        <v>1.54016935423103</v>
      </c>
      <c r="DC16" s="158">
        <f t="shared" si="35"/>
        <v>1.529397746967071</v>
      </c>
      <c r="DD16" s="158">
        <f t="shared" si="35"/>
        <v>1.4952334978524602</v>
      </c>
      <c r="DE16" s="158">
        <f t="shared" si="35"/>
        <v>1.4911364064501544</v>
      </c>
      <c r="DF16" s="158">
        <f t="shared" si="35"/>
        <v>1.4845149197498304</v>
      </c>
      <c r="DG16" s="158">
        <f t="shared" si="35"/>
        <v>1.5205652362293722</v>
      </c>
      <c r="DH16" s="158">
        <f t="shared" si="35"/>
        <v>1.4537853213774394</v>
      </c>
      <c r="DI16" s="158">
        <f t="shared" si="35"/>
        <v>1.4508424383995178</v>
      </c>
      <c r="DJ16" s="158">
        <f t="shared" si="35"/>
        <v>1.445257516389119</v>
      </c>
      <c r="DK16" s="158">
        <f t="shared" si="35"/>
        <v>1.4577647690452866</v>
      </c>
      <c r="DL16" s="158">
        <f t="shared" si="35"/>
        <v>1.4312788222439905</v>
      </c>
      <c r="DM16" s="158">
        <f t="shared" si="35"/>
        <v>1.4377662760907239</v>
      </c>
      <c r="DN16" s="158">
        <f t="shared" si="35"/>
        <v>1.4283156883430035</v>
      </c>
      <c r="DO16" s="158">
        <f t="shared" si="35"/>
        <v>1.4371443372767687</v>
      </c>
      <c r="DP16" s="158">
        <f t="shared" si="35"/>
        <v>1.4400872202546906</v>
      </c>
      <c r="DQ16" s="158">
        <f t="shared" si="35"/>
        <v>1.4452372654660537</v>
      </c>
      <c r="DR16" s="158">
        <f t="shared" si="35"/>
        <v>1.4321447140381283</v>
      </c>
      <c r="DS16" s="158">
        <f t="shared" si="35"/>
        <v>0.55000000000000004</v>
      </c>
      <c r="DT16" s="158">
        <f t="shared" si="35"/>
        <v>0.55000000000000004</v>
      </c>
      <c r="DU16" s="158">
        <f t="shared" si="35"/>
        <v>0.55000000000000004</v>
      </c>
      <c r="DV16" s="158">
        <f t="shared" si="35"/>
        <v>0.55000000000000004</v>
      </c>
      <c r="DW16" s="158">
        <f t="shared" si="35"/>
        <v>0.55000000000000004</v>
      </c>
      <c r="DX16" s="158">
        <f t="shared" si="35"/>
        <v>0.55000000000000004</v>
      </c>
      <c r="DY16" s="158">
        <f t="shared" si="35"/>
        <v>0.55000000000000004</v>
      </c>
      <c r="DZ16" s="158">
        <f t="shared" si="35"/>
        <v>0.55000000000000004</v>
      </c>
      <c r="EA16" s="158">
        <f t="shared" si="35"/>
        <v>0.55000000000000004</v>
      </c>
      <c r="EB16" s="158">
        <f t="shared" ref="EB16:EN16" si="36">0.55+EB11</f>
        <v>0.55000000000000004</v>
      </c>
      <c r="EC16" s="158">
        <f t="shared" si="36"/>
        <v>0.55000000000000004</v>
      </c>
      <c r="ED16" s="158">
        <f t="shared" si="36"/>
        <v>0.55000000000000004</v>
      </c>
      <c r="EE16" s="158">
        <f t="shared" si="36"/>
        <v>0.55000000000000004</v>
      </c>
      <c r="EF16" s="158">
        <f t="shared" si="36"/>
        <v>0.55000000000000004</v>
      </c>
      <c r="EG16" s="158">
        <f t="shared" si="36"/>
        <v>0.55000000000000004</v>
      </c>
      <c r="EH16" s="158">
        <f t="shared" si="36"/>
        <v>0.55000000000000004</v>
      </c>
      <c r="EI16" s="158">
        <f t="shared" si="36"/>
        <v>0.55000000000000004</v>
      </c>
      <c r="EJ16" s="158">
        <f t="shared" si="36"/>
        <v>0.55000000000000004</v>
      </c>
      <c r="EK16" s="158">
        <f t="shared" si="36"/>
        <v>0.55000000000000004</v>
      </c>
      <c r="EL16" s="158">
        <f t="shared" si="36"/>
        <v>0.55000000000000004</v>
      </c>
      <c r="EM16" s="158">
        <f t="shared" si="36"/>
        <v>0.55000000000000004</v>
      </c>
      <c r="EN16" s="158">
        <f t="shared" si="36"/>
        <v>0.55000000000000004</v>
      </c>
    </row>
  </sheetData>
  <phoneticPr fontId="52" type="noConversion"/>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4"/>
  <dimension ref="F3:J9"/>
  <sheetViews>
    <sheetView workbookViewId="0">
      <selection activeCell="J10" sqref="J10"/>
    </sheetView>
  </sheetViews>
  <sheetFormatPr baseColWidth="10" defaultColWidth="8.83203125" defaultRowHeight="15"/>
  <cols>
    <col min="6" max="6" width="9.5" bestFit="1" customWidth="1"/>
  </cols>
  <sheetData>
    <row r="3" spans="6:10">
      <c r="F3" s="112" t="s">
        <v>575</v>
      </c>
    </row>
    <row r="4" spans="6:10">
      <c r="F4" s="112">
        <v>107.15309999999999</v>
      </c>
    </row>
    <row r="6" spans="6:10">
      <c r="F6" s="280" t="s">
        <v>57</v>
      </c>
      <c r="G6" s="112">
        <v>93.13</v>
      </c>
      <c r="H6" s="284">
        <f>G6/F4</f>
        <v>0.86913024448196086</v>
      </c>
      <c r="I6">
        <v>1.43</v>
      </c>
      <c r="J6">
        <f>I6*H6</f>
        <v>1.2428562496092039</v>
      </c>
    </row>
    <row r="7" spans="6:10">
      <c r="F7" s="280" t="s">
        <v>36</v>
      </c>
      <c r="G7" s="112">
        <f>32.04*2</f>
        <v>64.08</v>
      </c>
      <c r="H7" s="284">
        <f>G7/F4</f>
        <v>0.59802282901754589</v>
      </c>
      <c r="I7">
        <f>330/1000</f>
        <v>0.33</v>
      </c>
      <c r="J7">
        <f>I7*H7</f>
        <v>0.19734753357579016</v>
      </c>
    </row>
    <row r="8" spans="6:10">
      <c r="J8">
        <f>SUM(J6:J7)</f>
        <v>1.4402037831849941</v>
      </c>
    </row>
    <row r="9" spans="6:10">
      <c r="J9">
        <f>J8*83</f>
        <v>119.53691400435451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5"/>
  <dimension ref="A1:EI14"/>
  <sheetViews>
    <sheetView zoomScale="90" zoomScaleNormal="90" workbookViewId="0">
      <pane xSplit="12" ySplit="4" topLeftCell="DG5" activePane="bottomRight" state="frozen"/>
      <selection pane="topRight" activeCell="M1" sqref="M1"/>
      <selection pane="bottomLeft" activeCell="A5" sqref="A5"/>
      <selection pane="bottomRight" activeCell="DH14" sqref="DH14"/>
    </sheetView>
  </sheetViews>
  <sheetFormatPr baseColWidth="10" defaultColWidth="8.6640625" defaultRowHeight="14"/>
  <cols>
    <col min="1" max="1" width="15" style="8" bestFit="1" customWidth="1"/>
    <col min="2" max="2" width="12.5" style="8" bestFit="1" customWidth="1"/>
    <col min="3" max="3" width="5.5" style="8" bestFit="1" customWidth="1"/>
    <col min="4" max="4" width="14.1640625" style="8" bestFit="1" customWidth="1"/>
    <col min="5" max="5" width="18.5" style="8" bestFit="1" customWidth="1"/>
    <col min="6" max="6" width="8.6640625" style="8" bestFit="1" customWidth="1"/>
    <col min="7" max="7" width="26.1640625" style="8" bestFit="1" customWidth="1"/>
    <col min="8" max="8" width="5.6640625" style="8" bestFit="1" customWidth="1"/>
    <col min="9" max="9" width="5.83203125" style="8" bestFit="1" customWidth="1"/>
    <col min="10" max="10" width="6.5" style="8" bestFit="1" customWidth="1"/>
    <col min="11" max="11" width="5.83203125" style="8" bestFit="1" customWidth="1"/>
    <col min="12" max="12" width="6.5" style="8" bestFit="1" customWidth="1"/>
    <col min="13" max="13" width="5.6640625" style="8" bestFit="1" customWidth="1"/>
    <col min="14" max="14" width="5.33203125" style="8" bestFit="1" customWidth="1"/>
    <col min="15" max="15" width="6.1640625" style="8" bestFit="1" customWidth="1"/>
    <col min="16" max="17" width="5.83203125" style="8" bestFit="1" customWidth="1"/>
    <col min="18" max="18" width="6.5" style="8" bestFit="1" customWidth="1"/>
    <col min="19" max="19" width="6.1640625" style="8" bestFit="1" customWidth="1"/>
    <col min="20" max="20" width="5.6640625" style="8" bestFit="1" customWidth="1"/>
    <col min="21" max="21" width="5.83203125" style="8" bestFit="1" customWidth="1"/>
    <col min="22" max="22" width="6.5" style="8" bestFit="1" customWidth="1"/>
    <col min="23" max="23" width="5.83203125" style="8" bestFit="1" customWidth="1"/>
    <col min="24" max="24" width="6.5" style="8" bestFit="1" customWidth="1"/>
    <col min="25" max="25" width="5.6640625" style="8" bestFit="1" customWidth="1"/>
    <col min="26" max="26" width="5.33203125" style="8" bestFit="1" customWidth="1"/>
    <col min="27" max="27" width="6.1640625" style="8" bestFit="1" customWidth="1"/>
    <col min="28" max="29" width="5.83203125" style="8" bestFit="1" customWidth="1"/>
    <col min="30" max="30" width="6.5" style="8" bestFit="1" customWidth="1"/>
    <col min="31" max="31" width="6.1640625" style="8" bestFit="1" customWidth="1"/>
    <col min="32" max="32" width="5.6640625" style="8" bestFit="1" customWidth="1"/>
    <col min="33" max="33" width="5.83203125" style="8" bestFit="1" customWidth="1"/>
    <col min="34" max="34" width="6.5" style="8" bestFit="1" customWidth="1"/>
    <col min="35" max="35" width="5.83203125" style="8" bestFit="1" customWidth="1"/>
    <col min="36" max="36" width="6.5" style="8" bestFit="1" customWidth="1"/>
    <col min="37" max="37" width="5.6640625" style="8" bestFit="1" customWidth="1"/>
    <col min="38" max="38" width="5.33203125" style="8" bestFit="1" customWidth="1"/>
    <col min="39" max="39" width="6.1640625" style="8" bestFit="1" customWidth="1"/>
    <col min="40" max="41" width="5.83203125" style="8" bestFit="1" customWidth="1"/>
    <col min="42" max="42" width="6.5" style="8" bestFit="1" customWidth="1"/>
    <col min="43" max="43" width="6.1640625" style="8" bestFit="1" customWidth="1"/>
    <col min="44" max="44" width="5.6640625" style="8" bestFit="1" customWidth="1"/>
    <col min="45" max="45" width="5.83203125" style="8" bestFit="1" customWidth="1"/>
    <col min="46" max="46" width="6.5" style="8" bestFit="1" customWidth="1"/>
    <col min="47" max="47" width="5.83203125" style="8" bestFit="1" customWidth="1"/>
    <col min="48" max="48" width="6.5" style="8" bestFit="1" customWidth="1"/>
    <col min="49" max="49" width="5.6640625" style="8" bestFit="1" customWidth="1"/>
    <col min="50" max="50" width="5.33203125" style="8" bestFit="1" customWidth="1"/>
    <col min="51" max="53" width="7.6640625" style="8" bestFit="1" customWidth="1"/>
    <col min="54" max="55" width="6.1640625" style="8" bestFit="1" customWidth="1"/>
    <col min="56" max="57" width="4.33203125" style="8" bestFit="1" customWidth="1"/>
    <col min="58" max="65" width="6.5" style="8" bestFit="1" customWidth="1"/>
    <col min="66" max="69" width="5.6640625" style="8" bestFit="1" customWidth="1"/>
    <col min="70" max="73" width="5.5" style="8" bestFit="1" customWidth="1"/>
    <col min="74" max="77" width="5.1640625" style="8" bestFit="1" customWidth="1"/>
    <col min="78" max="81" width="5.5" style="8" bestFit="1" customWidth="1"/>
    <col min="82" max="85" width="5.6640625" style="8" bestFit="1" customWidth="1"/>
    <col min="86" max="16384" width="8.6640625" style="8"/>
  </cols>
  <sheetData>
    <row r="1" spans="1:139">
      <c r="A1" s="24" t="s">
        <v>377</v>
      </c>
      <c r="B1" s="24" t="s">
        <v>378</v>
      </c>
      <c r="C1" s="24" t="s">
        <v>379</v>
      </c>
      <c r="D1" s="24" t="s">
        <v>380</v>
      </c>
      <c r="E1" s="24" t="s">
        <v>381</v>
      </c>
      <c r="F1" s="24" t="s">
        <v>33</v>
      </c>
      <c r="H1" s="25">
        <v>6</v>
      </c>
      <c r="I1" s="25">
        <v>7</v>
      </c>
      <c r="J1" s="25">
        <v>8</v>
      </c>
      <c r="K1" s="25">
        <v>9</v>
      </c>
      <c r="L1" s="25">
        <v>10</v>
      </c>
      <c r="M1" s="25">
        <v>11</v>
      </c>
      <c r="N1" s="25">
        <v>12</v>
      </c>
      <c r="O1" s="25">
        <v>13</v>
      </c>
      <c r="P1" s="25">
        <v>14</v>
      </c>
      <c r="Q1" s="25">
        <v>15</v>
      </c>
      <c r="R1" s="25">
        <v>16</v>
      </c>
      <c r="S1" s="25">
        <v>17</v>
      </c>
      <c r="T1" s="25">
        <v>18</v>
      </c>
      <c r="U1" s="25">
        <v>19</v>
      </c>
      <c r="V1" s="25">
        <v>20</v>
      </c>
      <c r="W1" s="25">
        <v>21</v>
      </c>
      <c r="X1" s="25">
        <v>22</v>
      </c>
      <c r="Y1" s="25">
        <v>23</v>
      </c>
      <c r="Z1" s="25">
        <v>24</v>
      </c>
      <c r="AA1" s="25">
        <v>25</v>
      </c>
      <c r="AB1" s="25">
        <v>26</v>
      </c>
      <c r="AC1" s="25">
        <v>27</v>
      </c>
      <c r="AD1" s="25">
        <v>28</v>
      </c>
      <c r="AE1" s="25">
        <v>29</v>
      </c>
      <c r="AF1" s="25">
        <v>30</v>
      </c>
      <c r="AG1" s="25">
        <v>31</v>
      </c>
      <c r="AH1" s="25">
        <v>32</v>
      </c>
      <c r="AI1" s="25">
        <v>33</v>
      </c>
      <c r="AJ1" s="25">
        <v>34</v>
      </c>
      <c r="AK1" s="25">
        <v>35</v>
      </c>
      <c r="AL1" s="25">
        <v>36</v>
      </c>
      <c r="AM1" s="25">
        <v>37</v>
      </c>
      <c r="AN1" s="25">
        <v>38</v>
      </c>
      <c r="AO1" s="25">
        <v>39</v>
      </c>
      <c r="AP1" s="25">
        <v>40</v>
      </c>
      <c r="AQ1" s="25">
        <v>41</v>
      </c>
      <c r="AR1" s="25">
        <v>42</v>
      </c>
      <c r="AS1" s="25">
        <v>43</v>
      </c>
      <c r="AT1" s="25">
        <v>44</v>
      </c>
      <c r="AU1" s="25">
        <v>45</v>
      </c>
      <c r="AV1" s="25">
        <v>46</v>
      </c>
      <c r="AW1" s="25">
        <v>47</v>
      </c>
      <c r="AX1" s="25">
        <v>48</v>
      </c>
      <c r="AY1" s="25">
        <v>49</v>
      </c>
      <c r="AZ1" s="25">
        <v>50</v>
      </c>
      <c r="BA1" s="25">
        <v>51</v>
      </c>
      <c r="BB1" s="25">
        <v>52</v>
      </c>
      <c r="BC1" s="25">
        <v>53</v>
      </c>
      <c r="BD1" s="25">
        <v>54</v>
      </c>
      <c r="BE1" s="25">
        <v>55</v>
      </c>
      <c r="BF1" s="25">
        <v>56</v>
      </c>
      <c r="BG1" s="25">
        <v>57</v>
      </c>
      <c r="BH1" s="25">
        <v>58</v>
      </c>
      <c r="BI1" s="25">
        <v>59</v>
      </c>
      <c r="BJ1" s="25">
        <v>60</v>
      </c>
      <c r="BK1" s="25">
        <v>61</v>
      </c>
      <c r="BL1" s="25">
        <v>62</v>
      </c>
      <c r="BM1" s="25">
        <v>63</v>
      </c>
      <c r="BN1" s="25">
        <v>64</v>
      </c>
      <c r="BO1" s="25">
        <v>65</v>
      </c>
      <c r="BP1" s="25">
        <v>66</v>
      </c>
      <c r="BQ1" s="25">
        <v>67</v>
      </c>
      <c r="BR1" s="25">
        <v>68</v>
      </c>
      <c r="BS1" s="25">
        <v>69</v>
      </c>
      <c r="BT1" s="25">
        <v>70</v>
      </c>
      <c r="BU1" s="25">
        <v>71</v>
      </c>
      <c r="BV1" s="25">
        <v>72</v>
      </c>
      <c r="BW1" s="25">
        <v>73</v>
      </c>
      <c r="BX1" s="25">
        <v>74</v>
      </c>
      <c r="BY1" s="25">
        <v>75</v>
      </c>
      <c r="BZ1" s="25">
        <v>76</v>
      </c>
      <c r="CA1" s="25">
        <v>77</v>
      </c>
      <c r="CB1" s="25">
        <v>78</v>
      </c>
      <c r="CC1" s="25">
        <v>79</v>
      </c>
      <c r="CD1" s="25">
        <v>80</v>
      </c>
      <c r="CE1" s="25">
        <v>81</v>
      </c>
      <c r="CF1" s="25">
        <v>82</v>
      </c>
      <c r="CG1" s="25">
        <v>83</v>
      </c>
      <c r="CH1" s="25">
        <v>84</v>
      </c>
      <c r="CI1" s="25">
        <v>85</v>
      </c>
      <c r="CJ1" s="25">
        <v>86</v>
      </c>
      <c r="CK1" s="25">
        <v>87</v>
      </c>
      <c r="CL1" s="25">
        <v>88</v>
      </c>
      <c r="CM1" s="25">
        <v>89</v>
      </c>
      <c r="CN1" s="25">
        <v>90</v>
      </c>
      <c r="CO1" s="25">
        <v>91</v>
      </c>
      <c r="CP1" s="25">
        <v>92</v>
      </c>
      <c r="CQ1" s="25">
        <v>93</v>
      </c>
      <c r="CR1" s="25">
        <v>94</v>
      </c>
      <c r="CS1" s="25">
        <v>95</v>
      </c>
      <c r="CT1" s="25">
        <v>96</v>
      </c>
      <c r="CU1" s="25">
        <v>97</v>
      </c>
      <c r="CV1" s="25">
        <v>98</v>
      </c>
      <c r="CW1" s="25">
        <v>99</v>
      </c>
      <c r="CX1" s="25">
        <v>100</v>
      </c>
      <c r="CY1" s="25">
        <v>101</v>
      </c>
      <c r="CZ1" s="25">
        <v>102</v>
      </c>
      <c r="DA1" s="25">
        <v>103</v>
      </c>
      <c r="DB1" s="25">
        <v>104</v>
      </c>
      <c r="DC1" s="25">
        <v>105</v>
      </c>
      <c r="DD1" s="25">
        <v>106</v>
      </c>
      <c r="DE1" s="25">
        <v>107</v>
      </c>
      <c r="DF1" s="25">
        <v>108</v>
      </c>
      <c r="DG1" s="25">
        <v>109</v>
      </c>
      <c r="DH1" s="25">
        <v>110</v>
      </c>
      <c r="DI1" s="25">
        <v>111</v>
      </c>
      <c r="DJ1" s="25">
        <v>112</v>
      </c>
      <c r="DK1" s="25">
        <v>113</v>
      </c>
      <c r="DL1" s="25">
        <v>114</v>
      </c>
      <c r="DM1" s="25">
        <v>115</v>
      </c>
      <c r="DN1" s="25">
        <v>116</v>
      </c>
      <c r="DO1" s="25">
        <v>117</v>
      </c>
      <c r="DP1" s="25">
        <v>118</v>
      </c>
      <c r="DQ1" s="25">
        <v>119</v>
      </c>
      <c r="DR1" s="25">
        <v>120</v>
      </c>
      <c r="DS1" s="25">
        <v>121</v>
      </c>
      <c r="DT1" s="25">
        <v>122</v>
      </c>
      <c r="DU1" s="25">
        <v>123</v>
      </c>
      <c r="DV1" s="25">
        <v>124</v>
      </c>
      <c r="DW1" s="25">
        <v>125</v>
      </c>
      <c r="DX1" s="25">
        <v>126</v>
      </c>
      <c r="DY1" s="25">
        <v>127</v>
      </c>
      <c r="DZ1" s="25">
        <v>128</v>
      </c>
      <c r="EA1" s="25">
        <v>129</v>
      </c>
      <c r="EB1" s="25">
        <v>130</v>
      </c>
      <c r="EC1" s="25">
        <v>131</v>
      </c>
      <c r="ED1" s="25">
        <v>132</v>
      </c>
      <c r="EE1" s="25">
        <v>133</v>
      </c>
      <c r="EF1" s="25">
        <v>134</v>
      </c>
      <c r="EG1" s="25">
        <v>135</v>
      </c>
      <c r="EH1" s="25">
        <v>136</v>
      </c>
      <c r="EI1" s="25">
        <v>137</v>
      </c>
    </row>
    <row r="2" spans="1:139">
      <c r="A2" s="126" t="s">
        <v>100</v>
      </c>
      <c r="B2" s="56" t="s">
        <v>576</v>
      </c>
      <c r="C2" s="8">
        <v>1</v>
      </c>
      <c r="D2" s="20">
        <v>98.06</v>
      </c>
      <c r="E2" s="20">
        <f>D2*C2</f>
        <v>98.06</v>
      </c>
    </row>
    <row r="3" spans="1:139" ht="15">
      <c r="A3" s="53" t="s">
        <v>51</v>
      </c>
      <c r="B3" s="54"/>
      <c r="D3" s="18"/>
    </row>
    <row r="4" spans="1:139" ht="15">
      <c r="A4" s="127"/>
      <c r="B4" s="54"/>
      <c r="C4" s="127"/>
      <c r="D4" s="18"/>
      <c r="G4" s="7" t="s">
        <v>388</v>
      </c>
      <c r="H4" s="24">
        <v>43831</v>
      </c>
      <c r="I4" s="24">
        <v>43862</v>
      </c>
      <c r="J4" s="24">
        <v>43891</v>
      </c>
      <c r="K4" s="24">
        <v>43922</v>
      </c>
      <c r="L4" s="24">
        <v>43952</v>
      </c>
      <c r="M4" s="24">
        <v>43983</v>
      </c>
      <c r="N4" s="24">
        <v>44013</v>
      </c>
      <c r="O4" s="24">
        <v>44044</v>
      </c>
      <c r="P4" s="24">
        <v>44075</v>
      </c>
      <c r="Q4" s="24">
        <v>44105</v>
      </c>
      <c r="R4" s="24">
        <v>44136</v>
      </c>
      <c r="S4" s="24">
        <v>44166</v>
      </c>
      <c r="T4" s="24">
        <v>44197</v>
      </c>
      <c r="U4" s="24">
        <v>44228</v>
      </c>
      <c r="V4" s="24">
        <v>44256</v>
      </c>
      <c r="W4" s="24">
        <v>44287</v>
      </c>
      <c r="X4" s="24">
        <v>44317</v>
      </c>
      <c r="Y4" s="24">
        <v>44348</v>
      </c>
      <c r="Z4" s="24">
        <v>44378</v>
      </c>
      <c r="AA4" s="24">
        <v>44409</v>
      </c>
      <c r="AB4" s="24">
        <v>44440</v>
      </c>
      <c r="AC4" s="24">
        <v>44470</v>
      </c>
      <c r="AD4" s="24">
        <v>44501</v>
      </c>
      <c r="AE4" s="24">
        <v>44531</v>
      </c>
      <c r="AF4" s="24">
        <v>44562</v>
      </c>
      <c r="AG4" s="24">
        <v>44593</v>
      </c>
      <c r="AH4" s="24">
        <v>44621</v>
      </c>
      <c r="AI4" s="24">
        <v>44652</v>
      </c>
      <c r="AJ4" s="24">
        <v>44682</v>
      </c>
      <c r="AK4" s="24">
        <v>44713</v>
      </c>
      <c r="AL4" s="24">
        <v>44743</v>
      </c>
      <c r="AM4" s="24">
        <v>44774</v>
      </c>
      <c r="AN4" s="24">
        <v>44805</v>
      </c>
      <c r="AO4" s="24">
        <v>44835</v>
      </c>
      <c r="AP4" s="24">
        <v>44866</v>
      </c>
      <c r="AQ4" s="24">
        <v>44896</v>
      </c>
      <c r="AR4" s="24">
        <v>44927</v>
      </c>
      <c r="AS4" s="24">
        <v>44958</v>
      </c>
      <c r="AT4" s="24">
        <v>44986</v>
      </c>
      <c r="AU4" s="24">
        <v>45017</v>
      </c>
      <c r="AV4" s="24">
        <v>45047</v>
      </c>
      <c r="AW4" s="24">
        <v>45078</v>
      </c>
      <c r="AX4" s="24">
        <v>45108</v>
      </c>
      <c r="AY4" s="24" t="s">
        <v>530</v>
      </c>
      <c r="AZ4" s="24" t="s">
        <v>531</v>
      </c>
      <c r="BA4" s="24" t="s">
        <v>532</v>
      </c>
      <c r="BB4" s="24">
        <v>37104</v>
      </c>
      <c r="BC4" s="24">
        <v>37469</v>
      </c>
      <c r="BD4" s="24" t="s">
        <v>168</v>
      </c>
      <c r="BE4" s="24" t="s">
        <v>169</v>
      </c>
      <c r="BF4" s="24" t="s">
        <v>421</v>
      </c>
      <c r="BG4" s="24" t="s">
        <v>422</v>
      </c>
      <c r="BH4" s="24" t="s">
        <v>423</v>
      </c>
      <c r="BI4" s="24" t="s">
        <v>424</v>
      </c>
      <c r="BJ4" s="24" t="s">
        <v>435</v>
      </c>
      <c r="BK4" s="24" t="s">
        <v>436</v>
      </c>
      <c r="BL4" s="24" t="s">
        <v>437</v>
      </c>
      <c r="BM4" s="24" t="s">
        <v>438</v>
      </c>
      <c r="BN4" s="59">
        <v>37196</v>
      </c>
      <c r="BO4" s="59">
        <v>37561</v>
      </c>
      <c r="BP4" s="59">
        <v>37926</v>
      </c>
      <c r="BQ4" s="59">
        <v>38292</v>
      </c>
      <c r="BR4" s="59">
        <v>37226</v>
      </c>
      <c r="BS4" s="59">
        <v>37591</v>
      </c>
      <c r="BT4" s="59">
        <v>37956</v>
      </c>
      <c r="BU4" s="59">
        <v>38322</v>
      </c>
      <c r="BV4" s="59">
        <v>36892</v>
      </c>
      <c r="BW4" s="59">
        <v>37257</v>
      </c>
      <c r="BX4" s="59">
        <v>37622</v>
      </c>
      <c r="BY4" s="59">
        <v>37987</v>
      </c>
      <c r="BZ4" s="59">
        <v>36923</v>
      </c>
      <c r="CA4" s="59">
        <v>37288</v>
      </c>
      <c r="CB4" s="59">
        <v>37653</v>
      </c>
      <c r="CC4" s="59">
        <v>38018</v>
      </c>
      <c r="CD4" s="59" t="str">
        <f>Sheet8!A15</f>
        <v>Mar-w1</v>
      </c>
      <c r="CE4" s="59">
        <v>37316</v>
      </c>
      <c r="CF4" s="59">
        <v>37681</v>
      </c>
      <c r="CG4" s="59">
        <v>38047</v>
      </c>
      <c r="CH4" s="31" t="str">
        <f>Sheet8!E15</f>
        <v>Apr-w1</v>
      </c>
      <c r="CI4" s="31" t="str">
        <f>Sheet8!F15</f>
        <v>Apr-w2</v>
      </c>
      <c r="CJ4" s="24" t="str">
        <f>Sheet8!G15</f>
        <v>Apr-w3</v>
      </c>
      <c r="CK4" s="24" t="str">
        <f>Sheet8!H15</f>
        <v>Apr-w4</v>
      </c>
      <c r="CL4" s="24" t="str">
        <f>Sheet8!I15</f>
        <v>May-w1</v>
      </c>
      <c r="CM4" s="24" t="str">
        <f>Sheet8!J15</f>
        <v>May-w2</v>
      </c>
      <c r="CN4" s="24" t="str">
        <f>Sheet8!K15</f>
        <v>May-w3</v>
      </c>
      <c r="CO4" s="24" t="str">
        <f>Sheet8!L15</f>
        <v>May-w4</v>
      </c>
      <c r="CP4" s="24" t="str">
        <f>Sheet8!M15</f>
        <v>May-w5</v>
      </c>
      <c r="CQ4" s="24" t="str">
        <f>Sheet8!N15</f>
        <v>june-w1</v>
      </c>
      <c r="CR4" s="24" t="str">
        <f>Sheet8!O15</f>
        <v>june-w2</v>
      </c>
      <c r="CS4" s="24" t="str">
        <f>Sheet8!P15</f>
        <v>june-w3</v>
      </c>
      <c r="CT4" s="24" t="str">
        <f>Sheet8!Q15</f>
        <v>june-w4</v>
      </c>
      <c r="CU4" s="24" t="str">
        <f>Sheet8!R15</f>
        <v>Jul-w1</v>
      </c>
      <c r="CV4" s="24" t="str">
        <f>Sheet8!S15</f>
        <v>Jul-w2</v>
      </c>
      <c r="CW4" s="24" t="str">
        <f>Sheet8!T15</f>
        <v>Jul-w3</v>
      </c>
      <c r="CX4" s="24" t="str">
        <f>Sheet8!U15</f>
        <v>Jul-w4</v>
      </c>
      <c r="CY4" s="24" t="str">
        <f>Sheet8!V15</f>
        <v>Aug-w1</v>
      </c>
      <c r="CZ4" s="24" t="str">
        <f>Sheet8!W15</f>
        <v>Aug-w2</v>
      </c>
      <c r="DA4" s="24" t="str">
        <f>Sheet8!X15</f>
        <v>Aug-w3</v>
      </c>
      <c r="DB4" s="24" t="str">
        <f>Sheet8!Y15</f>
        <v>Aug-w4</v>
      </c>
      <c r="DC4" s="24" t="str">
        <f>Sheet8!Z15</f>
        <v>Sep-w1</v>
      </c>
      <c r="DD4" s="24" t="str">
        <f>Sheet8!AA15</f>
        <v>Sep-w2</v>
      </c>
      <c r="DE4" s="24" t="str">
        <f>Sheet8!AB15</f>
        <v>Sep-w3</v>
      </c>
      <c r="DF4" s="24" t="str">
        <f>Sheet8!AC15</f>
        <v>Sep-w4</v>
      </c>
      <c r="DG4" s="24" t="str">
        <f>Sheet8!AD15</f>
        <v>Oct-w1</v>
      </c>
      <c r="DH4" s="24" t="str">
        <f>Sheet8!AE15</f>
        <v>Oct-w2</v>
      </c>
      <c r="DI4" s="24" t="str">
        <f>Sheet8!AF15</f>
        <v>Oct-w3</v>
      </c>
      <c r="DJ4" s="24" t="str">
        <f>Sheet8!AG15</f>
        <v>Oct-w4</v>
      </c>
      <c r="DK4" s="24" t="str">
        <f>Sheet8!AH15</f>
        <v>Nov-w1</v>
      </c>
      <c r="DL4" s="24" t="str">
        <f>Sheet8!AI15</f>
        <v>Nov-w2</v>
      </c>
      <c r="DM4" s="24" t="str">
        <f>Sheet8!AJ15</f>
        <v>Nov-w3</v>
      </c>
      <c r="DN4" s="24" t="str">
        <f>Sheet8!AK15</f>
        <v>Nov-w4</v>
      </c>
      <c r="DO4" s="24" t="str">
        <f>Sheet8!AL15</f>
        <v>Dec-w1</v>
      </c>
      <c r="DP4" s="24" t="str">
        <f>Sheet8!AM15</f>
        <v>Dec-w2</v>
      </c>
      <c r="DQ4" s="24" t="str">
        <f>Sheet8!AN15</f>
        <v>Dec-w3</v>
      </c>
      <c r="DR4" s="24" t="str">
        <f>Sheet8!AO15</f>
        <v>Dec-w4</v>
      </c>
      <c r="DS4" s="24">
        <f>Sheet8!AP15</f>
        <v>0</v>
      </c>
      <c r="DT4" s="24">
        <f>Sheet8!AQ15</f>
        <v>0</v>
      </c>
      <c r="DU4" s="24">
        <f>Sheet8!AR15</f>
        <v>0</v>
      </c>
      <c r="DV4" s="24">
        <f>Sheet8!AS15</f>
        <v>0</v>
      </c>
      <c r="DW4" s="24">
        <f>Sheet8!AT15</f>
        <v>0</v>
      </c>
      <c r="DX4" s="24">
        <f>Sheet8!AU15</f>
        <v>0</v>
      </c>
      <c r="DY4" s="24">
        <f>Sheet8!AV15</f>
        <v>0</v>
      </c>
      <c r="DZ4" s="24">
        <f>Sheet8!AW15</f>
        <v>0</v>
      </c>
      <c r="EA4" s="24">
        <f>Sheet8!AX15</f>
        <v>0</v>
      </c>
      <c r="EB4" s="24">
        <f>Sheet8!AY15</f>
        <v>0</v>
      </c>
      <c r="EC4" s="24">
        <f>Sheet8!AZ15</f>
        <v>0</v>
      </c>
    </row>
    <row r="5" spans="1:139" ht="15">
      <c r="A5" s="35"/>
      <c r="D5" s="54" t="s">
        <v>50</v>
      </c>
      <c r="E5" s="54" t="s">
        <v>577</v>
      </c>
      <c r="F5" s="54" t="s">
        <v>534</v>
      </c>
      <c r="G5" s="53" t="s">
        <v>51</v>
      </c>
      <c r="H5" s="128">
        <f>VLOOKUP($G$5&amp;$F$1,'Input RM sheet'!$A:$BD,H1,0)</f>
        <v>551.47500000000002</v>
      </c>
      <c r="I5" s="128">
        <f>VLOOKUP($G$5&amp;$F$1,'Input RM sheet'!$A:$BD,I1,0)</f>
        <v>477.74342105263156</v>
      </c>
      <c r="J5" s="128">
        <f>VLOOKUP($G$5&amp;$F$1,'Input RM sheet'!$A:$BD,J1,0)</f>
        <v>290.25568181818181</v>
      </c>
      <c r="K5" s="128">
        <f>VLOOKUP($G$5&amp;$F$1,'Input RM sheet'!$A:$BD,K1,0)</f>
        <v>194.2202380952381</v>
      </c>
      <c r="L5" s="128">
        <f>VLOOKUP($G$5&amp;$F$1,'Input RM sheet'!$A:$BD,L1,0)</f>
        <v>267.16666666666669</v>
      </c>
      <c r="M5" s="128">
        <f>VLOOKUP($G$5&amp;$F$1,'Input RM sheet'!$A:$BD,M1,0)</f>
        <v>363</v>
      </c>
      <c r="N5" s="128">
        <f>VLOOKUP($G$5&amp;$F$1,'Input RM sheet'!$A:$BD,N1,0)</f>
        <v>391</v>
      </c>
      <c r="O5" s="128">
        <f>VLOOKUP($G$5&amp;$F$1,'Input RM sheet'!$A:$BD,O1,0)</f>
        <v>400</v>
      </c>
      <c r="P5" s="128">
        <f>VLOOKUP($G$5&amp;$F$1,'Input RM sheet'!$A:$BD,P1,0)</f>
        <v>401</v>
      </c>
      <c r="Q5" s="128">
        <f>VLOOKUP($G$5&amp;$F$1,'Input RM sheet'!$A:$BD,Q1,0)</f>
        <v>388</v>
      </c>
      <c r="R5" s="128">
        <f>VLOOKUP($G$5&amp;$F$1,'Input RM sheet'!$A:$BD,R1,0)</f>
        <v>382</v>
      </c>
      <c r="S5" s="128">
        <f>VLOOKUP($G$5&amp;$F$1,'Input RM sheet'!$A:$BD,S1,0)</f>
        <v>448.5</v>
      </c>
      <c r="T5" s="128">
        <f>VLOOKUP($G$5&amp;$F$1,'Input RM sheet'!$A:$BD,T1,0)</f>
        <v>515</v>
      </c>
      <c r="U5" s="128">
        <f>VLOOKUP($G$5&amp;$F$1,'Input RM sheet'!$A:$BD,U1,0)</f>
        <v>547</v>
      </c>
      <c r="V5" s="128">
        <f>VLOOKUP($G$5&amp;$F$1,'Input RM sheet'!$A:$BD,V1,0)</f>
        <v>560</v>
      </c>
      <c r="W5" s="128">
        <f>VLOOKUP($G$5&amp;$F$1,'Input RM sheet'!$A:$BD,W1,0)</f>
        <v>574</v>
      </c>
      <c r="X5" s="128">
        <f>VLOOKUP($G$5&amp;$F$1,'Input RM sheet'!$A:$BD,X1,0)</f>
        <v>596</v>
      </c>
      <c r="Y5" s="128">
        <f>VLOOKUP($G$5&amp;$F$1,'Input RM sheet'!$A:$BD,Y1,0)</f>
        <v>644</v>
      </c>
      <c r="Z5" s="128">
        <f>VLOOKUP($G$5&amp;$F$1,'Input RM sheet'!$A:$BD,Z1,0)</f>
        <v>684.875</v>
      </c>
      <c r="AA5" s="128">
        <f>VLOOKUP($G$5&amp;$F$1,'Input RM sheet'!$A:$BD,AA1,0)</f>
        <v>674.5</v>
      </c>
      <c r="AB5" s="128">
        <f>VLOOKUP($G$5&amp;$F$1,'Input RM sheet'!$A:$BD,AB1,0)</f>
        <v>662.5</v>
      </c>
      <c r="AC5" s="128">
        <f>VLOOKUP($G$5&amp;$F$1,'Input RM sheet'!$A:$BD,AC1,0)</f>
        <v>767.55</v>
      </c>
      <c r="AD5" s="128">
        <f>VLOOKUP($G$5&amp;$F$1,'Input RM sheet'!$A:$BD,AD1,0)</f>
        <v>755.84</v>
      </c>
      <c r="AE5" s="128">
        <f>VLOOKUP($G$5&amp;$F$1,'Input RM sheet'!$A:$BD,AE1,0)</f>
        <v>693.2</v>
      </c>
      <c r="AF5" s="128">
        <f>VLOOKUP($G$5&amp;$F$1,'Input RM sheet'!$A:$BD,AF1,0)</f>
        <v>775.4</v>
      </c>
      <c r="AG5" s="128">
        <f>VLOOKUP($G$5&amp;$F$1,'Input RM sheet'!$A:$BD,AG1,0)</f>
        <v>860</v>
      </c>
      <c r="AH5" s="128">
        <f>VLOOKUP($G$5&amp;$F$1,'Input RM sheet'!$A:$BD,AH1,0)</f>
        <v>1011</v>
      </c>
      <c r="AI5" s="128">
        <f>VLOOKUP($G$5&amp;$F$1,'Input RM sheet'!$A:$BD,AI1,0)</f>
        <v>903</v>
      </c>
      <c r="AJ5" s="128">
        <f>VLOOKUP($G$5&amp;$F$1,'Input RM sheet'!$A:$BD,AJ1,0)</f>
        <v>904</v>
      </c>
      <c r="AK5" s="128">
        <f>VLOOKUP($G$5&amp;$F$1,'Input RM sheet'!$A:$BD,AK1,0)</f>
        <v>828</v>
      </c>
      <c r="AL5" s="128">
        <f>VLOOKUP($G$5&amp;$F$1,'Input RM sheet'!$A:$BD,AL1,0)</f>
        <v>791</v>
      </c>
      <c r="AM5" s="128">
        <f>VLOOKUP($G$5&amp;$F$1,'Input RM sheet'!$A:$BD,AM1,0)</f>
        <v>701</v>
      </c>
      <c r="AN5" s="128">
        <f>VLOOKUP($G$5&amp;$F$1,'Input RM sheet'!$A:$BD,AN1,0)</f>
        <v>661</v>
      </c>
      <c r="AO5" s="128">
        <f>VLOOKUP($G$5&amp;$F$1,'Input RM sheet'!$A:$BD,AO1,0)</f>
        <v>683</v>
      </c>
      <c r="AP5" s="128">
        <f>VLOOKUP($G$5&amp;$F$1,'Input RM sheet'!$A:$BD,AP1,0)</f>
        <v>693</v>
      </c>
      <c r="AQ5" s="128">
        <f>VLOOKUP($G$5&amp;$F$1,'Input RM sheet'!$A:$BD,AQ1,0)</f>
        <v>625.5</v>
      </c>
      <c r="AR5" s="128">
        <f>VLOOKUP($G$5&amp;$F$1,'Input RM sheet'!$A:$BD,AR1,0)</f>
        <v>710</v>
      </c>
      <c r="AS5" s="128">
        <f>VLOOKUP($G$5&amp;$F$1,'Input RM sheet'!$A:$BD,AS1,0)</f>
        <v>720</v>
      </c>
      <c r="AT5" s="128">
        <f>VLOOKUP($G$5&amp;$F$1,'Input RM sheet'!$A:$BD,AT1,0)</f>
        <v>840</v>
      </c>
      <c r="AU5" s="128">
        <f>VLOOKUP($G$5&amp;$F$1,'Input RM sheet'!$A:$BD,AU1,0)</f>
        <v>975</v>
      </c>
      <c r="AV5" s="128">
        <f>VLOOKUP($G$5&amp;$F$1,'Input RM sheet'!$A:$BD,AV1,0)</f>
        <v>835</v>
      </c>
      <c r="AW5" s="128">
        <f>VLOOKUP($G$5&amp;$F$1,'Input RM sheet'!$A:$BD,AW1,0)</f>
        <v>670</v>
      </c>
      <c r="AX5" s="128">
        <f>VLOOKUP($G$5&amp;$F$1,'Input RM sheet'!$A:$BD,AX1,0)</f>
        <v>712.5</v>
      </c>
      <c r="AY5" s="128">
        <f>VLOOKUP($G$5&amp;$F$1,'Input RM sheet'!$A:$BD,AY1,0)</f>
        <v>780</v>
      </c>
      <c r="AZ5" s="128">
        <f>VLOOKUP($G$5&amp;$F$1,'Input RM sheet'!$A:$BD,AZ1,0)</f>
        <v>804</v>
      </c>
      <c r="BA5" s="128">
        <f>VLOOKUP($G$5&amp;$F$1,'Input RM sheet'!$A:$BD,BA1,0)</f>
        <v>842</v>
      </c>
      <c r="BB5" s="128">
        <f>VLOOKUP($G$5&amp;$F$1,'Input RM sheet'!$A:$BD,BB1,0)</f>
        <v>873</v>
      </c>
      <c r="BC5" s="128">
        <f>VLOOKUP($G$5&amp;$F$1,'Input RM sheet'!$A:$BD,BC1,0)</f>
        <v>863</v>
      </c>
      <c r="BD5" s="128">
        <f>VLOOKUP($G$5&amp;$F$1,'Input RM sheet'!$A:$BD,BD1,0)</f>
        <v>876</v>
      </c>
      <c r="BE5" s="128">
        <f>VLOOKUP($G$5&amp;$F$1,'Input RM sheet'!$A:$BD,BE1,0)</f>
        <v>876</v>
      </c>
      <c r="BF5" s="128">
        <f>VLOOKUP($G$5&amp;$F$1,'Input RM sheet'!$A:$BD,BF1,0)</f>
        <v>865</v>
      </c>
      <c r="BG5" s="128">
        <f>VLOOKUP($G$5&amp;$F$1,'Input RM sheet'!$A:$DD,BG1,0)</f>
        <v>930</v>
      </c>
      <c r="BH5" s="128">
        <f>VLOOKUP($G$5&amp;$F$1,'Input RM sheet'!$A:$DD,BH1,0)</f>
        <v>1010</v>
      </c>
      <c r="BI5" s="128">
        <f>VLOOKUP($G$5&amp;$F$1,'Input RM sheet'!$A:$DD,BI1,0)</f>
        <v>950</v>
      </c>
      <c r="BJ5" s="128">
        <f>VLOOKUP($G$5&amp;$F$1,'Input RM sheet'!$A:$DD,BJ1,0)</f>
        <v>888</v>
      </c>
      <c r="BK5" s="128">
        <f>VLOOKUP($G$5&amp;$F$1,'Input RM sheet'!$A:$DD,BK1,0)</f>
        <v>901</v>
      </c>
      <c r="BL5" s="128">
        <f>VLOOKUP($G$5&amp;$F$1,'Input RM sheet'!$A:$DD,BL1,0)</f>
        <v>882</v>
      </c>
      <c r="BM5" s="128">
        <f>VLOOKUP($G$5&amp;$F$1,'Input RM sheet'!$A:$DD,BM1,0)</f>
        <v>882</v>
      </c>
      <c r="BN5" s="128">
        <f>VLOOKUP($G$5&amp;$F$1,'Input RM sheet'!$A:$DD,BN1,0)</f>
        <v>882</v>
      </c>
      <c r="BO5" s="128">
        <f>VLOOKUP($G$5&amp;$F$1,'Input RM sheet'!$A:$DD,BO1,0)</f>
        <v>843</v>
      </c>
      <c r="BP5" s="128">
        <f>VLOOKUP($G$5&amp;$F$1,'Input RM sheet'!$A:$DD,BP1,0)</f>
        <v>867</v>
      </c>
      <c r="BQ5" s="128">
        <f>VLOOKUP($G$5&amp;$F$1,'Input RM sheet'!$A:$DD,BQ1,0)</f>
        <v>846</v>
      </c>
      <c r="BR5" s="128">
        <f>VLOOKUP($G$5&amp;$F$1,'Input RM sheet'!$A:$DD,BR1,0)</f>
        <v>826</v>
      </c>
      <c r="BS5" s="128">
        <f>VLOOKUP($G$5&amp;$F$1,'Input RM sheet'!$A:$DD,BS1,0)</f>
        <v>815</v>
      </c>
      <c r="BT5" s="128">
        <f>VLOOKUP($G$5&amp;$F$1,'Input RM sheet'!$A:$DD,BT1,0)</f>
        <v>863</v>
      </c>
      <c r="BU5" s="128">
        <f>VLOOKUP($G$5&amp;$F$1,'Input RM sheet'!$A:$DD,BU1,0)</f>
        <v>855</v>
      </c>
      <c r="BV5" s="128">
        <f>VLOOKUP($G$5&amp;$F$1,'Input RM sheet'!$A:$DD,BV1,0)</f>
        <v>872</v>
      </c>
      <c r="BW5" s="128">
        <f>VLOOKUP($G$5&amp;$F$1,'Input RM sheet'!$A:$DD,BW1,0)</f>
        <v>920</v>
      </c>
      <c r="BX5" s="128">
        <f>VLOOKUP($G$5&amp;$F$1,'Input RM sheet'!$A:$DD,BX1,0)</f>
        <v>922</v>
      </c>
      <c r="BY5" s="128">
        <f>VLOOKUP($G$5&amp;$F$1,'Input RM sheet'!$A:$DD,BY1,0)</f>
        <v>975</v>
      </c>
      <c r="BZ5" s="128">
        <f>VLOOKUP($G$5&amp;$F$1,'Input RM sheet'!$A:$DD,BZ1,0)</f>
        <v>985</v>
      </c>
      <c r="CA5" s="128">
        <f>VLOOKUP($G$5&amp;$F$1,'Input RM sheet'!$A:$DD,CA1,0)</f>
        <v>1024</v>
      </c>
      <c r="CB5" s="128">
        <f>VLOOKUP($G$5&amp;$F$1,'Input RM sheet'!$A:$DD,CB1,0)</f>
        <v>1022</v>
      </c>
      <c r="CC5" s="128">
        <f>VLOOKUP($G$5&amp;$F$1,'Input RM sheet'!$A:$DD,CC1,0)</f>
        <v>1010</v>
      </c>
      <c r="CD5" s="128">
        <f>VLOOKUP($G$5&amp;$F$1,'Input RM sheet'!$A:$DD,CD1,0)</f>
        <v>995</v>
      </c>
      <c r="CE5" s="128">
        <f>VLOOKUP($G$5&amp;$F$1,'Input RM sheet'!$A:$DD,CE1,0)</f>
        <v>1014</v>
      </c>
      <c r="CF5" s="128">
        <f>VLOOKUP($G$5&amp;$F$1,'Input RM sheet'!$A:$DD,CF1,0)</f>
        <v>1014</v>
      </c>
      <c r="CG5" s="128">
        <f>VLOOKUP($G$5&amp;$F$1,'Input RM sheet'!$A:$DD,CG1,0)</f>
        <v>1018</v>
      </c>
      <c r="CH5" s="128">
        <f>VLOOKUP($G$5&amp;$F$1,'Input RM sheet'!$A:$DD,CH1,0)</f>
        <v>1065</v>
      </c>
      <c r="CI5" s="128">
        <f>VLOOKUP($G$5&amp;$F$1,'Input RM sheet'!$A:$DD,CI1,0)</f>
        <v>1052</v>
      </c>
      <c r="CJ5" s="128">
        <f>VLOOKUP($G$5&amp;$F$1,'Input RM sheet'!$A:$DD,CJ1,0)</f>
        <v>1044</v>
      </c>
      <c r="CK5" s="128">
        <f>VLOOKUP($G$5&amp;$F$1,'Input RM sheet'!$A:$DD,CK1,0)</f>
        <v>1035</v>
      </c>
      <c r="CL5" s="128">
        <f>VLOOKUP($G$5&amp;$F$1,'Input RM sheet'!$A:$DD,CL1,0)</f>
        <v>1025</v>
      </c>
      <c r="CM5" s="128">
        <f>VLOOKUP($G$5&amp;$F$1,'Input RM sheet'!$A:$DD,CM1,0)</f>
        <v>1014</v>
      </c>
      <c r="CN5" s="128">
        <f>VLOOKUP($G$5&amp;$F$1,'Input RM sheet'!$A:$DD,CN1,0)</f>
        <v>1021</v>
      </c>
      <c r="CO5" s="128">
        <f>VLOOKUP($G$5&amp;$F$1,'Input RM sheet'!$A:$DD,CO1,0)</f>
        <v>1025</v>
      </c>
      <c r="CP5" s="128">
        <f>VLOOKUP($G$5&amp;$F$1,'Input RM sheet'!$A:$DD,CP1,0)</f>
        <v>1040</v>
      </c>
      <c r="CQ5" s="128">
        <f>VLOOKUP($G$5&amp;$F$1,'Input RM sheet'!$A:$DD,CQ1,0)</f>
        <v>1040</v>
      </c>
      <c r="CR5" s="128">
        <f>VLOOKUP($G$5&amp;$F$1,'Input RM sheet'!$A:$ZZ,CR1,0)</f>
        <v>1004</v>
      </c>
      <c r="CS5" s="128">
        <f>VLOOKUP($G$5&amp;$F$1,'Input RM sheet'!$A:$ZZ,CS1,0)</f>
        <v>981</v>
      </c>
      <c r="CT5" s="128">
        <f>VLOOKUP($G$5&amp;$F$1,'Input RM sheet'!$A:$ZZ,CT1,0)</f>
        <v>1028</v>
      </c>
      <c r="CU5" s="128">
        <f>VLOOKUP($G$5&amp;$F$1,'Input RM sheet'!$A:$ZZ,CU1,0)</f>
        <v>1005</v>
      </c>
      <c r="CV5" s="128">
        <f>VLOOKUP($G$5&amp;$F$1,'Input RM sheet'!$A:$ZZ,CV1,0)</f>
        <v>996</v>
      </c>
      <c r="CW5" s="128">
        <f>VLOOKUP($G$5&amp;$F$1,'Input RM sheet'!$A:$ZZ,CW1,0)</f>
        <v>992</v>
      </c>
      <c r="CX5" s="128">
        <f>VLOOKUP($G$5&amp;$F$1,'Input RM sheet'!$A:$ZZ,CX1,0)</f>
        <v>961</v>
      </c>
      <c r="CY5" s="128">
        <f>VLOOKUP($G$5&amp;$F$1,'Input RM sheet'!$A:$ZZ,CY1,0)</f>
        <v>1003</v>
      </c>
      <c r="CZ5" s="128">
        <f>VLOOKUP($G$5&amp;$F$1,'Input RM sheet'!$A:$ZZ,CZ1,0)</f>
        <v>1011</v>
      </c>
      <c r="DA5" s="128">
        <f>VLOOKUP($G$5&amp;$F$1,'Input RM sheet'!$A:$ZZ,DA1,0)</f>
        <v>987</v>
      </c>
      <c r="DB5" s="128">
        <f>VLOOKUP($G$5&amp;$F$1,'Input RM sheet'!$A:$ZZ,DB1,0)</f>
        <v>995</v>
      </c>
      <c r="DC5" s="128">
        <f>VLOOKUP($G$5&amp;$F$1,'Input RM sheet'!$A:$ZZ,DC1,0)</f>
        <v>980</v>
      </c>
      <c r="DD5" s="128">
        <f>VLOOKUP($G$5&amp;$F$1,'Input RM sheet'!$A:$ZZ,DD1,0)</f>
        <v>935</v>
      </c>
      <c r="DE5" s="128">
        <f>VLOOKUP($G$5&amp;$F$1,'Input RM sheet'!$A:$ZZ,DE1,0)</f>
        <v>942</v>
      </c>
      <c r="DF5" s="128">
        <f>VLOOKUP($G$5&amp;$F$1,'Input RM sheet'!$A:$ZZ,DF1,0)</f>
        <v>933</v>
      </c>
      <c r="DG5" s="128">
        <f>VLOOKUP($G$5&amp;$F$1,'Input RM sheet'!$A:$ZZ,DG1,0)</f>
        <v>982</v>
      </c>
      <c r="DH5" s="128">
        <f>VLOOKUP($G$5&amp;$F$1,'Input RM sheet'!$A:$ZZ,DH1,0)</f>
        <v>888</v>
      </c>
      <c r="DI5" s="128">
        <f>VLOOKUP($G$5&amp;$F$1,'Input RM sheet'!$A:$ZZ,DI1,0)</f>
        <v>884</v>
      </c>
      <c r="DJ5" s="128">
        <f>VLOOKUP($G$5&amp;$F$1,'Input RM sheet'!$A:$ZZ,DJ1,0)</f>
        <v>880</v>
      </c>
      <c r="DK5" s="128">
        <f>VLOOKUP($G$5&amp;$F$1,'Input RM sheet'!$A:$ZZ,DK1,0)</f>
        <v>897</v>
      </c>
      <c r="DL5" s="128">
        <f>VLOOKUP($G$5&amp;$F$1,'Input RM sheet'!$A:$ZZ,DL1,0)</f>
        <v>861</v>
      </c>
      <c r="DM5" s="128">
        <f>VLOOKUP($G$5&amp;$F$1,'Input RM sheet'!$A:$ZZ,DM1,0)</f>
        <v>877</v>
      </c>
      <c r="DN5" s="128">
        <f>VLOOKUP($G$5&amp;$F$1,'Input RM sheet'!$A:$ZZ,DN1,0)</f>
        <v>862</v>
      </c>
      <c r="DO5" s="128">
        <f>VLOOKUP($G$5&amp;$F$1,'Input RM sheet'!$A:$ZZ,DO1,0)</f>
        <v>874</v>
      </c>
      <c r="DP5" s="128">
        <f>VLOOKUP($G$5&amp;$F$1,'Input RM sheet'!$A:$ZZ,DP1,0)</f>
        <v>878</v>
      </c>
      <c r="DQ5" s="128">
        <f>VLOOKUP($G$5&amp;$F$1,'Input RM sheet'!$A:$ZZ,DQ1,0)</f>
        <v>885</v>
      </c>
      <c r="DR5" s="128">
        <f>VLOOKUP($G$5&amp;$F$1,'Input RM sheet'!$A:$ZZ,DR1,0)</f>
        <v>869</v>
      </c>
      <c r="DS5" s="128">
        <f>VLOOKUP($G$5&amp;$F$1,'Input RM sheet'!$A:$ZZ,DS1,0)</f>
        <v>0</v>
      </c>
      <c r="DT5" s="128">
        <f>VLOOKUP($G$5&amp;$F$1,'Input RM sheet'!$A:$ZZ,DT1,0)</f>
        <v>0</v>
      </c>
      <c r="DU5" s="128">
        <f>VLOOKUP($G$5&amp;$F$1,'Input RM sheet'!$A:$ZZ,DU1,0)</f>
        <v>0</v>
      </c>
      <c r="DV5" s="128">
        <f>VLOOKUP($G$5&amp;$F$1,'Input RM sheet'!$A:$ZZ,DV1,0)</f>
        <v>0</v>
      </c>
      <c r="DW5" s="128">
        <f>VLOOKUP($G$5&amp;$F$1,'Input RM sheet'!$A:$ZZ,DW1,0)</f>
        <v>0</v>
      </c>
      <c r="DX5" s="128">
        <f>VLOOKUP($G$5&amp;$F$1,'Input RM sheet'!$A:$ZZ,DX1,0)</f>
        <v>0</v>
      </c>
      <c r="DY5" s="128">
        <f>VLOOKUP($G$5&amp;$F$1,'Input RM sheet'!$A:$ZZ,DY1,0)</f>
        <v>0</v>
      </c>
      <c r="DZ5" s="128">
        <f>VLOOKUP($G$5&amp;$F$1,'Input RM sheet'!$A:$ZZ,DZ1,0)</f>
        <v>0</v>
      </c>
      <c r="EA5" s="128">
        <f>VLOOKUP($G$5&amp;$F$1,'Input RM sheet'!$A:$ZZ,EA1,0)</f>
        <v>0</v>
      </c>
      <c r="EB5" s="128">
        <f>VLOOKUP($G$5&amp;$F$1,'Input RM sheet'!$A:$ZZ,EB1,0)</f>
        <v>0</v>
      </c>
      <c r="EC5" s="128">
        <f>VLOOKUP($G$5&amp;$F$1,'Input RM sheet'!$A:$ZZ,EC1,0)</f>
        <v>0</v>
      </c>
    </row>
    <row r="6" spans="1:139" ht="15">
      <c r="A6" s="57" t="s">
        <v>395</v>
      </c>
      <c r="B6" s="57"/>
      <c r="C6" s="57" t="s">
        <v>379</v>
      </c>
      <c r="D6" s="57" t="s">
        <v>380</v>
      </c>
      <c r="E6" s="57" t="s">
        <v>381</v>
      </c>
      <c r="F6" s="57" t="s">
        <v>396</v>
      </c>
      <c r="G6" s="53" t="s">
        <v>399</v>
      </c>
      <c r="H6" s="129"/>
      <c r="I6" s="129"/>
      <c r="J6" s="129"/>
      <c r="K6" s="129"/>
      <c r="L6" s="129"/>
      <c r="M6" s="129"/>
      <c r="N6" s="129"/>
      <c r="O6" s="129"/>
      <c r="P6" s="129"/>
      <c r="Q6" s="129"/>
      <c r="R6" s="129"/>
      <c r="S6" s="129"/>
      <c r="T6" s="129"/>
      <c r="U6" s="129"/>
      <c r="V6" s="129"/>
      <c r="W6" s="129"/>
      <c r="X6" s="129"/>
      <c r="Y6" s="129"/>
      <c r="Z6" s="129"/>
      <c r="AA6" s="129"/>
      <c r="AB6" s="129"/>
      <c r="AC6" s="129"/>
      <c r="AD6" s="129"/>
      <c r="AE6" s="129"/>
      <c r="AF6" s="129"/>
      <c r="AG6" s="129"/>
      <c r="AH6" s="129"/>
      <c r="AI6" s="129"/>
      <c r="AJ6" s="129"/>
      <c r="AK6" s="129"/>
      <c r="AL6" s="129"/>
      <c r="AM6" s="129"/>
      <c r="AN6" s="129"/>
      <c r="AO6" s="129"/>
      <c r="AP6" s="129"/>
      <c r="AQ6" s="129"/>
      <c r="AR6" s="129"/>
      <c r="AS6" s="129"/>
      <c r="AT6" s="129"/>
      <c r="AU6" s="129"/>
      <c r="AV6" s="129"/>
      <c r="AW6" s="129"/>
      <c r="AX6" s="129"/>
      <c r="AY6" s="129"/>
      <c r="AZ6" s="129"/>
      <c r="BA6" s="129"/>
      <c r="BB6" s="129"/>
      <c r="BC6" s="129"/>
      <c r="BD6" s="129"/>
      <c r="BE6" s="129"/>
      <c r="BF6" s="129"/>
      <c r="BG6" s="129"/>
      <c r="BH6" s="129"/>
      <c r="BI6" s="129"/>
      <c r="BJ6" s="129"/>
      <c r="BK6" s="129"/>
      <c r="BL6" s="129"/>
      <c r="BM6" s="129"/>
      <c r="BN6" s="129"/>
      <c r="BO6" s="129"/>
      <c r="BP6" s="129"/>
      <c r="BQ6" s="129"/>
      <c r="BR6" s="129"/>
      <c r="BS6" s="129"/>
      <c r="BT6" s="129"/>
      <c r="BU6" s="129"/>
      <c r="BV6" s="129"/>
      <c r="BW6" s="129"/>
      <c r="BX6" s="129"/>
      <c r="BY6" s="129"/>
      <c r="BZ6" s="129"/>
      <c r="CA6" s="129"/>
      <c r="CB6" s="129"/>
      <c r="CC6" s="129"/>
      <c r="CD6" s="129"/>
      <c r="CE6" s="129"/>
      <c r="CF6" s="129"/>
      <c r="CG6" s="129"/>
      <c r="CH6" s="129"/>
      <c r="CI6" s="129"/>
      <c r="CJ6" s="129"/>
      <c r="CK6" s="129"/>
      <c r="CL6" s="129"/>
      <c r="CM6" s="129"/>
      <c r="CN6" s="129"/>
      <c r="CO6" s="129"/>
      <c r="CP6" s="129"/>
      <c r="CQ6" s="129"/>
      <c r="CR6" s="129"/>
      <c r="CS6" s="129"/>
      <c r="CT6" s="129"/>
      <c r="CU6" s="129"/>
      <c r="CV6" s="129"/>
      <c r="CW6" s="129"/>
      <c r="CX6" s="129"/>
      <c r="CY6" s="129"/>
      <c r="CZ6" s="129"/>
      <c r="DA6" s="129"/>
      <c r="DB6" s="129"/>
      <c r="DC6" s="129"/>
      <c r="DD6" s="129"/>
      <c r="DE6" s="129"/>
      <c r="DF6" s="129"/>
      <c r="DG6" s="129"/>
      <c r="DH6" s="129"/>
      <c r="DI6" s="129"/>
      <c r="DJ6" s="129"/>
      <c r="DK6" s="129"/>
      <c r="DL6" s="129"/>
      <c r="DM6" s="129"/>
      <c r="DN6" s="129"/>
      <c r="DO6" s="129"/>
      <c r="DP6" s="129"/>
      <c r="DQ6" s="129"/>
      <c r="DR6" s="129"/>
      <c r="DS6" s="129"/>
      <c r="DT6" s="129"/>
      <c r="DU6" s="129"/>
      <c r="DV6" s="129"/>
      <c r="DW6" s="129"/>
      <c r="DX6" s="129"/>
      <c r="DY6" s="129"/>
      <c r="DZ6" s="129"/>
      <c r="EA6" s="129"/>
      <c r="EB6" s="129"/>
      <c r="EC6" s="129"/>
    </row>
    <row r="7" spans="1:139" ht="15">
      <c r="A7" s="54" t="s">
        <v>397</v>
      </c>
      <c r="B7" s="53" t="s">
        <v>51</v>
      </c>
      <c r="C7" s="8">
        <v>1</v>
      </c>
      <c r="D7" s="18">
        <v>78.11</v>
      </c>
      <c r="E7" s="8">
        <f>D7*C7</f>
        <v>78.11</v>
      </c>
      <c r="F7" s="20">
        <f>E7/$E$2</f>
        <v>0.79655313073628387</v>
      </c>
      <c r="H7" s="19">
        <f>$F$7*(H5/1000)</f>
        <v>0.43927913777279221</v>
      </c>
      <c r="I7" s="19">
        <f>$F$7*(I5/1000)</f>
        <v>0.38054801772813635</v>
      </c>
      <c r="J7" s="19">
        <f>$F$7*(J5/1000)</f>
        <v>0.23120407206626736</v>
      </c>
      <c r="K7" s="19">
        <f>$F$7*(K5/1000)</f>
        <v>0.15470673870710838</v>
      </c>
      <c r="L7" s="19">
        <f>$F$7*(L5/1000)</f>
        <v>0.21281244476171049</v>
      </c>
      <c r="M7" s="19">
        <f t="shared" ref="M7:BX7" si="0">$F$7*(M5/1000)</f>
        <v>0.28914878645727105</v>
      </c>
      <c r="N7" s="19">
        <f t="shared" si="0"/>
        <v>0.31145227411788701</v>
      </c>
      <c r="O7" s="19">
        <f t="shared" si="0"/>
        <v>0.31862125229451355</v>
      </c>
      <c r="P7" s="19">
        <f t="shared" si="0"/>
        <v>0.31941780542524983</v>
      </c>
      <c r="Q7" s="19">
        <f t="shared" si="0"/>
        <v>0.30906261472567814</v>
      </c>
      <c r="R7" s="19">
        <f t="shared" si="0"/>
        <v>0.30428329594126047</v>
      </c>
      <c r="S7" s="19">
        <f t="shared" si="0"/>
        <v>0.35725407913522333</v>
      </c>
      <c r="T7" s="19">
        <f t="shared" si="0"/>
        <v>0.4102248623291862</v>
      </c>
      <c r="U7" s="19">
        <f t="shared" si="0"/>
        <v>0.43571456251274732</v>
      </c>
      <c r="V7" s="19">
        <f t="shared" si="0"/>
        <v>0.44606975321231901</v>
      </c>
      <c r="W7" s="19">
        <f t="shared" si="0"/>
        <v>0.45722149704262688</v>
      </c>
      <c r="X7" s="19">
        <f t="shared" si="0"/>
        <v>0.47474566591882517</v>
      </c>
      <c r="Y7" s="19">
        <f t="shared" si="0"/>
        <v>0.51298021619416678</v>
      </c>
      <c r="Z7" s="19">
        <f t="shared" si="0"/>
        <v>0.54553932541301242</v>
      </c>
      <c r="AA7" s="19">
        <f t="shared" si="0"/>
        <v>0.53727508668162349</v>
      </c>
      <c r="AB7" s="19">
        <f t="shared" si="0"/>
        <v>0.52771644911278803</v>
      </c>
      <c r="AC7" s="19">
        <f t="shared" si="0"/>
        <v>0.61139435549663468</v>
      </c>
      <c r="AD7" s="19">
        <f t="shared" si="0"/>
        <v>0.6020667183357129</v>
      </c>
      <c r="AE7" s="19">
        <f t="shared" si="0"/>
        <v>0.55217063022639201</v>
      </c>
      <c r="AF7" s="19">
        <f t="shared" si="0"/>
        <v>0.61764729757291448</v>
      </c>
      <c r="AG7" s="19">
        <f t="shared" si="0"/>
        <v>0.68503569243320417</v>
      </c>
      <c r="AH7" s="19">
        <f t="shared" si="0"/>
        <v>0.80531521517438287</v>
      </c>
      <c r="AI7" s="19">
        <f t="shared" si="0"/>
        <v>0.7192874770548644</v>
      </c>
      <c r="AJ7" s="19">
        <f t="shared" si="0"/>
        <v>0.72008403018560063</v>
      </c>
      <c r="AK7" s="19">
        <f t="shared" si="0"/>
        <v>0.65954599224964305</v>
      </c>
      <c r="AL7" s="19">
        <f t="shared" si="0"/>
        <v>0.63007352641240055</v>
      </c>
      <c r="AM7" s="19">
        <f t="shared" si="0"/>
        <v>0.55838374464613494</v>
      </c>
      <c r="AN7" s="19">
        <f t="shared" si="0"/>
        <v>0.52652161941668363</v>
      </c>
      <c r="AO7" s="19">
        <f t="shared" si="0"/>
        <v>0.54404578829288197</v>
      </c>
      <c r="AP7" s="19">
        <f t="shared" si="0"/>
        <v>0.55201131960024463</v>
      </c>
      <c r="AQ7" s="19">
        <f t="shared" si="0"/>
        <v>0.49824398327554553</v>
      </c>
      <c r="AR7" s="19">
        <f t="shared" si="0"/>
        <v>0.56555272282276148</v>
      </c>
      <c r="AS7" s="19">
        <f t="shared" si="0"/>
        <v>0.57351825413012436</v>
      </c>
      <c r="AT7" s="19">
        <f t="shared" si="0"/>
        <v>0.6691046298184784</v>
      </c>
      <c r="AU7" s="19">
        <f t="shared" si="0"/>
        <v>0.77663930246787671</v>
      </c>
      <c r="AV7" s="19">
        <f t="shared" si="0"/>
        <v>0.66512186416479702</v>
      </c>
      <c r="AW7" s="19">
        <f t="shared" si="0"/>
        <v>0.53369059759331017</v>
      </c>
      <c r="AX7" s="19">
        <f t="shared" si="0"/>
        <v>0.56754410564960223</v>
      </c>
      <c r="AY7" s="19">
        <f t="shared" si="0"/>
        <v>0.62131144197430144</v>
      </c>
      <c r="AZ7" s="19">
        <f t="shared" si="0"/>
        <v>0.64042871711197225</v>
      </c>
      <c r="BA7" s="19">
        <f t="shared" si="0"/>
        <v>0.67069773607995098</v>
      </c>
      <c r="BB7" s="19">
        <f t="shared" si="0"/>
        <v>0.69539088313277586</v>
      </c>
      <c r="BC7" s="19">
        <f t="shared" si="0"/>
        <v>0.68742535182541298</v>
      </c>
      <c r="BD7" s="19">
        <f t="shared" si="0"/>
        <v>0.69778054252498467</v>
      </c>
      <c r="BE7" s="19">
        <f t="shared" si="0"/>
        <v>0.69778054252498467</v>
      </c>
      <c r="BF7" s="19">
        <f t="shared" si="0"/>
        <v>0.68901845808688555</v>
      </c>
      <c r="BG7" s="19">
        <f t="shared" si="0"/>
        <v>0.74079441158474402</v>
      </c>
      <c r="BH7" s="19">
        <f t="shared" si="0"/>
        <v>0.80451866204364675</v>
      </c>
      <c r="BI7" s="19">
        <f t="shared" si="0"/>
        <v>0.75672547419946967</v>
      </c>
      <c r="BJ7" s="19">
        <f t="shared" si="0"/>
        <v>0.70733918009382013</v>
      </c>
      <c r="BK7" s="19">
        <f t="shared" si="0"/>
        <v>0.71769437079339182</v>
      </c>
      <c r="BL7" s="19">
        <f t="shared" si="0"/>
        <v>0.7025598613094024</v>
      </c>
      <c r="BM7" s="19">
        <f t="shared" si="0"/>
        <v>0.7025598613094024</v>
      </c>
      <c r="BN7" s="19">
        <f t="shared" si="0"/>
        <v>0.7025598613094024</v>
      </c>
      <c r="BO7" s="19">
        <f t="shared" si="0"/>
        <v>0.67149428921068732</v>
      </c>
      <c r="BP7" s="19">
        <f t="shared" si="0"/>
        <v>0.69061156434835813</v>
      </c>
      <c r="BQ7" s="19">
        <f t="shared" si="0"/>
        <v>0.67388394860289613</v>
      </c>
      <c r="BR7" s="19">
        <f t="shared" si="0"/>
        <v>0.65795288598817048</v>
      </c>
      <c r="BS7" s="19">
        <f t="shared" si="0"/>
        <v>0.64919080155007136</v>
      </c>
      <c r="BT7" s="19">
        <f t="shared" si="0"/>
        <v>0.68742535182541298</v>
      </c>
      <c r="BU7" s="19">
        <f t="shared" si="0"/>
        <v>0.68105292677952267</v>
      </c>
      <c r="BV7" s="19">
        <f t="shared" si="0"/>
        <v>0.69459433000203952</v>
      </c>
      <c r="BW7" s="19">
        <f t="shared" si="0"/>
        <v>0.73282888027738113</v>
      </c>
      <c r="BX7" s="19">
        <f t="shared" si="0"/>
        <v>0.73442198653885371</v>
      </c>
      <c r="BY7" s="19">
        <f t="shared" ref="BY7:CK7" si="1">$F$7*(BY5/1000)</f>
        <v>0.77663930246787671</v>
      </c>
      <c r="BZ7" s="19">
        <f t="shared" si="1"/>
        <v>0.7846048337752396</v>
      </c>
      <c r="CA7" s="19">
        <f t="shared" si="1"/>
        <v>0.81567040587395467</v>
      </c>
      <c r="CB7" s="19">
        <f t="shared" si="1"/>
        <v>0.8140772996124821</v>
      </c>
      <c r="CC7" s="19">
        <f t="shared" si="1"/>
        <v>0.80451866204364675</v>
      </c>
      <c r="CD7" s="19">
        <f t="shared" si="1"/>
        <v>0.79257036508260248</v>
      </c>
      <c r="CE7" s="19">
        <f t="shared" si="1"/>
        <v>0.8077048745665919</v>
      </c>
      <c r="CF7" s="19">
        <f t="shared" si="1"/>
        <v>0.8077048745665919</v>
      </c>
      <c r="CG7" s="19">
        <f t="shared" si="1"/>
        <v>0.81089108708953694</v>
      </c>
      <c r="CH7" s="19">
        <f t="shared" si="1"/>
        <v>0.84832908423414233</v>
      </c>
      <c r="CI7" s="19">
        <f t="shared" si="1"/>
        <v>0.83797389353457064</v>
      </c>
      <c r="CJ7" s="19">
        <f t="shared" si="1"/>
        <v>0.83160146848868044</v>
      </c>
      <c r="CK7" s="19">
        <f t="shared" si="1"/>
        <v>0.82443249031205379</v>
      </c>
      <c r="CL7" s="19">
        <f t="shared" ref="CL7:CR7" si="2">$F$7*(CL5/1000)</f>
        <v>0.81646695900469091</v>
      </c>
      <c r="CM7" s="19">
        <f t="shared" si="2"/>
        <v>0.8077048745665919</v>
      </c>
      <c r="CN7" s="19">
        <f t="shared" si="2"/>
        <v>0.81328074648174575</v>
      </c>
      <c r="CO7" s="19">
        <f t="shared" si="2"/>
        <v>0.81646695900469091</v>
      </c>
      <c r="CP7" s="19">
        <f t="shared" si="2"/>
        <v>0.82841525596573529</v>
      </c>
      <c r="CQ7" s="19">
        <f t="shared" si="2"/>
        <v>0.82841525596573529</v>
      </c>
      <c r="CR7" s="19">
        <f t="shared" si="2"/>
        <v>0.79973934325922902</v>
      </c>
      <c r="CS7" s="19">
        <f t="shared" ref="CS7:DF7" si="3">$F$7*(CS5/1000)</f>
        <v>0.78141862125229444</v>
      </c>
      <c r="CT7" s="19">
        <f t="shared" si="3"/>
        <v>0.81885661839689983</v>
      </c>
      <c r="CU7" s="19">
        <f t="shared" si="3"/>
        <v>0.80053589638996525</v>
      </c>
      <c r="CV7" s="19">
        <f t="shared" si="3"/>
        <v>0.79336691821333871</v>
      </c>
      <c r="CW7" s="19">
        <f t="shared" si="3"/>
        <v>0.79018070569039356</v>
      </c>
      <c r="CX7" s="19">
        <f t="shared" si="3"/>
        <v>0.76548755863756879</v>
      </c>
      <c r="CY7" s="19">
        <f t="shared" si="3"/>
        <v>0.79894279012849267</v>
      </c>
      <c r="CZ7" s="19">
        <f t="shared" si="3"/>
        <v>0.80531521517438287</v>
      </c>
      <c r="DA7" s="19">
        <f t="shared" si="3"/>
        <v>0.78619794003671217</v>
      </c>
      <c r="DB7" s="19">
        <f t="shared" si="3"/>
        <v>0.79257036508260248</v>
      </c>
      <c r="DC7" s="19">
        <f t="shared" si="3"/>
        <v>0.78062206812155821</v>
      </c>
      <c r="DD7" s="19">
        <f t="shared" si="3"/>
        <v>0.7447771772384254</v>
      </c>
      <c r="DE7" s="19">
        <f t="shared" si="3"/>
        <v>0.75035304915357937</v>
      </c>
      <c r="DF7" s="19">
        <f t="shared" si="3"/>
        <v>0.74318407097695294</v>
      </c>
      <c r="DG7" s="19">
        <f t="shared" ref="DG7:EC7" si="4">$F$7*(DG5/1000)</f>
        <v>0.78221517438303079</v>
      </c>
      <c r="DH7" s="19">
        <f t="shared" si="4"/>
        <v>0.70733918009382013</v>
      </c>
      <c r="DI7" s="19">
        <f t="shared" si="4"/>
        <v>0.70415296757087498</v>
      </c>
      <c r="DJ7" s="19">
        <f t="shared" si="4"/>
        <v>0.70096675504792982</v>
      </c>
      <c r="DK7" s="19">
        <f t="shared" si="4"/>
        <v>0.71450815827044667</v>
      </c>
      <c r="DL7" s="19">
        <f t="shared" si="4"/>
        <v>0.6858322455639404</v>
      </c>
      <c r="DM7" s="19">
        <f t="shared" si="4"/>
        <v>0.6985770956557209</v>
      </c>
      <c r="DN7" s="19">
        <f t="shared" si="4"/>
        <v>0.68662879869467663</v>
      </c>
      <c r="DO7" s="19">
        <f t="shared" si="4"/>
        <v>0.69618743626351209</v>
      </c>
      <c r="DP7" s="19">
        <f t="shared" si="4"/>
        <v>0.69937364878645725</v>
      </c>
      <c r="DQ7" s="19">
        <f t="shared" si="4"/>
        <v>0.70494952070161121</v>
      </c>
      <c r="DR7" s="19">
        <f t="shared" si="4"/>
        <v>0.69220467060983071</v>
      </c>
      <c r="DS7" s="19">
        <f t="shared" si="4"/>
        <v>0</v>
      </c>
      <c r="DT7" s="19">
        <f t="shared" si="4"/>
        <v>0</v>
      </c>
      <c r="DU7" s="19">
        <f t="shared" si="4"/>
        <v>0</v>
      </c>
      <c r="DV7" s="19">
        <f t="shared" si="4"/>
        <v>0</v>
      </c>
      <c r="DW7" s="19">
        <f t="shared" si="4"/>
        <v>0</v>
      </c>
      <c r="DX7" s="19">
        <f t="shared" si="4"/>
        <v>0</v>
      </c>
      <c r="DY7" s="19">
        <f t="shared" si="4"/>
        <v>0</v>
      </c>
      <c r="DZ7" s="19">
        <f t="shared" si="4"/>
        <v>0</v>
      </c>
      <c r="EA7" s="19">
        <f t="shared" si="4"/>
        <v>0</v>
      </c>
      <c r="EB7" s="19">
        <f t="shared" si="4"/>
        <v>0</v>
      </c>
      <c r="EC7" s="19">
        <f t="shared" si="4"/>
        <v>0</v>
      </c>
    </row>
    <row r="8" spans="1:139">
      <c r="A8" s="22"/>
      <c r="D8" s="18"/>
      <c r="F8" s="20"/>
      <c r="H8" s="19">
        <f>$F$8*H12</f>
        <v>0</v>
      </c>
      <c r="I8" s="19">
        <f>$F$8*I12</f>
        <v>0</v>
      </c>
      <c r="J8" s="19">
        <f>$F$8*J12</f>
        <v>0</v>
      </c>
      <c r="K8" s="19">
        <f>$F$8*K12</f>
        <v>0</v>
      </c>
      <c r="L8" s="19">
        <f>$F$8*L12</f>
        <v>0</v>
      </c>
      <c r="M8" s="19">
        <f t="shared" ref="M8:BX8" si="5">$F$8*M12</f>
        <v>0</v>
      </c>
      <c r="N8" s="19">
        <f t="shared" si="5"/>
        <v>0</v>
      </c>
      <c r="O8" s="19">
        <f t="shared" si="5"/>
        <v>0</v>
      </c>
      <c r="P8" s="19">
        <f t="shared" si="5"/>
        <v>0</v>
      </c>
      <c r="Q8" s="19">
        <f t="shared" si="5"/>
        <v>0</v>
      </c>
      <c r="R8" s="19">
        <f t="shared" si="5"/>
        <v>0</v>
      </c>
      <c r="S8" s="19">
        <f t="shared" si="5"/>
        <v>0</v>
      </c>
      <c r="T8" s="19">
        <f t="shared" si="5"/>
        <v>0</v>
      </c>
      <c r="U8" s="19">
        <f t="shared" si="5"/>
        <v>0</v>
      </c>
      <c r="V8" s="19">
        <f t="shared" si="5"/>
        <v>0</v>
      </c>
      <c r="W8" s="19">
        <f t="shared" si="5"/>
        <v>0</v>
      </c>
      <c r="X8" s="19">
        <f t="shared" si="5"/>
        <v>0</v>
      </c>
      <c r="Y8" s="19">
        <f t="shared" si="5"/>
        <v>0</v>
      </c>
      <c r="Z8" s="19">
        <f t="shared" si="5"/>
        <v>0</v>
      </c>
      <c r="AA8" s="19">
        <f t="shared" si="5"/>
        <v>0</v>
      </c>
      <c r="AB8" s="19">
        <f t="shared" si="5"/>
        <v>0</v>
      </c>
      <c r="AC8" s="19">
        <f t="shared" si="5"/>
        <v>0</v>
      </c>
      <c r="AD8" s="19">
        <f t="shared" si="5"/>
        <v>0</v>
      </c>
      <c r="AE8" s="19">
        <f t="shared" si="5"/>
        <v>0</v>
      </c>
      <c r="AF8" s="19">
        <f t="shared" si="5"/>
        <v>0</v>
      </c>
      <c r="AG8" s="19">
        <f t="shared" si="5"/>
        <v>0</v>
      </c>
      <c r="AH8" s="19">
        <f t="shared" si="5"/>
        <v>0</v>
      </c>
      <c r="AI8" s="19">
        <f t="shared" si="5"/>
        <v>0</v>
      </c>
      <c r="AJ8" s="19">
        <f t="shared" si="5"/>
        <v>0</v>
      </c>
      <c r="AK8" s="19">
        <f t="shared" si="5"/>
        <v>0</v>
      </c>
      <c r="AL8" s="19">
        <f t="shared" si="5"/>
        <v>0</v>
      </c>
      <c r="AM8" s="19">
        <f t="shared" si="5"/>
        <v>0</v>
      </c>
      <c r="AN8" s="19">
        <f t="shared" si="5"/>
        <v>0</v>
      </c>
      <c r="AO8" s="19">
        <f t="shared" si="5"/>
        <v>0</v>
      </c>
      <c r="AP8" s="19">
        <f t="shared" si="5"/>
        <v>0</v>
      </c>
      <c r="AQ8" s="19">
        <f t="shared" si="5"/>
        <v>0</v>
      </c>
      <c r="AR8" s="19">
        <f t="shared" si="5"/>
        <v>0</v>
      </c>
      <c r="AS8" s="19">
        <f t="shared" si="5"/>
        <v>0</v>
      </c>
      <c r="AT8" s="19">
        <f t="shared" si="5"/>
        <v>0</v>
      </c>
      <c r="AU8" s="19">
        <f t="shared" si="5"/>
        <v>0</v>
      </c>
      <c r="AV8" s="19">
        <f t="shared" si="5"/>
        <v>0</v>
      </c>
      <c r="AW8" s="19">
        <f t="shared" si="5"/>
        <v>0</v>
      </c>
      <c r="AX8" s="19">
        <f t="shared" si="5"/>
        <v>0</v>
      </c>
      <c r="AY8" s="19">
        <f t="shared" si="5"/>
        <v>0</v>
      </c>
      <c r="AZ8" s="19">
        <f t="shared" si="5"/>
        <v>0</v>
      </c>
      <c r="BA8" s="19">
        <f t="shared" si="5"/>
        <v>0</v>
      </c>
      <c r="BB8" s="19">
        <f t="shared" si="5"/>
        <v>0</v>
      </c>
      <c r="BC8" s="19">
        <f t="shared" si="5"/>
        <v>0</v>
      </c>
      <c r="BD8" s="19">
        <f t="shared" si="5"/>
        <v>0</v>
      </c>
      <c r="BE8" s="19">
        <f t="shared" si="5"/>
        <v>0</v>
      </c>
      <c r="BF8" s="19">
        <f t="shared" si="5"/>
        <v>0</v>
      </c>
      <c r="BG8" s="19">
        <f t="shared" si="5"/>
        <v>0</v>
      </c>
      <c r="BH8" s="19">
        <f t="shared" si="5"/>
        <v>0</v>
      </c>
      <c r="BI8" s="19">
        <f t="shared" si="5"/>
        <v>0</v>
      </c>
      <c r="BJ8" s="19">
        <f t="shared" si="5"/>
        <v>0</v>
      </c>
      <c r="BK8" s="19">
        <f t="shared" si="5"/>
        <v>0</v>
      </c>
      <c r="BL8" s="19">
        <f t="shared" si="5"/>
        <v>0</v>
      </c>
      <c r="BM8" s="19">
        <f t="shared" si="5"/>
        <v>0</v>
      </c>
      <c r="BN8" s="19">
        <f t="shared" si="5"/>
        <v>0</v>
      </c>
      <c r="BO8" s="19">
        <f t="shared" si="5"/>
        <v>0</v>
      </c>
      <c r="BP8" s="19">
        <f t="shared" si="5"/>
        <v>0</v>
      </c>
      <c r="BQ8" s="19">
        <f t="shared" si="5"/>
        <v>0</v>
      </c>
      <c r="BR8" s="19">
        <f t="shared" si="5"/>
        <v>0</v>
      </c>
      <c r="BS8" s="19">
        <f t="shared" si="5"/>
        <v>0</v>
      </c>
      <c r="BT8" s="19">
        <f t="shared" si="5"/>
        <v>0</v>
      </c>
      <c r="BU8" s="19">
        <f t="shared" si="5"/>
        <v>0</v>
      </c>
      <c r="BV8" s="19">
        <f t="shared" si="5"/>
        <v>0</v>
      </c>
      <c r="BW8" s="19">
        <f t="shared" si="5"/>
        <v>0</v>
      </c>
      <c r="BX8" s="19">
        <f t="shared" si="5"/>
        <v>0</v>
      </c>
      <c r="BY8" s="19">
        <f t="shared" ref="BY8:CK8" si="6">$F$8*BY12</f>
        <v>0</v>
      </c>
      <c r="BZ8" s="19">
        <f t="shared" si="6"/>
        <v>0</v>
      </c>
      <c r="CA8" s="19">
        <f t="shared" si="6"/>
        <v>0</v>
      </c>
      <c r="CB8" s="19">
        <f t="shared" si="6"/>
        <v>0</v>
      </c>
      <c r="CC8" s="19">
        <f t="shared" si="6"/>
        <v>0</v>
      </c>
      <c r="CD8" s="19">
        <f t="shared" si="6"/>
        <v>0</v>
      </c>
      <c r="CE8" s="19">
        <f t="shared" si="6"/>
        <v>0</v>
      </c>
      <c r="CF8" s="19">
        <f t="shared" si="6"/>
        <v>0</v>
      </c>
      <c r="CG8" s="19">
        <f t="shared" si="6"/>
        <v>0</v>
      </c>
      <c r="CH8" s="19">
        <f t="shared" si="6"/>
        <v>0</v>
      </c>
      <c r="CI8" s="19">
        <f t="shared" si="6"/>
        <v>0</v>
      </c>
      <c r="CJ8" s="19">
        <f t="shared" si="6"/>
        <v>0</v>
      </c>
      <c r="CK8" s="19">
        <f t="shared" si="6"/>
        <v>0</v>
      </c>
      <c r="CL8" s="19">
        <f t="shared" ref="CL8:CR8" si="7">$F$8*CL12</f>
        <v>0</v>
      </c>
      <c r="CM8" s="19">
        <f t="shared" si="7"/>
        <v>0</v>
      </c>
      <c r="CN8" s="19">
        <f t="shared" si="7"/>
        <v>0</v>
      </c>
      <c r="CO8" s="19">
        <f t="shared" si="7"/>
        <v>0</v>
      </c>
      <c r="CP8" s="19">
        <f t="shared" si="7"/>
        <v>0</v>
      </c>
      <c r="CQ8" s="19">
        <f t="shared" si="7"/>
        <v>0</v>
      </c>
      <c r="CR8" s="19">
        <f t="shared" si="7"/>
        <v>0</v>
      </c>
      <c r="CS8" s="19">
        <f t="shared" ref="CS8:DF8" si="8">$F$8*CS12</f>
        <v>0</v>
      </c>
      <c r="CT8" s="19">
        <f t="shared" si="8"/>
        <v>0</v>
      </c>
      <c r="CU8" s="19">
        <f t="shared" si="8"/>
        <v>0</v>
      </c>
      <c r="CV8" s="19">
        <f t="shared" si="8"/>
        <v>0</v>
      </c>
      <c r="CW8" s="19">
        <f t="shared" si="8"/>
        <v>0</v>
      </c>
      <c r="CX8" s="19">
        <f t="shared" si="8"/>
        <v>0</v>
      </c>
      <c r="CY8" s="19">
        <f t="shared" si="8"/>
        <v>0</v>
      </c>
      <c r="CZ8" s="19">
        <f t="shared" si="8"/>
        <v>0</v>
      </c>
      <c r="DA8" s="19">
        <f t="shared" si="8"/>
        <v>0</v>
      </c>
      <c r="DB8" s="19">
        <f t="shared" si="8"/>
        <v>0</v>
      </c>
      <c r="DC8" s="19">
        <f t="shared" si="8"/>
        <v>0</v>
      </c>
      <c r="DD8" s="19">
        <f t="shared" si="8"/>
        <v>0</v>
      </c>
      <c r="DE8" s="19">
        <f t="shared" si="8"/>
        <v>0</v>
      </c>
      <c r="DF8" s="19">
        <f t="shared" si="8"/>
        <v>0</v>
      </c>
      <c r="DG8" s="19">
        <f t="shared" ref="DG8:EC8" si="9">$F$8*DG12</f>
        <v>0</v>
      </c>
      <c r="DH8" s="19">
        <f t="shared" si="9"/>
        <v>0</v>
      </c>
      <c r="DI8" s="19">
        <f t="shared" si="9"/>
        <v>0</v>
      </c>
      <c r="DJ8" s="19">
        <f t="shared" si="9"/>
        <v>0</v>
      </c>
      <c r="DK8" s="19">
        <f t="shared" si="9"/>
        <v>0</v>
      </c>
      <c r="DL8" s="19">
        <f t="shared" si="9"/>
        <v>0</v>
      </c>
      <c r="DM8" s="19">
        <f t="shared" si="9"/>
        <v>0</v>
      </c>
      <c r="DN8" s="19">
        <f t="shared" si="9"/>
        <v>0</v>
      </c>
      <c r="DO8" s="19">
        <f t="shared" si="9"/>
        <v>0</v>
      </c>
      <c r="DP8" s="19">
        <f t="shared" si="9"/>
        <v>0</v>
      </c>
      <c r="DQ8" s="19">
        <f t="shared" si="9"/>
        <v>0</v>
      </c>
      <c r="DR8" s="19">
        <f t="shared" si="9"/>
        <v>0</v>
      </c>
      <c r="DS8" s="19">
        <f t="shared" si="9"/>
        <v>0</v>
      </c>
      <c r="DT8" s="19">
        <f t="shared" si="9"/>
        <v>0</v>
      </c>
      <c r="DU8" s="19">
        <f t="shared" si="9"/>
        <v>0</v>
      </c>
      <c r="DV8" s="19">
        <f t="shared" si="9"/>
        <v>0</v>
      </c>
      <c r="DW8" s="19">
        <f t="shared" si="9"/>
        <v>0</v>
      </c>
      <c r="DX8" s="19">
        <f t="shared" si="9"/>
        <v>0</v>
      </c>
      <c r="DY8" s="19">
        <f t="shared" si="9"/>
        <v>0</v>
      </c>
      <c r="DZ8" s="19">
        <f t="shared" si="9"/>
        <v>0</v>
      </c>
      <c r="EA8" s="19">
        <f t="shared" si="9"/>
        <v>0</v>
      </c>
      <c r="EB8" s="19">
        <f t="shared" si="9"/>
        <v>0</v>
      </c>
      <c r="EC8" s="19">
        <f t="shared" si="9"/>
        <v>0</v>
      </c>
    </row>
    <row r="9" spans="1:139">
      <c r="A9" s="24"/>
      <c r="B9" s="24"/>
      <c r="C9" s="24"/>
      <c r="D9" s="24"/>
      <c r="E9" s="24"/>
      <c r="F9" s="24" t="s">
        <v>400</v>
      </c>
      <c r="G9" s="24"/>
      <c r="H9" s="89">
        <f>SUM(H7:H8)</f>
        <v>0.43927913777279221</v>
      </c>
      <c r="I9" s="89">
        <f>SUM(I7:I8)</f>
        <v>0.38054801772813635</v>
      </c>
      <c r="J9" s="89">
        <f>SUM(J7:J8)</f>
        <v>0.23120407206626736</v>
      </c>
      <c r="K9" s="89">
        <f>SUM(K7:K8)</f>
        <v>0.15470673870710838</v>
      </c>
      <c r="L9" s="89">
        <f>SUM(L7:L8)</f>
        <v>0.21281244476171049</v>
      </c>
      <c r="M9" s="89">
        <f t="shared" ref="M9:BX9" si="10">SUM(M7:M8)</f>
        <v>0.28914878645727105</v>
      </c>
      <c r="N9" s="89">
        <f t="shared" si="10"/>
        <v>0.31145227411788701</v>
      </c>
      <c r="O9" s="89">
        <f t="shared" si="10"/>
        <v>0.31862125229451355</v>
      </c>
      <c r="P9" s="89">
        <f t="shared" si="10"/>
        <v>0.31941780542524983</v>
      </c>
      <c r="Q9" s="89">
        <f t="shared" si="10"/>
        <v>0.30906261472567814</v>
      </c>
      <c r="R9" s="89">
        <f t="shared" si="10"/>
        <v>0.30428329594126047</v>
      </c>
      <c r="S9" s="89">
        <f t="shared" si="10"/>
        <v>0.35725407913522333</v>
      </c>
      <c r="T9" s="89">
        <f t="shared" si="10"/>
        <v>0.4102248623291862</v>
      </c>
      <c r="U9" s="89">
        <f t="shared" si="10"/>
        <v>0.43571456251274732</v>
      </c>
      <c r="V9" s="89">
        <f t="shared" si="10"/>
        <v>0.44606975321231901</v>
      </c>
      <c r="W9" s="89">
        <f t="shared" si="10"/>
        <v>0.45722149704262688</v>
      </c>
      <c r="X9" s="89">
        <f t="shared" si="10"/>
        <v>0.47474566591882517</v>
      </c>
      <c r="Y9" s="89">
        <f t="shared" si="10"/>
        <v>0.51298021619416678</v>
      </c>
      <c r="Z9" s="89">
        <f t="shared" si="10"/>
        <v>0.54553932541301242</v>
      </c>
      <c r="AA9" s="89">
        <f t="shared" si="10"/>
        <v>0.53727508668162349</v>
      </c>
      <c r="AB9" s="89">
        <f t="shared" si="10"/>
        <v>0.52771644911278803</v>
      </c>
      <c r="AC9" s="89">
        <f t="shared" si="10"/>
        <v>0.61139435549663468</v>
      </c>
      <c r="AD9" s="89">
        <f t="shared" si="10"/>
        <v>0.6020667183357129</v>
      </c>
      <c r="AE9" s="89">
        <f t="shared" si="10"/>
        <v>0.55217063022639201</v>
      </c>
      <c r="AF9" s="89">
        <f t="shared" si="10"/>
        <v>0.61764729757291448</v>
      </c>
      <c r="AG9" s="89">
        <f t="shared" si="10"/>
        <v>0.68503569243320417</v>
      </c>
      <c r="AH9" s="89">
        <f t="shared" si="10"/>
        <v>0.80531521517438287</v>
      </c>
      <c r="AI9" s="89">
        <f t="shared" si="10"/>
        <v>0.7192874770548644</v>
      </c>
      <c r="AJ9" s="89">
        <f t="shared" si="10"/>
        <v>0.72008403018560063</v>
      </c>
      <c r="AK9" s="89">
        <f t="shared" si="10"/>
        <v>0.65954599224964305</v>
      </c>
      <c r="AL9" s="89">
        <f t="shared" si="10"/>
        <v>0.63007352641240055</v>
      </c>
      <c r="AM9" s="89">
        <f t="shared" si="10"/>
        <v>0.55838374464613494</v>
      </c>
      <c r="AN9" s="89">
        <f t="shared" si="10"/>
        <v>0.52652161941668363</v>
      </c>
      <c r="AO9" s="89">
        <f t="shared" si="10"/>
        <v>0.54404578829288197</v>
      </c>
      <c r="AP9" s="89">
        <f t="shared" si="10"/>
        <v>0.55201131960024463</v>
      </c>
      <c r="AQ9" s="89">
        <f t="shared" si="10"/>
        <v>0.49824398327554553</v>
      </c>
      <c r="AR9" s="89">
        <f t="shared" si="10"/>
        <v>0.56555272282276148</v>
      </c>
      <c r="AS9" s="89">
        <f t="shared" si="10"/>
        <v>0.57351825413012436</v>
      </c>
      <c r="AT9" s="89">
        <f t="shared" si="10"/>
        <v>0.6691046298184784</v>
      </c>
      <c r="AU9" s="89">
        <f t="shared" si="10"/>
        <v>0.77663930246787671</v>
      </c>
      <c r="AV9" s="89">
        <f t="shared" si="10"/>
        <v>0.66512186416479702</v>
      </c>
      <c r="AW9" s="89">
        <f t="shared" si="10"/>
        <v>0.53369059759331017</v>
      </c>
      <c r="AX9" s="89">
        <f t="shared" si="10"/>
        <v>0.56754410564960223</v>
      </c>
      <c r="AY9" s="89">
        <f t="shared" si="10"/>
        <v>0.62131144197430144</v>
      </c>
      <c r="AZ9" s="89">
        <f t="shared" si="10"/>
        <v>0.64042871711197225</v>
      </c>
      <c r="BA9" s="89">
        <f t="shared" si="10"/>
        <v>0.67069773607995098</v>
      </c>
      <c r="BB9" s="89">
        <f t="shared" si="10"/>
        <v>0.69539088313277586</v>
      </c>
      <c r="BC9" s="89">
        <f t="shared" si="10"/>
        <v>0.68742535182541298</v>
      </c>
      <c r="BD9" s="89">
        <f t="shared" si="10"/>
        <v>0.69778054252498467</v>
      </c>
      <c r="BE9" s="89">
        <f t="shared" si="10"/>
        <v>0.69778054252498467</v>
      </c>
      <c r="BF9" s="89">
        <f t="shared" si="10"/>
        <v>0.68901845808688555</v>
      </c>
      <c r="BG9" s="89">
        <f t="shared" si="10"/>
        <v>0.74079441158474402</v>
      </c>
      <c r="BH9" s="89">
        <f t="shared" si="10"/>
        <v>0.80451866204364675</v>
      </c>
      <c r="BI9" s="89">
        <f t="shared" si="10"/>
        <v>0.75672547419946967</v>
      </c>
      <c r="BJ9" s="89">
        <f t="shared" si="10"/>
        <v>0.70733918009382013</v>
      </c>
      <c r="BK9" s="89">
        <f t="shared" si="10"/>
        <v>0.71769437079339182</v>
      </c>
      <c r="BL9" s="89">
        <f t="shared" si="10"/>
        <v>0.7025598613094024</v>
      </c>
      <c r="BM9" s="89">
        <f t="shared" si="10"/>
        <v>0.7025598613094024</v>
      </c>
      <c r="BN9" s="89">
        <f t="shared" si="10"/>
        <v>0.7025598613094024</v>
      </c>
      <c r="BO9" s="89">
        <f t="shared" si="10"/>
        <v>0.67149428921068732</v>
      </c>
      <c r="BP9" s="89">
        <f t="shared" si="10"/>
        <v>0.69061156434835813</v>
      </c>
      <c r="BQ9" s="89">
        <f t="shared" si="10"/>
        <v>0.67388394860289613</v>
      </c>
      <c r="BR9" s="89">
        <f t="shared" si="10"/>
        <v>0.65795288598817048</v>
      </c>
      <c r="BS9" s="89">
        <f t="shared" si="10"/>
        <v>0.64919080155007136</v>
      </c>
      <c r="BT9" s="89">
        <f t="shared" si="10"/>
        <v>0.68742535182541298</v>
      </c>
      <c r="BU9" s="89">
        <f t="shared" si="10"/>
        <v>0.68105292677952267</v>
      </c>
      <c r="BV9" s="89">
        <f t="shared" si="10"/>
        <v>0.69459433000203952</v>
      </c>
      <c r="BW9" s="89">
        <f t="shared" si="10"/>
        <v>0.73282888027738113</v>
      </c>
      <c r="BX9" s="89">
        <f t="shared" si="10"/>
        <v>0.73442198653885371</v>
      </c>
      <c r="BY9" s="89">
        <f t="shared" ref="BY9:CK9" si="11">SUM(BY7:BY8)</f>
        <v>0.77663930246787671</v>
      </c>
      <c r="BZ9" s="89">
        <f t="shared" si="11"/>
        <v>0.7846048337752396</v>
      </c>
      <c r="CA9" s="89">
        <f t="shared" si="11"/>
        <v>0.81567040587395467</v>
      </c>
      <c r="CB9" s="89">
        <f t="shared" si="11"/>
        <v>0.8140772996124821</v>
      </c>
      <c r="CC9" s="89">
        <f t="shared" si="11"/>
        <v>0.80451866204364675</v>
      </c>
      <c r="CD9" s="89">
        <f t="shared" si="11"/>
        <v>0.79257036508260248</v>
      </c>
      <c r="CE9" s="89">
        <f t="shared" si="11"/>
        <v>0.8077048745665919</v>
      </c>
      <c r="CF9" s="89">
        <f t="shared" si="11"/>
        <v>0.8077048745665919</v>
      </c>
      <c r="CG9" s="89">
        <f t="shared" si="11"/>
        <v>0.81089108708953694</v>
      </c>
      <c r="CH9" s="89">
        <f t="shared" si="11"/>
        <v>0.84832908423414233</v>
      </c>
      <c r="CI9" s="89">
        <f t="shared" si="11"/>
        <v>0.83797389353457064</v>
      </c>
      <c r="CJ9" s="89">
        <f t="shared" si="11"/>
        <v>0.83160146848868044</v>
      </c>
      <c r="CK9" s="89">
        <f t="shared" si="11"/>
        <v>0.82443249031205379</v>
      </c>
      <c r="CL9" s="89">
        <f t="shared" ref="CL9:CR9" si="12">SUM(CL7:CL8)</f>
        <v>0.81646695900469091</v>
      </c>
      <c r="CM9" s="89">
        <f t="shared" si="12"/>
        <v>0.8077048745665919</v>
      </c>
      <c r="CN9" s="89">
        <f t="shared" si="12"/>
        <v>0.81328074648174575</v>
      </c>
      <c r="CO9" s="89">
        <f t="shared" si="12"/>
        <v>0.81646695900469091</v>
      </c>
      <c r="CP9" s="89">
        <f t="shared" si="12"/>
        <v>0.82841525596573529</v>
      </c>
      <c r="CQ9" s="89">
        <f t="shared" si="12"/>
        <v>0.82841525596573529</v>
      </c>
      <c r="CR9" s="89">
        <f t="shared" si="12"/>
        <v>0.79973934325922902</v>
      </c>
      <c r="CS9" s="89">
        <f t="shared" ref="CS9:DF9" si="13">SUM(CS7:CS8)</f>
        <v>0.78141862125229444</v>
      </c>
      <c r="CT9" s="89">
        <f t="shared" si="13"/>
        <v>0.81885661839689983</v>
      </c>
      <c r="CU9" s="89">
        <f t="shared" si="13"/>
        <v>0.80053589638996525</v>
      </c>
      <c r="CV9" s="89">
        <f t="shared" si="13"/>
        <v>0.79336691821333871</v>
      </c>
      <c r="CW9" s="89">
        <f t="shared" si="13"/>
        <v>0.79018070569039356</v>
      </c>
      <c r="CX9" s="89">
        <f t="shared" si="13"/>
        <v>0.76548755863756879</v>
      </c>
      <c r="CY9" s="89">
        <f t="shared" si="13"/>
        <v>0.79894279012849267</v>
      </c>
      <c r="CZ9" s="89">
        <f t="shared" si="13"/>
        <v>0.80531521517438287</v>
      </c>
      <c r="DA9" s="89">
        <f t="shared" si="13"/>
        <v>0.78619794003671217</v>
      </c>
      <c r="DB9" s="89">
        <f t="shared" si="13"/>
        <v>0.79257036508260248</v>
      </c>
      <c r="DC9" s="89">
        <f t="shared" si="13"/>
        <v>0.78062206812155821</v>
      </c>
      <c r="DD9" s="89">
        <f t="shared" si="13"/>
        <v>0.7447771772384254</v>
      </c>
      <c r="DE9" s="89">
        <f t="shared" si="13"/>
        <v>0.75035304915357937</v>
      </c>
      <c r="DF9" s="89">
        <f t="shared" si="13"/>
        <v>0.74318407097695294</v>
      </c>
      <c r="DG9" s="89">
        <f t="shared" ref="DG9:EC9" si="14">SUM(DG7:DG8)</f>
        <v>0.78221517438303079</v>
      </c>
      <c r="DH9" s="89">
        <f t="shared" si="14"/>
        <v>0.70733918009382013</v>
      </c>
      <c r="DI9" s="89">
        <f t="shared" si="14"/>
        <v>0.70415296757087498</v>
      </c>
      <c r="DJ9" s="89">
        <f t="shared" si="14"/>
        <v>0.70096675504792982</v>
      </c>
      <c r="DK9" s="89">
        <f t="shared" si="14"/>
        <v>0.71450815827044667</v>
      </c>
      <c r="DL9" s="89">
        <f t="shared" si="14"/>
        <v>0.6858322455639404</v>
      </c>
      <c r="DM9" s="89">
        <f t="shared" si="14"/>
        <v>0.6985770956557209</v>
      </c>
      <c r="DN9" s="89">
        <f t="shared" si="14"/>
        <v>0.68662879869467663</v>
      </c>
      <c r="DO9" s="89">
        <f t="shared" si="14"/>
        <v>0.69618743626351209</v>
      </c>
      <c r="DP9" s="89">
        <f t="shared" si="14"/>
        <v>0.69937364878645725</v>
      </c>
      <c r="DQ9" s="89">
        <f t="shared" si="14"/>
        <v>0.70494952070161121</v>
      </c>
      <c r="DR9" s="89">
        <f t="shared" si="14"/>
        <v>0.69220467060983071</v>
      </c>
      <c r="DS9" s="89">
        <f t="shared" si="14"/>
        <v>0</v>
      </c>
      <c r="DT9" s="89">
        <f t="shared" si="14"/>
        <v>0</v>
      </c>
      <c r="DU9" s="89">
        <f t="shared" si="14"/>
        <v>0</v>
      </c>
      <c r="DV9" s="89">
        <f t="shared" si="14"/>
        <v>0</v>
      </c>
      <c r="DW9" s="89">
        <f t="shared" si="14"/>
        <v>0</v>
      </c>
      <c r="DX9" s="89">
        <f t="shared" si="14"/>
        <v>0</v>
      </c>
      <c r="DY9" s="89">
        <f t="shared" si="14"/>
        <v>0</v>
      </c>
      <c r="DZ9" s="89">
        <f t="shared" si="14"/>
        <v>0</v>
      </c>
      <c r="EA9" s="89">
        <f t="shared" si="14"/>
        <v>0</v>
      </c>
      <c r="EB9" s="89">
        <f t="shared" si="14"/>
        <v>0</v>
      </c>
      <c r="EC9" s="89">
        <f t="shared" si="14"/>
        <v>0</v>
      </c>
    </row>
    <row r="10" spans="1:139" ht="15">
      <c r="A10" s="22" t="s">
        <v>578</v>
      </c>
      <c r="G10" s="53" t="s">
        <v>429</v>
      </c>
      <c r="H10" s="19">
        <v>1.4</v>
      </c>
      <c r="I10" s="19">
        <v>1.43</v>
      </c>
      <c r="J10" s="19">
        <f>115/72</f>
        <v>1.5972222222222223</v>
      </c>
      <c r="K10" s="19"/>
      <c r="L10" s="19">
        <v>1.71</v>
      </c>
      <c r="M10" s="19">
        <v>1.62</v>
      </c>
      <c r="N10" s="19"/>
      <c r="O10" s="19"/>
      <c r="P10" s="19">
        <v>2.2200000000000002</v>
      </c>
      <c r="Q10" s="19"/>
      <c r="R10" s="19"/>
      <c r="S10" s="19"/>
      <c r="T10" s="19"/>
      <c r="U10" s="19">
        <f>185/82</f>
        <v>2.2560975609756095</v>
      </c>
      <c r="V10" s="19">
        <f>190/82</f>
        <v>2.3170731707317072</v>
      </c>
      <c r="W10" s="19"/>
      <c r="X10" s="19"/>
      <c r="Y10" s="19"/>
      <c r="Z10" s="19"/>
      <c r="AA10" s="19"/>
      <c r="AB10" s="19"/>
      <c r="AC10" s="19"/>
      <c r="AD10" s="19"/>
      <c r="AE10" s="19"/>
      <c r="AF10" s="19"/>
      <c r="AG10" s="19"/>
      <c r="AH10" s="19"/>
      <c r="AI10" s="19"/>
      <c r="AJ10" s="19">
        <f>142/82</f>
        <v>1.7317073170731707</v>
      </c>
      <c r="AK10" s="19">
        <v>1.61</v>
      </c>
      <c r="AL10" s="19"/>
      <c r="AM10" s="19">
        <f>100/82</f>
        <v>1.2195121951219512</v>
      </c>
      <c r="AN10" s="19"/>
      <c r="AO10" s="19"/>
      <c r="AP10" s="19"/>
      <c r="AQ10" s="19">
        <f>86.6/82</f>
        <v>1.0560975609756096</v>
      </c>
      <c r="AR10" s="19"/>
      <c r="AS10" s="19"/>
      <c r="AT10" s="19"/>
      <c r="AU10" s="19"/>
      <c r="AV10" s="19"/>
      <c r="AW10" s="19">
        <v>0.85499999999999998</v>
      </c>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v>0.98799999999999999</v>
      </c>
      <c r="CI10" s="19"/>
      <c r="CJ10" s="19"/>
      <c r="CK10" s="19"/>
      <c r="CL10" s="19">
        <v>1</v>
      </c>
      <c r="CM10" s="19"/>
      <c r="CN10" s="19"/>
      <c r="CO10" s="19"/>
      <c r="CP10" s="19"/>
      <c r="CQ10" s="19"/>
      <c r="CR10" s="19"/>
      <c r="CS10" s="19"/>
      <c r="CT10" s="19"/>
      <c r="CU10" s="19">
        <v>1.06</v>
      </c>
      <c r="CV10" s="19"/>
      <c r="CW10" s="19"/>
      <c r="CX10" s="19"/>
      <c r="CY10" s="19">
        <v>1</v>
      </c>
      <c r="CZ10" s="19"/>
      <c r="DA10" s="19"/>
      <c r="DB10" s="19"/>
      <c r="DC10" s="19"/>
      <c r="DD10" s="19"/>
      <c r="DE10" s="19"/>
      <c r="DF10" s="19"/>
      <c r="DG10" s="19"/>
      <c r="DH10" s="19">
        <v>0.93</v>
      </c>
      <c r="DI10" s="19"/>
      <c r="DJ10" s="19"/>
      <c r="DK10" s="19"/>
      <c r="DL10" s="19"/>
      <c r="DM10" s="19"/>
      <c r="DN10" s="19"/>
      <c r="DO10" s="19"/>
      <c r="DP10" s="19"/>
      <c r="DQ10" s="19"/>
      <c r="DR10" s="19"/>
      <c r="DS10" s="19"/>
      <c r="DT10" s="19"/>
      <c r="DU10" s="19"/>
      <c r="DV10" s="19"/>
      <c r="DW10" s="19"/>
      <c r="DX10" s="19"/>
      <c r="DY10" s="19"/>
      <c r="DZ10" s="19"/>
      <c r="EA10" s="19"/>
      <c r="EB10" s="19"/>
      <c r="EC10" s="19"/>
    </row>
    <row r="11" spans="1:139">
      <c r="A11" s="35"/>
      <c r="G11" s="24" t="s">
        <v>406</v>
      </c>
      <c r="H11" s="19">
        <f>H10-H9</f>
        <v>0.96072086222720765</v>
      </c>
      <c r="I11" s="19">
        <f>I10-I9</f>
        <v>1.0494519822718635</v>
      </c>
      <c r="J11" s="19">
        <f>J10-J9</f>
        <v>1.366018150155955</v>
      </c>
      <c r="K11" s="19"/>
      <c r="L11" s="19">
        <f>L10-L9</f>
        <v>1.4971875552382894</v>
      </c>
      <c r="M11" s="19">
        <f>M10-M9</f>
        <v>1.3308512135427291</v>
      </c>
      <c r="N11" s="19"/>
      <c r="O11" s="19"/>
      <c r="P11" s="19">
        <f>P10-P9</f>
        <v>1.9005821945747503</v>
      </c>
      <c r="Q11" s="19"/>
      <c r="R11" s="19"/>
      <c r="S11" s="19"/>
      <c r="T11" s="19"/>
      <c r="U11" s="19">
        <f>U10-U9</f>
        <v>1.8203829984628621</v>
      </c>
      <c r="V11" s="19">
        <f>V10-V9</f>
        <v>1.8710034175193881</v>
      </c>
      <c r="W11" s="19"/>
      <c r="X11" s="19"/>
      <c r="Y11" s="19"/>
      <c r="Z11" s="19"/>
      <c r="AA11" s="19"/>
      <c r="AB11" s="19"/>
      <c r="AC11" s="19"/>
      <c r="AD11" s="19"/>
      <c r="AE11" s="19"/>
      <c r="AF11" s="19"/>
      <c r="AG11" s="19"/>
      <c r="AH11" s="19"/>
      <c r="AI11" s="19"/>
      <c r="AJ11" s="19">
        <f>AJ10-AJ9</f>
        <v>1.0116232868875701</v>
      </c>
      <c r="AK11" s="19">
        <f>AK10-AK9</f>
        <v>0.95045400775035704</v>
      </c>
      <c r="AL11" s="19"/>
      <c r="AM11" s="19">
        <f>AM10-AM9</f>
        <v>0.66112845047581625</v>
      </c>
      <c r="AN11" s="19"/>
      <c r="AO11" s="19"/>
      <c r="AP11" s="19"/>
      <c r="AQ11" s="19">
        <f>AQ10-AQ9</f>
        <v>0.55785357770006405</v>
      </c>
      <c r="AR11" s="19"/>
      <c r="AS11" s="19"/>
      <c r="AT11" s="19"/>
      <c r="AU11" s="19"/>
      <c r="AV11" s="19"/>
      <c r="AW11" s="19">
        <f>AW10-AW9</f>
        <v>0.32130940240668981</v>
      </c>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f>CH10-CH9</f>
        <v>0.13967091576585766</v>
      </c>
      <c r="CI11" s="19"/>
      <c r="CJ11" s="19"/>
      <c r="CK11" s="19"/>
      <c r="CL11" s="19">
        <f>CL10-CL9</f>
        <v>0.18353304099530909</v>
      </c>
      <c r="CM11" s="19"/>
      <c r="CN11" s="19"/>
      <c r="CO11" s="19"/>
      <c r="CP11" s="19"/>
      <c r="CQ11" s="19"/>
      <c r="CR11" s="19"/>
      <c r="CS11" s="19"/>
      <c r="CT11" s="19"/>
      <c r="CU11" s="19">
        <f>CU10-CU9</f>
        <v>0.2594641036100348</v>
      </c>
      <c r="CV11" s="19"/>
      <c r="CW11" s="19"/>
      <c r="CX11" s="19"/>
      <c r="CY11" s="19">
        <f>CY10-CY9</f>
        <v>0.20105720987150733</v>
      </c>
      <c r="CZ11" s="19"/>
      <c r="DA11" s="19"/>
      <c r="DB11" s="19"/>
      <c r="DC11" s="19"/>
      <c r="DD11" s="19"/>
      <c r="DE11" s="19"/>
      <c r="DF11" s="19"/>
      <c r="DG11" s="19"/>
      <c r="DH11" s="19">
        <f>DH10-DH9</f>
        <v>0.22266081990617992</v>
      </c>
      <c r="DI11" s="19"/>
      <c r="DJ11" s="19"/>
      <c r="DK11" s="19"/>
      <c r="DL11" s="19"/>
      <c r="DM11" s="19"/>
      <c r="DN11" s="19"/>
      <c r="DO11" s="19"/>
      <c r="DP11" s="19"/>
      <c r="DQ11" s="19"/>
      <c r="DR11" s="19"/>
      <c r="DS11" s="19"/>
      <c r="DT11" s="19"/>
      <c r="DU11" s="19"/>
      <c r="DV11" s="19"/>
      <c r="DW11" s="19"/>
      <c r="DX11" s="19"/>
      <c r="DY11" s="19"/>
      <c r="DZ11" s="19"/>
      <c r="EA11" s="19"/>
      <c r="EB11" s="19"/>
      <c r="EC11" s="19"/>
    </row>
    <row r="12" spans="1:139">
      <c r="A12" s="35"/>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c r="AX12" s="26"/>
      <c r="AY12" s="26"/>
      <c r="AZ12" s="26"/>
      <c r="BA12" s="26"/>
      <c r="BB12" s="26"/>
      <c r="BC12" s="26"/>
      <c r="BD12" s="26"/>
      <c r="BE12" s="26"/>
      <c r="BF12" s="26"/>
      <c r="BG12" s="26"/>
      <c r="BH12" s="26"/>
      <c r="BI12" s="26"/>
      <c r="BJ12" s="26"/>
      <c r="BK12" s="26"/>
      <c r="BL12" s="26"/>
      <c r="BM12" s="26"/>
      <c r="BN12" s="26"/>
      <c r="BO12" s="26"/>
      <c r="BP12" s="26"/>
      <c r="BQ12" s="26"/>
      <c r="BR12" s="26"/>
      <c r="BS12" s="26"/>
      <c r="BT12" s="26"/>
      <c r="BU12" s="26"/>
      <c r="BV12" s="26"/>
      <c r="BW12" s="26"/>
      <c r="BX12" s="26"/>
      <c r="BY12" s="26"/>
      <c r="BZ12" s="26"/>
      <c r="CA12" s="26"/>
      <c r="CB12" s="26"/>
      <c r="CC12" s="26"/>
      <c r="CD12" s="26"/>
      <c r="CE12" s="26"/>
      <c r="CF12" s="26"/>
      <c r="CG12" s="26"/>
      <c r="CH12" s="26"/>
      <c r="CI12" s="26"/>
      <c r="CJ12" s="26"/>
      <c r="CK12" s="26"/>
      <c r="CL12" s="26"/>
      <c r="CM12" s="26"/>
      <c r="CN12" s="26"/>
      <c r="CO12" s="26"/>
      <c r="CP12" s="26"/>
      <c r="CQ12" s="26"/>
      <c r="CR12" s="26"/>
      <c r="CS12" s="26"/>
      <c r="CT12" s="26"/>
      <c r="CU12" s="26"/>
      <c r="CV12" s="26"/>
      <c r="CW12" s="26"/>
      <c r="CX12" s="26"/>
      <c r="CY12" s="26"/>
      <c r="CZ12" s="26"/>
      <c r="DA12" s="26"/>
      <c r="DB12" s="26"/>
      <c r="DC12" s="26"/>
      <c r="DD12" s="26"/>
      <c r="DE12" s="26"/>
      <c r="DF12" s="26"/>
      <c r="DG12" s="26"/>
      <c r="DH12" s="26"/>
      <c r="DI12" s="26"/>
      <c r="DJ12" s="26"/>
      <c r="DK12" s="26"/>
      <c r="DL12" s="26"/>
      <c r="DM12" s="26"/>
      <c r="DN12" s="26"/>
      <c r="DO12" s="26"/>
      <c r="DP12" s="26"/>
      <c r="DQ12" s="26"/>
      <c r="DR12" s="26"/>
      <c r="DS12" s="26"/>
      <c r="DT12" s="26"/>
      <c r="DU12" s="26"/>
      <c r="DV12" s="26"/>
      <c r="DW12" s="26"/>
      <c r="DX12" s="26"/>
      <c r="DY12" s="26"/>
      <c r="DZ12" s="26"/>
      <c r="EA12" s="26"/>
      <c r="EB12" s="26"/>
      <c r="EC12" s="26"/>
    </row>
    <row r="14" spans="1:139" s="157" customFormat="1" ht="15">
      <c r="G14" s="168" t="s">
        <v>407</v>
      </c>
      <c r="H14" s="158">
        <f>0.96+H9</f>
        <v>1.3992791377727922</v>
      </c>
      <c r="I14" s="158">
        <f t="shared" ref="I14:AL14" si="15">0.96+I9</f>
        <v>1.3405480177281364</v>
      </c>
      <c r="J14" s="158">
        <f t="shared" si="15"/>
        <v>1.1912040720662673</v>
      </c>
      <c r="K14" s="158">
        <f t="shared" si="15"/>
        <v>1.1147067387071083</v>
      </c>
      <c r="L14" s="158">
        <f t="shared" si="15"/>
        <v>1.1728124447617105</v>
      </c>
      <c r="M14" s="158">
        <f t="shared" si="15"/>
        <v>1.249148786457271</v>
      </c>
      <c r="N14" s="158">
        <f t="shared" si="15"/>
        <v>1.2714522741178871</v>
      </c>
      <c r="O14" s="158">
        <f t="shared" si="15"/>
        <v>1.2786212522945135</v>
      </c>
      <c r="P14" s="158">
        <f t="shared" si="15"/>
        <v>1.2794178054252499</v>
      </c>
      <c r="Q14" s="158">
        <f t="shared" si="15"/>
        <v>1.2690626147256781</v>
      </c>
      <c r="R14" s="158">
        <f t="shared" si="15"/>
        <v>1.2642832959412604</v>
      </c>
      <c r="S14" s="158">
        <f t="shared" si="15"/>
        <v>1.3172540791352234</v>
      </c>
      <c r="T14" s="158">
        <f t="shared" si="15"/>
        <v>1.3702248623291862</v>
      </c>
      <c r="U14" s="158">
        <f t="shared" si="15"/>
        <v>1.3957145625127474</v>
      </c>
      <c r="V14" s="158">
        <f t="shared" si="15"/>
        <v>1.406069753212319</v>
      </c>
      <c r="W14" s="158">
        <f t="shared" si="15"/>
        <v>1.4172214970426269</v>
      </c>
      <c r="X14" s="158">
        <f t="shared" si="15"/>
        <v>1.4347456659188251</v>
      </c>
      <c r="Y14" s="158">
        <f t="shared" si="15"/>
        <v>1.4729802161941667</v>
      </c>
      <c r="Z14" s="158">
        <f t="shared" si="15"/>
        <v>1.5055393254130123</v>
      </c>
      <c r="AA14" s="158">
        <f t="shared" si="15"/>
        <v>1.4972750866816233</v>
      </c>
      <c r="AB14" s="158">
        <f t="shared" si="15"/>
        <v>1.4877164491127881</v>
      </c>
      <c r="AC14" s="158">
        <f t="shared" si="15"/>
        <v>1.5713943554966345</v>
      </c>
      <c r="AD14" s="158">
        <f t="shared" si="15"/>
        <v>1.5620667183357129</v>
      </c>
      <c r="AE14" s="158">
        <f t="shared" si="15"/>
        <v>1.512170630226392</v>
      </c>
      <c r="AF14" s="158">
        <f t="shared" si="15"/>
        <v>1.5776472975729146</v>
      </c>
      <c r="AG14" s="158">
        <f t="shared" si="15"/>
        <v>1.6450356924332041</v>
      </c>
      <c r="AH14" s="158">
        <f t="shared" si="15"/>
        <v>1.7653152151743829</v>
      </c>
      <c r="AI14" s="158">
        <f t="shared" si="15"/>
        <v>1.6792874770548645</v>
      </c>
      <c r="AJ14" s="158">
        <f t="shared" si="15"/>
        <v>1.6800840301856006</v>
      </c>
      <c r="AK14" s="158">
        <f t="shared" si="15"/>
        <v>1.6195459922496429</v>
      </c>
      <c r="AL14" s="158">
        <f t="shared" si="15"/>
        <v>1.5900735264124006</v>
      </c>
      <c r="AM14" s="158">
        <f>0.66+AM9</f>
        <v>1.218383744646135</v>
      </c>
      <c r="AN14" s="158">
        <f t="shared" ref="AN14:AP14" si="16">0.66+AN9</f>
        <v>1.1865216194166837</v>
      </c>
      <c r="AO14" s="158">
        <f t="shared" si="16"/>
        <v>1.2040457882928819</v>
      </c>
      <c r="AP14" s="158">
        <f t="shared" si="16"/>
        <v>1.2120113196002447</v>
      </c>
      <c r="AQ14" s="158">
        <f>0.56+AQ9</f>
        <v>1.0582439832755455</v>
      </c>
      <c r="AR14" s="158">
        <f t="shared" ref="AR14:AV14" si="17">0.56+AR9</f>
        <v>1.1255527228227615</v>
      </c>
      <c r="AS14" s="158">
        <f t="shared" si="17"/>
        <v>1.1335182541301245</v>
      </c>
      <c r="AT14" s="158">
        <f t="shared" si="17"/>
        <v>1.2291046298184785</v>
      </c>
      <c r="AU14" s="158">
        <f t="shared" si="17"/>
        <v>1.3366393024678769</v>
      </c>
      <c r="AV14" s="158">
        <f t="shared" si="17"/>
        <v>1.2251218641647972</v>
      </c>
      <c r="AW14" s="158">
        <f>0.32+AW9</f>
        <v>0.85369059759331023</v>
      </c>
      <c r="AX14" s="158">
        <f t="shared" ref="AX14:CG14" si="18">0.32+AX9</f>
        <v>0.88754410564960229</v>
      </c>
      <c r="AY14" s="158">
        <f t="shared" si="18"/>
        <v>0.94131144197430139</v>
      </c>
      <c r="AZ14" s="158">
        <f t="shared" si="18"/>
        <v>0.96042871711197231</v>
      </c>
      <c r="BA14" s="158">
        <f t="shared" si="18"/>
        <v>0.99069773607995093</v>
      </c>
      <c r="BB14" s="158">
        <f t="shared" si="18"/>
        <v>1.0153908831327758</v>
      </c>
      <c r="BC14" s="158">
        <f t="shared" si="18"/>
        <v>1.007425351825413</v>
      </c>
      <c r="BD14" s="158">
        <f t="shared" si="18"/>
        <v>1.0177805425249846</v>
      </c>
      <c r="BE14" s="158">
        <f t="shared" si="18"/>
        <v>1.0177805425249846</v>
      </c>
      <c r="BF14" s="158">
        <f t="shared" si="18"/>
        <v>1.0090184580868855</v>
      </c>
      <c r="BG14" s="158">
        <f t="shared" si="18"/>
        <v>1.0607944115847441</v>
      </c>
      <c r="BH14" s="158">
        <f t="shared" si="18"/>
        <v>1.1245186620436467</v>
      </c>
      <c r="BI14" s="158">
        <f t="shared" si="18"/>
        <v>1.0767254741994696</v>
      </c>
      <c r="BJ14" s="158">
        <f t="shared" si="18"/>
        <v>1.0273391800938201</v>
      </c>
      <c r="BK14" s="158">
        <f t="shared" si="18"/>
        <v>1.0376943707933919</v>
      </c>
      <c r="BL14" s="158">
        <f t="shared" si="18"/>
        <v>1.0225598613094025</v>
      </c>
      <c r="BM14" s="158">
        <f t="shared" si="18"/>
        <v>1.0225598613094025</v>
      </c>
      <c r="BN14" s="158">
        <f t="shared" si="18"/>
        <v>1.0225598613094025</v>
      </c>
      <c r="BO14" s="158">
        <f t="shared" si="18"/>
        <v>0.99149428921068727</v>
      </c>
      <c r="BP14" s="158">
        <f t="shared" si="18"/>
        <v>1.0106115643483582</v>
      </c>
      <c r="BQ14" s="158">
        <f t="shared" si="18"/>
        <v>0.99388394860289608</v>
      </c>
      <c r="BR14" s="158">
        <f t="shared" si="18"/>
        <v>0.97795288598817054</v>
      </c>
      <c r="BS14" s="158">
        <f t="shared" si="18"/>
        <v>0.96919080155007142</v>
      </c>
      <c r="BT14" s="158">
        <f t="shared" si="18"/>
        <v>1.007425351825413</v>
      </c>
      <c r="BU14" s="158">
        <f t="shared" si="18"/>
        <v>1.0010529267795227</v>
      </c>
      <c r="BV14" s="158">
        <f t="shared" si="18"/>
        <v>1.0145943300020395</v>
      </c>
      <c r="BW14" s="158">
        <f t="shared" si="18"/>
        <v>1.0528288802773811</v>
      </c>
      <c r="BX14" s="158">
        <f t="shared" si="18"/>
        <v>1.0544219865388538</v>
      </c>
      <c r="BY14" s="158">
        <f t="shared" si="18"/>
        <v>1.0966393024678767</v>
      </c>
      <c r="BZ14" s="158">
        <f t="shared" si="18"/>
        <v>1.1046048337752397</v>
      </c>
      <c r="CA14" s="158">
        <f t="shared" si="18"/>
        <v>1.1356704058739546</v>
      </c>
      <c r="CB14" s="158">
        <f t="shared" si="18"/>
        <v>1.1340772996124822</v>
      </c>
      <c r="CC14" s="158">
        <f t="shared" si="18"/>
        <v>1.1245186620436467</v>
      </c>
      <c r="CD14" s="158">
        <f t="shared" si="18"/>
        <v>1.1125703650826024</v>
      </c>
      <c r="CE14" s="158">
        <f t="shared" si="18"/>
        <v>1.1277048745665919</v>
      </c>
      <c r="CF14" s="158">
        <f t="shared" si="18"/>
        <v>1.1277048745665919</v>
      </c>
      <c r="CG14" s="158">
        <f t="shared" si="18"/>
        <v>1.130891087089537</v>
      </c>
      <c r="CH14" s="158">
        <f>0.14+CH9</f>
        <v>0.98832908423414234</v>
      </c>
      <c r="CI14" s="158">
        <f t="shared" ref="CI14:DR14" si="19">0.14+CI9</f>
        <v>0.97797389353457065</v>
      </c>
      <c r="CJ14" s="158">
        <f t="shared" si="19"/>
        <v>0.97160146848868045</v>
      </c>
      <c r="CK14" s="158">
        <f t="shared" si="19"/>
        <v>0.9644324903120538</v>
      </c>
      <c r="CL14" s="158">
        <f t="shared" si="19"/>
        <v>0.95646695900469092</v>
      </c>
      <c r="CM14" s="158">
        <f t="shared" si="19"/>
        <v>0.94770487456659191</v>
      </c>
      <c r="CN14" s="158">
        <f t="shared" si="19"/>
        <v>0.95328074648174577</v>
      </c>
      <c r="CO14" s="158">
        <f t="shared" si="19"/>
        <v>0.95646695900469092</v>
      </c>
      <c r="CP14" s="158">
        <f t="shared" si="19"/>
        <v>0.9684152559657353</v>
      </c>
      <c r="CQ14" s="158">
        <f t="shared" si="19"/>
        <v>0.9684152559657353</v>
      </c>
      <c r="CR14" s="158">
        <f t="shared" si="19"/>
        <v>0.93973934325922903</v>
      </c>
      <c r="CS14" s="158">
        <f t="shared" si="19"/>
        <v>0.92141862125229446</v>
      </c>
      <c r="CT14" s="158">
        <f t="shared" si="19"/>
        <v>0.95885661839689984</v>
      </c>
      <c r="CU14" s="158">
        <f t="shared" si="19"/>
        <v>0.94053589638996526</v>
      </c>
      <c r="CV14" s="158">
        <f t="shared" si="19"/>
        <v>0.93336691821333873</v>
      </c>
      <c r="CW14" s="158">
        <f t="shared" si="19"/>
        <v>0.93018070569039357</v>
      </c>
      <c r="CX14" s="158">
        <f t="shared" si="19"/>
        <v>0.9054875586375688</v>
      </c>
      <c r="CY14" s="158">
        <f t="shared" si="19"/>
        <v>0.93894279012849269</v>
      </c>
      <c r="CZ14" s="158">
        <f t="shared" si="19"/>
        <v>0.94531521517438288</v>
      </c>
      <c r="DA14" s="158">
        <f t="shared" si="19"/>
        <v>0.92619794003671219</v>
      </c>
      <c r="DB14" s="158">
        <f t="shared" si="19"/>
        <v>0.93257036508260249</v>
      </c>
      <c r="DC14" s="158">
        <f t="shared" si="19"/>
        <v>0.92062206812155822</v>
      </c>
      <c r="DD14" s="158">
        <f t="shared" si="19"/>
        <v>0.88477717723842542</v>
      </c>
      <c r="DE14" s="158">
        <f t="shared" si="19"/>
        <v>0.89035304915357938</v>
      </c>
      <c r="DF14" s="158">
        <f t="shared" si="19"/>
        <v>0.88318407097695295</v>
      </c>
      <c r="DG14" s="158">
        <f t="shared" si="19"/>
        <v>0.9222151743830308</v>
      </c>
      <c r="DH14" s="158">
        <f t="shared" si="19"/>
        <v>0.84733918009382014</v>
      </c>
      <c r="DI14" s="158">
        <f t="shared" si="19"/>
        <v>0.84415296757087499</v>
      </c>
      <c r="DJ14" s="158">
        <f t="shared" si="19"/>
        <v>0.84096675504792984</v>
      </c>
      <c r="DK14" s="158">
        <f t="shared" si="19"/>
        <v>0.85450815827044668</v>
      </c>
      <c r="DL14" s="158">
        <f t="shared" si="19"/>
        <v>0.82583224556394041</v>
      </c>
      <c r="DM14" s="158">
        <f t="shared" si="19"/>
        <v>0.83857709565572092</v>
      </c>
      <c r="DN14" s="158">
        <f t="shared" si="19"/>
        <v>0.82662879869467665</v>
      </c>
      <c r="DO14" s="158">
        <f t="shared" si="19"/>
        <v>0.83618743626351211</v>
      </c>
      <c r="DP14" s="158">
        <f t="shared" si="19"/>
        <v>0.83937364878645726</v>
      </c>
      <c r="DQ14" s="158">
        <f t="shared" si="19"/>
        <v>0.84494952070161122</v>
      </c>
      <c r="DR14" s="158">
        <f t="shared" si="19"/>
        <v>0.83220467060983072</v>
      </c>
      <c r="DS14" s="158">
        <f t="shared" ref="DS14:EC14" si="20">0.44+DS9</f>
        <v>0.44</v>
      </c>
      <c r="DT14" s="158">
        <f t="shared" si="20"/>
        <v>0.44</v>
      </c>
      <c r="DU14" s="158">
        <f t="shared" si="20"/>
        <v>0.44</v>
      </c>
      <c r="DV14" s="158">
        <f t="shared" si="20"/>
        <v>0.44</v>
      </c>
      <c r="DW14" s="158">
        <f t="shared" si="20"/>
        <v>0.44</v>
      </c>
      <c r="DX14" s="158">
        <f t="shared" si="20"/>
        <v>0.44</v>
      </c>
      <c r="DY14" s="158">
        <f t="shared" si="20"/>
        <v>0.44</v>
      </c>
      <c r="DZ14" s="158">
        <f t="shared" si="20"/>
        <v>0.44</v>
      </c>
      <c r="EA14" s="158">
        <f t="shared" si="20"/>
        <v>0.44</v>
      </c>
      <c r="EB14" s="158">
        <f t="shared" si="20"/>
        <v>0.44</v>
      </c>
      <c r="EC14" s="158">
        <f t="shared" si="20"/>
        <v>0.44</v>
      </c>
    </row>
  </sheetData>
  <phoneticPr fontId="52" type="noConversion"/>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6"/>
  <dimension ref="A1:XFD18"/>
  <sheetViews>
    <sheetView zoomScale="90" zoomScaleNormal="90" workbookViewId="0">
      <pane xSplit="10" ySplit="5" topLeftCell="DF6" activePane="bottomRight" state="frozen"/>
      <selection pane="topRight" activeCell="K1" sqref="K1"/>
      <selection pane="bottomLeft" activeCell="A6" sqref="A6"/>
      <selection pane="bottomRight" activeCell="DJ18" sqref="DJ18"/>
    </sheetView>
  </sheetViews>
  <sheetFormatPr baseColWidth="10" defaultColWidth="8.6640625" defaultRowHeight="14"/>
  <cols>
    <col min="1" max="1" width="24.5" style="8" bestFit="1" customWidth="1"/>
    <col min="2" max="3" width="14" style="8" bestFit="1" customWidth="1"/>
    <col min="4" max="4" width="14.1640625" style="8" bestFit="1" customWidth="1"/>
    <col min="5" max="5" width="13.6640625" style="8" bestFit="1" customWidth="1"/>
    <col min="6" max="6" width="8.6640625" style="8"/>
    <col min="7" max="7" width="26.1640625" style="8" bestFit="1" customWidth="1"/>
    <col min="8" max="8" width="5.6640625" style="8" bestFit="1" customWidth="1"/>
    <col min="9" max="9" width="6.83203125" style="8" customWidth="1"/>
    <col min="10" max="10" width="6.5" style="8" bestFit="1" customWidth="1"/>
    <col min="11" max="11" width="5.83203125" style="8" bestFit="1" customWidth="1"/>
    <col min="12" max="12" width="6.5" style="8" bestFit="1" customWidth="1"/>
    <col min="13" max="13" width="5.6640625" style="8" bestFit="1" customWidth="1"/>
    <col min="14" max="14" width="5.33203125" style="8" bestFit="1" customWidth="1"/>
    <col min="15" max="15" width="6.1640625" style="8" bestFit="1" customWidth="1"/>
    <col min="16" max="17" width="5.83203125" style="8" bestFit="1" customWidth="1"/>
    <col min="18" max="18" width="6.5" style="8" bestFit="1" customWidth="1"/>
    <col min="19" max="19" width="6.1640625" style="8" bestFit="1" customWidth="1"/>
    <col min="20" max="20" width="5.6640625" style="8" bestFit="1" customWidth="1"/>
    <col min="21" max="21" width="5.83203125" style="8" bestFit="1" customWidth="1"/>
    <col min="22" max="22" width="6.5" style="8" bestFit="1" customWidth="1"/>
    <col min="23" max="23" width="5.83203125" style="8" bestFit="1" customWidth="1"/>
    <col min="24" max="24" width="6.5" style="8" bestFit="1" customWidth="1"/>
    <col min="25" max="25" width="5.6640625" style="8" bestFit="1" customWidth="1"/>
    <col min="26" max="26" width="5.33203125" style="8" bestFit="1" customWidth="1"/>
    <col min="27" max="27" width="6.1640625" style="8" bestFit="1" customWidth="1"/>
    <col min="28" max="29" width="5.83203125" style="8" bestFit="1" customWidth="1"/>
    <col min="30" max="30" width="6.5" style="8" bestFit="1" customWidth="1"/>
    <col min="31" max="31" width="6.1640625" style="8" bestFit="1" customWidth="1"/>
    <col min="32" max="32" width="5.6640625" style="8" bestFit="1" customWidth="1"/>
    <col min="33" max="33" width="5.83203125" style="8" bestFit="1" customWidth="1"/>
    <col min="34" max="34" width="6.5" style="8" bestFit="1" customWidth="1"/>
    <col min="35" max="35" width="5.83203125" style="8" bestFit="1" customWidth="1"/>
    <col min="36" max="36" width="6.5" style="8" bestFit="1" customWidth="1"/>
    <col min="37" max="37" width="5.6640625" style="8" bestFit="1" customWidth="1"/>
    <col min="38" max="38" width="5.33203125" style="8" bestFit="1" customWidth="1"/>
    <col min="39" max="39" width="6.1640625" style="8" bestFit="1" customWidth="1"/>
    <col min="40" max="41" width="5.83203125" style="8" bestFit="1" customWidth="1"/>
    <col min="42" max="42" width="6.5" style="8" bestFit="1" customWidth="1"/>
    <col min="43" max="43" width="6.1640625" style="8" bestFit="1" customWidth="1"/>
    <col min="44" max="44" width="5.6640625" style="8" bestFit="1" customWidth="1"/>
    <col min="45" max="45" width="5.83203125" style="8" bestFit="1" customWidth="1"/>
    <col min="46" max="46" width="6.5" style="8" bestFit="1" customWidth="1"/>
    <col min="47" max="47" width="5.83203125" style="8" bestFit="1" customWidth="1"/>
    <col min="48" max="48" width="6.5" style="8" bestFit="1" customWidth="1"/>
    <col min="49" max="49" width="5.6640625" style="8" bestFit="1" customWidth="1"/>
    <col min="50" max="50" width="5.33203125" style="8" bestFit="1" customWidth="1"/>
    <col min="51" max="53" width="7.6640625" style="8" bestFit="1" customWidth="1"/>
    <col min="54" max="55" width="6.1640625" style="8" bestFit="1" customWidth="1"/>
    <col min="56" max="57" width="4.6640625" style="8" bestFit="1" customWidth="1"/>
    <col min="58" max="65" width="6.5" style="8" bestFit="1" customWidth="1"/>
    <col min="66" max="69" width="5.6640625" style="8" bestFit="1" customWidth="1"/>
    <col min="70" max="73" width="5.5" style="8" bestFit="1" customWidth="1"/>
    <col min="74" max="77" width="5.1640625" style="8" bestFit="1" customWidth="1"/>
    <col min="78" max="81" width="5.5" style="8" bestFit="1" customWidth="1"/>
    <col min="82" max="85" width="5.6640625" style="8" bestFit="1" customWidth="1"/>
    <col min="86" max="16384" width="8.6640625" style="8"/>
  </cols>
  <sheetData>
    <row r="1" spans="1:137 16384:16384">
      <c r="A1" s="24" t="s">
        <v>377</v>
      </c>
      <c r="B1" s="24" t="s">
        <v>378</v>
      </c>
      <c r="C1" s="24" t="s">
        <v>379</v>
      </c>
      <c r="D1" s="24" t="s">
        <v>380</v>
      </c>
      <c r="E1" s="24" t="s">
        <v>381</v>
      </c>
      <c r="F1" s="24" t="s">
        <v>33</v>
      </c>
      <c r="H1" s="25">
        <v>6</v>
      </c>
      <c r="I1" s="25">
        <v>7</v>
      </c>
      <c r="J1" s="25">
        <v>8</v>
      </c>
      <c r="K1" s="25">
        <v>9</v>
      </c>
      <c r="L1" s="25">
        <v>10</v>
      </c>
      <c r="M1" s="25">
        <v>11</v>
      </c>
      <c r="N1" s="25">
        <v>12</v>
      </c>
      <c r="O1" s="25">
        <v>13</v>
      </c>
      <c r="P1" s="25">
        <v>14</v>
      </c>
      <c r="Q1" s="25">
        <v>15</v>
      </c>
      <c r="R1" s="25">
        <v>16</v>
      </c>
      <c r="S1" s="25">
        <v>17</v>
      </c>
      <c r="T1" s="25">
        <v>18</v>
      </c>
      <c r="U1" s="25">
        <v>19</v>
      </c>
      <c r="V1" s="25">
        <v>20</v>
      </c>
      <c r="W1" s="25">
        <v>21</v>
      </c>
      <c r="X1" s="25">
        <v>22</v>
      </c>
      <c r="Y1" s="25">
        <v>23</v>
      </c>
      <c r="Z1" s="25">
        <v>24</v>
      </c>
      <c r="AA1" s="25">
        <v>25</v>
      </c>
      <c r="AB1" s="25">
        <v>26</v>
      </c>
      <c r="AC1" s="25">
        <v>27</v>
      </c>
      <c r="AD1" s="25">
        <v>28</v>
      </c>
      <c r="AE1" s="25">
        <v>29</v>
      </c>
      <c r="AF1" s="25">
        <v>30</v>
      </c>
      <c r="AG1" s="25">
        <v>31</v>
      </c>
      <c r="AH1" s="25">
        <v>32</v>
      </c>
      <c r="AI1" s="25">
        <v>33</v>
      </c>
      <c r="AJ1" s="25">
        <v>34</v>
      </c>
      <c r="AK1" s="25">
        <v>35</v>
      </c>
      <c r="AL1" s="25">
        <v>36</v>
      </c>
      <c r="AM1" s="25">
        <v>37</v>
      </c>
      <c r="AN1" s="25">
        <v>38</v>
      </c>
      <c r="AO1" s="25">
        <v>39</v>
      </c>
      <c r="AP1" s="25">
        <v>40</v>
      </c>
      <c r="AQ1" s="25">
        <v>41</v>
      </c>
      <c r="AR1" s="25">
        <v>42</v>
      </c>
      <c r="AS1" s="25">
        <v>43</v>
      </c>
      <c r="AT1" s="25">
        <v>44</v>
      </c>
      <c r="AU1" s="25">
        <v>45</v>
      </c>
      <c r="AV1" s="25">
        <v>46</v>
      </c>
      <c r="AW1" s="25">
        <v>47</v>
      </c>
      <c r="AX1" s="25">
        <v>48</v>
      </c>
      <c r="AY1" s="25">
        <v>49</v>
      </c>
      <c r="AZ1" s="25">
        <v>50</v>
      </c>
      <c r="BA1" s="25">
        <v>51</v>
      </c>
      <c r="BB1" s="25">
        <v>52</v>
      </c>
      <c r="BC1" s="25">
        <v>53</v>
      </c>
      <c r="BD1" s="25">
        <v>54</v>
      </c>
      <c r="BE1" s="25">
        <v>55</v>
      </c>
      <c r="BF1" s="25">
        <v>56</v>
      </c>
      <c r="BG1" s="25">
        <v>57</v>
      </c>
      <c r="BH1" s="25">
        <v>58</v>
      </c>
      <c r="BI1" s="25">
        <v>59</v>
      </c>
      <c r="BJ1" s="25">
        <v>60</v>
      </c>
      <c r="BK1" s="25">
        <v>61</v>
      </c>
      <c r="BL1" s="25">
        <v>62</v>
      </c>
      <c r="BM1" s="25">
        <v>63</v>
      </c>
      <c r="BN1" s="25">
        <v>64</v>
      </c>
      <c r="BO1" s="25">
        <v>65</v>
      </c>
      <c r="BP1" s="25">
        <v>66</v>
      </c>
      <c r="BQ1" s="25">
        <v>67</v>
      </c>
      <c r="BR1" s="25">
        <v>68</v>
      </c>
      <c r="BS1" s="25">
        <v>69</v>
      </c>
      <c r="BT1" s="25">
        <v>70</v>
      </c>
      <c r="BU1" s="25">
        <v>71</v>
      </c>
      <c r="BV1" s="25">
        <v>72</v>
      </c>
      <c r="BW1" s="25">
        <v>73</v>
      </c>
      <c r="BX1" s="25">
        <v>74</v>
      </c>
      <c r="BY1" s="25">
        <v>75</v>
      </c>
      <c r="BZ1" s="25">
        <v>76</v>
      </c>
      <c r="CA1" s="25">
        <v>77</v>
      </c>
      <c r="CB1" s="25">
        <v>78</v>
      </c>
      <c r="CC1" s="25">
        <v>79</v>
      </c>
      <c r="CD1" s="25">
        <v>80</v>
      </c>
      <c r="CE1" s="25">
        <v>81</v>
      </c>
      <c r="CF1" s="25">
        <v>82</v>
      </c>
      <c r="CG1" s="25">
        <v>83</v>
      </c>
      <c r="CH1" s="25">
        <v>84</v>
      </c>
      <c r="CI1" s="25">
        <v>85</v>
      </c>
      <c r="CJ1" s="25">
        <v>86</v>
      </c>
      <c r="CK1" s="25">
        <v>87</v>
      </c>
      <c r="CL1" s="25">
        <v>88</v>
      </c>
      <c r="CM1" s="25">
        <v>89</v>
      </c>
      <c r="CN1" s="25">
        <v>90</v>
      </c>
      <c r="CO1" s="25">
        <v>91</v>
      </c>
      <c r="CP1" s="25">
        <v>92</v>
      </c>
      <c r="CQ1" s="25">
        <v>93</v>
      </c>
      <c r="CR1" s="25">
        <v>94</v>
      </c>
      <c r="CS1" s="25">
        <v>95</v>
      </c>
      <c r="CT1" s="25">
        <v>96</v>
      </c>
      <c r="CU1" s="25">
        <v>97</v>
      </c>
      <c r="CV1" s="25">
        <v>98</v>
      </c>
      <c r="CW1" s="25">
        <v>99</v>
      </c>
      <c r="CX1" s="25">
        <v>100</v>
      </c>
      <c r="CY1" s="25">
        <v>101</v>
      </c>
      <c r="CZ1" s="25">
        <v>102</v>
      </c>
      <c r="DA1" s="25">
        <v>103</v>
      </c>
      <c r="DB1" s="25">
        <v>104</v>
      </c>
      <c r="DC1" s="25">
        <v>105</v>
      </c>
      <c r="DD1" s="25">
        <v>106</v>
      </c>
      <c r="DE1" s="25">
        <v>107</v>
      </c>
      <c r="DF1" s="25">
        <v>108</v>
      </c>
      <c r="DG1" s="25">
        <v>109</v>
      </c>
      <c r="DH1" s="25">
        <v>110</v>
      </c>
      <c r="DI1" s="25">
        <v>111</v>
      </c>
      <c r="DJ1" s="25">
        <v>112</v>
      </c>
      <c r="DK1" s="25">
        <v>113</v>
      </c>
      <c r="DL1" s="25">
        <v>114</v>
      </c>
      <c r="DM1" s="25">
        <v>115</v>
      </c>
      <c r="DN1" s="25">
        <v>116</v>
      </c>
      <c r="DO1" s="25">
        <v>117</v>
      </c>
      <c r="DP1" s="25">
        <v>118</v>
      </c>
      <c r="DQ1" s="25">
        <v>119</v>
      </c>
      <c r="DR1" s="25">
        <v>120</v>
      </c>
      <c r="DS1" s="25">
        <v>121</v>
      </c>
      <c r="DT1" s="25">
        <v>122</v>
      </c>
      <c r="DU1" s="25">
        <v>123</v>
      </c>
      <c r="DV1" s="25">
        <v>124</v>
      </c>
      <c r="DW1" s="25">
        <v>125</v>
      </c>
      <c r="DX1" s="25">
        <v>126</v>
      </c>
      <c r="DY1" s="25">
        <v>127</v>
      </c>
      <c r="DZ1" s="25">
        <v>128</v>
      </c>
      <c r="EA1" s="25">
        <v>129</v>
      </c>
      <c r="EB1" s="25">
        <v>130</v>
      </c>
      <c r="EC1" s="25">
        <v>131</v>
      </c>
      <c r="ED1" s="25">
        <v>132</v>
      </c>
      <c r="EE1" s="25">
        <v>133</v>
      </c>
      <c r="EF1" s="25">
        <v>134</v>
      </c>
      <c r="EG1" s="25">
        <v>135</v>
      </c>
    </row>
    <row r="2" spans="1:137 16384:16384">
      <c r="A2" s="126" t="s">
        <v>579</v>
      </c>
      <c r="B2" s="126" t="s">
        <v>580</v>
      </c>
      <c r="D2" s="18"/>
      <c r="E2" s="20">
        <v>198.26</v>
      </c>
    </row>
    <row r="3" spans="1:137 16384:16384">
      <c r="A3" s="53"/>
      <c r="B3" s="54"/>
      <c r="D3" s="18"/>
      <c r="I3" s="8" t="s">
        <v>581</v>
      </c>
    </row>
    <row r="4" spans="1:137 16384:16384" ht="15">
      <c r="A4" s="53" t="s">
        <v>57</v>
      </c>
      <c r="B4" s="52" t="s">
        <v>59</v>
      </c>
      <c r="C4" s="52" t="s">
        <v>58</v>
      </c>
      <c r="D4" s="18"/>
    </row>
    <row r="5" spans="1:137 16384:16384" ht="30">
      <c r="A5" s="55">
        <v>93.13</v>
      </c>
      <c r="B5" s="18">
        <v>30.03</v>
      </c>
      <c r="C5" s="53">
        <v>36.450000000000003</v>
      </c>
      <c r="D5" s="18"/>
      <c r="G5" s="24" t="s">
        <v>388</v>
      </c>
      <c r="H5" s="24">
        <v>43831</v>
      </c>
      <c r="I5" s="24">
        <v>43862</v>
      </c>
      <c r="J5" s="24">
        <v>43891</v>
      </c>
      <c r="K5" s="24">
        <v>43922</v>
      </c>
      <c r="L5" s="24">
        <v>43952</v>
      </c>
      <c r="M5" s="24">
        <v>43983</v>
      </c>
      <c r="N5" s="24">
        <v>44013</v>
      </c>
      <c r="O5" s="24">
        <v>44044</v>
      </c>
      <c r="P5" s="24">
        <v>44075</v>
      </c>
      <c r="Q5" s="24">
        <v>44105</v>
      </c>
      <c r="R5" s="24">
        <v>44136</v>
      </c>
      <c r="S5" s="24">
        <v>44166</v>
      </c>
      <c r="T5" s="24">
        <v>44197</v>
      </c>
      <c r="U5" s="24">
        <v>44228</v>
      </c>
      <c r="V5" s="24">
        <v>44256</v>
      </c>
      <c r="W5" s="24">
        <v>44287</v>
      </c>
      <c r="X5" s="24">
        <v>44317</v>
      </c>
      <c r="Y5" s="24">
        <v>44348</v>
      </c>
      <c r="Z5" s="24">
        <v>44378</v>
      </c>
      <c r="AA5" s="24">
        <v>44409</v>
      </c>
      <c r="AB5" s="24">
        <v>44440</v>
      </c>
      <c r="AC5" s="24">
        <v>44470</v>
      </c>
      <c r="AD5" s="24">
        <v>44501</v>
      </c>
      <c r="AE5" s="24">
        <v>44531</v>
      </c>
      <c r="AF5" s="24">
        <v>44562</v>
      </c>
      <c r="AG5" s="24">
        <v>44593</v>
      </c>
      <c r="AH5" s="24">
        <v>44621</v>
      </c>
      <c r="AI5" s="24">
        <v>44652</v>
      </c>
      <c r="AJ5" s="24">
        <v>44682</v>
      </c>
      <c r="AK5" s="24">
        <v>44713</v>
      </c>
      <c r="AL5" s="24">
        <v>44743</v>
      </c>
      <c r="AM5" s="24">
        <v>44774</v>
      </c>
      <c r="AN5" s="24">
        <v>44805</v>
      </c>
      <c r="AO5" s="24">
        <v>44835</v>
      </c>
      <c r="AP5" s="24">
        <v>44866</v>
      </c>
      <c r="AQ5" s="24">
        <v>44896</v>
      </c>
      <c r="AR5" s="24">
        <v>44927</v>
      </c>
      <c r="AS5" s="24">
        <v>44958</v>
      </c>
      <c r="AT5" s="24">
        <v>44986</v>
      </c>
      <c r="AU5" s="24">
        <v>45017</v>
      </c>
      <c r="AV5" s="24">
        <v>45047</v>
      </c>
      <c r="AW5" s="24">
        <v>45078</v>
      </c>
      <c r="AX5" s="24">
        <v>45108</v>
      </c>
      <c r="AY5" s="24" t="s">
        <v>530</v>
      </c>
      <c r="AZ5" s="24" t="s">
        <v>531</v>
      </c>
      <c r="BA5" s="24" t="s">
        <v>532</v>
      </c>
      <c r="BB5" s="24">
        <v>37104</v>
      </c>
      <c r="BC5" s="24">
        <v>37469</v>
      </c>
      <c r="BD5" s="34" t="s">
        <v>168</v>
      </c>
      <c r="BE5" s="34" t="s">
        <v>169</v>
      </c>
      <c r="BF5" s="24" t="s">
        <v>421</v>
      </c>
      <c r="BG5" s="24" t="s">
        <v>422</v>
      </c>
      <c r="BH5" s="24" t="s">
        <v>423</v>
      </c>
      <c r="BI5" s="24" t="s">
        <v>424</v>
      </c>
      <c r="BJ5" s="24" t="s">
        <v>435</v>
      </c>
      <c r="BK5" s="24" t="s">
        <v>436</v>
      </c>
      <c r="BL5" s="24" t="s">
        <v>437</v>
      </c>
      <c r="BM5" s="24" t="s">
        <v>438</v>
      </c>
      <c r="BN5" s="59">
        <v>37196</v>
      </c>
      <c r="BO5" s="59">
        <v>37561</v>
      </c>
      <c r="BP5" s="59">
        <v>37926</v>
      </c>
      <c r="BQ5" s="59">
        <v>38292</v>
      </c>
      <c r="BR5" s="59">
        <v>37226</v>
      </c>
      <c r="BS5" s="59">
        <v>37591</v>
      </c>
      <c r="BT5" s="59">
        <v>37956</v>
      </c>
      <c r="BU5" s="59">
        <v>38322</v>
      </c>
      <c r="BV5" s="59">
        <v>36892</v>
      </c>
      <c r="BW5" s="59">
        <v>37257</v>
      </c>
      <c r="BX5" s="59">
        <v>37622</v>
      </c>
      <c r="BY5" s="59">
        <v>37987</v>
      </c>
      <c r="BZ5" s="59">
        <v>36923</v>
      </c>
      <c r="CA5" s="59">
        <v>37288</v>
      </c>
      <c r="CB5" s="59">
        <v>37653</v>
      </c>
      <c r="CC5" s="59">
        <v>38018</v>
      </c>
      <c r="CD5" s="59" t="str">
        <f>Sheet8!A15</f>
        <v>Mar-w1</v>
      </c>
      <c r="CE5" s="59">
        <v>37316</v>
      </c>
      <c r="CF5" s="59">
        <v>37681</v>
      </c>
      <c r="CG5" s="59">
        <v>38047</v>
      </c>
      <c r="CH5" s="24" t="str">
        <f>Sheet8!E15</f>
        <v>Apr-w1</v>
      </c>
      <c r="CI5" s="24" t="str">
        <f>Sheet8!F15</f>
        <v>Apr-w2</v>
      </c>
      <c r="CJ5" s="24" t="str">
        <f>Sheet8!G15</f>
        <v>Apr-w3</v>
      </c>
      <c r="CK5" s="24" t="str">
        <f>Sheet8!H15</f>
        <v>Apr-w4</v>
      </c>
      <c r="CL5" s="24" t="str">
        <f>Sheet8!I15</f>
        <v>May-w1</v>
      </c>
      <c r="CM5" s="24" t="str">
        <f>Sheet8!J15</f>
        <v>May-w2</v>
      </c>
      <c r="CN5" s="24" t="str">
        <f>Sheet8!K15</f>
        <v>May-w3</v>
      </c>
      <c r="CO5" s="24" t="str">
        <f>Sheet8!L15</f>
        <v>May-w4</v>
      </c>
      <c r="CP5" s="24" t="str">
        <f>Sheet8!M15</f>
        <v>May-w5</v>
      </c>
      <c r="CQ5" s="24" t="str">
        <f>Sheet8!N15</f>
        <v>june-w1</v>
      </c>
      <c r="CR5" s="24" t="str">
        <f>Sheet8!O15</f>
        <v>june-w2</v>
      </c>
      <c r="CS5" s="24" t="str">
        <f>Sheet8!P15</f>
        <v>june-w3</v>
      </c>
      <c r="CT5" s="24" t="str">
        <f>Sheet8!Q15</f>
        <v>june-w4</v>
      </c>
      <c r="CU5" s="24" t="str">
        <f>Sheet8!R15</f>
        <v>Jul-w1</v>
      </c>
      <c r="CV5" s="24" t="str">
        <f>Sheet8!S15</f>
        <v>Jul-w2</v>
      </c>
      <c r="CW5" s="24" t="str">
        <f>Sheet8!T15</f>
        <v>Jul-w3</v>
      </c>
      <c r="CX5" s="24" t="str">
        <f>Sheet8!U15</f>
        <v>Jul-w4</v>
      </c>
      <c r="CY5" s="24" t="str">
        <f>Sheet8!V15</f>
        <v>Aug-w1</v>
      </c>
      <c r="CZ5" s="24" t="str">
        <f>Sheet8!W15</f>
        <v>Aug-w2</v>
      </c>
      <c r="DA5" s="24" t="str">
        <f>Sheet8!X15</f>
        <v>Aug-w3</v>
      </c>
      <c r="DB5" s="24" t="str">
        <f>Sheet8!Y15</f>
        <v>Aug-w4</v>
      </c>
      <c r="DC5" s="24" t="str">
        <f>Sheet8!Z15</f>
        <v>Sep-w1</v>
      </c>
      <c r="DD5" s="24" t="str">
        <f>Sheet8!AA15</f>
        <v>Sep-w2</v>
      </c>
      <c r="DE5" s="24" t="str">
        <f>Sheet8!AB15</f>
        <v>Sep-w3</v>
      </c>
      <c r="DF5" s="24" t="str">
        <f>Sheet8!AC15</f>
        <v>Sep-w4</v>
      </c>
      <c r="DG5" s="24" t="str">
        <f>Sheet8!AD15</f>
        <v>Oct-w1</v>
      </c>
      <c r="DH5" s="24" t="str">
        <f>Sheet8!AE15</f>
        <v>Oct-w2</v>
      </c>
      <c r="DI5" s="24" t="str">
        <f>Sheet8!AF15</f>
        <v>Oct-w3</v>
      </c>
      <c r="DJ5" s="24" t="str">
        <f>Sheet8!AG15</f>
        <v>Oct-w4</v>
      </c>
      <c r="DK5" s="24" t="str">
        <f>Sheet8!AH15</f>
        <v>Nov-w1</v>
      </c>
      <c r="DL5" s="24" t="str">
        <f>Sheet8!AI15</f>
        <v>Nov-w2</v>
      </c>
      <c r="DM5" s="24" t="str">
        <f>Sheet8!AJ15</f>
        <v>Nov-w3</v>
      </c>
      <c r="DN5" s="24" t="str">
        <f>Sheet8!AK15</f>
        <v>Nov-w4</v>
      </c>
      <c r="DO5" s="24" t="str">
        <f>Sheet8!AL15</f>
        <v>Dec-w1</v>
      </c>
      <c r="DP5" s="24" t="str">
        <f>Sheet8!AM15</f>
        <v>Dec-w2</v>
      </c>
      <c r="DQ5" s="24" t="str">
        <f>Sheet8!AN15</f>
        <v>Dec-w3</v>
      </c>
      <c r="DR5" s="24" t="str">
        <f>Sheet8!AO15</f>
        <v>Dec-w4</v>
      </c>
      <c r="DS5" s="24">
        <f>Sheet8!AP15</f>
        <v>0</v>
      </c>
      <c r="DT5" s="24">
        <f>Sheet8!AQ15</f>
        <v>0</v>
      </c>
      <c r="DU5" s="24">
        <f>Sheet8!AR15</f>
        <v>0</v>
      </c>
      <c r="DV5" s="24">
        <f>Sheet8!AS15</f>
        <v>0</v>
      </c>
      <c r="DW5" s="24">
        <f>Sheet8!AT15</f>
        <v>0</v>
      </c>
      <c r="DX5" s="24">
        <f>Sheet8!AU15</f>
        <v>0</v>
      </c>
      <c r="DY5" s="24">
        <f>Sheet8!AV15</f>
        <v>0</v>
      </c>
      <c r="DZ5" s="24">
        <f>Sheet8!AW15</f>
        <v>0</v>
      </c>
      <c r="EA5" s="24">
        <f>Sheet8!AX15</f>
        <v>0</v>
      </c>
      <c r="EB5" s="24">
        <f>Sheet8!AY15</f>
        <v>0</v>
      </c>
      <c r="EC5" s="24">
        <f>Sheet8!AZ15</f>
        <v>0</v>
      </c>
      <c r="ED5" s="24">
        <f>Sheet8!BA15</f>
        <v>0</v>
      </c>
      <c r="EE5" s="24">
        <f>Sheet8!BB15</f>
        <v>0</v>
      </c>
      <c r="EF5" s="24">
        <f>Sheet8!BC15</f>
        <v>0</v>
      </c>
    </row>
    <row r="6" spans="1:137 16384:16384">
      <c r="A6" s="35"/>
      <c r="D6" s="8" t="s">
        <v>402</v>
      </c>
      <c r="E6" s="178" t="s">
        <v>29</v>
      </c>
      <c r="F6" s="8" t="s">
        <v>582</v>
      </c>
      <c r="G6" s="178" t="s">
        <v>116</v>
      </c>
      <c r="H6" s="130">
        <f>VLOOKUP($G$6&amp;$F$1,'Input RM sheet'!$A:$BD,H1,0)</f>
        <v>0.82924335626169965</v>
      </c>
      <c r="I6" s="130">
        <f>VLOOKUP($G$6&amp;$F$1,'Input RM sheet'!$A:$BD,I1,0)</f>
        <v>0.82269660455391691</v>
      </c>
      <c r="J6" s="130">
        <f>VLOOKUP($G$6&amp;$F$1,'Input RM sheet'!$A:$BD,J1,0)</f>
        <v>0.83299794770233271</v>
      </c>
      <c r="K6" s="130">
        <f>VLOOKUP($G$6&amp;$F$1,'Input RM sheet'!$A:$BD,K1,0)</f>
        <v>0.70590577831421075</v>
      </c>
      <c r="L6" s="130">
        <f>VLOOKUP($G$6&amp;$F$1,'Input RM sheet'!$A:$BD,L1,0)</f>
        <v>0.59516163350045803</v>
      </c>
      <c r="M6" s="130">
        <f>VLOOKUP($G$6&amp;$F$1,'Input RM sheet'!$A:$BD,M1,0)</f>
        <v>0.55527576037870674</v>
      </c>
      <c r="N6" s="130">
        <f>VLOOKUP($G$6&amp;$F$1,'Input RM sheet'!$A:$BD,N1,0)</f>
        <v>0.55400701549966669</v>
      </c>
      <c r="O6" s="130">
        <f>VLOOKUP($G$6&amp;$F$1,'Input RM sheet'!$A:$BD,O1,0)</f>
        <v>0.55564945600626048</v>
      </c>
      <c r="P6" s="130">
        <f>VLOOKUP($G$6&amp;$F$1,'Input RM sheet'!$A:$BD,P1,0)</f>
        <v>0.56470597127503586</v>
      </c>
      <c r="Q6" s="130">
        <f>VLOOKUP($G$6&amp;$F$1,'Input RM sheet'!$A:$BD,Q1,0)</f>
        <v>0.70080318656531215</v>
      </c>
      <c r="R6" s="130">
        <f>VLOOKUP($G$6&amp;$F$1,'Input RM sheet'!$A:$BD,R1,0)</f>
        <v>0.94159943084333564</v>
      </c>
      <c r="S6" s="130">
        <f>VLOOKUP($G$6&amp;$F$1,'Input RM sheet'!$A:$BD,S1,0)</f>
        <v>1.0505403874703378</v>
      </c>
      <c r="T6" s="130">
        <f>VLOOKUP($G$6&amp;$F$1,'Input RM sheet'!$A:$BD,T1,0)</f>
        <v>1.0876597293709844</v>
      </c>
      <c r="U6" s="130">
        <f>VLOOKUP($G$6&amp;$F$1,'Input RM sheet'!$A:$BD,U1,0)</f>
        <v>1.3302599761673821</v>
      </c>
      <c r="V6" s="130">
        <f>VLOOKUP($G$6&amp;$F$1,'Input RM sheet'!$A:$BD,V1,0)</f>
        <v>1.7439540988796183</v>
      </c>
      <c r="W6" s="130">
        <f>VLOOKUP($G$6&amp;$F$1,'Input RM sheet'!$A:$BD,W1,0)</f>
        <v>1.5053885445837389</v>
      </c>
      <c r="X6" s="130">
        <f>VLOOKUP($G$6&amp;$F$1,'Input RM sheet'!$A:$BD,X1,0)</f>
        <v>1.5205401425376142</v>
      </c>
      <c r="Y6" s="130">
        <f>VLOOKUP($G$6&amp;$F$1,'Input RM sheet'!$A:$BD,Y1,0)</f>
        <v>1.3156747849282875</v>
      </c>
      <c r="Z6" s="130">
        <f>VLOOKUP($G$6&amp;$F$1,'Input RM sheet'!$A:$BD,Z1,0)</f>
        <v>1.3822040813643226</v>
      </c>
      <c r="AA6" s="130">
        <f>VLOOKUP($G$6&amp;$F$1,'Input RM sheet'!$A:$BD,AA1,0)</f>
        <v>1.4649498924128199</v>
      </c>
      <c r="AB6" s="130">
        <f>VLOOKUP($G$6&amp;$F$1,'Input RM sheet'!$A:$BD,AB1,0)</f>
        <v>1.5006881585930321</v>
      </c>
      <c r="AC6" s="130">
        <f>VLOOKUP($G$6&amp;$F$1,'Input RM sheet'!$A:$BD,AC1,0)</f>
        <v>1.8286801479964094</v>
      </c>
      <c r="AD6" s="130">
        <f>VLOOKUP($G$6&amp;$F$1,'Input RM sheet'!$A:$BD,AD1,0)</f>
        <v>1.8351815624183518</v>
      </c>
      <c r="AE6" s="130">
        <f>VLOOKUP($G$6&amp;$F$1,'Input RM sheet'!$A:$BD,AE1,0)</f>
        <v>1.3306150192561172</v>
      </c>
      <c r="AF6" s="130">
        <f>VLOOKUP($G$6&amp;$F$1,'Input RM sheet'!$A:$BD,AF1,0)</f>
        <v>1.5446728056617136</v>
      </c>
      <c r="AG6" s="130">
        <f>VLOOKUP($G$6&amp;$F$1,'Input RM sheet'!$A:$BD,AG1,0)</f>
        <v>1.837994734279738</v>
      </c>
      <c r="AH6" s="130">
        <f>VLOOKUP($G$6&amp;$F$1,'Input RM sheet'!$A:$BD,AH1,0)</f>
        <v>1.7717260824655929</v>
      </c>
      <c r="AI6" s="130">
        <f>VLOOKUP($G$6&amp;$F$1,'Input RM sheet'!$A:$BD,AI1,0)</f>
        <v>1.5899341221181358</v>
      </c>
      <c r="AJ6" s="130">
        <f>VLOOKUP($G$6&amp;$F$1,'Input RM sheet'!$A:$BD,AJ1,0)</f>
        <v>1.4368593620678682</v>
      </c>
      <c r="AK6" s="130">
        <f>VLOOKUP($G$6&amp;$F$1,'Input RM sheet'!$A:$BD,AK1,0)</f>
        <v>1.5599305118260276</v>
      </c>
      <c r="AL6" s="130">
        <f>VLOOKUP($G$6&amp;$F$1,'Input RM sheet'!$A:$BD,AL1,0)</f>
        <v>1.5284191752572451</v>
      </c>
      <c r="AM6" s="130">
        <f>VLOOKUP($G$6&amp;$F$1,'Input RM sheet'!$A:$BD,AM1,0)</f>
        <v>1.3265859695520972</v>
      </c>
      <c r="AN6" s="130">
        <f>VLOOKUP($G$6&amp;$F$1,'Input RM sheet'!$A:$BD,AN1,0)</f>
        <v>1.5169959151582031</v>
      </c>
      <c r="AO6" s="130">
        <f>VLOOKUP($G$6&amp;$F$1,'Input RM sheet'!$A:$BD,AO1,0)</f>
        <v>1.5898054648729594</v>
      </c>
      <c r="AP6" s="130">
        <f>VLOOKUP($G$6&amp;$F$1,'Input RM sheet'!$A:$BD,AP1,0)</f>
        <v>1.4479368865823559</v>
      </c>
      <c r="AQ6" s="130">
        <f>VLOOKUP($G$6&amp;$F$1,'Input RM sheet'!$A:$BD,AQ1,0)</f>
        <v>1.3080850046113366</v>
      </c>
      <c r="AR6" s="130">
        <f>VLOOKUP($G$6&amp;$F$1,'Input RM sheet'!$A:$BD,AR1,0)</f>
        <v>1.2908743580838045</v>
      </c>
      <c r="AS6" s="130">
        <f>VLOOKUP($G$6&amp;$F$1,'Input RM sheet'!$A:$BD,AS1,0)</f>
        <v>1.5571667835392669</v>
      </c>
      <c r="AT6" s="130">
        <f>VLOOKUP($G$6&amp;$F$1,'Input RM sheet'!$A:$BD,AT1,0)</f>
        <v>1.6608480881002745</v>
      </c>
      <c r="AU6" s="130">
        <f>VLOOKUP($G$6&amp;$F$1,'Input RM sheet'!$A:$BD,AU1,0)</f>
        <v>1.3839474934816396</v>
      </c>
      <c r="AV6" s="130">
        <f>VLOOKUP($G$6&amp;$F$1,'Input RM sheet'!$A:$BD,AV1,0)</f>
        <v>1.4193280378655322</v>
      </c>
      <c r="AW6" s="130">
        <f>VLOOKUP($G$6&amp;$F$1,'Input RM sheet'!$A:$BD,AW1,0)</f>
        <v>1.3525941349991326</v>
      </c>
      <c r="AX6" s="130">
        <f>VLOOKUP($G$6&amp;$F$1,'Input RM sheet'!$A:$BD,AX1,0)</f>
        <v>1.1565456209948124</v>
      </c>
      <c r="AY6" s="130">
        <f>VLOOKUP($G$6&amp;$F$1,'Input RM sheet'!$A:$BD,AY1,0)</f>
        <v>1.1565456209948124</v>
      </c>
      <c r="AZ6" s="130">
        <f>VLOOKUP($G$6&amp;$F$1,'Input RM sheet'!$A:$BD,AZ1,0)</f>
        <v>1.2061209439528022</v>
      </c>
      <c r="BA6" s="130">
        <f>VLOOKUP($G$6&amp;$F$1,'Input RM sheet'!$A:$BD,BA1,0)</f>
        <v>1.2207438579119996</v>
      </c>
      <c r="BB6" s="130">
        <f>VLOOKUP($G$6&amp;$F$1,'Input RM sheet'!$A:$BD,BB1,0)</f>
        <v>1.3127455660412002</v>
      </c>
      <c r="BC6" s="130">
        <f>VLOOKUP($G$6&amp;$F$1,'Input RM sheet'!$A:$BD,BC1,0)</f>
        <v>1.356282942386581</v>
      </c>
      <c r="BD6" s="130">
        <f>VLOOKUP($G$6&amp;$F$1,'Input RM sheet'!$A:$BD,BD1,0)</f>
        <v>1.3707709676244584</v>
      </c>
      <c r="BE6" s="130">
        <f>VLOOKUP($G$6&amp;$F$1,'Input RM sheet'!$A:$BD,BE1,0)</f>
        <v>1.3555968292120377</v>
      </c>
      <c r="BF6" s="130">
        <f>VLOOKUP($G$6&amp;$F$1,'Input RM sheet'!$A:$BZ,BF1,0)</f>
        <v>1.4557582654383017</v>
      </c>
      <c r="BG6" s="130">
        <f>VLOOKUP($G$6&amp;$F$1,'Input RM sheet'!$A:$BZ,BG1,0)</f>
        <v>1.6114934993991044</v>
      </c>
      <c r="BH6" s="130">
        <f>VLOOKUP($G$6&amp;$F$1,'Input RM sheet'!$A:$BZ,BH1,0)</f>
        <v>1.6092859740574619</v>
      </c>
      <c r="BI6" s="130">
        <f>VLOOKUP($G$6&amp;$F$1,'Input RM sheet'!$A:$BZ,BI1,0)</f>
        <v>1.6638380409746638</v>
      </c>
      <c r="BJ6" s="130">
        <f>VLOOKUP($G$6&amp;$F$1,'Input RM sheet'!$A:$BZ,BJ1,0)</f>
        <v>1.6638380409746638</v>
      </c>
      <c r="BK6" s="130">
        <f>VLOOKUP($G$6&amp;$F$1,'Input RM sheet'!$A:$BZ,BK1,0)</f>
        <v>1.6869469026548676</v>
      </c>
      <c r="BL6" s="130">
        <f>VLOOKUP($G$6&amp;$F$1,'Input RM sheet'!$A:$BZ,BL1,0)</f>
        <v>1.3952277762308878</v>
      </c>
      <c r="BM6" s="130">
        <f>VLOOKUP($G$6&amp;$F$1,'Input RM sheet'!$A:$BZ,BM1,0)</f>
        <v>1.3933217273562553</v>
      </c>
      <c r="BN6" s="130">
        <f>VLOOKUP($G$6&amp;$F$1,'Input RM sheet'!$A:$BZ,BN1,0)</f>
        <v>1.4424657033998372</v>
      </c>
      <c r="BO6" s="130">
        <f>VLOOKUP($G$6&amp;$F$1,'Input RM sheet'!$A:$BZ,BO1,0)</f>
        <v>1.5541578292986178</v>
      </c>
      <c r="BP6" s="130">
        <f>VLOOKUP($G$6&amp;$F$1,'Input RM sheet'!$A:$BZ,BP1,0)</f>
        <v>1.5541578292986178</v>
      </c>
      <c r="BQ6" s="130">
        <f>VLOOKUP($G$6&amp;$F$1,'Input RM sheet'!$A:$BZ,BQ1,0)</f>
        <v>1.5891811043250657</v>
      </c>
      <c r="BR6" s="130">
        <f>VLOOKUP($G$6&amp;$F$1,'Input RM sheet'!$A:$BZ,BR1,0)</f>
        <v>1.3757715475570762</v>
      </c>
      <c r="BS6" s="130">
        <f>VLOOKUP($G$6&amp;$F$1,'Input RM sheet'!$A:$BZ,BS1,0)</f>
        <v>1.3230650174120351</v>
      </c>
      <c r="BT6" s="130">
        <f>VLOOKUP($G$6&amp;$F$1,'Input RM sheet'!$A:$BZ,BT1,0)</f>
        <v>1.2948821090414011</v>
      </c>
      <c r="BU6" s="130">
        <f>VLOOKUP($G$6&amp;$F$1,'Input RM sheet'!$A:$BZ,BU1,0)</f>
        <v>1.3651909082966163</v>
      </c>
      <c r="BV6" s="130">
        <f>VLOOKUP($G$6&amp;$F$1,'Input RM sheet'!$A:$BZ,BV1,0)</f>
        <v>1.3726162283435126</v>
      </c>
      <c r="BW6" s="130">
        <f>VLOOKUP($G$6&amp;$F$1,'Input RM sheet'!$A:$BZ,BW1,0)</f>
        <v>1.2884831110557149</v>
      </c>
      <c r="BX6" s="130">
        <f>VLOOKUP($G$6&amp;$F$1,'Input RM sheet'!$A:$BZ,BX1,0)</f>
        <v>1.2879710649298994</v>
      </c>
      <c r="BY6" s="130">
        <f>VLOOKUP($G$6&amp;$F$1,'Input RM sheet'!$A:$BZ,BY1,0)</f>
        <v>1.2975617041932714</v>
      </c>
      <c r="BZ6" s="130">
        <f>VLOOKUP($G$6&amp;$F$1,'Input RM sheet'!$A:$BZ,BZ1,0)</f>
        <v>1.3675740263619731</v>
      </c>
      <c r="CA6" s="130">
        <f>VLOOKUP($G$6&amp;$F$1,'Input RM sheet'!$A:$BZ,CA1,0)</f>
        <v>1.3523576255123266</v>
      </c>
      <c r="CB6" s="130">
        <f>VLOOKUP($G$6&amp;$F$1,'Input RM sheet'!$A:$BZ,CB1,0)</f>
        <v>1.3511598096975377</v>
      </c>
      <c r="CC6" s="130">
        <f>VLOOKUP($G$6&amp;$F$1,'Input RM sheet'!$A:$DD,CC1,0)</f>
        <v>1.3504793510324484</v>
      </c>
      <c r="CD6" s="130">
        <f>VLOOKUP($G$6&amp;$F$1,'Input RM sheet'!$A:$DD,CD1,0)</f>
        <v>1.2951081612586037</v>
      </c>
      <c r="CE6" s="130">
        <f>VLOOKUP($G$6&amp;$F$1,'Input RM sheet'!$A:$DD,CE1,0)</f>
        <v>1.2925530603692659</v>
      </c>
      <c r="CF6" s="130">
        <f>VLOOKUP($G$6&amp;$F$1,'Input RM sheet'!$A:$DD,CF1,0)</f>
        <v>1.4018336479297921</v>
      </c>
      <c r="CG6" s="130">
        <f>VLOOKUP($G$6&amp;$F$1,'Input RM sheet'!$A:$DD,CG1,0)</f>
        <v>1.4265780486909265</v>
      </c>
      <c r="CH6" s="130">
        <f>VLOOKUP($G$6&amp;$F$1,'Input RM sheet'!$A:$DD,CH1,0)</f>
        <v>1.5352085092840793</v>
      </c>
      <c r="CI6" s="130">
        <f>VLOOKUP($G$6&amp;$F$1,'Input RM sheet'!$A:$DD,CI1,0)</f>
        <v>1.5330880555419741</v>
      </c>
      <c r="CJ6" s="130">
        <f>VLOOKUP($G$6&amp;$F$1,'Input RM sheet'!$A:$DD,CJ1,0)</f>
        <v>1.5330880555419741</v>
      </c>
      <c r="CK6" s="130">
        <f>VLOOKUP($G$6&amp;$F$1,'Input RM sheet'!$A:$DD,CK1,0)</f>
        <v>1.5025301911699995</v>
      </c>
      <c r="CL6" s="130">
        <f>VLOOKUP($G$6&amp;$F$1,'Input RM sheet'!$A:$DD,CL1,0)</f>
        <v>1.4290010187424056</v>
      </c>
      <c r="CM6" s="130">
        <f>VLOOKUP($G$6&amp;$F$1,'Input RM sheet'!$A:$DD,CM1,0)</f>
        <v>1.3790866473273848</v>
      </c>
      <c r="CN6" s="130">
        <f>VLOOKUP($G$6&amp;$F$1,'Input RM sheet'!$A:$DD,CN1,0)</f>
        <v>1.3790866473273848</v>
      </c>
      <c r="CO6" s="130">
        <f>VLOOKUP($G$6&amp;$F$1,'Input RM sheet'!$A:$DD,CO1,0)</f>
        <v>1.3790866473273848</v>
      </c>
      <c r="CP6" s="130">
        <f>VLOOKUP($G$6&amp;$F$1,'Input RM sheet'!$A:$DD,CP1,0)</f>
        <v>1.3790866473273848</v>
      </c>
      <c r="CQ6" s="130">
        <f>VLOOKUP($G$6&amp;$F$1,'Input RM sheet'!$A:$ZZ,CQ1,0)</f>
        <v>1.4810785703808733</v>
      </c>
      <c r="CR6" s="130">
        <f>VLOOKUP($G$6&amp;$F$1,'Input RM sheet'!$A:$ZZ,CR1,0)</f>
        <v>1.4871901432552681</v>
      </c>
      <c r="CS6" s="130">
        <f>VLOOKUP($G$6&amp;$F$1,'Input RM sheet'!$A:$ZZ,CS1,0)</f>
        <v>1.4830932007118653</v>
      </c>
      <c r="CT6" s="130">
        <f>VLOOKUP($G$6&amp;$F$1,'Input RM sheet'!$A:$ZZ,CT1,0)</f>
        <v>1.3836715316916413</v>
      </c>
      <c r="CU6" s="130">
        <f>VLOOKUP($G$6&amp;$F$1,'Input RM sheet'!$A:$ZZ,CU1,0)</f>
        <v>1.3441102360287764</v>
      </c>
      <c r="CV6" s="130">
        <f>VLOOKUP($G$6&amp;$F$1,'Input RM sheet'!$A:$ZZ,CV1,0)</f>
        <v>1.3441102360287764</v>
      </c>
      <c r="CW6" s="130">
        <f>VLOOKUP($G$6&amp;$F$1,'Input RM sheet'!$A:$ZZ,CW1,0)</f>
        <v>1.2794174851696978</v>
      </c>
      <c r="CX6" s="130">
        <f>VLOOKUP($G$6&amp;$F$1,'Input RM sheet'!$A:$ZZ,CX1,0)</f>
        <v>1.2025850989608196</v>
      </c>
      <c r="CY6" s="130">
        <f>VLOOKUP($G$6&amp;$F$1,'Input RM sheet'!$A:$ZZ,CY1,0)</f>
        <v>1.3021315461423584</v>
      </c>
      <c r="CZ6" s="130">
        <f>VLOOKUP($G$6&amp;$F$1,'Input RM sheet'!$A:$ZZ,CZ1,0)</f>
        <v>1.300317992456923</v>
      </c>
      <c r="DA6" s="130">
        <f>VLOOKUP($G$6&amp;$F$1,'Input RM sheet'!$A:$ZZ,DA1,0)</f>
        <v>1.2391855931678941</v>
      </c>
      <c r="DB6" s="130">
        <f>VLOOKUP($G$6&amp;$F$1,'Input RM sheet'!$A:$ZZ,DB1,0)</f>
        <v>1.2602217990366305</v>
      </c>
      <c r="DC6" s="130">
        <f>VLOOKUP($G$6&amp;$F$1,'Input RM sheet'!$A:$ZZ,DC1,0)</f>
        <v>1.3324263264974976</v>
      </c>
      <c r="DD6" s="130">
        <f>VLOOKUP($G$6&amp;$F$1,'Input RM sheet'!$A:$ZZ,DD1,0)</f>
        <v>1.2991175335747982</v>
      </c>
      <c r="DE6" s="130">
        <f>VLOOKUP($G$6&amp;$F$1,'Input RM sheet'!$A:$ZZ,DE1,0)</f>
        <v>1.2424477926245334</v>
      </c>
      <c r="DF6" s="130">
        <f>VLOOKUP($G$6&amp;$F$1,'Input RM sheet'!$A:$ZZ,DF1,0)</f>
        <v>1.2495272672263824</v>
      </c>
      <c r="DG6" s="130">
        <f>VLOOKUP($G$6&amp;$F$1,'Input RM sheet'!$A:$ZZ,DG1,0)</f>
        <v>1.2684365781710916</v>
      </c>
      <c r="DH6" s="130">
        <f>VLOOKUP($G$6&amp;$F$1,'Input RM sheet'!$A:$ZZ,DH1,0)</f>
        <v>1.3317899505868591</v>
      </c>
      <c r="DI6" s="130">
        <f>VLOOKUP($G$6&amp;$F$1,'Input RM sheet'!$A:$ZZ,DI1,0)</f>
        <v>1.214735195919026</v>
      </c>
      <c r="DJ6" s="130">
        <f>VLOOKUP($G$6&amp;$F$1,'Input RM sheet'!$A:$ZZ,DJ1,0)</f>
        <v>1.127884782231477</v>
      </c>
      <c r="DK6" s="130">
        <f>VLOOKUP($G$6&amp;$F$1,'Input RM sheet'!$A:$ZZ,DK1,0)</f>
        <v>1.1326437897514408</v>
      </c>
      <c r="DL6" s="130">
        <f>VLOOKUP($G$6&amp;$F$1,'Input RM sheet'!$A:$ZZ,DL1,0)</f>
        <v>1.1628049302929047</v>
      </c>
      <c r="DM6" s="130">
        <f>VLOOKUP($G$6&amp;$F$1,'Input RM sheet'!$A:$ZZ,DM1,0)</f>
        <v>1.110778369921283</v>
      </c>
      <c r="DN6" s="130">
        <f>VLOOKUP($G$6&amp;$F$1,'Input RM sheet'!$A:$ZZ,DN1,0)</f>
        <v>1.138131109973427</v>
      </c>
      <c r="DO6" s="130">
        <f>VLOOKUP($G$6&amp;$F$1,'Input RM sheet'!$A:$ZZ,DO1,0)</f>
        <v>1.1365655926282092</v>
      </c>
      <c r="DP6" s="130">
        <f>VLOOKUP($G$6&amp;$F$1,'Input RM sheet'!$A:$ZZ,DP1,0)</f>
        <v>1.1594502805808815</v>
      </c>
      <c r="DQ6" s="130">
        <f>VLOOKUP($G$6&amp;$F$1,'Input RM sheet'!$A:$ZZ,DQ1,0)</f>
        <v>1.0986076210592763</v>
      </c>
      <c r="DR6" s="130">
        <f>VLOOKUP($G$6&amp;$F$1,'Input RM sheet'!$A:$ZZ,DR1,0)</f>
        <v>1.1365013941083768</v>
      </c>
      <c r="DS6" s="130" t="e">
        <f>VLOOKUP($G$6&amp;$F$1,'Input RM sheet'!$A:$ZZ,DS1,0)</f>
        <v>#DIV/0!</v>
      </c>
      <c r="DT6" s="130" t="e">
        <f>VLOOKUP($G$6&amp;$F$1,'Input RM sheet'!$A:$ZZ,DT1,0)</f>
        <v>#DIV/0!</v>
      </c>
      <c r="DU6" s="130" t="e">
        <f>VLOOKUP($G$6&amp;$F$1,'Input RM sheet'!$A:$ZZ,DU1,0)</f>
        <v>#DIV/0!</v>
      </c>
      <c r="DV6" s="130" t="e">
        <f>VLOOKUP($G$6&amp;$F$1,'Input RM sheet'!$A:$ZZ,DV1,0)</f>
        <v>#DIV/0!</v>
      </c>
      <c r="DW6" s="130">
        <f>VLOOKUP($G$6&amp;$F$1,'Input RM sheet'!$A:$ZZ,DW1,0)</f>
        <v>0</v>
      </c>
      <c r="DX6" s="130">
        <f>VLOOKUP($G$6&amp;$F$1,'Input RM sheet'!$A:$ZZ,DX1,0)</f>
        <v>0</v>
      </c>
      <c r="DY6" s="130">
        <f>VLOOKUP($G$6&amp;$F$1,'Input RM sheet'!$A:$ZZ,DY1,0)</f>
        <v>0</v>
      </c>
      <c r="DZ6" s="130">
        <f>VLOOKUP($G$6&amp;$F$1,'Input RM sheet'!$A:$ZZ,DZ1,0)</f>
        <v>0</v>
      </c>
      <c r="EA6" s="130">
        <f>VLOOKUP($G$6&amp;$F$1,'Input RM sheet'!$A:$ZZ,EA1,0)</f>
        <v>0</v>
      </c>
      <c r="EB6" s="130">
        <f>VLOOKUP($G$6&amp;$F$1,'Input RM sheet'!$A:$ZZ,EB1,0)</f>
        <v>0</v>
      </c>
      <c r="EC6" s="130">
        <f>VLOOKUP($G$6&amp;$F$1,'Input RM sheet'!$A:$ZZ,EC1,0)</f>
        <v>0</v>
      </c>
      <c r="ED6" s="130">
        <f>VLOOKUP($G$6&amp;$F$1,'Input RM sheet'!$A:$ZZ,ED1,0)</f>
        <v>0</v>
      </c>
      <c r="EE6" s="130">
        <f>VLOOKUP($G$6&amp;$F$1,'Input RM sheet'!$A:$ZZ,EE1,0)</f>
        <v>0</v>
      </c>
      <c r="EF6" s="130">
        <f>VLOOKUP($G$6&amp;$F$1,'Input RM sheet'!$A:$ZZ,EF1,0)</f>
        <v>0</v>
      </c>
    </row>
    <row r="7" spans="1:137 16384:16384" hidden="1">
      <c r="G7" s="52" t="s">
        <v>59</v>
      </c>
      <c r="H7" s="18">
        <f>VLOOKUP($G$7&amp;$F$1,'Input RM sheet'!$A:$BD,H1,0)</f>
        <v>0</v>
      </c>
      <c r="I7" s="18">
        <f>VLOOKUP($G$7&amp;$F$1,'Input RM sheet'!$A:$AU,I1,0)</f>
        <v>0</v>
      </c>
      <c r="J7" s="18">
        <f>VLOOKUP($G$7&amp;$F$1,'Input RM sheet'!$A:$AU,J1,0)</f>
        <v>0</v>
      </c>
      <c r="K7" s="18">
        <f>VLOOKUP($G$7&amp;$F$1,'Input RM sheet'!$A:$AU,K1,0)</f>
        <v>0</v>
      </c>
      <c r="L7" s="18">
        <f>VLOOKUP($G$7&amp;$F$1,'Input RM sheet'!$A:$AU,L1,0)</f>
        <v>0</v>
      </c>
      <c r="M7" s="18">
        <f>VLOOKUP($G$7&amp;$F$1,'Input RM sheet'!$A:$AU,M1,0)</f>
        <v>0</v>
      </c>
      <c r="N7" s="18">
        <f>VLOOKUP($G$7&amp;$F$1,'Input RM sheet'!$A:$AU,N1,0)</f>
        <v>0</v>
      </c>
      <c r="O7" s="18">
        <f>VLOOKUP($G$7&amp;$F$1,'Input RM sheet'!$A:$AU,O1,0)</f>
        <v>0</v>
      </c>
      <c r="P7" s="18">
        <f>VLOOKUP($G$7&amp;$F$1,'Input RM sheet'!$A:$AU,P1,0)</f>
        <v>0</v>
      </c>
      <c r="Q7" s="18">
        <f>VLOOKUP($G$7&amp;$F$1,'Input RM sheet'!$A:$AU,Q1,0)</f>
        <v>0</v>
      </c>
      <c r="R7" s="18">
        <f>VLOOKUP($G$7&amp;$F$1,'Input RM sheet'!$A:$AU,R1,0)</f>
        <v>0</v>
      </c>
      <c r="S7" s="18">
        <f>VLOOKUP($G$7&amp;$F$1,'Input RM sheet'!$A:$AU,S1,0)</f>
        <v>0</v>
      </c>
      <c r="T7" s="18">
        <f>VLOOKUP($G$7&amp;$F$1,'Input RM sheet'!$A:$AU,T1,0)</f>
        <v>0</v>
      </c>
      <c r="U7" s="18">
        <f>VLOOKUP($G$7&amp;$F$1,'Input RM sheet'!$A:$AU,U1,0)</f>
        <v>0</v>
      </c>
      <c r="V7" s="18">
        <f>VLOOKUP($G$7&amp;$F$1,'Input RM sheet'!$A:$AU,V1,0)</f>
        <v>0</v>
      </c>
      <c r="W7" s="18">
        <f>VLOOKUP($G$7&amp;$F$1,'Input RM sheet'!$A:$AU,W1,0)</f>
        <v>0</v>
      </c>
      <c r="X7" s="18">
        <f>VLOOKUP($G$7&amp;$F$1,'Input RM sheet'!$A:$AU,X1,0)</f>
        <v>0</v>
      </c>
      <c r="Y7" s="18">
        <f>VLOOKUP($G$7&amp;$F$1,'Input RM sheet'!$A:$AU,Y1,0)</f>
        <v>0</v>
      </c>
      <c r="Z7" s="18">
        <f>VLOOKUP($G$7&amp;$F$1,'Input RM sheet'!$A:$AU,Z1,0)</f>
        <v>0</v>
      </c>
      <c r="AA7" s="18">
        <f>VLOOKUP($G$7&amp;$F$1,'Input RM sheet'!$A:$AU,AA1,0)</f>
        <v>0</v>
      </c>
      <c r="AB7" s="18">
        <f>VLOOKUP($G$7&amp;$F$1,'Input RM sheet'!$A:$AU,AB1,0)</f>
        <v>0</v>
      </c>
      <c r="AC7" s="18">
        <f>VLOOKUP($G$7&amp;$F$1,'Input RM sheet'!$A:$AU,AC1,0)</f>
        <v>0</v>
      </c>
      <c r="AD7" s="18">
        <f>VLOOKUP($G$7&amp;$F$1,'Input RM sheet'!$A:$AU,AD1,0)</f>
        <v>0</v>
      </c>
      <c r="AE7" s="18">
        <f>VLOOKUP($G$7&amp;$F$1,'Input RM sheet'!$A:$AU,AE1,0)</f>
        <v>0</v>
      </c>
      <c r="AF7" s="18">
        <f>VLOOKUP($G$7&amp;$F$1,'Input RM sheet'!$A:$AU,AF1,0)</f>
        <v>0</v>
      </c>
      <c r="AG7" s="18">
        <f>VLOOKUP($G$7&amp;$F$1,'Input RM sheet'!$A:$AU,AG1,0)</f>
        <v>0</v>
      </c>
      <c r="AH7" s="18">
        <f>VLOOKUP($G$7&amp;$F$1,'Input RM sheet'!$A:$AU,AH1,0)</f>
        <v>0</v>
      </c>
      <c r="AI7" s="18">
        <f>VLOOKUP($G$7&amp;$F$1,'Input RM sheet'!$A:$AU,AI1,0)</f>
        <v>0</v>
      </c>
      <c r="AJ7" s="18">
        <f>VLOOKUP($G$7&amp;$F$1,'Input RM sheet'!$A:$AU,AJ1,0)</f>
        <v>0</v>
      </c>
      <c r="AK7" s="18">
        <f>VLOOKUP($G$7&amp;$F$1,'Input RM sheet'!$A:$AU,AK1,0)</f>
        <v>0</v>
      </c>
      <c r="AL7" s="18">
        <f>VLOOKUP($G$7&amp;$F$1,'Input RM sheet'!$A:$AU,AL1,0)</f>
        <v>0</v>
      </c>
      <c r="AM7" s="18">
        <f>VLOOKUP($G$7&amp;$F$1,'Input RM sheet'!$A:$AU,AM1,0)</f>
        <v>0</v>
      </c>
      <c r="AN7" s="18">
        <f>VLOOKUP($G$7&amp;$F$1,'Input RM sheet'!$A:$AU,AN1,0)</f>
        <v>0</v>
      </c>
      <c r="AO7" s="18">
        <f>VLOOKUP($G$7&amp;$F$1,'Input RM sheet'!$A:$AU,AO1,0)</f>
        <v>0</v>
      </c>
      <c r="AP7" s="18">
        <f>VLOOKUP($G$7&amp;$F$1,'Input RM sheet'!$A:$AU,AP1,0)</f>
        <v>0</v>
      </c>
      <c r="AQ7" s="18">
        <f>VLOOKUP($G$7&amp;$F$1,'Input RM sheet'!$A:$AU,AQ1,0)</f>
        <v>0</v>
      </c>
      <c r="AR7" s="18">
        <f>VLOOKUP($G$7&amp;$F$1,'Input RM sheet'!$A:$AU,AR1,0)</f>
        <v>0</v>
      </c>
      <c r="AS7" s="18">
        <f>VLOOKUP($G$7&amp;$F$1,'Input RM sheet'!$A:$AU,AS1,0)</f>
        <v>0</v>
      </c>
      <c r="AT7" s="18">
        <f>VLOOKUP($G$7&amp;$F$1,'Input RM sheet'!$A:$AU,AT1,0)</f>
        <v>0</v>
      </c>
      <c r="AU7" s="18">
        <f>VLOOKUP($G$7&amp;$F$1,'Input RM sheet'!$A:$AU,AU1,0)</f>
        <v>0</v>
      </c>
      <c r="AV7" s="18">
        <f>VLOOKUP($G$7&amp;$F$1,'Input RM sheet'!$A:$AU,AV1,0)</f>
        <v>0</v>
      </c>
      <c r="AW7" s="18">
        <f>VLOOKUP($G$7&amp;$F$1,'Input RM sheet'!$A:$AU,AW1,0)</f>
        <v>0</v>
      </c>
      <c r="AX7" s="18" t="e">
        <f>VLOOKUP($G$7&amp;$F$1,'Input RM sheet'!$A:$AU,AX1,0)</f>
        <v>#REF!</v>
      </c>
      <c r="AY7" s="18" t="e">
        <f>VLOOKUP($G$7&amp;$F$1,'Input RM sheet'!$A:$AU,AY1,0)</f>
        <v>#REF!</v>
      </c>
      <c r="AZ7" s="18" t="e">
        <f>VLOOKUP($G$7&amp;$F$1,'Input RM sheet'!$A:$AU,AZ1,0)</f>
        <v>#REF!</v>
      </c>
      <c r="BA7" s="18" t="e">
        <f>VLOOKUP($G$7&amp;$F$1,'Input RM sheet'!$A:$AU,BA1,0)</f>
        <v>#REF!</v>
      </c>
      <c r="BB7" s="18" t="e">
        <f>VLOOKUP($G$7&amp;$F$1,'Input RM sheet'!$A:$AU,BB1,0)</f>
        <v>#REF!</v>
      </c>
      <c r="BC7" s="18" t="e">
        <f>VLOOKUP($G$7&amp;$F$1,'Input RM sheet'!$A:$AU,BC1,0)</f>
        <v>#REF!</v>
      </c>
      <c r="BD7" s="18" t="e">
        <f>VLOOKUP($G$7&amp;$F$1,'Input RM sheet'!$A:$AU,BD1,0)</f>
        <v>#REF!</v>
      </c>
      <c r="BE7" s="18" t="e">
        <f>VLOOKUP($G$7&amp;$F$1,'Input RM sheet'!$A:$AU,BE1,0)</f>
        <v>#REF!</v>
      </c>
      <c r="BF7" s="18" t="e">
        <f>VLOOKUP($G$7&amp;$F$1,'Input RM sheet'!$A:$AU,BF1,0)</f>
        <v>#REF!</v>
      </c>
      <c r="BG7" s="18" t="e">
        <f>VLOOKUP($G$7&amp;$F$1,'Input RM sheet'!$A:$AU,BG1,0)</f>
        <v>#REF!</v>
      </c>
      <c r="BH7" s="18" t="e">
        <f>VLOOKUP($G$7&amp;$F$1,'Input RM sheet'!$A:$AU,BH1,0)</f>
        <v>#REF!</v>
      </c>
      <c r="BI7" s="18" t="e">
        <f>VLOOKUP($G$7&amp;$F$1,'Input RM sheet'!$A:$AU,BI1,0)</f>
        <v>#REF!</v>
      </c>
      <c r="BJ7" s="18" t="e">
        <f>VLOOKUP($G$7&amp;$F$1,'Input RM sheet'!$A:$AU,BJ1,0)</f>
        <v>#REF!</v>
      </c>
      <c r="BK7" s="18" t="e">
        <f>VLOOKUP($G$7&amp;$F$1,'Input RM sheet'!$A:$AU,BK1,0)</f>
        <v>#REF!</v>
      </c>
      <c r="BL7" s="18" t="e">
        <f>VLOOKUP($G$7&amp;$F$1,'Input RM sheet'!$A:$AU,BL1,0)</f>
        <v>#REF!</v>
      </c>
      <c r="BM7" s="18" t="e">
        <f>VLOOKUP($G$7&amp;$F$1,'Input RM sheet'!$A:$AU,BM1,0)</f>
        <v>#REF!</v>
      </c>
      <c r="BN7" s="18" t="e">
        <f>VLOOKUP($G$7&amp;$F$1,'Input RM sheet'!$A:$AU,BN1,0)</f>
        <v>#REF!</v>
      </c>
      <c r="BO7" s="18" t="e">
        <f>VLOOKUP($G$7&amp;$F$1,'Input RM sheet'!$A:$AU,BO1,0)</f>
        <v>#REF!</v>
      </c>
      <c r="BP7" s="18" t="e">
        <f>VLOOKUP($G$7&amp;$F$1,'Input RM sheet'!$A:$AU,BP1,0)</f>
        <v>#REF!</v>
      </c>
      <c r="BQ7" s="18" t="e">
        <f>VLOOKUP($G$7&amp;$F$1,'Input RM sheet'!$A:$AU,BQ1,0)</f>
        <v>#REF!</v>
      </c>
      <c r="BR7" s="18" t="e">
        <f>VLOOKUP($G$7&amp;$F$1,'Input RM sheet'!$A:$AU,BR1,0)</f>
        <v>#REF!</v>
      </c>
      <c r="BS7" s="18" t="e">
        <f>VLOOKUP($G$7&amp;$F$1,'Input RM sheet'!$A:$AU,BS1,0)</f>
        <v>#REF!</v>
      </c>
      <c r="BT7" s="18" t="e">
        <f>VLOOKUP($G$7&amp;$F$1,'Input RM sheet'!$A:$AU,BT1,0)</f>
        <v>#REF!</v>
      </c>
      <c r="BU7" s="18" t="e">
        <f>VLOOKUP($G$7&amp;$F$1,'Input RM sheet'!$A:$AU,BU1,0)</f>
        <v>#REF!</v>
      </c>
      <c r="BV7" s="18" t="e">
        <f>VLOOKUP($G$7&amp;$F$1,'Input RM sheet'!$A:$AU,BV1,0)</f>
        <v>#REF!</v>
      </c>
      <c r="BW7" s="18" t="e">
        <f>VLOOKUP($G$7&amp;$F$1,'Input RM sheet'!$A:$AU,BW1,0)</f>
        <v>#REF!</v>
      </c>
      <c r="BX7" s="18" t="e">
        <f>VLOOKUP($G$7&amp;$F$1,'Input RM sheet'!$A:$AU,BX1,0)</f>
        <v>#REF!</v>
      </c>
      <c r="BY7" s="18" t="e">
        <f>VLOOKUP($G$7&amp;$F$1,'Input RM sheet'!$A:$AU,BY1,0)</f>
        <v>#REF!</v>
      </c>
      <c r="BZ7" s="18" t="e">
        <f>VLOOKUP($G$7&amp;$F$1,'Input RM sheet'!$A:$AU,BZ1,0)</f>
        <v>#REF!</v>
      </c>
      <c r="CA7" s="18" t="e">
        <f>VLOOKUP($G$7&amp;$F$1,'Input RM sheet'!$A:$AU,CA1,0)</f>
        <v>#REF!</v>
      </c>
      <c r="CB7" s="18" t="e">
        <f>VLOOKUP($G$7&amp;$F$1,'Input RM sheet'!$A:$AU,CB1,0)</f>
        <v>#REF!</v>
      </c>
      <c r="CC7" s="18" t="e">
        <f>VLOOKUP($G$7&amp;$F$1,'Input RM sheet'!$A:$AU,CC1,0)</f>
        <v>#REF!</v>
      </c>
      <c r="CD7" s="18" t="e">
        <f>VLOOKUP($G$7&amp;$F$1,'Input RM sheet'!$A:$AU,CD1,0)</f>
        <v>#REF!</v>
      </c>
      <c r="CE7" s="18" t="e">
        <f>VLOOKUP($G$7&amp;$F$1,'Input RM sheet'!$A:$AU,CE1,0)</f>
        <v>#REF!</v>
      </c>
      <c r="CF7" s="18" t="e">
        <f>VLOOKUP($G$7&amp;$F$1,'Input RM sheet'!$A:$AU,CF1,0)</f>
        <v>#REF!</v>
      </c>
      <c r="CG7" s="18" t="e">
        <f>VLOOKUP($G$7&amp;$F$1,'Input RM sheet'!$A:$AU,CG1,0)</f>
        <v>#REF!</v>
      </c>
      <c r="CH7" s="18" t="e">
        <f>VLOOKUP($G$7&amp;$F$1,'Input RM sheet'!$A:$AU,CH1,0)</f>
        <v>#REF!</v>
      </c>
      <c r="CI7" s="18" t="e">
        <f>VLOOKUP($G$7&amp;$F$1,'Input RM sheet'!$A:$AU,CI1,0)</f>
        <v>#REF!</v>
      </c>
      <c r="CJ7" s="18" t="e">
        <f>VLOOKUP($G$7&amp;$F$1,'Input RM sheet'!$A:$AU,CJ1,0)</f>
        <v>#REF!</v>
      </c>
      <c r="CK7" s="18" t="e">
        <f>VLOOKUP($G$7&amp;$F$1,'Input RM sheet'!$A:$AU,CK1,0)</f>
        <v>#REF!</v>
      </c>
      <c r="CL7" s="18" t="e">
        <f>VLOOKUP($G$7&amp;$F$1,'Input RM sheet'!$A:$AU,CL1,0)</f>
        <v>#REF!</v>
      </c>
      <c r="CM7" s="18" t="e">
        <f>VLOOKUP($G$7&amp;$F$1,'Input RM sheet'!$A:$AU,CM1,0)</f>
        <v>#REF!</v>
      </c>
      <c r="CN7" s="18" t="e">
        <f>VLOOKUP($G$7&amp;$F$1,'Input RM sheet'!$A:$AU,CN1,0)</f>
        <v>#REF!</v>
      </c>
      <c r="CO7" s="18" t="e">
        <f>VLOOKUP($G$7&amp;$F$1,'Input RM sheet'!$A:$AU,CO1,0)</f>
        <v>#REF!</v>
      </c>
      <c r="CP7" s="18" t="e">
        <f>VLOOKUP($G$7&amp;$F$1,'Input RM sheet'!$A:$AU,CP1,0)</f>
        <v>#REF!</v>
      </c>
      <c r="CQ7" s="18" t="e">
        <f>VLOOKUP($G$7&amp;$F$1,'Input RM sheet'!$A:$AU,CQ1,0)</f>
        <v>#REF!</v>
      </c>
      <c r="CR7" s="18" t="e">
        <f>VLOOKUP($G$7&amp;$F$1,'Input RM sheet'!$A:$AU,CR1,0)</f>
        <v>#REF!</v>
      </c>
      <c r="CS7" s="18" t="e">
        <f>VLOOKUP($G$7&amp;$F$1,'Input RM sheet'!$A:$AU,CS1,0)</f>
        <v>#REF!</v>
      </c>
      <c r="CT7" s="18" t="e">
        <f>VLOOKUP($G$7&amp;$F$1,'Input RM sheet'!$A:$AU,CT1,0)</f>
        <v>#REF!</v>
      </c>
      <c r="CU7" s="18" t="e">
        <f>VLOOKUP($G$7&amp;$F$1,'Input RM sheet'!$A:$AU,CU1,0)</f>
        <v>#REF!</v>
      </c>
      <c r="CV7" s="18" t="e">
        <f>VLOOKUP($G$7&amp;$F$1,'Input RM sheet'!$A:$AU,CV1,0)</f>
        <v>#REF!</v>
      </c>
      <c r="CW7" s="18" t="e">
        <f>VLOOKUP($G$7&amp;$F$1,'Input RM sheet'!$A:$AU,CW1,0)</f>
        <v>#REF!</v>
      </c>
      <c r="CX7" s="18" t="e">
        <f>VLOOKUP($G$7&amp;$F$1,'Input RM sheet'!$A:$AU,CX1,0)</f>
        <v>#REF!</v>
      </c>
      <c r="CY7" s="18" t="e">
        <f>VLOOKUP($G$7&amp;$F$1,'Input RM sheet'!$A:$AU,CY1,0)</f>
        <v>#REF!</v>
      </c>
      <c r="CZ7" s="18" t="e">
        <f>VLOOKUP($G$7&amp;$F$1,'Input RM sheet'!$A:$AU,CZ1,0)</f>
        <v>#REF!</v>
      </c>
      <c r="DA7" s="18" t="e">
        <f>VLOOKUP($G$7&amp;$F$1,'Input RM sheet'!$A:$AU,DA1,0)</f>
        <v>#REF!</v>
      </c>
      <c r="DB7" s="18" t="e">
        <f>VLOOKUP($G$7&amp;$F$1,'Input RM sheet'!$A:$AU,DB1,0)</f>
        <v>#REF!</v>
      </c>
      <c r="DC7" s="18" t="e">
        <f>VLOOKUP($G$7&amp;$F$1,'Input RM sheet'!$A:$AU,DC1,0)</f>
        <v>#REF!</v>
      </c>
      <c r="DD7" s="18" t="e">
        <f>VLOOKUP($G$7&amp;$F$1,'Input RM sheet'!$A:$AU,DD1,0)</f>
        <v>#REF!</v>
      </c>
      <c r="DE7" s="18" t="e">
        <f>VLOOKUP($G$7&amp;$F$1,'Input RM sheet'!$A:$AU,DE1,0)</f>
        <v>#REF!</v>
      </c>
      <c r="DF7" s="18" t="e">
        <f>VLOOKUP($G$7&amp;$F$1,'Input RM sheet'!$A:$AU,DF1,0)</f>
        <v>#REF!</v>
      </c>
      <c r="DG7" s="18" t="e">
        <f>VLOOKUP($G$7&amp;$F$1,'Input RM sheet'!$A:$AU,DG1,0)</f>
        <v>#REF!</v>
      </c>
      <c r="DH7" s="18" t="e">
        <f>VLOOKUP($G$7&amp;$F$1,'Input RM sheet'!$A:$AU,DH1,0)</f>
        <v>#REF!</v>
      </c>
      <c r="DI7" s="18" t="e">
        <f>VLOOKUP($G$7&amp;$F$1,'Input RM sheet'!$A:$AU,DI1,0)</f>
        <v>#REF!</v>
      </c>
      <c r="DJ7" s="18" t="e">
        <f>VLOOKUP($G$7&amp;$F$1,'Input RM sheet'!$A:$AU,DJ1,0)</f>
        <v>#REF!</v>
      </c>
      <c r="DK7" s="18" t="e">
        <f>VLOOKUP($G$7&amp;$F$1,'Input RM sheet'!$A:$AU,DK1,0)</f>
        <v>#REF!</v>
      </c>
      <c r="DL7" s="18" t="e">
        <f>VLOOKUP($G$7&amp;$F$1,'Input RM sheet'!$A:$AU,DL1,0)</f>
        <v>#REF!</v>
      </c>
      <c r="DM7" s="18" t="e">
        <f>VLOOKUP($G$7&amp;$F$1,'Input RM sheet'!$A:$AU,DM1,0)</f>
        <v>#REF!</v>
      </c>
      <c r="DN7" s="18" t="e">
        <f>VLOOKUP($G$7&amp;$F$1,'Input RM sheet'!$A:$AU,DN1,0)</f>
        <v>#REF!</v>
      </c>
      <c r="DO7" s="18" t="e">
        <f>VLOOKUP($G$7&amp;$F$1,'Input RM sheet'!$A:$AU,DO1,0)</f>
        <v>#REF!</v>
      </c>
      <c r="DP7" s="18" t="e">
        <f>VLOOKUP($G$7&amp;$F$1,'Input RM sheet'!$A:$AU,DP1,0)</f>
        <v>#REF!</v>
      </c>
      <c r="DQ7" s="18" t="e">
        <f>VLOOKUP($G$7&amp;$F$1,'Input RM sheet'!$A:$AU,DQ1,0)</f>
        <v>#REF!</v>
      </c>
      <c r="DR7" s="18" t="e">
        <f>VLOOKUP($G$7&amp;$F$1,'Input RM sheet'!$A:$AU,DR1,0)</f>
        <v>#REF!</v>
      </c>
      <c r="DS7" s="18" t="e">
        <f>VLOOKUP($G$7&amp;$F$1,'Input RM sheet'!$A:$AU,DS1,0)</f>
        <v>#REF!</v>
      </c>
      <c r="DT7" s="18" t="e">
        <f>VLOOKUP($G$7&amp;$F$1,'Input RM sheet'!$A:$AU,DT1,0)</f>
        <v>#REF!</v>
      </c>
      <c r="DU7" s="18" t="e">
        <f>VLOOKUP($G$7&amp;$F$1,'Input RM sheet'!$A:$AU,DU1,0)</f>
        <v>#REF!</v>
      </c>
      <c r="DV7" s="18" t="e">
        <f>VLOOKUP($G$7&amp;$F$1,'Input RM sheet'!$A:$AU,DV1,0)</f>
        <v>#REF!</v>
      </c>
      <c r="DW7" s="18" t="e">
        <f>VLOOKUP($G$7&amp;$F$1,'Input RM sheet'!$A:$AU,DW1,0)</f>
        <v>#REF!</v>
      </c>
      <c r="DX7" s="18" t="e">
        <f>VLOOKUP($G$7&amp;$F$1,'Input RM sheet'!$A:$AU,DX1,0)</f>
        <v>#REF!</v>
      </c>
      <c r="DY7" s="18" t="e">
        <f>VLOOKUP($G$7&amp;$F$1,'Input RM sheet'!$A:$AU,DY1,0)</f>
        <v>#REF!</v>
      </c>
      <c r="DZ7" s="18" t="e">
        <f>VLOOKUP($G$7&amp;$F$1,'Input RM sheet'!$A:$AU,DZ1,0)</f>
        <v>#REF!</v>
      </c>
      <c r="EA7" s="18" t="e">
        <f>VLOOKUP($G$7&amp;$F$1,'Input RM sheet'!$A:$AU,EA1,0)</f>
        <v>#REF!</v>
      </c>
      <c r="EB7" s="18" t="e">
        <f>VLOOKUP($G$7&amp;$F$1,'Input RM sheet'!$A:$AU,EB1,0)</f>
        <v>#REF!</v>
      </c>
      <c r="EC7" s="18" t="e">
        <f>VLOOKUP($G$7&amp;$F$1,'Input RM sheet'!$A:$AU,EC1,0)</f>
        <v>#REF!</v>
      </c>
      <c r="ED7" s="18" t="e">
        <f>VLOOKUP($G$7&amp;$F$1,'Input RM sheet'!$A:$AU,ED1,0)</f>
        <v>#REF!</v>
      </c>
      <c r="EE7" s="18" t="e">
        <f>VLOOKUP($G$7&amp;$F$1,'Input RM sheet'!$A:$AU,EE1,0)</f>
        <v>#REF!</v>
      </c>
      <c r="EF7" s="18" t="e">
        <f>VLOOKUP($G$7&amp;$F$1,'Input RM sheet'!$A:$AU,EF1,0)</f>
        <v>#REF!</v>
      </c>
    </row>
    <row r="8" spans="1:137 16384:16384">
      <c r="E8" s="8" t="s">
        <v>583</v>
      </c>
      <c r="F8" s="8" t="s">
        <v>582</v>
      </c>
      <c r="G8" s="52" t="s">
        <v>58</v>
      </c>
      <c r="H8" s="19">
        <f>VLOOKUP($G$8&amp;$F$1,'Input RM sheet'!$A:$BD,H1,0)</f>
        <v>4.2082443851499292E-2</v>
      </c>
      <c r="I8" s="19">
        <f>VLOOKUP($G$8&amp;$F$1,'Input RM sheet'!$A:$BD,I1,0)</f>
        <v>4.1927866431118795E-2</v>
      </c>
      <c r="J8" s="19">
        <f>VLOOKUP($G$8&amp;$F$1,'Input RM sheet'!$A:$BD,J1,0)</f>
        <v>4.0293873182269707E-2</v>
      </c>
      <c r="K8" s="19">
        <f>VLOOKUP($G$8&amp;$F$1,'Input RM sheet'!$A:$BD,K1,0)</f>
        <v>3.9343426408514334E-2</v>
      </c>
      <c r="L8" s="19">
        <f>VLOOKUP($G$8&amp;$F$1,'Input RM sheet'!$A:$BD,L1,0)</f>
        <v>3.9668766651551307E-2</v>
      </c>
      <c r="M8" s="19">
        <f>VLOOKUP($G$8&amp;$F$1,'Input RM sheet'!$A:$BD,M1,0)</f>
        <v>3.9606114550388739E-2</v>
      </c>
      <c r="N8" s="19">
        <f>VLOOKUP($G$8&amp;$F$1,'Input RM sheet'!$A:$BD,N1,0)</f>
        <v>4.0040446878941899E-2</v>
      </c>
      <c r="O8" s="19">
        <f>VLOOKUP($G$8&amp;$F$1,'Input RM sheet'!$A:$BD,O1,0)</f>
        <v>4.0221543722742607E-2</v>
      </c>
      <c r="P8" s="19">
        <f>VLOOKUP($G$8&amp;$F$1,'Input RM sheet'!$A:$BD,P1,0)</f>
        <v>4.0797531912509413E-2</v>
      </c>
      <c r="Q8" s="19">
        <f>VLOOKUP($G$8&amp;$F$1,'Input RM sheet'!$A:$BD,Q1,0)</f>
        <v>4.0806798675929075E-2</v>
      </c>
      <c r="R8" s="19">
        <f>VLOOKUP($G$8&amp;$F$1,'Input RM sheet'!$A:$BD,R1,0)</f>
        <v>4.0413730627846631E-2</v>
      </c>
      <c r="S8" s="19">
        <f>VLOOKUP($G$8&amp;$F$1,'Input RM sheet'!$A:$BD,S1,0)</f>
        <v>4.068802678279676E-2</v>
      </c>
      <c r="T8" s="19">
        <f>VLOOKUP($G$8&amp;$F$1,'Input RM sheet'!$A:$BD,T1,0)</f>
        <v>4.1022836045398609E-2</v>
      </c>
      <c r="U8" s="19">
        <f>VLOOKUP($G$8&amp;$F$1,'Input RM sheet'!$A:$BD,U1,0)</f>
        <v>4.1208791208791208E-2</v>
      </c>
      <c r="V8" s="19">
        <f>VLOOKUP($G$8&amp;$F$1,'Input RM sheet'!$A:$BD,V1,0)</f>
        <v>4.1208791208791208E-2</v>
      </c>
      <c r="W8" s="19">
        <f>VLOOKUP($G$8&amp;$F$1,'Input RM sheet'!$A:$BD,W1,0)</f>
        <v>4.0295500335795834E-2</v>
      </c>
      <c r="X8" s="19">
        <f>VLOOKUP($G$8&amp;$F$1,'Input RM sheet'!$A:$BD,X1,0)</f>
        <v>4.0955631399317405E-2</v>
      </c>
      <c r="Y8" s="19">
        <f>VLOOKUP($G$8&amp;$F$1,'Input RM sheet'!$A:$BD,Y1,0)</f>
        <v>4.0794125645906988E-2</v>
      </c>
      <c r="Z8" s="19">
        <f>VLOOKUP($G$8&amp;$F$1,'Input RM sheet'!$A:$BD,Z1,0)</f>
        <v>4.0252247417147453E-2</v>
      </c>
      <c r="AA8" s="19">
        <f>VLOOKUP($G$8&amp;$F$1,'Input RM sheet'!$A:$BD,AA1,0)</f>
        <v>4.0453074433656963E-2</v>
      </c>
      <c r="AB8" s="19">
        <f>VLOOKUP($G$8&amp;$F$1,'Input RM sheet'!$A:$BD,AB1,0)</f>
        <v>4.0788579197824609E-2</v>
      </c>
      <c r="AC8" s="19">
        <f>VLOOKUP($G$8&amp;$F$1,'Input RM sheet'!$A:$BD,AC1,0)</f>
        <v>4.0048057669203045E-2</v>
      </c>
      <c r="AD8" s="19">
        <f>VLOOKUP($G$8&amp;$F$1,'Input RM sheet'!$A:$BD,AD1,0)</f>
        <v>4.0284678393984155E-2</v>
      </c>
      <c r="AE8" s="19">
        <f>VLOOKUP($G$8&amp;$F$1,'Input RM sheet'!$A:$BD,AE1,0)</f>
        <v>3.9777247414478918E-2</v>
      </c>
      <c r="AF8" s="19">
        <f>VLOOKUP($G$8&amp;$F$1,'Input RM sheet'!$A:$BD,AF1,0)</f>
        <v>4.0295500335795834E-2</v>
      </c>
      <c r="AG8" s="19">
        <f>VLOOKUP($G$8&amp;$F$1,'Input RM sheet'!$A:$BD,AG1,0)</f>
        <v>4.0021344717182501E-2</v>
      </c>
      <c r="AH8" s="19">
        <f>VLOOKUP($G$8&amp;$F$1,'Input RM sheet'!$A:$BD,AH1,0)</f>
        <v>3.9364912741110092E-2</v>
      </c>
      <c r="AI8" s="19">
        <f>VLOOKUP($G$8&amp;$F$1,'Input RM sheet'!$A:$BD,AI1,0)</f>
        <v>3.926160695794198E-2</v>
      </c>
      <c r="AJ8" s="19">
        <f>VLOOKUP($G$8&amp;$F$1,'Input RM sheet'!$A:$BD,AJ1,0)</f>
        <v>3.8800156881967661E-2</v>
      </c>
      <c r="AK8" s="19">
        <f>VLOOKUP($G$8&amp;$F$1,'Input RM sheet'!$A:$BD,AK1,0)</f>
        <v>3.8424799784960856E-2</v>
      </c>
      <c r="AL8" s="19">
        <f>VLOOKUP($G$8&amp;$F$1,'Input RM sheet'!$A:$BD,AL1,0)</f>
        <v>3.768770721509021E-2</v>
      </c>
      <c r="AM8" s="19">
        <f>VLOOKUP($G$8&amp;$F$1,'Input RM sheet'!$A:$BD,AM1,0)</f>
        <v>3.7713584600789135E-2</v>
      </c>
      <c r="AN8" s="19">
        <f>VLOOKUP($G$8&amp;$F$1,'Input RM sheet'!$A:$BD,AN1,0)</f>
        <v>3.739177206519629E-2</v>
      </c>
      <c r="AO8" s="19">
        <f>VLOOKUP($G$8&amp;$F$1,'Input RM sheet'!$A:$BD,AO1,0)</f>
        <v>3.6434245194778475E-2</v>
      </c>
      <c r="AP8" s="19">
        <f>VLOOKUP($G$8&amp;$F$1,'Input RM sheet'!$A:$BD,AP1,0)</f>
        <v>3.6670101044754461E-2</v>
      </c>
      <c r="AQ8" s="19">
        <f>VLOOKUP($G$8&amp;$F$1,'Input RM sheet'!$A:$BD,AQ1,0)</f>
        <v>3.637941681259315E-2</v>
      </c>
      <c r="AR8" s="19">
        <f>VLOOKUP($G$8&amp;$F$1,'Input RM sheet'!$A:$BD,AR1,0)</f>
        <v>3.6630219791784532E-2</v>
      </c>
      <c r="AS8" s="19">
        <f>VLOOKUP($G$8&amp;$F$1,'Input RM sheet'!$A:$BD,AS1,0)</f>
        <v>3.6531170525677455E-2</v>
      </c>
      <c r="AT8" s="19">
        <f>VLOOKUP($G$8&amp;$F$1,'Input RM sheet'!$A:$BD,AT1,0)</f>
        <v>3.6531170525677455E-2</v>
      </c>
      <c r="AU8" s="19">
        <f>VLOOKUP($G$8&amp;$F$1,'Input RM sheet'!$A:$BD,AU1,0)</f>
        <v>3.6531170525677455E-2</v>
      </c>
      <c r="AV8" s="19">
        <f>VLOOKUP($G$8&amp;$F$1,'Input RM sheet'!$A:$BD,AV1,0)</f>
        <v>3.6531170525677455E-2</v>
      </c>
      <c r="AW8" s="19">
        <f>VLOOKUP($G$8&amp;$F$1,'Input RM sheet'!$A:$BD,AW1,0)</f>
        <v>3.6363636363636362E-2</v>
      </c>
      <c r="AX8" s="19">
        <f>VLOOKUP($G$8&amp;$F$1,'Input RM sheet'!$A:$BD,AX1,0)</f>
        <v>3.6390101892285302E-2</v>
      </c>
      <c r="AY8" s="19">
        <f>VLOOKUP($G$8&amp;$F$1,'Input RM sheet'!$A:$BD,AY1,0)</f>
        <v>3.6505232416646383E-2</v>
      </c>
      <c r="AZ8" s="19">
        <f>VLOOKUP($G$8&amp;$F$1,'Input RM sheet'!$A:$BD,AZ1,0)</f>
        <v>3.662109375E-2</v>
      </c>
      <c r="BA8" s="19">
        <f>VLOOKUP($G$8&amp;$F$1,'Input RM sheet'!$A:$BD,BA1,0)</f>
        <v>3.6469730123997082E-2</v>
      </c>
      <c r="BB8" s="19">
        <f>VLOOKUP($G$8&amp;$F$1,'Input RM sheet'!$A:$BD,BB1,0)</f>
        <v>3.6218761318362915E-2</v>
      </c>
      <c r="BC8" s="19">
        <f>VLOOKUP($G$8&amp;$F$1,'Input RM sheet'!$A:$BD,BC1,0)</f>
        <v>3.6036036036036036E-2</v>
      </c>
      <c r="BD8" s="19">
        <f>VLOOKUP($G$8&amp;$F$1,'Input RM sheet'!$A:$BD,BD1,0)</f>
        <v>3.6036036036036036E-2</v>
      </c>
      <c r="BE8" s="19">
        <f>VLOOKUP($G$8&amp;$F$1,'Input RM sheet'!$A:$BD,BE1,0)</f>
        <v>3.6297640653357527E-2</v>
      </c>
      <c r="BF8" s="19">
        <f>VLOOKUP($G$8&amp;$F$1,'Input RM sheet'!$A:$BZ,BF1,0)</f>
        <v>3.6122817579771226E-2</v>
      </c>
      <c r="BG8" s="19">
        <f>VLOOKUP($G$8&amp;$F$1,'Input RM sheet'!$A:$BZ,BG1,0)</f>
        <v>3.6170725825898239E-2</v>
      </c>
      <c r="BH8" s="19">
        <f>VLOOKUP($G$8&amp;$F$1,'Input RM sheet'!$A:$BZ,BH1,0)</f>
        <v>3.6175087423127937E-2</v>
      </c>
      <c r="BI8" s="19">
        <f>VLOOKUP($G$8&amp;$F$1,'Input RM sheet'!$A:$BZ,BI1,0)</f>
        <v>3.6031707902954596E-2</v>
      </c>
      <c r="BJ8" s="19">
        <f>VLOOKUP($G$8&amp;$F$1,'Input RM sheet'!$A:$BZ,BJ1,0)</f>
        <v>3.6049026676279738E-2</v>
      </c>
      <c r="BK8" s="19">
        <f>VLOOKUP($G$8&amp;$F$1,'Input RM sheet'!$A:$BZ,BK1,0)</f>
        <v>3.6036036036036036E-2</v>
      </c>
      <c r="BL8" s="19">
        <f>VLOOKUP($G$8&amp;$F$1,'Input RM sheet'!$A:$BZ,BL1,0)</f>
        <v>3.6092396535129932E-2</v>
      </c>
      <c r="BM8" s="19">
        <f>VLOOKUP($G$8&amp;$F$1,'Input RM sheet'!$A:$BZ,BM1,0)</f>
        <v>3.6031707902954596E-2</v>
      </c>
      <c r="BN8" s="19">
        <f>VLOOKUP($G$8&amp;$F$1,'Input RM sheet'!$A:$BZ,BN1,0)</f>
        <v>3.6049026676279738E-2</v>
      </c>
      <c r="BO8" s="19">
        <f>VLOOKUP($G$8&amp;$F$1,'Input RM sheet'!$A:$BZ,BO1,0)</f>
        <v>3.6062026685899751E-2</v>
      </c>
      <c r="BP8" s="19">
        <f>VLOOKUP($G$8&amp;$F$1,'Input RM sheet'!$A:$BZ,BP1,0)</f>
        <v>3.6062026685899751E-2</v>
      </c>
      <c r="BQ8" s="19">
        <f>VLOOKUP($G$8&amp;$F$1,'Input RM sheet'!$A:$BZ,BQ1,0)</f>
        <v>3.6001440057602307E-2</v>
      </c>
      <c r="BR8" s="19">
        <f>VLOOKUP($G$8&amp;$F$1,'Input RM sheet'!$A:$BZ,BR1,0)</f>
        <v>3.5971223021582732E-2</v>
      </c>
      <c r="BS8" s="19">
        <f>VLOOKUP($G$8&amp;$F$1,'Input RM sheet'!$A:$BZ,BS1,0)</f>
        <v>3.5988483685220729E-2</v>
      </c>
      <c r="BT8" s="19">
        <f>VLOOKUP($G$8&amp;$F$1,'Input RM sheet'!$A:$BZ,BT1,0)</f>
        <v>3.6040365209034121E-2</v>
      </c>
      <c r="BU8" s="19">
        <f>VLOOKUP($G$8&amp;$F$1,'Input RM sheet'!$A:$BZ,BU1,0)</f>
        <v>3.6005760921747482E-2</v>
      </c>
      <c r="BV8" s="19">
        <f>VLOOKUP($G$8&amp;$F$1,'Input RM sheet'!$A:$BZ,BV1,0)</f>
        <v>3.6083714216983399E-2</v>
      </c>
      <c r="BW8" s="19">
        <f>VLOOKUP($G$8&amp;$F$1,'Input RM sheet'!$A:$BZ,BW1,0)</f>
        <v>3.6079374624173176E-2</v>
      </c>
      <c r="BX8" s="19">
        <f>VLOOKUP($G$8&amp;$F$1,'Input RM sheet'!$A:$BZ,BX1,0)</f>
        <v>3.6036036036036036E-2</v>
      </c>
      <c r="BY8" s="19">
        <f>VLOOKUP($G$8&amp;$F$1,'Input RM sheet'!$A:$BZ,BY1,0)</f>
        <v>3.6118468576932336E-2</v>
      </c>
      <c r="BZ8" s="19">
        <f>VLOOKUP($G$8&amp;$F$1,'Input RM sheet'!$A:$BZ,BZ1,0)</f>
        <v>3.614457831325301E-2</v>
      </c>
      <c r="CA8" s="19">
        <f>VLOOKUP($G$8&amp;$F$1,'Input RM sheet'!$A:$BZ,CA1,0)</f>
        <v>3.6140224069389229E-2</v>
      </c>
      <c r="CB8" s="19">
        <f>VLOOKUP($G$8&amp;$F$1,'Input RM sheet'!$A:$BZ,CB1,0)</f>
        <v>3.6188178528347402E-2</v>
      </c>
      <c r="CC8" s="19">
        <f>VLOOKUP($G$8&amp;$F$1,'Input RM sheet'!$A:$DD,CC1,0)</f>
        <v>3.6188178528347402E-2</v>
      </c>
      <c r="CD8" s="19">
        <f>VLOOKUP($G$8&amp;$F$1,'Input RM sheet'!$A:$DD,CD1,0)</f>
        <v>3.6275695284159609E-2</v>
      </c>
      <c r="CE8" s="19">
        <f>VLOOKUP($G$8&amp;$F$1,'Input RM sheet'!$A:$DD,CE1,0)</f>
        <v>3.6249395843402608E-2</v>
      </c>
      <c r="CF8" s="19">
        <f>VLOOKUP($G$8&amp;$F$1,'Input RM sheet'!$A:$DD,CF1,0)</f>
        <v>3.6031707902954596E-2</v>
      </c>
      <c r="CG8" s="19">
        <f>VLOOKUP($G$8&amp;$F$1,'Input RM sheet'!$A:$DD,CG1,0)</f>
        <v>3.5975536635088137E-2</v>
      </c>
      <c r="CH8" s="19">
        <f>VLOOKUP($G$8&amp;$F$1,'Input RM sheet'!$A:$DD,CH1,0)</f>
        <v>3.6053358971277497E-2</v>
      </c>
      <c r="CI8" s="19">
        <f>VLOOKUP($G$8&amp;$F$1,'Input RM sheet'!$A:$DD,CI1,0)</f>
        <v>3.5971223021582732E-2</v>
      </c>
      <c r="CJ8" s="19">
        <f>VLOOKUP($G$8&amp;$F$1,'Input RM sheet'!$A:$DD,CJ1,0)</f>
        <v>3.5880875493362038E-2</v>
      </c>
      <c r="CK8" s="19">
        <f>VLOOKUP($G$8&amp;$F$1,'Input RM sheet'!$A:$DD,CK1,0)</f>
        <v>3.5962598897146966E-2</v>
      </c>
      <c r="CL8" s="19">
        <f>VLOOKUP($G$8&amp;$F$1,'Input RM sheet'!$A:$DD,CL1,0)</f>
        <v>3.5928143712574849E-2</v>
      </c>
      <c r="CM8" s="19">
        <f>VLOOKUP($G$8&amp;$F$1,'Input RM sheet'!$A:$DD,CM1,0)</f>
        <v>3.5992801439712063E-2</v>
      </c>
      <c r="CN8" s="19">
        <f>VLOOKUP($G$8&amp;$F$1,'Input RM sheet'!$A:$DD,CN1,0)</f>
        <v>3.5992801439712063E-2</v>
      </c>
      <c r="CO8" s="19">
        <f>VLOOKUP($G$8&amp;$F$1,'Input RM sheet'!$A:$DD,CO1,0)</f>
        <v>3.5992801439712063E-2</v>
      </c>
      <c r="CP8" s="19">
        <f>VLOOKUP($G$8&amp;$F$1,'Input RM sheet'!$A:$DD,CP1,0)</f>
        <v>3.5992801439712063E-2</v>
      </c>
      <c r="CQ8" s="19">
        <f>VLOOKUP($G$8&amp;$F$1,'Input RM sheet'!$A:$ZZ,CQ1,0)</f>
        <v>3.5761115746811303E-2</v>
      </c>
      <c r="CR8" s="19">
        <f>VLOOKUP($G$8&amp;$F$1,'Input RM sheet'!$A:$ZZ,CR1,0)</f>
        <v>3.5971223021582732E-2</v>
      </c>
      <c r="CS8" s="19">
        <f>VLOOKUP($G$8&amp;$F$1,'Input RM sheet'!$A:$ZZ,CS1,0)</f>
        <v>3.5928143712574849E-2</v>
      </c>
      <c r="CT8" s="19">
        <f>VLOOKUP($G$8&amp;$F$1,'Input RM sheet'!$A:$ZZ,CT1,0)</f>
        <v>3.5949670461354104E-2</v>
      </c>
      <c r="CU8" s="19">
        <f>VLOOKUP($G$8&amp;$F$1,'Input RM sheet'!$A:$ZZ,CU1,0)</f>
        <v>3.5941056667066013E-2</v>
      </c>
      <c r="CV8" s="19">
        <f>VLOOKUP($G$8&amp;$F$1,'Input RM sheet'!$A:$ZZ,CV1,0)</f>
        <v>3.5906642728904849E-2</v>
      </c>
      <c r="CW8" s="19">
        <f>VLOOKUP($G$8&amp;$F$1,'Input RM sheet'!$A:$ZZ,CW1,0)</f>
        <v>3.5842293906810034E-2</v>
      </c>
      <c r="CX8" s="19">
        <f>VLOOKUP($G$8&amp;$F$1,'Input RM sheet'!$A:$ZZ,CX1,0)</f>
        <v>3.5829451809387312E-2</v>
      </c>
      <c r="CY8" s="19">
        <f>VLOOKUP($G$8&amp;$F$1,'Input RM sheet'!$A:$ZZ,CY1,0)</f>
        <v>3.5735556879094701E-2</v>
      </c>
      <c r="CZ8" s="19">
        <f>VLOOKUP($G$8&amp;$F$1,'Input RM sheet'!$A:$ZZ,CZ1,0)</f>
        <v>3.573130061934255E-2</v>
      </c>
      <c r="DA8" s="19">
        <f>VLOOKUP($G$8&amp;$F$1,'Input RM sheet'!$A:$ZZ,DA1,0)</f>
        <v>3.5756853396901073E-2</v>
      </c>
      <c r="DB8" s="19">
        <f>VLOOKUP($G$8&amp;$F$1,'Input RM sheet'!$A:$ZZ,DB1,0)</f>
        <v>3.5761115746811303E-2</v>
      </c>
      <c r="DC8" s="19">
        <f>VLOOKUP($G$8&amp;$F$1,'Input RM sheet'!$A:$ZZ,DC1,0)</f>
        <v>3.573130061934255E-2</v>
      </c>
      <c r="DD8" s="19">
        <f>VLOOKUP($G$8&amp;$F$1,'Input RM sheet'!$A:$ZZ,DD1,0)</f>
        <v>3.573130061934255E-2</v>
      </c>
      <c r="DE8" s="19">
        <f>VLOOKUP($G$8&amp;$F$1,'Input RM sheet'!$A:$ZZ,DE1,0)</f>
        <v>3.5893754486719311E-2</v>
      </c>
      <c r="DF8" s="19">
        <f>VLOOKUP($G$8&amp;$F$1,'Input RM sheet'!$A:$ZZ,DF1,0)</f>
        <v>3.5859431030360989E-2</v>
      </c>
      <c r="DG8" s="19">
        <f>VLOOKUP($G$8&amp;$F$1,'Input RM sheet'!$A:$ZZ,DG1,0)</f>
        <v>3.5727045373347623E-2</v>
      </c>
      <c r="DH8" s="19">
        <f>VLOOKUP($G$8&amp;$F$1,'Input RM sheet'!$A:$ZZ,DH1,0)</f>
        <v>3.5684548590460337E-2</v>
      </c>
      <c r="DI8" s="19">
        <f>VLOOKUP($G$8&amp;$F$1,'Input RM sheet'!$A:$ZZ,DI1,0)</f>
        <v>3.5684548590460337E-2</v>
      </c>
      <c r="DJ8" s="19">
        <f>VLOOKUP($G$8&amp;$F$1,'Input RM sheet'!$A:$ZZ,DJ1,0)</f>
        <v>3.5680304471931497E-2</v>
      </c>
      <c r="DK8" s="19">
        <f>VLOOKUP($G$8&amp;$F$1,'Input RM sheet'!$A:$ZZ,DK1,0)</f>
        <v>3.5663338088445073E-2</v>
      </c>
      <c r="DL8" s="19">
        <f>VLOOKUP($G$8&amp;$F$1,'Input RM sheet'!$A:$ZZ,DL1,0)</f>
        <v>3.5545023696682464E-2</v>
      </c>
      <c r="DM8" s="19">
        <f>VLOOKUP($G$8&amp;$F$1,'Input RM sheet'!$A:$ZZ,DM1,0)</f>
        <v>3.55998576005696E-2</v>
      </c>
      <c r="DN8" s="19">
        <f>VLOOKUP($G$8&amp;$F$1,'Input RM sheet'!$A:$ZZ,DN1,0)</f>
        <v>3.5448422545196742E-2</v>
      </c>
      <c r="DO8" s="19">
        <f>VLOOKUP($G$8&amp;$F$1,'Input RM sheet'!$A:$ZZ,DO1,0)</f>
        <v>3.5423308537017362E-2</v>
      </c>
      <c r="DP8" s="19">
        <f>VLOOKUP($G$8&amp;$F$1,'Input RM sheet'!$A:$ZZ,DP1,0)</f>
        <v>3.5364847341742306E-2</v>
      </c>
      <c r="DQ8" s="19">
        <f>VLOOKUP($G$8&amp;$F$1,'Input RM sheet'!$A:$ZZ,DQ1,0)</f>
        <v>3.5327366933584549E-2</v>
      </c>
      <c r="DR8" s="19">
        <f>VLOOKUP($G$8&amp;$F$1,'Input RM sheet'!$A:$ZZ,DR1,0)</f>
        <v>3.521953510213665E-2</v>
      </c>
      <c r="DS8" s="19">
        <f>VLOOKUP($G$8&amp;$F$1,'Input RM sheet'!$A:$ZZ,DS1,0)</f>
        <v>0</v>
      </c>
      <c r="DT8" s="19">
        <f>VLOOKUP($G$8&amp;$F$1,'Input RM sheet'!$A:$ZZ,DT1,0)</f>
        <v>0</v>
      </c>
      <c r="DU8" s="19">
        <f>VLOOKUP($G$8&amp;$F$1,'Input RM sheet'!$A:$ZZ,DU1,0)</f>
        <v>0</v>
      </c>
      <c r="DV8" s="19">
        <f>VLOOKUP($G$8&amp;$F$1,'Input RM sheet'!$A:$ZZ,DV1,0)</f>
        <v>0</v>
      </c>
      <c r="DW8" s="19">
        <f>VLOOKUP($G$8&amp;$F$1,'Input RM sheet'!$A:$ZZ,DW1,0)</f>
        <v>0</v>
      </c>
      <c r="DX8" s="19">
        <f>VLOOKUP($G$8&amp;$F$1,'Input RM sheet'!$A:$ZZ,DX1,0)</f>
        <v>0</v>
      </c>
      <c r="DY8" s="19">
        <f>VLOOKUP($G$8&amp;$F$1,'Input RM sheet'!$A:$ZZ,DY1,0)</f>
        <v>0</v>
      </c>
      <c r="DZ8" s="19">
        <f>VLOOKUP($G$8&amp;$F$1,'Input RM sheet'!$A:$ZZ,DZ1,0)</f>
        <v>0</v>
      </c>
      <c r="EA8" s="19">
        <f>VLOOKUP($G$8&amp;$F$1,'Input RM sheet'!$A:$ZZ,EA1,0)</f>
        <v>0</v>
      </c>
      <c r="EB8" s="19">
        <f>VLOOKUP($G$8&amp;$F$1,'Input RM sheet'!$A:$ZZ,EB1,0)</f>
        <v>0</v>
      </c>
      <c r="EC8" s="19">
        <f>VLOOKUP($G$8&amp;$F$1,'Input RM sheet'!$A:$ZZ,EC1,0)</f>
        <v>0</v>
      </c>
      <c r="ED8" s="19">
        <f>VLOOKUP($G$8&amp;$F$1,'Input RM sheet'!$A:$ZZ,ED1,0)</f>
        <v>0</v>
      </c>
      <c r="EE8" s="19">
        <f>VLOOKUP($G$8&amp;$F$1,'Input RM sheet'!$A:$ZZ,EE1,0)</f>
        <v>0</v>
      </c>
      <c r="EF8" s="19">
        <f>VLOOKUP($G$8&amp;$F$1,'Input RM sheet'!$A:$ZZ,EF1,0)</f>
        <v>0</v>
      </c>
    </row>
    <row r="9" spans="1:137 16384:16384" ht="15">
      <c r="A9" s="57" t="s">
        <v>395</v>
      </c>
      <c r="B9" s="57"/>
      <c r="C9" s="57" t="s">
        <v>379</v>
      </c>
      <c r="D9" s="57" t="s">
        <v>380</v>
      </c>
      <c r="E9" s="57" t="s">
        <v>381</v>
      </c>
      <c r="F9" s="57" t="s">
        <v>396</v>
      </c>
      <c r="G9" s="53" t="s">
        <v>399</v>
      </c>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c r="AH9" s="129"/>
      <c r="AI9" s="129"/>
      <c r="AJ9" s="129"/>
      <c r="AK9" s="129"/>
      <c r="AL9" s="129"/>
      <c r="AM9" s="129"/>
      <c r="AN9" s="129"/>
      <c r="AO9" s="129"/>
      <c r="AP9" s="129"/>
      <c r="AQ9" s="129"/>
      <c r="AR9" s="129"/>
      <c r="AS9" s="129"/>
      <c r="AT9" s="129"/>
      <c r="AU9" s="129"/>
      <c r="AV9" s="129"/>
      <c r="AW9" s="129"/>
      <c r="AX9" s="129"/>
      <c r="AY9" s="129"/>
      <c r="AZ9" s="129"/>
      <c r="BA9" s="129"/>
      <c r="BB9" s="129"/>
      <c r="BC9" s="129"/>
      <c r="BD9" s="129"/>
      <c r="BE9" s="129"/>
      <c r="BF9" s="129"/>
      <c r="BG9" s="129"/>
      <c r="BH9" s="129"/>
      <c r="BI9" s="129"/>
      <c r="BJ9" s="129"/>
      <c r="BK9" s="129"/>
      <c r="BL9" s="129"/>
      <c r="BM9" s="129"/>
      <c r="BN9" s="129"/>
      <c r="BO9" s="129"/>
      <c r="BP9" s="129"/>
      <c r="BQ9" s="129"/>
      <c r="BR9" s="129"/>
      <c r="BS9" s="129"/>
      <c r="BT9" s="129"/>
      <c r="BU9" s="129"/>
      <c r="BV9" s="129"/>
      <c r="BW9" s="129"/>
      <c r="BX9" s="129"/>
      <c r="BY9" s="129"/>
      <c r="BZ9" s="129"/>
      <c r="CA9" s="129"/>
      <c r="CB9" s="129"/>
      <c r="CC9" s="129"/>
      <c r="CD9" s="129"/>
      <c r="CE9" s="129"/>
      <c r="CF9" s="129"/>
      <c r="CG9" s="129"/>
      <c r="CH9" s="129"/>
      <c r="CI9" s="129"/>
      <c r="CJ9" s="129"/>
      <c r="CK9" s="129"/>
      <c r="CL9" s="129"/>
      <c r="CM9" s="129"/>
      <c r="CN9" s="129"/>
      <c r="CO9" s="129"/>
      <c r="CP9" s="129"/>
      <c r="CQ9" s="129"/>
      <c r="CR9" s="129"/>
      <c r="CS9" s="129"/>
      <c r="CT9" s="129"/>
      <c r="CU9" s="129"/>
      <c r="CV9" s="129"/>
      <c r="CW9" s="129"/>
      <c r="CX9" s="129"/>
      <c r="CY9" s="129"/>
      <c r="CZ9" s="129"/>
      <c r="DA9" s="129"/>
      <c r="DB9" s="129"/>
      <c r="DC9" s="129"/>
      <c r="DD9" s="129"/>
      <c r="DE9" s="129"/>
      <c r="DF9" s="129"/>
      <c r="DG9" s="129"/>
      <c r="DH9" s="129"/>
      <c r="DI9" s="129"/>
      <c r="DJ9" s="129"/>
      <c r="DK9" s="129"/>
      <c r="DL9" s="129"/>
      <c r="DM9" s="129"/>
      <c r="DN9" s="129"/>
      <c r="DO9" s="129"/>
      <c r="DP9" s="129"/>
      <c r="DQ9" s="129"/>
      <c r="DR9" s="129"/>
      <c r="DS9" s="129"/>
      <c r="DT9" s="129"/>
      <c r="DU9" s="129"/>
      <c r="DV9" s="129"/>
      <c r="DW9" s="129"/>
      <c r="DX9" s="129"/>
      <c r="DY9" s="129"/>
      <c r="DZ9" s="129"/>
      <c r="EA9" s="129"/>
      <c r="EB9" s="129"/>
      <c r="EC9" s="129"/>
      <c r="ED9" s="129"/>
      <c r="EE9" s="129"/>
      <c r="EF9" s="129"/>
    </row>
    <row r="10" spans="1:137 16384:16384" ht="15">
      <c r="A10" s="54" t="s">
        <v>397</v>
      </c>
      <c r="B10" s="53" t="s">
        <v>57</v>
      </c>
      <c r="C10" s="8">
        <v>2</v>
      </c>
      <c r="D10" s="18">
        <v>93.13</v>
      </c>
      <c r="E10" s="8">
        <f>D10*C10</f>
        <v>186.26</v>
      </c>
      <c r="F10" s="20">
        <f>E10/$E$2</f>
        <v>0.93947341874306467</v>
      </c>
      <c r="H10" s="19">
        <f>$F$10*H6</f>
        <v>0.7790520908771521</v>
      </c>
      <c r="I10" s="19">
        <f>$F$10*I6</f>
        <v>0.77290159166857941</v>
      </c>
      <c r="J10" s="19">
        <f>$F$10*J6</f>
        <v>0.78257942973386707</v>
      </c>
      <c r="K10" s="19">
        <f t="shared" ref="K10:BV10" si="0">$F$10*K6</f>
        <v>0.66317971486333549</v>
      </c>
      <c r="L10" s="19">
        <f t="shared" si="0"/>
        <v>0.55913853452938223</v>
      </c>
      <c r="M10" s="19">
        <f t="shared" si="0"/>
        <v>0.52166681694813843</v>
      </c>
      <c r="N10" s="19">
        <f t="shared" si="0"/>
        <v>0.52047486485911387</v>
      </c>
      <c r="O10" s="19">
        <f t="shared" si="0"/>
        <v>0.52201789405692567</v>
      </c>
      <c r="P10" s="19">
        <f t="shared" si="0"/>
        <v>0.53052624941838078</v>
      </c>
      <c r="Q10" s="19">
        <f t="shared" si="0"/>
        <v>0.65838596554854756</v>
      </c>
      <c r="R10" s="19">
        <f t="shared" si="0"/>
        <v>0.88460763638091244</v>
      </c>
      <c r="S10" s="19">
        <f t="shared" si="0"/>
        <v>0.98695476934442217</v>
      </c>
      <c r="T10" s="19">
        <f t="shared" si="0"/>
        <v>1.0218274043813151</v>
      </c>
      <c r="U10" s="19">
        <f t="shared" si="0"/>
        <v>1.2497438876270381</v>
      </c>
      <c r="V10" s="19">
        <f t="shared" si="0"/>
        <v>1.6383985194054156</v>
      </c>
      <c r="W10" s="19">
        <f t="shared" si="0"/>
        <v>1.4142725225167316</v>
      </c>
      <c r="X10" s="19">
        <f t="shared" si="0"/>
        <v>1.4285070460458793</v>
      </c>
      <c r="Y10" s="19">
        <f t="shared" si="0"/>
        <v>1.2360414881506245</v>
      </c>
      <c r="Z10" s="19">
        <f t="shared" si="0"/>
        <v>1.2985439937199572</v>
      </c>
      <c r="AA10" s="19">
        <f t="shared" si="0"/>
        <v>1.3762814837123567</v>
      </c>
      <c r="AB10" s="19">
        <f t="shared" si="0"/>
        <v>1.4098566348206303</v>
      </c>
      <c r="AC10" s="19">
        <f t="shared" si="0"/>
        <v>1.7179963904257602</v>
      </c>
      <c r="AD10" s="19">
        <f t="shared" si="0"/>
        <v>1.724104296459408</v>
      </c>
      <c r="AE10" s="19">
        <f t="shared" si="0"/>
        <v>1.2500774411714133</v>
      </c>
      <c r="AF10" s="19">
        <f t="shared" si="0"/>
        <v>1.4511790415744517</v>
      </c>
      <c r="AG10" s="19">
        <f t="shared" si="0"/>
        <v>1.7267471966455361</v>
      </c>
      <c r="AH10" s="19">
        <f t="shared" si="0"/>
        <v>1.6644895597702076</v>
      </c>
      <c r="AI10" s="19">
        <f t="shared" si="0"/>
        <v>1.4937008452825784</v>
      </c>
      <c r="AJ10" s="19">
        <f t="shared" si="0"/>
        <v>1.3498911771348792</v>
      </c>
      <c r="AK10" s="19">
        <f t="shared" si="0"/>
        <v>1.4655132509468167</v>
      </c>
      <c r="AL10" s="19">
        <f t="shared" si="0"/>
        <v>1.4359091878513794</v>
      </c>
      <c r="AM10" s="19">
        <f t="shared" si="0"/>
        <v>1.2462922560716918</v>
      </c>
      <c r="AN10" s="19">
        <f t="shared" si="0"/>
        <v>1.4251773386329412</v>
      </c>
      <c r="AO10" s="19">
        <f t="shared" si="0"/>
        <v>1.4935799752206063</v>
      </c>
      <c r="AP10" s="19">
        <f t="shared" si="0"/>
        <v>1.360298216961715</v>
      </c>
      <c r="AQ10" s="19">
        <f t="shared" si="0"/>
        <v>1.22891109128875</v>
      </c>
      <c r="AR10" s="19">
        <f t="shared" si="0"/>
        <v>1.2127421463567509</v>
      </c>
      <c r="AS10" s="19">
        <f t="shared" si="0"/>
        <v>1.4629168016847769</v>
      </c>
      <c r="AT10" s="19">
        <f t="shared" si="0"/>
        <v>1.5603226313404475</v>
      </c>
      <c r="AU10" s="19">
        <f t="shared" si="0"/>
        <v>1.3001818830620913</v>
      </c>
      <c r="AV10" s="19">
        <f t="shared" si="0"/>
        <v>1.3334209640514174</v>
      </c>
      <c r="AW10" s="19">
        <f t="shared" si="0"/>
        <v>1.2707262361794534</v>
      </c>
      <c r="AX10" s="19">
        <f t="shared" si="0"/>
        <v>1.0865438684883171</v>
      </c>
      <c r="AY10" s="19">
        <f t="shared" si="0"/>
        <v>1.0865438684883171</v>
      </c>
      <c r="AZ10" s="19">
        <f t="shared" si="0"/>
        <v>1.1331185666329513</v>
      </c>
      <c r="BA10" s="19">
        <f t="shared" si="0"/>
        <v>1.1468564056021842</v>
      </c>
      <c r="BB10" s="19">
        <f t="shared" si="0"/>
        <v>1.2332895648685258</v>
      </c>
      <c r="BC10" s="19">
        <f t="shared" si="0"/>
        <v>1.2741917726668242</v>
      </c>
      <c r="BD10" s="19">
        <f t="shared" si="0"/>
        <v>1.2878028872678888</v>
      </c>
      <c r="BE10" s="19">
        <f t="shared" si="0"/>
        <v>1.2735471875770914</v>
      </c>
      <c r="BF10" s="19">
        <f t="shared" si="0"/>
        <v>1.3676461944947951</v>
      </c>
      <c r="BG10" s="19">
        <f t="shared" si="0"/>
        <v>1.5139553071627014</v>
      </c>
      <c r="BH10" s="19">
        <f t="shared" si="0"/>
        <v>1.5118813957830266</v>
      </c>
      <c r="BI10" s="19">
        <f t="shared" si="0"/>
        <v>1.5631316125892307</v>
      </c>
      <c r="BJ10" s="19">
        <f t="shared" si="0"/>
        <v>1.5631316125892307</v>
      </c>
      <c r="BK10" s="19">
        <f t="shared" si="0"/>
        <v>1.5848417738751923</v>
      </c>
      <c r="BL10" s="19">
        <f t="shared" si="0"/>
        <v>1.3107794088609157</v>
      </c>
      <c r="BM10" s="19">
        <f t="shared" si="0"/>
        <v>1.3089887266083733</v>
      </c>
      <c r="BN10" s="19">
        <f t="shared" si="0"/>
        <v>1.3551581857926644</v>
      </c>
      <c r="BO10" s="19">
        <f t="shared" si="0"/>
        <v>1.4600899691574727</v>
      </c>
      <c r="BP10" s="19">
        <f t="shared" si="0"/>
        <v>1.4600899691574727</v>
      </c>
      <c r="BQ10" s="19">
        <f t="shared" si="0"/>
        <v>1.4929934050821483</v>
      </c>
      <c r="BR10" s="19">
        <f t="shared" si="0"/>
        <v>1.2925007991928832</v>
      </c>
      <c r="BS10" s="19">
        <f t="shared" si="0"/>
        <v>1.242984415127437</v>
      </c>
      <c r="BT10" s="19">
        <f t="shared" si="0"/>
        <v>1.216507321850355</v>
      </c>
      <c r="BU10" s="19">
        <f t="shared" si="0"/>
        <v>1.2825605698543718</v>
      </c>
      <c r="BV10" s="19">
        <f t="shared" si="0"/>
        <v>1.2895364606640909</v>
      </c>
      <c r="BW10" s="19">
        <f t="shared" ref="BW10:CL10" si="1">$F$10*BW6</f>
        <v>1.2104956333362122</v>
      </c>
      <c r="BX10" s="19">
        <f t="shared" si="1"/>
        <v>1.2100145796118384</v>
      </c>
      <c r="BY10" s="19">
        <f t="shared" si="1"/>
        <v>1.21902473026853</v>
      </c>
      <c r="BZ10" s="19">
        <f t="shared" si="1"/>
        <v>1.284799445930501</v>
      </c>
      <c r="CA10" s="19">
        <f t="shared" si="1"/>
        <v>1.2705040418033187</v>
      </c>
      <c r="CB10" s="19">
        <f t="shared" si="1"/>
        <v>1.2693787256847744</v>
      </c>
      <c r="CC10" s="19">
        <f t="shared" si="1"/>
        <v>1.2687394528563696</v>
      </c>
      <c r="CD10" s="19">
        <f t="shared" si="1"/>
        <v>1.2167196918996648</v>
      </c>
      <c r="CE10" s="19">
        <f t="shared" si="1"/>
        <v>1.2143192425319251</v>
      </c>
      <c r="CF10" s="19">
        <f t="shared" si="1"/>
        <v>1.3169854497296636</v>
      </c>
      <c r="CG10" s="19">
        <f t="shared" si="1"/>
        <v>1.3402321565074748</v>
      </c>
      <c r="CH10" s="19">
        <f t="shared" si="1"/>
        <v>1.4422875867005578</v>
      </c>
      <c r="CI10" s="19">
        <f t="shared" si="1"/>
        <v>1.4402954767741758</v>
      </c>
      <c r="CJ10" s="19">
        <f t="shared" si="1"/>
        <v>1.4402954767741758</v>
      </c>
      <c r="CK10" s="19">
        <f t="shared" si="1"/>
        <v>1.4115871754631499</v>
      </c>
      <c r="CL10" s="19">
        <f t="shared" si="1"/>
        <v>1.3425084724652501</v>
      </c>
      <c r="CM10" s="19">
        <f t="shared" ref="CM10:CT10" si="2">$F$10*CM6</f>
        <v>1.2956152473075693</v>
      </c>
      <c r="CN10" s="19">
        <f t="shared" si="2"/>
        <v>1.2956152473075693</v>
      </c>
      <c r="CO10" s="19">
        <f t="shared" si="2"/>
        <v>1.2956152473075693</v>
      </c>
      <c r="CP10" s="19">
        <f t="shared" si="2"/>
        <v>1.2956152473075693</v>
      </c>
      <c r="CQ10" s="19">
        <f t="shared" si="2"/>
        <v>1.3914339479428097</v>
      </c>
      <c r="CR10" s="19">
        <f t="shared" si="2"/>
        <v>1.3971756082050149</v>
      </c>
      <c r="CS10" s="19">
        <f t="shared" si="2"/>
        <v>1.3933266395873702</v>
      </c>
      <c r="CT10" s="19">
        <f t="shared" si="2"/>
        <v>1.2999226242957989</v>
      </c>
      <c r="CU10" s="19">
        <f t="shared" ref="CU10:CZ10" si="3">$F$10*CU6</f>
        <v>1.2627558386095021</v>
      </c>
      <c r="CV10" s="19">
        <f t="shared" si="3"/>
        <v>1.2627558386095021</v>
      </c>
      <c r="CW10" s="19">
        <f t="shared" si="3"/>
        <v>1.2019787187920301</v>
      </c>
      <c r="CX10" s="19">
        <f t="shared" si="3"/>
        <v>1.1297967342501878</v>
      </c>
      <c r="CY10" s="19">
        <f t="shared" si="3"/>
        <v>1.223317975307554</v>
      </c>
      <c r="CZ10" s="19">
        <f t="shared" si="3"/>
        <v>1.221614189826624</v>
      </c>
      <c r="DA10" s="19">
        <f t="shared" ref="DA10:EF10" si="4">$F$10*DA6</f>
        <v>1.1641819256705939</v>
      </c>
      <c r="DB10" s="19">
        <f t="shared" si="4"/>
        <v>1.1839448819154785</v>
      </c>
      <c r="DC10" s="19">
        <f t="shared" si="4"/>
        <v>1.2517791161778669</v>
      </c>
      <c r="DD10" s="19">
        <f t="shared" si="4"/>
        <v>1.2204863906165737</v>
      </c>
      <c r="DE10" s="19">
        <f t="shared" si="4"/>
        <v>1.1672466753467448</v>
      </c>
      <c r="DF10" s="19">
        <f t="shared" si="4"/>
        <v>1.1738976535538483</v>
      </c>
      <c r="DG10" s="19">
        <f t="shared" si="4"/>
        <v>1.19166244855315</v>
      </c>
      <c r="DH10" s="19">
        <f t="shared" si="4"/>
        <v>1.2511812579254937</v>
      </c>
      <c r="DI10" s="19">
        <f t="shared" si="4"/>
        <v>1.1412114273775738</v>
      </c>
      <c r="DJ10" s="19">
        <f t="shared" si="4"/>
        <v>1.0596177723112827</v>
      </c>
      <c r="DK10" s="19">
        <f t="shared" si="4"/>
        <v>1.0640887333758871</v>
      </c>
      <c r="DL10" s="19">
        <f t="shared" si="4"/>
        <v>1.0924243231935662</v>
      </c>
      <c r="DM10" s="19">
        <f t="shared" si="4"/>
        <v>1.0435467526557962</v>
      </c>
      <c r="DN10" s="19">
        <f t="shared" si="4"/>
        <v>1.0692439248645744</v>
      </c>
      <c r="DO10" s="19">
        <f t="shared" si="4"/>
        <v>1.067773162932161</v>
      </c>
      <c r="DP10" s="19">
        <f t="shared" si="4"/>
        <v>1.0892727189599263</v>
      </c>
      <c r="DQ10" s="19">
        <f t="shared" si="4"/>
        <v>1.0321126576137436</v>
      </c>
      <c r="DR10" s="19">
        <f t="shared" si="4"/>
        <v>1.0677128501292559</v>
      </c>
      <c r="DS10" s="19" t="e">
        <f t="shared" si="4"/>
        <v>#DIV/0!</v>
      </c>
      <c r="DT10" s="19" t="e">
        <f t="shared" si="4"/>
        <v>#DIV/0!</v>
      </c>
      <c r="DU10" s="19" t="e">
        <f t="shared" si="4"/>
        <v>#DIV/0!</v>
      </c>
      <c r="DV10" s="19" t="e">
        <f t="shared" si="4"/>
        <v>#DIV/0!</v>
      </c>
      <c r="DW10" s="19">
        <f t="shared" si="4"/>
        <v>0</v>
      </c>
      <c r="DX10" s="19">
        <f t="shared" si="4"/>
        <v>0</v>
      </c>
      <c r="DY10" s="19">
        <f t="shared" si="4"/>
        <v>0</v>
      </c>
      <c r="DZ10" s="19">
        <f t="shared" si="4"/>
        <v>0</v>
      </c>
      <c r="EA10" s="19">
        <f t="shared" si="4"/>
        <v>0</v>
      </c>
      <c r="EB10" s="19">
        <f t="shared" si="4"/>
        <v>0</v>
      </c>
      <c r="EC10" s="19">
        <f t="shared" si="4"/>
        <v>0</v>
      </c>
      <c r="ED10" s="19">
        <f t="shared" si="4"/>
        <v>0</v>
      </c>
      <c r="EE10" s="19">
        <f t="shared" si="4"/>
        <v>0</v>
      </c>
      <c r="EF10" s="19">
        <f t="shared" si="4"/>
        <v>0</v>
      </c>
    </row>
    <row r="11" spans="1:137 16384:16384" hidden="1">
      <c r="A11" s="21"/>
      <c r="B11" s="52" t="s">
        <v>59</v>
      </c>
      <c r="C11" s="8">
        <v>1</v>
      </c>
      <c r="D11" s="18">
        <v>30.03</v>
      </c>
      <c r="E11" s="8">
        <f>D11*C11</f>
        <v>30.03</v>
      </c>
      <c r="F11" s="20">
        <f>E11/$E$2</f>
        <v>0.15146776959548069</v>
      </c>
      <c r="H11" s="26">
        <f>IFERROR(($F$11*H7),0)</f>
        <v>0</v>
      </c>
      <c r="I11" s="26">
        <f>IFERROR(($F$11*I7),0)</f>
        <v>0</v>
      </c>
      <c r="J11" s="26">
        <f>IFERROR(($F$11*J7),0)</f>
        <v>0</v>
      </c>
      <c r="K11" s="26">
        <f t="shared" ref="K11:BV11" si="5">IFERROR(($F$11*K7),0)</f>
        <v>0</v>
      </c>
      <c r="L11" s="26">
        <f t="shared" si="5"/>
        <v>0</v>
      </c>
      <c r="M11" s="26">
        <f t="shared" si="5"/>
        <v>0</v>
      </c>
      <c r="N11" s="26">
        <f t="shared" si="5"/>
        <v>0</v>
      </c>
      <c r="O11" s="26">
        <f t="shared" si="5"/>
        <v>0</v>
      </c>
      <c r="P11" s="26">
        <f t="shared" si="5"/>
        <v>0</v>
      </c>
      <c r="Q11" s="26">
        <f t="shared" si="5"/>
        <v>0</v>
      </c>
      <c r="R11" s="26">
        <f t="shared" si="5"/>
        <v>0</v>
      </c>
      <c r="S11" s="26">
        <f t="shared" si="5"/>
        <v>0</v>
      </c>
      <c r="T11" s="26">
        <f t="shared" si="5"/>
        <v>0</v>
      </c>
      <c r="U11" s="26">
        <f t="shared" si="5"/>
        <v>0</v>
      </c>
      <c r="V11" s="26">
        <f t="shared" si="5"/>
        <v>0</v>
      </c>
      <c r="W11" s="26">
        <f t="shared" si="5"/>
        <v>0</v>
      </c>
      <c r="X11" s="26">
        <f t="shared" si="5"/>
        <v>0</v>
      </c>
      <c r="Y11" s="26">
        <f t="shared" si="5"/>
        <v>0</v>
      </c>
      <c r="Z11" s="26">
        <f t="shared" si="5"/>
        <v>0</v>
      </c>
      <c r="AA11" s="26">
        <f t="shared" si="5"/>
        <v>0</v>
      </c>
      <c r="AB11" s="26">
        <f t="shared" si="5"/>
        <v>0</v>
      </c>
      <c r="AC11" s="26">
        <f t="shared" si="5"/>
        <v>0</v>
      </c>
      <c r="AD11" s="26">
        <f t="shared" si="5"/>
        <v>0</v>
      </c>
      <c r="AE11" s="26">
        <f t="shared" si="5"/>
        <v>0</v>
      </c>
      <c r="AF11" s="26">
        <f t="shared" si="5"/>
        <v>0</v>
      </c>
      <c r="AG11" s="26">
        <f t="shared" si="5"/>
        <v>0</v>
      </c>
      <c r="AH11" s="26">
        <f t="shared" si="5"/>
        <v>0</v>
      </c>
      <c r="AI11" s="26">
        <f t="shared" si="5"/>
        <v>0</v>
      </c>
      <c r="AJ11" s="26">
        <f t="shared" si="5"/>
        <v>0</v>
      </c>
      <c r="AK11" s="26">
        <f t="shared" si="5"/>
        <v>0</v>
      </c>
      <c r="AL11" s="26">
        <f t="shared" si="5"/>
        <v>0</v>
      </c>
      <c r="AM11" s="26">
        <f t="shared" si="5"/>
        <v>0</v>
      </c>
      <c r="AN11" s="26">
        <f t="shared" si="5"/>
        <v>0</v>
      </c>
      <c r="AO11" s="26">
        <f t="shared" si="5"/>
        <v>0</v>
      </c>
      <c r="AP11" s="26">
        <f t="shared" si="5"/>
        <v>0</v>
      </c>
      <c r="AQ11" s="26">
        <f t="shared" si="5"/>
        <v>0</v>
      </c>
      <c r="AR11" s="26">
        <f t="shared" si="5"/>
        <v>0</v>
      </c>
      <c r="AS11" s="26">
        <f t="shared" si="5"/>
        <v>0</v>
      </c>
      <c r="AT11" s="26">
        <f t="shared" si="5"/>
        <v>0</v>
      </c>
      <c r="AU11" s="26">
        <f t="shared" si="5"/>
        <v>0</v>
      </c>
      <c r="AV11" s="26">
        <f t="shared" si="5"/>
        <v>0</v>
      </c>
      <c r="AW11" s="26">
        <f t="shared" si="5"/>
        <v>0</v>
      </c>
      <c r="AX11" s="26">
        <f t="shared" si="5"/>
        <v>0</v>
      </c>
      <c r="AY11" s="26">
        <f t="shared" si="5"/>
        <v>0</v>
      </c>
      <c r="AZ11" s="26">
        <f t="shared" si="5"/>
        <v>0</v>
      </c>
      <c r="BA11" s="26">
        <f t="shared" si="5"/>
        <v>0</v>
      </c>
      <c r="BB11" s="26">
        <f t="shared" si="5"/>
        <v>0</v>
      </c>
      <c r="BC11" s="26">
        <f t="shared" si="5"/>
        <v>0</v>
      </c>
      <c r="BD11" s="26">
        <f t="shared" si="5"/>
        <v>0</v>
      </c>
      <c r="BE11" s="26">
        <f t="shared" si="5"/>
        <v>0</v>
      </c>
      <c r="BF11" s="26">
        <f t="shared" si="5"/>
        <v>0</v>
      </c>
      <c r="BG11" s="26">
        <f t="shared" si="5"/>
        <v>0</v>
      </c>
      <c r="BH11" s="26">
        <f t="shared" si="5"/>
        <v>0</v>
      </c>
      <c r="BI11" s="26">
        <f t="shared" si="5"/>
        <v>0</v>
      </c>
      <c r="BJ11" s="26">
        <f t="shared" si="5"/>
        <v>0</v>
      </c>
      <c r="BK11" s="26">
        <f t="shared" si="5"/>
        <v>0</v>
      </c>
      <c r="BL11" s="26">
        <f t="shared" si="5"/>
        <v>0</v>
      </c>
      <c r="BM11" s="26">
        <f t="shared" si="5"/>
        <v>0</v>
      </c>
      <c r="BN11" s="26">
        <f t="shared" si="5"/>
        <v>0</v>
      </c>
      <c r="BO11" s="26">
        <f t="shared" si="5"/>
        <v>0</v>
      </c>
      <c r="BP11" s="26">
        <f t="shared" si="5"/>
        <v>0</v>
      </c>
      <c r="BQ11" s="26">
        <f t="shared" si="5"/>
        <v>0</v>
      </c>
      <c r="BR11" s="26">
        <f t="shared" si="5"/>
        <v>0</v>
      </c>
      <c r="BS11" s="26">
        <f t="shared" si="5"/>
        <v>0</v>
      </c>
      <c r="BT11" s="26">
        <f t="shared" si="5"/>
        <v>0</v>
      </c>
      <c r="BU11" s="26">
        <f t="shared" si="5"/>
        <v>0</v>
      </c>
      <c r="BV11" s="26">
        <f t="shared" si="5"/>
        <v>0</v>
      </c>
      <c r="BW11" s="26">
        <f t="shared" ref="BW11:CL11" si="6">IFERROR(($F$11*BW7),0)</f>
        <v>0</v>
      </c>
      <c r="BX11" s="26">
        <f t="shared" si="6"/>
        <v>0</v>
      </c>
      <c r="BY11" s="26">
        <f t="shared" si="6"/>
        <v>0</v>
      </c>
      <c r="BZ11" s="26">
        <f t="shared" si="6"/>
        <v>0</v>
      </c>
      <c r="CA11" s="26">
        <f t="shared" si="6"/>
        <v>0</v>
      </c>
      <c r="CB11" s="26">
        <f t="shared" si="6"/>
        <v>0</v>
      </c>
      <c r="CC11" s="26">
        <f t="shared" si="6"/>
        <v>0</v>
      </c>
      <c r="CD11" s="26">
        <f t="shared" si="6"/>
        <v>0</v>
      </c>
      <c r="CE11" s="26">
        <f t="shared" si="6"/>
        <v>0</v>
      </c>
      <c r="CF11" s="26">
        <f t="shared" si="6"/>
        <v>0</v>
      </c>
      <c r="CG11" s="26">
        <f t="shared" si="6"/>
        <v>0</v>
      </c>
      <c r="CH11" s="26">
        <f t="shared" si="6"/>
        <v>0</v>
      </c>
      <c r="CI11" s="26">
        <f t="shared" si="6"/>
        <v>0</v>
      </c>
      <c r="CJ11" s="26">
        <f t="shared" si="6"/>
        <v>0</v>
      </c>
      <c r="CK11" s="26">
        <f t="shared" si="6"/>
        <v>0</v>
      </c>
      <c r="CL11" s="26">
        <f t="shared" si="6"/>
        <v>0</v>
      </c>
      <c r="CM11" s="26">
        <f t="shared" ref="CM11:CT11" si="7">IFERROR(($F$11*CM7),0)</f>
        <v>0</v>
      </c>
      <c r="CN11" s="26">
        <f t="shared" si="7"/>
        <v>0</v>
      </c>
      <c r="CO11" s="26">
        <f t="shared" si="7"/>
        <v>0</v>
      </c>
      <c r="CP11" s="26">
        <f t="shared" si="7"/>
        <v>0</v>
      </c>
      <c r="CQ11" s="26">
        <f t="shared" si="7"/>
        <v>0</v>
      </c>
      <c r="CR11" s="26">
        <f t="shared" si="7"/>
        <v>0</v>
      </c>
      <c r="CS11" s="26">
        <f t="shared" si="7"/>
        <v>0</v>
      </c>
      <c r="CT11" s="26">
        <f t="shared" si="7"/>
        <v>0</v>
      </c>
      <c r="CU11" s="26">
        <f t="shared" ref="CU11:CZ11" si="8">IFERROR(($F$11*CU7),0)</f>
        <v>0</v>
      </c>
      <c r="CV11" s="26">
        <f t="shared" si="8"/>
        <v>0</v>
      </c>
      <c r="CW11" s="26">
        <f t="shared" si="8"/>
        <v>0</v>
      </c>
      <c r="CX11" s="26">
        <f t="shared" si="8"/>
        <v>0</v>
      </c>
      <c r="CY11" s="26">
        <f t="shared" si="8"/>
        <v>0</v>
      </c>
      <c r="CZ11" s="26">
        <f t="shared" si="8"/>
        <v>0</v>
      </c>
      <c r="DA11" s="26">
        <f t="shared" ref="DA11:EF11" si="9">IFERROR(($F$11*DA7),0)</f>
        <v>0</v>
      </c>
      <c r="DB11" s="26">
        <f t="shared" si="9"/>
        <v>0</v>
      </c>
      <c r="DC11" s="26">
        <f t="shared" si="9"/>
        <v>0</v>
      </c>
      <c r="DD11" s="26">
        <f t="shared" si="9"/>
        <v>0</v>
      </c>
      <c r="DE11" s="26">
        <f t="shared" si="9"/>
        <v>0</v>
      </c>
      <c r="DF11" s="26">
        <f t="shared" si="9"/>
        <v>0</v>
      </c>
      <c r="DG11" s="26">
        <f t="shared" si="9"/>
        <v>0</v>
      </c>
      <c r="DH11" s="26">
        <f t="shared" si="9"/>
        <v>0</v>
      </c>
      <c r="DI11" s="26">
        <f t="shared" si="9"/>
        <v>0</v>
      </c>
      <c r="DJ11" s="26">
        <f t="shared" si="9"/>
        <v>0</v>
      </c>
      <c r="DK11" s="26">
        <f t="shared" si="9"/>
        <v>0</v>
      </c>
      <c r="DL11" s="26">
        <f t="shared" si="9"/>
        <v>0</v>
      </c>
      <c r="DM11" s="26">
        <f t="shared" si="9"/>
        <v>0</v>
      </c>
      <c r="DN11" s="26">
        <f t="shared" si="9"/>
        <v>0</v>
      </c>
      <c r="DO11" s="26">
        <f t="shared" si="9"/>
        <v>0</v>
      </c>
      <c r="DP11" s="26">
        <f t="shared" si="9"/>
        <v>0</v>
      </c>
      <c r="DQ11" s="26">
        <f t="shared" si="9"/>
        <v>0</v>
      </c>
      <c r="DR11" s="26">
        <f t="shared" si="9"/>
        <v>0</v>
      </c>
      <c r="DS11" s="26">
        <f t="shared" si="9"/>
        <v>0</v>
      </c>
      <c r="DT11" s="26">
        <f t="shared" si="9"/>
        <v>0</v>
      </c>
      <c r="DU11" s="26">
        <f t="shared" si="9"/>
        <v>0</v>
      </c>
      <c r="DV11" s="26">
        <f t="shared" si="9"/>
        <v>0</v>
      </c>
      <c r="DW11" s="26">
        <f t="shared" si="9"/>
        <v>0</v>
      </c>
      <c r="DX11" s="26">
        <f t="shared" si="9"/>
        <v>0</v>
      </c>
      <c r="DY11" s="26">
        <f t="shared" si="9"/>
        <v>0</v>
      </c>
      <c r="DZ11" s="26">
        <f t="shared" si="9"/>
        <v>0</v>
      </c>
      <c r="EA11" s="26">
        <f t="shared" si="9"/>
        <v>0</v>
      </c>
      <c r="EB11" s="26">
        <f t="shared" si="9"/>
        <v>0</v>
      </c>
      <c r="EC11" s="26">
        <f t="shared" si="9"/>
        <v>0</v>
      </c>
      <c r="ED11" s="26">
        <f t="shared" si="9"/>
        <v>0</v>
      </c>
      <c r="EE11" s="26">
        <f t="shared" si="9"/>
        <v>0</v>
      </c>
      <c r="EF11" s="26">
        <f t="shared" si="9"/>
        <v>0</v>
      </c>
    </row>
    <row r="12" spans="1:137 16384:16384">
      <c r="A12" s="21"/>
      <c r="B12" s="52" t="s">
        <v>58</v>
      </c>
      <c r="C12" s="8">
        <v>1</v>
      </c>
      <c r="D12" s="18">
        <v>36.450000000000003</v>
      </c>
      <c r="E12" s="8">
        <f>D12*C12</f>
        <v>36.450000000000003</v>
      </c>
      <c r="F12" s="20">
        <f>E12/$E$2</f>
        <v>0.18384949056794112</v>
      </c>
      <c r="H12" s="19">
        <f>$F$12*H8</f>
        <v>7.7368358639521304E-3</v>
      </c>
      <c r="I12" s="19">
        <f>$F$12*I8</f>
        <v>7.7084168839618699E-3</v>
      </c>
      <c r="J12" s="19">
        <f>$F$12*J8</f>
        <v>7.4080080575695097E-3</v>
      </c>
      <c r="K12" s="19">
        <f t="shared" ref="K12:BV12" si="10">$F$12*K8</f>
        <v>7.2332689024026415E-3</v>
      </c>
      <c r="L12" s="19">
        <f t="shared" si="10"/>
        <v>7.2930825403462393E-3</v>
      </c>
      <c r="M12" s="19">
        <f t="shared" si="10"/>
        <v>7.28156398346449E-3</v>
      </c>
      <c r="N12" s="19">
        <f t="shared" si="10"/>
        <v>7.3614157608061755E-3</v>
      </c>
      <c r="O12" s="19">
        <f t="shared" si="10"/>
        <v>7.3947103232823979E-3</v>
      </c>
      <c r="P12" s="19">
        <f t="shared" si="10"/>
        <v>7.5006054585441762E-3</v>
      </c>
      <c r="Q12" s="19">
        <f t="shared" si="10"/>
        <v>7.5023091482780942E-3</v>
      </c>
      <c r="R12" s="19">
        <f t="shared" si="10"/>
        <v>7.4300437878796017E-3</v>
      </c>
      <c r="S12" s="19">
        <f t="shared" si="10"/>
        <v>7.4804729962319287E-3</v>
      </c>
      <c r="T12" s="19">
        <f t="shared" si="10"/>
        <v>7.5420275085987063E-3</v>
      </c>
      <c r="U12" s="19">
        <f t="shared" si="10"/>
        <v>7.5762152706569143E-3</v>
      </c>
      <c r="V12" s="19">
        <f t="shared" si="10"/>
        <v>7.5762152706569143E-3</v>
      </c>
      <c r="W12" s="19">
        <f t="shared" si="10"/>
        <v>7.4083072089163645E-3</v>
      </c>
      <c r="X12" s="19">
        <f t="shared" si="10"/>
        <v>7.5296719686528783E-3</v>
      </c>
      <c r="Y12" s="19">
        <f t="shared" si="10"/>
        <v>7.4999792181645814E-3</v>
      </c>
      <c r="Z12" s="19">
        <f t="shared" si="10"/>
        <v>7.4003551818572827E-3</v>
      </c>
      <c r="AA12" s="19">
        <f t="shared" si="10"/>
        <v>7.4372771265348355E-3</v>
      </c>
      <c r="AB12" s="19">
        <f t="shared" si="10"/>
        <v>7.4989595065101744E-3</v>
      </c>
      <c r="AC12" s="19">
        <f t="shared" si="10"/>
        <v>7.3628150007185068E-3</v>
      </c>
      <c r="AD12" s="19">
        <f t="shared" si="10"/>
        <v>7.4063176004273311E-3</v>
      </c>
      <c r="AE12" s="19">
        <f t="shared" si="10"/>
        <v>7.3130266733469019E-3</v>
      </c>
      <c r="AF12" s="19">
        <f t="shared" si="10"/>
        <v>7.4083072089163645E-3</v>
      </c>
      <c r="AG12" s="19">
        <f t="shared" si="10"/>
        <v>7.3579038380979641E-3</v>
      </c>
      <c r="AH12" s="19">
        <f t="shared" si="10"/>
        <v>7.2372191537045452E-3</v>
      </c>
      <c r="AI12" s="19">
        <f t="shared" si="10"/>
        <v>7.2182264380963651E-3</v>
      </c>
      <c r="AJ12" s="19">
        <f t="shared" si="10"/>
        <v>7.1333890767059493E-3</v>
      </c>
      <c r="AK12" s="19">
        <f t="shared" si="10"/>
        <v>7.0643798656401862E-3</v>
      </c>
      <c r="AL12" s="19">
        <f t="shared" si="10"/>
        <v>6.9288657721680537E-3</v>
      </c>
      <c r="AM12" s="19">
        <f t="shared" si="10"/>
        <v>6.9336233163460317E-3</v>
      </c>
      <c r="AN12" s="19">
        <f t="shared" si="10"/>
        <v>6.8744582456189097E-3</v>
      </c>
      <c r="AO12" s="19">
        <f t="shared" si="10"/>
        <v>6.6984174182874792E-3</v>
      </c>
      <c r="AP12" s="19">
        <f t="shared" si="10"/>
        <v>6.7417793961530329E-3</v>
      </c>
      <c r="AQ12" s="19">
        <f t="shared" si="10"/>
        <v>6.6883372481540424E-3</v>
      </c>
      <c r="AR12" s="19">
        <f t="shared" si="10"/>
        <v>6.7344472481112999E-3</v>
      </c>
      <c r="AS12" s="19">
        <f t="shared" si="10"/>
        <v>6.7162370909963857E-3</v>
      </c>
      <c r="AT12" s="19">
        <f t="shared" si="10"/>
        <v>6.7162370909963857E-3</v>
      </c>
      <c r="AU12" s="19">
        <f t="shared" si="10"/>
        <v>6.7162370909963857E-3</v>
      </c>
      <c r="AV12" s="19">
        <f t="shared" si="10"/>
        <v>6.7162370909963857E-3</v>
      </c>
      <c r="AW12" s="19">
        <f t="shared" si="10"/>
        <v>6.6854360206524037E-3</v>
      </c>
      <c r="AX12" s="19">
        <f t="shared" si="10"/>
        <v>6.6903016946121231E-3</v>
      </c>
      <c r="AY12" s="19">
        <f t="shared" si="10"/>
        <v>6.7114683828647277E-3</v>
      </c>
      <c r="AZ12" s="19">
        <f t="shared" si="10"/>
        <v>6.7327694299783121E-3</v>
      </c>
      <c r="BA12" s="19">
        <f t="shared" si="10"/>
        <v>6.7049413044471592E-3</v>
      </c>
      <c r="BB12" s="19">
        <f t="shared" si="10"/>
        <v>6.6588008173828735E-3</v>
      </c>
      <c r="BC12" s="19">
        <f t="shared" si="10"/>
        <v>6.6252068673131933E-3</v>
      </c>
      <c r="BD12" s="19">
        <f t="shared" si="10"/>
        <v>6.6252068673131933E-3</v>
      </c>
      <c r="BE12" s="19">
        <f t="shared" si="10"/>
        <v>6.6733027429379706E-3</v>
      </c>
      <c r="BF12" s="19">
        <f t="shared" si="10"/>
        <v>6.6411616099196075E-3</v>
      </c>
      <c r="BG12" s="19">
        <f t="shared" si="10"/>
        <v>6.6499695165640627E-3</v>
      </c>
      <c r="BH12" s="19">
        <f t="shared" si="10"/>
        <v>6.6507713939928052E-3</v>
      </c>
      <c r="BI12" s="19">
        <f t="shared" si="10"/>
        <v>6.6244111422510601E-3</v>
      </c>
      <c r="BJ12" s="19">
        <f t="shared" si="10"/>
        <v>6.6275951899041497E-3</v>
      </c>
      <c r="BK12" s="19">
        <f t="shared" si="10"/>
        <v>6.6252068673131933E-3</v>
      </c>
      <c r="BL12" s="19">
        <f t="shared" si="10"/>
        <v>6.6355687163597611E-3</v>
      </c>
      <c r="BM12" s="19">
        <f t="shared" si="10"/>
        <v>6.6244111422510601E-3</v>
      </c>
      <c r="BN12" s="19">
        <f t="shared" si="10"/>
        <v>6.6275951899041497E-3</v>
      </c>
      <c r="BO12" s="19">
        <f t="shared" si="10"/>
        <v>6.6299852350501674E-3</v>
      </c>
      <c r="BP12" s="19">
        <f t="shared" si="10"/>
        <v>6.6299852350501674E-3</v>
      </c>
      <c r="BQ12" s="19">
        <f t="shared" si="10"/>
        <v>6.6188464143024529E-3</v>
      </c>
      <c r="BR12" s="19">
        <f t="shared" si="10"/>
        <v>6.6132910276237812E-3</v>
      </c>
      <c r="BS12" s="19">
        <f t="shared" si="10"/>
        <v>6.6164643918404913E-3</v>
      </c>
      <c r="BT12" s="19">
        <f t="shared" si="10"/>
        <v>6.6260027835634717E-3</v>
      </c>
      <c r="BU12" s="19">
        <f t="shared" si="10"/>
        <v>6.6196408029743567E-3</v>
      </c>
      <c r="BV12" s="19">
        <f t="shared" si="10"/>
        <v>6.6339724765915719E-3</v>
      </c>
      <c r="BW12" s="19">
        <f t="shared" ref="BW12:CL12" si="11">$F$12*BW8</f>
        <v>6.6331746446641401E-3</v>
      </c>
      <c r="BX12" s="19">
        <f t="shared" si="11"/>
        <v>6.6252068673131933E-3</v>
      </c>
      <c r="BY12" s="19">
        <f t="shared" si="11"/>
        <v>6.6403620479631989E-3</v>
      </c>
      <c r="BZ12" s="19">
        <f t="shared" si="11"/>
        <v>6.6451623096846187E-3</v>
      </c>
      <c r="CA12" s="19">
        <f t="shared" si="11"/>
        <v>6.6443617841684538E-3</v>
      </c>
      <c r="CB12" s="19">
        <f t="shared" si="11"/>
        <v>6.6531781870183748E-3</v>
      </c>
      <c r="CC12" s="19">
        <f t="shared" si="11"/>
        <v>6.6531781870183748E-3</v>
      </c>
      <c r="CD12" s="19">
        <f t="shared" si="11"/>
        <v>6.6692680979906077E-3</v>
      </c>
      <c r="CE12" s="19">
        <f t="shared" si="11"/>
        <v>6.6644329592052114E-3</v>
      </c>
      <c r="CF12" s="19">
        <f t="shared" si="11"/>
        <v>6.6244111422510601E-3</v>
      </c>
      <c r="CG12" s="19">
        <f t="shared" si="11"/>
        <v>6.6140840832692562E-3</v>
      </c>
      <c r="CH12" s="19">
        <f t="shared" si="11"/>
        <v>6.6283916801324772E-3</v>
      </c>
      <c r="CI12" s="19">
        <f t="shared" si="11"/>
        <v>6.6132910276237812E-3</v>
      </c>
      <c r="CJ12" s="19">
        <f t="shared" si="11"/>
        <v>6.5966806805863335E-3</v>
      </c>
      <c r="CK12" s="19">
        <f t="shared" si="11"/>
        <v>6.611705486739671E-3</v>
      </c>
      <c r="CL12" s="19">
        <f t="shared" si="11"/>
        <v>6.6053709186086624E-3</v>
      </c>
      <c r="CM12" s="19">
        <f t="shared" ref="CM12:CT12" si="12">$F$12*CM8</f>
        <v>6.6172582088041207E-3</v>
      </c>
      <c r="CN12" s="19">
        <f t="shared" si="12"/>
        <v>6.6172582088041207E-3</v>
      </c>
      <c r="CO12" s="19">
        <f t="shared" si="12"/>
        <v>6.6172582088041207E-3</v>
      </c>
      <c r="CP12" s="19">
        <f t="shared" si="12"/>
        <v>6.6172582088041207E-3</v>
      </c>
      <c r="CQ12" s="19">
        <f t="shared" si="12"/>
        <v>6.5746629121924355E-3</v>
      </c>
      <c r="CR12" s="19">
        <f t="shared" si="12"/>
        <v>6.6132910276237812E-3</v>
      </c>
      <c r="CS12" s="19">
        <f t="shared" si="12"/>
        <v>6.6053709186086624E-3</v>
      </c>
      <c r="CT12" s="19">
        <f t="shared" si="12"/>
        <v>6.6093286004053125E-3</v>
      </c>
      <c r="CU12" s="19">
        <f t="shared" ref="CU12:CZ12" si="13">$F$12*CU8</f>
        <v>6.6077449587135899E-3</v>
      </c>
      <c r="CV12" s="19">
        <f t="shared" si="13"/>
        <v>6.601417973714223E-3</v>
      </c>
      <c r="CW12" s="19">
        <f t="shared" si="13"/>
        <v>6.5895874755534448E-3</v>
      </c>
      <c r="CX12" s="19">
        <f t="shared" si="13"/>
        <v>6.5872264624844534E-3</v>
      </c>
      <c r="CY12" s="19">
        <f t="shared" si="13"/>
        <v>6.5699639273832447E-3</v>
      </c>
      <c r="CZ12" s="19">
        <f t="shared" si="13"/>
        <v>6.5691814161960866E-3</v>
      </c>
      <c r="DA12" s="19">
        <f t="shared" ref="DA12:EF12" si="14">$F$12*DA8</f>
        <v>6.5738792813328168E-3</v>
      </c>
      <c r="DB12" s="19">
        <f t="shared" si="14"/>
        <v>6.5746629121924355E-3</v>
      </c>
      <c r="DC12" s="19">
        <f t="shared" si="14"/>
        <v>6.5691814161960866E-3</v>
      </c>
      <c r="DD12" s="19">
        <f t="shared" si="14"/>
        <v>6.5691814161960866E-3</v>
      </c>
      <c r="DE12" s="19">
        <f t="shared" si="14"/>
        <v>6.5990484769540957E-3</v>
      </c>
      <c r="DF12" s="19">
        <f t="shared" si="14"/>
        <v>6.5927381269880875E-3</v>
      </c>
      <c r="DG12" s="19">
        <f t="shared" si="14"/>
        <v>6.5683990913876777E-3</v>
      </c>
      <c r="DH12" s="19">
        <f t="shared" si="14"/>
        <v>6.5605860795030745E-3</v>
      </c>
      <c r="DI12" s="19">
        <f t="shared" si="14"/>
        <v>6.5605860795030745E-3</v>
      </c>
      <c r="DJ12" s="19">
        <f t="shared" si="14"/>
        <v>6.5598058004736372E-3</v>
      </c>
      <c r="DK12" s="19">
        <f t="shared" si="14"/>
        <v>6.5566865395128779E-3</v>
      </c>
      <c r="DL12" s="19">
        <f t="shared" si="14"/>
        <v>6.534934498860466E-3</v>
      </c>
      <c r="DM12" s="19">
        <f t="shared" si="14"/>
        <v>6.5450156841559675E-3</v>
      </c>
      <c r="DN12" s="19">
        <f t="shared" si="14"/>
        <v>6.5171744263715393E-3</v>
      </c>
      <c r="DO12" s="19">
        <f t="shared" si="14"/>
        <v>6.5125572287616411E-3</v>
      </c>
      <c r="DP12" s="19">
        <f t="shared" si="14"/>
        <v>6.5018091677923294E-3</v>
      </c>
      <c r="DQ12" s="19">
        <f t="shared" si="14"/>
        <v>6.4949184138462478E-3</v>
      </c>
      <c r="DR12" s="19">
        <f t="shared" si="14"/>
        <v>6.4750935865675431E-3</v>
      </c>
      <c r="DS12" s="19">
        <f t="shared" si="14"/>
        <v>0</v>
      </c>
      <c r="DT12" s="19">
        <f t="shared" si="14"/>
        <v>0</v>
      </c>
      <c r="DU12" s="19">
        <f t="shared" si="14"/>
        <v>0</v>
      </c>
      <c r="DV12" s="19">
        <f t="shared" si="14"/>
        <v>0</v>
      </c>
      <c r="DW12" s="19">
        <f t="shared" si="14"/>
        <v>0</v>
      </c>
      <c r="DX12" s="19">
        <f t="shared" si="14"/>
        <v>0</v>
      </c>
      <c r="DY12" s="19">
        <f t="shared" si="14"/>
        <v>0</v>
      </c>
      <c r="DZ12" s="19">
        <f t="shared" si="14"/>
        <v>0</v>
      </c>
      <c r="EA12" s="19">
        <f t="shared" si="14"/>
        <v>0</v>
      </c>
      <c r="EB12" s="19">
        <f t="shared" si="14"/>
        <v>0</v>
      </c>
      <c r="EC12" s="19">
        <f t="shared" si="14"/>
        <v>0</v>
      </c>
      <c r="ED12" s="19">
        <f t="shared" si="14"/>
        <v>0</v>
      </c>
      <c r="EE12" s="19">
        <f t="shared" si="14"/>
        <v>0</v>
      </c>
      <c r="EF12" s="19">
        <f t="shared" si="14"/>
        <v>0</v>
      </c>
    </row>
    <row r="13" spans="1:137 16384:16384">
      <c r="A13" s="28" t="s">
        <v>400</v>
      </c>
      <c r="B13" s="24"/>
      <c r="C13" s="24"/>
      <c r="D13" s="24"/>
      <c r="E13" s="24"/>
      <c r="F13" s="24" t="s">
        <v>400</v>
      </c>
      <c r="G13" s="24"/>
      <c r="H13" s="89">
        <f>SUM(H10:H12)</f>
        <v>0.78678892674110423</v>
      </c>
      <c r="I13" s="89">
        <f>SUM(I10:I12)</f>
        <v>0.78061000855254126</v>
      </c>
      <c r="J13" s="89">
        <f>SUM(J10:J12)</f>
        <v>0.78998743779143654</v>
      </c>
      <c r="K13" s="89">
        <f t="shared" ref="K13:BV13" si="15">SUM(K10:K12)</f>
        <v>0.6704129837657381</v>
      </c>
      <c r="L13" s="89">
        <f t="shared" si="15"/>
        <v>0.56643161706972844</v>
      </c>
      <c r="M13" s="89">
        <f t="shared" si="15"/>
        <v>0.5289483809316029</v>
      </c>
      <c r="N13" s="89">
        <f t="shared" si="15"/>
        <v>0.52783628061992005</v>
      </c>
      <c r="O13" s="89">
        <f t="shared" si="15"/>
        <v>0.5294126043802081</v>
      </c>
      <c r="P13" s="89">
        <f t="shared" si="15"/>
        <v>0.53802685487692492</v>
      </c>
      <c r="Q13" s="89">
        <f t="shared" si="15"/>
        <v>0.66588827469682565</v>
      </c>
      <c r="R13" s="89">
        <f t="shared" si="15"/>
        <v>0.89203768016879204</v>
      </c>
      <c r="S13" s="89">
        <f t="shared" si="15"/>
        <v>0.99443524234065406</v>
      </c>
      <c r="T13" s="89">
        <f t="shared" si="15"/>
        <v>1.0293694318899138</v>
      </c>
      <c r="U13" s="89">
        <f t="shared" si="15"/>
        <v>1.257320102897695</v>
      </c>
      <c r="V13" s="89">
        <f t="shared" si="15"/>
        <v>1.6459747346760725</v>
      </c>
      <c r="W13" s="89">
        <f t="shared" si="15"/>
        <v>1.421680829725648</v>
      </c>
      <c r="X13" s="89">
        <f t="shared" si="15"/>
        <v>1.4360367180145321</v>
      </c>
      <c r="Y13" s="89">
        <f t="shared" si="15"/>
        <v>1.243541467368789</v>
      </c>
      <c r="Z13" s="89">
        <f t="shared" si="15"/>
        <v>1.3059443489018145</v>
      </c>
      <c r="AA13" s="89">
        <f t="shared" si="15"/>
        <v>1.3837187608388914</v>
      </c>
      <c r="AB13" s="89">
        <f t="shared" si="15"/>
        <v>1.4173555943271405</v>
      </c>
      <c r="AC13" s="89">
        <f t="shared" si="15"/>
        <v>1.7253592054264788</v>
      </c>
      <c r="AD13" s="89">
        <f t="shared" si="15"/>
        <v>1.7315106140598353</v>
      </c>
      <c r="AE13" s="89">
        <f t="shared" si="15"/>
        <v>1.2573904678447603</v>
      </c>
      <c r="AF13" s="89">
        <f t="shared" si="15"/>
        <v>1.458587348783368</v>
      </c>
      <c r="AG13" s="89">
        <f t="shared" si="15"/>
        <v>1.7341051004836341</v>
      </c>
      <c r="AH13" s="89">
        <f t="shared" si="15"/>
        <v>1.6717267789239121</v>
      </c>
      <c r="AI13" s="89">
        <f t="shared" si="15"/>
        <v>1.5009190717206748</v>
      </c>
      <c r="AJ13" s="89">
        <f t="shared" si="15"/>
        <v>1.3570245662115852</v>
      </c>
      <c r="AK13" s="89">
        <f t="shared" si="15"/>
        <v>1.472577630812457</v>
      </c>
      <c r="AL13" s="89">
        <f t="shared" si="15"/>
        <v>1.4428380536235474</v>
      </c>
      <c r="AM13" s="89">
        <f t="shared" si="15"/>
        <v>1.2532258793880378</v>
      </c>
      <c r="AN13" s="89">
        <f t="shared" si="15"/>
        <v>1.43205179687856</v>
      </c>
      <c r="AO13" s="89">
        <f t="shared" si="15"/>
        <v>1.5002783926388938</v>
      </c>
      <c r="AP13" s="89">
        <f t="shared" si="15"/>
        <v>1.3670399963578681</v>
      </c>
      <c r="AQ13" s="89">
        <f t="shared" si="15"/>
        <v>1.2355994285369041</v>
      </c>
      <c r="AR13" s="89">
        <f t="shared" si="15"/>
        <v>1.2194765936048622</v>
      </c>
      <c r="AS13" s="89">
        <f t="shared" si="15"/>
        <v>1.4696330387757732</v>
      </c>
      <c r="AT13" s="89">
        <f t="shared" si="15"/>
        <v>1.5670388684314438</v>
      </c>
      <c r="AU13" s="89">
        <f t="shared" si="15"/>
        <v>1.3068981201530876</v>
      </c>
      <c r="AV13" s="89">
        <f t="shared" si="15"/>
        <v>1.3401372011424137</v>
      </c>
      <c r="AW13" s="89">
        <f t="shared" si="15"/>
        <v>1.2774116722001057</v>
      </c>
      <c r="AX13" s="89">
        <f t="shared" si="15"/>
        <v>1.0932341701829291</v>
      </c>
      <c r="AY13" s="89">
        <f t="shared" si="15"/>
        <v>1.0932553368711817</v>
      </c>
      <c r="AZ13" s="89">
        <f t="shared" si="15"/>
        <v>1.1398513360629297</v>
      </c>
      <c r="BA13" s="89">
        <f t="shared" si="15"/>
        <v>1.1535613469066313</v>
      </c>
      <c r="BB13" s="89">
        <f t="shared" si="15"/>
        <v>1.2399483656859087</v>
      </c>
      <c r="BC13" s="89">
        <f t="shared" si="15"/>
        <v>1.2808169795341373</v>
      </c>
      <c r="BD13" s="89">
        <f t="shared" si="15"/>
        <v>1.294428094135202</v>
      </c>
      <c r="BE13" s="89">
        <f t="shared" si="15"/>
        <v>1.2802204903200294</v>
      </c>
      <c r="BF13" s="89">
        <f t="shared" si="15"/>
        <v>1.3742873561047146</v>
      </c>
      <c r="BG13" s="89">
        <f t="shared" si="15"/>
        <v>1.5206052766792655</v>
      </c>
      <c r="BH13" s="89">
        <f t="shared" si="15"/>
        <v>1.5185321671770193</v>
      </c>
      <c r="BI13" s="89">
        <f t="shared" si="15"/>
        <v>1.5697560237314818</v>
      </c>
      <c r="BJ13" s="89">
        <f t="shared" si="15"/>
        <v>1.5697592077791349</v>
      </c>
      <c r="BK13" s="89">
        <f t="shared" si="15"/>
        <v>1.5914669807425055</v>
      </c>
      <c r="BL13" s="89">
        <f t="shared" si="15"/>
        <v>1.3174149775772754</v>
      </c>
      <c r="BM13" s="89">
        <f t="shared" si="15"/>
        <v>1.3156131377506244</v>
      </c>
      <c r="BN13" s="89">
        <f t="shared" si="15"/>
        <v>1.3617857809825686</v>
      </c>
      <c r="BO13" s="89">
        <f t="shared" si="15"/>
        <v>1.4667199543925229</v>
      </c>
      <c r="BP13" s="89">
        <f t="shared" si="15"/>
        <v>1.4667199543925229</v>
      </c>
      <c r="BQ13" s="89">
        <f t="shared" si="15"/>
        <v>1.4996122514964507</v>
      </c>
      <c r="BR13" s="89">
        <f t="shared" si="15"/>
        <v>1.2991140902205069</v>
      </c>
      <c r="BS13" s="89">
        <f t="shared" si="15"/>
        <v>1.2496008795192775</v>
      </c>
      <c r="BT13" s="89">
        <f t="shared" si="15"/>
        <v>1.2231333246339184</v>
      </c>
      <c r="BU13" s="89">
        <f t="shared" si="15"/>
        <v>1.2891802106573462</v>
      </c>
      <c r="BV13" s="89">
        <f t="shared" si="15"/>
        <v>1.2961704331406825</v>
      </c>
      <c r="BW13" s="89">
        <f t="shared" ref="BW13:CL13" si="16">SUM(BW10:BW12)</f>
        <v>1.2171288079808764</v>
      </c>
      <c r="BX13" s="89">
        <f t="shared" si="16"/>
        <v>1.2166397864791516</v>
      </c>
      <c r="BY13" s="89">
        <f t="shared" si="16"/>
        <v>1.2256650923164931</v>
      </c>
      <c r="BZ13" s="89">
        <f t="shared" si="16"/>
        <v>1.2914446082401856</v>
      </c>
      <c r="CA13" s="89">
        <f t="shared" si="16"/>
        <v>1.2771484035874872</v>
      </c>
      <c r="CB13" s="89">
        <f t="shared" si="16"/>
        <v>1.2760319038717927</v>
      </c>
      <c r="CC13" s="89">
        <f t="shared" si="16"/>
        <v>1.2753926310433878</v>
      </c>
      <c r="CD13" s="89">
        <f t="shared" si="16"/>
        <v>1.2233889599976553</v>
      </c>
      <c r="CE13" s="89">
        <f t="shared" si="16"/>
        <v>1.2209836754911303</v>
      </c>
      <c r="CF13" s="89">
        <f t="shared" si="16"/>
        <v>1.3236098608719147</v>
      </c>
      <c r="CG13" s="89">
        <f t="shared" si="16"/>
        <v>1.3468462405907442</v>
      </c>
      <c r="CH13" s="89">
        <f t="shared" si="16"/>
        <v>1.4489159783806902</v>
      </c>
      <c r="CI13" s="89">
        <f t="shared" si="16"/>
        <v>1.4469087678017996</v>
      </c>
      <c r="CJ13" s="89">
        <f t="shared" si="16"/>
        <v>1.4468921574547622</v>
      </c>
      <c r="CK13" s="89">
        <f t="shared" si="16"/>
        <v>1.4181988809498896</v>
      </c>
      <c r="CL13" s="89">
        <f t="shared" si="16"/>
        <v>1.3491138433838588</v>
      </c>
      <c r="CM13" s="89">
        <f t="shared" ref="CM13:EF13" si="17">SUM(CM10:CM12)</f>
        <v>1.3022325055163735</v>
      </c>
      <c r="CN13" s="89">
        <f t="shared" si="17"/>
        <v>1.3022325055163735</v>
      </c>
      <c r="CO13" s="89">
        <f t="shared" si="17"/>
        <v>1.3022325055163735</v>
      </c>
      <c r="CP13" s="89">
        <f t="shared" si="17"/>
        <v>1.3022325055163735</v>
      </c>
      <c r="CQ13" s="89">
        <f t="shared" si="17"/>
        <v>1.3980086108550021</v>
      </c>
      <c r="CR13" s="89">
        <f t="shared" si="17"/>
        <v>1.4037888992326386</v>
      </c>
      <c r="CS13" s="89">
        <f t="shared" si="17"/>
        <v>1.3999320105059789</v>
      </c>
      <c r="CT13" s="89">
        <f t="shared" si="17"/>
        <v>1.3065319528962043</v>
      </c>
      <c r="CU13" s="89">
        <f t="shared" si="17"/>
        <v>1.2693635835682158</v>
      </c>
      <c r="CV13" s="89">
        <f t="shared" si="17"/>
        <v>1.2693572565832163</v>
      </c>
      <c r="CW13" s="89">
        <f t="shared" si="17"/>
        <v>1.2085683062675836</v>
      </c>
      <c r="CX13" s="89">
        <f t="shared" si="17"/>
        <v>1.1363839607126722</v>
      </c>
      <c r="CY13" s="89">
        <f t="shared" si="17"/>
        <v>1.2298879392349373</v>
      </c>
      <c r="CZ13" s="89">
        <f t="shared" si="17"/>
        <v>1.2281833712428201</v>
      </c>
      <c r="DA13" s="89">
        <f t="shared" si="17"/>
        <v>1.1707558049519267</v>
      </c>
      <c r="DB13" s="89">
        <f t="shared" si="17"/>
        <v>1.1905195448276709</v>
      </c>
      <c r="DC13" s="89">
        <f t="shared" si="17"/>
        <v>1.258348297594063</v>
      </c>
      <c r="DD13" s="89">
        <f t="shared" si="17"/>
        <v>1.2270555720327698</v>
      </c>
      <c r="DE13" s="89">
        <f t="shared" si="17"/>
        <v>1.1738457238236988</v>
      </c>
      <c r="DF13" s="89">
        <f t="shared" si="17"/>
        <v>1.1804903916808365</v>
      </c>
      <c r="DG13" s="89">
        <f t="shared" si="17"/>
        <v>1.1982308476445376</v>
      </c>
      <c r="DH13" s="89">
        <f t="shared" si="17"/>
        <v>1.2577418440049968</v>
      </c>
      <c r="DI13" s="89">
        <f t="shared" si="17"/>
        <v>1.1477720134570768</v>
      </c>
      <c r="DJ13" s="89">
        <f t="shared" si="17"/>
        <v>1.0661775781117564</v>
      </c>
      <c r="DK13" s="89">
        <f t="shared" si="17"/>
        <v>1.0706454199153999</v>
      </c>
      <c r="DL13" s="89">
        <f t="shared" si="17"/>
        <v>1.0989592576924267</v>
      </c>
      <c r="DM13" s="89">
        <f t="shared" si="17"/>
        <v>1.0500917683399522</v>
      </c>
      <c r="DN13" s="89">
        <f t="shared" si="17"/>
        <v>1.0757610992909459</v>
      </c>
      <c r="DO13" s="89">
        <f t="shared" si="17"/>
        <v>1.0742857201609226</v>
      </c>
      <c r="DP13" s="89">
        <f t="shared" si="17"/>
        <v>1.0957745281277187</v>
      </c>
      <c r="DQ13" s="89">
        <f t="shared" si="17"/>
        <v>1.0386075760275899</v>
      </c>
      <c r="DR13" s="89">
        <f t="shared" si="17"/>
        <v>1.0741879437158235</v>
      </c>
      <c r="DS13" s="89" t="e">
        <f t="shared" si="17"/>
        <v>#DIV/0!</v>
      </c>
      <c r="DT13" s="89" t="e">
        <f t="shared" si="17"/>
        <v>#DIV/0!</v>
      </c>
      <c r="DU13" s="89" t="e">
        <f t="shared" si="17"/>
        <v>#DIV/0!</v>
      </c>
      <c r="DV13" s="89" t="e">
        <f t="shared" si="17"/>
        <v>#DIV/0!</v>
      </c>
      <c r="DW13" s="89">
        <f t="shared" si="17"/>
        <v>0</v>
      </c>
      <c r="DX13" s="89">
        <f t="shared" si="17"/>
        <v>0</v>
      </c>
      <c r="DY13" s="89">
        <f t="shared" si="17"/>
        <v>0</v>
      </c>
      <c r="DZ13" s="89">
        <f t="shared" si="17"/>
        <v>0</v>
      </c>
      <c r="EA13" s="89">
        <f t="shared" si="17"/>
        <v>0</v>
      </c>
      <c r="EB13" s="89">
        <f t="shared" si="17"/>
        <v>0</v>
      </c>
      <c r="EC13" s="89">
        <f t="shared" si="17"/>
        <v>0</v>
      </c>
      <c r="ED13" s="89">
        <f t="shared" si="17"/>
        <v>0</v>
      </c>
      <c r="EE13" s="89">
        <f t="shared" si="17"/>
        <v>0</v>
      </c>
      <c r="EF13" s="89">
        <f t="shared" si="17"/>
        <v>0</v>
      </c>
    </row>
    <row r="14" spans="1:137 16384:16384" ht="15">
      <c r="A14" s="22" t="s">
        <v>584</v>
      </c>
      <c r="G14" s="53" t="s">
        <v>429</v>
      </c>
      <c r="H14" s="19"/>
      <c r="I14" s="19"/>
      <c r="J14" s="19"/>
      <c r="K14" s="19"/>
      <c r="L14" s="19"/>
      <c r="M14" s="19"/>
      <c r="N14" s="19"/>
      <c r="O14" s="19"/>
      <c r="P14" s="19"/>
      <c r="Q14" s="19"/>
      <c r="R14" s="19"/>
      <c r="S14" s="19">
        <v>3.01</v>
      </c>
      <c r="T14" s="19">
        <v>3.0550000000000002</v>
      </c>
      <c r="U14" s="19">
        <v>3.0550000000000002</v>
      </c>
      <c r="V14" s="19"/>
      <c r="W14" s="19"/>
      <c r="X14" s="358">
        <v>3.2370000000000001</v>
      </c>
      <c r="Y14" s="19"/>
      <c r="Z14" s="359">
        <v>3.4079999999999999</v>
      </c>
      <c r="AA14" s="19"/>
      <c r="AB14" s="358">
        <v>3.4079999999999999</v>
      </c>
      <c r="AC14" s="359">
        <v>3.59</v>
      </c>
      <c r="AD14" s="19"/>
      <c r="AE14" s="358">
        <v>3.5350000000000001</v>
      </c>
      <c r="AF14" s="19"/>
      <c r="AG14" s="19"/>
      <c r="AH14" s="358">
        <v>3.5350000000000001</v>
      </c>
      <c r="AJ14" s="359">
        <v>3.625</v>
      </c>
      <c r="AK14" s="19"/>
      <c r="AL14" s="19"/>
      <c r="AM14" s="19"/>
      <c r="AN14" s="19"/>
      <c r="AO14" s="19"/>
      <c r="AP14" s="19"/>
      <c r="AQ14" s="19"/>
      <c r="AR14" s="359">
        <v>3.3450000000000002</v>
      </c>
      <c r="AS14" s="19"/>
      <c r="AT14" s="358">
        <v>3.3450000000000002</v>
      </c>
      <c r="AU14" s="19"/>
      <c r="AV14" s="19"/>
      <c r="AW14" s="19"/>
      <c r="AX14" s="19"/>
      <c r="AY14" s="19"/>
      <c r="AZ14" s="19"/>
      <c r="BA14" s="19"/>
      <c r="BB14" s="359">
        <v>3.3650000000000002</v>
      </c>
      <c r="BC14" s="19"/>
      <c r="BD14" s="19"/>
      <c r="BE14" s="19"/>
      <c r="BF14" s="358">
        <v>3.3650000000000002</v>
      </c>
      <c r="BG14" s="19"/>
      <c r="BH14" s="19"/>
      <c r="BI14" s="19"/>
      <c r="BJ14" s="19"/>
      <c r="BK14" s="19"/>
      <c r="BL14" s="19"/>
      <c r="BM14" s="19"/>
      <c r="BN14" s="359">
        <v>3.395</v>
      </c>
      <c r="BO14" s="19"/>
      <c r="BP14" s="19"/>
      <c r="BQ14" s="19"/>
      <c r="BR14" s="358">
        <v>3.395</v>
      </c>
      <c r="BS14" s="19"/>
      <c r="BT14" s="19"/>
      <c r="BU14" s="19"/>
      <c r="BV14" s="358">
        <v>3.387</v>
      </c>
      <c r="BW14" s="19"/>
      <c r="BX14" s="19"/>
      <c r="BY14" s="19"/>
      <c r="BZ14" s="19">
        <f>310/84</f>
        <v>3.6904761904761907</v>
      </c>
      <c r="CA14" s="19"/>
      <c r="CB14" s="19"/>
      <c r="CC14" s="19"/>
      <c r="CD14" s="19"/>
      <c r="CE14" s="19"/>
      <c r="CF14" s="19"/>
      <c r="CG14" s="19"/>
      <c r="CH14" s="19"/>
      <c r="CI14" s="19"/>
      <c r="CJ14" s="19"/>
      <c r="CK14" s="19"/>
      <c r="CL14" s="19"/>
      <c r="CM14" s="19"/>
      <c r="CN14" s="19"/>
      <c r="CO14" s="19"/>
      <c r="CP14" s="19"/>
      <c r="CQ14" s="19"/>
      <c r="CR14" s="358">
        <v>3.472</v>
      </c>
      <c r="CS14" s="19"/>
      <c r="CT14" s="19"/>
      <c r="CU14" s="359">
        <v>3.5209999999999999</v>
      </c>
      <c r="CV14" s="19"/>
      <c r="CW14" s="19"/>
      <c r="CX14" s="19"/>
      <c r="CY14" s="19"/>
      <c r="CZ14" s="19"/>
      <c r="DA14" s="19"/>
      <c r="DB14" s="19"/>
      <c r="DC14" s="19"/>
      <c r="DD14" s="19"/>
      <c r="DE14" s="19"/>
      <c r="DF14" s="19"/>
      <c r="DG14" s="19">
        <v>3.47</v>
      </c>
      <c r="DH14" s="19"/>
      <c r="DI14" s="19"/>
      <c r="DJ14" s="19"/>
      <c r="DK14" s="19"/>
      <c r="DL14" s="19"/>
      <c r="DM14" s="19"/>
      <c r="DN14" s="19"/>
      <c r="DO14" s="19"/>
      <c r="DP14" s="19"/>
      <c r="DQ14" s="19"/>
      <c r="DR14" s="19"/>
      <c r="DS14" s="19"/>
      <c r="DT14" s="19"/>
      <c r="DU14" s="19"/>
      <c r="DV14" s="19"/>
      <c r="DW14" s="19"/>
      <c r="DX14" s="19"/>
      <c r="DY14" s="19"/>
      <c r="DZ14" s="19"/>
      <c r="EA14" s="19"/>
      <c r="EB14" s="19"/>
      <c r="EC14" s="19"/>
      <c r="ED14" s="19"/>
      <c r="EE14" s="19"/>
      <c r="EF14" s="19"/>
      <c r="XFD14" s="19"/>
    </row>
    <row r="15" spans="1:137 16384:16384">
      <c r="A15" s="35"/>
      <c r="G15" s="24" t="s">
        <v>406</v>
      </c>
      <c r="H15" s="26"/>
      <c r="I15" s="26"/>
      <c r="J15" s="26"/>
      <c r="K15" s="26"/>
      <c r="L15" s="26"/>
      <c r="M15" s="26"/>
      <c r="N15" s="26"/>
      <c r="O15" s="26"/>
      <c r="P15" s="26"/>
      <c r="Q15" s="26"/>
      <c r="R15" s="26"/>
      <c r="S15" s="19">
        <f>S14-S13</f>
        <v>2.0155647576593458</v>
      </c>
      <c r="T15" s="19">
        <f t="shared" ref="T15:U15" si="18">T14-T13</f>
        <v>2.0256305681100866</v>
      </c>
      <c r="U15" s="19">
        <f t="shared" si="18"/>
        <v>1.7976798971023051</v>
      </c>
      <c r="V15" s="26"/>
      <c r="W15" s="26"/>
      <c r="X15" s="19">
        <f>X14-X13</f>
        <v>1.800963281985468</v>
      </c>
      <c r="Y15" s="26"/>
      <c r="Z15" s="19">
        <f>Z14-Z13</f>
        <v>2.1020556510981852</v>
      </c>
      <c r="AA15" s="26"/>
      <c r="AB15" s="19">
        <f>AB14-AB13</f>
        <v>1.9906444056728594</v>
      </c>
      <c r="AC15" s="19">
        <f>AC14-AC13</f>
        <v>1.8646407945735211</v>
      </c>
      <c r="AD15" s="26"/>
      <c r="AE15" s="19">
        <f>AE14-AE13</f>
        <v>2.2776095321552399</v>
      </c>
      <c r="AF15" s="26"/>
      <c r="AG15" s="26"/>
      <c r="AH15" s="19">
        <f>AH14-AH13</f>
        <v>1.8632732210760881</v>
      </c>
      <c r="AI15" s="26"/>
      <c r="AJ15" s="19">
        <f>AJ14-AJ13</f>
        <v>2.2679754337884148</v>
      </c>
      <c r="AK15" s="26"/>
      <c r="AL15" s="26"/>
      <c r="AM15" s="26"/>
      <c r="AN15" s="26"/>
      <c r="AO15" s="26"/>
      <c r="AP15" s="26"/>
      <c r="AQ15" s="26"/>
      <c r="AR15" s="19">
        <f>AR14-AR13</f>
        <v>2.1255234063951383</v>
      </c>
      <c r="AS15" s="26"/>
      <c r="AT15" s="19">
        <f>AT14-AT13</f>
        <v>1.7779611315685564</v>
      </c>
      <c r="AU15" s="26"/>
      <c r="AV15" s="26"/>
      <c r="AW15" s="26"/>
      <c r="AX15" s="26"/>
      <c r="AY15" s="26"/>
      <c r="AZ15" s="26"/>
      <c r="BA15" s="26"/>
      <c r="BB15" s="19">
        <f>BB14-BB13</f>
        <v>2.1250516343140915</v>
      </c>
      <c r="BC15" s="19"/>
      <c r="BD15" s="19"/>
      <c r="BE15" s="19"/>
      <c r="BF15" s="19">
        <f>BF14-BF13</f>
        <v>1.9907126438952856</v>
      </c>
      <c r="BG15" s="26"/>
      <c r="BH15" s="26"/>
      <c r="BI15" s="26"/>
      <c r="BJ15" s="26"/>
      <c r="BK15" s="26"/>
      <c r="BL15" s="26"/>
      <c r="BM15" s="26"/>
      <c r="BN15" s="19">
        <f>BN14-BN13</f>
        <v>2.0332142190174314</v>
      </c>
      <c r="BO15" s="26"/>
      <c r="BP15" s="26"/>
      <c r="BQ15" s="26"/>
      <c r="BR15" s="19">
        <f>BR14-BR13</f>
        <v>2.0958859097794931</v>
      </c>
      <c r="BS15" s="26"/>
      <c r="BT15" s="26"/>
      <c r="BU15" s="26"/>
      <c r="BV15" s="19">
        <f>BV14-BV13</f>
        <v>2.0908295668593175</v>
      </c>
      <c r="BW15" s="26"/>
      <c r="BX15" s="26"/>
      <c r="BY15" s="26"/>
      <c r="BZ15" s="19">
        <f>BZ14-BZ13</f>
        <v>2.3990315822360051</v>
      </c>
      <c r="CA15" s="26"/>
      <c r="CB15" s="26"/>
      <c r="CC15" s="26"/>
      <c r="CD15" s="26"/>
      <c r="CE15" s="26"/>
      <c r="CF15" s="26"/>
      <c r="CG15" s="26"/>
      <c r="CH15" s="26"/>
      <c r="CI15" s="26"/>
      <c r="CJ15" s="26"/>
      <c r="CK15" s="26"/>
      <c r="CL15" s="26"/>
      <c r="CM15" s="26"/>
      <c r="CN15" s="26"/>
      <c r="CO15" s="26"/>
      <c r="CP15" s="26"/>
      <c r="CQ15" s="26"/>
      <c r="CR15" s="19">
        <f>CR14-CR13</f>
        <v>2.0682111007673614</v>
      </c>
      <c r="CS15" s="26"/>
      <c r="CT15" s="26"/>
      <c r="CU15" s="19">
        <f>CU14-CU13</f>
        <v>2.2516364164317841</v>
      </c>
      <c r="CV15" s="26"/>
      <c r="CW15" s="26"/>
      <c r="CX15" s="26"/>
      <c r="CY15" s="26"/>
      <c r="CZ15" s="26"/>
      <c r="DA15" s="26"/>
      <c r="DB15" s="26"/>
      <c r="DC15" s="26"/>
      <c r="DD15" s="26"/>
      <c r="DE15" s="26"/>
      <c r="DF15" s="26"/>
      <c r="DG15" s="19">
        <f>DG14-DG13</f>
        <v>2.2717691523554624</v>
      </c>
      <c r="DH15" s="26"/>
      <c r="DI15" s="26"/>
      <c r="DJ15" s="26"/>
      <c r="DK15" s="26"/>
      <c r="DL15" s="26"/>
      <c r="DM15" s="26"/>
      <c r="DN15" s="26"/>
      <c r="DO15" s="26"/>
      <c r="DP15" s="26"/>
      <c r="DQ15" s="26"/>
      <c r="DR15" s="26"/>
      <c r="DS15" s="26"/>
      <c r="DT15" s="26"/>
      <c r="DU15" s="26"/>
      <c r="DV15" s="26"/>
      <c r="DW15" s="26"/>
      <c r="DX15" s="26"/>
      <c r="DY15" s="26"/>
      <c r="DZ15" s="26"/>
      <c r="EA15" s="26"/>
      <c r="EB15" s="26"/>
      <c r="EC15" s="26"/>
      <c r="ED15" s="26"/>
      <c r="EE15" s="26"/>
      <c r="EF15" s="26"/>
    </row>
    <row r="18" spans="7:136" s="157" customFormat="1" ht="15">
      <c r="G18" s="168" t="s">
        <v>407</v>
      </c>
      <c r="H18" s="158">
        <f>1.78+H13</f>
        <v>2.5667889267411041</v>
      </c>
      <c r="I18" s="158">
        <f t="shared" ref="I18:BT18" si="19">1.78+I13</f>
        <v>2.5606100085525414</v>
      </c>
      <c r="J18" s="158">
        <f t="shared" si="19"/>
        <v>2.5699874377914367</v>
      </c>
      <c r="K18" s="158">
        <f t="shared" si="19"/>
        <v>2.4504129837657382</v>
      </c>
      <c r="L18" s="158">
        <f t="shared" si="19"/>
        <v>2.3464316170697286</v>
      </c>
      <c r="M18" s="158">
        <f t="shared" si="19"/>
        <v>2.3089483809316027</v>
      </c>
      <c r="N18" s="158">
        <f t="shared" si="19"/>
        <v>2.3078362806199202</v>
      </c>
      <c r="O18" s="158">
        <f t="shared" si="19"/>
        <v>2.3094126043802081</v>
      </c>
      <c r="P18" s="158">
        <f t="shared" si="19"/>
        <v>2.3180268548769249</v>
      </c>
      <c r="Q18" s="158">
        <f t="shared" si="19"/>
        <v>2.4458882746968258</v>
      </c>
      <c r="R18" s="158">
        <f t="shared" si="19"/>
        <v>2.672037680168792</v>
      </c>
      <c r="S18" s="158">
        <f t="shared" si="19"/>
        <v>2.7744352423406542</v>
      </c>
      <c r="T18" s="158">
        <f t="shared" si="19"/>
        <v>2.8093694318899138</v>
      </c>
      <c r="U18" s="158">
        <f t="shared" si="19"/>
        <v>3.0373201028976951</v>
      </c>
      <c r="V18" s="158">
        <f t="shared" si="19"/>
        <v>3.4259747346760725</v>
      </c>
      <c r="W18" s="158">
        <f t="shared" si="19"/>
        <v>3.2016808297256478</v>
      </c>
      <c r="X18" s="158">
        <f t="shared" si="19"/>
        <v>3.2160367180145322</v>
      </c>
      <c r="Y18" s="158">
        <f t="shared" si="19"/>
        <v>3.0235414673687888</v>
      </c>
      <c r="Z18" s="158">
        <f t="shared" si="19"/>
        <v>3.0859443489018146</v>
      </c>
      <c r="AA18" s="158">
        <f t="shared" si="19"/>
        <v>3.1637187608388917</v>
      </c>
      <c r="AB18" s="158">
        <f t="shared" si="19"/>
        <v>3.1973555943271403</v>
      </c>
      <c r="AC18" s="158">
        <f t="shared" si="19"/>
        <v>3.5053592054264788</v>
      </c>
      <c r="AD18" s="158">
        <f t="shared" si="19"/>
        <v>3.5115106140598353</v>
      </c>
      <c r="AE18" s="158">
        <f t="shared" si="19"/>
        <v>3.0373904678447605</v>
      </c>
      <c r="AF18" s="158">
        <f t="shared" si="19"/>
        <v>3.2385873487833683</v>
      </c>
      <c r="AG18" s="158">
        <f t="shared" si="19"/>
        <v>3.5141051004836341</v>
      </c>
      <c r="AH18" s="158">
        <f t="shared" si="19"/>
        <v>3.4517267789239119</v>
      </c>
      <c r="AI18" s="158">
        <f t="shared" si="19"/>
        <v>3.2809190717206747</v>
      </c>
      <c r="AJ18" s="158">
        <f t="shared" si="19"/>
        <v>3.1370245662115854</v>
      </c>
      <c r="AK18" s="158">
        <f t="shared" si="19"/>
        <v>3.252577630812457</v>
      </c>
      <c r="AL18" s="158">
        <f t="shared" si="19"/>
        <v>3.2228380536235477</v>
      </c>
      <c r="AM18" s="158">
        <f t="shared" si="19"/>
        <v>3.0332258793880378</v>
      </c>
      <c r="AN18" s="158">
        <f t="shared" si="19"/>
        <v>3.2120517968785602</v>
      </c>
      <c r="AO18" s="158">
        <f t="shared" si="19"/>
        <v>3.2802783926388939</v>
      </c>
      <c r="AP18" s="158">
        <f t="shared" si="19"/>
        <v>3.1470399963578681</v>
      </c>
      <c r="AQ18" s="158">
        <f t="shared" si="19"/>
        <v>3.0155994285369041</v>
      </c>
      <c r="AR18" s="158">
        <f t="shared" si="19"/>
        <v>2.9994765936048622</v>
      </c>
      <c r="AS18" s="158">
        <f t="shared" si="19"/>
        <v>3.249633038775773</v>
      </c>
      <c r="AT18" s="158">
        <f t="shared" si="19"/>
        <v>3.3470388684314436</v>
      </c>
      <c r="AU18" s="158">
        <f t="shared" si="19"/>
        <v>3.0868981201530876</v>
      </c>
      <c r="AV18" s="158">
        <f t="shared" si="19"/>
        <v>3.1201372011424136</v>
      </c>
      <c r="AW18" s="158">
        <f t="shared" si="19"/>
        <v>3.0574116722001055</v>
      </c>
      <c r="AX18" s="158">
        <f t="shared" si="19"/>
        <v>2.8732341701829291</v>
      </c>
      <c r="AY18" s="158">
        <f t="shared" si="19"/>
        <v>2.873255336871182</v>
      </c>
      <c r="AZ18" s="158">
        <f t="shared" si="19"/>
        <v>2.9198513360629299</v>
      </c>
      <c r="BA18" s="158">
        <f t="shared" si="19"/>
        <v>2.9335613469066315</v>
      </c>
      <c r="BB18" s="158">
        <f t="shared" si="19"/>
        <v>3.0199483656859085</v>
      </c>
      <c r="BC18" s="158">
        <f>1.78+BC13</f>
        <v>3.0608169795341373</v>
      </c>
      <c r="BD18" s="158">
        <f t="shared" si="19"/>
        <v>3.074428094135202</v>
      </c>
      <c r="BE18" s="158">
        <f t="shared" si="19"/>
        <v>3.0602204903200292</v>
      </c>
      <c r="BF18" s="158">
        <f t="shared" si="19"/>
        <v>3.1542873561047147</v>
      </c>
      <c r="BG18" s="158">
        <f>1.78+BG13</f>
        <v>3.3006052766792653</v>
      </c>
      <c r="BH18" s="158">
        <f t="shared" si="19"/>
        <v>3.2985321671770196</v>
      </c>
      <c r="BI18" s="158">
        <f t="shared" si="19"/>
        <v>3.3497560237314818</v>
      </c>
      <c r="BJ18" s="158">
        <f t="shared" si="19"/>
        <v>3.3497592077791349</v>
      </c>
      <c r="BK18" s="158">
        <f t="shared" si="19"/>
        <v>3.3714669807425057</v>
      </c>
      <c r="BL18" s="158">
        <f t="shared" si="19"/>
        <v>3.0974149775772757</v>
      </c>
      <c r="BM18" s="158">
        <f t="shared" si="19"/>
        <v>3.0956131377506244</v>
      </c>
      <c r="BN18" s="158">
        <f t="shared" si="19"/>
        <v>3.1417857809825689</v>
      </c>
      <c r="BO18" s="158">
        <f t="shared" si="19"/>
        <v>3.2467199543925229</v>
      </c>
      <c r="BP18" s="158">
        <f t="shared" si="19"/>
        <v>3.2467199543925229</v>
      </c>
      <c r="BQ18" s="158">
        <f t="shared" si="19"/>
        <v>3.2796122514964505</v>
      </c>
      <c r="BR18" s="158">
        <f t="shared" si="19"/>
        <v>3.0791140902205072</v>
      </c>
      <c r="BS18" s="158">
        <f t="shared" si="19"/>
        <v>3.0296008795192773</v>
      </c>
      <c r="BT18" s="158">
        <f t="shared" si="19"/>
        <v>3.0031333246339185</v>
      </c>
      <c r="BU18" s="158">
        <f t="shared" ref="BU18:EF18" si="20">1.78+BU13</f>
        <v>3.069180210657346</v>
      </c>
      <c r="BV18" s="158">
        <f t="shared" si="20"/>
        <v>3.0761704331406827</v>
      </c>
      <c r="BW18" s="158">
        <f t="shared" si="20"/>
        <v>2.9971288079808764</v>
      </c>
      <c r="BX18" s="158">
        <f t="shared" si="20"/>
        <v>2.9966397864791516</v>
      </c>
      <c r="BY18" s="158">
        <f t="shared" si="20"/>
        <v>3.0056650923164931</v>
      </c>
      <c r="BZ18" s="158">
        <f t="shared" si="20"/>
        <v>3.0714446082401858</v>
      </c>
      <c r="CA18" s="158">
        <f t="shared" si="20"/>
        <v>3.0571484035874872</v>
      </c>
      <c r="CB18" s="158">
        <f t="shared" si="20"/>
        <v>3.0560319038717925</v>
      </c>
      <c r="CC18" s="158">
        <f t="shared" si="20"/>
        <v>3.0553926310433877</v>
      </c>
      <c r="CD18" s="158">
        <f t="shared" si="20"/>
        <v>3.0033889599976553</v>
      </c>
      <c r="CE18" s="158">
        <f t="shared" si="20"/>
        <v>3.0009836754911303</v>
      </c>
      <c r="CF18" s="158">
        <f t="shared" si="20"/>
        <v>3.1036098608719147</v>
      </c>
      <c r="CG18" s="158">
        <f t="shared" si="20"/>
        <v>3.1268462405907442</v>
      </c>
      <c r="CH18" s="158">
        <f t="shared" si="20"/>
        <v>3.22891597838069</v>
      </c>
      <c r="CI18" s="158">
        <f t="shared" si="20"/>
        <v>3.2269087678017998</v>
      </c>
      <c r="CJ18" s="158">
        <f t="shared" si="20"/>
        <v>3.2268921574547624</v>
      </c>
      <c r="CK18" s="158">
        <f t="shared" si="20"/>
        <v>3.1981988809498896</v>
      </c>
      <c r="CL18" s="158">
        <f t="shared" si="20"/>
        <v>3.129113843383859</v>
      </c>
      <c r="CM18" s="158">
        <f t="shared" si="20"/>
        <v>3.0822325055163735</v>
      </c>
      <c r="CN18" s="158">
        <f t="shared" si="20"/>
        <v>3.0822325055163735</v>
      </c>
      <c r="CO18" s="158">
        <f t="shared" si="20"/>
        <v>3.0822325055163735</v>
      </c>
      <c r="CP18" s="158">
        <f t="shared" si="20"/>
        <v>3.0822325055163735</v>
      </c>
      <c r="CQ18" s="158">
        <f t="shared" si="20"/>
        <v>3.1780086108550023</v>
      </c>
      <c r="CR18" s="158">
        <f t="shared" si="20"/>
        <v>3.1837888992326384</v>
      </c>
      <c r="CS18" s="158">
        <f t="shared" si="20"/>
        <v>3.1799320105059792</v>
      </c>
      <c r="CT18" s="158">
        <f t="shared" si="20"/>
        <v>3.0865319528962045</v>
      </c>
      <c r="CU18" s="158">
        <f t="shared" si="20"/>
        <v>3.0493635835682156</v>
      </c>
      <c r="CV18" s="158">
        <f t="shared" si="20"/>
        <v>3.0493572565832165</v>
      </c>
      <c r="CW18" s="158">
        <f t="shared" si="20"/>
        <v>2.9885683062675836</v>
      </c>
      <c r="CX18" s="158">
        <f t="shared" si="20"/>
        <v>2.9163839607126723</v>
      </c>
      <c r="CY18" s="158">
        <f t="shared" si="20"/>
        <v>3.0098879392349374</v>
      </c>
      <c r="CZ18" s="158">
        <f t="shared" si="20"/>
        <v>3.0081833712428203</v>
      </c>
      <c r="DA18" s="158">
        <f t="shared" si="20"/>
        <v>2.9507558049519265</v>
      </c>
      <c r="DB18" s="158">
        <f t="shared" si="20"/>
        <v>2.9705195448276709</v>
      </c>
      <c r="DC18" s="158">
        <f t="shared" si="20"/>
        <v>3.0383482975940632</v>
      </c>
      <c r="DD18" s="158">
        <f t="shared" si="20"/>
        <v>3.0070555720327699</v>
      </c>
      <c r="DE18" s="158">
        <f t="shared" si="20"/>
        <v>2.953845723823699</v>
      </c>
      <c r="DF18" s="158">
        <f t="shared" si="20"/>
        <v>2.9604903916808363</v>
      </c>
      <c r="DG18" s="158">
        <f t="shared" si="20"/>
        <v>2.9782308476445376</v>
      </c>
      <c r="DH18" s="158">
        <f t="shared" si="20"/>
        <v>3.037741844004997</v>
      </c>
      <c r="DI18" s="158">
        <f t="shared" si="20"/>
        <v>2.9277720134570768</v>
      </c>
      <c r="DJ18" s="158">
        <f t="shared" si="20"/>
        <v>2.8461775781117566</v>
      </c>
      <c r="DK18" s="158">
        <f t="shared" si="20"/>
        <v>2.8506454199153999</v>
      </c>
      <c r="DL18" s="158">
        <f t="shared" si="20"/>
        <v>2.8789592576924266</v>
      </c>
      <c r="DM18" s="158">
        <f t="shared" si="20"/>
        <v>2.830091768339952</v>
      </c>
      <c r="DN18" s="158">
        <f t="shared" si="20"/>
        <v>2.8557610992909459</v>
      </c>
      <c r="DO18" s="158">
        <f t="shared" si="20"/>
        <v>2.8542857201609229</v>
      </c>
      <c r="DP18" s="158">
        <f t="shared" si="20"/>
        <v>2.8757745281277187</v>
      </c>
      <c r="DQ18" s="158">
        <f t="shared" si="20"/>
        <v>2.8186075760275902</v>
      </c>
      <c r="DR18" s="158">
        <f t="shared" si="20"/>
        <v>2.8541879437158233</v>
      </c>
      <c r="DS18" s="158" t="e">
        <f t="shared" si="20"/>
        <v>#DIV/0!</v>
      </c>
      <c r="DT18" s="158" t="e">
        <f t="shared" si="20"/>
        <v>#DIV/0!</v>
      </c>
      <c r="DU18" s="158" t="e">
        <f t="shared" si="20"/>
        <v>#DIV/0!</v>
      </c>
      <c r="DV18" s="158" t="e">
        <f t="shared" si="20"/>
        <v>#DIV/0!</v>
      </c>
      <c r="DW18" s="158">
        <f t="shared" si="20"/>
        <v>1.78</v>
      </c>
      <c r="DX18" s="158">
        <f t="shared" si="20"/>
        <v>1.78</v>
      </c>
      <c r="DY18" s="158">
        <f t="shared" si="20"/>
        <v>1.78</v>
      </c>
      <c r="DZ18" s="158">
        <f t="shared" si="20"/>
        <v>1.78</v>
      </c>
      <c r="EA18" s="158">
        <f t="shared" si="20"/>
        <v>1.78</v>
      </c>
      <c r="EB18" s="158">
        <f t="shared" si="20"/>
        <v>1.78</v>
      </c>
      <c r="EC18" s="158">
        <f t="shared" si="20"/>
        <v>1.78</v>
      </c>
      <c r="ED18" s="158">
        <f t="shared" si="20"/>
        <v>1.78</v>
      </c>
      <c r="EE18" s="158">
        <f t="shared" si="20"/>
        <v>1.78</v>
      </c>
      <c r="EF18" s="158">
        <f t="shared" si="20"/>
        <v>1.78</v>
      </c>
    </row>
  </sheetData>
  <phoneticPr fontId="52" type="noConversion"/>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7"/>
  <dimension ref="A1:EL18"/>
  <sheetViews>
    <sheetView workbookViewId="0">
      <pane xSplit="11" ySplit="5" topLeftCell="L6" activePane="bottomRight" state="frozen"/>
      <selection pane="topRight" activeCell="L1" sqref="L1"/>
      <selection pane="bottomLeft" activeCell="A6" sqref="A6"/>
      <selection pane="bottomRight" activeCell="H10" sqref="H10:EC10"/>
    </sheetView>
  </sheetViews>
  <sheetFormatPr baseColWidth="10" defaultColWidth="8.6640625" defaultRowHeight="12"/>
  <cols>
    <col min="1" max="1" width="13.5" style="60" bestFit="1" customWidth="1"/>
    <col min="2" max="2" width="11.33203125" style="60" bestFit="1" customWidth="1"/>
    <col min="3" max="3" width="4.83203125" style="60" bestFit="1" customWidth="1"/>
    <col min="4" max="4" width="12.5" style="60" bestFit="1" customWidth="1"/>
    <col min="5" max="5" width="12.1640625" style="60" bestFit="1" customWidth="1"/>
    <col min="6" max="6" width="7.83203125" style="60" bestFit="1" customWidth="1"/>
    <col min="7" max="7" width="22.83203125" style="60" bestFit="1" customWidth="1"/>
    <col min="8" max="8" width="5.1640625" style="60" bestFit="1" customWidth="1"/>
    <col min="9" max="9" width="5.5" style="60" bestFit="1" customWidth="1"/>
    <col min="10" max="10" width="5.6640625" style="60" bestFit="1" customWidth="1"/>
    <col min="11" max="11" width="5.33203125" style="60" bestFit="1" customWidth="1"/>
    <col min="12" max="12" width="5.83203125" style="60" bestFit="1" customWidth="1"/>
    <col min="13" max="13" width="5.1640625" style="60" bestFit="1" customWidth="1"/>
    <col min="14" max="14" width="4.6640625" style="60" bestFit="1" customWidth="1"/>
    <col min="15" max="17" width="5.5" style="60" bestFit="1" customWidth="1"/>
    <col min="18" max="18" width="5.6640625" style="60" bestFit="1" customWidth="1"/>
    <col min="19" max="19" width="5.5" style="60" bestFit="1" customWidth="1"/>
    <col min="20" max="20" width="5.1640625" style="60" bestFit="1" customWidth="1"/>
    <col min="21" max="21" width="5.5" style="60" bestFit="1" customWidth="1"/>
    <col min="22" max="22" width="5.6640625" style="60" bestFit="1" customWidth="1"/>
    <col min="23" max="23" width="5.33203125" style="60" bestFit="1" customWidth="1"/>
    <col min="24" max="24" width="5.83203125" style="60" bestFit="1" customWidth="1"/>
    <col min="25" max="25" width="5.1640625" style="60" bestFit="1" customWidth="1"/>
    <col min="26" max="26" width="4.6640625" style="60" bestFit="1" customWidth="1"/>
    <col min="27" max="29" width="5.5" style="60" bestFit="1" customWidth="1"/>
    <col min="30" max="30" width="5.6640625" style="60" bestFit="1" customWidth="1"/>
    <col min="31" max="31" width="5.5" style="60" bestFit="1" customWidth="1"/>
    <col min="32" max="32" width="5.1640625" style="60" bestFit="1" customWidth="1"/>
    <col min="33" max="33" width="5.5" style="60" bestFit="1" customWidth="1"/>
    <col min="34" max="34" width="5.6640625" style="60" bestFit="1" customWidth="1"/>
    <col min="35" max="35" width="5.33203125" style="60" bestFit="1" customWidth="1"/>
    <col min="36" max="36" width="5.83203125" style="60" bestFit="1" customWidth="1"/>
    <col min="37" max="37" width="5.1640625" style="60" bestFit="1" customWidth="1"/>
    <col min="38" max="38" width="4.6640625" style="60" bestFit="1" customWidth="1"/>
    <col min="39" max="41" width="5.5" style="60" bestFit="1" customWidth="1"/>
    <col min="42" max="42" width="5.6640625" style="60" bestFit="1" customWidth="1"/>
    <col min="43" max="43" width="5.5" style="60" bestFit="1" customWidth="1"/>
    <col min="44" max="44" width="5.1640625" style="60" bestFit="1" customWidth="1"/>
    <col min="45" max="45" width="5.5" style="60" bestFit="1" customWidth="1"/>
    <col min="46" max="46" width="5.6640625" style="60" bestFit="1" customWidth="1"/>
    <col min="47" max="47" width="5.33203125" style="60" bestFit="1" customWidth="1"/>
    <col min="48" max="48" width="5.83203125" style="60" bestFit="1" customWidth="1"/>
    <col min="49" max="49" width="5.1640625" style="60" bestFit="1" customWidth="1"/>
    <col min="50" max="50" width="4.6640625" style="60" bestFit="1" customWidth="1"/>
    <col min="51" max="53" width="7" style="60" bestFit="1" customWidth="1"/>
    <col min="54" max="55" width="5.5" style="60" bestFit="1" customWidth="1"/>
    <col min="56" max="57" width="4.33203125" style="60" bestFit="1" customWidth="1"/>
    <col min="58" max="65" width="6.1640625" style="60" bestFit="1" customWidth="1"/>
    <col min="66" max="69" width="5.6640625" style="60" bestFit="1" customWidth="1"/>
    <col min="70" max="73" width="5.5" style="60" bestFit="1" customWidth="1"/>
    <col min="74" max="77" width="5.1640625" style="60" bestFit="1" customWidth="1"/>
    <col min="78" max="81" width="5.5" style="60" bestFit="1" customWidth="1"/>
    <col min="82" max="85" width="5.6640625" style="60" bestFit="1" customWidth="1"/>
    <col min="86" max="16384" width="8.6640625" style="60"/>
  </cols>
  <sheetData>
    <row r="1" spans="1:142">
      <c r="A1" s="59" t="s">
        <v>377</v>
      </c>
      <c r="B1" s="59" t="s">
        <v>378</v>
      </c>
      <c r="C1" s="59" t="s">
        <v>379</v>
      </c>
      <c r="D1" s="59" t="s">
        <v>380</v>
      </c>
      <c r="E1" s="59" t="s">
        <v>381</v>
      </c>
      <c r="F1" s="59" t="s">
        <v>33</v>
      </c>
      <c r="H1" s="61">
        <v>6</v>
      </c>
      <c r="I1" s="61">
        <v>7</v>
      </c>
      <c r="J1" s="61">
        <v>8</v>
      </c>
      <c r="K1" s="61">
        <v>9</v>
      </c>
      <c r="L1" s="61">
        <v>10</v>
      </c>
      <c r="M1" s="61">
        <v>11</v>
      </c>
      <c r="N1" s="61">
        <v>12</v>
      </c>
      <c r="O1" s="61">
        <v>13</v>
      </c>
      <c r="P1" s="61">
        <v>14</v>
      </c>
      <c r="Q1" s="61">
        <v>15</v>
      </c>
      <c r="R1" s="61">
        <v>16</v>
      </c>
      <c r="S1" s="61">
        <v>17</v>
      </c>
      <c r="T1" s="61">
        <v>18</v>
      </c>
      <c r="U1" s="61">
        <v>19</v>
      </c>
      <c r="V1" s="61">
        <v>20</v>
      </c>
      <c r="W1" s="61">
        <v>21</v>
      </c>
      <c r="X1" s="61">
        <v>22</v>
      </c>
      <c r="Y1" s="61">
        <v>23</v>
      </c>
      <c r="Z1" s="61">
        <v>24</v>
      </c>
      <c r="AA1" s="61">
        <v>25</v>
      </c>
      <c r="AB1" s="61">
        <v>26</v>
      </c>
      <c r="AC1" s="61">
        <v>27</v>
      </c>
      <c r="AD1" s="61">
        <v>28</v>
      </c>
      <c r="AE1" s="61">
        <v>29</v>
      </c>
      <c r="AF1" s="61">
        <v>30</v>
      </c>
      <c r="AG1" s="61">
        <v>31</v>
      </c>
      <c r="AH1" s="61">
        <v>32</v>
      </c>
      <c r="AI1" s="61">
        <v>33</v>
      </c>
      <c r="AJ1" s="61">
        <v>34</v>
      </c>
      <c r="AK1" s="61">
        <v>35</v>
      </c>
      <c r="AL1" s="61">
        <v>36</v>
      </c>
      <c r="AM1" s="61">
        <v>37</v>
      </c>
      <c r="AN1" s="61">
        <v>38</v>
      </c>
      <c r="AO1" s="61">
        <v>39</v>
      </c>
      <c r="AP1" s="61">
        <v>40</v>
      </c>
      <c r="AQ1" s="61">
        <v>41</v>
      </c>
      <c r="AR1" s="61">
        <v>42</v>
      </c>
      <c r="AS1" s="61">
        <v>43</v>
      </c>
      <c r="AT1" s="61">
        <v>44</v>
      </c>
      <c r="AU1" s="61">
        <v>45</v>
      </c>
      <c r="AV1" s="61">
        <v>46</v>
      </c>
      <c r="AW1" s="61">
        <v>47</v>
      </c>
      <c r="AX1" s="61">
        <v>48</v>
      </c>
      <c r="AY1" s="61">
        <v>49</v>
      </c>
      <c r="AZ1" s="61">
        <v>50</v>
      </c>
      <c r="BA1" s="61">
        <v>51</v>
      </c>
      <c r="BB1" s="61">
        <v>52</v>
      </c>
      <c r="BC1" s="61">
        <v>53</v>
      </c>
      <c r="BD1" s="61">
        <v>54</v>
      </c>
      <c r="BE1" s="61">
        <v>55</v>
      </c>
      <c r="BF1" s="61">
        <v>56</v>
      </c>
      <c r="BG1" s="61">
        <v>57</v>
      </c>
      <c r="BH1" s="61">
        <v>58</v>
      </c>
      <c r="BI1" s="61">
        <v>59</v>
      </c>
      <c r="BJ1" s="61">
        <v>60</v>
      </c>
      <c r="BK1" s="61">
        <v>61</v>
      </c>
      <c r="BL1" s="61">
        <v>62</v>
      </c>
      <c r="BM1" s="61">
        <v>63</v>
      </c>
      <c r="BN1" s="61">
        <v>64</v>
      </c>
    </row>
    <row r="2" spans="1:142" ht="13">
      <c r="A2" s="62" t="s">
        <v>585</v>
      </c>
      <c r="B2" s="63" t="s">
        <v>586</v>
      </c>
      <c r="C2" s="60">
        <v>1</v>
      </c>
      <c r="D2" s="64"/>
      <c r="E2" s="65">
        <v>103.16</v>
      </c>
    </row>
    <row r="3" spans="1:142">
      <c r="A3" s="63"/>
      <c r="B3" s="66"/>
      <c r="D3" s="64"/>
    </row>
    <row r="4" spans="1:142" ht="13">
      <c r="A4" s="63" t="s">
        <v>587</v>
      </c>
      <c r="B4" s="62"/>
      <c r="C4" s="62"/>
      <c r="D4" s="64"/>
    </row>
    <row r="5" spans="1:142" ht="30">
      <c r="A5" s="64">
        <v>60.1</v>
      </c>
      <c r="B5" s="64"/>
      <c r="C5" s="63"/>
      <c r="D5" s="64"/>
      <c r="G5" s="59" t="s">
        <v>388</v>
      </c>
      <c r="H5" s="110">
        <v>43831</v>
      </c>
      <c r="I5" s="110">
        <v>43862</v>
      </c>
      <c r="J5" s="110">
        <v>43891</v>
      </c>
      <c r="K5" s="110">
        <v>43922</v>
      </c>
      <c r="L5" s="110">
        <v>43952</v>
      </c>
      <c r="M5" s="110">
        <v>43983</v>
      </c>
      <c r="N5" s="110">
        <v>44013</v>
      </c>
      <c r="O5" s="110">
        <v>44044</v>
      </c>
      <c r="P5" s="110">
        <v>44075</v>
      </c>
      <c r="Q5" s="110">
        <v>44105</v>
      </c>
      <c r="R5" s="110">
        <v>44136</v>
      </c>
      <c r="S5" s="110">
        <v>44166</v>
      </c>
      <c r="T5" s="110">
        <v>44197</v>
      </c>
      <c r="U5" s="110">
        <v>44228</v>
      </c>
      <c r="V5" s="110">
        <v>44256</v>
      </c>
      <c r="W5" s="110">
        <v>44287</v>
      </c>
      <c r="X5" s="110">
        <v>44317</v>
      </c>
      <c r="Y5" s="110">
        <v>44348</v>
      </c>
      <c r="Z5" s="110">
        <v>44378</v>
      </c>
      <c r="AA5" s="110">
        <v>44409</v>
      </c>
      <c r="AB5" s="110">
        <v>44440</v>
      </c>
      <c r="AC5" s="110">
        <v>44470</v>
      </c>
      <c r="AD5" s="110">
        <v>44501</v>
      </c>
      <c r="AE5" s="110">
        <v>44531</v>
      </c>
      <c r="AF5" s="110">
        <v>44562</v>
      </c>
      <c r="AG5" s="110">
        <v>44593</v>
      </c>
      <c r="AH5" s="110">
        <v>44621</v>
      </c>
      <c r="AI5" s="110">
        <v>44652</v>
      </c>
      <c r="AJ5" s="110">
        <v>44682</v>
      </c>
      <c r="AK5" s="110">
        <v>44713</v>
      </c>
      <c r="AL5" s="110">
        <v>44743</v>
      </c>
      <c r="AM5" s="110">
        <v>44774</v>
      </c>
      <c r="AN5" s="110">
        <v>44805</v>
      </c>
      <c r="AO5" s="110">
        <v>44835</v>
      </c>
      <c r="AP5" s="110">
        <v>44866</v>
      </c>
      <c r="AQ5" s="110">
        <v>44896</v>
      </c>
      <c r="AR5" s="110">
        <v>44927</v>
      </c>
      <c r="AS5" s="110">
        <v>44958</v>
      </c>
      <c r="AT5" s="110">
        <v>44986</v>
      </c>
      <c r="AU5" s="110">
        <v>45017</v>
      </c>
      <c r="AV5" s="110">
        <v>45047</v>
      </c>
      <c r="AW5" s="110">
        <v>45078</v>
      </c>
      <c r="AX5" s="110">
        <v>45108</v>
      </c>
      <c r="AY5" s="110" t="s">
        <v>530</v>
      </c>
      <c r="AZ5" s="110" t="s">
        <v>531</v>
      </c>
      <c r="BA5" s="110" t="s">
        <v>532</v>
      </c>
      <c r="BB5" s="110">
        <v>37104</v>
      </c>
      <c r="BC5" s="110">
        <v>37469</v>
      </c>
      <c r="BD5" s="34" t="s">
        <v>168</v>
      </c>
      <c r="BE5" s="34" t="s">
        <v>169</v>
      </c>
      <c r="BF5" s="110" t="s">
        <v>393</v>
      </c>
      <c r="BG5" s="110" t="s">
        <v>458</v>
      </c>
      <c r="BH5" s="110" t="s">
        <v>459</v>
      </c>
      <c r="BI5" s="110" t="s">
        <v>460</v>
      </c>
      <c r="BJ5" s="110" t="s">
        <v>461</v>
      </c>
      <c r="BK5" s="110" t="s">
        <v>462</v>
      </c>
      <c r="BL5" s="110" t="s">
        <v>463</v>
      </c>
      <c r="BM5" s="110" t="s">
        <v>464</v>
      </c>
      <c r="BN5" s="59">
        <v>37196</v>
      </c>
      <c r="BO5" s="59">
        <v>37561</v>
      </c>
      <c r="BP5" s="59">
        <v>37926</v>
      </c>
      <c r="BQ5" s="59">
        <v>38292</v>
      </c>
      <c r="BR5" s="59">
        <v>37226</v>
      </c>
      <c r="BS5" s="59">
        <v>37591</v>
      </c>
      <c r="BT5" s="59">
        <v>37956</v>
      </c>
      <c r="BU5" s="59">
        <v>38322</v>
      </c>
      <c r="BV5" s="59">
        <v>36892</v>
      </c>
      <c r="BW5" s="59">
        <v>37257</v>
      </c>
      <c r="BX5" s="59">
        <v>37622</v>
      </c>
      <c r="BY5" s="59">
        <v>37987</v>
      </c>
      <c r="BZ5" s="59">
        <v>36923</v>
      </c>
      <c r="CA5" s="59">
        <v>37288</v>
      </c>
      <c r="CB5" s="59">
        <v>37653</v>
      </c>
      <c r="CC5" s="59">
        <v>38018</v>
      </c>
      <c r="CD5" s="59" t="str">
        <f>Sheet8!A15</f>
        <v>Mar-w1</v>
      </c>
      <c r="CE5" s="59">
        <v>37316</v>
      </c>
      <c r="CF5" s="59">
        <v>37681</v>
      </c>
      <c r="CG5" s="59">
        <v>38047</v>
      </c>
      <c r="CH5" s="59" t="str">
        <f>Sheet8!E15</f>
        <v>Apr-w1</v>
      </c>
      <c r="CI5" s="59" t="str">
        <f>Sheet8!F15</f>
        <v>Apr-w2</v>
      </c>
      <c r="CJ5" s="59" t="str">
        <f>Sheet8!G15</f>
        <v>Apr-w3</v>
      </c>
      <c r="CK5" s="59" t="str">
        <f>Sheet8!H15</f>
        <v>Apr-w4</v>
      </c>
      <c r="CL5" s="59" t="str">
        <f>Sheet8!I15</f>
        <v>May-w1</v>
      </c>
      <c r="CM5" s="59" t="str">
        <f>Sheet8!J15</f>
        <v>May-w2</v>
      </c>
      <c r="CN5" s="59" t="str">
        <f>Sheet8!K15</f>
        <v>May-w3</v>
      </c>
      <c r="CO5" s="59" t="str">
        <f>Sheet8!L15</f>
        <v>May-w4</v>
      </c>
      <c r="CP5" s="59" t="str">
        <f>Sheet8!M15</f>
        <v>May-w5</v>
      </c>
      <c r="CQ5" s="59" t="str">
        <f>Sheet8!N15</f>
        <v>june-w1</v>
      </c>
      <c r="CR5" s="59" t="str">
        <f>Sheet8!O15</f>
        <v>june-w2</v>
      </c>
      <c r="CS5" s="59" t="str">
        <f>Sheet8!P15</f>
        <v>june-w3</v>
      </c>
      <c r="CT5" s="59" t="str">
        <f>Sheet8!Q15</f>
        <v>june-w4</v>
      </c>
      <c r="CU5" s="59" t="str">
        <f>Sheet8!R15</f>
        <v>Jul-w1</v>
      </c>
      <c r="CV5" s="59" t="str">
        <f>Sheet8!S15</f>
        <v>Jul-w2</v>
      </c>
      <c r="CW5" s="59" t="str">
        <f>Sheet8!T15</f>
        <v>Jul-w3</v>
      </c>
      <c r="CX5" s="59" t="str">
        <f>Sheet8!U15</f>
        <v>Jul-w4</v>
      </c>
      <c r="CY5" s="59" t="str">
        <f>Sheet8!V15</f>
        <v>Aug-w1</v>
      </c>
      <c r="CZ5" s="59" t="str">
        <f>Sheet8!W15</f>
        <v>Aug-w2</v>
      </c>
      <c r="DA5" s="59" t="str">
        <f>Sheet8!X15</f>
        <v>Aug-w3</v>
      </c>
      <c r="DB5" s="59" t="str">
        <f>Sheet8!Y15</f>
        <v>Aug-w4</v>
      </c>
      <c r="DC5" s="59" t="str">
        <f>Sheet8!Z15</f>
        <v>Sep-w1</v>
      </c>
      <c r="DD5" s="59" t="str">
        <f>Sheet8!AA15</f>
        <v>Sep-w2</v>
      </c>
      <c r="DE5" s="59" t="str">
        <f>Sheet8!AB15</f>
        <v>Sep-w3</v>
      </c>
      <c r="DF5" s="59" t="str">
        <f>Sheet8!AC15</f>
        <v>Sep-w4</v>
      </c>
      <c r="DG5" s="59" t="str">
        <f>Sheet8!AD15</f>
        <v>Oct-w1</v>
      </c>
      <c r="DH5" s="59" t="str">
        <f>Sheet8!AE15</f>
        <v>Oct-w2</v>
      </c>
      <c r="DI5" s="59" t="str">
        <f>Sheet8!AF15</f>
        <v>Oct-w3</v>
      </c>
      <c r="DJ5" s="59" t="str">
        <f>Sheet8!AG15</f>
        <v>Oct-w4</v>
      </c>
      <c r="DK5" s="59" t="str">
        <f>Sheet8!AH15</f>
        <v>Nov-w1</v>
      </c>
      <c r="DL5" s="59" t="str">
        <f>Sheet8!AI15</f>
        <v>Nov-w2</v>
      </c>
      <c r="DM5" s="59" t="str">
        <f>Sheet8!AJ15</f>
        <v>Nov-w3</v>
      </c>
      <c r="DN5" s="59" t="str">
        <f>Sheet8!AK15</f>
        <v>Nov-w4</v>
      </c>
      <c r="DO5" s="59" t="str">
        <f>Sheet8!AL15</f>
        <v>Dec-w1</v>
      </c>
      <c r="DP5" s="59" t="str">
        <f>Sheet8!AM15</f>
        <v>Dec-w2</v>
      </c>
      <c r="DQ5" s="59" t="str">
        <f>Sheet8!AN15</f>
        <v>Dec-w3</v>
      </c>
      <c r="DR5" s="59" t="str">
        <f>Sheet8!AO15</f>
        <v>Dec-w4</v>
      </c>
      <c r="DS5" s="59">
        <f>Sheet8!AP15</f>
        <v>0</v>
      </c>
      <c r="DT5" s="59">
        <f>Sheet8!AQ15</f>
        <v>0</v>
      </c>
      <c r="DU5" s="59">
        <f>Sheet8!AR15</f>
        <v>0</v>
      </c>
      <c r="DV5" s="59">
        <f>Sheet8!AS15</f>
        <v>0</v>
      </c>
      <c r="DW5" s="59">
        <f>Sheet8!AT15</f>
        <v>0</v>
      </c>
      <c r="DX5" s="59">
        <f>Sheet8!AU15</f>
        <v>0</v>
      </c>
      <c r="DY5" s="59">
        <f>Sheet8!AV15</f>
        <v>0</v>
      </c>
      <c r="DZ5" s="59">
        <f>Sheet8!AW15</f>
        <v>0</v>
      </c>
      <c r="EA5" s="59">
        <f>Sheet8!AX15</f>
        <v>0</v>
      </c>
      <c r="EB5" s="59">
        <f>Sheet8!AY15</f>
        <v>0</v>
      </c>
      <c r="EC5" s="59">
        <f>Sheet8!AZ15</f>
        <v>0</v>
      </c>
      <c r="ED5" s="59">
        <f>Sheet8!BA15</f>
        <v>0</v>
      </c>
      <c r="EE5" s="59">
        <f>Sheet8!BB15</f>
        <v>0</v>
      </c>
      <c r="EF5" s="59">
        <f>Sheet8!BC15</f>
        <v>0</v>
      </c>
      <c r="EG5" s="59">
        <f>Sheet8!BD15</f>
        <v>0</v>
      </c>
      <c r="EH5" s="59">
        <f>Sheet8!BE15</f>
        <v>0</v>
      </c>
      <c r="EI5" s="59">
        <f>Sheet8!BF15</f>
        <v>0</v>
      </c>
      <c r="EJ5" s="59">
        <f>Sheet8!BG15</f>
        <v>0</v>
      </c>
      <c r="EK5" s="59">
        <f>Sheet8!BH15</f>
        <v>0</v>
      </c>
      <c r="EL5" s="59">
        <f>Sheet8!BI15</f>
        <v>0</v>
      </c>
    </row>
    <row r="6" spans="1:142" ht="13">
      <c r="A6" s="30"/>
      <c r="E6" s="60" t="s">
        <v>588</v>
      </c>
      <c r="F6" s="60" t="s">
        <v>542</v>
      </c>
      <c r="G6" s="63" t="s">
        <v>478</v>
      </c>
      <c r="H6" s="74">
        <f>EDA!H16</f>
        <v>1.5913228236603463</v>
      </c>
      <c r="I6" s="74">
        <f>EDA!I16</f>
        <v>1.6536298073450479</v>
      </c>
      <c r="J6" s="74">
        <f>EDA!J16</f>
        <v>1.6410759694405199</v>
      </c>
      <c r="K6" s="74">
        <f>EDA!K16</f>
        <v>1.6255395132833113</v>
      </c>
      <c r="L6" s="74">
        <f>EDA!L16</f>
        <v>1.571507829806829</v>
      </c>
      <c r="M6" s="74">
        <f>EDA!M16</f>
        <v>1.5490989149980618</v>
      </c>
      <c r="N6" s="74">
        <f>EDA!N16</f>
        <v>1.4200293495872049</v>
      </c>
      <c r="O6" s="74">
        <f>EDA!O16</f>
        <v>1.4904457594924456</v>
      </c>
      <c r="P6" s="74">
        <f>EDA!P16</f>
        <v>1.5644564109691745</v>
      </c>
      <c r="Q6" s="74">
        <f>EDA!Q16</f>
        <v>1.5087441685391236</v>
      </c>
      <c r="R6" s="74">
        <f>EDA!R16</f>
        <v>1.6894243733794705</v>
      </c>
      <c r="S6" s="74">
        <f>EDA!S16</f>
        <v>1.6993908010442498</v>
      </c>
      <c r="T6" s="74">
        <f>EDA!T16</f>
        <v>1.7044551178126899</v>
      </c>
      <c r="U6" s="74">
        <f>EDA!U16</f>
        <v>1.8651440962991168</v>
      </c>
      <c r="V6" s="74">
        <f>EDA!V16</f>
        <v>2.0013500069781944</v>
      </c>
      <c r="W6" s="74">
        <f>EDA!W16</f>
        <v>2.1434938608823169</v>
      </c>
      <c r="X6" s="74">
        <f>EDA!X16</f>
        <v>2.2554856609827509</v>
      </c>
      <c r="Y6" s="74">
        <f>EDA!Y16</f>
        <v>2.2612775065847055</v>
      </c>
      <c r="Z6" s="74">
        <f>EDA!Z16</f>
        <v>2.2284546046831952</v>
      </c>
      <c r="AA6" s="74">
        <f>EDA!AA16</f>
        <v>2.2337921094981903</v>
      </c>
      <c r="AB6" s="74">
        <f>EDA!AB16</f>
        <v>2.2574163849367412</v>
      </c>
      <c r="AC6" s="74">
        <f>EDA!AC16</f>
        <v>2.3532570547909923</v>
      </c>
      <c r="AD6" s="74">
        <f>EDA!AD16</f>
        <v>2.5256383051577478</v>
      </c>
      <c r="AE6" s="74">
        <f>EDA!AE16</f>
        <v>2.359527496387507</v>
      </c>
      <c r="AF6" s="74">
        <f>EDA!AF16</f>
        <v>2.5553459702817038</v>
      </c>
      <c r="AG6" s="74">
        <f>EDA!AG16</f>
        <v>2.5209562094034572</v>
      </c>
      <c r="AH6" s="74">
        <f>EDA!AH16</f>
        <v>2.4246125578315589</v>
      </c>
      <c r="AI6" s="74">
        <f>EDA!AI16</f>
        <v>2.5500692697412495</v>
      </c>
      <c r="AJ6" s="74">
        <f>EDA!AJ16</f>
        <v>2.6005382229207208</v>
      </c>
      <c r="AK6" s="74">
        <f>EDA!AK16</f>
        <v>2.5606748528346199</v>
      </c>
      <c r="AL6" s="74">
        <f>EDA!AL16</f>
        <v>2.3006375479041767</v>
      </c>
      <c r="AM6" s="74">
        <f>EDA!AM16</f>
        <v>2.2930804714699087</v>
      </c>
      <c r="AN6" s="74">
        <f>EDA!AN16</f>
        <v>1.8891263249998971</v>
      </c>
      <c r="AO6" s="74">
        <f>EDA!AO16</f>
        <v>1.7411476376485158</v>
      </c>
      <c r="AP6" s="74">
        <f>EDA!AP16</f>
        <v>1.768994578186438</v>
      </c>
      <c r="AQ6" s="74">
        <f>EDA!AQ16</f>
        <v>1.656080220373636</v>
      </c>
      <c r="AR6" s="74">
        <f>EDA!AR16</f>
        <v>2.5118753880696647</v>
      </c>
      <c r="AS6" s="74">
        <f>EDA!AS16</f>
        <v>1.7549267078297737</v>
      </c>
      <c r="AT6" s="74">
        <f>EDA!AT16</f>
        <v>1.7196172110888006</v>
      </c>
      <c r="AU6" s="74">
        <f>EDA!AU16</f>
        <v>1.7323364564914321</v>
      </c>
      <c r="AV6" s="74">
        <f>EDA!AV16</f>
        <v>1.7756386532862802</v>
      </c>
      <c r="AW6" s="74">
        <f>EDA!AW16</f>
        <v>1.5173181061866585</v>
      </c>
      <c r="AX6" s="74">
        <f>EDA!AX16</f>
        <v>1.5173818502398961</v>
      </c>
      <c r="AY6" s="74">
        <f>EDA!AY16</f>
        <v>1.5176591500577645</v>
      </c>
      <c r="AZ6" s="74">
        <f>EDA!AZ16</f>
        <v>1.5015488589980241</v>
      </c>
      <c r="BA6" s="74">
        <f>EDA!BA16</f>
        <v>1.448571535486888</v>
      </c>
      <c r="BB6" s="74">
        <f>EDA!BB16</f>
        <v>1.5791055733703114</v>
      </c>
      <c r="BC6" s="74">
        <f>EDA!BC16</f>
        <v>1.5786827259872185</v>
      </c>
      <c r="BD6" s="74">
        <f>EDA!BD16</f>
        <v>1.5786827259872185</v>
      </c>
      <c r="BE6" s="74">
        <f>EDA!BE16</f>
        <v>1.5792881092512681</v>
      </c>
      <c r="BF6" s="74">
        <f>EDA!BF16</f>
        <v>1.5788835484908255</v>
      </c>
      <c r="BG6" s="74">
        <f>EDA!BG16</f>
        <v>1.4608524976658548</v>
      </c>
      <c r="BH6" s="74">
        <f>EDA!BH16</f>
        <v>1.4642790493676583</v>
      </c>
      <c r="BI6" s="74">
        <f>EDA!BI16</f>
        <v>1.463947252617245</v>
      </c>
      <c r="BJ6" s="74">
        <f>EDA!BJ16</f>
        <v>1.4776071843730767</v>
      </c>
      <c r="BK6" s="74">
        <f>EDA!BK16</f>
        <v>1.4775722144773726</v>
      </c>
      <c r="BL6" s="74">
        <f>EDA!BL16</f>
        <v>1.4743148730300317</v>
      </c>
      <c r="BM6" s="74">
        <f>EDA!BM16</f>
        <v>1.4956515783806554</v>
      </c>
      <c r="BN6" s="74">
        <f>EDA!BN16</f>
        <v>1.4956990172191584</v>
      </c>
      <c r="BO6" s="74">
        <f>EDA!BO16</f>
        <v>1.4957346262859974</v>
      </c>
      <c r="BP6" s="74">
        <f>EDA!BP16</f>
        <v>1.4957346262859974</v>
      </c>
      <c r="BQ6" s="74">
        <f>EDA!BQ16</f>
        <v>1.5283473721644372</v>
      </c>
      <c r="BR6" s="74">
        <f>EDA!BR16</f>
        <v>1.528264602959895</v>
      </c>
      <c r="BS6" s="74">
        <f>EDA!BS16</f>
        <v>1.5198137700761047</v>
      </c>
      <c r="BT6" s="74">
        <f>EDA!BT16</f>
        <v>1.5216457034207762</v>
      </c>
      <c r="BU6" s="74">
        <f>EDA!BU16</f>
        <v>1.5215574538515182</v>
      </c>
      <c r="BV6" s="74">
        <f>EDA!BV16</f>
        <v>1.5192000742888225</v>
      </c>
      <c r="BW6" s="74">
        <f>EDA!BW16</f>
        <v>1.5234491021678642</v>
      </c>
      <c r="BX6" s="74">
        <f>EDA!BX16</f>
        <v>1.5233365312067475</v>
      </c>
      <c r="BY6" s="74">
        <f>EDA!BY16</f>
        <v>1.5252564090750105</v>
      </c>
      <c r="BZ6" s="74">
        <f>EDA!BZ16</f>
        <v>1.5253254615800973</v>
      </c>
      <c r="CA6" s="74">
        <f>EDA!CA16</f>
        <v>1.5253139458971023</v>
      </c>
      <c r="CB6" s="74">
        <f>EDA!CB16</f>
        <v>1.5254407712116316</v>
      </c>
      <c r="CC6" s="74">
        <f>EDA!CC16</f>
        <v>1.5254407712116316</v>
      </c>
      <c r="CD6" s="74">
        <f>EDA!CD16</f>
        <v>1.5205326672394055</v>
      </c>
      <c r="CE6" s="74">
        <f>EDA!CE16</f>
        <v>1.5204668391411447</v>
      </c>
      <c r="CF6" s="74">
        <f>EDA!CF16</f>
        <v>1.519921961276006</v>
      </c>
      <c r="CG6" s="74">
        <f>EDA!CG16</f>
        <v>1.5197813633152086</v>
      </c>
      <c r="CH6" s="74">
        <f>EDA!CH16</f>
        <v>1.6674803141261378</v>
      </c>
      <c r="CI6" s="74">
        <f>EDA!CI16</f>
        <v>1.6672747259762906</v>
      </c>
      <c r="CJ6" s="74">
        <f>EDA!CJ16</f>
        <v>1.6670485840586624</v>
      </c>
      <c r="CK6" s="74">
        <f>EDA!CK16</f>
        <v>1.6706499397033077</v>
      </c>
      <c r="CL6" s="74">
        <f>EDA!CL16</f>
        <v>1.670560443173553</v>
      </c>
      <c r="CM6" s="74">
        <f>EDA!CM16</f>
        <v>1.6707283900956913</v>
      </c>
      <c r="CN6" s="74">
        <f>EDA!CN16</f>
        <v>1.6656289108234925</v>
      </c>
      <c r="CO6" s="74">
        <f>EDA!CO16</f>
        <v>1.6656289108234925</v>
      </c>
      <c r="CP6" s="74">
        <f>EDA!CP16</f>
        <v>1.6656289108234925</v>
      </c>
      <c r="CQ6" s="74">
        <f>EDA!CQ16</f>
        <v>1.4356090229083367</v>
      </c>
      <c r="CR6" s="74">
        <f>EDA!CR16</f>
        <v>1.4395226181783358</v>
      </c>
      <c r="CS6" s="74">
        <f>EDA!CS16</f>
        <v>1.4394127551884583</v>
      </c>
      <c r="CT6" s="74">
        <f>EDA!CT16</f>
        <v>1.4428632327387247</v>
      </c>
      <c r="CU6" s="74">
        <f>EDA!CU16</f>
        <v>1.4428404518087841</v>
      </c>
      <c r="CV6" s="74">
        <f>EDA!CV16</f>
        <v>1.573864245806162</v>
      </c>
      <c r="CW6" s="74">
        <f>EDA!CW16</f>
        <v>1.5556119927560002</v>
      </c>
      <c r="CX6" s="74">
        <f>EDA!CX16</f>
        <v>1.6703040932813717</v>
      </c>
      <c r="CY6" s="74">
        <f>EDA!CY16</f>
        <v>1.6734355585637992</v>
      </c>
      <c r="CZ6" s="74">
        <f>EDA!CZ16</f>
        <v>1.6734241010099891</v>
      </c>
      <c r="DA6" s="74">
        <f>EDA!DA16</f>
        <v>1.6407141851383966</v>
      </c>
      <c r="DB6" s="74">
        <f>EDA!DB16</f>
        <v>1.6735043612495486</v>
      </c>
      <c r="DC6" s="74">
        <f>EDA!DC16</f>
        <v>1.3858304564648882</v>
      </c>
      <c r="DD6" s="74">
        <f>EDA!DD16</f>
        <v>1.3858304564648882</v>
      </c>
      <c r="DE6" s="74">
        <f>EDA!DE16</f>
        <v>1.3811477998502137</v>
      </c>
      <c r="DF6" s="74">
        <f>EDA!DF16</f>
        <v>1.3810675609182719</v>
      </c>
      <c r="DG6" s="74">
        <f>EDA!DG16</f>
        <v>1.3807580791571032</v>
      </c>
      <c r="DH6" s="74">
        <f>EDA!DH16</f>
        <v>1.3823440018192588</v>
      </c>
      <c r="DI6" s="74">
        <f>EDA!DI16</f>
        <v>1.662344001819259</v>
      </c>
      <c r="DJ6" s="74">
        <f>EDA!DJ16</f>
        <v>1.6623338797848812</v>
      </c>
      <c r="DK6" s="74">
        <f>EDA!DK16</f>
        <v>1.6622934157130729</v>
      </c>
      <c r="DL6" s="74">
        <f>EDA!DL16</f>
        <v>1.6784005922199179</v>
      </c>
      <c r="DM6" s="74">
        <f>EDA!DM16</f>
        <v>1.6154958677114819</v>
      </c>
      <c r="DN6" s="74">
        <f>EDA!DN16</f>
        <v>1.6151239741240278</v>
      </c>
      <c r="DO6" s="74">
        <f>EDA!DO16</f>
        <v>1.6184081613888295</v>
      </c>
      <c r="DP6" s="74">
        <f>EDA!DP16</f>
        <v>1.633813336764554</v>
      </c>
      <c r="DQ6" s="74">
        <f>EDA!DQ16</f>
        <v>1.6337186374099377</v>
      </c>
      <c r="DR6" s="74">
        <f>EDA!DR16</f>
        <v>1.6170568345236611</v>
      </c>
      <c r="DS6" s="74">
        <f>EDA!DS16</f>
        <v>0</v>
      </c>
      <c r="DT6" s="74">
        <f>EDA!DT16</f>
        <v>0</v>
      </c>
      <c r="DU6" s="74">
        <f>EDA!DU16</f>
        <v>0</v>
      </c>
      <c r="DV6" s="74">
        <f>EDA!DV16</f>
        <v>0</v>
      </c>
      <c r="DW6" s="74">
        <f>EDA!DW16</f>
        <v>0</v>
      </c>
      <c r="DX6" s="74">
        <f>EDA!DX16</f>
        <v>0</v>
      </c>
      <c r="DY6" s="74">
        <f>EDA!DY16</f>
        <v>0</v>
      </c>
      <c r="DZ6" s="74">
        <f>EDA!DZ16</f>
        <v>0</v>
      </c>
      <c r="EA6" s="74">
        <f>EDA!EA16</f>
        <v>0</v>
      </c>
      <c r="EB6" s="74">
        <f>EDA!EB16</f>
        <v>0</v>
      </c>
      <c r="EC6" s="74">
        <f>EDA!EC16</f>
        <v>0</v>
      </c>
      <c r="ED6" s="74">
        <f>EDA!ED16</f>
        <v>0</v>
      </c>
      <c r="EE6" s="74">
        <f>EDA!EE16</f>
        <v>0</v>
      </c>
      <c r="EF6" s="74">
        <f>EDA!EF16</f>
        <v>0</v>
      </c>
      <c r="EG6" s="74">
        <f>EDA!EG16</f>
        <v>0</v>
      </c>
      <c r="EH6" s="74">
        <f>EDA!EH16</f>
        <v>0</v>
      </c>
      <c r="EI6" s="74">
        <f>EDA!EI16</f>
        <v>0</v>
      </c>
      <c r="EJ6" s="74">
        <f>EDA!EJ16</f>
        <v>0</v>
      </c>
      <c r="EK6" s="74">
        <f>EDA!EK16</f>
        <v>0</v>
      </c>
      <c r="EL6" s="74">
        <f>EDA!EL16</f>
        <v>0</v>
      </c>
    </row>
    <row r="7" spans="1:142">
      <c r="A7" s="69" t="s">
        <v>395</v>
      </c>
      <c r="B7" s="69"/>
      <c r="C7" s="69" t="s">
        <v>379</v>
      </c>
      <c r="D7" s="69" t="s">
        <v>380</v>
      </c>
      <c r="E7" s="69" t="s">
        <v>381</v>
      </c>
      <c r="F7" s="69" t="s">
        <v>396</v>
      </c>
      <c r="G7" s="30" t="s">
        <v>399</v>
      </c>
      <c r="H7" s="86"/>
      <c r="I7" s="86"/>
      <c r="J7" s="86"/>
      <c r="K7" s="86"/>
      <c r="L7" s="86"/>
      <c r="M7" s="86"/>
      <c r="N7" s="86"/>
      <c r="O7" s="86"/>
      <c r="P7" s="86"/>
      <c r="Q7" s="86"/>
      <c r="R7" s="86"/>
      <c r="S7" s="86"/>
    </row>
    <row r="8" spans="1:142" ht="26">
      <c r="A8" s="66" t="s">
        <v>397</v>
      </c>
      <c r="B8" s="63" t="s">
        <v>587</v>
      </c>
      <c r="C8" s="60">
        <v>1</v>
      </c>
      <c r="D8" s="64">
        <v>60.1</v>
      </c>
      <c r="E8" s="60">
        <f>D8*C8</f>
        <v>60.1</v>
      </c>
      <c r="F8" s="65">
        <f>E8/E2</f>
        <v>0.58259015122140367</v>
      </c>
      <c r="H8" s="74">
        <f>$F$8*H6</f>
        <v>0.92708900447835219</v>
      </c>
      <c r="I8" s="74">
        <f t="shared" ref="I8:BF8" si="0">$F$8*I6</f>
        <v>0.96338843952537212</v>
      </c>
      <c r="J8" s="74">
        <f t="shared" si="0"/>
        <v>0.95607469720216409</v>
      </c>
      <c r="K8" s="74">
        <f t="shared" si="0"/>
        <v>0.94702331086009128</v>
      </c>
      <c r="L8" s="74">
        <f t="shared" si="0"/>
        <v>0.91554498421278041</v>
      </c>
      <c r="M8" s="74">
        <f t="shared" si="0"/>
        <v>0.90248977114563322</v>
      </c>
      <c r="N8" s="74">
        <f t="shared" si="0"/>
        <v>0.8272951135148412</v>
      </c>
      <c r="O8" s="74">
        <f t="shared" si="0"/>
        <v>0.86831902041000375</v>
      </c>
      <c r="P8" s="74">
        <f t="shared" si="0"/>
        <v>0.91143689704582587</v>
      </c>
      <c r="Q8" s="74">
        <f t="shared" si="0"/>
        <v>0.87897949330361902</v>
      </c>
      <c r="R8" s="74">
        <f t="shared" si="0"/>
        <v>0.98424200116427085</v>
      </c>
      <c r="S8" s="74">
        <f t="shared" si="0"/>
        <v>0.9900483437646318</v>
      </c>
      <c r="T8" s="74">
        <f t="shared" si="0"/>
        <v>0.99299876483659044</v>
      </c>
      <c r="U8" s="74">
        <f t="shared" si="0"/>
        <v>1.0866145811126107</v>
      </c>
      <c r="V8" s="74">
        <f t="shared" si="0"/>
        <v>1.1659668032123836</v>
      </c>
      <c r="W8" s="74">
        <f t="shared" si="0"/>
        <v>1.2487784125535795</v>
      </c>
      <c r="X8" s="74">
        <f t="shared" si="0"/>
        <v>1.3140237323096484</v>
      </c>
      <c r="Y8" s="74">
        <f t="shared" si="0"/>
        <v>1.3173980045147422</v>
      </c>
      <c r="Z8" s="74">
        <f t="shared" si="0"/>
        <v>1.2982757051324161</v>
      </c>
      <c r="AA8" s="74">
        <f t="shared" si="0"/>
        <v>1.301385282869729</v>
      </c>
      <c r="AB8" s="74">
        <f t="shared" si="0"/>
        <v>1.3151485530699705</v>
      </c>
      <c r="AC8" s="74">
        <f t="shared" si="0"/>
        <v>1.3709843834135194</v>
      </c>
      <c r="AD8" s="74">
        <f t="shared" si="0"/>
        <v>1.471412002132422</v>
      </c>
      <c r="AE8" s="74">
        <f t="shared" si="0"/>
        <v>1.3746374809314577</v>
      </c>
      <c r="AF8" s="74">
        <f t="shared" si="0"/>
        <v>1.4887193952494224</v>
      </c>
      <c r="AG8" s="74">
        <f t="shared" si="0"/>
        <v>1.4686842592588967</v>
      </c>
      <c r="AH8" s="74">
        <f t="shared" si="0"/>
        <v>1.4125553967204023</v>
      </c>
      <c r="AI8" s="74">
        <f t="shared" si="0"/>
        <v>1.485645241483609</v>
      </c>
      <c r="AJ8" s="74">
        <f t="shared" si="0"/>
        <v>1.5150479565484232</v>
      </c>
      <c r="AK8" s="74">
        <f t="shared" si="0"/>
        <v>1.4918239497417669</v>
      </c>
      <c r="AL8" s="74">
        <f t="shared" si="0"/>
        <v>1.3403287769391337</v>
      </c>
      <c r="AM8" s="74">
        <f t="shared" si="0"/>
        <v>1.3359260986365018</v>
      </c>
      <c r="AN8" s="74">
        <f t="shared" si="0"/>
        <v>1.1005863913580247</v>
      </c>
      <c r="AO8" s="74">
        <f t="shared" si="0"/>
        <v>1.0143754655164385</v>
      </c>
      <c r="AP8" s="74">
        <f t="shared" si="0"/>
        <v>1.0305988188154802</v>
      </c>
      <c r="AQ8" s="74">
        <f t="shared" si="0"/>
        <v>0.96481602602225214</v>
      </c>
      <c r="AR8" s="74">
        <f t="shared" si="0"/>
        <v>1.4633938621848279</v>
      </c>
      <c r="AS8" s="74">
        <f t="shared" si="0"/>
        <v>1.0224030160970279</v>
      </c>
      <c r="AT8" s="74">
        <f t="shared" si="0"/>
        <v>1.0018320510511527</v>
      </c>
      <c r="AU8" s="74">
        <f t="shared" si="0"/>
        <v>1.0092421581536941</v>
      </c>
      <c r="AV8" s="74">
        <f t="shared" si="0"/>
        <v>1.0344695915326236</v>
      </c>
      <c r="AW8" s="74">
        <f t="shared" si="0"/>
        <v>0.88397458493425918</v>
      </c>
      <c r="AX8" s="74">
        <f t="shared" si="0"/>
        <v>0.88401172159187436</v>
      </c>
      <c r="AY8" s="74">
        <f t="shared" si="0"/>
        <v>0.8841732737347</v>
      </c>
      <c r="AZ8" s="74">
        <f t="shared" si="0"/>
        <v>0.87478757682998498</v>
      </c>
      <c r="BA8" s="74">
        <f t="shared" si="0"/>
        <v>0.84392350991432696</v>
      </c>
      <c r="BB8" s="74">
        <f t="shared" si="0"/>
        <v>0.91997135478437109</v>
      </c>
      <c r="BC8" s="74">
        <f t="shared" si="0"/>
        <v>0.91972500806351143</v>
      </c>
      <c r="BD8" s="74">
        <f>$F$8*BD6</f>
        <v>0.91972500806351143</v>
      </c>
      <c r="BE8" s="74">
        <f>$F$8*BE6</f>
        <v>0.92007769839086095</v>
      </c>
      <c r="BF8" s="74">
        <f t="shared" si="0"/>
        <v>0.91984200527625648</v>
      </c>
      <c r="BG8" s="74">
        <f t="shared" ref="BG8:BM8" si="1">$F$8*BG6</f>
        <v>0.85107827752731557</v>
      </c>
      <c r="BH8" s="74">
        <f t="shared" si="1"/>
        <v>0.85307455280143729</v>
      </c>
      <c r="BI8" s="74">
        <f t="shared" si="1"/>
        <v>0.85288125128243919</v>
      </c>
      <c r="BJ8" s="74">
        <f t="shared" si="1"/>
        <v>0.86083939298974321</v>
      </c>
      <c r="BK8" s="74">
        <f t="shared" si="1"/>
        <v>0.86081901987291687</v>
      </c>
      <c r="BL8" s="74">
        <f t="shared" si="1"/>
        <v>0.85892132482653072</v>
      </c>
      <c r="BM8" s="74">
        <f t="shared" si="1"/>
        <v>0.87135187922331714</v>
      </c>
      <c r="BN8" s="74">
        <f t="shared" ref="BN8:BU8" si="2">$F$8*BN6</f>
        <v>0.8713795166234144</v>
      </c>
      <c r="BO8" s="74">
        <f t="shared" si="2"/>
        <v>0.87140026211504895</v>
      </c>
      <c r="BP8" s="74">
        <f t="shared" si="2"/>
        <v>0.87140026211504895</v>
      </c>
      <c r="BQ8" s="74">
        <f t="shared" si="2"/>
        <v>0.89040012666811441</v>
      </c>
      <c r="BR8" s="74">
        <f t="shared" si="2"/>
        <v>0.8903519061447237</v>
      </c>
      <c r="BS8" s="74">
        <f t="shared" si="2"/>
        <v>0.8854285341370095</v>
      </c>
      <c r="BT8" s="74">
        <f t="shared" si="2"/>
        <v>0.88649580046130916</v>
      </c>
      <c r="BU8" s="74">
        <f t="shared" si="2"/>
        <v>0.88644438713140994</v>
      </c>
      <c r="BV8" s="74">
        <f>$F$8*BV6</f>
        <v>0.88507100101549285</v>
      </c>
      <c r="BW8" s="74">
        <f>$F$8*BW6</f>
        <v>0.88754644281008765</v>
      </c>
      <c r="BX8" s="74">
        <f>$F$8*BX6</f>
        <v>0.88748086007682758</v>
      </c>
      <c r="BY8" s="74">
        <f t="shared" ref="BY8:CG8" si="3">$F$8*BY6</f>
        <v>0.88859936201442546</v>
      </c>
      <c r="BZ8" s="74">
        <f t="shared" si="3"/>
        <v>0.88863959132380621</v>
      </c>
      <c r="CA8" s="74">
        <f t="shared" si="3"/>
        <v>0.8886328824003088</v>
      </c>
      <c r="CB8" s="74">
        <f t="shared" si="3"/>
        <v>0.88870676957947903</v>
      </c>
      <c r="CC8" s="74">
        <f t="shared" si="3"/>
        <v>0.88870676957947903</v>
      </c>
      <c r="CD8" s="74">
        <f t="shared" si="3"/>
        <v>0.88584735654408953</v>
      </c>
      <c r="CE8" s="74">
        <f t="shared" si="3"/>
        <v>0.88580900574236909</v>
      </c>
      <c r="CF8" s="74">
        <f t="shared" si="3"/>
        <v>0.88549156526452077</v>
      </c>
      <c r="CG8" s="74">
        <f t="shared" si="3"/>
        <v>0.88540965427727847</v>
      </c>
      <c r="CH8" s="74">
        <f t="shared" ref="CH8:CR8" si="4">$F$8*CH6</f>
        <v>0.97145760836546036</v>
      </c>
      <c r="CI8" s="74">
        <f t="shared" si="4"/>
        <v>0.97133783473415147</v>
      </c>
      <c r="CJ8" s="74">
        <f t="shared" si="4"/>
        <v>0.97120608668016306</v>
      </c>
      <c r="CK8" s="74">
        <f t="shared" si="4"/>
        <v>0.97330420100977899</v>
      </c>
      <c r="CL8" s="74">
        <f t="shared" si="4"/>
        <v>0.97325206121297536</v>
      </c>
      <c r="CM8" s="74">
        <f t="shared" si="4"/>
        <v>0.97334990543574107</v>
      </c>
      <c r="CN8" s="74">
        <f t="shared" si="4"/>
        <v>0.97037899903540037</v>
      </c>
      <c r="CO8" s="74">
        <f t="shared" si="4"/>
        <v>0.97037899903540037</v>
      </c>
      <c r="CP8" s="74">
        <f t="shared" si="4"/>
        <v>0.97037899903540037</v>
      </c>
      <c r="CQ8" s="74">
        <f t="shared" si="4"/>
        <v>0.83637167775097943</v>
      </c>
      <c r="CR8" s="74">
        <f t="shared" si="4"/>
        <v>0.83865169981114762</v>
      </c>
      <c r="CS8" s="74">
        <f t="shared" ref="CS8:EL8" si="5">$F$8*CS6</f>
        <v>0.83858769471526129</v>
      </c>
      <c r="CT8" s="74">
        <f t="shared" si="5"/>
        <v>0.84059790895305697</v>
      </c>
      <c r="CU8" s="74">
        <f t="shared" si="5"/>
        <v>0.84058463700763786</v>
      </c>
      <c r="CV8" s="74">
        <f t="shared" si="5"/>
        <v>0.91691780896617237</v>
      </c>
      <c r="CW8" s="74">
        <f t="shared" si="5"/>
        <v>0.90628422610154724</v>
      </c>
      <c r="CX8" s="74">
        <f t="shared" si="5"/>
        <v>0.97310271429052386</v>
      </c>
      <c r="CY8" s="74">
        <f t="shared" si="5"/>
        <v>0.97492707512295795</v>
      </c>
      <c r="CZ8" s="74">
        <f t="shared" si="5"/>
        <v>0.97492040006495106</v>
      </c>
      <c r="DA8" s="74">
        <f t="shared" si="5"/>
        <v>0.9558639252308806</v>
      </c>
      <c r="DB8" s="74">
        <f t="shared" si="5"/>
        <v>0.97496715889005303</v>
      </c>
      <c r="DC8" s="74">
        <f t="shared" si="5"/>
        <v>0.80737117519910606</v>
      </c>
      <c r="DD8" s="74">
        <f t="shared" si="5"/>
        <v>0.80737117519910606</v>
      </c>
      <c r="DE8" s="74">
        <f t="shared" si="5"/>
        <v>0.804643105573845</v>
      </c>
      <c r="DF8" s="74">
        <f t="shared" si="5"/>
        <v>0.80459635916235117</v>
      </c>
      <c r="DG8" s="74">
        <f t="shared" si="5"/>
        <v>0.80441605813631167</v>
      </c>
      <c r="DH8" s="74">
        <f t="shared" si="5"/>
        <v>0.80534000105988224</v>
      </c>
      <c r="DI8" s="74">
        <f t="shared" si="5"/>
        <v>0.96846524340187545</v>
      </c>
      <c r="DJ8" s="74">
        <f t="shared" si="5"/>
        <v>0.96845934640433662</v>
      </c>
      <c r="DK8" s="74">
        <f t="shared" si="5"/>
        <v>0.96843577243462275</v>
      </c>
      <c r="DL8" s="74">
        <f t="shared" si="5"/>
        <v>0.97781965483149547</v>
      </c>
      <c r="DM8" s="74">
        <f t="shared" si="5"/>
        <v>0.94117198186758499</v>
      </c>
      <c r="DN8" s="74">
        <f t="shared" si="5"/>
        <v>0.94095532032623175</v>
      </c>
      <c r="DO8" s="74">
        <f t="shared" si="5"/>
        <v>0.94286865548147203</v>
      </c>
      <c r="DP8" s="74">
        <f t="shared" si="5"/>
        <v>0.9518435589332076</v>
      </c>
      <c r="DQ8" s="74">
        <f t="shared" si="5"/>
        <v>0.95178838802188115</v>
      </c>
      <c r="DR8" s="74">
        <f t="shared" si="5"/>
        <v>0.94208138575874412</v>
      </c>
      <c r="DS8" s="74">
        <f t="shared" si="5"/>
        <v>0</v>
      </c>
      <c r="DT8" s="74">
        <f t="shared" si="5"/>
        <v>0</v>
      </c>
      <c r="DU8" s="74">
        <f t="shared" si="5"/>
        <v>0</v>
      </c>
      <c r="DV8" s="74">
        <f t="shared" si="5"/>
        <v>0</v>
      </c>
      <c r="DW8" s="74">
        <f t="shared" si="5"/>
        <v>0</v>
      </c>
      <c r="DX8" s="74">
        <f t="shared" si="5"/>
        <v>0</v>
      </c>
      <c r="DY8" s="74">
        <f t="shared" si="5"/>
        <v>0</v>
      </c>
      <c r="DZ8" s="74">
        <f t="shared" si="5"/>
        <v>0</v>
      </c>
      <c r="EA8" s="74">
        <f t="shared" si="5"/>
        <v>0</v>
      </c>
      <c r="EB8" s="74">
        <f t="shared" si="5"/>
        <v>0</v>
      </c>
      <c r="EC8" s="74">
        <f t="shared" si="5"/>
        <v>0</v>
      </c>
      <c r="ED8" s="74">
        <f t="shared" si="5"/>
        <v>0</v>
      </c>
      <c r="EE8" s="74">
        <f t="shared" si="5"/>
        <v>0</v>
      </c>
      <c r="EF8" s="74">
        <f t="shared" si="5"/>
        <v>0</v>
      </c>
      <c r="EG8" s="74">
        <f t="shared" si="5"/>
        <v>0</v>
      </c>
      <c r="EH8" s="74">
        <f t="shared" si="5"/>
        <v>0</v>
      </c>
      <c r="EI8" s="74">
        <f t="shared" si="5"/>
        <v>0</v>
      </c>
      <c r="EJ8" s="74">
        <f t="shared" si="5"/>
        <v>0</v>
      </c>
      <c r="EK8" s="74">
        <f t="shared" si="5"/>
        <v>0</v>
      </c>
      <c r="EL8" s="74">
        <f t="shared" si="5"/>
        <v>0</v>
      </c>
    </row>
    <row r="9" spans="1:142">
      <c r="A9" s="59"/>
      <c r="B9" s="59"/>
      <c r="C9" s="59"/>
      <c r="D9" s="59"/>
      <c r="E9" s="59"/>
      <c r="F9" s="59" t="s">
        <v>400</v>
      </c>
      <c r="G9" s="59"/>
      <c r="H9" s="94">
        <f>SUM(H8:H8)</f>
        <v>0.92708900447835219</v>
      </c>
      <c r="I9" s="94">
        <f t="shared" ref="I9:AM9" si="6">SUM(I8:I8)</f>
        <v>0.96338843952537212</v>
      </c>
      <c r="J9" s="94">
        <f t="shared" si="6"/>
        <v>0.95607469720216409</v>
      </c>
      <c r="K9" s="94">
        <f t="shared" si="6"/>
        <v>0.94702331086009128</v>
      </c>
      <c r="L9" s="94">
        <f t="shared" si="6"/>
        <v>0.91554498421278041</v>
      </c>
      <c r="M9" s="94">
        <f t="shared" si="6"/>
        <v>0.90248977114563322</v>
      </c>
      <c r="N9" s="94">
        <f t="shared" si="6"/>
        <v>0.8272951135148412</v>
      </c>
      <c r="O9" s="94">
        <f t="shared" si="6"/>
        <v>0.86831902041000375</v>
      </c>
      <c r="P9" s="94">
        <f t="shared" si="6"/>
        <v>0.91143689704582587</v>
      </c>
      <c r="Q9" s="94">
        <f t="shared" si="6"/>
        <v>0.87897949330361902</v>
      </c>
      <c r="R9" s="94">
        <f t="shared" si="6"/>
        <v>0.98424200116427085</v>
      </c>
      <c r="S9" s="94">
        <f t="shared" si="6"/>
        <v>0.9900483437646318</v>
      </c>
      <c r="T9" s="94">
        <f t="shared" si="6"/>
        <v>0.99299876483659044</v>
      </c>
      <c r="U9" s="94">
        <f t="shared" si="6"/>
        <v>1.0866145811126107</v>
      </c>
      <c r="V9" s="94">
        <f t="shared" si="6"/>
        <v>1.1659668032123836</v>
      </c>
      <c r="W9" s="94">
        <f t="shared" si="6"/>
        <v>1.2487784125535795</v>
      </c>
      <c r="X9" s="94">
        <f t="shared" si="6"/>
        <v>1.3140237323096484</v>
      </c>
      <c r="Y9" s="94">
        <f t="shared" si="6"/>
        <v>1.3173980045147422</v>
      </c>
      <c r="Z9" s="94">
        <f t="shared" si="6"/>
        <v>1.2982757051324161</v>
      </c>
      <c r="AA9" s="94">
        <f t="shared" si="6"/>
        <v>1.301385282869729</v>
      </c>
      <c r="AB9" s="94">
        <f t="shared" si="6"/>
        <v>1.3151485530699705</v>
      </c>
      <c r="AC9" s="94">
        <f t="shared" si="6"/>
        <v>1.3709843834135194</v>
      </c>
      <c r="AD9" s="94">
        <f t="shared" si="6"/>
        <v>1.471412002132422</v>
      </c>
      <c r="AE9" s="94">
        <f t="shared" si="6"/>
        <v>1.3746374809314577</v>
      </c>
      <c r="AF9" s="94">
        <f t="shared" si="6"/>
        <v>1.4887193952494224</v>
      </c>
      <c r="AG9" s="94">
        <f t="shared" si="6"/>
        <v>1.4686842592588967</v>
      </c>
      <c r="AH9" s="94">
        <f t="shared" si="6"/>
        <v>1.4125553967204023</v>
      </c>
      <c r="AI9" s="94">
        <f t="shared" si="6"/>
        <v>1.485645241483609</v>
      </c>
      <c r="AJ9" s="94">
        <f t="shared" si="6"/>
        <v>1.5150479565484232</v>
      </c>
      <c r="AK9" s="94">
        <f t="shared" si="6"/>
        <v>1.4918239497417669</v>
      </c>
      <c r="AL9" s="94">
        <f t="shared" si="6"/>
        <v>1.3403287769391337</v>
      </c>
      <c r="AM9" s="94">
        <f t="shared" si="6"/>
        <v>1.3359260986365018</v>
      </c>
      <c r="AN9" s="94">
        <f t="shared" ref="AN9:BF9" si="7">SUM(AN8:AN8)</f>
        <v>1.1005863913580247</v>
      </c>
      <c r="AO9" s="94">
        <f t="shared" si="7"/>
        <v>1.0143754655164385</v>
      </c>
      <c r="AP9" s="94">
        <f t="shared" si="7"/>
        <v>1.0305988188154802</v>
      </c>
      <c r="AQ9" s="94">
        <f t="shared" si="7"/>
        <v>0.96481602602225214</v>
      </c>
      <c r="AR9" s="94">
        <f t="shared" si="7"/>
        <v>1.4633938621848279</v>
      </c>
      <c r="AS9" s="94">
        <f t="shared" si="7"/>
        <v>1.0224030160970279</v>
      </c>
      <c r="AT9" s="94">
        <f t="shared" si="7"/>
        <v>1.0018320510511527</v>
      </c>
      <c r="AU9" s="94">
        <f t="shared" si="7"/>
        <v>1.0092421581536941</v>
      </c>
      <c r="AV9" s="94">
        <f t="shared" si="7"/>
        <v>1.0344695915326236</v>
      </c>
      <c r="AW9" s="94">
        <f t="shared" si="7"/>
        <v>0.88397458493425918</v>
      </c>
      <c r="AX9" s="94">
        <f t="shared" si="7"/>
        <v>0.88401172159187436</v>
      </c>
      <c r="AY9" s="94">
        <f t="shared" si="7"/>
        <v>0.8841732737347</v>
      </c>
      <c r="AZ9" s="94">
        <f t="shared" si="7"/>
        <v>0.87478757682998498</v>
      </c>
      <c r="BA9" s="94">
        <f t="shared" si="7"/>
        <v>0.84392350991432696</v>
      </c>
      <c r="BB9" s="94">
        <f t="shared" si="7"/>
        <v>0.91997135478437109</v>
      </c>
      <c r="BC9" s="94">
        <f t="shared" si="7"/>
        <v>0.91972500806351143</v>
      </c>
      <c r="BD9" s="94">
        <f>SUM(BD8:BD8)</f>
        <v>0.91972500806351143</v>
      </c>
      <c r="BE9" s="94">
        <f>SUM(BE8:BE8)</f>
        <v>0.92007769839086095</v>
      </c>
      <c r="BF9" s="94">
        <f t="shared" si="7"/>
        <v>0.91984200527625648</v>
      </c>
      <c r="BG9" s="94">
        <f t="shared" ref="BG9:BM9" si="8">SUM(BG8:BG8)</f>
        <v>0.85107827752731557</v>
      </c>
      <c r="BH9" s="94">
        <f t="shared" si="8"/>
        <v>0.85307455280143729</v>
      </c>
      <c r="BI9" s="94">
        <f t="shared" si="8"/>
        <v>0.85288125128243919</v>
      </c>
      <c r="BJ9" s="94">
        <f t="shared" si="8"/>
        <v>0.86083939298974321</v>
      </c>
      <c r="BK9" s="94">
        <f t="shared" si="8"/>
        <v>0.86081901987291687</v>
      </c>
      <c r="BL9" s="94">
        <f t="shared" si="8"/>
        <v>0.85892132482653072</v>
      </c>
      <c r="BM9" s="94">
        <f t="shared" si="8"/>
        <v>0.87135187922331714</v>
      </c>
      <c r="BN9" s="94">
        <f t="shared" ref="BN9:BU9" si="9">SUM(BN8:BN8)</f>
        <v>0.8713795166234144</v>
      </c>
      <c r="BO9" s="94">
        <f t="shared" si="9"/>
        <v>0.87140026211504895</v>
      </c>
      <c r="BP9" s="94">
        <f t="shared" si="9"/>
        <v>0.87140026211504895</v>
      </c>
      <c r="BQ9" s="94">
        <f t="shared" si="9"/>
        <v>0.89040012666811441</v>
      </c>
      <c r="BR9" s="94">
        <f t="shared" si="9"/>
        <v>0.8903519061447237</v>
      </c>
      <c r="BS9" s="94">
        <f t="shared" si="9"/>
        <v>0.8854285341370095</v>
      </c>
      <c r="BT9" s="94">
        <f t="shared" si="9"/>
        <v>0.88649580046130916</v>
      </c>
      <c r="BU9" s="94">
        <f t="shared" si="9"/>
        <v>0.88644438713140994</v>
      </c>
      <c r="BV9" s="94">
        <f>SUM(BV8:BV8)</f>
        <v>0.88507100101549285</v>
      </c>
      <c r="BW9" s="94">
        <f>SUM(BW8:BW8)</f>
        <v>0.88754644281008765</v>
      </c>
      <c r="BX9" s="94">
        <f>SUM(BX8:BX8)</f>
        <v>0.88748086007682758</v>
      </c>
      <c r="BY9" s="94">
        <f t="shared" ref="BY9:CG9" si="10">SUM(BY8:BY8)</f>
        <v>0.88859936201442546</v>
      </c>
      <c r="BZ9" s="94">
        <f t="shared" si="10"/>
        <v>0.88863959132380621</v>
      </c>
      <c r="CA9" s="94">
        <f t="shared" si="10"/>
        <v>0.8886328824003088</v>
      </c>
      <c r="CB9" s="94">
        <f t="shared" si="10"/>
        <v>0.88870676957947903</v>
      </c>
      <c r="CC9" s="94">
        <f t="shared" si="10"/>
        <v>0.88870676957947903</v>
      </c>
      <c r="CD9" s="94">
        <f t="shared" si="10"/>
        <v>0.88584735654408953</v>
      </c>
      <c r="CE9" s="94">
        <f t="shared" si="10"/>
        <v>0.88580900574236909</v>
      </c>
      <c r="CF9" s="94">
        <f t="shared" si="10"/>
        <v>0.88549156526452077</v>
      </c>
      <c r="CG9" s="94">
        <f t="shared" si="10"/>
        <v>0.88540965427727847</v>
      </c>
      <c r="CH9" s="94">
        <f t="shared" ref="CH9:CR9" si="11">SUM(CH8:CH8)</f>
        <v>0.97145760836546036</v>
      </c>
      <c r="CI9" s="94">
        <f t="shared" si="11"/>
        <v>0.97133783473415147</v>
      </c>
      <c r="CJ9" s="94">
        <f t="shared" si="11"/>
        <v>0.97120608668016306</v>
      </c>
      <c r="CK9" s="94">
        <f t="shared" si="11"/>
        <v>0.97330420100977899</v>
      </c>
      <c r="CL9" s="94">
        <f t="shared" si="11"/>
        <v>0.97325206121297536</v>
      </c>
      <c r="CM9" s="94">
        <f t="shared" si="11"/>
        <v>0.97334990543574107</v>
      </c>
      <c r="CN9" s="94">
        <f t="shared" si="11"/>
        <v>0.97037899903540037</v>
      </c>
      <c r="CO9" s="94">
        <f t="shared" si="11"/>
        <v>0.97037899903540037</v>
      </c>
      <c r="CP9" s="94">
        <f t="shared" si="11"/>
        <v>0.97037899903540037</v>
      </c>
      <c r="CQ9" s="94">
        <f t="shared" si="11"/>
        <v>0.83637167775097943</v>
      </c>
      <c r="CR9" s="94">
        <f t="shared" si="11"/>
        <v>0.83865169981114762</v>
      </c>
      <c r="CS9" s="94">
        <f t="shared" ref="CS9:EL9" si="12">SUM(CS8:CS8)</f>
        <v>0.83858769471526129</v>
      </c>
      <c r="CT9" s="94">
        <f t="shared" si="12"/>
        <v>0.84059790895305697</v>
      </c>
      <c r="CU9" s="94">
        <f t="shared" si="12"/>
        <v>0.84058463700763786</v>
      </c>
      <c r="CV9" s="94">
        <f t="shared" si="12"/>
        <v>0.91691780896617237</v>
      </c>
      <c r="CW9" s="94">
        <f t="shared" si="12"/>
        <v>0.90628422610154724</v>
      </c>
      <c r="CX9" s="94">
        <f t="shared" si="12"/>
        <v>0.97310271429052386</v>
      </c>
      <c r="CY9" s="94">
        <f t="shared" si="12"/>
        <v>0.97492707512295795</v>
      </c>
      <c r="CZ9" s="94">
        <f t="shared" si="12"/>
        <v>0.97492040006495106</v>
      </c>
      <c r="DA9" s="94">
        <f t="shared" si="12"/>
        <v>0.9558639252308806</v>
      </c>
      <c r="DB9" s="94">
        <f t="shared" si="12"/>
        <v>0.97496715889005303</v>
      </c>
      <c r="DC9" s="94">
        <f t="shared" si="12"/>
        <v>0.80737117519910606</v>
      </c>
      <c r="DD9" s="94">
        <f t="shared" si="12"/>
        <v>0.80737117519910606</v>
      </c>
      <c r="DE9" s="94">
        <f t="shared" si="12"/>
        <v>0.804643105573845</v>
      </c>
      <c r="DF9" s="94">
        <f t="shared" si="12"/>
        <v>0.80459635916235117</v>
      </c>
      <c r="DG9" s="94">
        <f t="shared" si="12"/>
        <v>0.80441605813631167</v>
      </c>
      <c r="DH9" s="94">
        <f t="shared" si="12"/>
        <v>0.80534000105988224</v>
      </c>
      <c r="DI9" s="94">
        <f t="shared" si="12"/>
        <v>0.96846524340187545</v>
      </c>
      <c r="DJ9" s="94">
        <f t="shared" si="12"/>
        <v>0.96845934640433662</v>
      </c>
      <c r="DK9" s="94">
        <f t="shared" si="12"/>
        <v>0.96843577243462275</v>
      </c>
      <c r="DL9" s="94">
        <f t="shared" si="12"/>
        <v>0.97781965483149547</v>
      </c>
      <c r="DM9" s="94">
        <f t="shared" si="12"/>
        <v>0.94117198186758499</v>
      </c>
      <c r="DN9" s="94">
        <f t="shared" si="12"/>
        <v>0.94095532032623175</v>
      </c>
      <c r="DO9" s="94">
        <f t="shared" si="12"/>
        <v>0.94286865548147203</v>
      </c>
      <c r="DP9" s="94">
        <f t="shared" si="12"/>
        <v>0.9518435589332076</v>
      </c>
      <c r="DQ9" s="94">
        <f t="shared" si="12"/>
        <v>0.95178838802188115</v>
      </c>
      <c r="DR9" s="94">
        <f t="shared" si="12"/>
        <v>0.94208138575874412</v>
      </c>
      <c r="DS9" s="94">
        <f t="shared" si="12"/>
        <v>0</v>
      </c>
      <c r="DT9" s="94">
        <f t="shared" si="12"/>
        <v>0</v>
      </c>
      <c r="DU9" s="94">
        <f t="shared" si="12"/>
        <v>0</v>
      </c>
      <c r="DV9" s="94">
        <f t="shared" si="12"/>
        <v>0</v>
      </c>
      <c r="DW9" s="94">
        <f t="shared" si="12"/>
        <v>0</v>
      </c>
      <c r="DX9" s="94">
        <f t="shared" si="12"/>
        <v>0</v>
      </c>
      <c r="DY9" s="94">
        <f t="shared" si="12"/>
        <v>0</v>
      </c>
      <c r="DZ9" s="94">
        <f t="shared" si="12"/>
        <v>0</v>
      </c>
      <c r="EA9" s="94">
        <f t="shared" si="12"/>
        <v>0</v>
      </c>
      <c r="EB9" s="94">
        <f t="shared" si="12"/>
        <v>0</v>
      </c>
      <c r="EC9" s="94">
        <f t="shared" si="12"/>
        <v>0</v>
      </c>
      <c r="ED9" s="94">
        <f t="shared" si="12"/>
        <v>0</v>
      </c>
      <c r="EE9" s="94">
        <f t="shared" si="12"/>
        <v>0</v>
      </c>
      <c r="EF9" s="94">
        <f t="shared" si="12"/>
        <v>0</v>
      </c>
      <c r="EG9" s="94">
        <f t="shared" si="12"/>
        <v>0</v>
      </c>
      <c r="EH9" s="94">
        <f t="shared" si="12"/>
        <v>0</v>
      </c>
      <c r="EI9" s="94">
        <f t="shared" si="12"/>
        <v>0</v>
      </c>
      <c r="EJ9" s="94">
        <f t="shared" si="12"/>
        <v>0</v>
      </c>
      <c r="EK9" s="94">
        <f t="shared" si="12"/>
        <v>0</v>
      </c>
      <c r="EL9" s="94">
        <f t="shared" si="12"/>
        <v>0</v>
      </c>
    </row>
    <row r="10" spans="1:142" ht="13">
      <c r="A10" s="72" t="s">
        <v>589</v>
      </c>
      <c r="G10" s="63" t="s">
        <v>429</v>
      </c>
      <c r="H10" s="70"/>
      <c r="I10" s="70"/>
      <c r="J10" s="70"/>
      <c r="K10" s="70"/>
      <c r="L10" s="70"/>
      <c r="M10" s="70"/>
      <c r="N10" s="70"/>
      <c r="O10" s="70"/>
      <c r="P10" s="70"/>
      <c r="Q10" s="70"/>
      <c r="R10" s="70"/>
      <c r="S10" s="70"/>
      <c r="W10" s="74">
        <v>4.93</v>
      </c>
      <c r="X10" s="64">
        <v>4.1900000000000004</v>
      </c>
      <c r="Y10" s="64"/>
      <c r="Z10" s="64"/>
      <c r="AA10" s="64">
        <v>3.91</v>
      </c>
      <c r="AB10" s="64">
        <v>3.77</v>
      </c>
      <c r="AC10" s="64">
        <v>3.5</v>
      </c>
      <c r="AD10" s="64">
        <v>4.0999999999999996</v>
      </c>
      <c r="AE10" s="64">
        <v>3.88</v>
      </c>
      <c r="AF10" s="64"/>
      <c r="AG10" s="64"/>
      <c r="AH10" s="64">
        <v>5.4</v>
      </c>
      <c r="AI10" s="64"/>
      <c r="AJ10" s="64"/>
      <c r="AK10" s="64"/>
      <c r="AL10" s="64">
        <v>5.67</v>
      </c>
      <c r="AM10" s="64"/>
      <c r="AN10" s="64"/>
      <c r="AO10" s="64"/>
      <c r="AP10" s="64">
        <v>4.0999999999999996</v>
      </c>
      <c r="AQ10" s="64"/>
      <c r="AR10" s="64"/>
      <c r="AS10" s="64"/>
      <c r="AT10" s="64"/>
      <c r="AU10" s="64"/>
      <c r="AV10" s="64"/>
      <c r="AW10" s="64"/>
      <c r="AX10" s="64">
        <v>3.4</v>
      </c>
      <c r="AY10" s="64"/>
      <c r="AZ10" s="64"/>
      <c r="BA10" s="64"/>
      <c r="BB10" s="64">
        <f>371/84</f>
        <v>4.416666666666667</v>
      </c>
      <c r="BC10" s="64"/>
      <c r="BD10" s="64"/>
      <c r="BE10" s="64"/>
    </row>
    <row r="11" spans="1:142">
      <c r="G11" s="59" t="s">
        <v>406</v>
      </c>
      <c r="W11" s="74">
        <f>W10-W9</f>
        <v>3.6812215874464203</v>
      </c>
      <c r="X11" s="74">
        <f>X10-X9</f>
        <v>2.8759762676903522</v>
      </c>
      <c r="Y11" s="64"/>
      <c r="Z11" s="64"/>
      <c r="AA11" s="74">
        <f>AA10-AA9</f>
        <v>2.6086147171302709</v>
      </c>
      <c r="AB11" s="74">
        <f>AB10-AB9</f>
        <v>2.4548514469300295</v>
      </c>
      <c r="AC11" s="74">
        <f>AC10-AC9</f>
        <v>2.1290156165864804</v>
      </c>
      <c r="AD11" s="74">
        <f>AD10-AD9</f>
        <v>2.6285879978675775</v>
      </c>
      <c r="AE11" s="74">
        <f>AE10-AE9</f>
        <v>2.5053625190685422</v>
      </c>
      <c r="AF11" s="64"/>
      <c r="AG11" s="64"/>
      <c r="AH11" s="74">
        <f>AH10-AH9</f>
        <v>3.9874446032795978</v>
      </c>
      <c r="AI11" s="64"/>
      <c r="AJ11" s="64"/>
      <c r="AK11" s="64"/>
      <c r="AL11" s="74">
        <f>AL10-AL9</f>
        <v>4.329671223060866</v>
      </c>
      <c r="AM11" s="64"/>
      <c r="AN11" s="64"/>
      <c r="AO11" s="64"/>
      <c r="AP11" s="74">
        <f>AP10-AP9</f>
        <v>3.0694011811845194</v>
      </c>
      <c r="AQ11" s="64"/>
      <c r="AR11" s="64"/>
      <c r="AS11" s="64"/>
      <c r="AT11" s="64"/>
      <c r="AU11" s="64"/>
      <c r="AV11" s="64"/>
      <c r="AW11" s="64"/>
      <c r="AX11" s="74">
        <f>AX10-AX9</f>
        <v>2.5159882784081256</v>
      </c>
      <c r="AY11" s="64"/>
      <c r="AZ11" s="64"/>
      <c r="BA11" s="64"/>
      <c r="BB11" s="74">
        <f>BB10-BB9</f>
        <v>3.4966953118822959</v>
      </c>
      <c r="BC11" s="64"/>
      <c r="BD11" s="64"/>
      <c r="BE11" s="64"/>
    </row>
    <row r="13" spans="1:142">
      <c r="C13" s="114"/>
    </row>
    <row r="14" spans="1:142" s="161" customFormat="1">
      <c r="G14" s="169" t="s">
        <v>407</v>
      </c>
      <c r="H14" s="163">
        <f>2.13+H9</f>
        <v>3.0570890044783523</v>
      </c>
      <c r="I14" s="163">
        <f t="shared" ref="I14:BC14" si="13">2.13+I9</f>
        <v>3.0933884395253721</v>
      </c>
      <c r="J14" s="163">
        <f t="shared" si="13"/>
        <v>3.086074697202164</v>
      </c>
      <c r="K14" s="163">
        <f t="shared" si="13"/>
        <v>3.0770233108600911</v>
      </c>
      <c r="L14" s="163">
        <f t="shared" si="13"/>
        <v>3.0455449842127802</v>
      </c>
      <c r="M14" s="163">
        <f t="shared" si="13"/>
        <v>3.0324897711456331</v>
      </c>
      <c r="N14" s="163">
        <f t="shared" si="13"/>
        <v>2.9572951135148413</v>
      </c>
      <c r="O14" s="163">
        <f t="shared" si="13"/>
        <v>2.9983190204100039</v>
      </c>
      <c r="P14" s="163">
        <f t="shared" si="13"/>
        <v>3.0414368970458256</v>
      </c>
      <c r="Q14" s="163">
        <f t="shared" si="13"/>
        <v>3.0089794933036189</v>
      </c>
      <c r="R14" s="163">
        <f t="shared" si="13"/>
        <v>3.1142420011642709</v>
      </c>
      <c r="S14" s="163">
        <f t="shared" si="13"/>
        <v>3.1200483437646316</v>
      </c>
      <c r="T14" s="163">
        <f t="shared" si="13"/>
        <v>3.1229987648365904</v>
      </c>
      <c r="U14" s="163">
        <f t="shared" si="13"/>
        <v>3.2166145811126103</v>
      </c>
      <c r="V14" s="163">
        <f t="shared" si="13"/>
        <v>3.2959668032123837</v>
      </c>
      <c r="W14" s="163">
        <f>2.13+W9</f>
        <v>3.3787784125535794</v>
      </c>
      <c r="X14" s="163">
        <f t="shared" si="13"/>
        <v>3.4440237323096481</v>
      </c>
      <c r="Y14" s="163">
        <f t="shared" si="13"/>
        <v>3.4473980045147421</v>
      </c>
      <c r="Z14" s="163">
        <f t="shared" si="13"/>
        <v>3.4282757051324158</v>
      </c>
      <c r="AA14" s="163">
        <f t="shared" si="13"/>
        <v>3.4313852828697291</v>
      </c>
      <c r="AB14" s="163">
        <f t="shared" si="13"/>
        <v>3.4451485530699704</v>
      </c>
      <c r="AC14" s="163">
        <f t="shared" si="13"/>
        <v>3.5009843834135195</v>
      </c>
      <c r="AD14" s="163">
        <f t="shared" si="13"/>
        <v>3.6014120021324221</v>
      </c>
      <c r="AE14" s="163">
        <f t="shared" si="13"/>
        <v>3.5046374809314575</v>
      </c>
      <c r="AF14" s="163">
        <f t="shared" si="13"/>
        <v>3.6187193952494221</v>
      </c>
      <c r="AG14" s="163">
        <f t="shared" si="13"/>
        <v>3.5986842592588966</v>
      </c>
      <c r="AH14" s="163">
        <f t="shared" si="13"/>
        <v>3.5425553967204024</v>
      </c>
      <c r="AI14" s="163">
        <f t="shared" si="13"/>
        <v>3.6156452414836089</v>
      </c>
      <c r="AJ14" s="163">
        <f t="shared" si="13"/>
        <v>3.6450479565484231</v>
      </c>
      <c r="AK14" s="163">
        <f t="shared" si="13"/>
        <v>3.621823949741767</v>
      </c>
      <c r="AL14" s="163">
        <f t="shared" si="13"/>
        <v>3.4703287769391338</v>
      </c>
      <c r="AM14" s="163">
        <f t="shared" si="13"/>
        <v>3.4659260986365017</v>
      </c>
      <c r="AN14" s="163">
        <f t="shared" si="13"/>
        <v>3.2305863913580248</v>
      </c>
      <c r="AO14" s="163">
        <f t="shared" si="13"/>
        <v>3.1443754655164384</v>
      </c>
      <c r="AP14" s="163">
        <f t="shared" si="13"/>
        <v>3.1605988188154801</v>
      </c>
      <c r="AQ14" s="163">
        <f t="shared" si="13"/>
        <v>3.0948160260222521</v>
      </c>
      <c r="AR14" s="163">
        <f t="shared" si="13"/>
        <v>3.5933938621848278</v>
      </c>
      <c r="AS14" s="163">
        <f t="shared" si="13"/>
        <v>3.1524030160970278</v>
      </c>
      <c r="AT14" s="163">
        <f t="shared" si="13"/>
        <v>3.1318320510511528</v>
      </c>
      <c r="AU14" s="163">
        <f t="shared" si="13"/>
        <v>3.139242158153694</v>
      </c>
      <c r="AV14" s="163">
        <f t="shared" si="13"/>
        <v>3.1644695915326233</v>
      </c>
      <c r="AW14" s="163">
        <f t="shared" si="13"/>
        <v>3.013974584934259</v>
      </c>
      <c r="AX14" s="163">
        <f t="shared" si="13"/>
        <v>3.0140117215918742</v>
      </c>
      <c r="AY14" s="163">
        <f t="shared" si="13"/>
        <v>3.0141732737346998</v>
      </c>
      <c r="AZ14" s="163">
        <f t="shared" si="13"/>
        <v>3.004787576829985</v>
      </c>
      <c r="BA14" s="163">
        <f t="shared" si="13"/>
        <v>2.9739235099143269</v>
      </c>
      <c r="BB14" s="163">
        <f t="shared" si="13"/>
        <v>3.049971354784371</v>
      </c>
      <c r="BC14" s="163">
        <f t="shared" si="13"/>
        <v>3.0497250080635112</v>
      </c>
      <c r="BD14" s="163">
        <f t="shared" ref="BD14:BM14" si="14">2.13+BD9</f>
        <v>3.0497250080635112</v>
      </c>
      <c r="BE14" s="163">
        <f t="shared" si="14"/>
        <v>3.0500776983908606</v>
      </c>
      <c r="BF14" s="163">
        <f t="shared" si="14"/>
        <v>3.0498420052762563</v>
      </c>
      <c r="BG14" s="163">
        <f t="shared" si="14"/>
        <v>2.9810782775273155</v>
      </c>
      <c r="BH14" s="163">
        <f t="shared" si="14"/>
        <v>2.9830745528014373</v>
      </c>
      <c r="BI14" s="163">
        <f t="shared" si="14"/>
        <v>2.9828812512824392</v>
      </c>
      <c r="BJ14" s="163">
        <f t="shared" si="14"/>
        <v>2.9908393929897432</v>
      </c>
      <c r="BK14" s="163">
        <f t="shared" si="14"/>
        <v>2.9908190198729168</v>
      </c>
      <c r="BL14" s="163">
        <f t="shared" si="14"/>
        <v>2.9889213248265305</v>
      </c>
      <c r="BM14" s="163">
        <f t="shared" si="14"/>
        <v>3.0013518792233169</v>
      </c>
      <c r="BN14" s="163">
        <f t="shared" ref="BN14:BU14" si="15">2.13+BN9</f>
        <v>3.0013795166234143</v>
      </c>
      <c r="BO14" s="163">
        <f t="shared" si="15"/>
        <v>3.0014002621150491</v>
      </c>
      <c r="BP14" s="163">
        <f t="shared" si="15"/>
        <v>3.0014002621150491</v>
      </c>
      <c r="BQ14" s="163">
        <f t="shared" si="15"/>
        <v>3.0204001266681142</v>
      </c>
      <c r="BR14" s="163">
        <f t="shared" si="15"/>
        <v>3.0203519061447235</v>
      </c>
      <c r="BS14" s="163">
        <f t="shared" si="15"/>
        <v>3.0154285341370093</v>
      </c>
      <c r="BT14" s="163">
        <f t="shared" si="15"/>
        <v>3.0164958004613092</v>
      </c>
      <c r="BU14" s="163">
        <f t="shared" si="15"/>
        <v>3.0164443871314099</v>
      </c>
      <c r="BV14" s="163">
        <f>2.13+BV9</f>
        <v>3.0150710010154929</v>
      </c>
      <c r="BW14" s="163">
        <f>2.13+BW9</f>
        <v>3.0175464428100875</v>
      </c>
      <c r="BX14" s="163">
        <f>2.13+BX9</f>
        <v>3.0174808600768275</v>
      </c>
      <c r="BY14" s="163">
        <f t="shared" ref="BY14:CG14" si="16">2.13+BY9</f>
        <v>3.0185993620144256</v>
      </c>
      <c r="BZ14" s="163">
        <f t="shared" si="16"/>
        <v>3.0186395913238062</v>
      </c>
      <c r="CA14" s="163">
        <f t="shared" si="16"/>
        <v>3.0186328824003086</v>
      </c>
      <c r="CB14" s="163">
        <f t="shared" si="16"/>
        <v>3.0187067695794791</v>
      </c>
      <c r="CC14" s="163">
        <f t="shared" si="16"/>
        <v>3.0187067695794791</v>
      </c>
      <c r="CD14" s="163">
        <f t="shared" si="16"/>
        <v>3.0158473565440893</v>
      </c>
      <c r="CE14" s="163">
        <f t="shared" si="16"/>
        <v>3.0158090057423692</v>
      </c>
      <c r="CF14" s="163">
        <f t="shared" si="16"/>
        <v>3.0154915652645204</v>
      </c>
      <c r="CG14" s="163">
        <f t="shared" si="16"/>
        <v>3.0154096542772786</v>
      </c>
      <c r="CH14" s="163">
        <f t="shared" ref="CH14:CR14" si="17">2.13+CH9</f>
        <v>3.1014576083654601</v>
      </c>
      <c r="CI14" s="163">
        <f t="shared" si="17"/>
        <v>3.1013378347341511</v>
      </c>
      <c r="CJ14" s="163">
        <f t="shared" si="17"/>
        <v>3.101206086680163</v>
      </c>
      <c r="CK14" s="163">
        <f t="shared" si="17"/>
        <v>3.1033042010097791</v>
      </c>
      <c r="CL14" s="163">
        <f t="shared" si="17"/>
        <v>3.1032520612129755</v>
      </c>
      <c r="CM14" s="163">
        <f t="shared" si="17"/>
        <v>3.1033499054357412</v>
      </c>
      <c r="CN14" s="163">
        <f t="shared" si="17"/>
        <v>3.1003789990354003</v>
      </c>
      <c r="CO14" s="163">
        <f t="shared" si="17"/>
        <v>3.1003789990354003</v>
      </c>
      <c r="CP14" s="163">
        <f t="shared" si="17"/>
        <v>3.1003789990354003</v>
      </c>
      <c r="CQ14" s="163">
        <f t="shared" si="17"/>
        <v>2.9663716777509794</v>
      </c>
      <c r="CR14" s="163">
        <f t="shared" si="17"/>
        <v>2.9686516998111476</v>
      </c>
      <c r="CS14" s="163">
        <f t="shared" ref="CS14:EL14" si="18">2.13+CS9</f>
        <v>2.9685876947152612</v>
      </c>
      <c r="CT14" s="163">
        <f t="shared" si="18"/>
        <v>2.970597908953057</v>
      </c>
      <c r="CU14" s="163">
        <f t="shared" si="18"/>
        <v>2.9705846370076379</v>
      </c>
      <c r="CV14" s="163">
        <f t="shared" si="18"/>
        <v>3.0469178089661724</v>
      </c>
      <c r="CW14" s="163">
        <f t="shared" si="18"/>
        <v>3.036284226101547</v>
      </c>
      <c r="CX14" s="163">
        <f t="shared" si="18"/>
        <v>3.1031027142905239</v>
      </c>
      <c r="CY14" s="163">
        <f t="shared" si="18"/>
        <v>3.1049270751229576</v>
      </c>
      <c r="CZ14" s="163">
        <f t="shared" si="18"/>
        <v>3.1049204000649508</v>
      </c>
      <c r="DA14" s="163">
        <f t="shared" si="18"/>
        <v>3.0858639252308806</v>
      </c>
      <c r="DB14" s="163">
        <f t="shared" si="18"/>
        <v>3.1049671588900529</v>
      </c>
      <c r="DC14" s="163">
        <f t="shared" si="18"/>
        <v>2.9373711751991061</v>
      </c>
      <c r="DD14" s="163">
        <f t="shared" si="18"/>
        <v>2.9373711751991061</v>
      </c>
      <c r="DE14" s="163">
        <f t="shared" si="18"/>
        <v>2.9346431055738451</v>
      </c>
      <c r="DF14" s="163">
        <f t="shared" si="18"/>
        <v>2.934596359162351</v>
      </c>
      <c r="DG14" s="163">
        <f t="shared" si="18"/>
        <v>2.9344160581363115</v>
      </c>
      <c r="DH14" s="163">
        <f t="shared" si="18"/>
        <v>2.935340001059882</v>
      </c>
      <c r="DI14" s="163">
        <f t="shared" si="18"/>
        <v>3.0984652434018756</v>
      </c>
      <c r="DJ14" s="163">
        <f t="shared" si="18"/>
        <v>3.0984593464043364</v>
      </c>
      <c r="DK14" s="163">
        <f t="shared" si="18"/>
        <v>3.0984357724346228</v>
      </c>
      <c r="DL14" s="163">
        <f t="shared" si="18"/>
        <v>3.1078196548314954</v>
      </c>
      <c r="DM14" s="163">
        <f t="shared" si="18"/>
        <v>3.0711719818675851</v>
      </c>
      <c r="DN14" s="163">
        <f t="shared" si="18"/>
        <v>3.0709553203262319</v>
      </c>
      <c r="DO14" s="163">
        <f t="shared" si="18"/>
        <v>3.0728686554814719</v>
      </c>
      <c r="DP14" s="163">
        <f t="shared" si="18"/>
        <v>3.0818435589332074</v>
      </c>
      <c r="DQ14" s="163">
        <f t="shared" si="18"/>
        <v>3.0817883880218808</v>
      </c>
      <c r="DR14" s="163">
        <f t="shared" si="18"/>
        <v>3.0720813857587439</v>
      </c>
      <c r="DS14" s="163">
        <f t="shared" si="18"/>
        <v>2.13</v>
      </c>
      <c r="DT14" s="163">
        <f t="shared" si="18"/>
        <v>2.13</v>
      </c>
      <c r="DU14" s="163">
        <f t="shared" si="18"/>
        <v>2.13</v>
      </c>
      <c r="DV14" s="163">
        <f t="shared" si="18"/>
        <v>2.13</v>
      </c>
      <c r="DW14" s="163">
        <f t="shared" si="18"/>
        <v>2.13</v>
      </c>
      <c r="DX14" s="163">
        <f t="shared" si="18"/>
        <v>2.13</v>
      </c>
      <c r="DY14" s="163">
        <f t="shared" si="18"/>
        <v>2.13</v>
      </c>
      <c r="DZ14" s="163">
        <f t="shared" si="18"/>
        <v>2.13</v>
      </c>
      <c r="EA14" s="163">
        <f t="shared" si="18"/>
        <v>2.13</v>
      </c>
      <c r="EB14" s="163">
        <f t="shared" si="18"/>
        <v>2.13</v>
      </c>
      <c r="EC14" s="163">
        <f t="shared" si="18"/>
        <v>2.13</v>
      </c>
      <c r="ED14" s="163">
        <f t="shared" si="18"/>
        <v>2.13</v>
      </c>
      <c r="EE14" s="163">
        <f t="shared" si="18"/>
        <v>2.13</v>
      </c>
      <c r="EF14" s="163">
        <f t="shared" si="18"/>
        <v>2.13</v>
      </c>
      <c r="EG14" s="163">
        <f t="shared" si="18"/>
        <v>2.13</v>
      </c>
      <c r="EH14" s="163">
        <f t="shared" si="18"/>
        <v>2.13</v>
      </c>
      <c r="EI14" s="163">
        <f t="shared" si="18"/>
        <v>2.13</v>
      </c>
      <c r="EJ14" s="163">
        <f t="shared" si="18"/>
        <v>2.13</v>
      </c>
      <c r="EK14" s="163">
        <f t="shared" si="18"/>
        <v>2.13</v>
      </c>
      <c r="EL14" s="163">
        <f t="shared" si="18"/>
        <v>2.13</v>
      </c>
    </row>
    <row r="16" spans="1:142">
      <c r="AP16" s="65"/>
    </row>
    <row r="18" spans="48:48">
      <c r="AV18" s="65"/>
    </row>
  </sheetData>
  <phoneticPr fontId="52" type="noConversion"/>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8"/>
  <dimension ref="A1:EX16"/>
  <sheetViews>
    <sheetView workbookViewId="0">
      <pane xSplit="9" ySplit="6" topLeftCell="DP7" activePane="bottomRight" state="frozen"/>
      <selection pane="topRight" activeCell="J1" sqref="J1"/>
      <selection pane="bottomLeft" activeCell="A7" sqref="A7"/>
      <selection pane="bottomRight" activeCell="H16" sqref="H16:DW16"/>
    </sheetView>
  </sheetViews>
  <sheetFormatPr baseColWidth="10" defaultColWidth="8.6640625" defaultRowHeight="11"/>
  <cols>
    <col min="1" max="1" width="11.83203125" style="44" bestFit="1" customWidth="1"/>
    <col min="2" max="2" width="13.1640625" style="44" bestFit="1" customWidth="1"/>
    <col min="3" max="3" width="4.33203125" style="44" bestFit="1" customWidth="1"/>
    <col min="4" max="4" width="11.5" style="44" bestFit="1" customWidth="1"/>
    <col min="5" max="5" width="11.1640625" style="44" bestFit="1" customWidth="1"/>
    <col min="6" max="6" width="6.83203125" style="44" bestFit="1" customWidth="1"/>
    <col min="7" max="7" width="20.5" style="44" bestFit="1" customWidth="1"/>
    <col min="8" max="9" width="4.5" style="44" bestFit="1" customWidth="1"/>
    <col min="10" max="10" width="4.83203125" style="44" bestFit="1" customWidth="1"/>
    <col min="11" max="11" width="4.5" style="44" bestFit="1" customWidth="1"/>
    <col min="12" max="12" width="5.1640625" style="44" bestFit="1" customWidth="1"/>
    <col min="13" max="13" width="4.5" style="44" bestFit="1" customWidth="1"/>
    <col min="14" max="14" width="4.1640625" style="44" bestFit="1" customWidth="1"/>
    <col min="15" max="15" width="4.83203125" style="44" bestFit="1" customWidth="1"/>
    <col min="16" max="17" width="4.5" style="44" bestFit="1" customWidth="1"/>
    <col min="18" max="19" width="4.83203125" style="44" bestFit="1" customWidth="1"/>
    <col min="20" max="21" width="4.5" style="44" bestFit="1" customWidth="1"/>
    <col min="22" max="22" width="4.83203125" style="44" bestFit="1" customWidth="1"/>
    <col min="23" max="23" width="4.5" style="44" bestFit="1" customWidth="1"/>
    <col min="24" max="24" width="5.1640625" style="44" bestFit="1" customWidth="1"/>
    <col min="25" max="25" width="4.5" style="44" bestFit="1" customWidth="1"/>
    <col min="26" max="26" width="4.1640625" style="44" bestFit="1" customWidth="1"/>
    <col min="27" max="27" width="4.83203125" style="44" bestFit="1" customWidth="1"/>
    <col min="28" max="29" width="4.5" style="44" bestFit="1" customWidth="1"/>
    <col min="30" max="31" width="4.83203125" style="44" bestFit="1" customWidth="1"/>
    <col min="32" max="33" width="4.5" style="44" bestFit="1" customWidth="1"/>
    <col min="34" max="34" width="4.83203125" style="44" bestFit="1" customWidth="1"/>
    <col min="35" max="35" width="4.5" style="44" bestFit="1" customWidth="1"/>
    <col min="36" max="36" width="5.1640625" style="44" bestFit="1" customWidth="1"/>
    <col min="37" max="37" width="4.5" style="44" bestFit="1" customWidth="1"/>
    <col min="38" max="38" width="4.1640625" style="44" bestFit="1" customWidth="1"/>
    <col min="39" max="39" width="4.83203125" style="44" bestFit="1" customWidth="1"/>
    <col min="40" max="41" width="4.5" style="44" bestFit="1" customWidth="1"/>
    <col min="42" max="43" width="4.83203125" style="44" bestFit="1" customWidth="1"/>
    <col min="44" max="45" width="4.5" style="44" bestFit="1" customWidth="1"/>
    <col min="46" max="46" width="4.83203125" style="44" bestFit="1" customWidth="1"/>
    <col min="47" max="47" width="4.5" style="44" bestFit="1" customWidth="1"/>
    <col min="48" max="48" width="5.1640625" style="44" bestFit="1" customWidth="1"/>
    <col min="49" max="49" width="4.5" style="44" bestFit="1" customWidth="1"/>
    <col min="50" max="50" width="4.1640625" style="44" bestFit="1" customWidth="1"/>
    <col min="51" max="53" width="6.1640625" style="44" bestFit="1" customWidth="1"/>
    <col min="54" max="55" width="4.83203125" style="44" bestFit="1" customWidth="1"/>
    <col min="56" max="57" width="6.5" style="44" bestFit="1" customWidth="1"/>
    <col min="58" max="65" width="5.33203125" style="44" bestFit="1" customWidth="1"/>
    <col min="66" max="69" width="5.6640625" style="44" bestFit="1" customWidth="1"/>
    <col min="70" max="73" width="5.5" style="44" bestFit="1" customWidth="1"/>
    <col min="74" max="77" width="5.1640625" style="44" bestFit="1" customWidth="1"/>
    <col min="78" max="81" width="5.5" style="44" bestFit="1" customWidth="1"/>
    <col min="82" max="82" width="6.1640625" style="44" bestFit="1" customWidth="1"/>
    <col min="83" max="85" width="5.6640625" style="44" bestFit="1" customWidth="1"/>
    <col min="86" max="89" width="5.5" style="44" bestFit="1" customWidth="1"/>
    <col min="90" max="94" width="6.33203125" style="44" bestFit="1" customWidth="1"/>
    <col min="95" max="95" width="6.1640625" style="44" bestFit="1" customWidth="1"/>
    <col min="96" max="96" width="5.1640625" style="44" bestFit="1" customWidth="1"/>
    <col min="97" max="98" width="3.1640625" style="44" customWidth="1"/>
    <col min="99" max="99" width="5.1640625" style="44" customWidth="1"/>
    <col min="100" max="16384" width="8.6640625" style="44"/>
  </cols>
  <sheetData>
    <row r="1" spans="1:154">
      <c r="A1" s="170" t="s">
        <v>377</v>
      </c>
      <c r="B1" s="170" t="s">
        <v>378</v>
      </c>
      <c r="C1" s="170" t="s">
        <v>379</v>
      </c>
      <c r="D1" s="170" t="s">
        <v>380</v>
      </c>
      <c r="E1" s="170" t="s">
        <v>381</v>
      </c>
      <c r="F1" s="170" t="s">
        <v>33</v>
      </c>
      <c r="H1" s="171">
        <v>6</v>
      </c>
      <c r="I1" s="171">
        <v>7</v>
      </c>
      <c r="J1" s="171">
        <v>8</v>
      </c>
      <c r="K1" s="171">
        <v>9</v>
      </c>
      <c r="L1" s="171">
        <v>10</v>
      </c>
      <c r="M1" s="171">
        <v>11</v>
      </c>
      <c r="N1" s="171">
        <v>12</v>
      </c>
      <c r="O1" s="171">
        <v>13</v>
      </c>
      <c r="P1" s="171">
        <v>14</v>
      </c>
      <c r="Q1" s="171">
        <v>15</v>
      </c>
      <c r="R1" s="171">
        <v>16</v>
      </c>
      <c r="S1" s="171">
        <v>17</v>
      </c>
      <c r="T1" s="171">
        <v>18</v>
      </c>
      <c r="U1" s="171">
        <v>19</v>
      </c>
      <c r="V1" s="171">
        <v>20</v>
      </c>
      <c r="W1" s="171">
        <v>21</v>
      </c>
      <c r="X1" s="171">
        <v>22</v>
      </c>
      <c r="Y1" s="171">
        <v>23</v>
      </c>
      <c r="Z1" s="171">
        <v>24</v>
      </c>
      <c r="AA1" s="171">
        <v>25</v>
      </c>
      <c r="AB1" s="171">
        <v>26</v>
      </c>
      <c r="AC1" s="171">
        <v>27</v>
      </c>
      <c r="AD1" s="171">
        <v>28</v>
      </c>
      <c r="AE1" s="171">
        <v>29</v>
      </c>
      <c r="AF1" s="171">
        <v>30</v>
      </c>
      <c r="AG1" s="171">
        <v>31</v>
      </c>
      <c r="AH1" s="171">
        <v>32</v>
      </c>
      <c r="AI1" s="171">
        <v>33</v>
      </c>
      <c r="AJ1" s="171">
        <v>34</v>
      </c>
      <c r="AK1" s="171">
        <v>35</v>
      </c>
      <c r="AL1" s="171">
        <v>36</v>
      </c>
      <c r="AM1" s="171">
        <v>37</v>
      </c>
      <c r="AN1" s="171">
        <v>38</v>
      </c>
      <c r="AO1" s="171">
        <v>39</v>
      </c>
      <c r="AP1" s="171">
        <v>40</v>
      </c>
      <c r="AQ1" s="171">
        <v>41</v>
      </c>
      <c r="AR1" s="171">
        <v>42</v>
      </c>
      <c r="AS1" s="171">
        <v>43</v>
      </c>
      <c r="AT1" s="171">
        <v>44</v>
      </c>
      <c r="AU1" s="171">
        <v>45</v>
      </c>
      <c r="AV1" s="171">
        <v>46</v>
      </c>
      <c r="AW1" s="171">
        <v>47</v>
      </c>
      <c r="AX1" s="171">
        <v>48</v>
      </c>
      <c r="AY1" s="171">
        <v>49</v>
      </c>
      <c r="AZ1" s="171">
        <v>50</v>
      </c>
      <c r="BA1" s="171">
        <v>51</v>
      </c>
      <c r="BB1" s="171">
        <v>52</v>
      </c>
      <c r="BC1" s="171">
        <v>53</v>
      </c>
      <c r="BD1" s="171">
        <v>54</v>
      </c>
      <c r="BE1" s="171">
        <v>55</v>
      </c>
      <c r="BF1" s="171">
        <v>56</v>
      </c>
      <c r="BG1" s="171">
        <v>57</v>
      </c>
      <c r="BH1" s="171">
        <v>58</v>
      </c>
      <c r="BI1" s="171">
        <v>59</v>
      </c>
      <c r="BJ1" s="171">
        <v>60</v>
      </c>
      <c r="BK1" s="171">
        <v>61</v>
      </c>
      <c r="BL1" s="171">
        <v>62</v>
      </c>
      <c r="BM1" s="171">
        <v>63</v>
      </c>
      <c r="BN1" s="171">
        <v>64</v>
      </c>
      <c r="BO1" s="171">
        <v>65</v>
      </c>
      <c r="BP1" s="171">
        <v>66</v>
      </c>
      <c r="BQ1" s="171">
        <v>67</v>
      </c>
      <c r="BR1" s="171">
        <v>68</v>
      </c>
      <c r="BS1" s="171">
        <v>69</v>
      </c>
      <c r="BT1" s="171">
        <v>70</v>
      </c>
      <c r="BU1" s="171">
        <v>71</v>
      </c>
      <c r="BV1" s="171">
        <v>72</v>
      </c>
      <c r="BW1" s="171">
        <v>73</v>
      </c>
      <c r="BX1" s="171">
        <v>74</v>
      </c>
      <c r="BY1" s="171">
        <v>75</v>
      </c>
      <c r="BZ1" s="171">
        <v>76</v>
      </c>
      <c r="CA1" s="171">
        <v>77</v>
      </c>
      <c r="CB1" s="171">
        <v>78</v>
      </c>
      <c r="CC1" s="171">
        <v>79</v>
      </c>
      <c r="CD1" s="171">
        <v>80</v>
      </c>
      <c r="CE1" s="171">
        <v>81</v>
      </c>
      <c r="CF1" s="171">
        <v>82</v>
      </c>
      <c r="CG1" s="171">
        <v>83</v>
      </c>
      <c r="CH1" s="171">
        <v>84</v>
      </c>
      <c r="CI1" s="171">
        <v>85</v>
      </c>
      <c r="CJ1" s="171">
        <v>86</v>
      </c>
      <c r="CK1" s="171">
        <v>87</v>
      </c>
      <c r="CL1" s="171">
        <v>88</v>
      </c>
      <c r="CM1" s="171">
        <v>89</v>
      </c>
      <c r="CN1" s="171">
        <v>90</v>
      </c>
      <c r="CO1" s="171">
        <v>91</v>
      </c>
      <c r="CP1" s="171">
        <v>92</v>
      </c>
      <c r="CQ1" s="171">
        <v>93</v>
      </c>
      <c r="CR1" s="171">
        <v>94</v>
      </c>
      <c r="CS1" s="171">
        <v>95</v>
      </c>
      <c r="CT1" s="171">
        <v>96</v>
      </c>
      <c r="CU1" s="171">
        <v>97</v>
      </c>
      <c r="CV1" s="171">
        <v>98</v>
      </c>
      <c r="CW1" s="171">
        <v>99</v>
      </c>
      <c r="CX1" s="171">
        <v>100</v>
      </c>
      <c r="CY1" s="171">
        <v>101</v>
      </c>
      <c r="CZ1" s="171">
        <v>102</v>
      </c>
      <c r="DA1" s="171">
        <v>103</v>
      </c>
      <c r="DB1" s="171">
        <v>104</v>
      </c>
      <c r="DC1" s="171">
        <v>105</v>
      </c>
      <c r="DD1" s="171">
        <v>106</v>
      </c>
      <c r="DE1" s="171">
        <v>107</v>
      </c>
      <c r="DF1" s="171">
        <v>108</v>
      </c>
      <c r="DG1" s="171">
        <v>109</v>
      </c>
      <c r="DH1" s="171">
        <v>110</v>
      </c>
      <c r="DI1" s="171">
        <v>111</v>
      </c>
      <c r="DJ1" s="171">
        <v>112</v>
      </c>
      <c r="DK1" s="171">
        <v>113</v>
      </c>
      <c r="DL1" s="171">
        <v>114</v>
      </c>
      <c r="DM1" s="171">
        <v>115</v>
      </c>
      <c r="DN1" s="171">
        <v>116</v>
      </c>
      <c r="DO1" s="171">
        <v>117</v>
      </c>
      <c r="DP1" s="171">
        <v>118</v>
      </c>
      <c r="DQ1" s="171">
        <v>119</v>
      </c>
      <c r="DR1" s="171">
        <v>120</v>
      </c>
      <c r="DS1" s="171">
        <v>121</v>
      </c>
      <c r="DT1" s="171">
        <v>122</v>
      </c>
      <c r="DU1" s="171">
        <v>123</v>
      </c>
      <c r="DV1" s="171">
        <v>124</v>
      </c>
      <c r="DW1" s="171">
        <v>125</v>
      </c>
      <c r="DX1" s="171">
        <v>126</v>
      </c>
      <c r="DY1" s="171">
        <v>127</v>
      </c>
      <c r="DZ1" s="171">
        <v>128</v>
      </c>
      <c r="EA1" s="171">
        <v>129</v>
      </c>
      <c r="EB1" s="171">
        <v>130</v>
      </c>
      <c r="EC1" s="171">
        <v>131</v>
      </c>
      <c r="ED1" s="171">
        <v>132</v>
      </c>
      <c r="EE1" s="171">
        <v>133</v>
      </c>
      <c r="EF1" s="171">
        <v>134</v>
      </c>
      <c r="EG1" s="171">
        <v>135</v>
      </c>
      <c r="EH1" s="171">
        <v>136</v>
      </c>
      <c r="EI1" s="171">
        <v>137</v>
      </c>
      <c r="EJ1" s="171">
        <v>138</v>
      </c>
      <c r="EK1" s="171">
        <v>139</v>
      </c>
      <c r="EL1" s="171">
        <v>140</v>
      </c>
      <c r="EM1" s="171">
        <v>141</v>
      </c>
      <c r="EN1" s="171">
        <v>142</v>
      </c>
      <c r="EO1" s="171">
        <v>143</v>
      </c>
      <c r="EP1" s="171">
        <v>144</v>
      </c>
      <c r="EQ1" s="171">
        <v>145</v>
      </c>
      <c r="ER1" s="171">
        <v>146</v>
      </c>
      <c r="ES1" s="171">
        <v>147</v>
      </c>
      <c r="ET1" s="171">
        <v>148</v>
      </c>
      <c r="EU1" s="171">
        <v>149</v>
      </c>
      <c r="EV1" s="171">
        <v>150</v>
      </c>
      <c r="EW1" s="171">
        <v>151</v>
      </c>
      <c r="EX1" s="171">
        <v>152</v>
      </c>
    </row>
    <row r="2" spans="1:154" ht="12">
      <c r="A2" s="172" t="s">
        <v>585</v>
      </c>
      <c r="B2" s="173" t="s">
        <v>586</v>
      </c>
      <c r="C2" s="44">
        <v>1</v>
      </c>
      <c r="D2" s="174"/>
      <c r="E2" s="175">
        <v>103.16</v>
      </c>
    </row>
    <row r="3" spans="1:154">
      <c r="A3" s="173"/>
      <c r="B3" s="176"/>
      <c r="D3" s="174"/>
    </row>
    <row r="4" spans="1:154" ht="12">
      <c r="A4" s="173" t="s">
        <v>60</v>
      </c>
      <c r="B4" s="172" t="s">
        <v>590</v>
      </c>
      <c r="C4" s="172"/>
      <c r="D4" s="174"/>
    </row>
    <row r="5" spans="1:154" ht="15">
      <c r="A5" s="188">
        <v>61.08</v>
      </c>
      <c r="B5" s="174">
        <v>17.03</v>
      </c>
      <c r="C5" s="173"/>
      <c r="D5" s="174"/>
      <c r="G5" s="170" t="s">
        <v>388</v>
      </c>
      <c r="H5" s="177">
        <v>43831</v>
      </c>
      <c r="I5" s="177">
        <v>43862</v>
      </c>
      <c r="J5" s="177">
        <v>43891</v>
      </c>
      <c r="K5" s="177">
        <v>43922</v>
      </c>
      <c r="L5" s="177">
        <v>43952</v>
      </c>
      <c r="M5" s="177">
        <v>43983</v>
      </c>
      <c r="N5" s="177">
        <v>44013</v>
      </c>
      <c r="O5" s="177">
        <v>44044</v>
      </c>
      <c r="P5" s="177">
        <v>44075</v>
      </c>
      <c r="Q5" s="177">
        <v>44105</v>
      </c>
      <c r="R5" s="177">
        <v>44136</v>
      </c>
      <c r="S5" s="177">
        <v>44166</v>
      </c>
      <c r="T5" s="177">
        <v>44197</v>
      </c>
      <c r="U5" s="177">
        <v>44228</v>
      </c>
      <c r="V5" s="177">
        <v>44256</v>
      </c>
      <c r="W5" s="177">
        <v>44287</v>
      </c>
      <c r="X5" s="177">
        <v>44317</v>
      </c>
      <c r="Y5" s="177">
        <v>44348</v>
      </c>
      <c r="Z5" s="177">
        <v>44378</v>
      </c>
      <c r="AA5" s="177">
        <v>44409</v>
      </c>
      <c r="AB5" s="177">
        <v>44440</v>
      </c>
      <c r="AC5" s="177">
        <v>44470</v>
      </c>
      <c r="AD5" s="177">
        <v>44501</v>
      </c>
      <c r="AE5" s="177">
        <v>44531</v>
      </c>
      <c r="AF5" s="177">
        <v>44562</v>
      </c>
      <c r="AG5" s="177">
        <v>44593</v>
      </c>
      <c r="AH5" s="177">
        <v>44621</v>
      </c>
      <c r="AI5" s="177">
        <v>44652</v>
      </c>
      <c r="AJ5" s="177">
        <v>44682</v>
      </c>
      <c r="AK5" s="177">
        <v>44713</v>
      </c>
      <c r="AL5" s="177">
        <v>44743</v>
      </c>
      <c r="AM5" s="177">
        <v>44774</v>
      </c>
      <c r="AN5" s="177">
        <v>44805</v>
      </c>
      <c r="AO5" s="177">
        <v>44835</v>
      </c>
      <c r="AP5" s="177">
        <v>44866</v>
      </c>
      <c r="AQ5" s="177">
        <v>44896</v>
      </c>
      <c r="AR5" s="177">
        <v>44927</v>
      </c>
      <c r="AS5" s="177">
        <v>44958</v>
      </c>
      <c r="AT5" s="177">
        <v>44986</v>
      </c>
      <c r="AU5" s="177">
        <v>45017</v>
      </c>
      <c r="AV5" s="177">
        <v>45047</v>
      </c>
      <c r="AW5" s="177">
        <v>45078</v>
      </c>
      <c r="AX5" s="177">
        <v>45108</v>
      </c>
      <c r="AY5" s="177" t="s">
        <v>530</v>
      </c>
      <c r="AZ5" s="177" t="s">
        <v>531</v>
      </c>
      <c r="BA5" s="177" t="s">
        <v>532</v>
      </c>
      <c r="BB5" s="177">
        <v>37104</v>
      </c>
      <c r="BC5" s="177">
        <v>37469</v>
      </c>
      <c r="BD5" s="34" t="s">
        <v>168</v>
      </c>
      <c r="BE5" s="34" t="s">
        <v>169</v>
      </c>
      <c r="BF5" s="177" t="s">
        <v>393</v>
      </c>
      <c r="BG5" s="177" t="s">
        <v>458</v>
      </c>
      <c r="BH5" s="177" t="s">
        <v>459</v>
      </c>
      <c r="BI5" s="177" t="s">
        <v>460</v>
      </c>
      <c r="BJ5" s="177" t="s">
        <v>461</v>
      </c>
      <c r="BK5" s="177" t="s">
        <v>462</v>
      </c>
      <c r="BL5" s="177" t="s">
        <v>463</v>
      </c>
      <c r="BM5" s="177" t="s">
        <v>464</v>
      </c>
      <c r="BN5" s="59">
        <v>37196</v>
      </c>
      <c r="BO5" s="59">
        <v>37561</v>
      </c>
      <c r="BP5" s="59">
        <v>37926</v>
      </c>
      <c r="BQ5" s="59">
        <v>38292</v>
      </c>
      <c r="BR5" s="59">
        <v>37226</v>
      </c>
      <c r="BS5" s="59">
        <v>37591</v>
      </c>
      <c r="BT5" s="59">
        <v>37956</v>
      </c>
      <c r="BU5" s="59">
        <v>38322</v>
      </c>
      <c r="BV5" s="59">
        <v>36892</v>
      </c>
      <c r="BW5" s="59">
        <v>37257</v>
      </c>
      <c r="BX5" s="59">
        <v>37622</v>
      </c>
      <c r="BY5" s="59">
        <v>37987</v>
      </c>
      <c r="BZ5" s="59">
        <v>36923</v>
      </c>
      <c r="CA5" s="59">
        <v>37288</v>
      </c>
      <c r="CB5" s="59">
        <v>37653</v>
      </c>
      <c r="CC5" s="59">
        <v>38018</v>
      </c>
      <c r="CD5" s="59" t="str">
        <f>Sheet8!A15</f>
        <v>Mar-w1</v>
      </c>
      <c r="CE5" s="59">
        <v>37316</v>
      </c>
      <c r="CF5" s="59">
        <v>37681</v>
      </c>
      <c r="CG5" s="59">
        <v>38047</v>
      </c>
      <c r="CH5" s="59" t="str">
        <f>Sheet8!E15</f>
        <v>Apr-w1</v>
      </c>
      <c r="CI5" s="59" t="str">
        <f>Sheet8!F15</f>
        <v>Apr-w2</v>
      </c>
      <c r="CJ5" s="59" t="str">
        <f>Sheet8!G15</f>
        <v>Apr-w3</v>
      </c>
      <c r="CK5" s="59" t="str">
        <f>Sheet8!H15</f>
        <v>Apr-w4</v>
      </c>
      <c r="CL5" s="59" t="str">
        <f>Sheet8!I15</f>
        <v>May-w1</v>
      </c>
      <c r="CM5" s="59" t="str">
        <f>Sheet8!J15</f>
        <v>May-w2</v>
      </c>
      <c r="CN5" s="59" t="str">
        <f>Sheet8!K15</f>
        <v>May-w3</v>
      </c>
      <c r="CO5" s="59" t="str">
        <f>Sheet8!L15</f>
        <v>May-w4</v>
      </c>
      <c r="CP5" s="59" t="str">
        <f>Sheet8!M15</f>
        <v>May-w5</v>
      </c>
      <c r="CQ5" s="59" t="str">
        <f>Sheet8!N15</f>
        <v>june-w1</v>
      </c>
      <c r="CR5" s="59" t="str">
        <f>Sheet8!O15</f>
        <v>june-w2</v>
      </c>
      <c r="CS5" s="59" t="str">
        <f>Sheet8!P15</f>
        <v>june-w3</v>
      </c>
      <c r="CT5" s="59" t="str">
        <f>Sheet8!Q15</f>
        <v>june-w4</v>
      </c>
      <c r="CU5" s="59" t="str">
        <f>Sheet8!R15</f>
        <v>Jul-w1</v>
      </c>
      <c r="CV5" s="59" t="str">
        <f>Sheet8!S15</f>
        <v>Jul-w2</v>
      </c>
      <c r="CW5" s="59" t="str">
        <f>Sheet8!T15</f>
        <v>Jul-w3</v>
      </c>
      <c r="CX5" s="59" t="str">
        <f>Sheet8!U15</f>
        <v>Jul-w4</v>
      </c>
      <c r="CY5" s="59" t="str">
        <f>Sheet8!V15</f>
        <v>Aug-w1</v>
      </c>
      <c r="CZ5" s="59" t="str">
        <f>Sheet8!W15</f>
        <v>Aug-w2</v>
      </c>
      <c r="DA5" s="59" t="str">
        <f>Sheet8!X15</f>
        <v>Aug-w3</v>
      </c>
      <c r="DB5" s="59" t="str">
        <f>Sheet8!Y15</f>
        <v>Aug-w4</v>
      </c>
      <c r="DC5" s="59" t="str">
        <f>Sheet8!Z15</f>
        <v>Sep-w1</v>
      </c>
      <c r="DD5" s="59" t="str">
        <f>Sheet8!AA15</f>
        <v>Sep-w2</v>
      </c>
      <c r="DE5" s="59" t="str">
        <f>Sheet8!AB15</f>
        <v>Sep-w3</v>
      </c>
      <c r="DF5" s="59" t="str">
        <f>Sheet8!AC15</f>
        <v>Sep-w4</v>
      </c>
      <c r="DG5" s="59" t="str">
        <f>Sheet8!AD15</f>
        <v>Oct-w1</v>
      </c>
      <c r="DH5" s="59" t="str">
        <f>Sheet8!AE15</f>
        <v>Oct-w2</v>
      </c>
      <c r="DI5" s="59" t="str">
        <f>Sheet8!AF15</f>
        <v>Oct-w3</v>
      </c>
      <c r="DJ5" s="59" t="str">
        <f>Sheet8!AG15</f>
        <v>Oct-w4</v>
      </c>
      <c r="DK5" s="59" t="str">
        <f>Sheet8!AH15</f>
        <v>Nov-w1</v>
      </c>
      <c r="DL5" s="59" t="str">
        <f>Sheet8!AI15</f>
        <v>Nov-w2</v>
      </c>
      <c r="DM5" s="59" t="str">
        <f>Sheet8!AJ15</f>
        <v>Nov-w3</v>
      </c>
      <c r="DN5" s="59" t="str">
        <f>Sheet8!AK15</f>
        <v>Nov-w4</v>
      </c>
      <c r="DO5" s="59" t="str">
        <f>Sheet8!AL15</f>
        <v>Dec-w1</v>
      </c>
      <c r="DP5" s="59" t="str">
        <f>Sheet8!AM15</f>
        <v>Dec-w2</v>
      </c>
      <c r="DQ5" s="59" t="str">
        <f>Sheet8!AN15</f>
        <v>Dec-w3</v>
      </c>
      <c r="DR5" s="59" t="str">
        <f>Sheet8!AO15</f>
        <v>Dec-w4</v>
      </c>
      <c r="DS5" s="59">
        <f>Sheet8!AP15</f>
        <v>0</v>
      </c>
      <c r="DT5" s="59">
        <f>Sheet8!AQ15</f>
        <v>0</v>
      </c>
      <c r="DU5" s="59">
        <f>Sheet8!AR15</f>
        <v>0</v>
      </c>
      <c r="DV5" s="59">
        <f>Sheet8!AS15</f>
        <v>0</v>
      </c>
      <c r="DW5" s="59">
        <f>Sheet8!AT15</f>
        <v>0</v>
      </c>
    </row>
    <row r="6" spans="1:154" ht="12">
      <c r="A6" s="178"/>
      <c r="F6" s="44" t="s">
        <v>564</v>
      </c>
      <c r="G6" s="173" t="s">
        <v>60</v>
      </c>
      <c r="H6" s="184">
        <f>VLOOKUP($G$6&amp;$F$1,'Input RM sheet'!$A:$BD,H1,0)</f>
        <v>1117</v>
      </c>
      <c r="I6" s="184">
        <f>VLOOKUP($G$6&amp;$F$1,'Input RM sheet'!$A:$BD,I1,0)</f>
        <v>1098.125</v>
      </c>
      <c r="J6" s="184">
        <f>VLOOKUP($G$6&amp;$F$1,'Input RM sheet'!$A:$BD,J1,0)</f>
        <v>1021.875</v>
      </c>
      <c r="K6" s="184">
        <f>VLOOKUP($G$6&amp;$F$1,'Input RM sheet'!$A:$BD,K1,0)</f>
        <v>885</v>
      </c>
      <c r="L6" s="184">
        <f>VLOOKUP($G$6&amp;$F$1,'Input RM sheet'!$A:$BD,L1,0)</f>
        <v>818.5</v>
      </c>
      <c r="M6" s="184">
        <f>VLOOKUP($G$6&amp;$F$1,'Input RM sheet'!$A:$BD,M1,0)</f>
        <v>868.125</v>
      </c>
      <c r="N6" s="184">
        <f>VLOOKUP($G$6&amp;$F$1,'Input RM sheet'!$A:$BD,N1,0)</f>
        <v>844</v>
      </c>
      <c r="O6" s="184">
        <f>VLOOKUP($G$6&amp;$F$1,'Input RM sheet'!$A:$BD,O1,0)</f>
        <v>810</v>
      </c>
      <c r="P6" s="184">
        <f>VLOOKUP($G$6&amp;$F$1,'Input RM sheet'!$A:$BD,P1,0)</f>
        <v>827.5</v>
      </c>
      <c r="Q6" s="184">
        <f>VLOOKUP($G$6&amp;$F$1,'Input RM sheet'!$A:$BD,Q1,0)</f>
        <v>855</v>
      </c>
      <c r="R6" s="184">
        <f>VLOOKUP($G$6&amp;$F$1,'Input RM sheet'!$A:$BD,R1,0)</f>
        <v>986.25</v>
      </c>
      <c r="S6" s="184">
        <f>VLOOKUP($G$6&amp;$F$1,'Input RM sheet'!$A:$BD,S1,0)</f>
        <v>1127.5</v>
      </c>
      <c r="T6" s="184">
        <f>VLOOKUP($G$6&amp;$F$1,'Input RM sheet'!$A:$BD,T1,0)</f>
        <v>1078.75</v>
      </c>
      <c r="U6" s="184">
        <f>VLOOKUP($G$6&amp;$F$1,'Input RM sheet'!$A:$BD,U1,0)</f>
        <v>1089</v>
      </c>
      <c r="V6" s="184">
        <f>VLOOKUP($G$6&amp;$F$1,'Input RM sheet'!$A:$BD,V1,0)</f>
        <v>1223</v>
      </c>
      <c r="W6" s="184">
        <f>VLOOKUP($G$6&amp;$F$1,'Input RM sheet'!$A:$BD,W1,0)</f>
        <v>1208</v>
      </c>
      <c r="X6" s="184">
        <f>VLOOKUP($G$6&amp;$F$1,'Input RM sheet'!$A:$BD,X1,0)</f>
        <v>1232.5</v>
      </c>
      <c r="Y6" s="184">
        <f>VLOOKUP($G$6&amp;$F$1,'Input RM sheet'!$A:$BD,Y1,0)</f>
        <v>1167.5</v>
      </c>
      <c r="Z6" s="184">
        <f>VLOOKUP($G$6&amp;$F$1,'Input RM sheet'!$A:$BD,Z1,0)</f>
        <v>1254</v>
      </c>
      <c r="AA6" s="184">
        <f>VLOOKUP($G$6&amp;$F$1,'Input RM sheet'!$A:$BD,AA1,0)</f>
        <v>1325</v>
      </c>
      <c r="AB6" s="184">
        <f>VLOOKUP($G$6&amp;$F$1,'Input RM sheet'!$A:$BD,AB1,0)</f>
        <v>1311.25</v>
      </c>
      <c r="AC6" s="184">
        <f>VLOOKUP($G$6&amp;$F$1,'Input RM sheet'!$A:$BD,AC1,0)</f>
        <v>1455</v>
      </c>
      <c r="AD6" s="184">
        <f>VLOOKUP($G$6&amp;$F$1,'Input RM sheet'!$A:$BD,AD1,0)</f>
        <v>1600</v>
      </c>
      <c r="AE6" s="184">
        <f>VLOOKUP($G$6&amp;$F$1,'Input RM sheet'!$A:$BD,AE1,0)</f>
        <v>1657.5</v>
      </c>
      <c r="AF6" s="184">
        <f>VLOOKUP($G$6&amp;$F$1,'Input RM sheet'!$A:$BD,AF1,0)</f>
        <v>1790</v>
      </c>
      <c r="AG6" s="184">
        <f>VLOOKUP($G$6&amp;$F$1,'Input RM sheet'!$A:$BD,AG1,0)</f>
        <v>1895</v>
      </c>
      <c r="AH6" s="184">
        <f>VLOOKUP($G$6&amp;$F$1,'Input RM sheet'!$A:$BD,AH1,0)</f>
        <v>2007.5</v>
      </c>
      <c r="AI6" s="184">
        <f>VLOOKUP($G$6&amp;$F$1,'Input RM sheet'!$A:$BD,AI1,0)</f>
        <v>2162</v>
      </c>
      <c r="AJ6" s="184">
        <f>VLOOKUP($G$6&amp;$F$1,'Input RM sheet'!$A:$BD,AJ1,0)</f>
        <v>1917.5</v>
      </c>
      <c r="AK6" s="184">
        <f>VLOOKUP($G$6&amp;$F$1,'Input RM sheet'!$A:$BD,AK1,0)</f>
        <v>1706.25</v>
      </c>
      <c r="AL6" s="184">
        <f>VLOOKUP($G$6&amp;$F$1,'Input RM sheet'!$A:$BD,AL1,0)</f>
        <v>1489</v>
      </c>
      <c r="AM6" s="184">
        <f>VLOOKUP($G$6&amp;$F$1,'Input RM sheet'!$A:$BD,AM1,0)</f>
        <v>1226.875</v>
      </c>
      <c r="AN6" s="184">
        <f>VLOOKUP($G$6&amp;$F$1,'Input RM sheet'!$A:$BD,AN1,0)</f>
        <v>1279</v>
      </c>
      <c r="AO6" s="184">
        <f>VLOOKUP($G$6&amp;$F$1,'Input RM sheet'!$A:$BD,AO1,0)</f>
        <v>1240</v>
      </c>
      <c r="AP6" s="184">
        <f>VLOOKUP($G$6&amp;$F$1,'Input RM sheet'!$A:$BD,AP1,0)</f>
        <v>1163.75</v>
      </c>
      <c r="AQ6" s="184">
        <f>VLOOKUP($G$6&amp;$F$1,'Input RM sheet'!$A:$BD,AQ1,0)</f>
        <v>1140</v>
      </c>
      <c r="AR6" s="184">
        <f>VLOOKUP($G$6&amp;$F$1,'Input RM sheet'!$A:$BD,AR1,0)</f>
        <v>1125</v>
      </c>
      <c r="AS6" s="184">
        <f>VLOOKUP($G$6&amp;$F$1,'Input RM sheet'!$A:$BD,AS1,0)</f>
        <v>1234.375</v>
      </c>
      <c r="AT6" s="184">
        <f>VLOOKUP($G$6&amp;$F$1,'Input RM sheet'!$A:$BD,AT1,0)</f>
        <v>1400</v>
      </c>
      <c r="AU6" s="184">
        <f>VLOOKUP($G$6&amp;$F$1,'Input RM sheet'!$A:$BD,AU1,0)</f>
        <v>1400</v>
      </c>
      <c r="AV6" s="184">
        <f>VLOOKUP($G$6&amp;$F$1,'Input RM sheet'!$A:$BD,AV1,0)</f>
        <v>1400</v>
      </c>
      <c r="AW6" s="184">
        <f>VLOOKUP($G$6&amp;$F$1,'Input RM sheet'!$A:$BD,AW1,0)</f>
        <v>1350</v>
      </c>
      <c r="AX6" s="184">
        <f>VLOOKUP($G$6&amp;$F$1,'Input RM sheet'!$A:$BD,AX1,0)</f>
        <v>1350</v>
      </c>
      <c r="AY6" s="184">
        <f>VLOOKUP($G$6&amp;$F$1,'Input RM sheet'!$A:$BD,AY1,0)</f>
        <v>1300</v>
      </c>
      <c r="AZ6" s="184">
        <f>VLOOKUP($G$6&amp;$F$1,'Input RM sheet'!$A:$BD,AZ1,0)</f>
        <v>1300</v>
      </c>
      <c r="BA6" s="184">
        <f>VLOOKUP($G$6&amp;$F$1,'Input RM sheet'!$A:$BD,BA1,0)</f>
        <v>1300</v>
      </c>
      <c r="BB6" s="184">
        <f>VLOOKUP($G$6&amp;$F$1,'Input RM sheet'!$A:$BD,BB1,0)</f>
        <v>1325</v>
      </c>
      <c r="BC6" s="184">
        <f>VLOOKUP($G$6&amp;$F$1,'Input RM sheet'!$A:$BD,BC1,0)</f>
        <v>1350</v>
      </c>
      <c r="BD6" s="184">
        <f>VLOOKUP($G$6&amp;$F$1,'Input RM sheet'!$A:$BD,BD1,0)</f>
        <v>1350</v>
      </c>
      <c r="BE6" s="184">
        <f>VLOOKUP($G$6&amp;$F$1,'Input RM sheet'!$A:$BD,BE1,0)</f>
        <v>1475</v>
      </c>
      <c r="BF6" s="184">
        <f>VLOOKUP($G$6&amp;$F$1,'Input RM sheet'!$A:$DD,BF1,0)</f>
        <v>1500</v>
      </c>
      <c r="BG6" s="184">
        <f>VLOOKUP($G$6&amp;$F$1,'Input RM sheet'!$A:$DD,BG1,0)</f>
        <v>1550</v>
      </c>
      <c r="BH6" s="184">
        <f>VLOOKUP($G$6&amp;$F$1,'Input RM sheet'!$A:$DD,BH1,0)</f>
        <v>1550</v>
      </c>
      <c r="BI6" s="184">
        <f>VLOOKUP($G$6&amp;$F$1,'Input RM sheet'!$A:$DD,BI1,0)</f>
        <v>1550</v>
      </c>
      <c r="BJ6" s="184">
        <f>VLOOKUP($G$6&amp;$F$1,'Input RM sheet'!$A:$DD,BJ1,0)</f>
        <v>1500</v>
      </c>
      <c r="BK6" s="184">
        <f>VLOOKUP($G$6&amp;$F$1,'Input RM sheet'!$A:$DD,BK1,0)</f>
        <v>1500</v>
      </c>
      <c r="BL6" s="184">
        <f>VLOOKUP($G$6&amp;$F$1,'Input RM sheet'!$A:$DD,BL1,0)</f>
        <v>1500</v>
      </c>
      <c r="BM6" s="184">
        <f>VLOOKUP($G$6&amp;$F$1,'Input RM sheet'!$A:$DD,BM1,0)</f>
        <v>1500</v>
      </c>
      <c r="BN6" s="184">
        <f>VLOOKUP($G$6&amp;$F$1,'Input RM sheet'!$A:$DD,BN1,0)</f>
        <v>1500</v>
      </c>
      <c r="BO6" s="184">
        <f>VLOOKUP($G$6&amp;$F$1,'Input RM sheet'!$A:$DD,BO1,0)</f>
        <v>1450</v>
      </c>
      <c r="BP6" s="184">
        <f>VLOOKUP($G$6&amp;$F$1,'Input RM sheet'!$A:$DD,BP1,0)</f>
        <v>1450</v>
      </c>
      <c r="BQ6" s="184">
        <f>VLOOKUP($G$6&amp;$F$1,'Input RM sheet'!$A:$DD,BQ1,0)</f>
        <v>1400</v>
      </c>
      <c r="BR6" s="184">
        <f>VLOOKUP($G$6&amp;$F$1,'Input RM sheet'!$A:$DD,BR1,0)</f>
        <v>1350</v>
      </c>
      <c r="BS6" s="184">
        <f>VLOOKUP($G$6&amp;$F$1,'Input RM sheet'!$A:$DD,BS1,0)</f>
        <v>1350</v>
      </c>
      <c r="BT6" s="184">
        <f>VLOOKUP($G$6&amp;$F$1,'Input RM sheet'!$A:$DD,BT1,0)</f>
        <v>1325</v>
      </c>
      <c r="BU6" s="184">
        <f>VLOOKUP($G$6&amp;$F$1,'Input RM sheet'!$A:$DD,BU1,0)</f>
        <v>1325</v>
      </c>
      <c r="BV6" s="184">
        <f>VLOOKUP($G$6&amp;$F$1,'Input RM sheet'!$A:$DD,BV1,0)</f>
        <v>1325</v>
      </c>
      <c r="BW6" s="184">
        <f>VLOOKUP($G$6&amp;$F$1,'Input RM sheet'!$A:$DD,BW1,0)</f>
        <v>1325</v>
      </c>
      <c r="BX6" s="184">
        <f>VLOOKUP($G$6&amp;$F$1,'Input RM sheet'!$A:$DD,BX1,0)</f>
        <v>1325</v>
      </c>
      <c r="BY6" s="184">
        <f>VLOOKUP($G$6&amp;$F$1,'Input RM sheet'!$A:$DD,BY1,0)</f>
        <v>1350</v>
      </c>
      <c r="BZ6" s="184">
        <f>VLOOKUP($G$6&amp;$F$1,'Input RM sheet'!$A:$DD,BZ1,0)</f>
        <v>1350</v>
      </c>
      <c r="CA6" s="184">
        <f>VLOOKUP($G$6&amp;$F$1,'Input RM sheet'!$A:$DD,CA1,0)</f>
        <v>1350</v>
      </c>
      <c r="CB6" s="184">
        <f>VLOOKUP($G$6&amp;$F$1,'Input RM sheet'!$A:$DD,CB1,0)</f>
        <v>1350</v>
      </c>
      <c r="CC6" s="184">
        <f>VLOOKUP($G$6&amp;$F$1,'Input RM sheet'!$A:$DD,CC1,0)</f>
        <v>1400</v>
      </c>
      <c r="CD6" s="184">
        <f>VLOOKUP($G$6&amp;$F$1,'Input RM sheet'!$A:$DD,CD1,0)</f>
        <v>1400</v>
      </c>
      <c r="CE6" s="184">
        <f>VLOOKUP($G$6&amp;$F$1,'Input RM sheet'!$A:$DD,CE1,0)</f>
        <v>1400</v>
      </c>
      <c r="CF6" s="184">
        <f>VLOOKUP($G$6&amp;$F$1,'Input RM sheet'!$A:$DD,CF1,0)</f>
        <v>1425</v>
      </c>
      <c r="CG6" s="184">
        <f>VLOOKUP($G$6&amp;$F$1,'Input RM sheet'!$A:$DD,CG1,0)</f>
        <v>1400</v>
      </c>
      <c r="CH6" s="184">
        <f>VLOOKUP($G$6&amp;$F$1,'Input RM sheet'!$A:$DD,CH1,0)</f>
        <v>1400</v>
      </c>
      <c r="CI6" s="184">
        <f>VLOOKUP($G$6&amp;$F$1,'Input RM sheet'!$A:$DD,CI1,0)</f>
        <v>1435</v>
      </c>
      <c r="CJ6" s="184">
        <f>VLOOKUP($G$6&amp;$F$1,'Input RM sheet'!$A:$DD,CJ1,0)</f>
        <v>1435</v>
      </c>
      <c r="CK6" s="184">
        <f>VLOOKUP($G$6&amp;$F$1,'Input RM sheet'!$A:$DD,CK1,0)</f>
        <v>1435</v>
      </c>
      <c r="CL6" s="184">
        <f>VLOOKUP($G$6&amp;$F$1,'Input RM sheet'!$A:$DD,CL1,0)</f>
        <v>1435</v>
      </c>
      <c r="CM6" s="184">
        <f>VLOOKUP($G$6&amp;$F$1,'Input RM sheet'!$A:$DD,CM1,0)</f>
        <v>1435</v>
      </c>
      <c r="CN6" s="184">
        <f>VLOOKUP($G$6&amp;$F$1,'Input RM sheet'!$A:$DD,CN1,0)</f>
        <v>1435</v>
      </c>
      <c r="CO6" s="184">
        <f>VLOOKUP($G$6&amp;$F$1,'Input RM sheet'!$A:$DD,CO1,0)</f>
        <v>1435</v>
      </c>
      <c r="CP6" s="184">
        <f>VLOOKUP($G$6&amp;$F$1,'Input RM sheet'!$A:$DD,CP1,0)</f>
        <v>1435</v>
      </c>
      <c r="CQ6" s="184">
        <f>VLOOKUP($G$6&amp;$F$1,'Input RM sheet'!$A:$ZZ,CQ1,0)</f>
        <v>1450</v>
      </c>
      <c r="CR6" s="184">
        <f>VLOOKUP($G$6&amp;$F$1,'Input RM sheet'!$A:$ZZ,CR1,0)</f>
        <v>1385</v>
      </c>
      <c r="CS6" s="184">
        <f>VLOOKUP($G$6&amp;$F$1,'Input RM sheet'!$A:$ZZ,CS1,0)</f>
        <v>1375</v>
      </c>
      <c r="CT6" s="184">
        <f>VLOOKUP($G$6&amp;$F$1,'Input RM sheet'!$A:$ZZ,CT1,0)</f>
        <v>1375</v>
      </c>
      <c r="CU6" s="184">
        <f>VLOOKUP($G$6&amp;$F$1,'Input RM sheet'!$A:$ZZ,CU1,0)</f>
        <v>1375</v>
      </c>
      <c r="CV6" s="184">
        <f>VLOOKUP($G$6&amp;$F$1,'Input RM sheet'!$A:$ZZ,CV1,0)</f>
        <v>1250</v>
      </c>
      <c r="CW6" s="184">
        <f>VLOOKUP($G$6&amp;$F$1,'Input RM sheet'!$A:$ZZ,CW1,0)</f>
        <v>1250</v>
      </c>
      <c r="CX6" s="184">
        <v>1120</v>
      </c>
      <c r="CY6" s="184">
        <f>VLOOKUP($G$6&amp;$F$1,'Input RM sheet'!$A:$ZZ,CY1,0)</f>
        <v>1250</v>
      </c>
      <c r="CZ6" s="184">
        <f>VLOOKUP($G$6&amp;$F$1,'Input RM sheet'!$A:$ZZ,CZ1,0)</f>
        <v>1250</v>
      </c>
      <c r="DA6" s="184">
        <f>VLOOKUP($G$6&amp;$F$1,'Input RM sheet'!$A:$ZZ,DA1,0)</f>
        <v>1250</v>
      </c>
      <c r="DB6" s="184">
        <f>VLOOKUP($G$6&amp;$F$1,'Input RM sheet'!$A:$ZZ,DB1,0)</f>
        <v>1250</v>
      </c>
      <c r="DC6" s="184">
        <f>VLOOKUP($G$6&amp;$F$1,'Input RM sheet'!$A:$ZZ,DC1,0)</f>
        <v>1250</v>
      </c>
      <c r="DD6" s="184">
        <f>VLOOKUP($G$6&amp;$F$1,'Input RM sheet'!$A:$ZZ,DD1,0)</f>
        <v>1250</v>
      </c>
      <c r="DE6" s="184">
        <f>VLOOKUP($G$6&amp;$F$1,'Input RM sheet'!$A:$ZZ,DE1,0)</f>
        <v>1250</v>
      </c>
      <c r="DF6" s="184">
        <f>VLOOKUP($G$6&amp;$F$1,'Input RM sheet'!$A:$ZZ,DF1,0)</f>
        <v>1250</v>
      </c>
      <c r="DG6" s="184">
        <f>VLOOKUP($G$6&amp;$F$1,'Input RM sheet'!$A:$ZZ,DG1,0)</f>
        <v>1250</v>
      </c>
      <c r="DH6" s="184">
        <f>VLOOKUP($G$6&amp;$F$1,'Input RM sheet'!$A:$ZZ,DH1,0)</f>
        <v>1200</v>
      </c>
      <c r="DI6" s="184">
        <f>VLOOKUP($G$6&amp;$F$1,'Input RM sheet'!$A:$ZZ,DI1,0)</f>
        <v>1200</v>
      </c>
      <c r="DJ6" s="184">
        <f>VLOOKUP($G$6&amp;$F$1,'Input RM sheet'!$A:$ZZ,DJ1,0)</f>
        <v>1200</v>
      </c>
      <c r="DK6" s="184">
        <f>VLOOKUP($G$6&amp;$F$1,'Input RM sheet'!$A:$ZZ,DK1,0)</f>
        <v>1200</v>
      </c>
      <c r="DL6" s="184">
        <f>VLOOKUP($G$6&amp;$F$1,'Input RM sheet'!$A:$ZZ,DL1,0)</f>
        <v>1150</v>
      </c>
      <c r="DM6" s="184">
        <f>VLOOKUP($G$6&amp;$F$1,'Input RM sheet'!$A:$ZZ,DM1,0)</f>
        <v>1150</v>
      </c>
      <c r="DN6" s="184">
        <f>VLOOKUP($G$6&amp;$F$1,'Input RM sheet'!$A:$ZZ,DN1,0)</f>
        <v>1150</v>
      </c>
      <c r="DO6" s="184">
        <f>VLOOKUP($G$6&amp;$F$1,'Input RM sheet'!$A:$ZZ,DO1,0)</f>
        <v>1150</v>
      </c>
      <c r="DP6" s="184">
        <f>VLOOKUP($G$6&amp;$F$1,'Input RM sheet'!$A:$ZZ,DP1,0)</f>
        <v>1150</v>
      </c>
      <c r="DQ6" s="184">
        <f>VLOOKUP($G$6&amp;$F$1,'Input RM sheet'!$A:$ZZ,DQ1,0)</f>
        <v>1150</v>
      </c>
      <c r="DR6" s="184">
        <f>VLOOKUP($G$6&amp;$F$1,'Input RM sheet'!$A:$ZZ,DR1,0)</f>
        <v>1150</v>
      </c>
      <c r="DS6" s="184">
        <f>VLOOKUP($G$6&amp;$F$1,'Input RM sheet'!$A:$ZZ,DS1,0)</f>
        <v>0</v>
      </c>
      <c r="DT6" s="184">
        <f>VLOOKUP($G$6&amp;$F$1,'Input RM sheet'!$A:$ZZ,DT1,0)</f>
        <v>0</v>
      </c>
      <c r="DU6" s="184">
        <f>VLOOKUP($G$6&amp;$F$1,'Input RM sheet'!$A:$ZZ,DU1,0)</f>
        <v>0</v>
      </c>
      <c r="DV6" s="184">
        <f>VLOOKUP($G$6&amp;$F$1,'Input RM sheet'!$A:$ZZ,DV1,0)</f>
        <v>0</v>
      </c>
      <c r="DW6" s="184">
        <f>VLOOKUP($G$6&amp;$F$1,'Input RM sheet'!$A:$ZZ,DW1,0)</f>
        <v>0</v>
      </c>
    </row>
    <row r="7" spans="1:154" ht="24">
      <c r="E7" s="173" t="s">
        <v>429</v>
      </c>
      <c r="F7" s="44" t="s">
        <v>542</v>
      </c>
      <c r="G7" s="178" t="s">
        <v>45</v>
      </c>
      <c r="H7" s="179">
        <f>VLOOKUP($G$7&amp;$F$1,'Input RM sheet'!$A:$BD,H1,0)</f>
        <v>0.50625069064173545</v>
      </c>
      <c r="I7" s="179">
        <f>VLOOKUP($G$7&amp;$F$1,'Input RM sheet'!$A:$BD,I1,0)</f>
        <v>0.50605053403738476</v>
      </c>
      <c r="J7" s="179">
        <f>VLOOKUP($G$7&amp;$F$1,'Input RM sheet'!$A:$BD,J1,0)</f>
        <v>0.48566205346589675</v>
      </c>
      <c r="K7" s="179">
        <f>VLOOKUP($G$7&amp;$F$1,'Input RM sheet'!$A:$BD,K1,0)</f>
        <v>0.46604911475979133</v>
      </c>
      <c r="L7" s="179">
        <f>VLOOKUP($G$7&amp;$F$1,'Input RM sheet'!$A:$BD,L1,0)</f>
        <v>0.47286371932487081</v>
      </c>
      <c r="M7" s="179">
        <f>VLOOKUP($G$7&amp;$F$1,'Input RM sheet'!$A:$BD,M1,0)</f>
        <v>0.44148091934964817</v>
      </c>
      <c r="N7" s="179">
        <f>VLOOKUP($G$7&amp;$F$1,'Input RM sheet'!$A:$BD,N1,0)</f>
        <v>0.43426534003337747</v>
      </c>
      <c r="O7" s="179">
        <f>VLOOKUP($G$7&amp;$F$1,'Input RM sheet'!$A:$BD,O1,0)</f>
        <v>0.4253624199790475</v>
      </c>
      <c r="P7" s="179">
        <f>VLOOKUP($G$7&amp;$F$1,'Input RM sheet'!$A:$BD,P1,0)</f>
        <v>0.43233741458081631</v>
      </c>
      <c r="Q7" s="179">
        <f>VLOOKUP($G$7&amp;$F$1,'Input RM sheet'!$A:$BD,Q1,0)</f>
        <v>0.4289746699475917</v>
      </c>
      <c r="R7" s="179">
        <f>VLOOKUP($G$7&amp;$F$1,'Input RM sheet'!$A:$BD,R1,0)</f>
        <v>0.42484260760346637</v>
      </c>
      <c r="S7" s="179">
        <f>VLOOKUP($G$7&amp;$F$1,'Input RM sheet'!$A:$BD,S1,0)</f>
        <v>0.45075951239765033</v>
      </c>
      <c r="T7" s="179">
        <f>VLOOKUP($G$7&amp;$F$1,'Input RM sheet'!$A:$BD,T1,0)</f>
        <v>0.47632070741601718</v>
      </c>
      <c r="U7" s="179">
        <f>VLOOKUP($G$7&amp;$F$1,'Input RM sheet'!$A:$BD,U1,0)</f>
        <v>0.50824175824175821</v>
      </c>
      <c r="V7" s="179">
        <f>VLOOKUP($G$7&amp;$F$1,'Input RM sheet'!$A:$BD,V1,0)</f>
        <v>0.50824175824175821</v>
      </c>
      <c r="W7" s="179">
        <f>VLOOKUP($G$7&amp;$F$1,'Input RM sheet'!$A:$BD,W1,0)</f>
        <v>0.53357522262827839</v>
      </c>
      <c r="X7" s="179">
        <f>VLOOKUP($G$7&amp;$F$1,'Input RM sheet'!$A:$BD,X1,0)</f>
        <v>0.59385665529010234</v>
      </c>
      <c r="Y7" s="179">
        <f>VLOOKUP($G$7&amp;$F$1,'Input RM sheet'!$A:$BD,Y1,0)</f>
        <v>0.63431872099725806</v>
      </c>
      <c r="Z7" s="179">
        <f>VLOOKUP($G$7&amp;$F$1,'Input RM sheet'!$A:$BD,Z1,0)</f>
        <v>0.72591659871949687</v>
      </c>
      <c r="AA7" s="179">
        <f>VLOOKUP($G$7&amp;$F$1,'Input RM sheet'!$A:$BD,AA1,0)</f>
        <v>0.72889455792717117</v>
      </c>
      <c r="AB7" s="179">
        <f>VLOOKUP($G$7&amp;$F$1,'Input RM sheet'!$A:$BD,AB1,0)</f>
        <v>0.74862988980369449</v>
      </c>
      <c r="AC7" s="179">
        <f>VLOOKUP($G$7&amp;$F$1,'Input RM sheet'!$A:$BD,AC1,0)</f>
        <v>0.79168514687656644</v>
      </c>
      <c r="AD7" s="179">
        <f>VLOOKUP($G$7&amp;$F$1,'Input RM sheet'!$A:$BD,AD1,0)</f>
        <v>0.82087330176727136</v>
      </c>
      <c r="AE7" s="179">
        <f>VLOOKUP($G$7&amp;$F$1,'Input RM sheet'!$A:$BD,AE1,0)</f>
        <v>0.84614593649711278</v>
      </c>
      <c r="AF7" s="179">
        <f>VLOOKUP($G$7&amp;$F$1,'Input RM sheet'!$A:$BD,AF1,0)</f>
        <v>1.0564787620243885</v>
      </c>
      <c r="AG7" s="179">
        <f>VLOOKUP($G$7&amp;$F$1,'Input RM sheet'!$A:$BD,AG1,0)</f>
        <v>1.2058469531568468</v>
      </c>
      <c r="AH7" s="179">
        <f>VLOOKUP($G$7&amp;$F$1,'Input RM sheet'!$A:$BD,AH1,0)</f>
        <v>1.328155753838079</v>
      </c>
      <c r="AI7" s="179">
        <f>VLOOKUP($G$7&amp;$F$1,'Input RM sheet'!$A:$BD,AI1,0)</f>
        <v>1.2605824467442697</v>
      </c>
      <c r="AJ7" s="179">
        <f>VLOOKUP($G$7&amp;$F$1,'Input RM sheet'!$A:$BD,AJ1,0)</f>
        <v>1.1242096737595759</v>
      </c>
      <c r="AK7" s="179">
        <f>VLOOKUP($G$7&amp;$F$1,'Input RM sheet'!$A:$BD,AK1,0)</f>
        <v>1.1179786985052897</v>
      </c>
      <c r="AL7" s="179">
        <f>VLOOKUP($G$7&amp;$F$1,'Input RM sheet'!$A:$BD,AL1,0)</f>
        <v>1.0829322457612403</v>
      </c>
      <c r="AM7" s="179">
        <f>VLOOKUP($G$7&amp;$F$1,'Input RM sheet'!$A:$BD,AM1,0)</f>
        <v>1.0855018240664733</v>
      </c>
      <c r="AN7" s="179">
        <f>VLOOKUP($G$7&amp;$F$1,'Input RM sheet'!$A:$BD,AN1,0)</f>
        <v>1.0549821404108952</v>
      </c>
      <c r="AO7" s="179">
        <f>VLOOKUP($G$7&amp;$F$1,'Input RM sheet'!$A:$BD,AO1,0)</f>
        <v>1.0740005833527477</v>
      </c>
      <c r="AP7" s="179">
        <f>VLOOKUP($G$7&amp;$F$1,'Input RM sheet'!$A:$BD,AP1,0)</f>
        <v>1.1385193276752337</v>
      </c>
      <c r="AQ7" s="179">
        <f>VLOOKUP($G$7&amp;$F$1,'Input RM sheet'!$A:$BD,AQ1,0)</f>
        <v>1.0816813265611029</v>
      </c>
      <c r="AR7" s="179">
        <f>VLOOKUP($G$7&amp;$F$1,'Input RM sheet'!$A:$BD,AR1,0)</f>
        <v>0.99756298566293211</v>
      </c>
      <c r="AS7" s="179">
        <f>VLOOKUP($G$7&amp;$F$1,'Input RM sheet'!$A:$BD,AS1,0)</f>
        <v>0.92545631998382882</v>
      </c>
      <c r="AT7" s="179">
        <f>VLOOKUP($G$7&amp;$F$1,'Input RM sheet'!$A:$BD,AT1,0)</f>
        <v>0.9011022063000439</v>
      </c>
      <c r="AU7" s="179">
        <f>VLOOKUP($G$7&amp;$F$1,'Input RM sheet'!$A:$BD,AU1,0)</f>
        <v>0.74767129009219857</v>
      </c>
      <c r="AV7" s="179">
        <f>VLOOKUP($G$7&amp;$F$1,'Input RM sheet'!$A:$BD,AV1,0)</f>
        <v>0.70626929682976414</v>
      </c>
      <c r="AW7" s="179">
        <f>VLOOKUP($G$7&amp;$F$1,'Input RM sheet'!$A:$BD,AW1,0)</f>
        <v>0.61818181818181817</v>
      </c>
      <c r="AX7" s="179">
        <f>VLOOKUP($G$7&amp;$F$1,'Input RM sheet'!$A:$BD,AX1,0)</f>
        <v>0.61863173216885003</v>
      </c>
      <c r="AY7" s="179">
        <f>VLOOKUP($G$7&amp;$F$1,'Input RM sheet'!$A:$BD,AY1,0)</f>
        <v>0.6205889510829885</v>
      </c>
      <c r="AZ7" s="179">
        <f>VLOOKUP($G$7&amp;$F$1,'Input RM sheet'!$A:$BD,AZ1,0)</f>
        <v>0.62255859375</v>
      </c>
      <c r="BA7" s="179">
        <f>VLOOKUP($G$7&amp;$F$1,'Input RM sheet'!$A:$BD,BA1,0)</f>
        <v>0.59567225869195228</v>
      </c>
      <c r="BB7" s="179">
        <f>VLOOKUP($G$7&amp;$F$1,'Input RM sheet'!$A:$BD,BB1,0)</f>
        <v>0.59157310153326093</v>
      </c>
      <c r="BC7" s="179">
        <f>VLOOKUP($G$7&amp;$F$1,'Input RM sheet'!$A:$BD,BC1,0)</f>
        <v>0.58858858858858853</v>
      </c>
      <c r="BD7" s="179">
        <f>VLOOKUP($G$7&amp;$F$1,'Input RM sheet'!$A:$BD,BD1,0)</f>
        <v>0.58858858858858853</v>
      </c>
      <c r="BE7" s="179">
        <f>VLOOKUP($G$7&amp;$F$1,'Input RM sheet'!$A:$BD,BE1,0)</f>
        <v>0.59286146400483963</v>
      </c>
      <c r="BF7" s="179">
        <f>VLOOKUP($G$7&amp;$F$1,'Input RM sheet'!$A:$DD,BF1,0)</f>
        <v>0.5900060204695966</v>
      </c>
      <c r="BG7" s="179">
        <f>VLOOKUP($G$7&amp;$F$1,'Input RM sheet'!$A:$DD,BG1,0)</f>
        <v>0.5666747046057391</v>
      </c>
      <c r="BH7" s="179">
        <f>VLOOKUP($G$7&amp;$F$1,'Input RM sheet'!$A:$DD,BH1,0)</f>
        <v>0.59085976124442297</v>
      </c>
      <c r="BI7" s="179">
        <f>VLOOKUP($G$7&amp;$F$1,'Input RM sheet'!$A:$DD,BI1,0)</f>
        <v>0.58851789574825841</v>
      </c>
      <c r="BJ7" s="179">
        <f>VLOOKUP($G$7&amp;$F$1,'Input RM sheet'!$A:$DD,BJ1,0)</f>
        <v>0.68493150684931503</v>
      </c>
      <c r="BK7" s="179">
        <f>VLOOKUP($G$7&amp;$F$1,'Input RM sheet'!$A:$DD,BK1,0)</f>
        <v>0.68468468468468469</v>
      </c>
      <c r="BL7" s="179">
        <f>VLOOKUP($G$7&amp;$F$1,'Input RM sheet'!$A:$DD,BL1,0)</f>
        <v>0.66169393647738206</v>
      </c>
      <c r="BM7" s="179">
        <f>VLOOKUP($G$7&amp;$F$1,'Input RM sheet'!$A:$DD,BM1,0)</f>
        <v>0.69661301945712217</v>
      </c>
      <c r="BN7" s="179">
        <f>VLOOKUP($G$7&amp;$F$1,'Input RM sheet'!$A:$DD,BN1,0)</f>
        <v>0.69694784907474161</v>
      </c>
      <c r="BO7" s="179">
        <f>VLOOKUP($G$7&amp;$F$1,'Input RM sheet'!$A:$DD,BO1,0)</f>
        <v>0.69719918259406177</v>
      </c>
      <c r="BP7" s="179">
        <f>VLOOKUP($G$7&amp;$F$1,'Input RM sheet'!$A:$DD,BP1,0)</f>
        <v>0.69719918259406177</v>
      </c>
      <c r="BQ7" s="179">
        <f>VLOOKUP($G$7&amp;$F$1,'Input RM sheet'!$A:$DD,BQ1,0)</f>
        <v>0.69602784111364457</v>
      </c>
      <c r="BR7" s="179">
        <f>VLOOKUP($G$7&amp;$F$1,'Input RM sheet'!$A:$DD,BR1,0)</f>
        <v>0.69544364508393286</v>
      </c>
      <c r="BS7" s="179">
        <f>VLOOKUP($G$7&amp;$F$1,'Input RM sheet'!$A:$DD,BS1,0)</f>
        <v>0.63579654510556627</v>
      </c>
      <c r="BT7" s="179">
        <f>VLOOKUP($G$7&amp;$F$1,'Input RM sheet'!$A:$DD,BT1,0)</f>
        <v>0.64872657376261422</v>
      </c>
      <c r="BU7" s="179">
        <f>VLOOKUP($G$7&amp;$F$1,'Input RM sheet'!$A:$DD,BU1,0)</f>
        <v>0.64810369659145473</v>
      </c>
      <c r="BV7" s="179">
        <f>VLOOKUP($G$7&amp;$F$1,'Input RM sheet'!$A:$DD,BV1,0)</f>
        <v>0.63146499879720952</v>
      </c>
      <c r="BW7" s="179">
        <f>VLOOKUP($G$7&amp;$F$1,'Input RM sheet'!$A:$DD,BW1,0)</f>
        <v>0.66145520144317493</v>
      </c>
      <c r="BX7" s="179">
        <f>VLOOKUP($G$7&amp;$F$1,'Input RM sheet'!$A:$DD,BX1,0)</f>
        <v>0.66066066066066065</v>
      </c>
      <c r="BY7" s="179">
        <f>VLOOKUP($G$7&amp;$F$1,'Input RM sheet'!$A:$DD,BY1,0)</f>
        <v>0.67421141343607027</v>
      </c>
      <c r="BZ7" s="179">
        <f>VLOOKUP($G$7&amp;$F$1,'Input RM sheet'!$A:$DD,BZ1,0)</f>
        <v>0.67469879518072284</v>
      </c>
      <c r="CA7" s="179">
        <f>VLOOKUP($G$7&amp;$F$1,'Input RM sheet'!$A:$DD,CA1,0)</f>
        <v>0.6746175159619322</v>
      </c>
      <c r="CB7" s="179">
        <f>VLOOKUP($G$7&amp;$F$1,'Input RM sheet'!$A:$DD,CB1,0)</f>
        <v>0.67551266586248493</v>
      </c>
      <c r="CC7" s="179">
        <f>VLOOKUP($G$7&amp;$F$1,'Input RM sheet'!$A:$DD,CC1,0)</f>
        <v>0.67551266586248493</v>
      </c>
      <c r="CD7" s="179">
        <f>VLOOKUP($G$7&amp;$F$1,'Input RM sheet'!$A:$DD,CD1,0)</f>
        <v>0.64087061668681977</v>
      </c>
      <c r="CE7" s="179">
        <f>VLOOKUP($G$7&amp;$F$1,'Input RM sheet'!$A:$DD,CE1,0)</f>
        <v>0.64040599323344605</v>
      </c>
      <c r="CF7" s="179">
        <f>VLOOKUP($G$7&amp;$F$1,'Input RM sheet'!$A:$DD,CF1,0)</f>
        <v>0.63656017295219791</v>
      </c>
      <c r="CG7" s="179">
        <f>VLOOKUP($G$7&amp;$F$1,'Input RM sheet'!$A:$DD,CG1,0)</f>
        <v>0.63556781388655714</v>
      </c>
      <c r="CH7" s="179">
        <f>VLOOKUP($G$7&amp;$F$1,'Input RM sheet'!$A:$DD,CH1,0)</f>
        <v>0.63694267515923575</v>
      </c>
      <c r="CI7" s="179">
        <f>VLOOKUP($G$7&amp;$F$1,'Input RM sheet'!$A:$DD,CI1,0)</f>
        <v>0.63549160671462823</v>
      </c>
      <c r="CJ7" s="179">
        <f>VLOOKUP($G$7&amp;$F$1,'Input RM sheet'!$A:$DD,CJ1,0)</f>
        <v>0.63389546704939603</v>
      </c>
      <c r="CK7" s="179">
        <f>VLOOKUP($G$7&amp;$F$1,'Input RM sheet'!$A:$DD,CK1,0)</f>
        <v>0.65931431311436106</v>
      </c>
      <c r="CL7" s="179">
        <f>VLOOKUP($G$7&amp;$F$1,'Input RM sheet'!$A:$DD,CL1,0)</f>
        <v>0.6586826347305389</v>
      </c>
      <c r="CM7" s="179">
        <f>VLOOKUP($G$7&amp;$F$1,'Input RM sheet'!$A:$DD,CM1,0)</f>
        <v>0.65986802639472109</v>
      </c>
      <c r="CN7" s="179">
        <f>VLOOKUP($G$7&amp;$F$1,'Input RM sheet'!$A:$DD,CN1,0)</f>
        <v>0.62387522495500902</v>
      </c>
      <c r="CO7" s="179">
        <f>VLOOKUP($G$7&amp;$F$1,'Input RM sheet'!$A:$DD,CO1,0)</f>
        <v>0.62387522495500902</v>
      </c>
      <c r="CP7" s="179">
        <f>VLOOKUP($G$7&amp;$F$1,'Input RM sheet'!$A:$DD,CP1,0)</f>
        <v>0.62387522495500902</v>
      </c>
      <c r="CQ7" s="179">
        <f>VLOOKUP($G$7&amp;$F$1,'Input RM sheet'!$A:$ZZ,CQ1,0)</f>
        <v>0.61985933961139583</v>
      </c>
      <c r="CR7" s="179">
        <f>VLOOKUP($G$7&amp;$F$1,'Input RM sheet'!$A:$ZZ,CR1,0)</f>
        <v>0.64748201438848918</v>
      </c>
      <c r="CS7" s="179">
        <f>VLOOKUP($G$7&amp;$F$1,'Input RM sheet'!$A:$ZZ,CS1,0)</f>
        <v>0.6467065868263473</v>
      </c>
      <c r="CT7" s="179">
        <f>VLOOKUP($G$7&amp;$F$1,'Input RM sheet'!$A:$ZZ,CT1,0)</f>
        <v>0.67106051527860988</v>
      </c>
      <c r="CU7" s="179">
        <f>VLOOKUP($G$7&amp;$F$1,'Input RM sheet'!$A:$ZZ,CU1,0)</f>
        <v>0.67089972445189894</v>
      </c>
      <c r="CV7" s="179">
        <f>VLOOKUP($G$7&amp;$F$1,'Input RM sheet'!$A:$ZZ,CV1,0)</f>
        <v>0.67025733093955719</v>
      </c>
      <c r="CW7" s="179">
        <f>VLOOKUP($G$7&amp;$F$1,'Input RM sheet'!$A:$ZZ,CW1,0)</f>
        <v>0.65710872162485068</v>
      </c>
      <c r="CX7" s="179">
        <f>VLOOKUP($G$7&amp;$F$1,'Input RM sheet'!$A:$ZZ,CX1,0)</f>
        <v>0.65687328317210081</v>
      </c>
      <c r="CY7" s="179">
        <f>VLOOKUP($G$7&amp;$F$1,'Input RM sheet'!$A:$ZZ,CY1,0)</f>
        <v>0.67897558070279929</v>
      </c>
      <c r="CZ7" s="179">
        <f>VLOOKUP($G$7&amp;$F$1,'Input RM sheet'!$A:$ZZ,CZ1,0)</f>
        <v>0.67889471176750837</v>
      </c>
      <c r="DA7" s="179">
        <f>VLOOKUP($G$7&amp;$F$1,'Input RM sheet'!$A:$ZZ,DA1,0)</f>
        <v>0.6793802145411203</v>
      </c>
      <c r="DB7" s="179">
        <f>VLOOKUP($G$7&amp;$F$1,'Input RM sheet'!$A:$ZZ,DB1,0)</f>
        <v>0.67946119918941472</v>
      </c>
      <c r="DC7" s="179">
        <f>VLOOKUP($G$7&amp;$F$1,'Input RM sheet'!$A:$ZZ,DC1,0)</f>
        <v>0.62529776083849453</v>
      </c>
      <c r="DD7" s="179">
        <f>VLOOKUP($G$7&amp;$F$1,'Input RM sheet'!$A:$ZZ,DD1,0)</f>
        <v>0.62529776083849453</v>
      </c>
      <c r="DE7" s="179">
        <f>VLOOKUP($G$7&amp;$F$1,'Input RM sheet'!$A:$ZZ,DE1,0)</f>
        <v>0.59224694903086861</v>
      </c>
      <c r="DF7" s="179">
        <f>VLOOKUP($G$7&amp;$F$1,'Input RM sheet'!$A:$ZZ,DF1,0)</f>
        <v>0.59168061200095623</v>
      </c>
      <c r="DG7" s="179">
        <f>VLOOKUP($G$7&amp;$F$1,'Input RM sheet'!$A:$ZZ,DG1,0)</f>
        <v>0.58949624866023576</v>
      </c>
      <c r="DH7" s="179">
        <f>VLOOKUP($G$7&amp;$F$1,'Input RM sheet'!$A:$ZZ,DH1,0)</f>
        <v>0.60068990127274891</v>
      </c>
      <c r="DI7" s="179">
        <f>VLOOKUP($G$7&amp;$F$1,'Input RM sheet'!$A:$ZZ,DI1,0)</f>
        <v>0.60068990127274891</v>
      </c>
      <c r="DJ7" s="179">
        <f>VLOOKUP($G$7&amp;$F$1,'Input RM sheet'!$A:$ZZ,DJ1,0)</f>
        <v>0.60061845861084684</v>
      </c>
      <c r="DK7" s="179">
        <f>VLOOKUP($G$7&amp;$F$1,'Input RM sheet'!$A:$ZZ,DK1,0)</f>
        <v>0.60033285782215884</v>
      </c>
      <c r="DL7" s="179">
        <f>VLOOKUP($G$7&amp;$F$1,'Input RM sheet'!$A:$ZZ,DL1,0)</f>
        <v>0.59834123222748814</v>
      </c>
      <c r="DM7" s="179">
        <f>VLOOKUP($G$7&amp;$F$1,'Input RM sheet'!$A:$ZZ,DM1,0)</f>
        <v>0.61706419840987303</v>
      </c>
      <c r="DN7" s="179">
        <f>VLOOKUP($G$7&amp;$F$1,'Input RM sheet'!$A:$ZZ,DN1,0)</f>
        <v>0.61443932411674351</v>
      </c>
      <c r="DO7" s="179">
        <f>VLOOKUP($G$7&amp;$F$1,'Input RM sheet'!$A:$ZZ,DO1,0)</f>
        <v>0.6376195536663124</v>
      </c>
      <c r="DP7" s="179">
        <f>VLOOKUP($G$7&amp;$F$1,'Input RM sheet'!$A:$ZZ,DP1,0)</f>
        <v>0.63067311092773781</v>
      </c>
      <c r="DQ7" s="179">
        <f>VLOOKUP($G$7&amp;$F$1,'Input RM sheet'!$A:$ZZ,DQ1,0)</f>
        <v>0.63000471031559113</v>
      </c>
      <c r="DR7" s="179">
        <f>VLOOKUP($G$7&amp;$F$1,'Input RM sheet'!$A:$ZZ,DR1,0)</f>
        <v>0.62808170932143692</v>
      </c>
      <c r="DS7" s="179">
        <f>VLOOKUP($G$7&amp;$F$1,'Input RM sheet'!$A:$ZZ,DS1,0)</f>
        <v>0</v>
      </c>
      <c r="DT7" s="179">
        <f>VLOOKUP($G$7&amp;$F$1,'Input RM sheet'!$A:$ZZ,DT1,0)</f>
        <v>0</v>
      </c>
      <c r="DU7" s="179">
        <f>VLOOKUP($G$7&amp;$F$1,'Input RM sheet'!$A:$ZZ,DU1,0)</f>
        <v>0</v>
      </c>
      <c r="DV7" s="179">
        <f>VLOOKUP($G$7&amp;$F$1,'Input RM sheet'!$A:$ZZ,DV1,0)</f>
        <v>0</v>
      </c>
      <c r="DW7" s="179">
        <f>VLOOKUP($G$7&amp;$F$1,'Input RM sheet'!$A:$ZZ,DW1,0)</f>
        <v>0</v>
      </c>
    </row>
    <row r="8" spans="1:154">
      <c r="A8" s="180" t="s">
        <v>395</v>
      </c>
      <c r="B8" s="180"/>
      <c r="C8" s="180" t="s">
        <v>379</v>
      </c>
      <c r="D8" s="180" t="s">
        <v>380</v>
      </c>
      <c r="E8" s="180" t="s">
        <v>381</v>
      </c>
      <c r="F8" s="180" t="s">
        <v>396</v>
      </c>
      <c r="G8" s="178" t="s">
        <v>399</v>
      </c>
      <c r="H8" s="181"/>
      <c r="I8" s="181"/>
      <c r="J8" s="181"/>
      <c r="K8" s="181"/>
      <c r="L8" s="181"/>
      <c r="M8" s="181"/>
      <c r="N8" s="181"/>
      <c r="O8" s="181"/>
      <c r="P8" s="181"/>
      <c r="Q8" s="181"/>
      <c r="R8" s="181"/>
      <c r="S8" s="181"/>
    </row>
    <row r="9" spans="1:154" ht="12">
      <c r="A9" s="176" t="s">
        <v>397</v>
      </c>
      <c r="B9" s="173" t="s">
        <v>60</v>
      </c>
      <c r="C9" s="44">
        <v>1</v>
      </c>
      <c r="D9" s="174">
        <v>61.08</v>
      </c>
      <c r="E9" s="44">
        <f>D9*C9</f>
        <v>61.08</v>
      </c>
      <c r="F9" s="175">
        <f>E9/E2</f>
        <v>0.59208995734780923</v>
      </c>
      <c r="H9" s="179">
        <f>$F$9*(H6/1000)</f>
        <v>0.66136448235750289</v>
      </c>
      <c r="I9" s="179">
        <f t="shared" ref="I9:BF9" si="0">$F$9*(I6/1000)</f>
        <v>0.650188784412563</v>
      </c>
      <c r="J9" s="179">
        <f t="shared" si="0"/>
        <v>0.6050419251647926</v>
      </c>
      <c r="K9" s="179">
        <f t="shared" si="0"/>
        <v>0.52399961225281122</v>
      </c>
      <c r="L9" s="179">
        <f t="shared" si="0"/>
        <v>0.48462563008918186</v>
      </c>
      <c r="M9" s="179">
        <f t="shared" si="0"/>
        <v>0.51400809422256688</v>
      </c>
      <c r="N9" s="179">
        <f t="shared" si="0"/>
        <v>0.49972392400155097</v>
      </c>
      <c r="O9" s="179">
        <f t="shared" si="0"/>
        <v>0.47959286545172553</v>
      </c>
      <c r="P9" s="179">
        <f t="shared" si="0"/>
        <v>0.48995443970531216</v>
      </c>
      <c r="Q9" s="179">
        <f t="shared" si="0"/>
        <v>0.50623691353237688</v>
      </c>
      <c r="R9" s="179">
        <f t="shared" si="0"/>
        <v>0.58394872043427681</v>
      </c>
      <c r="S9" s="179">
        <f t="shared" si="0"/>
        <v>0.66758142690965483</v>
      </c>
      <c r="T9" s="179">
        <f t="shared" si="0"/>
        <v>0.63871704148894926</v>
      </c>
      <c r="U9" s="179">
        <f t="shared" si="0"/>
        <v>0.64478596355176421</v>
      </c>
      <c r="V9" s="179">
        <f t="shared" si="0"/>
        <v>0.72412601783637076</v>
      </c>
      <c r="W9" s="179">
        <f t="shared" si="0"/>
        <v>0.71524466847615353</v>
      </c>
      <c r="X9" s="179">
        <f t="shared" si="0"/>
        <v>0.72975087243117487</v>
      </c>
      <c r="Y9" s="179">
        <f t="shared" si="0"/>
        <v>0.69126502520356725</v>
      </c>
      <c r="Z9" s="179">
        <f t="shared" si="0"/>
        <v>0.74248080651415282</v>
      </c>
      <c r="AA9" s="179">
        <f t="shared" si="0"/>
        <v>0.7845191934858472</v>
      </c>
      <c r="AB9" s="179">
        <f t="shared" si="0"/>
        <v>0.7763779565723149</v>
      </c>
      <c r="AC9" s="179">
        <f t="shared" si="0"/>
        <v>0.86149088794106243</v>
      </c>
      <c r="AD9" s="179">
        <f t="shared" si="0"/>
        <v>0.94734393175649478</v>
      </c>
      <c r="AE9" s="179">
        <f t="shared" si="0"/>
        <v>0.98138910430399373</v>
      </c>
      <c r="AF9" s="179">
        <f t="shared" si="0"/>
        <v>1.0598410236525786</v>
      </c>
      <c r="AG9" s="179">
        <f t="shared" si="0"/>
        <v>1.1220104691740984</v>
      </c>
      <c r="AH9" s="179">
        <f t="shared" si="0"/>
        <v>1.1886205893757269</v>
      </c>
      <c r="AI9" s="179">
        <f t="shared" si="0"/>
        <v>1.2800984877859636</v>
      </c>
      <c r="AJ9" s="179">
        <f t="shared" si="0"/>
        <v>1.1353324932144242</v>
      </c>
      <c r="AK9" s="179">
        <f t="shared" si="0"/>
        <v>1.0102534897246995</v>
      </c>
      <c r="AL9" s="179">
        <f t="shared" si="0"/>
        <v>0.88162194649088799</v>
      </c>
      <c r="AM9" s="179">
        <f t="shared" si="0"/>
        <v>0.72642036642109342</v>
      </c>
      <c r="AN9" s="179">
        <f t="shared" si="0"/>
        <v>0.75728305544784791</v>
      </c>
      <c r="AO9" s="179">
        <f t="shared" si="0"/>
        <v>0.73419154711128343</v>
      </c>
      <c r="AP9" s="179">
        <f t="shared" si="0"/>
        <v>0.68904468786351303</v>
      </c>
      <c r="AQ9" s="179">
        <f t="shared" si="0"/>
        <v>0.67498255137650243</v>
      </c>
      <c r="AR9" s="179">
        <f t="shared" si="0"/>
        <v>0.66610120201628542</v>
      </c>
      <c r="AS9" s="179">
        <f t="shared" si="0"/>
        <v>0.73086104110120198</v>
      </c>
      <c r="AT9" s="179">
        <f t="shared" si="0"/>
        <v>0.82892594028693289</v>
      </c>
      <c r="AU9" s="179">
        <f t="shared" si="0"/>
        <v>0.82892594028693289</v>
      </c>
      <c r="AV9" s="179">
        <f t="shared" si="0"/>
        <v>0.82892594028693289</v>
      </c>
      <c r="AW9" s="179">
        <f t="shared" si="0"/>
        <v>0.7993214424195425</v>
      </c>
      <c r="AX9" s="179">
        <f t="shared" si="0"/>
        <v>0.7993214424195425</v>
      </c>
      <c r="AY9" s="179">
        <f t="shared" si="0"/>
        <v>0.769716944552152</v>
      </c>
      <c r="AZ9" s="179">
        <f t="shared" si="0"/>
        <v>0.769716944552152</v>
      </c>
      <c r="BA9" s="179">
        <f t="shared" si="0"/>
        <v>0.769716944552152</v>
      </c>
      <c r="BB9" s="179">
        <f t="shared" si="0"/>
        <v>0.7845191934858472</v>
      </c>
      <c r="BC9" s="179">
        <f t="shared" si="0"/>
        <v>0.7993214424195425</v>
      </c>
      <c r="BD9" s="179">
        <f>$F$9*(BD6/1000)</f>
        <v>0.7993214424195425</v>
      </c>
      <c r="BE9" s="179">
        <f>$F$9*(BE6/1000)</f>
        <v>0.8733326870880187</v>
      </c>
      <c r="BF9" s="179">
        <f t="shared" si="0"/>
        <v>0.88813493602171389</v>
      </c>
      <c r="BG9" s="179">
        <f t="shared" ref="BG9:BM9" si="1">$F$9*(BG6/1000)</f>
        <v>0.91773943388910428</v>
      </c>
      <c r="BH9" s="179">
        <f t="shared" si="1"/>
        <v>0.91773943388910428</v>
      </c>
      <c r="BI9" s="179">
        <f t="shared" si="1"/>
        <v>0.91773943388910428</v>
      </c>
      <c r="BJ9" s="179">
        <f t="shared" si="1"/>
        <v>0.88813493602171389</v>
      </c>
      <c r="BK9" s="179">
        <f t="shared" si="1"/>
        <v>0.88813493602171389</v>
      </c>
      <c r="BL9" s="179">
        <f t="shared" si="1"/>
        <v>0.88813493602171389</v>
      </c>
      <c r="BM9" s="179">
        <f t="shared" si="1"/>
        <v>0.88813493602171389</v>
      </c>
      <c r="BN9" s="179">
        <f t="shared" ref="BN9:BU9" si="2">$F$9*(BN6/1000)</f>
        <v>0.88813493602171389</v>
      </c>
      <c r="BO9" s="179">
        <f t="shared" si="2"/>
        <v>0.85853043815432339</v>
      </c>
      <c r="BP9" s="179">
        <f t="shared" si="2"/>
        <v>0.85853043815432339</v>
      </c>
      <c r="BQ9" s="179">
        <f t="shared" si="2"/>
        <v>0.82892594028693289</v>
      </c>
      <c r="BR9" s="179">
        <f t="shared" si="2"/>
        <v>0.7993214424195425</v>
      </c>
      <c r="BS9" s="179">
        <f t="shared" si="2"/>
        <v>0.7993214424195425</v>
      </c>
      <c r="BT9" s="179">
        <f t="shared" si="2"/>
        <v>0.7845191934858472</v>
      </c>
      <c r="BU9" s="179">
        <f t="shared" si="2"/>
        <v>0.7845191934858472</v>
      </c>
      <c r="BV9" s="179">
        <f t="shared" ref="BV9:CK9" si="3">$F$9*(BV6/1000)</f>
        <v>0.7845191934858472</v>
      </c>
      <c r="BW9" s="179">
        <f t="shared" si="3"/>
        <v>0.7845191934858472</v>
      </c>
      <c r="BX9" s="179">
        <f t="shared" si="3"/>
        <v>0.7845191934858472</v>
      </c>
      <c r="BY9" s="179">
        <f t="shared" si="3"/>
        <v>0.7993214424195425</v>
      </c>
      <c r="BZ9" s="179">
        <f t="shared" si="3"/>
        <v>0.7993214424195425</v>
      </c>
      <c r="CA9" s="179">
        <f t="shared" si="3"/>
        <v>0.7993214424195425</v>
      </c>
      <c r="CB9" s="179">
        <f t="shared" si="3"/>
        <v>0.7993214424195425</v>
      </c>
      <c r="CC9" s="179">
        <f t="shared" si="3"/>
        <v>0.82892594028693289</v>
      </c>
      <c r="CD9" s="179">
        <f t="shared" si="3"/>
        <v>0.82892594028693289</v>
      </c>
      <c r="CE9" s="179">
        <f t="shared" si="3"/>
        <v>0.82892594028693289</v>
      </c>
      <c r="CF9" s="179">
        <f t="shared" si="3"/>
        <v>0.8437281892206282</v>
      </c>
      <c r="CG9" s="179">
        <f t="shared" si="3"/>
        <v>0.82892594028693289</v>
      </c>
      <c r="CH9" s="179">
        <f t="shared" si="3"/>
        <v>0.82892594028693289</v>
      </c>
      <c r="CI9" s="179">
        <f t="shared" si="3"/>
        <v>0.84964908879410628</v>
      </c>
      <c r="CJ9" s="179">
        <f t="shared" si="3"/>
        <v>0.84964908879410628</v>
      </c>
      <c r="CK9" s="179">
        <f t="shared" si="3"/>
        <v>0.84964908879410628</v>
      </c>
      <c r="CL9" s="179">
        <f t="shared" ref="CL9:CQ9" si="4">$F$9*(CL6/1000)</f>
        <v>0.84964908879410628</v>
      </c>
      <c r="CM9" s="179">
        <f t="shared" si="4"/>
        <v>0.84964908879410628</v>
      </c>
      <c r="CN9" s="179">
        <f t="shared" si="4"/>
        <v>0.84964908879410628</v>
      </c>
      <c r="CO9" s="179">
        <f t="shared" si="4"/>
        <v>0.84964908879410628</v>
      </c>
      <c r="CP9" s="179">
        <f t="shared" si="4"/>
        <v>0.84964908879410628</v>
      </c>
      <c r="CQ9" s="179">
        <f t="shared" si="4"/>
        <v>0.85853043815432339</v>
      </c>
      <c r="CR9" s="179">
        <f>$F$9*(CR6/1000)</f>
        <v>0.82004459092671578</v>
      </c>
      <c r="CS9" s="179">
        <f>$F$9*(CS6/1000)</f>
        <v>0.8141236913532377</v>
      </c>
      <c r="CT9" s="179">
        <f t="shared" ref="CT9:DW9" si="5">$F$9*(CT6/1000)</f>
        <v>0.8141236913532377</v>
      </c>
      <c r="CU9" s="179">
        <f t="shared" si="5"/>
        <v>0.8141236913532377</v>
      </c>
      <c r="CV9" s="179">
        <f t="shared" si="5"/>
        <v>0.7401124466847615</v>
      </c>
      <c r="CW9" s="179">
        <f t="shared" si="5"/>
        <v>0.7401124466847615</v>
      </c>
      <c r="CX9" s="179">
        <f t="shared" si="5"/>
        <v>0.66314075222954638</v>
      </c>
      <c r="CY9" s="179">
        <f t="shared" si="5"/>
        <v>0.7401124466847615</v>
      </c>
      <c r="CZ9" s="179">
        <f t="shared" si="5"/>
        <v>0.7401124466847615</v>
      </c>
      <c r="DA9" s="179">
        <f t="shared" si="5"/>
        <v>0.7401124466847615</v>
      </c>
      <c r="DB9" s="179">
        <f t="shared" si="5"/>
        <v>0.7401124466847615</v>
      </c>
      <c r="DC9" s="179">
        <f t="shared" si="5"/>
        <v>0.7401124466847615</v>
      </c>
      <c r="DD9" s="179">
        <f t="shared" si="5"/>
        <v>0.7401124466847615</v>
      </c>
      <c r="DE9" s="179">
        <f t="shared" si="5"/>
        <v>0.7401124466847615</v>
      </c>
      <c r="DF9" s="179">
        <f t="shared" si="5"/>
        <v>0.7401124466847615</v>
      </c>
      <c r="DG9" s="179">
        <f t="shared" si="5"/>
        <v>0.7401124466847615</v>
      </c>
      <c r="DH9" s="179">
        <f t="shared" si="5"/>
        <v>0.710507948817371</v>
      </c>
      <c r="DI9" s="179">
        <f t="shared" si="5"/>
        <v>0.710507948817371</v>
      </c>
      <c r="DJ9" s="179">
        <f t="shared" si="5"/>
        <v>0.710507948817371</v>
      </c>
      <c r="DK9" s="179">
        <f t="shared" si="5"/>
        <v>0.710507948817371</v>
      </c>
      <c r="DL9" s="179">
        <f t="shared" si="5"/>
        <v>0.6809034509499805</v>
      </c>
      <c r="DM9" s="179">
        <f t="shared" si="5"/>
        <v>0.6809034509499805</v>
      </c>
      <c r="DN9" s="179">
        <f t="shared" si="5"/>
        <v>0.6809034509499805</v>
      </c>
      <c r="DO9" s="179">
        <f t="shared" si="5"/>
        <v>0.6809034509499805</v>
      </c>
      <c r="DP9" s="179">
        <f t="shared" si="5"/>
        <v>0.6809034509499805</v>
      </c>
      <c r="DQ9" s="179">
        <f t="shared" si="5"/>
        <v>0.6809034509499805</v>
      </c>
      <c r="DR9" s="179">
        <f t="shared" si="5"/>
        <v>0.6809034509499805</v>
      </c>
      <c r="DS9" s="179">
        <f t="shared" si="5"/>
        <v>0</v>
      </c>
      <c r="DT9" s="179">
        <f t="shared" si="5"/>
        <v>0</v>
      </c>
      <c r="DU9" s="179">
        <f t="shared" si="5"/>
        <v>0</v>
      </c>
      <c r="DV9" s="179">
        <f t="shared" si="5"/>
        <v>0</v>
      </c>
      <c r="DW9" s="179">
        <f t="shared" si="5"/>
        <v>0</v>
      </c>
    </row>
    <row r="10" spans="1:154">
      <c r="A10" s="189"/>
      <c r="B10" s="172" t="s">
        <v>590</v>
      </c>
      <c r="C10" s="44">
        <v>1</v>
      </c>
      <c r="D10" s="174">
        <v>17.03</v>
      </c>
      <c r="E10" s="44">
        <f>D10*C10</f>
        <v>17.03</v>
      </c>
      <c r="F10" s="175">
        <f>E10/E2</f>
        <v>0.16508336564559908</v>
      </c>
      <c r="H10" s="179">
        <f>$F$10*H7</f>
        <v>8.3573567871546683E-2</v>
      </c>
      <c r="I10" s="179">
        <f t="shared" ref="I10:BF10" si="6">$F$10*I7</f>
        <v>8.3540525345644268E-2</v>
      </c>
      <c r="J10" s="179">
        <f t="shared" si="6"/>
        <v>8.0174726352503126E-2</v>
      </c>
      <c r="K10" s="179">
        <f t="shared" si="6"/>
        <v>7.6936956420698407E-2</v>
      </c>
      <c r="L10" s="179">
        <f t="shared" si="6"/>
        <v>7.8061934277845579E-2</v>
      </c>
      <c r="M10" s="179">
        <f t="shared" si="6"/>
        <v>7.288115603455321E-2</v>
      </c>
      <c r="N10" s="179">
        <f t="shared" si="6"/>
        <v>7.1689983915940475E-2</v>
      </c>
      <c r="O10" s="179">
        <f t="shared" si="6"/>
        <v>7.0220259909297977E-2</v>
      </c>
      <c r="P10" s="179">
        <f t="shared" si="6"/>
        <v>7.1371715493517854E-2</v>
      </c>
      <c r="Q10" s="179">
        <f t="shared" si="6"/>
        <v>7.0816582291658464E-2</v>
      </c>
      <c r="R10" s="179">
        <f t="shared" si="6"/>
        <v>7.0134447532832808E-2</v>
      </c>
      <c r="S10" s="179">
        <f t="shared" si="6"/>
        <v>7.4412897403373257E-2</v>
      </c>
      <c r="T10" s="179">
        <f t="shared" si="6"/>
        <v>7.8632625506928788E-2</v>
      </c>
      <c r="U10" s="179">
        <f t="shared" si="6"/>
        <v>8.3902260012186342E-2</v>
      </c>
      <c r="V10" s="179">
        <f t="shared" si="6"/>
        <v>8.3902260012186342E-2</v>
      </c>
      <c r="W10" s="179">
        <f t="shared" si="6"/>
        <v>8.808439357657602E-2</v>
      </c>
      <c r="X10" s="179">
        <f t="shared" si="6"/>
        <v>9.8035855366328459E-2</v>
      </c>
      <c r="Y10" s="179">
        <f t="shared" si="6"/>
        <v>0.1047154693542391</v>
      </c>
      <c r="Z10" s="179">
        <f t="shared" si="6"/>
        <v>0.11983675529462033</v>
      </c>
      <c r="AA10" s="179">
        <f t="shared" si="6"/>
        <v>0.1203283668233785</v>
      </c>
      <c r="AB10" s="179">
        <f t="shared" si="6"/>
        <v>0.12358634183168785</v>
      </c>
      <c r="AC10" s="179">
        <f t="shared" si="6"/>
        <v>0.13069404857801403</v>
      </c>
      <c r="AD10" s="179">
        <f t="shared" si="6"/>
        <v>0.13551252742435665</v>
      </c>
      <c r="AE10" s="179">
        <f t="shared" si="6"/>
        <v>0.13968461902429075</v>
      </c>
      <c r="AF10" s="179">
        <f t="shared" si="6"/>
        <v>0.17440706976808198</v>
      </c>
      <c r="AG10" s="179">
        <f t="shared" si="6"/>
        <v>0.19906527348062333</v>
      </c>
      <c r="AH10" s="179">
        <f t="shared" si="6"/>
        <v>0.2192564219451579</v>
      </c>
      <c r="AI10" s="179">
        <f t="shared" si="6"/>
        <v>0.2081011929823082</v>
      </c>
      <c r="AJ10" s="179">
        <f t="shared" si="6"/>
        <v>0.18558831663557174</v>
      </c>
      <c r="AK10" s="179">
        <f t="shared" si="6"/>
        <v>0.18455968626933972</v>
      </c>
      <c r="AL10" s="179">
        <f t="shared" si="6"/>
        <v>0.1787740998964126</v>
      </c>
      <c r="AM10" s="179">
        <f t="shared" si="6"/>
        <v>0.17919829453133038</v>
      </c>
      <c r="AN10" s="179">
        <f t="shared" si="6"/>
        <v>0.17416000243502858</v>
      </c>
      <c r="AO10" s="179">
        <f t="shared" si="6"/>
        <v>0.17729963100520837</v>
      </c>
      <c r="AP10" s="179">
        <f t="shared" si="6"/>
        <v>0.18795060246519224</v>
      </c>
      <c r="AQ10" s="179">
        <f t="shared" si="6"/>
        <v>0.17856759394470323</v>
      </c>
      <c r="AR10" s="179">
        <f t="shared" si="6"/>
        <v>0.16468105511670933</v>
      </c>
      <c r="AS10" s="179">
        <f t="shared" si="6"/>
        <v>0.15277744406092095</v>
      </c>
      <c r="AT10" s="179">
        <f t="shared" si="6"/>
        <v>0.14875698500668622</v>
      </c>
      <c r="AU10" s="179">
        <f t="shared" si="6"/>
        <v>0.1234280929650072</v>
      </c>
      <c r="AV10" s="179">
        <f t="shared" si="6"/>
        <v>0.11659331257280811</v>
      </c>
      <c r="AW10" s="179">
        <f t="shared" si="6"/>
        <v>0.10205153512637034</v>
      </c>
      <c r="AX10" s="179">
        <f t="shared" si="6"/>
        <v>0.10212580844160059</v>
      </c>
      <c r="AY10" s="179">
        <f t="shared" si="6"/>
        <v>0.10244891272725179</v>
      </c>
      <c r="AZ10" s="179">
        <f t="shared" si="6"/>
        <v>0.10277406796784122</v>
      </c>
      <c r="BA10" s="179">
        <f t="shared" si="6"/>
        <v>9.8335581286583443E-2</v>
      </c>
      <c r="BB10" s="179">
        <f t="shared" si="6"/>
        <v>9.7658878626516427E-2</v>
      </c>
      <c r="BC10" s="179">
        <f t="shared" si="6"/>
        <v>9.7166185184797055E-2</v>
      </c>
      <c r="BD10" s="179">
        <f>$F$10*BD7</f>
        <v>9.7166185184797055E-2</v>
      </c>
      <c r="BE10" s="179">
        <f>$F$10*BE7</f>
        <v>9.7871565839496119E-2</v>
      </c>
      <c r="BF10" s="179">
        <f t="shared" si="6"/>
        <v>9.7400179610287227E-2</v>
      </c>
      <c r="BG10" s="179">
        <f t="shared" ref="BG10:BM10" si="7">$F$10*BG7</f>
        <v>9.3548567462541074E-2</v>
      </c>
      <c r="BH10" s="179">
        <f t="shared" si="7"/>
        <v>9.7541118010784453E-2</v>
      </c>
      <c r="BI10" s="179">
        <f t="shared" si="7"/>
        <v>9.7154514972788306E-2</v>
      </c>
      <c r="BJ10" s="179">
        <f t="shared" si="7"/>
        <v>0.11307079838739663</v>
      </c>
      <c r="BK10" s="179">
        <f t="shared" si="7"/>
        <v>0.11303005215374352</v>
      </c>
      <c r="BL10" s="179">
        <f t="shared" si="7"/>
        <v>0.10923466206097147</v>
      </c>
      <c r="BM10" s="179">
        <f t="shared" si="7"/>
        <v>0.11499922180452493</v>
      </c>
      <c r="BN10" s="179">
        <f t="shared" ref="BN10:BU10" si="8">$F$10*BN7</f>
        <v>0.11505449660471938</v>
      </c>
      <c r="BO10" s="179">
        <f t="shared" si="8"/>
        <v>0.11509598758798829</v>
      </c>
      <c r="BP10" s="179">
        <f t="shared" si="8"/>
        <v>0.11509598758798829</v>
      </c>
      <c r="BQ10" s="179">
        <f t="shared" si="8"/>
        <v>0.11490261859408073</v>
      </c>
      <c r="BR10" s="179">
        <f t="shared" si="8"/>
        <v>0.11480617754729912</v>
      </c>
      <c r="BS10" s="179">
        <f t="shared" si="8"/>
        <v>0.10495943353187083</v>
      </c>
      <c r="BT10" s="179">
        <f t="shared" si="8"/>
        <v>0.10709396618047035</v>
      </c>
      <c r="BU10" s="179">
        <f t="shared" si="8"/>
        <v>0.10699113952067153</v>
      </c>
      <c r="BV10" s="179">
        <f t="shared" ref="BV10:CK10" si="9">$F$10*BV7</f>
        <v>0.10424436728883753</v>
      </c>
      <c r="BW10" s="179">
        <f t="shared" si="9"/>
        <v>0.10919525087802705</v>
      </c>
      <c r="BX10" s="179">
        <f t="shared" si="9"/>
        <v>0.1090640854115069</v>
      </c>
      <c r="BY10" s="179">
        <f t="shared" si="9"/>
        <v>0.11130108928670296</v>
      </c>
      <c r="BZ10" s="179">
        <f t="shared" si="9"/>
        <v>0.11138154790546444</v>
      </c>
      <c r="CA10" s="179">
        <f t="shared" si="9"/>
        <v>0.11136813005846943</v>
      </c>
      <c r="CB10" s="179">
        <f t="shared" si="9"/>
        <v>0.11151590441681</v>
      </c>
      <c r="CC10" s="179">
        <f t="shared" si="9"/>
        <v>0.11151590441681</v>
      </c>
      <c r="CD10" s="179">
        <f t="shared" si="9"/>
        <v>0.10579707834603085</v>
      </c>
      <c r="CE10" s="179">
        <f t="shared" si="9"/>
        <v>0.10572037674259002</v>
      </c>
      <c r="CF10" s="179">
        <f t="shared" si="9"/>
        <v>0.10508549578689348</v>
      </c>
      <c r="CG10" s="179">
        <f t="shared" si="9"/>
        <v>0.10492167381240858</v>
      </c>
      <c r="CH10" s="179">
        <f t="shared" si="9"/>
        <v>0.10514864053859815</v>
      </c>
      <c r="CI10" s="179">
        <f t="shared" si="9"/>
        <v>0.10490909327598022</v>
      </c>
      <c r="CJ10" s="179">
        <f t="shared" si="9"/>
        <v>0.10464559716800326</v>
      </c>
      <c r="CK10" s="179">
        <f t="shared" si="9"/>
        <v>0.10884182582723508</v>
      </c>
      <c r="CL10" s="179">
        <f t="shared" ref="CL10:CQ10" si="10">$F$10*CL7</f>
        <v>0.10873754623362814</v>
      </c>
      <c r="CM10" s="179">
        <f t="shared" si="10"/>
        <v>0.10893323467915957</v>
      </c>
      <c r="CN10" s="179">
        <f t="shared" si="10"/>
        <v>0.10299142187847814</v>
      </c>
      <c r="CO10" s="179">
        <f t="shared" si="10"/>
        <v>0.10299142187847814</v>
      </c>
      <c r="CP10" s="179">
        <f t="shared" si="10"/>
        <v>0.10299142187847814</v>
      </c>
      <c r="CQ10" s="179">
        <f t="shared" si="10"/>
        <v>0.10232846600990764</v>
      </c>
      <c r="CR10" s="179">
        <f>$F$10*CR7</f>
        <v>0.106888510130244</v>
      </c>
      <c r="CS10" s="179">
        <f>$F$10*CS7</f>
        <v>0.10676049993847127</v>
      </c>
      <c r="CT10" s="179">
        <f t="shared" ref="CT10:DW10" si="11">$F$10*CT7</f>
        <v>0.11078092841406288</v>
      </c>
      <c r="CU10" s="179">
        <f t="shared" si="11"/>
        <v>0.1107543845232245</v>
      </c>
      <c r="CV10" s="179">
        <f t="shared" si="11"/>
        <v>0.11064833604013823</v>
      </c>
      <c r="CW10" s="179">
        <f t="shared" si="11"/>
        <v>0.1084777193609074</v>
      </c>
      <c r="CX10" s="179">
        <f t="shared" si="11"/>
        <v>0.10843885238872507</v>
      </c>
      <c r="CY10" s="179">
        <f t="shared" si="11"/>
        <v>0.11208757405359318</v>
      </c>
      <c r="CZ10" s="179">
        <f t="shared" si="11"/>
        <v>0.11207422393757918</v>
      </c>
      <c r="DA10" s="179">
        <f t="shared" si="11"/>
        <v>0.11215437236947731</v>
      </c>
      <c r="DB10" s="179">
        <f t="shared" si="11"/>
        <v>0.11216774158778338</v>
      </c>
      <c r="DC10" s="179">
        <f t="shared" si="11"/>
        <v>0.10322625888987556</v>
      </c>
      <c r="DD10" s="179">
        <f t="shared" si="11"/>
        <v>0.10322625888987556</v>
      </c>
      <c r="DE10" s="179">
        <f t="shared" si="11"/>
        <v>9.7770119639353364E-2</v>
      </c>
      <c r="DF10" s="179">
        <f t="shared" si="11"/>
        <v>9.76766268163657E-2</v>
      </c>
      <c r="DG10" s="179">
        <f t="shared" si="11"/>
        <v>9.7316024764286704E-2</v>
      </c>
      <c r="DH10" s="179">
        <f t="shared" si="11"/>
        <v>9.9163910611428027E-2</v>
      </c>
      <c r="DI10" s="179">
        <f t="shared" si="11"/>
        <v>9.9163910611428027E-2</v>
      </c>
      <c r="DJ10" s="179">
        <f t="shared" si="11"/>
        <v>9.9152116616350552E-2</v>
      </c>
      <c r="DK10" s="179">
        <f t="shared" si="11"/>
        <v>9.9104968676922894E-2</v>
      </c>
      <c r="DL10" s="179">
        <f t="shared" si="11"/>
        <v>9.8776184420648741E-2</v>
      </c>
      <c r="DM10" s="179">
        <f t="shared" si="11"/>
        <v>0.10186703469290558</v>
      </c>
      <c r="DN10" s="179">
        <f t="shared" si="11"/>
        <v>0.10143371161019914</v>
      </c>
      <c r="DO10" s="179">
        <f t="shared" si="11"/>
        <v>0.10526038192067953</v>
      </c>
      <c r="DP10" s="179">
        <f t="shared" si="11"/>
        <v>0.10411363977413121</v>
      </c>
      <c r="DQ10" s="179">
        <f t="shared" si="11"/>
        <v>0.10400329795147846</v>
      </c>
      <c r="DR10" s="179">
        <f t="shared" si="11"/>
        <v>0.10368584247522365</v>
      </c>
      <c r="DS10" s="179">
        <f t="shared" si="11"/>
        <v>0</v>
      </c>
      <c r="DT10" s="179">
        <f t="shared" si="11"/>
        <v>0</v>
      </c>
      <c r="DU10" s="179">
        <f t="shared" si="11"/>
        <v>0</v>
      </c>
      <c r="DV10" s="179">
        <f t="shared" si="11"/>
        <v>0</v>
      </c>
      <c r="DW10" s="179">
        <f t="shared" si="11"/>
        <v>0</v>
      </c>
    </row>
    <row r="11" spans="1:154">
      <c r="A11" s="170"/>
      <c r="B11" s="170"/>
      <c r="C11" s="170"/>
      <c r="D11" s="170"/>
      <c r="E11" s="170"/>
      <c r="F11" s="170" t="s">
        <v>400</v>
      </c>
      <c r="G11" s="170"/>
      <c r="H11" s="182">
        <f>SUM(H9:H10)</f>
        <v>0.74493805022904958</v>
      </c>
      <c r="I11" s="182">
        <f t="shared" ref="I11:BF11" si="12">SUM(I9:I10)</f>
        <v>0.73372930975820727</v>
      </c>
      <c r="J11" s="182">
        <f t="shared" si="12"/>
        <v>0.68521665151729572</v>
      </c>
      <c r="K11" s="182">
        <f t="shared" si="12"/>
        <v>0.60093656867350964</v>
      </c>
      <c r="L11" s="182">
        <f t="shared" si="12"/>
        <v>0.56268756436702749</v>
      </c>
      <c r="M11" s="182">
        <f t="shared" si="12"/>
        <v>0.58688925025712013</v>
      </c>
      <c r="N11" s="182">
        <f t="shared" si="12"/>
        <v>0.57141390791749147</v>
      </c>
      <c r="O11" s="182">
        <f t="shared" si="12"/>
        <v>0.54981312536102345</v>
      </c>
      <c r="P11" s="182">
        <f t="shared" si="12"/>
        <v>0.56132615519883</v>
      </c>
      <c r="Q11" s="182">
        <f t="shared" si="12"/>
        <v>0.57705349582403531</v>
      </c>
      <c r="R11" s="182">
        <f t="shared" si="12"/>
        <v>0.65408316796710964</v>
      </c>
      <c r="S11" s="182">
        <f t="shared" si="12"/>
        <v>0.74199432431302803</v>
      </c>
      <c r="T11" s="182">
        <f t="shared" si="12"/>
        <v>0.7173496669958781</v>
      </c>
      <c r="U11" s="182">
        <f t="shared" si="12"/>
        <v>0.72868822356395058</v>
      </c>
      <c r="V11" s="182">
        <f t="shared" si="12"/>
        <v>0.80802827784855713</v>
      </c>
      <c r="W11" s="182">
        <f>SUM(W9:W10)</f>
        <v>0.80332906205272958</v>
      </c>
      <c r="X11" s="182">
        <f t="shared" si="12"/>
        <v>0.82778672779750329</v>
      </c>
      <c r="Y11" s="182">
        <f t="shared" si="12"/>
        <v>0.7959804945578064</v>
      </c>
      <c r="Z11" s="182">
        <f t="shared" si="12"/>
        <v>0.86231756180877317</v>
      </c>
      <c r="AA11" s="182">
        <f t="shared" si="12"/>
        <v>0.90484756030922564</v>
      </c>
      <c r="AB11" s="182">
        <f t="shared" si="12"/>
        <v>0.89996429840400272</v>
      </c>
      <c r="AC11" s="182">
        <f t="shared" si="12"/>
        <v>0.99218493651907647</v>
      </c>
      <c r="AD11" s="182">
        <f t="shared" si="12"/>
        <v>1.0828564591808514</v>
      </c>
      <c r="AE11" s="182">
        <f t="shared" si="12"/>
        <v>1.1210737233282844</v>
      </c>
      <c r="AF11" s="182">
        <f t="shared" si="12"/>
        <v>1.2342480934206606</v>
      </c>
      <c r="AG11" s="182">
        <f t="shared" si="12"/>
        <v>1.3210757426547217</v>
      </c>
      <c r="AH11" s="182">
        <f t="shared" si="12"/>
        <v>1.4078770113208847</v>
      </c>
      <c r="AI11" s="182">
        <f t="shared" si="12"/>
        <v>1.4881996807682718</v>
      </c>
      <c r="AJ11" s="182">
        <f t="shared" si="12"/>
        <v>1.320920809849996</v>
      </c>
      <c r="AK11" s="182">
        <f t="shared" si="12"/>
        <v>1.1948131759940392</v>
      </c>
      <c r="AL11" s="182">
        <f t="shared" si="12"/>
        <v>1.0603960463873006</v>
      </c>
      <c r="AM11" s="182">
        <f t="shared" si="12"/>
        <v>0.90561866095242383</v>
      </c>
      <c r="AN11" s="182">
        <f t="shared" si="12"/>
        <v>0.93144305788287651</v>
      </c>
      <c r="AO11" s="182">
        <f t="shared" si="12"/>
        <v>0.91149117811649183</v>
      </c>
      <c r="AP11" s="182">
        <f t="shared" si="12"/>
        <v>0.87699529032870527</v>
      </c>
      <c r="AQ11" s="182">
        <f t="shared" si="12"/>
        <v>0.85355014532120566</v>
      </c>
      <c r="AR11" s="182">
        <f t="shared" si="12"/>
        <v>0.83078225713299481</v>
      </c>
      <c r="AS11" s="182">
        <f t="shared" si="12"/>
        <v>0.88363848516212296</v>
      </c>
      <c r="AT11" s="182">
        <f t="shared" si="12"/>
        <v>0.97768292529361911</v>
      </c>
      <c r="AU11" s="182">
        <f t="shared" si="12"/>
        <v>0.95235403325194012</v>
      </c>
      <c r="AV11" s="182">
        <f t="shared" si="12"/>
        <v>0.94551925285974103</v>
      </c>
      <c r="AW11" s="182">
        <f t="shared" si="12"/>
        <v>0.90137297754591283</v>
      </c>
      <c r="AX11" s="182">
        <f t="shared" si="12"/>
        <v>0.90144725086114308</v>
      </c>
      <c r="AY11" s="182">
        <f t="shared" si="12"/>
        <v>0.87216585727940377</v>
      </c>
      <c r="AZ11" s="182">
        <f t="shared" si="12"/>
        <v>0.87249101251999317</v>
      </c>
      <c r="BA11" s="182">
        <f t="shared" si="12"/>
        <v>0.86805252583873549</v>
      </c>
      <c r="BB11" s="182">
        <f t="shared" si="12"/>
        <v>0.88217807211236365</v>
      </c>
      <c r="BC11" s="182">
        <f t="shared" si="12"/>
        <v>0.89648762760433953</v>
      </c>
      <c r="BD11" s="182">
        <f>SUM(BD9:BD10)</f>
        <v>0.89648762760433953</v>
      </c>
      <c r="BE11" s="182">
        <f>SUM(BE9:BE10)</f>
        <v>0.97120425292751478</v>
      </c>
      <c r="BF11" s="182">
        <f t="shared" si="12"/>
        <v>0.98553511563200114</v>
      </c>
      <c r="BG11" s="182">
        <f t="shared" ref="BG11:BM11" si="13">SUM(BG9:BG10)</f>
        <v>1.0112880013516454</v>
      </c>
      <c r="BH11" s="182">
        <f t="shared" si="13"/>
        <v>1.0152805518998886</v>
      </c>
      <c r="BI11" s="182">
        <f t="shared" si="13"/>
        <v>1.0148939488618927</v>
      </c>
      <c r="BJ11" s="182">
        <f t="shared" si="13"/>
        <v>1.0012057344091105</v>
      </c>
      <c r="BK11" s="182">
        <f t="shared" si="13"/>
        <v>1.0011649881754574</v>
      </c>
      <c r="BL11" s="182">
        <f t="shared" si="13"/>
        <v>0.99736959808268533</v>
      </c>
      <c r="BM11" s="182">
        <f t="shared" si="13"/>
        <v>1.0031341578262389</v>
      </c>
      <c r="BN11" s="182">
        <f t="shared" ref="BN11:BU11" si="14">SUM(BN9:BN10)</f>
        <v>1.0031894326264332</v>
      </c>
      <c r="BO11" s="182">
        <f t="shared" si="14"/>
        <v>0.97362642574231173</v>
      </c>
      <c r="BP11" s="182">
        <f t="shared" si="14"/>
        <v>0.97362642574231173</v>
      </c>
      <c r="BQ11" s="182">
        <f t="shared" si="14"/>
        <v>0.94382855888101358</v>
      </c>
      <c r="BR11" s="182">
        <f t="shared" si="14"/>
        <v>0.91412761996684166</v>
      </c>
      <c r="BS11" s="182">
        <f t="shared" si="14"/>
        <v>0.90428087595141338</v>
      </c>
      <c r="BT11" s="182">
        <f t="shared" si="14"/>
        <v>0.89161315966631749</v>
      </c>
      <c r="BU11" s="182">
        <f t="shared" si="14"/>
        <v>0.89151033300651872</v>
      </c>
      <c r="BV11" s="182">
        <f t="shared" ref="BV11:CK11" si="15">SUM(BV9:BV10)</f>
        <v>0.88876356077468477</v>
      </c>
      <c r="BW11" s="182">
        <f t="shared" si="15"/>
        <v>0.89371444436387426</v>
      </c>
      <c r="BX11" s="182">
        <f t="shared" si="15"/>
        <v>0.89358327889735412</v>
      </c>
      <c r="BY11" s="182">
        <f t="shared" si="15"/>
        <v>0.91062253170624552</v>
      </c>
      <c r="BZ11" s="182">
        <f t="shared" si="15"/>
        <v>0.9107029903250069</v>
      </c>
      <c r="CA11" s="182">
        <f t="shared" si="15"/>
        <v>0.91068957247801197</v>
      </c>
      <c r="CB11" s="182">
        <f t="shared" si="15"/>
        <v>0.91083734683635253</v>
      </c>
      <c r="CC11" s="182">
        <f t="shared" si="15"/>
        <v>0.94044184470374292</v>
      </c>
      <c r="CD11" s="182">
        <f t="shared" si="15"/>
        <v>0.9347230186329637</v>
      </c>
      <c r="CE11" s="182">
        <f t="shared" si="15"/>
        <v>0.93464631702952294</v>
      </c>
      <c r="CF11" s="182">
        <f t="shared" si="15"/>
        <v>0.94881368500752172</v>
      </c>
      <c r="CG11" s="182">
        <f t="shared" si="15"/>
        <v>0.93384761409934147</v>
      </c>
      <c r="CH11" s="182">
        <f t="shared" si="15"/>
        <v>0.93407458082553108</v>
      </c>
      <c r="CI11" s="182">
        <f t="shared" si="15"/>
        <v>0.95455818207008647</v>
      </c>
      <c r="CJ11" s="182">
        <f t="shared" si="15"/>
        <v>0.95429468596210953</v>
      </c>
      <c r="CK11" s="182">
        <f t="shared" si="15"/>
        <v>0.95849091462134139</v>
      </c>
      <c r="CL11" s="182">
        <f t="shared" ref="CL11:CQ11" si="16">SUM(CL9:CL10)</f>
        <v>0.95838663502773436</v>
      </c>
      <c r="CM11" s="182">
        <f t="shared" si="16"/>
        <v>0.95858232347326588</v>
      </c>
      <c r="CN11" s="182">
        <f t="shared" si="16"/>
        <v>0.95264051067258437</v>
      </c>
      <c r="CO11" s="182">
        <f t="shared" si="16"/>
        <v>0.95264051067258437</v>
      </c>
      <c r="CP11" s="182">
        <f t="shared" si="16"/>
        <v>0.95264051067258437</v>
      </c>
      <c r="CQ11" s="182">
        <f t="shared" si="16"/>
        <v>0.96085890416423103</v>
      </c>
      <c r="CR11" s="182">
        <f>SUM(CR9:CR10)</f>
        <v>0.92693310105695981</v>
      </c>
      <c r="CS11" s="182">
        <f>SUM(CS9:CS10)</f>
        <v>0.92088419129170895</v>
      </c>
      <c r="CT11" s="182">
        <f t="shared" ref="CT11:DW11" si="17">SUM(CT9:CT10)</f>
        <v>0.92490461976730054</v>
      </c>
      <c r="CU11" s="182">
        <f t="shared" si="17"/>
        <v>0.9248780758764622</v>
      </c>
      <c r="CV11" s="182">
        <f t="shared" si="17"/>
        <v>0.85076078272489974</v>
      </c>
      <c r="CW11" s="182">
        <f t="shared" si="17"/>
        <v>0.84859016604566895</v>
      </c>
      <c r="CX11" s="182">
        <f t="shared" si="17"/>
        <v>0.77157960461827146</v>
      </c>
      <c r="CY11" s="182">
        <f t="shared" si="17"/>
        <v>0.85220002073835466</v>
      </c>
      <c r="CZ11" s="182">
        <f t="shared" si="17"/>
        <v>0.85218667062234066</v>
      </c>
      <c r="DA11" s="182">
        <f t="shared" si="17"/>
        <v>0.85226681905423884</v>
      </c>
      <c r="DB11" s="182">
        <f t="shared" si="17"/>
        <v>0.85228018827254493</v>
      </c>
      <c r="DC11" s="182">
        <f t="shared" si="17"/>
        <v>0.84333870557463708</v>
      </c>
      <c r="DD11" s="182">
        <f t="shared" si="17"/>
        <v>0.84333870557463708</v>
      </c>
      <c r="DE11" s="182">
        <f t="shared" si="17"/>
        <v>0.83788256632411484</v>
      </c>
      <c r="DF11" s="182">
        <f t="shared" si="17"/>
        <v>0.83778907350112719</v>
      </c>
      <c r="DG11" s="182">
        <f t="shared" si="17"/>
        <v>0.8374284714490482</v>
      </c>
      <c r="DH11" s="182">
        <f t="shared" si="17"/>
        <v>0.80967185942879905</v>
      </c>
      <c r="DI11" s="182">
        <f t="shared" si="17"/>
        <v>0.80967185942879905</v>
      </c>
      <c r="DJ11" s="182">
        <f t="shared" si="17"/>
        <v>0.8096600654337216</v>
      </c>
      <c r="DK11" s="182">
        <f t="shared" si="17"/>
        <v>0.80961291749429387</v>
      </c>
      <c r="DL11" s="182">
        <f t="shared" si="17"/>
        <v>0.77967963537062923</v>
      </c>
      <c r="DM11" s="182">
        <f t="shared" si="17"/>
        <v>0.78277048564288609</v>
      </c>
      <c r="DN11" s="182">
        <f t="shared" si="17"/>
        <v>0.7823371625601796</v>
      </c>
      <c r="DO11" s="182">
        <f t="shared" si="17"/>
        <v>0.78616383287066005</v>
      </c>
      <c r="DP11" s="182">
        <f t="shared" si="17"/>
        <v>0.78501709072411174</v>
      </c>
      <c r="DQ11" s="182">
        <f t="shared" si="17"/>
        <v>0.78490674890145895</v>
      </c>
      <c r="DR11" s="182">
        <f t="shared" si="17"/>
        <v>0.78458929342520412</v>
      </c>
      <c r="DS11" s="182">
        <f t="shared" si="17"/>
        <v>0</v>
      </c>
      <c r="DT11" s="182">
        <f t="shared" si="17"/>
        <v>0</v>
      </c>
      <c r="DU11" s="182">
        <f t="shared" si="17"/>
        <v>0</v>
      </c>
      <c r="DV11" s="182">
        <f t="shared" si="17"/>
        <v>0</v>
      </c>
      <c r="DW11" s="182">
        <f t="shared" si="17"/>
        <v>0</v>
      </c>
    </row>
    <row r="12" spans="1:154" ht="12">
      <c r="A12" s="183" t="s">
        <v>589</v>
      </c>
      <c r="G12" s="173" t="s">
        <v>429</v>
      </c>
      <c r="H12" s="70"/>
      <c r="I12" s="70"/>
      <c r="J12" s="70"/>
      <c r="K12" s="70"/>
      <c r="L12" s="70"/>
      <c r="M12" s="70"/>
      <c r="N12" s="70"/>
      <c r="O12" s="70"/>
      <c r="P12" s="70"/>
      <c r="Q12" s="70"/>
      <c r="R12" s="70"/>
      <c r="S12" s="70"/>
      <c r="T12" s="60"/>
      <c r="U12" s="60"/>
      <c r="V12" s="60"/>
      <c r="W12" s="74">
        <v>4.93</v>
      </c>
      <c r="X12" s="64">
        <v>4.1900000000000004</v>
      </c>
      <c r="Y12" s="64"/>
      <c r="Z12" s="64"/>
      <c r="AA12" s="64">
        <v>3.91</v>
      </c>
      <c r="AB12" s="64">
        <v>3.77</v>
      </c>
      <c r="AC12" s="64">
        <v>3.5</v>
      </c>
      <c r="AD12" s="64">
        <v>4.0999999999999996</v>
      </c>
      <c r="AE12" s="64">
        <v>3.88</v>
      </c>
      <c r="AF12" s="64"/>
      <c r="AG12" s="64"/>
      <c r="AH12" s="64">
        <v>5.4</v>
      </c>
      <c r="AI12" s="64"/>
      <c r="AJ12" s="64"/>
      <c r="AK12" s="64"/>
      <c r="AL12" s="64">
        <v>5.67</v>
      </c>
      <c r="AM12" s="64"/>
      <c r="AN12" s="64"/>
      <c r="AO12" s="64"/>
      <c r="AP12" s="64">
        <v>4.0999999999999996</v>
      </c>
      <c r="AQ12" s="64"/>
      <c r="AR12" s="64"/>
      <c r="AS12" s="64"/>
      <c r="AT12" s="64"/>
      <c r="AU12" s="64"/>
      <c r="AV12" s="64"/>
      <c r="AW12" s="64"/>
      <c r="AX12" s="64">
        <v>3.4</v>
      </c>
      <c r="AY12" s="64"/>
      <c r="AZ12" s="64"/>
      <c r="BA12" s="64"/>
      <c r="BB12" s="64">
        <f>371/84</f>
        <v>4.416666666666667</v>
      </c>
      <c r="BC12" s="64"/>
      <c r="BD12" s="64"/>
      <c r="BE12" s="64"/>
      <c r="BF12" s="60"/>
      <c r="BG12" s="60"/>
      <c r="BH12" s="60"/>
      <c r="BI12" s="60"/>
      <c r="BJ12" s="60"/>
      <c r="BK12" s="60"/>
      <c r="BL12" s="60"/>
      <c r="BM12" s="60"/>
      <c r="BN12" s="60"/>
      <c r="BO12" s="60"/>
      <c r="BP12" s="60"/>
      <c r="BQ12" s="60"/>
      <c r="BR12" s="60"/>
      <c r="BS12" s="60"/>
      <c r="BT12" s="60"/>
      <c r="BU12" s="60"/>
      <c r="BV12" s="60"/>
      <c r="BW12" s="60"/>
      <c r="BX12" s="60"/>
      <c r="BY12" s="60"/>
      <c r="BZ12" s="60"/>
      <c r="CA12" s="60"/>
      <c r="CB12" s="60"/>
      <c r="CC12" s="60"/>
      <c r="CD12" s="60"/>
      <c r="CE12" s="60"/>
      <c r="CF12" s="60"/>
      <c r="CG12" s="60"/>
      <c r="CH12" s="60"/>
      <c r="CI12" s="60"/>
      <c r="CJ12" s="60"/>
      <c r="CK12" s="60"/>
      <c r="CL12" s="60"/>
      <c r="CM12" s="60"/>
      <c r="CN12" s="60"/>
      <c r="CO12" s="60"/>
      <c r="CP12" s="60"/>
      <c r="CQ12" s="60"/>
      <c r="CR12" s="60"/>
      <c r="CS12" s="60"/>
      <c r="CT12" s="60"/>
      <c r="CU12" s="60"/>
      <c r="CV12" s="60"/>
      <c r="CW12" s="60"/>
      <c r="CX12" s="60"/>
      <c r="CY12" s="60"/>
      <c r="CZ12" s="60"/>
      <c r="DA12" s="60"/>
      <c r="DB12" s="60"/>
      <c r="DC12" s="60"/>
      <c r="DD12" s="60"/>
      <c r="DE12" s="60"/>
      <c r="DF12" s="60"/>
      <c r="DG12" s="60"/>
      <c r="DH12" s="60"/>
      <c r="DI12" s="60"/>
      <c r="DJ12" s="60"/>
      <c r="DK12" s="60"/>
      <c r="DL12" s="60"/>
      <c r="DM12" s="60"/>
      <c r="DN12" s="60"/>
      <c r="DO12" s="60"/>
      <c r="DP12" s="60"/>
      <c r="DQ12" s="60"/>
      <c r="DR12" s="60"/>
      <c r="DS12" s="60"/>
      <c r="DT12" s="60"/>
      <c r="DU12" s="60"/>
      <c r="DV12" s="60"/>
      <c r="DW12" s="60"/>
      <c r="DX12" s="60"/>
      <c r="DY12" s="60"/>
      <c r="DZ12" s="60"/>
      <c r="EA12" s="60"/>
      <c r="EB12" s="60"/>
      <c r="EC12" s="60"/>
    </row>
    <row r="13" spans="1:154">
      <c r="G13" s="170" t="s">
        <v>406</v>
      </c>
      <c r="W13" s="179">
        <f>W12-W11</f>
        <v>4.1266709379472699</v>
      </c>
      <c r="X13" s="179">
        <f>X12-X11</f>
        <v>3.3622132722024971</v>
      </c>
      <c r="Y13" s="174"/>
      <c r="Z13" s="174"/>
      <c r="AA13" s="179">
        <f>AA12-AA11</f>
        <v>3.0051524396907743</v>
      </c>
      <c r="AB13" s="179">
        <f>AB12-AB11</f>
        <v>2.8700357015959974</v>
      </c>
      <c r="AC13" s="179">
        <f>AC12-AC11</f>
        <v>2.5078150634809235</v>
      </c>
      <c r="AD13" s="179">
        <f>AD12-AD11</f>
        <v>3.0171435408191485</v>
      </c>
      <c r="AE13" s="179">
        <f>AE12-AE11</f>
        <v>2.7589262766717155</v>
      </c>
      <c r="AF13" s="174"/>
      <c r="AG13" s="174"/>
      <c r="AH13" s="179">
        <f>AH12-AH11</f>
        <v>3.9921229886791156</v>
      </c>
      <c r="AI13" s="174"/>
      <c r="AJ13" s="174"/>
      <c r="AK13" s="174"/>
      <c r="AL13" s="179">
        <f>AL12-AL11</f>
        <v>4.6096039536126998</v>
      </c>
      <c r="AM13" s="174"/>
      <c r="AN13" s="174"/>
      <c r="AO13" s="174"/>
      <c r="AP13" s="179">
        <f>AP12-AP11</f>
        <v>3.2230047096712946</v>
      </c>
      <c r="AQ13" s="174"/>
      <c r="AR13" s="174"/>
      <c r="AS13" s="174"/>
      <c r="AT13" s="174"/>
      <c r="AU13" s="174"/>
      <c r="AV13" s="174"/>
      <c r="AW13" s="174"/>
      <c r="AX13" s="179">
        <f>AX12-AX11</f>
        <v>2.4985527491388568</v>
      </c>
      <c r="AY13" s="174"/>
      <c r="AZ13" s="174"/>
      <c r="BA13" s="174"/>
      <c r="BB13" s="179">
        <f>BB12-BB11</f>
        <v>3.5344885945543032</v>
      </c>
      <c r="BC13" s="174"/>
      <c r="BD13" s="174"/>
      <c r="BE13" s="174"/>
    </row>
    <row r="16" spans="1:154" s="185" customFormat="1">
      <c r="G16" s="186" t="s">
        <v>407</v>
      </c>
      <c r="H16" s="187">
        <f>2.5+H11</f>
        <v>3.2449380502290497</v>
      </c>
      <c r="I16" s="187">
        <f t="shared" ref="I16:BT16" si="18">2.5+I11</f>
        <v>3.2337293097582074</v>
      </c>
      <c r="J16" s="187">
        <f t="shared" si="18"/>
        <v>3.1852166515172957</v>
      </c>
      <c r="K16" s="187">
        <f t="shared" si="18"/>
        <v>3.1009365686735095</v>
      </c>
      <c r="L16" s="187">
        <f t="shared" si="18"/>
        <v>3.0626875643670273</v>
      </c>
      <c r="M16" s="187">
        <f t="shared" si="18"/>
        <v>3.0868892502571201</v>
      </c>
      <c r="N16" s="187">
        <f t="shared" si="18"/>
        <v>3.0714139079174916</v>
      </c>
      <c r="O16" s="187">
        <f t="shared" si="18"/>
        <v>3.0498131253610232</v>
      </c>
      <c r="P16" s="187">
        <f t="shared" si="18"/>
        <v>3.06132615519883</v>
      </c>
      <c r="Q16" s="187">
        <f t="shared" si="18"/>
        <v>3.0770534958240354</v>
      </c>
      <c r="R16" s="187">
        <f t="shared" si="18"/>
        <v>3.1540831679671095</v>
      </c>
      <c r="S16" s="187">
        <f t="shared" si="18"/>
        <v>3.241994324313028</v>
      </c>
      <c r="T16" s="187">
        <f t="shared" si="18"/>
        <v>3.2173496669958781</v>
      </c>
      <c r="U16" s="187">
        <f t="shared" si="18"/>
        <v>3.2286882235639505</v>
      </c>
      <c r="V16" s="187">
        <f t="shared" si="18"/>
        <v>3.3080282778485572</v>
      </c>
      <c r="W16" s="187">
        <f t="shared" si="18"/>
        <v>3.3033290620527298</v>
      </c>
      <c r="X16" s="187">
        <f t="shared" si="18"/>
        <v>3.3277867277975033</v>
      </c>
      <c r="Y16" s="187">
        <f t="shared" si="18"/>
        <v>3.2959804945578064</v>
      </c>
      <c r="Z16" s="187">
        <f t="shared" si="18"/>
        <v>3.3623175618087733</v>
      </c>
      <c r="AA16" s="187">
        <f t="shared" si="18"/>
        <v>3.4048475603092259</v>
      </c>
      <c r="AB16" s="187">
        <f t="shared" si="18"/>
        <v>3.3999642984040026</v>
      </c>
      <c r="AC16" s="187">
        <f t="shared" si="18"/>
        <v>3.4921849365190765</v>
      </c>
      <c r="AD16" s="187">
        <f t="shared" si="18"/>
        <v>3.5828564591808512</v>
      </c>
      <c r="AE16" s="187">
        <f t="shared" si="18"/>
        <v>3.6210737233282844</v>
      </c>
      <c r="AF16" s="187">
        <f t="shared" si="18"/>
        <v>3.7342480934206606</v>
      </c>
      <c r="AG16" s="187">
        <f t="shared" si="18"/>
        <v>3.8210757426547217</v>
      </c>
      <c r="AH16" s="187">
        <f t="shared" si="18"/>
        <v>3.9078770113208847</v>
      </c>
      <c r="AI16" s="187">
        <f t="shared" si="18"/>
        <v>3.9881996807682718</v>
      </c>
      <c r="AJ16" s="187">
        <f t="shared" si="18"/>
        <v>3.820920809849996</v>
      </c>
      <c r="AK16" s="187">
        <f t="shared" si="18"/>
        <v>3.6948131759940392</v>
      </c>
      <c r="AL16" s="187">
        <f t="shared" si="18"/>
        <v>3.5603960463873006</v>
      </c>
      <c r="AM16" s="187">
        <f t="shared" si="18"/>
        <v>3.4056186609524239</v>
      </c>
      <c r="AN16" s="187">
        <f t="shared" si="18"/>
        <v>3.4314430578828765</v>
      </c>
      <c r="AO16" s="187">
        <f t="shared" si="18"/>
        <v>3.4114911781164921</v>
      </c>
      <c r="AP16" s="187">
        <f t="shared" si="18"/>
        <v>3.376995290328705</v>
      </c>
      <c r="AQ16" s="187">
        <f t="shared" si="18"/>
        <v>3.3535501453212055</v>
      </c>
      <c r="AR16" s="187">
        <f t="shared" si="18"/>
        <v>3.330782257132995</v>
      </c>
      <c r="AS16" s="187">
        <f t="shared" si="18"/>
        <v>3.3836384851621228</v>
      </c>
      <c r="AT16" s="187">
        <f t="shared" si="18"/>
        <v>3.4776829252936192</v>
      </c>
      <c r="AU16" s="187">
        <f t="shared" si="18"/>
        <v>3.45235403325194</v>
      </c>
      <c r="AV16" s="187">
        <f t="shared" si="18"/>
        <v>3.4455192528597411</v>
      </c>
      <c r="AW16" s="187">
        <f t="shared" si="18"/>
        <v>3.4013729775459129</v>
      </c>
      <c r="AX16" s="187">
        <f t="shared" si="18"/>
        <v>3.4014472508611431</v>
      </c>
      <c r="AY16" s="187">
        <f t="shared" si="18"/>
        <v>3.3721658572794038</v>
      </c>
      <c r="AZ16" s="187">
        <f t="shared" si="18"/>
        <v>3.3724910125199932</v>
      </c>
      <c r="BA16" s="187">
        <f t="shared" si="18"/>
        <v>3.3680525258387357</v>
      </c>
      <c r="BB16" s="187">
        <f t="shared" si="18"/>
        <v>3.3821780721123638</v>
      </c>
      <c r="BC16" s="187">
        <f t="shared" si="18"/>
        <v>3.3964876276043396</v>
      </c>
      <c r="BD16" s="187">
        <f t="shared" si="18"/>
        <v>3.3964876276043396</v>
      </c>
      <c r="BE16" s="187">
        <f t="shared" si="18"/>
        <v>3.4712042529275147</v>
      </c>
      <c r="BF16" s="187">
        <f t="shared" si="18"/>
        <v>3.4855351156320014</v>
      </c>
      <c r="BG16" s="187">
        <f t="shared" si="18"/>
        <v>3.5112880013516454</v>
      </c>
      <c r="BH16" s="187">
        <f t="shared" si="18"/>
        <v>3.5152805518998886</v>
      </c>
      <c r="BI16" s="187">
        <f t="shared" si="18"/>
        <v>3.5148939488618929</v>
      </c>
      <c r="BJ16" s="187">
        <f t="shared" si="18"/>
        <v>3.5012057344091105</v>
      </c>
      <c r="BK16" s="187">
        <f t="shared" si="18"/>
        <v>3.5011649881754572</v>
      </c>
      <c r="BL16" s="187">
        <f t="shared" si="18"/>
        <v>3.4973695980826855</v>
      </c>
      <c r="BM16" s="187">
        <f t="shared" si="18"/>
        <v>3.5031341578262389</v>
      </c>
      <c r="BN16" s="187">
        <f t="shared" si="18"/>
        <v>3.5031894326264332</v>
      </c>
      <c r="BO16" s="187">
        <f t="shared" si="18"/>
        <v>3.473626425742312</v>
      </c>
      <c r="BP16" s="187">
        <f t="shared" si="18"/>
        <v>3.473626425742312</v>
      </c>
      <c r="BQ16" s="187">
        <f t="shared" si="18"/>
        <v>3.4438285588810134</v>
      </c>
      <c r="BR16" s="187">
        <f t="shared" si="18"/>
        <v>3.4141276199668416</v>
      </c>
      <c r="BS16" s="187">
        <f t="shared" si="18"/>
        <v>3.4042808759514136</v>
      </c>
      <c r="BT16" s="187">
        <f t="shared" si="18"/>
        <v>3.3916131596663175</v>
      </c>
      <c r="BU16" s="187">
        <f t="shared" ref="BU16:DW16" si="19">2.5+BU11</f>
        <v>3.3915103330065186</v>
      </c>
      <c r="BV16" s="187">
        <f t="shared" si="19"/>
        <v>3.3887635607746849</v>
      </c>
      <c r="BW16" s="187">
        <f t="shared" si="19"/>
        <v>3.3937144443638743</v>
      </c>
      <c r="BX16" s="187">
        <f t="shared" si="19"/>
        <v>3.3935832788973541</v>
      </c>
      <c r="BY16" s="187">
        <f t="shared" si="19"/>
        <v>3.4106225317062453</v>
      </c>
      <c r="BZ16" s="187">
        <f t="shared" si="19"/>
        <v>3.410702990325007</v>
      </c>
      <c r="CA16" s="187">
        <f t="shared" si="19"/>
        <v>3.4106895724780122</v>
      </c>
      <c r="CB16" s="187">
        <f t="shared" si="19"/>
        <v>3.4108373468363524</v>
      </c>
      <c r="CC16" s="187">
        <f t="shared" si="19"/>
        <v>3.4404418447037428</v>
      </c>
      <c r="CD16" s="187">
        <f t="shared" si="19"/>
        <v>3.4347230186329636</v>
      </c>
      <c r="CE16" s="187">
        <f t="shared" si="19"/>
        <v>3.4346463170295229</v>
      </c>
      <c r="CF16" s="187">
        <f t="shared" si="19"/>
        <v>3.4488136850075217</v>
      </c>
      <c r="CG16" s="187">
        <f t="shared" si="19"/>
        <v>3.4338476140993412</v>
      </c>
      <c r="CH16" s="187">
        <f t="shared" si="19"/>
        <v>3.4340745808255311</v>
      </c>
      <c r="CI16" s="187">
        <f t="shared" si="19"/>
        <v>3.4545581820700866</v>
      </c>
      <c r="CJ16" s="187">
        <f t="shared" si="19"/>
        <v>3.4542946859621093</v>
      </c>
      <c r="CK16" s="187">
        <f t="shared" si="19"/>
        <v>3.4584909146213416</v>
      </c>
      <c r="CL16" s="187">
        <f t="shared" si="19"/>
        <v>3.4583866350277344</v>
      </c>
      <c r="CM16" s="187">
        <f t="shared" si="19"/>
        <v>3.4585823234732658</v>
      </c>
      <c r="CN16" s="187">
        <f t="shared" si="19"/>
        <v>3.4526405106725844</v>
      </c>
      <c r="CO16" s="187">
        <f t="shared" si="19"/>
        <v>3.4526405106725844</v>
      </c>
      <c r="CP16" s="187">
        <f t="shared" si="19"/>
        <v>3.4526405106725844</v>
      </c>
      <c r="CQ16" s="187">
        <f t="shared" si="19"/>
        <v>3.460858904164231</v>
      </c>
      <c r="CR16" s="187">
        <f t="shared" si="19"/>
        <v>3.4269331010569597</v>
      </c>
      <c r="CS16" s="187">
        <f t="shared" si="19"/>
        <v>3.4208841912917087</v>
      </c>
      <c r="CT16" s="187">
        <f t="shared" si="19"/>
        <v>3.4249046197673003</v>
      </c>
      <c r="CU16" s="187">
        <f t="shared" si="19"/>
        <v>3.4248780758764621</v>
      </c>
      <c r="CV16" s="187">
        <f t="shared" si="19"/>
        <v>3.3507607827248997</v>
      </c>
      <c r="CW16" s="187">
        <f t="shared" si="19"/>
        <v>3.3485901660456689</v>
      </c>
      <c r="CX16" s="187">
        <f t="shared" si="19"/>
        <v>3.2715796046182715</v>
      </c>
      <c r="CY16" s="187">
        <f t="shared" si="19"/>
        <v>3.3522000207383549</v>
      </c>
      <c r="CZ16" s="187">
        <f t="shared" si="19"/>
        <v>3.3521866706223404</v>
      </c>
      <c r="DA16" s="187">
        <f t="shared" si="19"/>
        <v>3.3522668190542388</v>
      </c>
      <c r="DB16" s="187">
        <f t="shared" si="19"/>
        <v>3.352280188272545</v>
      </c>
      <c r="DC16" s="187">
        <f t="shared" si="19"/>
        <v>3.3433387055746371</v>
      </c>
      <c r="DD16" s="187">
        <f t="shared" si="19"/>
        <v>3.3433387055746371</v>
      </c>
      <c r="DE16" s="187">
        <f t="shared" si="19"/>
        <v>3.3378825663241147</v>
      </c>
      <c r="DF16" s="187">
        <f t="shared" si="19"/>
        <v>3.3377890735011273</v>
      </c>
      <c r="DG16" s="187">
        <f t="shared" si="19"/>
        <v>3.3374284714490483</v>
      </c>
      <c r="DH16" s="187">
        <f t="shared" si="19"/>
        <v>3.309671859428799</v>
      </c>
      <c r="DI16" s="187">
        <f t="shared" si="19"/>
        <v>3.309671859428799</v>
      </c>
      <c r="DJ16" s="187">
        <f t="shared" si="19"/>
        <v>3.3096600654337216</v>
      </c>
      <c r="DK16" s="187">
        <f t="shared" si="19"/>
        <v>3.3096129174942939</v>
      </c>
      <c r="DL16" s="187">
        <f t="shared" si="19"/>
        <v>3.2796796353706292</v>
      </c>
      <c r="DM16" s="187">
        <f t="shared" si="19"/>
        <v>3.2827704856428861</v>
      </c>
      <c r="DN16" s="187">
        <f t="shared" si="19"/>
        <v>3.2823371625601796</v>
      </c>
      <c r="DO16" s="187">
        <f t="shared" si="19"/>
        <v>3.2861638328706602</v>
      </c>
      <c r="DP16" s="187">
        <f t="shared" si="19"/>
        <v>3.2850170907241116</v>
      </c>
      <c r="DQ16" s="187">
        <f t="shared" si="19"/>
        <v>3.284906748901459</v>
      </c>
      <c r="DR16" s="187">
        <f t="shared" si="19"/>
        <v>3.2845892934252041</v>
      </c>
      <c r="DS16" s="187">
        <f t="shared" si="19"/>
        <v>2.5</v>
      </c>
      <c r="DT16" s="187">
        <f t="shared" si="19"/>
        <v>2.5</v>
      </c>
      <c r="DU16" s="187">
        <f t="shared" si="19"/>
        <v>2.5</v>
      </c>
      <c r="DV16" s="187">
        <f t="shared" si="19"/>
        <v>2.5</v>
      </c>
      <c r="DW16" s="187">
        <f t="shared" si="19"/>
        <v>2.5</v>
      </c>
    </row>
  </sheetData>
  <phoneticPr fontId="52" type="noConversion"/>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9"/>
  <dimension ref="A1:ET24"/>
  <sheetViews>
    <sheetView zoomScale="80" zoomScaleNormal="80" workbookViewId="0">
      <pane xSplit="1" topLeftCell="B1" activePane="topRight" state="frozen"/>
      <selection pane="topRight" activeCell="H14" sqref="H14"/>
    </sheetView>
  </sheetViews>
  <sheetFormatPr baseColWidth="10" defaultColWidth="31.6640625" defaultRowHeight="14"/>
  <cols>
    <col min="1" max="1" width="27" style="8" bestFit="1" customWidth="1"/>
    <col min="2" max="2" width="12.83203125" style="8" bestFit="1" customWidth="1"/>
    <col min="3" max="3" width="11.5" style="8" bestFit="1" customWidth="1"/>
    <col min="4" max="4" width="14.5" style="8" bestFit="1" customWidth="1"/>
    <col min="5" max="5" width="14" style="8" bestFit="1" customWidth="1"/>
    <col min="6" max="6" width="8.83203125" style="8" bestFit="1" customWidth="1"/>
    <col min="7" max="7" width="21.5" style="8" customWidth="1"/>
    <col min="8" max="8" width="5.6640625" style="8" bestFit="1" customWidth="1"/>
    <col min="9" max="9" width="5.83203125" style="8" bestFit="1" customWidth="1"/>
    <col min="10" max="10" width="6.5" style="8" bestFit="1" customWidth="1"/>
    <col min="11" max="11" width="6" style="8" bestFit="1" customWidth="1"/>
    <col min="12" max="12" width="6.5" style="8" bestFit="1" customWidth="1"/>
    <col min="13" max="13" width="5.83203125" style="8" bestFit="1" customWidth="1"/>
    <col min="14" max="14" width="5.33203125" style="8" bestFit="1" customWidth="1"/>
    <col min="15" max="15" width="6.33203125" style="8" bestFit="1" customWidth="1"/>
    <col min="16" max="16" width="6" style="8" bestFit="1" customWidth="1"/>
    <col min="17" max="17" width="5.83203125" style="8" bestFit="1" customWidth="1"/>
    <col min="18" max="18" width="6.5" style="8" bestFit="1" customWidth="1"/>
    <col min="19" max="19" width="6" style="8" bestFit="1" customWidth="1"/>
    <col min="20" max="20" width="5.6640625" style="8" bestFit="1" customWidth="1"/>
    <col min="21" max="21" width="5.83203125" style="8" bestFit="1" customWidth="1"/>
    <col min="22" max="22" width="6.5" style="8" bestFit="1" customWidth="1"/>
    <col min="23" max="23" width="6" style="8" bestFit="1" customWidth="1"/>
    <col min="24" max="24" width="6.5" style="8" bestFit="1" customWidth="1"/>
    <col min="25" max="25" width="5.83203125" style="8" bestFit="1" customWidth="1"/>
    <col min="26" max="26" width="5.33203125" style="8" bestFit="1" customWidth="1"/>
    <col min="27" max="27" width="6.33203125" style="8" bestFit="1" customWidth="1"/>
    <col min="28" max="28" width="6" style="8" bestFit="1" customWidth="1"/>
    <col min="29" max="29" width="5.83203125" style="8" bestFit="1" customWidth="1"/>
    <col min="30" max="30" width="6.5" style="8" bestFit="1" customWidth="1"/>
    <col min="31" max="31" width="6" style="8" bestFit="1" customWidth="1"/>
    <col min="32" max="32" width="5.6640625" style="8" bestFit="1" customWidth="1"/>
    <col min="33" max="33" width="5.83203125" style="8" bestFit="1" customWidth="1"/>
    <col min="34" max="34" width="6.5" style="8" bestFit="1" customWidth="1"/>
    <col min="35" max="35" width="6" style="8" bestFit="1" customWidth="1"/>
    <col min="36" max="36" width="6.5" style="8" bestFit="1" customWidth="1"/>
    <col min="37" max="37" width="5.83203125" style="8" bestFit="1" customWidth="1"/>
    <col min="38" max="38" width="5.33203125" style="8" bestFit="1" customWidth="1"/>
    <col min="39" max="39" width="6.33203125" style="8" bestFit="1" customWidth="1"/>
    <col min="40" max="40" width="6" style="8" bestFit="1" customWidth="1"/>
    <col min="41" max="41" width="5.83203125" style="8" bestFit="1" customWidth="1"/>
    <col min="42" max="42" width="6.5" style="8" bestFit="1" customWidth="1"/>
    <col min="43" max="43" width="6" style="8" bestFit="1" customWidth="1"/>
    <col min="44" max="44" width="5.6640625" style="8" bestFit="1" customWidth="1"/>
    <col min="45" max="45" width="5.83203125" style="8" bestFit="1" customWidth="1"/>
    <col min="46" max="46" width="6.5" style="8" bestFit="1" customWidth="1"/>
    <col min="47" max="47" width="6" style="8" bestFit="1" customWidth="1"/>
    <col min="48" max="48" width="6.5" style="8" bestFit="1" customWidth="1"/>
    <col min="49" max="49" width="5.83203125" style="8" bestFit="1" customWidth="1"/>
    <col min="50" max="50" width="5.33203125" style="8" bestFit="1" customWidth="1"/>
    <col min="51" max="53" width="7.83203125" style="8" bestFit="1" customWidth="1"/>
    <col min="54" max="55" width="6.33203125" style="8" bestFit="1" customWidth="1"/>
    <col min="56" max="57" width="6.6640625" style="8" bestFit="1" customWidth="1"/>
    <col min="58" max="61" width="6.83203125" style="8" bestFit="1" customWidth="1"/>
    <col min="62" max="65" width="6.5" style="8" bestFit="1" customWidth="1"/>
    <col min="66" max="69" width="5.6640625" style="8" bestFit="1" customWidth="1"/>
    <col min="70" max="73" width="5.5" style="8" bestFit="1" customWidth="1"/>
    <col min="74" max="77" width="5.1640625" style="8" bestFit="1" customWidth="1"/>
    <col min="78" max="81" width="5.5" style="8" bestFit="1" customWidth="1"/>
    <col min="82" max="85" width="6.1640625" style="8" bestFit="1" customWidth="1"/>
    <col min="86" max="86" width="5.5" style="8" customWidth="1"/>
    <col min="87" max="89" width="5.5" style="8" bestFit="1" customWidth="1"/>
    <col min="90" max="94" width="6.33203125" style="8" bestFit="1" customWidth="1"/>
    <col min="95" max="98" width="6.1640625" style="8" bestFit="1" customWidth="1"/>
    <col min="99" max="102" width="5.1640625" style="8" bestFit="1" customWidth="1"/>
    <col min="103" max="106" width="5.83203125" style="8" bestFit="1" customWidth="1"/>
    <col min="107" max="114" width="5.6640625" style="8" bestFit="1" customWidth="1"/>
    <col min="115" max="116" width="6.1640625" style="8" bestFit="1" customWidth="1"/>
    <col min="117" max="122" width="6.5" style="8" bestFit="1" customWidth="1"/>
    <col min="123" max="140" width="5.1640625" style="8" bestFit="1" customWidth="1"/>
    <col min="141" max="150" width="3.5" style="8" bestFit="1" customWidth="1"/>
    <col min="151" max="16384" width="31.6640625" style="8"/>
  </cols>
  <sheetData>
    <row r="1" spans="1:150">
      <c r="A1" s="24" t="s">
        <v>377</v>
      </c>
      <c r="B1" s="24" t="s">
        <v>378</v>
      </c>
      <c r="C1" s="24" t="s">
        <v>379</v>
      </c>
      <c r="D1" s="24" t="s">
        <v>380</v>
      </c>
      <c r="E1" s="24" t="s">
        <v>381</v>
      </c>
      <c r="F1" s="24" t="s">
        <v>33</v>
      </c>
      <c r="H1" s="25">
        <v>6</v>
      </c>
      <c r="I1" s="25">
        <v>7</v>
      </c>
      <c r="J1" s="25">
        <v>8</v>
      </c>
      <c r="K1" s="25">
        <v>9</v>
      </c>
      <c r="L1" s="25">
        <v>10</v>
      </c>
      <c r="M1" s="25">
        <v>11</v>
      </c>
      <c r="N1" s="25">
        <v>12</v>
      </c>
      <c r="O1" s="25">
        <v>13</v>
      </c>
      <c r="P1" s="25">
        <v>14</v>
      </c>
      <c r="Q1" s="25">
        <v>15</v>
      </c>
      <c r="R1" s="25">
        <v>16</v>
      </c>
      <c r="S1" s="25">
        <v>17</v>
      </c>
      <c r="T1" s="25">
        <v>18</v>
      </c>
      <c r="U1" s="25">
        <v>19</v>
      </c>
      <c r="V1" s="25">
        <v>20</v>
      </c>
      <c r="W1" s="25">
        <v>21</v>
      </c>
      <c r="X1" s="25">
        <v>22</v>
      </c>
      <c r="Y1" s="25">
        <v>23</v>
      </c>
      <c r="Z1" s="25">
        <v>24</v>
      </c>
      <c r="AA1" s="25">
        <v>25</v>
      </c>
      <c r="AB1" s="25">
        <v>26</v>
      </c>
      <c r="AC1" s="25">
        <v>27</v>
      </c>
      <c r="AD1" s="25">
        <v>28</v>
      </c>
      <c r="AE1" s="25">
        <v>29</v>
      </c>
      <c r="AF1" s="25">
        <v>30</v>
      </c>
      <c r="AG1" s="25">
        <v>31</v>
      </c>
      <c r="AH1" s="25">
        <v>32</v>
      </c>
      <c r="AI1" s="25">
        <v>33</v>
      </c>
      <c r="AJ1" s="25">
        <v>34</v>
      </c>
      <c r="AK1" s="25">
        <v>35</v>
      </c>
      <c r="AL1" s="25">
        <v>36</v>
      </c>
      <c r="AM1" s="25">
        <v>37</v>
      </c>
      <c r="AN1" s="25">
        <v>38</v>
      </c>
      <c r="AO1" s="25">
        <v>39</v>
      </c>
      <c r="AP1" s="25">
        <v>40</v>
      </c>
      <c r="AQ1" s="25">
        <v>41</v>
      </c>
      <c r="AR1" s="25">
        <v>42</v>
      </c>
      <c r="AS1" s="25">
        <v>43</v>
      </c>
      <c r="AT1" s="25">
        <v>44</v>
      </c>
      <c r="AU1" s="25">
        <v>45</v>
      </c>
      <c r="AV1" s="25">
        <v>46</v>
      </c>
      <c r="AW1" s="25">
        <v>47</v>
      </c>
      <c r="AX1" s="25">
        <v>48</v>
      </c>
      <c r="AY1" s="25">
        <v>49</v>
      </c>
      <c r="AZ1" s="25">
        <v>50</v>
      </c>
      <c r="BA1" s="25">
        <v>51</v>
      </c>
      <c r="BB1" s="25">
        <v>52</v>
      </c>
      <c r="BC1" s="25">
        <v>53</v>
      </c>
      <c r="BD1" s="25">
        <v>54</v>
      </c>
      <c r="BE1" s="25">
        <v>55</v>
      </c>
      <c r="BF1" s="25">
        <v>56</v>
      </c>
      <c r="BG1" s="25">
        <v>57</v>
      </c>
      <c r="BH1" s="25">
        <v>58</v>
      </c>
      <c r="BI1" s="25">
        <v>59</v>
      </c>
      <c r="BJ1" s="25">
        <v>60</v>
      </c>
      <c r="BK1" s="25">
        <v>61</v>
      </c>
      <c r="BL1" s="25">
        <v>62</v>
      </c>
      <c r="BM1" s="25">
        <v>63</v>
      </c>
      <c r="BN1" s="25">
        <v>64</v>
      </c>
      <c r="BO1" s="25">
        <v>65</v>
      </c>
      <c r="BP1" s="25">
        <v>66</v>
      </c>
      <c r="BQ1" s="25">
        <v>67</v>
      </c>
      <c r="BR1" s="25">
        <v>68</v>
      </c>
      <c r="BS1" s="25">
        <v>69</v>
      </c>
      <c r="BT1" s="25">
        <v>70</v>
      </c>
      <c r="BU1" s="25">
        <v>71</v>
      </c>
      <c r="BV1" s="25">
        <v>72</v>
      </c>
      <c r="BW1" s="25">
        <v>73</v>
      </c>
      <c r="BX1" s="25">
        <v>74</v>
      </c>
      <c r="BY1" s="25">
        <v>75</v>
      </c>
      <c r="BZ1" s="25">
        <v>76</v>
      </c>
      <c r="CA1" s="25">
        <v>77</v>
      </c>
      <c r="CB1" s="25">
        <v>78</v>
      </c>
      <c r="CC1" s="25">
        <v>79</v>
      </c>
      <c r="CD1" s="25">
        <v>80</v>
      </c>
      <c r="CE1" s="25">
        <v>81</v>
      </c>
      <c r="CF1" s="25">
        <v>82</v>
      </c>
      <c r="CG1" s="25">
        <v>83</v>
      </c>
      <c r="CH1" s="25">
        <v>84</v>
      </c>
      <c r="CI1" s="25">
        <v>85</v>
      </c>
      <c r="CJ1" s="25">
        <v>86</v>
      </c>
      <c r="CK1" s="25">
        <v>87</v>
      </c>
      <c r="CL1" s="25">
        <v>88</v>
      </c>
      <c r="CM1" s="25">
        <v>89</v>
      </c>
      <c r="CN1" s="25">
        <v>90</v>
      </c>
      <c r="CO1" s="25">
        <v>91</v>
      </c>
      <c r="CP1" s="25">
        <v>92</v>
      </c>
      <c r="CQ1" s="25">
        <v>93</v>
      </c>
      <c r="CR1" s="25">
        <v>94</v>
      </c>
      <c r="CS1" s="25">
        <v>95</v>
      </c>
      <c r="CT1" s="25">
        <v>96</v>
      </c>
      <c r="CU1" s="25">
        <v>97</v>
      </c>
      <c r="CV1" s="25">
        <v>98</v>
      </c>
      <c r="CW1" s="25">
        <v>99</v>
      </c>
      <c r="CX1" s="25">
        <v>100</v>
      </c>
      <c r="CY1" s="25">
        <v>101</v>
      </c>
      <c r="CZ1" s="25">
        <v>102</v>
      </c>
      <c r="DA1" s="25">
        <v>103</v>
      </c>
      <c r="DB1" s="25">
        <v>104</v>
      </c>
      <c r="DC1" s="25">
        <v>105</v>
      </c>
      <c r="DD1" s="25">
        <v>106</v>
      </c>
      <c r="DE1" s="25">
        <v>107</v>
      </c>
      <c r="DF1" s="25">
        <v>108</v>
      </c>
      <c r="DG1" s="25">
        <v>109</v>
      </c>
      <c r="DH1" s="25">
        <v>110</v>
      </c>
      <c r="DI1" s="25">
        <v>111</v>
      </c>
      <c r="DJ1" s="25">
        <v>112</v>
      </c>
      <c r="DK1" s="25">
        <v>113</v>
      </c>
      <c r="DL1" s="25">
        <v>114</v>
      </c>
      <c r="DM1" s="25">
        <v>115</v>
      </c>
      <c r="DN1" s="25">
        <v>116</v>
      </c>
      <c r="DO1" s="25">
        <v>117</v>
      </c>
      <c r="DP1" s="25">
        <v>118</v>
      </c>
      <c r="DQ1" s="25">
        <v>119</v>
      </c>
      <c r="DR1" s="25">
        <v>120</v>
      </c>
      <c r="DS1" s="25">
        <v>121</v>
      </c>
      <c r="DT1" s="25">
        <v>122</v>
      </c>
      <c r="DU1" s="25">
        <v>123</v>
      </c>
      <c r="DV1" s="25">
        <v>124</v>
      </c>
      <c r="DW1" s="25">
        <v>125</v>
      </c>
      <c r="DX1" s="25">
        <v>126</v>
      </c>
      <c r="DY1" s="25">
        <v>127</v>
      </c>
      <c r="DZ1" s="25">
        <v>128</v>
      </c>
      <c r="EA1" s="25">
        <v>129</v>
      </c>
      <c r="EB1" s="25">
        <v>130</v>
      </c>
      <c r="EC1" s="25">
        <v>131</v>
      </c>
      <c r="ED1" s="25">
        <v>132</v>
      </c>
      <c r="EE1" s="25">
        <v>133</v>
      </c>
      <c r="EF1" s="25">
        <v>134</v>
      </c>
      <c r="EG1" s="25">
        <v>135</v>
      </c>
      <c r="EH1" s="25">
        <v>136</v>
      </c>
      <c r="EI1" s="25">
        <v>137</v>
      </c>
      <c r="EJ1" s="25">
        <v>138</v>
      </c>
      <c r="EK1" s="25">
        <v>139</v>
      </c>
      <c r="EL1" s="25">
        <v>140</v>
      </c>
      <c r="EM1" s="25">
        <v>141</v>
      </c>
      <c r="EN1" s="25">
        <v>142</v>
      </c>
      <c r="EO1" s="25">
        <v>143</v>
      </c>
      <c r="EP1" s="25">
        <v>144</v>
      </c>
      <c r="EQ1" s="25">
        <v>145</v>
      </c>
      <c r="ER1" s="25">
        <v>146</v>
      </c>
      <c r="ES1" s="25">
        <v>147</v>
      </c>
      <c r="ET1" s="25">
        <v>148</v>
      </c>
    </row>
    <row r="2" spans="1:150">
      <c r="A2" s="52" t="s">
        <v>591</v>
      </c>
      <c r="B2" s="52" t="s">
        <v>592</v>
      </c>
      <c r="C2" s="8">
        <v>1</v>
      </c>
      <c r="D2" s="18"/>
      <c r="E2" s="20">
        <v>157.55000000000001</v>
      </c>
    </row>
    <row r="3" spans="1:150">
      <c r="A3" s="53"/>
      <c r="B3" s="54"/>
      <c r="D3" s="18"/>
    </row>
    <row r="4" spans="1:150">
      <c r="A4" s="8" t="s">
        <v>593</v>
      </c>
      <c r="B4" s="8" t="s">
        <v>594</v>
      </c>
      <c r="C4" s="8" t="s">
        <v>595</v>
      </c>
      <c r="D4" s="52"/>
      <c r="H4" s="57">
        <v>43831</v>
      </c>
      <c r="I4" s="57">
        <v>43862</v>
      </c>
      <c r="J4" s="57">
        <v>43891</v>
      </c>
      <c r="K4" s="57">
        <v>43922</v>
      </c>
      <c r="L4" s="57">
        <v>43952</v>
      </c>
      <c r="M4" s="57">
        <v>43983</v>
      </c>
      <c r="N4" s="57">
        <v>44013</v>
      </c>
      <c r="O4" s="57">
        <v>44044</v>
      </c>
      <c r="P4" s="57">
        <v>44075</v>
      </c>
      <c r="Q4" s="57">
        <v>44105</v>
      </c>
      <c r="R4" s="57">
        <v>44136</v>
      </c>
      <c r="S4" s="57">
        <v>44166</v>
      </c>
      <c r="T4" s="57">
        <v>44197</v>
      </c>
      <c r="U4" s="57">
        <v>44228</v>
      </c>
      <c r="V4" s="57">
        <v>44256</v>
      </c>
      <c r="W4" s="57">
        <v>44287</v>
      </c>
      <c r="X4" s="57">
        <v>44317</v>
      </c>
      <c r="Y4" s="57">
        <v>44348</v>
      </c>
      <c r="Z4" s="57">
        <v>44378</v>
      </c>
      <c r="AA4" s="57">
        <v>44409</v>
      </c>
      <c r="AB4" s="57">
        <v>44440</v>
      </c>
      <c r="AC4" s="57">
        <v>44470</v>
      </c>
      <c r="AD4" s="57">
        <v>44501</v>
      </c>
      <c r="AE4" s="57">
        <v>44531</v>
      </c>
      <c r="AF4" s="57">
        <v>44562</v>
      </c>
      <c r="AG4" s="57">
        <v>44593</v>
      </c>
      <c r="AH4" s="57">
        <v>44621</v>
      </c>
      <c r="AI4" s="57">
        <v>44652</v>
      </c>
      <c r="AJ4" s="57">
        <v>44682</v>
      </c>
      <c r="AK4" s="57">
        <v>44713</v>
      </c>
      <c r="AL4" s="57">
        <v>44743</v>
      </c>
      <c r="AM4" s="57">
        <v>44774</v>
      </c>
      <c r="AN4" s="57">
        <v>44805</v>
      </c>
      <c r="AO4" s="57">
        <v>44835</v>
      </c>
      <c r="AP4" s="57">
        <v>44866</v>
      </c>
      <c r="AQ4" s="57">
        <v>44896</v>
      </c>
      <c r="AR4" s="57">
        <v>44927</v>
      </c>
      <c r="AS4" s="57">
        <v>44958</v>
      </c>
      <c r="AT4" s="57">
        <v>44986</v>
      </c>
      <c r="AU4" s="57">
        <v>45017</v>
      </c>
      <c r="AV4" s="57">
        <v>45047</v>
      </c>
      <c r="AW4" s="57">
        <v>45078</v>
      </c>
      <c r="AX4" s="57">
        <v>45108</v>
      </c>
      <c r="AY4" s="57" t="s">
        <v>530</v>
      </c>
      <c r="AZ4" s="57" t="s">
        <v>531</v>
      </c>
      <c r="BA4" s="57" t="s">
        <v>532</v>
      </c>
      <c r="BB4" s="57">
        <v>37104</v>
      </c>
      <c r="BC4" s="57">
        <v>37469</v>
      </c>
      <c r="BD4" s="57" t="s">
        <v>168</v>
      </c>
      <c r="BE4" s="57" t="s">
        <v>169</v>
      </c>
      <c r="BF4" s="57" t="s">
        <v>393</v>
      </c>
      <c r="BG4" s="57" t="s">
        <v>458</v>
      </c>
      <c r="BH4" s="57" t="s">
        <v>459</v>
      </c>
      <c r="BI4" s="57" t="s">
        <v>460</v>
      </c>
      <c r="BJ4" s="57" t="s">
        <v>596</v>
      </c>
      <c r="BK4" s="57" t="s">
        <v>597</v>
      </c>
      <c r="BL4" s="57" t="s">
        <v>598</v>
      </c>
      <c r="BM4" s="57" t="s">
        <v>599</v>
      </c>
      <c r="BN4" s="59">
        <v>37196</v>
      </c>
      <c r="BO4" s="59">
        <v>37561</v>
      </c>
      <c r="BP4" s="59">
        <v>37926</v>
      </c>
      <c r="BQ4" s="59">
        <v>38292</v>
      </c>
      <c r="BR4" s="59">
        <v>37226</v>
      </c>
      <c r="BS4" s="59">
        <v>37591</v>
      </c>
      <c r="BT4" s="59">
        <v>37956</v>
      </c>
      <c r="BU4" s="59">
        <v>38322</v>
      </c>
      <c r="BV4" s="59">
        <v>36892</v>
      </c>
      <c r="BW4" s="59">
        <v>37257</v>
      </c>
      <c r="BX4" s="59">
        <v>37622</v>
      </c>
      <c r="BY4" s="59">
        <v>37987</v>
      </c>
      <c r="BZ4" s="59">
        <v>36923</v>
      </c>
      <c r="CA4" s="59">
        <v>37288</v>
      </c>
      <c r="CB4" s="59">
        <v>37653</v>
      </c>
      <c r="CC4" s="59">
        <v>38018</v>
      </c>
      <c r="CD4" s="59" t="str">
        <f>Sheet8!A15</f>
        <v>Mar-w1</v>
      </c>
      <c r="CE4" s="59" t="str">
        <f>Sheet8!B15</f>
        <v>Mar-w2</v>
      </c>
      <c r="CF4" s="59" t="str">
        <f>Sheet8!C15</f>
        <v>Mar-w3</v>
      </c>
      <c r="CG4" s="59" t="str">
        <f>Sheet8!D15</f>
        <v>Mar-w4</v>
      </c>
      <c r="CH4" s="59" t="str">
        <f>Sheet8!E15</f>
        <v>Apr-w1</v>
      </c>
      <c r="CI4" s="59" t="str">
        <f>Sheet8!F15</f>
        <v>Apr-w2</v>
      </c>
      <c r="CJ4" s="59" t="str">
        <f>Sheet8!G15</f>
        <v>Apr-w3</v>
      </c>
      <c r="CK4" s="59" t="str">
        <f>Sheet8!H15</f>
        <v>Apr-w4</v>
      </c>
      <c r="CL4" s="59" t="str">
        <f>Sheet8!I15</f>
        <v>May-w1</v>
      </c>
      <c r="CM4" s="59" t="str">
        <f>Sheet8!J15</f>
        <v>May-w2</v>
      </c>
      <c r="CN4" s="59" t="str">
        <f>Sheet8!K15</f>
        <v>May-w3</v>
      </c>
      <c r="CO4" s="59" t="str">
        <f>Sheet8!L15</f>
        <v>May-w4</v>
      </c>
      <c r="CP4" s="59" t="str">
        <f>Sheet8!M15</f>
        <v>May-w5</v>
      </c>
      <c r="CQ4" s="59" t="str">
        <f>Sheet8!N15</f>
        <v>june-w1</v>
      </c>
      <c r="CR4" s="59" t="str">
        <f>Sheet8!O15</f>
        <v>june-w2</v>
      </c>
      <c r="CS4" s="59" t="str">
        <f>Sheet8!P15</f>
        <v>june-w3</v>
      </c>
      <c r="CT4" s="59" t="str">
        <f>Sheet8!Q15</f>
        <v>june-w4</v>
      </c>
      <c r="CU4" s="59" t="str">
        <f>Sheet8!R15</f>
        <v>Jul-w1</v>
      </c>
      <c r="CV4" s="59" t="str">
        <f>Sheet8!S15</f>
        <v>Jul-w2</v>
      </c>
      <c r="CW4" s="59" t="str">
        <f>Sheet8!T15</f>
        <v>Jul-w3</v>
      </c>
      <c r="CX4" s="59" t="str">
        <f>Sheet8!U15</f>
        <v>Jul-w4</v>
      </c>
      <c r="CY4" s="59" t="str">
        <f>Sheet8!V15</f>
        <v>Aug-w1</v>
      </c>
      <c r="CZ4" s="59" t="str">
        <f>Sheet8!W15</f>
        <v>Aug-w2</v>
      </c>
      <c r="DA4" s="59" t="str">
        <f>Sheet8!X15</f>
        <v>Aug-w3</v>
      </c>
      <c r="DB4" s="59" t="str">
        <f>Sheet8!Y15</f>
        <v>Aug-w4</v>
      </c>
      <c r="DC4" s="59" t="str">
        <f>Sheet8!Z15</f>
        <v>Sep-w1</v>
      </c>
      <c r="DD4" s="59" t="str">
        <f>Sheet8!AA15</f>
        <v>Sep-w2</v>
      </c>
      <c r="DE4" s="59" t="str">
        <f>Sheet8!AB15</f>
        <v>Sep-w3</v>
      </c>
      <c r="DF4" s="59" t="str">
        <f>Sheet8!AC15</f>
        <v>Sep-w4</v>
      </c>
      <c r="DG4" s="59" t="str">
        <f>Sheet8!AD15</f>
        <v>Oct-w1</v>
      </c>
      <c r="DH4" s="59" t="str">
        <f>Sheet8!AE15</f>
        <v>Oct-w2</v>
      </c>
      <c r="DI4" s="59" t="str">
        <f>Sheet8!AF15</f>
        <v>Oct-w3</v>
      </c>
      <c r="DJ4" s="59" t="str">
        <f>Sheet8!AG15</f>
        <v>Oct-w4</v>
      </c>
      <c r="DK4" s="59" t="str">
        <f>Sheet8!AH15</f>
        <v>Nov-w1</v>
      </c>
      <c r="DL4" s="59" t="str">
        <f>Sheet8!AI15</f>
        <v>Nov-w2</v>
      </c>
      <c r="DM4" s="59" t="str">
        <f>Sheet8!AJ15</f>
        <v>Nov-w3</v>
      </c>
      <c r="DN4" s="59" t="str">
        <f>Sheet8!AK15</f>
        <v>Nov-w4</v>
      </c>
      <c r="DO4" s="59" t="str">
        <f>Sheet8!AL15</f>
        <v>Dec-w1</v>
      </c>
      <c r="DP4" s="59" t="str">
        <f>Sheet8!AM15</f>
        <v>Dec-w2</v>
      </c>
      <c r="DQ4" s="59" t="str">
        <f>Sheet8!AN15</f>
        <v>Dec-w3</v>
      </c>
      <c r="DR4" s="59" t="str">
        <f>Sheet8!AO15</f>
        <v>Dec-w4</v>
      </c>
      <c r="DS4" s="59">
        <f>Sheet8!AP15</f>
        <v>0</v>
      </c>
      <c r="DT4" s="59">
        <f>Sheet8!AQ15</f>
        <v>0</v>
      </c>
      <c r="DU4" s="59">
        <f>Sheet8!AR15</f>
        <v>0</v>
      </c>
      <c r="DV4" s="59">
        <f>Sheet8!AS15</f>
        <v>0</v>
      </c>
      <c r="DW4" s="59">
        <f>Sheet8!AT15</f>
        <v>0</v>
      </c>
      <c r="DX4" s="59">
        <f>Sheet8!AU15</f>
        <v>0</v>
      </c>
      <c r="DY4" s="59">
        <f>Sheet8!AV15</f>
        <v>0</v>
      </c>
      <c r="DZ4" s="59">
        <f>Sheet8!AW15</f>
        <v>0</v>
      </c>
      <c r="EA4" s="59">
        <f>Sheet8!AX15</f>
        <v>0</v>
      </c>
      <c r="EB4" s="59">
        <f>Sheet8!AY15</f>
        <v>0</v>
      </c>
      <c r="EC4" s="59">
        <f>Sheet8!AZ15</f>
        <v>0</v>
      </c>
      <c r="ED4" s="59">
        <f>Sheet8!BA15</f>
        <v>0</v>
      </c>
      <c r="EE4" s="59">
        <f>Sheet8!BB15</f>
        <v>0</v>
      </c>
      <c r="EF4" s="59">
        <f>Sheet8!BC15</f>
        <v>0</v>
      </c>
      <c r="EG4" s="59">
        <f>Sheet8!BD15</f>
        <v>0</v>
      </c>
      <c r="EH4" s="59">
        <f>Sheet8!BE15</f>
        <v>0</v>
      </c>
      <c r="EI4" s="59">
        <f>Sheet8!BF15</f>
        <v>0</v>
      </c>
      <c r="EJ4" s="59">
        <f>Sheet8!BG15</f>
        <v>0</v>
      </c>
    </row>
    <row r="5" spans="1:150">
      <c r="A5" s="55">
        <v>112.56</v>
      </c>
      <c r="B5" s="18">
        <v>63.01</v>
      </c>
      <c r="C5" s="53">
        <v>98.07</v>
      </c>
      <c r="D5" s="18"/>
      <c r="F5" s="8" t="s">
        <v>588</v>
      </c>
      <c r="G5" s="8" t="s">
        <v>593</v>
      </c>
      <c r="H5" s="20">
        <f>'Chloro Benzene'!H12</f>
        <v>0.40036404962529271</v>
      </c>
      <c r="I5" s="20">
        <f>'Chloro Benzene'!I12</f>
        <v>0.34913376702675009</v>
      </c>
      <c r="J5" s="20">
        <f>'Chloro Benzene'!J12</f>
        <v>0.21834212468662217</v>
      </c>
      <c r="K5" s="20">
        <f>'Chloro Benzene'!K12</f>
        <v>0.15130004258084986</v>
      </c>
      <c r="L5" s="20">
        <f>'Chloro Benzene'!L12</f>
        <v>0.20205719064318228</v>
      </c>
      <c r="M5" s="20">
        <f>'Chloro Benzene'!M12</f>
        <v>0.26853355933611622</v>
      </c>
      <c r="N5" s="20">
        <f>'Chloro Benzene'!N12</f>
        <v>0.28814630968016025</v>
      </c>
      <c r="O5" s="20">
        <f>'Chloro Benzene'!O12</f>
        <v>0.29446783214407007</v>
      </c>
      <c r="P5" s="20">
        <f>'Chloro Benzene'!P12</f>
        <v>0.2954036649951931</v>
      </c>
      <c r="Q5" s="20">
        <f>'Chloro Benzene'!Q12</f>
        <v>0.28638632354249838</v>
      </c>
      <c r="R5" s="20">
        <f>'Chloro Benzene'!R12</f>
        <v>0.28205760473761016</v>
      </c>
      <c r="S5" s="20">
        <f>'Chloro Benzene'!S12</f>
        <v>0.32831987518988975</v>
      </c>
      <c r="T5" s="20">
        <f>'Chloro Benzene'!T12</f>
        <v>0.37460755871022888</v>
      </c>
      <c r="U5" s="20">
        <f>'Chloro Benzene'!U12</f>
        <v>0.39689176468520826</v>
      </c>
      <c r="V5" s="20">
        <f>'Chloro Benzene'!V12</f>
        <v>0.40591299780532197</v>
      </c>
      <c r="W5" s="20">
        <f>'Chloro Benzene'!W12</f>
        <v>0.41524462655063932</v>
      </c>
      <c r="X5" s="20">
        <f>'Chloro Benzene'!X12</f>
        <v>0.43078855721393033</v>
      </c>
      <c r="Y5" s="20">
        <f>'Chloro Benzene'!Y12</f>
        <v>0.46402989974560938</v>
      </c>
      <c r="Z5" s="20">
        <f>'Chloro Benzene'!Z12</f>
        <v>0.49216717146624178</v>
      </c>
      <c r="AA5" s="20">
        <f>'Chloro Benzene'!AA12</f>
        <v>0.48505187275404454</v>
      </c>
      <c r="AB5" s="20">
        <f>'Chloro Benzene'!AB12</f>
        <v>0.47686547913172794</v>
      </c>
      <c r="AC5" s="20">
        <f>'Chloro Benzene'!AC12</f>
        <v>0.54945299293468675</v>
      </c>
      <c r="AD5" s="20">
        <f>'Chloro Benzene'!AD12</f>
        <v>0.54142631489104387</v>
      </c>
      <c r="AE5" s="20">
        <f>'Chloro Benzene'!AE12</f>
        <v>0.49774474949757785</v>
      </c>
      <c r="AF5" s="20">
        <f>'Chloro Benzene'!AF12</f>
        <v>0.55500434581147795</v>
      </c>
      <c r="AG5" s="20">
        <f>'Chloro Benzene'!AG12</f>
        <v>0.61359662087489075</v>
      </c>
      <c r="AH5" s="20">
        <f>'Chloro Benzene'!AH12</f>
        <v>0.71810603827778463</v>
      </c>
      <c r="AI5" s="20">
        <f>'Chloro Benzene'!AI12</f>
        <v>0.64311702501160772</v>
      </c>
      <c r="AJ5" s="20">
        <f>'Chloro Benzene'!AJ12</f>
        <v>0.64361717557375508</v>
      </c>
      <c r="AK5" s="20">
        <f>'Chloro Benzene'!AK12</f>
        <v>0.59072002400824708</v>
      </c>
      <c r="AL5" s="20">
        <f>'Chloro Benzene'!AL12</f>
        <v>0.5647346574733072</v>
      </c>
      <c r="AM5" s="20">
        <f>'Chloro Benzene'!AM12</f>
        <v>0.5022908341015373</v>
      </c>
      <c r="AN5" s="20">
        <f>'Chloro Benzene'!AN12</f>
        <v>0.47439804542794844</v>
      </c>
      <c r="AO5" s="20">
        <f>'Chloro Benzene'!AO12</f>
        <v>0.48926262490986122</v>
      </c>
      <c r="AP5" s="20">
        <f>'Chloro Benzene'!AP12</f>
        <v>0.4963010849601952</v>
      </c>
      <c r="AQ5" s="20">
        <f>'Chloro Benzene'!AQ12</f>
        <v>0.4493379911662741</v>
      </c>
      <c r="AR5" s="20">
        <f>'Chloro Benzene'!AR12</f>
        <v>0.50808133359722973</v>
      </c>
      <c r="AS5" s="20">
        <f>'Chloro Benzene'!AS12</f>
        <v>0.51497914698705094</v>
      </c>
      <c r="AT5" s="20">
        <f>'Chloro Benzene'!AT12</f>
        <v>0.59825206809579301</v>
      </c>
      <c r="AU5" s="20">
        <f>'Chloro Benzene'!AU12</f>
        <v>0.69193410434312774</v>
      </c>
      <c r="AV5" s="20">
        <f>'Chloro Benzene'!AV12</f>
        <v>0.59478236304959542</v>
      </c>
      <c r="AW5" s="20">
        <f>'Chloro Benzene'!AW12</f>
        <v>0.48021173892442554</v>
      </c>
      <c r="AX5" s="20">
        <f>'Chloro Benzene'!AX12</f>
        <v>0.50971534627324322</v>
      </c>
      <c r="AY5" s="20">
        <f>'Chloro Benzene'!AY12</f>
        <v>0.55660471458028149</v>
      </c>
      <c r="AZ5" s="20">
        <f>'Chloro Benzene'!AZ12</f>
        <v>0.57330795589574446</v>
      </c>
      <c r="BA5" s="20">
        <f>'Chloro Benzene'!BA12</f>
        <v>0.59961414762006715</v>
      </c>
      <c r="BB5" s="20">
        <f>'Chloro Benzene'!BB12</f>
        <v>0.62102092211584847</v>
      </c>
      <c r="BC5" s="20">
        <f>'Chloro Benzene'!BC12</f>
        <v>0.6140047747641032</v>
      </c>
      <c r="BD5" s="20">
        <f>'Chloro Benzene'!BD12</f>
        <v>0.62302600788421691</v>
      </c>
      <c r="BE5" s="20">
        <f>'Chloro Benzene'!BE12</f>
        <v>0.62313587128741399</v>
      </c>
      <c r="BF5" s="20">
        <f>'Chloro Benzene'!BF12</f>
        <v>0.61542910153584029</v>
      </c>
      <c r="BG5" s="20">
        <f>'Chloro Benzene'!BG12</f>
        <v>0.66055538667028635</v>
      </c>
      <c r="BH5" s="20">
        <f>'Chloro Benzene'!BH12</f>
        <v>0.71607249910462167</v>
      </c>
      <c r="BI5" s="20">
        <f>'Chloro Benzene'!BI12</f>
        <v>0.67437582492636161</v>
      </c>
      <c r="BJ5" s="20">
        <f>'Chloro Benzene'!BJ12</f>
        <v>0.63135875554079779</v>
      </c>
      <c r="BK5" s="20">
        <f>'Chloro Benzene'!BK12</f>
        <v>0.64037453311520487</v>
      </c>
      <c r="BL5" s="20">
        <f>'Chloro Benzene'!BL12</f>
        <v>0.62721332307936462</v>
      </c>
      <c r="BM5" s="20">
        <f>'Chloro Benzene'!BM12</f>
        <v>0.62718783629807451</v>
      </c>
      <c r="BN5" s="20">
        <f>'Chloro Benzene'!BN12</f>
        <v>0.62719510948536061</v>
      </c>
      <c r="BO5" s="20">
        <f>'Chloro Benzene'!BO12</f>
        <v>0.60013686960548696</v>
      </c>
      <c r="BP5" s="20">
        <f>'Chloro Benzene'!BP12</f>
        <v>0.61679145382723521</v>
      </c>
      <c r="BQ5" s="20">
        <f>'Chloro Benzene'!BQ12</f>
        <v>0.6021932486894358</v>
      </c>
      <c r="BR5" s="20">
        <f>'Chloro Benzene'!BR12</f>
        <v>0.58830173856650281</v>
      </c>
      <c r="BS5" s="20">
        <f>'Chloro Benzene'!BS12</f>
        <v>0.58067563624842611</v>
      </c>
      <c r="BT5" s="20">
        <f>'Chloro Benzene'!BT12</f>
        <v>0.61400659284240566</v>
      </c>
      <c r="BU5" s="20">
        <f>'Chloro Benzene'!BU12</f>
        <v>0.60844053236151052</v>
      </c>
      <c r="BV5" s="20">
        <f>'Chloro Benzene'!BV12</f>
        <v>0.62027026676302666</v>
      </c>
      <c r="BW5" s="20">
        <f>'Chloro Benzene'!BW12</f>
        <v>0.65357761275231951</v>
      </c>
      <c r="BX5" s="20">
        <f>'Chloro Benzene'!BX12</f>
        <v>0.65494729430923471</v>
      </c>
      <c r="BY5" s="20">
        <f>'Chloro Benzene'!BY12</f>
        <v>0.69176078614615</v>
      </c>
      <c r="BZ5" s="20">
        <f>'Chloro Benzene'!BZ12</f>
        <v>0.698711161276235</v>
      </c>
      <c r="CA5" s="20">
        <f>'Chloro Benzene'!CA12</f>
        <v>0.7257730320295197</v>
      </c>
      <c r="CB5" s="20">
        <f>'Chloro Benzene'!CB12</f>
        <v>0.72440528895244616</v>
      </c>
      <c r="CC5" s="20">
        <f>'Chloro Benzene'!CC12</f>
        <v>0.71607799684157192</v>
      </c>
      <c r="CD5" s="20">
        <f>'Chloro Benzene'!CD12</f>
        <v>0.70570563521569907</v>
      </c>
      <c r="CE5" s="20">
        <f>'Chloro Benzene'!CE12</f>
        <v>0.718879469685337</v>
      </c>
      <c r="CF5" s="20">
        <f>'Chloro Benzene'!CF12</f>
        <v>0.71878804951769071</v>
      </c>
      <c r="CG5" s="20">
        <f>'Chloro Benzene'!CG12</f>
        <v>0.7215402238844324</v>
      </c>
      <c r="CH5" s="20">
        <f>'Chloro Benzene'!CH12</f>
        <v>0.75418813356560888</v>
      </c>
      <c r="CI5" s="20">
        <f>'Chloro Benzene'!CI12</f>
        <v>0.74513240665463365</v>
      </c>
      <c r="CJ5" s="20">
        <f>'Chloro Benzene'!CJ12</f>
        <v>0.73954293625759493</v>
      </c>
      <c r="CK5" s="20">
        <f>'Chloro Benzene'!CK12</f>
        <v>0.73333178771263385</v>
      </c>
      <c r="CL5" s="20">
        <f>'Chloro Benzene'!CL12</f>
        <v>0.72637790783039458</v>
      </c>
      <c r="CM5" s="20">
        <f>'Chloro Benzene'!CM12</f>
        <v>0.71877171037007948</v>
      </c>
      <c r="CN5" s="20">
        <f>'Chloro Benzene'!CN12</f>
        <v>0.72362929743475612</v>
      </c>
      <c r="CO5" s="20">
        <f>'Chloro Benzene'!CO12</f>
        <v>0.72640506147171413</v>
      </c>
      <c r="CP5" s="20">
        <f>'Chloro Benzene'!CP12</f>
        <v>0.73681417661030701</v>
      </c>
      <c r="CQ5" s="20">
        <f>'Chloro Benzene'!CQ12</f>
        <v>0.73671687795038743</v>
      </c>
      <c r="CR5" s="20">
        <f>'Chloro Benzene'!CR12</f>
        <v>0.71182323821113691</v>
      </c>
      <c r="CS5" s="20">
        <f>'Chloro Benzene'!CS12</f>
        <v>0.69584450342385595</v>
      </c>
      <c r="CT5" s="20">
        <f>'Chloro Benzene'!CT12</f>
        <v>0.72846877122561471</v>
      </c>
      <c r="CU5" s="20">
        <f>'Chloro Benzene'!CU12</f>
        <v>0.71250451056642361</v>
      </c>
      <c r="CV5" s="20">
        <f>'Chloro Benzene'!CV12</f>
        <v>0.70624458901525544</v>
      </c>
      <c r="CW5" s="20">
        <f>'Chloro Benzene'!CW12</f>
        <v>0.70344180106465459</v>
      </c>
      <c r="CX5" s="20">
        <f>'Chloro Benzene'!CX12</f>
        <v>0.68192423661452517</v>
      </c>
      <c r="CY5" s="20">
        <f>'Chloro Benzene'!CY12</f>
        <v>0.71103032691346291</v>
      </c>
      <c r="CZ5" s="20">
        <f>'Chloro Benzene'!CZ12</f>
        <v>0.71658006752970327</v>
      </c>
      <c r="DA5" s="20">
        <f>'Chloro Benzene'!DA12</f>
        <v>0.69993621444539611</v>
      </c>
      <c r="DB5" s="20">
        <f>'Chloro Benzene'!DB12</f>
        <v>0.70548953253460911</v>
      </c>
      <c r="DC5" s="20">
        <f>'Chloro Benzene'!DC12</f>
        <v>0.69506789624327825</v>
      </c>
      <c r="DD5" s="20">
        <f>'Chloro Benzene'!DD12</f>
        <v>0.66384055082750004</v>
      </c>
      <c r="DE5" s="20">
        <f>'Chloro Benzene'!DE12</f>
        <v>0.66876636197367512</v>
      </c>
      <c r="DF5" s="20">
        <f>'Chloro Benzene'!DF12</f>
        <v>0.66250647842122001</v>
      </c>
      <c r="DG5" s="20">
        <f>'Chloro Benzene'!DG12</f>
        <v>0.69645399122981877</v>
      </c>
      <c r="DH5" s="20">
        <f>'Chloro Benzene'!DH12</f>
        <v>0.63120568942404165</v>
      </c>
      <c r="DI5" s="20">
        <f>'Chloro Benzene'!DI12</f>
        <v>0.62842992538708353</v>
      </c>
      <c r="DJ5" s="20">
        <f>'Chloro Benzene'!DJ12</f>
        <v>0.62565237899127446</v>
      </c>
      <c r="DK5" s="20">
        <f>'Chloro Benzene'!DK12</f>
        <v>0.63744225095059992</v>
      </c>
      <c r="DL5" s="20">
        <f>'Chloro Benzene'!DL12</f>
        <v>0.61241068733852744</v>
      </c>
      <c r="DM5" s="20">
        <f>'Chloro Benzene'!DM12</f>
        <v>0.62353677151756681</v>
      </c>
      <c r="DN5" s="20">
        <f>'Chloro Benzene'!DN12</f>
        <v>0.61306405975473666</v>
      </c>
      <c r="DO5" s="20">
        <f>'Chloro Benzene'!DO12</f>
        <v>0.62138080499363746</v>
      </c>
      <c r="DP5" s="20">
        <f>'Chloro Benzene'!DP12</f>
        <v>0.62413201768309401</v>
      </c>
      <c r="DQ5" s="20">
        <f>'Chloro Benzene'!DQ12</f>
        <v>0.6289738644858609</v>
      </c>
      <c r="DR5" s="20">
        <f>'Chloro Benzene'!DR12</f>
        <v>0.61782552331172769</v>
      </c>
      <c r="DS5" s="20">
        <f>'Chloro Benzene'!DS12</f>
        <v>0</v>
      </c>
      <c r="DT5" s="20">
        <f>'Chloro Benzene'!DT12</f>
        <v>0</v>
      </c>
      <c r="DU5" s="20">
        <f>'Chloro Benzene'!DU12</f>
        <v>0</v>
      </c>
      <c r="DV5" s="20">
        <f>'Chloro Benzene'!DV12</f>
        <v>0</v>
      </c>
      <c r="DW5" s="20">
        <f>'Chloro Benzene'!DW12</f>
        <v>0</v>
      </c>
      <c r="DX5" s="20">
        <f>'Chloro Benzene'!DX12</f>
        <v>0</v>
      </c>
      <c r="DY5" s="20">
        <f>'Chloro Benzene'!DY12</f>
        <v>0</v>
      </c>
      <c r="DZ5" s="20">
        <f>'Chloro Benzene'!DZ12</f>
        <v>0</v>
      </c>
      <c r="EA5" s="20">
        <f>'Chloro Benzene'!EA12</f>
        <v>0</v>
      </c>
      <c r="EB5" s="20">
        <f>'Chloro Benzene'!EB12</f>
        <v>0</v>
      </c>
      <c r="EC5" s="20">
        <f>'Chloro Benzene'!EC12</f>
        <v>0</v>
      </c>
      <c r="ED5" s="20">
        <f>'Chloro Benzene'!ED12</f>
        <v>0</v>
      </c>
      <c r="EE5" s="20">
        <f>'Chloro Benzene'!EE12</f>
        <v>0</v>
      </c>
      <c r="EF5" s="20">
        <f>'Chloro Benzene'!EF12</f>
        <v>0</v>
      </c>
      <c r="EG5" s="20">
        <f>'Chloro Benzene'!EG12</f>
        <v>0</v>
      </c>
      <c r="EH5" s="20">
        <f>'Chloro Benzene'!EH12</f>
        <v>0</v>
      </c>
      <c r="EI5" s="20">
        <f>'Chloro Benzene'!EI12</f>
        <v>0</v>
      </c>
      <c r="EJ5" s="20">
        <f>'Chloro Benzene'!EJ12</f>
        <v>0</v>
      </c>
    </row>
    <row r="6" spans="1:150">
      <c r="A6" s="53"/>
      <c r="B6" s="18"/>
      <c r="C6" s="190" t="s">
        <v>600</v>
      </c>
      <c r="D6" s="18"/>
      <c r="G6" s="8" t="s">
        <v>594</v>
      </c>
      <c r="H6" s="20">
        <f>VLOOKUP($G$6&amp;$F$1,'Input RM sheet'!$A:$BM,H1,0)</f>
        <v>0.21</v>
      </c>
      <c r="I6" s="20">
        <f>VLOOKUP($G$6&amp;$F$1,'Input RM sheet'!$A:$BM,I1,0)</f>
        <v>0.21</v>
      </c>
      <c r="J6" s="20">
        <f>VLOOKUP($G$6&amp;$F$1,'Input RM sheet'!$A:$BM,J1,0)</f>
        <v>0.21</v>
      </c>
      <c r="K6" s="20">
        <f>VLOOKUP($G$6&amp;$F$1,'Input RM sheet'!$A:$BM,K1,0)</f>
        <v>0.2</v>
      </c>
      <c r="L6" s="20">
        <f>VLOOKUP($G$6&amp;$F$1,'Input RM sheet'!$A:$BM,L1,0)</f>
        <v>0.19</v>
      </c>
      <c r="M6" s="20">
        <f>VLOOKUP($G$6&amp;$F$1,'Input RM sheet'!$A:$BM,M1,0)</f>
        <v>0.2</v>
      </c>
      <c r="N6" s="20">
        <f>VLOOKUP($G$6&amp;$F$1,'Input RM sheet'!$A:$BM,N1,0)</f>
        <v>0.2</v>
      </c>
      <c r="O6" s="20">
        <f>VLOOKUP($G$6&amp;$F$1,'Input RM sheet'!$A:$BM,O1,0)</f>
        <v>0.2</v>
      </c>
      <c r="P6" s="20">
        <f>VLOOKUP($G$6&amp;$F$1,'Input RM sheet'!$A:$BM,P1,0)</f>
        <v>0.21</v>
      </c>
      <c r="Q6" s="20">
        <f>VLOOKUP($G$6&amp;$F$1,'Input RM sheet'!$A:$BM,Q1,0)</f>
        <v>0.22</v>
      </c>
      <c r="R6" s="20">
        <f>VLOOKUP($G$6&amp;$F$1,'Input RM sheet'!$A:$BM,R1,0)</f>
        <v>0.24</v>
      </c>
      <c r="S6" s="20">
        <f>VLOOKUP($G$6&amp;$F$1,'Input RM sheet'!$A:$BM,S1,0)</f>
        <v>0.28000000000000003</v>
      </c>
      <c r="T6" s="20">
        <f>VLOOKUP($G$6&amp;$F$1,'Input RM sheet'!$A:$BM,T1,0)</f>
        <v>0.28000000000000003</v>
      </c>
      <c r="U6" s="20">
        <f>VLOOKUP($G$6&amp;$F$1,'Input RM sheet'!$A:$BM,U1,0)</f>
        <v>0.28000000000000003</v>
      </c>
      <c r="V6" s="20">
        <f>VLOOKUP($G$6&amp;$F$1,'Input RM sheet'!$A:$BM,V1,0)</f>
        <v>0.28000000000000003</v>
      </c>
      <c r="W6" s="20">
        <f>VLOOKUP($G$6&amp;$F$1,'Input RM sheet'!$A:$BM,W1,0)</f>
        <v>0.3</v>
      </c>
      <c r="X6" s="20">
        <f>VLOOKUP($G$6&amp;$F$1,'Input RM sheet'!$A:$BM,X1,0)</f>
        <v>0.31</v>
      </c>
      <c r="Y6" s="20">
        <f>VLOOKUP($G$6&amp;$F$1,'Input RM sheet'!$A:$BM,Y1,0)</f>
        <v>0.32</v>
      </c>
      <c r="Z6" s="20">
        <f>VLOOKUP($G$6&amp;$F$1,'Input RM sheet'!$A:$BM,Z1,0)</f>
        <v>0.36</v>
      </c>
      <c r="AA6" s="20">
        <f>VLOOKUP($G$6&amp;$F$1,'Input RM sheet'!$A:$BM,AA1,0)</f>
        <v>0.4</v>
      </c>
      <c r="AB6" s="20">
        <f>VLOOKUP($G$6&amp;$F$1,'Input RM sheet'!$A:$BM,AB1,0)</f>
        <v>0.44</v>
      </c>
      <c r="AC6" s="20">
        <f>VLOOKUP($G$6&amp;$F$1,'Input RM sheet'!$A:$BM,AC1,0)</f>
        <v>0.45</v>
      </c>
      <c r="AD6" s="20">
        <f>VLOOKUP($G$6&amp;$F$1,'Input RM sheet'!$A:$BM,AD1,0)</f>
        <v>0.41</v>
      </c>
      <c r="AE6" s="20">
        <f>VLOOKUP($G$6&amp;$F$1,'Input RM sheet'!$A:$BM,AE1,0)</f>
        <v>0.32</v>
      </c>
      <c r="AF6" s="20">
        <f>VLOOKUP($G$6&amp;$F$1,'Input RM sheet'!$A:$BM,AF1,0)</f>
        <v>0.31</v>
      </c>
      <c r="AG6" s="20">
        <f>VLOOKUP($G$6&amp;$F$1,'Input RM sheet'!$A:$BM,AG1,0)</f>
        <v>0.4</v>
      </c>
      <c r="AH6" s="20">
        <f>VLOOKUP($G$6&amp;$F$1,'Input RM sheet'!$A:$BM,AH1,0)</f>
        <v>0.31</v>
      </c>
      <c r="AI6" s="20">
        <f>VLOOKUP($G$6&amp;$F$1,'Input RM sheet'!$A:$BM,AI1,0)</f>
        <v>0.33</v>
      </c>
      <c r="AJ6" s="20">
        <f>VLOOKUP($G$6&amp;$F$1,'Input RM sheet'!$A:$BM,AJ1,0)</f>
        <v>0.36</v>
      </c>
      <c r="AK6" s="20">
        <f>VLOOKUP($G$6&amp;$F$1,'Input RM sheet'!$A:$BM,AK1,0)</f>
        <v>0.38</v>
      </c>
      <c r="AL6" s="20">
        <f>VLOOKUP($G$6&amp;$F$1,'Input RM sheet'!$A:$BM,AL1,0)</f>
        <v>0.39</v>
      </c>
      <c r="AM6" s="20">
        <f>VLOOKUP($G$6&amp;$F$1,'Input RM sheet'!$A:$BM,AM1,0)</f>
        <v>0.34</v>
      </c>
      <c r="AN6" s="20">
        <f>VLOOKUP($G$6&amp;$F$1,'Input RM sheet'!$A:$BM,AN1,0)</f>
        <v>0.3</v>
      </c>
      <c r="AO6" s="20">
        <f>VLOOKUP($G$6&amp;$F$1,'Input RM sheet'!$A:$BM,AO1,0)</f>
        <v>0.3</v>
      </c>
      <c r="AP6" s="20">
        <f>VLOOKUP($G$6&amp;$F$1,'Input RM sheet'!$A:$BM,AP1,0)</f>
        <v>0.33</v>
      </c>
      <c r="AQ6" s="20">
        <f>VLOOKUP($G$6&amp;$F$1,'Input RM sheet'!$A:$BM,AQ1,0)</f>
        <v>0.35</v>
      </c>
      <c r="AR6" s="20">
        <f>VLOOKUP($G$6&amp;$F$1,'Input RM sheet'!$A:$BM,AR1,0)</f>
        <v>0.34</v>
      </c>
      <c r="AS6" s="20">
        <f>VLOOKUP($G$6&amp;$F$1,'Input RM sheet'!$A:$BM,AS1,0)</f>
        <v>0.32</v>
      </c>
      <c r="AT6" s="20">
        <f>VLOOKUP($G$6&amp;$F$1,'Input RM sheet'!$A:$BM,AT1,0)</f>
        <v>0.34</v>
      </c>
      <c r="AU6" s="20">
        <f>VLOOKUP($G$6&amp;$F$1,'Input RM sheet'!$A:$BM,AU1,0)</f>
        <v>0.32</v>
      </c>
      <c r="AV6" s="20">
        <f>VLOOKUP($G$6&amp;$F$1,'Input RM sheet'!$A:$BM,AV1,0)</f>
        <v>0.3</v>
      </c>
      <c r="AW6" s="20">
        <f>VLOOKUP($G$6&amp;$F$1,'Input RM sheet'!$A:$BM,AW1,0)</f>
        <v>0.26</v>
      </c>
      <c r="AX6" s="20">
        <f>VLOOKUP($G$6&amp;$F$1,'Input RM sheet'!$A:$BM,AX1,0)</f>
        <v>0.25</v>
      </c>
      <c r="AY6" s="20">
        <f>VLOOKUP($G$6&amp;$F$1,'Input RM sheet'!$A:$BM,AY1,0)</f>
        <v>0.25</v>
      </c>
      <c r="AZ6" s="20">
        <f>VLOOKUP($G$6&amp;$F$1,'Input RM sheet'!$A:$BM,AZ1,0)</f>
        <v>0.25</v>
      </c>
      <c r="BA6" s="20">
        <f>VLOOKUP($G$6&amp;$F$1,'Input RM sheet'!$A:$DD,BA1,0)</f>
        <v>0.25</v>
      </c>
      <c r="BB6" s="20">
        <f>VLOOKUP($G$6&amp;$F$1,'Input RM sheet'!$A:$DD,BB1,0)</f>
        <v>0.25</v>
      </c>
      <c r="BC6" s="20">
        <f>VLOOKUP($G$6&amp;$F$1,'Input RM sheet'!$A:$DD,BC1,0)</f>
        <v>0.25</v>
      </c>
      <c r="BD6" s="20">
        <f>VLOOKUP($G$6&amp;$F$1,'Input RM sheet'!$A:$DD,BD1,0)</f>
        <v>0.25</v>
      </c>
      <c r="BE6" s="20">
        <f>VLOOKUP($G$6&amp;$F$1,'Input RM sheet'!$A:$DD,BE1,0)</f>
        <v>0.25</v>
      </c>
      <c r="BF6" s="20">
        <f>VLOOKUP($G$6&amp;$F$1,'Input RM sheet'!$A:$DD,BF1,0)</f>
        <v>0.25</v>
      </c>
      <c r="BG6" s="20">
        <f>VLOOKUP($G$6&amp;$F$1,'Input RM sheet'!$A:$DD,BG1,0)</f>
        <v>0.25</v>
      </c>
      <c r="BH6" s="20">
        <f>VLOOKUP($G$6&amp;$F$1,'Input RM sheet'!$A:$DD,BH1,0)</f>
        <v>0.25</v>
      </c>
      <c r="BI6" s="20">
        <f>VLOOKUP($G$6&amp;$F$1,'Input RM sheet'!$A:$DD,BI1,0)</f>
        <v>0.25</v>
      </c>
      <c r="BJ6" s="20">
        <f>VLOOKUP($G$6&amp;$F$1,'Input RM sheet'!$A:$DD,BJ1,0)</f>
        <v>0.25</v>
      </c>
      <c r="BK6" s="20">
        <f>VLOOKUP($G$6&amp;$F$1,'Input RM sheet'!$A:$DD,BK1,0)</f>
        <v>0.28999999999999998</v>
      </c>
      <c r="BL6" s="20">
        <f>VLOOKUP($G$6&amp;$F$1,'Input RM sheet'!$A:$DD,BL1,0)</f>
        <v>0.28999999999999998</v>
      </c>
      <c r="BM6" s="20">
        <f>VLOOKUP($G$6&amp;$F$1,'Input RM sheet'!$A:$DD,BM1,0)</f>
        <v>0.28999999999999998</v>
      </c>
      <c r="BN6" s="20">
        <f>VLOOKUP($G$6&amp;$F$1,'Input RM sheet'!$A:$DD,BN1,0)</f>
        <v>0.28999999999999998</v>
      </c>
      <c r="BO6" s="20">
        <f>VLOOKUP($G$6&amp;$F$1,'Input RM sheet'!$A:$DD,BO1,0)</f>
        <v>0.28999999999999998</v>
      </c>
      <c r="BP6" s="20">
        <f>VLOOKUP($G$6&amp;$F$1,'Input RM sheet'!$A:$DD,BP1,0)</f>
        <v>0.28999999999999998</v>
      </c>
      <c r="BQ6" s="20">
        <f>VLOOKUP($G$6&amp;$F$1,'Input RM sheet'!$A:$DD,BQ1,0)</f>
        <v>0.28999999999999998</v>
      </c>
      <c r="BR6" s="20">
        <f>VLOOKUP($G$6&amp;$F$1,'Input RM sheet'!$A:$DD,BR1,0)</f>
        <v>0.28999999999999998</v>
      </c>
      <c r="BS6" s="20">
        <f>VLOOKUP($G$6&amp;$F$1,'Input RM sheet'!$A:$DD,BS1,0)</f>
        <v>0.28999999999999998</v>
      </c>
      <c r="BT6" s="20">
        <f>VLOOKUP($G$6&amp;$F$1,'Input RM sheet'!$A:$DD,BT1,0)</f>
        <v>0.28999999999999998</v>
      </c>
      <c r="BU6" s="20">
        <f>VLOOKUP($G$6&amp;$F$1,'Input RM sheet'!$A:$DD,BU1,0)</f>
        <v>0.28999999999999998</v>
      </c>
      <c r="BV6" s="20">
        <f>VLOOKUP($G$6&amp;$F$1,'Input RM sheet'!$A:$DD,BV1,0)</f>
        <v>0.3</v>
      </c>
      <c r="BW6" s="20">
        <f>VLOOKUP($G$6&amp;$F$1,'Input RM sheet'!$A:$DD,BW1,0)</f>
        <v>0.3</v>
      </c>
      <c r="BX6" s="20">
        <f>VLOOKUP($G$6&amp;$F$1,'Input RM sheet'!$A:$DD,BX1,0)</f>
        <v>0.3</v>
      </c>
      <c r="BY6" s="20">
        <f>VLOOKUP($G$6&amp;$F$1,'Input RM sheet'!$A:$DD,BY1,0)</f>
        <v>0.3</v>
      </c>
      <c r="BZ6" s="20">
        <f>VLOOKUP($G$6&amp;$F$1,'Input RM sheet'!$A:$DD,BZ1,0)</f>
        <v>0.3</v>
      </c>
      <c r="CA6" s="20">
        <f>VLOOKUP($G$6&amp;$F$1,'Input RM sheet'!$A:$DD,CA1,0)</f>
        <v>0.3</v>
      </c>
      <c r="CB6" s="20">
        <f>VLOOKUP($G$6&amp;$F$1,'Input RM sheet'!$A:$DD,CB1,0)</f>
        <v>0.3</v>
      </c>
      <c r="CC6" s="20">
        <f>VLOOKUP($G$6&amp;$F$1,'Input RM sheet'!$A:$DD,CC1,0)</f>
        <v>0.3</v>
      </c>
      <c r="CD6" s="20">
        <f>VLOOKUP($G$6&amp;$F$1,'Input RM sheet'!$A:$DD,CD1,0)</f>
        <v>0.3</v>
      </c>
      <c r="CE6" s="20">
        <f>VLOOKUP($G$6&amp;$F$1,'Input RM sheet'!$A:$DD,CE1,0)</f>
        <v>0.3</v>
      </c>
      <c r="CF6" s="20">
        <f>VLOOKUP($G$6&amp;$F$1,'Input RM sheet'!$A:$DD,CF1,0)</f>
        <v>0.3</v>
      </c>
      <c r="CG6" s="20">
        <f>VLOOKUP($G$6&amp;$F$1,'Input RM sheet'!$A:$DD,CG1,0)</f>
        <v>0.3</v>
      </c>
      <c r="CH6" s="20">
        <f>VLOOKUP($G$6&amp;$F$1,'Input RM sheet'!$A:$DD,CH1,0)</f>
        <v>0.3</v>
      </c>
      <c r="CI6" s="20">
        <f>VLOOKUP($G$6&amp;$F$1,'Input RM sheet'!$A:$DD,CI1,0)</f>
        <v>0.3</v>
      </c>
      <c r="CJ6" s="20">
        <f>VLOOKUP($G$6&amp;$F$1,'Input RM sheet'!$A:$DD,CJ1,0)</f>
        <v>0.3</v>
      </c>
      <c r="CK6" s="20">
        <f>VLOOKUP($G$6&amp;$F$1,'Input RM sheet'!$A:$DD,CK1,0)</f>
        <v>0.3</v>
      </c>
      <c r="CL6" s="20">
        <f>VLOOKUP($G$6&amp;$F$1,'Input RM sheet'!$A:$DD,CL1,0)</f>
        <v>0.3</v>
      </c>
      <c r="CM6" s="20">
        <f>VLOOKUP($G$6&amp;$F$1,'Input RM sheet'!$A:$DD,CM1,0)</f>
        <v>0.3</v>
      </c>
      <c r="CN6" s="20">
        <f>VLOOKUP($G$6&amp;$F$1,'Input RM sheet'!$A:$DD,CN1,0)</f>
        <v>0.3</v>
      </c>
      <c r="CO6" s="20">
        <f>VLOOKUP($G$6&amp;$F$1,'Input RM sheet'!$A:$DD,CO1,0)</f>
        <v>0.3</v>
      </c>
      <c r="CP6" s="20">
        <f>VLOOKUP($G$6&amp;$F$1,'Input RM sheet'!$A:$DD,CP1,0)</f>
        <v>0.3</v>
      </c>
      <c r="CQ6" s="20">
        <f>VLOOKUP($G$6&amp;$F$1,'Input RM sheet'!$A:$DD,CQ1,0)</f>
        <v>0.3</v>
      </c>
      <c r="CR6" s="20">
        <f>VLOOKUP($G$6&amp;$F$1,'Input RM sheet'!$A:$DD,CR1,0)</f>
        <v>0.3</v>
      </c>
      <c r="CS6" s="20">
        <f>VLOOKUP($G$6&amp;$F$1,'Input RM sheet'!$A:$DD,CS1,0)</f>
        <v>0.3</v>
      </c>
      <c r="CT6" s="20">
        <f>VLOOKUP($G$6&amp;$F$1,'Input RM sheet'!$A:$ZZ,CT1,0)</f>
        <v>0.3</v>
      </c>
      <c r="CU6" s="20">
        <f>VLOOKUP($G$6&amp;$F$1,'Input RM sheet'!$A:$ZZ,CU1,0)</f>
        <v>0.3</v>
      </c>
      <c r="CV6" s="20">
        <f>VLOOKUP($G$6&amp;$F$1,'Input RM sheet'!$A:$ZZ,CV1,0)</f>
        <v>0.3</v>
      </c>
      <c r="CW6" s="20">
        <f>VLOOKUP($G$6&amp;$F$1,'Input RM sheet'!$A:$ZZ,CW1,0)</f>
        <v>0.3</v>
      </c>
      <c r="CX6" s="20">
        <f>VLOOKUP($G$6&amp;$F$1,'Input RM sheet'!$A:$ZZ,CX1,0)</f>
        <v>0.3</v>
      </c>
      <c r="CY6" s="20">
        <f>VLOOKUP($G$6&amp;$F$1,'Input RM sheet'!$A:$ZZ,CY1,0)</f>
        <v>0.3</v>
      </c>
      <c r="CZ6" s="20">
        <f>VLOOKUP($G$6&amp;$F$1,'Input RM sheet'!$A:$ZZ,CZ1,0)</f>
        <v>0.3</v>
      </c>
      <c r="DA6" s="20">
        <f>VLOOKUP($G$6&amp;$F$1,'Input RM sheet'!$A:$ZZ,DA1,0)</f>
        <v>0.3</v>
      </c>
      <c r="DB6" s="20">
        <f>VLOOKUP($G$6&amp;$F$1,'Input RM sheet'!$A:$ZZ,DB1,0)</f>
        <v>0.3</v>
      </c>
      <c r="DC6" s="20">
        <f>VLOOKUP($G$6&amp;$F$1,'Input RM sheet'!$A:$ZZ,DC1,0)</f>
        <v>0.3</v>
      </c>
      <c r="DD6" s="20">
        <f>VLOOKUP($G$6&amp;$F$1,'Input RM sheet'!$A:$ZZ,DD1,0)</f>
        <v>0.3</v>
      </c>
      <c r="DE6" s="20">
        <f>VLOOKUP($G$6&amp;$F$1,'Input RM sheet'!$A:$ZZ,DE1,0)</f>
        <v>0.3</v>
      </c>
      <c r="DF6" s="20">
        <f>VLOOKUP($G$6&amp;$F$1,'Input RM sheet'!$A:$ZZ,DF1,0)</f>
        <v>0.3</v>
      </c>
      <c r="DG6" s="20">
        <f>VLOOKUP($G$6&amp;$F$1,'Input RM sheet'!$A:$ZZ,DG1,0)</f>
        <v>0.3</v>
      </c>
      <c r="DH6" s="20">
        <f>VLOOKUP($G$6&amp;$F$1,'Input RM sheet'!$A:$ZZ,DH1,0)</f>
        <v>0.3</v>
      </c>
      <c r="DI6" s="20">
        <f>VLOOKUP($G$6&amp;$F$1,'Input RM sheet'!$A:$ZZ,DI1,0)</f>
        <v>0.3</v>
      </c>
      <c r="DJ6" s="20">
        <f>VLOOKUP($G$6&amp;$F$1,'Input RM sheet'!$A:$ZZ,DJ1,0)</f>
        <v>0.3</v>
      </c>
      <c r="DK6" s="20">
        <f>VLOOKUP($G$6&amp;$F$1,'Input RM sheet'!$A:$ZZ,DK1,0)</f>
        <v>0.3</v>
      </c>
      <c r="DL6" s="20">
        <f>VLOOKUP($G$6&amp;$F$1,'Input RM sheet'!$A:$ZZ,DL1,0)</f>
        <v>0.3</v>
      </c>
      <c r="DM6" s="20">
        <f>VLOOKUP($G$6&amp;$F$1,'Input RM sheet'!$A:$ZZ,DM1,0)</f>
        <v>0.3</v>
      </c>
      <c r="DN6" s="20">
        <f>VLOOKUP($G$6&amp;$F$1,'Input RM sheet'!$A:$ZZ,DN1,0)</f>
        <v>0.3</v>
      </c>
      <c r="DO6" s="20">
        <f>VLOOKUP($G$6&amp;$F$1,'Input RM sheet'!$A:$ZZ,DO1,0)</f>
        <v>0.3</v>
      </c>
      <c r="DP6" s="20">
        <f>VLOOKUP($G$6&amp;$F$1,'Input RM sheet'!$A:$ZZ,DP1,0)</f>
        <v>0.3</v>
      </c>
      <c r="DQ6" s="20">
        <f>VLOOKUP($G$6&amp;$F$1,'Input RM sheet'!$A:$ZZ,DQ1,0)</f>
        <v>0.3</v>
      </c>
      <c r="DR6" s="20">
        <f>VLOOKUP($G$6&amp;$F$1,'Input RM sheet'!$A:$ZZ,DR1,0)</f>
        <v>0.3</v>
      </c>
      <c r="DS6" s="20">
        <f>VLOOKUP($G$6&amp;$F$1,'Input RM sheet'!$A:$ZZ,DS1,0)</f>
        <v>0</v>
      </c>
      <c r="DT6" s="20">
        <f>VLOOKUP($G$6&amp;$F$1,'Input RM sheet'!$A:$ZZ,DT1,0)</f>
        <v>0</v>
      </c>
      <c r="DU6" s="20">
        <f>VLOOKUP($G$6&amp;$F$1,'Input RM sheet'!$A:$ZZ,DU1,0)</f>
        <v>0</v>
      </c>
      <c r="DV6" s="20">
        <f>VLOOKUP($G$6&amp;$F$1,'Input RM sheet'!$A:$ZZ,DV1,0)</f>
        <v>0</v>
      </c>
      <c r="DW6" s="20">
        <f>VLOOKUP($G$6&amp;$F$1,'Input RM sheet'!$A:$ZZ,DW1,0)</f>
        <v>0</v>
      </c>
      <c r="DX6" s="20">
        <f>VLOOKUP($G$6&amp;$F$1,'Input RM sheet'!$A:$ZZ,DX1,0)</f>
        <v>0</v>
      </c>
      <c r="DY6" s="20">
        <f>VLOOKUP($G$6&amp;$F$1,'Input RM sheet'!$A:$ZZ,DY1,0)</f>
        <v>0</v>
      </c>
      <c r="DZ6" s="20">
        <f>VLOOKUP($G$6&amp;$F$1,'Input RM sheet'!$A:$ZZ,DZ1,0)</f>
        <v>0</v>
      </c>
      <c r="EA6" s="20">
        <f>VLOOKUP($G$6&amp;$F$1,'Input RM sheet'!$A:$ZZ,EA1,0)</f>
        <v>0</v>
      </c>
      <c r="EB6" s="20">
        <f>VLOOKUP($G$6&amp;$F$1,'Input RM sheet'!$A:$ZZ,EB1,0)</f>
        <v>0</v>
      </c>
      <c r="EC6" s="20">
        <f>VLOOKUP($G$6&amp;$F$1,'Input RM sheet'!$A:$ZZ,EC1,0)</f>
        <v>0</v>
      </c>
      <c r="ED6" s="20">
        <f>VLOOKUP($G$6&amp;$F$1,'Input RM sheet'!$A:$ZZ,ED1,0)</f>
        <v>0</v>
      </c>
      <c r="EE6" s="20">
        <f>VLOOKUP($G$6&amp;$F$1,'Input RM sheet'!$A:$ZZ,EE1,0)</f>
        <v>0</v>
      </c>
      <c r="EF6" s="20">
        <f>VLOOKUP($G$6&amp;$F$1,'Input RM sheet'!$A:$ZZ,EF1,0)</f>
        <v>0</v>
      </c>
      <c r="EG6" s="20">
        <f>VLOOKUP($G$6&amp;$F$1,'Input RM sheet'!$A:$ZZ,EG1,0)</f>
        <v>0</v>
      </c>
      <c r="EH6" s="20">
        <f>VLOOKUP($G$6&amp;$F$1,'Input RM sheet'!$A:$ZZ,EH1,0)</f>
        <v>0</v>
      </c>
      <c r="EI6" s="20">
        <f>VLOOKUP($G$6&amp;$F$1,'Input RM sheet'!$A:$ZZ,EI1,0)</f>
        <v>0</v>
      </c>
      <c r="EJ6" s="20">
        <f>VLOOKUP($G$6&amp;$F$1,'Input RM sheet'!$A:$ZZ,EJ1,0)</f>
        <v>0</v>
      </c>
    </row>
    <row r="7" spans="1:150">
      <c r="G7" s="30" t="s">
        <v>72</v>
      </c>
      <c r="H7" s="20">
        <f>VLOOKUP($G$7&amp;$F$1,'Input RM sheet'!$A:$BM,H1,0)</f>
        <v>0</v>
      </c>
      <c r="I7" s="20">
        <f>VLOOKUP($G$7&amp;$F$1,'Input RM sheet'!$A:$BM,I1,0)</f>
        <v>0</v>
      </c>
      <c r="J7" s="20">
        <f>VLOOKUP($G$7&amp;$F$1,'Input RM sheet'!$A:$BM,J1,0)</f>
        <v>0</v>
      </c>
      <c r="K7" s="20">
        <f>VLOOKUP($G$7&amp;$F$1,'Input RM sheet'!$A:$BM,K1,0)</f>
        <v>0</v>
      </c>
      <c r="L7" s="20">
        <f>VLOOKUP($G$7&amp;$F$1,'Input RM sheet'!$A:$BM,L1,0)</f>
        <v>0</v>
      </c>
      <c r="M7" s="20">
        <f>VLOOKUP($G$7&amp;$F$1,'Input RM sheet'!$A:$BM,M1,0)</f>
        <v>0</v>
      </c>
      <c r="N7" s="20">
        <f>VLOOKUP($G$7&amp;$F$1,'Input RM sheet'!$A:$BM,N1,0)</f>
        <v>0</v>
      </c>
      <c r="O7" s="20">
        <f>VLOOKUP($G$7&amp;$F$1,'Input RM sheet'!$A:$BM,O1,0)</f>
        <v>0</v>
      </c>
      <c r="P7" s="20">
        <f>VLOOKUP($G$7&amp;$F$1,'Input RM sheet'!$A:$BM,P1,0)</f>
        <v>0</v>
      </c>
      <c r="Q7" s="20">
        <f>VLOOKUP($G$7&amp;$F$1,'Input RM sheet'!$A:$BM,Q1,0)</f>
        <v>0</v>
      </c>
      <c r="R7" s="20">
        <f>VLOOKUP($G$7&amp;$F$1,'Input RM sheet'!$A:$BM,R1,0)</f>
        <v>0</v>
      </c>
      <c r="S7" s="20">
        <f>VLOOKUP($G$7&amp;$F$1,'Input RM sheet'!$A:$BM,S1,0)</f>
        <v>0</v>
      </c>
      <c r="T7" s="20">
        <f>VLOOKUP($G$7&amp;$F$1,'Input RM sheet'!$A:$BM,T1,0)</f>
        <v>0</v>
      </c>
      <c r="U7" s="20">
        <f>VLOOKUP($G$7&amp;$F$1,'Input RM sheet'!$A:$BM,U1,0)</f>
        <v>0</v>
      </c>
      <c r="V7" s="20">
        <f>VLOOKUP($G$7&amp;$F$1,'Input RM sheet'!$A:$BM,V1,0)</f>
        <v>0</v>
      </c>
      <c r="W7" s="20">
        <f>VLOOKUP($G$7&amp;$F$1,'Input RM sheet'!$A:$BM,W1,0)</f>
        <v>0</v>
      </c>
      <c r="X7" s="20">
        <f>VLOOKUP($G$7&amp;$F$1,'Input RM sheet'!$A:$BM,X1,0)</f>
        <v>0</v>
      </c>
      <c r="Y7" s="20">
        <f>VLOOKUP($G$7&amp;$F$1,'Input RM sheet'!$A:$BM,Y1,0)</f>
        <v>0</v>
      </c>
      <c r="Z7" s="20">
        <f>VLOOKUP($G$7&amp;$F$1,'Input RM sheet'!$A:$BM,Z1,0)</f>
        <v>0</v>
      </c>
      <c r="AA7" s="20">
        <f>VLOOKUP($G$7&amp;$F$1,'Input RM sheet'!$A:$BM,AA1,0)</f>
        <v>0</v>
      </c>
      <c r="AB7" s="20">
        <f>VLOOKUP($G$7&amp;$F$1,'Input RM sheet'!$A:$BM,AB1,0)</f>
        <v>0</v>
      </c>
      <c r="AC7" s="20">
        <f>VLOOKUP($G$7&amp;$F$1,'Input RM sheet'!$A:$BM,AC1,0)</f>
        <v>0</v>
      </c>
      <c r="AD7" s="20">
        <f>VLOOKUP($G$7&amp;$F$1,'Input RM sheet'!$A:$BM,AD1,0)</f>
        <v>0</v>
      </c>
      <c r="AE7" s="20">
        <f>VLOOKUP($G$7&amp;$F$1,'Input RM sheet'!$A:$BM,AE1,0)</f>
        <v>0</v>
      </c>
      <c r="AF7" s="20">
        <f>VLOOKUP($G$7&amp;$F$1,'Input RM sheet'!$A:$BM,AF1,0)</f>
        <v>0.11</v>
      </c>
      <c r="AG7" s="20">
        <f>VLOOKUP($G$7&amp;$F$1,'Input RM sheet'!$A:$BM,AG1,0)</f>
        <v>0.12</v>
      </c>
      <c r="AH7" s="20">
        <f>VLOOKUP($G$7&amp;$F$1,'Input RM sheet'!$A:$BM,AH1,0)</f>
        <v>0.15</v>
      </c>
      <c r="AI7" s="20">
        <f>VLOOKUP($G$7&amp;$F$1,'Input RM sheet'!$A:$BM,AI1,0)</f>
        <v>0.17</v>
      </c>
      <c r="AJ7" s="20">
        <f>VLOOKUP($G$7&amp;$F$1,'Input RM sheet'!$A:$BM,AJ1,0)</f>
        <v>0.16</v>
      </c>
      <c r="AK7" s="20">
        <f>VLOOKUP($G$7&amp;$F$1,'Input RM sheet'!$A:$BM,AK1,0)</f>
        <v>0.14000000000000001</v>
      </c>
      <c r="AL7" s="20">
        <f>VLOOKUP($G$7&amp;$F$1,'Input RM sheet'!$A:$BM,AL1,0)</f>
        <v>0.12</v>
      </c>
      <c r="AM7" s="20">
        <f>VLOOKUP($G$7&amp;$F$1,'Input RM sheet'!$A:$BM,AM1,0)</f>
        <v>0.08</v>
      </c>
      <c r="AN7" s="20">
        <f>VLOOKUP($G$7&amp;$F$1,'Input RM sheet'!$A:$BM,AN1,0)</f>
        <v>0.04</v>
      </c>
      <c r="AO7" s="20">
        <f>VLOOKUP($G$7&amp;$F$1,'Input RM sheet'!$A:$BM,AO1,0)</f>
        <v>0.05</v>
      </c>
      <c r="AP7" s="20">
        <f>VLOOKUP($G$7&amp;$F$1,'Input RM sheet'!$A:$BM,AP1,0)</f>
        <v>0.05</v>
      </c>
      <c r="AQ7" s="20">
        <f>VLOOKUP($G$7&amp;$F$1,'Input RM sheet'!$A:$BM,AQ1,0)</f>
        <v>0.05</v>
      </c>
      <c r="AR7" s="20">
        <f>VLOOKUP($G$7&amp;$F$1,'Input RM sheet'!$A:$BM,AR1,0)</f>
        <v>0.04</v>
      </c>
      <c r="AS7" s="20">
        <f>VLOOKUP($G$7&amp;$F$1,'Input RM sheet'!$A:$BM,AS1,0)</f>
        <v>0.04</v>
      </c>
      <c r="AT7" s="20">
        <f>VLOOKUP($G$7&amp;$F$1,'Input RM sheet'!$A:$BM,AT1,0)</f>
        <v>0.04</v>
      </c>
      <c r="AU7" s="20">
        <f>VLOOKUP($G$7&amp;$F$1,'Input RM sheet'!$A:$BM,AU1,0)</f>
        <v>0.04</v>
      </c>
      <c r="AV7" s="20">
        <f>VLOOKUP($G$7&amp;$F$1,'Input RM sheet'!$A:$BM,AV1,0)</f>
        <v>0.04</v>
      </c>
      <c r="AW7" s="20">
        <f>VLOOKUP($G$7&amp;$F$1,'Input RM sheet'!$A:$BM,AW1,0)</f>
        <v>0.03</v>
      </c>
      <c r="AX7" s="20">
        <f>VLOOKUP($G$7&amp;$F$1,'Input RM sheet'!$A:$BM,AX1,0)</f>
        <v>0.03</v>
      </c>
      <c r="AY7" s="20">
        <f>VLOOKUP($G$7&amp;$F$1,'Input RM sheet'!$A:$BM,AY1,0)</f>
        <v>0.03</v>
      </c>
      <c r="AZ7" s="20">
        <f>VLOOKUP($G$7&amp;$F$1,'Input RM sheet'!$A:$BM,AZ1,0)</f>
        <v>0.03</v>
      </c>
      <c r="BA7" s="20">
        <f>VLOOKUP($G$7&amp;$F$1,'Input RM sheet'!$A:$DD,BA1,0)</f>
        <v>0.03</v>
      </c>
      <c r="BB7" s="20">
        <f>VLOOKUP($G$7&amp;$F$1,'Input RM sheet'!$A:$DD,BB1,0)</f>
        <v>0.03</v>
      </c>
      <c r="BC7" s="20">
        <f>VLOOKUP($G$7&amp;$F$1,'Input RM sheet'!$A:$DD,BC1,0)</f>
        <v>0.03</v>
      </c>
      <c r="BD7" s="20">
        <f>VLOOKUP($G$7&amp;$F$1,'Input RM sheet'!$A:$DD,BD1,0)</f>
        <v>0.03</v>
      </c>
      <c r="BE7" s="20">
        <f>VLOOKUP($G$7&amp;$F$1,'Input RM sheet'!$A:$DD,BE1,0)</f>
        <v>0.03</v>
      </c>
      <c r="BF7" s="20">
        <f>VLOOKUP($G$7&amp;$F$1,'Input RM sheet'!$A:$DD,BF1,0)</f>
        <v>0.03</v>
      </c>
      <c r="BG7" s="20">
        <f>VLOOKUP($G$7&amp;$F$1,'Input RM sheet'!$A:$DD,BG1,0)</f>
        <v>0.03</v>
      </c>
      <c r="BH7" s="20">
        <f>VLOOKUP($G$7&amp;$F$1,'Input RM sheet'!$A:$DD,BH1,0)</f>
        <v>0.03</v>
      </c>
      <c r="BI7" s="20">
        <f>VLOOKUP($G$7&amp;$F$1,'Input RM sheet'!$A:$DD,BI1,0)</f>
        <v>0.03</v>
      </c>
      <c r="BJ7" s="20">
        <f>VLOOKUP($G$7&amp;$F$1,'Input RM sheet'!$A:$DD,BJ1,0)</f>
        <v>0.03</v>
      </c>
      <c r="BK7" s="20">
        <f>VLOOKUP($G$7&amp;$F$1,'Input RM sheet'!$A:$DD,BK1,0)</f>
        <v>0.03</v>
      </c>
      <c r="BL7" s="20">
        <f>VLOOKUP($G$7&amp;$F$1,'Input RM sheet'!$A:$DD,BL1,0)</f>
        <v>0.03</v>
      </c>
      <c r="BM7" s="20">
        <f>VLOOKUP($G$7&amp;$F$1,'Input RM sheet'!$A:$DD,BM1,0)</f>
        <v>0.03</v>
      </c>
      <c r="BN7" s="20">
        <f>VLOOKUP($G$7&amp;$F$1,'Input RM sheet'!$A:$DD,BN1,0)</f>
        <v>0.03</v>
      </c>
      <c r="BO7" s="20">
        <f>VLOOKUP($G$7&amp;$F$1,'Input RM sheet'!$A:$DD,BO1,0)</f>
        <v>0.03</v>
      </c>
      <c r="BP7" s="20">
        <f>VLOOKUP($G$7&amp;$F$1,'Input RM sheet'!$A:$DD,BP1,0)</f>
        <v>0.03</v>
      </c>
      <c r="BQ7" s="20">
        <f>VLOOKUP($G$7&amp;$F$1,'Input RM sheet'!$A:$DD,BQ1,0)</f>
        <v>0.03</v>
      </c>
      <c r="BR7" s="20">
        <f>VLOOKUP($G$7&amp;$F$1,'Input RM sheet'!$A:$DD,BR1,0)</f>
        <v>0.03</v>
      </c>
      <c r="BS7" s="20">
        <f>VLOOKUP($G$7&amp;$F$1,'Input RM sheet'!$A:$DD,BS1,0)</f>
        <v>0.03</v>
      </c>
      <c r="BT7" s="20">
        <f>VLOOKUP($G$7&amp;$F$1,'Input RM sheet'!$A:$DD,BT1,0)</f>
        <v>0.03</v>
      </c>
      <c r="BU7" s="20">
        <f>VLOOKUP($G$7&amp;$F$1,'Input RM sheet'!$A:$DD,BU1,0)</f>
        <v>0.03</v>
      </c>
      <c r="BV7" s="20">
        <f>VLOOKUP($G$7&amp;$F$1,'Input RM sheet'!$A:$DD,BV1,0)</f>
        <v>0.04</v>
      </c>
      <c r="BW7" s="20">
        <f>VLOOKUP($G$7&amp;$F$1,'Input RM sheet'!$A:$DD,BW1,0)</f>
        <v>0.04</v>
      </c>
      <c r="BX7" s="20">
        <f>VLOOKUP($G$7&amp;$F$1,'Input RM sheet'!$A:$DD,BX1,0)</f>
        <v>0.04</v>
      </c>
      <c r="BY7" s="20">
        <f>VLOOKUP($G$7&amp;$F$1,'Input RM sheet'!$A:$DD,BY1,0)</f>
        <v>0.04</v>
      </c>
      <c r="BZ7" s="20">
        <f>VLOOKUP($G$7&amp;$F$1,'Input RM sheet'!$A:$DD,BZ1,0)</f>
        <v>0.04</v>
      </c>
      <c r="CA7" s="20">
        <f>VLOOKUP($G$7&amp;$F$1,'Input RM sheet'!$A:$DD,CA1,0)</f>
        <v>0.04</v>
      </c>
      <c r="CB7" s="20">
        <f>VLOOKUP($G$7&amp;$F$1,'Input RM sheet'!$A:$DD,CB1,0)</f>
        <v>0.04</v>
      </c>
      <c r="CC7" s="20">
        <f>VLOOKUP($G$7&amp;$F$1,'Input RM sheet'!$A:$DD,CC1,0)</f>
        <v>0.04</v>
      </c>
      <c r="CD7" s="20">
        <f>VLOOKUP($G$7&amp;$F$1,'Input RM sheet'!$A:$DD,CD1,0)</f>
        <v>0.04</v>
      </c>
      <c r="CE7" s="20">
        <f>VLOOKUP($G$7&amp;$F$1,'Input RM sheet'!$A:$DD,CE1,0)</f>
        <v>0.04</v>
      </c>
      <c r="CF7" s="20">
        <f>VLOOKUP($G$7&amp;$F$1,'Input RM sheet'!$A:$DD,CF1,0)</f>
        <v>0.04</v>
      </c>
      <c r="CG7" s="20">
        <f>VLOOKUP($G$7&amp;$F$1,'Input RM sheet'!$A:$DD,CG1,0)</f>
        <v>0.04</v>
      </c>
      <c r="CH7" s="20">
        <f>VLOOKUP($G$7&amp;$F$1,'Input RM sheet'!$A:$DD,CH1,0)</f>
        <v>0.04</v>
      </c>
      <c r="CI7" s="20">
        <f>VLOOKUP($G$7&amp;$F$1,'Input RM sheet'!$A:$DD,CI1,0)</f>
        <v>0.04</v>
      </c>
      <c r="CJ7" s="20">
        <f>VLOOKUP($G$7&amp;$F$1,'Input RM sheet'!$A:$DD,CJ1,0)</f>
        <v>0.04</v>
      </c>
      <c r="CK7" s="20">
        <f>VLOOKUP($G$7&amp;$F$1,'Input RM sheet'!$A:$DD,CK1,0)</f>
        <v>0.04</v>
      </c>
      <c r="CL7" s="20">
        <f>VLOOKUP($G$7&amp;$F$1,'Input RM sheet'!$A:$DD,CL1,0)</f>
        <v>0.04</v>
      </c>
      <c r="CM7" s="20">
        <f>VLOOKUP($G$7&amp;$F$1,'Input RM sheet'!$A:$DD,CM1,0)</f>
        <v>0.04</v>
      </c>
      <c r="CN7" s="20">
        <f>VLOOKUP($G$7&amp;$F$1,'Input RM sheet'!$A:$DD,CN1,0)</f>
        <v>0.04</v>
      </c>
      <c r="CO7" s="20">
        <f>VLOOKUP($G$7&amp;$F$1,'Input RM sheet'!$A:$DD,CO1,0)</f>
        <v>0.04</v>
      </c>
      <c r="CP7" s="20">
        <f>VLOOKUP($G$7&amp;$F$1,'Input RM sheet'!$A:$DD,CP1,0)</f>
        <v>0.04</v>
      </c>
      <c r="CQ7" s="20">
        <f>VLOOKUP($G$7&amp;$F$1,'Input RM sheet'!$A:$DD,CQ1,0)</f>
        <v>0.04</v>
      </c>
      <c r="CR7" s="20">
        <f>VLOOKUP($G$7&amp;$F$1,'Input RM sheet'!$A:$DD,CR1,0)</f>
        <v>0.04</v>
      </c>
      <c r="CS7" s="20">
        <f>VLOOKUP($G$7&amp;$F$1,'Input RM sheet'!$A:$DD,CS1,0)</f>
        <v>0.04</v>
      </c>
      <c r="CT7" s="20">
        <f>VLOOKUP($G$7&amp;$F$1,'Input RM sheet'!$A:$ZZ,CT1,0)</f>
        <v>0.04</v>
      </c>
      <c r="CU7" s="20">
        <f>VLOOKUP($G$7&amp;$F$1,'Input RM sheet'!$A:$ZZ,CU1,0)</f>
        <v>0.04</v>
      </c>
      <c r="CV7" s="20">
        <f>VLOOKUP($G$7&amp;$F$1,'Input RM sheet'!$A:$ZZ,CV1,0)</f>
        <v>0.04</v>
      </c>
      <c r="CW7" s="20">
        <f>VLOOKUP($G$7&amp;$F$1,'Input RM sheet'!$A:$ZZ,CW1,0)</f>
        <v>0.04</v>
      </c>
      <c r="CX7" s="20">
        <f>VLOOKUP($G$7&amp;$F$1,'Input RM sheet'!$A:$ZZ,CX1,0)</f>
        <v>0.04</v>
      </c>
      <c r="CY7" s="20">
        <f>VLOOKUP($G$7&amp;$F$1,'Input RM sheet'!$A:$ZZ,CY1,0)</f>
        <v>0.04</v>
      </c>
      <c r="CZ7" s="20">
        <f>VLOOKUP($G$7&amp;$F$1,'Input RM sheet'!$A:$ZZ,CZ1,0)</f>
        <v>0.04</v>
      </c>
      <c r="DA7" s="20">
        <f>VLOOKUP($G$7&amp;$F$1,'Input RM sheet'!$A:$ZZ,DA1,0)</f>
        <v>0.04</v>
      </c>
      <c r="DB7" s="20">
        <f>VLOOKUP($G$7&amp;$F$1,'Input RM sheet'!$A:$ZZ,DB1,0)</f>
        <v>0.04</v>
      </c>
      <c r="DC7" s="20">
        <f>VLOOKUP($G$7&amp;$F$1,'Input RM sheet'!$A:$ZZ,DC1,0)</f>
        <v>0.04</v>
      </c>
      <c r="DD7" s="20">
        <f>VLOOKUP($G$7&amp;$F$1,'Input RM sheet'!$A:$ZZ,DD1,0)</f>
        <v>0.04</v>
      </c>
      <c r="DE7" s="20">
        <f>VLOOKUP($G$7&amp;$F$1,'Input RM sheet'!$A:$ZZ,DE1,0)</f>
        <v>0.04</v>
      </c>
      <c r="DF7" s="20">
        <f>VLOOKUP($G$7&amp;$F$1,'Input RM sheet'!$A:$ZZ,DF1,0)</f>
        <v>0.04</v>
      </c>
      <c r="DG7" s="20">
        <f>VLOOKUP($G$7&amp;$F$1,'Input RM sheet'!$A:$ZZ,DG1,0)</f>
        <v>0.04</v>
      </c>
      <c r="DH7" s="20">
        <f>VLOOKUP($G$7&amp;$F$1,'Input RM sheet'!$A:$ZZ,DH1,0)</f>
        <v>0.04</v>
      </c>
      <c r="DI7" s="20">
        <f>VLOOKUP($G$7&amp;$F$1,'Input RM sheet'!$A:$ZZ,DI1,0)</f>
        <v>0.04</v>
      </c>
      <c r="DJ7" s="20">
        <f>VLOOKUP($G$7&amp;$F$1,'Input RM sheet'!$A:$ZZ,DJ1,0)</f>
        <v>0.04</v>
      </c>
      <c r="DK7" s="20">
        <f>VLOOKUP($G$7&amp;$F$1,'Input RM sheet'!$A:$ZZ,DK1,0)</f>
        <v>0.04</v>
      </c>
      <c r="DL7" s="20">
        <f>VLOOKUP($G$7&amp;$F$1,'Input RM sheet'!$A:$ZZ,DL1,0)</f>
        <v>0.04</v>
      </c>
      <c r="DM7" s="20">
        <f>VLOOKUP($G$7&amp;$F$1,'Input RM sheet'!$A:$ZZ,DM1,0)</f>
        <v>0.04</v>
      </c>
      <c r="DN7" s="20">
        <f>VLOOKUP($G$7&amp;$F$1,'Input RM sheet'!$A:$ZZ,DN1,0)</f>
        <v>0.04</v>
      </c>
      <c r="DO7" s="20">
        <f>VLOOKUP($G$7&amp;$F$1,'Input RM sheet'!$A:$ZZ,DO1,0)</f>
        <v>0.04</v>
      </c>
      <c r="DP7" s="20">
        <f>VLOOKUP($G$7&amp;$F$1,'Input RM sheet'!$A:$ZZ,DP1,0)</f>
        <v>0.04</v>
      </c>
      <c r="DQ7" s="20">
        <f>VLOOKUP($G$7&amp;$F$1,'Input RM sheet'!$A:$ZZ,DQ1,0)</f>
        <v>0.04</v>
      </c>
      <c r="DR7" s="20">
        <f>VLOOKUP($G$7&amp;$F$1,'Input RM sheet'!$A:$ZZ,DR1,0)</f>
        <v>0.04</v>
      </c>
      <c r="DS7" s="20">
        <f>VLOOKUP($G$7&amp;$F$1,'Input RM sheet'!$A:$ZZ,DS1,0)</f>
        <v>0</v>
      </c>
      <c r="DT7" s="20">
        <f>VLOOKUP($G$7&amp;$F$1,'Input RM sheet'!$A:$ZZ,DT1,0)</f>
        <v>0</v>
      </c>
      <c r="DU7" s="20">
        <f>VLOOKUP($G$7&amp;$F$1,'Input RM sheet'!$A:$ZZ,DU1,0)</f>
        <v>0</v>
      </c>
      <c r="DV7" s="20">
        <f>VLOOKUP($G$7&amp;$F$1,'Input RM sheet'!$A:$ZZ,DV1,0)</f>
        <v>0</v>
      </c>
      <c r="DW7" s="20">
        <f>VLOOKUP($G$7&amp;$F$1,'Input RM sheet'!$A:$ZZ,DW1,0)</f>
        <v>0</v>
      </c>
      <c r="DX7" s="20">
        <f>VLOOKUP($G$7&amp;$F$1,'Input RM sheet'!$A:$ZZ,DX1,0)</f>
        <v>0</v>
      </c>
      <c r="DY7" s="20">
        <f>VLOOKUP($G$7&amp;$F$1,'Input RM sheet'!$A:$ZZ,DY1,0)</f>
        <v>0</v>
      </c>
      <c r="DZ7" s="20">
        <f>VLOOKUP($G$7&amp;$F$1,'Input RM sheet'!$A:$ZZ,DZ1,0)</f>
        <v>0</v>
      </c>
      <c r="EA7" s="20">
        <f>VLOOKUP($G$7&amp;$F$1,'Input RM sheet'!$A:$ZZ,EA1,0)</f>
        <v>0</v>
      </c>
      <c r="EB7" s="20">
        <f>VLOOKUP($G$7&amp;$F$1,'Input RM sheet'!$A:$ZZ,EB1,0)</f>
        <v>0</v>
      </c>
      <c r="EC7" s="20">
        <f>VLOOKUP($G$7&amp;$F$1,'Input RM sheet'!$A:$ZZ,EC1,0)</f>
        <v>0</v>
      </c>
      <c r="ED7" s="20">
        <f>VLOOKUP($G$7&amp;$F$1,'Input RM sheet'!$A:$ZZ,ED1,0)</f>
        <v>0</v>
      </c>
      <c r="EE7" s="20">
        <f>VLOOKUP($G$7&amp;$F$1,'Input RM sheet'!$A:$ZZ,EE1,0)</f>
        <v>0</v>
      </c>
      <c r="EF7" s="20">
        <f>VLOOKUP($G$7&amp;$F$1,'Input RM sheet'!$A:$ZZ,EF1,0)</f>
        <v>0</v>
      </c>
      <c r="EG7" s="20">
        <f>VLOOKUP($G$7&amp;$F$1,'Input RM sheet'!$A:$ZZ,EG1,0)</f>
        <v>0</v>
      </c>
      <c r="EH7" s="20">
        <f>VLOOKUP($G$7&amp;$F$1,'Input RM sheet'!$A:$ZZ,EH1,0)</f>
        <v>0</v>
      </c>
      <c r="EI7" s="20">
        <f>VLOOKUP($G$7&amp;$F$1,'Input RM sheet'!$A:$ZZ,EI1,0)</f>
        <v>0</v>
      </c>
      <c r="EJ7" s="20">
        <f>VLOOKUP($G$7&amp;$F$1,'Input RM sheet'!$A:$ZZ,EJ1,0)</f>
        <v>0</v>
      </c>
    </row>
    <row r="8" spans="1:150">
      <c r="A8" s="57" t="s">
        <v>395</v>
      </c>
      <c r="B8" s="57"/>
      <c r="C8" s="57" t="s">
        <v>379</v>
      </c>
      <c r="D8" s="57" t="s">
        <v>380</v>
      </c>
      <c r="E8" s="57" t="s">
        <v>381</v>
      </c>
      <c r="F8" s="57" t="s">
        <v>396</v>
      </c>
      <c r="G8" s="35" t="s">
        <v>399</v>
      </c>
    </row>
    <row r="9" spans="1:150" ht="15">
      <c r="A9" s="53" t="s">
        <v>397</v>
      </c>
      <c r="B9" s="8" t="s">
        <v>593</v>
      </c>
      <c r="C9" s="8">
        <v>1</v>
      </c>
      <c r="D9" s="18">
        <f>A5</f>
        <v>112.56</v>
      </c>
      <c r="E9" s="8">
        <f>D9*C9</f>
        <v>112.56</v>
      </c>
      <c r="F9" s="20">
        <f>E9/E2</f>
        <v>0.71443986036178986</v>
      </c>
      <c r="G9" s="20">
        <f>2408.64/1000</f>
        <v>2.4086399999999997</v>
      </c>
      <c r="H9" s="19">
        <f>$F$9*H5</f>
        <v>0.28603603570817482</v>
      </c>
      <c r="I9" s="19">
        <f t="shared" ref="I9:BF9" si="0">$F$9*I5</f>
        <v>0.24943507976217699</v>
      </c>
      <c r="J9" s="19">
        <f t="shared" si="0"/>
        <v>0.15599231707220684</v>
      </c>
      <c r="K9" s="19">
        <f t="shared" si="0"/>
        <v>0.10809478129419524</v>
      </c>
      <c r="L9" s="19">
        <f t="shared" si="0"/>
        <v>0.14435771106821071</v>
      </c>
      <c r="M9" s="19">
        <f t="shared" si="0"/>
        <v>0.19185107863454928</v>
      </c>
      <c r="N9" s="19">
        <f t="shared" si="0"/>
        <v>0.20586320925165874</v>
      </c>
      <c r="O9" s="19">
        <f t="shared" si="0"/>
        <v>0.21037955687804841</v>
      </c>
      <c r="P9" s="19">
        <f t="shared" si="0"/>
        <v>0.21104815316952671</v>
      </c>
      <c r="Q9" s="19">
        <f t="shared" si="0"/>
        <v>0.20460580500122891</v>
      </c>
      <c r="R9" s="19">
        <f t="shared" si="0"/>
        <v>0.20151319574271911</v>
      </c>
      <c r="S9" s="19">
        <f t="shared" si="0"/>
        <v>0.2345648057846651</v>
      </c>
      <c r="T9" s="19">
        <f t="shared" si="0"/>
        <v>0.26763457193540691</v>
      </c>
      <c r="U9" s="19">
        <f t="shared" si="0"/>
        <v>0.28355529694044457</v>
      </c>
      <c r="V9" s="19">
        <f t="shared" si="0"/>
        <v>0.29000042547106974</v>
      </c>
      <c r="W9" s="19">
        <f t="shared" si="0"/>
        <v>0.29666731300882232</v>
      </c>
      <c r="X9" s="19">
        <f t="shared" si="0"/>
        <v>0.30777251666137728</v>
      </c>
      <c r="Y9" s="19">
        <f t="shared" si="0"/>
        <v>0.33152145677794853</v>
      </c>
      <c r="Z9" s="19">
        <f t="shared" si="0"/>
        <v>0.35162384525699886</v>
      </c>
      <c r="AA9" s="19">
        <f t="shared" si="0"/>
        <v>0.34654039223862426</v>
      </c>
      <c r="AB9" s="19">
        <f t="shared" si="0"/>
        <v>0.34069170632222973</v>
      </c>
      <c r="AC9" s="19">
        <f t="shared" si="0"/>
        <v>0.39255111954762512</v>
      </c>
      <c r="AD9" s="19">
        <f t="shared" si="0"/>
        <v>0.38681654080695582</v>
      </c>
      <c r="AE9" s="19">
        <f t="shared" si="0"/>
        <v>0.35560868932686357</v>
      </c>
      <c r="AF9" s="19">
        <f t="shared" si="0"/>
        <v>0.39651722732173883</v>
      </c>
      <c r="AG9" s="19">
        <f t="shared" si="0"/>
        <v>0.43837788413632306</v>
      </c>
      <c r="AH9" s="19">
        <f t="shared" si="0"/>
        <v>0.5130435777121386</v>
      </c>
      <c r="AI9" s="19">
        <f t="shared" si="0"/>
        <v>0.45946843754558275</v>
      </c>
      <c r="AJ9" s="19">
        <f t="shared" si="0"/>
        <v>0.45982576504336314</v>
      </c>
      <c r="AK9" s="19">
        <f t="shared" si="0"/>
        <v>0.42203393146536522</v>
      </c>
      <c r="AL9" s="19">
        <f t="shared" si="0"/>
        <v>0.40346894982669285</v>
      </c>
      <c r="AM9" s="19">
        <f t="shared" si="0"/>
        <v>0.35885659337650927</v>
      </c>
      <c r="AN9" s="19">
        <f t="shared" si="0"/>
        <v>0.33892887333144955</v>
      </c>
      <c r="AO9" s="19">
        <f t="shared" si="0"/>
        <v>0.34954872142084403</v>
      </c>
      <c r="AP9" s="19">
        <f t="shared" si="0"/>
        <v>0.35457727783636667</v>
      </c>
      <c r="AQ9" s="19">
        <f t="shared" si="0"/>
        <v>0.32102497166408001</v>
      </c>
      <c r="AR9" s="19">
        <f t="shared" si="0"/>
        <v>0.3629935570276368</v>
      </c>
      <c r="AS9" s="19">
        <f t="shared" si="0"/>
        <v>0.3679216298626623</v>
      </c>
      <c r="AT9" s="19">
        <f t="shared" si="0"/>
        <v>0.42741512399151038</v>
      </c>
      <c r="AU9" s="19">
        <f t="shared" si="0"/>
        <v>0.49434530488646433</v>
      </c>
      <c r="AV9" s="19">
        <f t="shared" si="0"/>
        <v>0.42493622840280837</v>
      </c>
      <c r="AW9" s="19">
        <f t="shared" si="0"/>
        <v>0.34308240770125886</v>
      </c>
      <c r="AX9" s="19">
        <f t="shared" si="0"/>
        <v>0.36416096081571725</v>
      </c>
      <c r="AY9" s="19">
        <f t="shared" si="0"/>
        <v>0.3976605945614502</v>
      </c>
      <c r="AZ9" s="19">
        <f t="shared" si="0"/>
        <v>0.40959405595445886</v>
      </c>
      <c r="BA9" s="19">
        <f t="shared" si="0"/>
        <v>0.42838824789663443</v>
      </c>
      <c r="BB9" s="19">
        <f>$F$9*BB5</f>
        <v>0.44368210087819676</v>
      </c>
      <c r="BC9" s="19">
        <f t="shared" si="0"/>
        <v>0.43866948554393814</v>
      </c>
      <c r="BD9" s="19">
        <f t="shared" si="0"/>
        <v>0.44511461407456332</v>
      </c>
      <c r="BE9" s="19">
        <f t="shared" si="0"/>
        <v>0.44519310486900232</v>
      </c>
      <c r="BF9" s="19">
        <f t="shared" si="0"/>
        <v>0.43968708136384754</v>
      </c>
      <c r="BG9" s="19">
        <f t="shared" ref="BG9:BN9" si="1">$F$9*BG5</f>
        <v>0.47192709821394746</v>
      </c>
      <c r="BH9" s="19">
        <f t="shared" si="1"/>
        <v>0.5115907362692238</v>
      </c>
      <c r="BI9" s="19">
        <f t="shared" si="1"/>
        <v>0.48180097019175666</v>
      </c>
      <c r="BJ9" s="19">
        <f t="shared" si="1"/>
        <v>0.45106786114676101</v>
      </c>
      <c r="BK9" s="19">
        <f t="shared" si="1"/>
        <v>0.45750909201807333</v>
      </c>
      <c r="BL9" s="19">
        <f t="shared" si="1"/>
        <v>0.44810619895787546</v>
      </c>
      <c r="BM9" s="19">
        <f t="shared" si="1"/>
        <v>0.44808799018540946</v>
      </c>
      <c r="BN9" s="19">
        <f t="shared" si="1"/>
        <v>0.44809318644031854</v>
      </c>
      <c r="BO9" s="19">
        <f t="shared" ref="BO9:BU9" si="2">$F$9*BO5</f>
        <v>0.42876170131890579</v>
      </c>
      <c r="BP9" s="19">
        <f t="shared" si="2"/>
        <v>0.44066040014467528</v>
      </c>
      <c r="BQ9" s="19">
        <f t="shared" si="2"/>
        <v>0.43023086050449311</v>
      </c>
      <c r="BR9" s="19">
        <f t="shared" si="2"/>
        <v>0.42030621195205048</v>
      </c>
      <c r="BS9" s="19">
        <f t="shared" si="2"/>
        <v>0.41485782047681902</v>
      </c>
      <c r="BT9" s="19">
        <f t="shared" si="2"/>
        <v>0.43867078445154667</v>
      </c>
      <c r="BU9" s="19">
        <f t="shared" si="2"/>
        <v>0.43469416897881064</v>
      </c>
      <c r="BV9" s="19">
        <f t="shared" ref="BV9:CJ9" si="3">$F$9*BV5</f>
        <v>0.4431458027727469</v>
      </c>
      <c r="BW9" s="19">
        <f t="shared" si="3"/>
        <v>0.4669418983903591</v>
      </c>
      <c r="BX9" s="19">
        <f t="shared" si="3"/>
        <v>0.46792045349062172</v>
      </c>
      <c r="BY9" s="19">
        <f t="shared" si="3"/>
        <v>0.49422147945801737</v>
      </c>
      <c r="BZ9" s="19">
        <f t="shared" si="3"/>
        <v>0.49918710449541737</v>
      </c>
      <c r="CA9" s="19">
        <f t="shared" si="3"/>
        <v>0.51852118365752287</v>
      </c>
      <c r="CB9" s="19">
        <f t="shared" si="3"/>
        <v>0.51754401348452772</v>
      </c>
      <c r="CC9" s="19">
        <f t="shared" si="3"/>
        <v>0.51159466407164289</v>
      </c>
      <c r="CD9" s="19">
        <f t="shared" si="3"/>
        <v>0.50418423548003222</v>
      </c>
      <c r="CE9" s="19">
        <f t="shared" si="3"/>
        <v>0.5135961479389497</v>
      </c>
      <c r="CF9" s="19">
        <f t="shared" si="3"/>
        <v>0.51353083372714226</v>
      </c>
      <c r="CG9" s="19">
        <f t="shared" si="3"/>
        <v>0.51549709679740852</v>
      </c>
      <c r="CH9" s="19">
        <f t="shared" si="3"/>
        <v>0.53882206483113249</v>
      </c>
      <c r="CI9" s="19">
        <f t="shared" si="3"/>
        <v>0.53235229256138084</v>
      </c>
      <c r="CJ9" s="19">
        <f t="shared" si="3"/>
        <v>0.52835895211142414</v>
      </c>
      <c r="CK9" s="19">
        <f t="shared" ref="CK9:CT9" si="4">$F$9*CK5</f>
        <v>0.52392146001227591</v>
      </c>
      <c r="CL9" s="19">
        <f t="shared" si="4"/>
        <v>0.51895333104023611</v>
      </c>
      <c r="CM9" s="19">
        <f t="shared" si="4"/>
        <v>0.51351916038880441</v>
      </c>
      <c r="CN9" s="19">
        <f t="shared" si="4"/>
        <v>0.51698961421298728</v>
      </c>
      <c r="CO9" s="19">
        <f t="shared" si="4"/>
        <v>0.51897273068394878</v>
      </c>
      <c r="CP9" s="19">
        <f t="shared" si="4"/>
        <v>0.52640941745005487</v>
      </c>
      <c r="CQ9" s="19">
        <f t="shared" si="4"/>
        <v>0.52633990340904857</v>
      </c>
      <c r="CR9" s="19">
        <f t="shared" si="4"/>
        <v>0.50855489490984174</v>
      </c>
      <c r="CS9" s="19">
        <f t="shared" si="4"/>
        <v>0.49713904985965868</v>
      </c>
      <c r="CT9" s="19">
        <f t="shared" si="4"/>
        <v>0.52044712719235287</v>
      </c>
      <c r="CU9" s="19">
        <f t="shared" ref="CU9:EJ9" si="5">$F$9*CU5</f>
        <v>0.50904162303622114</v>
      </c>
      <c r="CV9" s="19">
        <f t="shared" si="5"/>
        <v>0.50456928555732872</v>
      </c>
      <c r="CW9" s="19">
        <f t="shared" si="5"/>
        <v>0.50256686212527779</v>
      </c>
      <c r="CX9" s="19">
        <f t="shared" si="5"/>
        <v>0.48719385638420148</v>
      </c>
      <c r="CY9" s="19">
        <f t="shared" si="5"/>
        <v>0.50798840747305218</v>
      </c>
      <c r="CZ9" s="19">
        <f t="shared" si="5"/>
        <v>0.51195336338396313</v>
      </c>
      <c r="DA9" s="19">
        <f t="shared" si="5"/>
        <v>0.50006233131052857</v>
      </c>
      <c r="DB9" s="19">
        <f t="shared" si="5"/>
        <v>0.50402984311073051</v>
      </c>
      <c r="DC9" s="19">
        <f t="shared" si="5"/>
        <v>0.49658421073401077</v>
      </c>
      <c r="DD9" s="19">
        <f t="shared" si="5"/>
        <v>0.47427415043569282</v>
      </c>
      <c r="DE9" s="19">
        <f t="shared" si="5"/>
        <v>0.47779334626313469</v>
      </c>
      <c r="DF9" s="19">
        <f t="shared" si="5"/>
        <v>0.47332103593203756</v>
      </c>
      <c r="DG9" s="19">
        <f t="shared" si="5"/>
        <v>0.49757449224264294</v>
      </c>
      <c r="DH9" s="19">
        <f t="shared" si="5"/>
        <v>0.45095850461167963</v>
      </c>
      <c r="DI9" s="19">
        <f t="shared" si="5"/>
        <v>0.44897538814071797</v>
      </c>
      <c r="DJ9" s="19">
        <f t="shared" si="5"/>
        <v>0.44699099828154776</v>
      </c>
      <c r="DK9" s="19">
        <f t="shared" si="5"/>
        <v>0.45541415275785163</v>
      </c>
      <c r="DL9" s="19">
        <f t="shared" si="5"/>
        <v>0.4375306059462053</v>
      </c>
      <c r="DM9" s="19">
        <f t="shared" si="5"/>
        <v>0.4454795239734517</v>
      </c>
      <c r="DN9" s="19">
        <f t="shared" si="5"/>
        <v>0.43799740124400605</v>
      </c>
      <c r="DO9" s="19">
        <f t="shared" si="5"/>
        <v>0.4439392155511509</v>
      </c>
      <c r="DP9" s="19">
        <f t="shared" si="5"/>
        <v>0.44590479156083185</v>
      </c>
      <c r="DQ9" s="19">
        <f t="shared" si="5"/>
        <v>0.44936399991449377</v>
      </c>
      <c r="DR9" s="19">
        <f t="shared" si="5"/>
        <v>0.44139918060278049</v>
      </c>
      <c r="DS9" s="19">
        <f t="shared" si="5"/>
        <v>0</v>
      </c>
      <c r="DT9" s="19">
        <f t="shared" si="5"/>
        <v>0</v>
      </c>
      <c r="DU9" s="19">
        <f t="shared" si="5"/>
        <v>0</v>
      </c>
      <c r="DV9" s="19">
        <f t="shared" si="5"/>
        <v>0</v>
      </c>
      <c r="DW9" s="19">
        <f t="shared" si="5"/>
        <v>0</v>
      </c>
      <c r="DX9" s="19">
        <f t="shared" si="5"/>
        <v>0</v>
      </c>
      <c r="DY9" s="19">
        <f t="shared" si="5"/>
        <v>0</v>
      </c>
      <c r="DZ9" s="19">
        <f t="shared" si="5"/>
        <v>0</v>
      </c>
      <c r="EA9" s="19">
        <f t="shared" si="5"/>
        <v>0</v>
      </c>
      <c r="EB9" s="19">
        <f t="shared" si="5"/>
        <v>0</v>
      </c>
      <c r="EC9" s="19">
        <f t="shared" si="5"/>
        <v>0</v>
      </c>
      <c r="ED9" s="19">
        <f t="shared" si="5"/>
        <v>0</v>
      </c>
      <c r="EE9" s="19">
        <f t="shared" si="5"/>
        <v>0</v>
      </c>
      <c r="EF9" s="19">
        <f t="shared" si="5"/>
        <v>0</v>
      </c>
      <c r="EG9" s="19">
        <f t="shared" si="5"/>
        <v>0</v>
      </c>
      <c r="EH9" s="19">
        <f t="shared" si="5"/>
        <v>0</v>
      </c>
      <c r="EI9" s="19">
        <f t="shared" si="5"/>
        <v>0</v>
      </c>
      <c r="EJ9" s="19">
        <f t="shared" si="5"/>
        <v>0</v>
      </c>
    </row>
    <row r="10" spans="1:150">
      <c r="A10" s="53"/>
      <c r="B10" s="8" t="s">
        <v>594</v>
      </c>
      <c r="C10" s="8">
        <v>1</v>
      </c>
      <c r="D10" s="18">
        <f>B5</f>
        <v>63.01</v>
      </c>
      <c r="E10" s="8">
        <f>D10*C10</f>
        <v>63.01</v>
      </c>
      <c r="F10" s="20">
        <f>E10/E2</f>
        <v>0.39993652808632174</v>
      </c>
      <c r="G10" s="20">
        <f>2468.88/1000</f>
        <v>2.46888</v>
      </c>
      <c r="H10" s="19">
        <f>$F$10*H6</f>
        <v>8.3986670898127558E-2</v>
      </c>
      <c r="I10" s="19">
        <f t="shared" ref="I10:BF10" si="6">$F$10*I6</f>
        <v>8.3986670898127558E-2</v>
      </c>
      <c r="J10" s="19">
        <f t="shared" si="6"/>
        <v>8.3986670898127558E-2</v>
      </c>
      <c r="K10" s="19">
        <f t="shared" si="6"/>
        <v>7.9987305617264359E-2</v>
      </c>
      <c r="L10" s="19">
        <f t="shared" si="6"/>
        <v>7.5987940336401133E-2</v>
      </c>
      <c r="M10" s="19">
        <f t="shared" si="6"/>
        <v>7.9987305617264359E-2</v>
      </c>
      <c r="N10" s="19">
        <f t="shared" si="6"/>
        <v>7.9987305617264359E-2</v>
      </c>
      <c r="O10" s="19">
        <f t="shared" si="6"/>
        <v>7.9987305617264359E-2</v>
      </c>
      <c r="P10" s="19">
        <f t="shared" si="6"/>
        <v>8.3986670898127558E-2</v>
      </c>
      <c r="Q10" s="19">
        <f t="shared" si="6"/>
        <v>8.7986036178990784E-2</v>
      </c>
      <c r="R10" s="19">
        <f t="shared" si="6"/>
        <v>9.5984766740717209E-2</v>
      </c>
      <c r="S10" s="19">
        <f t="shared" si="6"/>
        <v>0.1119822278641701</v>
      </c>
      <c r="T10" s="19">
        <f t="shared" si="6"/>
        <v>0.1119822278641701</v>
      </c>
      <c r="U10" s="19">
        <f t="shared" si="6"/>
        <v>0.1119822278641701</v>
      </c>
      <c r="V10" s="19">
        <f t="shared" si="6"/>
        <v>0.1119822278641701</v>
      </c>
      <c r="W10" s="19">
        <f t="shared" si="6"/>
        <v>0.11998095842589651</v>
      </c>
      <c r="X10" s="19">
        <f t="shared" si="6"/>
        <v>0.12398032370675974</v>
      </c>
      <c r="Y10" s="19">
        <f t="shared" si="6"/>
        <v>0.12797968898762296</v>
      </c>
      <c r="Z10" s="19">
        <f t="shared" si="6"/>
        <v>0.14397715011107581</v>
      </c>
      <c r="AA10" s="19">
        <f t="shared" si="6"/>
        <v>0.15997461123452872</v>
      </c>
      <c r="AB10" s="19">
        <f t="shared" si="6"/>
        <v>0.17597207235798157</v>
      </c>
      <c r="AC10" s="19">
        <f t="shared" si="6"/>
        <v>0.17997143763884479</v>
      </c>
      <c r="AD10" s="19">
        <f t="shared" si="6"/>
        <v>0.16397397651539192</v>
      </c>
      <c r="AE10" s="19">
        <f t="shared" si="6"/>
        <v>0.12797968898762296</v>
      </c>
      <c r="AF10" s="19">
        <f t="shared" si="6"/>
        <v>0.12398032370675974</v>
      </c>
      <c r="AG10" s="19">
        <f t="shared" si="6"/>
        <v>0.15997461123452872</v>
      </c>
      <c r="AH10" s="19">
        <f t="shared" si="6"/>
        <v>0.12398032370675974</v>
      </c>
      <c r="AI10" s="19">
        <f t="shared" si="6"/>
        <v>0.13197905426848619</v>
      </c>
      <c r="AJ10" s="19">
        <f t="shared" si="6"/>
        <v>0.14397715011107581</v>
      </c>
      <c r="AK10" s="19">
        <f t="shared" si="6"/>
        <v>0.15197588067280227</v>
      </c>
      <c r="AL10" s="19">
        <f t="shared" si="6"/>
        <v>0.15597524595366549</v>
      </c>
      <c r="AM10" s="19">
        <f t="shared" si="6"/>
        <v>0.13597841954934939</v>
      </c>
      <c r="AN10" s="19">
        <f t="shared" si="6"/>
        <v>0.11998095842589651</v>
      </c>
      <c r="AO10" s="19">
        <f t="shared" si="6"/>
        <v>0.11998095842589651</v>
      </c>
      <c r="AP10" s="19">
        <f t="shared" si="6"/>
        <v>0.13197905426848619</v>
      </c>
      <c r="AQ10" s="19">
        <f t="shared" si="6"/>
        <v>0.13997778483021259</v>
      </c>
      <c r="AR10" s="19">
        <f t="shared" si="6"/>
        <v>0.13597841954934939</v>
      </c>
      <c r="AS10" s="19">
        <f t="shared" si="6"/>
        <v>0.12797968898762296</v>
      </c>
      <c r="AT10" s="19">
        <f t="shared" si="6"/>
        <v>0.13597841954934939</v>
      </c>
      <c r="AU10" s="19">
        <f t="shared" si="6"/>
        <v>0.12797968898762296</v>
      </c>
      <c r="AV10" s="19">
        <f t="shared" si="6"/>
        <v>0.11998095842589651</v>
      </c>
      <c r="AW10" s="19">
        <f t="shared" si="6"/>
        <v>0.10398349730244366</v>
      </c>
      <c r="AX10" s="19">
        <f t="shared" si="6"/>
        <v>9.9984132021580435E-2</v>
      </c>
      <c r="AY10" s="19">
        <f t="shared" si="6"/>
        <v>9.9984132021580435E-2</v>
      </c>
      <c r="AZ10" s="19">
        <f t="shared" si="6"/>
        <v>9.9984132021580435E-2</v>
      </c>
      <c r="BA10" s="19">
        <f t="shared" si="6"/>
        <v>9.9984132021580435E-2</v>
      </c>
      <c r="BB10" s="19">
        <f>$F$10*BB6</f>
        <v>9.9984132021580435E-2</v>
      </c>
      <c r="BC10" s="19">
        <f t="shared" si="6"/>
        <v>9.9984132021580435E-2</v>
      </c>
      <c r="BD10" s="19">
        <f t="shared" si="6"/>
        <v>9.9984132021580435E-2</v>
      </c>
      <c r="BE10" s="19">
        <f t="shared" si="6"/>
        <v>9.9984132021580435E-2</v>
      </c>
      <c r="BF10" s="19">
        <f t="shared" si="6"/>
        <v>9.9984132021580435E-2</v>
      </c>
      <c r="BG10" s="19">
        <f t="shared" ref="BG10:BN10" si="7">$F$10*BG6</f>
        <v>9.9984132021580435E-2</v>
      </c>
      <c r="BH10" s="19">
        <f t="shared" si="7"/>
        <v>9.9984132021580435E-2</v>
      </c>
      <c r="BI10" s="19">
        <f t="shared" si="7"/>
        <v>9.9984132021580435E-2</v>
      </c>
      <c r="BJ10" s="19">
        <f t="shared" si="7"/>
        <v>9.9984132021580435E-2</v>
      </c>
      <c r="BK10" s="19">
        <f t="shared" si="7"/>
        <v>0.1159815931450333</v>
      </c>
      <c r="BL10" s="19">
        <f t="shared" si="7"/>
        <v>0.1159815931450333</v>
      </c>
      <c r="BM10" s="19">
        <f t="shared" si="7"/>
        <v>0.1159815931450333</v>
      </c>
      <c r="BN10" s="19">
        <f t="shared" si="7"/>
        <v>0.1159815931450333</v>
      </c>
      <c r="BO10" s="19">
        <f t="shared" ref="BO10:BU10" si="8">$F$10*BO6</f>
        <v>0.1159815931450333</v>
      </c>
      <c r="BP10" s="19">
        <f t="shared" si="8"/>
        <v>0.1159815931450333</v>
      </c>
      <c r="BQ10" s="19">
        <f t="shared" si="8"/>
        <v>0.1159815931450333</v>
      </c>
      <c r="BR10" s="19">
        <f t="shared" si="8"/>
        <v>0.1159815931450333</v>
      </c>
      <c r="BS10" s="19">
        <f t="shared" si="8"/>
        <v>0.1159815931450333</v>
      </c>
      <c r="BT10" s="19">
        <f t="shared" si="8"/>
        <v>0.1159815931450333</v>
      </c>
      <c r="BU10" s="19">
        <f t="shared" si="8"/>
        <v>0.1159815931450333</v>
      </c>
      <c r="BV10" s="19">
        <f t="shared" ref="BV10:CJ10" si="9">$F$10*BV6</f>
        <v>0.11998095842589651</v>
      </c>
      <c r="BW10" s="19">
        <f t="shared" si="9"/>
        <v>0.11998095842589651</v>
      </c>
      <c r="BX10" s="19">
        <f t="shared" si="9"/>
        <v>0.11998095842589651</v>
      </c>
      <c r="BY10" s="19">
        <f t="shared" si="9"/>
        <v>0.11998095842589651</v>
      </c>
      <c r="BZ10" s="19">
        <f t="shared" si="9"/>
        <v>0.11998095842589651</v>
      </c>
      <c r="CA10" s="19">
        <f t="shared" si="9"/>
        <v>0.11998095842589651</v>
      </c>
      <c r="CB10" s="19">
        <f t="shared" si="9"/>
        <v>0.11998095842589651</v>
      </c>
      <c r="CC10" s="19">
        <f t="shared" si="9"/>
        <v>0.11998095842589651</v>
      </c>
      <c r="CD10" s="19">
        <f t="shared" si="9"/>
        <v>0.11998095842589651</v>
      </c>
      <c r="CE10" s="19">
        <f t="shared" si="9"/>
        <v>0.11998095842589651</v>
      </c>
      <c r="CF10" s="19">
        <f t="shared" si="9"/>
        <v>0.11998095842589651</v>
      </c>
      <c r="CG10" s="19">
        <f t="shared" si="9"/>
        <v>0.11998095842589651</v>
      </c>
      <c r="CH10" s="19">
        <f t="shared" si="9"/>
        <v>0.11998095842589651</v>
      </c>
      <c r="CI10" s="19">
        <f t="shared" si="9"/>
        <v>0.11998095842589651</v>
      </c>
      <c r="CJ10" s="19">
        <f t="shared" si="9"/>
        <v>0.11998095842589651</v>
      </c>
      <c r="CK10" s="19">
        <f t="shared" ref="CK10:CT10" si="10">$F$10*CK6</f>
        <v>0.11998095842589651</v>
      </c>
      <c r="CL10" s="19">
        <f t="shared" si="10"/>
        <v>0.11998095842589651</v>
      </c>
      <c r="CM10" s="19">
        <f t="shared" si="10"/>
        <v>0.11998095842589651</v>
      </c>
      <c r="CN10" s="19">
        <f t="shared" si="10"/>
        <v>0.11998095842589651</v>
      </c>
      <c r="CO10" s="19">
        <f t="shared" si="10"/>
        <v>0.11998095842589651</v>
      </c>
      <c r="CP10" s="19">
        <f t="shared" si="10"/>
        <v>0.11998095842589651</v>
      </c>
      <c r="CQ10" s="19">
        <f t="shared" si="10"/>
        <v>0.11998095842589651</v>
      </c>
      <c r="CR10" s="19">
        <f t="shared" si="10"/>
        <v>0.11998095842589651</v>
      </c>
      <c r="CS10" s="19">
        <f t="shared" si="10"/>
        <v>0.11998095842589651</v>
      </c>
      <c r="CT10" s="19">
        <f t="shared" si="10"/>
        <v>0.11998095842589651</v>
      </c>
      <c r="CU10" s="19">
        <f t="shared" ref="CU10:EJ10" si="11">$F$10*CU6</f>
        <v>0.11998095842589651</v>
      </c>
      <c r="CV10" s="19">
        <f t="shared" si="11"/>
        <v>0.11998095842589651</v>
      </c>
      <c r="CW10" s="19">
        <f t="shared" si="11"/>
        <v>0.11998095842589651</v>
      </c>
      <c r="CX10" s="19">
        <f t="shared" si="11"/>
        <v>0.11998095842589651</v>
      </c>
      <c r="CY10" s="19">
        <f t="shared" si="11"/>
        <v>0.11998095842589651</v>
      </c>
      <c r="CZ10" s="19">
        <f t="shared" si="11"/>
        <v>0.11998095842589651</v>
      </c>
      <c r="DA10" s="19">
        <f t="shared" si="11"/>
        <v>0.11998095842589651</v>
      </c>
      <c r="DB10" s="19">
        <f t="shared" si="11"/>
        <v>0.11998095842589651</v>
      </c>
      <c r="DC10" s="19">
        <f t="shared" si="11"/>
        <v>0.11998095842589651</v>
      </c>
      <c r="DD10" s="19">
        <f t="shared" si="11"/>
        <v>0.11998095842589651</v>
      </c>
      <c r="DE10" s="19">
        <f t="shared" si="11"/>
        <v>0.11998095842589651</v>
      </c>
      <c r="DF10" s="19">
        <f t="shared" si="11"/>
        <v>0.11998095842589651</v>
      </c>
      <c r="DG10" s="19">
        <f t="shared" si="11"/>
        <v>0.11998095842589651</v>
      </c>
      <c r="DH10" s="19">
        <f t="shared" si="11"/>
        <v>0.11998095842589651</v>
      </c>
      <c r="DI10" s="19">
        <f t="shared" si="11"/>
        <v>0.11998095842589651</v>
      </c>
      <c r="DJ10" s="19">
        <f t="shared" si="11"/>
        <v>0.11998095842589651</v>
      </c>
      <c r="DK10" s="19">
        <f t="shared" si="11"/>
        <v>0.11998095842589651</v>
      </c>
      <c r="DL10" s="19">
        <f t="shared" si="11"/>
        <v>0.11998095842589651</v>
      </c>
      <c r="DM10" s="19">
        <f t="shared" si="11"/>
        <v>0.11998095842589651</v>
      </c>
      <c r="DN10" s="19">
        <f t="shared" si="11"/>
        <v>0.11998095842589651</v>
      </c>
      <c r="DO10" s="19">
        <f t="shared" si="11"/>
        <v>0.11998095842589651</v>
      </c>
      <c r="DP10" s="19">
        <f t="shared" si="11"/>
        <v>0.11998095842589651</v>
      </c>
      <c r="DQ10" s="19">
        <f t="shared" si="11"/>
        <v>0.11998095842589651</v>
      </c>
      <c r="DR10" s="19">
        <f t="shared" si="11"/>
        <v>0.11998095842589651</v>
      </c>
      <c r="DS10" s="19">
        <f t="shared" si="11"/>
        <v>0</v>
      </c>
      <c r="DT10" s="19">
        <f t="shared" si="11"/>
        <v>0</v>
      </c>
      <c r="DU10" s="19">
        <f t="shared" si="11"/>
        <v>0</v>
      </c>
      <c r="DV10" s="19">
        <f t="shared" si="11"/>
        <v>0</v>
      </c>
      <c r="DW10" s="19">
        <f t="shared" si="11"/>
        <v>0</v>
      </c>
      <c r="DX10" s="19">
        <f t="shared" si="11"/>
        <v>0</v>
      </c>
      <c r="DY10" s="19">
        <f t="shared" si="11"/>
        <v>0</v>
      </c>
      <c r="DZ10" s="19">
        <f t="shared" si="11"/>
        <v>0</v>
      </c>
      <c r="EA10" s="19">
        <f t="shared" si="11"/>
        <v>0</v>
      </c>
      <c r="EB10" s="19">
        <f t="shared" si="11"/>
        <v>0</v>
      </c>
      <c r="EC10" s="19">
        <f t="shared" si="11"/>
        <v>0</v>
      </c>
      <c r="ED10" s="19">
        <f t="shared" si="11"/>
        <v>0</v>
      </c>
      <c r="EE10" s="19">
        <f t="shared" si="11"/>
        <v>0</v>
      </c>
      <c r="EF10" s="19">
        <f t="shared" si="11"/>
        <v>0</v>
      </c>
      <c r="EG10" s="19">
        <f t="shared" si="11"/>
        <v>0</v>
      </c>
      <c r="EH10" s="19">
        <f t="shared" si="11"/>
        <v>0</v>
      </c>
      <c r="EI10" s="19">
        <f t="shared" si="11"/>
        <v>0</v>
      </c>
      <c r="EJ10" s="19">
        <f t="shared" si="11"/>
        <v>0</v>
      </c>
    </row>
    <row r="11" spans="1:150">
      <c r="A11" s="53"/>
      <c r="B11" s="8" t="s">
        <v>595</v>
      </c>
      <c r="C11" s="8">
        <v>1</v>
      </c>
      <c r="D11" s="18">
        <f>C5</f>
        <v>98.07</v>
      </c>
      <c r="E11" s="8">
        <f>D11*C11</f>
        <v>98.07</v>
      </c>
      <c r="F11" s="20">
        <f>E11/E2</f>
        <v>0.62246905744208181</v>
      </c>
      <c r="G11" s="20">
        <f>1987.14/1000</f>
        <v>1.9871400000000001</v>
      </c>
      <c r="H11" s="19">
        <f>$F$11*H7</f>
        <v>0</v>
      </c>
      <c r="I11" s="19">
        <f t="shared" ref="I11:BF11" si="12">$F$11*I7</f>
        <v>0</v>
      </c>
      <c r="J11" s="19">
        <f t="shared" si="12"/>
        <v>0</v>
      </c>
      <c r="K11" s="19">
        <f t="shared" si="12"/>
        <v>0</v>
      </c>
      <c r="L11" s="19">
        <f t="shared" si="12"/>
        <v>0</v>
      </c>
      <c r="M11" s="19">
        <f t="shared" si="12"/>
        <v>0</v>
      </c>
      <c r="N11" s="19">
        <f t="shared" si="12"/>
        <v>0</v>
      </c>
      <c r="O11" s="19">
        <f t="shared" si="12"/>
        <v>0</v>
      </c>
      <c r="P11" s="19">
        <f t="shared" si="12"/>
        <v>0</v>
      </c>
      <c r="Q11" s="19">
        <f t="shared" si="12"/>
        <v>0</v>
      </c>
      <c r="R11" s="19">
        <f t="shared" si="12"/>
        <v>0</v>
      </c>
      <c r="S11" s="19">
        <f t="shared" si="12"/>
        <v>0</v>
      </c>
      <c r="T11" s="19">
        <f t="shared" si="12"/>
        <v>0</v>
      </c>
      <c r="U11" s="19">
        <f t="shared" si="12"/>
        <v>0</v>
      </c>
      <c r="V11" s="19">
        <f t="shared" si="12"/>
        <v>0</v>
      </c>
      <c r="W11" s="19">
        <f t="shared" si="12"/>
        <v>0</v>
      </c>
      <c r="X11" s="19">
        <f t="shared" si="12"/>
        <v>0</v>
      </c>
      <c r="Y11" s="19">
        <f t="shared" si="12"/>
        <v>0</v>
      </c>
      <c r="Z11" s="19">
        <f t="shared" si="12"/>
        <v>0</v>
      </c>
      <c r="AA11" s="19">
        <f t="shared" si="12"/>
        <v>0</v>
      </c>
      <c r="AB11" s="19">
        <f t="shared" si="12"/>
        <v>0</v>
      </c>
      <c r="AC11" s="19">
        <f t="shared" si="12"/>
        <v>0</v>
      </c>
      <c r="AD11" s="19">
        <f t="shared" si="12"/>
        <v>0</v>
      </c>
      <c r="AE11" s="19">
        <f t="shared" si="12"/>
        <v>0</v>
      </c>
      <c r="AF11" s="19">
        <f t="shared" si="12"/>
        <v>6.8471596318628994E-2</v>
      </c>
      <c r="AG11" s="19">
        <f t="shared" si="12"/>
        <v>7.4696286893049815E-2</v>
      </c>
      <c r="AH11" s="19">
        <f t="shared" si="12"/>
        <v>9.3370358616312266E-2</v>
      </c>
      <c r="AI11" s="19">
        <f t="shared" si="12"/>
        <v>0.10581973976515391</v>
      </c>
      <c r="AJ11" s="19">
        <f t="shared" si="12"/>
        <v>9.9595049190733087E-2</v>
      </c>
      <c r="AK11" s="19">
        <f t="shared" si="12"/>
        <v>8.7145668041891458E-2</v>
      </c>
      <c r="AL11" s="19">
        <f t="shared" si="12"/>
        <v>7.4696286893049815E-2</v>
      </c>
      <c r="AM11" s="19">
        <f t="shared" si="12"/>
        <v>4.9797524595366544E-2</v>
      </c>
      <c r="AN11" s="19">
        <f t="shared" si="12"/>
        <v>2.4898762297683272E-2</v>
      </c>
      <c r="AO11" s="19">
        <f t="shared" si="12"/>
        <v>3.1123452872104093E-2</v>
      </c>
      <c r="AP11" s="19">
        <f t="shared" si="12"/>
        <v>3.1123452872104093E-2</v>
      </c>
      <c r="AQ11" s="19">
        <f t="shared" si="12"/>
        <v>3.1123452872104093E-2</v>
      </c>
      <c r="AR11" s="19">
        <f t="shared" si="12"/>
        <v>2.4898762297683272E-2</v>
      </c>
      <c r="AS11" s="19">
        <f t="shared" si="12"/>
        <v>2.4898762297683272E-2</v>
      </c>
      <c r="AT11" s="19">
        <f t="shared" si="12"/>
        <v>2.4898762297683272E-2</v>
      </c>
      <c r="AU11" s="19">
        <f t="shared" si="12"/>
        <v>2.4898762297683272E-2</v>
      </c>
      <c r="AV11" s="19">
        <f t="shared" si="12"/>
        <v>2.4898762297683272E-2</v>
      </c>
      <c r="AW11" s="19">
        <f t="shared" si="12"/>
        <v>1.8674071723262454E-2</v>
      </c>
      <c r="AX11" s="19">
        <f t="shared" si="12"/>
        <v>1.8674071723262454E-2</v>
      </c>
      <c r="AY11" s="19">
        <f t="shared" si="12"/>
        <v>1.8674071723262454E-2</v>
      </c>
      <c r="AZ11" s="19">
        <f t="shared" si="12"/>
        <v>1.8674071723262454E-2</v>
      </c>
      <c r="BA11" s="19">
        <f t="shared" si="12"/>
        <v>1.8674071723262454E-2</v>
      </c>
      <c r="BB11" s="19">
        <f>$F$11*BB7</f>
        <v>1.8674071723262454E-2</v>
      </c>
      <c r="BC11" s="19">
        <f t="shared" si="12"/>
        <v>1.8674071723262454E-2</v>
      </c>
      <c r="BD11" s="19">
        <f t="shared" si="12"/>
        <v>1.8674071723262454E-2</v>
      </c>
      <c r="BE11" s="19">
        <f t="shared" si="12"/>
        <v>1.8674071723262454E-2</v>
      </c>
      <c r="BF11" s="19">
        <f t="shared" si="12"/>
        <v>1.8674071723262454E-2</v>
      </c>
      <c r="BG11" s="19">
        <f t="shared" ref="BG11:BN11" si="13">$F$11*BG7</f>
        <v>1.8674071723262454E-2</v>
      </c>
      <c r="BH11" s="19">
        <f t="shared" si="13"/>
        <v>1.8674071723262454E-2</v>
      </c>
      <c r="BI11" s="19">
        <f t="shared" si="13"/>
        <v>1.8674071723262454E-2</v>
      </c>
      <c r="BJ11" s="19">
        <f t="shared" si="13"/>
        <v>1.8674071723262454E-2</v>
      </c>
      <c r="BK11" s="19">
        <f t="shared" si="13"/>
        <v>1.8674071723262454E-2</v>
      </c>
      <c r="BL11" s="19">
        <f t="shared" si="13"/>
        <v>1.8674071723262454E-2</v>
      </c>
      <c r="BM11" s="19">
        <f t="shared" si="13"/>
        <v>1.8674071723262454E-2</v>
      </c>
      <c r="BN11" s="19">
        <f t="shared" si="13"/>
        <v>1.8674071723262454E-2</v>
      </c>
      <c r="BO11" s="19">
        <f t="shared" ref="BO11:BU11" si="14">$F$11*BO7</f>
        <v>1.8674071723262454E-2</v>
      </c>
      <c r="BP11" s="19">
        <f t="shared" si="14"/>
        <v>1.8674071723262454E-2</v>
      </c>
      <c r="BQ11" s="19">
        <f t="shared" si="14"/>
        <v>1.8674071723262454E-2</v>
      </c>
      <c r="BR11" s="19">
        <f t="shared" si="14"/>
        <v>1.8674071723262454E-2</v>
      </c>
      <c r="BS11" s="19">
        <f t="shared" si="14"/>
        <v>1.8674071723262454E-2</v>
      </c>
      <c r="BT11" s="19">
        <f t="shared" si="14"/>
        <v>1.8674071723262454E-2</v>
      </c>
      <c r="BU11" s="19">
        <f t="shared" si="14"/>
        <v>1.8674071723262454E-2</v>
      </c>
      <c r="BV11" s="19">
        <f t="shared" ref="BV11:CJ11" si="15">$F$11*BV7</f>
        <v>2.4898762297683272E-2</v>
      </c>
      <c r="BW11" s="19">
        <f t="shared" si="15"/>
        <v>2.4898762297683272E-2</v>
      </c>
      <c r="BX11" s="19">
        <f t="shared" si="15"/>
        <v>2.4898762297683272E-2</v>
      </c>
      <c r="BY11" s="19">
        <f t="shared" si="15"/>
        <v>2.4898762297683272E-2</v>
      </c>
      <c r="BZ11" s="19">
        <f t="shared" si="15"/>
        <v>2.4898762297683272E-2</v>
      </c>
      <c r="CA11" s="19">
        <f t="shared" si="15"/>
        <v>2.4898762297683272E-2</v>
      </c>
      <c r="CB11" s="19">
        <f t="shared" si="15"/>
        <v>2.4898762297683272E-2</v>
      </c>
      <c r="CC11" s="19">
        <f t="shared" si="15"/>
        <v>2.4898762297683272E-2</v>
      </c>
      <c r="CD11" s="19">
        <f t="shared" si="15"/>
        <v>2.4898762297683272E-2</v>
      </c>
      <c r="CE11" s="19">
        <f t="shared" si="15"/>
        <v>2.4898762297683272E-2</v>
      </c>
      <c r="CF11" s="19">
        <f t="shared" si="15"/>
        <v>2.4898762297683272E-2</v>
      </c>
      <c r="CG11" s="19">
        <f t="shared" si="15"/>
        <v>2.4898762297683272E-2</v>
      </c>
      <c r="CH11" s="19">
        <f t="shared" si="15"/>
        <v>2.4898762297683272E-2</v>
      </c>
      <c r="CI11" s="19">
        <f t="shared" si="15"/>
        <v>2.4898762297683272E-2</v>
      </c>
      <c r="CJ11" s="19">
        <f t="shared" si="15"/>
        <v>2.4898762297683272E-2</v>
      </c>
      <c r="CK11" s="19">
        <f t="shared" ref="CK11:CT11" si="16">$F$11*CK7</f>
        <v>2.4898762297683272E-2</v>
      </c>
      <c r="CL11" s="19">
        <f t="shared" si="16"/>
        <v>2.4898762297683272E-2</v>
      </c>
      <c r="CM11" s="19">
        <f t="shared" si="16"/>
        <v>2.4898762297683272E-2</v>
      </c>
      <c r="CN11" s="19">
        <f t="shared" si="16"/>
        <v>2.4898762297683272E-2</v>
      </c>
      <c r="CO11" s="19">
        <f t="shared" si="16"/>
        <v>2.4898762297683272E-2</v>
      </c>
      <c r="CP11" s="19">
        <f t="shared" si="16"/>
        <v>2.4898762297683272E-2</v>
      </c>
      <c r="CQ11" s="19">
        <f t="shared" si="16"/>
        <v>2.4898762297683272E-2</v>
      </c>
      <c r="CR11" s="19">
        <f t="shared" si="16"/>
        <v>2.4898762297683272E-2</v>
      </c>
      <c r="CS11" s="19">
        <f t="shared" si="16"/>
        <v>2.4898762297683272E-2</v>
      </c>
      <c r="CT11" s="19">
        <f t="shared" si="16"/>
        <v>2.4898762297683272E-2</v>
      </c>
      <c r="CU11" s="19">
        <f t="shared" ref="CU11:EJ11" si="17">$F$11*CU7</f>
        <v>2.4898762297683272E-2</v>
      </c>
      <c r="CV11" s="19">
        <f t="shared" si="17"/>
        <v>2.4898762297683272E-2</v>
      </c>
      <c r="CW11" s="19">
        <f t="shared" si="17"/>
        <v>2.4898762297683272E-2</v>
      </c>
      <c r="CX11" s="19">
        <f t="shared" si="17"/>
        <v>2.4898762297683272E-2</v>
      </c>
      <c r="CY11" s="19">
        <f t="shared" si="17"/>
        <v>2.4898762297683272E-2</v>
      </c>
      <c r="CZ11" s="19">
        <f t="shared" si="17"/>
        <v>2.4898762297683272E-2</v>
      </c>
      <c r="DA11" s="19">
        <f t="shared" si="17"/>
        <v>2.4898762297683272E-2</v>
      </c>
      <c r="DB11" s="19">
        <f t="shared" si="17"/>
        <v>2.4898762297683272E-2</v>
      </c>
      <c r="DC11" s="19">
        <f t="shared" si="17"/>
        <v>2.4898762297683272E-2</v>
      </c>
      <c r="DD11" s="19">
        <f t="shared" si="17"/>
        <v>2.4898762297683272E-2</v>
      </c>
      <c r="DE11" s="19">
        <f t="shared" si="17"/>
        <v>2.4898762297683272E-2</v>
      </c>
      <c r="DF11" s="19">
        <f t="shared" si="17"/>
        <v>2.4898762297683272E-2</v>
      </c>
      <c r="DG11" s="19">
        <f t="shared" si="17"/>
        <v>2.4898762297683272E-2</v>
      </c>
      <c r="DH11" s="19">
        <f t="shared" si="17"/>
        <v>2.4898762297683272E-2</v>
      </c>
      <c r="DI11" s="19">
        <f t="shared" si="17"/>
        <v>2.4898762297683272E-2</v>
      </c>
      <c r="DJ11" s="19">
        <f t="shared" si="17"/>
        <v>2.4898762297683272E-2</v>
      </c>
      <c r="DK11" s="19">
        <f t="shared" si="17"/>
        <v>2.4898762297683272E-2</v>
      </c>
      <c r="DL11" s="19">
        <f t="shared" si="17"/>
        <v>2.4898762297683272E-2</v>
      </c>
      <c r="DM11" s="19">
        <f t="shared" si="17"/>
        <v>2.4898762297683272E-2</v>
      </c>
      <c r="DN11" s="19">
        <f t="shared" si="17"/>
        <v>2.4898762297683272E-2</v>
      </c>
      <c r="DO11" s="19">
        <f t="shared" si="17"/>
        <v>2.4898762297683272E-2</v>
      </c>
      <c r="DP11" s="19">
        <f t="shared" si="17"/>
        <v>2.4898762297683272E-2</v>
      </c>
      <c r="DQ11" s="19">
        <f t="shared" si="17"/>
        <v>2.4898762297683272E-2</v>
      </c>
      <c r="DR11" s="19">
        <f t="shared" si="17"/>
        <v>2.4898762297683272E-2</v>
      </c>
      <c r="DS11" s="19">
        <f t="shared" si="17"/>
        <v>0</v>
      </c>
      <c r="DT11" s="19">
        <f t="shared" si="17"/>
        <v>0</v>
      </c>
      <c r="DU11" s="19">
        <f t="shared" si="17"/>
        <v>0</v>
      </c>
      <c r="DV11" s="19">
        <f t="shared" si="17"/>
        <v>0</v>
      </c>
      <c r="DW11" s="19">
        <f t="shared" si="17"/>
        <v>0</v>
      </c>
      <c r="DX11" s="19">
        <f t="shared" si="17"/>
        <v>0</v>
      </c>
      <c r="DY11" s="19">
        <f t="shared" si="17"/>
        <v>0</v>
      </c>
      <c r="DZ11" s="19">
        <f t="shared" si="17"/>
        <v>0</v>
      </c>
      <c r="EA11" s="19">
        <f t="shared" si="17"/>
        <v>0</v>
      </c>
      <c r="EB11" s="19">
        <f t="shared" si="17"/>
        <v>0</v>
      </c>
      <c r="EC11" s="19">
        <f t="shared" si="17"/>
        <v>0</v>
      </c>
      <c r="ED11" s="19">
        <f t="shared" si="17"/>
        <v>0</v>
      </c>
      <c r="EE11" s="19">
        <f t="shared" si="17"/>
        <v>0</v>
      </c>
      <c r="EF11" s="19">
        <f t="shared" si="17"/>
        <v>0</v>
      </c>
      <c r="EG11" s="19">
        <f t="shared" si="17"/>
        <v>0</v>
      </c>
      <c r="EH11" s="19">
        <f t="shared" si="17"/>
        <v>0</v>
      </c>
      <c r="EI11" s="19">
        <f t="shared" si="17"/>
        <v>0</v>
      </c>
      <c r="EJ11" s="19">
        <f t="shared" si="17"/>
        <v>0</v>
      </c>
    </row>
    <row r="12" spans="1:150">
      <c r="A12" s="53"/>
      <c r="B12" s="52"/>
      <c r="D12" s="18"/>
      <c r="F12" s="20"/>
      <c r="H12" s="26"/>
      <c r="I12" s="26"/>
      <c r="J12" s="26"/>
      <c r="K12" s="26"/>
      <c r="L12" s="26"/>
      <c r="M12" s="26"/>
      <c r="N12" s="26"/>
      <c r="O12" s="26"/>
      <c r="P12" s="26"/>
      <c r="Q12" s="26"/>
      <c r="R12" s="26"/>
      <c r="S12" s="26"/>
    </row>
    <row r="13" spans="1:150">
      <c r="A13" s="58"/>
      <c r="B13" s="52"/>
      <c r="D13" s="18"/>
      <c r="F13" s="20"/>
      <c r="H13" s="26"/>
      <c r="I13" s="26"/>
      <c r="J13" s="26"/>
      <c r="K13" s="26"/>
      <c r="L13" s="26"/>
      <c r="M13" s="26"/>
      <c r="N13" s="26"/>
      <c r="O13" s="26"/>
      <c r="P13" s="26"/>
      <c r="Q13" s="26"/>
      <c r="R13" s="26"/>
      <c r="S13" s="26"/>
    </row>
    <row r="14" spans="1:150">
      <c r="A14" s="24"/>
      <c r="B14" s="24"/>
      <c r="C14" s="24"/>
      <c r="D14" s="24"/>
      <c r="E14" s="24"/>
      <c r="F14" s="24" t="s">
        <v>400</v>
      </c>
      <c r="G14" s="24"/>
      <c r="H14" s="89">
        <f>SUM(H9:H13)</f>
        <v>0.37002270660630238</v>
      </c>
      <c r="I14" s="89">
        <f t="shared" ref="I14:BF14" si="18">SUM(I9:I13)</f>
        <v>0.33342175066030455</v>
      </c>
      <c r="J14" s="89">
        <f t="shared" si="18"/>
        <v>0.2399789879703344</v>
      </c>
      <c r="K14" s="89">
        <f t="shared" si="18"/>
        <v>0.18808208691145961</v>
      </c>
      <c r="L14" s="89">
        <f t="shared" si="18"/>
        <v>0.22034565140461185</v>
      </c>
      <c r="M14" s="89">
        <f t="shared" si="18"/>
        <v>0.27183838425181361</v>
      </c>
      <c r="N14" s="89">
        <f t="shared" si="18"/>
        <v>0.2858505148689231</v>
      </c>
      <c r="O14" s="89">
        <f t="shared" si="18"/>
        <v>0.29036686249531274</v>
      </c>
      <c r="P14" s="89">
        <f t="shared" si="18"/>
        <v>0.29503482406765424</v>
      </c>
      <c r="Q14" s="89">
        <f t="shared" si="18"/>
        <v>0.29259184118021969</v>
      </c>
      <c r="R14" s="89">
        <f t="shared" si="18"/>
        <v>0.2974979624834363</v>
      </c>
      <c r="S14" s="89">
        <f t="shared" si="18"/>
        <v>0.34654703364883521</v>
      </c>
      <c r="T14" s="89">
        <f t="shared" si="18"/>
        <v>0.37961679979957702</v>
      </c>
      <c r="U14" s="89">
        <f t="shared" si="18"/>
        <v>0.39553752480461468</v>
      </c>
      <c r="V14" s="89">
        <f t="shared" si="18"/>
        <v>0.40198265333523986</v>
      </c>
      <c r="W14" s="89">
        <f t="shared" si="18"/>
        <v>0.41664827143471883</v>
      </c>
      <c r="X14" s="89">
        <f t="shared" si="18"/>
        <v>0.43175284036813699</v>
      </c>
      <c r="Y14" s="89">
        <f t="shared" si="18"/>
        <v>0.45950114576557149</v>
      </c>
      <c r="Z14" s="89">
        <f t="shared" si="18"/>
        <v>0.49560099536807467</v>
      </c>
      <c r="AA14" s="89">
        <f t="shared" si="18"/>
        <v>0.50651500347315292</v>
      </c>
      <c r="AB14" s="89">
        <f t="shared" si="18"/>
        <v>0.51666377868021129</v>
      </c>
      <c r="AC14" s="89">
        <f t="shared" si="18"/>
        <v>0.57252255718646994</v>
      </c>
      <c r="AD14" s="89">
        <f t="shared" si="18"/>
        <v>0.55079051732234774</v>
      </c>
      <c r="AE14" s="89">
        <f t="shared" si="18"/>
        <v>0.48358837831448653</v>
      </c>
      <c r="AF14" s="89">
        <f t="shared" si="18"/>
        <v>0.58896914734712758</v>
      </c>
      <c r="AG14" s="89">
        <f t="shared" si="18"/>
        <v>0.67304878226390163</v>
      </c>
      <c r="AH14" s="89">
        <f t="shared" si="18"/>
        <v>0.73039426003521057</v>
      </c>
      <c r="AI14" s="89">
        <f t="shared" si="18"/>
        <v>0.69726723157922288</v>
      </c>
      <c r="AJ14" s="89">
        <f t="shared" si="18"/>
        <v>0.70339796434517199</v>
      </c>
      <c r="AK14" s="89">
        <f t="shared" si="18"/>
        <v>0.66115548018005899</v>
      </c>
      <c r="AL14" s="89">
        <f t="shared" si="18"/>
        <v>0.63414048267340817</v>
      </c>
      <c r="AM14" s="89">
        <f t="shared" si="18"/>
        <v>0.5446325375212252</v>
      </c>
      <c r="AN14" s="89">
        <f t="shared" si="18"/>
        <v>0.48380859405502935</v>
      </c>
      <c r="AO14" s="89">
        <f t="shared" si="18"/>
        <v>0.5006531327188446</v>
      </c>
      <c r="AP14" s="89">
        <f t="shared" si="18"/>
        <v>0.51767978497695688</v>
      </c>
      <c r="AQ14" s="89">
        <f t="shared" si="18"/>
        <v>0.49212620936639667</v>
      </c>
      <c r="AR14" s="89">
        <f t="shared" si="18"/>
        <v>0.52387073887466951</v>
      </c>
      <c r="AS14" s="89">
        <f t="shared" si="18"/>
        <v>0.5208000811479685</v>
      </c>
      <c r="AT14" s="89">
        <f t="shared" si="18"/>
        <v>0.58829230583854308</v>
      </c>
      <c r="AU14" s="89">
        <f t="shared" si="18"/>
        <v>0.64722375617177064</v>
      </c>
      <c r="AV14" s="89">
        <f t="shared" si="18"/>
        <v>0.56981594912638811</v>
      </c>
      <c r="AW14" s="89">
        <f t="shared" si="18"/>
        <v>0.46573997672696499</v>
      </c>
      <c r="AX14" s="89">
        <f t="shared" si="18"/>
        <v>0.48281916456056012</v>
      </c>
      <c r="AY14" s="89">
        <f t="shared" si="18"/>
        <v>0.51631879830629301</v>
      </c>
      <c r="AZ14" s="89">
        <f t="shared" si="18"/>
        <v>0.52825225969930167</v>
      </c>
      <c r="BA14" s="89">
        <f t="shared" si="18"/>
        <v>0.54704645164147725</v>
      </c>
      <c r="BB14" s="89">
        <f>SUM(BB9:BB13)</f>
        <v>0.56234030462303963</v>
      </c>
      <c r="BC14" s="89">
        <f t="shared" si="18"/>
        <v>0.55732768928878096</v>
      </c>
      <c r="BD14" s="89">
        <f t="shared" si="18"/>
        <v>0.56377281781940614</v>
      </c>
      <c r="BE14" s="89">
        <f t="shared" si="18"/>
        <v>0.56385130861384514</v>
      </c>
      <c r="BF14" s="89">
        <f t="shared" si="18"/>
        <v>0.55834528510869041</v>
      </c>
      <c r="BG14" s="89">
        <f t="shared" ref="BG14:BN14" si="19">SUM(BG9:BG13)</f>
        <v>0.59058530195879033</v>
      </c>
      <c r="BH14" s="89">
        <f t="shared" si="19"/>
        <v>0.63024894001406662</v>
      </c>
      <c r="BI14" s="89">
        <f t="shared" si="19"/>
        <v>0.60045917393659953</v>
      </c>
      <c r="BJ14" s="89">
        <f t="shared" si="19"/>
        <v>0.56972606489160382</v>
      </c>
      <c r="BK14" s="89">
        <f t="shared" si="19"/>
        <v>0.59216475688636905</v>
      </c>
      <c r="BL14" s="89">
        <f t="shared" si="19"/>
        <v>0.58276186382617112</v>
      </c>
      <c r="BM14" s="89">
        <f t="shared" si="19"/>
        <v>0.58274365505370518</v>
      </c>
      <c r="BN14" s="89">
        <f t="shared" si="19"/>
        <v>0.5827488513086142</v>
      </c>
      <c r="BO14" s="89">
        <f t="shared" ref="BO14:BU14" si="20">SUM(BO9:BO13)</f>
        <v>0.56341736618720151</v>
      </c>
      <c r="BP14" s="89">
        <f t="shared" si="20"/>
        <v>0.57531606501297095</v>
      </c>
      <c r="BQ14" s="89">
        <f t="shared" si="20"/>
        <v>0.56488652537278883</v>
      </c>
      <c r="BR14" s="89">
        <f t="shared" si="20"/>
        <v>0.55496187682034614</v>
      </c>
      <c r="BS14" s="89">
        <f t="shared" si="20"/>
        <v>0.54951348534511468</v>
      </c>
      <c r="BT14" s="89">
        <f t="shared" si="20"/>
        <v>0.57332644931984234</v>
      </c>
      <c r="BU14" s="89">
        <f t="shared" si="20"/>
        <v>0.56934983384710636</v>
      </c>
      <c r="BV14" s="89">
        <f t="shared" ref="BV14:CJ14" si="21">SUM(BV9:BV13)</f>
        <v>0.58802552349632675</v>
      </c>
      <c r="BW14" s="89">
        <f t="shared" si="21"/>
        <v>0.61182161911393895</v>
      </c>
      <c r="BX14" s="89">
        <f t="shared" si="21"/>
        <v>0.61280017421420152</v>
      </c>
      <c r="BY14" s="89">
        <f t="shared" si="21"/>
        <v>0.63910120018159722</v>
      </c>
      <c r="BZ14" s="89">
        <f t="shared" si="21"/>
        <v>0.64406682521899716</v>
      </c>
      <c r="CA14" s="89">
        <f t="shared" si="21"/>
        <v>0.66340090438110266</v>
      </c>
      <c r="CB14" s="89">
        <f t="shared" si="21"/>
        <v>0.66242373420810752</v>
      </c>
      <c r="CC14" s="89">
        <f t="shared" si="21"/>
        <v>0.65647438479522269</v>
      </c>
      <c r="CD14" s="89">
        <f t="shared" si="21"/>
        <v>0.64906395620361201</v>
      </c>
      <c r="CE14" s="89">
        <f t="shared" si="21"/>
        <v>0.6584758686625295</v>
      </c>
      <c r="CF14" s="89">
        <f t="shared" si="21"/>
        <v>0.65841055445072205</v>
      </c>
      <c r="CG14" s="89">
        <f t="shared" si="21"/>
        <v>0.66037681752098831</v>
      </c>
      <c r="CH14" s="89">
        <f t="shared" si="21"/>
        <v>0.68370178555471228</v>
      </c>
      <c r="CI14" s="89">
        <f t="shared" si="21"/>
        <v>0.67723201328496063</v>
      </c>
      <c r="CJ14" s="89">
        <f t="shared" si="21"/>
        <v>0.67323867283500394</v>
      </c>
      <c r="CK14" s="89">
        <f t="shared" ref="CK14:CT14" si="22">SUM(CK9:CK13)</f>
        <v>0.6688011807358557</v>
      </c>
      <c r="CL14" s="89">
        <f t="shared" si="22"/>
        <v>0.66383305176381591</v>
      </c>
      <c r="CM14" s="89">
        <f t="shared" si="22"/>
        <v>0.6583988811123842</v>
      </c>
      <c r="CN14" s="89">
        <f t="shared" si="22"/>
        <v>0.66186933493656708</v>
      </c>
      <c r="CO14" s="89">
        <f t="shared" si="22"/>
        <v>0.66385245140752858</v>
      </c>
      <c r="CP14" s="89">
        <f t="shared" si="22"/>
        <v>0.67128913817363467</v>
      </c>
      <c r="CQ14" s="89">
        <f t="shared" si="22"/>
        <v>0.67121962413262837</v>
      </c>
      <c r="CR14" s="89">
        <f t="shared" si="22"/>
        <v>0.65343461563342153</v>
      </c>
      <c r="CS14" s="89">
        <f t="shared" si="22"/>
        <v>0.64201877058323853</v>
      </c>
      <c r="CT14" s="89">
        <f t="shared" si="22"/>
        <v>0.66532684791593266</v>
      </c>
      <c r="CU14" s="89">
        <f t="shared" ref="CU14:EJ14" si="23">SUM(CU9:CU13)</f>
        <v>0.65392134375980093</v>
      </c>
      <c r="CV14" s="89">
        <f t="shared" si="23"/>
        <v>0.64944900628090851</v>
      </c>
      <c r="CW14" s="89">
        <f t="shared" si="23"/>
        <v>0.64744658284885759</v>
      </c>
      <c r="CX14" s="89">
        <f t="shared" si="23"/>
        <v>0.63207357710778123</v>
      </c>
      <c r="CY14" s="89">
        <f t="shared" si="23"/>
        <v>0.65286812819663198</v>
      </c>
      <c r="CZ14" s="89">
        <f t="shared" si="23"/>
        <v>0.65683308410754293</v>
      </c>
      <c r="DA14" s="89">
        <f t="shared" si="23"/>
        <v>0.64494205203410837</v>
      </c>
      <c r="DB14" s="89">
        <f t="shared" si="23"/>
        <v>0.64890956383431031</v>
      </c>
      <c r="DC14" s="89">
        <f t="shared" si="23"/>
        <v>0.64146393145759051</v>
      </c>
      <c r="DD14" s="89">
        <f t="shared" si="23"/>
        <v>0.61915387115927256</v>
      </c>
      <c r="DE14" s="89">
        <f t="shared" si="23"/>
        <v>0.62267306698671443</v>
      </c>
      <c r="DF14" s="89">
        <f t="shared" si="23"/>
        <v>0.61820075665561736</v>
      </c>
      <c r="DG14" s="89">
        <f t="shared" si="23"/>
        <v>0.64245421296622274</v>
      </c>
      <c r="DH14" s="89">
        <f t="shared" si="23"/>
        <v>0.59583822533525943</v>
      </c>
      <c r="DI14" s="89">
        <f t="shared" si="23"/>
        <v>0.59385510886429782</v>
      </c>
      <c r="DJ14" s="89">
        <f t="shared" si="23"/>
        <v>0.59187071900512755</v>
      </c>
      <c r="DK14" s="89">
        <f t="shared" si="23"/>
        <v>0.60029387348143137</v>
      </c>
      <c r="DL14" s="89">
        <f>SUM(DL9:DL13)</f>
        <v>0.58241032666978509</v>
      </c>
      <c r="DM14" s="89">
        <f t="shared" si="23"/>
        <v>0.59035924469703149</v>
      </c>
      <c r="DN14" s="89">
        <f t="shared" si="23"/>
        <v>0.5828771219675859</v>
      </c>
      <c r="DO14" s="89">
        <f t="shared" si="23"/>
        <v>0.5888189362747307</v>
      </c>
      <c r="DP14" s="89">
        <f t="shared" si="23"/>
        <v>0.59078451228441164</v>
      </c>
      <c r="DQ14" s="89">
        <f t="shared" si="23"/>
        <v>0.59424372063807351</v>
      </c>
      <c r="DR14" s="89">
        <f t="shared" si="23"/>
        <v>0.58627890132636029</v>
      </c>
      <c r="DS14" s="89">
        <f t="shared" si="23"/>
        <v>0</v>
      </c>
      <c r="DT14" s="89">
        <f t="shared" si="23"/>
        <v>0</v>
      </c>
      <c r="DU14" s="89">
        <f t="shared" si="23"/>
        <v>0</v>
      </c>
      <c r="DV14" s="89">
        <f t="shared" si="23"/>
        <v>0</v>
      </c>
      <c r="DW14" s="89">
        <f t="shared" si="23"/>
        <v>0</v>
      </c>
      <c r="DX14" s="89">
        <f t="shared" si="23"/>
        <v>0</v>
      </c>
      <c r="DY14" s="89">
        <f t="shared" si="23"/>
        <v>0</v>
      </c>
      <c r="DZ14" s="89">
        <f t="shared" si="23"/>
        <v>0</v>
      </c>
      <c r="EA14" s="89">
        <f t="shared" si="23"/>
        <v>0</v>
      </c>
      <c r="EB14" s="89">
        <f t="shared" si="23"/>
        <v>0</v>
      </c>
      <c r="EC14" s="89">
        <f t="shared" si="23"/>
        <v>0</v>
      </c>
      <c r="ED14" s="89">
        <f t="shared" si="23"/>
        <v>0</v>
      </c>
      <c r="EE14" s="89">
        <f t="shared" si="23"/>
        <v>0</v>
      </c>
      <c r="EF14" s="89">
        <f t="shared" si="23"/>
        <v>0</v>
      </c>
      <c r="EG14" s="89">
        <f t="shared" si="23"/>
        <v>0</v>
      </c>
      <c r="EH14" s="89">
        <f t="shared" si="23"/>
        <v>0</v>
      </c>
      <c r="EI14" s="89">
        <f t="shared" si="23"/>
        <v>0</v>
      </c>
      <c r="EJ14" s="89">
        <f t="shared" si="23"/>
        <v>0</v>
      </c>
    </row>
    <row r="15" spans="1:150">
      <c r="G15" s="173" t="s">
        <v>429</v>
      </c>
    </row>
    <row r="16" spans="1:150">
      <c r="G16" s="170" t="s">
        <v>406</v>
      </c>
    </row>
    <row r="17" spans="1:62">
      <c r="G17" s="44"/>
    </row>
    <row r="18" spans="1:62">
      <c r="E18" s="20"/>
      <c r="G18" s="44"/>
    </row>
    <row r="19" spans="1:62">
      <c r="A19" s="53"/>
      <c r="C19" s="20"/>
      <c r="D19" s="47"/>
      <c r="G19" s="186" t="s">
        <v>407</v>
      </c>
      <c r="H19" s="186"/>
      <c r="I19" s="186"/>
      <c r="J19" s="186"/>
      <c r="K19" s="186"/>
      <c r="L19" s="186"/>
      <c r="M19" s="186"/>
      <c r="N19" s="186"/>
      <c r="O19" s="186"/>
      <c r="P19" s="186"/>
      <c r="Q19" s="186"/>
      <c r="R19" s="186"/>
      <c r="S19" s="186"/>
      <c r="T19" s="186"/>
      <c r="U19" s="186"/>
      <c r="V19" s="186"/>
      <c r="W19" s="186"/>
      <c r="X19" s="186"/>
      <c r="Y19" s="186"/>
      <c r="Z19" s="186"/>
      <c r="AA19" s="186"/>
      <c r="AB19" s="186"/>
      <c r="AC19" s="186"/>
      <c r="AD19" s="186"/>
      <c r="AE19" s="186"/>
      <c r="AF19" s="186"/>
      <c r="AG19" s="186"/>
      <c r="AH19" s="186"/>
      <c r="AI19" s="186"/>
      <c r="AJ19" s="186"/>
      <c r="AK19" s="186"/>
      <c r="AL19" s="186"/>
      <c r="AM19" s="186"/>
      <c r="AN19" s="186"/>
      <c r="AO19" s="186"/>
      <c r="AP19" s="186"/>
      <c r="AQ19" s="186"/>
      <c r="AR19" s="186"/>
      <c r="AS19" s="186"/>
      <c r="AT19" s="186"/>
      <c r="AU19" s="186"/>
      <c r="AV19" s="186"/>
      <c r="AW19" s="186"/>
      <c r="AX19" s="186"/>
      <c r="AY19" s="186"/>
      <c r="AZ19" s="186"/>
      <c r="BA19" s="186"/>
      <c r="BB19" s="186"/>
      <c r="BC19" s="186"/>
      <c r="BD19" s="186"/>
      <c r="BE19" s="186"/>
      <c r="BF19" s="186"/>
      <c r="BG19" s="186"/>
      <c r="BH19" s="186"/>
      <c r="BI19" s="186"/>
      <c r="BJ19" s="186"/>
    </row>
    <row r="20" spans="1:62">
      <c r="A20" s="52"/>
      <c r="C20" s="20"/>
      <c r="D20" s="47"/>
    </row>
    <row r="21" spans="1:62">
      <c r="A21" s="52"/>
      <c r="C21" s="20"/>
      <c r="D21" s="47"/>
    </row>
    <row r="22" spans="1:62">
      <c r="A22" s="52"/>
      <c r="C22" s="20"/>
      <c r="D22" s="47"/>
    </row>
    <row r="24" spans="1:62">
      <c r="D24" s="20"/>
    </row>
  </sheetData>
  <phoneticPr fontId="52" type="noConversion"/>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0"/>
  <dimension ref="A1:FB22"/>
  <sheetViews>
    <sheetView zoomScale="90" zoomScaleNormal="90" workbookViewId="0">
      <pane xSplit="8" ySplit="5" topLeftCell="I6" activePane="bottomRight" state="frozen"/>
      <selection pane="topRight" activeCell="I1" sqref="I1"/>
      <selection pane="bottomLeft" activeCell="A6" sqref="A6"/>
      <selection pane="bottomRight" activeCell="B3" sqref="B3"/>
    </sheetView>
  </sheetViews>
  <sheetFormatPr baseColWidth="10" defaultColWidth="31.6640625" defaultRowHeight="14"/>
  <cols>
    <col min="1" max="1" width="15" style="8" bestFit="1" customWidth="1"/>
    <col min="2" max="2" width="12.5" style="8" bestFit="1" customWidth="1"/>
    <col min="3" max="3" width="11.5" style="8" bestFit="1" customWidth="1"/>
    <col min="4" max="4" width="14.1640625" style="8" bestFit="1" customWidth="1"/>
    <col min="5" max="5" width="13.6640625" style="8" bestFit="1" customWidth="1"/>
    <col min="6" max="6" width="8.6640625" style="8" bestFit="1" customWidth="1"/>
    <col min="7" max="7" width="20.5" style="8" bestFit="1" customWidth="1"/>
    <col min="8" max="8" width="7.33203125" style="8" bestFit="1" customWidth="1"/>
    <col min="9" max="12" width="10.83203125" style="8" bestFit="1" customWidth="1"/>
    <col min="13" max="13" width="5.83203125" style="8" bestFit="1" customWidth="1"/>
    <col min="14" max="14" width="5.5" style="8" bestFit="1" customWidth="1"/>
    <col min="15" max="15" width="6.5" style="8" bestFit="1" customWidth="1"/>
    <col min="16" max="16" width="6.1640625" style="8" bestFit="1" customWidth="1"/>
    <col min="17" max="17" width="5.83203125" style="8" bestFit="1" customWidth="1"/>
    <col min="18" max="18" width="6.5" style="8" bestFit="1" customWidth="1"/>
    <col min="19" max="19" width="6.1640625" style="8" bestFit="1" customWidth="1"/>
    <col min="20" max="20" width="5.83203125" style="8" bestFit="1" customWidth="1"/>
    <col min="21" max="21" width="6.1640625" style="8" bestFit="1" customWidth="1"/>
    <col min="22" max="22" width="6.5" style="8" bestFit="1" customWidth="1"/>
    <col min="23" max="23" width="6.1640625" style="8" bestFit="1" customWidth="1"/>
    <col min="24" max="24" width="6.6640625" style="8" bestFit="1" customWidth="1"/>
    <col min="25" max="25" width="5.83203125" style="8" bestFit="1" customWidth="1"/>
    <col min="26" max="26" width="7.33203125" style="8" bestFit="1" customWidth="1"/>
    <col min="27" max="27" width="6.5" style="8" bestFit="1" customWidth="1"/>
    <col min="28" max="28" width="6.1640625" style="8" bestFit="1" customWidth="1"/>
    <col min="29" max="30" width="6.5" style="8" bestFit="1" customWidth="1"/>
    <col min="31" max="31" width="6.1640625" style="8" bestFit="1" customWidth="1"/>
    <col min="32" max="32" width="5.83203125" style="8" bestFit="1" customWidth="1"/>
    <col min="33" max="33" width="6.1640625" style="8" bestFit="1" customWidth="1"/>
    <col min="34" max="34" width="6.5" style="8" bestFit="1" customWidth="1"/>
    <col min="35" max="35" width="6.1640625" style="8" bestFit="1" customWidth="1"/>
    <col min="36" max="36" width="6.6640625" style="8" bestFit="1" customWidth="1"/>
    <col min="37" max="37" width="5.83203125" style="8" bestFit="1" customWidth="1"/>
    <col min="38" max="38" width="5.5" style="8" bestFit="1" customWidth="1"/>
    <col min="39" max="39" width="6.5" style="8" bestFit="1" customWidth="1"/>
    <col min="40" max="40" width="6.1640625" style="8" bestFit="1" customWidth="1"/>
    <col min="41" max="41" width="5.83203125" style="8" bestFit="1" customWidth="1"/>
    <col min="42" max="42" width="6.5" style="8" bestFit="1" customWidth="1"/>
    <col min="43" max="43" width="6.1640625" style="8" bestFit="1" customWidth="1"/>
    <col min="44" max="44" width="5.83203125" style="8" bestFit="1" customWidth="1"/>
    <col min="45" max="45" width="6.1640625" style="8" bestFit="1" customWidth="1"/>
    <col min="46" max="46" width="6.5" style="8" bestFit="1" customWidth="1"/>
    <col min="47" max="47" width="6.1640625" style="8" bestFit="1" customWidth="1"/>
    <col min="48" max="48" width="6.6640625" style="8" bestFit="1" customWidth="1"/>
    <col min="49" max="49" width="5.83203125" style="8" bestFit="1" customWidth="1"/>
    <col min="50" max="50" width="5.5" style="8" bestFit="1" customWidth="1"/>
    <col min="51" max="53" width="7.83203125" style="8" bestFit="1" customWidth="1"/>
    <col min="54" max="55" width="6.5" style="8" bestFit="1" customWidth="1"/>
    <col min="56" max="57" width="4.33203125" style="8" bestFit="1" customWidth="1"/>
    <col min="58" max="61" width="7.5" style="8" bestFit="1" customWidth="1"/>
    <col min="62" max="65" width="6.5" style="8" bestFit="1" customWidth="1"/>
    <col min="66" max="69" width="5.6640625" style="8" bestFit="1" customWidth="1"/>
    <col min="70" max="73" width="5.5" style="8" bestFit="1" customWidth="1"/>
    <col min="74" max="77" width="5.1640625" style="8" bestFit="1" customWidth="1"/>
    <col min="78" max="81" width="5.5" style="8" bestFit="1" customWidth="1"/>
    <col min="82" max="85" width="6.1640625" style="8" bestFit="1" customWidth="1"/>
    <col min="86" max="89" width="5.5" style="8" bestFit="1" customWidth="1"/>
    <col min="90" max="94" width="6.33203125" style="8" bestFit="1" customWidth="1"/>
    <col min="95" max="98" width="6.1640625" style="8" bestFit="1" customWidth="1"/>
    <col min="99" max="102" width="5.1640625" style="8" bestFit="1" customWidth="1"/>
    <col min="103" max="106" width="5.83203125" style="8" bestFit="1" customWidth="1"/>
    <col min="107" max="114" width="5.6640625" style="8" bestFit="1" customWidth="1"/>
    <col min="115" max="118" width="6.1640625" style="8" bestFit="1" customWidth="1"/>
    <col min="119" max="120" width="5.83203125" style="8" bestFit="1" customWidth="1"/>
    <col min="121" max="122" width="6.5" style="8" bestFit="1" customWidth="1"/>
    <col min="123" max="131" width="5.1640625" style="8" bestFit="1" customWidth="1"/>
    <col min="132" max="158" width="3.5" style="8" bestFit="1" customWidth="1"/>
    <col min="159" max="16384" width="31.6640625" style="8"/>
  </cols>
  <sheetData>
    <row r="1" spans="1:158">
      <c r="A1" s="24" t="s">
        <v>377</v>
      </c>
      <c r="B1" s="24" t="s">
        <v>378</v>
      </c>
      <c r="C1" s="24" t="s">
        <v>379</v>
      </c>
      <c r="D1" s="24" t="s">
        <v>380</v>
      </c>
      <c r="E1" s="24" t="s">
        <v>381</v>
      </c>
      <c r="F1" s="24" t="s">
        <v>33</v>
      </c>
      <c r="H1" s="25">
        <v>6</v>
      </c>
      <c r="I1" s="25">
        <v>7</v>
      </c>
      <c r="J1" s="25">
        <v>8</v>
      </c>
      <c r="K1" s="25">
        <v>9</v>
      </c>
      <c r="L1" s="25">
        <v>10</v>
      </c>
      <c r="M1" s="25">
        <v>11</v>
      </c>
      <c r="N1" s="25">
        <v>12</v>
      </c>
      <c r="O1" s="25">
        <v>13</v>
      </c>
      <c r="P1" s="25">
        <v>14</v>
      </c>
      <c r="Q1" s="25">
        <v>15</v>
      </c>
      <c r="R1" s="25">
        <v>16</v>
      </c>
      <c r="S1" s="25">
        <v>17</v>
      </c>
      <c r="T1" s="25">
        <v>18</v>
      </c>
      <c r="U1" s="25">
        <v>19</v>
      </c>
      <c r="V1" s="25">
        <v>20</v>
      </c>
      <c r="W1" s="25">
        <v>21</v>
      </c>
      <c r="X1" s="25">
        <v>22</v>
      </c>
      <c r="Y1" s="25">
        <v>23</v>
      </c>
      <c r="Z1" s="25">
        <v>24</v>
      </c>
      <c r="AA1" s="25">
        <v>25</v>
      </c>
      <c r="AB1" s="25">
        <v>26</v>
      </c>
      <c r="AC1" s="25">
        <v>27</v>
      </c>
      <c r="AD1" s="25">
        <v>28</v>
      </c>
      <c r="AE1" s="25">
        <v>29</v>
      </c>
      <c r="AF1" s="25">
        <v>30</v>
      </c>
      <c r="AG1" s="25">
        <v>31</v>
      </c>
      <c r="AH1" s="25">
        <v>32</v>
      </c>
      <c r="AI1" s="25">
        <v>33</v>
      </c>
      <c r="AJ1" s="25">
        <v>34</v>
      </c>
      <c r="AK1" s="25">
        <v>35</v>
      </c>
      <c r="AL1" s="25">
        <v>36</v>
      </c>
      <c r="AM1" s="25">
        <v>37</v>
      </c>
      <c r="AN1" s="25">
        <v>38</v>
      </c>
      <c r="AO1" s="25">
        <v>39</v>
      </c>
      <c r="AP1" s="25">
        <v>40</v>
      </c>
      <c r="AQ1" s="25">
        <v>41</v>
      </c>
      <c r="AR1" s="25">
        <v>42</v>
      </c>
      <c r="AS1" s="25">
        <v>43</v>
      </c>
      <c r="AT1" s="25">
        <v>44</v>
      </c>
      <c r="AU1" s="25">
        <v>45</v>
      </c>
      <c r="AV1" s="25">
        <v>46</v>
      </c>
      <c r="AW1" s="25">
        <v>47</v>
      </c>
      <c r="AX1" s="25">
        <v>48</v>
      </c>
      <c r="AY1" s="25">
        <v>49</v>
      </c>
      <c r="AZ1" s="25">
        <v>50</v>
      </c>
      <c r="BA1" s="25">
        <v>51</v>
      </c>
      <c r="BB1" s="25">
        <v>52</v>
      </c>
      <c r="BC1" s="25">
        <v>53</v>
      </c>
      <c r="BD1" s="25">
        <v>54</v>
      </c>
      <c r="BE1" s="25">
        <v>55</v>
      </c>
      <c r="BF1" s="25">
        <v>56</v>
      </c>
      <c r="BG1" s="25">
        <v>57</v>
      </c>
      <c r="BH1" s="25">
        <v>58</v>
      </c>
      <c r="BI1" s="25">
        <v>59</v>
      </c>
      <c r="BJ1" s="25">
        <v>60</v>
      </c>
      <c r="BK1" s="25">
        <v>61</v>
      </c>
      <c r="BL1" s="25">
        <v>62</v>
      </c>
      <c r="BM1" s="25">
        <v>63</v>
      </c>
      <c r="BN1" s="25">
        <v>64</v>
      </c>
      <c r="BO1" s="25">
        <v>65</v>
      </c>
      <c r="BP1" s="25">
        <v>66</v>
      </c>
      <c r="BQ1" s="25">
        <v>67</v>
      </c>
      <c r="BR1" s="25">
        <v>68</v>
      </c>
      <c r="BS1" s="25">
        <v>69</v>
      </c>
      <c r="BT1" s="25">
        <v>70</v>
      </c>
      <c r="BU1" s="25">
        <v>71</v>
      </c>
      <c r="BV1" s="25">
        <v>72</v>
      </c>
      <c r="BW1" s="25">
        <v>73</v>
      </c>
      <c r="BX1" s="25">
        <v>74</v>
      </c>
      <c r="BY1" s="25">
        <v>75</v>
      </c>
      <c r="BZ1" s="25">
        <v>76</v>
      </c>
      <c r="CA1" s="25">
        <v>77</v>
      </c>
      <c r="CB1" s="25">
        <v>78</v>
      </c>
      <c r="CC1" s="25">
        <v>79</v>
      </c>
      <c r="CD1" s="25">
        <v>80</v>
      </c>
      <c r="CE1" s="25">
        <v>81</v>
      </c>
      <c r="CF1" s="25">
        <v>82</v>
      </c>
      <c r="CG1" s="25">
        <v>83</v>
      </c>
      <c r="CH1" s="25">
        <v>84</v>
      </c>
      <c r="CI1" s="25">
        <v>85</v>
      </c>
      <c r="CJ1" s="25">
        <v>86</v>
      </c>
      <c r="CK1" s="25">
        <v>87</v>
      </c>
      <c r="CL1" s="25">
        <v>88</v>
      </c>
      <c r="CM1" s="25">
        <v>89</v>
      </c>
      <c r="CN1" s="25">
        <v>90</v>
      </c>
      <c r="CO1" s="25">
        <v>91</v>
      </c>
      <c r="CP1" s="25">
        <v>92</v>
      </c>
      <c r="CQ1" s="25">
        <v>93</v>
      </c>
      <c r="CR1" s="25">
        <v>94</v>
      </c>
      <c r="CS1" s="25">
        <v>95</v>
      </c>
      <c r="CT1" s="25">
        <v>96</v>
      </c>
      <c r="CU1" s="25">
        <v>97</v>
      </c>
      <c r="CV1" s="25">
        <v>98</v>
      </c>
      <c r="CW1" s="25">
        <v>99</v>
      </c>
      <c r="CX1" s="25">
        <v>100</v>
      </c>
      <c r="CY1" s="25">
        <v>101</v>
      </c>
      <c r="CZ1" s="25">
        <v>102</v>
      </c>
      <c r="DA1" s="25">
        <v>103</v>
      </c>
      <c r="DB1" s="25">
        <v>104</v>
      </c>
      <c r="DC1" s="25">
        <v>105</v>
      </c>
      <c r="DD1" s="25">
        <v>106</v>
      </c>
      <c r="DE1" s="25">
        <v>107</v>
      </c>
      <c r="DF1" s="25">
        <v>108</v>
      </c>
      <c r="DG1" s="25">
        <v>109</v>
      </c>
      <c r="DH1" s="25">
        <v>110</v>
      </c>
      <c r="DI1" s="25">
        <v>111</v>
      </c>
      <c r="DJ1" s="25">
        <v>112</v>
      </c>
      <c r="DK1" s="25">
        <v>113</v>
      </c>
      <c r="DL1" s="25">
        <v>114</v>
      </c>
      <c r="DM1" s="25">
        <v>115</v>
      </c>
      <c r="DN1" s="25">
        <v>116</v>
      </c>
      <c r="DO1" s="25">
        <v>117</v>
      </c>
      <c r="DP1" s="25">
        <v>118</v>
      </c>
      <c r="DQ1" s="25">
        <v>119</v>
      </c>
      <c r="DR1" s="25">
        <v>120</v>
      </c>
      <c r="DS1" s="25">
        <v>121</v>
      </c>
      <c r="DT1" s="25">
        <v>122</v>
      </c>
      <c r="DU1" s="25">
        <v>123</v>
      </c>
      <c r="DV1" s="25">
        <v>124</v>
      </c>
      <c r="DW1" s="25">
        <v>125</v>
      </c>
      <c r="DX1" s="25">
        <v>126</v>
      </c>
      <c r="DY1" s="25">
        <v>127</v>
      </c>
      <c r="DZ1" s="25">
        <v>128</v>
      </c>
      <c r="EA1" s="25">
        <v>129</v>
      </c>
      <c r="EB1" s="25">
        <v>130</v>
      </c>
      <c r="EC1" s="25">
        <v>131</v>
      </c>
      <c r="ED1" s="25">
        <v>132</v>
      </c>
      <c r="EE1" s="25">
        <v>133</v>
      </c>
      <c r="EF1" s="25">
        <v>134</v>
      </c>
      <c r="EG1" s="25">
        <v>135</v>
      </c>
      <c r="EH1" s="25">
        <v>136</v>
      </c>
      <c r="EI1" s="25">
        <v>137</v>
      </c>
      <c r="EJ1" s="25">
        <v>138</v>
      </c>
      <c r="EK1" s="25">
        <v>139</v>
      </c>
      <c r="EL1" s="25">
        <v>140</v>
      </c>
      <c r="EM1" s="25">
        <v>141</v>
      </c>
      <c r="EN1" s="25">
        <v>142</v>
      </c>
      <c r="EO1" s="25">
        <v>143</v>
      </c>
      <c r="EP1" s="25">
        <v>144</v>
      </c>
      <c r="EQ1" s="25">
        <v>145</v>
      </c>
      <c r="ER1" s="25">
        <v>146</v>
      </c>
      <c r="ES1" s="25">
        <v>147</v>
      </c>
      <c r="ET1" s="25">
        <v>148</v>
      </c>
      <c r="EU1" s="25">
        <v>149</v>
      </c>
      <c r="EV1" s="25">
        <v>150</v>
      </c>
      <c r="EW1" s="25">
        <v>151</v>
      </c>
      <c r="EX1" s="25">
        <v>152</v>
      </c>
      <c r="EY1" s="25">
        <v>153</v>
      </c>
      <c r="EZ1" s="25">
        <v>154</v>
      </c>
      <c r="FA1" s="25">
        <v>155</v>
      </c>
      <c r="FB1" s="25">
        <v>156</v>
      </c>
    </row>
    <row r="2" spans="1:158">
      <c r="A2" s="8" t="s">
        <v>593</v>
      </c>
      <c r="B2" s="52" t="s">
        <v>592</v>
      </c>
      <c r="C2" s="8">
        <v>1</v>
      </c>
      <c r="D2" s="18"/>
      <c r="E2" s="20">
        <v>112.56</v>
      </c>
    </row>
    <row r="3" spans="1:158">
      <c r="A3" s="53"/>
      <c r="B3" s="54"/>
      <c r="D3" s="18"/>
    </row>
    <row r="4" spans="1:158" ht="30">
      <c r="A4" s="8" t="s">
        <v>593</v>
      </c>
      <c r="B4" s="8" t="s">
        <v>594</v>
      </c>
      <c r="C4" s="8" t="s">
        <v>595</v>
      </c>
      <c r="D4" s="52"/>
      <c r="H4" s="57">
        <v>43831</v>
      </c>
      <c r="I4" s="57">
        <v>43862</v>
      </c>
      <c r="J4" s="57">
        <v>43891</v>
      </c>
      <c r="K4" s="57">
        <v>43922</v>
      </c>
      <c r="L4" s="57">
        <v>43952</v>
      </c>
      <c r="M4" s="57">
        <v>43983</v>
      </c>
      <c r="N4" s="57">
        <v>44013</v>
      </c>
      <c r="O4" s="57">
        <v>44044</v>
      </c>
      <c r="P4" s="57">
        <v>44075</v>
      </c>
      <c r="Q4" s="57">
        <v>44105</v>
      </c>
      <c r="R4" s="57">
        <v>44136</v>
      </c>
      <c r="S4" s="57">
        <v>44166</v>
      </c>
      <c r="T4" s="57">
        <v>44197</v>
      </c>
      <c r="U4" s="57">
        <v>44228</v>
      </c>
      <c r="V4" s="57">
        <v>44256</v>
      </c>
      <c r="W4" s="57">
        <v>44287</v>
      </c>
      <c r="X4" s="57">
        <v>44317</v>
      </c>
      <c r="Y4" s="57">
        <v>44348</v>
      </c>
      <c r="Z4" s="57">
        <v>44378</v>
      </c>
      <c r="AA4" s="57">
        <v>44409</v>
      </c>
      <c r="AB4" s="57">
        <v>44440</v>
      </c>
      <c r="AC4" s="57">
        <v>44470</v>
      </c>
      <c r="AD4" s="57">
        <v>44501</v>
      </c>
      <c r="AE4" s="57">
        <v>44531</v>
      </c>
      <c r="AF4" s="57">
        <v>44562</v>
      </c>
      <c r="AG4" s="57">
        <v>44593</v>
      </c>
      <c r="AH4" s="57">
        <v>44621</v>
      </c>
      <c r="AI4" s="57">
        <v>44652</v>
      </c>
      <c r="AJ4" s="57">
        <v>44682</v>
      </c>
      <c r="AK4" s="57">
        <v>44713</v>
      </c>
      <c r="AL4" s="57">
        <v>44743</v>
      </c>
      <c r="AM4" s="57">
        <v>44774</v>
      </c>
      <c r="AN4" s="57">
        <v>44805</v>
      </c>
      <c r="AO4" s="57">
        <v>44835</v>
      </c>
      <c r="AP4" s="57">
        <v>44866</v>
      </c>
      <c r="AQ4" s="57">
        <v>44896</v>
      </c>
      <c r="AR4" s="57">
        <v>44927</v>
      </c>
      <c r="AS4" s="57">
        <v>44958</v>
      </c>
      <c r="AT4" s="57">
        <v>44986</v>
      </c>
      <c r="AU4" s="57">
        <v>45017</v>
      </c>
      <c r="AV4" s="57">
        <v>45047</v>
      </c>
      <c r="AW4" s="57">
        <v>45078</v>
      </c>
      <c r="AX4" s="57">
        <v>45108</v>
      </c>
      <c r="AY4" s="57" t="s">
        <v>530</v>
      </c>
      <c r="AZ4" s="57" t="s">
        <v>531</v>
      </c>
      <c r="BA4" s="57" t="s">
        <v>532</v>
      </c>
      <c r="BB4" s="57">
        <v>37104</v>
      </c>
      <c r="BC4" s="57">
        <v>37469</v>
      </c>
      <c r="BD4" s="34" t="s">
        <v>168</v>
      </c>
      <c r="BE4" s="34" t="s">
        <v>169</v>
      </c>
      <c r="BF4" s="57" t="s">
        <v>601</v>
      </c>
      <c r="BG4" s="57" t="s">
        <v>602</v>
      </c>
      <c r="BH4" s="57" t="s">
        <v>603</v>
      </c>
      <c r="BI4" s="57" t="s">
        <v>604</v>
      </c>
      <c r="BJ4" s="57" t="s">
        <v>596</v>
      </c>
      <c r="BK4" s="57" t="s">
        <v>597</v>
      </c>
      <c r="BL4" s="57" t="s">
        <v>598</v>
      </c>
      <c r="BM4" s="57" t="s">
        <v>599</v>
      </c>
      <c r="BN4" s="59">
        <v>37196</v>
      </c>
      <c r="BO4" s="59">
        <v>37561</v>
      </c>
      <c r="BP4" s="59">
        <v>37926</v>
      </c>
      <c r="BQ4" s="59">
        <v>38292</v>
      </c>
      <c r="BR4" s="59">
        <v>37226</v>
      </c>
      <c r="BS4" s="59">
        <v>37591</v>
      </c>
      <c r="BT4" s="59">
        <v>37956</v>
      </c>
      <c r="BU4" s="59">
        <v>38322</v>
      </c>
      <c r="BV4" s="59">
        <v>36892</v>
      </c>
      <c r="BW4" s="59">
        <v>37257</v>
      </c>
      <c r="BX4" s="59">
        <v>37622</v>
      </c>
      <c r="BY4" s="59">
        <v>37987</v>
      </c>
      <c r="BZ4" s="59">
        <v>36923</v>
      </c>
      <c r="CA4" s="59">
        <v>37288</v>
      </c>
      <c r="CB4" s="59">
        <v>37653</v>
      </c>
      <c r="CC4" s="59">
        <v>38018</v>
      </c>
      <c r="CD4" s="59" t="str">
        <f>Sheet8!A15</f>
        <v>Mar-w1</v>
      </c>
      <c r="CE4" s="59" t="str">
        <f>Sheet8!B15</f>
        <v>Mar-w2</v>
      </c>
      <c r="CF4" s="59" t="str">
        <f>Sheet8!C15</f>
        <v>Mar-w3</v>
      </c>
      <c r="CG4" s="59" t="str">
        <f>Sheet8!D15</f>
        <v>Mar-w4</v>
      </c>
      <c r="CH4" s="59" t="str">
        <f>Sheet8!E15</f>
        <v>Apr-w1</v>
      </c>
      <c r="CI4" s="59" t="str">
        <f>Sheet8!F15</f>
        <v>Apr-w2</v>
      </c>
      <c r="CJ4" s="59" t="str">
        <f>Sheet8!G15</f>
        <v>Apr-w3</v>
      </c>
      <c r="CK4" s="59" t="str">
        <f>Sheet8!H15</f>
        <v>Apr-w4</v>
      </c>
      <c r="CL4" s="59" t="str">
        <f>Sheet8!I15</f>
        <v>May-w1</v>
      </c>
      <c r="CM4" s="59" t="str">
        <f>Sheet8!J15</f>
        <v>May-w2</v>
      </c>
      <c r="CN4" s="59" t="str">
        <f>Sheet8!K15</f>
        <v>May-w3</v>
      </c>
      <c r="CO4" s="59" t="str">
        <f>Sheet8!L15</f>
        <v>May-w4</v>
      </c>
      <c r="CP4" s="59" t="str">
        <f>Sheet8!M15</f>
        <v>May-w5</v>
      </c>
      <c r="CQ4" s="59" t="str">
        <f>Sheet8!N15</f>
        <v>june-w1</v>
      </c>
      <c r="CR4" s="59" t="str">
        <f>Sheet8!O15</f>
        <v>june-w2</v>
      </c>
      <c r="CS4" s="59" t="str">
        <f>Sheet8!P15</f>
        <v>june-w3</v>
      </c>
      <c r="CT4" s="59" t="str">
        <f>Sheet8!Q15</f>
        <v>june-w4</v>
      </c>
      <c r="CU4" s="59" t="str">
        <f>Sheet8!R15</f>
        <v>Jul-w1</v>
      </c>
      <c r="CV4" s="59" t="str">
        <f>Sheet8!S15</f>
        <v>Jul-w2</v>
      </c>
      <c r="CW4" s="59" t="str">
        <f>Sheet8!T15</f>
        <v>Jul-w3</v>
      </c>
      <c r="CX4" s="59" t="str">
        <f>Sheet8!U15</f>
        <v>Jul-w4</v>
      </c>
      <c r="CY4" s="59" t="str">
        <f>Sheet8!V15</f>
        <v>Aug-w1</v>
      </c>
      <c r="CZ4" s="59" t="str">
        <f>Sheet8!W15</f>
        <v>Aug-w2</v>
      </c>
      <c r="DA4" s="59" t="str">
        <f>Sheet8!X15</f>
        <v>Aug-w3</v>
      </c>
      <c r="DB4" s="59" t="str">
        <f>Sheet8!Y15</f>
        <v>Aug-w4</v>
      </c>
      <c r="DC4" s="59" t="str">
        <f>Sheet8!Z15</f>
        <v>Sep-w1</v>
      </c>
      <c r="DD4" s="59" t="str">
        <f>Sheet8!AA15</f>
        <v>Sep-w2</v>
      </c>
      <c r="DE4" s="59" t="str">
        <f>Sheet8!AB15</f>
        <v>Sep-w3</v>
      </c>
      <c r="DF4" s="59" t="str">
        <f>Sheet8!AC15</f>
        <v>Sep-w4</v>
      </c>
      <c r="DG4" s="59" t="str">
        <f>Sheet8!AD15</f>
        <v>Oct-w1</v>
      </c>
      <c r="DH4" s="59" t="str">
        <f>Sheet8!AE15</f>
        <v>Oct-w2</v>
      </c>
      <c r="DI4" s="59" t="str">
        <f>Sheet8!AF15</f>
        <v>Oct-w3</v>
      </c>
      <c r="DJ4" s="59" t="str">
        <f>Sheet8!AG15</f>
        <v>Oct-w4</v>
      </c>
      <c r="DK4" s="59" t="str">
        <f>Sheet8!AH15</f>
        <v>Nov-w1</v>
      </c>
      <c r="DL4" s="59" t="str">
        <f>Sheet8!AI15</f>
        <v>Nov-w2</v>
      </c>
      <c r="DM4" s="59" t="str">
        <f>Sheet8!AJ15</f>
        <v>Nov-w3</v>
      </c>
      <c r="DN4" s="59" t="str">
        <f>Sheet8!AK15</f>
        <v>Nov-w4</v>
      </c>
      <c r="DO4" s="59" t="str">
        <f>Sheet8!AL15</f>
        <v>Dec-w1</v>
      </c>
      <c r="DP4" s="59" t="str">
        <f>Sheet8!AM15</f>
        <v>Dec-w2</v>
      </c>
      <c r="DQ4" s="59" t="str">
        <f>Sheet8!AN15</f>
        <v>Dec-w3</v>
      </c>
      <c r="DR4" s="59" t="str">
        <f>Sheet8!AO15</f>
        <v>Dec-w4</v>
      </c>
      <c r="DS4" s="59">
        <f>Sheet8!AP15</f>
        <v>0</v>
      </c>
      <c r="DT4" s="59">
        <f>Sheet8!AQ15</f>
        <v>0</v>
      </c>
      <c r="DU4" s="59">
        <f>Sheet8!AR15</f>
        <v>0</v>
      </c>
      <c r="DV4" s="59">
        <f>Sheet8!AS15</f>
        <v>0</v>
      </c>
      <c r="DW4" s="59">
        <f>Sheet8!AT15</f>
        <v>0</v>
      </c>
      <c r="DX4" s="59">
        <f>Sheet8!AU15</f>
        <v>0</v>
      </c>
      <c r="DY4" s="59">
        <f>Sheet8!AV15</f>
        <v>0</v>
      </c>
      <c r="DZ4" s="59">
        <f>Sheet8!AW15</f>
        <v>0</v>
      </c>
      <c r="EA4" s="59">
        <f>Sheet8!AX15</f>
        <v>0</v>
      </c>
    </row>
    <row r="5" spans="1:158">
      <c r="A5" s="55">
        <v>112.56</v>
      </c>
      <c r="B5" s="18">
        <v>63.01</v>
      </c>
      <c r="C5" s="53">
        <v>98.07</v>
      </c>
      <c r="D5" s="18"/>
      <c r="G5" s="8" t="s">
        <v>51</v>
      </c>
      <c r="H5" s="8">
        <f>VLOOKUP($G$5&amp;$F$1,'Input RM sheet'!$A:$BM,H1,0)</f>
        <v>551.47500000000002</v>
      </c>
      <c r="I5" s="8">
        <f>VLOOKUP($G$5&amp;$F$1,'Input RM sheet'!$A:$BM,I1,0)</f>
        <v>477.74342105263156</v>
      </c>
      <c r="J5" s="8">
        <f>VLOOKUP($G$5&amp;$F$1,'Input RM sheet'!$A:$BM,J1,0)</f>
        <v>290.25568181818181</v>
      </c>
      <c r="K5" s="8">
        <f>VLOOKUP($G$5&amp;$F$1,'Input RM sheet'!$A:$BM,K1,0)</f>
        <v>194.2202380952381</v>
      </c>
      <c r="L5" s="8">
        <f>VLOOKUP($G$5&amp;$F$1,'Input RM sheet'!$A:$BM,L1,0)</f>
        <v>267.16666666666669</v>
      </c>
      <c r="M5" s="8">
        <f>VLOOKUP($G$5&amp;$F$1,'Input RM sheet'!$A:$BM,M1,0)</f>
        <v>363</v>
      </c>
      <c r="N5" s="8">
        <f>VLOOKUP($G$5&amp;$F$1,'Input RM sheet'!$A:$BM,N1,0)</f>
        <v>391</v>
      </c>
      <c r="O5" s="8">
        <f>VLOOKUP($G$5&amp;$F$1,'Input RM sheet'!$A:$BM,O1,0)</f>
        <v>400</v>
      </c>
      <c r="P5" s="8">
        <f>VLOOKUP($G$5&amp;$F$1,'Input RM sheet'!$A:$BM,P1,0)</f>
        <v>401</v>
      </c>
      <c r="Q5" s="8">
        <f>VLOOKUP($G$5&amp;$F$1,'Input RM sheet'!$A:$BM,Q1,0)</f>
        <v>388</v>
      </c>
      <c r="R5" s="8">
        <f>VLOOKUP($G$5&amp;$F$1,'Input RM sheet'!$A:$BM,R1,0)</f>
        <v>382</v>
      </c>
      <c r="S5" s="8">
        <f>VLOOKUP($G$5&amp;$F$1,'Input RM sheet'!$A:$BM,S1,0)</f>
        <v>448.5</v>
      </c>
      <c r="T5" s="8">
        <f>VLOOKUP($G$5&amp;$F$1,'Input RM sheet'!$A:$BM,T1,0)</f>
        <v>515</v>
      </c>
      <c r="U5" s="8">
        <f>VLOOKUP($G$5&amp;$F$1,'Input RM sheet'!$A:$BM,U1,0)</f>
        <v>547</v>
      </c>
      <c r="V5" s="8">
        <f>VLOOKUP($G$5&amp;$F$1,'Input RM sheet'!$A:$BM,V1,0)</f>
        <v>560</v>
      </c>
      <c r="W5" s="8">
        <f>VLOOKUP($G$5&amp;$F$1,'Input RM sheet'!$A:$BM,W1,0)</f>
        <v>574</v>
      </c>
      <c r="X5" s="8">
        <f>VLOOKUP($G$5&amp;$F$1,'Input RM sheet'!$A:$BM,X1,0)</f>
        <v>596</v>
      </c>
      <c r="Y5" s="8">
        <f>VLOOKUP($G$5&amp;$F$1,'Input RM sheet'!$A:$BM,Y1,0)</f>
        <v>644</v>
      </c>
      <c r="Z5" s="8">
        <f>VLOOKUP($G$5&amp;$F$1,'Input RM sheet'!$A:$BM,Z1,0)</f>
        <v>684.875</v>
      </c>
      <c r="AA5" s="8">
        <f>VLOOKUP($G$5&amp;$F$1,'Input RM sheet'!$A:$BM,AA1,0)</f>
        <v>674.5</v>
      </c>
      <c r="AB5" s="8">
        <f>VLOOKUP($G$5&amp;$F$1,'Input RM sheet'!$A:$BM,AB1,0)</f>
        <v>662.5</v>
      </c>
      <c r="AC5" s="8">
        <f>VLOOKUP($G$5&amp;$F$1,'Input RM sheet'!$A:$BM,AC1,0)</f>
        <v>767.55</v>
      </c>
      <c r="AD5" s="8">
        <f>VLOOKUP($G$5&amp;$F$1,'Input RM sheet'!$A:$BM,AD1,0)</f>
        <v>755.84</v>
      </c>
      <c r="AE5" s="8">
        <f>VLOOKUP($G$5&amp;$F$1,'Input RM sheet'!$A:$BM,AE1,0)</f>
        <v>693.2</v>
      </c>
      <c r="AF5" s="8">
        <f>VLOOKUP($G$5&amp;$F$1,'Input RM sheet'!$A:$BM,AF1,0)</f>
        <v>775.4</v>
      </c>
      <c r="AG5" s="8">
        <f>VLOOKUP($G$5&amp;$F$1,'Input RM sheet'!$A:$BM,AG1,0)</f>
        <v>860</v>
      </c>
      <c r="AH5" s="8">
        <f>VLOOKUP($G$5&amp;$F$1,'Input RM sheet'!$A:$BM,AH1,0)</f>
        <v>1011</v>
      </c>
      <c r="AI5" s="8">
        <f>VLOOKUP($G$5&amp;$F$1,'Input RM sheet'!$A:$BM,AI1,0)</f>
        <v>903</v>
      </c>
      <c r="AJ5" s="8">
        <f>VLOOKUP($G$5&amp;$F$1,'Input RM sheet'!$A:$BM,AJ1,0)</f>
        <v>904</v>
      </c>
      <c r="AK5" s="8">
        <f>VLOOKUP($G$5&amp;$F$1,'Input RM sheet'!$A:$BM,AK1,0)</f>
        <v>828</v>
      </c>
      <c r="AL5" s="8">
        <f>VLOOKUP($G$5&amp;$F$1,'Input RM sheet'!$A:$BM,AL1,0)</f>
        <v>791</v>
      </c>
      <c r="AM5" s="8">
        <f>VLOOKUP($G$5&amp;$F$1,'Input RM sheet'!$A:$BM,AM1,0)</f>
        <v>701</v>
      </c>
      <c r="AN5" s="8">
        <f>VLOOKUP($G$5&amp;$F$1,'Input RM sheet'!$A:$BM,AN1,0)</f>
        <v>661</v>
      </c>
      <c r="AO5" s="8">
        <f>VLOOKUP($G$5&amp;$F$1,'Input RM sheet'!$A:$BM,AO1,0)</f>
        <v>683</v>
      </c>
      <c r="AP5" s="8">
        <f>VLOOKUP($G$5&amp;$F$1,'Input RM sheet'!$A:$BM,AP1,0)</f>
        <v>693</v>
      </c>
      <c r="AQ5" s="8">
        <f>VLOOKUP($G$5&amp;$F$1,'Input RM sheet'!$A:$BM,AQ1,0)</f>
        <v>625.5</v>
      </c>
      <c r="AR5" s="8">
        <f>VLOOKUP($G$5&amp;$F$1,'Input RM sheet'!$A:$BM,AR1,0)</f>
        <v>710</v>
      </c>
      <c r="AS5" s="8">
        <f>VLOOKUP($G$5&amp;$F$1,'Input RM sheet'!$A:$BM,AS1,0)</f>
        <v>720</v>
      </c>
      <c r="AT5" s="8">
        <f>VLOOKUP($G$5&amp;$F$1,'Input RM sheet'!$A:$BM,AT1,0)</f>
        <v>840</v>
      </c>
      <c r="AU5" s="8">
        <f>VLOOKUP($G$5&amp;$F$1,'Input RM sheet'!$A:$BM,AU1,0)</f>
        <v>975</v>
      </c>
      <c r="AV5" s="8">
        <f>VLOOKUP($G$5&amp;$F$1,'Input RM sheet'!$A:$BM,AV1,0)</f>
        <v>835</v>
      </c>
      <c r="AW5" s="8">
        <f>VLOOKUP($G$5&amp;$F$1,'Input RM sheet'!$A:$BM,AW1,0)</f>
        <v>670</v>
      </c>
      <c r="AX5" s="8">
        <f>VLOOKUP($G$5&amp;$F$1,'Input RM sheet'!$A:$BM,AX1,0)</f>
        <v>712.5</v>
      </c>
      <c r="AY5" s="8">
        <f>VLOOKUP($G$5&amp;$F$1,'Input RM sheet'!$A:$BM,AY1,0)</f>
        <v>780</v>
      </c>
      <c r="AZ5" s="8">
        <f>VLOOKUP($G$5&amp;$F$1,'Input RM sheet'!$A:$BM,AZ1,0)</f>
        <v>804</v>
      </c>
      <c r="BA5" s="8">
        <f>VLOOKUP($G$5&amp;$F$1,'Input RM sheet'!$A:$BM,BA1,0)</f>
        <v>842</v>
      </c>
      <c r="BB5" s="8">
        <f>VLOOKUP($G$5&amp;$F$1,'Input RM sheet'!$A:$BM,BB1,0)</f>
        <v>873</v>
      </c>
      <c r="BC5" s="8">
        <f>VLOOKUP($G$5&amp;$F$1,'Input RM sheet'!$A:$BM,BC1,0)</f>
        <v>863</v>
      </c>
      <c r="BD5" s="8">
        <f>VLOOKUP($G$5&amp;$F$1,'Input RM sheet'!$A:$BM,BD1,0)</f>
        <v>876</v>
      </c>
      <c r="BE5" s="8">
        <f>VLOOKUP($G$5&amp;$F$1,'Input RM sheet'!$A:$BM,BE1,0)</f>
        <v>876</v>
      </c>
      <c r="BF5" s="8">
        <f>VLOOKUP($G$5&amp;$F$1,'Input RM sheet'!$A:$DD,BF1,0)</f>
        <v>865</v>
      </c>
      <c r="BG5" s="8">
        <f>VLOOKUP($G$5&amp;$F$1,'Input RM sheet'!$A:$DD,BG1,0)</f>
        <v>930</v>
      </c>
      <c r="BH5" s="8">
        <f>VLOOKUP($G$5&amp;$F$1,'Input RM sheet'!$A:$DD,BH1,0)</f>
        <v>1010</v>
      </c>
      <c r="BI5" s="8">
        <f>VLOOKUP($G$5&amp;$F$1,'Input RM sheet'!$A:$DD,BI1,0)</f>
        <v>950</v>
      </c>
      <c r="BJ5" s="8">
        <f>VLOOKUP($G$5&amp;$F$1,'Input RM sheet'!$A:$DD,BJ1,0)</f>
        <v>888</v>
      </c>
      <c r="BK5" s="8">
        <f>VLOOKUP($G$5&amp;$F$1,'Input RM sheet'!$A:$DD,BK1,0)</f>
        <v>901</v>
      </c>
      <c r="BL5" s="8">
        <f>VLOOKUP($G$5&amp;$F$1,'Input RM sheet'!$A:$DD,BL1,0)</f>
        <v>882</v>
      </c>
      <c r="BM5" s="8">
        <f>VLOOKUP($G$5&amp;$F$1,'Input RM sheet'!$A:$DD,BM1,0)</f>
        <v>882</v>
      </c>
      <c r="BN5" s="8">
        <f>VLOOKUP($G$5&amp;$F$1,'Input RM sheet'!$A:$DD,BN1,0)</f>
        <v>882</v>
      </c>
      <c r="BO5" s="8">
        <f>VLOOKUP($G$5&amp;$F$1,'Input RM sheet'!$A:$DD,BO1,0)</f>
        <v>843</v>
      </c>
      <c r="BP5" s="8">
        <f>VLOOKUP($G$5&amp;$F$1,'Input RM sheet'!$A:$DD,BP1,0)</f>
        <v>867</v>
      </c>
      <c r="BQ5" s="8">
        <f>VLOOKUP($G$5&amp;$F$1,'Input RM sheet'!$A:$DD,BQ1,0)</f>
        <v>846</v>
      </c>
      <c r="BR5" s="8">
        <f>VLOOKUP($G$5&amp;$F$1,'Input RM sheet'!$A:$DD,BR1,0)</f>
        <v>826</v>
      </c>
      <c r="BS5" s="8">
        <f>VLOOKUP($G$5&amp;$F$1,'Input RM sheet'!$A:$DD,BS1,0)</f>
        <v>815</v>
      </c>
      <c r="BT5" s="8">
        <f>VLOOKUP($G$5&amp;$F$1,'Input RM sheet'!$A:$DD,BT1,0)</f>
        <v>863</v>
      </c>
      <c r="BU5" s="8">
        <f>VLOOKUP($G$5&amp;$F$1,'Input RM sheet'!$A:$DD,BU1,0)</f>
        <v>855</v>
      </c>
      <c r="BV5" s="8">
        <f>VLOOKUP($G$5&amp;$F$1,'Input RM sheet'!$A:$DD,BV1,0)</f>
        <v>872</v>
      </c>
      <c r="BW5" s="8">
        <f>VLOOKUP($G$5&amp;$F$1,'Input RM sheet'!$A:$DD,BW1,0)</f>
        <v>920</v>
      </c>
      <c r="BX5" s="8">
        <f>VLOOKUP($G$5&amp;$F$1,'Input RM sheet'!$A:$DD,BX1,0)</f>
        <v>922</v>
      </c>
      <c r="BY5" s="8">
        <f>VLOOKUP($G$5&amp;$F$1,'Input RM sheet'!$A:$DD,BY1,0)</f>
        <v>975</v>
      </c>
      <c r="BZ5" s="8">
        <f>VLOOKUP($G$5&amp;$F$1,'Input RM sheet'!$A:$DD,BZ1,0)</f>
        <v>985</v>
      </c>
      <c r="CA5" s="8">
        <f>VLOOKUP($G$5&amp;$F$1,'Input RM sheet'!$A:$DD,CA1,0)</f>
        <v>1024</v>
      </c>
      <c r="CB5" s="8">
        <f>VLOOKUP($G$5&amp;$F$1,'Input RM sheet'!$A:$DD,CB1,0)</f>
        <v>1022</v>
      </c>
      <c r="CC5" s="8">
        <f>VLOOKUP($G$5&amp;$F$1,'Input RM sheet'!$A:$DD,CC1,0)</f>
        <v>1010</v>
      </c>
      <c r="CD5" s="8">
        <f>VLOOKUP($G$5&amp;$F$1,'Input RM sheet'!$A:$DD,CD1,0)</f>
        <v>995</v>
      </c>
      <c r="CE5" s="8">
        <f>VLOOKUP($G$5&amp;$F$1,'Input RM sheet'!$A:$DD,CE1,0)</f>
        <v>1014</v>
      </c>
      <c r="CF5" s="8">
        <f>VLOOKUP($G$5&amp;$F$1,'Input RM sheet'!$A:$DD,CF1,0)</f>
        <v>1014</v>
      </c>
      <c r="CG5" s="8">
        <f>VLOOKUP($G$5&amp;$F$1,'Input RM sheet'!$A:$DD,CG1,0)</f>
        <v>1018</v>
      </c>
      <c r="CH5" s="8">
        <f>VLOOKUP($G$5&amp;$F$1,'Input RM sheet'!$A:$DD,CH1,0)</f>
        <v>1065</v>
      </c>
      <c r="CI5" s="8">
        <f>VLOOKUP($G$5&amp;$F$1,'Input RM sheet'!$A:$DD,CI1,0)</f>
        <v>1052</v>
      </c>
      <c r="CJ5" s="8">
        <f>VLOOKUP($G$5&amp;$F$1,'Input RM sheet'!$A:$DD,CJ1,0)</f>
        <v>1044</v>
      </c>
      <c r="CK5" s="8">
        <f>VLOOKUP($G$5&amp;$F$1,'Input RM sheet'!$A:$DD,CK1,0)</f>
        <v>1035</v>
      </c>
      <c r="CL5" s="8">
        <f>VLOOKUP($G$5&amp;$F$1,'Input RM sheet'!$A:$DD,CL1,0)</f>
        <v>1025</v>
      </c>
      <c r="CM5" s="8">
        <f>VLOOKUP($G$5&amp;$F$1,'Input RM sheet'!$A:$DD,CM1,0)</f>
        <v>1014</v>
      </c>
      <c r="CN5" s="8">
        <f>VLOOKUP($G$5&amp;$F$1,'Input RM sheet'!$A:$DD,CN1,0)</f>
        <v>1021</v>
      </c>
      <c r="CO5" s="8">
        <f>VLOOKUP($G$5&amp;$F$1,'Input RM sheet'!$A:$DD,CO1,0)</f>
        <v>1025</v>
      </c>
      <c r="CP5" s="8">
        <f>VLOOKUP($G$5&amp;$F$1,'Input RM sheet'!$A:$DD,CP1,0)</f>
        <v>1040</v>
      </c>
      <c r="CQ5" s="8">
        <f>VLOOKUP($G$5&amp;$F$1,'Input RM sheet'!$A:$DD,CQ1,0)</f>
        <v>1040</v>
      </c>
      <c r="CR5" s="8">
        <f>VLOOKUP($G$5&amp;$F$1,'Input RM sheet'!$A:$ZZ,CR1,0)</f>
        <v>1004</v>
      </c>
      <c r="CS5" s="8">
        <f>VLOOKUP($G$5&amp;$F$1,'Input RM sheet'!$A:$ZZ,CS1,0)</f>
        <v>981</v>
      </c>
      <c r="CT5" s="8">
        <f>VLOOKUP($G$5&amp;$F$1,'Input RM sheet'!$A:$ZZ,CT1,0)</f>
        <v>1028</v>
      </c>
      <c r="CU5" s="8">
        <f>VLOOKUP($G$5&amp;$F$1,'Input RM sheet'!$A:$ZZ,CU1,0)</f>
        <v>1005</v>
      </c>
      <c r="CV5" s="8">
        <f>VLOOKUP($G$5&amp;$F$1,'Input RM sheet'!$A:$ZZ,CV1,0)</f>
        <v>996</v>
      </c>
      <c r="CW5" s="8">
        <f>VLOOKUP($G$5&amp;$F$1,'Input RM sheet'!$A:$ZZ,CW1,0)</f>
        <v>992</v>
      </c>
      <c r="CX5" s="8">
        <f>VLOOKUP($G$5&amp;$F$1,'Input RM sheet'!$A:$ZZ,CX1,0)</f>
        <v>961</v>
      </c>
      <c r="CY5" s="8">
        <f>VLOOKUP($G$5&amp;$F$1,'Input RM sheet'!$A:$ZZ,CY1,0)</f>
        <v>1003</v>
      </c>
      <c r="CZ5" s="8">
        <f>VLOOKUP($G$5&amp;$F$1,'Input RM sheet'!$A:$ZZ,CZ1,0)</f>
        <v>1011</v>
      </c>
      <c r="DA5" s="8">
        <f>VLOOKUP($G$5&amp;$F$1,'Input RM sheet'!$A:$ZZ,DA1,0)</f>
        <v>987</v>
      </c>
      <c r="DB5" s="8">
        <f>VLOOKUP($G$5&amp;$F$1,'Input RM sheet'!$A:$ZZ,DB1,0)</f>
        <v>995</v>
      </c>
      <c r="DC5" s="8">
        <f>VLOOKUP($G$5&amp;$F$1,'Input RM sheet'!$A:$ZZ,DC1,0)</f>
        <v>980</v>
      </c>
      <c r="DD5" s="8">
        <f>VLOOKUP($G$5&amp;$F$1,'Input RM sheet'!$A:$ZZ,DD1,0)</f>
        <v>935</v>
      </c>
      <c r="DE5" s="8">
        <f>VLOOKUP($G$5&amp;$F$1,'Input RM sheet'!$A:$ZZ,DE1,0)</f>
        <v>942</v>
      </c>
      <c r="DF5" s="8">
        <f>VLOOKUP($G$5&amp;$F$1,'Input RM sheet'!$A:$ZZ,DF1,0)</f>
        <v>933</v>
      </c>
      <c r="DG5" s="8">
        <f>VLOOKUP($G$5&amp;$F$1,'Input RM sheet'!$A:$ZZ,DG1,0)</f>
        <v>982</v>
      </c>
      <c r="DH5" s="8">
        <f>VLOOKUP($G$5&amp;$F$1,'Input RM sheet'!$A:$ZZ,DH1,0)</f>
        <v>888</v>
      </c>
      <c r="DI5" s="8">
        <f>VLOOKUP($G$5&amp;$F$1,'Input RM sheet'!$A:$ZZ,DI1,0)</f>
        <v>884</v>
      </c>
      <c r="DJ5" s="8">
        <f>VLOOKUP($G$5&amp;$F$1,'Input RM sheet'!$A:$ZZ,DJ1,0)</f>
        <v>880</v>
      </c>
      <c r="DK5" s="8">
        <f>VLOOKUP($G$5&amp;$F$1,'Input RM sheet'!$A:$ZZ,DK1,0)</f>
        <v>897</v>
      </c>
      <c r="DL5" s="8">
        <f>VLOOKUP($G$5&amp;$F$1,'Input RM sheet'!$A:$ZZ,DL1,0)</f>
        <v>861</v>
      </c>
      <c r="DM5" s="8">
        <f>VLOOKUP($G$5&amp;$F$1,'Input RM sheet'!$A:$ZZ,DM1,0)</f>
        <v>877</v>
      </c>
      <c r="DN5" s="8">
        <f>VLOOKUP($G$5&amp;$F$1,'Input RM sheet'!$A:$ZZ,DN1,0)</f>
        <v>862</v>
      </c>
      <c r="DO5" s="8">
        <f>VLOOKUP($G$5&amp;$F$1,'Input RM sheet'!$A:$ZZ,DO1,0)</f>
        <v>874</v>
      </c>
      <c r="DP5" s="8">
        <f>VLOOKUP($G$5&amp;$F$1,'Input RM sheet'!$A:$ZZ,DP1,0)</f>
        <v>878</v>
      </c>
      <c r="DQ5" s="8">
        <f>VLOOKUP($G$5&amp;$F$1,'Input RM sheet'!$A:$ZZ,DQ1,0)</f>
        <v>885</v>
      </c>
      <c r="DR5" s="8">
        <f>VLOOKUP($G$5&amp;$F$1,'Input RM sheet'!$A:$ZZ,DR1,0)</f>
        <v>869</v>
      </c>
      <c r="DS5" s="8">
        <f>VLOOKUP($G$5&amp;$F$1,'Input RM sheet'!$A:$ZZ,DS1,0)</f>
        <v>0</v>
      </c>
      <c r="DT5" s="8">
        <f>VLOOKUP($G$5&amp;$F$1,'Input RM sheet'!$A:$ZZ,DT1,0)</f>
        <v>0</v>
      </c>
      <c r="DU5" s="8">
        <f>VLOOKUP($G$5&amp;$F$1,'Input RM sheet'!$A:$ZZ,DU1,0)</f>
        <v>0</v>
      </c>
      <c r="DV5" s="8">
        <f>VLOOKUP($G$5&amp;$F$1,'Input RM sheet'!$A:$ZZ,DV1,0)</f>
        <v>0</v>
      </c>
      <c r="DW5" s="8">
        <f>VLOOKUP($G$5&amp;$F$1,'Input RM sheet'!$A:$ZZ,DW1,0)</f>
        <v>0</v>
      </c>
      <c r="DX5" s="8">
        <f>VLOOKUP($G$5&amp;$F$1,'Input RM sheet'!$A:$ZZ,DX1,0)</f>
        <v>0</v>
      </c>
      <c r="DY5" s="8">
        <f>VLOOKUP($G$5&amp;$F$1,'Input RM sheet'!$A:$ZZ,DY1,0)</f>
        <v>0</v>
      </c>
      <c r="DZ5" s="8">
        <f>VLOOKUP($G$5&amp;$F$1,'Input RM sheet'!$A:$ZZ,DZ1,0)</f>
        <v>0</v>
      </c>
      <c r="EA5" s="8">
        <f>VLOOKUP($G$5&amp;$F$1,'Input RM sheet'!$A:$ZZ,EA1,0)</f>
        <v>0</v>
      </c>
    </row>
    <row r="6" spans="1:158">
      <c r="A6" s="53"/>
      <c r="B6" s="18"/>
      <c r="C6" s="190" t="s">
        <v>600</v>
      </c>
      <c r="D6" s="18"/>
      <c r="G6" s="8" t="s">
        <v>605</v>
      </c>
      <c r="H6" s="20">
        <f>VLOOKUP($G$6&amp;$F$1,'Input RM sheet'!$A:$BM,H1,0)</f>
        <v>5.6109925135332389E-2</v>
      </c>
      <c r="I6" s="20">
        <f>VLOOKUP($G$6&amp;$F$1,'Input RM sheet'!$A:$BM,I1,0)</f>
        <v>5.5903821908158395E-2</v>
      </c>
      <c r="J6" s="20">
        <f>VLOOKUP($G$6&amp;$F$1,'Input RM sheet'!$A:$BM,J1,0)</f>
        <v>5.3725164243026279E-2</v>
      </c>
      <c r="K6" s="20">
        <f>VLOOKUP($G$6&amp;$F$1,'Input RM sheet'!$A:$BM,K1,0)</f>
        <v>5.2457901878019117E-2</v>
      </c>
      <c r="L6" s="20">
        <f>VLOOKUP($G$6&amp;$F$1,'Input RM sheet'!$A:$BM,L1,0)</f>
        <v>5.2891688868735076E-2</v>
      </c>
      <c r="M6" s="20">
        <f>VLOOKUP($G$6&amp;$F$1,'Input RM sheet'!$A:$BM,M1,0)</f>
        <v>5.280815273385165E-2</v>
      </c>
      <c r="N6" s="20">
        <f>VLOOKUP($G$6&amp;$F$1,'Input RM sheet'!$A:$BM,N1,0)</f>
        <v>5.3387262505255863E-2</v>
      </c>
      <c r="O6" s="20">
        <f>VLOOKUP($G$6&amp;$F$1,'Input RM sheet'!$A:$BM,O1,0)</f>
        <v>5.362872496365681E-2</v>
      </c>
      <c r="P6" s="20">
        <f>VLOOKUP($G$6&amp;$F$1,'Input RM sheet'!$A:$BM,P1,0)</f>
        <v>5.4396709216679211E-2</v>
      </c>
      <c r="Q6" s="20">
        <f>VLOOKUP($G$6&amp;$F$1,'Input RM sheet'!$A:$BM,Q1,0)</f>
        <v>5.4409064901238764E-2</v>
      </c>
      <c r="R6" s="20">
        <f>VLOOKUP($G$6&amp;$F$1,'Input RM sheet'!$A:$BM,R1,0)</f>
        <v>5.3884974170462174E-2</v>
      </c>
      <c r="S6" s="20">
        <f>VLOOKUP($G$6&amp;$F$1,'Input RM sheet'!$A:$BM,S1,0)</f>
        <v>5.4250702377062344E-2</v>
      </c>
      <c r="T6" s="20">
        <f>VLOOKUP($G$6&amp;$F$1,'Input RM sheet'!$A:$BM,T1,0)</f>
        <v>5.4697114727198147E-2</v>
      </c>
      <c r="U6" s="20">
        <f>VLOOKUP($G$6&amp;$F$1,'Input RM sheet'!$A:$BM,U1,0)</f>
        <v>5.4945054945054944E-2</v>
      </c>
      <c r="V6" s="20">
        <f>VLOOKUP($G$6&amp;$F$1,'Input RM sheet'!$A:$BM,V1,0)</f>
        <v>5.4945054945054944E-2</v>
      </c>
      <c r="W6" s="20">
        <f>VLOOKUP($G$6&amp;$F$1,'Input RM sheet'!$A:$BM,W1,0)</f>
        <v>5.3727333781061114E-2</v>
      </c>
      <c r="X6" s="20">
        <f>VLOOKUP($G$6&amp;$F$1,'Input RM sheet'!$A:$BM,X1,0)</f>
        <v>5.4607508532423209E-2</v>
      </c>
      <c r="Y6" s="20">
        <f>VLOOKUP($G$6&amp;$F$1,'Input RM sheet'!$A:$BM,Y1,0)</f>
        <v>5.4392167527875984E-2</v>
      </c>
      <c r="Z6" s="20">
        <f>VLOOKUP($G$6&amp;$F$1,'Input RM sheet'!$A:$BM,Z1,0)</f>
        <v>5.3669663222863276E-2</v>
      </c>
      <c r="AA6" s="20">
        <f>VLOOKUP($G$6&amp;$F$1,'Input RM sheet'!$A:$BM,AA1,0)</f>
        <v>5.3937432578209279E-2</v>
      </c>
      <c r="AB6" s="20">
        <f>VLOOKUP($G$6&amp;$F$1,'Input RM sheet'!$A:$BM,AB1,0)</f>
        <v>5.4384772263766146E-2</v>
      </c>
      <c r="AC6" s="20">
        <f>VLOOKUP($G$6&amp;$F$1,'Input RM sheet'!$A:$BM,AC1,0)</f>
        <v>5.3397410225604063E-2</v>
      </c>
      <c r="AD6" s="20">
        <f>VLOOKUP($G$6&amp;$F$1,'Input RM sheet'!$A:$BM,AD1,0)</f>
        <v>5.3712904525312209E-2</v>
      </c>
      <c r="AE6" s="20">
        <f>VLOOKUP($G$6&amp;$F$1,'Input RM sheet'!$A:$BM,AE1,0)</f>
        <v>5.3036329885971886E-2</v>
      </c>
      <c r="AF6" s="20">
        <f>VLOOKUP($G$6&amp;$F$1,'Input RM sheet'!$A:$BM,AF1,0)</f>
        <v>5.3727333781061114E-2</v>
      </c>
      <c r="AG6" s="20">
        <f>VLOOKUP($G$6&amp;$F$1,'Input RM sheet'!$A:$BM,AG1,0)</f>
        <v>5.3361792956243333E-2</v>
      </c>
      <c r="AH6" s="20">
        <f>VLOOKUP($G$6&amp;$F$1,'Input RM sheet'!$A:$BM,AH1,0)</f>
        <v>5.2486550321480127E-2</v>
      </c>
      <c r="AI6" s="20">
        <f>VLOOKUP($G$6&amp;$F$1,'Input RM sheet'!$A:$BM,AI1,0)</f>
        <v>5.2348809277255978E-2</v>
      </c>
      <c r="AJ6" s="20">
        <f>VLOOKUP($G$6&amp;$F$1,'Input RM sheet'!$A:$BM,AJ1,0)</f>
        <v>5.1733542509290222E-2</v>
      </c>
      <c r="AK6" s="20">
        <f>VLOOKUP($G$6&amp;$F$1,'Input RM sheet'!$A:$BM,AK1,0)</f>
        <v>5.123306637994781E-2</v>
      </c>
      <c r="AL6" s="20">
        <f>VLOOKUP($G$6&amp;$F$1,'Input RM sheet'!$A:$BM,AL1,0)</f>
        <v>5.0250276286786945E-2</v>
      </c>
      <c r="AM6" s="20">
        <f>VLOOKUP($G$6&amp;$F$1,'Input RM sheet'!$A:$BM,AM1,0)</f>
        <v>5.0284779467718851E-2</v>
      </c>
      <c r="AN6" s="20">
        <f>VLOOKUP($G$6&amp;$F$1,'Input RM sheet'!$A:$BM,AN1,0)</f>
        <v>4.9855696086928386E-2</v>
      </c>
      <c r="AO6" s="20">
        <f>VLOOKUP($G$6&amp;$F$1,'Input RM sheet'!$A:$BM,AO1,0)</f>
        <v>4.8578993593037967E-2</v>
      </c>
      <c r="AP6" s="20">
        <f>VLOOKUP($G$6&amp;$F$1,'Input RM sheet'!$A:$BM,AP1,0)</f>
        <v>4.889346805967261E-2</v>
      </c>
      <c r="AQ6" s="20">
        <f>VLOOKUP($G$6&amp;$F$1,'Input RM sheet'!$A:$BM,AQ1,0)</f>
        <v>4.8505889083457529E-2</v>
      </c>
      <c r="AR6" s="20">
        <f>VLOOKUP($G$6&amp;$F$1,'Input RM sheet'!$A:$BM,AR1,0)</f>
        <v>4.8840293055712705E-2</v>
      </c>
      <c r="AS6" s="20">
        <f>VLOOKUP($G$6&amp;$F$1,'Input RM sheet'!$A:$BM,AS1,0)</f>
        <v>4.870822736756994E-2</v>
      </c>
      <c r="AT6" s="20">
        <f>VLOOKUP($G$6&amp;$F$1,'Input RM sheet'!$A:$BM,AT1,0)</f>
        <v>4.870822736756994E-2</v>
      </c>
      <c r="AU6" s="20">
        <f>VLOOKUP($G$6&amp;$F$1,'Input RM sheet'!$A:$BM,AU1,0)</f>
        <v>4.870822736756994E-2</v>
      </c>
      <c r="AV6" s="20">
        <f>VLOOKUP($G$6&amp;$F$1,'Input RM sheet'!$A:$BM,AV1,0)</f>
        <v>4.870822736756994E-2</v>
      </c>
      <c r="AW6" s="20">
        <f>VLOOKUP($G$6&amp;$F$1,'Input RM sheet'!$A:$BM,AW1,0)</f>
        <v>4.8484848484848485E-2</v>
      </c>
      <c r="AX6" s="20">
        <f>VLOOKUP($G$6&amp;$F$1,'Input RM sheet'!$A:$BM,AX1,0)</f>
        <v>4.8520135856380396E-2</v>
      </c>
      <c r="AY6" s="20">
        <f>VLOOKUP($G$6&amp;$F$1,'Input RM sheet'!$A:$BM,AY1,0)</f>
        <v>4.8673643222195175E-2</v>
      </c>
      <c r="AZ6" s="20">
        <f>VLOOKUP($G$6&amp;$F$1,'Input RM sheet'!$A:$BM,AZ1,0)</f>
        <v>4.8828125E-2</v>
      </c>
      <c r="BA6" s="20">
        <f>VLOOKUP($G$6&amp;$F$1,'Input RM sheet'!$A:$BM,BA1,0)</f>
        <v>4.8626306831996105E-2</v>
      </c>
      <c r="BB6" s="20">
        <f>VLOOKUP($G$6&amp;$F$1,'Input RM sheet'!$A:$BM,BB1,0)</f>
        <v>4.8291681757817215E-2</v>
      </c>
      <c r="BC6" s="20">
        <f>VLOOKUP($G$6&amp;$F$1,'Input RM sheet'!$A:$BM,BC1,0)</f>
        <v>4.8048048048048048E-2</v>
      </c>
      <c r="BD6" s="20">
        <f>VLOOKUP($G$6&amp;$F$1,'Input RM sheet'!$A:$BM,BD1,0)</f>
        <v>4.8048048048048048E-2</v>
      </c>
      <c r="BE6" s="20">
        <f>VLOOKUP($G$6&amp;$F$1,'Input RM sheet'!$A:$BM,BE1,0)</f>
        <v>4.8396854204476702E-2</v>
      </c>
      <c r="BF6" s="20">
        <f>VLOOKUP($G$6&amp;$F$1,'Input RM sheet'!$A:$DD,BF1,0)</f>
        <v>4.8163756773028296E-2</v>
      </c>
      <c r="BG6" s="20">
        <f>VLOOKUP($G$6&amp;$F$1,'Input RM sheet'!$A:$DD,BG1,0)</f>
        <v>4.8227634434530986E-2</v>
      </c>
      <c r="BH6" s="20">
        <f>VLOOKUP($G$6&amp;$F$1,'Input RM sheet'!$A:$DD,BH1,0)</f>
        <v>4.8233449897503916E-2</v>
      </c>
      <c r="BI6" s="20">
        <f>VLOOKUP($G$6&amp;$F$1,'Input RM sheet'!$A:$DD,BI1,0)</f>
        <v>4.8042277203939464E-2</v>
      </c>
      <c r="BJ6" s="20">
        <f>VLOOKUP($G$6&amp;$F$1,'Input RM sheet'!$A:$DD,BJ1,0)</f>
        <v>4.8065368901706318E-2</v>
      </c>
      <c r="BK6" s="20">
        <f>VLOOKUP($G$6&amp;$F$1,'Input RM sheet'!$A:$DD,BK1,0)</f>
        <v>4.8048048048048048E-2</v>
      </c>
      <c r="BL6" s="20">
        <f>VLOOKUP($G$6&amp;$F$1,'Input RM sheet'!$A:$DD,BL1,0)</f>
        <v>4.8123195380173241E-2</v>
      </c>
      <c r="BM6" s="20">
        <f>VLOOKUP($G$6&amp;$F$1,'Input RM sheet'!$A:$DD,BM1,0)</f>
        <v>4.8042277203939464E-2</v>
      </c>
      <c r="BN6" s="20">
        <f>VLOOKUP($G$6&amp;$F$1,'Input RM sheet'!$A:$DD,BN1,0)</f>
        <v>4.8065368901706318E-2</v>
      </c>
      <c r="BO6" s="20">
        <f>VLOOKUP($G$6&amp;$F$1,'Input RM sheet'!$A:$DD,BO1,0)</f>
        <v>4.808270224786633E-2</v>
      </c>
      <c r="BP6" s="20">
        <f>VLOOKUP($G$6&amp;$F$1,'Input RM sheet'!$A:$DD,BP1,0)</f>
        <v>4.808270224786633E-2</v>
      </c>
      <c r="BQ6" s="20">
        <f>VLOOKUP($G$6&amp;$F$1,'Input RM sheet'!$A:$DD,BQ1,0)</f>
        <v>4.8001920076803074E-2</v>
      </c>
      <c r="BR6" s="20">
        <f>VLOOKUP($G$6&amp;$F$1,'Input RM sheet'!$A:$DD,BR1,0)</f>
        <v>4.7961630695443645E-2</v>
      </c>
      <c r="BS6" s="20">
        <f>VLOOKUP($G$6&amp;$F$1,'Input RM sheet'!$A:$DD,BS1,0)</f>
        <v>4.7984644913627639E-2</v>
      </c>
      <c r="BT6" s="20">
        <f>VLOOKUP($G$6&amp;$F$1,'Input RM sheet'!$A:$DD,BT1,0)</f>
        <v>4.8053820278712162E-2</v>
      </c>
      <c r="BU6" s="20">
        <f>VLOOKUP($G$6&amp;$F$1,'Input RM sheet'!$A:$DD,BU1,0)</f>
        <v>4.8007681228996645E-2</v>
      </c>
      <c r="BV6" s="20">
        <f>VLOOKUP($G$6&amp;$F$1,'Input RM sheet'!$A:$DD,BV1,0)</f>
        <v>4.8111618955977868E-2</v>
      </c>
      <c r="BW6" s="20">
        <f>VLOOKUP($G$6&amp;$F$1,'Input RM sheet'!$A:$DD,BW1,0)</f>
        <v>4.8105832832230903E-2</v>
      </c>
      <c r="BX6" s="20">
        <f>VLOOKUP($G$6&amp;$F$1,'Input RM sheet'!$A:$DD,BX1,0)</f>
        <v>4.8048048048048048E-2</v>
      </c>
      <c r="BY6" s="20">
        <f>VLOOKUP($G$6&amp;$F$1,'Input RM sheet'!$A:$DD,BY1,0)</f>
        <v>4.8157958102576448E-2</v>
      </c>
      <c r="BZ6" s="20">
        <f>VLOOKUP($G$6&amp;$F$1,'Input RM sheet'!$A:$DD,BZ1,0)</f>
        <v>4.8192771084337352E-2</v>
      </c>
      <c r="CA6" s="20">
        <f>VLOOKUP($G$6&amp;$F$1,'Input RM sheet'!$A:$DD,CA1,0)</f>
        <v>4.8186965425852303E-2</v>
      </c>
      <c r="CB6" s="20">
        <f>VLOOKUP($G$6&amp;$F$1,'Input RM sheet'!$A:$DD,CB1,0)</f>
        <v>4.8250904704463207E-2</v>
      </c>
      <c r="CC6" s="20">
        <f>VLOOKUP($G$6&amp;$F$1,'Input RM sheet'!$A:$DD,CC1,0)</f>
        <v>4.8250904704463207E-2</v>
      </c>
      <c r="CD6" s="20">
        <f>VLOOKUP($G$6&amp;$F$1,'Input RM sheet'!$A:$DD,CD1,0)</f>
        <v>4.8367593712212817E-2</v>
      </c>
      <c r="CE6" s="20">
        <f>VLOOKUP($G$6&amp;$F$1,'Input RM sheet'!$A:$DD,CE1,0)</f>
        <v>4.8332527791203478E-2</v>
      </c>
      <c r="CF6" s="20">
        <f>VLOOKUP($G$6&amp;$F$1,'Input RM sheet'!$A:$DD,CF1,0)</f>
        <v>4.8042277203939464E-2</v>
      </c>
      <c r="CG6" s="20">
        <f>VLOOKUP($G$6&amp;$F$1,'Input RM sheet'!$A:$DD,CG1,0)</f>
        <v>4.7967382180117521E-2</v>
      </c>
      <c r="CH6" s="20">
        <f>VLOOKUP($G$6&amp;$F$1,'Input RM sheet'!$A:$DD,CH1,0)</f>
        <v>4.8071145295036657E-2</v>
      </c>
      <c r="CI6" s="20">
        <f>VLOOKUP($G$6&amp;$F$1,'Input RM sheet'!$A:$DD,CI1,0)</f>
        <v>4.7961630695443645E-2</v>
      </c>
      <c r="CJ6" s="20">
        <f>VLOOKUP($G$6&amp;$F$1,'Input RM sheet'!$A:$DD,CJ1,0)</f>
        <v>4.7841167324482715E-2</v>
      </c>
      <c r="CK6" s="20">
        <f>VLOOKUP($G$6&amp;$F$1,'Input RM sheet'!$A:$DD,CK1,0)</f>
        <v>4.7950131862862622E-2</v>
      </c>
      <c r="CL6" s="20">
        <f>VLOOKUP($G$6&amp;$F$1,'Input RM sheet'!$A:$DD,CL1,0)</f>
        <v>4.790419161676647E-2</v>
      </c>
      <c r="CM6" s="20">
        <f>VLOOKUP($G$6&amp;$F$1,'Input RM sheet'!$A:$DD,CM1,0)</f>
        <v>4.799040191961608E-2</v>
      </c>
      <c r="CN6" s="20">
        <f>VLOOKUP($G$6&amp;$F$1,'Input RM sheet'!$A:$DD,CN1,0)</f>
        <v>4.799040191961608E-2</v>
      </c>
      <c r="CO6" s="20">
        <f>VLOOKUP($G$6&amp;$F$1,'Input RM sheet'!$A:$DD,CO1,0)</f>
        <v>4.799040191961608E-2</v>
      </c>
      <c r="CP6" s="20">
        <f>VLOOKUP($G$6&amp;$F$1,'Input RM sheet'!$A:$DD,CP1,0)</f>
        <v>4.799040191961608E-2</v>
      </c>
      <c r="CQ6" s="20">
        <f>VLOOKUP($G$6&amp;$F$1,'Input RM sheet'!$A:$DD,CQ1,0)</f>
        <v>4.7681487662415069E-2</v>
      </c>
      <c r="CR6" s="20">
        <f>VLOOKUP($G$6&amp;$F$1,'Input RM sheet'!$A:$ZZ,CR1,0)</f>
        <v>4.7961630695443645E-2</v>
      </c>
      <c r="CS6" s="20">
        <f>VLOOKUP($G$6&amp;$F$1,'Input RM sheet'!$A:$ZZ,CS1,0)</f>
        <v>4.790419161676647E-2</v>
      </c>
      <c r="CT6" s="20">
        <f>VLOOKUP($G$6&amp;$F$1,'Input RM sheet'!$A:$ZZ,CT1,0)</f>
        <v>4.7932893948472138E-2</v>
      </c>
      <c r="CU6" s="20">
        <f>VLOOKUP($G$6&amp;$F$1,'Input RM sheet'!$A:$ZZ,CU1,0)</f>
        <v>4.7921408889421348E-2</v>
      </c>
      <c r="CV6" s="20">
        <f>VLOOKUP($G$6&amp;$F$1,'Input RM sheet'!$A:$ZZ,CV1,0)</f>
        <v>4.7875523638539801E-2</v>
      </c>
      <c r="CW6" s="20">
        <f>VLOOKUP($G$6&amp;$F$1,'Input RM sheet'!$A:$ZZ,CW1,0)</f>
        <v>4.7789725209080043E-2</v>
      </c>
      <c r="CX6" s="20">
        <f>VLOOKUP($G$6&amp;$F$1,'Input RM sheet'!$A:$ZZ,CX1,0)</f>
        <v>4.7772602412516421E-2</v>
      </c>
      <c r="CY6" s="20">
        <f>VLOOKUP($G$6&amp;$F$1,'Input RM sheet'!$A:$ZZ,CY1,0)</f>
        <v>4.7647409172126266E-2</v>
      </c>
      <c r="CZ6" s="20">
        <f>VLOOKUP($G$6&amp;$F$1,'Input RM sheet'!$A:$ZZ,CZ1,0)</f>
        <v>4.7641734159123393E-2</v>
      </c>
      <c r="DA6" s="20">
        <f>VLOOKUP($G$6&amp;$F$1,'Input RM sheet'!$A:$ZZ,DA1,0)</f>
        <v>4.7675804529201428E-2</v>
      </c>
      <c r="DB6" s="20">
        <f>VLOOKUP($G$6&amp;$F$1,'Input RM sheet'!$A:$ZZ,DB1,0)</f>
        <v>4.7681487662415069E-2</v>
      </c>
      <c r="DC6" s="20">
        <f>VLOOKUP($G$6&amp;$F$1,'Input RM sheet'!$A:$ZZ,DC1,0)</f>
        <v>4.7641734159123393E-2</v>
      </c>
      <c r="DD6" s="20">
        <f>VLOOKUP($G$6&amp;$F$1,'Input RM sheet'!$A:$ZZ,DD1,0)</f>
        <v>4.7641734159123393E-2</v>
      </c>
      <c r="DE6" s="20">
        <f>VLOOKUP($G$6&amp;$F$1,'Input RM sheet'!$A:$ZZ,DE1,0)</f>
        <v>4.7858339315625748E-2</v>
      </c>
      <c r="DF6" s="20">
        <f>VLOOKUP($G$6&amp;$F$1,'Input RM sheet'!$A:$ZZ,DF1,0)</f>
        <v>4.7812574707147983E-2</v>
      </c>
      <c r="DG6" s="20">
        <f>VLOOKUP($G$6&amp;$F$1,'Input RM sheet'!$A:$ZZ,DG1,0)</f>
        <v>4.7636060497796832E-2</v>
      </c>
      <c r="DH6" s="20">
        <f>VLOOKUP($G$6&amp;$F$1,'Input RM sheet'!$A:$ZZ,DH1,0)</f>
        <v>4.7579398120613778E-2</v>
      </c>
      <c r="DI6" s="20">
        <f>VLOOKUP($G$6&amp;$F$1,'Input RM sheet'!$A:$ZZ,DI1,0)</f>
        <v>4.7579398120613778E-2</v>
      </c>
      <c r="DJ6" s="20">
        <f>VLOOKUP($G$6&amp;$F$1,'Input RM sheet'!$A:$ZZ,DJ1,0)</f>
        <v>4.7573739295908662E-2</v>
      </c>
      <c r="DK6" s="20">
        <f>VLOOKUP($G$6&amp;$F$1,'Input RM sheet'!$A:$ZZ,DK1,0)</f>
        <v>4.7551117451260103E-2</v>
      </c>
      <c r="DL6" s="20">
        <f>VLOOKUP($G$6&amp;$F$1,'Input RM sheet'!$A:$ZZ,DL1,0)</f>
        <v>4.7393364928909949E-2</v>
      </c>
      <c r="DM6" s="20">
        <f>VLOOKUP($G$6&amp;$F$1,'Input RM sheet'!$A:$ZZ,DM1,0)</f>
        <v>4.7466476800759466E-2</v>
      </c>
      <c r="DN6" s="20">
        <f>VLOOKUP($G$6&amp;$F$1,'Input RM sheet'!$A:$ZZ,DN1,0)</f>
        <v>4.7264563393595652E-2</v>
      </c>
      <c r="DO6" s="20">
        <f>VLOOKUP($G$6&amp;$F$1,'Input RM sheet'!$A:$ZZ,DO1,0)</f>
        <v>4.723107804935648E-2</v>
      </c>
      <c r="DP6" s="20">
        <f>VLOOKUP($G$6&amp;$F$1,'Input RM sheet'!$A:$ZZ,DP1,0)</f>
        <v>4.7153129788989744E-2</v>
      </c>
      <c r="DQ6" s="20">
        <f>VLOOKUP($G$6&amp;$F$1,'Input RM sheet'!$A:$ZZ,DQ1,0)</f>
        <v>4.7103155911446065E-2</v>
      </c>
      <c r="DR6" s="20">
        <f>VLOOKUP($G$6&amp;$F$1,'Input RM sheet'!$A:$ZZ,DR1,0)</f>
        <v>4.6959380136182199E-2</v>
      </c>
      <c r="DS6" s="20">
        <f>VLOOKUP($G$6&amp;$F$1,'Input RM sheet'!$A:$ZZ,DS1,0)</f>
        <v>0</v>
      </c>
      <c r="DT6" s="20">
        <f>VLOOKUP($G$6&amp;$F$1,'Input RM sheet'!$A:$ZZ,DT1,0)</f>
        <v>0</v>
      </c>
      <c r="DU6" s="20">
        <f>VLOOKUP($G$6&amp;$F$1,'Input RM sheet'!$A:$ZZ,DU1,0)</f>
        <v>0</v>
      </c>
      <c r="DV6" s="20">
        <f>VLOOKUP($G$6&amp;$F$1,'Input RM sheet'!$A:$ZZ,DV1,0)</f>
        <v>0</v>
      </c>
      <c r="DW6" s="20">
        <f>VLOOKUP($G$6&amp;$F$1,'Input RM sheet'!$A:$ZZ,DW1,0)</f>
        <v>0</v>
      </c>
      <c r="DX6" s="20">
        <f>VLOOKUP($G$6&amp;$F$1,'Input RM sheet'!$A:$ZZ,DX1,0)</f>
        <v>0</v>
      </c>
      <c r="DY6" s="20">
        <f>VLOOKUP($G$6&amp;$F$1,'Input RM sheet'!$A:$ZZ,DY1,0)</f>
        <v>0</v>
      </c>
      <c r="DZ6" s="20">
        <f>VLOOKUP($G$6&amp;$F$1,'Input RM sheet'!$A:$ZZ,DZ1,0)</f>
        <v>0</v>
      </c>
      <c r="EA6" s="20">
        <f>VLOOKUP($G$6&amp;$F$1,'Input RM sheet'!$A:$ZZ,EA1,0)</f>
        <v>0</v>
      </c>
    </row>
    <row r="7" spans="1:158">
      <c r="A7" s="57" t="s">
        <v>395</v>
      </c>
      <c r="B7" s="57"/>
      <c r="C7" s="57" t="s">
        <v>379</v>
      </c>
      <c r="D7" s="57" t="s">
        <v>380</v>
      </c>
      <c r="E7" s="57" t="s">
        <v>381</v>
      </c>
      <c r="F7" s="57" t="s">
        <v>396</v>
      </c>
      <c r="G7" s="35" t="s">
        <v>399</v>
      </c>
    </row>
    <row r="8" spans="1:158" ht="15">
      <c r="A8" s="53" t="s">
        <v>397</v>
      </c>
      <c r="B8" s="8" t="s">
        <v>51</v>
      </c>
      <c r="C8" s="8">
        <v>1</v>
      </c>
      <c r="D8" s="19">
        <v>78.11</v>
      </c>
      <c r="E8" s="8">
        <f>D8*C8</f>
        <v>78.11</v>
      </c>
      <c r="F8" s="20">
        <f>E8/E2</f>
        <v>0.69394100923951674</v>
      </c>
      <c r="G8" s="20">
        <f>2408.64/1000</f>
        <v>2.4086399999999997</v>
      </c>
      <c r="H8" s="19">
        <f>$F$8*(H5/1000)</f>
        <v>0.38269111807036255</v>
      </c>
      <c r="I8" s="19">
        <f>$F$8*(I5/1000)</f>
        <v>0.33152575176280252</v>
      </c>
      <c r="J8" s="19">
        <f>$F$8*(J5/1000)</f>
        <v>0.20142032077841313</v>
      </c>
      <c r="K8" s="19">
        <f>$F$8*(K5/1000)</f>
        <v>0.13477738803854877</v>
      </c>
      <c r="L8" s="19">
        <f>$F$8*(L5/1000)</f>
        <v>0.18539790630182421</v>
      </c>
      <c r="M8" s="19">
        <f t="shared" ref="M8:BA8" si="0">$F$8*(M5/1000)</f>
        <v>0.25190058635394458</v>
      </c>
      <c r="N8" s="19">
        <f t="shared" si="0"/>
        <v>0.27133093461265106</v>
      </c>
      <c r="O8" s="19">
        <f t="shared" si="0"/>
        <v>0.27757640369580672</v>
      </c>
      <c r="P8" s="19">
        <f t="shared" si="0"/>
        <v>0.27827034470504625</v>
      </c>
      <c r="Q8" s="19">
        <f t="shared" si="0"/>
        <v>0.26924911158493248</v>
      </c>
      <c r="R8" s="19">
        <f t="shared" si="0"/>
        <v>0.26508546552949541</v>
      </c>
      <c r="S8" s="19">
        <f t="shared" si="0"/>
        <v>0.31123254264392325</v>
      </c>
      <c r="T8" s="19">
        <f t="shared" si="0"/>
        <v>0.35737961975835114</v>
      </c>
      <c r="U8" s="19">
        <f t="shared" si="0"/>
        <v>0.37958573205401569</v>
      </c>
      <c r="V8" s="19">
        <f t="shared" si="0"/>
        <v>0.3886069651741294</v>
      </c>
      <c r="W8" s="19">
        <f t="shared" si="0"/>
        <v>0.39832213930348259</v>
      </c>
      <c r="X8" s="19">
        <f t="shared" si="0"/>
        <v>0.41358884150675196</v>
      </c>
      <c r="Y8" s="19">
        <f t="shared" si="0"/>
        <v>0.44689800995024881</v>
      </c>
      <c r="Z8" s="19">
        <f t="shared" si="0"/>
        <v>0.47526284870291402</v>
      </c>
      <c r="AA8" s="19">
        <f t="shared" si="0"/>
        <v>0.46806321073205404</v>
      </c>
      <c r="AB8" s="19">
        <f t="shared" si="0"/>
        <v>0.4597359186211798</v>
      </c>
      <c r="AC8" s="19">
        <f t="shared" si="0"/>
        <v>0.53263442164179109</v>
      </c>
      <c r="AD8" s="19">
        <f t="shared" si="0"/>
        <v>0.52450837242359638</v>
      </c>
      <c r="AE8" s="19">
        <f t="shared" si="0"/>
        <v>0.48103990760483301</v>
      </c>
      <c r="AF8" s="19">
        <f t="shared" si="0"/>
        <v>0.53808185856432122</v>
      </c>
      <c r="AG8" s="19">
        <f t="shared" si="0"/>
        <v>0.59678926794598441</v>
      </c>
      <c r="AH8" s="19">
        <f t="shared" si="0"/>
        <v>0.70157436034115139</v>
      </c>
      <c r="AI8" s="19">
        <f t="shared" si="0"/>
        <v>0.62662873134328367</v>
      </c>
      <c r="AJ8" s="19">
        <f t="shared" si="0"/>
        <v>0.62732267235252315</v>
      </c>
      <c r="AK8" s="19">
        <f t="shared" si="0"/>
        <v>0.57458315565031981</v>
      </c>
      <c r="AL8" s="19">
        <f t="shared" si="0"/>
        <v>0.54890733830845773</v>
      </c>
      <c r="AM8" s="19">
        <f t="shared" si="0"/>
        <v>0.4864526474769012</v>
      </c>
      <c r="AN8" s="19">
        <f t="shared" si="0"/>
        <v>0.45869500710732058</v>
      </c>
      <c r="AO8" s="19">
        <f t="shared" si="0"/>
        <v>0.47396170931058995</v>
      </c>
      <c r="AP8" s="19">
        <f t="shared" si="0"/>
        <v>0.48090111940298508</v>
      </c>
      <c r="AQ8" s="19">
        <f t="shared" si="0"/>
        <v>0.43406010127931766</v>
      </c>
      <c r="AR8" s="19">
        <f t="shared" si="0"/>
        <v>0.49269811656005685</v>
      </c>
      <c r="AS8" s="19">
        <f t="shared" si="0"/>
        <v>0.49963752665245204</v>
      </c>
      <c r="AT8" s="19">
        <f t="shared" si="0"/>
        <v>0.58291044776119405</v>
      </c>
      <c r="AU8" s="19">
        <f t="shared" si="0"/>
        <v>0.67659248400852878</v>
      </c>
      <c r="AV8" s="19">
        <f t="shared" si="0"/>
        <v>0.57944074271499646</v>
      </c>
      <c r="AW8" s="19">
        <f t="shared" si="0"/>
        <v>0.46494047619047624</v>
      </c>
      <c r="AX8" s="19">
        <f t="shared" si="0"/>
        <v>0.4944329690831557</v>
      </c>
      <c r="AY8" s="19">
        <f t="shared" si="0"/>
        <v>0.54127398720682307</v>
      </c>
      <c r="AZ8" s="19">
        <f t="shared" si="0"/>
        <v>0.55792857142857144</v>
      </c>
      <c r="BA8" s="19">
        <f t="shared" si="0"/>
        <v>0.58429832977967311</v>
      </c>
      <c r="BB8" s="19">
        <f t="shared" ref="BB8:BN8" si="1">$F$8*(BB5/1000)</f>
        <v>0.60581050106609813</v>
      </c>
      <c r="BC8" s="19">
        <f t="shared" si="1"/>
        <v>0.59887109097370295</v>
      </c>
      <c r="BD8" s="19">
        <f t="shared" si="1"/>
        <v>0.60789232409381666</v>
      </c>
      <c r="BE8" s="19">
        <f t="shared" si="1"/>
        <v>0.60789232409381666</v>
      </c>
      <c r="BF8" s="19">
        <f t="shared" si="1"/>
        <v>0.600258972992182</v>
      </c>
      <c r="BG8" s="19">
        <f t="shared" si="1"/>
        <v>0.64536513859275058</v>
      </c>
      <c r="BH8" s="19">
        <f t="shared" si="1"/>
        <v>0.70088041933191192</v>
      </c>
      <c r="BI8" s="19">
        <f t="shared" si="1"/>
        <v>0.65924395877754083</v>
      </c>
      <c r="BJ8" s="19">
        <f t="shared" si="1"/>
        <v>0.6162196162046909</v>
      </c>
      <c r="BK8" s="19">
        <f t="shared" si="1"/>
        <v>0.62524084932480462</v>
      </c>
      <c r="BL8" s="19">
        <f t="shared" si="1"/>
        <v>0.61205597014925373</v>
      </c>
      <c r="BM8" s="19">
        <f t="shared" si="1"/>
        <v>0.61205597014925373</v>
      </c>
      <c r="BN8" s="19">
        <f t="shared" si="1"/>
        <v>0.61205597014925373</v>
      </c>
      <c r="BO8" s="19">
        <f t="shared" ref="BO8:BU8" si="2">$F$8*(BO5/1000)</f>
        <v>0.58499227078891258</v>
      </c>
      <c r="BP8" s="19">
        <f t="shared" si="2"/>
        <v>0.60164685501066095</v>
      </c>
      <c r="BQ8" s="19">
        <f t="shared" si="2"/>
        <v>0.58707409381663112</v>
      </c>
      <c r="BR8" s="19">
        <f t="shared" si="2"/>
        <v>0.57319527363184075</v>
      </c>
      <c r="BS8" s="19">
        <f t="shared" si="2"/>
        <v>0.5655619225302061</v>
      </c>
      <c r="BT8" s="19">
        <f t="shared" si="2"/>
        <v>0.59887109097370295</v>
      </c>
      <c r="BU8" s="19">
        <f t="shared" si="2"/>
        <v>0.59331956289978682</v>
      </c>
      <c r="BV8" s="19">
        <f>$F$8*(BV5/1000)</f>
        <v>0.60511656005685854</v>
      </c>
      <c r="BW8" s="19">
        <f>$F$8*(BW5/1000)</f>
        <v>0.63842572850035539</v>
      </c>
      <c r="BX8" s="19">
        <f>$F$8*(BX5/1000)</f>
        <v>0.63981361051883445</v>
      </c>
      <c r="BY8" s="19">
        <f>$F$8*(BY5/1000)</f>
        <v>0.67659248400852878</v>
      </c>
      <c r="BZ8" s="19">
        <f>$F$8*(BZ5/1000)</f>
        <v>0.68353189410092396</v>
      </c>
      <c r="CA8" s="19">
        <f t="shared" ref="CA8:CG8" si="3">$F$8*(CA5/1000)</f>
        <v>0.71059559346126511</v>
      </c>
      <c r="CB8" s="19">
        <f t="shared" si="3"/>
        <v>0.70920771144278616</v>
      </c>
      <c r="CC8" s="19">
        <f t="shared" si="3"/>
        <v>0.70088041933191192</v>
      </c>
      <c r="CD8" s="19">
        <f t="shared" si="3"/>
        <v>0.69047130419331915</v>
      </c>
      <c r="CE8" s="19">
        <f t="shared" si="3"/>
        <v>0.70365618336886993</v>
      </c>
      <c r="CF8" s="19">
        <f t="shared" si="3"/>
        <v>0.70365618336886993</v>
      </c>
      <c r="CG8" s="19">
        <f t="shared" si="3"/>
        <v>0.70643194740582804</v>
      </c>
      <c r="CH8" s="19">
        <f>$F$8*(CH5/1000)</f>
        <v>0.73904717484008531</v>
      </c>
      <c r="CI8" s="19">
        <f>$F$8*(CI5/1000)</f>
        <v>0.73002594171997159</v>
      </c>
      <c r="CJ8" s="19">
        <f>$F$8*(CJ5/1000)</f>
        <v>0.72447441364605547</v>
      </c>
      <c r="CK8" s="19">
        <f>$F$8*(CK5/1000)</f>
        <v>0.71822894456289976</v>
      </c>
      <c r="CL8" s="19">
        <f>$F$8*(CL5/1000)</f>
        <v>0.71128953447050458</v>
      </c>
      <c r="CM8" s="19">
        <f t="shared" ref="CM8:CR8" si="4">$F$8*(CM5/1000)</f>
        <v>0.70365618336886993</v>
      </c>
      <c r="CN8" s="19">
        <f t="shared" si="4"/>
        <v>0.70851377043354657</v>
      </c>
      <c r="CO8" s="19">
        <f t="shared" si="4"/>
        <v>0.71128953447050458</v>
      </c>
      <c r="CP8" s="19">
        <f t="shared" si="4"/>
        <v>0.72169864960909746</v>
      </c>
      <c r="CQ8" s="19">
        <f t="shared" si="4"/>
        <v>0.72169864960909746</v>
      </c>
      <c r="CR8" s="19">
        <f t="shared" si="4"/>
        <v>0.69671677327647485</v>
      </c>
      <c r="CS8" s="19">
        <f>$F$8*(CS5/1000)</f>
        <v>0.68075613006396596</v>
      </c>
      <c r="CT8" s="19">
        <f>$F$8*(CT5/1000)</f>
        <v>0.71337135749822322</v>
      </c>
      <c r="CU8" s="19">
        <f>$F$8*(CU5/1000)</f>
        <v>0.69741071428571422</v>
      </c>
      <c r="CV8" s="19">
        <f>$F$8*(CV5/1000)</f>
        <v>0.69116524520255862</v>
      </c>
      <c r="CW8" s="19">
        <f t="shared" ref="CW8:EA8" si="5">$F$8*(CW5/1000)</f>
        <v>0.68838948116560061</v>
      </c>
      <c r="CX8" s="19">
        <f t="shared" si="5"/>
        <v>0.66687730987917559</v>
      </c>
      <c r="CY8" s="19">
        <f t="shared" si="5"/>
        <v>0.69602283226723516</v>
      </c>
      <c r="CZ8" s="19">
        <f t="shared" si="5"/>
        <v>0.70157436034115139</v>
      </c>
      <c r="DA8" s="19">
        <f t="shared" si="5"/>
        <v>0.68491977611940302</v>
      </c>
      <c r="DB8" s="19">
        <f t="shared" si="5"/>
        <v>0.69047130419331915</v>
      </c>
      <c r="DC8" s="19">
        <f t="shared" si="5"/>
        <v>0.68006218905472637</v>
      </c>
      <c r="DD8" s="19">
        <f t="shared" si="5"/>
        <v>0.64883484363894817</v>
      </c>
      <c r="DE8" s="19">
        <f t="shared" si="5"/>
        <v>0.65369243070362471</v>
      </c>
      <c r="DF8" s="19">
        <f t="shared" si="5"/>
        <v>0.64744696162046911</v>
      </c>
      <c r="DG8" s="19">
        <f t="shared" si="5"/>
        <v>0.68145007107320543</v>
      </c>
      <c r="DH8" s="19">
        <f t="shared" si="5"/>
        <v>0.6162196162046909</v>
      </c>
      <c r="DI8" s="19">
        <f t="shared" si="5"/>
        <v>0.61344385216773278</v>
      </c>
      <c r="DJ8" s="19">
        <f t="shared" si="5"/>
        <v>0.61066808813077478</v>
      </c>
      <c r="DK8" s="19">
        <f t="shared" si="5"/>
        <v>0.6224650852878465</v>
      </c>
      <c r="DL8" s="19">
        <f t="shared" si="5"/>
        <v>0.59748320895522389</v>
      </c>
      <c r="DM8" s="19">
        <f t="shared" si="5"/>
        <v>0.60858626510305613</v>
      </c>
      <c r="DN8" s="19">
        <f t="shared" si="5"/>
        <v>0.59817714996446347</v>
      </c>
      <c r="DO8" s="19">
        <f t="shared" si="5"/>
        <v>0.6065044420753376</v>
      </c>
      <c r="DP8" s="19">
        <f t="shared" si="5"/>
        <v>0.60928020611229572</v>
      </c>
      <c r="DQ8" s="19">
        <f t="shared" si="5"/>
        <v>0.61413779317697237</v>
      </c>
      <c r="DR8" s="19">
        <f t="shared" si="5"/>
        <v>0.60303473702914001</v>
      </c>
      <c r="DS8" s="19">
        <f t="shared" si="5"/>
        <v>0</v>
      </c>
      <c r="DT8" s="19">
        <f t="shared" si="5"/>
        <v>0</v>
      </c>
      <c r="DU8" s="19">
        <f t="shared" si="5"/>
        <v>0</v>
      </c>
      <c r="DV8" s="19">
        <f t="shared" si="5"/>
        <v>0</v>
      </c>
      <c r="DW8" s="19">
        <f t="shared" si="5"/>
        <v>0</v>
      </c>
      <c r="DX8" s="19">
        <f t="shared" si="5"/>
        <v>0</v>
      </c>
      <c r="DY8" s="19">
        <f t="shared" si="5"/>
        <v>0</v>
      </c>
      <c r="DZ8" s="19">
        <f t="shared" si="5"/>
        <v>0</v>
      </c>
      <c r="EA8" s="19">
        <f t="shared" si="5"/>
        <v>0</v>
      </c>
    </row>
    <row r="9" spans="1:158">
      <c r="A9" s="53"/>
      <c r="B9" s="8" t="s">
        <v>605</v>
      </c>
      <c r="C9" s="8">
        <v>1</v>
      </c>
      <c r="D9" s="19">
        <v>35.453000000000003</v>
      </c>
      <c r="E9" s="20">
        <f>D9*C9</f>
        <v>35.453000000000003</v>
      </c>
      <c r="F9" s="20">
        <f>E9/E2</f>
        <v>0.31496979388770435</v>
      </c>
      <c r="G9" s="20">
        <f>2468.88/1000</f>
        <v>2.46888</v>
      </c>
      <c r="H9" s="19">
        <f t="shared" ref="H9:AM9" si="6">$F$9*H6</f>
        <v>1.7672931554930164E-2</v>
      </c>
      <c r="I9" s="19">
        <f t="shared" si="6"/>
        <v>1.760801526394758E-2</v>
      </c>
      <c r="J9" s="19">
        <f t="shared" si="6"/>
        <v>1.6921803908209052E-2</v>
      </c>
      <c r="K9" s="19">
        <f t="shared" si="6"/>
        <v>1.6522654542301101E-2</v>
      </c>
      <c r="L9" s="19">
        <f t="shared" si="6"/>
        <v>1.6659284341358074E-2</v>
      </c>
      <c r="M9" s="19">
        <f t="shared" si="6"/>
        <v>1.6632972982171666E-2</v>
      </c>
      <c r="N9" s="19">
        <f t="shared" si="6"/>
        <v>1.6815375067509207E-2</v>
      </c>
      <c r="O9" s="19">
        <f t="shared" si="6"/>
        <v>1.6891428448263371E-2</v>
      </c>
      <c r="P9" s="19">
        <f t="shared" si="6"/>
        <v>1.7133320290146838E-2</v>
      </c>
      <c r="Q9" s="19">
        <f t="shared" si="6"/>
        <v>1.7137211957565904E-2</v>
      </c>
      <c r="R9" s="19">
        <f t="shared" si="6"/>
        <v>1.6972139208114745E-2</v>
      </c>
      <c r="S9" s="19">
        <f t="shared" si="6"/>
        <v>1.7087332545966519E-2</v>
      </c>
      <c r="T9" s="19">
        <f t="shared" si="6"/>
        <v>1.7227938951877717E-2</v>
      </c>
      <c r="U9" s="19">
        <f t="shared" si="6"/>
        <v>1.7306032631192545E-2</v>
      </c>
      <c r="V9" s="19">
        <f t="shared" si="6"/>
        <v>1.7306032631192545E-2</v>
      </c>
      <c r="W9" s="19">
        <f t="shared" si="6"/>
        <v>1.6922487247156715E-2</v>
      </c>
      <c r="X9" s="19">
        <f t="shared" si="6"/>
        <v>1.7199715707178397E-2</v>
      </c>
      <c r="Y9" s="19">
        <f t="shared" si="6"/>
        <v>1.7131889795360584E-2</v>
      </c>
      <c r="Z9" s="19">
        <f t="shared" si="6"/>
        <v>1.6904322763327751E-2</v>
      </c>
      <c r="AA9" s="19">
        <f t="shared" si="6"/>
        <v>1.6988662021990526E-2</v>
      </c>
      <c r="AB9" s="19">
        <f t="shared" si="6"/>
        <v>1.7129560510548165E-2</v>
      </c>
      <c r="AC9" s="19">
        <f t="shared" si="6"/>
        <v>1.6818571292895709E-2</v>
      </c>
      <c r="AD9" s="19">
        <f t="shared" si="6"/>
        <v>1.691794246744753E-2</v>
      </c>
      <c r="AE9" s="19">
        <f t="shared" si="6"/>
        <v>1.6704841892744859E-2</v>
      </c>
      <c r="AF9" s="19">
        <f t="shared" si="6"/>
        <v>1.6922487247156715E-2</v>
      </c>
      <c r="AG9" s="19">
        <f t="shared" si="6"/>
        <v>1.6807352928906318E-2</v>
      </c>
      <c r="AH9" s="19">
        <f t="shared" si="6"/>
        <v>1.6531677936633217E-2</v>
      </c>
      <c r="AI9" s="19">
        <f t="shared" si="6"/>
        <v>1.648829366832406E-2</v>
      </c>
      <c r="AJ9" s="19">
        <f t="shared" si="6"/>
        <v>1.6294503221231934E-2</v>
      </c>
      <c r="AK9" s="19">
        <f t="shared" si="6"/>
        <v>1.6136868357927239E-2</v>
      </c>
      <c r="AL9" s="19">
        <f t="shared" si="6"/>
        <v>1.5827319164849481E-2</v>
      </c>
      <c r="AM9" s="19">
        <f t="shared" si="6"/>
        <v>1.5838186624636076E-2</v>
      </c>
      <c r="AN9" s="19">
        <f t="shared" ref="AN9:BF9" si="7">$F$9*AN6</f>
        <v>1.5703038320627864E-2</v>
      </c>
      <c r="AO9" s="19">
        <f t="shared" si="7"/>
        <v>1.5300915599271278E-2</v>
      </c>
      <c r="AP9" s="19">
        <f t="shared" si="7"/>
        <v>1.5399965557210137E-2</v>
      </c>
      <c r="AQ9" s="19">
        <f t="shared" si="7"/>
        <v>1.5277889886956466E-2</v>
      </c>
      <c r="AR9" s="19">
        <f t="shared" si="7"/>
        <v>1.5383217037172908E-2</v>
      </c>
      <c r="AS9" s="19">
        <f t="shared" si="7"/>
        <v>1.5341620334598944E-2</v>
      </c>
      <c r="AT9" s="19">
        <f t="shared" si="7"/>
        <v>1.5341620334598944E-2</v>
      </c>
      <c r="AU9" s="19">
        <f t="shared" si="7"/>
        <v>1.5341620334598944E-2</v>
      </c>
      <c r="AV9" s="19">
        <f t="shared" si="7"/>
        <v>1.5341620334598944E-2</v>
      </c>
      <c r="AW9" s="19">
        <f t="shared" si="7"/>
        <v>1.5271262733949301E-2</v>
      </c>
      <c r="AX9" s="19">
        <f t="shared" si="7"/>
        <v>1.5282377190087546E-2</v>
      </c>
      <c r="AY9" s="19">
        <f t="shared" si="7"/>
        <v>1.5330727373458471E-2</v>
      </c>
      <c r="AZ9" s="19">
        <f t="shared" si="7"/>
        <v>1.5379384467173064E-2</v>
      </c>
      <c r="BA9" s="19">
        <f t="shared" si="7"/>
        <v>1.5315817840394083E-2</v>
      </c>
      <c r="BB9" s="19">
        <f>$F$9*BB6</f>
        <v>1.5210421049750301E-2</v>
      </c>
      <c r="BC9" s="19">
        <f t="shared" si="7"/>
        <v>1.5133683790400209E-2</v>
      </c>
      <c r="BD9" s="19">
        <f t="shared" si="7"/>
        <v>1.5133683790400209E-2</v>
      </c>
      <c r="BE9" s="19">
        <f t="shared" si="7"/>
        <v>1.5243547193597305E-2</v>
      </c>
      <c r="BF9" s="19">
        <f t="shared" si="7"/>
        <v>1.5170128543658247E-2</v>
      </c>
      <c r="BG9" s="19">
        <f t="shared" ref="BG9:BN9" si="8">$F$9*BG6</f>
        <v>1.5190248077535778E-2</v>
      </c>
      <c r="BH9" s="19">
        <f t="shared" si="8"/>
        <v>1.5192079772709723E-2</v>
      </c>
      <c r="BI9" s="19">
        <f t="shared" si="8"/>
        <v>1.5131866148820771E-2</v>
      </c>
      <c r="BJ9" s="19">
        <f t="shared" si="8"/>
        <v>1.5139139336106914E-2</v>
      </c>
      <c r="BK9" s="19">
        <f t="shared" si="8"/>
        <v>1.5133683790400209E-2</v>
      </c>
      <c r="BL9" s="19">
        <f t="shared" si="8"/>
        <v>1.5157352930110892E-2</v>
      </c>
      <c r="BM9" s="19">
        <f t="shared" si="8"/>
        <v>1.5131866148820771E-2</v>
      </c>
      <c r="BN9" s="19">
        <f t="shared" si="8"/>
        <v>1.5139139336106914E-2</v>
      </c>
      <c r="BO9" s="19">
        <f t="shared" ref="BO9:BU9" si="9">$F$9*BO6</f>
        <v>1.5144598816574317E-2</v>
      </c>
      <c r="BP9" s="19">
        <f t="shared" si="9"/>
        <v>1.5144598816574317E-2</v>
      </c>
      <c r="BQ9" s="19">
        <f t="shared" si="9"/>
        <v>1.5119154872804722E-2</v>
      </c>
      <c r="BR9" s="19">
        <f t="shared" si="9"/>
        <v>1.5106464934662079E-2</v>
      </c>
      <c r="BS9" s="19">
        <f t="shared" si="9"/>
        <v>1.5113713718219979E-2</v>
      </c>
      <c r="BT9" s="19">
        <f t="shared" si="9"/>
        <v>1.5135501868702756E-2</v>
      </c>
      <c r="BU9" s="19">
        <f t="shared" si="9"/>
        <v>1.5120969461723687E-2</v>
      </c>
      <c r="BV9" s="19">
        <f>$F$9*BV6</f>
        <v>1.5153706706168118E-2</v>
      </c>
      <c r="BW9" s="19">
        <f>$F$9*BW6</f>
        <v>1.5151884251964129E-2</v>
      </c>
      <c r="BX9" s="19">
        <f>$F$9*BX6</f>
        <v>1.5133683790400209E-2</v>
      </c>
      <c r="BY9" s="19">
        <f>$F$9*BY6</f>
        <v>1.5168302137621206E-2</v>
      </c>
      <c r="BZ9" s="19">
        <f>$F$9*BZ6</f>
        <v>1.5179267175311054E-2</v>
      </c>
      <c r="CA9" s="19">
        <f t="shared" ref="CA9:CG9" si="10">$F$9*CA6</f>
        <v>1.5177438568254636E-2</v>
      </c>
      <c r="CB9" s="19">
        <f t="shared" si="10"/>
        <v>1.519757750966004E-2</v>
      </c>
      <c r="CC9" s="19">
        <f t="shared" si="10"/>
        <v>1.519757750966004E-2</v>
      </c>
      <c r="CD9" s="19">
        <f t="shared" si="10"/>
        <v>1.5234331022379897E-2</v>
      </c>
      <c r="CE9" s="19">
        <f t="shared" si="10"/>
        <v>1.5223286316467102E-2</v>
      </c>
      <c r="CF9" s="19">
        <f t="shared" si="10"/>
        <v>1.5131866148820771E-2</v>
      </c>
      <c r="CG9" s="19">
        <f t="shared" si="10"/>
        <v>1.5108276478604358E-2</v>
      </c>
      <c r="CH9" s="19">
        <f>$F$9*CH6</f>
        <v>1.5140958725523585E-2</v>
      </c>
      <c r="CI9" s="19">
        <f>$F$9*CI6</f>
        <v>1.5106464934662079E-2</v>
      </c>
      <c r="CJ9" s="19">
        <f>$F$9*CJ6</f>
        <v>1.5068522611539497E-2</v>
      </c>
      <c r="CK9" s="19">
        <f>$F$9*CK6</f>
        <v>1.5102843149734086E-2</v>
      </c>
      <c r="CL9" s="19">
        <f>$F$9*CL6</f>
        <v>1.508837335989003E-2</v>
      </c>
      <c r="CM9" s="19">
        <f t="shared" ref="CM9:CR9" si="11">$F$9*CM6</f>
        <v>1.5115527001209567E-2</v>
      </c>
      <c r="CN9" s="19">
        <f t="shared" si="11"/>
        <v>1.5115527001209567E-2</v>
      </c>
      <c r="CO9" s="19">
        <f t="shared" si="11"/>
        <v>1.5115527001209567E-2</v>
      </c>
      <c r="CP9" s="19">
        <f t="shared" si="11"/>
        <v>1.5115527001209567E-2</v>
      </c>
      <c r="CQ9" s="19">
        <f t="shared" si="11"/>
        <v>1.5018228341289993E-2</v>
      </c>
      <c r="CR9" s="19">
        <f t="shared" si="11"/>
        <v>1.5106464934662079E-2</v>
      </c>
      <c r="CS9" s="19">
        <f>$F$9*CS6</f>
        <v>1.508837335989003E-2</v>
      </c>
      <c r="CT9" s="19">
        <f>$F$9*CT6</f>
        <v>1.509741372739146E-2</v>
      </c>
      <c r="CU9" s="19">
        <f>$F$9*CU6</f>
        <v>1.5093796280709445E-2</v>
      </c>
      <c r="CV9" s="19">
        <f>$F$9*CV6</f>
        <v>1.5079343812696799E-2</v>
      </c>
      <c r="CW9" s="19">
        <f t="shared" ref="CW9:EA9" si="12">$F$9*CW6</f>
        <v>1.505231989905397E-2</v>
      </c>
      <c r="CX9" s="19">
        <f t="shared" si="12"/>
        <v>1.5046926735349546E-2</v>
      </c>
      <c r="CY9" s="19">
        <f t="shared" si="12"/>
        <v>1.5007494646227724E-2</v>
      </c>
      <c r="CZ9" s="19">
        <f t="shared" si="12"/>
        <v>1.5005707188551898E-2</v>
      </c>
      <c r="DA9" s="19">
        <f t="shared" si="12"/>
        <v>1.5016438325993055E-2</v>
      </c>
      <c r="DB9" s="19">
        <f t="shared" si="12"/>
        <v>1.5018228341289993E-2</v>
      </c>
      <c r="DC9" s="19">
        <f t="shared" si="12"/>
        <v>1.5005707188551898E-2</v>
      </c>
      <c r="DD9" s="19">
        <f t="shared" si="12"/>
        <v>1.5005707188551898E-2</v>
      </c>
      <c r="DE9" s="19">
        <f t="shared" si="12"/>
        <v>1.507393127005046E-2</v>
      </c>
      <c r="DF9" s="19">
        <f t="shared" si="12"/>
        <v>1.5059516800750867E-2</v>
      </c>
      <c r="DG9" s="19">
        <f t="shared" si="12"/>
        <v>1.5003920156613284E-2</v>
      </c>
      <c r="DH9" s="19">
        <f t="shared" si="12"/>
        <v>1.498607321935075E-2</v>
      </c>
      <c r="DI9" s="19">
        <f t="shared" si="12"/>
        <v>1.498607321935075E-2</v>
      </c>
      <c r="DJ9" s="19">
        <f t="shared" si="12"/>
        <v>1.4984290860499733E-2</v>
      </c>
      <c r="DK9" s="19">
        <f t="shared" si="12"/>
        <v>1.4977165662753415E-2</v>
      </c>
      <c r="DL9" s="19">
        <f t="shared" si="12"/>
        <v>1.4927478383303524E-2</v>
      </c>
      <c r="DM9" s="19">
        <f t="shared" si="12"/>
        <v>1.4950506414510709E-2</v>
      </c>
      <c r="DN9" s="19">
        <f t="shared" si="12"/>
        <v>1.4886909790273158E-2</v>
      </c>
      <c r="DO9" s="19">
        <f t="shared" si="12"/>
        <v>1.4876362918299888E-2</v>
      </c>
      <c r="DP9" s="19">
        <f t="shared" si="12"/>
        <v>1.4851811570798271E-2</v>
      </c>
      <c r="DQ9" s="19">
        <f t="shared" si="12"/>
        <v>1.483607130888857E-2</v>
      </c>
      <c r="DR9" s="19">
        <f t="shared" si="12"/>
        <v>1.4790786282587665E-2</v>
      </c>
      <c r="DS9" s="19">
        <f t="shared" si="12"/>
        <v>0</v>
      </c>
      <c r="DT9" s="19">
        <f t="shared" si="12"/>
        <v>0</v>
      </c>
      <c r="DU9" s="19">
        <f t="shared" si="12"/>
        <v>0</v>
      </c>
      <c r="DV9" s="19">
        <f t="shared" si="12"/>
        <v>0</v>
      </c>
      <c r="DW9" s="19">
        <f t="shared" si="12"/>
        <v>0</v>
      </c>
      <c r="DX9" s="19">
        <f t="shared" si="12"/>
        <v>0</v>
      </c>
      <c r="DY9" s="19">
        <f t="shared" si="12"/>
        <v>0</v>
      </c>
      <c r="DZ9" s="19">
        <f t="shared" si="12"/>
        <v>0</v>
      </c>
      <c r="EA9" s="19">
        <f t="shared" si="12"/>
        <v>0</v>
      </c>
    </row>
    <row r="10" spans="1:158">
      <c r="A10" s="53"/>
      <c r="B10" s="52"/>
      <c r="D10" s="18"/>
      <c r="F10" s="20"/>
      <c r="H10" s="26"/>
      <c r="I10" s="26"/>
      <c r="J10" s="26"/>
      <c r="K10" s="26"/>
      <c r="L10" s="26"/>
      <c r="M10" s="26"/>
      <c r="N10" s="26"/>
      <c r="O10" s="26"/>
      <c r="P10" s="26"/>
      <c r="Q10" s="26"/>
      <c r="R10" s="26"/>
      <c r="S10" s="26"/>
    </row>
    <row r="11" spans="1:158">
      <c r="A11" s="58"/>
      <c r="B11" s="52"/>
      <c r="D11" s="18"/>
      <c r="F11" s="20"/>
      <c r="H11" s="26"/>
      <c r="I11" s="26"/>
      <c r="J11" s="26"/>
      <c r="K11" s="26"/>
      <c r="L11" s="26"/>
      <c r="M11" s="26"/>
      <c r="N11" s="26"/>
      <c r="O11" s="26"/>
      <c r="P11" s="26"/>
      <c r="Q11" s="26"/>
      <c r="R11" s="26"/>
      <c r="S11" s="26"/>
    </row>
    <row r="12" spans="1:158">
      <c r="A12" s="24"/>
      <c r="B12" s="24"/>
      <c r="C12" s="24"/>
      <c r="D12" s="24"/>
      <c r="E12" s="24"/>
      <c r="F12" s="24" t="s">
        <v>400</v>
      </c>
      <c r="G12" s="24"/>
      <c r="H12" s="89">
        <f>SUM(H8:H11)</f>
        <v>0.40036404962529271</v>
      </c>
      <c r="I12" s="89">
        <f t="shared" ref="I12:BF12" si="13">SUM(I8:I11)</f>
        <v>0.34913376702675009</v>
      </c>
      <c r="J12" s="89">
        <f t="shared" si="13"/>
        <v>0.21834212468662217</v>
      </c>
      <c r="K12" s="89">
        <f t="shared" si="13"/>
        <v>0.15130004258084986</v>
      </c>
      <c r="L12" s="89">
        <f t="shared" si="13"/>
        <v>0.20205719064318228</v>
      </c>
      <c r="M12" s="89">
        <f t="shared" si="13"/>
        <v>0.26853355933611622</v>
      </c>
      <c r="N12" s="89">
        <f t="shared" si="13"/>
        <v>0.28814630968016025</v>
      </c>
      <c r="O12" s="89">
        <f t="shared" si="13"/>
        <v>0.29446783214407007</v>
      </c>
      <c r="P12" s="89">
        <f t="shared" si="13"/>
        <v>0.2954036649951931</v>
      </c>
      <c r="Q12" s="89">
        <f t="shared" si="13"/>
        <v>0.28638632354249838</v>
      </c>
      <c r="R12" s="89">
        <f t="shared" si="13"/>
        <v>0.28205760473761016</v>
      </c>
      <c r="S12" s="89">
        <f t="shared" si="13"/>
        <v>0.32831987518988975</v>
      </c>
      <c r="T12" s="89">
        <f t="shared" si="13"/>
        <v>0.37460755871022888</v>
      </c>
      <c r="U12" s="89">
        <f t="shared" si="13"/>
        <v>0.39689176468520826</v>
      </c>
      <c r="V12" s="89">
        <f t="shared" si="13"/>
        <v>0.40591299780532197</v>
      </c>
      <c r="W12" s="89">
        <f t="shared" si="13"/>
        <v>0.41524462655063932</v>
      </c>
      <c r="X12" s="89">
        <f t="shared" si="13"/>
        <v>0.43078855721393033</v>
      </c>
      <c r="Y12" s="89">
        <f t="shared" si="13"/>
        <v>0.46402989974560938</v>
      </c>
      <c r="Z12" s="89">
        <f t="shared" si="13"/>
        <v>0.49216717146624178</v>
      </c>
      <c r="AA12" s="89">
        <f t="shared" si="13"/>
        <v>0.48505187275404454</v>
      </c>
      <c r="AB12" s="89">
        <f t="shared" si="13"/>
        <v>0.47686547913172794</v>
      </c>
      <c r="AC12" s="89">
        <f t="shared" si="13"/>
        <v>0.54945299293468675</v>
      </c>
      <c r="AD12" s="89">
        <f t="shared" si="13"/>
        <v>0.54142631489104387</v>
      </c>
      <c r="AE12" s="89">
        <f t="shared" si="13"/>
        <v>0.49774474949757785</v>
      </c>
      <c r="AF12" s="89">
        <f t="shared" si="13"/>
        <v>0.55500434581147795</v>
      </c>
      <c r="AG12" s="89">
        <f t="shared" si="13"/>
        <v>0.61359662087489075</v>
      </c>
      <c r="AH12" s="89">
        <f t="shared" si="13"/>
        <v>0.71810603827778463</v>
      </c>
      <c r="AI12" s="89">
        <f t="shared" si="13"/>
        <v>0.64311702501160772</v>
      </c>
      <c r="AJ12" s="89">
        <f t="shared" si="13"/>
        <v>0.64361717557375508</v>
      </c>
      <c r="AK12" s="89">
        <f t="shared" si="13"/>
        <v>0.59072002400824708</v>
      </c>
      <c r="AL12" s="89">
        <f t="shared" si="13"/>
        <v>0.5647346574733072</v>
      </c>
      <c r="AM12" s="89">
        <f t="shared" si="13"/>
        <v>0.5022908341015373</v>
      </c>
      <c r="AN12" s="89">
        <f t="shared" si="13"/>
        <v>0.47439804542794844</v>
      </c>
      <c r="AO12" s="89">
        <f t="shared" si="13"/>
        <v>0.48926262490986122</v>
      </c>
      <c r="AP12" s="89">
        <f t="shared" si="13"/>
        <v>0.4963010849601952</v>
      </c>
      <c r="AQ12" s="89">
        <f t="shared" si="13"/>
        <v>0.4493379911662741</v>
      </c>
      <c r="AR12" s="89">
        <f t="shared" si="13"/>
        <v>0.50808133359722973</v>
      </c>
      <c r="AS12" s="89">
        <f t="shared" si="13"/>
        <v>0.51497914698705094</v>
      </c>
      <c r="AT12" s="89">
        <f t="shared" si="13"/>
        <v>0.59825206809579301</v>
      </c>
      <c r="AU12" s="89">
        <f t="shared" si="13"/>
        <v>0.69193410434312774</v>
      </c>
      <c r="AV12" s="89">
        <f t="shared" si="13"/>
        <v>0.59478236304959542</v>
      </c>
      <c r="AW12" s="89">
        <f t="shared" si="13"/>
        <v>0.48021173892442554</v>
      </c>
      <c r="AX12" s="89">
        <f t="shared" si="13"/>
        <v>0.50971534627324322</v>
      </c>
      <c r="AY12" s="89">
        <f t="shared" si="13"/>
        <v>0.55660471458028149</v>
      </c>
      <c r="AZ12" s="89">
        <f t="shared" si="13"/>
        <v>0.57330795589574446</v>
      </c>
      <c r="BA12" s="89">
        <f t="shared" si="13"/>
        <v>0.59961414762006715</v>
      </c>
      <c r="BB12" s="89">
        <f>SUM(BB8:BB11)</f>
        <v>0.62102092211584847</v>
      </c>
      <c r="BC12" s="89">
        <f t="shared" si="13"/>
        <v>0.6140047747641032</v>
      </c>
      <c r="BD12" s="89">
        <f t="shared" si="13"/>
        <v>0.62302600788421691</v>
      </c>
      <c r="BE12" s="89">
        <f t="shared" si="13"/>
        <v>0.62313587128741399</v>
      </c>
      <c r="BF12" s="89">
        <f t="shared" si="13"/>
        <v>0.61542910153584029</v>
      </c>
      <c r="BG12" s="89">
        <f t="shared" ref="BG12:BN12" si="14">SUM(BG8:BG11)</f>
        <v>0.66055538667028635</v>
      </c>
      <c r="BH12" s="89">
        <f t="shared" si="14"/>
        <v>0.71607249910462167</v>
      </c>
      <c r="BI12" s="89">
        <f t="shared" si="14"/>
        <v>0.67437582492636161</v>
      </c>
      <c r="BJ12" s="89">
        <f t="shared" si="14"/>
        <v>0.63135875554079779</v>
      </c>
      <c r="BK12" s="89">
        <f t="shared" si="14"/>
        <v>0.64037453311520487</v>
      </c>
      <c r="BL12" s="89">
        <f t="shared" si="14"/>
        <v>0.62721332307936462</v>
      </c>
      <c r="BM12" s="89">
        <f t="shared" si="14"/>
        <v>0.62718783629807451</v>
      </c>
      <c r="BN12" s="89">
        <f t="shared" si="14"/>
        <v>0.62719510948536061</v>
      </c>
      <c r="BO12" s="89">
        <f t="shared" ref="BO12:BU12" si="15">SUM(BO8:BO11)</f>
        <v>0.60013686960548696</v>
      </c>
      <c r="BP12" s="89">
        <f t="shared" si="15"/>
        <v>0.61679145382723521</v>
      </c>
      <c r="BQ12" s="89">
        <f t="shared" si="15"/>
        <v>0.6021932486894358</v>
      </c>
      <c r="BR12" s="89">
        <f t="shared" si="15"/>
        <v>0.58830173856650281</v>
      </c>
      <c r="BS12" s="89">
        <f t="shared" si="15"/>
        <v>0.58067563624842611</v>
      </c>
      <c r="BT12" s="89">
        <f t="shared" si="15"/>
        <v>0.61400659284240566</v>
      </c>
      <c r="BU12" s="89">
        <f t="shared" si="15"/>
        <v>0.60844053236151052</v>
      </c>
      <c r="BV12" s="89">
        <f>SUM(BV8:BV11)</f>
        <v>0.62027026676302666</v>
      </c>
      <c r="BW12" s="89">
        <f>SUM(BW8:BW11)</f>
        <v>0.65357761275231951</v>
      </c>
      <c r="BX12" s="89">
        <f>SUM(BX8:BX11)</f>
        <v>0.65494729430923471</v>
      </c>
      <c r="BY12" s="89">
        <f>SUM(BY8:BY11)</f>
        <v>0.69176078614615</v>
      </c>
      <c r="BZ12" s="89">
        <f>SUM(BZ8:BZ11)</f>
        <v>0.698711161276235</v>
      </c>
      <c r="CA12" s="89">
        <f t="shared" ref="CA12:CG12" si="16">SUM(CA8:CA11)</f>
        <v>0.7257730320295197</v>
      </c>
      <c r="CB12" s="89">
        <f t="shared" si="16"/>
        <v>0.72440528895244616</v>
      </c>
      <c r="CC12" s="89">
        <f t="shared" si="16"/>
        <v>0.71607799684157192</v>
      </c>
      <c r="CD12" s="89">
        <f t="shared" si="16"/>
        <v>0.70570563521569907</v>
      </c>
      <c r="CE12" s="89">
        <f t="shared" si="16"/>
        <v>0.718879469685337</v>
      </c>
      <c r="CF12" s="89">
        <f t="shared" si="16"/>
        <v>0.71878804951769071</v>
      </c>
      <c r="CG12" s="89">
        <f t="shared" si="16"/>
        <v>0.7215402238844324</v>
      </c>
      <c r="CH12" s="89">
        <f>SUM(CH8:CH11)</f>
        <v>0.75418813356560888</v>
      </c>
      <c r="CI12" s="89">
        <f>SUM(CI8:CI11)</f>
        <v>0.74513240665463365</v>
      </c>
      <c r="CJ12" s="89">
        <f>SUM(CJ8:CJ11)</f>
        <v>0.73954293625759493</v>
      </c>
      <c r="CK12" s="89">
        <f>SUM(CK8:CK11)</f>
        <v>0.73333178771263385</v>
      </c>
      <c r="CL12" s="89">
        <f>SUM(CL8:CL11)</f>
        <v>0.72637790783039458</v>
      </c>
      <c r="CM12" s="89">
        <f t="shared" ref="CM12:CR12" si="17">SUM(CM8:CM11)</f>
        <v>0.71877171037007948</v>
      </c>
      <c r="CN12" s="89">
        <f t="shared" si="17"/>
        <v>0.72362929743475612</v>
      </c>
      <c r="CO12" s="89">
        <f t="shared" si="17"/>
        <v>0.72640506147171413</v>
      </c>
      <c r="CP12" s="89">
        <f t="shared" si="17"/>
        <v>0.73681417661030701</v>
      </c>
      <c r="CQ12" s="89">
        <f t="shared" si="17"/>
        <v>0.73671687795038743</v>
      </c>
      <c r="CR12" s="89">
        <f t="shared" si="17"/>
        <v>0.71182323821113691</v>
      </c>
      <c r="CS12" s="89">
        <f>SUM(CS8:CS11)</f>
        <v>0.69584450342385595</v>
      </c>
      <c r="CT12" s="89">
        <f>SUM(CT8:CT11)</f>
        <v>0.72846877122561471</v>
      </c>
      <c r="CU12" s="89">
        <f>SUM(CU8:CU11)</f>
        <v>0.71250451056642361</v>
      </c>
      <c r="CV12" s="89">
        <f>SUM(CV8:CV11)</f>
        <v>0.70624458901525544</v>
      </c>
      <c r="CW12" s="89">
        <f t="shared" ref="CW12:EA12" si="18">SUM(CW8:CW11)</f>
        <v>0.70344180106465459</v>
      </c>
      <c r="CX12" s="89">
        <f t="shared" si="18"/>
        <v>0.68192423661452517</v>
      </c>
      <c r="CY12" s="89">
        <f t="shared" si="18"/>
        <v>0.71103032691346291</v>
      </c>
      <c r="CZ12" s="89">
        <f t="shared" si="18"/>
        <v>0.71658006752970327</v>
      </c>
      <c r="DA12" s="89">
        <f t="shared" si="18"/>
        <v>0.69993621444539611</v>
      </c>
      <c r="DB12" s="89">
        <f t="shared" si="18"/>
        <v>0.70548953253460911</v>
      </c>
      <c r="DC12" s="89">
        <f t="shared" si="18"/>
        <v>0.69506789624327825</v>
      </c>
      <c r="DD12" s="89">
        <f t="shared" si="18"/>
        <v>0.66384055082750004</v>
      </c>
      <c r="DE12" s="89">
        <f t="shared" si="18"/>
        <v>0.66876636197367512</v>
      </c>
      <c r="DF12" s="89">
        <f t="shared" si="18"/>
        <v>0.66250647842122001</v>
      </c>
      <c r="DG12" s="89">
        <f t="shared" si="18"/>
        <v>0.69645399122981877</v>
      </c>
      <c r="DH12" s="89">
        <f t="shared" si="18"/>
        <v>0.63120568942404165</v>
      </c>
      <c r="DI12" s="89">
        <f t="shared" si="18"/>
        <v>0.62842992538708353</v>
      </c>
      <c r="DJ12" s="89">
        <f t="shared" si="18"/>
        <v>0.62565237899127446</v>
      </c>
      <c r="DK12" s="89">
        <f t="shared" si="18"/>
        <v>0.63744225095059992</v>
      </c>
      <c r="DL12" s="89">
        <f t="shared" si="18"/>
        <v>0.61241068733852744</v>
      </c>
      <c r="DM12" s="89">
        <f t="shared" si="18"/>
        <v>0.62353677151756681</v>
      </c>
      <c r="DN12" s="89">
        <f t="shared" si="18"/>
        <v>0.61306405975473666</v>
      </c>
      <c r="DO12" s="89">
        <f t="shared" si="18"/>
        <v>0.62138080499363746</v>
      </c>
      <c r="DP12" s="89">
        <f t="shared" si="18"/>
        <v>0.62413201768309401</v>
      </c>
      <c r="DQ12" s="89">
        <f t="shared" si="18"/>
        <v>0.6289738644858609</v>
      </c>
      <c r="DR12" s="89">
        <f t="shared" si="18"/>
        <v>0.61782552331172769</v>
      </c>
      <c r="DS12" s="89">
        <f t="shared" si="18"/>
        <v>0</v>
      </c>
      <c r="DT12" s="89">
        <f t="shared" si="18"/>
        <v>0</v>
      </c>
      <c r="DU12" s="89">
        <f t="shared" si="18"/>
        <v>0</v>
      </c>
      <c r="DV12" s="89">
        <f t="shared" si="18"/>
        <v>0</v>
      </c>
      <c r="DW12" s="89">
        <f t="shared" si="18"/>
        <v>0</v>
      </c>
      <c r="DX12" s="89">
        <f t="shared" si="18"/>
        <v>0</v>
      </c>
      <c r="DY12" s="89">
        <f t="shared" si="18"/>
        <v>0</v>
      </c>
      <c r="DZ12" s="89">
        <f t="shared" si="18"/>
        <v>0</v>
      </c>
      <c r="EA12" s="89">
        <f t="shared" si="18"/>
        <v>0</v>
      </c>
    </row>
    <row r="13" spans="1:158">
      <c r="G13" s="173" t="s">
        <v>429</v>
      </c>
    </row>
    <row r="14" spans="1:158">
      <c r="G14" s="170" t="s">
        <v>406</v>
      </c>
    </row>
    <row r="15" spans="1:158">
      <c r="G15" s="44"/>
    </row>
    <row r="16" spans="1:158">
      <c r="E16" s="20"/>
      <c r="G16" s="44"/>
    </row>
    <row r="17" spans="1:62">
      <c r="A17" s="53"/>
      <c r="C17" s="20"/>
      <c r="D17" s="47"/>
      <c r="G17" s="186" t="s">
        <v>407</v>
      </c>
      <c r="H17" s="186"/>
      <c r="I17" s="186"/>
      <c r="J17" s="186"/>
      <c r="K17" s="186"/>
      <c r="L17" s="186"/>
      <c r="M17" s="186"/>
      <c r="N17" s="186"/>
      <c r="O17" s="186"/>
      <c r="P17" s="186"/>
      <c r="Q17" s="186"/>
      <c r="R17" s="186"/>
      <c r="S17" s="186"/>
      <c r="T17" s="186"/>
      <c r="U17" s="186"/>
      <c r="V17" s="186"/>
      <c r="W17" s="186"/>
      <c r="X17" s="186"/>
      <c r="Y17" s="186"/>
      <c r="Z17" s="186"/>
      <c r="AA17" s="186"/>
      <c r="AB17" s="186"/>
      <c r="AC17" s="186"/>
      <c r="AD17" s="186"/>
      <c r="AE17" s="186"/>
      <c r="AF17" s="186"/>
      <c r="AG17" s="186"/>
      <c r="AH17" s="186"/>
      <c r="AI17" s="186"/>
      <c r="AJ17" s="186"/>
      <c r="AK17" s="186"/>
      <c r="AL17" s="186"/>
      <c r="AM17" s="186"/>
      <c r="AN17" s="186"/>
      <c r="AO17" s="186"/>
      <c r="AP17" s="186"/>
      <c r="AQ17" s="186"/>
      <c r="AR17" s="186"/>
      <c r="AS17" s="186"/>
      <c r="AT17" s="186"/>
      <c r="AU17" s="186"/>
      <c r="AV17" s="186"/>
      <c r="AW17" s="186"/>
      <c r="AX17" s="186"/>
      <c r="AY17" s="186"/>
      <c r="AZ17" s="186"/>
      <c r="BA17" s="186"/>
      <c r="BB17" s="186"/>
      <c r="BC17" s="186"/>
      <c r="BD17" s="186"/>
      <c r="BE17" s="186"/>
      <c r="BF17" s="186"/>
      <c r="BG17" s="186"/>
      <c r="BH17" s="186"/>
      <c r="BI17" s="186"/>
      <c r="BJ17" s="186"/>
    </row>
    <row r="18" spans="1:62">
      <c r="A18" s="52"/>
      <c r="C18" s="20"/>
      <c r="D18" s="47"/>
    </row>
    <row r="19" spans="1:62">
      <c r="A19" s="52"/>
      <c r="C19" s="20"/>
      <c r="D19" s="47"/>
    </row>
    <row r="20" spans="1:62">
      <c r="A20" s="52"/>
      <c r="C20" s="20"/>
      <c r="D20" s="47"/>
    </row>
    <row r="22" spans="1:62">
      <c r="D22" s="20"/>
    </row>
  </sheetData>
  <phoneticPr fontId="52" type="noConversion"/>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1"/>
  <dimension ref="A1:EY31"/>
  <sheetViews>
    <sheetView zoomScale="90" zoomScaleNormal="90" workbookViewId="0">
      <selection activeCell="DO21" sqref="DO21:DQ21"/>
    </sheetView>
  </sheetViews>
  <sheetFormatPr baseColWidth="10" defaultColWidth="31.6640625" defaultRowHeight="14"/>
  <cols>
    <col min="1" max="2" width="17.5" style="8" bestFit="1" customWidth="1"/>
    <col min="3" max="3" width="5.5" style="8" bestFit="1" customWidth="1"/>
    <col min="4" max="4" width="14.1640625" style="8" bestFit="1" customWidth="1"/>
    <col min="5" max="5" width="13.6640625" style="8" bestFit="1" customWidth="1"/>
    <col min="6" max="6" width="8.83203125" style="8" bestFit="1" customWidth="1"/>
    <col min="7" max="7" width="20.5" style="8" bestFit="1" customWidth="1"/>
    <col min="8" max="8" width="5.6640625" style="8" bestFit="1" customWidth="1"/>
    <col min="9" max="9" width="10.5" style="8" bestFit="1" customWidth="1"/>
    <col min="10" max="10" width="6.5" style="8" bestFit="1" customWidth="1"/>
    <col min="11" max="11" width="5.83203125" style="8" bestFit="1" customWidth="1"/>
    <col min="12" max="12" width="6.5" style="8" bestFit="1" customWidth="1"/>
    <col min="13" max="13" width="5.6640625" style="8" bestFit="1" customWidth="1"/>
    <col min="14" max="14" width="5.33203125" style="8" bestFit="1" customWidth="1"/>
    <col min="15" max="15" width="6.1640625" style="8" bestFit="1" customWidth="1"/>
    <col min="16" max="17" width="5.83203125" style="8" bestFit="1" customWidth="1"/>
    <col min="18" max="18" width="6.5" style="8" bestFit="1" customWidth="1"/>
    <col min="19" max="19" width="6.1640625" style="8" bestFit="1" customWidth="1"/>
    <col min="20" max="20" width="5.6640625" style="8" bestFit="1" customWidth="1"/>
    <col min="21" max="21" width="5.83203125" style="8" bestFit="1" customWidth="1"/>
    <col min="22" max="22" width="6.5" style="8" bestFit="1" customWidth="1"/>
    <col min="23" max="23" width="5.83203125" style="8" bestFit="1" customWidth="1"/>
    <col min="24" max="24" width="6.5" style="8" bestFit="1" customWidth="1"/>
    <col min="25" max="25" width="5.6640625" style="8" bestFit="1" customWidth="1"/>
    <col min="26" max="26" width="5.33203125" style="8" bestFit="1" customWidth="1"/>
    <col min="27" max="27" width="6.1640625" style="8" bestFit="1" customWidth="1"/>
    <col min="28" max="29" width="5.83203125" style="8" bestFit="1" customWidth="1"/>
    <col min="30" max="30" width="6.5" style="8" bestFit="1" customWidth="1"/>
    <col min="31" max="31" width="6.1640625" style="8" bestFit="1" customWidth="1"/>
    <col min="32" max="32" width="5.6640625" style="8" bestFit="1" customWidth="1"/>
    <col min="33" max="33" width="5.83203125" style="8" bestFit="1" customWidth="1"/>
    <col min="34" max="34" width="6.5" style="8" bestFit="1" customWidth="1"/>
    <col min="35" max="35" width="5.83203125" style="8" bestFit="1" customWidth="1"/>
    <col min="36" max="36" width="6.5" style="8" bestFit="1" customWidth="1"/>
    <col min="37" max="37" width="5.6640625" style="8" bestFit="1" customWidth="1"/>
    <col min="38" max="38" width="5.33203125" style="8" bestFit="1" customWidth="1"/>
    <col min="39" max="39" width="6.1640625" style="8" bestFit="1" customWidth="1"/>
    <col min="40" max="41" width="5.83203125" style="8" bestFit="1" customWidth="1"/>
    <col min="42" max="42" width="6.5" style="8" bestFit="1" customWidth="1"/>
    <col min="43" max="43" width="6.1640625" style="8" bestFit="1" customWidth="1"/>
    <col min="44" max="44" width="5.6640625" style="8" bestFit="1" customWidth="1"/>
    <col min="45" max="45" width="5.83203125" style="8" bestFit="1" customWidth="1"/>
    <col min="46" max="46" width="6.5" style="8" bestFit="1" customWidth="1"/>
    <col min="47" max="47" width="5.83203125" style="8" bestFit="1" customWidth="1"/>
    <col min="48" max="48" width="6.5" style="8" bestFit="1" customWidth="1"/>
    <col min="49" max="49" width="5.6640625" style="8" bestFit="1" customWidth="1"/>
    <col min="50" max="50" width="5.33203125" style="8" bestFit="1" customWidth="1"/>
    <col min="51" max="52" width="7.6640625" style="8" bestFit="1" customWidth="1"/>
    <col min="53" max="53" width="7.5" style="8" bestFit="1" customWidth="1"/>
    <col min="54" max="55" width="6.1640625" style="8" bestFit="1" customWidth="1"/>
    <col min="56" max="57" width="4.33203125" style="8" bestFit="1" customWidth="1"/>
    <col min="58" max="65" width="6.5" style="8" bestFit="1" customWidth="1"/>
    <col min="66" max="69" width="5.6640625" style="8" bestFit="1" customWidth="1"/>
    <col min="70" max="73" width="5.5" style="8" bestFit="1" customWidth="1"/>
    <col min="74" max="77" width="5.1640625" style="8" bestFit="1" customWidth="1"/>
    <col min="78" max="81" width="5.5" style="8" bestFit="1" customWidth="1"/>
    <col min="82" max="85" width="6.1640625" style="8" bestFit="1" customWidth="1"/>
    <col min="86" max="89" width="5.5" style="8" bestFit="1" customWidth="1"/>
    <col min="90" max="94" width="6.33203125" style="8" bestFit="1" customWidth="1"/>
    <col min="95" max="98" width="6.1640625" style="8" bestFit="1" customWidth="1"/>
    <col min="99" max="99" width="5.1640625" style="8" bestFit="1" customWidth="1"/>
    <col min="100" max="102" width="6.5" style="8" bestFit="1" customWidth="1"/>
    <col min="103" max="106" width="5.83203125" style="8" bestFit="1" customWidth="1"/>
    <col min="107" max="114" width="5.6640625" style="8" bestFit="1" customWidth="1"/>
    <col min="115" max="118" width="6.1640625" style="8" bestFit="1" customWidth="1"/>
    <col min="119" max="122" width="5.83203125" style="8" bestFit="1" customWidth="1"/>
    <col min="123" max="133" width="5.1640625" style="8" bestFit="1" customWidth="1"/>
    <col min="134" max="155" width="3.5" style="8" bestFit="1" customWidth="1"/>
    <col min="156" max="16384" width="31.6640625" style="8"/>
  </cols>
  <sheetData>
    <row r="1" spans="1:155">
      <c r="A1" s="24" t="s">
        <v>377</v>
      </c>
      <c r="B1" s="24" t="s">
        <v>378</v>
      </c>
      <c r="C1" s="24" t="s">
        <v>379</v>
      </c>
      <c r="D1" s="24" t="s">
        <v>380</v>
      </c>
      <c r="E1" s="24" t="s">
        <v>381</v>
      </c>
      <c r="F1" s="24" t="s">
        <v>33</v>
      </c>
      <c r="H1" s="25">
        <v>6</v>
      </c>
      <c r="I1" s="25">
        <v>7</v>
      </c>
      <c r="J1" s="25">
        <v>8</v>
      </c>
      <c r="K1" s="25">
        <v>9</v>
      </c>
      <c r="L1" s="25">
        <v>10</v>
      </c>
      <c r="M1" s="25">
        <v>11</v>
      </c>
      <c r="N1" s="25">
        <v>12</v>
      </c>
      <c r="O1" s="25">
        <v>13</v>
      </c>
      <c r="P1" s="25">
        <v>14</v>
      </c>
      <c r="Q1" s="25">
        <v>15</v>
      </c>
      <c r="R1" s="25">
        <v>16</v>
      </c>
      <c r="S1" s="25">
        <v>17</v>
      </c>
      <c r="T1" s="25">
        <v>18</v>
      </c>
      <c r="U1" s="25">
        <v>19</v>
      </c>
      <c r="V1" s="25">
        <v>20</v>
      </c>
      <c r="W1" s="25">
        <v>21</v>
      </c>
      <c r="X1" s="25">
        <v>22</v>
      </c>
      <c r="Y1" s="25">
        <v>23</v>
      </c>
      <c r="Z1" s="25">
        <v>24</v>
      </c>
      <c r="AA1" s="25">
        <v>25</v>
      </c>
      <c r="AB1" s="25">
        <v>26</v>
      </c>
      <c r="AC1" s="25">
        <v>27</v>
      </c>
      <c r="AD1" s="25">
        <v>28</v>
      </c>
      <c r="AE1" s="25">
        <v>29</v>
      </c>
      <c r="AF1" s="25">
        <v>30</v>
      </c>
      <c r="AG1" s="25">
        <v>31</v>
      </c>
      <c r="AH1" s="25">
        <v>32</v>
      </c>
      <c r="AI1" s="25">
        <v>33</v>
      </c>
      <c r="AJ1" s="25">
        <v>34</v>
      </c>
      <c r="AK1" s="25">
        <v>35</v>
      </c>
      <c r="AL1" s="25">
        <v>36</v>
      </c>
      <c r="AM1" s="25">
        <v>37</v>
      </c>
      <c r="AN1" s="25">
        <v>38</v>
      </c>
      <c r="AO1" s="25">
        <v>39</v>
      </c>
      <c r="AP1" s="25">
        <v>40</v>
      </c>
      <c r="AQ1" s="25">
        <v>41</v>
      </c>
      <c r="AR1" s="25">
        <v>42</v>
      </c>
      <c r="AS1" s="25">
        <v>43</v>
      </c>
      <c r="AT1" s="25">
        <v>44</v>
      </c>
      <c r="AU1" s="25">
        <v>45</v>
      </c>
      <c r="AV1" s="25">
        <v>46</v>
      </c>
      <c r="AW1" s="25">
        <v>47</v>
      </c>
      <c r="AX1" s="25">
        <v>48</v>
      </c>
      <c r="AY1" s="25">
        <v>49</v>
      </c>
      <c r="AZ1" s="25">
        <v>50</v>
      </c>
      <c r="BA1" s="25">
        <v>51</v>
      </c>
      <c r="BB1" s="25">
        <v>52</v>
      </c>
      <c r="BC1" s="25">
        <v>53</v>
      </c>
      <c r="BD1" s="25">
        <v>54</v>
      </c>
      <c r="BE1" s="25">
        <v>55</v>
      </c>
      <c r="BF1" s="25">
        <v>56</v>
      </c>
      <c r="BG1" s="25">
        <v>57</v>
      </c>
      <c r="BH1" s="25">
        <v>58</v>
      </c>
      <c r="BI1" s="25">
        <v>59</v>
      </c>
      <c r="BJ1" s="25">
        <v>60</v>
      </c>
      <c r="BK1" s="25">
        <v>61</v>
      </c>
      <c r="BL1" s="25">
        <v>62</v>
      </c>
      <c r="BM1" s="25">
        <v>63</v>
      </c>
      <c r="BN1" s="25">
        <v>64</v>
      </c>
      <c r="BO1" s="25">
        <v>65</v>
      </c>
      <c r="BP1" s="25">
        <v>66</v>
      </c>
      <c r="BQ1" s="25">
        <v>67</v>
      </c>
      <c r="BR1" s="25">
        <v>68</v>
      </c>
      <c r="BS1" s="25">
        <v>69</v>
      </c>
      <c r="BT1" s="25">
        <v>70</v>
      </c>
      <c r="BU1" s="25">
        <v>71</v>
      </c>
      <c r="BV1" s="25">
        <v>72</v>
      </c>
      <c r="BW1" s="25">
        <v>73</v>
      </c>
      <c r="BX1" s="25">
        <v>74</v>
      </c>
      <c r="BY1" s="25">
        <v>75</v>
      </c>
      <c r="BZ1" s="25">
        <v>76</v>
      </c>
      <c r="CA1" s="25">
        <v>77</v>
      </c>
      <c r="CB1" s="25">
        <v>78</v>
      </c>
      <c r="CC1" s="25">
        <v>79</v>
      </c>
      <c r="CD1" s="25">
        <v>80</v>
      </c>
      <c r="CE1" s="25">
        <v>81</v>
      </c>
      <c r="CF1" s="25">
        <v>82</v>
      </c>
      <c r="CG1" s="25">
        <v>83</v>
      </c>
      <c r="CH1" s="25">
        <v>84</v>
      </c>
      <c r="CI1" s="25">
        <v>85</v>
      </c>
      <c r="CJ1" s="25">
        <v>86</v>
      </c>
      <c r="CK1" s="25">
        <v>87</v>
      </c>
      <c r="CL1" s="25">
        <v>88</v>
      </c>
      <c r="CM1" s="25">
        <v>89</v>
      </c>
      <c r="CN1" s="25">
        <v>90</v>
      </c>
      <c r="CO1" s="25">
        <v>91</v>
      </c>
      <c r="CP1" s="25">
        <v>92</v>
      </c>
      <c r="CQ1" s="25">
        <v>93</v>
      </c>
      <c r="CR1" s="25">
        <v>94</v>
      </c>
      <c r="CS1" s="25">
        <v>95</v>
      </c>
      <c r="CT1" s="25">
        <v>96</v>
      </c>
      <c r="CU1" s="25">
        <v>97</v>
      </c>
      <c r="CV1" s="25">
        <v>98</v>
      </c>
      <c r="CW1" s="25">
        <v>99</v>
      </c>
      <c r="CX1" s="25">
        <v>100</v>
      </c>
      <c r="CY1" s="25">
        <v>101</v>
      </c>
      <c r="CZ1" s="25">
        <v>102</v>
      </c>
      <c r="DA1" s="25">
        <v>103</v>
      </c>
      <c r="DB1" s="25">
        <v>104</v>
      </c>
      <c r="DC1" s="25">
        <v>105</v>
      </c>
      <c r="DD1" s="25">
        <v>106</v>
      </c>
      <c r="DE1" s="25">
        <v>107</v>
      </c>
      <c r="DF1" s="25">
        <v>108</v>
      </c>
      <c r="DG1" s="25">
        <v>109</v>
      </c>
      <c r="DH1" s="25">
        <v>110</v>
      </c>
      <c r="DI1" s="25">
        <v>111</v>
      </c>
      <c r="DJ1" s="25">
        <v>112</v>
      </c>
      <c r="DK1" s="25">
        <v>113</v>
      </c>
      <c r="DL1" s="25">
        <v>114</v>
      </c>
      <c r="DM1" s="25">
        <v>115</v>
      </c>
      <c r="DN1" s="25">
        <v>116</v>
      </c>
      <c r="DO1" s="25">
        <v>117</v>
      </c>
      <c r="DP1" s="25">
        <v>118</v>
      </c>
      <c r="DQ1" s="25">
        <v>119</v>
      </c>
      <c r="DR1" s="25">
        <v>120</v>
      </c>
      <c r="DS1" s="25">
        <v>121</v>
      </c>
      <c r="DT1" s="25">
        <v>122</v>
      </c>
      <c r="DU1" s="25">
        <v>123</v>
      </c>
      <c r="DV1" s="25">
        <v>124</v>
      </c>
      <c r="DW1" s="25">
        <v>125</v>
      </c>
      <c r="DX1" s="25">
        <v>126</v>
      </c>
      <c r="DY1" s="25">
        <v>127</v>
      </c>
      <c r="DZ1" s="25">
        <v>128</v>
      </c>
      <c r="EA1" s="25">
        <v>129</v>
      </c>
      <c r="EB1" s="25">
        <v>130</v>
      </c>
      <c r="EC1" s="25">
        <v>131</v>
      </c>
      <c r="ED1" s="25">
        <v>132</v>
      </c>
      <c r="EE1" s="25">
        <v>133</v>
      </c>
      <c r="EF1" s="25">
        <v>134</v>
      </c>
      <c r="EG1" s="25">
        <v>135</v>
      </c>
      <c r="EH1" s="25">
        <v>136</v>
      </c>
      <c r="EI1" s="25">
        <v>137</v>
      </c>
      <c r="EJ1" s="25">
        <v>138</v>
      </c>
      <c r="EK1" s="25">
        <v>139</v>
      </c>
      <c r="EL1" s="25">
        <v>140</v>
      </c>
      <c r="EM1" s="25">
        <v>141</v>
      </c>
      <c r="EN1" s="25">
        <v>142</v>
      </c>
      <c r="EO1" s="25">
        <v>143</v>
      </c>
      <c r="EP1" s="25">
        <v>144</v>
      </c>
      <c r="EQ1" s="25">
        <v>145</v>
      </c>
      <c r="ER1" s="25">
        <v>146</v>
      </c>
      <c r="ES1" s="25">
        <v>147</v>
      </c>
      <c r="ET1" s="25">
        <v>148</v>
      </c>
      <c r="EU1" s="25">
        <v>149</v>
      </c>
      <c r="EV1" s="25">
        <v>150</v>
      </c>
      <c r="EW1" s="25">
        <v>151</v>
      </c>
      <c r="EX1" s="25">
        <v>152</v>
      </c>
      <c r="EY1" s="25">
        <v>153</v>
      </c>
    </row>
    <row r="2" spans="1:155" ht="15">
      <c r="A2" s="52" t="s">
        <v>606</v>
      </c>
      <c r="B2" s="53" t="s">
        <v>607</v>
      </c>
      <c r="C2" s="8">
        <v>1</v>
      </c>
      <c r="D2" s="18"/>
      <c r="E2" s="20">
        <v>138.12</v>
      </c>
      <c r="H2" s="119"/>
      <c r="I2" s="119" t="s">
        <v>608</v>
      </c>
    </row>
    <row r="3" spans="1:155">
      <c r="A3" s="53"/>
      <c r="B3" s="54"/>
      <c r="D3" s="18"/>
    </row>
    <row r="4" spans="1:155" ht="15">
      <c r="A4" s="53" t="s">
        <v>609</v>
      </c>
      <c r="B4" s="52" t="s">
        <v>590</v>
      </c>
      <c r="C4" s="52" t="s">
        <v>610</v>
      </c>
      <c r="D4" s="52" t="s">
        <v>611</v>
      </c>
    </row>
    <row r="5" spans="1:155">
      <c r="A5" s="55">
        <v>157.55000000000001</v>
      </c>
      <c r="B5" s="18">
        <v>17.03</v>
      </c>
      <c r="C5" s="53">
        <v>18.010000000000002</v>
      </c>
      <c r="D5" s="18">
        <v>56.07</v>
      </c>
    </row>
    <row r="6" spans="1:155" ht="30">
      <c r="A6" s="55"/>
      <c r="B6" s="18"/>
      <c r="C6" s="53"/>
      <c r="D6" s="18"/>
      <c r="G6" s="24" t="s">
        <v>388</v>
      </c>
      <c r="H6" s="24">
        <v>43831</v>
      </c>
      <c r="I6" s="24">
        <v>43862</v>
      </c>
      <c r="J6" s="24">
        <v>43891</v>
      </c>
      <c r="K6" s="24">
        <v>43922</v>
      </c>
      <c r="L6" s="24">
        <v>43952</v>
      </c>
      <c r="M6" s="24">
        <v>43983</v>
      </c>
      <c r="N6" s="24">
        <v>44013</v>
      </c>
      <c r="O6" s="24">
        <v>44044</v>
      </c>
      <c r="P6" s="24">
        <v>44075</v>
      </c>
      <c r="Q6" s="24">
        <v>44105</v>
      </c>
      <c r="R6" s="24">
        <v>44136</v>
      </c>
      <c r="S6" s="24">
        <v>44166</v>
      </c>
      <c r="T6" s="24">
        <v>44197</v>
      </c>
      <c r="U6" s="24">
        <v>44228</v>
      </c>
      <c r="V6" s="24">
        <v>44256</v>
      </c>
      <c r="W6" s="24">
        <v>44287</v>
      </c>
      <c r="X6" s="24">
        <v>44317</v>
      </c>
      <c r="Y6" s="24">
        <v>44348</v>
      </c>
      <c r="Z6" s="24">
        <v>44378</v>
      </c>
      <c r="AA6" s="24">
        <v>44409</v>
      </c>
      <c r="AB6" s="24">
        <v>44440</v>
      </c>
      <c r="AC6" s="24">
        <v>44470</v>
      </c>
      <c r="AD6" s="24">
        <v>44501</v>
      </c>
      <c r="AE6" s="24">
        <v>44531</v>
      </c>
      <c r="AF6" s="24">
        <v>44562</v>
      </c>
      <c r="AG6" s="24">
        <v>44593</v>
      </c>
      <c r="AH6" s="24">
        <v>44621</v>
      </c>
      <c r="AI6" s="24">
        <v>44652</v>
      </c>
      <c r="AJ6" s="24">
        <v>44682</v>
      </c>
      <c r="AK6" s="24">
        <v>44713</v>
      </c>
      <c r="AL6" s="24">
        <v>44743</v>
      </c>
      <c r="AM6" s="24">
        <v>44774</v>
      </c>
      <c r="AN6" s="24">
        <v>44805</v>
      </c>
      <c r="AO6" s="24">
        <v>44835</v>
      </c>
      <c r="AP6" s="24">
        <v>44866</v>
      </c>
      <c r="AQ6" s="24">
        <v>44896</v>
      </c>
      <c r="AR6" s="24">
        <v>44927</v>
      </c>
      <c r="AS6" s="24">
        <v>44958</v>
      </c>
      <c r="AT6" s="24">
        <v>44986</v>
      </c>
      <c r="AU6" s="24">
        <v>45017</v>
      </c>
      <c r="AV6" s="24">
        <v>45047</v>
      </c>
      <c r="AW6" s="24">
        <v>45078</v>
      </c>
      <c r="AX6" s="24">
        <v>45108</v>
      </c>
      <c r="AY6" s="24" t="s">
        <v>530</v>
      </c>
      <c r="AZ6" s="24" t="s">
        <v>531</v>
      </c>
      <c r="BA6" s="24" t="s">
        <v>554</v>
      </c>
      <c r="BB6" s="24">
        <v>37104</v>
      </c>
      <c r="BC6" s="24">
        <v>37469</v>
      </c>
      <c r="BD6" s="34" t="s">
        <v>168</v>
      </c>
      <c r="BE6" s="34" t="s">
        <v>169</v>
      </c>
      <c r="BF6" s="24" t="s">
        <v>195</v>
      </c>
      <c r="BG6" s="24" t="s">
        <v>196</v>
      </c>
      <c r="BH6" s="24" t="s">
        <v>197</v>
      </c>
      <c r="BI6" s="24" t="s">
        <v>198</v>
      </c>
      <c r="BJ6" s="24" t="s">
        <v>199</v>
      </c>
      <c r="BK6" s="24" t="s">
        <v>200</v>
      </c>
      <c r="BL6" s="24" t="s">
        <v>201</v>
      </c>
      <c r="BM6" s="24" t="s">
        <v>202</v>
      </c>
      <c r="BN6" s="59">
        <v>37196</v>
      </c>
      <c r="BO6" s="59">
        <v>37561</v>
      </c>
      <c r="BP6" s="59">
        <v>37926</v>
      </c>
      <c r="BQ6" s="59">
        <v>38292</v>
      </c>
      <c r="BR6" s="59">
        <v>37226</v>
      </c>
      <c r="BS6" s="59">
        <v>37591</v>
      </c>
      <c r="BT6" s="59">
        <v>37956</v>
      </c>
      <c r="BU6" s="59">
        <v>38322</v>
      </c>
      <c r="BV6" s="59">
        <v>36892</v>
      </c>
      <c r="BW6" s="59">
        <v>37257</v>
      </c>
      <c r="BX6" s="59">
        <v>37622</v>
      </c>
      <c r="BY6" s="59">
        <v>37987</v>
      </c>
      <c r="BZ6" s="59">
        <v>36923</v>
      </c>
      <c r="CA6" s="59">
        <v>37288</v>
      </c>
      <c r="CB6" s="59">
        <v>37653</v>
      </c>
      <c r="CC6" s="59">
        <v>38018</v>
      </c>
      <c r="CD6" s="59" t="str">
        <f>Sheet8!A15</f>
        <v>Mar-w1</v>
      </c>
      <c r="CE6" s="59" t="str">
        <f>Sheet8!B15</f>
        <v>Mar-w2</v>
      </c>
      <c r="CF6" s="59" t="str">
        <f>Sheet8!C15</f>
        <v>Mar-w3</v>
      </c>
      <c r="CG6" s="59" t="str">
        <f>Sheet8!D15</f>
        <v>Mar-w4</v>
      </c>
      <c r="CH6" s="59" t="str">
        <f>Sheet8!E15</f>
        <v>Apr-w1</v>
      </c>
      <c r="CI6" s="59" t="str">
        <f>Sheet8!F15</f>
        <v>Apr-w2</v>
      </c>
      <c r="CJ6" s="59" t="str">
        <f>Sheet8!G15</f>
        <v>Apr-w3</v>
      </c>
      <c r="CK6" s="59" t="str">
        <f>Sheet8!H15</f>
        <v>Apr-w4</v>
      </c>
      <c r="CL6" s="59" t="str">
        <f>Sheet8!I15</f>
        <v>May-w1</v>
      </c>
      <c r="CM6" s="59" t="str">
        <f>Sheet8!J15</f>
        <v>May-w2</v>
      </c>
      <c r="CN6" s="59" t="str">
        <f>Sheet8!K15</f>
        <v>May-w3</v>
      </c>
      <c r="CO6" s="59" t="str">
        <f>Sheet8!L15</f>
        <v>May-w4</v>
      </c>
      <c r="CP6" s="59" t="str">
        <f>Sheet8!M15</f>
        <v>May-w5</v>
      </c>
      <c r="CQ6" s="59" t="str">
        <f>Sheet8!N15</f>
        <v>june-w1</v>
      </c>
      <c r="CR6" s="59" t="str">
        <f>Sheet8!O15</f>
        <v>june-w2</v>
      </c>
      <c r="CS6" s="59" t="str">
        <f>Sheet8!P15</f>
        <v>june-w3</v>
      </c>
      <c r="CT6" s="59" t="str">
        <f>Sheet8!Q15</f>
        <v>june-w4</v>
      </c>
      <c r="CU6" s="59" t="str">
        <f>Sheet8!R15</f>
        <v>Jul-w1</v>
      </c>
      <c r="CV6" s="59" t="str">
        <f>Sheet8!S15</f>
        <v>Jul-w2</v>
      </c>
      <c r="CW6" s="59" t="str">
        <f>Sheet8!T15</f>
        <v>Jul-w3</v>
      </c>
      <c r="CX6" s="59" t="str">
        <f>Sheet8!U15</f>
        <v>Jul-w4</v>
      </c>
      <c r="CY6" s="59" t="str">
        <f>Sheet8!V15</f>
        <v>Aug-w1</v>
      </c>
      <c r="CZ6" s="59" t="str">
        <f>Sheet8!W15</f>
        <v>Aug-w2</v>
      </c>
      <c r="DA6" s="59" t="str">
        <f>Sheet8!X15</f>
        <v>Aug-w3</v>
      </c>
      <c r="DB6" s="59" t="str">
        <f>Sheet8!Y15</f>
        <v>Aug-w4</v>
      </c>
      <c r="DC6" s="59" t="str">
        <f>Sheet8!Z15</f>
        <v>Sep-w1</v>
      </c>
      <c r="DD6" s="59" t="str">
        <f>Sheet8!AA15</f>
        <v>Sep-w2</v>
      </c>
      <c r="DE6" s="59" t="str">
        <f>Sheet8!AB15</f>
        <v>Sep-w3</v>
      </c>
      <c r="DF6" s="59" t="str">
        <f>Sheet8!AC15</f>
        <v>Sep-w4</v>
      </c>
      <c r="DG6" s="59" t="str">
        <f>Sheet8!AD15</f>
        <v>Oct-w1</v>
      </c>
      <c r="DH6" s="59" t="str">
        <f>Sheet8!AE15</f>
        <v>Oct-w2</v>
      </c>
      <c r="DI6" s="59" t="str">
        <f>Sheet8!AF15</f>
        <v>Oct-w3</v>
      </c>
      <c r="DJ6" s="59" t="str">
        <f>Sheet8!AG15</f>
        <v>Oct-w4</v>
      </c>
      <c r="DK6" s="59" t="str">
        <f>Sheet8!AH15</f>
        <v>Nov-w1</v>
      </c>
      <c r="DL6" s="59" t="str">
        <f>Sheet8!AI15</f>
        <v>Nov-w2</v>
      </c>
      <c r="DM6" s="59" t="str">
        <f>Sheet8!AJ15</f>
        <v>Nov-w3</v>
      </c>
      <c r="DN6" s="59" t="str">
        <f>Sheet8!AK15</f>
        <v>Nov-w4</v>
      </c>
      <c r="DO6" s="59" t="str">
        <f>Sheet8!AL15</f>
        <v>Dec-w1</v>
      </c>
      <c r="DP6" s="59" t="str">
        <f>Sheet8!AM15</f>
        <v>Dec-w2</v>
      </c>
      <c r="DQ6" s="59" t="str">
        <f>Sheet8!AN15</f>
        <v>Dec-w3</v>
      </c>
      <c r="DR6" s="59" t="str">
        <f>Sheet8!AO15</f>
        <v>Dec-w4</v>
      </c>
      <c r="DS6" s="59">
        <f>Sheet8!AP15</f>
        <v>0</v>
      </c>
      <c r="DT6" s="59">
        <f>Sheet8!AQ15</f>
        <v>0</v>
      </c>
      <c r="DU6" s="59">
        <f>Sheet8!AR15</f>
        <v>0</v>
      </c>
      <c r="DV6" s="59">
        <f>Sheet8!AS15</f>
        <v>0</v>
      </c>
      <c r="DW6" s="59">
        <f>Sheet8!AT15</f>
        <v>0</v>
      </c>
      <c r="DX6" s="59">
        <f>Sheet8!AU15</f>
        <v>0</v>
      </c>
      <c r="DY6" s="59">
        <f>Sheet8!AV15</f>
        <v>0</v>
      </c>
      <c r="DZ6" s="59">
        <f>Sheet8!AW15</f>
        <v>0</v>
      </c>
      <c r="EA6" s="59">
        <f>Sheet8!AX15</f>
        <v>0</v>
      </c>
      <c r="EB6" s="59">
        <f>Sheet8!AY15</f>
        <v>0</v>
      </c>
      <c r="EC6" s="59">
        <f>Sheet8!AZ15</f>
        <v>0</v>
      </c>
    </row>
    <row r="7" spans="1:155" ht="15">
      <c r="A7" s="55"/>
      <c r="B7" s="18"/>
      <c r="C7" s="53"/>
      <c r="D7" s="18"/>
      <c r="F7" s="8" t="s">
        <v>588</v>
      </c>
      <c r="G7" s="53" t="s">
        <v>609</v>
      </c>
      <c r="H7" s="20">
        <f>PNCB!H14</f>
        <v>0.37002270660630238</v>
      </c>
      <c r="I7" s="20">
        <f>PNCB!I14</f>
        <v>0.33342175066030455</v>
      </c>
      <c r="J7" s="20">
        <f>PNCB!J14</f>
        <v>0.2399789879703344</v>
      </c>
      <c r="K7" s="20">
        <f>PNCB!K14</f>
        <v>0.18808208691145961</v>
      </c>
      <c r="L7" s="20">
        <f>PNCB!L14</f>
        <v>0.22034565140461185</v>
      </c>
      <c r="M7" s="20">
        <f>PNCB!M14</f>
        <v>0.27183838425181361</v>
      </c>
      <c r="N7" s="20">
        <f>PNCB!N14</f>
        <v>0.2858505148689231</v>
      </c>
      <c r="O7" s="20">
        <f>PNCB!O14</f>
        <v>0.29036686249531274</v>
      </c>
      <c r="P7" s="20">
        <f>PNCB!P14</f>
        <v>0.29503482406765424</v>
      </c>
      <c r="Q7" s="20">
        <f>PNCB!Q14</f>
        <v>0.29259184118021969</v>
      </c>
      <c r="R7" s="20">
        <f>PNCB!R14</f>
        <v>0.2974979624834363</v>
      </c>
      <c r="S7" s="20">
        <f>PNCB!S14</f>
        <v>0.34654703364883521</v>
      </c>
      <c r="T7" s="20">
        <f>PNCB!T14</f>
        <v>0.37961679979957702</v>
      </c>
      <c r="U7" s="20">
        <f>PNCB!U14</f>
        <v>0.39553752480461468</v>
      </c>
      <c r="V7" s="20">
        <f>PNCB!V14</f>
        <v>0.40198265333523986</v>
      </c>
      <c r="W7" s="20">
        <f>PNCB!W14</f>
        <v>0.41664827143471883</v>
      </c>
      <c r="X7" s="20">
        <f>PNCB!X14</f>
        <v>0.43175284036813699</v>
      </c>
      <c r="Y7" s="20">
        <f>PNCB!Y14</f>
        <v>0.45950114576557149</v>
      </c>
      <c r="Z7" s="20">
        <f>PNCB!Z14</f>
        <v>0.49560099536807467</v>
      </c>
      <c r="AA7" s="20">
        <f>PNCB!AA14</f>
        <v>0.50651500347315292</v>
      </c>
      <c r="AB7" s="20">
        <f>PNCB!AB14</f>
        <v>0.51666377868021129</v>
      </c>
      <c r="AC7" s="20">
        <f>PNCB!AC14</f>
        <v>0.57252255718646994</v>
      </c>
      <c r="AD7" s="20">
        <f>PNCB!AD14</f>
        <v>0.55079051732234774</v>
      </c>
      <c r="AE7" s="20">
        <f>PNCB!AE14</f>
        <v>0.48358837831448653</v>
      </c>
      <c r="AF7" s="20">
        <f>PNCB!AF14</f>
        <v>0.58896914734712758</v>
      </c>
      <c r="AG7" s="20">
        <f>PNCB!AG14</f>
        <v>0.67304878226390163</v>
      </c>
      <c r="AH7" s="20">
        <f>PNCB!AH14</f>
        <v>0.73039426003521057</v>
      </c>
      <c r="AI7" s="20">
        <f>PNCB!AI14</f>
        <v>0.69726723157922288</v>
      </c>
      <c r="AJ7" s="20">
        <f>PNCB!AJ14</f>
        <v>0.70339796434517199</v>
      </c>
      <c r="AK7" s="20">
        <f>PNCB!AK14</f>
        <v>0.66115548018005899</v>
      </c>
      <c r="AL7" s="20">
        <f>PNCB!AL14</f>
        <v>0.63414048267340817</v>
      </c>
      <c r="AM7" s="20">
        <f>PNCB!AM14</f>
        <v>0.5446325375212252</v>
      </c>
      <c r="AN7" s="20">
        <f>PNCB!AN14</f>
        <v>0.48380859405502935</v>
      </c>
      <c r="AO7" s="20">
        <f>PNCB!AO14</f>
        <v>0.5006531327188446</v>
      </c>
      <c r="AP7" s="20">
        <f>PNCB!AP14</f>
        <v>0.51767978497695688</v>
      </c>
      <c r="AQ7" s="20">
        <f>PNCB!AQ14</f>
        <v>0.49212620936639667</v>
      </c>
      <c r="AR7" s="20">
        <f>PNCB!AR14</f>
        <v>0.52387073887466951</v>
      </c>
      <c r="AS7" s="20">
        <f>PNCB!AS14</f>
        <v>0.5208000811479685</v>
      </c>
      <c r="AT7" s="20">
        <f>PNCB!AT14</f>
        <v>0.58829230583854308</v>
      </c>
      <c r="AU7" s="20">
        <f>PNCB!AU14</f>
        <v>0.64722375617177064</v>
      </c>
      <c r="AV7" s="20">
        <f>PNCB!AV14</f>
        <v>0.56981594912638811</v>
      </c>
      <c r="AW7" s="20">
        <f>PNCB!AW14</f>
        <v>0.46573997672696499</v>
      </c>
      <c r="AX7" s="20">
        <f>PNCB!AX14</f>
        <v>0.48281916456056012</v>
      </c>
      <c r="AY7" s="20">
        <f>PNCB!AY14</f>
        <v>0.51631879830629301</v>
      </c>
      <c r="AZ7" s="20">
        <f>PNCB!AZ14</f>
        <v>0.52825225969930167</v>
      </c>
      <c r="BA7" s="20">
        <f>PNCB!BA14</f>
        <v>0.54704645164147725</v>
      </c>
      <c r="BB7" s="20">
        <f>PNCB!BB14</f>
        <v>0.56234030462303963</v>
      </c>
      <c r="BC7" s="20">
        <f>PNCB!BC14</f>
        <v>0.55732768928878096</v>
      </c>
      <c r="BD7" s="20">
        <f>PNCB!BD14</f>
        <v>0.56377281781940614</v>
      </c>
      <c r="BE7" s="20">
        <f>PNCB!BE14</f>
        <v>0.56385130861384514</v>
      </c>
      <c r="BF7" s="20">
        <f>PNCB!BF14</f>
        <v>0.55834528510869041</v>
      </c>
      <c r="BG7" s="20">
        <f>PNCB!BG14</f>
        <v>0.59058530195879033</v>
      </c>
      <c r="BH7" s="20">
        <f>PNCB!BH14</f>
        <v>0.63024894001406662</v>
      </c>
      <c r="BI7" s="20">
        <f>PNCB!BI14</f>
        <v>0.60045917393659953</v>
      </c>
      <c r="BJ7" s="20">
        <f>PNCB!BJ14</f>
        <v>0.56972606489160382</v>
      </c>
      <c r="BK7" s="20">
        <f>PNCB!BK14</f>
        <v>0.59216475688636905</v>
      </c>
      <c r="BL7" s="20">
        <f>PNCB!BL14</f>
        <v>0.58276186382617112</v>
      </c>
      <c r="BM7" s="20">
        <f>PNCB!BM14</f>
        <v>0.58274365505370518</v>
      </c>
      <c r="BN7" s="20">
        <f>PNCB!BN14</f>
        <v>0.5827488513086142</v>
      </c>
      <c r="BO7" s="20">
        <f>PNCB!BO14</f>
        <v>0.56341736618720151</v>
      </c>
      <c r="BP7" s="20">
        <f>PNCB!BP14</f>
        <v>0.57531606501297095</v>
      </c>
      <c r="BQ7" s="20">
        <f>PNCB!BQ14</f>
        <v>0.56488652537278883</v>
      </c>
      <c r="BR7" s="20">
        <f>PNCB!BR14</f>
        <v>0.55496187682034614</v>
      </c>
      <c r="BS7" s="20">
        <f>PNCB!BS14</f>
        <v>0.54951348534511468</v>
      </c>
      <c r="BT7" s="20">
        <f>PNCB!BT14</f>
        <v>0.57332644931984234</v>
      </c>
      <c r="BU7" s="20">
        <f>PNCB!BU14</f>
        <v>0.56934983384710636</v>
      </c>
      <c r="BV7" s="20">
        <f>PNCB!BV14</f>
        <v>0.58802552349632675</v>
      </c>
      <c r="BW7" s="20">
        <f>PNCB!BW14</f>
        <v>0.61182161911393895</v>
      </c>
      <c r="BX7" s="20">
        <f>PNCB!BX14</f>
        <v>0.61280017421420152</v>
      </c>
      <c r="BY7" s="20">
        <f>PNCB!BY14</f>
        <v>0.63910120018159722</v>
      </c>
      <c r="BZ7" s="20">
        <f>PNCB!BZ14</f>
        <v>0.64406682521899716</v>
      </c>
      <c r="CA7" s="20">
        <f>PNCB!CA14</f>
        <v>0.66340090438110266</v>
      </c>
      <c r="CB7" s="20">
        <f>PNCB!CB14</f>
        <v>0.66242373420810752</v>
      </c>
      <c r="CC7" s="20">
        <f>PNCB!CC14</f>
        <v>0.65647438479522269</v>
      </c>
      <c r="CD7" s="20">
        <f>PNCB!CD14</f>
        <v>0.64906395620361201</v>
      </c>
      <c r="CE7" s="20">
        <f>PNCB!CE14</f>
        <v>0.6584758686625295</v>
      </c>
      <c r="CF7" s="20">
        <f>PNCB!CF14</f>
        <v>0.65841055445072205</v>
      </c>
      <c r="CG7" s="20">
        <f>PNCB!CG14</f>
        <v>0.66037681752098831</v>
      </c>
      <c r="CH7" s="20">
        <f>PNCB!CH14</f>
        <v>0.68370178555471228</v>
      </c>
      <c r="CI7" s="20">
        <f>PNCB!CI14</f>
        <v>0.67723201328496063</v>
      </c>
      <c r="CJ7" s="20">
        <f>PNCB!CJ14</f>
        <v>0.67323867283500394</v>
      </c>
      <c r="CK7" s="20">
        <f>PNCB!CK14</f>
        <v>0.6688011807358557</v>
      </c>
      <c r="CL7" s="20">
        <f>PNCB!CL14</f>
        <v>0.66383305176381591</v>
      </c>
      <c r="CM7" s="20">
        <f>PNCB!CM14</f>
        <v>0.6583988811123842</v>
      </c>
      <c r="CN7" s="20">
        <f>PNCB!CN14</f>
        <v>0.66186933493656708</v>
      </c>
      <c r="CO7" s="20">
        <f>PNCB!CO14</f>
        <v>0.66385245140752858</v>
      </c>
      <c r="CP7" s="20">
        <f>PNCB!CP14</f>
        <v>0.67128913817363467</v>
      </c>
      <c r="CQ7" s="20">
        <f>PNCB!CQ14</f>
        <v>0.67121962413262837</v>
      </c>
      <c r="CR7" s="20">
        <f>PNCB!CR14</f>
        <v>0.65343461563342153</v>
      </c>
      <c r="CS7" s="20">
        <f>PNCB!CS14</f>
        <v>0.64201877058323853</v>
      </c>
      <c r="CT7" s="20">
        <f>PNCB!CT14</f>
        <v>0.66532684791593266</v>
      </c>
      <c r="CU7" s="20">
        <f>PNCB!CU14</f>
        <v>0.65392134375980093</v>
      </c>
      <c r="CV7" s="20">
        <f>PNCB!CV14</f>
        <v>0.64944900628090851</v>
      </c>
      <c r="CW7" s="20">
        <f>PNCB!CW14</f>
        <v>0.64744658284885759</v>
      </c>
      <c r="CX7" s="20">
        <f>PNCB!CX14</f>
        <v>0.63207357710778123</v>
      </c>
      <c r="CY7" s="20">
        <f>PNCB!CY14</f>
        <v>0.65286812819663198</v>
      </c>
      <c r="CZ7" s="20">
        <f>PNCB!CZ14</f>
        <v>0.65683308410754293</v>
      </c>
      <c r="DA7" s="20">
        <f>PNCB!DA14</f>
        <v>0.64494205203410837</v>
      </c>
      <c r="DB7" s="20">
        <f>PNCB!DB14</f>
        <v>0.64890956383431031</v>
      </c>
      <c r="DC7" s="20">
        <f>PNCB!DC14</f>
        <v>0.64146393145759051</v>
      </c>
      <c r="DD7" s="20">
        <f>PNCB!DD14</f>
        <v>0.61915387115927256</v>
      </c>
      <c r="DE7" s="20">
        <f>PNCB!DE14</f>
        <v>0.62267306698671443</v>
      </c>
      <c r="DF7" s="20">
        <f>PNCB!DF14</f>
        <v>0.61820075665561736</v>
      </c>
      <c r="DG7" s="20">
        <f>PNCB!DG14</f>
        <v>0.64245421296622274</v>
      </c>
      <c r="DH7" s="20">
        <f>PNCB!DH14</f>
        <v>0.59583822533525943</v>
      </c>
      <c r="DI7" s="20">
        <f>PNCB!DI14</f>
        <v>0.59385510886429782</v>
      </c>
      <c r="DJ7" s="20">
        <f>PNCB!DJ14</f>
        <v>0.59187071900512755</v>
      </c>
      <c r="DK7" s="20">
        <f>PNCB!DK14</f>
        <v>0.60029387348143137</v>
      </c>
      <c r="DL7" s="20">
        <f>PNCB!DL14</f>
        <v>0.58241032666978509</v>
      </c>
      <c r="DM7" s="20">
        <f>PNCB!DM14</f>
        <v>0.59035924469703149</v>
      </c>
      <c r="DN7" s="20">
        <f>PNCB!DN14</f>
        <v>0.5828771219675859</v>
      </c>
      <c r="DO7" s="20">
        <f>PNCB!DO14</f>
        <v>0.5888189362747307</v>
      </c>
      <c r="DP7" s="20">
        <f>PNCB!DP14</f>
        <v>0.59078451228441164</v>
      </c>
      <c r="DQ7" s="20">
        <f>PNCB!DQ14</f>
        <v>0.59424372063807351</v>
      </c>
      <c r="DR7" s="20">
        <f>PNCB!DR14</f>
        <v>0.58627890132636029</v>
      </c>
      <c r="DS7" s="20">
        <f>PNCB!DS14</f>
        <v>0</v>
      </c>
      <c r="DT7" s="20">
        <f>PNCB!DT14</f>
        <v>0</v>
      </c>
      <c r="DU7" s="20">
        <f>PNCB!DU14</f>
        <v>0</v>
      </c>
      <c r="DV7" s="20">
        <f>PNCB!DV14</f>
        <v>0</v>
      </c>
      <c r="DW7" s="20">
        <f>PNCB!DW14</f>
        <v>0</v>
      </c>
      <c r="DX7" s="20">
        <f>PNCB!DX14</f>
        <v>0</v>
      </c>
      <c r="DY7" s="20">
        <f>PNCB!DY14</f>
        <v>0</v>
      </c>
      <c r="DZ7" s="20">
        <f>PNCB!DZ14</f>
        <v>0</v>
      </c>
      <c r="EA7" s="20">
        <f>PNCB!EA14</f>
        <v>0</v>
      </c>
      <c r="EB7" s="20">
        <f>PNCB!EB14</f>
        <v>0</v>
      </c>
      <c r="EC7" s="20">
        <f>PNCB!EC14</f>
        <v>0</v>
      </c>
    </row>
    <row r="8" spans="1:155">
      <c r="A8" s="53"/>
      <c r="B8" s="18"/>
      <c r="C8" s="56"/>
      <c r="D8" s="18"/>
      <c r="G8" s="30" t="s">
        <v>45</v>
      </c>
      <c r="H8" s="20">
        <f>VLOOKUP($G$8&amp;$F$1,'Input RM sheet'!$A:$BK,H1,0)</f>
        <v>0.50625069064173545</v>
      </c>
      <c r="I8" s="20">
        <f>VLOOKUP($G$8&amp;$F$1,'Input RM sheet'!$A:$BK,I1,0)</f>
        <v>0.50605053403738476</v>
      </c>
      <c r="J8" s="20">
        <f>VLOOKUP($G$8&amp;$F$1,'Input RM sheet'!$A:$BK,J1,0)</f>
        <v>0.48566205346589675</v>
      </c>
      <c r="K8" s="20">
        <f>VLOOKUP($G$8&amp;$F$1,'Input RM sheet'!$A:$BK,K1,0)</f>
        <v>0.46604911475979133</v>
      </c>
      <c r="L8" s="20">
        <f>VLOOKUP($G$8&amp;$F$1,'Input RM sheet'!$A:$BK,L1,0)</f>
        <v>0.47286371932487081</v>
      </c>
      <c r="M8" s="20">
        <f>VLOOKUP($G$8&amp;$F$1,'Input RM sheet'!$A:$BK,M1,0)</f>
        <v>0.44148091934964817</v>
      </c>
      <c r="N8" s="20">
        <f>VLOOKUP($G$8&amp;$F$1,'Input RM sheet'!$A:$BK,N1,0)</f>
        <v>0.43426534003337747</v>
      </c>
      <c r="O8" s="20">
        <f>VLOOKUP($G$8&amp;$F$1,'Input RM sheet'!$A:$BK,O1,0)</f>
        <v>0.4253624199790475</v>
      </c>
      <c r="P8" s="20">
        <f>VLOOKUP($G$8&amp;$F$1,'Input RM sheet'!$A:$BK,P1,0)</f>
        <v>0.43233741458081631</v>
      </c>
      <c r="Q8" s="20">
        <f>VLOOKUP($G$8&amp;$F$1,'Input RM sheet'!$A:$BK,Q1,0)</f>
        <v>0.4289746699475917</v>
      </c>
      <c r="R8" s="20">
        <f>VLOOKUP($G$8&amp;$F$1,'Input RM sheet'!$A:$BK,R1,0)</f>
        <v>0.42484260760346637</v>
      </c>
      <c r="S8" s="20">
        <f>VLOOKUP($G$8&amp;$F$1,'Input RM sheet'!$A:$BK,S1,0)</f>
        <v>0.45075951239765033</v>
      </c>
      <c r="T8" s="20">
        <f>VLOOKUP($G$8&amp;$F$1,'Input RM sheet'!$A:$BK,T1,0)</f>
        <v>0.47632070741601718</v>
      </c>
      <c r="U8" s="20">
        <f>VLOOKUP($G$8&amp;$F$1,'Input RM sheet'!$A:$BK,U1,0)</f>
        <v>0.50824175824175821</v>
      </c>
      <c r="V8" s="20">
        <f>VLOOKUP($G$8&amp;$F$1,'Input RM sheet'!$A:$BK,V1,0)</f>
        <v>0.50824175824175821</v>
      </c>
      <c r="W8" s="20">
        <f>VLOOKUP($G$8&amp;$F$1,'Input RM sheet'!$A:$BK,W1,0)</f>
        <v>0.53357522262827839</v>
      </c>
      <c r="X8" s="20">
        <f>VLOOKUP($G$8&amp;$F$1,'Input RM sheet'!$A:$BK,X1,0)</f>
        <v>0.59385665529010234</v>
      </c>
      <c r="Y8" s="20">
        <f>VLOOKUP($G$8&amp;$F$1,'Input RM sheet'!$A:$BK,Y1,0)</f>
        <v>0.63431872099725806</v>
      </c>
      <c r="Z8" s="20">
        <f>VLOOKUP($G$8&amp;$F$1,'Input RM sheet'!$A:$BK,Z1,0)</f>
        <v>0.72591659871949687</v>
      </c>
      <c r="AA8" s="20">
        <f>VLOOKUP($G$8&amp;$F$1,'Input RM sheet'!$A:$BK,AA1,0)</f>
        <v>0.72889455792717117</v>
      </c>
      <c r="AB8" s="20">
        <f>VLOOKUP($G$8&amp;$F$1,'Input RM sheet'!$A:$BK,AB1,0)</f>
        <v>0.74862988980369449</v>
      </c>
      <c r="AC8" s="20">
        <f>VLOOKUP($G$8&amp;$F$1,'Input RM sheet'!$A:$BK,AC1,0)</f>
        <v>0.79168514687656644</v>
      </c>
      <c r="AD8" s="20">
        <f>VLOOKUP($G$8&amp;$F$1,'Input RM sheet'!$A:$BK,AD1,0)</f>
        <v>0.82087330176727136</v>
      </c>
      <c r="AE8" s="20">
        <f>VLOOKUP($G$8&amp;$F$1,'Input RM sheet'!$A:$BK,AE1,0)</f>
        <v>0.84614593649711278</v>
      </c>
      <c r="AF8" s="20">
        <f>VLOOKUP($G$8&amp;$F$1,'Input RM sheet'!$A:$BK,AF1,0)</f>
        <v>1.0564787620243885</v>
      </c>
      <c r="AG8" s="20">
        <f>VLOOKUP($G$8&amp;$F$1,'Input RM sheet'!$A:$BK,AG1,0)</f>
        <v>1.2058469531568468</v>
      </c>
      <c r="AH8" s="20">
        <f>VLOOKUP($G$8&amp;$F$1,'Input RM sheet'!$A:$BK,AH1,0)</f>
        <v>1.328155753838079</v>
      </c>
      <c r="AI8" s="20">
        <f>VLOOKUP($G$8&amp;$F$1,'Input RM sheet'!$A:$BK,AI1,0)</f>
        <v>1.2605824467442697</v>
      </c>
      <c r="AJ8" s="20">
        <f>VLOOKUP($G$8&amp;$F$1,'Input RM sheet'!$A:$BK,AJ1,0)</f>
        <v>1.1242096737595759</v>
      </c>
      <c r="AK8" s="20">
        <f>VLOOKUP($G$8&amp;$F$1,'Input RM sheet'!$A:$BK,AK1,0)</f>
        <v>1.1179786985052897</v>
      </c>
      <c r="AL8" s="20">
        <f>VLOOKUP($G$8&amp;$F$1,'Input RM sheet'!$A:$BK,AL1,0)</f>
        <v>1.0829322457612403</v>
      </c>
      <c r="AM8" s="20">
        <f>VLOOKUP($G$8&amp;$F$1,'Input RM sheet'!$A:$BK,AM1,0)</f>
        <v>1.0855018240664733</v>
      </c>
      <c r="AN8" s="20">
        <f>VLOOKUP($G$8&amp;$F$1,'Input RM sheet'!$A:$BK,AN1,0)</f>
        <v>1.0549821404108952</v>
      </c>
      <c r="AO8" s="20">
        <f>VLOOKUP($G$8&amp;$F$1,'Input RM sheet'!$A:$BK,AO1,0)</f>
        <v>1.0740005833527477</v>
      </c>
      <c r="AP8" s="20">
        <f>VLOOKUP($G$8&amp;$F$1,'Input RM sheet'!$A:$BK,AP1,0)</f>
        <v>1.1385193276752337</v>
      </c>
      <c r="AQ8" s="20">
        <f>VLOOKUP($G$8&amp;$F$1,'Input RM sheet'!$A:$BK,AQ1,0)</f>
        <v>1.0816813265611029</v>
      </c>
      <c r="AR8" s="20">
        <f>VLOOKUP($G$8&amp;$F$1,'Input RM sheet'!$A:$BK,AR1,0)</f>
        <v>0.99756298566293211</v>
      </c>
      <c r="AS8" s="20">
        <f>VLOOKUP($G$8&amp;$F$1,'Input RM sheet'!$A:$BK,AS1,0)</f>
        <v>0.92545631998382882</v>
      </c>
      <c r="AT8" s="20">
        <f>VLOOKUP($G$8&amp;$F$1,'Input RM sheet'!$A:$BK,AT1,0)</f>
        <v>0.9011022063000439</v>
      </c>
      <c r="AU8" s="20">
        <f>VLOOKUP($G$8&amp;$F$1,'Input RM sheet'!$A:$BK,AU1,0)</f>
        <v>0.74767129009219857</v>
      </c>
      <c r="AV8" s="20">
        <f>VLOOKUP($G$8&amp;$F$1,'Input RM sheet'!$A:$BK,AV1,0)</f>
        <v>0.70626929682976414</v>
      </c>
      <c r="AW8" s="20">
        <f>VLOOKUP($G$8&amp;$F$1,'Input RM sheet'!$A:$BK,AW1,0)</f>
        <v>0.61818181818181817</v>
      </c>
      <c r="AX8" s="20">
        <f>VLOOKUP($G$8&amp;$F$1,'Input RM sheet'!$A:$BK,AX1,0)</f>
        <v>0.61863173216885003</v>
      </c>
      <c r="AY8" s="20">
        <f>VLOOKUP($G$8&amp;$F$1,'Input RM sheet'!$A:$BK,AY1,0)</f>
        <v>0.6205889510829885</v>
      </c>
      <c r="AZ8" s="20">
        <f>VLOOKUP($G$8&amp;$F$1,'Input RM sheet'!$A:$BK,AZ1,0)</f>
        <v>0.62255859375</v>
      </c>
      <c r="BA8" s="20">
        <f>VLOOKUP($G$8&amp;$F$1,'Input RM sheet'!$A:$BK,BA1,0)</f>
        <v>0.59567225869195228</v>
      </c>
      <c r="BB8" s="20">
        <f>VLOOKUP($G$8&amp;$F$1,'Input RM sheet'!$A:$BK,BB1,0)</f>
        <v>0.59157310153326093</v>
      </c>
      <c r="BC8" s="20">
        <f>VLOOKUP($G$8&amp;$F$1,'Input RM sheet'!$A:$BK,BC1,0)</f>
        <v>0.58858858858858853</v>
      </c>
      <c r="BD8" s="20">
        <f>VLOOKUP($G$8&amp;$F$1,'Input RM sheet'!$A:$BK,BD1,0)</f>
        <v>0.58858858858858853</v>
      </c>
      <c r="BE8" s="20">
        <f>VLOOKUP($G$8&amp;$F$1,'Input RM sheet'!$A:$BK,BE1,0)</f>
        <v>0.59286146400483963</v>
      </c>
      <c r="BF8" s="20">
        <f>VLOOKUP($G$8&amp;$F$1,'Input RM sheet'!$A:$DD,BF1,0)</f>
        <v>0.5900060204695966</v>
      </c>
      <c r="BG8" s="20">
        <f>VLOOKUP($G$8&amp;$F$1,'Input RM sheet'!$A:$DD,BG1,0)</f>
        <v>0.5666747046057391</v>
      </c>
      <c r="BH8" s="20">
        <f>VLOOKUP($G$8&amp;$F$1,'Input RM sheet'!$A:$DD,BH1,0)</f>
        <v>0.59085976124442297</v>
      </c>
      <c r="BI8" s="20">
        <f>VLOOKUP($G$8&amp;$F$1,'Input RM sheet'!$A:$DD,BI1,0)</f>
        <v>0.58851789574825841</v>
      </c>
      <c r="BJ8" s="20">
        <f>VLOOKUP($G$8&amp;$F$1,'Input RM sheet'!$A:$DD,BJ1,0)</f>
        <v>0.68493150684931503</v>
      </c>
      <c r="BK8" s="20">
        <f>VLOOKUP($G$8&amp;$F$1,'Input RM sheet'!$A:$DD,BK1,0)</f>
        <v>0.68468468468468469</v>
      </c>
      <c r="BL8" s="20">
        <f>VLOOKUP($G$8&amp;$F$1,'Input RM sheet'!$A:$DD,BL1,0)</f>
        <v>0.66169393647738206</v>
      </c>
      <c r="BM8" s="20">
        <f>VLOOKUP($G$8&amp;$F$1,'Input RM sheet'!$A:$DD,BM1,0)</f>
        <v>0.69661301945712217</v>
      </c>
      <c r="BN8" s="20">
        <f>VLOOKUP($G$8&amp;$F$1,'Input RM sheet'!$A:$DD,BN1,0)</f>
        <v>0.69694784907474161</v>
      </c>
      <c r="BO8" s="20">
        <f>VLOOKUP($G$8&amp;$F$1,'Input RM sheet'!$A:$DD,BO1,0)</f>
        <v>0.69719918259406177</v>
      </c>
      <c r="BP8" s="20">
        <f>VLOOKUP($G$8&amp;$F$1,'Input RM sheet'!$A:$DD,BP1,0)</f>
        <v>0.69719918259406177</v>
      </c>
      <c r="BQ8" s="20">
        <f>VLOOKUP($G$8&amp;$F$1,'Input RM sheet'!$A:$DD,BQ1,0)</f>
        <v>0.69602784111364457</v>
      </c>
      <c r="BR8" s="20">
        <f>VLOOKUP($G$8&amp;$F$1,'Input RM sheet'!$A:$DD,BR1,0)</f>
        <v>0.69544364508393286</v>
      </c>
      <c r="BS8" s="20">
        <f>VLOOKUP($G$8&amp;$F$1,'Input RM sheet'!$A:$DD,BS1,0)</f>
        <v>0.63579654510556627</v>
      </c>
      <c r="BT8" s="20">
        <f>VLOOKUP($G$8&amp;$F$1,'Input RM sheet'!$A:$DD,BT1,0)</f>
        <v>0.64872657376261422</v>
      </c>
      <c r="BU8" s="20">
        <f>VLOOKUP($G$8&amp;$F$1,'Input RM sheet'!$A:$DD,BU1,0)</f>
        <v>0.64810369659145473</v>
      </c>
      <c r="BV8" s="20">
        <f>VLOOKUP($G$8&amp;$F$1,'Input RM sheet'!$A:$DD,BV1,0)</f>
        <v>0.63146499879720952</v>
      </c>
      <c r="BW8" s="20">
        <f>VLOOKUP($G$8&amp;$F$1,'Input RM sheet'!$A:$DD,BW1,0)</f>
        <v>0.66145520144317493</v>
      </c>
      <c r="BX8" s="20">
        <f>VLOOKUP($G$8&amp;$F$1,'Input RM sheet'!$A:$DD,BX1,0)</f>
        <v>0.66066066066066065</v>
      </c>
      <c r="BY8" s="20">
        <f>VLOOKUP($G$8&amp;$F$1,'Input RM sheet'!$A:$DD,BY1,0)</f>
        <v>0.67421141343607027</v>
      </c>
      <c r="BZ8" s="20">
        <f>VLOOKUP($G$8&amp;$F$1,'Input RM sheet'!$A:$DD,BZ1,0)</f>
        <v>0.67469879518072284</v>
      </c>
      <c r="CA8" s="20">
        <f>VLOOKUP($G$8&amp;$F$1,'Input RM sheet'!$A:$DD,CA1,0)</f>
        <v>0.6746175159619322</v>
      </c>
      <c r="CB8" s="20">
        <f>VLOOKUP($G$8&amp;$F$1,'Input RM sheet'!$A:$DD,CB1,0)</f>
        <v>0.67551266586248493</v>
      </c>
      <c r="CC8" s="20">
        <f>VLOOKUP($G$8&amp;$F$1,'Input RM sheet'!$A:$DD,CC1,0)</f>
        <v>0.67551266586248493</v>
      </c>
      <c r="CD8" s="20">
        <f>VLOOKUP($G$8&amp;$F$1,'Input RM sheet'!$A:$DD,CD1,0)</f>
        <v>0.64087061668681977</v>
      </c>
      <c r="CE8" s="20">
        <f>VLOOKUP($G$8&amp;$F$1,'Input RM sheet'!$A:$DD,CE1,0)</f>
        <v>0.64040599323344605</v>
      </c>
      <c r="CF8" s="20">
        <f>VLOOKUP($G$8&amp;$F$1,'Input RM sheet'!$A:$DD,CF1,0)</f>
        <v>0.63656017295219791</v>
      </c>
      <c r="CG8" s="20">
        <f>VLOOKUP($G$8&amp;$F$1,'Input RM sheet'!$A:$DD,CG1,0)</f>
        <v>0.63556781388655714</v>
      </c>
      <c r="CH8" s="20">
        <f>VLOOKUP($G$8&amp;$F$1,'Input RM sheet'!$A:$DD,CH1,0)</f>
        <v>0.63694267515923575</v>
      </c>
      <c r="CI8" s="20">
        <f>VLOOKUP($G$8&amp;$F$1,'Input RM sheet'!$A:$DD,CI1,0)</f>
        <v>0.63549160671462823</v>
      </c>
      <c r="CJ8" s="20">
        <f>VLOOKUP($G$8&amp;$F$1,'Input RM sheet'!$A:$DD,CJ1,0)</f>
        <v>0.63389546704939603</v>
      </c>
      <c r="CK8" s="20">
        <f>VLOOKUP($G$8&amp;$F$1,'Input RM sheet'!$A:$DD,CK1,0)</f>
        <v>0.65931431311436106</v>
      </c>
      <c r="CL8" s="20">
        <f>VLOOKUP($G$8&amp;$F$1,'Input RM sheet'!$A:$DD,CL1,0)</f>
        <v>0.6586826347305389</v>
      </c>
      <c r="CM8" s="20">
        <f>VLOOKUP($G$8&amp;$F$1,'Input RM sheet'!$A:$ZD,CM1,0)</f>
        <v>0.65986802639472109</v>
      </c>
      <c r="CN8" s="20">
        <f>VLOOKUP($G$8&amp;$F$1,'Input RM sheet'!$A:$ZD,CN1,0)</f>
        <v>0.62387522495500902</v>
      </c>
      <c r="CO8" s="20">
        <f>VLOOKUP($G$8&amp;$F$1,'Input RM sheet'!$A:$ZD,CO1,0)</f>
        <v>0.62387522495500902</v>
      </c>
      <c r="CP8" s="20">
        <f>VLOOKUP($G$8&amp;$F$1,'Input RM sheet'!$A:$ZD,CP1,0)</f>
        <v>0.62387522495500902</v>
      </c>
      <c r="CQ8" s="20">
        <f>VLOOKUP($G$8&amp;$F$1,'Input RM sheet'!$A:$ZZ,CQ1,0)</f>
        <v>0.61985933961139583</v>
      </c>
      <c r="CR8" s="20">
        <f>VLOOKUP($G$8&amp;$F$1,'Input RM sheet'!$A:$ZZ,CR1,0)</f>
        <v>0.64748201438848918</v>
      </c>
      <c r="CS8" s="20">
        <f>VLOOKUP($G$8&amp;$F$1,'Input RM sheet'!$A:$ZZ,CS1,0)</f>
        <v>0.6467065868263473</v>
      </c>
      <c r="CT8" s="20">
        <f>VLOOKUP($G$8&amp;$F$1,'Input RM sheet'!$A:$ZZ,CT1,0)</f>
        <v>0.67106051527860988</v>
      </c>
      <c r="CU8" s="20">
        <f>VLOOKUP($G$8&amp;$F$1,'Input RM sheet'!$A:$ZZ,CU1,0)</f>
        <v>0.67089972445189894</v>
      </c>
      <c r="CV8" s="20">
        <f>VLOOKUP($G$8&amp;$F$1,'Input RM sheet'!$A:$ZZ,CV1,0)</f>
        <v>0.67025733093955719</v>
      </c>
      <c r="CW8" s="20">
        <f>VLOOKUP($G$8&amp;$F$1,'Input RM sheet'!$A:$ZZ,CW1,0)</f>
        <v>0.65710872162485068</v>
      </c>
      <c r="CX8" s="20">
        <f>VLOOKUP($G$8&amp;$F$1,'Input RM sheet'!$A:$ZZ,CX1,0)</f>
        <v>0.65687328317210081</v>
      </c>
      <c r="CY8" s="20">
        <f>VLOOKUP($G$8&amp;$F$1,'Input RM sheet'!$A:$ZZ,CY1,0)</f>
        <v>0.67897558070279929</v>
      </c>
      <c r="CZ8" s="20">
        <f>VLOOKUP($G$8&amp;$F$1,'Input RM sheet'!$A:$ZZ,CZ1,0)</f>
        <v>0.67889471176750837</v>
      </c>
      <c r="DA8" s="20">
        <f>VLOOKUP($G$8&amp;$F$1,'Input RM sheet'!$A:$ZZ,DA1,0)</f>
        <v>0.6793802145411203</v>
      </c>
      <c r="DB8" s="20">
        <f>VLOOKUP($G$8&amp;$F$1,'Input RM sheet'!$A:$ZZ,DB1,0)</f>
        <v>0.67946119918941472</v>
      </c>
      <c r="DC8" s="20">
        <f>VLOOKUP($G$8&amp;$F$1,'Input RM sheet'!$A:$ZZ,DC1,0)</f>
        <v>0.62529776083849453</v>
      </c>
      <c r="DD8" s="20">
        <f>VLOOKUP($G$8&amp;$F$1,'Input RM sheet'!$A:$ZZ,DD1,0)</f>
        <v>0.62529776083849453</v>
      </c>
      <c r="DE8" s="20">
        <f>VLOOKUP($G$8&amp;$F$1,'Input RM sheet'!$A:$ZZ,DE1,0)</f>
        <v>0.59224694903086861</v>
      </c>
      <c r="DF8" s="20">
        <f>VLOOKUP($G$8&amp;$F$1,'Input RM sheet'!$A:$ZZ,DF1,0)</f>
        <v>0.59168061200095623</v>
      </c>
      <c r="DG8" s="20">
        <f>VLOOKUP($G$8&amp;$F$1,'Input RM sheet'!$A:$ZZ,DG1,0)</f>
        <v>0.58949624866023576</v>
      </c>
      <c r="DH8" s="20">
        <f>VLOOKUP($G$8&amp;$F$1,'Input RM sheet'!$A:$ZZ,DH1,0)</f>
        <v>0.60068990127274891</v>
      </c>
      <c r="DI8" s="20">
        <f>VLOOKUP($G$8&amp;$F$1,'Input RM sheet'!$A:$ZZ,DI1,0)</f>
        <v>0.60068990127274891</v>
      </c>
      <c r="DJ8" s="20">
        <f>VLOOKUP($G$8&amp;$F$1,'Input RM sheet'!$A:$ZZ,DJ1,0)</f>
        <v>0.60061845861084684</v>
      </c>
      <c r="DK8" s="20">
        <f>VLOOKUP($G$8&amp;$F$1,'Input RM sheet'!$A:$ZZ,DK1,0)</f>
        <v>0.60033285782215884</v>
      </c>
      <c r="DL8" s="20">
        <f>VLOOKUP($G$8&amp;$F$1,'Input RM sheet'!$A:$ZZ,DL1,0)</f>
        <v>0.59834123222748814</v>
      </c>
      <c r="DM8" s="20">
        <f>VLOOKUP($G$8&amp;$F$1,'Input RM sheet'!$A:$ZZ,DM1,0)</f>
        <v>0.61706419840987303</v>
      </c>
      <c r="DN8" s="20">
        <f>VLOOKUP($G$8&amp;$F$1,'Input RM sheet'!$A:$ZZ,DN1,0)</f>
        <v>0.61443932411674351</v>
      </c>
      <c r="DO8" s="20">
        <f>VLOOKUP($G$8&amp;$F$1,'Input RM sheet'!$A:$ZZ,DO1,0)</f>
        <v>0.6376195536663124</v>
      </c>
      <c r="DP8" s="20">
        <f>VLOOKUP($G$8&amp;$F$1,'Input RM sheet'!$A:$ZZ,DP1,0)</f>
        <v>0.63067311092773781</v>
      </c>
      <c r="DQ8" s="20">
        <f>VLOOKUP($G$8&amp;$F$1,'Input RM sheet'!$A:$ZZ,DQ1,0)</f>
        <v>0.63000471031559113</v>
      </c>
      <c r="DR8" s="20">
        <f>VLOOKUP($G$8&amp;$F$1,'Input RM sheet'!$A:$ZZ,DR1,0)</f>
        <v>0.62808170932143692</v>
      </c>
      <c r="DS8" s="20">
        <f>VLOOKUP($G$8&amp;$F$1,'Input RM sheet'!$A:$ZZ,DS1,0)</f>
        <v>0</v>
      </c>
      <c r="DT8" s="20">
        <f>VLOOKUP($G$8&amp;$F$1,'Input RM sheet'!$A:$ZZ,DT1,0)</f>
        <v>0</v>
      </c>
      <c r="DU8" s="20">
        <f>VLOOKUP($G$8&amp;$F$1,'Input RM sheet'!$A:$ZZ,DU1,0)</f>
        <v>0</v>
      </c>
      <c r="DV8" s="20">
        <f>VLOOKUP($G$8&amp;$F$1,'Input RM sheet'!$A:$ZZ,DV1,0)</f>
        <v>0</v>
      </c>
      <c r="DW8" s="20">
        <f>VLOOKUP($G$8&amp;$F$1,'Input RM sheet'!$A:$ZZ,DW1,0)</f>
        <v>0</v>
      </c>
      <c r="DX8" s="20">
        <f>VLOOKUP($G$8&amp;$F$1,'Input RM sheet'!$A:$ZZ,DX1,0)</f>
        <v>0</v>
      </c>
      <c r="DY8" s="20">
        <f>VLOOKUP($G$8&amp;$F$1,'Input RM sheet'!$A:$ZZ,DY1,0)</f>
        <v>0</v>
      </c>
      <c r="DZ8" s="20">
        <f>VLOOKUP($G$8&amp;$F$1,'Input RM sheet'!$A:$ZZ,DZ1,0)</f>
        <v>0</v>
      </c>
      <c r="EA8" s="20">
        <f>VLOOKUP($G$8&amp;$F$1,'Input RM sheet'!$A:$ZZ,EA1,0)</f>
        <v>0</v>
      </c>
      <c r="EB8" s="20">
        <f>VLOOKUP($G$8&amp;$F$1,'Input RM sheet'!$A:$ZZ,EB1,0)</f>
        <v>0</v>
      </c>
      <c r="EC8" s="20">
        <f>VLOOKUP($G$8&amp;$F$1,'Input RM sheet'!$A:$ZZ,EC1,0)</f>
        <v>0</v>
      </c>
    </row>
    <row r="10" spans="1:155" ht="15">
      <c r="A10" s="57" t="s">
        <v>395</v>
      </c>
      <c r="B10" s="57"/>
      <c r="C10" s="57" t="s">
        <v>379</v>
      </c>
      <c r="D10" s="57" t="s">
        <v>380</v>
      </c>
      <c r="E10" s="57" t="s">
        <v>381</v>
      </c>
      <c r="F10" s="57" t="s">
        <v>396</v>
      </c>
      <c r="G10" s="53" t="s">
        <v>399</v>
      </c>
      <c r="H10" s="129"/>
      <c r="I10" s="129"/>
      <c r="J10" s="129"/>
      <c r="K10" s="129"/>
      <c r="L10" s="129"/>
      <c r="M10" s="129"/>
      <c r="N10" s="129"/>
      <c r="O10" s="129"/>
      <c r="P10" s="129"/>
      <c r="Q10" s="129"/>
      <c r="R10" s="129"/>
      <c r="S10" s="129"/>
    </row>
    <row r="11" spans="1:155" ht="15">
      <c r="A11" s="53" t="s">
        <v>397</v>
      </c>
      <c r="B11" s="53" t="s">
        <v>609</v>
      </c>
      <c r="C11" s="8">
        <v>1</v>
      </c>
      <c r="D11" s="18">
        <f>A5</f>
        <v>157.55000000000001</v>
      </c>
      <c r="E11" s="8">
        <f>D11*C11</f>
        <v>157.55000000000001</v>
      </c>
      <c r="F11" s="20">
        <f>E11/E2</f>
        <v>1.1406747755574862</v>
      </c>
      <c r="G11" s="8">
        <v>1.3</v>
      </c>
      <c r="H11" s="19">
        <f>$F$11*H7</f>
        <v>0.42207556780931754</v>
      </c>
      <c r="I11" s="19">
        <f t="shared" ref="I11:BF11" si="0">$F$11*I7</f>
        <v>0.38032578060042704</v>
      </c>
      <c r="J11" s="19">
        <f t="shared" si="0"/>
        <v>0.27373797824157386</v>
      </c>
      <c r="K11" s="19">
        <f t="shared" si="0"/>
        <v>0.21454049227411282</v>
      </c>
      <c r="L11" s="19">
        <f t="shared" si="0"/>
        <v>0.25134272646102374</v>
      </c>
      <c r="M11" s="19">
        <f t="shared" si="0"/>
        <v>0.31007918794434719</v>
      </c>
      <c r="N11" s="19">
        <f t="shared" si="0"/>
        <v>0.32606247189110071</v>
      </c>
      <c r="O11" s="19">
        <f t="shared" si="0"/>
        <v>0.3312141557061723</v>
      </c>
      <c r="P11" s="19">
        <f t="shared" si="0"/>
        <v>0.33653878172501395</v>
      </c>
      <c r="Q11" s="19">
        <f t="shared" si="0"/>
        <v>0.33375213276819876</v>
      </c>
      <c r="R11" s="19">
        <f t="shared" si="0"/>
        <v>0.33934842158460315</v>
      </c>
      <c r="S11" s="19">
        <f t="shared" si="0"/>
        <v>0.3952974598274977</v>
      </c>
      <c r="T11" s="19">
        <f t="shared" si="0"/>
        <v>0.43301930790923371</v>
      </c>
      <c r="U11" s="19">
        <f t="shared" si="0"/>
        <v>0.45117967733106751</v>
      </c>
      <c r="V11" s="19">
        <f t="shared" si="0"/>
        <v>0.45853147287117751</v>
      </c>
      <c r="W11" s="19">
        <f t="shared" si="0"/>
        <v>0.47526017350521249</v>
      </c>
      <c r="X11" s="19">
        <f t="shared" si="0"/>
        <v>0.49248957428323181</v>
      </c>
      <c r="Y11" s="19">
        <f t="shared" si="0"/>
        <v>0.52414136631455099</v>
      </c>
      <c r="Z11" s="19">
        <f t="shared" si="0"/>
        <v>0.56531955415754531</v>
      </c>
      <c r="AA11" s="19">
        <f t="shared" si="0"/>
        <v>0.5777688879032381</v>
      </c>
      <c r="AB11" s="19">
        <f t="shared" si="0"/>
        <v>0.58934533978473269</v>
      </c>
      <c r="AC11" s="19">
        <f t="shared" si="0"/>
        <v>0.65306203942027463</v>
      </c>
      <c r="AD11" s="19">
        <f t="shared" si="0"/>
        <v>0.62827284972586073</v>
      </c>
      <c r="AE11" s="19">
        <f t="shared" si="0"/>
        <v>0.55161706489608564</v>
      </c>
      <c r="AF11" s="19">
        <f t="shared" si="0"/>
        <v>0.6718222499604688</v>
      </c>
      <c r="AG11" s="19">
        <f t="shared" si="0"/>
        <v>0.76772976864811537</v>
      </c>
      <c r="AH11" s="19">
        <f t="shared" si="0"/>
        <v>0.83314230863414007</v>
      </c>
      <c r="AI11" s="19">
        <f t="shared" si="0"/>
        <v>0.7953551428852198</v>
      </c>
      <c r="AJ11" s="19">
        <f t="shared" si="0"/>
        <v>0.80234831510702176</v>
      </c>
      <c r="AK11" s="19">
        <f t="shared" si="0"/>
        <v>0.75416337896299079</v>
      </c>
      <c r="AL11" s="19">
        <f t="shared" si="0"/>
        <v>0.72334805274540581</v>
      </c>
      <c r="AM11" s="19">
        <f t="shared" si="0"/>
        <v>0.62124859749832773</v>
      </c>
      <c r="AN11" s="19">
        <f t="shared" si="0"/>
        <v>0.55186825943650353</v>
      </c>
      <c r="AO11" s="19">
        <f t="shared" si="0"/>
        <v>0.57108239979622044</v>
      </c>
      <c r="AP11" s="19">
        <f t="shared" si="0"/>
        <v>0.59050427253923798</v>
      </c>
      <c r="AQ11" s="19">
        <f t="shared" si="0"/>
        <v>0.56135595341497102</v>
      </c>
      <c r="AR11" s="19">
        <f t="shared" si="0"/>
        <v>0.59756613748699805</v>
      </c>
      <c r="AS11" s="19">
        <f t="shared" si="0"/>
        <v>0.59406351567377957</v>
      </c>
      <c r="AT11" s="19">
        <f t="shared" si="0"/>
        <v>0.67105019392457621</v>
      </c>
      <c r="AU11" s="19">
        <f t="shared" si="0"/>
        <v>0.73827181280670762</v>
      </c>
      <c r="AV11" s="19">
        <f t="shared" si="0"/>
        <v>0.64997467987881874</v>
      </c>
      <c r="AW11" s="19">
        <f t="shared" si="0"/>
        <v>0.53125784342117965</v>
      </c>
      <c r="AX11" s="19">
        <f t="shared" si="0"/>
        <v>0.55073964216996996</v>
      </c>
      <c r="AY11" s="19">
        <f t="shared" si="0"/>
        <v>0.58895182937414181</v>
      </c>
      <c r="AZ11" s="19">
        <f t="shared" si="0"/>
        <v>0.60256402777023588</v>
      </c>
      <c r="BA11" s="19">
        <f t="shared" si="0"/>
        <v>0.6240020884456613</v>
      </c>
      <c r="BB11" s="19">
        <f t="shared" si="0"/>
        <v>0.64144740076281415</v>
      </c>
      <c r="BC11" s="19">
        <f t="shared" si="0"/>
        <v>0.63572963689145268</v>
      </c>
      <c r="BD11" s="19">
        <f t="shared" si="0"/>
        <v>0.64308143243156268</v>
      </c>
      <c r="BE11" s="19">
        <f t="shared" si="0"/>
        <v>0.64317096490089265</v>
      </c>
      <c r="BF11" s="19">
        <f t="shared" si="0"/>
        <v>0.63689038277493604</v>
      </c>
      <c r="BG11" s="19">
        <f t="shared" ref="BG11:BM11" si="1">$F$11*BG7</f>
        <v>0.67366575675939333</v>
      </c>
      <c r="BH11" s="19">
        <f t="shared" si="1"/>
        <v>0.71890906819588907</v>
      </c>
      <c r="BI11" s="19">
        <f t="shared" si="1"/>
        <v>0.68492863346156418</v>
      </c>
      <c r="BJ11" s="19">
        <f t="shared" si="1"/>
        <v>0.64987215119948005</v>
      </c>
      <c r="BK11" s="19">
        <f t="shared" si="1"/>
        <v>0.67546740115441239</v>
      </c>
      <c r="BL11" s="19">
        <f t="shared" si="1"/>
        <v>0.66474175822338011</v>
      </c>
      <c r="BM11" s="19">
        <f t="shared" si="1"/>
        <v>0.66472098793593426</v>
      </c>
      <c r="BN11" s="19">
        <f t="shared" ref="BN11:BU11" si="2">$F$11*BN7</f>
        <v>0.66472691517283644</v>
      </c>
      <c r="BO11" s="19">
        <f t="shared" si="2"/>
        <v>0.64267597772077611</v>
      </c>
      <c r="BP11" s="19">
        <f t="shared" si="2"/>
        <v>0.65624852333328676</v>
      </c>
      <c r="BQ11" s="19">
        <f t="shared" si="2"/>
        <v>0.64435181054505408</v>
      </c>
      <c r="BR11" s="19">
        <f t="shared" si="2"/>
        <v>0.63303101428500963</v>
      </c>
      <c r="BS11" s="19">
        <f t="shared" si="2"/>
        <v>0.62681617156185065</v>
      </c>
      <c r="BT11" s="19">
        <f t="shared" si="2"/>
        <v>0.65397901889908161</v>
      </c>
      <c r="BU11" s="19">
        <f t="shared" si="2"/>
        <v>0.64944299393724014</v>
      </c>
      <c r="BV11" s="19">
        <f>$F$11*BV7</f>
        <v>0.67074588203624586</v>
      </c>
      <c r="BW11" s="19">
        <f>$F$11*BW7</f>
        <v>0.69788948806401008</v>
      </c>
      <c r="BX11" s="19">
        <f>$F$11*BX7</f>
        <v>0.6990057011833728</v>
      </c>
      <c r="BY11" s="19">
        <f t="shared" ref="BY11:CG11" si="3">$F$11*BY7</f>
        <v>0.72900661807566347</v>
      </c>
      <c r="BZ11" s="19">
        <f t="shared" si="3"/>
        <v>0.73467078130070229</v>
      </c>
      <c r="CA11" s="19">
        <f t="shared" si="3"/>
        <v>0.75672467770954766</v>
      </c>
      <c r="CB11" s="19">
        <f t="shared" si="3"/>
        <v>0.75561004434178491</v>
      </c>
      <c r="CC11" s="19">
        <f t="shared" si="3"/>
        <v>0.74882377153552948</v>
      </c>
      <c r="CD11" s="19">
        <f t="shared" si="3"/>
        <v>0.74037088256500916</v>
      </c>
      <c r="CE11" s="19">
        <f t="shared" si="3"/>
        <v>0.75110681369665155</v>
      </c>
      <c r="CF11" s="19">
        <f t="shared" si="3"/>
        <v>0.75103231142275739</v>
      </c>
      <c r="CG11" s="19">
        <f t="shared" si="3"/>
        <v>0.75327517810912037</v>
      </c>
      <c r="CH11" s="19">
        <f t="shared" ref="CH11:CQ11" si="4">$F$11*CH7</f>
        <v>0.77988138078587399</v>
      </c>
      <c r="CI11" s="19">
        <f t="shared" si="4"/>
        <v>0.77250147475416697</v>
      </c>
      <c r="CJ11" s="19">
        <f t="shared" si="4"/>
        <v>0.76794637203268801</v>
      </c>
      <c r="CK11" s="19">
        <f t="shared" si="4"/>
        <v>0.76288463672845397</v>
      </c>
      <c r="CL11" s="19">
        <f t="shared" si="4"/>
        <v>0.75721761732833182</v>
      </c>
      <c r="CM11" s="19">
        <f t="shared" si="4"/>
        <v>0.75101899594016885</v>
      </c>
      <c r="CN11" s="19">
        <f t="shared" si="4"/>
        <v>0.75497765507715131</v>
      </c>
      <c r="CO11" s="19">
        <f t="shared" si="4"/>
        <v>0.75723974601256971</v>
      </c>
      <c r="CP11" s="19">
        <f t="shared" si="4"/>
        <v>0.76572258702038909</v>
      </c>
      <c r="CQ11" s="19">
        <f t="shared" si="4"/>
        <v>0.76564329410726606</v>
      </c>
      <c r="CR11" s="19">
        <f t="shared" ref="CR11:DP11" si="5">$F$11*CR7</f>
        <v>0.74535638352914535</v>
      </c>
      <c r="CS11" s="19">
        <f t="shared" si="5"/>
        <v>0.73233461703872882</v>
      </c>
      <c r="CT11" s="19">
        <f t="shared" si="5"/>
        <v>0.7589215529188762</v>
      </c>
      <c r="CU11" s="19">
        <f t="shared" si="5"/>
        <v>0.74591158202546071</v>
      </c>
      <c r="CV11" s="19">
        <f t="shared" si="5"/>
        <v>0.7408100994755078</v>
      </c>
      <c r="CW11" s="19">
        <f t="shared" si="5"/>
        <v>0.738525985576582</v>
      </c>
      <c r="CX11" s="19">
        <f t="shared" si="5"/>
        <v>0.72099038570323581</v>
      </c>
      <c r="CY11" s="19">
        <f t="shared" si="5"/>
        <v>0.74471020559932932</v>
      </c>
      <c r="CZ11" s="19">
        <f t="shared" si="5"/>
        <v>0.74923293079310294</v>
      </c>
      <c r="DA11" s="19">
        <f t="shared" si="5"/>
        <v>0.7356691304515911</v>
      </c>
      <c r="DB11" s="19">
        <f t="shared" si="5"/>
        <v>0.74019477108380816</v>
      </c>
      <c r="DC11" s="19">
        <f t="shared" si="5"/>
        <v>0.73170172604360972</v>
      </c>
      <c r="DD11" s="19">
        <f t="shared" si="5"/>
        <v>0.70625320302015193</v>
      </c>
      <c r="DE11" s="19">
        <f t="shared" si="5"/>
        <v>0.7102674609307621</v>
      </c>
      <c r="DF11" s="19">
        <f t="shared" si="5"/>
        <v>0.70516600934761442</v>
      </c>
      <c r="DG11" s="19">
        <f t="shared" si="5"/>
        <v>0.73283131518120759</v>
      </c>
      <c r="DH11" s="19">
        <f t="shared" si="5"/>
        <v>0.67965763395286793</v>
      </c>
      <c r="DI11" s="19">
        <f t="shared" si="5"/>
        <v>0.67739554301744942</v>
      </c>
      <c r="DJ11" s="19">
        <f t="shared" si="5"/>
        <v>0.67513199956022185</v>
      </c>
      <c r="DK11" s="19">
        <f t="shared" si="5"/>
        <v>0.6847400794019658</v>
      </c>
      <c r="DL11" s="19">
        <f t="shared" si="5"/>
        <v>0.66434076865641933</v>
      </c>
      <c r="DM11" s="19">
        <f t="shared" si="5"/>
        <v>0.67340789894307351</v>
      </c>
      <c r="DN11" s="19">
        <f t="shared" si="5"/>
        <v>0.66487323027796952</v>
      </c>
      <c r="DO11" s="19">
        <f t="shared" si="5"/>
        <v>0.67165090797917626</v>
      </c>
      <c r="DP11" s="19">
        <f t="shared" si="5"/>
        <v>0.67389299095286015</v>
      </c>
      <c r="DQ11" s="19">
        <f t="shared" ref="DQ11:EC11" si="6">$F$11*DQ7</f>
        <v>0.67783882266528006</v>
      </c>
      <c r="DR11" s="19">
        <f t="shared" si="6"/>
        <v>0.66875355418453564</v>
      </c>
      <c r="DS11" s="19">
        <f t="shared" si="6"/>
        <v>0</v>
      </c>
      <c r="DT11" s="19">
        <f t="shared" si="6"/>
        <v>0</v>
      </c>
      <c r="DU11" s="19">
        <f t="shared" si="6"/>
        <v>0</v>
      </c>
      <c r="DV11" s="19">
        <f t="shared" si="6"/>
        <v>0</v>
      </c>
      <c r="DW11" s="19">
        <f t="shared" si="6"/>
        <v>0</v>
      </c>
      <c r="DX11" s="19">
        <f t="shared" si="6"/>
        <v>0</v>
      </c>
      <c r="DY11" s="19">
        <f t="shared" si="6"/>
        <v>0</v>
      </c>
      <c r="DZ11" s="19">
        <f t="shared" si="6"/>
        <v>0</v>
      </c>
      <c r="EA11" s="19">
        <f t="shared" si="6"/>
        <v>0</v>
      </c>
      <c r="EB11" s="19">
        <f t="shared" si="6"/>
        <v>0</v>
      </c>
      <c r="EC11" s="19">
        <f t="shared" si="6"/>
        <v>0</v>
      </c>
    </row>
    <row r="12" spans="1:155">
      <c r="A12" s="53"/>
      <c r="B12" s="52" t="s">
        <v>590</v>
      </c>
      <c r="C12" s="8">
        <v>1</v>
      </c>
      <c r="D12" s="18">
        <v>17.03</v>
      </c>
      <c r="E12" s="8">
        <f>D12*C12</f>
        <v>17.03</v>
      </c>
      <c r="F12" s="20">
        <f>E12/E2</f>
        <v>0.12329858094410658</v>
      </c>
      <c r="G12" s="8">
        <v>1.3</v>
      </c>
      <c r="H12" s="19">
        <f>$F$12*H8</f>
        <v>6.2419991758099876E-2</v>
      </c>
      <c r="I12" s="19">
        <f>$F$12*I8</f>
        <v>6.2395312732816843E-2</v>
      </c>
      <c r="J12" s="19">
        <f t="shared" ref="J12:BF12" si="7">$F$12*J8</f>
        <v>5.9881442010745883E-2</v>
      </c>
      <c r="K12" s="19">
        <f t="shared" si="7"/>
        <v>5.7463194500139349E-2</v>
      </c>
      <c r="L12" s="19">
        <f t="shared" si="7"/>
        <v>5.8303425572708879E-2</v>
      </c>
      <c r="M12" s="19">
        <f t="shared" si="7"/>
        <v>5.4433970869711183E-2</v>
      </c>
      <c r="N12" s="19">
        <f t="shared" si="7"/>
        <v>5.3544300179325356E-2</v>
      </c>
      <c r="O12" s="19">
        <f t="shared" si="7"/>
        <v>5.2446582770367643E-2</v>
      </c>
      <c r="P12" s="19">
        <f t="shared" si="7"/>
        <v>5.3306589706858545E-2</v>
      </c>
      <c r="Q12" s="19">
        <f t="shared" si="7"/>
        <v>5.2891968065504537E-2</v>
      </c>
      <c r="R12" s="19">
        <f t="shared" si="7"/>
        <v>5.2382490642101306E-2</v>
      </c>
      <c r="S12" s="19">
        <f t="shared" si="7"/>
        <v>5.5578008225687703E-2</v>
      </c>
      <c r="T12" s="19">
        <f t="shared" si="7"/>
        <v>5.87296672986879E-2</v>
      </c>
      <c r="U12" s="19">
        <f t="shared" si="7"/>
        <v>6.2665487567746467E-2</v>
      </c>
      <c r="V12" s="19">
        <f t="shared" si="7"/>
        <v>6.2665487567746467E-2</v>
      </c>
      <c r="W12" s="19">
        <f t="shared" si="7"/>
        <v>6.5789067777002469E-2</v>
      </c>
      <c r="X12" s="19">
        <f t="shared" si="7"/>
        <v>7.3221682881483077E-2</v>
      </c>
      <c r="Y12" s="19">
        <f t="shared" si="7"/>
        <v>7.8210598165242576E-2</v>
      </c>
      <c r="Z12" s="19">
        <f t="shared" si="7"/>
        <v>8.950448650588641E-2</v>
      </c>
      <c r="AA12" s="19">
        <f t="shared" si="7"/>
        <v>8.9871664650302094E-2</v>
      </c>
      <c r="AB12" s="19">
        <f t="shared" si="7"/>
        <v>9.2305003065138405E-2</v>
      </c>
      <c r="AC12" s="19">
        <f t="shared" si="7"/>
        <v>9.7613655164407231E-2</v>
      </c>
      <c r="AD12" s="19">
        <f t="shared" si="7"/>
        <v>0.10121251324280793</v>
      </c>
      <c r="AE12" s="19">
        <f t="shared" si="7"/>
        <v>0.10432859324171612</v>
      </c>
      <c r="AF12" s="19">
        <f t="shared" si="7"/>
        <v>0.13026233215519356</v>
      </c>
      <c r="AG12" s="19">
        <f t="shared" si="7"/>
        <v>0.14867921816001375</v>
      </c>
      <c r="AH12" s="19">
        <f t="shared" si="7"/>
        <v>0.16375971972098527</v>
      </c>
      <c r="AI12" s="19">
        <f t="shared" si="7"/>
        <v>0.15542802684661824</v>
      </c>
      <c r="AJ12" s="19">
        <f t="shared" si="7"/>
        <v>0.13861345745819273</v>
      </c>
      <c r="AK12" s="19">
        <f t="shared" si="7"/>
        <v>0.13784518705144139</v>
      </c>
      <c r="AL12" s="19">
        <f t="shared" si="7"/>
        <v>0.1335240091609754</v>
      </c>
      <c r="AM12" s="19">
        <f t="shared" si="7"/>
        <v>0.13384083451963541</v>
      </c>
      <c r="AN12" s="19">
        <f t="shared" si="7"/>
        <v>0.13007780083403958</v>
      </c>
      <c r="AO12" s="19">
        <f t="shared" si="7"/>
        <v>0.13242274786053645</v>
      </c>
      <c r="AP12" s="19">
        <f t="shared" si="7"/>
        <v>0.14037781747979461</v>
      </c>
      <c r="AQ12" s="19">
        <f t="shared" si="7"/>
        <v>0.13336977259872274</v>
      </c>
      <c r="AR12" s="19">
        <f t="shared" si="7"/>
        <v>0.12299810053460566</v>
      </c>
      <c r="AS12" s="19">
        <f t="shared" si="7"/>
        <v>0.11410745097976112</v>
      </c>
      <c r="AT12" s="19">
        <f t="shared" si="7"/>
        <v>0.11110462332239898</v>
      </c>
      <c r="AU12" s="19">
        <f t="shared" si="7"/>
        <v>9.2186809081017534E-2</v>
      </c>
      <c r="AV12" s="19">
        <f t="shared" si="7"/>
        <v>8.7082002063501904E-2</v>
      </c>
      <c r="AW12" s="19">
        <f t="shared" si="7"/>
        <v>7.6220940947265878E-2</v>
      </c>
      <c r="AX12" s="19">
        <f t="shared" si="7"/>
        <v>7.6276414703413814E-2</v>
      </c>
      <c r="AY12" s="19">
        <f t="shared" si="7"/>
        <v>7.651773701812406E-2</v>
      </c>
      <c r="AZ12" s="19">
        <f t="shared" si="7"/>
        <v>7.6760591163933536E-2</v>
      </c>
      <c r="BA12" s="19">
        <f t="shared" si="7"/>
        <v>7.3445544204488469E-2</v>
      </c>
      <c r="BB12" s="19">
        <f t="shared" si="7"/>
        <v>7.2940123943754945E-2</v>
      </c>
      <c r="BC12" s="19">
        <f t="shared" si="7"/>
        <v>7.2572137732867525E-2</v>
      </c>
      <c r="BD12" s="19">
        <f t="shared" si="7"/>
        <v>7.2572137732867525E-2</v>
      </c>
      <c r="BE12" s="19">
        <f t="shared" si="7"/>
        <v>7.3098977208242252E-2</v>
      </c>
      <c r="BF12" s="19">
        <f t="shared" si="7"/>
        <v>7.2746905072380755E-2</v>
      </c>
      <c r="BG12" s="19">
        <f t="shared" ref="BG12:BM12" si="8">$F$12*BG8</f>
        <v>6.9870186934808412E-2</v>
      </c>
      <c r="BH12" s="19">
        <f t="shared" si="8"/>
        <v>7.2852170098410968E-2</v>
      </c>
      <c r="BI12" s="19">
        <f t="shared" si="8"/>
        <v>7.2563421405971912E-2</v>
      </c>
      <c r="BJ12" s="19">
        <f t="shared" si="8"/>
        <v>8.4451082838429156E-2</v>
      </c>
      <c r="BK12" s="19">
        <f t="shared" si="8"/>
        <v>8.4420650015784679E-2</v>
      </c>
      <c r="BL12" s="19">
        <f t="shared" si="8"/>
        <v>8.1585923386981007E-2</v>
      </c>
      <c r="BM12" s="19">
        <f t="shared" si="8"/>
        <v>8.5891396766252473E-2</v>
      </c>
      <c r="BN12" s="19">
        <f t="shared" ref="BN12:BU12" si="9">$F$12*BN8</f>
        <v>8.5932680782962997E-2</v>
      </c>
      <c r="BO12" s="19">
        <f t="shared" si="9"/>
        <v>8.5963669849238866E-2</v>
      </c>
      <c r="BP12" s="19">
        <f t="shared" si="9"/>
        <v>8.5963669849238866E-2</v>
      </c>
      <c r="BQ12" s="19">
        <f t="shared" si="9"/>
        <v>8.5819245106902461E-2</v>
      </c>
      <c r="BR12" s="19">
        <f t="shared" si="9"/>
        <v>8.5747214565445817E-2</v>
      </c>
      <c r="BS12" s="19">
        <f t="shared" si="9"/>
        <v>7.839281178068197E-2</v>
      </c>
      <c r="BT12" s="19">
        <f t="shared" si="9"/>
        <v>7.9987065965662615E-2</v>
      </c>
      <c r="BU12" s="19">
        <f t="shared" si="9"/>
        <v>7.9910266094356169E-2</v>
      </c>
      <c r="BV12" s="19">
        <f>$F$12*BV8</f>
        <v>7.7858738267567895E-2</v>
      </c>
      <c r="BW12" s="19">
        <f>$F$12*BW8</f>
        <v>8.1556487696041624E-2</v>
      </c>
      <c r="BX12" s="19">
        <f>$F$12*BX8</f>
        <v>8.1458521945055387E-2</v>
      </c>
      <c r="BY12" s="19">
        <f t="shared" ref="BY12:CG12" si="10">$F$12*BY8</f>
        <v>8.3129310532987818E-2</v>
      </c>
      <c r="BZ12" s="19">
        <f t="shared" si="10"/>
        <v>8.3189404010481541E-2</v>
      </c>
      <c r="CA12" s="19">
        <f t="shared" si="10"/>
        <v>8.3179382398144402E-2</v>
      </c>
      <c r="CB12" s="19">
        <f t="shared" si="10"/>
        <v>8.3289753110614817E-2</v>
      </c>
      <c r="CC12" s="19">
        <f t="shared" si="10"/>
        <v>8.3289753110614817E-2</v>
      </c>
      <c r="CD12" s="19">
        <f t="shared" si="10"/>
        <v>7.9018437606259345E-2</v>
      </c>
      <c r="CE12" s="19">
        <f t="shared" si="10"/>
        <v>7.896115019378501E-2</v>
      </c>
      <c r="CF12" s="19">
        <f t="shared" si="10"/>
        <v>7.8486966010541059E-2</v>
      </c>
      <c r="CG12" s="19">
        <f t="shared" si="10"/>
        <v>7.8364609545960529E-2</v>
      </c>
      <c r="CH12" s="19">
        <f t="shared" ref="CH12:CQ12" si="11">$F$12*CH8</f>
        <v>7.8534127989876815E-2</v>
      </c>
      <c r="CI12" s="19">
        <f t="shared" si="11"/>
        <v>7.8355213309803926E-2</v>
      </c>
      <c r="CJ12" s="19">
        <f t="shared" si="11"/>
        <v>7.81584115540922E-2</v>
      </c>
      <c r="CK12" s="19">
        <f t="shared" si="11"/>
        <v>8.1292519203139069E-2</v>
      </c>
      <c r="CL12" s="19">
        <f t="shared" si="11"/>
        <v>8.1214634154800736E-2</v>
      </c>
      <c r="CM12" s="19">
        <f t="shared" si="11"/>
        <v>8.1360791264857374E-2</v>
      </c>
      <c r="CN12" s="19">
        <f t="shared" si="11"/>
        <v>7.6922929923137873E-2</v>
      </c>
      <c r="CO12" s="19">
        <f t="shared" si="11"/>
        <v>7.6922929923137873E-2</v>
      </c>
      <c r="CP12" s="19">
        <f t="shared" si="11"/>
        <v>7.6922929923137873E-2</v>
      </c>
      <c r="CQ12" s="19">
        <f t="shared" si="11"/>
        <v>7.6427776959036131E-2</v>
      </c>
      <c r="CR12" s="19">
        <f t="shared" ref="CR12:DP12" si="12">$F$12*CR8</f>
        <v>7.9833613560932312E-2</v>
      </c>
      <c r="CS12" s="19">
        <f t="shared" si="12"/>
        <v>7.9738004442895263E-2</v>
      </c>
      <c r="CT12" s="19">
        <f t="shared" si="12"/>
        <v>8.274080926147355E-2</v>
      </c>
      <c r="CU12" s="19">
        <f t="shared" si="12"/>
        <v>8.272098398071126E-2</v>
      </c>
      <c r="CV12" s="19">
        <f t="shared" si="12"/>
        <v>8.264177777223182E-2</v>
      </c>
      <c r="CW12" s="19">
        <f t="shared" si="12"/>
        <v>8.1020572902340049E-2</v>
      </c>
      <c r="CX12" s="19">
        <f t="shared" si="12"/>
        <v>8.0991543675216313E-2</v>
      </c>
      <c r="CY12" s="19">
        <f t="shared" si="12"/>
        <v>8.3716725596355859E-2</v>
      </c>
      <c r="CZ12" s="19">
        <f t="shared" si="12"/>
        <v>8.3706754571392039E-2</v>
      </c>
      <c r="DA12" s="19">
        <f t="shared" si="12"/>
        <v>8.3766616374422814E-2</v>
      </c>
      <c r="DB12" s="19">
        <f t="shared" si="12"/>
        <v>8.3776601666635767E-2</v>
      </c>
      <c r="DC12" s="19">
        <f t="shared" si="12"/>
        <v>7.7098326578913717E-2</v>
      </c>
      <c r="DD12" s="19">
        <f t="shared" si="12"/>
        <v>7.7098326578913717E-2</v>
      </c>
      <c r="DE12" s="19">
        <f t="shared" si="12"/>
        <v>7.3023208383982713E-2</v>
      </c>
      <c r="DF12" s="19">
        <f t="shared" si="12"/>
        <v>7.2953379831858414E-2</v>
      </c>
      <c r="DG12" s="19">
        <f t="shared" si="12"/>
        <v>7.268405093168126E-2</v>
      </c>
      <c r="DH12" s="19">
        <f t="shared" si="12"/>
        <v>7.4064212414385419E-2</v>
      </c>
      <c r="DI12" s="19">
        <f t="shared" si="12"/>
        <v>7.4064212414385419E-2</v>
      </c>
      <c r="DJ12" s="19">
        <f t="shared" si="12"/>
        <v>7.4055403635554018E-2</v>
      </c>
      <c r="DK12" s="19">
        <f t="shared" si="12"/>
        <v>7.4020189463592276E-2</v>
      </c>
      <c r="DL12" s="19">
        <f t="shared" si="12"/>
        <v>7.3774624853997411E-2</v>
      </c>
      <c r="DM12" s="19">
        <f t="shared" si="12"/>
        <v>7.6083140015349965E-2</v>
      </c>
      <c r="DN12" s="19">
        <f t="shared" si="12"/>
        <v>7.575949673985044E-2</v>
      </c>
      <c r="DO12" s="19">
        <f t="shared" si="12"/>
        <v>7.8617586149270932E-2</v>
      </c>
      <c r="DP12" s="19">
        <f t="shared" si="12"/>
        <v>7.7761099616995191E-2</v>
      </c>
      <c r="DQ12" s="19">
        <f t="shared" ref="DQ12:EC12" si="13">$F$12*DQ8</f>
        <v>7.7678686770015326E-2</v>
      </c>
      <c r="DR12" s="19">
        <f t="shared" si="13"/>
        <v>7.7441583476282008E-2</v>
      </c>
      <c r="DS12" s="19">
        <f t="shared" si="13"/>
        <v>0</v>
      </c>
      <c r="DT12" s="19">
        <f t="shared" si="13"/>
        <v>0</v>
      </c>
      <c r="DU12" s="19">
        <f t="shared" si="13"/>
        <v>0</v>
      </c>
      <c r="DV12" s="19">
        <f t="shared" si="13"/>
        <v>0</v>
      </c>
      <c r="DW12" s="19">
        <f t="shared" si="13"/>
        <v>0</v>
      </c>
      <c r="DX12" s="19">
        <f t="shared" si="13"/>
        <v>0</v>
      </c>
      <c r="DY12" s="19">
        <f t="shared" si="13"/>
        <v>0</v>
      </c>
      <c r="DZ12" s="19">
        <f t="shared" si="13"/>
        <v>0</v>
      </c>
      <c r="EA12" s="19">
        <f t="shared" si="13"/>
        <v>0</v>
      </c>
      <c r="EB12" s="19">
        <f t="shared" si="13"/>
        <v>0</v>
      </c>
      <c r="EC12" s="19">
        <f t="shared" si="13"/>
        <v>0</v>
      </c>
    </row>
    <row r="13" spans="1:155">
      <c r="A13" s="53"/>
      <c r="B13" s="52" t="s">
        <v>610</v>
      </c>
      <c r="C13" s="8">
        <v>1</v>
      </c>
      <c r="D13" s="18">
        <v>18.010000000000002</v>
      </c>
      <c r="E13" s="8">
        <f>D13*C13</f>
        <v>18.010000000000002</v>
      </c>
      <c r="F13" s="20">
        <f>E13/E2</f>
        <v>0.1303938604112366</v>
      </c>
      <c r="G13" s="8">
        <v>5.2</v>
      </c>
      <c r="H13" s="26"/>
      <c r="I13" s="26"/>
      <c r="J13" s="26"/>
      <c r="K13" s="26"/>
      <c r="L13" s="26"/>
      <c r="M13" s="26"/>
      <c r="N13" s="26"/>
      <c r="O13" s="26"/>
      <c r="P13" s="26"/>
      <c r="Q13" s="26"/>
      <c r="R13" s="26"/>
      <c r="S13" s="26"/>
    </row>
    <row r="14" spans="1:155">
      <c r="A14" s="53"/>
      <c r="B14" s="52" t="s">
        <v>611</v>
      </c>
      <c r="C14" s="8">
        <v>1</v>
      </c>
      <c r="D14" s="18">
        <v>56.07</v>
      </c>
      <c r="E14" s="8">
        <f>D14*C14</f>
        <v>56.07</v>
      </c>
      <c r="F14" s="20">
        <f>E14/E2</f>
        <v>0.40595134665508253</v>
      </c>
      <c r="G14" s="8">
        <v>0.61499999999999999</v>
      </c>
      <c r="H14" s="26"/>
      <c r="I14" s="26"/>
      <c r="J14" s="26"/>
      <c r="K14" s="26"/>
      <c r="L14" s="26"/>
      <c r="M14" s="26"/>
      <c r="N14" s="26"/>
      <c r="O14" s="26"/>
      <c r="P14" s="26"/>
      <c r="Q14" s="26"/>
      <c r="R14" s="26"/>
      <c r="S14" s="26"/>
    </row>
    <row r="15" spans="1:155">
      <c r="A15" s="58"/>
      <c r="B15" s="52" t="s">
        <v>612</v>
      </c>
      <c r="C15" s="8">
        <v>1</v>
      </c>
      <c r="D15" s="18"/>
      <c r="F15" s="20"/>
      <c r="G15" s="8">
        <v>0.45</v>
      </c>
      <c r="H15" s="26"/>
      <c r="I15" s="26"/>
      <c r="J15" s="26"/>
      <c r="K15" s="26"/>
      <c r="L15" s="26"/>
      <c r="M15" s="26"/>
      <c r="N15" s="26"/>
      <c r="O15" s="26"/>
      <c r="P15" s="26"/>
      <c r="Q15" s="26"/>
      <c r="R15" s="26"/>
      <c r="S15" s="26"/>
    </row>
    <row r="16" spans="1:155">
      <c r="A16" s="24"/>
      <c r="B16" s="24"/>
      <c r="C16" s="24"/>
      <c r="D16" s="24"/>
      <c r="E16" s="24"/>
      <c r="F16" s="24" t="s">
        <v>400</v>
      </c>
      <c r="G16" s="24"/>
      <c r="H16" s="89">
        <f>SUM(H11:H15)</f>
        <v>0.48449555956741741</v>
      </c>
      <c r="I16" s="89">
        <f t="shared" ref="I16:BI16" si="14">SUM(I11:I15)</f>
        <v>0.44272109333324389</v>
      </c>
      <c r="J16" s="89">
        <f t="shared" si="14"/>
        <v>0.33361942025231972</v>
      </c>
      <c r="K16" s="89">
        <f t="shared" si="14"/>
        <v>0.27200368677425218</v>
      </c>
      <c r="L16" s="89">
        <f t="shared" si="14"/>
        <v>0.30964615203373264</v>
      </c>
      <c r="M16" s="89">
        <f t="shared" si="14"/>
        <v>0.36451315881405838</v>
      </c>
      <c r="N16" s="89">
        <f t="shared" si="14"/>
        <v>0.37960677207042609</v>
      </c>
      <c r="O16" s="89">
        <f t="shared" si="14"/>
        <v>0.38366073847653992</v>
      </c>
      <c r="P16" s="89">
        <f t="shared" si="14"/>
        <v>0.38984537143187248</v>
      </c>
      <c r="Q16" s="89">
        <f t="shared" si="14"/>
        <v>0.38664410083370332</v>
      </c>
      <c r="R16" s="89">
        <f t="shared" si="14"/>
        <v>0.39173091222670448</v>
      </c>
      <c r="S16" s="89">
        <f t="shared" si="14"/>
        <v>0.4508754680531854</v>
      </c>
      <c r="T16" s="89">
        <f t="shared" si="14"/>
        <v>0.4917489752079216</v>
      </c>
      <c r="U16" s="89">
        <f t="shared" si="14"/>
        <v>0.51384516489881393</v>
      </c>
      <c r="V16" s="89">
        <f t="shared" si="14"/>
        <v>0.52119696043892394</v>
      </c>
      <c r="W16" s="89">
        <f t="shared" si="14"/>
        <v>0.54104924128221499</v>
      </c>
      <c r="X16" s="89">
        <f t="shared" si="14"/>
        <v>0.56571125716471493</v>
      </c>
      <c r="Y16" s="89">
        <f t="shared" si="14"/>
        <v>0.60235196447979356</v>
      </c>
      <c r="Z16" s="89">
        <f t="shared" si="14"/>
        <v>0.65482404066343169</v>
      </c>
      <c r="AA16" s="89">
        <f t="shared" si="14"/>
        <v>0.66764055255354016</v>
      </c>
      <c r="AB16" s="89">
        <f t="shared" si="14"/>
        <v>0.68165034284987114</v>
      </c>
      <c r="AC16" s="89">
        <f t="shared" si="14"/>
        <v>0.75067569458468186</v>
      </c>
      <c r="AD16" s="89">
        <f t="shared" si="14"/>
        <v>0.72948536296866862</v>
      </c>
      <c r="AE16" s="89">
        <f t="shared" si="14"/>
        <v>0.65594565813780181</v>
      </c>
      <c r="AF16" s="89">
        <f t="shared" si="14"/>
        <v>0.80208458211566236</v>
      </c>
      <c r="AG16" s="89">
        <f t="shared" si="14"/>
        <v>0.9164089868081291</v>
      </c>
      <c r="AH16" s="89">
        <f t="shared" si="14"/>
        <v>0.99690202835512531</v>
      </c>
      <c r="AI16" s="89">
        <f t="shared" si="14"/>
        <v>0.95078316973183807</v>
      </c>
      <c r="AJ16" s="89">
        <f t="shared" si="14"/>
        <v>0.94096177256521452</v>
      </c>
      <c r="AK16" s="89">
        <f t="shared" si="14"/>
        <v>0.89200856601443212</v>
      </c>
      <c r="AL16" s="89">
        <f t="shared" si="14"/>
        <v>0.85687206190638121</v>
      </c>
      <c r="AM16" s="89">
        <f t="shared" si="14"/>
        <v>0.75508943201796308</v>
      </c>
      <c r="AN16" s="89">
        <f t="shared" si="14"/>
        <v>0.68194606027054316</v>
      </c>
      <c r="AO16" s="89">
        <f t="shared" si="14"/>
        <v>0.70350514765675687</v>
      </c>
      <c r="AP16" s="89">
        <f t="shared" si="14"/>
        <v>0.73088209001903259</v>
      </c>
      <c r="AQ16" s="89">
        <f t="shared" si="14"/>
        <v>0.69472572601369376</v>
      </c>
      <c r="AR16" s="89">
        <f t="shared" si="14"/>
        <v>0.72056423802160374</v>
      </c>
      <c r="AS16" s="89">
        <f t="shared" si="14"/>
        <v>0.70817096665354073</v>
      </c>
      <c r="AT16" s="89">
        <f t="shared" si="14"/>
        <v>0.78215481724697522</v>
      </c>
      <c r="AU16" s="89">
        <f t="shared" si="14"/>
        <v>0.83045862188772512</v>
      </c>
      <c r="AV16" s="89">
        <f t="shared" si="14"/>
        <v>0.73705668194232066</v>
      </c>
      <c r="AW16" s="89">
        <f t="shared" si="14"/>
        <v>0.60747878436844549</v>
      </c>
      <c r="AX16" s="89">
        <f t="shared" si="14"/>
        <v>0.6270160568733838</v>
      </c>
      <c r="AY16" s="89">
        <f t="shared" si="14"/>
        <v>0.66546956639226584</v>
      </c>
      <c r="AZ16" s="89">
        <f t="shared" si="14"/>
        <v>0.6793246189341694</v>
      </c>
      <c r="BA16" s="89">
        <f t="shared" si="14"/>
        <v>0.69744763265014975</v>
      </c>
      <c r="BB16" s="89">
        <f t="shared" si="14"/>
        <v>0.71438752470656908</v>
      </c>
      <c r="BC16" s="89">
        <f t="shared" si="14"/>
        <v>0.7083017746243202</v>
      </c>
      <c r="BD16" s="89">
        <f t="shared" si="14"/>
        <v>0.71565357016443021</v>
      </c>
      <c r="BE16" s="89">
        <f t="shared" si="14"/>
        <v>0.71626994210913486</v>
      </c>
      <c r="BF16" s="89">
        <f t="shared" si="14"/>
        <v>0.70963728784731683</v>
      </c>
      <c r="BG16" s="89">
        <f t="shared" si="14"/>
        <v>0.74353594369420173</v>
      </c>
      <c r="BH16" s="89">
        <f t="shared" si="14"/>
        <v>0.79176123829430001</v>
      </c>
      <c r="BI16" s="89">
        <f t="shared" si="14"/>
        <v>0.75749205486753612</v>
      </c>
      <c r="BJ16" s="89">
        <f>SUM(BJ11:BJ15)</f>
        <v>0.73432323403790922</v>
      </c>
      <c r="BK16" s="89">
        <f>SUM(BK11:BK15)</f>
        <v>0.75988805117019709</v>
      </c>
      <c r="BL16" s="89">
        <f>SUM(BL11:BL15)</f>
        <v>0.74632768161036112</v>
      </c>
      <c r="BM16" s="89">
        <f>SUM(BM11:BM15)</f>
        <v>0.75061238470218672</v>
      </c>
      <c r="BN16" s="89">
        <f t="shared" ref="BN16:BU16" si="15">SUM(BN11:BN15)</f>
        <v>0.75065959595579945</v>
      </c>
      <c r="BO16" s="89">
        <f t="shared" si="15"/>
        <v>0.72863964757001498</v>
      </c>
      <c r="BP16" s="89">
        <f t="shared" si="15"/>
        <v>0.74221219318252563</v>
      </c>
      <c r="BQ16" s="89">
        <f t="shared" si="15"/>
        <v>0.7301710556519565</v>
      </c>
      <c r="BR16" s="89">
        <f t="shared" si="15"/>
        <v>0.71877822885045539</v>
      </c>
      <c r="BS16" s="89">
        <f t="shared" si="15"/>
        <v>0.70520898334253257</v>
      </c>
      <c r="BT16" s="89">
        <f t="shared" si="15"/>
        <v>0.73396608486474424</v>
      </c>
      <c r="BU16" s="89">
        <f t="shared" si="15"/>
        <v>0.72935326003159628</v>
      </c>
      <c r="BV16" s="89">
        <f>SUM(BV11:BV15)</f>
        <v>0.74860462030381369</v>
      </c>
      <c r="BW16" s="89">
        <f>SUM(BW11:BW15)</f>
        <v>0.7794459757600517</v>
      </c>
      <c r="BX16" s="89">
        <f>SUM(BX11:BX15)</f>
        <v>0.78046422312842822</v>
      </c>
      <c r="BY16" s="89">
        <f t="shared" ref="BY16:CG16" si="16">SUM(BY11:BY15)</f>
        <v>0.81213592860865125</v>
      </c>
      <c r="BZ16" s="89">
        <f t="shared" si="16"/>
        <v>0.81786018531118387</v>
      </c>
      <c r="CA16" s="89">
        <f t="shared" si="16"/>
        <v>0.83990406010769203</v>
      </c>
      <c r="CB16" s="89">
        <f t="shared" si="16"/>
        <v>0.83889979745239973</v>
      </c>
      <c r="CC16" s="89">
        <f t="shared" si="16"/>
        <v>0.8321135246461443</v>
      </c>
      <c r="CD16" s="89">
        <f t="shared" si="16"/>
        <v>0.81938932017126853</v>
      </c>
      <c r="CE16" s="89">
        <f t="shared" si="16"/>
        <v>0.83006796389043658</v>
      </c>
      <c r="CF16" s="89">
        <f t="shared" si="16"/>
        <v>0.82951927743329845</v>
      </c>
      <c r="CG16" s="89">
        <f t="shared" si="16"/>
        <v>0.83163978765508095</v>
      </c>
      <c r="CH16" s="89">
        <f t="shared" ref="CH16:CQ16" si="17">SUM(CH11:CH15)</f>
        <v>0.85841550877575079</v>
      </c>
      <c r="CI16" s="89">
        <f t="shared" si="17"/>
        <v>0.85085668806397086</v>
      </c>
      <c r="CJ16" s="89">
        <f t="shared" si="17"/>
        <v>0.84610478358678021</v>
      </c>
      <c r="CK16" s="89">
        <f t="shared" si="17"/>
        <v>0.84417715593159304</v>
      </c>
      <c r="CL16" s="89">
        <f t="shared" si="17"/>
        <v>0.83843225148313261</v>
      </c>
      <c r="CM16" s="89">
        <f t="shared" si="17"/>
        <v>0.83237978720502626</v>
      </c>
      <c r="CN16" s="89">
        <f t="shared" si="17"/>
        <v>0.83190058500028918</v>
      </c>
      <c r="CO16" s="89">
        <f t="shared" si="17"/>
        <v>0.83416267593570759</v>
      </c>
      <c r="CP16" s="89">
        <f t="shared" si="17"/>
        <v>0.84264551694352696</v>
      </c>
      <c r="CQ16" s="89">
        <f t="shared" si="17"/>
        <v>0.84207107106630219</v>
      </c>
      <c r="CR16" s="89">
        <f t="shared" ref="CR16:DP16" si="18">SUM(CR11:CR15)</f>
        <v>0.82518999709007768</v>
      </c>
      <c r="CS16" s="89">
        <f t="shared" si="18"/>
        <v>0.81207262148162407</v>
      </c>
      <c r="CT16" s="89">
        <f t="shared" si="18"/>
        <v>0.84166236218034973</v>
      </c>
      <c r="CU16" s="89">
        <f t="shared" si="18"/>
        <v>0.82863256600617197</v>
      </c>
      <c r="CV16" s="89">
        <f t="shared" si="18"/>
        <v>0.82345187724773961</v>
      </c>
      <c r="CW16" s="89">
        <f t="shared" si="18"/>
        <v>0.8195465584789221</v>
      </c>
      <c r="CX16" s="89">
        <f t="shared" si="18"/>
        <v>0.80198192937845214</v>
      </c>
      <c r="CY16" s="89">
        <f t="shared" si="18"/>
        <v>0.82842693119568522</v>
      </c>
      <c r="CZ16" s="89">
        <f t="shared" si="18"/>
        <v>0.83293968536449503</v>
      </c>
      <c r="DA16" s="89">
        <f t="shared" si="18"/>
        <v>0.81943574682601394</v>
      </c>
      <c r="DB16" s="89">
        <f t="shared" si="18"/>
        <v>0.82397137275044396</v>
      </c>
      <c r="DC16" s="89">
        <f t="shared" si="18"/>
        <v>0.80880005262252341</v>
      </c>
      <c r="DD16" s="89">
        <f t="shared" si="18"/>
        <v>0.78335152959906562</v>
      </c>
      <c r="DE16" s="89">
        <f t="shared" si="18"/>
        <v>0.78329066931474478</v>
      </c>
      <c r="DF16" s="89">
        <f t="shared" si="18"/>
        <v>0.77811938917947288</v>
      </c>
      <c r="DG16" s="89">
        <f t="shared" si="18"/>
        <v>0.80551536611288888</v>
      </c>
      <c r="DH16" s="89">
        <f t="shared" si="18"/>
        <v>0.75372184636725337</v>
      </c>
      <c r="DI16" s="89">
        <f t="shared" si="18"/>
        <v>0.75145975543183485</v>
      </c>
      <c r="DJ16" s="89">
        <f t="shared" si="18"/>
        <v>0.74918740319577593</v>
      </c>
      <c r="DK16" s="89">
        <f t="shared" si="18"/>
        <v>0.75876026886555803</v>
      </c>
      <c r="DL16" s="89">
        <f t="shared" si="18"/>
        <v>0.73811539351041677</v>
      </c>
      <c r="DM16" s="89">
        <f t="shared" si="18"/>
        <v>0.74949103895842351</v>
      </c>
      <c r="DN16" s="89">
        <f t="shared" si="18"/>
        <v>0.7406327270178199</v>
      </c>
      <c r="DO16" s="89">
        <f t="shared" si="18"/>
        <v>0.75026849412844721</v>
      </c>
      <c r="DP16" s="89">
        <f t="shared" si="18"/>
        <v>0.75165409056985533</v>
      </c>
      <c r="DQ16" s="89">
        <f t="shared" ref="DQ16:EC16" si="19">SUM(DQ11:DQ15)</f>
        <v>0.75551750943529539</v>
      </c>
      <c r="DR16" s="89">
        <f t="shared" si="19"/>
        <v>0.74619513766081769</v>
      </c>
      <c r="DS16" s="89">
        <f t="shared" si="19"/>
        <v>0</v>
      </c>
      <c r="DT16" s="89">
        <f t="shared" si="19"/>
        <v>0</v>
      </c>
      <c r="DU16" s="89">
        <f t="shared" si="19"/>
        <v>0</v>
      </c>
      <c r="DV16" s="89">
        <f t="shared" si="19"/>
        <v>0</v>
      </c>
      <c r="DW16" s="89">
        <f t="shared" si="19"/>
        <v>0</v>
      </c>
      <c r="DX16" s="89">
        <f t="shared" si="19"/>
        <v>0</v>
      </c>
      <c r="DY16" s="89">
        <f t="shared" si="19"/>
        <v>0</v>
      </c>
      <c r="DZ16" s="89">
        <f t="shared" si="19"/>
        <v>0</v>
      </c>
      <c r="EA16" s="89">
        <f t="shared" si="19"/>
        <v>0</v>
      </c>
      <c r="EB16" s="89">
        <f t="shared" si="19"/>
        <v>0</v>
      </c>
      <c r="EC16" s="89">
        <f t="shared" si="19"/>
        <v>0</v>
      </c>
    </row>
    <row r="17" spans="1:133">
      <c r="A17" s="143" t="s">
        <v>613</v>
      </c>
      <c r="G17" s="173" t="s">
        <v>429</v>
      </c>
      <c r="H17" s="26"/>
      <c r="I17" s="19">
        <v>2.73</v>
      </c>
      <c r="J17" s="19"/>
      <c r="K17" s="19">
        <v>2.1</v>
      </c>
      <c r="L17" s="19">
        <v>2.12</v>
      </c>
      <c r="M17" s="19">
        <v>1.91</v>
      </c>
      <c r="N17" s="19"/>
      <c r="O17" s="19"/>
      <c r="P17" s="19"/>
      <c r="Q17" s="19"/>
      <c r="R17" s="19"/>
      <c r="S17" s="19"/>
      <c r="T17" s="19"/>
      <c r="U17" s="19"/>
      <c r="V17" s="19">
        <v>3.43</v>
      </c>
      <c r="W17" s="19">
        <v>3.36</v>
      </c>
      <c r="X17" s="19"/>
      <c r="Y17" s="19"/>
      <c r="Z17" s="19"/>
      <c r="AA17" s="19"/>
      <c r="AB17" s="19"/>
      <c r="AC17" s="19"/>
      <c r="AD17" s="19">
        <v>4.7699999999999996</v>
      </c>
      <c r="AE17" s="19">
        <v>4.4400000000000004</v>
      </c>
      <c r="AF17" s="19">
        <v>4.2300000000000004</v>
      </c>
      <c r="AG17" s="19"/>
      <c r="AH17" s="19"/>
      <c r="AI17" s="19"/>
      <c r="AJ17" s="19">
        <v>4.29</v>
      </c>
      <c r="AK17" s="19"/>
      <c r="AL17" s="19">
        <v>3.14</v>
      </c>
      <c r="AM17" s="19"/>
      <c r="AN17" s="19"/>
      <c r="AO17" s="19"/>
      <c r="AP17" s="19">
        <v>2.2999999999999998</v>
      </c>
      <c r="AQ17" s="19">
        <v>2.2799999999999998</v>
      </c>
      <c r="AR17" s="19">
        <v>2.2999999999999998</v>
      </c>
      <c r="AS17" s="19"/>
      <c r="AT17" s="19"/>
      <c r="AU17" s="19"/>
      <c r="AV17" s="19"/>
      <c r="AW17" s="19"/>
      <c r="AX17" s="19"/>
      <c r="AY17" s="19"/>
      <c r="AZ17" s="19"/>
      <c r="BA17" s="19"/>
      <c r="BB17" s="19">
        <f>158/83.3</f>
        <v>1.8967587034813926</v>
      </c>
      <c r="BC17" s="19"/>
      <c r="BD17" s="19"/>
      <c r="BE17" s="18"/>
      <c r="BF17" s="18"/>
      <c r="BG17" s="18"/>
      <c r="BH17" s="18"/>
      <c r="BI17" s="18"/>
      <c r="BJ17" s="18"/>
      <c r="BK17" s="18"/>
      <c r="BL17" s="18"/>
      <c r="BM17" s="18"/>
      <c r="BN17" s="18"/>
      <c r="BO17" s="18"/>
      <c r="BP17" s="18"/>
      <c r="BQ17" s="18"/>
      <c r="BR17" s="18"/>
      <c r="BS17" s="18"/>
      <c r="BT17" s="18"/>
      <c r="BU17" s="18"/>
      <c r="BV17" s="18"/>
      <c r="BW17" s="18"/>
      <c r="BX17" s="18"/>
      <c r="BY17" s="18"/>
      <c r="BZ17" s="19">
        <f>158/83.3</f>
        <v>1.8967587034813926</v>
      </c>
      <c r="CA17" s="18"/>
      <c r="CB17" s="18"/>
      <c r="CC17" s="18"/>
      <c r="CD17" s="18"/>
      <c r="CE17" s="18"/>
      <c r="CF17" s="18"/>
      <c r="CG17" s="18"/>
      <c r="CH17" s="19">
        <f>165/84</f>
        <v>1.9642857142857142</v>
      </c>
      <c r="CI17" s="18"/>
      <c r="CJ17" s="18"/>
      <c r="CK17" s="18"/>
      <c r="CL17" s="18"/>
      <c r="CM17" s="18"/>
      <c r="CN17" s="18"/>
      <c r="CO17" s="18"/>
      <c r="CP17" s="18"/>
      <c r="CQ17" s="18"/>
      <c r="CR17" s="18"/>
      <c r="CS17" s="18"/>
      <c r="CT17" s="18"/>
      <c r="CU17" s="19">
        <f>164/84</f>
        <v>1.9523809523809523</v>
      </c>
      <c r="CV17" s="18"/>
      <c r="CW17" s="18"/>
      <c r="CX17" s="18"/>
      <c r="CY17" s="18"/>
      <c r="CZ17" s="19">
        <f>164/84</f>
        <v>1.9523809523809523</v>
      </c>
      <c r="DA17" s="18"/>
      <c r="DB17" s="18"/>
      <c r="DC17" s="18"/>
      <c r="DD17" s="19">
        <f>162/84</f>
        <v>1.9285714285714286</v>
      </c>
      <c r="DE17" s="18"/>
      <c r="DF17" s="18"/>
      <c r="DG17" s="18"/>
      <c r="DH17" s="18"/>
      <c r="DI17" s="18"/>
      <c r="DJ17" s="18"/>
      <c r="DK17" s="18"/>
      <c r="DL17" s="18"/>
      <c r="DM17" s="18"/>
      <c r="DN17" s="18"/>
      <c r="DO17" s="19">
        <f>158/84</f>
        <v>1.8809523809523809</v>
      </c>
      <c r="DP17" s="18"/>
      <c r="DQ17" s="18"/>
      <c r="DR17" s="18"/>
      <c r="DS17" s="18"/>
      <c r="DT17" s="18"/>
      <c r="DU17" s="18"/>
      <c r="DV17" s="18"/>
      <c r="DW17" s="18"/>
      <c r="DX17" s="18"/>
      <c r="DY17" s="18"/>
      <c r="DZ17" s="18"/>
      <c r="EA17" s="18"/>
      <c r="EB17" s="18"/>
      <c r="EC17" s="18"/>
    </row>
    <row r="18" spans="1:133">
      <c r="A18" s="35"/>
      <c r="G18" s="170" t="s">
        <v>406</v>
      </c>
      <c r="H18" s="26"/>
      <c r="I18" s="19">
        <f>I17-I16</f>
        <v>2.287278906666756</v>
      </c>
      <c r="J18" s="26"/>
      <c r="K18" s="19">
        <f>K17-K16</f>
        <v>1.827996313225748</v>
      </c>
      <c r="L18" s="19">
        <f>L17-L16</f>
        <v>1.8103538479662675</v>
      </c>
      <c r="M18" s="19">
        <f>M17-M16</f>
        <v>1.5454868411859415</v>
      </c>
      <c r="N18" s="26"/>
      <c r="O18" s="26"/>
      <c r="P18" s="26"/>
      <c r="Q18" s="26"/>
      <c r="R18" s="26"/>
      <c r="S18" s="26"/>
      <c r="T18" s="18"/>
      <c r="U18" s="18"/>
      <c r="V18" s="19">
        <f>V17-V16</f>
        <v>2.908803039561076</v>
      </c>
      <c r="W18" s="19">
        <f>W17-W16</f>
        <v>2.8189507587177847</v>
      </c>
      <c r="X18" s="18"/>
      <c r="Y18" s="18"/>
      <c r="Z18" s="18"/>
      <c r="AA18" s="18"/>
      <c r="AB18" s="18"/>
      <c r="AC18" s="18"/>
      <c r="AD18" s="19">
        <f>AD17-AD16</f>
        <v>4.0405146370313307</v>
      </c>
      <c r="AE18" s="19">
        <f>AE17-AE16</f>
        <v>3.7840543418621984</v>
      </c>
      <c r="AF18" s="19">
        <f>AF17-AF16</f>
        <v>3.4279154178843383</v>
      </c>
      <c r="AG18" s="18"/>
      <c r="AH18" s="18"/>
      <c r="AI18" s="18"/>
      <c r="AJ18" s="19">
        <f>AJ17-AJ16</f>
        <v>3.3490382274347854</v>
      </c>
      <c r="AK18" s="18"/>
      <c r="AL18" s="19">
        <f>AL17-AL16</f>
        <v>2.2831279380936191</v>
      </c>
      <c r="AM18" s="18"/>
      <c r="AN18" s="18"/>
      <c r="AO18" s="18"/>
      <c r="AP18" s="19">
        <f>AP17-AP16</f>
        <v>1.5691179099809673</v>
      </c>
      <c r="AQ18" s="19">
        <f>AQ17-AQ16</f>
        <v>1.5852742739863062</v>
      </c>
      <c r="AR18" s="19">
        <f>AR17-AR16</f>
        <v>1.5794357619783961</v>
      </c>
      <c r="AS18" s="18"/>
      <c r="AT18" s="18"/>
      <c r="AU18" s="18"/>
      <c r="AV18" s="18"/>
      <c r="AW18" s="18"/>
      <c r="AX18" s="18"/>
      <c r="AY18" s="18"/>
      <c r="AZ18" s="18"/>
      <c r="BA18" s="18"/>
      <c r="BB18" s="19">
        <f>BB17-BB16</f>
        <v>1.1823711787748237</v>
      </c>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9">
        <f>BZ17-BZ16</f>
        <v>1.0788985181702087</v>
      </c>
      <c r="CA18" s="18"/>
      <c r="CB18" s="18"/>
      <c r="CC18" s="18"/>
      <c r="CD18" s="18"/>
      <c r="CE18" s="18"/>
      <c r="CF18" s="18"/>
      <c r="CG18" s="18"/>
      <c r="CH18" s="19">
        <f>CH17-CH16</f>
        <v>1.1058702055099634</v>
      </c>
      <c r="CI18" s="18"/>
      <c r="CJ18" s="18"/>
      <c r="CK18" s="18"/>
      <c r="CL18" s="18"/>
      <c r="CM18" s="18"/>
      <c r="CN18" s="18"/>
      <c r="CO18" s="18"/>
      <c r="CP18" s="18"/>
      <c r="CQ18" s="18"/>
      <c r="CR18" s="18"/>
      <c r="CS18" s="18"/>
      <c r="CT18" s="18"/>
      <c r="CU18" s="19">
        <f>CU17-CU16</f>
        <v>1.1237483863747804</v>
      </c>
      <c r="CV18" s="18"/>
      <c r="CW18" s="18"/>
      <c r="CX18" s="18"/>
      <c r="CY18" s="18"/>
      <c r="CZ18" s="19">
        <f>CZ17-CZ16</f>
        <v>1.1194412670164573</v>
      </c>
      <c r="DA18" s="18"/>
      <c r="DB18" s="18"/>
      <c r="DC18" s="18"/>
      <c r="DD18" s="19">
        <f>DD17-DD16</f>
        <v>1.145219898972363</v>
      </c>
      <c r="DE18" s="18"/>
      <c r="DF18" s="18"/>
      <c r="DG18" s="18"/>
      <c r="DH18" s="18"/>
      <c r="DI18" s="18"/>
      <c r="DJ18" s="18"/>
      <c r="DK18" s="18"/>
      <c r="DL18" s="18"/>
      <c r="DM18" s="18"/>
      <c r="DN18" s="18"/>
      <c r="DO18" s="19">
        <f>DO17-DO16</f>
        <v>1.1306838868239337</v>
      </c>
      <c r="DP18" s="18"/>
      <c r="DQ18" s="18"/>
      <c r="DR18" s="18"/>
      <c r="DS18" s="18"/>
      <c r="DT18" s="18"/>
      <c r="DU18" s="18"/>
      <c r="DV18" s="18"/>
      <c r="DW18" s="18"/>
      <c r="DX18" s="18"/>
      <c r="DY18" s="18"/>
      <c r="DZ18" s="18"/>
      <c r="EA18" s="18"/>
      <c r="EB18" s="18"/>
      <c r="EC18" s="18"/>
    </row>
    <row r="19" spans="1:133">
      <c r="A19" s="35"/>
      <c r="G19" s="44"/>
      <c r="H19" s="26"/>
      <c r="I19" s="26"/>
      <c r="J19" s="26"/>
      <c r="K19" s="26"/>
      <c r="L19" s="26"/>
      <c r="M19" s="26"/>
      <c r="N19" s="26"/>
      <c r="O19" s="26"/>
      <c r="P19" s="26"/>
      <c r="Q19" s="26"/>
      <c r="R19" s="26"/>
      <c r="S19" s="26"/>
    </row>
    <row r="20" spans="1:133">
      <c r="A20" s="35"/>
      <c r="G20" s="44"/>
      <c r="H20" s="26"/>
      <c r="I20" s="26"/>
      <c r="J20" s="26"/>
      <c r="K20" s="26"/>
      <c r="L20" s="26"/>
      <c r="M20" s="26"/>
      <c r="N20" s="26"/>
      <c r="O20" s="26"/>
      <c r="P20" s="26"/>
      <c r="Q20" s="26"/>
      <c r="R20" s="26"/>
      <c r="S20" s="26"/>
    </row>
    <row r="21" spans="1:133" s="28" customFormat="1">
      <c r="G21" s="241" t="s">
        <v>407</v>
      </c>
      <c r="H21" s="29">
        <f>1.55+H16</f>
        <v>2.0344955595674175</v>
      </c>
      <c r="I21" s="29">
        <f t="shared" ref="I21:BA21" si="20">1.55+I16</f>
        <v>1.992721093333244</v>
      </c>
      <c r="J21" s="29">
        <f t="shared" si="20"/>
        <v>1.8836194202523198</v>
      </c>
      <c r="K21" s="29">
        <f t="shared" si="20"/>
        <v>1.8220036867742522</v>
      </c>
      <c r="L21" s="29">
        <f t="shared" si="20"/>
        <v>1.8596461520337326</v>
      </c>
      <c r="M21" s="29">
        <f t="shared" si="20"/>
        <v>1.9145131588140585</v>
      </c>
      <c r="N21" s="29">
        <f t="shared" si="20"/>
        <v>1.9296067720704262</v>
      </c>
      <c r="O21" s="29">
        <f t="shared" si="20"/>
        <v>1.9336607384765401</v>
      </c>
      <c r="P21" s="29">
        <f t="shared" si="20"/>
        <v>1.9398453714318724</v>
      </c>
      <c r="Q21" s="29">
        <f t="shared" si="20"/>
        <v>1.9366441008337034</v>
      </c>
      <c r="R21" s="29">
        <f t="shared" si="20"/>
        <v>1.9417309122267046</v>
      </c>
      <c r="S21" s="29">
        <f t="shared" si="20"/>
        <v>2.0008754680531853</v>
      </c>
      <c r="T21" s="29">
        <f t="shared" si="20"/>
        <v>2.0417489752079216</v>
      </c>
      <c r="U21" s="29">
        <f t="shared" si="20"/>
        <v>2.0638451648988139</v>
      </c>
      <c r="V21" s="29">
        <f t="shared" si="20"/>
        <v>2.071196960438924</v>
      </c>
      <c r="W21" s="29">
        <f t="shared" si="20"/>
        <v>2.091049241282215</v>
      </c>
      <c r="X21" s="29">
        <f t="shared" si="20"/>
        <v>2.115711257164715</v>
      </c>
      <c r="Y21" s="29">
        <f t="shared" si="20"/>
        <v>2.1523519644797937</v>
      </c>
      <c r="Z21" s="29">
        <f t="shared" si="20"/>
        <v>2.2048240406634316</v>
      </c>
      <c r="AA21" s="29">
        <f t="shared" si="20"/>
        <v>2.2176405525535401</v>
      </c>
      <c r="AB21" s="29">
        <f t="shared" si="20"/>
        <v>2.2316503428498713</v>
      </c>
      <c r="AC21" s="29">
        <f t="shared" si="20"/>
        <v>2.3006756945846818</v>
      </c>
      <c r="AD21" s="29">
        <f t="shared" si="20"/>
        <v>2.2794853629686687</v>
      </c>
      <c r="AE21" s="29">
        <f t="shared" si="20"/>
        <v>2.2059456581378019</v>
      </c>
      <c r="AF21" s="29">
        <f t="shared" si="20"/>
        <v>2.3520845821156624</v>
      </c>
      <c r="AG21" s="29">
        <f t="shared" si="20"/>
        <v>2.4664089868081289</v>
      </c>
      <c r="AH21" s="29">
        <f t="shared" si="20"/>
        <v>2.5469020283551256</v>
      </c>
      <c r="AI21" s="29">
        <f t="shared" si="20"/>
        <v>2.5007831697318381</v>
      </c>
      <c r="AJ21" s="29">
        <f t="shared" si="20"/>
        <v>2.4909617725652144</v>
      </c>
      <c r="AK21" s="29">
        <f t="shared" si="20"/>
        <v>2.4420085660144322</v>
      </c>
      <c r="AL21" s="29">
        <f t="shared" si="20"/>
        <v>2.4068720619063813</v>
      </c>
      <c r="AM21" s="29">
        <f t="shared" si="20"/>
        <v>2.3050894320179633</v>
      </c>
      <c r="AN21" s="29">
        <f t="shared" si="20"/>
        <v>2.231946060270543</v>
      </c>
      <c r="AO21" s="29">
        <f t="shared" si="20"/>
        <v>2.2535051476567567</v>
      </c>
      <c r="AP21" s="29">
        <f t="shared" si="20"/>
        <v>2.2808820900190327</v>
      </c>
      <c r="AQ21" s="29">
        <f t="shared" si="20"/>
        <v>2.2447257260136939</v>
      </c>
      <c r="AR21" s="29">
        <f t="shared" si="20"/>
        <v>2.2705642380216036</v>
      </c>
      <c r="AS21" s="29">
        <f t="shared" si="20"/>
        <v>2.258170966653541</v>
      </c>
      <c r="AT21" s="29">
        <f t="shared" si="20"/>
        <v>2.332154817246975</v>
      </c>
      <c r="AU21" s="29">
        <f t="shared" si="20"/>
        <v>2.3804586218877253</v>
      </c>
      <c r="AV21" s="29">
        <f t="shared" si="20"/>
        <v>2.2870566819423206</v>
      </c>
      <c r="AW21" s="29">
        <f t="shared" si="20"/>
        <v>2.1574787843684455</v>
      </c>
      <c r="AX21" s="29">
        <f t="shared" si="20"/>
        <v>2.1770160568733838</v>
      </c>
      <c r="AY21" s="29">
        <f t="shared" si="20"/>
        <v>2.2154695663922661</v>
      </c>
      <c r="AZ21" s="29">
        <f t="shared" si="20"/>
        <v>2.2293246189341693</v>
      </c>
      <c r="BA21" s="29">
        <f t="shared" si="20"/>
        <v>2.2474476326501498</v>
      </c>
      <c r="BB21" s="29">
        <f>1.18+BB16</f>
        <v>1.8943875247065689</v>
      </c>
      <c r="BC21" s="29">
        <f t="shared" ref="BC21:BY21" si="21">1.18+BC16</f>
        <v>1.88830177462432</v>
      </c>
      <c r="BD21" s="29">
        <f t="shared" si="21"/>
        <v>1.8956535701644301</v>
      </c>
      <c r="BE21" s="29">
        <f t="shared" si="21"/>
        <v>1.8962699421091349</v>
      </c>
      <c r="BF21" s="29">
        <f t="shared" si="21"/>
        <v>1.8896372878473167</v>
      </c>
      <c r="BG21" s="29">
        <f t="shared" si="21"/>
        <v>1.9235359436942017</v>
      </c>
      <c r="BH21" s="29">
        <f t="shared" si="21"/>
        <v>1.9717612382942999</v>
      </c>
      <c r="BI21" s="29">
        <f t="shared" si="21"/>
        <v>1.9374920548675361</v>
      </c>
      <c r="BJ21" s="29">
        <f t="shared" si="21"/>
        <v>1.914323234037909</v>
      </c>
      <c r="BK21" s="29">
        <f t="shared" si="21"/>
        <v>1.939888051170197</v>
      </c>
      <c r="BL21" s="29">
        <f t="shared" si="21"/>
        <v>1.9263276816103612</v>
      </c>
      <c r="BM21" s="29">
        <f t="shared" si="21"/>
        <v>1.9306123847021865</v>
      </c>
      <c r="BN21" s="29">
        <f t="shared" si="21"/>
        <v>1.9306595959557993</v>
      </c>
      <c r="BO21" s="29">
        <f t="shared" si="21"/>
        <v>1.9086396475700149</v>
      </c>
      <c r="BP21" s="29">
        <f t="shared" si="21"/>
        <v>1.9222121931825256</v>
      </c>
      <c r="BQ21" s="29">
        <f t="shared" si="21"/>
        <v>1.9101710556519564</v>
      </c>
      <c r="BR21" s="29">
        <f t="shared" si="21"/>
        <v>1.8987782288504553</v>
      </c>
      <c r="BS21" s="29">
        <f t="shared" si="21"/>
        <v>1.8852089833425325</v>
      </c>
      <c r="BT21" s="29">
        <f t="shared" si="21"/>
        <v>1.9139660848647442</v>
      </c>
      <c r="BU21" s="29">
        <f t="shared" si="21"/>
        <v>1.9093532600315961</v>
      </c>
      <c r="BV21" s="29">
        <f t="shared" si="21"/>
        <v>1.9286046203038136</v>
      </c>
      <c r="BW21" s="29">
        <f t="shared" si="21"/>
        <v>1.9594459757600515</v>
      </c>
      <c r="BX21" s="29">
        <f t="shared" si="21"/>
        <v>1.9604642231284282</v>
      </c>
      <c r="BY21" s="29">
        <f t="shared" si="21"/>
        <v>1.9921359286086511</v>
      </c>
      <c r="BZ21" s="29">
        <f>1.08+BZ16</f>
        <v>1.8978601853111838</v>
      </c>
      <c r="CA21" s="29">
        <f t="shared" ref="CA21:EC21" si="22">1.08+CA16</f>
        <v>1.919904060107692</v>
      </c>
      <c r="CB21" s="29">
        <f t="shared" si="22"/>
        <v>1.9188997974523998</v>
      </c>
      <c r="CC21" s="29">
        <f t="shared" si="22"/>
        <v>1.9121135246461445</v>
      </c>
      <c r="CD21" s="29">
        <f t="shared" si="22"/>
        <v>1.8993893201712686</v>
      </c>
      <c r="CE21" s="29">
        <f t="shared" si="22"/>
        <v>1.9100679638904365</v>
      </c>
      <c r="CF21" s="29">
        <f t="shared" si="22"/>
        <v>1.9095192774332985</v>
      </c>
      <c r="CG21" s="29">
        <f t="shared" si="22"/>
        <v>1.911639787655081</v>
      </c>
      <c r="CH21" s="29">
        <f t="shared" si="22"/>
        <v>1.9384155087757509</v>
      </c>
      <c r="CI21" s="29">
        <f t="shared" si="22"/>
        <v>1.930856688063971</v>
      </c>
      <c r="CJ21" s="29">
        <f t="shared" si="22"/>
        <v>1.9261047835867804</v>
      </c>
      <c r="CK21" s="29">
        <f t="shared" si="22"/>
        <v>1.9241771559315932</v>
      </c>
      <c r="CL21" s="29">
        <f t="shared" si="22"/>
        <v>1.9184322514831327</v>
      </c>
      <c r="CM21" s="29">
        <f t="shared" si="22"/>
        <v>1.9123797872050263</v>
      </c>
      <c r="CN21" s="29">
        <f t="shared" si="22"/>
        <v>1.9119005850002893</v>
      </c>
      <c r="CO21" s="29">
        <f t="shared" si="22"/>
        <v>1.9141626759357075</v>
      </c>
      <c r="CP21" s="29">
        <f t="shared" si="22"/>
        <v>1.922645516943527</v>
      </c>
      <c r="CQ21" s="29">
        <f t="shared" si="22"/>
        <v>1.9220710710663023</v>
      </c>
      <c r="CR21" s="29">
        <f t="shared" si="22"/>
        <v>1.9051899970900776</v>
      </c>
      <c r="CS21" s="29">
        <f t="shared" si="22"/>
        <v>1.8920726214816241</v>
      </c>
      <c r="CT21" s="29">
        <f t="shared" si="22"/>
        <v>1.9216623621803497</v>
      </c>
      <c r="CU21" s="29">
        <f t="shared" si="22"/>
        <v>1.908632566006172</v>
      </c>
      <c r="CV21" s="29">
        <f t="shared" si="22"/>
        <v>1.9034518772477398</v>
      </c>
      <c r="CW21" s="29">
        <f t="shared" si="22"/>
        <v>1.8995465584789222</v>
      </c>
      <c r="CX21" s="29">
        <f t="shared" si="22"/>
        <v>1.8819819293784521</v>
      </c>
      <c r="CY21" s="29">
        <f t="shared" si="22"/>
        <v>1.9084269311956854</v>
      </c>
      <c r="CZ21" s="29">
        <f t="shared" si="22"/>
        <v>1.9129396853644951</v>
      </c>
      <c r="DA21" s="29">
        <f t="shared" si="22"/>
        <v>1.8994357468260139</v>
      </c>
      <c r="DB21" s="29">
        <f t="shared" si="22"/>
        <v>1.9039713727504441</v>
      </c>
      <c r="DC21" s="29">
        <f t="shared" si="22"/>
        <v>1.8888000526225235</v>
      </c>
      <c r="DD21" s="29">
        <f t="shared" si="22"/>
        <v>1.8633515295990657</v>
      </c>
      <c r="DE21" s="29">
        <f t="shared" si="22"/>
        <v>1.8632906693147449</v>
      </c>
      <c r="DF21" s="29">
        <f t="shared" si="22"/>
        <v>1.8581193891794729</v>
      </c>
      <c r="DG21" s="29">
        <f t="shared" si="22"/>
        <v>1.8855153661128889</v>
      </c>
      <c r="DH21" s="29">
        <f t="shared" si="22"/>
        <v>1.8337218463672533</v>
      </c>
      <c r="DI21" s="29">
        <f t="shared" si="22"/>
        <v>1.831459755431835</v>
      </c>
      <c r="DJ21" s="29">
        <f t="shared" si="22"/>
        <v>1.829187403195776</v>
      </c>
      <c r="DK21" s="29">
        <f t="shared" si="22"/>
        <v>1.838760268865558</v>
      </c>
      <c r="DL21" s="29">
        <f t="shared" si="22"/>
        <v>1.8181153935104168</v>
      </c>
      <c r="DM21" s="29">
        <f t="shared" si="22"/>
        <v>1.8294910389584236</v>
      </c>
      <c r="DN21" s="29">
        <f t="shared" si="22"/>
        <v>1.82063272701782</v>
      </c>
      <c r="DO21" s="29">
        <f t="shared" si="22"/>
        <v>1.8302684941284473</v>
      </c>
      <c r="DP21" s="29">
        <f t="shared" si="22"/>
        <v>1.8316540905698555</v>
      </c>
      <c r="DQ21" s="29">
        <f t="shared" si="22"/>
        <v>1.8355175094352956</v>
      </c>
      <c r="DR21" s="29">
        <f t="shared" si="22"/>
        <v>1.8261951376608176</v>
      </c>
      <c r="DS21" s="29">
        <f t="shared" si="22"/>
        <v>1.08</v>
      </c>
      <c r="DT21" s="29">
        <f t="shared" si="22"/>
        <v>1.08</v>
      </c>
      <c r="DU21" s="29">
        <f t="shared" si="22"/>
        <v>1.08</v>
      </c>
      <c r="DV21" s="29">
        <f t="shared" si="22"/>
        <v>1.08</v>
      </c>
      <c r="DW21" s="29">
        <f t="shared" si="22"/>
        <v>1.08</v>
      </c>
      <c r="DX21" s="29">
        <f t="shared" si="22"/>
        <v>1.08</v>
      </c>
      <c r="DY21" s="29">
        <f t="shared" si="22"/>
        <v>1.08</v>
      </c>
      <c r="DZ21" s="29">
        <f t="shared" si="22"/>
        <v>1.08</v>
      </c>
      <c r="EA21" s="29">
        <f t="shared" si="22"/>
        <v>1.08</v>
      </c>
      <c r="EB21" s="29">
        <f t="shared" si="22"/>
        <v>1.08</v>
      </c>
      <c r="EC21" s="29">
        <f t="shared" si="22"/>
        <v>1.08</v>
      </c>
    </row>
    <row r="25" spans="1:133">
      <c r="E25" s="20">
        <f>D26/1000</f>
        <v>0.15448603683897805</v>
      </c>
    </row>
    <row r="26" spans="1:133" ht="15">
      <c r="A26" s="53" t="s">
        <v>609</v>
      </c>
      <c r="B26" s="8">
        <v>1300</v>
      </c>
      <c r="C26" s="20">
        <f>B26/$B$30</f>
        <v>0.15448603683897802</v>
      </c>
      <c r="D26" s="47">
        <f>B26/$D$30</f>
        <v>154.48603683897804</v>
      </c>
    </row>
    <row r="27" spans="1:133">
      <c r="A27" s="52" t="s">
        <v>590</v>
      </c>
      <c r="B27" s="8">
        <v>1300</v>
      </c>
      <c r="C27" s="20">
        <f>B27/$B$30</f>
        <v>0.15448603683897802</v>
      </c>
      <c r="D27" s="47">
        <f>B27/$D$30</f>
        <v>154.48603683897804</v>
      </c>
    </row>
    <row r="28" spans="1:133">
      <c r="A28" s="52" t="s">
        <v>610</v>
      </c>
      <c r="B28" s="8">
        <v>5200</v>
      </c>
      <c r="C28" s="20">
        <f>B28/$B$30</f>
        <v>0.61794414735591208</v>
      </c>
      <c r="D28" s="47">
        <f>B28/$D$30</f>
        <v>617.94414735591215</v>
      </c>
    </row>
    <row r="29" spans="1:133">
      <c r="A29" s="52" t="s">
        <v>611</v>
      </c>
      <c r="B29" s="8">
        <v>615</v>
      </c>
      <c r="C29" s="20">
        <f>B29/$B$30</f>
        <v>7.3083778966131913E-2</v>
      </c>
      <c r="D29" s="47">
        <f>B29/$D$30</f>
        <v>73.083778966131916</v>
      </c>
    </row>
    <row r="30" spans="1:133">
      <c r="B30" s="8">
        <f>SUM(B26:B29)</f>
        <v>8415</v>
      </c>
      <c r="D30" s="8">
        <f>B30/1000</f>
        <v>8.4149999999999991</v>
      </c>
    </row>
    <row r="31" spans="1:133">
      <c r="D31" s="20">
        <f>D30*C26</f>
        <v>1.2999999999999998</v>
      </c>
    </row>
  </sheetData>
  <phoneticPr fontId="52" type="noConversion"/>
  <hyperlinks>
    <hyperlink ref="I2" location="'DKL WAP'!A1" display="'DKL WAP'!A1" xr:uid="{00000000-0004-0000-2000-000000000000}"/>
  </hyperlink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2"/>
  <dimension ref="A1:EW30"/>
  <sheetViews>
    <sheetView workbookViewId="0">
      <pane xSplit="10" ySplit="3" topLeftCell="DS4" activePane="bottomRight" state="frozen"/>
      <selection pane="topRight" activeCell="K1" sqref="K1"/>
      <selection pane="bottomLeft" activeCell="A4" sqref="A4"/>
      <selection pane="bottomRight" activeCell="AT17" sqref="AT17:DY17"/>
    </sheetView>
  </sheetViews>
  <sheetFormatPr baseColWidth="10" defaultColWidth="32.83203125" defaultRowHeight="12"/>
  <cols>
    <col min="1" max="1" width="19.1640625" style="60" bestFit="1" customWidth="1"/>
    <col min="2" max="2" width="19.5" style="60" bestFit="1" customWidth="1"/>
    <col min="3" max="3" width="6.5" style="60" bestFit="1" customWidth="1"/>
    <col min="4" max="4" width="12.5" style="60" bestFit="1" customWidth="1"/>
    <col min="5" max="5" width="12.1640625" style="60" bestFit="1" customWidth="1"/>
    <col min="6" max="6" width="20.5" style="60" bestFit="1" customWidth="1"/>
    <col min="7" max="7" width="16.5" style="60" bestFit="1" customWidth="1"/>
    <col min="8" max="8" width="5.33203125" style="60" bestFit="1" customWidth="1"/>
    <col min="9" max="9" width="5.5" style="60" bestFit="1" customWidth="1"/>
    <col min="10" max="10" width="5.83203125" style="60" bestFit="1" customWidth="1"/>
    <col min="11" max="11" width="5.5" style="60" bestFit="1" customWidth="1"/>
    <col min="12" max="12" width="6.1640625" style="60" bestFit="1" customWidth="1"/>
    <col min="13" max="13" width="5.5" style="60" bestFit="1" customWidth="1"/>
    <col min="14" max="14" width="4.83203125" style="60" bestFit="1" customWidth="1"/>
    <col min="15" max="15" width="5.6640625" style="60" bestFit="1" customWidth="1"/>
    <col min="16" max="17" width="5.5" style="60" bestFit="1" customWidth="1"/>
    <col min="18" max="18" width="5.83203125" style="60" bestFit="1" customWidth="1"/>
    <col min="19" max="19" width="5.5" style="60" bestFit="1" customWidth="1"/>
    <col min="20" max="20" width="5.33203125" style="60" bestFit="1" customWidth="1"/>
    <col min="21" max="21" width="5.5" style="60" bestFit="1" customWidth="1"/>
    <col min="22" max="22" width="5.83203125" style="60" bestFit="1" customWidth="1"/>
    <col min="23" max="23" width="5.5" style="60" bestFit="1" customWidth="1"/>
    <col min="24" max="24" width="6.1640625" style="60" bestFit="1" customWidth="1"/>
    <col min="25" max="25" width="5.5" style="60" bestFit="1" customWidth="1"/>
    <col min="26" max="26" width="4.83203125" style="60" bestFit="1" customWidth="1"/>
    <col min="27" max="27" width="5.6640625" style="60" bestFit="1" customWidth="1"/>
    <col min="28" max="29" width="5.5" style="60" bestFit="1" customWidth="1"/>
    <col min="30" max="30" width="5.83203125" style="60" bestFit="1" customWidth="1"/>
    <col min="31" max="31" width="5.5" style="60" bestFit="1" customWidth="1"/>
    <col min="32" max="32" width="5.33203125" style="60" bestFit="1" customWidth="1"/>
    <col min="33" max="33" width="5.5" style="60" bestFit="1" customWidth="1"/>
    <col min="34" max="34" width="5.83203125" style="60" bestFit="1" customWidth="1"/>
    <col min="35" max="35" width="5.5" style="60" bestFit="1" customWidth="1"/>
    <col min="36" max="36" width="6.1640625" style="60" bestFit="1" customWidth="1"/>
    <col min="37" max="37" width="5.5" style="60" bestFit="1" customWidth="1"/>
    <col min="38" max="38" width="4.83203125" style="60" bestFit="1" customWidth="1"/>
    <col min="39" max="39" width="5.6640625" style="60" bestFit="1" customWidth="1"/>
    <col min="40" max="41" width="5.5" style="60" bestFit="1" customWidth="1"/>
    <col min="42" max="42" width="5.83203125" style="60" bestFit="1" customWidth="1"/>
    <col min="43" max="43" width="5.5" style="60" bestFit="1" customWidth="1"/>
    <col min="44" max="44" width="5.33203125" style="60" bestFit="1" customWidth="1"/>
    <col min="45" max="45" width="5.5" style="60" bestFit="1" customWidth="1"/>
    <col min="46" max="46" width="5.83203125" style="60" bestFit="1" customWidth="1"/>
    <col min="47" max="47" width="5.5" style="60" bestFit="1" customWidth="1"/>
    <col min="48" max="48" width="6.1640625" style="60" bestFit="1" customWidth="1"/>
    <col min="49" max="49" width="5.5" style="60" bestFit="1" customWidth="1"/>
    <col min="50" max="50" width="4.83203125" style="60" bestFit="1" customWidth="1"/>
    <col min="51" max="52" width="7.1640625" style="60" bestFit="1" customWidth="1"/>
    <col min="53" max="53" width="6.6640625" style="60" bestFit="1" customWidth="1"/>
    <col min="54" max="55" width="5.6640625" style="60" bestFit="1" customWidth="1"/>
    <col min="56" max="57" width="4.33203125" style="60" bestFit="1" customWidth="1"/>
    <col min="58" max="61" width="6.33203125" style="60" bestFit="1" customWidth="1"/>
    <col min="62" max="65" width="6.1640625" style="60" bestFit="1" customWidth="1"/>
    <col min="66" max="69" width="5.6640625" style="60" bestFit="1" customWidth="1"/>
    <col min="70" max="73" width="5.5" style="60" bestFit="1" customWidth="1"/>
    <col min="74" max="77" width="5.1640625" style="60" bestFit="1" customWidth="1"/>
    <col min="78" max="81" width="5.5" style="60" bestFit="1" customWidth="1"/>
    <col min="82" max="82" width="6.1640625" style="60" bestFit="1" customWidth="1"/>
    <col min="83" max="85" width="5.6640625" style="60" bestFit="1" customWidth="1"/>
    <col min="86" max="89" width="5.5" style="60" bestFit="1" customWidth="1"/>
    <col min="90" max="94" width="6.33203125" style="60" bestFit="1" customWidth="1"/>
    <col min="95" max="98" width="6.1640625" style="60" bestFit="1" customWidth="1"/>
    <col min="99" max="99" width="5.1640625" style="60" bestFit="1" customWidth="1"/>
    <col min="100" max="102" width="6" style="60" bestFit="1" customWidth="1"/>
    <col min="103" max="106" width="5.83203125" style="60" bestFit="1" customWidth="1"/>
    <col min="107" max="114" width="5.6640625" style="60" bestFit="1" customWidth="1"/>
    <col min="115" max="118" width="6.1640625" style="60" bestFit="1" customWidth="1"/>
    <col min="119" max="122" width="5.83203125" style="60" bestFit="1" customWidth="1"/>
    <col min="123" max="129" width="5.1640625" style="60" bestFit="1" customWidth="1"/>
    <col min="130" max="153" width="3.33203125" style="60" bestFit="1" customWidth="1"/>
    <col min="154" max="16384" width="32.83203125" style="60"/>
  </cols>
  <sheetData>
    <row r="1" spans="1:153">
      <c r="A1" s="59" t="s">
        <v>377</v>
      </c>
      <c r="B1" s="59" t="s">
        <v>378</v>
      </c>
      <c r="C1" s="59" t="s">
        <v>379</v>
      </c>
      <c r="D1" s="59" t="s">
        <v>380</v>
      </c>
      <c r="E1" s="59" t="s">
        <v>381</v>
      </c>
      <c r="F1" s="59" t="s">
        <v>33</v>
      </c>
      <c r="H1" s="61">
        <v>6</v>
      </c>
      <c r="I1" s="61">
        <v>7</v>
      </c>
      <c r="J1" s="61">
        <v>8</v>
      </c>
      <c r="K1" s="61">
        <v>9</v>
      </c>
      <c r="L1" s="61">
        <v>10</v>
      </c>
      <c r="M1" s="61">
        <v>11</v>
      </c>
      <c r="N1" s="61">
        <v>12</v>
      </c>
      <c r="O1" s="61">
        <v>13</v>
      </c>
      <c r="P1" s="61">
        <v>14</v>
      </c>
      <c r="Q1" s="61">
        <v>15</v>
      </c>
      <c r="R1" s="61">
        <v>16</v>
      </c>
      <c r="S1" s="61">
        <v>17</v>
      </c>
      <c r="T1" s="61">
        <v>18</v>
      </c>
      <c r="U1" s="61">
        <v>19</v>
      </c>
      <c r="V1" s="61">
        <v>20</v>
      </c>
      <c r="W1" s="61">
        <v>21</v>
      </c>
      <c r="X1" s="61">
        <v>22</v>
      </c>
      <c r="Y1" s="61">
        <v>23</v>
      </c>
      <c r="Z1" s="61">
        <v>24</v>
      </c>
      <c r="AA1" s="61">
        <v>25</v>
      </c>
      <c r="AB1" s="61">
        <v>26</v>
      </c>
      <c r="AC1" s="61">
        <v>27</v>
      </c>
      <c r="AD1" s="61">
        <v>28</v>
      </c>
      <c r="AE1" s="61">
        <v>29</v>
      </c>
      <c r="AF1" s="61">
        <v>30</v>
      </c>
      <c r="AG1" s="61">
        <v>31</v>
      </c>
      <c r="AH1" s="61">
        <v>32</v>
      </c>
      <c r="AI1" s="61">
        <v>33</v>
      </c>
      <c r="AJ1" s="61">
        <v>34</v>
      </c>
      <c r="AK1" s="61">
        <v>35</v>
      </c>
      <c r="AL1" s="61">
        <v>36</v>
      </c>
      <c r="AM1" s="61">
        <v>37</v>
      </c>
      <c r="AN1" s="61">
        <v>38</v>
      </c>
      <c r="AO1" s="61">
        <v>39</v>
      </c>
      <c r="AP1" s="61">
        <v>40</v>
      </c>
      <c r="AQ1" s="61">
        <v>41</v>
      </c>
      <c r="AR1" s="61">
        <v>42</v>
      </c>
      <c r="AS1" s="61">
        <v>43</v>
      </c>
      <c r="AT1" s="61">
        <v>44</v>
      </c>
      <c r="AU1" s="61">
        <v>45</v>
      </c>
      <c r="AV1" s="61">
        <v>46</v>
      </c>
      <c r="AW1" s="61">
        <v>47</v>
      </c>
      <c r="AX1" s="61">
        <v>48</v>
      </c>
      <c r="AY1" s="61">
        <v>49</v>
      </c>
      <c r="AZ1" s="61">
        <v>50</v>
      </c>
      <c r="BA1" s="61">
        <v>51</v>
      </c>
      <c r="BB1" s="61">
        <v>52</v>
      </c>
      <c r="BC1" s="61">
        <v>53</v>
      </c>
      <c r="BD1" s="61">
        <v>54</v>
      </c>
      <c r="BE1" s="61">
        <v>55</v>
      </c>
      <c r="BF1" s="61">
        <v>56</v>
      </c>
      <c r="BG1" s="61">
        <v>57</v>
      </c>
      <c r="BH1" s="61">
        <v>58</v>
      </c>
      <c r="BI1" s="61">
        <v>59</v>
      </c>
      <c r="BJ1" s="61">
        <v>60</v>
      </c>
      <c r="BK1" s="61">
        <v>61</v>
      </c>
      <c r="BL1" s="61">
        <v>62</v>
      </c>
      <c r="BM1" s="61">
        <v>63</v>
      </c>
      <c r="BN1" s="61">
        <v>64</v>
      </c>
      <c r="BO1" s="61">
        <v>65</v>
      </c>
      <c r="BP1" s="61">
        <v>66</v>
      </c>
      <c r="BQ1" s="61">
        <v>67</v>
      </c>
      <c r="BR1" s="61">
        <v>68</v>
      </c>
      <c r="BS1" s="61">
        <v>69</v>
      </c>
      <c r="BT1" s="61">
        <v>70</v>
      </c>
      <c r="BU1" s="61">
        <v>71</v>
      </c>
      <c r="BV1" s="61">
        <v>72</v>
      </c>
      <c r="BW1" s="61">
        <v>73</v>
      </c>
      <c r="BX1" s="61">
        <v>74</v>
      </c>
      <c r="BY1" s="61">
        <v>75</v>
      </c>
      <c r="BZ1" s="61">
        <v>76</v>
      </c>
      <c r="CA1" s="61">
        <v>77</v>
      </c>
      <c r="CB1" s="61">
        <v>78</v>
      </c>
      <c r="CC1" s="61">
        <v>79</v>
      </c>
      <c r="CD1" s="61">
        <v>80</v>
      </c>
      <c r="CE1" s="61">
        <v>81</v>
      </c>
      <c r="CF1" s="61">
        <v>82</v>
      </c>
      <c r="CG1" s="61">
        <v>83</v>
      </c>
      <c r="CH1" s="61">
        <v>84</v>
      </c>
      <c r="CI1" s="61">
        <v>85</v>
      </c>
      <c r="CJ1" s="61">
        <v>86</v>
      </c>
      <c r="CK1" s="61">
        <v>87</v>
      </c>
      <c r="CL1" s="61">
        <v>88</v>
      </c>
      <c r="CM1" s="61">
        <v>89</v>
      </c>
      <c r="CN1" s="61">
        <v>90</v>
      </c>
      <c r="CO1" s="61">
        <v>91</v>
      </c>
      <c r="CP1" s="61">
        <v>92</v>
      </c>
      <c r="CQ1" s="61">
        <v>93</v>
      </c>
      <c r="CR1" s="61">
        <v>94</v>
      </c>
      <c r="CS1" s="61">
        <v>95</v>
      </c>
      <c r="CT1" s="61">
        <v>96</v>
      </c>
      <c r="CU1" s="61">
        <v>97</v>
      </c>
      <c r="CV1" s="61">
        <v>98</v>
      </c>
      <c r="CW1" s="61">
        <v>99</v>
      </c>
      <c r="CX1" s="61">
        <v>100</v>
      </c>
      <c r="CY1" s="61">
        <v>101</v>
      </c>
      <c r="CZ1" s="61">
        <v>102</v>
      </c>
      <c r="DA1" s="61">
        <v>103</v>
      </c>
      <c r="DB1" s="61">
        <v>104</v>
      </c>
      <c r="DC1" s="61">
        <v>105</v>
      </c>
      <c r="DD1" s="61">
        <v>106</v>
      </c>
      <c r="DE1" s="61">
        <v>107</v>
      </c>
      <c r="DF1" s="61">
        <v>108</v>
      </c>
      <c r="DG1" s="61">
        <v>109</v>
      </c>
      <c r="DH1" s="61">
        <v>110</v>
      </c>
      <c r="DI1" s="61">
        <v>111</v>
      </c>
      <c r="DJ1" s="61">
        <v>112</v>
      </c>
      <c r="DK1" s="61">
        <v>113</v>
      </c>
      <c r="DL1" s="61">
        <v>114</v>
      </c>
      <c r="DM1" s="61">
        <v>115</v>
      </c>
      <c r="DN1" s="61">
        <v>116</v>
      </c>
      <c r="DO1" s="61">
        <v>117</v>
      </c>
      <c r="DP1" s="61">
        <v>118</v>
      </c>
      <c r="DQ1" s="61">
        <v>119</v>
      </c>
      <c r="DR1" s="61">
        <v>120</v>
      </c>
      <c r="DS1" s="61">
        <v>121</v>
      </c>
      <c r="DT1" s="61">
        <v>122</v>
      </c>
      <c r="DU1" s="61">
        <v>123</v>
      </c>
      <c r="DV1" s="61">
        <v>124</v>
      </c>
      <c r="DW1" s="61">
        <v>125</v>
      </c>
      <c r="DX1" s="61">
        <v>126</v>
      </c>
      <c r="DY1" s="61">
        <v>127</v>
      </c>
      <c r="DZ1" s="61">
        <v>128</v>
      </c>
      <c r="EA1" s="61">
        <v>129</v>
      </c>
      <c r="EB1" s="61">
        <v>130</v>
      </c>
      <c r="EC1" s="61">
        <v>131</v>
      </c>
      <c r="ED1" s="61">
        <v>132</v>
      </c>
      <c r="EE1" s="61">
        <v>133</v>
      </c>
      <c r="EF1" s="61">
        <v>134</v>
      </c>
      <c r="EG1" s="61">
        <v>135</v>
      </c>
      <c r="EH1" s="61">
        <v>136</v>
      </c>
      <c r="EI1" s="61">
        <v>137</v>
      </c>
      <c r="EJ1" s="61">
        <v>138</v>
      </c>
      <c r="EK1" s="61">
        <v>139</v>
      </c>
      <c r="EL1" s="61">
        <v>140</v>
      </c>
      <c r="EM1" s="61">
        <v>141</v>
      </c>
      <c r="EN1" s="61">
        <v>142</v>
      </c>
      <c r="EO1" s="61">
        <v>143</v>
      </c>
      <c r="EP1" s="61">
        <v>144</v>
      </c>
      <c r="EQ1" s="61">
        <v>145</v>
      </c>
      <c r="ER1" s="61">
        <v>146</v>
      </c>
      <c r="ES1" s="61">
        <v>147</v>
      </c>
      <c r="ET1" s="61">
        <v>148</v>
      </c>
      <c r="EU1" s="61">
        <v>149</v>
      </c>
      <c r="EV1" s="61">
        <v>150</v>
      </c>
      <c r="EW1" s="61">
        <v>151</v>
      </c>
    </row>
    <row r="2" spans="1:153" ht="13">
      <c r="A2" s="62" t="s">
        <v>614</v>
      </c>
      <c r="B2" s="63" t="s">
        <v>615</v>
      </c>
      <c r="C2" s="60">
        <v>1</v>
      </c>
      <c r="D2" s="65">
        <v>219.28</v>
      </c>
    </row>
    <row r="3" spans="1:153" ht="30">
      <c r="A3" s="63"/>
      <c r="B3" s="66"/>
      <c r="D3" s="64"/>
      <c r="H3" s="69">
        <v>43831</v>
      </c>
      <c r="I3" s="69">
        <v>43862</v>
      </c>
      <c r="J3" s="69">
        <v>43891</v>
      </c>
      <c r="K3" s="69">
        <v>43922</v>
      </c>
      <c r="L3" s="69">
        <v>43952</v>
      </c>
      <c r="M3" s="69">
        <v>43983</v>
      </c>
      <c r="N3" s="69">
        <v>44013</v>
      </c>
      <c r="O3" s="69">
        <v>44044</v>
      </c>
      <c r="P3" s="69">
        <v>44075</v>
      </c>
      <c r="Q3" s="69">
        <v>44105</v>
      </c>
      <c r="R3" s="69">
        <v>44136</v>
      </c>
      <c r="S3" s="69">
        <v>44166</v>
      </c>
      <c r="T3" s="69">
        <v>44197</v>
      </c>
      <c r="U3" s="69">
        <v>44228</v>
      </c>
      <c r="V3" s="69">
        <v>44256</v>
      </c>
      <c r="W3" s="69">
        <v>44287</v>
      </c>
      <c r="X3" s="69">
        <v>44317</v>
      </c>
      <c r="Y3" s="69">
        <v>44348</v>
      </c>
      <c r="Z3" s="69">
        <v>44378</v>
      </c>
      <c r="AA3" s="69">
        <v>44409</v>
      </c>
      <c r="AB3" s="69">
        <v>44440</v>
      </c>
      <c r="AC3" s="69">
        <v>44470</v>
      </c>
      <c r="AD3" s="69">
        <v>44501</v>
      </c>
      <c r="AE3" s="69">
        <v>44531</v>
      </c>
      <c r="AF3" s="69">
        <v>44562</v>
      </c>
      <c r="AG3" s="69">
        <v>44593</v>
      </c>
      <c r="AH3" s="69">
        <v>44621</v>
      </c>
      <c r="AI3" s="69">
        <v>44652</v>
      </c>
      <c r="AJ3" s="69">
        <v>44682</v>
      </c>
      <c r="AK3" s="69">
        <v>44713</v>
      </c>
      <c r="AL3" s="69">
        <v>44743</v>
      </c>
      <c r="AM3" s="69">
        <v>44774</v>
      </c>
      <c r="AN3" s="69">
        <v>44805</v>
      </c>
      <c r="AO3" s="69">
        <v>44835</v>
      </c>
      <c r="AP3" s="69">
        <v>44866</v>
      </c>
      <c r="AQ3" s="69">
        <v>44896</v>
      </c>
      <c r="AR3" s="69">
        <v>44927</v>
      </c>
      <c r="AS3" s="69">
        <v>44958</v>
      </c>
      <c r="AT3" s="69">
        <v>44986</v>
      </c>
      <c r="AU3" s="69">
        <v>45017</v>
      </c>
      <c r="AV3" s="69">
        <v>45047</v>
      </c>
      <c r="AW3" s="69">
        <v>45078</v>
      </c>
      <c r="AX3" s="69">
        <v>45108</v>
      </c>
      <c r="AY3" s="69" t="s">
        <v>530</v>
      </c>
      <c r="AZ3" s="69" t="s">
        <v>531</v>
      </c>
      <c r="BA3" s="69" t="s">
        <v>554</v>
      </c>
      <c r="BB3" s="69">
        <v>37104</v>
      </c>
      <c r="BC3" s="69">
        <v>37469</v>
      </c>
      <c r="BD3" s="34" t="s">
        <v>168</v>
      </c>
      <c r="BE3" s="34" t="s">
        <v>169</v>
      </c>
      <c r="BF3" s="69" t="s">
        <v>393</v>
      </c>
      <c r="BG3" s="69" t="s">
        <v>458</v>
      </c>
      <c r="BH3" s="69" t="s">
        <v>459</v>
      </c>
      <c r="BI3" s="69" t="s">
        <v>460</v>
      </c>
      <c r="BJ3" s="69" t="s">
        <v>461</v>
      </c>
      <c r="BK3" s="69" t="s">
        <v>462</v>
      </c>
      <c r="BL3" s="69" t="s">
        <v>463</v>
      </c>
      <c r="BM3" s="69" t="s">
        <v>464</v>
      </c>
      <c r="BN3" s="59">
        <v>37196</v>
      </c>
      <c r="BO3" s="59">
        <v>37561</v>
      </c>
      <c r="BP3" s="59">
        <v>37926</v>
      </c>
      <c r="BQ3" s="59">
        <v>38292</v>
      </c>
      <c r="BR3" s="59">
        <v>37226</v>
      </c>
      <c r="BS3" s="59">
        <v>37591</v>
      </c>
      <c r="BT3" s="59">
        <v>37956</v>
      </c>
      <c r="BU3" s="59">
        <v>38322</v>
      </c>
      <c r="BV3" s="59">
        <v>36892</v>
      </c>
      <c r="BW3" s="59">
        <v>37257</v>
      </c>
      <c r="BX3" s="59">
        <v>37622</v>
      </c>
      <c r="BY3" s="59">
        <v>37987</v>
      </c>
      <c r="BZ3" s="59">
        <v>36923</v>
      </c>
      <c r="CA3" s="59">
        <v>37288</v>
      </c>
      <c r="CB3" s="59">
        <v>37653</v>
      </c>
      <c r="CC3" s="59">
        <v>38018</v>
      </c>
      <c r="CD3" s="59" t="str">
        <f>Sheet8!A15</f>
        <v>Mar-w1</v>
      </c>
      <c r="CE3" s="59">
        <v>37316</v>
      </c>
      <c r="CF3" s="59">
        <v>37681</v>
      </c>
      <c r="CG3" s="59">
        <v>38047</v>
      </c>
      <c r="CH3" s="59" t="str">
        <f>Sheet8!E15</f>
        <v>Apr-w1</v>
      </c>
      <c r="CI3" s="59" t="str">
        <f>Sheet8!F15</f>
        <v>Apr-w2</v>
      </c>
      <c r="CJ3" s="59" t="str">
        <f>Sheet8!G15</f>
        <v>Apr-w3</v>
      </c>
      <c r="CK3" s="59" t="str">
        <f>Sheet8!H15</f>
        <v>Apr-w4</v>
      </c>
      <c r="CL3" s="59" t="str">
        <f>Sheet8!I15</f>
        <v>May-w1</v>
      </c>
      <c r="CM3" s="59" t="str">
        <f>Sheet8!J15</f>
        <v>May-w2</v>
      </c>
      <c r="CN3" s="59" t="str">
        <f>Sheet8!K15</f>
        <v>May-w3</v>
      </c>
      <c r="CO3" s="59" t="str">
        <f>Sheet8!L15</f>
        <v>May-w4</v>
      </c>
      <c r="CP3" s="59" t="str">
        <f>Sheet8!M15</f>
        <v>May-w5</v>
      </c>
      <c r="CQ3" s="59" t="str">
        <f>Sheet8!N15</f>
        <v>june-w1</v>
      </c>
      <c r="CR3" s="59" t="str">
        <f>Sheet8!O15</f>
        <v>june-w2</v>
      </c>
      <c r="CS3" s="59" t="str">
        <f>Sheet8!P15</f>
        <v>june-w3</v>
      </c>
      <c r="CT3" s="59" t="str">
        <f>Sheet8!Q15</f>
        <v>june-w4</v>
      </c>
      <c r="CU3" s="59" t="str">
        <f>Sheet8!R15</f>
        <v>Jul-w1</v>
      </c>
      <c r="CV3" s="59" t="str">
        <f>Sheet8!S15</f>
        <v>Jul-w2</v>
      </c>
      <c r="CW3" s="59" t="str">
        <f>Sheet8!T15</f>
        <v>Jul-w3</v>
      </c>
      <c r="CX3" s="59" t="str">
        <f>Sheet8!U15</f>
        <v>Jul-w4</v>
      </c>
      <c r="CY3" s="59" t="str">
        <f>Sheet8!V15</f>
        <v>Aug-w1</v>
      </c>
      <c r="CZ3" s="59" t="str">
        <f>Sheet8!W15</f>
        <v>Aug-w2</v>
      </c>
      <c r="DA3" s="59" t="str">
        <f>Sheet8!X15</f>
        <v>Aug-w3</v>
      </c>
      <c r="DB3" s="59" t="str">
        <f>Sheet8!Y15</f>
        <v>Aug-w4</v>
      </c>
      <c r="DC3" s="59" t="str">
        <f>Sheet8!Z15</f>
        <v>Sep-w1</v>
      </c>
      <c r="DD3" s="59" t="str">
        <f>Sheet8!AA15</f>
        <v>Sep-w2</v>
      </c>
      <c r="DE3" s="59" t="str">
        <f>Sheet8!AB15</f>
        <v>Sep-w3</v>
      </c>
      <c r="DF3" s="59" t="str">
        <f>Sheet8!AC15</f>
        <v>Sep-w4</v>
      </c>
      <c r="DG3" s="59" t="str">
        <f>Sheet8!AD15</f>
        <v>Oct-w1</v>
      </c>
      <c r="DH3" s="59" t="str">
        <f>Sheet8!AE15</f>
        <v>Oct-w2</v>
      </c>
      <c r="DI3" s="59" t="str">
        <f>Sheet8!AF15</f>
        <v>Oct-w3</v>
      </c>
      <c r="DJ3" s="59" t="str">
        <f>Sheet8!AG15</f>
        <v>Oct-w4</v>
      </c>
      <c r="DK3" s="59" t="str">
        <f>Sheet8!AH15</f>
        <v>Nov-w1</v>
      </c>
      <c r="DL3" s="59" t="str">
        <f>Sheet8!AI15</f>
        <v>Nov-w2</v>
      </c>
      <c r="DM3" s="59" t="str">
        <f>Sheet8!AJ15</f>
        <v>Nov-w3</v>
      </c>
      <c r="DN3" s="59" t="str">
        <f>Sheet8!AK15</f>
        <v>Nov-w4</v>
      </c>
      <c r="DO3" s="59" t="str">
        <f>Sheet8!AL15</f>
        <v>Dec-w1</v>
      </c>
      <c r="DP3" s="59" t="str">
        <f>Sheet8!AM15</f>
        <v>Dec-w2</v>
      </c>
      <c r="DQ3" s="59" t="str">
        <f>Sheet8!AN15</f>
        <v>Dec-w3</v>
      </c>
      <c r="DR3" s="59" t="str">
        <f>Sheet8!AO15</f>
        <v>Dec-w4</v>
      </c>
      <c r="DS3" s="59">
        <f>Sheet8!AP15</f>
        <v>0</v>
      </c>
      <c r="DT3" s="59">
        <f>Sheet8!AQ15</f>
        <v>0</v>
      </c>
      <c r="DU3" s="59">
        <f>Sheet8!AR15</f>
        <v>0</v>
      </c>
      <c r="DV3" s="59">
        <f>Sheet8!AS15</f>
        <v>0</v>
      </c>
      <c r="DW3" s="59">
        <f>Sheet8!AT15</f>
        <v>0</v>
      </c>
      <c r="DX3" s="59">
        <f>Sheet8!AU15</f>
        <v>0</v>
      </c>
      <c r="DY3" s="59">
        <f>Sheet8!AV15</f>
        <v>0</v>
      </c>
    </row>
    <row r="4" spans="1:153" ht="13">
      <c r="A4" s="63" t="s">
        <v>57</v>
      </c>
      <c r="B4" s="62" t="s">
        <v>616</v>
      </c>
      <c r="C4" s="62" t="s">
        <v>617</v>
      </c>
      <c r="D4" s="62"/>
      <c r="F4" s="178" t="s">
        <v>29</v>
      </c>
      <c r="G4" s="178" t="s">
        <v>116</v>
      </c>
      <c r="H4" s="65">
        <f>VLOOKUP($G$4&amp;$F$1,'Input RM sheet'!$A:$BD,H1,0)</f>
        <v>0.82924335626169965</v>
      </c>
      <c r="I4" s="65">
        <f>VLOOKUP($G$4&amp;$F$1,'Input RM sheet'!$A:$BD,I1,0)</f>
        <v>0.82269660455391691</v>
      </c>
      <c r="J4" s="65">
        <f>VLOOKUP($G$4&amp;$F$1,'Input RM sheet'!$A:$BD,J1,0)</f>
        <v>0.83299794770233271</v>
      </c>
      <c r="K4" s="65">
        <f>VLOOKUP($G$4&amp;$F$1,'Input RM sheet'!$A:$BD,K1,0)</f>
        <v>0.70590577831421075</v>
      </c>
      <c r="L4" s="65">
        <f>VLOOKUP($G$4&amp;$F$1,'Input RM sheet'!$A:$BD,L1,0)</f>
        <v>0.59516163350045803</v>
      </c>
      <c r="M4" s="65">
        <f>VLOOKUP($G$4&amp;$F$1,'Input RM sheet'!$A:$BD,M1,0)</f>
        <v>0.55527576037870674</v>
      </c>
      <c r="N4" s="65">
        <f>VLOOKUP($G$4&amp;$F$1,'Input RM sheet'!$A:$BD,N1,0)</f>
        <v>0.55400701549966669</v>
      </c>
      <c r="O4" s="65">
        <f>VLOOKUP($G$4&amp;$F$1,'Input RM sheet'!$A:$BD,O1,0)</f>
        <v>0.55564945600626048</v>
      </c>
      <c r="P4" s="65">
        <f>VLOOKUP($G$4&amp;$F$1,'Input RM sheet'!$A:$BD,P1,0)</f>
        <v>0.56470597127503586</v>
      </c>
      <c r="Q4" s="65">
        <f>VLOOKUP($G$4&amp;$F$1,'Input RM sheet'!$A:$BD,Q1,0)</f>
        <v>0.70080318656531215</v>
      </c>
      <c r="R4" s="65">
        <f>VLOOKUP($G$4&amp;$F$1,'Input RM sheet'!$A:$BD,R1,0)</f>
        <v>0.94159943084333564</v>
      </c>
      <c r="S4" s="65">
        <f>VLOOKUP($G$4&amp;$F$1,'Input RM sheet'!$A:$BD,S1,0)</f>
        <v>1.0505403874703378</v>
      </c>
      <c r="T4" s="65">
        <f>VLOOKUP($G$4&amp;$F$1,'Input RM sheet'!$A:$BD,T1,0)</f>
        <v>1.0876597293709844</v>
      </c>
      <c r="U4" s="65">
        <f>VLOOKUP($G$4&amp;$F$1,'Input RM sheet'!$A:$BD,U1,0)</f>
        <v>1.3302599761673821</v>
      </c>
      <c r="V4" s="65">
        <f>VLOOKUP($G$4&amp;$F$1,'Input RM sheet'!$A:$BD,V1,0)</f>
        <v>1.7439540988796183</v>
      </c>
      <c r="W4" s="65">
        <f>VLOOKUP($G$4&amp;$F$1,'Input RM sheet'!$A:$BD,W1,0)</f>
        <v>1.5053885445837389</v>
      </c>
      <c r="X4" s="65">
        <f>VLOOKUP($G$4&amp;$F$1,'Input RM sheet'!$A:$BD,X1,0)</f>
        <v>1.5205401425376142</v>
      </c>
      <c r="Y4" s="65">
        <f>VLOOKUP($G$4&amp;$F$1,'Input RM sheet'!$A:$BD,Y1,0)</f>
        <v>1.3156747849282875</v>
      </c>
      <c r="Z4" s="65">
        <f>VLOOKUP($G$4&amp;$F$1,'Input RM sheet'!$A:$BD,Z1,0)</f>
        <v>1.3822040813643226</v>
      </c>
      <c r="AA4" s="65">
        <f>VLOOKUP($G$4&amp;$F$1,'Input RM sheet'!$A:$BD,AA1,0)</f>
        <v>1.4649498924128199</v>
      </c>
      <c r="AB4" s="65">
        <f>VLOOKUP($G$4&amp;$F$1,'Input RM sheet'!$A:$BD,AB1,0)</f>
        <v>1.5006881585930321</v>
      </c>
      <c r="AC4" s="65">
        <f>VLOOKUP($G$4&amp;$F$1,'Input RM sheet'!$A:$BD,AC1,0)</f>
        <v>1.8286801479964094</v>
      </c>
      <c r="AD4" s="65">
        <f>VLOOKUP($G$4&amp;$F$1,'Input RM sheet'!$A:$BD,AD1,0)</f>
        <v>1.8351815624183518</v>
      </c>
      <c r="AE4" s="65">
        <f>VLOOKUP($G$4&amp;$F$1,'Input RM sheet'!$A:$BD,AE1,0)</f>
        <v>1.3306150192561172</v>
      </c>
      <c r="AF4" s="65">
        <f>VLOOKUP($G$4&amp;$F$1,'Input RM sheet'!$A:$BD,AF1,0)</f>
        <v>1.5446728056617136</v>
      </c>
      <c r="AG4" s="65">
        <f>VLOOKUP($G$4&amp;$F$1,'Input RM sheet'!$A:$BD,AG1,0)</f>
        <v>1.837994734279738</v>
      </c>
      <c r="AH4" s="65">
        <f>VLOOKUP($G$4&amp;$F$1,'Input RM sheet'!$A:$BD,AH1,0)</f>
        <v>1.7717260824655929</v>
      </c>
      <c r="AI4" s="65">
        <f>VLOOKUP($G$4&amp;$F$1,'Input RM sheet'!$A:$BD,AI1,0)</f>
        <v>1.5899341221181358</v>
      </c>
      <c r="AJ4" s="65">
        <f>VLOOKUP($G$4&amp;$F$1,'Input RM sheet'!$A:$BD,AJ1,0)</f>
        <v>1.4368593620678682</v>
      </c>
      <c r="AK4" s="65">
        <f>VLOOKUP($G$4&amp;$F$1,'Input RM sheet'!$A:$BD,AK1,0)</f>
        <v>1.5599305118260276</v>
      </c>
      <c r="AL4" s="65">
        <f>VLOOKUP($G$4&amp;$F$1,'Input RM sheet'!$A:$BD,AL1,0)</f>
        <v>1.5284191752572451</v>
      </c>
      <c r="AM4" s="65">
        <f>VLOOKUP($G$4&amp;$F$1,'Input RM sheet'!$A:$BD,AM1,0)</f>
        <v>1.3265859695520972</v>
      </c>
      <c r="AN4" s="65">
        <f>VLOOKUP($G$4&amp;$F$1,'Input RM sheet'!$A:$BD,AN1,0)</f>
        <v>1.5169959151582031</v>
      </c>
      <c r="AO4" s="65">
        <f>VLOOKUP($G$4&amp;$F$1,'Input RM sheet'!$A:$BD,AO1,0)</f>
        <v>1.5898054648729594</v>
      </c>
      <c r="AP4" s="65">
        <f>VLOOKUP($G$4&amp;$F$1,'Input RM sheet'!$A:$BD,AP1,0)</f>
        <v>1.4479368865823559</v>
      </c>
      <c r="AQ4" s="65">
        <f>VLOOKUP($G$4&amp;$F$1,'Input RM sheet'!$A:$BD,AQ1,0)</f>
        <v>1.3080850046113366</v>
      </c>
      <c r="AR4" s="65">
        <f>VLOOKUP($G$4&amp;$F$1,'Input RM sheet'!$A:$BD,AR1,0)</f>
        <v>1.2908743580838045</v>
      </c>
      <c r="AS4" s="65">
        <f>VLOOKUP($G$4&amp;$F$1,'Input RM sheet'!$A:$BD,AS1,0)</f>
        <v>1.5571667835392669</v>
      </c>
      <c r="AT4" s="65">
        <f>VLOOKUP($G$4&amp;$F$1,'Input RM sheet'!$A:$BD,AT1,0)</f>
        <v>1.6608480881002745</v>
      </c>
      <c r="AU4" s="65">
        <f>VLOOKUP($G$4&amp;$F$1,'Input RM sheet'!$A:$BD,AU1,0)</f>
        <v>1.3839474934816396</v>
      </c>
      <c r="AV4" s="65">
        <f>VLOOKUP($G$4&amp;$F$1,'Input RM sheet'!$A:$BD,AV1,0)</f>
        <v>1.4193280378655322</v>
      </c>
      <c r="AW4" s="65">
        <f>VLOOKUP($G$4&amp;$F$1,'Input RM sheet'!$A:$BD,AW1,0)</f>
        <v>1.3525941349991326</v>
      </c>
      <c r="AX4" s="65">
        <f>VLOOKUP($G$4&amp;$F$1,'Input RM sheet'!$A:$BD,AX1,0)</f>
        <v>1.1565456209948124</v>
      </c>
      <c r="AY4" s="65">
        <f>VLOOKUP($G$4&amp;$F$1,'Input RM sheet'!$A:$BD,AY1,0)</f>
        <v>1.1565456209948124</v>
      </c>
      <c r="AZ4" s="65">
        <f>VLOOKUP($G$4&amp;$F$1,'Input RM sheet'!$A:$BD,AZ1,0)</f>
        <v>1.2061209439528022</v>
      </c>
      <c r="BA4" s="65">
        <f>VLOOKUP($G$4&amp;$F$1,'Input RM sheet'!$A:$BD,BA1,0)</f>
        <v>1.2207438579119996</v>
      </c>
      <c r="BB4" s="65">
        <f>VLOOKUP($G$4&amp;$F$1,'Input RM sheet'!$A:$BD,BB1,0)</f>
        <v>1.3127455660412002</v>
      </c>
      <c r="BC4" s="65">
        <f>VLOOKUP($G$4&amp;$F$1,'Input RM sheet'!$A:$BD,BC1,0)</f>
        <v>1.356282942386581</v>
      </c>
      <c r="BD4" s="65">
        <f>VLOOKUP($G$4&amp;$F$1,'Input RM sheet'!$A:$BD,BD1,0)</f>
        <v>1.3707709676244584</v>
      </c>
      <c r="BE4" s="65">
        <f>VLOOKUP($G$4&amp;$F$1,'Input RM sheet'!$A:$BD,BE1,0)</f>
        <v>1.3555968292120377</v>
      </c>
      <c r="BF4" s="65">
        <f>VLOOKUP($G$4&amp;$F$1,'Input RM sheet'!$A:$DD,BF1,0)</f>
        <v>1.4557582654383017</v>
      </c>
      <c r="BG4" s="65">
        <f>VLOOKUP($G$4&amp;$F$1,'Input RM sheet'!$A:$DD,BG1,0)</f>
        <v>1.6114934993991044</v>
      </c>
      <c r="BH4" s="65">
        <f>VLOOKUP($G$4&amp;$F$1,'Input RM sheet'!$A:$DD,BH1,0)</f>
        <v>1.6092859740574619</v>
      </c>
      <c r="BI4" s="65">
        <f>VLOOKUP($G$4&amp;$F$1,'Input RM sheet'!$A:$DD,BI1,0)</f>
        <v>1.6638380409746638</v>
      </c>
      <c r="BJ4" s="65">
        <f>VLOOKUP($G$4&amp;$F$1,'Input RM sheet'!$A:$DD,BJ1,0)</f>
        <v>1.6638380409746638</v>
      </c>
      <c r="BK4" s="65">
        <f>VLOOKUP($G$4&amp;$F$1,'Input RM sheet'!$A:$DD,BK1,0)</f>
        <v>1.6869469026548676</v>
      </c>
      <c r="BL4" s="65">
        <f>VLOOKUP($G$4&amp;$F$1,'Input RM sheet'!$A:$DD,BL1,0)</f>
        <v>1.3952277762308878</v>
      </c>
      <c r="BM4" s="65">
        <f>VLOOKUP($G$4&amp;$F$1,'Input RM sheet'!$A:$DD,BM1,0)</f>
        <v>1.3933217273562553</v>
      </c>
      <c r="BN4" s="65">
        <f>VLOOKUP($G$4&amp;$F$1,'Input RM sheet'!$A:$DD,BN1,0)</f>
        <v>1.4424657033998372</v>
      </c>
      <c r="BO4" s="65">
        <f>VLOOKUP($G$4&amp;$F$1,'Input RM sheet'!$A:$DD,BO1,0)</f>
        <v>1.5541578292986178</v>
      </c>
      <c r="BP4" s="65">
        <f>VLOOKUP($G$4&amp;$F$1,'Input RM sheet'!$A:$DD,BP1,0)</f>
        <v>1.5541578292986178</v>
      </c>
      <c r="BQ4" s="65">
        <f>VLOOKUP($G$4&amp;$F$1,'Input RM sheet'!$A:$DD,BQ1,0)</f>
        <v>1.5891811043250657</v>
      </c>
      <c r="BR4" s="65">
        <f>VLOOKUP($G$4&amp;$F$1,'Input RM sheet'!$A:$DD,BR1,0)</f>
        <v>1.3757715475570762</v>
      </c>
      <c r="BS4" s="65">
        <f>VLOOKUP($G$4&amp;$F$1,'Input RM sheet'!$A:$DD,BS1,0)</f>
        <v>1.3230650174120351</v>
      </c>
      <c r="BT4" s="65">
        <f>VLOOKUP($G$4&amp;$F$1,'Input RM sheet'!$A:$DD,BT1,0)</f>
        <v>1.2948821090414011</v>
      </c>
      <c r="BU4" s="65">
        <f>VLOOKUP($G$4&amp;$F$1,'Input RM sheet'!$A:$DD,BU1,0)</f>
        <v>1.3651909082966163</v>
      </c>
      <c r="BV4" s="65">
        <f>VLOOKUP($G$4&amp;$F$1,'Input RM sheet'!$A:$DD,BV1,0)</f>
        <v>1.3726162283435126</v>
      </c>
      <c r="BW4" s="65">
        <f>VLOOKUP($G$4&amp;$F$1,'Input RM sheet'!$A:$DD,BW1,0)</f>
        <v>1.2884831110557149</v>
      </c>
      <c r="BX4" s="65">
        <f>VLOOKUP($G$4&amp;$F$1,'Input RM sheet'!$A:$DD,BX1,0)</f>
        <v>1.2879710649298994</v>
      </c>
      <c r="BY4" s="65">
        <f>VLOOKUP($G$4&amp;$F$1,'Input RM sheet'!$A:$DD,BY1,0)</f>
        <v>1.2975617041932714</v>
      </c>
      <c r="BZ4" s="65">
        <f>VLOOKUP($G$4&amp;$F$1,'Input RM sheet'!$A:$DD,BZ1,0)</f>
        <v>1.3675740263619731</v>
      </c>
      <c r="CA4" s="65">
        <f>VLOOKUP($G$4&amp;$F$1,'Input RM sheet'!$A:$DD,CA1,0)</f>
        <v>1.3523576255123266</v>
      </c>
      <c r="CB4" s="65">
        <f>VLOOKUP($G$4&amp;$F$1,'Input RM sheet'!$A:$DD,CB1,0)</f>
        <v>1.3511598096975377</v>
      </c>
      <c r="CC4" s="65">
        <f>VLOOKUP($G$4&amp;$F$1,'Input RM sheet'!$A:$DD,CC1,0)</f>
        <v>1.3504793510324484</v>
      </c>
      <c r="CD4" s="65">
        <f>VLOOKUP($G$4&amp;$F$1,'Input RM sheet'!$A:$DD,CD1,0)</f>
        <v>1.2951081612586037</v>
      </c>
      <c r="CE4" s="65">
        <f>VLOOKUP($G$4&amp;$F$1,'Input RM sheet'!$A:$DD,CE1,0)</f>
        <v>1.2925530603692659</v>
      </c>
      <c r="CF4" s="65">
        <f>VLOOKUP($G$4&amp;$F$1,'Input RM sheet'!$A:$DD,CF1,0)</f>
        <v>1.4018336479297921</v>
      </c>
      <c r="CG4" s="65">
        <f>VLOOKUP($G$4&amp;$F$1,'Input RM sheet'!$A:$DD,CG1,0)</f>
        <v>1.4265780486909265</v>
      </c>
      <c r="CH4" s="65">
        <f>VLOOKUP($G$4&amp;$F$1,'Input RM sheet'!$A:$DD,CH1,0)</f>
        <v>1.5352085092840793</v>
      </c>
      <c r="CI4" s="65">
        <f>VLOOKUP($G$4&amp;$F$1,'Input RM sheet'!$A:$DD,CI1,0)</f>
        <v>1.5330880555419741</v>
      </c>
      <c r="CJ4" s="65">
        <f>VLOOKUP($G$4&amp;$F$1,'Input RM sheet'!$A:$DD,CJ1,0)</f>
        <v>1.5330880555419741</v>
      </c>
      <c r="CK4" s="65">
        <f>VLOOKUP($G$4&amp;$F$1,'Input RM sheet'!$A:$DD,CK1,0)</f>
        <v>1.5025301911699995</v>
      </c>
      <c r="CL4" s="65">
        <f>VLOOKUP($G$4&amp;$F$1,'Input RM sheet'!$A:$DD,CL1,0)</f>
        <v>1.4290010187424056</v>
      </c>
      <c r="CM4" s="65">
        <f>VLOOKUP($G$4&amp;$F$1,'Input RM sheet'!$A:$DD,CM1,0)</f>
        <v>1.3790866473273848</v>
      </c>
      <c r="CN4" s="65">
        <f>VLOOKUP($G$4&amp;$F$1,'Input RM sheet'!$A:$DD,CN1,0)</f>
        <v>1.3790866473273848</v>
      </c>
      <c r="CO4" s="65">
        <f>VLOOKUP($G$4&amp;$F$1,'Input RM sheet'!$A:$DD,CO1,0)</f>
        <v>1.3790866473273848</v>
      </c>
      <c r="CP4" s="65">
        <f>VLOOKUP($G$4&amp;$F$1,'Input RM sheet'!$A:$DD,CP1,0)</f>
        <v>1.3790866473273848</v>
      </c>
      <c r="CQ4" s="65">
        <f>VLOOKUP($G$4&amp;$F$1,'Input RM sheet'!$A:$ZZ,CQ1,0)</f>
        <v>1.4810785703808733</v>
      </c>
      <c r="CR4" s="65">
        <f>VLOOKUP($G$4&amp;$F$1,'Input RM sheet'!$A:$ZZ,CR1,0)</f>
        <v>1.4871901432552681</v>
      </c>
      <c r="CS4" s="65">
        <f>VLOOKUP($G$4&amp;$F$1,'Input RM sheet'!$A:$ZZ,CS1,0)</f>
        <v>1.4830932007118653</v>
      </c>
      <c r="CT4" s="65">
        <f>VLOOKUP($G$4&amp;$F$1,'Input RM sheet'!$A:$ZZ,CT1,0)</f>
        <v>1.3836715316916413</v>
      </c>
      <c r="CU4" s="65">
        <f>VLOOKUP($G$4&amp;$F$1,'Input RM sheet'!$A:$ZZ,CU1,0)</f>
        <v>1.3441102360287764</v>
      </c>
      <c r="CV4" s="65">
        <f>VLOOKUP($G$4&amp;$F$1,'Input RM sheet'!$A:$ZZ,CV1,0)</f>
        <v>1.3441102360287764</v>
      </c>
      <c r="CW4" s="65">
        <f>VLOOKUP($G$4&amp;$F$1,'Input RM sheet'!$A:$ZZ,CW1,0)</f>
        <v>1.2794174851696978</v>
      </c>
      <c r="CX4" s="65">
        <f>VLOOKUP($G$4&amp;$F$1,'Input RM sheet'!$A:$ZZ,CX1,0)</f>
        <v>1.2025850989608196</v>
      </c>
      <c r="CY4" s="65">
        <f>VLOOKUP($G$4&amp;$F$1,'Input RM sheet'!$A:$ZZ,CY1,0)</f>
        <v>1.3021315461423584</v>
      </c>
      <c r="CZ4" s="65">
        <f>VLOOKUP($G$4&amp;$F$1,'Input RM sheet'!$A:$ZZ,CZ1,0)</f>
        <v>1.300317992456923</v>
      </c>
      <c r="DA4" s="65">
        <f>VLOOKUP($G$4&amp;$F$1,'Input RM sheet'!$A:$ZZ,DA1,0)</f>
        <v>1.2391855931678941</v>
      </c>
      <c r="DB4" s="65">
        <f>VLOOKUP($G$4&amp;$F$1,'Input RM sheet'!$A:$ZZ,DB1,0)</f>
        <v>1.2602217990366305</v>
      </c>
      <c r="DC4" s="65">
        <f>VLOOKUP($G$4&amp;$F$1,'Input RM sheet'!$A:$ZZ,DC1,0)</f>
        <v>1.3324263264974976</v>
      </c>
      <c r="DD4" s="65">
        <f>VLOOKUP($G$4&amp;$F$1,'Input RM sheet'!$A:$ZZ,DD1,0)</f>
        <v>1.2991175335747982</v>
      </c>
      <c r="DE4" s="65">
        <f>VLOOKUP($G$4&amp;$F$1,'Input RM sheet'!$A:$ZZ,DE1,0)</f>
        <v>1.2424477926245334</v>
      </c>
      <c r="DF4" s="65">
        <f>VLOOKUP($G$4&amp;$F$1,'Input RM sheet'!$A:$ZZ,DF1,0)</f>
        <v>1.2495272672263824</v>
      </c>
      <c r="DG4" s="65">
        <f>VLOOKUP($G$4&amp;$F$1,'Input RM sheet'!$A:$ZZ,DG1,0)</f>
        <v>1.2684365781710916</v>
      </c>
      <c r="DH4" s="65">
        <f>VLOOKUP($G$4&amp;$F$1,'Input RM sheet'!$A:$ZZ,DH1,0)</f>
        <v>1.3317899505868591</v>
      </c>
      <c r="DI4" s="65">
        <f>VLOOKUP($G$4&amp;$F$1,'Input RM sheet'!$A:$ZZ,DI1,0)</f>
        <v>1.214735195919026</v>
      </c>
      <c r="DJ4" s="65">
        <f>VLOOKUP($G$4&amp;$F$1,'Input RM sheet'!$A:$ZZ,DJ1,0)</f>
        <v>1.127884782231477</v>
      </c>
      <c r="DK4" s="65">
        <f>VLOOKUP($G$4&amp;$F$1,'Input RM sheet'!$A:$ZZ,DK1,0)</f>
        <v>1.1326437897514408</v>
      </c>
      <c r="DL4" s="65">
        <f>VLOOKUP($G$4&amp;$F$1,'Input RM sheet'!$A:$ZZ,DL1,0)</f>
        <v>1.1628049302929047</v>
      </c>
      <c r="DM4" s="65">
        <f>VLOOKUP($G$4&amp;$F$1,'Input RM sheet'!$A:$ZZ,DM1,0)</f>
        <v>1.110778369921283</v>
      </c>
      <c r="DN4" s="65">
        <f>VLOOKUP($G$4&amp;$F$1,'Input RM sheet'!$A:$ZZ,DN1,0)</f>
        <v>1.138131109973427</v>
      </c>
      <c r="DO4" s="65">
        <f>VLOOKUP($G$4&amp;$F$1,'Input RM sheet'!$A:$ZZ,DO1,0)</f>
        <v>1.1365655926282092</v>
      </c>
      <c r="DP4" s="65">
        <f>VLOOKUP($G$4&amp;$F$1,'Input RM sheet'!$A:$ZZ,DP1,0)</f>
        <v>1.1594502805808815</v>
      </c>
      <c r="DQ4" s="65">
        <f>VLOOKUP($G$4&amp;$F$1,'Input RM sheet'!$A:$ZZ,DQ1,0)</f>
        <v>1.0986076210592763</v>
      </c>
      <c r="DR4" s="65">
        <f>VLOOKUP($G$4&amp;$F$1,'Input RM sheet'!$A:$ZZ,DR1,0)</f>
        <v>1.1365013941083768</v>
      </c>
      <c r="DS4" s="65" t="e">
        <f>VLOOKUP($G$4&amp;$F$1,'Input RM sheet'!$A:$ZZ,DS1,0)</f>
        <v>#DIV/0!</v>
      </c>
      <c r="DT4" s="65" t="e">
        <f>VLOOKUP($G$4&amp;$F$1,'Input RM sheet'!$A:$ZZ,DT1,0)</f>
        <v>#DIV/0!</v>
      </c>
      <c r="DU4" s="65" t="e">
        <f>VLOOKUP($G$4&amp;$F$1,'Input RM sheet'!$A:$ZZ,DU1,0)</f>
        <v>#DIV/0!</v>
      </c>
      <c r="DV4" s="65" t="e">
        <f>VLOOKUP($G$4&amp;$F$1,'Input RM sheet'!$A:$ZZ,DV1,0)</f>
        <v>#DIV/0!</v>
      </c>
      <c r="DW4" s="65">
        <f>VLOOKUP($G$4&amp;$F$1,'Input RM sheet'!$A:$ZZ,DW1,0)</f>
        <v>0</v>
      </c>
      <c r="DX4" s="65">
        <f>VLOOKUP($G$4&amp;$F$1,'Input RM sheet'!$A:$ZZ,DX1,0)</f>
        <v>0</v>
      </c>
      <c r="DY4" s="65">
        <f>VLOOKUP($G$4&amp;$F$1,'Input RM sheet'!$A:$ZZ,DY1,0)</f>
        <v>0</v>
      </c>
    </row>
    <row r="5" spans="1:153">
      <c r="A5" s="67">
        <v>93.13</v>
      </c>
      <c r="B5" s="64">
        <v>143.19</v>
      </c>
      <c r="C5" s="63"/>
      <c r="D5" s="64"/>
      <c r="F5" s="60" t="s">
        <v>588</v>
      </c>
      <c r="G5" s="62" t="s">
        <v>616</v>
      </c>
      <c r="H5" s="65">
        <f>'Alpha Naphthylamine'!H13</f>
        <v>1.6199736200147572</v>
      </c>
      <c r="I5" s="65">
        <f>'Alpha Naphthylamine'!I13</f>
        <v>1.615704198434327</v>
      </c>
      <c r="J5" s="65">
        <f>'Alpha Naphthylamine'!J13</f>
        <v>1.6112424102067511</v>
      </c>
      <c r="K5" s="65">
        <f>'Alpha Naphthylamine'!K13</f>
        <v>1.4995576876952943</v>
      </c>
      <c r="L5" s="65">
        <f>'Alpha Naphthylamine'!L13</f>
        <v>1.5624585668434838</v>
      </c>
      <c r="M5" s="65">
        <f>'Alpha Naphthylamine'!M13</f>
        <v>1.5487747923535622</v>
      </c>
      <c r="N5" s="65">
        <f>'Alpha Naphthylamine'!N13</f>
        <v>1.5483667996516794</v>
      </c>
      <c r="O5" s="65">
        <f>'Alpha Naphthylamine'!O13</f>
        <v>1.5044669558442485</v>
      </c>
      <c r="P5" s="65">
        <f>'Alpha Naphthylamine'!P13</f>
        <v>1.4427128656816084</v>
      </c>
      <c r="Q5" s="65">
        <f>'Alpha Naphthylamine'!Q13</f>
        <v>1.6351837498681321</v>
      </c>
      <c r="R5" s="65">
        <f>'Alpha Naphthylamine'!R13</f>
        <v>1.7548740505584595</v>
      </c>
      <c r="S5" s="65">
        <f>'Alpha Naphthylamine'!S13</f>
        <v>1.7671282685805925</v>
      </c>
      <c r="T5" s="65">
        <f>'Alpha Naphthylamine'!T13</f>
        <v>2.6539558426297862</v>
      </c>
      <c r="U5" s="65">
        <f>'Alpha Naphthylamine'!U13</f>
        <v>2.7265132378786969</v>
      </c>
      <c r="V5" s="65">
        <f>'Alpha Naphthylamine'!V13</f>
        <v>2.7577036387474769</v>
      </c>
      <c r="W5" s="65">
        <f>'Alpha Naphthylamine'!W13</f>
        <v>1.5624369609097415</v>
      </c>
      <c r="X5" s="65">
        <f>'Alpha Naphthylamine'!X13</f>
        <v>1.7471087881727265</v>
      </c>
      <c r="Y5" s="65">
        <f>'Alpha Naphthylamine'!Y13</f>
        <v>1.8572872346481317</v>
      </c>
      <c r="Z5" s="65">
        <f>'Alpha Naphthylamine'!Z13</f>
        <v>1.6415057183185762</v>
      </c>
      <c r="AA5" s="65">
        <f>'Alpha Naphthylamine'!AA13</f>
        <v>1.6663847781512993</v>
      </c>
      <c r="AB5" s="65">
        <f>'Alpha Naphthylamine'!AB13</f>
        <v>1.667248863822347</v>
      </c>
      <c r="AC5" s="65">
        <f>'Alpha Naphthylamine'!AC13</f>
        <v>2.1854729126845269</v>
      </c>
      <c r="AD5" s="65">
        <f>'Alpha Naphthylamine'!AD13</f>
        <v>2.1392335008091257</v>
      </c>
      <c r="AE5" s="65">
        <f>'Alpha Naphthylamine'!AE13</f>
        <v>2.2606464808817615</v>
      </c>
      <c r="AF5" s="65">
        <f>'Alpha Naphthylamine'!AF13</f>
        <v>2.6587977414582014</v>
      </c>
      <c r="AG5" s="65">
        <f>'Alpha Naphthylamine'!AG13</f>
        <v>2.7386848546671669</v>
      </c>
      <c r="AH5" s="65">
        <f>'Alpha Naphthylamine'!AH13</f>
        <v>2.4123755802827667</v>
      </c>
      <c r="AI5" s="65">
        <f>'Alpha Naphthylamine'!AI13</f>
        <v>2.2333186980477326</v>
      </c>
      <c r="AJ5" s="65">
        <f>'Alpha Naphthylamine'!AJ13</f>
        <v>2.5472057489499589</v>
      </c>
      <c r="AK5" s="65">
        <f>'Alpha Naphthylamine'!AK13</f>
        <v>2.5729738297398224</v>
      </c>
      <c r="AL5" s="65">
        <f>'Alpha Naphthylamine'!AL13</f>
        <v>2.7641563079101674</v>
      </c>
      <c r="AM5" s="65">
        <f>'Alpha Naphthylamine'!AM13</f>
        <v>2.5931853216782677</v>
      </c>
      <c r="AN5" s="65">
        <f>'Alpha Naphthylamine'!AN13</f>
        <v>2.2858670804015206</v>
      </c>
      <c r="AO5" s="65">
        <f>'Alpha Naphthylamine'!AO13</f>
        <v>2.3111933956801867</v>
      </c>
      <c r="AP5" s="65">
        <f>'Alpha Naphthylamine'!AP13</f>
        <v>2.3040457827315461</v>
      </c>
      <c r="AQ5" s="65">
        <f>'Alpha Naphthylamine'!AQ13</f>
        <v>2.3331223612103793</v>
      </c>
      <c r="AR5" s="65">
        <f>'Alpha Naphthylamine'!AR13</f>
        <v>2.4807439509945164</v>
      </c>
      <c r="AS5" s="65">
        <f>'Alpha Naphthylamine'!AS13</f>
        <v>2.0725015487394369</v>
      </c>
      <c r="AT5" s="65">
        <f>'Alpha Naphthylamine'!AT13</f>
        <v>1.9892829105384455</v>
      </c>
      <c r="AU5" s="65">
        <f>'Alpha Naphthylamine'!AU13</f>
        <v>1.8951581814372513</v>
      </c>
      <c r="AV5" s="65">
        <f>'Alpha Naphthylamine'!AV13</f>
        <v>1.8863572875200783</v>
      </c>
      <c r="AW5" s="65">
        <f>'Alpha Naphthylamine'!AW13</f>
        <v>1.8956086318877015</v>
      </c>
      <c r="AX5" s="65">
        <f>'Alpha Naphthylamine'!AX13</f>
        <v>1.8912081849291149</v>
      </c>
      <c r="AY5" s="65">
        <f>'Alpha Naphthylamine'!AY13</f>
        <v>1.8912081849291149</v>
      </c>
      <c r="AZ5" s="65">
        <f>'Alpha Naphthylamine'!AZ13</f>
        <v>2.0433759340736084</v>
      </c>
      <c r="BA5" s="65">
        <f>'Alpha Naphthylamine'!BA13</f>
        <v>2.0433759340736084</v>
      </c>
      <c r="BB5" s="65">
        <f>'Alpha Naphthylamine'!BB13</f>
        <v>2.0433759340736084</v>
      </c>
      <c r="BC5" s="65">
        <f>'Alpha Naphthylamine'!BC13</f>
        <v>1.8643550527271457</v>
      </c>
      <c r="BD5" s="65">
        <f>'Alpha Naphthylamine'!BD13</f>
        <v>1.8643550527271457</v>
      </c>
      <c r="BE5" s="65">
        <f>'Alpha Naphthylamine'!BE13</f>
        <v>1.8643550527271457</v>
      </c>
      <c r="BF5" s="65">
        <f>'Alpha Naphthylamine'!BF13</f>
        <v>1.8643550527271457</v>
      </c>
      <c r="BG5" s="65">
        <f>'Alpha Naphthylamine'!BG13</f>
        <v>1.9180613171310845</v>
      </c>
      <c r="BH5" s="65">
        <f>'Alpha Naphthylamine'!BH13</f>
        <v>1.9180613171310845</v>
      </c>
      <c r="BI5" s="65">
        <f>'Alpha Naphthylamine'!BI13</f>
        <v>1.8285508764578533</v>
      </c>
      <c r="BJ5" s="65">
        <f>'Alpha Naphthylamine'!BJ13</f>
        <v>1.8285508764578533</v>
      </c>
      <c r="BK5" s="65">
        <f>'Alpha Naphthylamine'!BK13</f>
        <v>1.846152664292199</v>
      </c>
      <c r="BL5" s="65">
        <f>'Alpha Naphthylamine'!BL13</f>
        <v>1.846152664292199</v>
      </c>
      <c r="BM5" s="65">
        <f>'Alpha Naphthylamine'!BM13</f>
        <v>1.9114414414414416</v>
      </c>
      <c r="BN5" s="65">
        <f>'Alpha Naphthylamine'!BN13</f>
        <v>1.9114414414414416</v>
      </c>
      <c r="BO5" s="65">
        <f>'Alpha Naphthylamine'!BO13</f>
        <v>1.8666862211048256</v>
      </c>
      <c r="BP5" s="65">
        <f>'Alpha Naphthylamine'!BP13</f>
        <v>1.8666862211048256</v>
      </c>
      <c r="BQ5" s="65">
        <f>'Alpha Naphthylamine'!BQ13</f>
        <v>1.8666862211048256</v>
      </c>
      <c r="BR5" s="65">
        <f>'Alpha Naphthylamine'!BR13</f>
        <v>1.8666862211048256</v>
      </c>
      <c r="BS5" s="65">
        <f>'Alpha Naphthylamine'!BS13</f>
        <v>1.8666862211048256</v>
      </c>
      <c r="BT5" s="65">
        <f>'Alpha Naphthylamine'!BT13</f>
        <v>1.8756372651721489</v>
      </c>
      <c r="BU5" s="65">
        <f>'Alpha Naphthylamine'!BU13</f>
        <v>1.8756372651721489</v>
      </c>
      <c r="BV5" s="65">
        <f>'Alpha Naphthylamine'!BV13</f>
        <v>1.8800377121307354</v>
      </c>
      <c r="BW5" s="65">
        <f>'Alpha Naphthylamine'!BW13</f>
        <v>1.8800377121307354</v>
      </c>
      <c r="BX5" s="65">
        <f>'Alpha Naphthylamine'!BX13</f>
        <v>1.8800377121307354</v>
      </c>
      <c r="BY5" s="65">
        <f>'Alpha Naphthylamine'!BY13</f>
        <v>1.8800377121307354</v>
      </c>
      <c r="BZ5" s="65">
        <f>'Alpha Naphthylamine'!BZ13</f>
        <v>1.8800377121307354</v>
      </c>
      <c r="CA5" s="65">
        <f>'Alpha Naphthylamine'!CA13</f>
        <v>1.8800377121307354</v>
      </c>
      <c r="CB5" s="65">
        <f>'Alpha Naphthylamine'!CB13</f>
        <v>1.9605971087366436</v>
      </c>
      <c r="CC5" s="65">
        <f>'Alpha Naphthylamine'!CC13</f>
        <v>1.9605971087366436</v>
      </c>
      <c r="CD5" s="65">
        <f>'Alpha Naphthylamine'!CD13</f>
        <v>1.9605971087366436</v>
      </c>
      <c r="CE5" s="65">
        <f>'Alpha Naphthylamine'!CE13</f>
        <v>1.9605971087366436</v>
      </c>
      <c r="CF5" s="65">
        <f>'Alpha Naphthylamine'!CF13</f>
        <v>1.9605971087366436</v>
      </c>
      <c r="CG5" s="65">
        <f>'Alpha Naphthylamine'!CG13</f>
        <v>1.9605971087366436</v>
      </c>
      <c r="CH5" s="65">
        <f>'Alpha Naphthylamine'!CH13</f>
        <v>1.9605971087366436</v>
      </c>
      <c r="CI5" s="65">
        <f>'Alpha Naphthylamine'!CI13</f>
        <v>1.9337439765346742</v>
      </c>
      <c r="CJ5" s="65">
        <f>'Alpha Naphthylamine'!CJ13</f>
        <v>1.8800377121307354</v>
      </c>
      <c r="CK5" s="65">
        <f>'Alpha Naphthylamine'!CK13</f>
        <v>1.8800377121307354</v>
      </c>
      <c r="CL5" s="65">
        <f>'Alpha Naphthylamine'!CL13</f>
        <v>1.8800377121307354</v>
      </c>
      <c r="CM5" s="65">
        <f>'Alpha Naphthylamine'!CM13</f>
        <v>1.8800377121307354</v>
      </c>
      <c r="CN5" s="65">
        <f>'Alpha Naphthylamine'!CN13</f>
        <v>1.8800377121307354</v>
      </c>
      <c r="CO5" s="65">
        <f>'Alpha Naphthylamine'!CO13</f>
        <v>1.8800377121307354</v>
      </c>
      <c r="CP5" s="65">
        <f>'Alpha Naphthylamine'!CP13</f>
        <v>1.8800377121307354</v>
      </c>
      <c r="CQ5" s="65">
        <f>'Alpha Naphthylamine'!CQ13</f>
        <v>1.8800377121307354</v>
      </c>
      <c r="CR5" s="65">
        <f>'Alpha Naphthylamine'!CR13</f>
        <v>1.8800377121307354</v>
      </c>
      <c r="CS5" s="65">
        <f>'Alpha Naphthylamine'!CS13</f>
        <v>1.8800377121307354</v>
      </c>
      <c r="CT5" s="65">
        <f>'Alpha Naphthylamine'!CT13</f>
        <v>1.8800377121307354</v>
      </c>
      <c r="CU5" s="65">
        <f>'Alpha Naphthylamine'!CU13</f>
        <v>1.8800377121307354</v>
      </c>
      <c r="CV5" s="65">
        <f>'Alpha Naphthylamine'!CV13</f>
        <v>1.8800377121307354</v>
      </c>
      <c r="CW5" s="65">
        <f>'Alpha Naphthylamine'!CW13</f>
        <v>1.8800377121307354</v>
      </c>
      <c r="CX5" s="65">
        <f>'Alpha Naphthylamine'!CX13</f>
        <v>1.8800377121307354</v>
      </c>
      <c r="CY5" s="65">
        <f>'Alpha Naphthylamine'!CY13</f>
        <v>1.8800377121307354</v>
      </c>
      <c r="CZ5" s="65">
        <f>'Alpha Naphthylamine'!CZ13</f>
        <v>1.8800377121307354</v>
      </c>
      <c r="DA5" s="65">
        <f>'Alpha Naphthylamine'!DA13</f>
        <v>1.8800377121307354</v>
      </c>
      <c r="DB5" s="65">
        <f>'Alpha Naphthylamine'!DB13</f>
        <v>1.8800377121307354</v>
      </c>
      <c r="DC5" s="65">
        <f>'Alpha Naphthylamine'!DC13</f>
        <v>1.8800377121307354</v>
      </c>
      <c r="DD5" s="65">
        <f>'Alpha Naphthylamine'!DD13</f>
        <v>1.8800377121307354</v>
      </c>
      <c r="DE5" s="65">
        <f>'Alpha Naphthylamine'!DE13</f>
        <v>1.8800377121307354</v>
      </c>
      <c r="DF5" s="65">
        <f>'Alpha Naphthylamine'!DF13</f>
        <v>1.8800377121307354</v>
      </c>
      <c r="DG5" s="65">
        <f>'Alpha Naphthylamine'!DG13</f>
        <v>1.9784991968712897</v>
      </c>
      <c r="DH5" s="65">
        <f>'Alpha Naphthylamine'!DH13</f>
        <v>1.9784991968712897</v>
      </c>
      <c r="DI5" s="65">
        <f>'Alpha Naphthylamine'!DI13</f>
        <v>1.9784991968712897</v>
      </c>
      <c r="DJ5" s="65">
        <f>'Alpha Naphthylamine'!DJ13</f>
        <v>1.9784991968712897</v>
      </c>
      <c r="DK5" s="65">
        <f>'Alpha Naphthylamine'!DK13</f>
        <v>1.9784991968712897</v>
      </c>
      <c r="DL5" s="65">
        <f>'Alpha Naphthylamine'!DL13</f>
        <v>2.0501075494098751</v>
      </c>
      <c r="DM5" s="65">
        <f>'Alpha Naphthylamine'!DM13</f>
        <v>2.0501075494098751</v>
      </c>
      <c r="DN5" s="65">
        <f>'Alpha Naphthylamine'!DN13</f>
        <v>2.0501075494098751</v>
      </c>
      <c r="DO5" s="65">
        <f>'Alpha Naphthylamine'!DO13</f>
        <v>2.0501075494098751</v>
      </c>
      <c r="DP5" s="65">
        <f>'Alpha Naphthylamine'!DP13</f>
        <v>2.0501075494098751</v>
      </c>
      <c r="DQ5" s="65">
        <f>'Alpha Naphthylamine'!DQ13</f>
        <v>2.0501075494098751</v>
      </c>
      <c r="DR5" s="65">
        <f>'Alpha Naphthylamine'!DR13</f>
        <v>1.7831713108457294</v>
      </c>
      <c r="DS5" s="65">
        <f>'Alpha Naphthylamine'!DS13</f>
        <v>0</v>
      </c>
      <c r="DT5" s="65">
        <f>'Alpha Naphthylamine'!DT13</f>
        <v>0</v>
      </c>
      <c r="DU5" s="65">
        <f>'Alpha Naphthylamine'!DU13</f>
        <v>0</v>
      </c>
      <c r="DV5" s="65">
        <f>'Alpha Naphthylamine'!DV13</f>
        <v>0</v>
      </c>
      <c r="DW5" s="65">
        <f>'Alpha Naphthylamine'!DW13</f>
        <v>0</v>
      </c>
      <c r="DX5" s="65">
        <f>'Alpha Naphthylamine'!DX13</f>
        <v>0</v>
      </c>
      <c r="DY5" s="65">
        <f>'Alpha Naphthylamine'!DY13</f>
        <v>0</v>
      </c>
    </row>
    <row r="6" spans="1:153">
      <c r="A6" s="63"/>
      <c r="B6" s="64"/>
      <c r="C6" s="68"/>
      <c r="D6" s="64"/>
    </row>
    <row r="7" spans="1:153" ht="14">
      <c r="G7" s="52" t="s">
        <v>399</v>
      </c>
    </row>
    <row r="8" spans="1:153">
      <c r="A8" s="69" t="s">
        <v>395</v>
      </c>
      <c r="B8" s="69"/>
      <c r="C8" s="69" t="s">
        <v>379</v>
      </c>
      <c r="D8" s="69" t="s">
        <v>380</v>
      </c>
      <c r="E8" s="69" t="s">
        <v>381</v>
      </c>
      <c r="F8" s="69" t="s">
        <v>396</v>
      </c>
      <c r="G8" s="69"/>
    </row>
    <row r="9" spans="1:153" ht="13">
      <c r="A9" s="63" t="s">
        <v>397</v>
      </c>
      <c r="B9" s="63" t="s">
        <v>618</v>
      </c>
      <c r="C9" s="60">
        <v>1</v>
      </c>
      <c r="D9" s="64">
        <f>A5</f>
        <v>93.13</v>
      </c>
      <c r="E9" s="60">
        <f>D9*C9</f>
        <v>93.13</v>
      </c>
      <c r="F9" s="65">
        <f>E9/D2</f>
        <v>0.42470813571689164</v>
      </c>
      <c r="G9" s="60">
        <v>2.6</v>
      </c>
      <c r="H9" s="74">
        <f>$F$9*H4</f>
        <v>0.35218639989352468</v>
      </c>
      <c r="I9" s="74">
        <f t="shared" ref="I9:BF9" si="0">$F$9*I4</f>
        <v>0.34940594118071089</v>
      </c>
      <c r="J9" s="74">
        <f t="shared" si="0"/>
        <v>0.35378100542465452</v>
      </c>
      <c r="K9" s="74">
        <f t="shared" si="0"/>
        <v>0.29980392709960985</v>
      </c>
      <c r="L9" s="74">
        <f t="shared" si="0"/>
        <v>0.25276998781419946</v>
      </c>
      <c r="M9" s="74">
        <f t="shared" si="0"/>
        <v>0.23583013299921998</v>
      </c>
      <c r="N9" s="74">
        <f t="shared" si="0"/>
        <v>0.23529128672694252</v>
      </c>
      <c r="O9" s="74">
        <f t="shared" si="0"/>
        <v>0.23598884457252389</v>
      </c>
      <c r="P9" s="74">
        <f t="shared" si="0"/>
        <v>0.23983522028841706</v>
      </c>
      <c r="Q9" s="74">
        <f t="shared" si="0"/>
        <v>0.29763681487061072</v>
      </c>
      <c r="R9" s="74">
        <f t="shared" si="0"/>
        <v>0.39990493886555933</v>
      </c>
      <c r="S9" s="74">
        <f t="shared" si="0"/>
        <v>0.44617304945782815</v>
      </c>
      <c r="T9" s="74">
        <f t="shared" si="0"/>
        <v>0.46193793595548971</v>
      </c>
      <c r="U9" s="74">
        <f t="shared" si="0"/>
        <v>0.56497223449684553</v>
      </c>
      <c r="V9" s="74">
        <f t="shared" si="0"/>
        <v>0.74067149411099442</v>
      </c>
      <c r="W9" s="74">
        <f t="shared" si="0"/>
        <v>0.63935076229972454</v>
      </c>
      <c r="X9" s="74">
        <f t="shared" si="0"/>
        <v>0.64578576921984676</v>
      </c>
      <c r="Y9" s="74">
        <f t="shared" si="0"/>
        <v>0.55877778511661536</v>
      </c>
      <c r="Z9" s="74">
        <f t="shared" si="0"/>
        <v>0.5870333185765203</v>
      </c>
      <c r="AA9" s="74">
        <f t="shared" si="0"/>
        <v>0.62217613772530977</v>
      </c>
      <c r="AB9" s="74">
        <f t="shared" si="0"/>
        <v>0.63735447012846169</v>
      </c>
      <c r="AC9" s="74">
        <f t="shared" si="0"/>
        <v>0.77665533647804452</v>
      </c>
      <c r="AD9" s="74">
        <f t="shared" si="0"/>
        <v>0.77941654007671057</v>
      </c>
      <c r="AE9" s="74">
        <f t="shared" si="0"/>
        <v>0.56512302418516147</v>
      </c>
      <c r="AF9" s="74">
        <f t="shared" si="0"/>
        <v>0.65603510758516681</v>
      </c>
      <c r="AG9" s="74">
        <f t="shared" si="0"/>
        <v>0.78061131705341114</v>
      </c>
      <c r="AH9" s="74">
        <f t="shared" si="0"/>
        <v>0.75246648148495376</v>
      </c>
      <c r="AI9" s="74">
        <f t="shared" si="0"/>
        <v>0.67525795691746615</v>
      </c>
      <c r="AJ9" s="74">
        <f t="shared" si="0"/>
        <v>0.61024586095120659</v>
      </c>
      <c r="AK9" s="74">
        <f t="shared" si="0"/>
        <v>0.66251517952552874</v>
      </c>
      <c r="AL9" s="74">
        <f t="shared" si="0"/>
        <v>0.6491320585174537</v>
      </c>
      <c r="AM9" s="74">
        <f t="shared" si="0"/>
        <v>0.56341185399665639</v>
      </c>
      <c r="AN9" s="74">
        <f t="shared" si="0"/>
        <v>0.64428050701698036</v>
      </c>
      <c r="AO9" s="74">
        <f t="shared" si="0"/>
        <v>0.67520331513872089</v>
      </c>
      <c r="AP9" s="74">
        <f t="shared" si="0"/>
        <v>0.61495057573611278</v>
      </c>
      <c r="AQ9" s="74">
        <f t="shared" si="0"/>
        <v>0.5555543436677024</v>
      </c>
      <c r="AR9" s="74">
        <f t="shared" si="0"/>
        <v>0.54824484206651181</v>
      </c>
      <c r="AS9" s="74">
        <f t="shared" si="0"/>
        <v>0.66134140163723054</v>
      </c>
      <c r="AT9" s="74">
        <f t="shared" si="0"/>
        <v>0.70537569520603138</v>
      </c>
      <c r="AU9" s="74">
        <f t="shared" si="0"/>
        <v>0.58777375988665215</v>
      </c>
      <c r="AV9" s="74">
        <f t="shared" si="0"/>
        <v>0.60280016493258393</v>
      </c>
      <c r="AW9" s="74">
        <f t="shared" si="0"/>
        <v>0.57445773345708329</v>
      </c>
      <c r="AX9" s="74">
        <f t="shared" si="0"/>
        <v>0.4911943345642415</v>
      </c>
      <c r="AY9" s="74">
        <f t="shared" si="0"/>
        <v>0.4911943345642415</v>
      </c>
      <c r="AZ9" s="74">
        <f t="shared" si="0"/>
        <v>0.51224937755529221</v>
      </c>
      <c r="BA9" s="74">
        <f t="shared" si="0"/>
        <v>0.51845984808165135</v>
      </c>
      <c r="BB9" s="74">
        <f t="shared" si="0"/>
        <v>0.55753372202397378</v>
      </c>
      <c r="BC9" s="74">
        <f t="shared" si="0"/>
        <v>0.57602439996562516</v>
      </c>
      <c r="BD9" s="74">
        <f t="shared" si="0"/>
        <v>0.58217758215462334</v>
      </c>
      <c r="BE9" s="74">
        <f t="shared" si="0"/>
        <v>0.57573300211837408</v>
      </c>
      <c r="BF9" s="74">
        <f t="shared" si="0"/>
        <v>0.61827237896875697</v>
      </c>
      <c r="BG9" s="74">
        <f t="shared" ref="BG9:BN9" si="1">$F$9*BG4</f>
        <v>0.68441439984968344</v>
      </c>
      <c r="BH9" s="74">
        <f t="shared" si="1"/>
        <v>0.68347684587728663</v>
      </c>
      <c r="BI9" s="74">
        <f t="shared" si="1"/>
        <v>0.70664555251719463</v>
      </c>
      <c r="BJ9" s="74">
        <f t="shared" si="1"/>
        <v>0.70664555251719463</v>
      </c>
      <c r="BK9" s="74">
        <f t="shared" si="1"/>
        <v>0.71646007407993351</v>
      </c>
      <c r="BL9" s="74">
        <f t="shared" si="1"/>
        <v>0.59256458774344478</v>
      </c>
      <c r="BM9" s="74">
        <f t="shared" si="1"/>
        <v>0.59175507327931431</v>
      </c>
      <c r="BN9" s="74">
        <f t="shared" si="1"/>
        <v>0.61262691972649963</v>
      </c>
      <c r="BO9" s="74">
        <f t="shared" ref="BO9:BV9" si="2">$F$9*BO4</f>
        <v>0.66006347429122703</v>
      </c>
      <c r="BP9" s="74">
        <f t="shared" si="2"/>
        <v>0.66006347429122703</v>
      </c>
      <c r="BQ9" s="74">
        <f t="shared" si="2"/>
        <v>0.67493814413440967</v>
      </c>
      <c r="BR9" s="74">
        <f t="shared" si="2"/>
        <v>0.58430136913530872</v>
      </c>
      <c r="BS9" s="74">
        <f t="shared" si="2"/>
        <v>0.56191647697730218</v>
      </c>
      <c r="BT9" s="74">
        <f t="shared" si="2"/>
        <v>0.54994696650413022</v>
      </c>
      <c r="BU9" s="74">
        <f t="shared" si="2"/>
        <v>0.57980768556030593</v>
      </c>
      <c r="BV9" s="74">
        <f t="shared" si="2"/>
        <v>0.58296127939452447</v>
      </c>
      <c r="BW9" s="74">
        <f>$F$9*BW4</f>
        <v>0.54722925999917338</v>
      </c>
      <c r="BX9" s="74">
        <f>$F$9*BX4</f>
        <v>0.54701178984367715</v>
      </c>
      <c r="BY9" s="74">
        <f>$F$9*BY4</f>
        <v>0.55108501236555718</v>
      </c>
      <c r="BZ9" s="74">
        <f>$F$9*BZ4</f>
        <v>0.58081981519103687</v>
      </c>
      <c r="CA9" s="74">
        <f t="shared" ref="CA9:CG9" si="3">$F$9*CA4</f>
        <v>0.5743572859538626</v>
      </c>
      <c r="CB9" s="74">
        <f t="shared" si="3"/>
        <v>0.57384856383223137</v>
      </c>
      <c r="CC9" s="74">
        <f t="shared" si="3"/>
        <v>0.57355956750114889</v>
      </c>
      <c r="CD9" s="74">
        <f t="shared" si="3"/>
        <v>0.55004297271987301</v>
      </c>
      <c r="CE9" s="74">
        <f t="shared" si="3"/>
        <v>0.54895780058459376</v>
      </c>
      <c r="CF9" s="74">
        <f t="shared" si="3"/>
        <v>0.5953701551974715</v>
      </c>
      <c r="CG9" s="74">
        <f t="shared" si="3"/>
        <v>0.60587930351416452</v>
      </c>
      <c r="CH9" s="74">
        <f>$F$9*CH4</f>
        <v>0.65201554391474958</v>
      </c>
      <c r="CI9" s="74">
        <f>$F$9*CI4</f>
        <v>0.65111496995906626</v>
      </c>
      <c r="CJ9" s="74">
        <f>$F$9*CJ4</f>
        <v>0.65111496995906626</v>
      </c>
      <c r="CK9" s="74">
        <f t="shared" ref="CK9:CP9" si="4">$F$9*CK4</f>
        <v>0.6381367963501553</v>
      </c>
      <c r="CL9" s="74">
        <f t="shared" si="4"/>
        <v>0.60690835860762604</v>
      </c>
      <c r="CM9" s="74">
        <f t="shared" si="4"/>
        <v>0.585709318978472</v>
      </c>
      <c r="CN9" s="74">
        <f t="shared" si="4"/>
        <v>0.585709318978472</v>
      </c>
      <c r="CO9" s="74">
        <f t="shared" si="4"/>
        <v>0.585709318978472</v>
      </c>
      <c r="CP9" s="74">
        <f t="shared" si="4"/>
        <v>0.585709318978472</v>
      </c>
      <c r="CQ9" s="74">
        <f>$F$9*CQ4</f>
        <v>0.62902611847669976</v>
      </c>
      <c r="CR9" s="74">
        <f>$F$9*CR4</f>
        <v>0.63162175319848191</v>
      </c>
      <c r="CS9" s="74">
        <f t="shared" ref="CS9:DY9" si="5">$F$9*CS4</f>
        <v>0.62988174836873412</v>
      </c>
      <c r="CT9" s="74">
        <f t="shared" si="5"/>
        <v>0.58765655666929295</v>
      </c>
      <c r="CU9" s="74">
        <f t="shared" si="5"/>
        <v>0.57085455254177286</v>
      </c>
      <c r="CV9" s="74">
        <f t="shared" si="5"/>
        <v>0.57085455254177286</v>
      </c>
      <c r="CW9" s="74">
        <f t="shared" si="5"/>
        <v>0.54337901493001617</v>
      </c>
      <c r="CX9" s="74">
        <f t="shared" si="5"/>
        <v>0.51074767542056332</v>
      </c>
      <c r="CY9" s="74">
        <f t="shared" si="5"/>
        <v>0.55302586142027466</v>
      </c>
      <c r="CZ9" s="74">
        <f t="shared" si="5"/>
        <v>0.55225563041551096</v>
      </c>
      <c r="DA9" s="74">
        <f t="shared" si="5"/>
        <v>0.52629220308156688</v>
      </c>
      <c r="DB9" s="74">
        <f t="shared" si="5"/>
        <v>0.53522645085863463</v>
      </c>
      <c r="DC9" s="74">
        <f t="shared" si="5"/>
        <v>0.56589230110685862</v>
      </c>
      <c r="DD9" s="74">
        <f t="shared" si="5"/>
        <v>0.55174578576167888</v>
      </c>
      <c r="DE9" s="74">
        <f t="shared" si="5"/>
        <v>0.52767768573113283</v>
      </c>
      <c r="DF9" s="74">
        <f t="shared" si="5"/>
        <v>0.53068439619113916</v>
      </c>
      <c r="DG9" s="74">
        <f t="shared" si="5"/>
        <v>0.53871533439015762</v>
      </c>
      <c r="DH9" s="74">
        <f t="shared" si="5"/>
        <v>0.56562202708023612</v>
      </c>
      <c r="DI9" s="74">
        <f t="shared" si="5"/>
        <v>0.51590792044846268</v>
      </c>
      <c r="DJ9" s="74">
        <f t="shared" si="5"/>
        <v>0.47902184316498292</v>
      </c>
      <c r="DK9" s="74">
        <f t="shared" si="5"/>
        <v>0.48104303237664936</v>
      </c>
      <c r="DL9" s="74">
        <f t="shared" si="5"/>
        <v>0.49385271414710968</v>
      </c>
      <c r="DM9" s="74">
        <f t="shared" si="5"/>
        <v>0.47175661068391594</v>
      </c>
      <c r="DN9" s="74">
        <f t="shared" si="5"/>
        <v>0.4833735419182108</v>
      </c>
      <c r="DO9" s="74">
        <f t="shared" si="5"/>
        <v>0.48270865396509088</v>
      </c>
      <c r="DP9" s="74">
        <f t="shared" si="5"/>
        <v>0.4924279671219331</v>
      </c>
      <c r="DQ9" s="74">
        <f t="shared" si="5"/>
        <v>0.46658759462445459</v>
      </c>
      <c r="DR9" s="74">
        <f t="shared" si="5"/>
        <v>0.48268138833141705</v>
      </c>
      <c r="DS9" s="74" t="e">
        <f t="shared" si="5"/>
        <v>#DIV/0!</v>
      </c>
      <c r="DT9" s="74" t="e">
        <f t="shared" si="5"/>
        <v>#DIV/0!</v>
      </c>
      <c r="DU9" s="74" t="e">
        <f t="shared" si="5"/>
        <v>#DIV/0!</v>
      </c>
      <c r="DV9" s="74" t="e">
        <f t="shared" si="5"/>
        <v>#DIV/0!</v>
      </c>
      <c r="DW9" s="74">
        <f t="shared" si="5"/>
        <v>0</v>
      </c>
      <c r="DX9" s="74">
        <f t="shared" si="5"/>
        <v>0</v>
      </c>
      <c r="DY9" s="74">
        <f t="shared" si="5"/>
        <v>0</v>
      </c>
    </row>
    <row r="10" spans="1:153">
      <c r="A10" s="63"/>
      <c r="B10" s="62" t="s">
        <v>616</v>
      </c>
      <c r="C10" s="60">
        <v>1</v>
      </c>
      <c r="D10" s="64">
        <f>B5</f>
        <v>143.19</v>
      </c>
      <c r="E10" s="60">
        <f>D10*C10</f>
        <v>143.19</v>
      </c>
      <c r="F10" s="65">
        <f>E10/D2</f>
        <v>0.65300072966070777</v>
      </c>
      <c r="H10" s="74">
        <f>$F$10*H5</f>
        <v>1.0578439559007347</v>
      </c>
      <c r="I10" s="74">
        <f t="shared" ref="I10:BF10" si="6">$F$10*I5</f>
        <v>1.0550560204934845</v>
      </c>
      <c r="J10" s="74">
        <f t="shared" si="6"/>
        <v>1.0521424695252859</v>
      </c>
      <c r="K10" s="74">
        <f t="shared" si="6"/>
        <v>0.97921226423335095</v>
      </c>
      <c r="L10" s="74">
        <f t="shared" si="6"/>
        <v>1.0202865842134188</v>
      </c>
      <c r="M10" s="74">
        <f t="shared" si="6"/>
        <v>1.0113510694869872</v>
      </c>
      <c r="N10" s="74">
        <f t="shared" si="6"/>
        <v>1.0110846499549615</v>
      </c>
      <c r="O10" s="74">
        <f t="shared" si="6"/>
        <v>0.98241801991671807</v>
      </c>
      <c r="P10" s="74">
        <f t="shared" si="6"/>
        <v>0.94209255398098091</v>
      </c>
      <c r="Q10" s="74">
        <f t="shared" si="6"/>
        <v>1.0677761817932225</v>
      </c>
      <c r="R10" s="74">
        <f t="shared" si="6"/>
        <v>1.1459340354773158</v>
      </c>
      <c r="S10" s="74">
        <f t="shared" si="6"/>
        <v>1.1539360487871901</v>
      </c>
      <c r="T10" s="74">
        <f t="shared" si="6"/>
        <v>1.7330351017245489</v>
      </c>
      <c r="U10" s="74">
        <f t="shared" si="6"/>
        <v>1.7804151337643679</v>
      </c>
      <c r="V10" s="74">
        <f t="shared" si="6"/>
        <v>1.8007824882900914</v>
      </c>
      <c r="W10" s="74">
        <f t="shared" si="6"/>
        <v>1.02027247552292</v>
      </c>
      <c r="X10" s="74">
        <f t="shared" si="6"/>
        <v>1.1408633134734254</v>
      </c>
      <c r="Y10" s="74">
        <f t="shared" si="6"/>
        <v>1.2128099194147481</v>
      </c>
      <c r="Z10" s="74">
        <f t="shared" si="6"/>
        <v>1.0719044318042545</v>
      </c>
      <c r="AA10" s="74">
        <f t="shared" si="6"/>
        <v>1.088150476028295</v>
      </c>
      <c r="AB10" s="74">
        <f t="shared" si="6"/>
        <v>1.0887147246019786</v>
      </c>
      <c r="AC10" s="74">
        <f t="shared" si="6"/>
        <v>1.4271154066367084</v>
      </c>
      <c r="AD10" s="74">
        <f t="shared" si="6"/>
        <v>1.3969210369429894</v>
      </c>
      <c r="AE10" s="74">
        <f t="shared" si="6"/>
        <v>1.4762038015207015</v>
      </c>
      <c r="AF10" s="74">
        <f t="shared" si="6"/>
        <v>1.7361968651924473</v>
      </c>
      <c r="AG10" s="74">
        <f t="shared" si="6"/>
        <v>1.7883632084083894</v>
      </c>
      <c r="AH10" s="74">
        <f t="shared" si="6"/>
        <v>1.57528301414032</v>
      </c>
      <c r="AI10" s="74">
        <f t="shared" si="6"/>
        <v>1.4583587393900712</v>
      </c>
      <c r="AJ10" s="74">
        <f t="shared" si="6"/>
        <v>1.6633272126602727</v>
      </c>
      <c r="AK10" s="74">
        <f t="shared" si="6"/>
        <v>1.6801537882180098</v>
      </c>
      <c r="AL10" s="74">
        <f t="shared" si="6"/>
        <v>1.8049960859615872</v>
      </c>
      <c r="AM10" s="74">
        <f t="shared" si="6"/>
        <v>1.6933519072013459</v>
      </c>
      <c r="AN10" s="74">
        <f t="shared" si="6"/>
        <v>1.4926728714095847</v>
      </c>
      <c r="AO10" s="74">
        <f t="shared" si="6"/>
        <v>1.5092109737661707</v>
      </c>
      <c r="AP10" s="74">
        <f t="shared" si="6"/>
        <v>1.5045435772953761</v>
      </c>
      <c r="AQ10" s="74">
        <f t="shared" si="6"/>
        <v>1.5235306042580912</v>
      </c>
      <c r="AR10" s="74">
        <f t="shared" si="6"/>
        <v>1.6199276101008062</v>
      </c>
      <c r="AS10" s="74">
        <f t="shared" si="6"/>
        <v>1.3533450235497992</v>
      </c>
      <c r="AT10" s="74">
        <f t="shared" si="6"/>
        <v>1.2990031920831815</v>
      </c>
      <c r="AU10" s="74">
        <f t="shared" si="6"/>
        <v>1.2375396753009851</v>
      </c>
      <c r="AV10" s="74">
        <f t="shared" si="6"/>
        <v>1.2317926851514047</v>
      </c>
      <c r="AW10" s="74">
        <f t="shared" si="6"/>
        <v>1.237833819773805</v>
      </c>
      <c r="AX10" s="74">
        <f t="shared" si="6"/>
        <v>1.2349603246990148</v>
      </c>
      <c r="AY10" s="74">
        <f t="shared" si="6"/>
        <v>1.2349603246990148</v>
      </c>
      <c r="AZ10" s="74">
        <f t="shared" si="6"/>
        <v>1.3343259759211965</v>
      </c>
      <c r="BA10" s="74">
        <f t="shared" si="6"/>
        <v>1.3343259759211965</v>
      </c>
      <c r="BB10" s="74">
        <f t="shared" si="6"/>
        <v>1.3343259759211965</v>
      </c>
      <c r="BC10" s="74">
        <f t="shared" si="6"/>
        <v>1.2174252097774534</v>
      </c>
      <c r="BD10" s="74">
        <f t="shared" si="6"/>
        <v>1.2174252097774534</v>
      </c>
      <c r="BE10" s="74">
        <f t="shared" si="6"/>
        <v>1.2174252097774534</v>
      </c>
      <c r="BF10" s="74">
        <f t="shared" si="6"/>
        <v>1.2174252097774534</v>
      </c>
      <c r="BG10" s="74">
        <f t="shared" ref="BG10:BN10" si="7">$F$10*BG5</f>
        <v>1.2524954396205763</v>
      </c>
      <c r="BH10" s="74">
        <f t="shared" si="7"/>
        <v>1.2524954396205763</v>
      </c>
      <c r="BI10" s="74">
        <f t="shared" si="7"/>
        <v>1.1940450565487049</v>
      </c>
      <c r="BJ10" s="74">
        <f t="shared" si="7"/>
        <v>1.1940450565487049</v>
      </c>
      <c r="BK10" s="74">
        <f t="shared" si="7"/>
        <v>1.2055390368478656</v>
      </c>
      <c r="BL10" s="74">
        <f t="shared" si="7"/>
        <v>1.2055390368478656</v>
      </c>
      <c r="BM10" s="74">
        <f t="shared" si="7"/>
        <v>1.2481726559649764</v>
      </c>
      <c r="BN10" s="74">
        <f t="shared" si="7"/>
        <v>1.2481726559649764</v>
      </c>
      <c r="BO10" s="74">
        <f t="shared" ref="BO10:BV10" si="8">$F$10*BO5</f>
        <v>1.2189474644290403</v>
      </c>
      <c r="BP10" s="74">
        <f t="shared" si="8"/>
        <v>1.2189474644290403</v>
      </c>
      <c r="BQ10" s="74">
        <f t="shared" si="8"/>
        <v>1.2189474644290403</v>
      </c>
      <c r="BR10" s="74">
        <f t="shared" si="8"/>
        <v>1.2189474644290403</v>
      </c>
      <c r="BS10" s="74">
        <f t="shared" si="8"/>
        <v>1.2189474644290403</v>
      </c>
      <c r="BT10" s="74">
        <f t="shared" si="8"/>
        <v>1.2247925027362276</v>
      </c>
      <c r="BU10" s="74">
        <f t="shared" si="8"/>
        <v>1.2247925027362276</v>
      </c>
      <c r="BV10" s="74">
        <f t="shared" si="8"/>
        <v>1.2276659978110178</v>
      </c>
      <c r="BW10" s="74">
        <f>$F$10*BW5</f>
        <v>1.2276659978110178</v>
      </c>
      <c r="BX10" s="74">
        <f>$F$10*BX5</f>
        <v>1.2276659978110178</v>
      </c>
      <c r="BY10" s="74">
        <f>$F$10*BY5</f>
        <v>1.2276659978110178</v>
      </c>
      <c r="BZ10" s="74">
        <f>$F$10*BZ5</f>
        <v>1.2276659978110178</v>
      </c>
      <c r="CA10" s="74">
        <f t="shared" ref="CA10:CG10" si="9">$F$10*CA5</f>
        <v>1.2276659978110178</v>
      </c>
      <c r="CB10" s="74">
        <f t="shared" si="9"/>
        <v>1.2802713425757022</v>
      </c>
      <c r="CC10" s="74">
        <f t="shared" si="9"/>
        <v>1.2802713425757022</v>
      </c>
      <c r="CD10" s="74">
        <f t="shared" si="9"/>
        <v>1.2802713425757022</v>
      </c>
      <c r="CE10" s="74">
        <f t="shared" si="9"/>
        <v>1.2802713425757022</v>
      </c>
      <c r="CF10" s="74">
        <f t="shared" si="9"/>
        <v>1.2802713425757022</v>
      </c>
      <c r="CG10" s="74">
        <f t="shared" si="9"/>
        <v>1.2802713425757022</v>
      </c>
      <c r="CH10" s="74">
        <f>$F$10*CH5</f>
        <v>1.2802713425757022</v>
      </c>
      <c r="CI10" s="74">
        <f>$F$10*CI5</f>
        <v>1.2627362276541407</v>
      </c>
      <c r="CJ10" s="74">
        <f>$F$10*CJ5</f>
        <v>1.2276659978110178</v>
      </c>
      <c r="CK10" s="74">
        <f t="shared" ref="CK10:CP10" si="10">$F$10*CK5</f>
        <v>1.2276659978110178</v>
      </c>
      <c r="CL10" s="74">
        <f t="shared" si="10"/>
        <v>1.2276659978110178</v>
      </c>
      <c r="CM10" s="74">
        <f t="shared" si="10"/>
        <v>1.2276659978110178</v>
      </c>
      <c r="CN10" s="74">
        <f t="shared" si="10"/>
        <v>1.2276659978110178</v>
      </c>
      <c r="CO10" s="74">
        <f t="shared" si="10"/>
        <v>1.2276659978110178</v>
      </c>
      <c r="CP10" s="74">
        <f t="shared" si="10"/>
        <v>1.2276659978110178</v>
      </c>
      <c r="CQ10" s="74">
        <f>$F$10*CQ5</f>
        <v>1.2276659978110178</v>
      </c>
      <c r="CR10" s="74">
        <f>$F$10*CR5</f>
        <v>1.2276659978110178</v>
      </c>
      <c r="CS10" s="74">
        <f t="shared" ref="CS10:DY10" si="11">$F$10*CS5</f>
        <v>1.2276659978110178</v>
      </c>
      <c r="CT10" s="74">
        <f t="shared" si="11"/>
        <v>1.2276659978110178</v>
      </c>
      <c r="CU10" s="74">
        <f t="shared" si="11"/>
        <v>1.2276659978110178</v>
      </c>
      <c r="CV10" s="74">
        <f t="shared" si="11"/>
        <v>1.2276659978110178</v>
      </c>
      <c r="CW10" s="74">
        <f t="shared" si="11"/>
        <v>1.2276659978110178</v>
      </c>
      <c r="CX10" s="74">
        <f t="shared" si="11"/>
        <v>1.2276659978110178</v>
      </c>
      <c r="CY10" s="74">
        <f t="shared" si="11"/>
        <v>1.2276659978110178</v>
      </c>
      <c r="CZ10" s="74">
        <f t="shared" si="11"/>
        <v>1.2276659978110178</v>
      </c>
      <c r="DA10" s="74">
        <f t="shared" si="11"/>
        <v>1.2276659978110178</v>
      </c>
      <c r="DB10" s="74">
        <f t="shared" si="11"/>
        <v>1.2276659978110178</v>
      </c>
      <c r="DC10" s="74">
        <f t="shared" si="11"/>
        <v>1.2276659978110178</v>
      </c>
      <c r="DD10" s="74">
        <f t="shared" si="11"/>
        <v>1.2276659978110178</v>
      </c>
      <c r="DE10" s="74">
        <f t="shared" si="11"/>
        <v>1.2276659978110178</v>
      </c>
      <c r="DF10" s="74">
        <f t="shared" si="11"/>
        <v>1.2276659978110178</v>
      </c>
      <c r="DG10" s="74">
        <f t="shared" si="11"/>
        <v>1.2919614191900766</v>
      </c>
      <c r="DH10" s="74">
        <f t="shared" si="11"/>
        <v>1.2919614191900766</v>
      </c>
      <c r="DI10" s="74">
        <f t="shared" si="11"/>
        <v>1.2919614191900766</v>
      </c>
      <c r="DJ10" s="74">
        <f t="shared" si="11"/>
        <v>1.2919614191900766</v>
      </c>
      <c r="DK10" s="74">
        <f t="shared" si="11"/>
        <v>1.2919614191900766</v>
      </c>
      <c r="DL10" s="74">
        <f t="shared" si="11"/>
        <v>1.3387217256475739</v>
      </c>
      <c r="DM10" s="74">
        <f t="shared" si="11"/>
        <v>1.3387217256475739</v>
      </c>
      <c r="DN10" s="74">
        <f t="shared" si="11"/>
        <v>1.3387217256475739</v>
      </c>
      <c r="DO10" s="74">
        <f t="shared" si="11"/>
        <v>1.3387217256475739</v>
      </c>
      <c r="DP10" s="74">
        <f t="shared" si="11"/>
        <v>1.3387217256475739</v>
      </c>
      <c r="DQ10" s="74">
        <f t="shared" si="11"/>
        <v>1.3387217256475739</v>
      </c>
      <c r="DR10" s="74">
        <f t="shared" si="11"/>
        <v>1.164412167092302</v>
      </c>
      <c r="DS10" s="74">
        <f t="shared" si="11"/>
        <v>0</v>
      </c>
      <c r="DT10" s="74">
        <f t="shared" si="11"/>
        <v>0</v>
      </c>
      <c r="DU10" s="74">
        <f t="shared" si="11"/>
        <v>0</v>
      </c>
      <c r="DV10" s="74">
        <f t="shared" si="11"/>
        <v>0</v>
      </c>
      <c r="DW10" s="74">
        <f t="shared" si="11"/>
        <v>0</v>
      </c>
      <c r="DX10" s="74">
        <f t="shared" si="11"/>
        <v>0</v>
      </c>
      <c r="DY10" s="74">
        <f t="shared" si="11"/>
        <v>0</v>
      </c>
    </row>
    <row r="11" spans="1:153">
      <c r="A11" s="59"/>
      <c r="B11" s="59"/>
      <c r="C11" s="59"/>
      <c r="D11" s="59"/>
      <c r="E11" s="59"/>
      <c r="F11" s="59" t="s">
        <v>400</v>
      </c>
      <c r="G11" s="59"/>
      <c r="H11" s="94">
        <f t="shared" ref="H11:BF11" si="12">SUM(H9:H10)</f>
        <v>1.4100303557942593</v>
      </c>
      <c r="I11" s="94">
        <f t="shared" si="12"/>
        <v>1.4044619616741953</v>
      </c>
      <c r="J11" s="94">
        <f t="shared" si="12"/>
        <v>1.4059234749499403</v>
      </c>
      <c r="K11" s="94">
        <f t="shared" si="12"/>
        <v>1.2790161913329607</v>
      </c>
      <c r="L11" s="94">
        <f t="shared" si="12"/>
        <v>1.2730565720276181</v>
      </c>
      <c r="M11" s="94">
        <f t="shared" si="12"/>
        <v>1.2471812024862072</v>
      </c>
      <c r="N11" s="94">
        <f t="shared" si="12"/>
        <v>1.2463759366819041</v>
      </c>
      <c r="O11" s="94">
        <f t="shared" si="12"/>
        <v>1.2184068644892418</v>
      </c>
      <c r="P11" s="94">
        <f t="shared" si="12"/>
        <v>1.1819277742693979</v>
      </c>
      <c r="Q11" s="94">
        <f t="shared" si="12"/>
        <v>1.3654129966638333</v>
      </c>
      <c r="R11" s="94">
        <f t="shared" si="12"/>
        <v>1.5458389743428751</v>
      </c>
      <c r="S11" s="94">
        <f t="shared" si="12"/>
        <v>1.6001090982450183</v>
      </c>
      <c r="T11" s="94">
        <f t="shared" si="12"/>
        <v>2.1949730376800387</v>
      </c>
      <c r="U11" s="94">
        <f t="shared" si="12"/>
        <v>2.3453873682612132</v>
      </c>
      <c r="V11" s="94">
        <f t="shared" si="12"/>
        <v>2.5414539824010856</v>
      </c>
      <c r="W11" s="94">
        <f t="shared" si="12"/>
        <v>1.6596232378226445</v>
      </c>
      <c r="X11" s="94">
        <f t="shared" si="12"/>
        <v>1.7866490826932722</v>
      </c>
      <c r="Y11" s="94">
        <f t="shared" si="12"/>
        <v>1.7715877045313635</v>
      </c>
      <c r="Z11" s="94">
        <f t="shared" si="12"/>
        <v>1.6589377503807747</v>
      </c>
      <c r="AA11" s="94">
        <f t="shared" si="12"/>
        <v>1.7103266137536046</v>
      </c>
      <c r="AB11" s="94">
        <f t="shared" si="12"/>
        <v>1.7260691947304403</v>
      </c>
      <c r="AC11" s="94">
        <f t="shared" si="12"/>
        <v>2.2037707431147529</v>
      </c>
      <c r="AD11" s="94">
        <f t="shared" si="12"/>
        <v>2.1763375770196998</v>
      </c>
      <c r="AE11" s="94">
        <f t="shared" si="12"/>
        <v>2.041326825705863</v>
      </c>
      <c r="AF11" s="94">
        <f t="shared" si="12"/>
        <v>2.3922319727776142</v>
      </c>
      <c r="AG11" s="94">
        <f t="shared" si="12"/>
        <v>2.5689745254618006</v>
      </c>
      <c r="AH11" s="94">
        <f t="shared" si="12"/>
        <v>2.327749495625274</v>
      </c>
      <c r="AI11" s="94">
        <f t="shared" si="12"/>
        <v>2.1336166963075374</v>
      </c>
      <c r="AJ11" s="94">
        <f t="shared" si="12"/>
        <v>2.2735730736114794</v>
      </c>
      <c r="AK11" s="94">
        <f t="shared" si="12"/>
        <v>2.3426689677435384</v>
      </c>
      <c r="AL11" s="94">
        <f t="shared" si="12"/>
        <v>2.454128144479041</v>
      </c>
      <c r="AM11" s="94">
        <f t="shared" si="12"/>
        <v>2.2567637611980023</v>
      </c>
      <c r="AN11" s="94">
        <f t="shared" si="12"/>
        <v>2.1369533784265649</v>
      </c>
      <c r="AO11" s="94">
        <f t="shared" si="12"/>
        <v>2.1844142889048914</v>
      </c>
      <c r="AP11" s="94">
        <f t="shared" si="12"/>
        <v>2.1194941530314888</v>
      </c>
      <c r="AQ11" s="94">
        <f t="shared" si="12"/>
        <v>2.0790849479257938</v>
      </c>
      <c r="AR11" s="94">
        <f t="shared" si="12"/>
        <v>2.168172452167318</v>
      </c>
      <c r="AS11" s="94">
        <f t="shared" si="12"/>
        <v>2.0146864251870298</v>
      </c>
      <c r="AT11" s="94">
        <f t="shared" si="12"/>
        <v>2.0043788872892128</v>
      </c>
      <c r="AU11" s="94">
        <f t="shared" si="12"/>
        <v>1.8253134351876372</v>
      </c>
      <c r="AV11" s="94">
        <f t="shared" si="12"/>
        <v>1.8345928500839888</v>
      </c>
      <c r="AW11" s="94">
        <f t="shared" si="12"/>
        <v>1.8122915532308883</v>
      </c>
      <c r="AX11" s="94">
        <f t="shared" si="12"/>
        <v>1.7261546592632564</v>
      </c>
      <c r="AY11" s="94">
        <f t="shared" si="12"/>
        <v>1.7261546592632564</v>
      </c>
      <c r="AZ11" s="94">
        <f t="shared" si="12"/>
        <v>1.8465753534764886</v>
      </c>
      <c r="BA11" s="94">
        <f t="shared" si="12"/>
        <v>1.8527858240028479</v>
      </c>
      <c r="BB11" s="94">
        <f t="shared" si="12"/>
        <v>1.8918596979451703</v>
      </c>
      <c r="BC11" s="94">
        <f t="shared" si="12"/>
        <v>1.7934496097430785</v>
      </c>
      <c r="BD11" s="94">
        <f t="shared" si="12"/>
        <v>1.7996027919320767</v>
      </c>
      <c r="BE11" s="94">
        <f t="shared" si="12"/>
        <v>1.7931582118958276</v>
      </c>
      <c r="BF11" s="94">
        <f t="shared" si="12"/>
        <v>1.8356975887462104</v>
      </c>
      <c r="BG11" s="94">
        <f t="shared" ref="BG11:BN11" si="13">SUM(BG9:BG10)</f>
        <v>1.9369098394702597</v>
      </c>
      <c r="BH11" s="94">
        <f t="shared" si="13"/>
        <v>1.9359722854978629</v>
      </c>
      <c r="BI11" s="94">
        <f t="shared" si="13"/>
        <v>1.9006906090658995</v>
      </c>
      <c r="BJ11" s="94">
        <f t="shared" si="13"/>
        <v>1.9006906090658995</v>
      </c>
      <c r="BK11" s="94">
        <f t="shared" si="13"/>
        <v>1.921999110927799</v>
      </c>
      <c r="BL11" s="94">
        <f t="shared" si="13"/>
        <v>1.7981036245913105</v>
      </c>
      <c r="BM11" s="94">
        <f t="shared" si="13"/>
        <v>1.8399277292442906</v>
      </c>
      <c r="BN11" s="94">
        <f t="shared" si="13"/>
        <v>1.8607995756914759</v>
      </c>
      <c r="BO11" s="94">
        <f t="shared" ref="BO11:BV11" si="14">SUM(BO9:BO10)</f>
        <v>1.8790109387202674</v>
      </c>
      <c r="BP11" s="94">
        <f t="shared" si="14"/>
        <v>1.8790109387202674</v>
      </c>
      <c r="BQ11" s="94">
        <f t="shared" si="14"/>
        <v>1.8938856085634499</v>
      </c>
      <c r="BR11" s="94">
        <f t="shared" si="14"/>
        <v>1.8032488335643491</v>
      </c>
      <c r="BS11" s="94">
        <f t="shared" si="14"/>
        <v>1.7808639414063425</v>
      </c>
      <c r="BT11" s="94">
        <f t="shared" si="14"/>
        <v>1.774739469240358</v>
      </c>
      <c r="BU11" s="94">
        <f t="shared" si="14"/>
        <v>1.8046001882965337</v>
      </c>
      <c r="BV11" s="94">
        <f t="shared" si="14"/>
        <v>1.8106272772055423</v>
      </c>
      <c r="BW11" s="94">
        <f>SUM(BW9:BW10)</f>
        <v>1.7748952578101913</v>
      </c>
      <c r="BX11" s="94">
        <f>SUM(BX9:BX10)</f>
        <v>1.7746777876546949</v>
      </c>
      <c r="BY11" s="94">
        <f>SUM(BY9:BY10)</f>
        <v>1.7787510101765749</v>
      </c>
      <c r="BZ11" s="94">
        <f>SUM(BZ9:BZ10)</f>
        <v>1.8084858130020547</v>
      </c>
      <c r="CA11" s="94">
        <f t="shared" ref="CA11:CG11" si="15">SUM(CA9:CA10)</f>
        <v>1.8020232837648804</v>
      </c>
      <c r="CB11" s="94">
        <f t="shared" si="15"/>
        <v>1.8541199064079334</v>
      </c>
      <c r="CC11" s="94">
        <f t="shared" si="15"/>
        <v>1.8538309100768511</v>
      </c>
      <c r="CD11" s="94">
        <f t="shared" si="15"/>
        <v>1.8303143152955752</v>
      </c>
      <c r="CE11" s="94">
        <f t="shared" si="15"/>
        <v>1.8292291431602958</v>
      </c>
      <c r="CF11" s="94">
        <f t="shared" si="15"/>
        <v>1.8756414977731737</v>
      </c>
      <c r="CG11" s="94">
        <f t="shared" si="15"/>
        <v>1.8861506460898667</v>
      </c>
      <c r="CH11" s="94">
        <f>SUM(CH9:CH10)</f>
        <v>1.9322868864904517</v>
      </c>
      <c r="CI11" s="94">
        <f>SUM(CI9:CI10)</f>
        <v>1.9138511976132069</v>
      </c>
      <c r="CJ11" s="94">
        <f>SUM(CJ9:CJ10)</f>
        <v>1.878780967770084</v>
      </c>
      <c r="CK11" s="94">
        <f t="shared" ref="CK11:CP11" si="16">SUM(CK9:CK10)</f>
        <v>1.8658027941611732</v>
      </c>
      <c r="CL11" s="94">
        <f t="shared" si="16"/>
        <v>1.8345743564186439</v>
      </c>
      <c r="CM11" s="94">
        <f t="shared" si="16"/>
        <v>1.8133753167894899</v>
      </c>
      <c r="CN11" s="94">
        <f t="shared" si="16"/>
        <v>1.8133753167894899</v>
      </c>
      <c r="CO11" s="94">
        <f t="shared" si="16"/>
        <v>1.8133753167894899</v>
      </c>
      <c r="CP11" s="94">
        <f t="shared" si="16"/>
        <v>1.8133753167894899</v>
      </c>
      <c r="CQ11" s="94">
        <f>SUM(CQ9:CQ10)</f>
        <v>1.8566921162877175</v>
      </c>
      <c r="CR11" s="94">
        <f>SUM(CR9:CR10)</f>
        <v>1.8592877510094996</v>
      </c>
      <c r="CS11" s="94">
        <f t="shared" ref="CS11:DY11" si="17">SUM(CS9:CS10)</f>
        <v>1.857547746179752</v>
      </c>
      <c r="CT11" s="94">
        <f t="shared" si="17"/>
        <v>1.8153225544803107</v>
      </c>
      <c r="CU11" s="94">
        <f t="shared" si="17"/>
        <v>1.7985205503527908</v>
      </c>
      <c r="CV11" s="94">
        <f t="shared" si="17"/>
        <v>1.7985205503527908</v>
      </c>
      <c r="CW11" s="94">
        <f t="shared" si="17"/>
        <v>1.771045012741034</v>
      </c>
      <c r="CX11" s="94">
        <f t="shared" si="17"/>
        <v>1.7384136732315811</v>
      </c>
      <c r="CY11" s="94">
        <f t="shared" si="17"/>
        <v>1.7806918592312924</v>
      </c>
      <c r="CZ11" s="94">
        <f t="shared" si="17"/>
        <v>1.7799216282265289</v>
      </c>
      <c r="DA11" s="94">
        <f t="shared" si="17"/>
        <v>1.7539582008925847</v>
      </c>
      <c r="DB11" s="94">
        <f t="shared" si="17"/>
        <v>1.7628924486696524</v>
      </c>
      <c r="DC11" s="94">
        <f t="shared" si="17"/>
        <v>1.7935582989178764</v>
      </c>
      <c r="DD11" s="94">
        <f t="shared" si="17"/>
        <v>1.7794117835726966</v>
      </c>
      <c r="DE11" s="94">
        <f t="shared" si="17"/>
        <v>1.7553436835421508</v>
      </c>
      <c r="DF11" s="94">
        <f t="shared" si="17"/>
        <v>1.758350394002157</v>
      </c>
      <c r="DG11" s="94">
        <f t="shared" si="17"/>
        <v>1.8306767535802342</v>
      </c>
      <c r="DH11" s="94">
        <f t="shared" si="17"/>
        <v>1.8575834462703127</v>
      </c>
      <c r="DI11" s="94">
        <f t="shared" si="17"/>
        <v>1.8078693396385392</v>
      </c>
      <c r="DJ11" s="94">
        <f t="shared" si="17"/>
        <v>1.7709832623550594</v>
      </c>
      <c r="DK11" s="94">
        <f t="shared" si="17"/>
        <v>1.773004451566726</v>
      </c>
      <c r="DL11" s="94">
        <f t="shared" si="17"/>
        <v>1.8325744397946835</v>
      </c>
      <c r="DM11" s="94">
        <f t="shared" si="17"/>
        <v>1.8104783363314898</v>
      </c>
      <c r="DN11" s="94">
        <f t="shared" si="17"/>
        <v>1.8220952675657847</v>
      </c>
      <c r="DO11" s="94">
        <f t="shared" si="17"/>
        <v>1.8214303796126647</v>
      </c>
      <c r="DP11" s="94">
        <f t="shared" si="17"/>
        <v>1.831149692769507</v>
      </c>
      <c r="DQ11" s="94">
        <f t="shared" si="17"/>
        <v>1.8053093202720285</v>
      </c>
      <c r="DR11" s="94">
        <f t="shared" si="17"/>
        <v>1.6470935554237189</v>
      </c>
      <c r="DS11" s="94" t="e">
        <f t="shared" si="17"/>
        <v>#DIV/0!</v>
      </c>
      <c r="DT11" s="94" t="e">
        <f t="shared" si="17"/>
        <v>#DIV/0!</v>
      </c>
      <c r="DU11" s="94" t="e">
        <f t="shared" si="17"/>
        <v>#DIV/0!</v>
      </c>
      <c r="DV11" s="94" t="e">
        <f t="shared" si="17"/>
        <v>#DIV/0!</v>
      </c>
      <c r="DW11" s="94">
        <f t="shared" si="17"/>
        <v>0</v>
      </c>
      <c r="DX11" s="94">
        <f t="shared" si="17"/>
        <v>0</v>
      </c>
      <c r="DY11" s="94">
        <f t="shared" si="17"/>
        <v>0</v>
      </c>
    </row>
    <row r="12" spans="1:153">
      <c r="A12" s="30"/>
      <c r="H12" s="70"/>
      <c r="I12" s="70"/>
      <c r="J12" s="70"/>
      <c r="K12" s="70"/>
      <c r="L12" s="70"/>
      <c r="M12" s="70"/>
      <c r="N12" s="70"/>
      <c r="O12" s="70"/>
      <c r="P12" s="70"/>
      <c r="Q12" s="70"/>
      <c r="R12" s="70"/>
      <c r="S12" s="70"/>
    </row>
    <row r="13" spans="1:153">
      <c r="A13" s="76"/>
      <c r="F13" s="172" t="s">
        <v>429</v>
      </c>
      <c r="H13" s="70"/>
      <c r="I13" s="70"/>
      <c r="J13" s="70"/>
      <c r="K13" s="70"/>
      <c r="L13" s="70"/>
      <c r="M13" s="70"/>
      <c r="N13" s="70"/>
      <c r="O13" s="70"/>
      <c r="P13" s="70"/>
      <c r="Q13" s="70"/>
      <c r="R13" s="70"/>
      <c r="S13" s="70"/>
      <c r="T13" s="60">
        <v>8.23</v>
      </c>
      <c r="W13" s="60">
        <v>9</v>
      </c>
      <c r="X13" s="60">
        <v>8.56</v>
      </c>
      <c r="Y13" s="60">
        <v>8.24</v>
      </c>
      <c r="AB13" s="60">
        <v>10.85</v>
      </c>
      <c r="AC13" s="60">
        <v>9.5</v>
      </c>
      <c r="AD13" s="60">
        <v>9.5</v>
      </c>
      <c r="AH13" s="60">
        <v>9.65</v>
      </c>
      <c r="AI13" s="60">
        <v>9.65</v>
      </c>
      <c r="AK13" s="60">
        <v>9.17</v>
      </c>
      <c r="AN13" s="60">
        <v>8.4600000000000009</v>
      </c>
      <c r="AT13" s="60">
        <v>6.92</v>
      </c>
    </row>
    <row r="14" spans="1:153">
      <c r="A14" s="30"/>
      <c r="F14" s="170" t="s">
        <v>406</v>
      </c>
      <c r="H14" s="70"/>
      <c r="I14" s="70"/>
      <c r="J14" s="70"/>
      <c r="K14" s="70"/>
      <c r="L14" s="70"/>
      <c r="M14" s="70"/>
      <c r="N14" s="70"/>
      <c r="O14" s="70"/>
      <c r="P14" s="70"/>
      <c r="Q14" s="70"/>
      <c r="R14" s="70"/>
      <c r="S14" s="70"/>
      <c r="T14" s="65">
        <f>T13-T11</f>
        <v>6.0350269623199617</v>
      </c>
      <c r="W14" s="65">
        <f>W13-W11</f>
        <v>7.340376762177355</v>
      </c>
      <c r="X14" s="65">
        <f>X13-X11</f>
        <v>6.7733509173067281</v>
      </c>
      <c r="Y14" s="65">
        <f>Y13-Y11</f>
        <v>6.4684122954686369</v>
      </c>
      <c r="AB14" s="65">
        <f>AB13-AB11</f>
        <v>9.1239308052695591</v>
      </c>
      <c r="AC14" s="65">
        <f>AC13-AC11</f>
        <v>7.2962292568852476</v>
      </c>
      <c r="AD14" s="65">
        <f>AD13-AD11</f>
        <v>7.3236624229803002</v>
      </c>
      <c r="AH14" s="65">
        <f>AH13-AH11</f>
        <v>7.3222505043747264</v>
      </c>
      <c r="AI14" s="65">
        <f>AI13-AI11</f>
        <v>7.5163833036924625</v>
      </c>
      <c r="AK14" s="65">
        <f>AK13-AK11</f>
        <v>6.8273310322564615</v>
      </c>
      <c r="AN14" s="65">
        <f>AN13-AN11</f>
        <v>6.323046621573436</v>
      </c>
      <c r="AR14" s="65"/>
      <c r="AT14" s="65">
        <f>AT13-AT11</f>
        <v>4.9156211127107872</v>
      </c>
    </row>
    <row r="15" spans="1:153">
      <c r="A15" s="30"/>
      <c r="F15" s="44"/>
      <c r="H15" s="70"/>
      <c r="I15" s="70"/>
      <c r="J15" s="70"/>
      <c r="K15" s="70"/>
      <c r="L15" s="70"/>
      <c r="M15" s="70"/>
      <c r="N15" s="70"/>
      <c r="O15" s="70"/>
      <c r="P15" s="70"/>
      <c r="Q15" s="70"/>
      <c r="R15" s="70"/>
      <c r="S15" s="70"/>
    </row>
    <row r="16" spans="1:153">
      <c r="A16" s="30"/>
      <c r="F16" s="44"/>
      <c r="H16" s="70"/>
      <c r="I16" s="70"/>
      <c r="J16" s="70"/>
      <c r="K16" s="70"/>
      <c r="L16" s="70"/>
      <c r="M16" s="70"/>
      <c r="N16" s="70"/>
      <c r="O16" s="70"/>
      <c r="P16" s="70"/>
      <c r="Q16" s="70"/>
      <c r="R16" s="70"/>
      <c r="S16" s="70"/>
    </row>
    <row r="17" spans="1:129" s="73" customFormat="1">
      <c r="A17" s="75"/>
      <c r="F17" s="241" t="s">
        <v>407</v>
      </c>
      <c r="H17" s="94">
        <f>5.07+H11</f>
        <v>6.4800303557942591</v>
      </c>
      <c r="I17" s="94">
        <f t="shared" ref="I17:AS17" si="18">5.07+I11</f>
        <v>6.4744619616741961</v>
      </c>
      <c r="J17" s="94">
        <f t="shared" si="18"/>
        <v>6.4759234749499406</v>
      </c>
      <c r="K17" s="94">
        <f t="shared" si="18"/>
        <v>6.3490161913329608</v>
      </c>
      <c r="L17" s="94">
        <f t="shared" si="18"/>
        <v>6.3430565720276189</v>
      </c>
      <c r="M17" s="94">
        <f t="shared" si="18"/>
        <v>6.3171812024862071</v>
      </c>
      <c r="N17" s="94">
        <f t="shared" si="18"/>
        <v>6.3163759366819043</v>
      </c>
      <c r="O17" s="94">
        <f t="shared" si="18"/>
        <v>6.2884068644892421</v>
      </c>
      <c r="P17" s="94">
        <f t="shared" si="18"/>
        <v>6.2519277742693982</v>
      </c>
      <c r="Q17" s="94">
        <f t="shared" si="18"/>
        <v>6.4354129966638336</v>
      </c>
      <c r="R17" s="94">
        <f t="shared" si="18"/>
        <v>6.6158389743428749</v>
      </c>
      <c r="S17" s="94">
        <f t="shared" si="18"/>
        <v>6.6701090982450184</v>
      </c>
      <c r="T17" s="94">
        <f t="shared" si="18"/>
        <v>7.264973037680039</v>
      </c>
      <c r="U17" s="94">
        <f t="shared" si="18"/>
        <v>7.4153873682612135</v>
      </c>
      <c r="V17" s="94">
        <f t="shared" si="18"/>
        <v>7.6114539824010858</v>
      </c>
      <c r="W17" s="94">
        <f t="shared" si="18"/>
        <v>6.7296232378226453</v>
      </c>
      <c r="X17" s="94">
        <f t="shared" si="18"/>
        <v>6.8566490826932727</v>
      </c>
      <c r="Y17" s="94">
        <f t="shared" si="18"/>
        <v>6.8415877045313636</v>
      </c>
      <c r="Z17" s="94">
        <f t="shared" si="18"/>
        <v>6.7289377503807746</v>
      </c>
      <c r="AA17" s="94">
        <f t="shared" si="18"/>
        <v>6.7803266137536049</v>
      </c>
      <c r="AB17" s="94">
        <f t="shared" si="18"/>
        <v>6.7960691947304408</v>
      </c>
      <c r="AC17" s="94">
        <f t="shared" si="18"/>
        <v>7.2737707431147527</v>
      </c>
      <c r="AD17" s="94">
        <f t="shared" si="18"/>
        <v>7.2463375770197</v>
      </c>
      <c r="AE17" s="94">
        <f t="shared" si="18"/>
        <v>7.1113268257058628</v>
      </c>
      <c r="AF17" s="94">
        <f t="shared" si="18"/>
        <v>7.4622319727776141</v>
      </c>
      <c r="AG17" s="94">
        <f t="shared" si="18"/>
        <v>7.6389745254618013</v>
      </c>
      <c r="AH17" s="94">
        <f t="shared" si="18"/>
        <v>7.3977494956252743</v>
      </c>
      <c r="AI17" s="94">
        <f t="shared" si="18"/>
        <v>7.2036166963075381</v>
      </c>
      <c r="AJ17" s="94">
        <f t="shared" si="18"/>
        <v>7.3435730736114797</v>
      </c>
      <c r="AK17" s="94">
        <f t="shared" si="18"/>
        <v>7.4126689677435387</v>
      </c>
      <c r="AL17" s="94">
        <f t="shared" si="18"/>
        <v>7.5241281444790413</v>
      </c>
      <c r="AM17" s="94">
        <f t="shared" si="18"/>
        <v>7.3267637611980021</v>
      </c>
      <c r="AN17" s="94">
        <f t="shared" si="18"/>
        <v>7.2069533784265651</v>
      </c>
      <c r="AO17" s="94">
        <f t="shared" si="18"/>
        <v>7.2544142889048917</v>
      </c>
      <c r="AP17" s="94">
        <f t="shared" si="18"/>
        <v>7.1894941530314895</v>
      </c>
      <c r="AQ17" s="94">
        <f t="shared" si="18"/>
        <v>7.1490849479257941</v>
      </c>
      <c r="AR17" s="94">
        <f t="shared" si="18"/>
        <v>7.2381724521673183</v>
      </c>
      <c r="AS17" s="94">
        <f t="shared" si="18"/>
        <v>7.0846864251870301</v>
      </c>
      <c r="AT17" s="94">
        <f>4.92+AT11</f>
        <v>6.9243788872892127</v>
      </c>
      <c r="AU17" s="94">
        <f t="shared" ref="AU17:DF17" si="19">4.92+AU11</f>
        <v>6.7453134351876374</v>
      </c>
      <c r="AV17" s="94">
        <f t="shared" si="19"/>
        <v>6.7545928500839887</v>
      </c>
      <c r="AW17" s="94">
        <f t="shared" si="19"/>
        <v>6.7322915532308887</v>
      </c>
      <c r="AX17" s="94">
        <f t="shared" si="19"/>
        <v>6.6461546592632565</v>
      </c>
      <c r="AY17" s="94">
        <f t="shared" si="19"/>
        <v>6.6461546592632565</v>
      </c>
      <c r="AZ17" s="94">
        <f t="shared" si="19"/>
        <v>6.7665753534764885</v>
      </c>
      <c r="BA17" s="94">
        <f t="shared" si="19"/>
        <v>6.772785824002848</v>
      </c>
      <c r="BB17" s="94">
        <f t="shared" si="19"/>
        <v>6.8118596979451702</v>
      </c>
      <c r="BC17" s="94">
        <f t="shared" si="19"/>
        <v>6.713449609743078</v>
      </c>
      <c r="BD17" s="94">
        <f t="shared" si="19"/>
        <v>6.7196027919320764</v>
      </c>
      <c r="BE17" s="94">
        <f t="shared" si="19"/>
        <v>6.7131582118958271</v>
      </c>
      <c r="BF17" s="94">
        <f t="shared" si="19"/>
        <v>6.7556975887462105</v>
      </c>
      <c r="BG17" s="94">
        <f t="shared" si="19"/>
        <v>6.8569098394702594</v>
      </c>
      <c r="BH17" s="94">
        <f t="shared" si="19"/>
        <v>6.8559722854978631</v>
      </c>
      <c r="BI17" s="94">
        <f t="shared" si="19"/>
        <v>6.820690609065899</v>
      </c>
      <c r="BJ17" s="94">
        <f t="shared" si="19"/>
        <v>6.820690609065899</v>
      </c>
      <c r="BK17" s="94">
        <f t="shared" si="19"/>
        <v>6.8419991109277989</v>
      </c>
      <c r="BL17" s="94">
        <f t="shared" si="19"/>
        <v>6.7181036245913104</v>
      </c>
      <c r="BM17" s="94">
        <f t="shared" si="19"/>
        <v>6.759927729244291</v>
      </c>
      <c r="BN17" s="94">
        <f t="shared" si="19"/>
        <v>6.7807995756914758</v>
      </c>
      <c r="BO17" s="94">
        <f t="shared" si="19"/>
        <v>6.7990109387202669</v>
      </c>
      <c r="BP17" s="94">
        <f t="shared" si="19"/>
        <v>6.7990109387202669</v>
      </c>
      <c r="BQ17" s="94">
        <f t="shared" si="19"/>
        <v>6.8138856085634494</v>
      </c>
      <c r="BR17" s="94">
        <f t="shared" si="19"/>
        <v>6.723248833564349</v>
      </c>
      <c r="BS17" s="94">
        <f t="shared" si="19"/>
        <v>6.7008639414063422</v>
      </c>
      <c r="BT17" s="94">
        <f t="shared" si="19"/>
        <v>6.6947394692403579</v>
      </c>
      <c r="BU17" s="94">
        <f t="shared" si="19"/>
        <v>6.7246001882965336</v>
      </c>
      <c r="BV17" s="94">
        <f t="shared" si="19"/>
        <v>6.7306272772055422</v>
      </c>
      <c r="BW17" s="94">
        <f t="shared" si="19"/>
        <v>6.6948952578101917</v>
      </c>
      <c r="BX17" s="94">
        <f t="shared" si="19"/>
        <v>6.6946777876546948</v>
      </c>
      <c r="BY17" s="94">
        <f t="shared" si="19"/>
        <v>6.6987510101765748</v>
      </c>
      <c r="BZ17" s="94">
        <f t="shared" si="19"/>
        <v>6.7284858130020542</v>
      </c>
      <c r="CA17" s="94">
        <f t="shared" si="19"/>
        <v>6.7220232837648801</v>
      </c>
      <c r="CB17" s="94">
        <f t="shared" si="19"/>
        <v>6.7741199064079334</v>
      </c>
      <c r="CC17" s="94">
        <f t="shared" si="19"/>
        <v>6.7738309100768515</v>
      </c>
      <c r="CD17" s="94">
        <f t="shared" si="19"/>
        <v>6.7503143152955749</v>
      </c>
      <c r="CE17" s="94">
        <f t="shared" si="19"/>
        <v>6.7492291431602958</v>
      </c>
      <c r="CF17" s="94">
        <f t="shared" si="19"/>
        <v>6.7956414977731736</v>
      </c>
      <c r="CG17" s="94">
        <f t="shared" si="19"/>
        <v>6.8061506460898666</v>
      </c>
      <c r="CH17" s="94">
        <f t="shared" si="19"/>
        <v>6.852286886490452</v>
      </c>
      <c r="CI17" s="94">
        <f t="shared" si="19"/>
        <v>6.8338511976132068</v>
      </c>
      <c r="CJ17" s="94">
        <f t="shared" si="19"/>
        <v>6.7987809677700834</v>
      </c>
      <c r="CK17" s="94">
        <f t="shared" si="19"/>
        <v>6.7858027941611727</v>
      </c>
      <c r="CL17" s="94">
        <f t="shared" si="19"/>
        <v>6.7545743564186438</v>
      </c>
      <c r="CM17" s="94">
        <f t="shared" si="19"/>
        <v>6.7333753167894894</v>
      </c>
      <c r="CN17" s="94">
        <f t="shared" si="19"/>
        <v>6.7333753167894894</v>
      </c>
      <c r="CO17" s="94">
        <f t="shared" si="19"/>
        <v>6.7333753167894894</v>
      </c>
      <c r="CP17" s="94">
        <f t="shared" si="19"/>
        <v>6.7333753167894894</v>
      </c>
      <c r="CQ17" s="94">
        <f t="shared" si="19"/>
        <v>6.7766921162877178</v>
      </c>
      <c r="CR17" s="94">
        <f t="shared" si="19"/>
        <v>6.7792877510095</v>
      </c>
      <c r="CS17" s="94">
        <f t="shared" si="19"/>
        <v>6.777547746179752</v>
      </c>
      <c r="CT17" s="94">
        <f t="shared" si="19"/>
        <v>6.7353225544803106</v>
      </c>
      <c r="CU17" s="94">
        <f t="shared" si="19"/>
        <v>6.7185205503527907</v>
      </c>
      <c r="CV17" s="94">
        <f t="shared" si="19"/>
        <v>6.7185205503527907</v>
      </c>
      <c r="CW17" s="94">
        <f t="shared" si="19"/>
        <v>6.6910450127410339</v>
      </c>
      <c r="CX17" s="94">
        <f t="shared" si="19"/>
        <v>6.6584136732315811</v>
      </c>
      <c r="CY17" s="94">
        <f t="shared" si="19"/>
        <v>6.7006918592312923</v>
      </c>
      <c r="CZ17" s="94">
        <f t="shared" si="19"/>
        <v>6.6999216282265284</v>
      </c>
      <c r="DA17" s="94">
        <f t="shared" si="19"/>
        <v>6.6739582008925851</v>
      </c>
      <c r="DB17" s="94">
        <f t="shared" si="19"/>
        <v>6.6828924486696524</v>
      </c>
      <c r="DC17" s="94">
        <f t="shared" si="19"/>
        <v>6.7135582989178761</v>
      </c>
      <c r="DD17" s="94">
        <f t="shared" si="19"/>
        <v>6.6994117835726961</v>
      </c>
      <c r="DE17" s="94">
        <f t="shared" si="19"/>
        <v>6.6753436835421507</v>
      </c>
      <c r="DF17" s="94">
        <f t="shared" si="19"/>
        <v>6.6783503940021571</v>
      </c>
      <c r="DG17" s="94">
        <f t="shared" ref="DG17:DY17" si="20">4.92+DG11</f>
        <v>6.7506767535802341</v>
      </c>
      <c r="DH17" s="94">
        <f t="shared" si="20"/>
        <v>6.7775834462703131</v>
      </c>
      <c r="DI17" s="94">
        <f t="shared" si="20"/>
        <v>6.7278693396385396</v>
      </c>
      <c r="DJ17" s="94">
        <f t="shared" si="20"/>
        <v>6.6909832623550596</v>
      </c>
      <c r="DK17" s="94">
        <f t="shared" si="20"/>
        <v>6.6930044515667255</v>
      </c>
      <c r="DL17" s="94">
        <f t="shared" si="20"/>
        <v>6.7525744397946834</v>
      </c>
      <c r="DM17" s="94">
        <f t="shared" si="20"/>
        <v>6.7304783363314895</v>
      </c>
      <c r="DN17" s="94">
        <f t="shared" si="20"/>
        <v>6.7420952675657846</v>
      </c>
      <c r="DO17" s="94">
        <f t="shared" si="20"/>
        <v>6.7414303796126642</v>
      </c>
      <c r="DP17" s="94">
        <f t="shared" si="20"/>
        <v>6.7511496927695074</v>
      </c>
      <c r="DQ17" s="94">
        <f t="shared" si="20"/>
        <v>6.7253093202720287</v>
      </c>
      <c r="DR17" s="94">
        <f t="shared" si="20"/>
        <v>6.5670935554237193</v>
      </c>
      <c r="DS17" s="94" t="e">
        <f t="shared" si="20"/>
        <v>#DIV/0!</v>
      </c>
      <c r="DT17" s="94" t="e">
        <f t="shared" si="20"/>
        <v>#DIV/0!</v>
      </c>
      <c r="DU17" s="94" t="e">
        <f t="shared" si="20"/>
        <v>#DIV/0!</v>
      </c>
      <c r="DV17" s="94" t="e">
        <f t="shared" si="20"/>
        <v>#DIV/0!</v>
      </c>
      <c r="DW17" s="94">
        <f t="shared" si="20"/>
        <v>4.92</v>
      </c>
      <c r="DX17" s="94">
        <f t="shared" si="20"/>
        <v>4.92</v>
      </c>
      <c r="DY17" s="94">
        <f t="shared" si="20"/>
        <v>4.92</v>
      </c>
    </row>
    <row r="18" spans="1:129">
      <c r="A18" s="30"/>
      <c r="G18" s="63"/>
      <c r="H18" s="77"/>
      <c r="I18" s="77"/>
      <c r="J18" s="77"/>
      <c r="K18" s="77"/>
      <c r="L18" s="77"/>
      <c r="M18" s="77"/>
      <c r="N18" s="77"/>
      <c r="O18" s="77"/>
      <c r="P18" s="77"/>
      <c r="Q18" s="77"/>
      <c r="R18" s="77"/>
      <c r="S18" s="77"/>
    </row>
    <row r="19" spans="1:129">
      <c r="G19" s="30"/>
    </row>
    <row r="24" spans="1:129">
      <c r="E24" s="65"/>
    </row>
    <row r="25" spans="1:129">
      <c r="A25" s="63"/>
      <c r="C25" s="65"/>
      <c r="D25" s="78"/>
    </row>
    <row r="26" spans="1:129">
      <c r="A26" s="62"/>
      <c r="C26" s="65"/>
      <c r="D26" s="78"/>
    </row>
    <row r="27" spans="1:129">
      <c r="A27" s="62"/>
      <c r="C27" s="65"/>
      <c r="D27" s="78"/>
    </row>
    <row r="28" spans="1:129">
      <c r="A28" s="62"/>
      <c r="C28" s="65"/>
      <c r="D28" s="78"/>
    </row>
    <row r="30" spans="1:129">
      <c r="D30" s="65"/>
    </row>
  </sheetData>
  <phoneticPr fontId="52" type="noConversion"/>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3"/>
  <dimension ref="A1:FI24"/>
  <sheetViews>
    <sheetView workbookViewId="0">
      <pane xSplit="8" ySplit="4" topLeftCell="DB5" activePane="bottomRight" state="frozen"/>
      <selection pane="topRight" activeCell="I1" sqref="I1"/>
      <selection pane="bottomLeft" activeCell="A5" sqref="A5"/>
      <selection pane="bottomRight" activeCell="DG10" sqref="DG10"/>
    </sheetView>
  </sheetViews>
  <sheetFormatPr baseColWidth="10" defaultColWidth="31.6640625" defaultRowHeight="12"/>
  <cols>
    <col min="1" max="1" width="15.1640625" style="60" bestFit="1" customWidth="1"/>
    <col min="2" max="2" width="11.6640625" style="60" bestFit="1" customWidth="1"/>
    <col min="3" max="3" width="5.5" style="60" bestFit="1" customWidth="1"/>
    <col min="4" max="4" width="12.5" style="60" bestFit="1" customWidth="1"/>
    <col min="5" max="5" width="12.1640625" style="60" bestFit="1" customWidth="1"/>
    <col min="6" max="6" width="7.83203125" style="60" bestFit="1" customWidth="1"/>
    <col min="7" max="7" width="16" style="60" bestFit="1" customWidth="1"/>
    <col min="8" max="38" width="9.83203125" style="60" bestFit="1" customWidth="1"/>
    <col min="39" max="39" width="5.6640625" style="60" bestFit="1" customWidth="1"/>
    <col min="40" max="41" width="5.5" style="60" bestFit="1" customWidth="1"/>
    <col min="42" max="42" width="9.83203125" style="60" bestFit="1" customWidth="1"/>
    <col min="43" max="43" width="5.5" style="60" bestFit="1" customWidth="1"/>
    <col min="44" max="45" width="5.6640625" style="60" bestFit="1" customWidth="1"/>
    <col min="46" max="46" width="5.83203125" style="60" bestFit="1" customWidth="1"/>
    <col min="47" max="47" width="5.5" style="60" bestFit="1" customWidth="1"/>
    <col min="48" max="48" width="6.1640625" style="60" bestFit="1" customWidth="1"/>
    <col min="49" max="49" width="5.5" style="60" bestFit="1" customWidth="1"/>
    <col min="50" max="50" width="4.83203125" style="60" bestFit="1" customWidth="1"/>
    <col min="51" max="53" width="7.1640625" style="60" bestFit="1" customWidth="1"/>
    <col min="54" max="55" width="5.6640625" style="60" bestFit="1" customWidth="1"/>
    <col min="56" max="57" width="4.33203125" style="60" bestFit="1" customWidth="1"/>
    <col min="58" max="61" width="6.33203125" style="60" bestFit="1" customWidth="1"/>
    <col min="62" max="65" width="6.1640625" style="60" bestFit="1" customWidth="1"/>
    <col min="66" max="69" width="5.6640625" style="60" bestFit="1" customWidth="1"/>
    <col min="70" max="73" width="5.5" style="60" bestFit="1" customWidth="1"/>
    <col min="74" max="77" width="5.1640625" style="60" bestFit="1" customWidth="1"/>
    <col min="78" max="81" width="5.5" style="60" bestFit="1" customWidth="1"/>
    <col min="82" max="82" width="6.1640625" style="60" bestFit="1" customWidth="1"/>
    <col min="83" max="85" width="5.6640625" style="60" bestFit="1" customWidth="1"/>
    <col min="86" max="89" width="5.5" style="60" bestFit="1" customWidth="1"/>
    <col min="90" max="94" width="6.33203125" style="60" bestFit="1" customWidth="1"/>
    <col min="95" max="98" width="6.1640625" style="60" bestFit="1" customWidth="1"/>
    <col min="99" max="102" width="5.1640625" style="60" bestFit="1" customWidth="1"/>
    <col min="103" max="106" width="5.83203125" style="60" bestFit="1" customWidth="1"/>
    <col min="107" max="114" width="5.6640625" style="60" bestFit="1" customWidth="1"/>
    <col min="115" max="118" width="6.1640625" style="60" bestFit="1" customWidth="1"/>
    <col min="119" max="122" width="5.83203125" style="60" bestFit="1" customWidth="1"/>
    <col min="123" max="149" width="5.1640625" style="60" bestFit="1" customWidth="1"/>
    <col min="150" max="165" width="3.33203125" style="60" bestFit="1" customWidth="1"/>
    <col min="166" max="16384" width="31.6640625" style="60"/>
  </cols>
  <sheetData>
    <row r="1" spans="1:165">
      <c r="A1" s="59" t="s">
        <v>377</v>
      </c>
      <c r="B1" s="59" t="s">
        <v>378</v>
      </c>
      <c r="C1" s="59" t="s">
        <v>379</v>
      </c>
      <c r="D1" s="59" t="s">
        <v>380</v>
      </c>
      <c r="E1" s="59" t="s">
        <v>381</v>
      </c>
      <c r="F1" s="59" t="s">
        <v>33</v>
      </c>
      <c r="H1" s="61">
        <v>6</v>
      </c>
      <c r="I1" s="61">
        <v>7</v>
      </c>
      <c r="J1" s="61">
        <v>8</v>
      </c>
      <c r="K1" s="61">
        <v>9</v>
      </c>
      <c r="L1" s="61">
        <v>10</v>
      </c>
      <c r="M1" s="61">
        <v>11</v>
      </c>
      <c r="N1" s="61">
        <v>12</v>
      </c>
      <c r="O1" s="61">
        <v>13</v>
      </c>
      <c r="P1" s="61">
        <v>14</v>
      </c>
      <c r="Q1" s="61">
        <v>15</v>
      </c>
      <c r="R1" s="61">
        <v>16</v>
      </c>
      <c r="S1" s="61">
        <v>17</v>
      </c>
      <c r="T1" s="61">
        <v>18</v>
      </c>
      <c r="U1" s="61">
        <v>19</v>
      </c>
      <c r="V1" s="61">
        <v>20</v>
      </c>
      <c r="W1" s="61">
        <v>21</v>
      </c>
      <c r="X1" s="61">
        <v>22</v>
      </c>
      <c r="Y1" s="61">
        <v>23</v>
      </c>
      <c r="Z1" s="61">
        <v>24</v>
      </c>
      <c r="AA1" s="61">
        <v>25</v>
      </c>
      <c r="AB1" s="61">
        <v>26</v>
      </c>
      <c r="AC1" s="61">
        <v>27</v>
      </c>
      <c r="AD1" s="61">
        <v>28</v>
      </c>
      <c r="AE1" s="61">
        <v>29</v>
      </c>
      <c r="AF1" s="61">
        <v>30</v>
      </c>
      <c r="AG1" s="61">
        <v>31</v>
      </c>
      <c r="AH1" s="61">
        <v>32</v>
      </c>
      <c r="AI1" s="61">
        <v>33</v>
      </c>
      <c r="AJ1" s="61">
        <v>34</v>
      </c>
      <c r="AK1" s="61">
        <v>35</v>
      </c>
      <c r="AL1" s="61">
        <v>36</v>
      </c>
      <c r="AM1" s="61">
        <v>37</v>
      </c>
      <c r="AN1" s="61">
        <v>38</v>
      </c>
      <c r="AO1" s="61">
        <v>39</v>
      </c>
      <c r="AP1" s="61">
        <v>40</v>
      </c>
      <c r="AQ1" s="61">
        <v>41</v>
      </c>
      <c r="AR1" s="61">
        <v>42</v>
      </c>
      <c r="AS1" s="61">
        <v>43</v>
      </c>
      <c r="AT1" s="61">
        <v>44</v>
      </c>
      <c r="AU1" s="61">
        <v>45</v>
      </c>
      <c r="AV1" s="61">
        <v>46</v>
      </c>
      <c r="AW1" s="61">
        <v>47</v>
      </c>
      <c r="AX1" s="61">
        <v>48</v>
      </c>
      <c r="AY1" s="61">
        <v>49</v>
      </c>
      <c r="AZ1" s="61">
        <v>50</v>
      </c>
      <c r="BA1" s="61">
        <v>51</v>
      </c>
      <c r="BB1" s="61">
        <v>52</v>
      </c>
      <c r="BC1" s="61">
        <v>53</v>
      </c>
      <c r="BD1" s="61">
        <v>54</v>
      </c>
      <c r="BE1" s="61">
        <v>55</v>
      </c>
      <c r="BF1" s="61">
        <v>56</v>
      </c>
      <c r="BG1" s="61">
        <v>57</v>
      </c>
      <c r="BH1" s="61">
        <v>58</v>
      </c>
      <c r="BI1" s="61">
        <v>59</v>
      </c>
      <c r="BJ1" s="61">
        <v>60</v>
      </c>
      <c r="BK1" s="61">
        <v>61</v>
      </c>
      <c r="BL1" s="61">
        <v>62</v>
      </c>
      <c r="BM1" s="61">
        <v>63</v>
      </c>
      <c r="BN1" s="61">
        <v>64</v>
      </c>
      <c r="BO1" s="61">
        <v>65</v>
      </c>
      <c r="BP1" s="61">
        <v>66</v>
      </c>
      <c r="BQ1" s="61">
        <v>67</v>
      </c>
      <c r="BR1" s="61">
        <v>68</v>
      </c>
      <c r="BS1" s="61">
        <v>69</v>
      </c>
      <c r="BT1" s="61">
        <v>70</v>
      </c>
      <c r="BU1" s="61">
        <v>71</v>
      </c>
      <c r="BV1" s="61">
        <v>72</v>
      </c>
      <c r="BW1" s="61">
        <v>73</v>
      </c>
      <c r="BX1" s="61">
        <v>74</v>
      </c>
      <c r="BY1" s="61">
        <v>75</v>
      </c>
      <c r="BZ1" s="61">
        <v>76</v>
      </c>
      <c r="CA1" s="61">
        <v>77</v>
      </c>
      <c r="CB1" s="61">
        <v>78</v>
      </c>
      <c r="CC1" s="61">
        <v>79</v>
      </c>
      <c r="CD1" s="61">
        <v>80</v>
      </c>
      <c r="CE1" s="61">
        <v>81</v>
      </c>
      <c r="CF1" s="61">
        <v>82</v>
      </c>
      <c r="CG1" s="61">
        <v>83</v>
      </c>
      <c r="CH1" s="61">
        <v>84</v>
      </c>
      <c r="CI1" s="61">
        <v>85</v>
      </c>
      <c r="CJ1" s="61">
        <v>86</v>
      </c>
      <c r="CK1" s="61">
        <v>87</v>
      </c>
      <c r="CL1" s="61">
        <v>88</v>
      </c>
      <c r="CM1" s="61">
        <v>89</v>
      </c>
      <c r="CN1" s="61">
        <v>90</v>
      </c>
      <c r="CO1" s="61">
        <v>91</v>
      </c>
      <c r="CP1" s="61">
        <v>92</v>
      </c>
      <c r="CQ1" s="61">
        <v>93</v>
      </c>
      <c r="CR1" s="61">
        <v>94</v>
      </c>
      <c r="CS1" s="61">
        <v>95</v>
      </c>
      <c r="CT1" s="61">
        <v>96</v>
      </c>
      <c r="CU1" s="61">
        <v>97</v>
      </c>
      <c r="CV1" s="61">
        <v>98</v>
      </c>
      <c r="CW1" s="61">
        <v>99</v>
      </c>
      <c r="CX1" s="61">
        <v>100</v>
      </c>
      <c r="CY1" s="61">
        <v>101</v>
      </c>
      <c r="CZ1" s="61">
        <v>102</v>
      </c>
      <c r="DA1" s="61">
        <v>103</v>
      </c>
      <c r="DB1" s="61">
        <v>104</v>
      </c>
      <c r="DC1" s="61">
        <v>105</v>
      </c>
      <c r="DD1" s="61">
        <v>106</v>
      </c>
      <c r="DE1" s="61">
        <v>107</v>
      </c>
      <c r="DF1" s="61">
        <v>108</v>
      </c>
      <c r="DG1" s="61">
        <v>109</v>
      </c>
      <c r="DH1" s="61">
        <v>110</v>
      </c>
      <c r="DI1" s="61">
        <v>111</v>
      </c>
      <c r="DJ1" s="61">
        <v>112</v>
      </c>
      <c r="DK1" s="61">
        <v>113</v>
      </c>
      <c r="DL1" s="61">
        <v>114</v>
      </c>
      <c r="DM1" s="61">
        <v>115</v>
      </c>
      <c r="DN1" s="61">
        <v>116</v>
      </c>
      <c r="DO1" s="61">
        <v>117</v>
      </c>
      <c r="DP1" s="61">
        <v>118</v>
      </c>
      <c r="DQ1" s="61">
        <v>119</v>
      </c>
      <c r="DR1" s="61">
        <v>120</v>
      </c>
      <c r="DS1" s="61">
        <v>121</v>
      </c>
      <c r="DT1" s="61">
        <v>122</v>
      </c>
      <c r="DU1" s="61">
        <v>123</v>
      </c>
      <c r="DV1" s="61">
        <v>124</v>
      </c>
      <c r="DW1" s="61">
        <v>125</v>
      </c>
      <c r="DX1" s="61">
        <v>126</v>
      </c>
      <c r="DY1" s="61">
        <v>127</v>
      </c>
      <c r="DZ1" s="61">
        <v>128</v>
      </c>
      <c r="EA1" s="61">
        <v>129</v>
      </c>
      <c r="EB1" s="61">
        <v>130</v>
      </c>
      <c r="EC1" s="61">
        <v>131</v>
      </c>
      <c r="ED1" s="61">
        <v>132</v>
      </c>
      <c r="EE1" s="61">
        <v>133</v>
      </c>
      <c r="EF1" s="61">
        <v>134</v>
      </c>
      <c r="EG1" s="61">
        <v>135</v>
      </c>
      <c r="EH1" s="61">
        <v>136</v>
      </c>
      <c r="EI1" s="61">
        <v>137</v>
      </c>
      <c r="EJ1" s="61">
        <v>138</v>
      </c>
      <c r="EK1" s="61">
        <v>139</v>
      </c>
      <c r="EL1" s="61">
        <v>140</v>
      </c>
      <c r="EM1" s="61">
        <v>141</v>
      </c>
      <c r="EN1" s="61">
        <v>142</v>
      </c>
      <c r="EO1" s="61">
        <v>143</v>
      </c>
      <c r="EP1" s="61">
        <v>144</v>
      </c>
      <c r="EQ1" s="61">
        <v>145</v>
      </c>
      <c r="ER1" s="61">
        <v>146</v>
      </c>
      <c r="ES1" s="61">
        <v>147</v>
      </c>
      <c r="ET1" s="61">
        <v>148</v>
      </c>
      <c r="EU1" s="61">
        <v>149</v>
      </c>
      <c r="EV1" s="61">
        <v>150</v>
      </c>
      <c r="EW1" s="61">
        <v>151</v>
      </c>
      <c r="EX1" s="61">
        <v>152</v>
      </c>
      <c r="EY1" s="61">
        <v>153</v>
      </c>
      <c r="EZ1" s="61">
        <v>154</v>
      </c>
      <c r="FA1" s="61">
        <v>155</v>
      </c>
      <c r="FB1" s="61">
        <v>156</v>
      </c>
      <c r="FC1" s="61">
        <v>157</v>
      </c>
      <c r="FD1" s="61">
        <v>158</v>
      </c>
      <c r="FE1" s="61">
        <v>159</v>
      </c>
      <c r="FF1" s="61">
        <v>160</v>
      </c>
      <c r="FG1" s="61">
        <v>161</v>
      </c>
      <c r="FH1" s="61">
        <v>162</v>
      </c>
      <c r="FI1" s="61">
        <v>163</v>
      </c>
    </row>
    <row r="2" spans="1:165">
      <c r="A2" s="60" t="s">
        <v>616</v>
      </c>
      <c r="B2" s="60" t="s">
        <v>619</v>
      </c>
      <c r="C2" s="60">
        <v>1</v>
      </c>
      <c r="D2" s="64"/>
      <c r="E2" s="65">
        <v>143.19</v>
      </c>
    </row>
    <row r="3" spans="1:165" ht="30">
      <c r="A3" s="63"/>
      <c r="B3" s="66"/>
      <c r="D3" s="64"/>
      <c r="G3" s="30"/>
      <c r="H3" s="69">
        <v>43831</v>
      </c>
      <c r="I3" s="69">
        <v>43862</v>
      </c>
      <c r="J3" s="69">
        <v>43891</v>
      </c>
      <c r="K3" s="69">
        <v>43922</v>
      </c>
      <c r="L3" s="69">
        <v>43952</v>
      </c>
      <c r="M3" s="69">
        <v>43983</v>
      </c>
      <c r="N3" s="69">
        <v>44013</v>
      </c>
      <c r="O3" s="69">
        <v>44044</v>
      </c>
      <c r="P3" s="69">
        <v>44075</v>
      </c>
      <c r="Q3" s="69">
        <v>44105</v>
      </c>
      <c r="R3" s="69">
        <v>44136</v>
      </c>
      <c r="S3" s="69">
        <v>44166</v>
      </c>
      <c r="T3" s="69">
        <v>44197</v>
      </c>
      <c r="U3" s="69">
        <v>44228</v>
      </c>
      <c r="V3" s="69">
        <v>44256</v>
      </c>
      <c r="W3" s="69">
        <v>44287</v>
      </c>
      <c r="X3" s="69">
        <v>44317</v>
      </c>
      <c r="Y3" s="69">
        <v>44348</v>
      </c>
      <c r="Z3" s="69">
        <v>44378</v>
      </c>
      <c r="AA3" s="69">
        <v>44409</v>
      </c>
      <c r="AB3" s="69">
        <v>44440</v>
      </c>
      <c r="AC3" s="69">
        <v>44470</v>
      </c>
      <c r="AD3" s="69">
        <v>44501</v>
      </c>
      <c r="AE3" s="69">
        <v>44531</v>
      </c>
      <c r="AF3" s="69">
        <v>44562</v>
      </c>
      <c r="AG3" s="69">
        <v>44593</v>
      </c>
      <c r="AH3" s="69">
        <v>44621</v>
      </c>
      <c r="AI3" s="69">
        <v>44652</v>
      </c>
      <c r="AJ3" s="69">
        <v>44682</v>
      </c>
      <c r="AK3" s="69">
        <v>44713</v>
      </c>
      <c r="AL3" s="69">
        <v>44743</v>
      </c>
      <c r="AM3" s="69">
        <v>44774</v>
      </c>
      <c r="AN3" s="69">
        <v>44805</v>
      </c>
      <c r="AO3" s="69">
        <v>44835</v>
      </c>
      <c r="AP3" s="69">
        <v>44866</v>
      </c>
      <c r="AQ3" s="69">
        <v>44896</v>
      </c>
      <c r="AR3" s="69">
        <v>44927</v>
      </c>
      <c r="AS3" s="69">
        <v>44958</v>
      </c>
      <c r="AT3" s="69">
        <v>44986</v>
      </c>
      <c r="AU3" s="69">
        <v>45017</v>
      </c>
      <c r="AV3" s="69">
        <v>45047</v>
      </c>
      <c r="AW3" s="69">
        <v>45078</v>
      </c>
      <c r="AX3" s="69">
        <v>45108</v>
      </c>
      <c r="AY3" s="69" t="s">
        <v>530</v>
      </c>
      <c r="AZ3" s="69" t="s">
        <v>531</v>
      </c>
      <c r="BA3" s="69" t="s">
        <v>532</v>
      </c>
      <c r="BB3" s="69">
        <v>37104</v>
      </c>
      <c r="BC3" s="69">
        <v>37469</v>
      </c>
      <c r="BD3" s="34" t="s">
        <v>168</v>
      </c>
      <c r="BE3" s="34" t="s">
        <v>169</v>
      </c>
      <c r="BF3" s="69" t="s">
        <v>393</v>
      </c>
      <c r="BG3" s="69" t="s">
        <v>458</v>
      </c>
      <c r="BH3" s="69" t="s">
        <v>459</v>
      </c>
      <c r="BI3" s="69" t="s">
        <v>460</v>
      </c>
      <c r="BJ3" s="69" t="s">
        <v>461</v>
      </c>
      <c r="BK3" s="69" t="s">
        <v>462</v>
      </c>
      <c r="BL3" s="69" t="s">
        <v>463</v>
      </c>
      <c r="BM3" s="69" t="s">
        <v>464</v>
      </c>
      <c r="BN3" s="59">
        <v>37196</v>
      </c>
      <c r="BO3" s="59">
        <v>37561</v>
      </c>
      <c r="BP3" s="59">
        <v>37926</v>
      </c>
      <c r="BQ3" s="59">
        <v>38292</v>
      </c>
      <c r="BR3" s="59">
        <v>37226</v>
      </c>
      <c r="BS3" s="59">
        <v>37591</v>
      </c>
      <c r="BT3" s="59">
        <v>37956</v>
      </c>
      <c r="BU3" s="59">
        <v>38322</v>
      </c>
      <c r="BV3" s="59">
        <v>36892</v>
      </c>
      <c r="BW3" s="59">
        <v>37257</v>
      </c>
      <c r="BX3" s="59">
        <v>37622</v>
      </c>
      <c r="BY3" s="59">
        <v>37987</v>
      </c>
      <c r="BZ3" s="59">
        <v>36923</v>
      </c>
      <c r="CA3" s="59">
        <v>37288</v>
      </c>
      <c r="CB3" s="59">
        <v>37653</v>
      </c>
      <c r="CC3" s="59">
        <v>38018</v>
      </c>
      <c r="CD3" s="59" t="str">
        <f>Sheet8!A15</f>
        <v>Mar-w1</v>
      </c>
      <c r="CE3" s="59">
        <v>37316</v>
      </c>
      <c r="CF3" s="59">
        <v>37681</v>
      </c>
      <c r="CG3" s="59">
        <v>38047</v>
      </c>
      <c r="CH3" s="59" t="str">
        <f>Sheet8!E15</f>
        <v>Apr-w1</v>
      </c>
      <c r="CI3" s="59" t="str">
        <f>Sheet8!F15</f>
        <v>Apr-w2</v>
      </c>
      <c r="CJ3" s="59" t="str">
        <f>Sheet8!G15</f>
        <v>Apr-w3</v>
      </c>
      <c r="CK3" s="59" t="str">
        <f>Sheet8!H15</f>
        <v>Apr-w4</v>
      </c>
      <c r="CL3" s="59" t="str">
        <f>Sheet8!I15</f>
        <v>May-w1</v>
      </c>
      <c r="CM3" s="59" t="str">
        <f>Sheet8!J15</f>
        <v>May-w2</v>
      </c>
      <c r="CN3" s="59" t="str">
        <f>Sheet8!K15</f>
        <v>May-w3</v>
      </c>
      <c r="CO3" s="59" t="str">
        <f>Sheet8!L15</f>
        <v>May-w4</v>
      </c>
      <c r="CP3" s="59" t="str">
        <f>Sheet8!M15</f>
        <v>May-w5</v>
      </c>
      <c r="CQ3" s="59" t="str">
        <f>Sheet8!N15</f>
        <v>june-w1</v>
      </c>
      <c r="CR3" s="59" t="str">
        <f>Sheet8!O15</f>
        <v>june-w2</v>
      </c>
      <c r="CS3" s="59" t="str">
        <f>Sheet8!P15</f>
        <v>june-w3</v>
      </c>
      <c r="CT3" s="59" t="str">
        <f>Sheet8!Q15</f>
        <v>june-w4</v>
      </c>
      <c r="CU3" s="59" t="str">
        <f>Sheet8!R15</f>
        <v>Jul-w1</v>
      </c>
      <c r="CV3" s="59" t="str">
        <f>Sheet8!S15</f>
        <v>Jul-w2</v>
      </c>
      <c r="CW3" s="59" t="str">
        <f>Sheet8!T15</f>
        <v>Jul-w3</v>
      </c>
      <c r="CX3" s="59" t="str">
        <f>Sheet8!U15</f>
        <v>Jul-w4</v>
      </c>
      <c r="CY3" s="59" t="str">
        <f>Sheet8!V15</f>
        <v>Aug-w1</v>
      </c>
      <c r="CZ3" s="59" t="str">
        <f>Sheet8!W15</f>
        <v>Aug-w2</v>
      </c>
      <c r="DA3" s="59" t="str">
        <f>Sheet8!X15</f>
        <v>Aug-w3</v>
      </c>
      <c r="DB3" s="59" t="str">
        <f>Sheet8!Y15</f>
        <v>Aug-w4</v>
      </c>
      <c r="DC3" s="59" t="str">
        <f>Sheet8!Z15</f>
        <v>Sep-w1</v>
      </c>
      <c r="DD3" s="59" t="str">
        <f>Sheet8!AA15</f>
        <v>Sep-w2</v>
      </c>
      <c r="DE3" s="59" t="str">
        <f>Sheet8!AB15</f>
        <v>Sep-w3</v>
      </c>
      <c r="DF3" s="59" t="str">
        <f>Sheet8!AC15</f>
        <v>Sep-w4</v>
      </c>
      <c r="DG3" s="59" t="str">
        <f>Sheet8!AD15</f>
        <v>Oct-w1</v>
      </c>
      <c r="DH3" s="59" t="str">
        <f>Sheet8!AE15</f>
        <v>Oct-w2</v>
      </c>
      <c r="DI3" s="59" t="str">
        <f>Sheet8!AF15</f>
        <v>Oct-w3</v>
      </c>
      <c r="DJ3" s="59" t="str">
        <f>Sheet8!AG15</f>
        <v>Oct-w4</v>
      </c>
      <c r="DK3" s="59" t="str">
        <f>Sheet8!AH15</f>
        <v>Nov-w1</v>
      </c>
      <c r="DL3" s="59" t="str">
        <f>Sheet8!AI15</f>
        <v>Nov-w2</v>
      </c>
      <c r="DM3" s="59" t="str">
        <f>Sheet8!AJ15</f>
        <v>Nov-w3</v>
      </c>
      <c r="DN3" s="59" t="str">
        <f>Sheet8!AK15</f>
        <v>Nov-w4</v>
      </c>
      <c r="DO3" s="59" t="str">
        <f>Sheet8!AL15</f>
        <v>Dec-w1</v>
      </c>
      <c r="DP3" s="59" t="str">
        <f>Sheet8!AM15</f>
        <v>Dec-w2</v>
      </c>
      <c r="DQ3" s="59" t="str">
        <f>Sheet8!AN15</f>
        <v>Dec-w3</v>
      </c>
      <c r="DR3" s="59" t="str">
        <f>Sheet8!AO15</f>
        <v>Dec-w4</v>
      </c>
      <c r="DS3" s="59">
        <f>Sheet8!AP15</f>
        <v>0</v>
      </c>
      <c r="DT3" s="59">
        <f>Sheet8!AQ15</f>
        <v>0</v>
      </c>
      <c r="DU3" s="59">
        <f>Sheet8!AR15</f>
        <v>0</v>
      </c>
      <c r="DV3" s="59">
        <f>Sheet8!AS15</f>
        <v>0</v>
      </c>
      <c r="DW3" s="59">
        <f>Sheet8!AT15</f>
        <v>0</v>
      </c>
      <c r="DX3" s="59">
        <f>Sheet8!AU15</f>
        <v>0</v>
      </c>
      <c r="DY3" s="59">
        <f>Sheet8!AV15</f>
        <v>0</v>
      </c>
      <c r="DZ3" s="59">
        <f>Sheet8!AW15</f>
        <v>0</v>
      </c>
      <c r="EA3" s="59">
        <f>Sheet8!AX15</f>
        <v>0</v>
      </c>
      <c r="EB3" s="59">
        <f>Sheet8!AY15</f>
        <v>0</v>
      </c>
      <c r="EC3" s="59">
        <f>Sheet8!AZ15</f>
        <v>0</v>
      </c>
      <c r="ED3" s="59">
        <f>Sheet8!BA15</f>
        <v>0</v>
      </c>
      <c r="EE3" s="59">
        <f>Sheet8!BB15</f>
        <v>0</v>
      </c>
      <c r="EF3" s="59">
        <f>Sheet8!BC15</f>
        <v>0</v>
      </c>
      <c r="EG3" s="59">
        <f>Sheet8!BD15</f>
        <v>0</v>
      </c>
      <c r="EH3" s="59">
        <f>Sheet8!BE15</f>
        <v>0</v>
      </c>
      <c r="EI3" s="59">
        <f>Sheet8!BF15</f>
        <v>0</v>
      </c>
      <c r="EJ3" s="59">
        <f>Sheet8!BG15</f>
        <v>0</v>
      </c>
      <c r="EK3" s="59">
        <f>Sheet8!BH15</f>
        <v>0</v>
      </c>
      <c r="EL3" s="59">
        <f>Sheet8!BI15</f>
        <v>0</v>
      </c>
      <c r="EM3" s="59">
        <f>Sheet8!BJ15</f>
        <v>0</v>
      </c>
      <c r="EN3" s="59">
        <f>Sheet8!BK15</f>
        <v>0</v>
      </c>
      <c r="EO3" s="59">
        <f>Sheet8!BL15</f>
        <v>0</v>
      </c>
      <c r="EP3" s="59">
        <f>Sheet8!BM15</f>
        <v>0</v>
      </c>
      <c r="EQ3" s="59">
        <f>Sheet8!BN15</f>
        <v>0</v>
      </c>
      <c r="ER3" s="59">
        <f>Sheet8!BO15</f>
        <v>0</v>
      </c>
      <c r="ES3" s="59">
        <f>Sheet8!BP15</f>
        <v>0</v>
      </c>
    </row>
    <row r="4" spans="1:165">
      <c r="A4" s="60" t="s">
        <v>620</v>
      </c>
      <c r="B4" s="60" t="s">
        <v>621</v>
      </c>
      <c r="C4" s="60" t="s">
        <v>89</v>
      </c>
      <c r="D4" s="60" t="s">
        <v>622</v>
      </c>
      <c r="G4" s="60" t="s">
        <v>87</v>
      </c>
      <c r="H4" s="60">
        <f>VLOOKUP($G$4&amp;$F$1,'Input RM sheet'!$A:$BD,H1,0)</f>
        <v>0.56998312620807201</v>
      </c>
      <c r="I4" s="60">
        <f>VLOOKUP($G$4&amp;$F$1,'Input RM sheet'!$A:$BD,I1,0)</f>
        <v>0.59121073208170472</v>
      </c>
      <c r="J4" s="60">
        <f>VLOOKUP($G$4&amp;$F$1,'Input RM sheet'!$A:$BD,J1,0)</f>
        <v>0.58622607532656246</v>
      </c>
      <c r="K4" s="60">
        <f>VLOOKUP($G$4&amp;$F$1,'Input RM sheet'!$A:$BD,K1,0)</f>
        <v>0.61453884161169792</v>
      </c>
      <c r="L4" s="60">
        <f>VLOOKUP($G$4&amp;$F$1,'Input RM sheet'!$A:$BD,L1,0)</f>
        <v>0.55963594642841941</v>
      </c>
      <c r="M4" s="60">
        <f>VLOOKUP($G$4&amp;$F$1,'Input RM sheet'!$A:$BD,M1,0)</f>
        <v>0.53943246925582156</v>
      </c>
      <c r="N4" s="60">
        <f>VLOOKUP($G$4&amp;$F$1,'Input RM sheet'!$A:$BD,N1,0)</f>
        <v>0.53897666466049809</v>
      </c>
      <c r="O4" s="60">
        <f>VLOOKUP($G$4&amp;$F$1,'Input RM sheet'!$A:$BD,O1,0)</f>
        <v>0.48993228114808474</v>
      </c>
      <c r="P4" s="60">
        <f>VLOOKUP($G$4&amp;$F$1,'Input RM sheet'!$A:$BD,P1,0)</f>
        <v>0.54843546543005162</v>
      </c>
      <c r="Q4" s="60">
        <f>VLOOKUP($G$4&amp;$F$1,'Input RM sheet'!$A:$BD,Q1,0)</f>
        <v>0.5875206557450755</v>
      </c>
      <c r="R4" s="60">
        <f>VLOOKUP($G$4&amp;$F$1,'Input RM sheet'!$A:$BD,R1,0)</f>
        <v>0.53379788183505095</v>
      </c>
      <c r="S4" s="60">
        <f>VLOOKUP($G$4&amp;$F$1,'Input RM sheet'!$A:$BD,S1,0)</f>
        <v>0.51662325941883824</v>
      </c>
      <c r="T4" s="60">
        <f>VLOOKUP($G$4&amp;$F$1,'Input RM sheet'!$A:$BD,T1,0)</f>
        <v>0.54909801919251666</v>
      </c>
      <c r="U4" s="60">
        <f>VLOOKUP($G$4&amp;$F$1,'Input RM sheet'!$A:$BD,U1,0)</f>
        <v>0.6301582784239399</v>
      </c>
      <c r="V4" s="60">
        <f>VLOOKUP($G$4&amp;$F$1,'Input RM sheet'!$A:$BD,V1,0)</f>
        <v>0.66500382340638975</v>
      </c>
      <c r="W4" s="60">
        <f>VLOOKUP($G$4&amp;$F$1,'Input RM sheet'!$A:$BD,W1,0)</f>
        <v>0.71638009701499605</v>
      </c>
      <c r="X4" s="60">
        <f>VLOOKUP($G$4&amp;$F$1,'Input RM sheet'!$A:$BD,X1,0)</f>
        <v>0.76506863326602914</v>
      </c>
      <c r="Y4" s="60">
        <f>VLOOKUP($G$4&amp;$F$1,'Input RM sheet'!$A:$BD,Y1,0)</f>
        <v>0.81552637761213986</v>
      </c>
      <c r="Z4" s="60">
        <f>VLOOKUP($G$4&amp;$F$1,'Input RM sheet'!$A:$BD,Z1,0)</f>
        <v>0.79669128751853679</v>
      </c>
      <c r="AA4" s="60">
        <f>VLOOKUP($G$4&amp;$F$1,'Input RM sheet'!$A:$BD,AA1,0)</f>
        <v>0.80482136926502679</v>
      </c>
      <c r="AB4" s="60">
        <f>VLOOKUP($G$4&amp;$F$1,'Input RM sheet'!$A:$BD,AB1,0)</f>
        <v>0.78612220742713423</v>
      </c>
      <c r="AC4" s="60">
        <f>VLOOKUP($G$4&amp;$F$1,'Input RM sheet'!$A:$BD,AC1,0)</f>
        <v>0.91526742472307765</v>
      </c>
      <c r="AD4" s="60">
        <f>VLOOKUP($G$4&amp;$F$1,'Input RM sheet'!$A:$BD,AD1,0)</f>
        <v>0.8832738116588762</v>
      </c>
      <c r="AE4" s="60">
        <f>VLOOKUP($G$4&amp;$F$1,'Input RM sheet'!$A:$BD,AE1,0)</f>
        <v>1.0631600925093152</v>
      </c>
      <c r="AF4" s="60">
        <f>VLOOKUP($G$4&amp;$F$1,'Input RM sheet'!$A:$BD,AF1,0)</f>
        <v>1.0076964221548521</v>
      </c>
      <c r="AG4" s="60">
        <f>VLOOKUP($G$4&amp;$F$1,'Input RM sheet'!$A:$BD,AG1,0)</f>
        <v>1.0527002119683169</v>
      </c>
      <c r="AH4" s="60">
        <f>VLOOKUP($G$4&amp;$F$1,'Input RM sheet'!$A:$BD,AH1,0)</f>
        <v>1.0489733506738959</v>
      </c>
      <c r="AI4" s="60">
        <f>VLOOKUP($G$4&amp;$F$1,'Input RM sheet'!$A:$BD,AI1,0)</f>
        <v>0.82908082408874806</v>
      </c>
      <c r="AJ4" s="60">
        <f>VLOOKUP($G$4&amp;$F$1,'Input RM sheet'!$A:$BD,AJ1,0)</f>
        <v>0.86919572107765453</v>
      </c>
      <c r="AK4" s="60">
        <f>VLOOKUP($G$4&amp;$F$1,'Input RM sheet'!$A:$BD,AK1,0)</f>
        <v>0.88815126050420168</v>
      </c>
      <c r="AL4" s="60">
        <f>VLOOKUP($G$4&amp;$F$1,'Input RM sheet'!$A:$BD,AL1,0)</f>
        <v>0.88815126050420168</v>
      </c>
      <c r="AM4" s="60">
        <f>VLOOKUP($G$4&amp;$F$1,'Input RM sheet'!$A:$BD,AM1,0)</f>
        <v>0.86</v>
      </c>
      <c r="AN4" s="60">
        <f>VLOOKUP($G$4&amp;$F$1,'Input RM sheet'!$A:$BD,AN1,0)</f>
        <v>0.82</v>
      </c>
      <c r="AO4" s="60">
        <f>VLOOKUP($G$4&amp;$F$1,'Input RM sheet'!$A:$BD,AO1,0)</f>
        <v>0.82</v>
      </c>
      <c r="AP4" s="60">
        <f>VLOOKUP($G$4&amp;$F$1,'Input RM sheet'!$A:$BD,AP1,0)</f>
        <v>0.81555555555555559</v>
      </c>
      <c r="AQ4" s="60">
        <f>VLOOKUP($G$4&amp;$F$1,'Input RM sheet'!$A:$BD,AQ1,0)</f>
        <v>0.82</v>
      </c>
      <c r="AR4" s="60">
        <f>VLOOKUP($G$4&amp;$F$1,'Input RM sheet'!$A:$BD,AR1,0)</f>
        <v>1.0977999999999999</v>
      </c>
      <c r="AS4" s="60">
        <f>VLOOKUP($G$4&amp;$F$1,'Input RM sheet'!$A:$BD,AS1,0)</f>
        <v>0.94809999999999994</v>
      </c>
      <c r="AT4" s="60">
        <f>VLOOKUP($G$4&amp;$F$1,'Input RM sheet'!$A:$BD,AT1,0)</f>
        <v>0.85</v>
      </c>
      <c r="AU4" s="60">
        <f>VLOOKUP($G$4&amp;$F$1,'Input RM sheet'!$A:$BD,AU1,0)</f>
        <v>0.79</v>
      </c>
      <c r="AV4" s="60">
        <f>VLOOKUP($G$4&amp;$F$1,'Input RM sheet'!$A:$BD,AV1,0)</f>
        <v>0.79</v>
      </c>
      <c r="AW4" s="60">
        <f>VLOOKUP($G$4&amp;$F$1,'Input RM sheet'!$A:$BD,AW1,0)</f>
        <v>0.82</v>
      </c>
      <c r="AX4" s="60">
        <f>VLOOKUP($G$4&amp;$F$1,'Input RM sheet'!$A:$BD,AX1,0)</f>
        <v>0.82</v>
      </c>
      <c r="AY4" s="60">
        <f>VLOOKUP($G$4&amp;$F$1,'Input RM sheet'!$A:$BD,AY1,0)</f>
        <v>0.82</v>
      </c>
      <c r="AZ4" s="60">
        <f>VLOOKUP($G$4&amp;$F$1,'Input RM sheet'!$A:$BD,AZ1,0)</f>
        <v>0.99</v>
      </c>
      <c r="BA4" s="60">
        <f>VLOOKUP($G$4&amp;$F$1,'Input RM sheet'!$A:$BD,BA1,0)</f>
        <v>0.99</v>
      </c>
      <c r="BB4" s="60">
        <f>VLOOKUP($G$4&amp;$F$1,'Input RM sheet'!$A:$BD,BB1,0)</f>
        <v>0.99</v>
      </c>
      <c r="BC4" s="60">
        <f>VLOOKUP($G$4&amp;$F$1,'Input RM sheet'!$A:$BD,BC1,0)</f>
        <v>0.79</v>
      </c>
      <c r="BD4" s="60">
        <f>VLOOKUP($G$4&amp;$F$1,'Input RM sheet'!$A:$BD,BD1,0)</f>
        <v>0.79</v>
      </c>
      <c r="BE4" s="60">
        <f>VLOOKUP($G$4&amp;$F$1,'Input RM sheet'!$A:$BD,BE1,0)</f>
        <v>0.79</v>
      </c>
      <c r="BF4" s="60">
        <f>VLOOKUP($G$4&amp;$F$1,'Input RM sheet'!$A:$DD,BF1,0)</f>
        <v>0.79</v>
      </c>
      <c r="BG4" s="60">
        <f>VLOOKUP($G$4&amp;$F$1,'Input RM sheet'!$A:$DD,BG1,0)</f>
        <v>0.85</v>
      </c>
      <c r="BH4" s="60">
        <f>VLOOKUP($G$4&amp;$F$1,'Input RM sheet'!$A:$DD,BH1,0)</f>
        <v>0.85</v>
      </c>
      <c r="BI4" s="60">
        <f>VLOOKUP($G$4&amp;$F$1,'Input RM sheet'!$A:$DD,BI1,0)</f>
        <v>0.75</v>
      </c>
      <c r="BJ4" s="60">
        <f>VLOOKUP($G$4&amp;$F$1,'Input RM sheet'!$A:$DD,BJ1,0)</f>
        <v>0.75</v>
      </c>
      <c r="BK4" s="60">
        <f>VLOOKUP($G$4&amp;$F$1,'Input RM sheet'!$A:$DD,BK1,0)</f>
        <v>0.75</v>
      </c>
      <c r="BL4" s="60">
        <f>VLOOKUP($G$4&amp;$F$1,'Input RM sheet'!$A:$DD,BL1,0)</f>
        <v>0.75</v>
      </c>
      <c r="BM4" s="60">
        <f>VLOOKUP($G$4&amp;$F$1,'Input RM sheet'!$A:$DD,BM1,0)</f>
        <v>0.8</v>
      </c>
      <c r="BN4" s="60">
        <f>VLOOKUP($G$4&amp;$F$1,'Input RM sheet'!$A:$DD,BN1,0)</f>
        <v>0.8</v>
      </c>
      <c r="BO4" s="60">
        <f>VLOOKUP($G$4&amp;$F$1,'Input RM sheet'!$A:$DD,BO1,0)</f>
        <v>0.75</v>
      </c>
      <c r="BP4" s="60">
        <f>VLOOKUP($G$4&amp;$F$1,'Input RM sheet'!$A:$DD,BP1,0)</f>
        <v>0.75</v>
      </c>
      <c r="BQ4" s="60">
        <f>VLOOKUP($G$4&amp;$F$1,'Input RM sheet'!$A:$DD,BQ1,0)</f>
        <v>0.75</v>
      </c>
      <c r="BR4" s="60">
        <f>VLOOKUP($G$4&amp;$F$1,'Input RM sheet'!$A:$DD,BR1,0)</f>
        <v>0.75</v>
      </c>
      <c r="BS4" s="60">
        <f>VLOOKUP($G$4&amp;$F$1,'Input RM sheet'!$A:$DD,BS1,0)</f>
        <v>0.75</v>
      </c>
      <c r="BT4" s="60">
        <f>VLOOKUP($G$4&amp;$F$1,'Input RM sheet'!$A:$DD,BT1,0)</f>
        <v>0.76</v>
      </c>
      <c r="BU4" s="60">
        <f>VLOOKUP($G$4&amp;$F$1,'Input RM sheet'!$A:$DD,BU1,0)</f>
        <v>0.76</v>
      </c>
      <c r="BV4" s="60">
        <f>VLOOKUP($G$4&amp;$F$1,'Input RM sheet'!$A:$DD,BV1,0)</f>
        <v>0.76</v>
      </c>
      <c r="BW4" s="60">
        <f>VLOOKUP($G$4&amp;$F$1,'Input RM sheet'!$A:$DD,BW1,0)</f>
        <v>0.76</v>
      </c>
      <c r="BX4" s="60">
        <f>VLOOKUP($G$4&amp;$F$1,'Input RM sheet'!$A:$DD,BX1,0)</f>
        <v>0.76</v>
      </c>
      <c r="BY4" s="60">
        <f>VLOOKUP($G$4&amp;$F$1,'Input RM sheet'!$A:$DD,BY1,0)</f>
        <v>0.76</v>
      </c>
      <c r="BZ4" s="60">
        <f>VLOOKUP($G$4&amp;$F$1,'Input RM sheet'!$A:$DD,BZ1,0)</f>
        <v>0.76</v>
      </c>
      <c r="CA4" s="60">
        <f>VLOOKUP($G$4&amp;$F$1,'Input RM sheet'!$A:$DD,CA1,0)</f>
        <v>0.76</v>
      </c>
      <c r="CB4" s="60">
        <f>VLOOKUP($G$4&amp;$F$1,'Input RM sheet'!$A:$DD,CB1,0)</f>
        <v>0.85</v>
      </c>
      <c r="CC4" s="60">
        <f>VLOOKUP($G$4&amp;$F$1,'Input RM sheet'!$A:$DD,CC1,0)</f>
        <v>0.85</v>
      </c>
      <c r="CD4" s="60">
        <f>VLOOKUP($G$4&amp;$F$1,'Input RM sheet'!$A:$DD,CD1,0)</f>
        <v>0.85</v>
      </c>
      <c r="CE4" s="60">
        <f>VLOOKUP($G$4&amp;$F$1,'Input RM sheet'!$A:$DD,CE1,0)</f>
        <v>0.85</v>
      </c>
      <c r="CF4" s="60">
        <f>VLOOKUP($G$4&amp;$F$1,'Input RM sheet'!$A:$DD,CF1,0)</f>
        <v>0.85</v>
      </c>
      <c r="CG4" s="60">
        <f>VLOOKUP($G$4&amp;$F$1,'Input RM sheet'!$A:$DD,CG1,0)</f>
        <v>0.85</v>
      </c>
      <c r="CH4" s="60">
        <f>VLOOKUP($G$4&amp;$F$1,'Input RM sheet'!$A:$DD,CH1,0)</f>
        <v>0.85</v>
      </c>
      <c r="CI4" s="60">
        <f>VLOOKUP($G$4&amp;$F$1,'Input RM sheet'!$A:$DD,CI1,0)</f>
        <v>0.82</v>
      </c>
      <c r="CJ4" s="60">
        <f>VLOOKUP($G$4&amp;$F$1,'Input RM sheet'!$A:$DD,CJ1,0)</f>
        <v>0.76</v>
      </c>
      <c r="CK4" s="60">
        <f>VLOOKUP($G$4&amp;$F$1,'Input RM sheet'!$A:$DD,CK1,0)</f>
        <v>0.76</v>
      </c>
      <c r="CL4" s="60">
        <f>VLOOKUP($G$4&amp;$F$1,'Input RM sheet'!$A:$DD,CL1,0)</f>
        <v>0.76</v>
      </c>
      <c r="CM4" s="60">
        <f>VLOOKUP($G$4&amp;$F$1,'Input RM sheet'!$A:$DD,CM1,0)</f>
        <v>0.76</v>
      </c>
      <c r="CN4" s="60">
        <f>VLOOKUP($G$4&amp;$F$1,'Input RM sheet'!$A:$DD,CN1,0)</f>
        <v>0.76</v>
      </c>
      <c r="CO4" s="60">
        <f>VLOOKUP($G$4&amp;$F$1,'Input RM sheet'!$A:$ZD,CO1,0)</f>
        <v>0.76</v>
      </c>
      <c r="CP4" s="60">
        <f>VLOOKUP($G$4&amp;$F$1,'Input RM sheet'!$A:$ZD,CP1,0)</f>
        <v>0.76</v>
      </c>
      <c r="CQ4" s="60">
        <f>VLOOKUP($G$4&amp;$F$1,'Input RM sheet'!$A:$ZD,CQ1,0)</f>
        <v>0.76</v>
      </c>
      <c r="CR4" s="60">
        <f>VLOOKUP($G$4&amp;$F$1,'Input RM sheet'!$A:$ZD,CR1,0)</f>
        <v>0.76</v>
      </c>
      <c r="CS4" s="60">
        <f>VLOOKUP($G$4&amp;$F$1,'Input RM sheet'!$A:$ZZ,CS1,0)</f>
        <v>0.76</v>
      </c>
      <c r="CT4" s="60">
        <f>VLOOKUP($G$4&amp;$F$1,'Input RM sheet'!$A:$ZZ,CT1,0)</f>
        <v>0.76</v>
      </c>
      <c r="CU4" s="60">
        <f>VLOOKUP($G$4&amp;$F$1,'Input RM sheet'!$A:$ZZ,CU1,0)</f>
        <v>0.76</v>
      </c>
      <c r="CV4" s="60">
        <f>VLOOKUP($G$4&amp;$F$1,'Input RM sheet'!$A:$ZZ,CV1,0)</f>
        <v>0.76</v>
      </c>
      <c r="CW4" s="60">
        <f>VLOOKUP($G$4&amp;$F$1,'Input RM sheet'!$A:$ZZ,CW1,0)</f>
        <v>0.76</v>
      </c>
      <c r="CX4" s="60">
        <f>VLOOKUP($G$4&amp;$F$1,'Input RM sheet'!$A:$ZZ,CX1,0)</f>
        <v>0.76</v>
      </c>
      <c r="CY4" s="60">
        <f>VLOOKUP($G$4&amp;$F$1,'Input RM sheet'!$A:$ZZ,CY1,0)</f>
        <v>0.76</v>
      </c>
      <c r="CZ4" s="60">
        <f>VLOOKUP($G$4&amp;$F$1,'Input RM sheet'!$A:$ZZ,CZ1,0)</f>
        <v>0.76</v>
      </c>
      <c r="DA4" s="60">
        <f>VLOOKUP($G$4&amp;$F$1,'Input RM sheet'!$A:$ZZ,DA1,0)</f>
        <v>0.76</v>
      </c>
      <c r="DB4" s="60">
        <f>VLOOKUP($G$4&amp;$F$1,'Input RM sheet'!$A:$ZZ,DB1,0)</f>
        <v>0.76</v>
      </c>
      <c r="DC4" s="60">
        <f>VLOOKUP($G$4&amp;$F$1,'Input RM sheet'!$A:$ZZ,DC1,0)</f>
        <v>0.76</v>
      </c>
      <c r="DD4" s="60">
        <f>VLOOKUP($G$4&amp;$F$1,'Input RM sheet'!$A:$ZZ,DD1,0)</f>
        <v>0.76</v>
      </c>
      <c r="DE4" s="60">
        <f>VLOOKUP($G$4&amp;$F$1,'Input RM sheet'!$A:$ZZ,DE1,0)</f>
        <v>0.76</v>
      </c>
      <c r="DF4" s="60">
        <f>VLOOKUP($G$4&amp;$F$1,'Input RM sheet'!$A:$ZZ,DF1,0)</f>
        <v>0.76</v>
      </c>
      <c r="DG4" s="60">
        <f>VLOOKUP($G$4&amp;$F$1,'Input RM sheet'!$A:$ZZ,DG1,0)</f>
        <v>0.87</v>
      </c>
      <c r="DH4" s="60">
        <f>VLOOKUP($G$4&amp;$F$1,'Input RM sheet'!$A:$ZZ,DH1,0)</f>
        <v>0.87</v>
      </c>
      <c r="DI4" s="60">
        <f>VLOOKUP($G$4&amp;$F$1,'Input RM sheet'!$A:$ZZ,DI1,0)</f>
        <v>0.87</v>
      </c>
      <c r="DJ4" s="60">
        <f>VLOOKUP($G$4&amp;$F$1,'Input RM sheet'!$A:$ZZ,DJ1,0)</f>
        <v>0.87</v>
      </c>
      <c r="DK4" s="60">
        <f>VLOOKUP($G$4&amp;$F$1,'Input RM sheet'!$A:$ZZ,DK1,0)</f>
        <v>0.87</v>
      </c>
      <c r="DL4" s="60">
        <f>VLOOKUP($G$4&amp;$F$1,'Input RM sheet'!$A:$ZZ,DL1,0)</f>
        <v>0.95</v>
      </c>
      <c r="DM4" s="60">
        <f>VLOOKUP($G$4&amp;$F$1,'Input RM sheet'!$A:$ZZ,DM1,0)</f>
        <v>0.95</v>
      </c>
      <c r="DN4" s="60">
        <f>VLOOKUP($G$4&amp;$F$1,'Input RM sheet'!$A:$ZZ,DN1,0)</f>
        <v>0.95</v>
      </c>
      <c r="DO4" s="60">
        <f>VLOOKUP($G$4&amp;$F$1,'Input RM sheet'!$A:$ZZ,DO1,0)</f>
        <v>0.95</v>
      </c>
      <c r="DP4" s="60">
        <f>VLOOKUP($G$4&amp;$F$1,'Input RM sheet'!$A:$ZZ,DP1,0)</f>
        <v>0.95</v>
      </c>
      <c r="DQ4" s="60">
        <f>VLOOKUP($G$4&amp;$F$1,'Input RM sheet'!$A:$ZZ,DQ1,0)</f>
        <v>0.95</v>
      </c>
      <c r="DR4" s="60">
        <f>VLOOKUP($G$4&amp;$F$1,'Input RM sheet'!$A:$ZZ,DR1,0)</f>
        <v>0.95</v>
      </c>
      <c r="DS4" s="60">
        <f>VLOOKUP($G$4&amp;$F$1,'Input RM sheet'!$A:$ZZ,DS1,0)</f>
        <v>0</v>
      </c>
      <c r="DT4" s="60">
        <f>VLOOKUP($G$4&amp;$F$1,'Input RM sheet'!$A:$ZZ,DT1,0)</f>
        <v>0</v>
      </c>
      <c r="DU4" s="60">
        <f>VLOOKUP($G$4&amp;$F$1,'Input RM sheet'!$A:$ZZ,DU1,0)</f>
        <v>0</v>
      </c>
      <c r="DV4" s="60">
        <f>VLOOKUP($G$4&amp;$F$1,'Input RM sheet'!$A:$ZZ,DV1,0)</f>
        <v>0</v>
      </c>
      <c r="DW4" s="60">
        <f>VLOOKUP($G$4&amp;$F$1,'Input RM sheet'!$A:$ZZ,DW1,0)</f>
        <v>0</v>
      </c>
      <c r="DX4" s="60">
        <f>VLOOKUP($G$4&amp;$F$1,'Input RM sheet'!$A:$ZZ,DX1,0)</f>
        <v>0</v>
      </c>
      <c r="DY4" s="60">
        <f>VLOOKUP($G$4&amp;$F$1,'Input RM sheet'!$A:$ZZ,DY1,0)</f>
        <v>0</v>
      </c>
      <c r="DZ4" s="60">
        <f>VLOOKUP($G$4&amp;$F$1,'Input RM sheet'!$A:$ZZ,DZ1,0)</f>
        <v>0</v>
      </c>
      <c r="EA4" s="60">
        <f>VLOOKUP($G$4&amp;$F$1,'Input RM sheet'!$A:$ZZ,EA1,0)</f>
        <v>0</v>
      </c>
      <c r="EB4" s="60">
        <f>VLOOKUP($G$4&amp;$F$1,'Input RM sheet'!$A:$ZZ,EB1,0)</f>
        <v>0</v>
      </c>
      <c r="EC4" s="60">
        <f>VLOOKUP($G$4&amp;$F$1,'Input RM sheet'!$A:$ZZ,EC1,0)</f>
        <v>0</v>
      </c>
      <c r="ED4" s="60">
        <f>VLOOKUP($G$4&amp;$F$1,'Input RM sheet'!$A:$ZZ,ED1,0)</f>
        <v>0</v>
      </c>
      <c r="EE4" s="60">
        <f>VLOOKUP($G$4&amp;$F$1,'Input RM sheet'!$A:$ZZ,EE1,0)</f>
        <v>0</v>
      </c>
      <c r="EF4" s="60">
        <f>VLOOKUP($G$4&amp;$F$1,'Input RM sheet'!$A:$ZZ,EF1,0)</f>
        <v>0</v>
      </c>
      <c r="EG4" s="60">
        <f>VLOOKUP($G$4&amp;$F$1,'Input RM sheet'!$A:$ZZ,EG1,0)</f>
        <v>0</v>
      </c>
      <c r="EH4" s="60">
        <f>VLOOKUP($G$4&amp;$F$1,'Input RM sheet'!$A:$ZZ,EH1,0)</f>
        <v>0</v>
      </c>
      <c r="EI4" s="60">
        <f>VLOOKUP($G$4&amp;$F$1,'Input RM sheet'!$A:$ZZ,EI1,0)</f>
        <v>0</v>
      </c>
      <c r="EJ4" s="60">
        <f>VLOOKUP($G$4&amp;$F$1,'Input RM sheet'!$A:$ZZ,EJ1,0)</f>
        <v>0</v>
      </c>
      <c r="EK4" s="60">
        <f>VLOOKUP($G$4&amp;$F$1,'Input RM sheet'!$A:$ZZ,EK1,0)</f>
        <v>0</v>
      </c>
      <c r="EL4" s="60">
        <f>VLOOKUP($G$4&amp;$F$1,'Input RM sheet'!$A:$ZZ,EL1,0)</f>
        <v>0</v>
      </c>
      <c r="EM4" s="60">
        <f>VLOOKUP($G$4&amp;$F$1,'Input RM sheet'!$A:$ZZ,EM1,0)</f>
        <v>0</v>
      </c>
      <c r="EN4" s="60">
        <f>VLOOKUP($G$4&amp;$F$1,'Input RM sheet'!$A:$ZZ,EN1,0)</f>
        <v>0</v>
      </c>
      <c r="EO4" s="60">
        <f>VLOOKUP($G$4&amp;$F$1,'Input RM sheet'!$A:$ZZ,EO1,0)</f>
        <v>0</v>
      </c>
      <c r="EP4" s="60">
        <f>VLOOKUP($G$4&amp;$F$1,'Input RM sheet'!$A:$ZZ,EP1,0)</f>
        <v>0</v>
      </c>
      <c r="EQ4" s="60">
        <f>VLOOKUP($G$4&amp;$F$1,'Input RM sheet'!$A:$ZZ,EQ1,0)</f>
        <v>0</v>
      </c>
      <c r="ER4" s="60">
        <f>VLOOKUP($G$4&amp;$F$1,'Input RM sheet'!$A:$ZZ,ER1,0)</f>
        <v>0</v>
      </c>
      <c r="ES4" s="60">
        <f>VLOOKUP($G$4&amp;$F$1,'Input RM sheet'!$A:$ZZ,ES1,0)</f>
        <v>0</v>
      </c>
    </row>
    <row r="5" spans="1:165">
      <c r="A5" s="67">
        <v>128.16999999999999</v>
      </c>
      <c r="B5" s="64">
        <v>63.01</v>
      </c>
      <c r="C5" s="63">
        <v>147.01</v>
      </c>
      <c r="D5" s="64">
        <v>105.98</v>
      </c>
      <c r="G5" s="60" t="s">
        <v>63</v>
      </c>
      <c r="H5" s="60">
        <f>VLOOKUP($G$5&amp;$F$1,'Input RM sheet'!$A:$DD,H1,0)</f>
        <v>0.21</v>
      </c>
      <c r="I5" s="60">
        <f>VLOOKUP($G$5&amp;$F$1,'Input RM sheet'!$A:$BD,I1,0)</f>
        <v>0.21</v>
      </c>
      <c r="J5" s="60">
        <f>VLOOKUP($G$5&amp;$F$1,'Input RM sheet'!$A:$BD,J1,0)</f>
        <v>0.21</v>
      </c>
      <c r="K5" s="60">
        <f>VLOOKUP($G$5&amp;$F$1,'Input RM sheet'!$A:$BD,K1,0)</f>
        <v>0.2</v>
      </c>
      <c r="L5" s="60">
        <f>VLOOKUP($G$5&amp;$F$1,'Input RM sheet'!$A:$BD,L1,0)</f>
        <v>0.19</v>
      </c>
      <c r="M5" s="60">
        <f>VLOOKUP($G$5&amp;$F$1,'Input RM sheet'!$A:$BD,M1,0)</f>
        <v>0.2</v>
      </c>
      <c r="N5" s="60">
        <f>VLOOKUP($G$5&amp;$F$1,'Input RM sheet'!$A:$BD,N1,0)</f>
        <v>0.2</v>
      </c>
      <c r="O5" s="60">
        <f>VLOOKUP($G$5&amp;$F$1,'Input RM sheet'!$A:$BD,O1,0)</f>
        <v>0.2</v>
      </c>
      <c r="P5" s="60">
        <f>VLOOKUP($G$5&amp;$F$1,'Input RM sheet'!$A:$BD,P1,0)</f>
        <v>0.21</v>
      </c>
      <c r="Q5" s="60">
        <f>VLOOKUP($G$5&amp;$F$1,'Input RM sheet'!$A:$BD,Q1,0)</f>
        <v>0.22</v>
      </c>
      <c r="R5" s="60">
        <f>VLOOKUP($G$5&amp;$F$1,'Input RM sheet'!$A:$BD,R1,0)</f>
        <v>0.24</v>
      </c>
      <c r="S5" s="60">
        <f>VLOOKUP($G$5&amp;$F$1,'Input RM sheet'!$A:$BD,S1,0)</f>
        <v>0.28000000000000003</v>
      </c>
      <c r="T5" s="60">
        <f>VLOOKUP($G$5&amp;$F$1,'Input RM sheet'!$A:$BD,T1,0)</f>
        <v>0.28000000000000003</v>
      </c>
      <c r="U5" s="60">
        <f>VLOOKUP($G$5&amp;$F$1,'Input RM sheet'!$A:$BD,U1,0)</f>
        <v>0.28000000000000003</v>
      </c>
      <c r="V5" s="60">
        <f>VLOOKUP($G$5&amp;$F$1,'Input RM sheet'!$A:$BD,V1,0)</f>
        <v>0.28000000000000003</v>
      </c>
      <c r="W5" s="60">
        <f>VLOOKUP($G$5&amp;$F$1,'Input RM sheet'!$A:$BD,W1,0)</f>
        <v>0.3</v>
      </c>
      <c r="X5" s="60">
        <f>VLOOKUP($G$5&amp;$F$1,'Input RM sheet'!$A:$BD,X1,0)</f>
        <v>0.31</v>
      </c>
      <c r="Y5" s="60">
        <f>VLOOKUP($G$5&amp;$F$1,'Input RM sheet'!$A:$BD,Y1,0)</f>
        <v>0.32</v>
      </c>
      <c r="Z5" s="60">
        <f>VLOOKUP($G$5&amp;$F$1,'Input RM sheet'!$A:$BD,Z1,0)</f>
        <v>0.36</v>
      </c>
      <c r="AA5" s="60">
        <f>VLOOKUP($G$5&amp;$F$1,'Input RM sheet'!$A:$BD,AA1,0)</f>
        <v>0.4</v>
      </c>
      <c r="AB5" s="60">
        <f>VLOOKUP($G$5&amp;$F$1,'Input RM sheet'!$A:$BD,AB1,0)</f>
        <v>0.44</v>
      </c>
      <c r="AC5" s="60">
        <f>VLOOKUP($G$5&amp;$F$1,'Input RM sheet'!$A:$BD,AC1,0)</f>
        <v>0.45</v>
      </c>
      <c r="AD5" s="60">
        <f>VLOOKUP($G$5&amp;$F$1,'Input RM sheet'!$A:$BD,AD1,0)</f>
        <v>0.41</v>
      </c>
      <c r="AE5" s="60">
        <f>VLOOKUP($G$5&amp;$F$1,'Input RM sheet'!$A:$BD,AE1,0)</f>
        <v>0.32</v>
      </c>
      <c r="AF5" s="60">
        <f>VLOOKUP($G$5&amp;$F$1,'Input RM sheet'!$A:$BD,AF1,0)</f>
        <v>0.31</v>
      </c>
      <c r="AG5" s="60">
        <f>VLOOKUP($G$5&amp;$F$1,'Input RM sheet'!$A:$BD,AG1,0)</f>
        <v>0.4</v>
      </c>
      <c r="AH5" s="60">
        <f>VLOOKUP($G$5&amp;$F$1,'Input RM sheet'!$A:$BD,AH1,0)</f>
        <v>0.31</v>
      </c>
      <c r="AI5" s="60">
        <f>VLOOKUP($G$5&amp;$F$1,'Input RM sheet'!$A:$BD,AI1,0)</f>
        <v>0.33</v>
      </c>
      <c r="AJ5" s="60">
        <f>VLOOKUP($G$5&amp;$F$1,'Input RM sheet'!$A:$BD,AJ1,0)</f>
        <v>0.36</v>
      </c>
      <c r="AK5" s="60">
        <f>VLOOKUP($G$5&amp;$F$1,'Input RM sheet'!$A:$BD,AK1,0)</f>
        <v>0.38</v>
      </c>
      <c r="AL5" s="60">
        <f>VLOOKUP($G$5&amp;$F$1,'Input RM sheet'!$A:$BD,AL1,0)</f>
        <v>0.39</v>
      </c>
      <c r="AM5" s="60">
        <f>VLOOKUP($G$5&amp;$F$1,'Input RM sheet'!$A:$BD,AM1,0)</f>
        <v>0.34</v>
      </c>
      <c r="AN5" s="60">
        <f>VLOOKUP($G$5&amp;$F$1,'Input RM sheet'!$A:$BD,AN1,0)</f>
        <v>0.3</v>
      </c>
      <c r="AO5" s="60">
        <f>VLOOKUP($G$5&amp;$F$1,'Input RM sheet'!$A:$BD,AO1,0)</f>
        <v>0.3</v>
      </c>
      <c r="AP5" s="60">
        <f>VLOOKUP($G$5&amp;$F$1,'Input RM sheet'!$A:$BD,AP1,0)</f>
        <v>0.33</v>
      </c>
      <c r="AQ5" s="60">
        <f>VLOOKUP($G$5&amp;$F$1,'Input RM sheet'!$A:$BD,AQ1,0)</f>
        <v>0.35</v>
      </c>
      <c r="AR5" s="60">
        <f>VLOOKUP($G$5&amp;$F$1,'Input RM sheet'!$A:$BD,AR1,0)</f>
        <v>0.34</v>
      </c>
      <c r="AS5" s="60">
        <f>VLOOKUP($G$5&amp;$F$1,'Input RM sheet'!$A:$BD,AS1,0)</f>
        <v>0.32</v>
      </c>
      <c r="AT5" s="60">
        <f>VLOOKUP($G$5&amp;$F$1,'Input RM sheet'!$A:$BD,AT1,0)</f>
        <v>0.34</v>
      </c>
      <c r="AU5" s="60">
        <f>VLOOKUP($G$5&amp;$F$1,'Input RM sheet'!$A:$BD,AU1,0)</f>
        <v>0.32</v>
      </c>
      <c r="AV5" s="60">
        <f>VLOOKUP($G$5&amp;$F$1,'Input RM sheet'!$A:$BD,AV1,0)</f>
        <v>0.3</v>
      </c>
      <c r="AW5" s="60">
        <f>VLOOKUP($G$5&amp;$F$1,'Input RM sheet'!$A:$BD,AW1,0)</f>
        <v>0.26</v>
      </c>
      <c r="AX5" s="60">
        <f>VLOOKUP($G$5&amp;$F$1,'Input RM sheet'!$A:$BD,AX1,0)</f>
        <v>0.25</v>
      </c>
      <c r="AY5" s="60">
        <f>VLOOKUP($G$5&amp;$F$1,'Input RM sheet'!$A:$BD,AY1,0)</f>
        <v>0.25</v>
      </c>
      <c r="AZ5" s="60">
        <f>VLOOKUP($G$5&amp;$F$1,'Input RM sheet'!$A:$BD,AZ1,0)</f>
        <v>0.25</v>
      </c>
      <c r="BA5" s="60">
        <f>VLOOKUP($G$5&amp;$F$1,'Input RM sheet'!$A:$BD,BA1,0)</f>
        <v>0.25</v>
      </c>
      <c r="BB5" s="60">
        <f>VLOOKUP($G$5&amp;$F$1,'Input RM sheet'!$A:$BD,BB1,0)</f>
        <v>0.25</v>
      </c>
      <c r="BC5" s="60">
        <f>VLOOKUP($G$5&amp;$F$1,'Input RM sheet'!$A:$DD,BC1,0)</f>
        <v>0.25</v>
      </c>
      <c r="BD5" s="60">
        <f>VLOOKUP($G$5&amp;$F$1,'Input RM sheet'!$A:$DD,BD1,0)</f>
        <v>0.25</v>
      </c>
      <c r="BE5" s="60">
        <f>VLOOKUP($G$5&amp;$F$1,'Input RM sheet'!$A:$DD,BE1,0)</f>
        <v>0.25</v>
      </c>
      <c r="BF5" s="60">
        <f>VLOOKUP($G$5&amp;$F$1,'Input RM sheet'!$A:$DD,BF1,0)</f>
        <v>0.25</v>
      </c>
      <c r="BG5" s="60">
        <f>VLOOKUP($G$5&amp;$F$1,'Input RM sheet'!$A:$DD,BG1,0)</f>
        <v>0.25</v>
      </c>
      <c r="BH5" s="60">
        <f>VLOOKUP($G$5&amp;$F$1,'Input RM sheet'!$A:$DD,BH1,0)</f>
        <v>0.25</v>
      </c>
      <c r="BI5" s="60">
        <f>VLOOKUP($G$5&amp;$F$1,'Input RM sheet'!$A:$DD,BI1,0)</f>
        <v>0.25</v>
      </c>
      <c r="BJ5" s="60">
        <f>VLOOKUP($G$5&amp;$F$1,'Input RM sheet'!$A:$DD,BJ1,0)</f>
        <v>0.25</v>
      </c>
      <c r="BK5" s="60">
        <f>VLOOKUP($G$5&amp;$F$1,'Input RM sheet'!$A:$DD,BK1,0)</f>
        <v>0.28999999999999998</v>
      </c>
      <c r="BL5" s="60">
        <f>VLOOKUP($G$5&amp;$F$1,'Input RM sheet'!$A:$DD,BL1,0)</f>
        <v>0.28999999999999998</v>
      </c>
      <c r="BM5" s="60">
        <f>VLOOKUP($G$5&amp;$F$1,'Input RM sheet'!$A:$DD,BM1,0)</f>
        <v>0.28999999999999998</v>
      </c>
      <c r="BN5" s="60">
        <f>VLOOKUP($G$5&amp;$F$1,'Input RM sheet'!$A:$DD,BN1,0)</f>
        <v>0.28999999999999998</v>
      </c>
      <c r="BO5" s="60">
        <f>VLOOKUP($G$5&amp;$F$1,'Input RM sheet'!$A:$DD,BO1,0)</f>
        <v>0.28999999999999998</v>
      </c>
      <c r="BP5" s="60">
        <f>VLOOKUP($G$5&amp;$F$1,'Input RM sheet'!$A:$DD,BP1,0)</f>
        <v>0.28999999999999998</v>
      </c>
      <c r="BQ5" s="60">
        <f>VLOOKUP($G$5&amp;$F$1,'Input RM sheet'!$A:$DD,BQ1,0)</f>
        <v>0.28999999999999998</v>
      </c>
      <c r="BR5" s="60">
        <f>VLOOKUP($G$5&amp;$F$1,'Input RM sheet'!$A:$DD,BR1,0)</f>
        <v>0.28999999999999998</v>
      </c>
      <c r="BS5" s="60">
        <f>VLOOKUP($G$5&amp;$F$1,'Input RM sheet'!$A:$DD,BS1,0)</f>
        <v>0.28999999999999998</v>
      </c>
      <c r="BT5" s="60">
        <f>VLOOKUP($G$5&amp;$F$1,'Input RM sheet'!$A:$DD,BT1,0)</f>
        <v>0.28999999999999998</v>
      </c>
      <c r="BU5" s="60">
        <f>VLOOKUP($G$5&amp;$F$1,'Input RM sheet'!$A:$DD,BU1,0)</f>
        <v>0.28999999999999998</v>
      </c>
      <c r="BV5" s="60">
        <f>VLOOKUP($G$5&amp;$F$1,'Input RM sheet'!$A:$DD,BV1,0)</f>
        <v>0.3</v>
      </c>
      <c r="BW5" s="60">
        <f>VLOOKUP($G$5&amp;$F$1,'Input RM sheet'!$A:$DD,BW1,0)</f>
        <v>0.3</v>
      </c>
      <c r="BX5" s="60">
        <f>VLOOKUP($G$5&amp;$F$1,'Input RM sheet'!$A:$DD,BX1,0)</f>
        <v>0.3</v>
      </c>
      <c r="BY5" s="60">
        <f>VLOOKUP($G$5&amp;$F$1,'Input RM sheet'!$A:$DD,BY1,0)</f>
        <v>0.3</v>
      </c>
      <c r="BZ5" s="60">
        <f>VLOOKUP($G$5&amp;$F$1,'Input RM sheet'!$A:$DD,BZ1,0)</f>
        <v>0.3</v>
      </c>
      <c r="CA5" s="60">
        <f>VLOOKUP($G$5&amp;$F$1,'Input RM sheet'!$A:$DD,CA1,0)</f>
        <v>0.3</v>
      </c>
      <c r="CB5" s="60">
        <f>VLOOKUP($G$5&amp;$F$1,'Input RM sheet'!$A:$DD,CB1,0)</f>
        <v>0.3</v>
      </c>
      <c r="CC5" s="60">
        <f>VLOOKUP($G$5&amp;$F$1,'Input RM sheet'!$A:$DD,CC1,0)</f>
        <v>0.3</v>
      </c>
      <c r="CD5" s="60">
        <f>VLOOKUP($G$5&amp;$F$1,'Input RM sheet'!$A:$DD,CD1,0)</f>
        <v>0.3</v>
      </c>
      <c r="CE5" s="60">
        <f>VLOOKUP($G$5&amp;$F$1,'Input RM sheet'!$A:$DD,CE1,0)</f>
        <v>0.3</v>
      </c>
      <c r="CF5" s="60">
        <f>VLOOKUP($G$5&amp;$F$1,'Input RM sheet'!$A:$DD,CF1,0)</f>
        <v>0.3</v>
      </c>
      <c r="CG5" s="60">
        <f>VLOOKUP($G$5&amp;$F$1,'Input RM sheet'!$A:$DD,CG1,0)</f>
        <v>0.3</v>
      </c>
      <c r="CH5" s="60">
        <f>VLOOKUP($G$5&amp;$F$1,'Input RM sheet'!$A:$DD,CH1,0)</f>
        <v>0.3</v>
      </c>
      <c r="CI5" s="60">
        <f>VLOOKUP($G$5&amp;$F$1,'Input RM sheet'!$A:$DD,CI1,0)</f>
        <v>0.3</v>
      </c>
      <c r="CJ5" s="60">
        <f>VLOOKUP($G$5&amp;$F$1,'Input RM sheet'!$A:$DD,CJ1,0)</f>
        <v>0.3</v>
      </c>
      <c r="CK5" s="60">
        <f>VLOOKUP($G$5&amp;$F$1,'Input RM sheet'!$A:$DD,CK1,0)</f>
        <v>0.3</v>
      </c>
      <c r="CL5" s="60">
        <f>VLOOKUP($G$5&amp;$F$1,'Input RM sheet'!$A:$DD,CL1,0)</f>
        <v>0.3</v>
      </c>
      <c r="CM5" s="60">
        <f>VLOOKUP($G$5&amp;$F$1,'Input RM sheet'!$A:$DD,CM1,0)</f>
        <v>0.3</v>
      </c>
      <c r="CN5" s="60">
        <f>VLOOKUP($G$5&amp;$F$1,'Input RM sheet'!$A:$DD,CN1,0)</f>
        <v>0.3</v>
      </c>
      <c r="CO5" s="60">
        <f>VLOOKUP($G$5&amp;$F$1,'Input RM sheet'!$A:$DD,CO1,0)</f>
        <v>0.3</v>
      </c>
      <c r="CP5" s="60">
        <f>VLOOKUP($G$5&amp;$F$1,'Input RM sheet'!$A:$DD,CP1,0)</f>
        <v>0.3</v>
      </c>
      <c r="CQ5" s="60">
        <f>VLOOKUP($G$5&amp;$F$1,'Input RM sheet'!$A:$DD,CQ1,0)</f>
        <v>0.3</v>
      </c>
      <c r="CR5" s="60">
        <f>VLOOKUP($G$5&amp;$F$1,'Input RM sheet'!$A:$DD,CR1,0)</f>
        <v>0.3</v>
      </c>
      <c r="CS5" s="60">
        <f>VLOOKUP($G$5&amp;$F$1,'Input RM sheet'!$A:$ZZ,CS1,0)</f>
        <v>0.3</v>
      </c>
      <c r="CT5" s="60">
        <f>VLOOKUP($G$5&amp;$F$1,'Input RM sheet'!$A:$ZZ,CT1,0)</f>
        <v>0.3</v>
      </c>
      <c r="CU5" s="60">
        <f>VLOOKUP($G$5&amp;$F$1,'Input RM sheet'!$A:$ZZ,CU1,0)</f>
        <v>0.3</v>
      </c>
      <c r="CV5" s="60">
        <f>VLOOKUP($G$5&amp;$F$1,'Input RM sheet'!$A:$ZZ,CV1,0)</f>
        <v>0.3</v>
      </c>
      <c r="CW5" s="60">
        <f>VLOOKUP($G$5&amp;$F$1,'Input RM sheet'!$A:$ZZ,CW1,0)</f>
        <v>0.3</v>
      </c>
      <c r="CX5" s="60">
        <f>VLOOKUP($G$5&amp;$F$1,'Input RM sheet'!$A:$ZZ,CX1,0)</f>
        <v>0.3</v>
      </c>
      <c r="CY5" s="60">
        <f>VLOOKUP($G$5&amp;$F$1,'Input RM sheet'!$A:$ZZ,CY1,0)</f>
        <v>0.3</v>
      </c>
      <c r="CZ5" s="60">
        <f>VLOOKUP($G$5&amp;$F$1,'Input RM sheet'!$A:$ZZ,CZ1,0)</f>
        <v>0.3</v>
      </c>
      <c r="DA5" s="60">
        <f>VLOOKUP($G$5&amp;$F$1,'Input RM sheet'!$A:$ZZ,DA1,0)</f>
        <v>0.3</v>
      </c>
      <c r="DB5" s="60">
        <f>VLOOKUP($G$5&amp;$F$1,'Input RM sheet'!$A:$ZZ,DB1,0)</f>
        <v>0.3</v>
      </c>
      <c r="DC5" s="60">
        <f>VLOOKUP($G$5&amp;$F$1,'Input RM sheet'!$A:$ZZ,DC1,0)</f>
        <v>0.3</v>
      </c>
      <c r="DD5" s="60">
        <f>VLOOKUP($G$5&amp;$F$1,'Input RM sheet'!$A:$ZZ,DD1,0)</f>
        <v>0.3</v>
      </c>
      <c r="DE5" s="60">
        <f>VLOOKUP($G$5&amp;$F$1,'Input RM sheet'!$A:$ZZ,DE1,0)</f>
        <v>0.3</v>
      </c>
      <c r="DF5" s="60">
        <f>VLOOKUP($G$5&amp;$F$1,'Input RM sheet'!$A:$ZZ,DF1,0)</f>
        <v>0.3</v>
      </c>
      <c r="DG5" s="60">
        <f>VLOOKUP($G$5&amp;$F$1,'Input RM sheet'!$A:$ZZ,DG1,0)</f>
        <v>0.3</v>
      </c>
      <c r="DH5" s="60">
        <f>VLOOKUP($G$5&amp;$F$1,'Input RM sheet'!$A:$ZZ,DH1,0)</f>
        <v>0.3</v>
      </c>
      <c r="DI5" s="60">
        <f>VLOOKUP($G$5&amp;$F$1,'Input RM sheet'!$A:$ZZ,DI1,0)</f>
        <v>0.3</v>
      </c>
      <c r="DJ5" s="60">
        <f>VLOOKUP($G$5&amp;$F$1,'Input RM sheet'!$A:$ZZ,DJ1,0)</f>
        <v>0.3</v>
      </c>
      <c r="DK5" s="60">
        <f>VLOOKUP($G$5&amp;$F$1,'Input RM sheet'!$A:$ZZ,DK1,0)</f>
        <v>0.3</v>
      </c>
      <c r="DL5" s="60">
        <f>VLOOKUP($G$5&amp;$F$1,'Input RM sheet'!$A:$ZZ,DL1,0)</f>
        <v>0.3</v>
      </c>
      <c r="DM5" s="60">
        <f>VLOOKUP($G$5&amp;$F$1,'Input RM sheet'!$A:$ZZ,DM1,0)</f>
        <v>0.3</v>
      </c>
      <c r="DN5" s="60">
        <f>VLOOKUP($G$5&amp;$F$1,'Input RM sheet'!$A:$ZZ,DN1,0)</f>
        <v>0.3</v>
      </c>
      <c r="DO5" s="60">
        <f>VLOOKUP($G$5&amp;$F$1,'Input RM sheet'!$A:$ZZ,DO1,0)</f>
        <v>0.3</v>
      </c>
      <c r="DP5" s="60">
        <f>VLOOKUP($G$5&amp;$F$1,'Input RM sheet'!$A:$ZZ,DP1,0)</f>
        <v>0.3</v>
      </c>
      <c r="DQ5" s="60">
        <f>VLOOKUP($G$5&amp;$F$1,'Input RM sheet'!$A:$ZZ,DQ1,0)</f>
        <v>0.3</v>
      </c>
      <c r="DR5" s="60">
        <f>VLOOKUP($G$5&amp;$F$1,'Input RM sheet'!$A:$ZZ,DR1,0)</f>
        <v>0.3</v>
      </c>
      <c r="DS5" s="60">
        <f>VLOOKUP($G$5&amp;$F$1,'Input RM sheet'!$A:$ZZ,DS1,0)</f>
        <v>0</v>
      </c>
      <c r="DT5" s="60">
        <f>VLOOKUP($G$5&amp;$F$1,'Input RM sheet'!$A:$ZZ,DT1,0)</f>
        <v>0</v>
      </c>
      <c r="DU5" s="60">
        <f>VLOOKUP($G$5&amp;$F$1,'Input RM sheet'!$A:$ZZ,DU1,0)</f>
        <v>0</v>
      </c>
      <c r="DV5" s="60">
        <f>VLOOKUP($G$5&amp;$F$1,'Input RM sheet'!$A:$ZZ,DV1,0)</f>
        <v>0</v>
      </c>
      <c r="DW5" s="60">
        <f>VLOOKUP($G$5&amp;$F$1,'Input RM sheet'!$A:$ZZ,DW1,0)</f>
        <v>0</v>
      </c>
      <c r="DX5" s="60">
        <f>VLOOKUP($G$5&amp;$F$1,'Input RM sheet'!$A:$ZZ,DX1,0)</f>
        <v>0</v>
      </c>
      <c r="DY5" s="60">
        <f>VLOOKUP($G$5&amp;$F$1,'Input RM sheet'!$A:$ZZ,DY1,0)</f>
        <v>0</v>
      </c>
      <c r="DZ5" s="60">
        <f>VLOOKUP($G$5&amp;$F$1,'Input RM sheet'!$A:$ZZ,DZ1,0)</f>
        <v>0</v>
      </c>
      <c r="EA5" s="60">
        <f>VLOOKUP($G$5&amp;$F$1,'Input RM sheet'!$A:$ZZ,EA1,0)</f>
        <v>0</v>
      </c>
      <c r="EB5" s="60">
        <f>VLOOKUP($G$5&amp;$F$1,'Input RM sheet'!$A:$ZZ,EB1,0)</f>
        <v>0</v>
      </c>
      <c r="EC5" s="60">
        <f>VLOOKUP($G$5&amp;$F$1,'Input RM sheet'!$A:$ZZ,EC1,0)</f>
        <v>0</v>
      </c>
      <c r="ED5" s="60">
        <f>VLOOKUP($G$5&amp;$F$1,'Input RM sheet'!$A:$ZZ,ED1,0)</f>
        <v>0</v>
      </c>
      <c r="EE5" s="60">
        <f>VLOOKUP($G$5&amp;$F$1,'Input RM sheet'!$A:$ZZ,EE1,0)</f>
        <v>0</v>
      </c>
      <c r="EF5" s="60">
        <f>VLOOKUP($G$5&amp;$F$1,'Input RM sheet'!$A:$ZZ,EF1,0)</f>
        <v>0</v>
      </c>
      <c r="EG5" s="60">
        <f>VLOOKUP($G$5&amp;$F$1,'Input RM sheet'!$A:$ZZ,EG1,0)</f>
        <v>0</v>
      </c>
      <c r="EH5" s="60">
        <f>VLOOKUP($G$5&amp;$F$1,'Input RM sheet'!$A:$ZZ,EH1,0)</f>
        <v>0</v>
      </c>
      <c r="EI5" s="60">
        <f>VLOOKUP($G$5&amp;$F$1,'Input RM sheet'!$A:$ZZ,EI1,0)</f>
        <v>0</v>
      </c>
      <c r="EJ5" s="60">
        <f>VLOOKUP($G$5&amp;$F$1,'Input RM sheet'!$A:$ZZ,EJ1,0)</f>
        <v>0</v>
      </c>
      <c r="EK5" s="60">
        <f>VLOOKUP($G$5&amp;$F$1,'Input RM sheet'!$A:$ZZ,EK1,0)</f>
        <v>0</v>
      </c>
      <c r="EL5" s="60">
        <f>VLOOKUP($G$5&amp;$F$1,'Input RM sheet'!$A:$ZZ,EL1,0)</f>
        <v>0</v>
      </c>
      <c r="EM5" s="60">
        <f>VLOOKUP($G$5&amp;$F$1,'Input RM sheet'!$A:$ZZ,EM1,0)</f>
        <v>0</v>
      </c>
      <c r="EN5" s="60">
        <f>VLOOKUP($G$5&amp;$F$1,'Input RM sheet'!$A:$ZZ,EN1,0)</f>
        <v>0</v>
      </c>
      <c r="EO5" s="60">
        <f>VLOOKUP($G$5&amp;$F$1,'Input RM sheet'!$A:$ZZ,EO1,0)</f>
        <v>0</v>
      </c>
      <c r="EP5" s="60">
        <f>VLOOKUP($G$5&amp;$F$1,'Input RM sheet'!$A:$ZZ,EP1,0)</f>
        <v>0</v>
      </c>
      <c r="EQ5" s="60">
        <f>VLOOKUP($G$5&amp;$F$1,'Input RM sheet'!$A:$ZZ,EQ1,0)</f>
        <v>0</v>
      </c>
      <c r="ER5" s="60">
        <f>VLOOKUP($G$5&amp;$F$1,'Input RM sheet'!$A:$ZZ,ER1,0)</f>
        <v>0</v>
      </c>
      <c r="ES5" s="60">
        <f>VLOOKUP($G$5&amp;$F$1,'Input RM sheet'!$A:$ZZ,ES1,0)</f>
        <v>0</v>
      </c>
    </row>
    <row r="6" spans="1:165">
      <c r="A6" s="63"/>
      <c r="B6" s="64"/>
      <c r="C6" s="68"/>
      <c r="D6" s="64"/>
      <c r="G6" s="60" t="s">
        <v>89</v>
      </c>
      <c r="H6" s="65">
        <f>VLOOKUP($G$6&amp;$F$1,'Input RM sheet'!$A:$BD,H1,0)</f>
        <v>0.9909338505123767</v>
      </c>
      <c r="I6" s="65">
        <f>VLOOKUP($G$6&amp;$F$1,'Input RM sheet'!$A:$BD,I1,0)</f>
        <v>0.9682681766063479</v>
      </c>
      <c r="J6" s="65">
        <f>VLOOKUP($G$6&amp;$F$1,'Input RM sheet'!$A:$BD,J1,0)</f>
        <v>0.9682681766063479</v>
      </c>
      <c r="K6" s="65">
        <f>VLOOKUP($G$6&amp;$F$1,'Input RM sheet'!$A:$BD,K1,0)</f>
        <v>0.83908728638676178</v>
      </c>
      <c r="L6" s="65">
        <f>VLOOKUP($G$6&amp;$F$1,'Input RM sheet'!$A:$BD,L1,0)</f>
        <v>0.95250665215011177</v>
      </c>
      <c r="M6" s="65">
        <f>VLOOKUP($G$6&amp;$F$1,'Input RM sheet'!$A:$BD,M1,0)</f>
        <v>0.95250665215011177</v>
      </c>
      <c r="N6" s="65">
        <f>VLOOKUP($G$6&amp;$F$1,'Input RM sheet'!$A:$BD,N1,0)</f>
        <v>0.95250665215011177</v>
      </c>
      <c r="O6" s="65">
        <f>VLOOKUP($G$6&amp;$F$1,'Input RM sheet'!$A:$BD,O1,0)</f>
        <v>0.95250665215011177</v>
      </c>
      <c r="P6" s="65">
        <f>VLOOKUP($G$6&amp;$F$1,'Input RM sheet'!$A:$BD,P1,0)</f>
        <v>0.83706538080933135</v>
      </c>
      <c r="Q6" s="65">
        <f>VLOOKUP($G$6&amp;$F$1,'Input RM sheet'!$A:$BD,Q1,0)</f>
        <v>0.98617263245202047</v>
      </c>
      <c r="R6" s="65">
        <f>VLOOKUP($G$6&amp;$F$1,'Input RM sheet'!$A:$BD,R1,0)</f>
        <v>1.1410185755028048</v>
      </c>
      <c r="S6" s="65">
        <f>VLOOKUP($G$6&amp;$F$1,'Input RM sheet'!$A:$BD,S1,0)</f>
        <v>1.150783576752211</v>
      </c>
      <c r="T6" s="65">
        <f>VLOOKUP($G$6&amp;$F$1,'Input RM sheet'!$A:$BD,T1,0)</f>
        <v>1.9862542955326459</v>
      </c>
      <c r="U6" s="65">
        <f>VLOOKUP($G$6&amp;$F$1,'Input RM sheet'!$A:$BD,U1,0)</f>
        <v>1.9862542955326459</v>
      </c>
      <c r="V6" s="65">
        <f>VLOOKUP($G$6&amp;$F$1,'Input RM sheet'!$A:$BD,V1,0)</f>
        <v>1.9862542955326459</v>
      </c>
      <c r="W6" s="65">
        <f>VLOOKUP($G$6&amp;$F$1,'Input RM sheet'!$A:$BD,W1,0)</f>
        <v>0.76868179986568164</v>
      </c>
      <c r="X6" s="65">
        <f>VLOOKUP($G$6&amp;$F$1,'Input RM sheet'!$A:$BD,X1,0)</f>
        <v>0.9018200166842103</v>
      </c>
      <c r="Y6" s="65">
        <f>VLOOKUP($G$6&amp;$F$1,'Input RM sheet'!$A:$BD,Y1,0)</f>
        <v>0.96085805938859958</v>
      </c>
      <c r="Z6" s="65">
        <f>VLOOKUP($G$6&amp;$F$1,'Input RM sheet'!$A:$BD,Z1,0)</f>
        <v>0.74996042095630289</v>
      </c>
      <c r="AA6" s="65">
        <f>VLOOKUP($G$6&amp;$F$1,'Input RM sheet'!$A:$BD,AA1,0)</f>
        <v>0.74996042095630289</v>
      </c>
      <c r="AB6" s="65">
        <f>VLOOKUP($G$6&amp;$F$1,'Input RM sheet'!$A:$BD,AB1,0)</f>
        <v>0.74996042095630289</v>
      </c>
      <c r="AC6" s="65">
        <f>VLOOKUP($G$6&amp;$F$1,'Input RM sheet'!$A:$BD,AC1,0)</f>
        <v>1.1378378378378378</v>
      </c>
      <c r="AD6" s="65">
        <f>VLOOKUP($G$6&amp;$F$1,'Input RM sheet'!$A:$BD,AD1,0)</f>
        <v>1.1378378378378378</v>
      </c>
      <c r="AE6" s="65">
        <f>VLOOKUP($G$6&amp;$F$1,'Input RM sheet'!$A:$BD,AE1,0)</f>
        <v>1.1378378378378378</v>
      </c>
      <c r="AF6" s="65">
        <f>VLOOKUP($G$6&amp;$F$1,'Input RM sheet'!$A:$BD,AF1,0)</f>
        <v>1.5782851382342185</v>
      </c>
      <c r="AG6" s="65">
        <f>VLOOKUP($G$6&amp;$F$1,'Input RM sheet'!$A:$BD,AG1,0)</f>
        <v>1.5782851382342185</v>
      </c>
      <c r="AH6" s="65">
        <f>VLOOKUP($G$6&amp;$F$1,'Input RM sheet'!$A:$BD,AH1,0)</f>
        <v>1.3022790625455145</v>
      </c>
      <c r="AI6" s="65">
        <f>VLOOKUP($G$6&amp;$F$1,'Input RM sheet'!$A:$BD,AI1,0)</f>
        <v>1.311015</v>
      </c>
      <c r="AJ6" s="65">
        <f>VLOOKUP($G$6&amp;$F$1,'Input RM sheet'!$A:$BD,AJ1,0)</f>
        <v>1.5689135135135135</v>
      </c>
      <c r="AK6" s="65">
        <f>VLOOKUP($G$6&amp;$F$1,'Input RM sheet'!$A:$BD,AK1,0)</f>
        <v>1.5689135135135135</v>
      </c>
      <c r="AL6" s="65">
        <f>VLOOKUP($G$6&amp;$F$1,'Input RM sheet'!$A:$BD,AL1,0)</f>
        <v>1.7508420833333334</v>
      </c>
      <c r="AM6" s="65">
        <f>VLOOKUP($G$6&amp;$F$1,'Input RM sheet'!$A:$BD,AM1,0)</f>
        <v>1.6302877777777778</v>
      </c>
      <c r="AN6" s="65">
        <f>VLOOKUP($G$6&amp;$F$1,'Input RM sheet'!$A:$BD,AN1,0)</f>
        <v>1.3829733163913596</v>
      </c>
      <c r="AO6" s="65">
        <f>VLOOKUP($G$6&amp;$F$1,'Input RM sheet'!$A:$BD,AO1,0)</f>
        <v>1.4076415368168556</v>
      </c>
      <c r="AP6" s="65">
        <f>VLOOKUP($G$6&amp;$F$1,'Input RM sheet'!$A:$BD,AP1,0)</f>
        <v>1.3916962116439324</v>
      </c>
      <c r="AQ6" s="65">
        <f>VLOOKUP($G$6&amp;$F$1,'Input RM sheet'!$A:$BD,AQ1,0)</f>
        <v>1.4075701714285713</v>
      </c>
      <c r="AR6" s="65">
        <f>VLOOKUP($G$6&amp;$F$1,'Input RM sheet'!$A:$BD,AR1,0)</f>
        <v>1.3134433055091814</v>
      </c>
      <c r="AS6" s="65">
        <f>VLOOKUP($G$6&amp;$F$1,'Input RM sheet'!$A:$BD,AS1,0)</f>
        <v>1.0548964000000001</v>
      </c>
      <c r="AT6" s="65">
        <f>VLOOKUP($G$6&amp;$F$1,'Input RM sheet'!$A:$BD,AT1,0)</f>
        <v>1.0507960000000001</v>
      </c>
      <c r="AU6" s="65">
        <f>VLOOKUP($G$6&amp;$F$1,'Input RM sheet'!$A:$BD,AU1,0)</f>
        <v>1.02</v>
      </c>
      <c r="AV6" s="65">
        <f>VLOOKUP($G$6&amp;$F$1,'Input RM sheet'!$A:$BD,AV1,0)</f>
        <v>1.02</v>
      </c>
      <c r="AW6" s="65">
        <f>VLOOKUP($G$6&amp;$F$1,'Input RM sheet'!$A:$BD,AW1,0)</f>
        <v>1.02</v>
      </c>
      <c r="AX6" s="65">
        <f>VLOOKUP($G$6&amp;$F$1,'Input RM sheet'!$A:$BD,AX1,0)</f>
        <v>1.02</v>
      </c>
      <c r="AY6" s="65">
        <f>VLOOKUP($G$6&amp;$F$1,'Input RM sheet'!$A:$BD,AY1,0)</f>
        <v>1.02</v>
      </c>
      <c r="AZ6" s="65">
        <f>VLOOKUP($G$6&amp;$F$1,'Input RM sheet'!$A:$BD,AZ1,0)</f>
        <v>1.02</v>
      </c>
      <c r="BA6" s="65">
        <f>VLOOKUP($G$6&amp;$F$1,'Input RM sheet'!$A:$BD,BA1,0)</f>
        <v>1.02</v>
      </c>
      <c r="BB6" s="65">
        <f>VLOOKUP($G$6&amp;$F$1,'Input RM sheet'!$A:$BD,BB1,0)</f>
        <v>1.02</v>
      </c>
      <c r="BC6" s="65">
        <f>VLOOKUP($G$6&amp;$F$1,'Input RM sheet'!$A:$BD,BC1,0)</f>
        <v>1.02</v>
      </c>
      <c r="BD6" s="65">
        <f>VLOOKUP($G$6&amp;$F$1,'Input RM sheet'!$A:$BD,BD1,0)</f>
        <v>1.02</v>
      </c>
      <c r="BE6" s="65">
        <f>VLOOKUP($G$6&amp;$F$1,'Input RM sheet'!$A:$BD,BE1,0)</f>
        <v>1.02</v>
      </c>
      <c r="BF6" s="65">
        <f>VLOOKUP($G$6&amp;$F$1,'Input RM sheet'!$A:$DD,BF1,0)</f>
        <v>1.02</v>
      </c>
      <c r="BG6" s="65">
        <f>VLOOKUP($G$6&amp;$F$1,'Input RM sheet'!$A:$DD,BG1,0)</f>
        <v>1.02</v>
      </c>
      <c r="BH6" s="65">
        <f>VLOOKUP($G$6&amp;$F$1,'Input RM sheet'!$A:$DD,BH1,0)</f>
        <v>1.02</v>
      </c>
      <c r="BI6" s="65">
        <f>VLOOKUP($G$6&amp;$F$1,'Input RM sheet'!$A:$DD,BI1,0)</f>
        <v>1.02</v>
      </c>
      <c r="BJ6" s="65">
        <f>VLOOKUP($G$6&amp;$F$1,'Input RM sheet'!$A:$DD,BJ1,0)</f>
        <v>1.02</v>
      </c>
      <c r="BK6" s="65">
        <f>VLOOKUP($G$6&amp;$F$1,'Input RM sheet'!$A:$DD,BK1,0)</f>
        <v>1.02</v>
      </c>
      <c r="BL6" s="65">
        <f>VLOOKUP($G$6&amp;$F$1,'Input RM sheet'!$A:$DD,BL1,0)</f>
        <v>1.02</v>
      </c>
      <c r="BM6" s="65">
        <f>VLOOKUP($G$6&amp;$F$1,'Input RM sheet'!$A:$DD,BM1,0)</f>
        <v>1.04</v>
      </c>
      <c r="BN6" s="65">
        <f>VLOOKUP($G$6&amp;$F$1,'Input RM sheet'!$A:$DD,BN1,0)</f>
        <v>1.04</v>
      </c>
      <c r="BO6" s="65">
        <f>VLOOKUP($G$6&amp;$F$1,'Input RM sheet'!$A:$DD,BO1,0)</f>
        <v>1.04</v>
      </c>
      <c r="BP6" s="65">
        <f>VLOOKUP($G$6&amp;$F$1,'Input RM sheet'!$A:$DD,BP1,0)</f>
        <v>1.04</v>
      </c>
      <c r="BQ6" s="65">
        <f>VLOOKUP($G$6&amp;$F$1,'Input RM sheet'!$A:$DD,BQ1,0)</f>
        <v>1.04</v>
      </c>
      <c r="BR6" s="65">
        <f>VLOOKUP($G$6&amp;$F$1,'Input RM sheet'!$A:$DD,BR1,0)</f>
        <v>1.04</v>
      </c>
      <c r="BS6" s="65">
        <f>VLOOKUP($G$6&amp;$F$1,'Input RM sheet'!$A:$DD,BS1,0)</f>
        <v>1.04</v>
      </c>
      <c r="BT6" s="65">
        <f>VLOOKUP($G$6&amp;$F$1,'Input RM sheet'!$A:$DD,BT1,0)</f>
        <v>1.04</v>
      </c>
      <c r="BU6" s="65">
        <f>VLOOKUP($G$6&amp;$F$1,'Input RM sheet'!$A:$DD,BU1,0)</f>
        <v>1.04</v>
      </c>
      <c r="BV6" s="65">
        <f>VLOOKUP($G$6&amp;$F$1,'Input RM sheet'!$A:$DD,BV1,0)</f>
        <v>1.04</v>
      </c>
      <c r="BW6" s="65">
        <f>VLOOKUP($G$6&amp;$F$1,'Input RM sheet'!$A:$DD,BW1,0)</f>
        <v>1.04</v>
      </c>
      <c r="BX6" s="65">
        <f>VLOOKUP($G$6&amp;$F$1,'Input RM sheet'!$A:$DD,BX1,0)</f>
        <v>1.04</v>
      </c>
      <c r="BY6" s="65">
        <f>VLOOKUP($G$6&amp;$F$1,'Input RM sheet'!$A:$DD,BY1,0)</f>
        <v>1.04</v>
      </c>
      <c r="BZ6" s="65">
        <f>VLOOKUP($G$6&amp;$F$1,'Input RM sheet'!$A:$DD,BZ1,0)</f>
        <v>1.04</v>
      </c>
      <c r="CA6" s="65">
        <f>VLOOKUP($G$6&amp;$F$1,'Input RM sheet'!$A:$DD,CA1,0)</f>
        <v>1.04</v>
      </c>
      <c r="CB6" s="65">
        <f>VLOOKUP($G$6&amp;$F$1,'Input RM sheet'!$A:$DD,CB1,0)</f>
        <v>1.04</v>
      </c>
      <c r="CC6" s="65">
        <f>VLOOKUP($G$6&amp;$F$1,'Input RM sheet'!$A:$DD,CC1,0)</f>
        <v>1.04</v>
      </c>
      <c r="CD6" s="65">
        <f>VLOOKUP($G$6&amp;$F$1,'Input RM sheet'!$A:$DD,CD1,0)</f>
        <v>1.04</v>
      </c>
      <c r="CE6" s="65">
        <f>VLOOKUP($G$6&amp;$F$1,'Input RM sheet'!$A:$DD,CE1,0)</f>
        <v>1.04</v>
      </c>
      <c r="CF6" s="65">
        <f>VLOOKUP($G$6&amp;$F$1,'Input RM sheet'!$A:$DD,CF1,0)</f>
        <v>1.04</v>
      </c>
      <c r="CG6" s="65">
        <f>VLOOKUP($G$6&amp;$F$1,'Input RM sheet'!$A:$DD,CG1,0)</f>
        <v>1.04</v>
      </c>
      <c r="CH6" s="65">
        <f>VLOOKUP($G$6&amp;$F$1,'Input RM sheet'!$A:$DD,CH1,0)</f>
        <v>1.04</v>
      </c>
      <c r="CI6" s="65">
        <f>VLOOKUP($G$6&amp;$F$1,'Input RM sheet'!$A:$DD,CI1,0)</f>
        <v>1.04</v>
      </c>
      <c r="CJ6" s="65">
        <f>VLOOKUP($G$6&amp;$F$1,'Input RM sheet'!$A:$DD,CJ1,0)</f>
        <v>1.04</v>
      </c>
      <c r="CK6" s="65">
        <f>VLOOKUP($G$6&amp;$F$1,'Input RM sheet'!$A:$DD,CK1,0)</f>
        <v>1.04</v>
      </c>
      <c r="CL6" s="65">
        <f>VLOOKUP($G$6&amp;$F$1,'Input RM sheet'!$A:$DD,CL1,0)</f>
        <v>1.04</v>
      </c>
      <c r="CM6" s="65">
        <f>VLOOKUP($G$6&amp;$F$1,'Input RM sheet'!$A:$DD,CM1,0)</f>
        <v>1.04</v>
      </c>
      <c r="CN6" s="65">
        <f>VLOOKUP($G$6&amp;$F$1,'Input RM sheet'!$A:$DD,CN1,0)</f>
        <v>1.04</v>
      </c>
      <c r="CO6" s="65">
        <f>VLOOKUP($G$6&amp;$F$1,'Input RM sheet'!$A:$DD,CO1,0)</f>
        <v>1.04</v>
      </c>
      <c r="CP6" s="65">
        <f>VLOOKUP($G$6&amp;$F$1,'Input RM sheet'!$A:$DD,CP1,0)</f>
        <v>1.04</v>
      </c>
      <c r="CQ6" s="65">
        <f>VLOOKUP($G$6&amp;$F$1,'Input RM sheet'!$A:$DD,CQ1,0)</f>
        <v>1.04</v>
      </c>
      <c r="CR6" s="65">
        <f>VLOOKUP($G$6&amp;$F$1,'Input RM sheet'!$A:$DD,CR1,0)</f>
        <v>1.04</v>
      </c>
      <c r="CS6" s="65">
        <f>VLOOKUP($G$6&amp;$F$1,'Input RM sheet'!$A:$ZZ,CS1,0)</f>
        <v>1.04</v>
      </c>
      <c r="CT6" s="65">
        <f>VLOOKUP($G$6&amp;$F$1,'Input RM sheet'!$A:$ZZ,CT1,0)</f>
        <v>1.04</v>
      </c>
      <c r="CU6" s="65">
        <f>VLOOKUP($G$6&amp;$F$1,'Input RM sheet'!$A:$ZZ,CU1,0)</f>
        <v>1.04</v>
      </c>
      <c r="CV6" s="65">
        <f>VLOOKUP($G$6&amp;$F$1,'Input RM sheet'!$A:$ZZ,CV1,0)</f>
        <v>1.04</v>
      </c>
      <c r="CW6" s="65">
        <f>VLOOKUP($G$6&amp;$F$1,'Input RM sheet'!$A:$ZZ,CW1,0)</f>
        <v>1.04</v>
      </c>
      <c r="CX6" s="65">
        <f>VLOOKUP($G$6&amp;$F$1,'Input RM sheet'!$A:$ZZ,CX1,0)</f>
        <v>1.04</v>
      </c>
      <c r="CY6" s="65">
        <f>VLOOKUP($G$6&amp;$F$1,'Input RM sheet'!$A:$ZZ,CY1,0)</f>
        <v>1.04</v>
      </c>
      <c r="CZ6" s="65">
        <f>VLOOKUP($G$6&amp;$F$1,'Input RM sheet'!$A:$ZZ,CZ1,0)</f>
        <v>1.04</v>
      </c>
      <c r="DA6" s="65">
        <f>VLOOKUP($G$6&amp;$F$1,'Input RM sheet'!$A:$ZZ,DA1,0)</f>
        <v>1.04</v>
      </c>
      <c r="DB6" s="65">
        <f>VLOOKUP($G$6&amp;$F$1,'Input RM sheet'!$A:$ZZ,DB1,0)</f>
        <v>1.04</v>
      </c>
      <c r="DC6" s="65">
        <f>VLOOKUP($G$6&amp;$F$1,'Input RM sheet'!$A:$ZZ,DC1,0)</f>
        <v>1.04</v>
      </c>
      <c r="DD6" s="65">
        <f>VLOOKUP($G$6&amp;$F$1,'Input RM sheet'!$A:$ZZ,DD1,0)</f>
        <v>1.04</v>
      </c>
      <c r="DE6" s="65">
        <f>VLOOKUP($G$6&amp;$F$1,'Input RM sheet'!$A:$ZZ,DE1,0)</f>
        <v>1.04</v>
      </c>
      <c r="DF6" s="65">
        <f>VLOOKUP($G$6&amp;$F$1,'Input RM sheet'!$A:$ZZ,DF1,0)</f>
        <v>1.04</v>
      </c>
      <c r="DG6" s="65">
        <f>VLOOKUP($G$6&amp;$F$1,'Input RM sheet'!$A:$ZZ,DG1,0)</f>
        <v>1.04</v>
      </c>
      <c r="DH6" s="65">
        <f>VLOOKUP($G$6&amp;$F$1,'Input RM sheet'!$A:$ZZ,DH1,0)</f>
        <v>1.04</v>
      </c>
      <c r="DI6" s="65">
        <f>VLOOKUP($G$6&amp;$F$1,'Input RM sheet'!$A:$ZZ,DI1,0)</f>
        <v>1.04</v>
      </c>
      <c r="DJ6" s="65">
        <f>VLOOKUP($G$6&amp;$F$1,'Input RM sheet'!$A:$ZZ,DJ1,0)</f>
        <v>1.04</v>
      </c>
      <c r="DK6" s="65">
        <f>VLOOKUP($G$6&amp;$F$1,'Input RM sheet'!$A:$ZZ,DK1,0)</f>
        <v>1.04</v>
      </c>
      <c r="DL6" s="65">
        <f>VLOOKUP($G$6&amp;$F$1,'Input RM sheet'!$A:$ZZ,DL1,0)</f>
        <v>1.04</v>
      </c>
      <c r="DM6" s="65">
        <f>VLOOKUP($G$6&amp;$F$1,'Input RM sheet'!$A:$ZZ,DM1,0)</f>
        <v>1.04</v>
      </c>
      <c r="DN6" s="65">
        <f>VLOOKUP($G$6&amp;$F$1,'Input RM sheet'!$A:$ZZ,DN1,0)</f>
        <v>1.04</v>
      </c>
      <c r="DO6" s="65">
        <f>VLOOKUP($G$6&amp;$F$1,'Input RM sheet'!$A:$ZZ,DO1,0)</f>
        <v>1.04</v>
      </c>
      <c r="DP6" s="65">
        <f>VLOOKUP($G$6&amp;$F$1,'Input RM sheet'!$A:$ZZ,DP1,0)</f>
        <v>1.04</v>
      </c>
      <c r="DQ6" s="65">
        <f>VLOOKUP($G$6&amp;$F$1,'Input RM sheet'!$A:$ZZ,DQ1,0)</f>
        <v>1.04</v>
      </c>
      <c r="DR6" s="65">
        <f>VLOOKUP($G$6&amp;$F$1,'Input RM sheet'!$A:$ZZ,DR1,0)</f>
        <v>0.78</v>
      </c>
      <c r="DS6" s="65">
        <f>VLOOKUP($G$6&amp;$F$1,'Input RM sheet'!$A:$ZZ,DS1,0)</f>
        <v>0</v>
      </c>
      <c r="DT6" s="65">
        <f>VLOOKUP($G$6&amp;$F$1,'Input RM sheet'!$A:$ZZ,DT1,0)</f>
        <v>0</v>
      </c>
      <c r="DU6" s="65">
        <f>VLOOKUP($G$6&amp;$F$1,'Input RM sheet'!$A:$ZZ,DU1,0)</f>
        <v>0</v>
      </c>
      <c r="DV6" s="65">
        <f>VLOOKUP($G$6&amp;$F$1,'Input RM sheet'!$A:$ZZ,DV1,0)</f>
        <v>0</v>
      </c>
      <c r="DW6" s="65">
        <f>VLOOKUP($G$6&amp;$F$1,'Input RM sheet'!$A:$ZZ,DW1,0)</f>
        <v>0</v>
      </c>
      <c r="DX6" s="65">
        <f>VLOOKUP($G$6&amp;$F$1,'Input RM sheet'!$A:$ZZ,DX1,0)</f>
        <v>0</v>
      </c>
      <c r="DY6" s="65">
        <f>VLOOKUP($G$6&amp;$F$1,'Input RM sheet'!$A:$ZZ,DY1,0)</f>
        <v>0</v>
      </c>
      <c r="DZ6" s="65">
        <f>VLOOKUP($G$6&amp;$F$1,'Input RM sheet'!$A:$ZZ,DZ1,0)</f>
        <v>0</v>
      </c>
      <c r="EA6" s="65">
        <f>VLOOKUP($G$6&amp;$F$1,'Input RM sheet'!$A:$ZZ,EA1,0)</f>
        <v>0</v>
      </c>
      <c r="EB6" s="65">
        <f>VLOOKUP($G$6&amp;$F$1,'Input RM sheet'!$A:$ZZ,EB1,0)</f>
        <v>0</v>
      </c>
      <c r="EC6" s="65">
        <f>VLOOKUP($G$6&amp;$F$1,'Input RM sheet'!$A:$ZZ,EC1,0)</f>
        <v>0</v>
      </c>
      <c r="ED6" s="65">
        <f>VLOOKUP($G$6&amp;$F$1,'Input RM sheet'!$A:$ZZ,ED1,0)</f>
        <v>0</v>
      </c>
      <c r="EE6" s="65">
        <f>VLOOKUP($G$6&amp;$F$1,'Input RM sheet'!$A:$ZZ,EE1,0)</f>
        <v>0</v>
      </c>
      <c r="EF6" s="65">
        <f>VLOOKUP($G$6&amp;$F$1,'Input RM sheet'!$A:$ZZ,EF1,0)</f>
        <v>0</v>
      </c>
      <c r="EG6" s="65">
        <f>VLOOKUP($G$6&amp;$F$1,'Input RM sheet'!$A:$ZZ,EG1,0)</f>
        <v>0</v>
      </c>
      <c r="EH6" s="65">
        <f>VLOOKUP($G$6&amp;$F$1,'Input RM sheet'!$A:$ZZ,EH1,0)</f>
        <v>0</v>
      </c>
      <c r="EI6" s="65">
        <f>VLOOKUP($G$6&amp;$F$1,'Input RM sheet'!$A:$ZZ,EI1,0)</f>
        <v>0</v>
      </c>
      <c r="EJ6" s="65">
        <f>VLOOKUP($G$6&amp;$F$1,'Input RM sheet'!$A:$ZZ,EJ1,0)</f>
        <v>0</v>
      </c>
      <c r="EK6" s="65">
        <f>VLOOKUP($G$6&amp;$F$1,'Input RM sheet'!$A:$ZZ,EK1,0)</f>
        <v>0</v>
      </c>
      <c r="EL6" s="65">
        <f>VLOOKUP($G$6&amp;$F$1,'Input RM sheet'!$A:$ZZ,EL1,0)</f>
        <v>0</v>
      </c>
      <c r="EM6" s="65">
        <f>VLOOKUP($G$6&amp;$F$1,'Input RM sheet'!$A:$ZZ,EM1,0)</f>
        <v>0</v>
      </c>
      <c r="EN6" s="65">
        <f>VLOOKUP($G$6&amp;$F$1,'Input RM sheet'!$A:$ZZ,EN1,0)</f>
        <v>0</v>
      </c>
      <c r="EO6" s="65">
        <f>VLOOKUP($G$6&amp;$F$1,'Input RM sheet'!$A:$ZZ,EO1,0)</f>
        <v>0</v>
      </c>
      <c r="EP6" s="65">
        <f>VLOOKUP($G$6&amp;$F$1,'Input RM sheet'!$A:$ZZ,EP1,0)</f>
        <v>0</v>
      </c>
      <c r="EQ6" s="65">
        <f>VLOOKUP($G$6&amp;$F$1,'Input RM sheet'!$A:$ZZ,EQ1,0)</f>
        <v>0</v>
      </c>
      <c r="ER6" s="65">
        <f>VLOOKUP($G$6&amp;$F$1,'Input RM sheet'!$A:$ZZ,ER1,0)</f>
        <v>0</v>
      </c>
      <c r="ES6" s="65">
        <f>VLOOKUP($G$6&amp;$F$1,'Input RM sheet'!$A:$ZZ,ES1,0)</f>
        <v>0</v>
      </c>
    </row>
    <row r="7" spans="1:165">
      <c r="G7" s="60" t="s">
        <v>622</v>
      </c>
    </row>
    <row r="8" spans="1:165">
      <c r="A8" s="69" t="s">
        <v>395</v>
      </c>
      <c r="B8" s="69"/>
      <c r="C8" s="69" t="s">
        <v>379</v>
      </c>
      <c r="D8" s="69" t="s">
        <v>380</v>
      </c>
      <c r="E8" s="69" t="s">
        <v>381</v>
      </c>
      <c r="F8" s="69" t="s">
        <v>396</v>
      </c>
      <c r="G8" s="69"/>
      <c r="H8" s="207"/>
      <c r="I8" s="207"/>
      <c r="J8" s="207"/>
      <c r="K8" s="207"/>
      <c r="L8" s="207"/>
      <c r="M8" s="207"/>
      <c r="N8" s="207"/>
      <c r="O8" s="207"/>
      <c r="P8" s="207"/>
      <c r="Q8" s="207"/>
      <c r="R8" s="207"/>
      <c r="S8" s="207"/>
      <c r="T8" s="61"/>
    </row>
    <row r="9" spans="1:165" ht="13">
      <c r="A9" s="63" t="s">
        <v>397</v>
      </c>
      <c r="B9" s="60" t="s">
        <v>620</v>
      </c>
      <c r="C9" s="60">
        <v>1</v>
      </c>
      <c r="D9" s="64">
        <f>A5</f>
        <v>128.16999999999999</v>
      </c>
      <c r="E9" s="60">
        <f>D9*C9</f>
        <v>128.16999999999999</v>
      </c>
      <c r="F9" s="65">
        <f>E9/E2</f>
        <v>0.89510440673231362</v>
      </c>
      <c r="G9" s="60">
        <v>1.1000000000000001</v>
      </c>
      <c r="H9" s="74">
        <f>$F$9*H4</f>
        <v>0.51019440803190574</v>
      </c>
      <c r="I9" s="74">
        <f t="shared" ref="I9:BC9" si="0">$F$9*I4</f>
        <v>0.52919533159377108</v>
      </c>
      <c r="J9" s="74">
        <f t="shared" si="0"/>
        <v>0.52473354336619527</v>
      </c>
      <c r="K9" s="74">
        <f t="shared" si="0"/>
        <v>0.55007642523480216</v>
      </c>
      <c r="L9" s="74">
        <f t="shared" si="0"/>
        <v>0.50093260181388721</v>
      </c>
      <c r="M9" s="74">
        <f t="shared" si="0"/>
        <v>0.48284838036537914</v>
      </c>
      <c r="N9" s="74">
        <f t="shared" si="0"/>
        <v>0.48244038766349628</v>
      </c>
      <c r="O9" s="74">
        <f t="shared" si="0"/>
        <v>0.43854054385606545</v>
      </c>
      <c r="P9" s="74">
        <f t="shared" si="0"/>
        <v>0.49090700191472664</v>
      </c>
      <c r="Q9" s="74">
        <f t="shared" si="0"/>
        <v>0.52589232800367569</v>
      </c>
      <c r="R9" s="74">
        <f t="shared" si="0"/>
        <v>0.47780483633492893</v>
      </c>
      <c r="S9" s="74">
        <f t="shared" si="0"/>
        <v>0.46243175612621334</v>
      </c>
      <c r="T9" s="74">
        <f t="shared" si="0"/>
        <v>0.4915000567072062</v>
      </c>
      <c r="U9" s="74">
        <f t="shared" si="0"/>
        <v>0.56405745195611678</v>
      </c>
      <c r="V9" s="74">
        <f t="shared" si="0"/>
        <v>0.59524785282489678</v>
      </c>
      <c r="W9" s="74">
        <f t="shared" si="0"/>
        <v>0.64123498173344529</v>
      </c>
      <c r="X9" s="74">
        <f t="shared" si="0"/>
        <v>0.68481630508909108</v>
      </c>
      <c r="Y9" s="74">
        <f t="shared" si="0"/>
        <v>0.72998125440706718</v>
      </c>
      <c r="Z9" s="74">
        <f t="shared" si="0"/>
        <v>0.71312188226308293</v>
      </c>
      <c r="AA9" s="74">
        <f t="shared" si="0"/>
        <v>0.72039915426146006</v>
      </c>
      <c r="AB9" s="74">
        <f t="shared" si="0"/>
        <v>0.70366145209816178</v>
      </c>
      <c r="AC9" s="74">
        <f t="shared" si="0"/>
        <v>0.81925990520816294</v>
      </c>
      <c r="AD9" s="74">
        <f t="shared" si="0"/>
        <v>0.79062228116710764</v>
      </c>
      <c r="AE9" s="74">
        <f t="shared" si="0"/>
        <v>0.95163928386702223</v>
      </c>
      <c r="AF9" s="74">
        <f t="shared" si="0"/>
        <v>0.90199350811919399</v>
      </c>
      <c r="AG9" s="74">
        <f t="shared" si="0"/>
        <v>0.9422765987008811</v>
      </c>
      <c r="AH9" s="74">
        <f t="shared" si="0"/>
        <v>0.93894066873296467</v>
      </c>
      <c r="AI9" s="74">
        <f t="shared" si="0"/>
        <v>0.74211389917909654</v>
      </c>
      <c r="AJ9" s="74">
        <f t="shared" si="0"/>
        <v>0.77802092024947955</v>
      </c>
      <c r="AK9" s="74">
        <f t="shared" si="0"/>
        <v>0.79498810712216994</v>
      </c>
      <c r="AL9" s="74">
        <f t="shared" si="0"/>
        <v>0.79498810712216994</v>
      </c>
      <c r="AM9" s="74">
        <f t="shared" si="0"/>
        <v>0.76978978978978974</v>
      </c>
      <c r="AN9" s="74">
        <f t="shared" si="0"/>
        <v>0.73398561352049707</v>
      </c>
      <c r="AO9" s="74">
        <f t="shared" si="0"/>
        <v>0.73398561352049707</v>
      </c>
      <c r="AP9" s="74">
        <f t="shared" si="0"/>
        <v>0.73000737171279806</v>
      </c>
      <c r="AQ9" s="74">
        <f t="shared" si="0"/>
        <v>0.73398561352049707</v>
      </c>
      <c r="AR9" s="74">
        <f t="shared" si="0"/>
        <v>0.98264561771073378</v>
      </c>
      <c r="AS9" s="74">
        <f t="shared" si="0"/>
        <v>0.84864848802290649</v>
      </c>
      <c r="AT9" s="74">
        <f t="shared" si="0"/>
        <v>0.76083874572246657</v>
      </c>
      <c r="AU9" s="74">
        <f t="shared" si="0"/>
        <v>0.70713248131852779</v>
      </c>
      <c r="AV9" s="74">
        <f t="shared" si="0"/>
        <v>0.70713248131852779</v>
      </c>
      <c r="AW9" s="74">
        <f t="shared" si="0"/>
        <v>0.73398561352049707</v>
      </c>
      <c r="AX9" s="74">
        <f t="shared" si="0"/>
        <v>0.73398561352049707</v>
      </c>
      <c r="AY9" s="74">
        <f t="shared" si="0"/>
        <v>0.73398561352049707</v>
      </c>
      <c r="AZ9" s="74">
        <f t="shared" si="0"/>
        <v>0.88615336266499045</v>
      </c>
      <c r="BA9" s="74">
        <f t="shared" si="0"/>
        <v>0.88615336266499045</v>
      </c>
      <c r="BB9" s="74">
        <f t="shared" si="0"/>
        <v>0.88615336266499045</v>
      </c>
      <c r="BC9" s="74">
        <f t="shared" si="0"/>
        <v>0.70713248131852779</v>
      </c>
      <c r="BD9" s="74">
        <f t="shared" ref="BD9:BI9" si="1">$F$9*BD4</f>
        <v>0.70713248131852779</v>
      </c>
      <c r="BE9" s="74">
        <f t="shared" si="1"/>
        <v>0.70713248131852779</v>
      </c>
      <c r="BF9" s="74">
        <f t="shared" si="1"/>
        <v>0.70713248131852779</v>
      </c>
      <c r="BG9" s="74">
        <f t="shared" si="1"/>
        <v>0.76083874572246657</v>
      </c>
      <c r="BH9" s="74">
        <f t="shared" si="1"/>
        <v>0.76083874572246657</v>
      </c>
      <c r="BI9" s="74">
        <f t="shared" si="1"/>
        <v>0.67132830504923524</v>
      </c>
      <c r="BJ9" s="74">
        <f>$F$9*BJ4</f>
        <v>0.67132830504923524</v>
      </c>
      <c r="BK9" s="74">
        <f>$F$9*BK4</f>
        <v>0.67132830504923524</v>
      </c>
      <c r="BL9" s="74">
        <f>$F$9*BL4</f>
        <v>0.67132830504923524</v>
      </c>
      <c r="BM9" s="74">
        <f>$F$9*BM4</f>
        <v>0.71608352538585096</v>
      </c>
      <c r="BN9" s="74">
        <f t="shared" ref="BN9:BU9" si="2">$F$9*BN4</f>
        <v>0.71608352538585096</v>
      </c>
      <c r="BO9" s="74">
        <f t="shared" si="2"/>
        <v>0.67132830504923524</v>
      </c>
      <c r="BP9" s="74">
        <f t="shared" si="2"/>
        <v>0.67132830504923524</v>
      </c>
      <c r="BQ9" s="74">
        <f t="shared" si="2"/>
        <v>0.67132830504923524</v>
      </c>
      <c r="BR9" s="74">
        <f t="shared" si="2"/>
        <v>0.67132830504923524</v>
      </c>
      <c r="BS9" s="74">
        <f t="shared" si="2"/>
        <v>0.67132830504923524</v>
      </c>
      <c r="BT9" s="74">
        <f t="shared" si="2"/>
        <v>0.68027934911655841</v>
      </c>
      <c r="BU9" s="74">
        <f t="shared" si="2"/>
        <v>0.68027934911655841</v>
      </c>
      <c r="BV9" s="74">
        <f>$F$9*BV4</f>
        <v>0.68027934911655841</v>
      </c>
      <c r="BW9" s="74">
        <f>$F$9*BW4</f>
        <v>0.68027934911655841</v>
      </c>
      <c r="BX9" s="74">
        <f>$F$9*BX4</f>
        <v>0.68027934911655841</v>
      </c>
      <c r="BY9" s="74">
        <f>$F$9*BY4</f>
        <v>0.68027934911655841</v>
      </c>
      <c r="BZ9" s="74">
        <f>$F$9*BZ4</f>
        <v>0.68027934911655841</v>
      </c>
      <c r="CA9" s="74">
        <f t="shared" ref="CA9:CG9" si="3">$F$9*CA4</f>
        <v>0.68027934911655841</v>
      </c>
      <c r="CB9" s="74">
        <f t="shared" si="3"/>
        <v>0.76083874572246657</v>
      </c>
      <c r="CC9" s="74">
        <f t="shared" si="3"/>
        <v>0.76083874572246657</v>
      </c>
      <c r="CD9" s="74">
        <f t="shared" si="3"/>
        <v>0.76083874572246657</v>
      </c>
      <c r="CE9" s="74">
        <f t="shared" si="3"/>
        <v>0.76083874572246657</v>
      </c>
      <c r="CF9" s="74">
        <f t="shared" si="3"/>
        <v>0.76083874572246657</v>
      </c>
      <c r="CG9" s="74">
        <f t="shared" si="3"/>
        <v>0.76083874572246657</v>
      </c>
      <c r="CH9" s="74">
        <f t="shared" ref="CH9:CS9" si="4">$F$9*CH4</f>
        <v>0.76083874572246657</v>
      </c>
      <c r="CI9" s="74">
        <f t="shared" si="4"/>
        <v>0.73398561352049707</v>
      </c>
      <c r="CJ9" s="74">
        <f t="shared" si="4"/>
        <v>0.68027934911655841</v>
      </c>
      <c r="CK9" s="74">
        <f t="shared" si="4"/>
        <v>0.68027934911655841</v>
      </c>
      <c r="CL9" s="74">
        <f t="shared" si="4"/>
        <v>0.68027934911655841</v>
      </c>
      <c r="CM9" s="74">
        <f t="shared" si="4"/>
        <v>0.68027934911655841</v>
      </c>
      <c r="CN9" s="74">
        <f t="shared" si="4"/>
        <v>0.68027934911655841</v>
      </c>
      <c r="CO9" s="74">
        <f t="shared" si="4"/>
        <v>0.68027934911655841</v>
      </c>
      <c r="CP9" s="74">
        <f t="shared" si="4"/>
        <v>0.68027934911655841</v>
      </c>
      <c r="CQ9" s="74">
        <f t="shared" si="4"/>
        <v>0.68027934911655841</v>
      </c>
      <c r="CR9" s="74">
        <f t="shared" si="4"/>
        <v>0.68027934911655841</v>
      </c>
      <c r="CS9" s="74">
        <f t="shared" si="4"/>
        <v>0.68027934911655841</v>
      </c>
      <c r="CT9" s="74">
        <f t="shared" ref="CT9:ES9" si="5">$F$9*CT4</f>
        <v>0.68027934911655841</v>
      </c>
      <c r="CU9" s="74">
        <f t="shared" si="5"/>
        <v>0.68027934911655841</v>
      </c>
      <c r="CV9" s="74">
        <f t="shared" si="5"/>
        <v>0.68027934911655841</v>
      </c>
      <c r="CW9" s="74">
        <f t="shared" si="5"/>
        <v>0.68027934911655841</v>
      </c>
      <c r="CX9" s="74">
        <f t="shared" si="5"/>
        <v>0.68027934911655841</v>
      </c>
      <c r="CY9" s="74">
        <f t="shared" si="5"/>
        <v>0.68027934911655841</v>
      </c>
      <c r="CZ9" s="74">
        <f t="shared" si="5"/>
        <v>0.68027934911655841</v>
      </c>
      <c r="DA9" s="74">
        <f t="shared" si="5"/>
        <v>0.68027934911655841</v>
      </c>
      <c r="DB9" s="74">
        <f t="shared" si="5"/>
        <v>0.68027934911655841</v>
      </c>
      <c r="DC9" s="74">
        <f t="shared" si="5"/>
        <v>0.68027934911655841</v>
      </c>
      <c r="DD9" s="74">
        <f t="shared" si="5"/>
        <v>0.68027934911655841</v>
      </c>
      <c r="DE9" s="74">
        <f t="shared" si="5"/>
        <v>0.68027934911655841</v>
      </c>
      <c r="DF9" s="74">
        <f t="shared" si="5"/>
        <v>0.68027934911655841</v>
      </c>
      <c r="DG9" s="74">
        <f t="shared" si="5"/>
        <v>0.77874083385711279</v>
      </c>
      <c r="DH9" s="74">
        <f t="shared" si="5"/>
        <v>0.77874083385711279</v>
      </c>
      <c r="DI9" s="74">
        <f t="shared" si="5"/>
        <v>0.77874083385711279</v>
      </c>
      <c r="DJ9" s="74">
        <f t="shared" si="5"/>
        <v>0.77874083385711279</v>
      </c>
      <c r="DK9" s="74">
        <f t="shared" si="5"/>
        <v>0.77874083385711279</v>
      </c>
      <c r="DL9" s="74">
        <f t="shared" si="5"/>
        <v>0.8503491863956979</v>
      </c>
      <c r="DM9" s="74">
        <f t="shared" si="5"/>
        <v>0.8503491863956979</v>
      </c>
      <c r="DN9" s="74">
        <f t="shared" si="5"/>
        <v>0.8503491863956979</v>
      </c>
      <c r="DO9" s="74">
        <f t="shared" si="5"/>
        <v>0.8503491863956979</v>
      </c>
      <c r="DP9" s="74">
        <f t="shared" si="5"/>
        <v>0.8503491863956979</v>
      </c>
      <c r="DQ9" s="74">
        <f t="shared" si="5"/>
        <v>0.8503491863956979</v>
      </c>
      <c r="DR9" s="74">
        <f t="shared" si="5"/>
        <v>0.8503491863956979</v>
      </c>
      <c r="DS9" s="74">
        <f t="shared" si="5"/>
        <v>0</v>
      </c>
      <c r="DT9" s="74">
        <f t="shared" si="5"/>
        <v>0</v>
      </c>
      <c r="DU9" s="74">
        <f t="shared" si="5"/>
        <v>0</v>
      </c>
      <c r="DV9" s="74">
        <f t="shared" si="5"/>
        <v>0</v>
      </c>
      <c r="DW9" s="74">
        <f t="shared" si="5"/>
        <v>0</v>
      </c>
      <c r="DX9" s="74">
        <f t="shared" si="5"/>
        <v>0</v>
      </c>
      <c r="DY9" s="74">
        <f t="shared" si="5"/>
        <v>0</v>
      </c>
      <c r="DZ9" s="74">
        <f t="shared" si="5"/>
        <v>0</v>
      </c>
      <c r="EA9" s="74">
        <f t="shared" si="5"/>
        <v>0</v>
      </c>
      <c r="EB9" s="74">
        <f t="shared" si="5"/>
        <v>0</v>
      </c>
      <c r="EC9" s="74">
        <f t="shared" si="5"/>
        <v>0</v>
      </c>
      <c r="ED9" s="74">
        <f t="shared" si="5"/>
        <v>0</v>
      </c>
      <c r="EE9" s="74">
        <f t="shared" si="5"/>
        <v>0</v>
      </c>
      <c r="EF9" s="74">
        <f t="shared" si="5"/>
        <v>0</v>
      </c>
      <c r="EG9" s="74">
        <f t="shared" si="5"/>
        <v>0</v>
      </c>
      <c r="EH9" s="74">
        <f t="shared" si="5"/>
        <v>0</v>
      </c>
      <c r="EI9" s="74">
        <f t="shared" si="5"/>
        <v>0</v>
      </c>
      <c r="EJ9" s="74">
        <f t="shared" si="5"/>
        <v>0</v>
      </c>
      <c r="EK9" s="74">
        <f t="shared" si="5"/>
        <v>0</v>
      </c>
      <c r="EL9" s="74">
        <f t="shared" si="5"/>
        <v>0</v>
      </c>
      <c r="EM9" s="74">
        <f t="shared" si="5"/>
        <v>0</v>
      </c>
      <c r="EN9" s="74">
        <f t="shared" si="5"/>
        <v>0</v>
      </c>
      <c r="EO9" s="74">
        <f t="shared" si="5"/>
        <v>0</v>
      </c>
      <c r="EP9" s="74">
        <f t="shared" si="5"/>
        <v>0</v>
      </c>
      <c r="EQ9" s="74">
        <f t="shared" si="5"/>
        <v>0</v>
      </c>
      <c r="ER9" s="74">
        <f t="shared" si="5"/>
        <v>0</v>
      </c>
      <c r="ES9" s="74">
        <f t="shared" si="5"/>
        <v>0</v>
      </c>
    </row>
    <row r="10" spans="1:165">
      <c r="A10" s="63"/>
      <c r="B10" s="60" t="s">
        <v>621</v>
      </c>
      <c r="C10" s="60">
        <v>1</v>
      </c>
      <c r="D10" s="64">
        <f>B5</f>
        <v>63.01</v>
      </c>
      <c r="E10" s="60">
        <f>D10*C10</f>
        <v>63.01</v>
      </c>
      <c r="F10" s="65">
        <f>E10/E2</f>
        <v>0.44004469585864936</v>
      </c>
      <c r="G10" s="60">
        <v>2</v>
      </c>
      <c r="H10" s="70">
        <f>$F$10*H5</f>
        <v>9.2409386130316365E-2</v>
      </c>
      <c r="I10" s="70">
        <f t="shared" ref="I10:BC10" si="6">$F$10*I5</f>
        <v>9.2409386130316365E-2</v>
      </c>
      <c r="J10" s="70">
        <f t="shared" si="6"/>
        <v>9.2409386130316365E-2</v>
      </c>
      <c r="K10" s="70">
        <f t="shared" si="6"/>
        <v>8.8008939171729875E-2</v>
      </c>
      <c r="L10" s="70">
        <f t="shared" si="6"/>
        <v>8.3608492213143384E-2</v>
      </c>
      <c r="M10" s="70">
        <f t="shared" si="6"/>
        <v>8.8008939171729875E-2</v>
      </c>
      <c r="N10" s="70">
        <f t="shared" si="6"/>
        <v>8.8008939171729875E-2</v>
      </c>
      <c r="O10" s="70">
        <f t="shared" si="6"/>
        <v>8.8008939171729875E-2</v>
      </c>
      <c r="P10" s="70">
        <f t="shared" si="6"/>
        <v>9.2409386130316365E-2</v>
      </c>
      <c r="Q10" s="70">
        <f t="shared" si="6"/>
        <v>9.6809833088902855E-2</v>
      </c>
      <c r="R10" s="70">
        <f t="shared" si="6"/>
        <v>0.10561072700607584</v>
      </c>
      <c r="S10" s="70">
        <f t="shared" si="6"/>
        <v>0.12321251484042184</v>
      </c>
      <c r="T10" s="70">
        <f t="shared" si="6"/>
        <v>0.12321251484042184</v>
      </c>
      <c r="U10" s="70">
        <f t="shared" si="6"/>
        <v>0.12321251484042184</v>
      </c>
      <c r="V10" s="70">
        <f t="shared" si="6"/>
        <v>0.12321251484042184</v>
      </c>
      <c r="W10" s="70">
        <f t="shared" si="6"/>
        <v>0.13201340875759479</v>
      </c>
      <c r="X10" s="70">
        <f t="shared" si="6"/>
        <v>0.13641385571618131</v>
      </c>
      <c r="Y10" s="70">
        <f t="shared" si="6"/>
        <v>0.1408143026747678</v>
      </c>
      <c r="Z10" s="70">
        <f t="shared" si="6"/>
        <v>0.15841609050911376</v>
      </c>
      <c r="AA10" s="70">
        <f t="shared" si="6"/>
        <v>0.17601787834345975</v>
      </c>
      <c r="AB10" s="70">
        <f t="shared" si="6"/>
        <v>0.19361966617780571</v>
      </c>
      <c r="AC10" s="70">
        <f t="shared" si="6"/>
        <v>0.19802011313639223</v>
      </c>
      <c r="AD10" s="70">
        <f t="shared" si="6"/>
        <v>0.18041832530204624</v>
      </c>
      <c r="AE10" s="70">
        <f t="shared" si="6"/>
        <v>0.1408143026747678</v>
      </c>
      <c r="AF10" s="70">
        <f t="shared" si="6"/>
        <v>0.13641385571618131</v>
      </c>
      <c r="AG10" s="70">
        <f t="shared" si="6"/>
        <v>0.17601787834345975</v>
      </c>
      <c r="AH10" s="70">
        <f t="shared" si="6"/>
        <v>0.13641385571618131</v>
      </c>
      <c r="AI10" s="70">
        <f t="shared" si="6"/>
        <v>0.14521474963335429</v>
      </c>
      <c r="AJ10" s="70">
        <f t="shared" si="6"/>
        <v>0.15841609050911376</v>
      </c>
      <c r="AK10" s="70">
        <f t="shared" si="6"/>
        <v>0.16721698442628677</v>
      </c>
      <c r="AL10" s="70">
        <f t="shared" si="6"/>
        <v>0.17161743138487326</v>
      </c>
      <c r="AM10" s="70">
        <f t="shared" si="6"/>
        <v>0.14961519659194078</v>
      </c>
      <c r="AN10" s="70">
        <f t="shared" si="6"/>
        <v>0.13201340875759479</v>
      </c>
      <c r="AO10" s="70">
        <f t="shared" si="6"/>
        <v>0.13201340875759479</v>
      </c>
      <c r="AP10" s="70">
        <f t="shared" si="6"/>
        <v>0.14521474963335429</v>
      </c>
      <c r="AQ10" s="70">
        <f t="shared" si="6"/>
        <v>0.15401564355052727</v>
      </c>
      <c r="AR10" s="70">
        <f t="shared" si="6"/>
        <v>0.14961519659194078</v>
      </c>
      <c r="AS10" s="70">
        <f t="shared" si="6"/>
        <v>0.1408143026747678</v>
      </c>
      <c r="AT10" s="70">
        <f t="shared" si="6"/>
        <v>0.14961519659194078</v>
      </c>
      <c r="AU10" s="70">
        <f t="shared" si="6"/>
        <v>0.1408143026747678</v>
      </c>
      <c r="AV10" s="70">
        <f t="shared" si="6"/>
        <v>0.13201340875759479</v>
      </c>
      <c r="AW10" s="70">
        <f t="shared" si="6"/>
        <v>0.11441162092324884</v>
      </c>
      <c r="AX10" s="70">
        <f t="shared" si="6"/>
        <v>0.11001117396466234</v>
      </c>
      <c r="AY10" s="70">
        <f t="shared" si="6"/>
        <v>0.11001117396466234</v>
      </c>
      <c r="AZ10" s="70">
        <f t="shared" si="6"/>
        <v>0.11001117396466234</v>
      </c>
      <c r="BA10" s="70">
        <f t="shared" si="6"/>
        <v>0.11001117396466234</v>
      </c>
      <c r="BB10" s="70">
        <f t="shared" si="6"/>
        <v>0.11001117396466234</v>
      </c>
      <c r="BC10" s="70">
        <f t="shared" si="6"/>
        <v>0.11001117396466234</v>
      </c>
      <c r="BD10" s="70">
        <f t="shared" ref="BD10:BI10" si="7">$F$10*BD5</f>
        <v>0.11001117396466234</v>
      </c>
      <c r="BE10" s="70">
        <f t="shared" si="7"/>
        <v>0.11001117396466234</v>
      </c>
      <c r="BF10" s="70">
        <f t="shared" si="7"/>
        <v>0.11001117396466234</v>
      </c>
      <c r="BG10" s="70">
        <f t="shared" si="7"/>
        <v>0.11001117396466234</v>
      </c>
      <c r="BH10" s="70">
        <f t="shared" si="7"/>
        <v>0.11001117396466234</v>
      </c>
      <c r="BI10" s="70">
        <f t="shared" si="7"/>
        <v>0.11001117396466234</v>
      </c>
      <c r="BJ10" s="70">
        <f>$F$10*BJ5</f>
        <v>0.11001117396466234</v>
      </c>
      <c r="BK10" s="70">
        <f>$F$10*BK5</f>
        <v>0.1276129617990083</v>
      </c>
      <c r="BL10" s="70">
        <f>$F$10*BL5</f>
        <v>0.1276129617990083</v>
      </c>
      <c r="BM10" s="70">
        <f>$F$10*BM5</f>
        <v>0.1276129617990083</v>
      </c>
      <c r="BN10" s="70">
        <f t="shared" ref="BN10:BU10" si="8">$F$10*BN5</f>
        <v>0.1276129617990083</v>
      </c>
      <c r="BO10" s="70">
        <f t="shared" si="8"/>
        <v>0.1276129617990083</v>
      </c>
      <c r="BP10" s="70">
        <f t="shared" si="8"/>
        <v>0.1276129617990083</v>
      </c>
      <c r="BQ10" s="70">
        <f t="shared" si="8"/>
        <v>0.1276129617990083</v>
      </c>
      <c r="BR10" s="70">
        <f t="shared" si="8"/>
        <v>0.1276129617990083</v>
      </c>
      <c r="BS10" s="70">
        <f t="shared" si="8"/>
        <v>0.1276129617990083</v>
      </c>
      <c r="BT10" s="70">
        <f t="shared" si="8"/>
        <v>0.1276129617990083</v>
      </c>
      <c r="BU10" s="70">
        <f t="shared" si="8"/>
        <v>0.1276129617990083</v>
      </c>
      <c r="BV10" s="70">
        <f>$F$10*BV5</f>
        <v>0.13201340875759479</v>
      </c>
      <c r="BW10" s="70">
        <f>$F$10*BW5</f>
        <v>0.13201340875759479</v>
      </c>
      <c r="BX10" s="70">
        <f>$F$10*BX5</f>
        <v>0.13201340875759479</v>
      </c>
      <c r="BY10" s="70">
        <f>$F$10*BY5</f>
        <v>0.13201340875759479</v>
      </c>
      <c r="BZ10" s="70">
        <f>$F$10*BZ5</f>
        <v>0.13201340875759479</v>
      </c>
      <c r="CA10" s="70">
        <f t="shared" ref="CA10:CG10" si="9">$F$10*CA5</f>
        <v>0.13201340875759479</v>
      </c>
      <c r="CB10" s="70">
        <f t="shared" si="9"/>
        <v>0.13201340875759479</v>
      </c>
      <c r="CC10" s="70">
        <f t="shared" si="9"/>
        <v>0.13201340875759479</v>
      </c>
      <c r="CD10" s="70">
        <f t="shared" si="9"/>
        <v>0.13201340875759479</v>
      </c>
      <c r="CE10" s="70">
        <f t="shared" si="9"/>
        <v>0.13201340875759479</v>
      </c>
      <c r="CF10" s="70">
        <f t="shared" si="9"/>
        <v>0.13201340875759479</v>
      </c>
      <c r="CG10" s="70">
        <f t="shared" si="9"/>
        <v>0.13201340875759479</v>
      </c>
      <c r="CH10" s="70">
        <f t="shared" ref="CH10:CS10" si="10">$F$10*CH5</f>
        <v>0.13201340875759479</v>
      </c>
      <c r="CI10" s="70">
        <f t="shared" si="10"/>
        <v>0.13201340875759479</v>
      </c>
      <c r="CJ10" s="70">
        <f t="shared" si="10"/>
        <v>0.13201340875759479</v>
      </c>
      <c r="CK10" s="70">
        <f t="shared" si="10"/>
        <v>0.13201340875759479</v>
      </c>
      <c r="CL10" s="70">
        <f t="shared" si="10"/>
        <v>0.13201340875759479</v>
      </c>
      <c r="CM10" s="70">
        <f t="shared" si="10"/>
        <v>0.13201340875759479</v>
      </c>
      <c r="CN10" s="70">
        <f t="shared" si="10"/>
        <v>0.13201340875759479</v>
      </c>
      <c r="CO10" s="70">
        <f t="shared" si="10"/>
        <v>0.13201340875759479</v>
      </c>
      <c r="CP10" s="70">
        <f t="shared" si="10"/>
        <v>0.13201340875759479</v>
      </c>
      <c r="CQ10" s="70">
        <f t="shared" si="10"/>
        <v>0.13201340875759479</v>
      </c>
      <c r="CR10" s="70">
        <f t="shared" si="10"/>
        <v>0.13201340875759479</v>
      </c>
      <c r="CS10" s="70">
        <f t="shared" si="10"/>
        <v>0.13201340875759479</v>
      </c>
      <c r="CT10" s="70">
        <f t="shared" ref="CT10:ES10" si="11">$F$10*CT5</f>
        <v>0.13201340875759479</v>
      </c>
      <c r="CU10" s="70">
        <f t="shared" si="11"/>
        <v>0.13201340875759479</v>
      </c>
      <c r="CV10" s="70">
        <f t="shared" si="11"/>
        <v>0.13201340875759479</v>
      </c>
      <c r="CW10" s="70">
        <f t="shared" si="11"/>
        <v>0.13201340875759479</v>
      </c>
      <c r="CX10" s="70">
        <f t="shared" si="11"/>
        <v>0.13201340875759479</v>
      </c>
      <c r="CY10" s="70">
        <f t="shared" si="11"/>
        <v>0.13201340875759479</v>
      </c>
      <c r="CZ10" s="70">
        <f t="shared" si="11"/>
        <v>0.13201340875759479</v>
      </c>
      <c r="DA10" s="70">
        <f t="shared" si="11"/>
        <v>0.13201340875759479</v>
      </c>
      <c r="DB10" s="70">
        <f t="shared" si="11"/>
        <v>0.13201340875759479</v>
      </c>
      <c r="DC10" s="70">
        <f t="shared" si="11"/>
        <v>0.13201340875759479</v>
      </c>
      <c r="DD10" s="70">
        <f t="shared" si="11"/>
        <v>0.13201340875759479</v>
      </c>
      <c r="DE10" s="70">
        <f t="shared" si="11"/>
        <v>0.13201340875759479</v>
      </c>
      <c r="DF10" s="70">
        <f t="shared" si="11"/>
        <v>0.13201340875759479</v>
      </c>
      <c r="DG10" s="70">
        <f t="shared" si="11"/>
        <v>0.13201340875759479</v>
      </c>
      <c r="DH10" s="70">
        <f t="shared" si="11"/>
        <v>0.13201340875759479</v>
      </c>
      <c r="DI10" s="70">
        <f t="shared" si="11"/>
        <v>0.13201340875759479</v>
      </c>
      <c r="DJ10" s="70">
        <f t="shared" si="11"/>
        <v>0.13201340875759479</v>
      </c>
      <c r="DK10" s="70">
        <f t="shared" si="11"/>
        <v>0.13201340875759479</v>
      </c>
      <c r="DL10" s="70">
        <f t="shared" si="11"/>
        <v>0.13201340875759479</v>
      </c>
      <c r="DM10" s="70">
        <f t="shared" si="11"/>
        <v>0.13201340875759479</v>
      </c>
      <c r="DN10" s="70">
        <f t="shared" si="11"/>
        <v>0.13201340875759479</v>
      </c>
      <c r="DO10" s="70">
        <f t="shared" si="11"/>
        <v>0.13201340875759479</v>
      </c>
      <c r="DP10" s="70">
        <f t="shared" si="11"/>
        <v>0.13201340875759479</v>
      </c>
      <c r="DQ10" s="70">
        <f t="shared" si="11"/>
        <v>0.13201340875759479</v>
      </c>
      <c r="DR10" s="70">
        <f t="shared" si="11"/>
        <v>0.13201340875759479</v>
      </c>
      <c r="DS10" s="70">
        <f t="shared" si="11"/>
        <v>0</v>
      </c>
      <c r="DT10" s="70">
        <f t="shared" si="11"/>
        <v>0</v>
      </c>
      <c r="DU10" s="70">
        <f t="shared" si="11"/>
        <v>0</v>
      </c>
      <c r="DV10" s="70">
        <f t="shared" si="11"/>
        <v>0</v>
      </c>
      <c r="DW10" s="70">
        <f t="shared" si="11"/>
        <v>0</v>
      </c>
      <c r="DX10" s="70">
        <f t="shared" si="11"/>
        <v>0</v>
      </c>
      <c r="DY10" s="70">
        <f t="shared" si="11"/>
        <v>0</v>
      </c>
      <c r="DZ10" s="70">
        <f t="shared" si="11"/>
        <v>0</v>
      </c>
      <c r="EA10" s="70">
        <f t="shared" si="11"/>
        <v>0</v>
      </c>
      <c r="EB10" s="70">
        <f t="shared" si="11"/>
        <v>0</v>
      </c>
      <c r="EC10" s="70">
        <f t="shared" si="11"/>
        <v>0</v>
      </c>
      <c r="ED10" s="70">
        <f t="shared" si="11"/>
        <v>0</v>
      </c>
      <c r="EE10" s="70">
        <f t="shared" si="11"/>
        <v>0</v>
      </c>
      <c r="EF10" s="70">
        <f t="shared" si="11"/>
        <v>0</v>
      </c>
      <c r="EG10" s="70">
        <f t="shared" si="11"/>
        <v>0</v>
      </c>
      <c r="EH10" s="70">
        <f t="shared" si="11"/>
        <v>0</v>
      </c>
      <c r="EI10" s="70">
        <f t="shared" si="11"/>
        <v>0</v>
      </c>
      <c r="EJ10" s="70">
        <f t="shared" si="11"/>
        <v>0</v>
      </c>
      <c r="EK10" s="70">
        <f t="shared" si="11"/>
        <v>0</v>
      </c>
      <c r="EL10" s="70">
        <f t="shared" si="11"/>
        <v>0</v>
      </c>
      <c r="EM10" s="70">
        <f t="shared" si="11"/>
        <v>0</v>
      </c>
      <c r="EN10" s="70">
        <f t="shared" si="11"/>
        <v>0</v>
      </c>
      <c r="EO10" s="70">
        <f t="shared" si="11"/>
        <v>0</v>
      </c>
      <c r="EP10" s="70">
        <f t="shared" si="11"/>
        <v>0</v>
      </c>
      <c r="EQ10" s="70">
        <f t="shared" si="11"/>
        <v>0</v>
      </c>
      <c r="ER10" s="70">
        <f t="shared" si="11"/>
        <v>0</v>
      </c>
      <c r="ES10" s="70">
        <f t="shared" si="11"/>
        <v>0</v>
      </c>
    </row>
    <row r="11" spans="1:165">
      <c r="A11" s="63"/>
      <c r="B11" s="60" t="s">
        <v>89</v>
      </c>
      <c r="C11" s="60">
        <v>1</v>
      </c>
      <c r="D11" s="64">
        <f>C5</f>
        <v>147.01</v>
      </c>
      <c r="E11" s="60">
        <f>D11*C11</f>
        <v>147.01</v>
      </c>
      <c r="F11" s="65">
        <f>E11/E2</f>
        <v>1.0266778406313291</v>
      </c>
      <c r="G11" s="60">
        <v>3.5</v>
      </c>
      <c r="H11" s="74">
        <f>$F$11*H6</f>
        <v>1.0173698258525352</v>
      </c>
      <c r="I11" s="74">
        <f t="shared" ref="I11:BC11" si="12">$F$11*I6</f>
        <v>0.99409948071023957</v>
      </c>
      <c r="J11" s="74">
        <f t="shared" si="12"/>
        <v>0.99409948071023957</v>
      </c>
      <c r="K11" s="74">
        <f t="shared" si="12"/>
        <v>0.86147232328876222</v>
      </c>
      <c r="L11" s="74">
        <f t="shared" si="12"/>
        <v>0.97791747281645325</v>
      </c>
      <c r="M11" s="74">
        <f t="shared" si="12"/>
        <v>0.97791747281645325</v>
      </c>
      <c r="N11" s="74">
        <f t="shared" si="12"/>
        <v>0.97791747281645325</v>
      </c>
      <c r="O11" s="74">
        <f t="shared" si="12"/>
        <v>0.97791747281645325</v>
      </c>
      <c r="P11" s="74">
        <f t="shared" si="12"/>
        <v>0.85939647763656546</v>
      </c>
      <c r="Q11" s="74">
        <f t="shared" si="12"/>
        <v>1.0124815887755536</v>
      </c>
      <c r="R11" s="74">
        <f t="shared" si="12"/>
        <v>1.1714584872174547</v>
      </c>
      <c r="S11" s="74">
        <f t="shared" si="12"/>
        <v>1.1814839976139573</v>
      </c>
      <c r="T11" s="74">
        <f t="shared" si="12"/>
        <v>2.0392432710821584</v>
      </c>
      <c r="U11" s="74">
        <f t="shared" si="12"/>
        <v>2.0392432710821584</v>
      </c>
      <c r="V11" s="74">
        <f t="shared" si="12"/>
        <v>2.0392432710821584</v>
      </c>
      <c r="W11" s="74">
        <f t="shared" si="12"/>
        <v>0.7891885704187015</v>
      </c>
      <c r="X11" s="74">
        <f t="shared" si="12"/>
        <v>0.92587862736745419</v>
      </c>
      <c r="Y11" s="74">
        <f t="shared" si="12"/>
        <v>0.98649167756629674</v>
      </c>
      <c r="Z11" s="74">
        <f t="shared" si="12"/>
        <v>0.76996774554637959</v>
      </c>
      <c r="AA11" s="74">
        <f t="shared" si="12"/>
        <v>0.76996774554637959</v>
      </c>
      <c r="AB11" s="74">
        <f t="shared" si="12"/>
        <v>0.76996774554637959</v>
      </c>
      <c r="AC11" s="74">
        <f t="shared" si="12"/>
        <v>1.1681928943399715</v>
      </c>
      <c r="AD11" s="74">
        <f t="shared" si="12"/>
        <v>1.1681928943399715</v>
      </c>
      <c r="AE11" s="74">
        <f t="shared" si="12"/>
        <v>1.1681928943399715</v>
      </c>
      <c r="AF11" s="74">
        <f t="shared" si="12"/>
        <v>1.6203903776228261</v>
      </c>
      <c r="AG11" s="74">
        <f t="shared" si="12"/>
        <v>1.6203903776228261</v>
      </c>
      <c r="AH11" s="74">
        <f t="shared" si="12"/>
        <v>1.3370210558336204</v>
      </c>
      <c r="AI11" s="74">
        <f t="shared" si="12"/>
        <v>1.3459900492352819</v>
      </c>
      <c r="AJ11" s="74">
        <f t="shared" si="12"/>
        <v>1.6107687381913656</v>
      </c>
      <c r="AK11" s="74">
        <f t="shared" si="12"/>
        <v>1.6107687381913656</v>
      </c>
      <c r="AL11" s="74">
        <f t="shared" si="12"/>
        <v>1.7975507694031241</v>
      </c>
      <c r="AM11" s="74">
        <f t="shared" si="12"/>
        <v>1.673780335296537</v>
      </c>
      <c r="AN11" s="74">
        <f t="shared" si="12"/>
        <v>1.4198680581234289</v>
      </c>
      <c r="AO11" s="74">
        <f t="shared" si="12"/>
        <v>1.4451943734020947</v>
      </c>
      <c r="AP11" s="74">
        <f t="shared" si="12"/>
        <v>1.4288236613853937</v>
      </c>
      <c r="AQ11" s="74">
        <f t="shared" si="12"/>
        <v>1.4451211041393552</v>
      </c>
      <c r="AR11" s="74">
        <f t="shared" si="12"/>
        <v>1.3484831366918415</v>
      </c>
      <c r="AS11" s="74">
        <f t="shared" si="12"/>
        <v>1.0830387580417629</v>
      </c>
      <c r="AT11" s="74">
        <f t="shared" si="12"/>
        <v>1.0788289682240382</v>
      </c>
      <c r="AU11" s="74">
        <f t="shared" si="12"/>
        <v>1.0472113974439556</v>
      </c>
      <c r="AV11" s="74">
        <f t="shared" si="12"/>
        <v>1.0472113974439556</v>
      </c>
      <c r="AW11" s="74">
        <f t="shared" si="12"/>
        <v>1.0472113974439556</v>
      </c>
      <c r="AX11" s="74">
        <f t="shared" si="12"/>
        <v>1.0472113974439556</v>
      </c>
      <c r="AY11" s="74">
        <f t="shared" si="12"/>
        <v>1.0472113974439556</v>
      </c>
      <c r="AZ11" s="74">
        <f t="shared" si="12"/>
        <v>1.0472113974439556</v>
      </c>
      <c r="BA11" s="74">
        <f t="shared" si="12"/>
        <v>1.0472113974439556</v>
      </c>
      <c r="BB11" s="74">
        <f t="shared" si="12"/>
        <v>1.0472113974439556</v>
      </c>
      <c r="BC11" s="74">
        <f t="shared" si="12"/>
        <v>1.0472113974439556</v>
      </c>
      <c r="BD11" s="74">
        <f t="shared" ref="BD11:BI11" si="13">$F$11*BD6</f>
        <v>1.0472113974439556</v>
      </c>
      <c r="BE11" s="74">
        <f t="shared" si="13"/>
        <v>1.0472113974439556</v>
      </c>
      <c r="BF11" s="74">
        <f t="shared" si="13"/>
        <v>1.0472113974439556</v>
      </c>
      <c r="BG11" s="74">
        <f t="shared" si="13"/>
        <v>1.0472113974439556</v>
      </c>
      <c r="BH11" s="74">
        <f t="shared" si="13"/>
        <v>1.0472113974439556</v>
      </c>
      <c r="BI11" s="74">
        <f t="shared" si="13"/>
        <v>1.0472113974439556</v>
      </c>
      <c r="BJ11" s="74">
        <f>$F$11*BJ6</f>
        <v>1.0472113974439556</v>
      </c>
      <c r="BK11" s="74">
        <f>$F$11*BK6</f>
        <v>1.0472113974439556</v>
      </c>
      <c r="BL11" s="74">
        <f>$F$11*BL6</f>
        <v>1.0472113974439556</v>
      </c>
      <c r="BM11" s="74">
        <f>$F$11*BM6</f>
        <v>1.0677449542565822</v>
      </c>
      <c r="BN11" s="74">
        <f t="shared" ref="BN11:BU11" si="14">$F$11*BN6</f>
        <v>1.0677449542565822</v>
      </c>
      <c r="BO11" s="74">
        <f t="shared" si="14"/>
        <v>1.0677449542565822</v>
      </c>
      <c r="BP11" s="74">
        <f t="shared" si="14"/>
        <v>1.0677449542565822</v>
      </c>
      <c r="BQ11" s="74">
        <f t="shared" si="14"/>
        <v>1.0677449542565822</v>
      </c>
      <c r="BR11" s="74">
        <f t="shared" si="14"/>
        <v>1.0677449542565822</v>
      </c>
      <c r="BS11" s="74">
        <f t="shared" si="14"/>
        <v>1.0677449542565822</v>
      </c>
      <c r="BT11" s="74">
        <f t="shared" si="14"/>
        <v>1.0677449542565822</v>
      </c>
      <c r="BU11" s="74">
        <f t="shared" si="14"/>
        <v>1.0677449542565822</v>
      </c>
      <c r="BV11" s="74">
        <f>$F$11*BV6</f>
        <v>1.0677449542565822</v>
      </c>
      <c r="BW11" s="74">
        <f>$F$11*BW6</f>
        <v>1.0677449542565822</v>
      </c>
      <c r="BX11" s="74">
        <f>$F$11*BX6</f>
        <v>1.0677449542565822</v>
      </c>
      <c r="BY11" s="74">
        <f>$F$11*BY6</f>
        <v>1.0677449542565822</v>
      </c>
      <c r="BZ11" s="74">
        <f>$F$11*BZ6</f>
        <v>1.0677449542565822</v>
      </c>
      <c r="CA11" s="74">
        <f t="shared" ref="CA11:CG11" si="15">$F$11*CA6</f>
        <v>1.0677449542565822</v>
      </c>
      <c r="CB11" s="74">
        <f t="shared" si="15"/>
        <v>1.0677449542565822</v>
      </c>
      <c r="CC11" s="74">
        <f t="shared" si="15"/>
        <v>1.0677449542565822</v>
      </c>
      <c r="CD11" s="74">
        <f t="shared" si="15"/>
        <v>1.0677449542565822</v>
      </c>
      <c r="CE11" s="74">
        <f t="shared" si="15"/>
        <v>1.0677449542565822</v>
      </c>
      <c r="CF11" s="74">
        <f t="shared" si="15"/>
        <v>1.0677449542565822</v>
      </c>
      <c r="CG11" s="74">
        <f t="shared" si="15"/>
        <v>1.0677449542565822</v>
      </c>
      <c r="CH11" s="74">
        <f t="shared" ref="CH11:CS11" si="16">$F$11*CH6</f>
        <v>1.0677449542565822</v>
      </c>
      <c r="CI11" s="74">
        <f t="shared" si="16"/>
        <v>1.0677449542565822</v>
      </c>
      <c r="CJ11" s="74">
        <f t="shared" si="16"/>
        <v>1.0677449542565822</v>
      </c>
      <c r="CK11" s="74">
        <f t="shared" si="16"/>
        <v>1.0677449542565822</v>
      </c>
      <c r="CL11" s="74">
        <f t="shared" si="16"/>
        <v>1.0677449542565822</v>
      </c>
      <c r="CM11" s="74">
        <f t="shared" si="16"/>
        <v>1.0677449542565822</v>
      </c>
      <c r="CN11" s="74">
        <f t="shared" si="16"/>
        <v>1.0677449542565822</v>
      </c>
      <c r="CO11" s="74">
        <f t="shared" si="16"/>
        <v>1.0677449542565822</v>
      </c>
      <c r="CP11" s="74">
        <f t="shared" si="16"/>
        <v>1.0677449542565822</v>
      </c>
      <c r="CQ11" s="74">
        <f t="shared" si="16"/>
        <v>1.0677449542565822</v>
      </c>
      <c r="CR11" s="74">
        <f t="shared" si="16"/>
        <v>1.0677449542565822</v>
      </c>
      <c r="CS11" s="74">
        <f t="shared" si="16"/>
        <v>1.0677449542565822</v>
      </c>
      <c r="CT11" s="74">
        <f t="shared" ref="CT11:ES11" si="17">$F$11*CT6</f>
        <v>1.0677449542565822</v>
      </c>
      <c r="CU11" s="74">
        <f t="shared" si="17"/>
        <v>1.0677449542565822</v>
      </c>
      <c r="CV11" s="74">
        <f t="shared" si="17"/>
        <v>1.0677449542565822</v>
      </c>
      <c r="CW11" s="74">
        <f t="shared" si="17"/>
        <v>1.0677449542565822</v>
      </c>
      <c r="CX11" s="74">
        <f t="shared" si="17"/>
        <v>1.0677449542565822</v>
      </c>
      <c r="CY11" s="74">
        <f t="shared" si="17"/>
        <v>1.0677449542565822</v>
      </c>
      <c r="CZ11" s="74">
        <f t="shared" si="17"/>
        <v>1.0677449542565822</v>
      </c>
      <c r="DA11" s="74">
        <f t="shared" si="17"/>
        <v>1.0677449542565822</v>
      </c>
      <c r="DB11" s="74">
        <f t="shared" si="17"/>
        <v>1.0677449542565822</v>
      </c>
      <c r="DC11" s="74">
        <f t="shared" si="17"/>
        <v>1.0677449542565822</v>
      </c>
      <c r="DD11" s="74">
        <f t="shared" si="17"/>
        <v>1.0677449542565822</v>
      </c>
      <c r="DE11" s="74">
        <f t="shared" si="17"/>
        <v>1.0677449542565822</v>
      </c>
      <c r="DF11" s="74">
        <f t="shared" si="17"/>
        <v>1.0677449542565822</v>
      </c>
      <c r="DG11" s="74">
        <f t="shared" si="17"/>
        <v>1.0677449542565822</v>
      </c>
      <c r="DH11" s="74">
        <f t="shared" si="17"/>
        <v>1.0677449542565822</v>
      </c>
      <c r="DI11" s="74">
        <f t="shared" si="17"/>
        <v>1.0677449542565822</v>
      </c>
      <c r="DJ11" s="74">
        <f t="shared" si="17"/>
        <v>1.0677449542565822</v>
      </c>
      <c r="DK11" s="74">
        <f t="shared" si="17"/>
        <v>1.0677449542565822</v>
      </c>
      <c r="DL11" s="74">
        <f t="shared" si="17"/>
        <v>1.0677449542565822</v>
      </c>
      <c r="DM11" s="74">
        <f t="shared" si="17"/>
        <v>1.0677449542565822</v>
      </c>
      <c r="DN11" s="74">
        <f t="shared" si="17"/>
        <v>1.0677449542565822</v>
      </c>
      <c r="DO11" s="74">
        <f t="shared" si="17"/>
        <v>1.0677449542565822</v>
      </c>
      <c r="DP11" s="74">
        <f t="shared" si="17"/>
        <v>1.0677449542565822</v>
      </c>
      <c r="DQ11" s="74">
        <f t="shared" si="17"/>
        <v>1.0677449542565822</v>
      </c>
      <c r="DR11" s="74">
        <f t="shared" si="17"/>
        <v>0.80080871569243672</v>
      </c>
      <c r="DS11" s="74">
        <f t="shared" si="17"/>
        <v>0</v>
      </c>
      <c r="DT11" s="74">
        <f t="shared" si="17"/>
        <v>0</v>
      </c>
      <c r="DU11" s="74">
        <f t="shared" si="17"/>
        <v>0</v>
      </c>
      <c r="DV11" s="74">
        <f t="shared" si="17"/>
        <v>0</v>
      </c>
      <c r="DW11" s="74">
        <f t="shared" si="17"/>
        <v>0</v>
      </c>
      <c r="DX11" s="74">
        <f t="shared" si="17"/>
        <v>0</v>
      </c>
      <c r="DY11" s="74">
        <f t="shared" si="17"/>
        <v>0</v>
      </c>
      <c r="DZ11" s="74">
        <f t="shared" si="17"/>
        <v>0</v>
      </c>
      <c r="EA11" s="74">
        <f t="shared" si="17"/>
        <v>0</v>
      </c>
      <c r="EB11" s="74">
        <f t="shared" si="17"/>
        <v>0</v>
      </c>
      <c r="EC11" s="74">
        <f t="shared" si="17"/>
        <v>0</v>
      </c>
      <c r="ED11" s="74">
        <f t="shared" si="17"/>
        <v>0</v>
      </c>
      <c r="EE11" s="74">
        <f t="shared" si="17"/>
        <v>0</v>
      </c>
      <c r="EF11" s="74">
        <f t="shared" si="17"/>
        <v>0</v>
      </c>
      <c r="EG11" s="74">
        <f t="shared" si="17"/>
        <v>0</v>
      </c>
      <c r="EH11" s="74">
        <f t="shared" si="17"/>
        <v>0</v>
      </c>
      <c r="EI11" s="74">
        <f t="shared" si="17"/>
        <v>0</v>
      </c>
      <c r="EJ11" s="74">
        <f t="shared" si="17"/>
        <v>0</v>
      </c>
      <c r="EK11" s="74">
        <f t="shared" si="17"/>
        <v>0</v>
      </c>
      <c r="EL11" s="74">
        <f t="shared" si="17"/>
        <v>0</v>
      </c>
      <c r="EM11" s="74">
        <f t="shared" si="17"/>
        <v>0</v>
      </c>
      <c r="EN11" s="74">
        <f t="shared" si="17"/>
        <v>0</v>
      </c>
      <c r="EO11" s="74">
        <f t="shared" si="17"/>
        <v>0</v>
      </c>
      <c r="EP11" s="74">
        <f t="shared" si="17"/>
        <v>0</v>
      </c>
      <c r="EQ11" s="74">
        <f t="shared" si="17"/>
        <v>0</v>
      </c>
      <c r="ER11" s="74">
        <f t="shared" si="17"/>
        <v>0</v>
      </c>
      <c r="ES11" s="74">
        <f t="shared" si="17"/>
        <v>0</v>
      </c>
    </row>
    <row r="12" spans="1:165">
      <c r="A12" s="63"/>
      <c r="B12" s="60" t="s">
        <v>622</v>
      </c>
      <c r="C12" s="60">
        <v>1</v>
      </c>
      <c r="D12" s="64">
        <f>D5</f>
        <v>105.98</v>
      </c>
      <c r="E12" s="60">
        <f>D12*C12</f>
        <v>105.98</v>
      </c>
      <c r="F12" s="65">
        <f>E12/E2</f>
        <v>0.74013548432153087</v>
      </c>
      <c r="G12" s="60">
        <v>1</v>
      </c>
      <c r="H12" s="74">
        <f>$F$12*H7</f>
        <v>0</v>
      </c>
      <c r="I12" s="74">
        <f t="shared" ref="I12:BC12" si="18">$F$12*I7</f>
        <v>0</v>
      </c>
      <c r="J12" s="74">
        <f t="shared" si="18"/>
        <v>0</v>
      </c>
      <c r="K12" s="74">
        <f t="shared" si="18"/>
        <v>0</v>
      </c>
      <c r="L12" s="74">
        <f t="shared" si="18"/>
        <v>0</v>
      </c>
      <c r="M12" s="74">
        <f t="shared" si="18"/>
        <v>0</v>
      </c>
      <c r="N12" s="74">
        <f t="shared" si="18"/>
        <v>0</v>
      </c>
      <c r="O12" s="74">
        <f t="shared" si="18"/>
        <v>0</v>
      </c>
      <c r="P12" s="74">
        <f t="shared" si="18"/>
        <v>0</v>
      </c>
      <c r="Q12" s="74">
        <f t="shared" si="18"/>
        <v>0</v>
      </c>
      <c r="R12" s="74">
        <f t="shared" si="18"/>
        <v>0</v>
      </c>
      <c r="S12" s="74">
        <f t="shared" si="18"/>
        <v>0</v>
      </c>
      <c r="T12" s="74">
        <f t="shared" si="18"/>
        <v>0</v>
      </c>
      <c r="U12" s="74">
        <f t="shared" si="18"/>
        <v>0</v>
      </c>
      <c r="V12" s="74">
        <f t="shared" si="18"/>
        <v>0</v>
      </c>
      <c r="W12" s="74">
        <f t="shared" si="18"/>
        <v>0</v>
      </c>
      <c r="X12" s="74">
        <f t="shared" si="18"/>
        <v>0</v>
      </c>
      <c r="Y12" s="74">
        <f t="shared" si="18"/>
        <v>0</v>
      </c>
      <c r="Z12" s="74">
        <f t="shared" si="18"/>
        <v>0</v>
      </c>
      <c r="AA12" s="74">
        <f t="shared" si="18"/>
        <v>0</v>
      </c>
      <c r="AB12" s="74">
        <f t="shared" si="18"/>
        <v>0</v>
      </c>
      <c r="AC12" s="74">
        <f t="shared" si="18"/>
        <v>0</v>
      </c>
      <c r="AD12" s="74">
        <f t="shared" si="18"/>
        <v>0</v>
      </c>
      <c r="AE12" s="74">
        <f t="shared" si="18"/>
        <v>0</v>
      </c>
      <c r="AF12" s="74">
        <f t="shared" si="18"/>
        <v>0</v>
      </c>
      <c r="AG12" s="74">
        <f t="shared" si="18"/>
        <v>0</v>
      </c>
      <c r="AH12" s="74">
        <f t="shared" si="18"/>
        <v>0</v>
      </c>
      <c r="AI12" s="74">
        <f t="shared" si="18"/>
        <v>0</v>
      </c>
      <c r="AJ12" s="74">
        <f t="shared" si="18"/>
        <v>0</v>
      </c>
      <c r="AK12" s="74">
        <f t="shared" si="18"/>
        <v>0</v>
      </c>
      <c r="AL12" s="74">
        <f t="shared" si="18"/>
        <v>0</v>
      </c>
      <c r="AM12" s="74">
        <f t="shared" si="18"/>
        <v>0</v>
      </c>
      <c r="AN12" s="74">
        <f t="shared" si="18"/>
        <v>0</v>
      </c>
      <c r="AO12" s="74">
        <f t="shared" si="18"/>
        <v>0</v>
      </c>
      <c r="AP12" s="74">
        <f t="shared" si="18"/>
        <v>0</v>
      </c>
      <c r="AQ12" s="74">
        <f t="shared" si="18"/>
        <v>0</v>
      </c>
      <c r="AR12" s="74">
        <f t="shared" si="18"/>
        <v>0</v>
      </c>
      <c r="AS12" s="74">
        <f t="shared" si="18"/>
        <v>0</v>
      </c>
      <c r="AT12" s="74">
        <f t="shared" si="18"/>
        <v>0</v>
      </c>
      <c r="AU12" s="74">
        <f t="shared" si="18"/>
        <v>0</v>
      </c>
      <c r="AV12" s="74">
        <f t="shared" si="18"/>
        <v>0</v>
      </c>
      <c r="AW12" s="74">
        <f t="shared" si="18"/>
        <v>0</v>
      </c>
      <c r="AX12" s="74">
        <f t="shared" si="18"/>
        <v>0</v>
      </c>
      <c r="AY12" s="74">
        <f t="shared" si="18"/>
        <v>0</v>
      </c>
      <c r="AZ12" s="74">
        <f t="shared" si="18"/>
        <v>0</v>
      </c>
      <c r="BA12" s="74">
        <f t="shared" si="18"/>
        <v>0</v>
      </c>
      <c r="BB12" s="74">
        <f t="shared" si="18"/>
        <v>0</v>
      </c>
      <c r="BC12" s="74">
        <f t="shared" si="18"/>
        <v>0</v>
      </c>
      <c r="BD12" s="74">
        <f t="shared" ref="BD12:BI12" si="19">$F$12*BD7</f>
        <v>0</v>
      </c>
      <c r="BE12" s="74">
        <f t="shared" si="19"/>
        <v>0</v>
      </c>
      <c r="BF12" s="74">
        <f t="shared" si="19"/>
        <v>0</v>
      </c>
      <c r="BG12" s="74">
        <f t="shared" si="19"/>
        <v>0</v>
      </c>
      <c r="BH12" s="74">
        <f t="shared" si="19"/>
        <v>0</v>
      </c>
      <c r="BI12" s="74">
        <f t="shared" si="19"/>
        <v>0</v>
      </c>
      <c r="BJ12" s="74">
        <f>$F$12*BJ7</f>
        <v>0</v>
      </c>
      <c r="BK12" s="74">
        <f>$F$12*BK7</f>
        <v>0</v>
      </c>
      <c r="BL12" s="74">
        <f>$F$12*BL7</f>
        <v>0</v>
      </c>
      <c r="BM12" s="74">
        <f>$F$12*BM7</f>
        <v>0</v>
      </c>
      <c r="BN12" s="74">
        <f t="shared" ref="BN12:BU12" si="20">$F$12*BN7</f>
        <v>0</v>
      </c>
      <c r="BO12" s="74">
        <f t="shared" si="20"/>
        <v>0</v>
      </c>
      <c r="BP12" s="74">
        <f t="shared" si="20"/>
        <v>0</v>
      </c>
      <c r="BQ12" s="74">
        <f t="shared" si="20"/>
        <v>0</v>
      </c>
      <c r="BR12" s="74">
        <f t="shared" si="20"/>
        <v>0</v>
      </c>
      <c r="BS12" s="74">
        <f t="shared" si="20"/>
        <v>0</v>
      </c>
      <c r="BT12" s="74">
        <f t="shared" si="20"/>
        <v>0</v>
      </c>
      <c r="BU12" s="74">
        <f t="shared" si="20"/>
        <v>0</v>
      </c>
      <c r="BV12" s="74">
        <f>$F$12*BV7</f>
        <v>0</v>
      </c>
      <c r="BW12" s="74">
        <f>$F$12*BW7</f>
        <v>0</v>
      </c>
      <c r="BX12" s="74">
        <f>$F$12*BX7</f>
        <v>0</v>
      </c>
      <c r="BY12" s="74">
        <f>$F$12*BY7</f>
        <v>0</v>
      </c>
      <c r="BZ12" s="74">
        <f>$F$12*BZ7</f>
        <v>0</v>
      </c>
      <c r="CA12" s="74">
        <f t="shared" ref="CA12:CG12" si="21">$F$12*CA7</f>
        <v>0</v>
      </c>
      <c r="CB12" s="74">
        <f t="shared" si="21"/>
        <v>0</v>
      </c>
      <c r="CC12" s="74">
        <f t="shared" si="21"/>
        <v>0</v>
      </c>
      <c r="CD12" s="74">
        <f t="shared" si="21"/>
        <v>0</v>
      </c>
      <c r="CE12" s="74">
        <f t="shared" si="21"/>
        <v>0</v>
      </c>
      <c r="CF12" s="74">
        <f t="shared" si="21"/>
        <v>0</v>
      </c>
      <c r="CG12" s="74">
        <f t="shared" si="21"/>
        <v>0</v>
      </c>
      <c r="CH12" s="74">
        <f t="shared" ref="CH12:CS12" si="22">$F$12*CH7</f>
        <v>0</v>
      </c>
      <c r="CI12" s="74">
        <f t="shared" si="22"/>
        <v>0</v>
      </c>
      <c r="CJ12" s="74">
        <f t="shared" si="22"/>
        <v>0</v>
      </c>
      <c r="CK12" s="74">
        <f t="shared" si="22"/>
        <v>0</v>
      </c>
      <c r="CL12" s="74">
        <f t="shared" si="22"/>
        <v>0</v>
      </c>
      <c r="CM12" s="74">
        <f t="shared" si="22"/>
        <v>0</v>
      </c>
      <c r="CN12" s="74">
        <f t="shared" si="22"/>
        <v>0</v>
      </c>
      <c r="CO12" s="74">
        <f t="shared" si="22"/>
        <v>0</v>
      </c>
      <c r="CP12" s="74">
        <f t="shared" si="22"/>
        <v>0</v>
      </c>
      <c r="CQ12" s="74">
        <f t="shared" si="22"/>
        <v>0</v>
      </c>
      <c r="CR12" s="74">
        <f t="shared" si="22"/>
        <v>0</v>
      </c>
      <c r="CS12" s="74">
        <f t="shared" si="22"/>
        <v>0</v>
      </c>
      <c r="CT12" s="74">
        <f t="shared" ref="CT12:ES12" si="23">$F$12*CT7</f>
        <v>0</v>
      </c>
      <c r="CU12" s="74">
        <f t="shared" si="23"/>
        <v>0</v>
      </c>
      <c r="CV12" s="74">
        <f t="shared" si="23"/>
        <v>0</v>
      </c>
      <c r="CW12" s="74">
        <f t="shared" si="23"/>
        <v>0</v>
      </c>
      <c r="CX12" s="74">
        <f t="shared" si="23"/>
        <v>0</v>
      </c>
      <c r="CY12" s="74">
        <f t="shared" si="23"/>
        <v>0</v>
      </c>
      <c r="CZ12" s="74">
        <f t="shared" si="23"/>
        <v>0</v>
      </c>
      <c r="DA12" s="74">
        <f t="shared" si="23"/>
        <v>0</v>
      </c>
      <c r="DB12" s="74">
        <f t="shared" si="23"/>
        <v>0</v>
      </c>
      <c r="DC12" s="74">
        <f t="shared" si="23"/>
        <v>0</v>
      </c>
      <c r="DD12" s="74">
        <f t="shared" si="23"/>
        <v>0</v>
      </c>
      <c r="DE12" s="74">
        <f t="shared" si="23"/>
        <v>0</v>
      </c>
      <c r="DF12" s="74">
        <f t="shared" si="23"/>
        <v>0</v>
      </c>
      <c r="DG12" s="74">
        <f t="shared" si="23"/>
        <v>0</v>
      </c>
      <c r="DH12" s="74">
        <f t="shared" si="23"/>
        <v>0</v>
      </c>
      <c r="DI12" s="74">
        <f t="shared" si="23"/>
        <v>0</v>
      </c>
      <c r="DJ12" s="74">
        <f t="shared" si="23"/>
        <v>0</v>
      </c>
      <c r="DK12" s="74">
        <f t="shared" si="23"/>
        <v>0</v>
      </c>
      <c r="DL12" s="74">
        <f t="shared" si="23"/>
        <v>0</v>
      </c>
      <c r="DM12" s="74">
        <f t="shared" si="23"/>
        <v>0</v>
      </c>
      <c r="DN12" s="74">
        <f t="shared" si="23"/>
        <v>0</v>
      </c>
      <c r="DO12" s="74">
        <f t="shared" si="23"/>
        <v>0</v>
      </c>
      <c r="DP12" s="74">
        <f t="shared" si="23"/>
        <v>0</v>
      </c>
      <c r="DQ12" s="74">
        <f t="shared" si="23"/>
        <v>0</v>
      </c>
      <c r="DR12" s="74">
        <f t="shared" si="23"/>
        <v>0</v>
      </c>
      <c r="DS12" s="74">
        <f t="shared" si="23"/>
        <v>0</v>
      </c>
      <c r="DT12" s="74">
        <f t="shared" si="23"/>
        <v>0</v>
      </c>
      <c r="DU12" s="74">
        <f t="shared" si="23"/>
        <v>0</v>
      </c>
      <c r="DV12" s="74">
        <f t="shared" si="23"/>
        <v>0</v>
      </c>
      <c r="DW12" s="74">
        <f t="shared" si="23"/>
        <v>0</v>
      </c>
      <c r="DX12" s="74">
        <f t="shared" si="23"/>
        <v>0</v>
      </c>
      <c r="DY12" s="74">
        <f t="shared" si="23"/>
        <v>0</v>
      </c>
      <c r="DZ12" s="74">
        <f t="shared" si="23"/>
        <v>0</v>
      </c>
      <c r="EA12" s="74">
        <f t="shared" si="23"/>
        <v>0</v>
      </c>
      <c r="EB12" s="74">
        <f t="shared" si="23"/>
        <v>0</v>
      </c>
      <c r="EC12" s="74">
        <f t="shared" si="23"/>
        <v>0</v>
      </c>
      <c r="ED12" s="74">
        <f t="shared" si="23"/>
        <v>0</v>
      </c>
      <c r="EE12" s="74">
        <f t="shared" si="23"/>
        <v>0</v>
      </c>
      <c r="EF12" s="74">
        <f t="shared" si="23"/>
        <v>0</v>
      </c>
      <c r="EG12" s="74">
        <f t="shared" si="23"/>
        <v>0</v>
      </c>
      <c r="EH12" s="74">
        <f t="shared" si="23"/>
        <v>0</v>
      </c>
      <c r="EI12" s="74">
        <f t="shared" si="23"/>
        <v>0</v>
      </c>
      <c r="EJ12" s="74">
        <f t="shared" si="23"/>
        <v>0</v>
      </c>
      <c r="EK12" s="74">
        <f t="shared" si="23"/>
        <v>0</v>
      </c>
      <c r="EL12" s="74">
        <f t="shared" si="23"/>
        <v>0</v>
      </c>
      <c r="EM12" s="74">
        <f t="shared" si="23"/>
        <v>0</v>
      </c>
      <c r="EN12" s="74">
        <f t="shared" si="23"/>
        <v>0</v>
      </c>
      <c r="EO12" s="74">
        <f t="shared" si="23"/>
        <v>0</v>
      </c>
      <c r="EP12" s="74">
        <f t="shared" si="23"/>
        <v>0</v>
      </c>
      <c r="EQ12" s="74">
        <f t="shared" si="23"/>
        <v>0</v>
      </c>
      <c r="ER12" s="74">
        <f t="shared" si="23"/>
        <v>0</v>
      </c>
      <c r="ES12" s="74">
        <f t="shared" si="23"/>
        <v>0</v>
      </c>
    </row>
    <row r="13" spans="1:165">
      <c r="A13" s="59"/>
      <c r="B13" s="59"/>
      <c r="C13" s="59"/>
      <c r="D13" s="59"/>
      <c r="E13" s="59"/>
      <c r="F13" s="59" t="s">
        <v>400</v>
      </c>
      <c r="G13" s="59"/>
      <c r="H13" s="94">
        <f>SUM(H9:H12)</f>
        <v>1.6199736200147572</v>
      </c>
      <c r="I13" s="94">
        <f t="shared" ref="I13:BC13" si="24">SUM(I9:I12)</f>
        <v>1.615704198434327</v>
      </c>
      <c r="J13" s="94">
        <f t="shared" si="24"/>
        <v>1.6112424102067511</v>
      </c>
      <c r="K13" s="94">
        <f t="shared" si="24"/>
        <v>1.4995576876952943</v>
      </c>
      <c r="L13" s="94">
        <f t="shared" si="24"/>
        <v>1.5624585668434838</v>
      </c>
      <c r="M13" s="94">
        <f t="shared" si="24"/>
        <v>1.5487747923535622</v>
      </c>
      <c r="N13" s="94">
        <f t="shared" si="24"/>
        <v>1.5483667996516794</v>
      </c>
      <c r="O13" s="94">
        <f t="shared" si="24"/>
        <v>1.5044669558442485</v>
      </c>
      <c r="P13" s="94">
        <f t="shared" si="24"/>
        <v>1.4427128656816084</v>
      </c>
      <c r="Q13" s="94">
        <f t="shared" si="24"/>
        <v>1.6351837498681321</v>
      </c>
      <c r="R13" s="94">
        <f t="shared" si="24"/>
        <v>1.7548740505584595</v>
      </c>
      <c r="S13" s="94">
        <f t="shared" si="24"/>
        <v>1.7671282685805925</v>
      </c>
      <c r="T13" s="94">
        <f t="shared" si="24"/>
        <v>2.6539558426297862</v>
      </c>
      <c r="U13" s="94">
        <f t="shared" si="24"/>
        <v>2.7265132378786969</v>
      </c>
      <c r="V13" s="94">
        <f t="shared" si="24"/>
        <v>2.7577036387474769</v>
      </c>
      <c r="W13" s="94">
        <f t="shared" si="24"/>
        <v>1.5624369609097415</v>
      </c>
      <c r="X13" s="94">
        <f t="shared" si="24"/>
        <v>1.7471087881727265</v>
      </c>
      <c r="Y13" s="94">
        <f t="shared" si="24"/>
        <v>1.8572872346481317</v>
      </c>
      <c r="Z13" s="94">
        <f t="shared" si="24"/>
        <v>1.6415057183185762</v>
      </c>
      <c r="AA13" s="94">
        <f t="shared" si="24"/>
        <v>1.6663847781512993</v>
      </c>
      <c r="AB13" s="94">
        <f t="shared" si="24"/>
        <v>1.667248863822347</v>
      </c>
      <c r="AC13" s="94">
        <f t="shared" si="24"/>
        <v>2.1854729126845269</v>
      </c>
      <c r="AD13" s="94">
        <f t="shared" si="24"/>
        <v>2.1392335008091257</v>
      </c>
      <c r="AE13" s="94">
        <f t="shared" si="24"/>
        <v>2.2606464808817615</v>
      </c>
      <c r="AF13" s="94">
        <f t="shared" si="24"/>
        <v>2.6587977414582014</v>
      </c>
      <c r="AG13" s="94">
        <f t="shared" si="24"/>
        <v>2.7386848546671669</v>
      </c>
      <c r="AH13" s="94">
        <f t="shared" si="24"/>
        <v>2.4123755802827667</v>
      </c>
      <c r="AI13" s="94">
        <f t="shared" si="24"/>
        <v>2.2333186980477326</v>
      </c>
      <c r="AJ13" s="94">
        <f t="shared" si="24"/>
        <v>2.5472057489499589</v>
      </c>
      <c r="AK13" s="94">
        <f t="shared" si="24"/>
        <v>2.5729738297398224</v>
      </c>
      <c r="AL13" s="94">
        <f t="shared" si="24"/>
        <v>2.7641563079101674</v>
      </c>
      <c r="AM13" s="94">
        <f t="shared" si="24"/>
        <v>2.5931853216782677</v>
      </c>
      <c r="AN13" s="94">
        <f t="shared" si="24"/>
        <v>2.2858670804015206</v>
      </c>
      <c r="AO13" s="94">
        <f t="shared" si="24"/>
        <v>2.3111933956801867</v>
      </c>
      <c r="AP13" s="94">
        <f t="shared" si="24"/>
        <v>2.3040457827315461</v>
      </c>
      <c r="AQ13" s="94">
        <f t="shared" si="24"/>
        <v>2.3331223612103793</v>
      </c>
      <c r="AR13" s="94">
        <f t="shared" si="24"/>
        <v>2.4807439509945164</v>
      </c>
      <c r="AS13" s="94">
        <f t="shared" si="24"/>
        <v>2.0725015487394369</v>
      </c>
      <c r="AT13" s="94">
        <f t="shared" si="24"/>
        <v>1.9892829105384455</v>
      </c>
      <c r="AU13" s="94">
        <f t="shared" si="24"/>
        <v>1.8951581814372513</v>
      </c>
      <c r="AV13" s="94">
        <f t="shared" si="24"/>
        <v>1.8863572875200783</v>
      </c>
      <c r="AW13" s="94">
        <f t="shared" si="24"/>
        <v>1.8956086318877015</v>
      </c>
      <c r="AX13" s="94">
        <f t="shared" si="24"/>
        <v>1.8912081849291149</v>
      </c>
      <c r="AY13" s="94">
        <f t="shared" si="24"/>
        <v>1.8912081849291149</v>
      </c>
      <c r="AZ13" s="94">
        <f t="shared" si="24"/>
        <v>2.0433759340736084</v>
      </c>
      <c r="BA13" s="94">
        <f t="shared" si="24"/>
        <v>2.0433759340736084</v>
      </c>
      <c r="BB13" s="94">
        <f t="shared" si="24"/>
        <v>2.0433759340736084</v>
      </c>
      <c r="BC13" s="94">
        <f t="shared" si="24"/>
        <v>1.8643550527271457</v>
      </c>
      <c r="BD13" s="94">
        <f t="shared" ref="BD13:BI13" si="25">SUM(BD9:BD12)</f>
        <v>1.8643550527271457</v>
      </c>
      <c r="BE13" s="94">
        <f t="shared" si="25"/>
        <v>1.8643550527271457</v>
      </c>
      <c r="BF13" s="94">
        <f t="shared" si="25"/>
        <v>1.8643550527271457</v>
      </c>
      <c r="BG13" s="94">
        <f t="shared" si="25"/>
        <v>1.9180613171310845</v>
      </c>
      <c r="BH13" s="94">
        <f t="shared" si="25"/>
        <v>1.9180613171310845</v>
      </c>
      <c r="BI13" s="94">
        <f t="shared" si="25"/>
        <v>1.8285508764578533</v>
      </c>
      <c r="BJ13" s="94">
        <f>SUM(BJ9:BJ12)</f>
        <v>1.8285508764578533</v>
      </c>
      <c r="BK13" s="94">
        <f>SUM(BK9:BK12)</f>
        <v>1.846152664292199</v>
      </c>
      <c r="BL13" s="94">
        <f>SUM(BL9:BL12)</f>
        <v>1.846152664292199</v>
      </c>
      <c r="BM13" s="94">
        <f>SUM(BM9:BM12)</f>
        <v>1.9114414414414416</v>
      </c>
      <c r="BN13" s="94">
        <f t="shared" ref="BN13:BU13" si="26">SUM(BN9:BN12)</f>
        <v>1.9114414414414416</v>
      </c>
      <c r="BO13" s="94">
        <f t="shared" si="26"/>
        <v>1.8666862211048256</v>
      </c>
      <c r="BP13" s="94">
        <f t="shared" si="26"/>
        <v>1.8666862211048256</v>
      </c>
      <c r="BQ13" s="94">
        <f t="shared" si="26"/>
        <v>1.8666862211048256</v>
      </c>
      <c r="BR13" s="94">
        <f t="shared" si="26"/>
        <v>1.8666862211048256</v>
      </c>
      <c r="BS13" s="94">
        <f t="shared" si="26"/>
        <v>1.8666862211048256</v>
      </c>
      <c r="BT13" s="94">
        <f t="shared" si="26"/>
        <v>1.8756372651721489</v>
      </c>
      <c r="BU13" s="94">
        <f t="shared" si="26"/>
        <v>1.8756372651721489</v>
      </c>
      <c r="BV13" s="94">
        <f>SUM(BV9:BV12)</f>
        <v>1.8800377121307354</v>
      </c>
      <c r="BW13" s="94">
        <f>SUM(BW9:BW12)</f>
        <v>1.8800377121307354</v>
      </c>
      <c r="BX13" s="94">
        <f>SUM(BX9:BX12)</f>
        <v>1.8800377121307354</v>
      </c>
      <c r="BY13" s="94">
        <f>SUM(BY9:BY12)</f>
        <v>1.8800377121307354</v>
      </c>
      <c r="BZ13" s="94">
        <f>SUM(BZ9:BZ12)</f>
        <v>1.8800377121307354</v>
      </c>
      <c r="CA13" s="94">
        <f t="shared" ref="CA13:CG13" si="27">SUM(CA9:CA12)</f>
        <v>1.8800377121307354</v>
      </c>
      <c r="CB13" s="94">
        <f t="shared" si="27"/>
        <v>1.9605971087366436</v>
      </c>
      <c r="CC13" s="94">
        <f t="shared" si="27"/>
        <v>1.9605971087366436</v>
      </c>
      <c r="CD13" s="94">
        <f t="shared" si="27"/>
        <v>1.9605971087366436</v>
      </c>
      <c r="CE13" s="94">
        <f t="shared" si="27"/>
        <v>1.9605971087366436</v>
      </c>
      <c r="CF13" s="94">
        <f t="shared" si="27"/>
        <v>1.9605971087366436</v>
      </c>
      <c r="CG13" s="94">
        <f t="shared" si="27"/>
        <v>1.9605971087366436</v>
      </c>
      <c r="CH13" s="94">
        <f t="shared" ref="CH13:CS13" si="28">SUM(CH9:CH12)</f>
        <v>1.9605971087366436</v>
      </c>
      <c r="CI13" s="94">
        <f t="shared" si="28"/>
        <v>1.9337439765346742</v>
      </c>
      <c r="CJ13" s="94">
        <f t="shared" si="28"/>
        <v>1.8800377121307354</v>
      </c>
      <c r="CK13" s="94">
        <f t="shared" si="28"/>
        <v>1.8800377121307354</v>
      </c>
      <c r="CL13" s="94">
        <f t="shared" si="28"/>
        <v>1.8800377121307354</v>
      </c>
      <c r="CM13" s="94">
        <f t="shared" si="28"/>
        <v>1.8800377121307354</v>
      </c>
      <c r="CN13" s="94">
        <f t="shared" si="28"/>
        <v>1.8800377121307354</v>
      </c>
      <c r="CO13" s="94">
        <f t="shared" si="28"/>
        <v>1.8800377121307354</v>
      </c>
      <c r="CP13" s="94">
        <f t="shared" si="28"/>
        <v>1.8800377121307354</v>
      </c>
      <c r="CQ13" s="94">
        <f t="shared" si="28"/>
        <v>1.8800377121307354</v>
      </c>
      <c r="CR13" s="94">
        <f t="shared" si="28"/>
        <v>1.8800377121307354</v>
      </c>
      <c r="CS13" s="94">
        <f t="shared" si="28"/>
        <v>1.8800377121307354</v>
      </c>
      <c r="CT13" s="94">
        <f t="shared" ref="CT13:ES13" si="29">SUM(CT9:CT12)</f>
        <v>1.8800377121307354</v>
      </c>
      <c r="CU13" s="94">
        <f t="shared" si="29"/>
        <v>1.8800377121307354</v>
      </c>
      <c r="CV13" s="94">
        <f t="shared" si="29"/>
        <v>1.8800377121307354</v>
      </c>
      <c r="CW13" s="94">
        <f t="shared" si="29"/>
        <v>1.8800377121307354</v>
      </c>
      <c r="CX13" s="94">
        <f t="shared" si="29"/>
        <v>1.8800377121307354</v>
      </c>
      <c r="CY13" s="94">
        <f t="shared" si="29"/>
        <v>1.8800377121307354</v>
      </c>
      <c r="CZ13" s="94">
        <f t="shared" si="29"/>
        <v>1.8800377121307354</v>
      </c>
      <c r="DA13" s="94">
        <f t="shared" si="29"/>
        <v>1.8800377121307354</v>
      </c>
      <c r="DB13" s="94">
        <f t="shared" si="29"/>
        <v>1.8800377121307354</v>
      </c>
      <c r="DC13" s="94">
        <f t="shared" si="29"/>
        <v>1.8800377121307354</v>
      </c>
      <c r="DD13" s="94">
        <f t="shared" si="29"/>
        <v>1.8800377121307354</v>
      </c>
      <c r="DE13" s="94">
        <f t="shared" si="29"/>
        <v>1.8800377121307354</v>
      </c>
      <c r="DF13" s="94">
        <f t="shared" si="29"/>
        <v>1.8800377121307354</v>
      </c>
      <c r="DG13" s="94">
        <f t="shared" si="29"/>
        <v>1.9784991968712897</v>
      </c>
      <c r="DH13" s="94">
        <f t="shared" si="29"/>
        <v>1.9784991968712897</v>
      </c>
      <c r="DI13" s="94">
        <f t="shared" si="29"/>
        <v>1.9784991968712897</v>
      </c>
      <c r="DJ13" s="94">
        <f t="shared" si="29"/>
        <v>1.9784991968712897</v>
      </c>
      <c r="DK13" s="94">
        <f t="shared" si="29"/>
        <v>1.9784991968712897</v>
      </c>
      <c r="DL13" s="94">
        <f t="shared" si="29"/>
        <v>2.0501075494098751</v>
      </c>
      <c r="DM13" s="94">
        <f t="shared" si="29"/>
        <v>2.0501075494098751</v>
      </c>
      <c r="DN13" s="94">
        <f t="shared" si="29"/>
        <v>2.0501075494098751</v>
      </c>
      <c r="DO13" s="94">
        <f t="shared" si="29"/>
        <v>2.0501075494098751</v>
      </c>
      <c r="DP13" s="94">
        <f t="shared" si="29"/>
        <v>2.0501075494098751</v>
      </c>
      <c r="DQ13" s="94">
        <f t="shared" si="29"/>
        <v>2.0501075494098751</v>
      </c>
      <c r="DR13" s="94">
        <f t="shared" si="29"/>
        <v>1.7831713108457294</v>
      </c>
      <c r="DS13" s="94">
        <f t="shared" si="29"/>
        <v>0</v>
      </c>
      <c r="DT13" s="94">
        <f t="shared" si="29"/>
        <v>0</v>
      </c>
      <c r="DU13" s="94">
        <f t="shared" si="29"/>
        <v>0</v>
      </c>
      <c r="DV13" s="94">
        <f t="shared" si="29"/>
        <v>0</v>
      </c>
      <c r="DW13" s="94">
        <f t="shared" si="29"/>
        <v>0</v>
      </c>
      <c r="DX13" s="94">
        <f t="shared" si="29"/>
        <v>0</v>
      </c>
      <c r="DY13" s="94">
        <f t="shared" si="29"/>
        <v>0</v>
      </c>
      <c r="DZ13" s="94">
        <f t="shared" si="29"/>
        <v>0</v>
      </c>
      <c r="EA13" s="94">
        <f t="shared" si="29"/>
        <v>0</v>
      </c>
      <c r="EB13" s="94">
        <f t="shared" si="29"/>
        <v>0</v>
      </c>
      <c r="EC13" s="94">
        <f t="shared" si="29"/>
        <v>0</v>
      </c>
      <c r="ED13" s="94">
        <f t="shared" si="29"/>
        <v>0</v>
      </c>
      <c r="EE13" s="94">
        <f t="shared" si="29"/>
        <v>0</v>
      </c>
      <c r="EF13" s="94">
        <f t="shared" si="29"/>
        <v>0</v>
      </c>
      <c r="EG13" s="94">
        <f t="shared" si="29"/>
        <v>0</v>
      </c>
      <c r="EH13" s="94">
        <f t="shared" si="29"/>
        <v>0</v>
      </c>
      <c r="EI13" s="94">
        <f t="shared" si="29"/>
        <v>0</v>
      </c>
      <c r="EJ13" s="94">
        <f t="shared" si="29"/>
        <v>0</v>
      </c>
      <c r="EK13" s="94">
        <f t="shared" si="29"/>
        <v>0</v>
      </c>
      <c r="EL13" s="94">
        <f t="shared" si="29"/>
        <v>0</v>
      </c>
      <c r="EM13" s="94">
        <f t="shared" si="29"/>
        <v>0</v>
      </c>
      <c r="EN13" s="94">
        <f t="shared" si="29"/>
        <v>0</v>
      </c>
      <c r="EO13" s="94">
        <f t="shared" si="29"/>
        <v>0</v>
      </c>
      <c r="EP13" s="94">
        <f t="shared" si="29"/>
        <v>0</v>
      </c>
      <c r="EQ13" s="94">
        <f t="shared" si="29"/>
        <v>0</v>
      </c>
      <c r="ER13" s="94">
        <f t="shared" si="29"/>
        <v>0</v>
      </c>
      <c r="ES13" s="94">
        <f t="shared" si="29"/>
        <v>0</v>
      </c>
    </row>
    <row r="18" spans="1:5">
      <c r="E18" s="65"/>
    </row>
    <row r="19" spans="1:5">
      <c r="A19" s="63"/>
      <c r="C19" s="65"/>
      <c r="D19" s="78"/>
    </row>
    <row r="20" spans="1:5">
      <c r="A20" s="62"/>
      <c r="C20" s="65"/>
      <c r="D20" s="78"/>
    </row>
    <row r="21" spans="1:5">
      <c r="A21" s="62"/>
      <c r="C21" s="65"/>
      <c r="D21" s="78"/>
    </row>
    <row r="22" spans="1:5">
      <c r="A22" s="62"/>
      <c r="C22" s="65"/>
      <c r="D22" s="78"/>
    </row>
    <row r="24" spans="1:5">
      <c r="D24" s="65"/>
    </row>
  </sheetData>
  <phoneticPr fontId="52" type="noConversion"/>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4"/>
  <dimension ref="A1:EK20"/>
  <sheetViews>
    <sheetView workbookViewId="0">
      <pane xSplit="9" ySplit="4" topLeftCell="DM5" activePane="bottomRight" state="frozen"/>
      <selection pane="topRight" activeCell="J1" sqref="J1"/>
      <selection pane="bottomLeft" activeCell="A5" sqref="A5"/>
      <selection pane="bottomRight" activeCell="I12" sqref="I12:DX12"/>
    </sheetView>
  </sheetViews>
  <sheetFormatPr baseColWidth="10" defaultColWidth="8.6640625" defaultRowHeight="12"/>
  <cols>
    <col min="1" max="1" width="13.5" style="60" bestFit="1" customWidth="1"/>
    <col min="2" max="2" width="11.33203125" style="60" bestFit="1" customWidth="1"/>
    <col min="3" max="3" width="7.1640625" style="60" bestFit="1" customWidth="1"/>
    <col min="4" max="4" width="12.5" style="60" bestFit="1" customWidth="1"/>
    <col min="5" max="5" width="12.1640625" style="60" bestFit="1" customWidth="1"/>
    <col min="6" max="6" width="7.83203125" style="60" bestFit="1" customWidth="1"/>
    <col min="7" max="7" width="20.5" style="60" bestFit="1" customWidth="1"/>
    <col min="8" max="9" width="5.5" style="60" bestFit="1" customWidth="1"/>
    <col min="10" max="10" width="5.83203125" style="60" bestFit="1" customWidth="1"/>
    <col min="11" max="11" width="5.5" style="60" bestFit="1" customWidth="1"/>
    <col min="12" max="12" width="6.1640625" style="60" bestFit="1" customWidth="1"/>
    <col min="13" max="14" width="5.5" style="60" bestFit="1" customWidth="1"/>
    <col min="15" max="15" width="5.6640625" style="60" bestFit="1" customWidth="1"/>
    <col min="16" max="17" width="5.5" style="60" bestFit="1" customWidth="1"/>
    <col min="18" max="18" width="5.83203125" style="60" bestFit="1" customWidth="1"/>
    <col min="19" max="19" width="6.1640625" style="60" bestFit="1" customWidth="1"/>
    <col min="20" max="20" width="5.5" style="60" bestFit="1" customWidth="1"/>
    <col min="21" max="25" width="6.1640625" style="60" bestFit="1" customWidth="1"/>
    <col min="26" max="26" width="5.5" style="60" bestFit="1" customWidth="1"/>
    <col min="27" max="27" width="5.6640625" style="60" bestFit="1" customWidth="1"/>
    <col min="28" max="29" width="5.5" style="60" bestFit="1" customWidth="1"/>
    <col min="30" max="30" width="5.83203125" style="60" bestFit="1" customWidth="1"/>
    <col min="31" max="33" width="5.5" style="60" bestFit="1" customWidth="1"/>
    <col min="34" max="34" width="5.83203125" style="60" bestFit="1" customWidth="1"/>
    <col min="35" max="35" width="5.5" style="60" bestFit="1" customWidth="1"/>
    <col min="36" max="36" width="6.1640625" style="60" bestFit="1" customWidth="1"/>
    <col min="37" max="38" width="5.5" style="60" bestFit="1" customWidth="1"/>
    <col min="39" max="39" width="5.6640625" style="60" bestFit="1" customWidth="1"/>
    <col min="40" max="41" width="5.5" style="60" bestFit="1" customWidth="1"/>
    <col min="42" max="42" width="5.83203125" style="60" bestFit="1" customWidth="1"/>
    <col min="43" max="45" width="5.5" style="60" bestFit="1" customWidth="1"/>
    <col min="46" max="46" width="5.83203125" style="60" bestFit="1" customWidth="1"/>
    <col min="47" max="47" width="5.5" style="60" bestFit="1" customWidth="1"/>
    <col min="48" max="48" width="6.1640625" style="60" bestFit="1" customWidth="1"/>
    <col min="49" max="50" width="5.5" style="60" bestFit="1" customWidth="1"/>
    <col min="51" max="53" width="7.1640625" style="60" bestFit="1" customWidth="1"/>
    <col min="54" max="55" width="5.6640625" style="60" bestFit="1" customWidth="1"/>
    <col min="56" max="57" width="5.5" style="60" bestFit="1" customWidth="1"/>
    <col min="58" max="61" width="6.33203125" style="60" bestFit="1" customWidth="1"/>
    <col min="62" max="69" width="5.6640625" style="60" bestFit="1" customWidth="1"/>
    <col min="70" max="79" width="5.5" style="60" bestFit="1" customWidth="1"/>
    <col min="80" max="89" width="6.1640625" style="60" bestFit="1" customWidth="1"/>
    <col min="90" max="94" width="6.33203125" style="60" bestFit="1" customWidth="1"/>
    <col min="95" max="99" width="6.1640625" style="60" bestFit="1" customWidth="1"/>
    <col min="100" max="102" width="5.1640625" style="60" bestFit="1" customWidth="1"/>
    <col min="103" max="106" width="5.83203125" style="60" bestFit="1" customWidth="1"/>
    <col min="107" max="114" width="5.6640625" style="60" bestFit="1" customWidth="1"/>
    <col min="115" max="118" width="6.1640625" style="60" bestFit="1" customWidth="1"/>
    <col min="119" max="122" width="5.83203125" style="60" bestFit="1" customWidth="1"/>
    <col min="123" max="128" width="5.1640625" style="60" bestFit="1" customWidth="1"/>
    <col min="129" max="141" width="3.33203125" style="60" bestFit="1" customWidth="1"/>
    <col min="142" max="16384" width="8.6640625" style="60"/>
  </cols>
  <sheetData>
    <row r="1" spans="1:141">
      <c r="A1" s="59" t="s">
        <v>377</v>
      </c>
      <c r="B1" s="59" t="s">
        <v>378</v>
      </c>
      <c r="C1" s="59" t="s">
        <v>379</v>
      </c>
      <c r="D1" s="59" t="s">
        <v>380</v>
      </c>
      <c r="E1" s="59" t="s">
        <v>381</v>
      </c>
      <c r="F1" s="59" t="s">
        <v>33</v>
      </c>
      <c r="H1" s="61">
        <v>6</v>
      </c>
      <c r="I1" s="61">
        <v>7</v>
      </c>
      <c r="J1" s="61">
        <v>8</v>
      </c>
      <c r="K1" s="61">
        <v>9</v>
      </c>
      <c r="L1" s="61">
        <v>10</v>
      </c>
      <c r="M1" s="61">
        <v>11</v>
      </c>
      <c r="N1" s="61">
        <v>12</v>
      </c>
      <c r="O1" s="61">
        <v>13</v>
      </c>
      <c r="P1" s="61">
        <v>14</v>
      </c>
      <c r="Q1" s="61">
        <v>15</v>
      </c>
      <c r="R1" s="61">
        <v>16</v>
      </c>
      <c r="S1" s="61">
        <v>17</v>
      </c>
      <c r="T1" s="61">
        <v>18</v>
      </c>
      <c r="U1" s="61">
        <v>19</v>
      </c>
      <c r="V1" s="61">
        <v>20</v>
      </c>
      <c r="W1" s="61">
        <v>21</v>
      </c>
      <c r="X1" s="61">
        <v>22</v>
      </c>
      <c r="Y1" s="61">
        <v>23</v>
      </c>
      <c r="Z1" s="61">
        <v>24</v>
      </c>
      <c r="AA1" s="61">
        <v>25</v>
      </c>
      <c r="AB1" s="61">
        <v>26</v>
      </c>
      <c r="AC1" s="61">
        <v>27</v>
      </c>
      <c r="AD1" s="61">
        <v>28</v>
      </c>
      <c r="AE1" s="61">
        <v>29</v>
      </c>
      <c r="AF1" s="61">
        <v>30</v>
      </c>
      <c r="AG1" s="61">
        <v>31</v>
      </c>
      <c r="AH1" s="61">
        <v>32</v>
      </c>
      <c r="AI1" s="61">
        <v>33</v>
      </c>
      <c r="AJ1" s="61">
        <v>34</v>
      </c>
      <c r="AK1" s="61">
        <v>35</v>
      </c>
      <c r="AL1" s="61">
        <v>36</v>
      </c>
      <c r="AM1" s="61">
        <v>37</v>
      </c>
      <c r="AN1" s="61">
        <v>38</v>
      </c>
      <c r="AO1" s="61">
        <v>39</v>
      </c>
      <c r="AP1" s="61">
        <v>40</v>
      </c>
      <c r="AQ1" s="61">
        <v>41</v>
      </c>
      <c r="AR1" s="61">
        <v>42</v>
      </c>
      <c r="AS1" s="61">
        <v>43</v>
      </c>
      <c r="AT1" s="61">
        <v>44</v>
      </c>
      <c r="AU1" s="61">
        <v>45</v>
      </c>
      <c r="AV1" s="61">
        <v>46</v>
      </c>
      <c r="AW1" s="61">
        <v>47</v>
      </c>
      <c r="AX1" s="61">
        <v>48</v>
      </c>
      <c r="AY1" s="61">
        <v>49</v>
      </c>
      <c r="AZ1" s="61">
        <v>50</v>
      </c>
      <c r="BA1" s="61">
        <v>51</v>
      </c>
      <c r="BB1" s="61">
        <v>52</v>
      </c>
      <c r="BC1" s="61">
        <v>53</v>
      </c>
      <c r="BD1" s="61">
        <v>54</v>
      </c>
      <c r="BE1" s="61">
        <v>55</v>
      </c>
      <c r="BF1" s="61">
        <v>56</v>
      </c>
      <c r="BG1" s="61">
        <v>57</v>
      </c>
      <c r="BH1" s="61">
        <v>58</v>
      </c>
      <c r="BI1" s="61">
        <v>59</v>
      </c>
      <c r="BJ1" s="61">
        <v>60</v>
      </c>
      <c r="BK1" s="61">
        <v>61</v>
      </c>
      <c r="BL1" s="61">
        <v>62</v>
      </c>
      <c r="BM1" s="61">
        <v>63</v>
      </c>
      <c r="BN1" s="61">
        <v>64</v>
      </c>
      <c r="BO1" s="61">
        <v>65</v>
      </c>
      <c r="BP1" s="61">
        <v>66</v>
      </c>
      <c r="BQ1" s="61">
        <v>67</v>
      </c>
      <c r="BR1" s="61">
        <v>68</v>
      </c>
      <c r="BS1" s="61">
        <v>69</v>
      </c>
      <c r="BT1" s="61">
        <v>70</v>
      </c>
      <c r="BU1" s="61">
        <v>71</v>
      </c>
      <c r="BV1" s="61">
        <v>72</v>
      </c>
      <c r="BW1" s="61">
        <v>73</v>
      </c>
      <c r="BX1" s="61">
        <v>74</v>
      </c>
      <c r="BY1" s="61">
        <v>75</v>
      </c>
      <c r="BZ1" s="61">
        <v>76</v>
      </c>
      <c r="CA1" s="61">
        <v>77</v>
      </c>
      <c r="CB1" s="61">
        <v>78</v>
      </c>
      <c r="CC1" s="61">
        <v>79</v>
      </c>
      <c r="CD1" s="61">
        <v>80</v>
      </c>
      <c r="CE1" s="61">
        <v>81</v>
      </c>
      <c r="CF1" s="61">
        <v>82</v>
      </c>
      <c r="CG1" s="61">
        <v>83</v>
      </c>
      <c r="CH1" s="61">
        <v>84</v>
      </c>
      <c r="CI1" s="61">
        <v>85</v>
      </c>
      <c r="CJ1" s="61">
        <v>86</v>
      </c>
      <c r="CK1" s="61">
        <v>87</v>
      </c>
      <c r="CL1" s="61">
        <v>88</v>
      </c>
      <c r="CM1" s="61">
        <v>89</v>
      </c>
      <c r="CN1" s="61">
        <v>90</v>
      </c>
      <c r="CO1" s="61">
        <v>91</v>
      </c>
      <c r="CP1" s="61">
        <v>92</v>
      </c>
      <c r="CQ1" s="61">
        <v>93</v>
      </c>
      <c r="CR1" s="61">
        <v>94</v>
      </c>
      <c r="CS1" s="61">
        <v>95</v>
      </c>
      <c r="CT1" s="61">
        <v>96</v>
      </c>
      <c r="CU1" s="61">
        <v>97</v>
      </c>
      <c r="CV1" s="61">
        <v>98</v>
      </c>
      <c r="CW1" s="61">
        <v>99</v>
      </c>
      <c r="CX1" s="61">
        <v>100</v>
      </c>
      <c r="CY1" s="61">
        <v>101</v>
      </c>
      <c r="CZ1" s="61">
        <v>102</v>
      </c>
      <c r="DA1" s="61">
        <v>103</v>
      </c>
      <c r="DB1" s="61">
        <v>104</v>
      </c>
      <c r="DC1" s="61">
        <v>105</v>
      </c>
      <c r="DD1" s="61">
        <v>106</v>
      </c>
      <c r="DE1" s="61">
        <v>107</v>
      </c>
      <c r="DF1" s="61">
        <v>108</v>
      </c>
      <c r="DG1" s="61">
        <v>109</v>
      </c>
      <c r="DH1" s="61">
        <v>110</v>
      </c>
      <c r="DI1" s="61">
        <v>111</v>
      </c>
      <c r="DJ1" s="61">
        <v>112</v>
      </c>
      <c r="DK1" s="61">
        <v>113</v>
      </c>
      <c r="DL1" s="61">
        <v>114</v>
      </c>
      <c r="DM1" s="61">
        <v>115</v>
      </c>
      <c r="DN1" s="61">
        <v>116</v>
      </c>
      <c r="DO1" s="61">
        <v>117</v>
      </c>
      <c r="DP1" s="61">
        <v>118</v>
      </c>
      <c r="DQ1" s="61">
        <v>119</v>
      </c>
      <c r="DR1" s="61">
        <v>120</v>
      </c>
      <c r="DS1" s="61">
        <v>121</v>
      </c>
      <c r="DT1" s="61">
        <v>122</v>
      </c>
      <c r="DU1" s="61">
        <v>123</v>
      </c>
      <c r="DV1" s="61">
        <v>124</v>
      </c>
      <c r="DW1" s="61">
        <v>125</v>
      </c>
      <c r="DX1" s="61">
        <v>126</v>
      </c>
      <c r="DY1" s="61">
        <v>127</v>
      </c>
      <c r="DZ1" s="61">
        <v>128</v>
      </c>
      <c r="EA1" s="61">
        <v>129</v>
      </c>
      <c r="EB1" s="61">
        <v>130</v>
      </c>
      <c r="EC1" s="61">
        <v>131</v>
      </c>
      <c r="ED1" s="61">
        <v>132</v>
      </c>
      <c r="EE1" s="61">
        <v>133</v>
      </c>
      <c r="EF1" s="61">
        <v>134</v>
      </c>
      <c r="EG1" s="61">
        <v>135</v>
      </c>
      <c r="EH1" s="61">
        <v>136</v>
      </c>
      <c r="EI1" s="61">
        <v>137</v>
      </c>
      <c r="EJ1" s="61">
        <v>138</v>
      </c>
      <c r="EK1" s="61">
        <v>139</v>
      </c>
    </row>
    <row r="2" spans="1:141">
      <c r="A2" s="60" t="s">
        <v>223</v>
      </c>
      <c r="B2" s="60" t="s">
        <v>623</v>
      </c>
      <c r="C2" s="60">
        <v>1</v>
      </c>
      <c r="D2" s="64"/>
      <c r="E2" s="65">
        <v>118.176</v>
      </c>
      <c r="I2" s="84"/>
      <c r="J2" s="84"/>
      <c r="K2" s="84"/>
      <c r="L2" s="84"/>
      <c r="M2" s="84"/>
    </row>
    <row r="3" spans="1:141">
      <c r="A3" s="63"/>
      <c r="B3" s="66"/>
      <c r="D3" s="64"/>
      <c r="L3" s="64"/>
      <c r="M3" s="67"/>
    </row>
    <row r="4" spans="1:141" ht="30">
      <c r="A4" s="60" t="s">
        <v>624</v>
      </c>
      <c r="C4" s="60" t="s">
        <v>526</v>
      </c>
      <c r="H4" s="69">
        <v>43831</v>
      </c>
      <c r="I4" s="69">
        <v>43862</v>
      </c>
      <c r="J4" s="69">
        <v>43891</v>
      </c>
      <c r="K4" s="69">
        <v>43922</v>
      </c>
      <c r="L4" s="69">
        <v>43952</v>
      </c>
      <c r="M4" s="69">
        <v>43983</v>
      </c>
      <c r="N4" s="69">
        <v>44013</v>
      </c>
      <c r="O4" s="69">
        <v>44044</v>
      </c>
      <c r="P4" s="69">
        <v>44075</v>
      </c>
      <c r="Q4" s="69">
        <v>44105</v>
      </c>
      <c r="R4" s="69">
        <v>44136</v>
      </c>
      <c r="S4" s="69">
        <v>44166</v>
      </c>
      <c r="T4" s="69">
        <v>44197</v>
      </c>
      <c r="U4" s="69">
        <v>44228</v>
      </c>
      <c r="V4" s="69">
        <v>44256</v>
      </c>
      <c r="W4" s="69">
        <v>44287</v>
      </c>
      <c r="X4" s="69">
        <v>44317</v>
      </c>
      <c r="Y4" s="69">
        <v>44348</v>
      </c>
      <c r="Z4" s="69">
        <v>44378</v>
      </c>
      <c r="AA4" s="69">
        <v>44409</v>
      </c>
      <c r="AB4" s="69">
        <v>44440</v>
      </c>
      <c r="AC4" s="69">
        <v>44470</v>
      </c>
      <c r="AD4" s="69">
        <v>44501</v>
      </c>
      <c r="AE4" s="69">
        <v>44531</v>
      </c>
      <c r="AF4" s="69">
        <v>44562</v>
      </c>
      <c r="AG4" s="69">
        <v>44593</v>
      </c>
      <c r="AH4" s="69">
        <v>44621</v>
      </c>
      <c r="AI4" s="69">
        <v>44652</v>
      </c>
      <c r="AJ4" s="69">
        <v>44682</v>
      </c>
      <c r="AK4" s="69">
        <v>44713</v>
      </c>
      <c r="AL4" s="69">
        <v>44743</v>
      </c>
      <c r="AM4" s="69">
        <v>44774</v>
      </c>
      <c r="AN4" s="69">
        <v>44805</v>
      </c>
      <c r="AO4" s="69">
        <v>44835</v>
      </c>
      <c r="AP4" s="69">
        <v>44866</v>
      </c>
      <c r="AQ4" s="69">
        <v>44896</v>
      </c>
      <c r="AR4" s="69">
        <v>44927</v>
      </c>
      <c r="AS4" s="69">
        <v>44958</v>
      </c>
      <c r="AT4" s="69">
        <v>44986</v>
      </c>
      <c r="AU4" s="69">
        <v>45017</v>
      </c>
      <c r="AV4" s="69">
        <v>45047</v>
      </c>
      <c r="AW4" s="69">
        <v>45078</v>
      </c>
      <c r="AX4" s="69">
        <v>45108</v>
      </c>
      <c r="AY4" s="69" t="s">
        <v>530</v>
      </c>
      <c r="AZ4" s="69" t="s">
        <v>531</v>
      </c>
      <c r="BA4" s="69" t="s">
        <v>532</v>
      </c>
      <c r="BB4" s="69">
        <v>37104</v>
      </c>
      <c r="BC4" s="69">
        <v>37469</v>
      </c>
      <c r="BD4" s="34" t="s">
        <v>168</v>
      </c>
      <c r="BE4" s="34" t="s">
        <v>169</v>
      </c>
      <c r="BF4" s="69" t="s">
        <v>393</v>
      </c>
      <c r="BG4" s="69" t="s">
        <v>458</v>
      </c>
      <c r="BH4" s="69" t="s">
        <v>459</v>
      </c>
      <c r="BI4" s="69" t="s">
        <v>460</v>
      </c>
      <c r="BJ4" s="69" t="s">
        <v>435</v>
      </c>
      <c r="BK4" s="69" t="s">
        <v>436</v>
      </c>
      <c r="BL4" s="69" t="s">
        <v>437</v>
      </c>
      <c r="BM4" s="69" t="s">
        <v>438</v>
      </c>
      <c r="BN4" s="59">
        <v>37196</v>
      </c>
      <c r="BO4" s="59">
        <v>37561</v>
      </c>
      <c r="BP4" s="59">
        <v>37926</v>
      </c>
      <c r="BQ4" s="59">
        <v>38292</v>
      </c>
      <c r="BR4" s="59">
        <v>37226</v>
      </c>
      <c r="BS4" s="59">
        <v>37591</v>
      </c>
      <c r="BT4" s="59">
        <v>37956</v>
      </c>
      <c r="BU4" s="59">
        <v>38322</v>
      </c>
      <c r="BV4" s="59">
        <v>36892</v>
      </c>
      <c r="BW4" s="59">
        <v>37257</v>
      </c>
      <c r="BX4" s="59">
        <v>37622</v>
      </c>
      <c r="BY4" s="59">
        <v>37987</v>
      </c>
      <c r="BZ4" s="59">
        <v>36923</v>
      </c>
      <c r="CA4" s="59">
        <v>37288</v>
      </c>
      <c r="CB4" s="59">
        <v>37653</v>
      </c>
      <c r="CC4" s="59">
        <v>38018</v>
      </c>
      <c r="CD4" s="59" t="str">
        <f>Sheet8!A15</f>
        <v>Mar-w1</v>
      </c>
      <c r="CE4" s="59">
        <v>37316</v>
      </c>
      <c r="CF4" s="59">
        <v>37681</v>
      </c>
      <c r="CG4" s="59">
        <v>38047</v>
      </c>
      <c r="CH4" s="59" t="str">
        <f>Sheet8!E15</f>
        <v>Apr-w1</v>
      </c>
      <c r="CI4" s="59" t="str">
        <f>Sheet8!F15</f>
        <v>Apr-w2</v>
      </c>
      <c r="CJ4" s="59" t="str">
        <f>Sheet8!G15</f>
        <v>Apr-w3</v>
      </c>
      <c r="CK4" s="59" t="str">
        <f>Sheet8!H15</f>
        <v>Apr-w4</v>
      </c>
      <c r="CL4" s="59" t="str">
        <f>Sheet8!I15</f>
        <v>May-w1</v>
      </c>
      <c r="CM4" s="59" t="str">
        <f>Sheet8!J15</f>
        <v>May-w2</v>
      </c>
      <c r="CN4" s="59" t="str">
        <f>Sheet8!K15</f>
        <v>May-w3</v>
      </c>
      <c r="CO4" s="59" t="str">
        <f>Sheet8!L15</f>
        <v>May-w4</v>
      </c>
      <c r="CP4" s="59" t="str">
        <f>Sheet8!M15</f>
        <v>May-w5</v>
      </c>
      <c r="CQ4" s="59" t="str">
        <f>Sheet8!N15</f>
        <v>june-w1</v>
      </c>
      <c r="CR4" s="59" t="str">
        <f>Sheet8!O15</f>
        <v>june-w2</v>
      </c>
      <c r="CS4" s="59" t="str">
        <f>Sheet8!P15</f>
        <v>june-w3</v>
      </c>
      <c r="CT4" s="59" t="str">
        <f>Sheet8!Q15</f>
        <v>june-w4</v>
      </c>
      <c r="CU4" s="59" t="str">
        <f>Sheet8!R15</f>
        <v>Jul-w1</v>
      </c>
      <c r="CV4" s="59" t="str">
        <f>Sheet8!S15</f>
        <v>Jul-w2</v>
      </c>
      <c r="CW4" s="59" t="str">
        <f>Sheet8!T15</f>
        <v>Jul-w3</v>
      </c>
      <c r="CX4" s="59" t="str">
        <f>Sheet8!U15</f>
        <v>Jul-w4</v>
      </c>
      <c r="CY4" s="59" t="str">
        <f>Sheet8!V15</f>
        <v>Aug-w1</v>
      </c>
      <c r="CZ4" s="59" t="str">
        <f>Sheet8!W15</f>
        <v>Aug-w2</v>
      </c>
      <c r="DA4" s="59" t="str">
        <f>Sheet8!X15</f>
        <v>Aug-w3</v>
      </c>
      <c r="DB4" s="59" t="str">
        <f>Sheet8!Y15</f>
        <v>Aug-w4</v>
      </c>
      <c r="DC4" s="59" t="str">
        <f>Sheet8!Z15</f>
        <v>Sep-w1</v>
      </c>
      <c r="DD4" s="59" t="str">
        <f>Sheet8!AA15</f>
        <v>Sep-w2</v>
      </c>
      <c r="DE4" s="59" t="str">
        <f>Sheet8!AB15</f>
        <v>Sep-w3</v>
      </c>
      <c r="DF4" s="59" t="str">
        <f>Sheet8!AC15</f>
        <v>Sep-w4</v>
      </c>
      <c r="DG4" s="59" t="str">
        <f>Sheet8!AD15</f>
        <v>Oct-w1</v>
      </c>
      <c r="DH4" s="59" t="str">
        <f>Sheet8!AE15</f>
        <v>Oct-w2</v>
      </c>
      <c r="DI4" s="59" t="str">
        <f>Sheet8!AF15</f>
        <v>Oct-w3</v>
      </c>
      <c r="DJ4" s="59" t="str">
        <f>Sheet8!AG15</f>
        <v>Oct-w4</v>
      </c>
      <c r="DK4" s="59" t="str">
        <f>Sheet8!AH15</f>
        <v>Nov-w1</v>
      </c>
      <c r="DL4" s="59" t="str">
        <f>Sheet8!AI15</f>
        <v>Nov-w2</v>
      </c>
      <c r="DM4" s="59" t="str">
        <f>Sheet8!AJ15</f>
        <v>Nov-w3</v>
      </c>
      <c r="DN4" s="59" t="str">
        <f>Sheet8!AK15</f>
        <v>Nov-w4</v>
      </c>
      <c r="DO4" s="59" t="str">
        <f>Sheet8!AL15</f>
        <v>Dec-w1</v>
      </c>
      <c r="DP4" s="59" t="str">
        <f>Sheet8!AM15</f>
        <v>Dec-w2</v>
      </c>
      <c r="DQ4" s="59" t="str">
        <f>Sheet8!AN15</f>
        <v>Dec-w3</v>
      </c>
      <c r="DR4" s="59" t="str">
        <f>Sheet8!AO15</f>
        <v>Dec-w4</v>
      </c>
      <c r="DS4" s="59">
        <f>Sheet8!AP15</f>
        <v>0</v>
      </c>
      <c r="DT4" s="59">
        <f>Sheet8!AQ15</f>
        <v>0</v>
      </c>
      <c r="DU4" s="59">
        <f>Sheet8!AR15</f>
        <v>0</v>
      </c>
      <c r="DV4" s="59">
        <f>Sheet8!AS15</f>
        <v>0</v>
      </c>
      <c r="DW4" s="59">
        <f>Sheet8!AT15</f>
        <v>0</v>
      </c>
      <c r="DX4" s="59">
        <f>Sheet8!AU15</f>
        <v>0</v>
      </c>
    </row>
    <row r="5" spans="1:141">
      <c r="A5" s="67">
        <v>116.16</v>
      </c>
      <c r="B5" s="64"/>
      <c r="C5" s="67">
        <v>2.1059999999999999</v>
      </c>
      <c r="D5" s="64"/>
      <c r="G5" s="60" t="s">
        <v>64</v>
      </c>
      <c r="H5" s="65">
        <f>VLOOKUP($G$5&amp;$F$1,'Input RM sheet'!$A:$BK,H1,0)</f>
        <v>684</v>
      </c>
      <c r="I5" s="65">
        <f>VLOOKUP($G$5&amp;$F$1,'Input RM sheet'!$A:$BK,I1,0)</f>
        <v>706.3</v>
      </c>
      <c r="J5" s="65">
        <f>VLOOKUP($G$5&amp;$F$1,'Input RM sheet'!$A:$BK,J1,0)</f>
        <v>643.79999999999995</v>
      </c>
      <c r="K5" s="65">
        <f>VLOOKUP($G$5&amp;$F$1,'Input RM sheet'!$A:$BK,K1,0)</f>
        <v>590</v>
      </c>
      <c r="L5" s="65">
        <f>VLOOKUP($G$5&amp;$F$1,'Input RM sheet'!$A:$BK,L1,0)</f>
        <v>784</v>
      </c>
      <c r="M5" s="65">
        <f>VLOOKUP($G$5&amp;$F$1,'Input RM sheet'!$A:$BK,M1,0)</f>
        <v>928.8</v>
      </c>
      <c r="N5" s="65">
        <f>VLOOKUP($G$5&amp;$F$1,'Input RM sheet'!$A:$BK,N1,0)</f>
        <v>953.5</v>
      </c>
      <c r="O5" s="65">
        <f>VLOOKUP($G$5&amp;$F$1,'Input RM sheet'!$A:$BK,O1,0)</f>
        <v>892.5</v>
      </c>
      <c r="P5" s="65">
        <f>VLOOKUP($G$5&amp;$F$1,'Input RM sheet'!$A:$BK,P1,0)</f>
        <v>885</v>
      </c>
      <c r="Q5" s="65">
        <f>VLOOKUP($G$5&amp;$F$1,'Input RM sheet'!$A:$BK,Q1,0)</f>
        <v>908</v>
      </c>
      <c r="R5" s="65">
        <f>VLOOKUP($G$5&amp;$F$1,'Input RM sheet'!$A:$BK,R1,0)</f>
        <v>963.8</v>
      </c>
      <c r="S5" s="65">
        <f>VLOOKUP($G$5&amp;$F$1,'Input RM sheet'!$A:$BK,S1,0)</f>
        <v>1053.8</v>
      </c>
      <c r="T5" s="65">
        <f>VLOOKUP($G$5&amp;$F$1,'Input RM sheet'!$A:$BK,T1,0)</f>
        <v>992.5</v>
      </c>
      <c r="U5" s="65">
        <f>VLOOKUP($G$5&amp;$F$1,'Input RM sheet'!$A:$BK,U1,0)</f>
        <v>1085</v>
      </c>
      <c r="V5" s="65">
        <f>VLOOKUP($G$5&amp;$F$1,'Input RM sheet'!$A:$BK,V1,0)</f>
        <v>1280</v>
      </c>
      <c r="W5" s="65">
        <f>VLOOKUP($G$5&amp;$F$1,'Input RM sheet'!$A:$BK,W1,0)</f>
        <v>1305</v>
      </c>
      <c r="X5" s="65">
        <f>VLOOKUP($G$5&amp;$F$1,'Input RM sheet'!$A:$BK,X1,0)</f>
        <v>1237.5</v>
      </c>
      <c r="Y5" s="65">
        <f>VLOOKUP($G$5&amp;$F$1,'Input RM sheet'!$A:$BK,Y1,0)</f>
        <v>1028.8</v>
      </c>
      <c r="Z5" s="65">
        <f>VLOOKUP($G$5&amp;$F$1,'Input RM sheet'!$A:$BK,Z1,0)</f>
        <v>864</v>
      </c>
      <c r="AA5" s="65">
        <f>VLOOKUP($G$5&amp;$F$1,'Input RM sheet'!$A:$BK,AA1,0)</f>
        <v>822.5</v>
      </c>
      <c r="AB5" s="65">
        <f>VLOOKUP($G$5&amp;$F$1,'Input RM sheet'!$A:$BK,AB1,0)</f>
        <v>839</v>
      </c>
      <c r="AC5" s="65">
        <f>VLOOKUP($G$5&amp;$F$1,'Input RM sheet'!$A:$BK,AC1,0)</f>
        <v>902</v>
      </c>
      <c r="AD5" s="65">
        <f>VLOOKUP($G$5&amp;$F$1,'Input RM sheet'!$A:$BK,AD1,0)</f>
        <v>893.8</v>
      </c>
      <c r="AE5" s="65">
        <f>VLOOKUP($G$5&amp;$F$1,'Input RM sheet'!$A:$BK,AE1,0)</f>
        <v>835</v>
      </c>
      <c r="AF5" s="65">
        <f>VLOOKUP($G$5&amp;$F$1,'Input RM sheet'!$A:$BK,AF1,0)</f>
        <v>822.5</v>
      </c>
      <c r="AG5" s="65">
        <f>VLOOKUP($G$5&amp;$F$1,'Input RM sheet'!$A:$BK,AG1,0)</f>
        <v>875</v>
      </c>
      <c r="AH5" s="65">
        <f>VLOOKUP($G$5&amp;$F$1,'Input RM sheet'!$A:$BK,AH1,0)</f>
        <v>986.3</v>
      </c>
      <c r="AI5" s="65">
        <f>VLOOKUP($G$5&amp;$F$1,'Input RM sheet'!$A:$BK,AI1,0)</f>
        <v>962</v>
      </c>
      <c r="AJ5" s="65">
        <f>VLOOKUP($G$5&amp;$F$1,'Input RM sheet'!$A:$BK,AJ1,0)</f>
        <v>955</v>
      </c>
      <c r="AK5" s="65">
        <f>VLOOKUP($G$5&amp;$F$1,'Input RM sheet'!$A:$BK,AK1,0)</f>
        <v>960</v>
      </c>
      <c r="AL5" s="65">
        <f>VLOOKUP($G$5&amp;$F$1,'Input RM sheet'!$A:$BK,AL1,0)</f>
        <v>952</v>
      </c>
      <c r="AM5" s="65">
        <f>VLOOKUP($G$5&amp;$F$1,'Input RM sheet'!$A:$BK,AM1,0)</f>
        <v>875</v>
      </c>
      <c r="AN5" s="65">
        <f>VLOOKUP($G$5&amp;$F$1,'Input RM sheet'!$A:$BK,AN1,0)</f>
        <v>837.5</v>
      </c>
      <c r="AO5" s="65">
        <f>VLOOKUP($G$5&amp;$F$1,'Input RM sheet'!$A:$BK,AO1,0)</f>
        <v>818.8</v>
      </c>
      <c r="AP5" s="65">
        <f>VLOOKUP($G$5&amp;$F$1,'Input RM sheet'!$A:$BK,AP1,0)</f>
        <v>785</v>
      </c>
      <c r="AQ5" s="65">
        <f>VLOOKUP($G$5&amp;$F$1,'Input RM sheet'!$A:$BK,AQ1,0)</f>
        <v>790</v>
      </c>
      <c r="AR5" s="65">
        <f>VLOOKUP($G$5&amp;$F$1,'Input RM sheet'!$A:$BK,AR1,0)</f>
        <v>790</v>
      </c>
      <c r="AS5" s="65">
        <f>VLOOKUP($G$5&amp;$F$1,'Input RM sheet'!$A:$BK,AS1,0)</f>
        <v>833.8</v>
      </c>
      <c r="AT5" s="65">
        <f>VLOOKUP($G$5&amp;$F$1,'Input RM sheet'!$A:$BK,AT1,0)</f>
        <v>915</v>
      </c>
      <c r="AU5" s="65">
        <f>VLOOKUP($G$5&amp;$F$1,'Input RM sheet'!$A:$BK,AU1,0)</f>
        <v>915</v>
      </c>
      <c r="AV5" s="65">
        <f>VLOOKUP($G$5&amp;$F$1,'Input RM sheet'!$A:$BK,AV1,0)</f>
        <v>932.5</v>
      </c>
      <c r="AW5" s="65">
        <f>VLOOKUP($G$5&amp;$F$1,'Input RM sheet'!$A:$BK,AW1,0)</f>
        <v>922.5</v>
      </c>
      <c r="AX5" s="65">
        <f>VLOOKUP($G$5&amp;$F$1,'Input RM sheet'!$A:$BK,AX1,0)</f>
        <v>800</v>
      </c>
      <c r="AY5" s="65">
        <f>VLOOKUP($G$5&amp;$F$1,'Input RM sheet'!$A:$BK,AY1,0)</f>
        <v>815</v>
      </c>
      <c r="AZ5" s="65">
        <f>VLOOKUP($G$5&amp;$F$1,'Input RM sheet'!$A:$BK,AZ1,0)</f>
        <v>815</v>
      </c>
      <c r="BA5" s="65">
        <f>VLOOKUP($G$5&amp;$F$1,'Input RM sheet'!$A:$BK,BA1,0)</f>
        <v>825</v>
      </c>
      <c r="BB5" s="65">
        <f>VLOOKUP($G$5&amp;$F$1,'Input RM sheet'!$A:$BK,BB1,0)</f>
        <v>845</v>
      </c>
      <c r="BC5" s="65">
        <f>VLOOKUP($G$5&amp;$F$1,'Input RM sheet'!$A:$BK,BC1,0)</f>
        <v>860</v>
      </c>
      <c r="BD5" s="65">
        <f>VLOOKUP($G$5&amp;$F$1,'Input RM sheet'!$A:$BK,BD1,0)</f>
        <v>865</v>
      </c>
      <c r="BE5" s="65">
        <f>VLOOKUP($G$5&amp;$F$1,'Input RM sheet'!$A:$BK,BE1,0)</f>
        <v>865</v>
      </c>
      <c r="BF5" s="65">
        <f>VLOOKUP($G$5&amp;$F$1,'Input RM sheet'!$A:$DD,BF1,0)</f>
        <v>865</v>
      </c>
      <c r="BG5" s="65">
        <f>VLOOKUP($G$5&amp;$F$1,'Input RM sheet'!$A:$DD,BG1,0)</f>
        <v>875</v>
      </c>
      <c r="BH5" s="65">
        <f>VLOOKUP($G$5&amp;$F$1,'Input RM sheet'!$A:$DD,BH1,0)</f>
        <v>875</v>
      </c>
      <c r="BI5" s="65">
        <f>VLOOKUP($G$5&amp;$F$1,'Input RM sheet'!$A:$DD,BI1,0)</f>
        <v>925</v>
      </c>
      <c r="BJ5" s="65">
        <f>VLOOKUP($G$5&amp;$F$1,'Input RM sheet'!$A:$DD,BJ1,0)</f>
        <v>940</v>
      </c>
      <c r="BK5" s="65">
        <f>VLOOKUP($G$5&amp;$F$1,'Input RM sheet'!$A:$DD,BK1,0)</f>
        <v>950</v>
      </c>
      <c r="BL5" s="65">
        <f>VLOOKUP($G$5&amp;$F$1,'Input RM sheet'!$A:$DD,BL1,0)</f>
        <v>920</v>
      </c>
      <c r="BM5" s="65">
        <f>VLOOKUP($G$5&amp;$F$1,'Input RM sheet'!$A:$DD,BM1,0)</f>
        <v>920</v>
      </c>
      <c r="BN5" s="65">
        <f>VLOOKUP($G$5&amp;$F$1,'Input RM sheet'!$A:$DD,BN1,0)</f>
        <v>920</v>
      </c>
      <c r="BO5" s="65">
        <f>VLOOKUP($G$5&amp;$F$1,'Input RM sheet'!$A:$DD,BO1,0)</f>
        <v>930</v>
      </c>
      <c r="BP5" s="65">
        <f>VLOOKUP($G$5&amp;$F$1,'Input RM sheet'!$A:$DD,BP1,0)</f>
        <v>930</v>
      </c>
      <c r="BQ5" s="65">
        <f>VLOOKUP($G$5&amp;$F$1,'Input RM sheet'!$A:$DD,BQ1,0)</f>
        <v>930</v>
      </c>
      <c r="BR5" s="65">
        <f>VLOOKUP($G$5&amp;$F$1,'Input RM sheet'!$A:$DD,BR1,0)</f>
        <v>905</v>
      </c>
      <c r="BS5" s="65">
        <f>VLOOKUP($G$5&amp;$F$1,'Input RM sheet'!$A:$DD,BS1,0)</f>
        <v>905</v>
      </c>
      <c r="BT5" s="65">
        <f>VLOOKUP($G$5&amp;$F$1,'Input RM sheet'!$A:$DD,BT1,0)</f>
        <v>905</v>
      </c>
      <c r="BU5" s="65">
        <f>VLOOKUP($G$5&amp;$F$1,'Input RM sheet'!$A:$DD,BU1,0)</f>
        <v>905</v>
      </c>
      <c r="BV5" s="65">
        <f>VLOOKUP($G$5&amp;$F$1,'Input RM sheet'!$A:$DD,BV1,0)</f>
        <v>930</v>
      </c>
      <c r="BW5" s="65">
        <f>VLOOKUP($G$5&amp;$F$1,'Input RM sheet'!$A:$DD,BW1,0)</f>
        <v>925</v>
      </c>
      <c r="BX5" s="65">
        <f>VLOOKUP($G$5&amp;$F$1,'Input RM sheet'!$A:$DD,BX1,0)</f>
        <v>925</v>
      </c>
      <c r="BY5" s="65">
        <f>VLOOKUP($G$5&amp;$F$1,'Input RM sheet'!$A:$DD,BY1,0)</f>
        <v>960</v>
      </c>
      <c r="BZ5" s="65">
        <f>VLOOKUP($G$5&amp;$F$1,'Input RM sheet'!$A:$DD,BZ1,0)</f>
        <v>960</v>
      </c>
      <c r="CA5" s="65">
        <f>VLOOKUP($G$5&amp;$F$1,'Input RM sheet'!$A:$DD,CA1,0)</f>
        <v>980</v>
      </c>
      <c r="CB5" s="65">
        <f>VLOOKUP($G$5&amp;$F$1,'Input RM sheet'!$A:$DD,CB1,0)</f>
        <v>1030</v>
      </c>
      <c r="CC5" s="65">
        <f>VLOOKUP($G$5&amp;$F$1,'Input RM sheet'!$A:$DD,CC1,0)</f>
        <v>1030</v>
      </c>
      <c r="CD5" s="65">
        <f>VLOOKUP($G$5&amp;$F$1,'Input RM sheet'!$A:$DD,CD1,0)</f>
        <v>1030</v>
      </c>
      <c r="CE5" s="65">
        <f>VLOOKUP($G$5&amp;$F$1,'Input RM sheet'!$A:$DD,CE1,0)</f>
        <v>1030</v>
      </c>
      <c r="CF5" s="65">
        <f>VLOOKUP($G$5&amp;$F$1,'Input RM sheet'!$A:$DD,CF1,0)</f>
        <v>1040</v>
      </c>
      <c r="CG5" s="65">
        <f>VLOOKUP($G$5&amp;$F$1,'Input RM sheet'!$A:$DD,CG1,0)</f>
        <v>1040</v>
      </c>
      <c r="CH5" s="65">
        <f>VLOOKUP($G$5&amp;$F$1,'Input RM sheet'!$A:$DD,CH1,0)</f>
        <v>1040</v>
      </c>
      <c r="CI5" s="65">
        <f>VLOOKUP($G$5&amp;$F$1,'Input RM sheet'!$A:$DD,CI1,0)</f>
        <v>1040</v>
      </c>
      <c r="CJ5" s="65">
        <f>VLOOKUP($G$5&amp;$F$1,'Input RM sheet'!$A:$DD,CJ1,0)</f>
        <v>1040</v>
      </c>
      <c r="CK5" s="65">
        <f>VLOOKUP($G$5&amp;$F$1,'Input RM sheet'!$A:$DD,CK1,0)</f>
        <v>1060</v>
      </c>
      <c r="CL5" s="65">
        <f>VLOOKUP($G$5&amp;$F$1,'Input RM sheet'!$A:$DD,CL1,0)</f>
        <v>1060</v>
      </c>
      <c r="CM5" s="65">
        <f>VLOOKUP($G$5&amp;$F$1,'Input RM sheet'!$A:$DD,CM1,0)</f>
        <v>1070</v>
      </c>
      <c r="CN5" s="65">
        <f>VLOOKUP($G$5&amp;$F$1,'Input RM sheet'!$A:$DD,CN1,0)</f>
        <v>1070</v>
      </c>
      <c r="CO5" s="65">
        <f>VLOOKUP($G$5&amp;$F$1,'Input RM sheet'!$A:$DD,CO1,0)</f>
        <v>1070</v>
      </c>
      <c r="CP5" s="65">
        <f>VLOOKUP($G$5&amp;$F$1,'Input RM sheet'!$A:$DD,CP1,0)</f>
        <v>1070</v>
      </c>
      <c r="CQ5" s="65">
        <f>VLOOKUP($G$5&amp;$F$1,'Input RM sheet'!$A:$ZZ,CQ1,0)</f>
        <v>1070</v>
      </c>
      <c r="CR5" s="65">
        <f>VLOOKUP($G$5&amp;$F$1,'Input RM sheet'!$A:$ZZ,CR1,0)</f>
        <v>1065</v>
      </c>
      <c r="CS5" s="65">
        <f>VLOOKUP($G$5&amp;$F$1,'Input RM sheet'!$A:$ZZ,CS1,0)</f>
        <v>1075</v>
      </c>
      <c r="CT5" s="65">
        <f>VLOOKUP($G$5&amp;$F$1,'Input RM sheet'!$A:$ZZ,CT1,0)</f>
        <v>1070</v>
      </c>
      <c r="CU5" s="65">
        <f>VLOOKUP($G$5&amp;$F$1,'Input RM sheet'!$A:$ZZ,CU1,0)</f>
        <v>1070</v>
      </c>
      <c r="CV5" s="65">
        <f>VLOOKUP($G$5&amp;$F$1,'Input RM sheet'!$A:$ZZ,CV1,0)</f>
        <v>1070</v>
      </c>
      <c r="CW5" s="65">
        <f>VLOOKUP($G$5&amp;$F$1,'Input RM sheet'!$A:$ZZ,CW1,0)</f>
        <v>1040</v>
      </c>
      <c r="CX5" s="65">
        <f>VLOOKUP($G$5&amp;$F$1,'Input RM sheet'!$A:$ZZ,CX1,0)</f>
        <v>1020</v>
      </c>
      <c r="CY5" s="65">
        <f>VLOOKUP($G$5&amp;$F$1,'Input RM sheet'!$A:$ZZ,CY1,0)</f>
        <v>1020</v>
      </c>
      <c r="CZ5" s="65">
        <f>VLOOKUP($G$5&amp;$F$1,'Input RM sheet'!$A:$ZZ,CZ1,0)</f>
        <v>1020</v>
      </c>
      <c r="DA5" s="65">
        <f>VLOOKUP($G$5&amp;$F$1,'Input RM sheet'!$A:$ZZ,DA1,0)</f>
        <v>1020</v>
      </c>
      <c r="DB5" s="65">
        <f>VLOOKUP($G$5&amp;$F$1,'Input RM sheet'!$A:$ZZ,DB1,0)</f>
        <v>1012.5</v>
      </c>
      <c r="DC5" s="65">
        <f>VLOOKUP($G$5&amp;$F$1,'Input RM sheet'!$A:$ZZ,DC1,0)</f>
        <v>960</v>
      </c>
      <c r="DD5" s="65">
        <f>VLOOKUP($G$5&amp;$F$1,'Input RM sheet'!$A:$ZZ,DD1,0)</f>
        <v>955</v>
      </c>
      <c r="DE5" s="65">
        <f>VLOOKUP($G$5&amp;$F$1,'Input RM sheet'!$A:$ZZ,DE1,0)</f>
        <v>875</v>
      </c>
      <c r="DF5" s="65">
        <f>VLOOKUP($G$5&amp;$F$1,'Input RM sheet'!$A:$ZZ,DF1,0)</f>
        <v>850</v>
      </c>
      <c r="DG5" s="65">
        <f>VLOOKUP($G$5&amp;$F$1,'Input RM sheet'!$A:$ZZ,DG1,0)</f>
        <v>865</v>
      </c>
      <c r="DH5" s="65">
        <f>VLOOKUP($G$5&amp;$F$1,'Input RM sheet'!$A:$ZZ,DH1,0)</f>
        <v>855</v>
      </c>
      <c r="DI5" s="65">
        <f>VLOOKUP($G$5&amp;$F$1,'Input RM sheet'!$A:$ZZ,DI1,0)</f>
        <v>840</v>
      </c>
      <c r="DJ5" s="65">
        <f>VLOOKUP($G$5&amp;$F$1,'Input RM sheet'!$A:$ZZ,DJ1,0)</f>
        <v>840</v>
      </c>
      <c r="DK5" s="65">
        <f>VLOOKUP($G$5&amp;$F$1,'Input RM sheet'!$A:$ZZ,DK1,0)</f>
        <v>840</v>
      </c>
      <c r="DL5" s="65">
        <f>VLOOKUP($G$5&amp;$F$1,'Input RM sheet'!$A:$ZZ,DL1,0)</f>
        <v>820</v>
      </c>
      <c r="DM5" s="65">
        <f>VLOOKUP($G$5&amp;$F$1,'Input RM sheet'!$A:$ZZ,DM1,0)</f>
        <v>790</v>
      </c>
      <c r="DN5" s="65">
        <f>VLOOKUP($G$5&amp;$F$1,'Input RM sheet'!$A:$ZZ,DN1,0)</f>
        <v>780</v>
      </c>
      <c r="DO5" s="65">
        <f>VLOOKUP($G$5&amp;$F$1,'Input RM sheet'!$A:$ZZ,DO1,0)</f>
        <v>780</v>
      </c>
      <c r="DP5" s="65">
        <f>VLOOKUP($G$5&amp;$F$1,'Input RM sheet'!$A:$ZZ,DP1,0)</f>
        <v>760</v>
      </c>
      <c r="DQ5" s="65">
        <f>VLOOKUP($G$5&amp;$F$1,'Input RM sheet'!$A:$ZZ,DQ1,0)</f>
        <v>750</v>
      </c>
      <c r="DR5" s="65">
        <f>VLOOKUP($G$5&amp;$F$1,'Input RM sheet'!$A:$ZZ,DR1,0)</f>
        <v>745</v>
      </c>
      <c r="DS5" s="65">
        <f>VLOOKUP($G$5&amp;$F$1,'Input RM sheet'!$A:$ZZ,DS1,0)</f>
        <v>0</v>
      </c>
      <c r="DT5" s="65">
        <f>VLOOKUP($G$5&amp;$F$1,'Input RM sheet'!$A:$ZZ,DT1,0)</f>
        <v>0</v>
      </c>
      <c r="DU5" s="65">
        <f>VLOOKUP($G$5&amp;$F$1,'Input RM sheet'!$A:$ZZ,DU1,0)</f>
        <v>0</v>
      </c>
      <c r="DV5" s="65">
        <f>VLOOKUP($G$5&amp;$F$1,'Input RM sheet'!$A:$ZZ,DV1,0)</f>
        <v>0</v>
      </c>
      <c r="DW5" s="65">
        <f>VLOOKUP($G$5&amp;$F$1,'Input RM sheet'!$A:$ZZ,DW1,0)</f>
        <v>0</v>
      </c>
      <c r="DX5" s="65">
        <f>VLOOKUP($G$5&amp;$F$1,'Input RM sheet'!$A:$ZZ,DX1,0)</f>
        <v>0</v>
      </c>
    </row>
    <row r="6" spans="1:141">
      <c r="A6" s="63"/>
      <c r="B6" s="64"/>
      <c r="C6" s="68"/>
      <c r="D6" s="64"/>
      <c r="G6" s="60" t="s">
        <v>526</v>
      </c>
      <c r="I6" s="67"/>
      <c r="J6" s="85"/>
      <c r="K6" s="67"/>
      <c r="L6" s="85"/>
    </row>
    <row r="7" spans="1:141">
      <c r="A7" s="69" t="s">
        <v>395</v>
      </c>
      <c r="B7" s="69"/>
      <c r="C7" s="69" t="s">
        <v>379</v>
      </c>
      <c r="D7" s="69" t="s">
        <v>380</v>
      </c>
      <c r="E7" s="69" t="s">
        <v>381</v>
      </c>
      <c r="F7" s="69" t="s">
        <v>396</v>
      </c>
      <c r="G7" s="69"/>
      <c r="H7" s="86"/>
      <c r="I7" s="86"/>
      <c r="J7" s="86"/>
      <c r="K7" s="86"/>
      <c r="L7" s="86"/>
      <c r="M7" s="86"/>
      <c r="N7" s="86"/>
      <c r="O7" s="86"/>
      <c r="P7" s="86"/>
      <c r="Q7" s="86"/>
      <c r="R7" s="86"/>
      <c r="S7" s="86"/>
    </row>
    <row r="8" spans="1:141">
      <c r="A8" s="86"/>
      <c r="B8" s="86"/>
      <c r="C8" s="86"/>
      <c r="D8" s="86"/>
      <c r="E8" s="86"/>
      <c r="F8" s="86"/>
      <c r="G8" s="86"/>
      <c r="H8" s="86"/>
      <c r="I8" s="86"/>
      <c r="J8" s="86"/>
      <c r="K8" s="86"/>
      <c r="L8" s="86"/>
      <c r="M8" s="86"/>
      <c r="N8" s="86"/>
      <c r="O8" s="86"/>
      <c r="P8" s="86"/>
      <c r="Q8" s="86"/>
      <c r="R8" s="86"/>
      <c r="S8" s="86"/>
    </row>
    <row r="9" spans="1:141" ht="13">
      <c r="A9" s="63" t="s">
        <v>397</v>
      </c>
      <c r="B9" s="60" t="s">
        <v>64</v>
      </c>
      <c r="C9" s="60">
        <v>1</v>
      </c>
      <c r="D9" s="64">
        <v>58.08</v>
      </c>
      <c r="E9" s="60">
        <f>D9*C9</f>
        <v>58.08</v>
      </c>
      <c r="F9" s="65">
        <v>1.17</v>
      </c>
      <c r="H9" s="74">
        <f>$F$9*(H5/1000)</f>
        <v>0.80027999999999999</v>
      </c>
      <c r="I9" s="74">
        <f>$F$9*(I5/1000)</f>
        <v>0.82637099999999986</v>
      </c>
      <c r="J9" s="74">
        <f t="shared" ref="J9:BG9" si="0">$F$9*(J5/1000)</f>
        <v>0.75324599999999986</v>
      </c>
      <c r="K9" s="74">
        <f t="shared" si="0"/>
        <v>0.69029999999999991</v>
      </c>
      <c r="L9" s="74">
        <f t="shared" si="0"/>
        <v>0.91727999999999998</v>
      </c>
      <c r="M9" s="74">
        <f t="shared" si="0"/>
        <v>1.0866959999999999</v>
      </c>
      <c r="N9" s="74">
        <f t="shared" si="0"/>
        <v>1.1155949999999999</v>
      </c>
      <c r="O9" s="74">
        <f t="shared" si="0"/>
        <v>1.044225</v>
      </c>
      <c r="P9" s="74">
        <f t="shared" si="0"/>
        <v>1.03545</v>
      </c>
      <c r="Q9" s="74">
        <f t="shared" si="0"/>
        <v>1.06236</v>
      </c>
      <c r="R9" s="74">
        <f t="shared" si="0"/>
        <v>1.1276459999999999</v>
      </c>
      <c r="S9" s="74">
        <f t="shared" si="0"/>
        <v>1.2329459999999997</v>
      </c>
      <c r="T9" s="74">
        <f t="shared" si="0"/>
        <v>1.161225</v>
      </c>
      <c r="U9" s="74">
        <f t="shared" si="0"/>
        <v>1.26945</v>
      </c>
      <c r="V9" s="74">
        <f t="shared" si="0"/>
        <v>1.4976</v>
      </c>
      <c r="W9" s="74">
        <f t="shared" si="0"/>
        <v>1.5268499999999998</v>
      </c>
      <c r="X9" s="74">
        <f t="shared" si="0"/>
        <v>1.447875</v>
      </c>
      <c r="Y9" s="74">
        <f t="shared" si="0"/>
        <v>1.2036959999999999</v>
      </c>
      <c r="Z9" s="74">
        <f t="shared" si="0"/>
        <v>1.01088</v>
      </c>
      <c r="AA9" s="74">
        <f t="shared" si="0"/>
        <v>0.96232499999999999</v>
      </c>
      <c r="AB9" s="74">
        <f t="shared" si="0"/>
        <v>0.98162999999999989</v>
      </c>
      <c r="AC9" s="74">
        <f t="shared" si="0"/>
        <v>1.0553399999999999</v>
      </c>
      <c r="AD9" s="74">
        <f t="shared" si="0"/>
        <v>1.0457459999999998</v>
      </c>
      <c r="AE9" s="74">
        <f t="shared" si="0"/>
        <v>0.97694999999999987</v>
      </c>
      <c r="AF9" s="74">
        <f t="shared" si="0"/>
        <v>0.96232499999999999</v>
      </c>
      <c r="AG9" s="74">
        <f t="shared" si="0"/>
        <v>1.0237499999999999</v>
      </c>
      <c r="AH9" s="74">
        <f t="shared" si="0"/>
        <v>1.1539709999999999</v>
      </c>
      <c r="AI9" s="74">
        <f t="shared" si="0"/>
        <v>1.12554</v>
      </c>
      <c r="AJ9" s="74">
        <f t="shared" si="0"/>
        <v>1.1173499999999998</v>
      </c>
      <c r="AK9" s="74">
        <f t="shared" si="0"/>
        <v>1.1232</v>
      </c>
      <c r="AL9" s="74">
        <f t="shared" si="0"/>
        <v>1.1138399999999999</v>
      </c>
      <c r="AM9" s="74">
        <f t="shared" si="0"/>
        <v>1.0237499999999999</v>
      </c>
      <c r="AN9" s="74">
        <f t="shared" si="0"/>
        <v>0.97987499999999994</v>
      </c>
      <c r="AO9" s="74">
        <f t="shared" si="0"/>
        <v>0.95799599999999996</v>
      </c>
      <c r="AP9" s="74">
        <f t="shared" si="0"/>
        <v>0.91844999999999999</v>
      </c>
      <c r="AQ9" s="74">
        <f t="shared" si="0"/>
        <v>0.92430000000000001</v>
      </c>
      <c r="AR9" s="74">
        <f t="shared" si="0"/>
        <v>0.92430000000000001</v>
      </c>
      <c r="AS9" s="74">
        <f t="shared" si="0"/>
        <v>0.97554599999999991</v>
      </c>
      <c r="AT9" s="74">
        <f t="shared" si="0"/>
        <v>1.0705499999999999</v>
      </c>
      <c r="AU9" s="74">
        <f t="shared" si="0"/>
        <v>1.0705499999999999</v>
      </c>
      <c r="AV9" s="74">
        <f t="shared" si="0"/>
        <v>1.0910249999999999</v>
      </c>
      <c r="AW9" s="74">
        <f t="shared" si="0"/>
        <v>1.0793249999999999</v>
      </c>
      <c r="AX9" s="74">
        <f t="shared" si="0"/>
        <v>0.93599999999999994</v>
      </c>
      <c r="AY9" s="74">
        <f t="shared" si="0"/>
        <v>0.9535499999999999</v>
      </c>
      <c r="AZ9" s="74">
        <f t="shared" si="0"/>
        <v>0.9535499999999999</v>
      </c>
      <c r="BA9" s="74">
        <f t="shared" si="0"/>
        <v>0.96524999999999994</v>
      </c>
      <c r="BB9" s="74">
        <f t="shared" si="0"/>
        <v>0.98864999999999992</v>
      </c>
      <c r="BC9" s="74">
        <f t="shared" si="0"/>
        <v>1.0062</v>
      </c>
      <c r="BD9" s="74">
        <f t="shared" si="0"/>
        <v>1.0120499999999999</v>
      </c>
      <c r="BE9" s="74">
        <f t="shared" si="0"/>
        <v>1.0120499999999999</v>
      </c>
      <c r="BF9" s="74">
        <f t="shared" si="0"/>
        <v>1.0120499999999999</v>
      </c>
      <c r="BG9" s="74">
        <f t="shared" si="0"/>
        <v>1.0237499999999999</v>
      </c>
      <c r="BH9" s="74">
        <f t="shared" ref="BH9:BN9" si="1">$F$9*(BH5/1000)</f>
        <v>1.0237499999999999</v>
      </c>
      <c r="BI9" s="74">
        <f t="shared" si="1"/>
        <v>1.0822499999999999</v>
      </c>
      <c r="BJ9" s="74">
        <f t="shared" si="1"/>
        <v>1.0997999999999999</v>
      </c>
      <c r="BK9" s="74">
        <f t="shared" si="1"/>
        <v>1.1114999999999999</v>
      </c>
      <c r="BL9" s="74">
        <f t="shared" si="1"/>
        <v>1.0764</v>
      </c>
      <c r="BM9" s="74">
        <f t="shared" si="1"/>
        <v>1.0764</v>
      </c>
      <c r="BN9" s="74">
        <f t="shared" si="1"/>
        <v>1.0764</v>
      </c>
      <c r="BO9" s="74">
        <f t="shared" ref="BO9:BU9" si="2">$F$9*(BO5/1000)</f>
        <v>1.0881000000000001</v>
      </c>
      <c r="BP9" s="74">
        <f t="shared" si="2"/>
        <v>1.0881000000000001</v>
      </c>
      <c r="BQ9" s="74">
        <f t="shared" si="2"/>
        <v>1.0881000000000001</v>
      </c>
      <c r="BR9" s="74">
        <f t="shared" si="2"/>
        <v>1.0588500000000001</v>
      </c>
      <c r="BS9" s="74">
        <f t="shared" si="2"/>
        <v>1.0588500000000001</v>
      </c>
      <c r="BT9" s="74">
        <f t="shared" si="2"/>
        <v>1.0588500000000001</v>
      </c>
      <c r="BU9" s="74">
        <f t="shared" si="2"/>
        <v>1.0588500000000001</v>
      </c>
      <c r="BV9" s="74">
        <f>$F$9*(BV5/1000)</f>
        <v>1.0881000000000001</v>
      </c>
      <c r="BW9" s="74">
        <f>$F$9*(BW5/1000)</f>
        <v>1.0822499999999999</v>
      </c>
      <c r="BX9" s="74">
        <f>$F$9*(BX5/1000)</f>
        <v>1.0822499999999999</v>
      </c>
      <c r="BY9" s="74">
        <f t="shared" ref="BY9:CG9" si="3">$F$9*(BY5/1000)</f>
        <v>1.1232</v>
      </c>
      <c r="BZ9" s="74">
        <f t="shared" si="3"/>
        <v>1.1232</v>
      </c>
      <c r="CA9" s="74">
        <f t="shared" si="3"/>
        <v>1.1465999999999998</v>
      </c>
      <c r="CB9" s="74">
        <f t="shared" si="3"/>
        <v>1.2051000000000001</v>
      </c>
      <c r="CC9" s="74">
        <f t="shared" si="3"/>
        <v>1.2051000000000001</v>
      </c>
      <c r="CD9" s="74">
        <f t="shared" si="3"/>
        <v>1.2051000000000001</v>
      </c>
      <c r="CE9" s="74">
        <f t="shared" si="3"/>
        <v>1.2051000000000001</v>
      </c>
      <c r="CF9" s="74">
        <f t="shared" si="3"/>
        <v>1.2167999999999999</v>
      </c>
      <c r="CG9" s="74">
        <f t="shared" si="3"/>
        <v>1.2167999999999999</v>
      </c>
      <c r="CH9" s="74">
        <f t="shared" ref="CH9:CN9" si="4">$F$9*(CH5/1000)</f>
        <v>1.2167999999999999</v>
      </c>
      <c r="CI9" s="74">
        <f t="shared" si="4"/>
        <v>1.2167999999999999</v>
      </c>
      <c r="CJ9" s="74">
        <f t="shared" si="4"/>
        <v>1.2167999999999999</v>
      </c>
      <c r="CK9" s="74">
        <f t="shared" si="4"/>
        <v>1.2402</v>
      </c>
      <c r="CL9" s="74">
        <f t="shared" si="4"/>
        <v>1.2402</v>
      </c>
      <c r="CM9" s="74">
        <f t="shared" si="4"/>
        <v>1.2519</v>
      </c>
      <c r="CN9" s="74">
        <f t="shared" si="4"/>
        <v>1.2519</v>
      </c>
      <c r="CO9" s="74">
        <f>$F$9*(CO5/1000)</f>
        <v>1.2519</v>
      </c>
      <c r="CP9" s="74">
        <f>$F$9*(CP5/1000)</f>
        <v>1.2519</v>
      </c>
      <c r="CQ9" s="74">
        <f>$F$9*(CQ5/1000)</f>
        <v>1.2519</v>
      </c>
      <c r="CR9" s="74">
        <f t="shared" ref="CR9:DX9" si="5">$F$9*(CR5/1000)</f>
        <v>1.2460499999999999</v>
      </c>
      <c r="CS9" s="74">
        <f t="shared" si="5"/>
        <v>1.2577499999999999</v>
      </c>
      <c r="CT9" s="74">
        <f t="shared" si="5"/>
        <v>1.2519</v>
      </c>
      <c r="CU9" s="74">
        <f t="shared" si="5"/>
        <v>1.2519</v>
      </c>
      <c r="CV9" s="74">
        <f t="shared" si="5"/>
        <v>1.2519</v>
      </c>
      <c r="CW9" s="74">
        <f t="shared" si="5"/>
        <v>1.2167999999999999</v>
      </c>
      <c r="CX9" s="74">
        <f t="shared" si="5"/>
        <v>1.1934</v>
      </c>
      <c r="CY9" s="74">
        <f t="shared" si="5"/>
        <v>1.1934</v>
      </c>
      <c r="CZ9" s="74">
        <f t="shared" si="5"/>
        <v>1.1934</v>
      </c>
      <c r="DA9" s="74">
        <f t="shared" si="5"/>
        <v>1.1934</v>
      </c>
      <c r="DB9" s="74">
        <f t="shared" si="5"/>
        <v>1.1846249999999998</v>
      </c>
      <c r="DC9" s="74">
        <f t="shared" si="5"/>
        <v>1.1232</v>
      </c>
      <c r="DD9" s="74">
        <f t="shared" si="5"/>
        <v>1.1173499999999998</v>
      </c>
      <c r="DE9" s="74">
        <f t="shared" si="5"/>
        <v>1.0237499999999999</v>
      </c>
      <c r="DF9" s="74">
        <f t="shared" si="5"/>
        <v>0.99449999999999994</v>
      </c>
      <c r="DG9" s="74">
        <f t="shared" si="5"/>
        <v>1.0120499999999999</v>
      </c>
      <c r="DH9" s="74">
        <f t="shared" si="5"/>
        <v>1.0003499999999999</v>
      </c>
      <c r="DI9" s="74">
        <f t="shared" si="5"/>
        <v>0.9827999999999999</v>
      </c>
      <c r="DJ9" s="74">
        <f t="shared" si="5"/>
        <v>0.9827999999999999</v>
      </c>
      <c r="DK9" s="74">
        <f t="shared" si="5"/>
        <v>0.9827999999999999</v>
      </c>
      <c r="DL9" s="74">
        <f t="shared" si="5"/>
        <v>0.95939999999999992</v>
      </c>
      <c r="DM9" s="74">
        <f t="shared" si="5"/>
        <v>0.92430000000000001</v>
      </c>
      <c r="DN9" s="74">
        <f t="shared" si="5"/>
        <v>0.91259999999999997</v>
      </c>
      <c r="DO9" s="74">
        <f t="shared" si="5"/>
        <v>0.91259999999999997</v>
      </c>
      <c r="DP9" s="74">
        <f t="shared" si="5"/>
        <v>0.88919999999999999</v>
      </c>
      <c r="DQ9" s="74">
        <f t="shared" si="5"/>
        <v>0.87749999999999995</v>
      </c>
      <c r="DR9" s="74">
        <f t="shared" si="5"/>
        <v>0.87164999999999992</v>
      </c>
      <c r="DS9" s="74">
        <f t="shared" si="5"/>
        <v>0</v>
      </c>
      <c r="DT9" s="74">
        <f t="shared" si="5"/>
        <v>0</v>
      </c>
      <c r="DU9" s="74">
        <f t="shared" si="5"/>
        <v>0</v>
      </c>
      <c r="DV9" s="74">
        <f t="shared" si="5"/>
        <v>0</v>
      </c>
      <c r="DW9" s="74">
        <f t="shared" si="5"/>
        <v>0</v>
      </c>
      <c r="DX9" s="74">
        <f t="shared" si="5"/>
        <v>0</v>
      </c>
    </row>
    <row r="10" spans="1:141">
      <c r="A10" s="63"/>
      <c r="D10" s="64"/>
      <c r="F10" s="65"/>
      <c r="H10" s="70"/>
      <c r="I10" s="70"/>
      <c r="J10" s="70"/>
      <c r="K10" s="70"/>
      <c r="L10" s="70"/>
      <c r="M10" s="70"/>
      <c r="N10" s="70"/>
      <c r="O10" s="70"/>
      <c r="P10" s="70"/>
      <c r="Q10" s="70"/>
      <c r="R10" s="70"/>
      <c r="S10" s="70"/>
      <c r="T10" s="70"/>
      <c r="U10" s="70"/>
      <c r="V10" s="70"/>
      <c r="W10" s="70"/>
      <c r="X10" s="70"/>
      <c r="Y10" s="70"/>
      <c r="Z10" s="70"/>
      <c r="AA10" s="70"/>
      <c r="AB10" s="70"/>
      <c r="AC10" s="70"/>
      <c r="AD10" s="70"/>
      <c r="AE10" s="70"/>
      <c r="AF10" s="70"/>
      <c r="AG10" s="70"/>
      <c r="AH10" s="70"/>
      <c r="AI10" s="70"/>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0"/>
      <c r="DD10" s="70"/>
      <c r="DE10" s="70"/>
      <c r="DF10" s="70"/>
      <c r="DG10" s="70"/>
      <c r="DH10" s="70"/>
      <c r="DI10" s="70"/>
      <c r="DJ10" s="70"/>
      <c r="DK10" s="70"/>
      <c r="DL10" s="70"/>
      <c r="DM10" s="70"/>
      <c r="DN10" s="70"/>
      <c r="DO10" s="70"/>
      <c r="DP10" s="70"/>
      <c r="DQ10" s="70"/>
      <c r="DR10" s="70"/>
      <c r="DS10" s="70"/>
      <c r="DT10" s="70"/>
      <c r="DU10" s="70"/>
      <c r="DV10" s="70"/>
      <c r="DW10" s="70"/>
      <c r="DX10" s="70"/>
    </row>
    <row r="11" spans="1:141">
      <c r="A11" s="59"/>
      <c r="B11" s="59"/>
      <c r="C11" s="59"/>
      <c r="D11" s="59"/>
      <c r="E11" s="59"/>
      <c r="F11" s="59" t="s">
        <v>400</v>
      </c>
      <c r="G11" s="59"/>
      <c r="H11" s="94">
        <f>SUM(H9:H10)</f>
        <v>0.80027999999999999</v>
      </c>
      <c r="I11" s="94">
        <f t="shared" ref="I11:BG11" si="6">SUM(I9:I10)</f>
        <v>0.82637099999999986</v>
      </c>
      <c r="J11" s="94">
        <f t="shared" si="6"/>
        <v>0.75324599999999986</v>
      </c>
      <c r="K11" s="94">
        <f t="shared" si="6"/>
        <v>0.69029999999999991</v>
      </c>
      <c r="L11" s="94">
        <f t="shared" si="6"/>
        <v>0.91727999999999998</v>
      </c>
      <c r="M11" s="94">
        <f t="shared" si="6"/>
        <v>1.0866959999999999</v>
      </c>
      <c r="N11" s="94">
        <f t="shared" si="6"/>
        <v>1.1155949999999999</v>
      </c>
      <c r="O11" s="94">
        <f t="shared" si="6"/>
        <v>1.044225</v>
      </c>
      <c r="P11" s="94">
        <f t="shared" si="6"/>
        <v>1.03545</v>
      </c>
      <c r="Q11" s="94">
        <f t="shared" si="6"/>
        <v>1.06236</v>
      </c>
      <c r="R11" s="94">
        <f t="shared" si="6"/>
        <v>1.1276459999999999</v>
      </c>
      <c r="S11" s="94">
        <f t="shared" si="6"/>
        <v>1.2329459999999997</v>
      </c>
      <c r="T11" s="94">
        <f t="shared" si="6"/>
        <v>1.161225</v>
      </c>
      <c r="U11" s="94">
        <f t="shared" si="6"/>
        <v>1.26945</v>
      </c>
      <c r="V11" s="94">
        <f t="shared" si="6"/>
        <v>1.4976</v>
      </c>
      <c r="W11" s="94">
        <f t="shared" si="6"/>
        <v>1.5268499999999998</v>
      </c>
      <c r="X11" s="94">
        <f t="shared" si="6"/>
        <v>1.447875</v>
      </c>
      <c r="Y11" s="94">
        <f t="shared" si="6"/>
        <v>1.2036959999999999</v>
      </c>
      <c r="Z11" s="94">
        <f t="shared" si="6"/>
        <v>1.01088</v>
      </c>
      <c r="AA11" s="94">
        <f t="shared" si="6"/>
        <v>0.96232499999999999</v>
      </c>
      <c r="AB11" s="94">
        <f t="shared" si="6"/>
        <v>0.98162999999999989</v>
      </c>
      <c r="AC11" s="94">
        <f t="shared" si="6"/>
        <v>1.0553399999999999</v>
      </c>
      <c r="AD11" s="94">
        <f t="shared" si="6"/>
        <v>1.0457459999999998</v>
      </c>
      <c r="AE11" s="94">
        <f t="shared" si="6"/>
        <v>0.97694999999999987</v>
      </c>
      <c r="AF11" s="94">
        <f t="shared" si="6"/>
        <v>0.96232499999999999</v>
      </c>
      <c r="AG11" s="94">
        <f t="shared" si="6"/>
        <v>1.0237499999999999</v>
      </c>
      <c r="AH11" s="94">
        <f t="shared" si="6"/>
        <v>1.1539709999999999</v>
      </c>
      <c r="AI11" s="94">
        <f t="shared" si="6"/>
        <v>1.12554</v>
      </c>
      <c r="AJ11" s="94">
        <f t="shared" si="6"/>
        <v>1.1173499999999998</v>
      </c>
      <c r="AK11" s="94">
        <f t="shared" si="6"/>
        <v>1.1232</v>
      </c>
      <c r="AL11" s="94">
        <f t="shared" si="6"/>
        <v>1.1138399999999999</v>
      </c>
      <c r="AM11" s="94">
        <f t="shared" si="6"/>
        <v>1.0237499999999999</v>
      </c>
      <c r="AN11" s="94">
        <f t="shared" si="6"/>
        <v>0.97987499999999994</v>
      </c>
      <c r="AO11" s="94">
        <f t="shared" si="6"/>
        <v>0.95799599999999996</v>
      </c>
      <c r="AP11" s="94">
        <f t="shared" si="6"/>
        <v>0.91844999999999999</v>
      </c>
      <c r="AQ11" s="94">
        <f t="shared" si="6"/>
        <v>0.92430000000000001</v>
      </c>
      <c r="AR11" s="94">
        <f t="shared" si="6"/>
        <v>0.92430000000000001</v>
      </c>
      <c r="AS11" s="94">
        <f t="shared" si="6"/>
        <v>0.97554599999999991</v>
      </c>
      <c r="AT11" s="94">
        <f t="shared" si="6"/>
        <v>1.0705499999999999</v>
      </c>
      <c r="AU11" s="94">
        <f t="shared" si="6"/>
        <v>1.0705499999999999</v>
      </c>
      <c r="AV11" s="94">
        <f t="shared" si="6"/>
        <v>1.0910249999999999</v>
      </c>
      <c r="AW11" s="94">
        <f t="shared" si="6"/>
        <v>1.0793249999999999</v>
      </c>
      <c r="AX11" s="94">
        <f t="shared" si="6"/>
        <v>0.93599999999999994</v>
      </c>
      <c r="AY11" s="94">
        <f t="shared" si="6"/>
        <v>0.9535499999999999</v>
      </c>
      <c r="AZ11" s="94">
        <f t="shared" si="6"/>
        <v>0.9535499999999999</v>
      </c>
      <c r="BA11" s="94">
        <f t="shared" si="6"/>
        <v>0.96524999999999994</v>
      </c>
      <c r="BB11" s="94">
        <f t="shared" si="6"/>
        <v>0.98864999999999992</v>
      </c>
      <c r="BC11" s="94">
        <f t="shared" si="6"/>
        <v>1.0062</v>
      </c>
      <c r="BD11" s="94">
        <f t="shared" si="6"/>
        <v>1.0120499999999999</v>
      </c>
      <c r="BE11" s="94">
        <f t="shared" si="6"/>
        <v>1.0120499999999999</v>
      </c>
      <c r="BF11" s="94">
        <f t="shared" si="6"/>
        <v>1.0120499999999999</v>
      </c>
      <c r="BG11" s="94">
        <f t="shared" si="6"/>
        <v>1.0237499999999999</v>
      </c>
      <c r="BH11" s="94">
        <f t="shared" ref="BH11:BN11" si="7">SUM(BH9:BH10)</f>
        <v>1.0237499999999999</v>
      </c>
      <c r="BI11" s="94">
        <f t="shared" si="7"/>
        <v>1.0822499999999999</v>
      </c>
      <c r="BJ11" s="94">
        <f t="shared" si="7"/>
        <v>1.0997999999999999</v>
      </c>
      <c r="BK11" s="94">
        <f t="shared" si="7"/>
        <v>1.1114999999999999</v>
      </c>
      <c r="BL11" s="94">
        <f t="shared" si="7"/>
        <v>1.0764</v>
      </c>
      <c r="BM11" s="94">
        <f t="shared" si="7"/>
        <v>1.0764</v>
      </c>
      <c r="BN11" s="94">
        <f t="shared" si="7"/>
        <v>1.0764</v>
      </c>
      <c r="BO11" s="94">
        <f t="shared" ref="BO11:BU11" si="8">SUM(BO9:BO10)</f>
        <v>1.0881000000000001</v>
      </c>
      <c r="BP11" s="94">
        <f t="shared" si="8"/>
        <v>1.0881000000000001</v>
      </c>
      <c r="BQ11" s="94">
        <f t="shared" si="8"/>
        <v>1.0881000000000001</v>
      </c>
      <c r="BR11" s="94">
        <f t="shared" si="8"/>
        <v>1.0588500000000001</v>
      </c>
      <c r="BS11" s="94">
        <f t="shared" si="8"/>
        <v>1.0588500000000001</v>
      </c>
      <c r="BT11" s="94">
        <f t="shared" si="8"/>
        <v>1.0588500000000001</v>
      </c>
      <c r="BU11" s="94">
        <f t="shared" si="8"/>
        <v>1.0588500000000001</v>
      </c>
      <c r="BV11" s="94">
        <f>SUM(BV9:BV10)</f>
        <v>1.0881000000000001</v>
      </c>
      <c r="BW11" s="94">
        <f>SUM(BW9:BW10)</f>
        <v>1.0822499999999999</v>
      </c>
      <c r="BX11" s="94">
        <f>SUM(BX9:BX10)</f>
        <v>1.0822499999999999</v>
      </c>
      <c r="BY11" s="94">
        <f t="shared" ref="BY11:CG11" si="9">SUM(BY9:BY10)</f>
        <v>1.1232</v>
      </c>
      <c r="BZ11" s="94">
        <f t="shared" si="9"/>
        <v>1.1232</v>
      </c>
      <c r="CA11" s="94">
        <f t="shared" si="9"/>
        <v>1.1465999999999998</v>
      </c>
      <c r="CB11" s="94">
        <f t="shared" si="9"/>
        <v>1.2051000000000001</v>
      </c>
      <c r="CC11" s="94">
        <f t="shared" si="9"/>
        <v>1.2051000000000001</v>
      </c>
      <c r="CD11" s="94">
        <f t="shared" si="9"/>
        <v>1.2051000000000001</v>
      </c>
      <c r="CE11" s="94">
        <f t="shared" si="9"/>
        <v>1.2051000000000001</v>
      </c>
      <c r="CF11" s="94">
        <f t="shared" si="9"/>
        <v>1.2167999999999999</v>
      </c>
      <c r="CG11" s="94">
        <f t="shared" si="9"/>
        <v>1.2167999999999999</v>
      </c>
      <c r="CH11" s="94">
        <f t="shared" ref="CH11:CN11" si="10">SUM(CH9:CH10)</f>
        <v>1.2167999999999999</v>
      </c>
      <c r="CI11" s="94">
        <f t="shared" si="10"/>
        <v>1.2167999999999999</v>
      </c>
      <c r="CJ11" s="94">
        <f t="shared" si="10"/>
        <v>1.2167999999999999</v>
      </c>
      <c r="CK11" s="94">
        <f t="shared" si="10"/>
        <v>1.2402</v>
      </c>
      <c r="CL11" s="94">
        <f t="shared" si="10"/>
        <v>1.2402</v>
      </c>
      <c r="CM11" s="94">
        <f t="shared" si="10"/>
        <v>1.2519</v>
      </c>
      <c r="CN11" s="94">
        <f t="shared" si="10"/>
        <v>1.2519</v>
      </c>
      <c r="CO11" s="94">
        <f>SUM(CO9:CO10)</f>
        <v>1.2519</v>
      </c>
      <c r="CP11" s="94">
        <f>SUM(CP9:CP10)</f>
        <v>1.2519</v>
      </c>
      <c r="CQ11" s="94">
        <f>SUM(CQ9:CQ10)</f>
        <v>1.2519</v>
      </c>
      <c r="CR11" s="94">
        <f t="shared" ref="CR11:DX11" si="11">SUM(CR9:CR10)</f>
        <v>1.2460499999999999</v>
      </c>
      <c r="CS11" s="94">
        <f t="shared" si="11"/>
        <v>1.2577499999999999</v>
      </c>
      <c r="CT11" s="94">
        <f t="shared" si="11"/>
        <v>1.2519</v>
      </c>
      <c r="CU11" s="94">
        <f t="shared" si="11"/>
        <v>1.2519</v>
      </c>
      <c r="CV11" s="94">
        <f t="shared" si="11"/>
        <v>1.2519</v>
      </c>
      <c r="CW11" s="94">
        <f t="shared" si="11"/>
        <v>1.2167999999999999</v>
      </c>
      <c r="CX11" s="94">
        <f t="shared" si="11"/>
        <v>1.1934</v>
      </c>
      <c r="CY11" s="94">
        <f t="shared" si="11"/>
        <v>1.1934</v>
      </c>
      <c r="CZ11" s="94">
        <f t="shared" si="11"/>
        <v>1.1934</v>
      </c>
      <c r="DA11" s="94">
        <f t="shared" si="11"/>
        <v>1.1934</v>
      </c>
      <c r="DB11" s="94">
        <f t="shared" si="11"/>
        <v>1.1846249999999998</v>
      </c>
      <c r="DC11" s="94">
        <f t="shared" si="11"/>
        <v>1.1232</v>
      </c>
      <c r="DD11" s="94">
        <f t="shared" si="11"/>
        <v>1.1173499999999998</v>
      </c>
      <c r="DE11" s="94">
        <f t="shared" si="11"/>
        <v>1.0237499999999999</v>
      </c>
      <c r="DF11" s="94">
        <f t="shared" si="11"/>
        <v>0.99449999999999994</v>
      </c>
      <c r="DG11" s="94">
        <f t="shared" si="11"/>
        <v>1.0120499999999999</v>
      </c>
      <c r="DH11" s="94">
        <f t="shared" si="11"/>
        <v>1.0003499999999999</v>
      </c>
      <c r="DI11" s="94">
        <f t="shared" si="11"/>
        <v>0.9827999999999999</v>
      </c>
      <c r="DJ11" s="94">
        <f t="shared" si="11"/>
        <v>0.9827999999999999</v>
      </c>
      <c r="DK11" s="94">
        <f t="shared" si="11"/>
        <v>0.9827999999999999</v>
      </c>
      <c r="DL11" s="94">
        <f t="shared" si="11"/>
        <v>0.95939999999999992</v>
      </c>
      <c r="DM11" s="94">
        <f t="shared" si="11"/>
        <v>0.92430000000000001</v>
      </c>
      <c r="DN11" s="94">
        <f t="shared" si="11"/>
        <v>0.91259999999999997</v>
      </c>
      <c r="DO11" s="94">
        <f t="shared" si="11"/>
        <v>0.91259999999999997</v>
      </c>
      <c r="DP11" s="94">
        <f t="shared" si="11"/>
        <v>0.88919999999999999</v>
      </c>
      <c r="DQ11" s="94">
        <f t="shared" si="11"/>
        <v>0.87749999999999995</v>
      </c>
      <c r="DR11" s="94">
        <f t="shared" si="11"/>
        <v>0.87164999999999992</v>
      </c>
      <c r="DS11" s="94">
        <f t="shared" si="11"/>
        <v>0</v>
      </c>
      <c r="DT11" s="94">
        <f t="shared" si="11"/>
        <v>0</v>
      </c>
      <c r="DU11" s="94">
        <f t="shared" si="11"/>
        <v>0</v>
      </c>
      <c r="DV11" s="94">
        <f t="shared" si="11"/>
        <v>0</v>
      </c>
      <c r="DW11" s="94">
        <f t="shared" si="11"/>
        <v>0</v>
      </c>
      <c r="DX11" s="94">
        <f t="shared" si="11"/>
        <v>0</v>
      </c>
    </row>
    <row r="12" spans="1:141">
      <c r="A12" s="72" t="s">
        <v>625</v>
      </c>
      <c r="G12" s="173" t="s">
        <v>429</v>
      </c>
      <c r="H12" s="70"/>
      <c r="I12" s="74">
        <v>1.25</v>
      </c>
      <c r="J12" s="74">
        <v>1.4</v>
      </c>
      <c r="K12" s="74">
        <v>1.4</v>
      </c>
      <c r="L12" s="74"/>
      <c r="M12" s="74">
        <v>1.31</v>
      </c>
      <c r="N12" s="74">
        <v>1.65</v>
      </c>
      <c r="O12" s="74"/>
      <c r="P12" s="74"/>
      <c r="Q12" s="74"/>
      <c r="R12" s="74">
        <v>1.4</v>
      </c>
      <c r="S12" s="74"/>
      <c r="T12" s="74">
        <v>1.6</v>
      </c>
      <c r="U12" s="74"/>
      <c r="V12" s="74"/>
      <c r="W12" s="74"/>
      <c r="X12" s="74">
        <v>2.25</v>
      </c>
      <c r="Y12" s="74">
        <v>2.2000000000000002</v>
      </c>
      <c r="Z12" s="74"/>
      <c r="AA12" s="74"/>
      <c r="AB12" s="74"/>
      <c r="AC12" s="74">
        <v>2.4</v>
      </c>
      <c r="AD12" s="74">
        <v>2.5499999999999998</v>
      </c>
      <c r="AE12" s="74"/>
      <c r="AF12" s="74"/>
      <c r="AG12" s="74"/>
      <c r="AH12" s="74">
        <v>2.6</v>
      </c>
      <c r="AI12" s="74"/>
      <c r="AJ12" s="74"/>
      <c r="AK12" s="74">
        <v>2.6</v>
      </c>
      <c r="AL12" s="74"/>
      <c r="AM12" s="74">
        <v>1.95</v>
      </c>
      <c r="AN12" s="74"/>
      <c r="AO12" s="74"/>
      <c r="AP12" s="74">
        <v>1.65</v>
      </c>
      <c r="AQ12" s="74"/>
      <c r="AR12" s="74"/>
      <c r="AS12" s="74"/>
      <c r="AT12" s="74"/>
      <c r="AU12" s="74"/>
      <c r="AV12" s="74">
        <f>132/82</f>
        <v>1.6097560975609757</v>
      </c>
      <c r="AW12" s="74"/>
      <c r="AX12" s="74"/>
      <c r="AY12" s="74"/>
      <c r="AZ12" s="74"/>
      <c r="BA12" s="74"/>
      <c r="BB12" s="74">
        <v>2</v>
      </c>
      <c r="BC12" s="74"/>
      <c r="BD12" s="74"/>
      <c r="BE12" s="74"/>
      <c r="BF12" s="74"/>
      <c r="BG12" s="74"/>
      <c r="BH12" s="74"/>
      <c r="BI12" s="74"/>
      <c r="BJ12" s="74"/>
      <c r="BK12" s="74"/>
      <c r="BL12" s="74"/>
      <c r="BM12" s="74"/>
      <c r="BN12" s="74"/>
      <c r="BO12" s="74"/>
      <c r="BP12" s="74"/>
      <c r="BQ12" s="74"/>
      <c r="BR12" s="74"/>
      <c r="BS12" s="74"/>
      <c r="BT12" s="74"/>
      <c r="BU12" s="74"/>
      <c r="BV12" s="74"/>
      <c r="BW12" s="74"/>
      <c r="BX12" s="74"/>
      <c r="BY12" s="74"/>
      <c r="BZ12" s="74"/>
      <c r="CA12" s="74"/>
      <c r="CB12" s="74"/>
      <c r="CC12" s="74"/>
      <c r="CD12" s="74">
        <v>1.59</v>
      </c>
      <c r="CE12" s="74"/>
      <c r="CF12" s="74"/>
      <c r="CG12" s="74"/>
      <c r="CH12" s="74"/>
      <c r="CI12" s="74"/>
      <c r="CJ12" s="74"/>
      <c r="CK12" s="74"/>
      <c r="CL12" s="74"/>
      <c r="CM12" s="74"/>
      <c r="CN12" s="74"/>
      <c r="CO12" s="74"/>
      <c r="CP12" s="74"/>
      <c r="CQ12" s="74">
        <v>1.63</v>
      </c>
      <c r="CR12" s="74"/>
      <c r="CS12" s="74"/>
      <c r="CT12" s="74"/>
      <c r="CU12" s="74"/>
      <c r="CV12" s="74"/>
      <c r="CW12" s="74"/>
      <c r="CX12" s="74"/>
      <c r="CY12" s="74"/>
      <c r="CZ12" s="74"/>
      <c r="DA12" s="74"/>
      <c r="DB12" s="74"/>
      <c r="DC12" s="74"/>
      <c r="DD12" s="74"/>
      <c r="DE12" s="74"/>
      <c r="DF12" s="74"/>
      <c r="DG12" s="74"/>
      <c r="DH12" s="74"/>
      <c r="DI12" s="74"/>
      <c r="DJ12" s="74"/>
      <c r="DK12" s="74"/>
      <c r="DL12" s="74"/>
      <c r="DM12" s="74"/>
      <c r="DN12" s="74"/>
      <c r="DO12" s="74"/>
      <c r="DP12" s="74"/>
      <c r="DQ12" s="74"/>
      <c r="DR12" s="74"/>
      <c r="DS12" s="74"/>
      <c r="DT12" s="74"/>
      <c r="DU12" s="74"/>
      <c r="DV12" s="74"/>
      <c r="DW12" s="74"/>
      <c r="DX12" s="74"/>
    </row>
    <row r="13" spans="1:141">
      <c r="G13" s="170" t="s">
        <v>406</v>
      </c>
      <c r="H13" s="70"/>
      <c r="I13" s="74">
        <f>I12-I11</f>
        <v>0.42362900000000014</v>
      </c>
      <c r="J13" s="74">
        <f>J12-J11</f>
        <v>0.64675400000000005</v>
      </c>
      <c r="K13" s="74">
        <f>K12-K11</f>
        <v>0.7097</v>
      </c>
      <c r="L13" s="70"/>
      <c r="M13" s="74">
        <f>M12-M11</f>
        <v>0.22330400000000017</v>
      </c>
      <c r="N13" s="74">
        <f>N12-N11</f>
        <v>0.53440500000000002</v>
      </c>
      <c r="O13" s="70"/>
      <c r="P13" s="70"/>
      <c r="Q13" s="70"/>
      <c r="R13" s="74">
        <f>R12-R11</f>
        <v>0.27235399999999998</v>
      </c>
      <c r="S13" s="70"/>
      <c r="T13" s="74">
        <f>T12-T11</f>
        <v>0.43877500000000014</v>
      </c>
      <c r="X13" s="74">
        <f>X12-X11</f>
        <v>0.80212499999999998</v>
      </c>
      <c r="Y13" s="74">
        <f>Y12-Y11</f>
        <v>0.9963040000000003</v>
      </c>
      <c r="AC13" s="74">
        <f>AC12-AC11</f>
        <v>1.34466</v>
      </c>
      <c r="AD13" s="74">
        <f>AD12-AD11</f>
        <v>1.504254</v>
      </c>
      <c r="AH13" s="74">
        <f>AH12-AH11</f>
        <v>1.4460290000000002</v>
      </c>
      <c r="AK13" s="74">
        <f>AK12-AK11</f>
        <v>1.4768000000000001</v>
      </c>
      <c r="AM13" s="74">
        <f>AM12-AM11</f>
        <v>0.92625000000000002</v>
      </c>
      <c r="AO13" s="74"/>
      <c r="AP13" s="74">
        <f>AP12-AP11</f>
        <v>0.73154999999999992</v>
      </c>
      <c r="AT13" s="74"/>
      <c r="AV13" s="65">
        <f>AV12-AV11</f>
        <v>0.5187310975609758</v>
      </c>
      <c r="AW13" s="74"/>
      <c r="AY13" s="74"/>
      <c r="BB13" s="74">
        <f>BB12-BB11</f>
        <v>1.0113500000000002</v>
      </c>
      <c r="CD13" s="65">
        <f>CD12-CD11</f>
        <v>0.38490000000000002</v>
      </c>
      <c r="CQ13" s="65">
        <f>CQ12-CQ11</f>
        <v>0.37809999999999988</v>
      </c>
    </row>
    <row r="14" spans="1:141">
      <c r="G14" s="44"/>
    </row>
    <row r="15" spans="1:141">
      <c r="G15" s="44"/>
    </row>
    <row r="16" spans="1:141" s="101" customFormat="1">
      <c r="E16" s="208"/>
      <c r="G16" s="186" t="s">
        <v>407</v>
      </c>
      <c r="H16" s="209">
        <f t="shared" ref="H16:AT16" si="12">0.22+H11</f>
        <v>1.0202800000000001</v>
      </c>
      <c r="I16" s="209">
        <f t="shared" si="12"/>
        <v>1.0463709999999999</v>
      </c>
      <c r="J16" s="209">
        <f t="shared" si="12"/>
        <v>0.97324599999999983</v>
      </c>
      <c r="K16" s="209">
        <f t="shared" si="12"/>
        <v>0.91029999999999989</v>
      </c>
      <c r="L16" s="209">
        <f t="shared" si="12"/>
        <v>1.1372800000000001</v>
      </c>
      <c r="M16" s="209">
        <f t="shared" si="12"/>
        <v>1.3066959999999999</v>
      </c>
      <c r="N16" s="209">
        <f t="shared" si="12"/>
        <v>1.3355949999999999</v>
      </c>
      <c r="O16" s="209">
        <f t="shared" si="12"/>
        <v>1.2642249999999999</v>
      </c>
      <c r="P16" s="209">
        <f t="shared" si="12"/>
        <v>1.25545</v>
      </c>
      <c r="Q16" s="209">
        <f t="shared" si="12"/>
        <v>1.2823599999999999</v>
      </c>
      <c r="R16" s="209">
        <f t="shared" si="12"/>
        <v>1.3476459999999999</v>
      </c>
      <c r="S16" s="209">
        <f t="shared" si="12"/>
        <v>1.4529459999999996</v>
      </c>
      <c r="T16" s="209">
        <f t="shared" si="12"/>
        <v>1.3812249999999999</v>
      </c>
      <c r="U16" s="209">
        <f t="shared" si="12"/>
        <v>1.4894499999999999</v>
      </c>
      <c r="V16" s="209">
        <f t="shared" si="12"/>
        <v>1.7176</v>
      </c>
      <c r="W16" s="209">
        <f t="shared" si="12"/>
        <v>1.7468499999999998</v>
      </c>
      <c r="X16" s="209">
        <f t="shared" si="12"/>
        <v>1.667875</v>
      </c>
      <c r="Y16" s="209">
        <f t="shared" si="12"/>
        <v>1.4236959999999999</v>
      </c>
      <c r="Z16" s="209">
        <f t="shared" si="12"/>
        <v>1.23088</v>
      </c>
      <c r="AA16" s="209">
        <f t="shared" si="12"/>
        <v>1.1823250000000001</v>
      </c>
      <c r="AB16" s="209">
        <f t="shared" si="12"/>
        <v>1.20163</v>
      </c>
      <c r="AC16" s="209">
        <f t="shared" si="12"/>
        <v>1.2753399999999999</v>
      </c>
      <c r="AD16" s="209">
        <f t="shared" si="12"/>
        <v>1.2657459999999998</v>
      </c>
      <c r="AE16" s="209">
        <f t="shared" si="12"/>
        <v>1.19695</v>
      </c>
      <c r="AF16" s="209">
        <f t="shared" si="12"/>
        <v>1.1823250000000001</v>
      </c>
      <c r="AG16" s="209">
        <f t="shared" si="12"/>
        <v>1.2437499999999999</v>
      </c>
      <c r="AH16" s="209">
        <f t="shared" si="12"/>
        <v>1.3739709999999998</v>
      </c>
      <c r="AI16" s="209">
        <f t="shared" si="12"/>
        <v>1.34554</v>
      </c>
      <c r="AJ16" s="209">
        <f t="shared" si="12"/>
        <v>1.3373499999999998</v>
      </c>
      <c r="AK16" s="209">
        <f t="shared" si="12"/>
        <v>1.3431999999999999</v>
      </c>
      <c r="AL16" s="209">
        <f t="shared" si="12"/>
        <v>1.3338399999999999</v>
      </c>
      <c r="AM16" s="209">
        <f t="shared" si="12"/>
        <v>1.2437499999999999</v>
      </c>
      <c r="AN16" s="209">
        <f t="shared" si="12"/>
        <v>1.199875</v>
      </c>
      <c r="AO16" s="209">
        <f t="shared" si="12"/>
        <v>1.177996</v>
      </c>
      <c r="AP16" s="209">
        <f t="shared" si="12"/>
        <v>1.13845</v>
      </c>
      <c r="AQ16" s="209">
        <f t="shared" si="12"/>
        <v>1.1443000000000001</v>
      </c>
      <c r="AR16" s="209">
        <f t="shared" si="12"/>
        <v>1.1443000000000001</v>
      </c>
      <c r="AS16" s="209">
        <f t="shared" si="12"/>
        <v>1.195546</v>
      </c>
      <c r="AT16" s="209">
        <f t="shared" si="12"/>
        <v>1.2905499999999999</v>
      </c>
      <c r="AU16" s="209">
        <f t="shared" ref="AU16:BI16" si="13">0.22+AU11</f>
        <v>1.2905499999999999</v>
      </c>
      <c r="AV16" s="209">
        <f t="shared" si="13"/>
        <v>1.3110249999999999</v>
      </c>
      <c r="AW16" s="209">
        <f t="shared" si="13"/>
        <v>1.2993249999999998</v>
      </c>
      <c r="AX16" s="209">
        <f t="shared" si="13"/>
        <v>1.1559999999999999</v>
      </c>
      <c r="AY16" s="209">
        <f t="shared" si="13"/>
        <v>1.1735499999999999</v>
      </c>
      <c r="AZ16" s="209">
        <f t="shared" si="13"/>
        <v>1.1735499999999999</v>
      </c>
      <c r="BA16" s="209">
        <f t="shared" si="13"/>
        <v>1.1852499999999999</v>
      </c>
      <c r="BB16" s="209">
        <f t="shared" si="13"/>
        <v>1.20865</v>
      </c>
      <c r="BC16" s="209">
        <f t="shared" si="13"/>
        <v>1.2262</v>
      </c>
      <c r="BD16" s="209">
        <f t="shared" si="13"/>
        <v>1.2320499999999999</v>
      </c>
      <c r="BE16" s="209">
        <f t="shared" si="13"/>
        <v>1.2320499999999999</v>
      </c>
      <c r="BF16" s="209">
        <f t="shared" si="13"/>
        <v>1.2320499999999999</v>
      </c>
      <c r="BG16" s="209">
        <f t="shared" si="13"/>
        <v>1.2437499999999999</v>
      </c>
      <c r="BH16" s="209">
        <f t="shared" si="13"/>
        <v>1.2437499999999999</v>
      </c>
      <c r="BI16" s="209">
        <f t="shared" si="13"/>
        <v>1.3022499999999999</v>
      </c>
      <c r="BJ16" s="209">
        <f>0.22+BJ11</f>
        <v>1.3197999999999999</v>
      </c>
      <c r="BK16" s="209">
        <f>0.22+BK11</f>
        <v>1.3314999999999999</v>
      </c>
      <c r="BL16" s="209">
        <f>0.22+BL11</f>
        <v>1.2964</v>
      </c>
      <c r="BM16" s="209">
        <f>0.22+BM11</f>
        <v>1.2964</v>
      </c>
      <c r="BN16" s="209">
        <f>0.22+BN11</f>
        <v>1.2964</v>
      </c>
      <c r="BO16" s="209">
        <f t="shared" ref="BO16:BU16" si="14">0.22+BO11</f>
        <v>1.3081</v>
      </c>
      <c r="BP16" s="209">
        <f t="shared" si="14"/>
        <v>1.3081</v>
      </c>
      <c r="BQ16" s="209">
        <f t="shared" si="14"/>
        <v>1.3081</v>
      </c>
      <c r="BR16" s="209">
        <f t="shared" si="14"/>
        <v>1.27885</v>
      </c>
      <c r="BS16" s="209">
        <f t="shared" si="14"/>
        <v>1.27885</v>
      </c>
      <c r="BT16" s="209">
        <f t="shared" si="14"/>
        <v>1.27885</v>
      </c>
      <c r="BU16" s="209">
        <f t="shared" si="14"/>
        <v>1.27885</v>
      </c>
      <c r="BV16" s="209">
        <f>0.22+BV11</f>
        <v>1.3081</v>
      </c>
      <c r="BW16" s="209">
        <f>0.22+BW11</f>
        <v>1.3022499999999999</v>
      </c>
      <c r="BX16" s="209">
        <f>0.22+BX11</f>
        <v>1.3022499999999999</v>
      </c>
      <c r="BY16" s="209">
        <f t="shared" ref="BY16:CG16" si="15">0.22+BY11</f>
        <v>1.3431999999999999</v>
      </c>
      <c r="BZ16" s="209">
        <f t="shared" si="15"/>
        <v>1.3431999999999999</v>
      </c>
      <c r="CA16" s="209">
        <f t="shared" si="15"/>
        <v>1.3665999999999998</v>
      </c>
      <c r="CB16" s="209">
        <f t="shared" si="15"/>
        <v>1.4251</v>
      </c>
      <c r="CC16" s="209">
        <f t="shared" si="15"/>
        <v>1.4251</v>
      </c>
      <c r="CD16" s="209">
        <f t="shared" si="15"/>
        <v>1.4251</v>
      </c>
      <c r="CE16" s="209">
        <f t="shared" si="15"/>
        <v>1.4251</v>
      </c>
      <c r="CF16" s="209">
        <f t="shared" si="15"/>
        <v>1.4367999999999999</v>
      </c>
      <c r="CG16" s="209">
        <f t="shared" si="15"/>
        <v>1.4367999999999999</v>
      </c>
      <c r="CH16" s="209">
        <f t="shared" ref="CH16:CN16" si="16">0.22+CH11</f>
        <v>1.4367999999999999</v>
      </c>
      <c r="CI16" s="209">
        <f t="shared" si="16"/>
        <v>1.4367999999999999</v>
      </c>
      <c r="CJ16" s="209">
        <f t="shared" si="16"/>
        <v>1.4367999999999999</v>
      </c>
      <c r="CK16" s="209">
        <f t="shared" si="16"/>
        <v>1.4601999999999999</v>
      </c>
      <c r="CL16" s="209">
        <f t="shared" si="16"/>
        <v>1.4601999999999999</v>
      </c>
      <c r="CM16" s="209">
        <f t="shared" si="16"/>
        <v>1.4719</v>
      </c>
      <c r="CN16" s="209">
        <f t="shared" si="16"/>
        <v>1.4719</v>
      </c>
      <c r="CO16" s="209">
        <f>0.22+CO11</f>
        <v>1.4719</v>
      </c>
      <c r="CP16" s="209">
        <f>0.22+CP11</f>
        <v>1.4719</v>
      </c>
      <c r="CQ16" s="209">
        <f>0.22+CQ11</f>
        <v>1.4719</v>
      </c>
      <c r="CR16" s="209">
        <f t="shared" ref="CR16:DX16" si="17">0.22+CR11</f>
        <v>1.4660499999999999</v>
      </c>
      <c r="CS16" s="209">
        <f t="shared" si="17"/>
        <v>1.4777499999999999</v>
      </c>
      <c r="CT16" s="209">
        <f t="shared" si="17"/>
        <v>1.4719</v>
      </c>
      <c r="CU16" s="209">
        <f t="shared" si="17"/>
        <v>1.4719</v>
      </c>
      <c r="CV16" s="209">
        <f t="shared" si="17"/>
        <v>1.4719</v>
      </c>
      <c r="CW16" s="209">
        <f t="shared" si="17"/>
        <v>1.4367999999999999</v>
      </c>
      <c r="CX16" s="209">
        <f t="shared" si="17"/>
        <v>1.4134</v>
      </c>
      <c r="CY16" s="209">
        <f t="shared" si="17"/>
        <v>1.4134</v>
      </c>
      <c r="CZ16" s="209">
        <f t="shared" si="17"/>
        <v>1.4134</v>
      </c>
      <c r="DA16" s="209">
        <f t="shared" si="17"/>
        <v>1.4134</v>
      </c>
      <c r="DB16" s="209">
        <f t="shared" si="17"/>
        <v>1.4046249999999998</v>
      </c>
      <c r="DC16" s="209">
        <f t="shared" si="17"/>
        <v>1.3431999999999999</v>
      </c>
      <c r="DD16" s="209">
        <f t="shared" si="17"/>
        <v>1.3373499999999998</v>
      </c>
      <c r="DE16" s="209">
        <f t="shared" si="17"/>
        <v>1.2437499999999999</v>
      </c>
      <c r="DF16" s="209">
        <f t="shared" si="17"/>
        <v>1.2144999999999999</v>
      </c>
      <c r="DG16" s="209">
        <f t="shared" si="17"/>
        <v>1.2320499999999999</v>
      </c>
      <c r="DH16" s="209">
        <f t="shared" si="17"/>
        <v>1.2203499999999998</v>
      </c>
      <c r="DI16" s="209">
        <f t="shared" si="17"/>
        <v>1.2027999999999999</v>
      </c>
      <c r="DJ16" s="209">
        <f t="shared" si="17"/>
        <v>1.2027999999999999</v>
      </c>
      <c r="DK16" s="209">
        <f t="shared" si="17"/>
        <v>1.2027999999999999</v>
      </c>
      <c r="DL16" s="209">
        <f t="shared" si="17"/>
        <v>1.1794</v>
      </c>
      <c r="DM16" s="209">
        <f t="shared" si="17"/>
        <v>1.1443000000000001</v>
      </c>
      <c r="DN16" s="209">
        <f t="shared" si="17"/>
        <v>1.1326000000000001</v>
      </c>
      <c r="DO16" s="209">
        <f t="shared" si="17"/>
        <v>1.1326000000000001</v>
      </c>
      <c r="DP16" s="209">
        <f t="shared" si="17"/>
        <v>1.1092</v>
      </c>
      <c r="DQ16" s="209">
        <f t="shared" si="17"/>
        <v>1.0974999999999999</v>
      </c>
      <c r="DR16" s="209">
        <f t="shared" si="17"/>
        <v>1.09165</v>
      </c>
      <c r="DS16" s="209">
        <f t="shared" si="17"/>
        <v>0.22</v>
      </c>
      <c r="DT16" s="209">
        <f t="shared" si="17"/>
        <v>0.22</v>
      </c>
      <c r="DU16" s="209">
        <f t="shared" si="17"/>
        <v>0.22</v>
      </c>
      <c r="DV16" s="209">
        <f t="shared" si="17"/>
        <v>0.22</v>
      </c>
      <c r="DW16" s="209">
        <f t="shared" si="17"/>
        <v>0.22</v>
      </c>
      <c r="DX16" s="209">
        <f t="shared" si="17"/>
        <v>0.22</v>
      </c>
    </row>
    <row r="17" spans="1:7" ht="14">
      <c r="A17" s="63"/>
      <c r="C17" s="65"/>
      <c r="D17" s="78"/>
      <c r="G17" s="8"/>
    </row>
    <row r="18" spans="1:7">
      <c r="A18" s="62"/>
      <c r="C18" s="65"/>
      <c r="D18" s="78"/>
    </row>
    <row r="19" spans="1:7">
      <c r="A19" s="62"/>
      <c r="C19" s="65"/>
      <c r="D19" s="78"/>
    </row>
    <row r="20" spans="1:7">
      <c r="A20" s="62"/>
      <c r="C20" s="65"/>
      <c r="D20" s="78"/>
    </row>
  </sheetData>
  <phoneticPr fontId="52" type="noConversion"/>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5"/>
  <dimension ref="A1:EK20"/>
  <sheetViews>
    <sheetView zoomScale="90" zoomScaleNormal="90" workbookViewId="0">
      <pane xSplit="11" ySplit="4" topLeftCell="L5" activePane="bottomRight" state="frozen"/>
      <selection pane="topRight" activeCell="L1" sqref="L1"/>
      <selection pane="bottomLeft" activeCell="A5" sqref="A5"/>
      <selection pane="bottomRight" activeCell="H16" sqref="H16"/>
    </sheetView>
  </sheetViews>
  <sheetFormatPr baseColWidth="10" defaultColWidth="8.6640625" defaultRowHeight="12"/>
  <cols>
    <col min="1" max="2" width="13.5" style="60" bestFit="1" customWidth="1"/>
    <col min="3" max="3" width="7.1640625" style="60" bestFit="1" customWidth="1"/>
    <col min="4" max="4" width="12.6640625" style="60" bestFit="1" customWidth="1"/>
    <col min="5" max="5" width="12.33203125" style="60" bestFit="1" customWidth="1"/>
    <col min="6" max="6" width="7.83203125" style="60" bestFit="1" customWidth="1"/>
    <col min="7" max="7" width="20.5" style="60" bestFit="1" customWidth="1"/>
    <col min="8" max="8" width="5.33203125" style="60" bestFit="1" customWidth="1"/>
    <col min="9" max="9" width="5.5" style="60" bestFit="1" customWidth="1"/>
    <col min="10" max="10" width="5.83203125" style="60" bestFit="1" customWidth="1"/>
    <col min="11" max="11" width="5.5" style="60" bestFit="1" customWidth="1"/>
    <col min="12" max="12" width="6.1640625" style="60" bestFit="1" customWidth="1"/>
    <col min="13" max="13" width="5.5" style="60" bestFit="1" customWidth="1"/>
    <col min="14" max="14" width="4.83203125" style="60" bestFit="1" customWidth="1"/>
    <col min="15" max="15" width="5.6640625" style="60" bestFit="1" customWidth="1"/>
    <col min="16" max="17" width="5.5" style="60" bestFit="1" customWidth="1"/>
    <col min="18" max="18" width="5.83203125" style="60" bestFit="1" customWidth="1"/>
    <col min="19" max="19" width="5.5" style="60" bestFit="1" customWidth="1"/>
    <col min="20" max="20" width="5.33203125" style="60" bestFit="1" customWidth="1"/>
    <col min="21" max="21" width="5.5" style="60" bestFit="1" customWidth="1"/>
    <col min="22" max="22" width="5.83203125" style="60" bestFit="1" customWidth="1"/>
    <col min="23" max="23" width="5.5" style="60" bestFit="1" customWidth="1"/>
    <col min="24" max="24" width="6.1640625" style="60" bestFit="1" customWidth="1"/>
    <col min="25" max="25" width="5.5" style="60" bestFit="1" customWidth="1"/>
    <col min="26" max="26" width="4.83203125" style="60" bestFit="1" customWidth="1"/>
    <col min="27" max="27" width="5.6640625" style="60" bestFit="1" customWidth="1"/>
    <col min="28" max="29" width="5.5" style="60" bestFit="1" customWidth="1"/>
    <col min="30" max="30" width="5.83203125" style="60" bestFit="1" customWidth="1"/>
    <col min="31" max="31" width="5.5" style="60" bestFit="1" customWidth="1"/>
    <col min="32" max="32" width="5.33203125" style="60" bestFit="1" customWidth="1"/>
    <col min="33" max="33" width="5.5" style="60" bestFit="1" customWidth="1"/>
    <col min="34" max="34" width="5.83203125" style="60" bestFit="1" customWidth="1"/>
    <col min="35" max="35" width="5.5" style="60" bestFit="1" customWidth="1"/>
    <col min="36" max="36" width="6.1640625" style="60" bestFit="1" customWidth="1"/>
    <col min="37" max="37" width="5.5" style="60" bestFit="1" customWidth="1"/>
    <col min="38" max="38" width="4.83203125" style="60" bestFit="1" customWidth="1"/>
    <col min="39" max="39" width="5.6640625" style="60" bestFit="1" customWidth="1"/>
    <col min="40" max="41" width="5.5" style="60" bestFit="1" customWidth="1"/>
    <col min="42" max="42" width="5.83203125" style="60" bestFit="1" customWidth="1"/>
    <col min="43" max="43" width="5.5" style="60" bestFit="1" customWidth="1"/>
    <col min="44" max="44" width="5.33203125" style="60" bestFit="1" customWidth="1"/>
    <col min="45" max="45" width="5.5" style="60" bestFit="1" customWidth="1"/>
    <col min="46" max="46" width="5.83203125" style="60" bestFit="1" customWidth="1"/>
    <col min="47" max="47" width="5.5" style="60" bestFit="1" customWidth="1"/>
    <col min="48" max="48" width="6.1640625" style="60" bestFit="1" customWidth="1"/>
    <col min="49" max="49" width="5.5" style="60" bestFit="1" customWidth="1"/>
    <col min="50" max="50" width="4.83203125" style="60" bestFit="1" customWidth="1"/>
    <col min="51" max="53" width="7.1640625" style="60" bestFit="1" customWidth="1"/>
    <col min="54" max="55" width="5.6640625" style="60" bestFit="1" customWidth="1"/>
    <col min="56" max="57" width="4.33203125" style="60" bestFit="1" customWidth="1"/>
    <col min="58" max="61" width="6.33203125" style="60" bestFit="1" customWidth="1"/>
    <col min="62" max="65" width="6.1640625" style="60" bestFit="1" customWidth="1"/>
    <col min="66" max="69" width="5.6640625" style="60" bestFit="1" customWidth="1"/>
    <col min="70" max="73" width="5.5" style="60" bestFit="1" customWidth="1"/>
    <col min="74" max="77" width="5.1640625" style="60" bestFit="1" customWidth="1"/>
    <col min="78" max="81" width="5.5" style="60" bestFit="1" customWidth="1"/>
    <col min="82" max="82" width="6.1640625" style="60" bestFit="1" customWidth="1"/>
    <col min="83" max="85" width="5.6640625" style="60" bestFit="1" customWidth="1"/>
    <col min="86" max="88" width="5.5" style="60" bestFit="1" customWidth="1"/>
    <col min="89" max="89" width="6.5" style="60" bestFit="1" customWidth="1"/>
    <col min="90" max="91" width="6.33203125" style="60" bestFit="1" customWidth="1"/>
    <col min="92" max="16384" width="8.6640625" style="60"/>
  </cols>
  <sheetData>
    <row r="1" spans="1:141">
      <c r="A1" s="59" t="s">
        <v>377</v>
      </c>
      <c r="B1" s="59" t="s">
        <v>378</v>
      </c>
      <c r="C1" s="59" t="s">
        <v>379</v>
      </c>
      <c r="D1" s="59" t="s">
        <v>380</v>
      </c>
      <c r="E1" s="59" t="s">
        <v>381</v>
      </c>
      <c r="F1" s="59" t="s">
        <v>43</v>
      </c>
      <c r="H1" s="61">
        <v>6</v>
      </c>
      <c r="I1" s="61">
        <v>7</v>
      </c>
      <c r="J1" s="61">
        <v>8</v>
      </c>
      <c r="K1" s="61">
        <v>9</v>
      </c>
      <c r="L1" s="61">
        <v>10</v>
      </c>
      <c r="M1" s="61">
        <v>11</v>
      </c>
      <c r="N1" s="61">
        <v>12</v>
      </c>
      <c r="O1" s="61">
        <v>13</v>
      </c>
      <c r="P1" s="61">
        <v>14</v>
      </c>
      <c r="Q1" s="61">
        <v>15</v>
      </c>
      <c r="R1" s="61">
        <v>16</v>
      </c>
      <c r="S1" s="61">
        <v>17</v>
      </c>
    </row>
    <row r="2" spans="1:141">
      <c r="A2" s="60" t="s">
        <v>223</v>
      </c>
      <c r="B2" s="60" t="s">
        <v>623</v>
      </c>
      <c r="C2" s="60">
        <v>1</v>
      </c>
      <c r="D2" s="64"/>
      <c r="E2" s="65">
        <v>118.176</v>
      </c>
      <c r="I2" s="84"/>
      <c r="J2" s="84"/>
      <c r="K2" s="84"/>
      <c r="L2" s="84"/>
      <c r="M2" s="84"/>
    </row>
    <row r="3" spans="1:141">
      <c r="A3" s="63"/>
      <c r="B3" s="66"/>
      <c r="D3" s="64"/>
      <c r="L3" s="64"/>
      <c r="M3" s="67"/>
    </row>
    <row r="4" spans="1:141" ht="30">
      <c r="A4" s="60" t="s">
        <v>624</v>
      </c>
      <c r="C4" s="60" t="s">
        <v>526</v>
      </c>
      <c r="H4" s="69">
        <v>43831</v>
      </c>
      <c r="I4" s="69">
        <v>43862</v>
      </c>
      <c r="J4" s="69">
        <v>43891</v>
      </c>
      <c r="K4" s="69">
        <v>43922</v>
      </c>
      <c r="L4" s="69">
        <v>43952</v>
      </c>
      <c r="M4" s="69">
        <v>43983</v>
      </c>
      <c r="N4" s="69">
        <v>44013</v>
      </c>
      <c r="O4" s="69">
        <v>44044</v>
      </c>
      <c r="P4" s="69">
        <v>44075</v>
      </c>
      <c r="Q4" s="69">
        <v>44105</v>
      </c>
      <c r="R4" s="69">
        <v>44136</v>
      </c>
      <c r="S4" s="69">
        <v>44166</v>
      </c>
      <c r="T4" s="69">
        <v>44197</v>
      </c>
      <c r="U4" s="69">
        <v>44228</v>
      </c>
      <c r="V4" s="69">
        <v>44256</v>
      </c>
      <c r="W4" s="69">
        <v>44287</v>
      </c>
      <c r="X4" s="69">
        <v>44317</v>
      </c>
      <c r="Y4" s="69">
        <v>44348</v>
      </c>
      <c r="Z4" s="69">
        <v>44378</v>
      </c>
      <c r="AA4" s="69">
        <v>44409</v>
      </c>
      <c r="AB4" s="69">
        <v>44440</v>
      </c>
      <c r="AC4" s="69">
        <v>44470</v>
      </c>
      <c r="AD4" s="69">
        <v>44501</v>
      </c>
      <c r="AE4" s="69">
        <v>44531</v>
      </c>
      <c r="AF4" s="69">
        <v>44562</v>
      </c>
      <c r="AG4" s="69">
        <v>44593</v>
      </c>
      <c r="AH4" s="69">
        <v>44621</v>
      </c>
      <c r="AI4" s="69">
        <v>44652</v>
      </c>
      <c r="AJ4" s="69">
        <v>44682</v>
      </c>
      <c r="AK4" s="69">
        <v>44713</v>
      </c>
      <c r="AL4" s="69">
        <v>44743</v>
      </c>
      <c r="AM4" s="69">
        <v>44774</v>
      </c>
      <c r="AN4" s="69">
        <v>44805</v>
      </c>
      <c r="AO4" s="69">
        <v>44835</v>
      </c>
      <c r="AP4" s="69">
        <v>44866</v>
      </c>
      <c r="AQ4" s="69">
        <v>44896</v>
      </c>
      <c r="AR4" s="69">
        <v>44927</v>
      </c>
      <c r="AS4" s="69">
        <v>44958</v>
      </c>
      <c r="AT4" s="69">
        <v>44986</v>
      </c>
      <c r="AU4" s="69">
        <v>45017</v>
      </c>
      <c r="AV4" s="69">
        <v>45047</v>
      </c>
      <c r="AW4" s="69">
        <v>45078</v>
      </c>
      <c r="AX4" s="69">
        <v>45108</v>
      </c>
      <c r="AY4" s="69" t="s">
        <v>530</v>
      </c>
      <c r="AZ4" s="69" t="s">
        <v>531</v>
      </c>
      <c r="BA4" s="69" t="s">
        <v>532</v>
      </c>
      <c r="BB4" s="69">
        <v>37104</v>
      </c>
      <c r="BC4" s="69">
        <v>37469</v>
      </c>
      <c r="BD4" s="34" t="s">
        <v>168</v>
      </c>
      <c r="BE4" s="34" t="s">
        <v>169</v>
      </c>
      <c r="BF4" s="69" t="s">
        <v>393</v>
      </c>
      <c r="BG4" s="69" t="s">
        <v>458</v>
      </c>
      <c r="BH4" s="69" t="s">
        <v>459</v>
      </c>
      <c r="BI4" s="69" t="s">
        <v>460</v>
      </c>
      <c r="BJ4" s="69" t="s">
        <v>461</v>
      </c>
      <c r="BK4" s="69" t="s">
        <v>462</v>
      </c>
      <c r="BL4" s="69" t="s">
        <v>463</v>
      </c>
      <c r="BM4" s="69" t="s">
        <v>464</v>
      </c>
      <c r="BN4" s="59">
        <v>37196</v>
      </c>
      <c r="BO4" s="59">
        <v>37561</v>
      </c>
      <c r="BP4" s="59">
        <v>37926</v>
      </c>
      <c r="BQ4" s="59">
        <v>38292</v>
      </c>
      <c r="BR4" s="59">
        <v>37226</v>
      </c>
      <c r="BS4" s="59">
        <v>37591</v>
      </c>
      <c r="BT4" s="59">
        <v>37956</v>
      </c>
      <c r="BU4" s="59">
        <v>38322</v>
      </c>
      <c r="BV4" s="59">
        <v>36892</v>
      </c>
      <c r="BW4" s="59">
        <v>37257</v>
      </c>
      <c r="BX4" s="59">
        <v>37622</v>
      </c>
      <c r="BY4" s="59">
        <v>37987</v>
      </c>
      <c r="BZ4" s="59">
        <v>36923</v>
      </c>
      <c r="CA4" s="59">
        <v>37288</v>
      </c>
      <c r="CB4" s="59">
        <v>37653</v>
      </c>
      <c r="CC4" s="59">
        <v>38018</v>
      </c>
      <c r="CD4" s="59" t="str">
        <f>Sheet8!A15</f>
        <v>Mar-w1</v>
      </c>
      <c r="CE4" s="59">
        <v>37316</v>
      </c>
      <c r="CF4" s="59">
        <v>37681</v>
      </c>
      <c r="CG4" s="59">
        <v>38047</v>
      </c>
      <c r="CH4" s="59" t="str">
        <f>Sheet8!E15</f>
        <v>Apr-w1</v>
      </c>
      <c r="CI4" s="59" t="str">
        <f>Sheet8!F15</f>
        <v>Apr-w2</v>
      </c>
      <c r="CJ4" s="59" t="str">
        <f>Sheet8!G15</f>
        <v>Apr-w3</v>
      </c>
      <c r="CK4" s="59" t="str">
        <f>Sheet8!H15</f>
        <v>Apr-w4</v>
      </c>
      <c r="CL4" s="59" t="str">
        <f>Sheet8!I15</f>
        <v>May-w1</v>
      </c>
      <c r="CM4" s="59" t="str">
        <f>Sheet8!J15</f>
        <v>May-w2</v>
      </c>
      <c r="CN4" s="59" t="str">
        <f>Sheet8!K15</f>
        <v>May-w3</v>
      </c>
      <c r="CO4" s="59" t="str">
        <f>Sheet8!L15</f>
        <v>May-w4</v>
      </c>
      <c r="CP4" s="59" t="str">
        <f>Sheet8!M15</f>
        <v>May-w5</v>
      </c>
      <c r="CQ4" s="59" t="str">
        <f>Sheet8!N15</f>
        <v>june-w1</v>
      </c>
      <c r="CR4" s="59" t="str">
        <f>Sheet8!O15</f>
        <v>june-w2</v>
      </c>
      <c r="CS4" s="59" t="str">
        <f>Sheet8!P15</f>
        <v>june-w3</v>
      </c>
      <c r="CT4" s="59" t="str">
        <f>Sheet8!Q15</f>
        <v>june-w4</v>
      </c>
      <c r="CU4" s="59" t="str">
        <f>Sheet8!R15</f>
        <v>Jul-w1</v>
      </c>
      <c r="CV4" s="59" t="str">
        <f>Sheet8!S15</f>
        <v>Jul-w2</v>
      </c>
      <c r="CW4" s="59" t="str">
        <f>Sheet8!T15</f>
        <v>Jul-w3</v>
      </c>
      <c r="CX4" s="59" t="str">
        <f>Sheet8!U15</f>
        <v>Jul-w4</v>
      </c>
      <c r="CY4" s="59" t="str">
        <f>Sheet8!V15</f>
        <v>Aug-w1</v>
      </c>
      <c r="CZ4" s="59" t="str">
        <f>Sheet8!W15</f>
        <v>Aug-w2</v>
      </c>
      <c r="DA4" s="59" t="str">
        <f>Sheet8!X15</f>
        <v>Aug-w3</v>
      </c>
      <c r="DB4" s="59" t="str">
        <f>Sheet8!Y15</f>
        <v>Aug-w4</v>
      </c>
      <c r="DC4" s="59" t="str">
        <f>Sheet8!Z15</f>
        <v>Sep-w1</v>
      </c>
      <c r="DD4" s="59" t="str">
        <f>Sheet8!AA15</f>
        <v>Sep-w2</v>
      </c>
      <c r="DE4" s="59" t="str">
        <f>Sheet8!AB15</f>
        <v>Sep-w3</v>
      </c>
      <c r="DF4" s="59" t="str">
        <f>Sheet8!AC15</f>
        <v>Sep-w4</v>
      </c>
      <c r="DG4" s="59" t="str">
        <f>Sheet8!AD15</f>
        <v>Oct-w1</v>
      </c>
      <c r="DH4" s="59" t="str">
        <f>Sheet8!AE15</f>
        <v>Oct-w2</v>
      </c>
      <c r="DI4" s="59" t="str">
        <f>Sheet8!AF15</f>
        <v>Oct-w3</v>
      </c>
      <c r="DJ4" s="59" t="str">
        <f>Sheet8!AG15</f>
        <v>Oct-w4</v>
      </c>
      <c r="DK4" s="59" t="str">
        <f>Sheet8!AH15</f>
        <v>Nov-w1</v>
      </c>
      <c r="DL4" s="59" t="str">
        <f>Sheet8!AI15</f>
        <v>Nov-w2</v>
      </c>
      <c r="DM4" s="59" t="str">
        <f>Sheet8!AJ15</f>
        <v>Nov-w3</v>
      </c>
      <c r="DN4" s="59" t="str">
        <f>Sheet8!AK15</f>
        <v>Nov-w4</v>
      </c>
      <c r="DO4" s="59" t="str">
        <f>Sheet8!AL15</f>
        <v>Dec-w1</v>
      </c>
      <c r="DP4" s="59" t="str">
        <f>Sheet8!AM15</f>
        <v>Dec-w2</v>
      </c>
      <c r="DQ4" s="59" t="str">
        <f>Sheet8!AN15</f>
        <v>Dec-w3</v>
      </c>
      <c r="DR4" s="59" t="str">
        <f>Sheet8!AO15</f>
        <v>Dec-w4</v>
      </c>
      <c r="DS4" s="59">
        <f>Sheet8!AP15</f>
        <v>0</v>
      </c>
      <c r="DT4" s="59">
        <f>Sheet8!AQ15</f>
        <v>0</v>
      </c>
      <c r="DU4" s="59">
        <f>Sheet8!AR15</f>
        <v>0</v>
      </c>
      <c r="DV4" s="59">
        <f>Sheet8!AS15</f>
        <v>0</v>
      </c>
      <c r="DW4" s="59">
        <f>Sheet8!AT15</f>
        <v>0</v>
      </c>
      <c r="DX4" s="59">
        <f>Sheet8!AU15</f>
        <v>0</v>
      </c>
      <c r="DY4" s="59">
        <f>Sheet8!AV15</f>
        <v>0</v>
      </c>
      <c r="DZ4" s="59">
        <f>Sheet8!AW15</f>
        <v>0</v>
      </c>
      <c r="EA4" s="59">
        <f>Sheet8!AX15</f>
        <v>0</v>
      </c>
      <c r="EB4" s="59">
        <f>Sheet8!AY15</f>
        <v>0</v>
      </c>
      <c r="EC4" s="59">
        <f>Sheet8!AZ15</f>
        <v>0</v>
      </c>
      <c r="ED4" s="59">
        <f>Sheet8!BA15</f>
        <v>0</v>
      </c>
      <c r="EE4" s="59">
        <f>Sheet8!BB15</f>
        <v>0</v>
      </c>
      <c r="EF4" s="59">
        <f>Sheet8!BC15</f>
        <v>0</v>
      </c>
      <c r="EG4" s="59">
        <f>Sheet8!BD15</f>
        <v>0</v>
      </c>
      <c r="EH4" s="59">
        <f>Sheet8!BE15</f>
        <v>0</v>
      </c>
      <c r="EI4" s="59">
        <f>Sheet8!BF15</f>
        <v>0</v>
      </c>
      <c r="EJ4" s="59">
        <f>Sheet8!BG15</f>
        <v>0</v>
      </c>
      <c r="EK4" s="59">
        <f>Sheet8!BH15</f>
        <v>0</v>
      </c>
    </row>
    <row r="5" spans="1:141">
      <c r="A5" s="67">
        <v>116.16</v>
      </c>
      <c r="B5" s="64"/>
      <c r="C5" s="67">
        <v>2.1059999999999999</v>
      </c>
      <c r="D5" s="64"/>
      <c r="E5" s="60" t="s">
        <v>626</v>
      </c>
      <c r="G5" s="60" t="s">
        <v>624</v>
      </c>
      <c r="H5" s="65">
        <f>'Diacetone alcohol '!H10</f>
        <v>0.68400000000000005</v>
      </c>
      <c r="I5" s="65">
        <f>'Diacetone alcohol '!I10</f>
        <v>0.70629999999999993</v>
      </c>
      <c r="J5" s="65">
        <f>'Diacetone alcohol '!J10</f>
        <v>0.64379999999999993</v>
      </c>
      <c r="K5" s="65">
        <f>'Diacetone alcohol '!K10</f>
        <v>0.59</v>
      </c>
      <c r="L5" s="65">
        <f>'Diacetone alcohol '!L10</f>
        <v>0.78400000000000003</v>
      </c>
      <c r="M5" s="65">
        <f>'Diacetone alcohol '!M10</f>
        <v>0.92879999999999996</v>
      </c>
      <c r="N5" s="65">
        <f>'Diacetone alcohol '!N10</f>
        <v>0.95350000000000001</v>
      </c>
      <c r="O5" s="65">
        <f>'Diacetone alcohol '!O10</f>
        <v>0.89249999999999996</v>
      </c>
      <c r="P5" s="65">
        <f>'Diacetone alcohol '!P10</f>
        <v>0.88500000000000001</v>
      </c>
      <c r="Q5" s="65">
        <f>'Diacetone alcohol '!Q10</f>
        <v>0.90800000000000003</v>
      </c>
      <c r="R5" s="65">
        <f>'Diacetone alcohol '!R10</f>
        <v>0.96379999999999999</v>
      </c>
      <c r="S5" s="65">
        <f>'Diacetone alcohol '!S10</f>
        <v>1.0537999999999998</v>
      </c>
      <c r="T5" s="65">
        <f>'Diacetone alcohol '!T10</f>
        <v>0.99250000000000005</v>
      </c>
      <c r="U5" s="65">
        <f>'Diacetone alcohol '!U10</f>
        <v>1.085</v>
      </c>
      <c r="V5" s="65">
        <f>'Diacetone alcohol '!V10</f>
        <v>1.28</v>
      </c>
      <c r="W5" s="65">
        <f>'Diacetone alcohol '!W10</f>
        <v>1.3049999999999999</v>
      </c>
      <c r="X5" s="65">
        <f>'Diacetone alcohol '!X10</f>
        <v>1.2375</v>
      </c>
      <c r="Y5" s="65">
        <f>'Diacetone alcohol '!Y10</f>
        <v>1.0287999999999999</v>
      </c>
      <c r="Z5" s="65">
        <f>'Diacetone alcohol '!Z10</f>
        <v>0.86399999999999999</v>
      </c>
      <c r="AA5" s="65">
        <f>'Diacetone alcohol '!AA10</f>
        <v>0.82250000000000001</v>
      </c>
      <c r="AB5" s="65">
        <f>'Diacetone alcohol '!AB10</f>
        <v>0.83899999999999997</v>
      </c>
      <c r="AC5" s="65">
        <f>'Diacetone alcohol '!AC10</f>
        <v>0.90200000000000002</v>
      </c>
      <c r="AD5" s="65">
        <f>'Diacetone alcohol '!AD10</f>
        <v>0.89379999999999993</v>
      </c>
      <c r="AE5" s="65">
        <f>'Diacetone alcohol '!AE10</f>
        <v>0.83499999999999996</v>
      </c>
      <c r="AF5" s="65">
        <f>'Diacetone alcohol '!AF10</f>
        <v>0.82250000000000001</v>
      </c>
      <c r="AG5" s="65">
        <f>'Diacetone alcohol '!AG10</f>
        <v>0.875</v>
      </c>
      <c r="AH5" s="65">
        <f>'Diacetone alcohol '!AH10</f>
        <v>0.98629999999999995</v>
      </c>
      <c r="AI5" s="65">
        <f>'Diacetone alcohol '!AI10</f>
        <v>0.96199999999999997</v>
      </c>
      <c r="AJ5" s="65">
        <f>'Diacetone alcohol '!AJ10</f>
        <v>0.95499999999999996</v>
      </c>
      <c r="AK5" s="65">
        <f>'Diacetone alcohol '!AK10</f>
        <v>0.96</v>
      </c>
      <c r="AL5" s="65">
        <f>'Diacetone alcohol '!AL10</f>
        <v>0.95199999999999996</v>
      </c>
      <c r="AM5" s="65">
        <f>'Diacetone alcohol '!AM10</f>
        <v>0.875</v>
      </c>
      <c r="AN5" s="65">
        <f>'Diacetone alcohol '!AN10</f>
        <v>0.83750000000000002</v>
      </c>
      <c r="AO5" s="65">
        <f>'Diacetone alcohol '!AO10</f>
        <v>0.81879999999999997</v>
      </c>
      <c r="AP5" s="65">
        <f>'Diacetone alcohol '!AP10</f>
        <v>0.78500000000000003</v>
      </c>
      <c r="AQ5" s="65">
        <f>'Diacetone alcohol '!AQ10</f>
        <v>0.79</v>
      </c>
      <c r="AR5" s="65">
        <f>'Diacetone alcohol '!AR10</f>
        <v>0.79</v>
      </c>
      <c r="AS5" s="65">
        <f>'Diacetone alcohol '!AS10</f>
        <v>0.83379999999999999</v>
      </c>
      <c r="AT5" s="65">
        <f>'Diacetone alcohol '!AT10</f>
        <v>0.91500000000000004</v>
      </c>
      <c r="AU5" s="65">
        <f>'Diacetone alcohol '!AU10</f>
        <v>0.91500000000000004</v>
      </c>
      <c r="AV5" s="65">
        <f>'Diacetone alcohol '!AV10</f>
        <v>0.9325</v>
      </c>
      <c r="AW5" s="65">
        <f>'Diacetone alcohol '!AW10</f>
        <v>0.92249999999999999</v>
      </c>
      <c r="AX5" s="65">
        <f>'Diacetone alcohol '!AX10</f>
        <v>0.8</v>
      </c>
      <c r="AY5" s="65">
        <f>'Diacetone alcohol '!AY10</f>
        <v>0.81499999999999995</v>
      </c>
      <c r="AZ5" s="65">
        <f>'Diacetone alcohol '!AZ10</f>
        <v>0.81499999999999995</v>
      </c>
      <c r="BA5" s="65">
        <f>'Diacetone alcohol '!BA10</f>
        <v>0.82499999999999996</v>
      </c>
      <c r="BB5" s="65">
        <f>'Diacetone alcohol '!BB10</f>
        <v>0.84499999999999997</v>
      </c>
      <c r="BC5" s="65">
        <f>'Diacetone alcohol '!BC10</f>
        <v>0.86</v>
      </c>
      <c r="BD5" s="65">
        <f>'Diacetone alcohol '!BD10</f>
        <v>0.86499999999999999</v>
      </c>
      <c r="BE5" s="65">
        <f>'Diacetone alcohol '!BE10</f>
        <v>0.86499999999999999</v>
      </c>
      <c r="BF5" s="65">
        <f>'Diacetone alcohol '!BF10</f>
        <v>0.86499999999999999</v>
      </c>
      <c r="BG5" s="65">
        <f>'Diacetone alcohol '!BG10</f>
        <v>0.875</v>
      </c>
      <c r="BH5" s="65">
        <f>'Diacetone alcohol '!BH10</f>
        <v>0.875</v>
      </c>
      <c r="BI5" s="65">
        <f>'Diacetone alcohol '!BI10</f>
        <v>0.92500000000000004</v>
      </c>
      <c r="BJ5" s="65">
        <f>'Diacetone alcohol '!BJ10</f>
        <v>0.94</v>
      </c>
      <c r="BK5" s="65">
        <f>'Diacetone alcohol '!BK10</f>
        <v>0.95</v>
      </c>
      <c r="BL5" s="65">
        <f>'Diacetone alcohol '!BL10</f>
        <v>0.92</v>
      </c>
      <c r="BM5" s="65">
        <f>'Diacetone alcohol '!BM10</f>
        <v>0.92</v>
      </c>
      <c r="BN5" s="65">
        <f>'Diacetone alcohol '!BN10</f>
        <v>0.92</v>
      </c>
      <c r="BO5" s="65">
        <f>'Diacetone alcohol '!BO10</f>
        <v>0.93</v>
      </c>
      <c r="BP5" s="65">
        <f>'Diacetone alcohol '!BP10</f>
        <v>0.93</v>
      </c>
      <c r="BQ5" s="65">
        <f>'Diacetone alcohol '!BQ10</f>
        <v>0.93</v>
      </c>
      <c r="BR5" s="65">
        <f>'Diacetone alcohol '!BR10</f>
        <v>0.90500000000000003</v>
      </c>
      <c r="BS5" s="65">
        <f>'Diacetone alcohol '!BS10</f>
        <v>0.90500000000000003</v>
      </c>
      <c r="BT5" s="65">
        <f>'Diacetone alcohol '!BT10</f>
        <v>0.90500000000000003</v>
      </c>
      <c r="BU5" s="65">
        <f>'Diacetone alcohol '!BU10</f>
        <v>0.90500000000000003</v>
      </c>
      <c r="BV5" s="65">
        <f>'Diacetone alcohol '!BV10</f>
        <v>0.93</v>
      </c>
      <c r="BW5" s="65">
        <f>'Diacetone alcohol '!BW10</f>
        <v>0.92500000000000004</v>
      </c>
      <c r="BX5" s="65">
        <f>'Diacetone alcohol '!BX10</f>
        <v>0.92500000000000004</v>
      </c>
      <c r="BY5" s="65">
        <f>'Diacetone alcohol '!BY10</f>
        <v>0.96</v>
      </c>
      <c r="BZ5" s="65">
        <f>'Diacetone alcohol '!BZ10</f>
        <v>0.96</v>
      </c>
      <c r="CA5" s="65">
        <f>'Diacetone alcohol '!CA10</f>
        <v>0.98</v>
      </c>
      <c r="CB5" s="65">
        <f>'Diacetone alcohol '!CB10</f>
        <v>1.03</v>
      </c>
      <c r="CC5" s="65">
        <f>'Diacetone alcohol '!CC10</f>
        <v>1.03</v>
      </c>
      <c r="CD5" s="65">
        <f>'Diacetone alcohol '!CD10</f>
        <v>1.03</v>
      </c>
      <c r="CE5" s="65">
        <f>'Diacetone alcohol '!CE10</f>
        <v>1.03</v>
      </c>
      <c r="CF5" s="65">
        <f>'Diacetone alcohol '!CF10</f>
        <v>1.04</v>
      </c>
      <c r="CG5" s="65">
        <f>'Diacetone alcohol '!CG10</f>
        <v>1.04</v>
      </c>
      <c r="CH5" s="65">
        <f>'Diacetone alcohol '!CH10</f>
        <v>1.04</v>
      </c>
      <c r="CI5" s="65">
        <f>'Diacetone alcohol '!CI10</f>
        <v>1.04</v>
      </c>
      <c r="CJ5" s="65">
        <f>'Diacetone alcohol '!CJ10</f>
        <v>1.04</v>
      </c>
      <c r="CK5" s="65">
        <f>'Diacetone alcohol '!CK10</f>
        <v>1.06</v>
      </c>
      <c r="CL5" s="65">
        <f>'Diacetone alcohol '!CL10</f>
        <v>1.06</v>
      </c>
      <c r="CM5" s="65">
        <f>'Diacetone alcohol '!CM10</f>
        <v>1.07</v>
      </c>
      <c r="CN5" s="65">
        <f>'Diacetone alcohol '!CN10</f>
        <v>1.07</v>
      </c>
      <c r="CO5" s="65">
        <f>'Diacetone alcohol '!CO10</f>
        <v>1.07</v>
      </c>
      <c r="CP5" s="65">
        <f>'Diacetone alcohol '!CP10</f>
        <v>1.07</v>
      </c>
      <c r="CQ5" s="65">
        <f>'Diacetone alcohol '!CQ10</f>
        <v>1.07</v>
      </c>
      <c r="CR5" s="65">
        <f>'Diacetone alcohol '!CR10</f>
        <v>1.0649999999999999</v>
      </c>
      <c r="CS5" s="65">
        <f>'Diacetone alcohol '!CS10</f>
        <v>1.075</v>
      </c>
      <c r="CT5" s="65">
        <f>'Diacetone alcohol '!CT10</f>
        <v>1.07</v>
      </c>
      <c r="CU5" s="65">
        <f>'Diacetone alcohol '!CU10</f>
        <v>1.07</v>
      </c>
      <c r="CV5" s="65">
        <f>'Diacetone alcohol '!CV10</f>
        <v>1.07</v>
      </c>
      <c r="CW5" s="65">
        <f>'Diacetone alcohol '!CW10</f>
        <v>1.04</v>
      </c>
      <c r="CX5" s="65">
        <f>'Diacetone alcohol '!CX10</f>
        <v>1.02</v>
      </c>
      <c r="CY5" s="65">
        <f>'Diacetone alcohol '!CY10</f>
        <v>1.02</v>
      </c>
      <c r="CZ5" s="65">
        <f>'Diacetone alcohol '!CZ10</f>
        <v>1.02</v>
      </c>
      <c r="DA5" s="65">
        <f>'Diacetone alcohol '!DA10</f>
        <v>1.02</v>
      </c>
      <c r="DB5" s="65">
        <f>'Diacetone alcohol '!DB10</f>
        <v>1.0125</v>
      </c>
      <c r="DC5" s="65">
        <f>'Diacetone alcohol '!DC10</f>
        <v>0.96</v>
      </c>
      <c r="DD5" s="65">
        <f>'Diacetone alcohol '!DD10</f>
        <v>0.95499999999999996</v>
      </c>
      <c r="DE5" s="65">
        <f>'Diacetone alcohol '!DE10</f>
        <v>0.875</v>
      </c>
      <c r="DF5" s="65">
        <f>'Diacetone alcohol '!DF10</f>
        <v>0.85</v>
      </c>
      <c r="DG5" s="65">
        <f>'Diacetone alcohol '!DG10</f>
        <v>0.86499999999999999</v>
      </c>
      <c r="DH5" s="65">
        <f>'Diacetone alcohol '!DH10</f>
        <v>0.85499999999999998</v>
      </c>
      <c r="DI5" s="65">
        <f>'Diacetone alcohol '!DI10</f>
        <v>0.84</v>
      </c>
      <c r="DJ5" s="65">
        <f>'Diacetone alcohol '!DJ10</f>
        <v>0.84</v>
      </c>
      <c r="DK5" s="65">
        <f>'Diacetone alcohol '!DK10</f>
        <v>0.84</v>
      </c>
      <c r="DL5" s="65">
        <f>'Diacetone alcohol '!DL10</f>
        <v>0.82</v>
      </c>
      <c r="DM5" s="65">
        <f>'Diacetone alcohol '!DM10</f>
        <v>0.79</v>
      </c>
      <c r="DN5" s="65">
        <f>'Diacetone alcohol '!DN10</f>
        <v>0.78</v>
      </c>
      <c r="DO5" s="65">
        <f>'Diacetone alcohol '!DO10</f>
        <v>0.78</v>
      </c>
      <c r="DP5" s="65">
        <f>'Diacetone alcohol '!DP10</f>
        <v>0.76</v>
      </c>
      <c r="DQ5" s="65">
        <f>'Diacetone alcohol '!DQ10</f>
        <v>0.75</v>
      </c>
      <c r="DR5" s="65">
        <f>'Diacetone alcohol '!DR10</f>
        <v>0.745</v>
      </c>
      <c r="DS5" s="65">
        <f>'Diacetone alcohol '!DS10</f>
        <v>0</v>
      </c>
      <c r="DT5" s="65">
        <f>'Diacetone alcohol '!DT10</f>
        <v>0</v>
      </c>
      <c r="DU5" s="65">
        <f>'Diacetone alcohol '!DU10</f>
        <v>0</v>
      </c>
      <c r="DV5" s="65">
        <f>'Diacetone alcohol '!DV10</f>
        <v>0</v>
      </c>
      <c r="DW5" s="65">
        <f>'Diacetone alcohol '!DW10</f>
        <v>0</v>
      </c>
      <c r="DX5" s="65">
        <f>'Diacetone alcohol '!DX10</f>
        <v>0</v>
      </c>
      <c r="DY5" s="65">
        <f>'Diacetone alcohol '!DY10</f>
        <v>0</v>
      </c>
      <c r="DZ5" s="65">
        <f>'Diacetone alcohol '!DZ10</f>
        <v>0</v>
      </c>
      <c r="EA5" s="65">
        <f>'Diacetone alcohol '!EA10</f>
        <v>0</v>
      </c>
      <c r="EB5" s="65">
        <f>'Diacetone alcohol '!EB10</f>
        <v>0</v>
      </c>
      <c r="EC5" s="65">
        <f>'Diacetone alcohol '!EC10</f>
        <v>0</v>
      </c>
      <c r="ED5" s="65">
        <f>'Diacetone alcohol '!ED10</f>
        <v>0</v>
      </c>
      <c r="EE5" s="65">
        <f>'Diacetone alcohol '!EE10</f>
        <v>0</v>
      </c>
      <c r="EF5" s="65">
        <f>'Diacetone alcohol '!EF10</f>
        <v>0</v>
      </c>
      <c r="EG5" s="65">
        <f>'Diacetone alcohol '!EG10</f>
        <v>0</v>
      </c>
      <c r="EH5" s="65">
        <f>'Diacetone alcohol '!EH10</f>
        <v>0</v>
      </c>
      <c r="EI5" s="65">
        <f>'Diacetone alcohol '!EI10</f>
        <v>0</v>
      </c>
      <c r="EJ5" s="65">
        <f>'Diacetone alcohol '!EJ10</f>
        <v>0</v>
      </c>
      <c r="EK5" s="65">
        <f>'Diacetone alcohol '!EK10</f>
        <v>0</v>
      </c>
    </row>
    <row r="6" spans="1:141">
      <c r="A6" s="63"/>
      <c r="B6" s="64"/>
      <c r="C6" s="68"/>
      <c r="D6" s="64"/>
      <c r="G6" s="60" t="s">
        <v>526</v>
      </c>
      <c r="I6" s="67"/>
      <c r="J6" s="85"/>
      <c r="K6" s="67"/>
      <c r="L6" s="85"/>
    </row>
    <row r="7" spans="1:141">
      <c r="A7" s="69" t="s">
        <v>395</v>
      </c>
      <c r="B7" s="69"/>
      <c r="C7" s="69" t="s">
        <v>379</v>
      </c>
      <c r="D7" s="69" t="s">
        <v>380</v>
      </c>
      <c r="E7" s="69" t="s">
        <v>381</v>
      </c>
      <c r="F7" s="69" t="s">
        <v>396</v>
      </c>
      <c r="G7" s="69"/>
      <c r="H7" s="86"/>
      <c r="I7" s="86"/>
      <c r="J7" s="86"/>
      <c r="K7" s="86"/>
      <c r="L7" s="86"/>
      <c r="M7" s="86"/>
      <c r="N7" s="86"/>
      <c r="O7" s="86"/>
      <c r="P7" s="86"/>
      <c r="Q7" s="86"/>
      <c r="R7" s="86"/>
      <c r="S7" s="86"/>
    </row>
    <row r="8" spans="1:141">
      <c r="A8" s="86"/>
      <c r="B8" s="86"/>
      <c r="C8" s="86"/>
      <c r="D8" s="86"/>
      <c r="E8" s="86"/>
      <c r="F8" s="86"/>
      <c r="G8" s="86"/>
      <c r="H8" s="86"/>
      <c r="I8" s="86"/>
      <c r="J8" s="86"/>
      <c r="K8" s="86"/>
      <c r="L8" s="86"/>
      <c r="M8" s="86"/>
      <c r="N8" s="86"/>
      <c r="O8" s="86"/>
      <c r="P8" s="86"/>
      <c r="Q8" s="86"/>
      <c r="R8" s="86"/>
      <c r="S8" s="86"/>
    </row>
    <row r="9" spans="1:141" ht="13">
      <c r="A9" s="63" t="s">
        <v>397</v>
      </c>
      <c r="B9" s="60" t="s">
        <v>624</v>
      </c>
      <c r="C9" s="60">
        <v>1</v>
      </c>
      <c r="D9" s="64">
        <f>A5</f>
        <v>116.16</v>
      </c>
      <c r="E9" s="60">
        <f>D9*C9</f>
        <v>116.16</v>
      </c>
      <c r="F9" s="65">
        <f>E9/E2</f>
        <v>0.9829406986190089</v>
      </c>
      <c r="H9" s="74">
        <f>$F$9*H5</f>
        <v>0.67233143785540217</v>
      </c>
      <c r="I9" s="74">
        <f t="shared" ref="I9:BF9" si="0">$F$9*I5</f>
        <v>0.69425101543460588</v>
      </c>
      <c r="J9" s="74">
        <f t="shared" si="0"/>
        <v>0.63281722177091781</v>
      </c>
      <c r="K9" s="74">
        <f t="shared" si="0"/>
        <v>0.57993501218521526</v>
      </c>
      <c r="L9" s="74">
        <f t="shared" si="0"/>
        <v>0.77062550771730298</v>
      </c>
      <c r="M9" s="74">
        <f t="shared" si="0"/>
        <v>0.91295532087733544</v>
      </c>
      <c r="N9" s="74">
        <f t="shared" si="0"/>
        <v>0.93723395613322502</v>
      </c>
      <c r="O9" s="74">
        <f t="shared" si="0"/>
        <v>0.87727457351746541</v>
      </c>
      <c r="P9" s="74">
        <f t="shared" si="0"/>
        <v>0.86990251827782283</v>
      </c>
      <c r="Q9" s="74">
        <f t="shared" si="0"/>
        <v>0.89251015434606007</v>
      </c>
      <c r="R9" s="74">
        <f t="shared" si="0"/>
        <v>0.94735824532900081</v>
      </c>
      <c r="S9" s="74">
        <f t="shared" si="0"/>
        <v>1.0358229082047115</v>
      </c>
      <c r="T9" s="74">
        <f t="shared" si="0"/>
        <v>0.97556864337936633</v>
      </c>
      <c r="U9" s="74">
        <f t="shared" si="0"/>
        <v>1.0664906580016247</v>
      </c>
      <c r="V9" s="74">
        <f t="shared" si="0"/>
        <v>1.2581640942323313</v>
      </c>
      <c r="W9" s="74">
        <f t="shared" si="0"/>
        <v>1.2827376116978066</v>
      </c>
      <c r="X9" s="74">
        <f t="shared" si="0"/>
        <v>1.2163891145410235</v>
      </c>
      <c r="Y9" s="74">
        <f t="shared" si="0"/>
        <v>1.0112493907392364</v>
      </c>
      <c r="Z9" s="74">
        <f t="shared" si="0"/>
        <v>0.84926076360682368</v>
      </c>
      <c r="AA9" s="74">
        <f t="shared" si="0"/>
        <v>0.80846872461413488</v>
      </c>
      <c r="AB9" s="74">
        <f t="shared" si="0"/>
        <v>0.82468724614134847</v>
      </c>
      <c r="AC9" s="74">
        <f t="shared" si="0"/>
        <v>0.88661251015434606</v>
      </c>
      <c r="AD9" s="74">
        <f t="shared" si="0"/>
        <v>0.87855239642567007</v>
      </c>
      <c r="AE9" s="74">
        <f t="shared" si="0"/>
        <v>0.82075548334687243</v>
      </c>
      <c r="AF9" s="74">
        <f t="shared" si="0"/>
        <v>0.80846872461413488</v>
      </c>
      <c r="AG9" s="74">
        <f t="shared" si="0"/>
        <v>0.86007311129163277</v>
      </c>
      <c r="AH9" s="74">
        <f t="shared" si="0"/>
        <v>0.96947441104792842</v>
      </c>
      <c r="AI9" s="74">
        <f t="shared" si="0"/>
        <v>0.94558895207148652</v>
      </c>
      <c r="AJ9" s="74">
        <f t="shared" si="0"/>
        <v>0.93870836718115347</v>
      </c>
      <c r="AK9" s="74">
        <f t="shared" si="0"/>
        <v>0.94362307067424855</v>
      </c>
      <c r="AL9" s="74">
        <f t="shared" si="0"/>
        <v>0.93575954508529646</v>
      </c>
      <c r="AM9" s="74">
        <f t="shared" si="0"/>
        <v>0.86007311129163277</v>
      </c>
      <c r="AN9" s="74">
        <f t="shared" si="0"/>
        <v>0.82321283509342003</v>
      </c>
      <c r="AO9" s="74">
        <f t="shared" si="0"/>
        <v>0.80483184402924446</v>
      </c>
      <c r="AP9" s="74">
        <f t="shared" si="0"/>
        <v>0.77160844841592202</v>
      </c>
      <c r="AQ9" s="74">
        <f t="shared" si="0"/>
        <v>0.77652315190901711</v>
      </c>
      <c r="AR9" s="74">
        <f t="shared" si="0"/>
        <v>0.77652315190901711</v>
      </c>
      <c r="AS9" s="74">
        <f t="shared" si="0"/>
        <v>0.8195759545085296</v>
      </c>
      <c r="AT9" s="74">
        <f t="shared" si="0"/>
        <v>0.89939073923639323</v>
      </c>
      <c r="AU9" s="74">
        <f t="shared" si="0"/>
        <v>0.89939073923639323</v>
      </c>
      <c r="AV9" s="74">
        <f t="shared" si="0"/>
        <v>0.91659220146222575</v>
      </c>
      <c r="AW9" s="74">
        <f t="shared" si="0"/>
        <v>0.90676279447603569</v>
      </c>
      <c r="AX9" s="74">
        <f t="shared" si="0"/>
        <v>0.78635255889520717</v>
      </c>
      <c r="AY9" s="74">
        <f t="shared" si="0"/>
        <v>0.8010966693744922</v>
      </c>
      <c r="AZ9" s="74">
        <f t="shared" si="0"/>
        <v>0.8010966693744922</v>
      </c>
      <c r="BA9" s="74">
        <f t="shared" si="0"/>
        <v>0.81092607636068226</v>
      </c>
      <c r="BB9" s="74">
        <f t="shared" si="0"/>
        <v>0.83058489033306249</v>
      </c>
      <c r="BC9" s="74">
        <f t="shared" si="0"/>
        <v>0.84532900081234763</v>
      </c>
      <c r="BD9" s="74">
        <f t="shared" si="0"/>
        <v>0.85024370430544272</v>
      </c>
      <c r="BE9" s="74">
        <f t="shared" si="0"/>
        <v>0.85024370430544272</v>
      </c>
      <c r="BF9" s="74">
        <f t="shared" si="0"/>
        <v>0.85024370430544272</v>
      </c>
      <c r="BG9" s="74">
        <f t="shared" ref="BG9:BN9" si="1">$F$9*BG5</f>
        <v>0.86007311129163277</v>
      </c>
      <c r="BH9" s="74">
        <f t="shared" si="1"/>
        <v>0.86007311129163277</v>
      </c>
      <c r="BI9" s="74">
        <f t="shared" si="1"/>
        <v>0.90922014622258329</v>
      </c>
      <c r="BJ9" s="74">
        <f t="shared" si="1"/>
        <v>0.92396425670186833</v>
      </c>
      <c r="BK9" s="74">
        <f t="shared" si="1"/>
        <v>0.93379366368805838</v>
      </c>
      <c r="BL9" s="74">
        <f t="shared" si="1"/>
        <v>0.90430544272948821</v>
      </c>
      <c r="BM9" s="74">
        <f t="shared" si="1"/>
        <v>0.90430544272948821</v>
      </c>
      <c r="BN9" s="74">
        <f t="shared" si="1"/>
        <v>0.90430544272948821</v>
      </c>
      <c r="BO9" s="74">
        <f t="shared" ref="BO9:BU9" si="2">$F$9*BO5</f>
        <v>0.91413484971567838</v>
      </c>
      <c r="BP9" s="74">
        <f t="shared" si="2"/>
        <v>0.91413484971567838</v>
      </c>
      <c r="BQ9" s="74">
        <f t="shared" si="2"/>
        <v>0.91413484971567838</v>
      </c>
      <c r="BR9" s="74">
        <f t="shared" si="2"/>
        <v>0.88956133225020306</v>
      </c>
      <c r="BS9" s="74">
        <f t="shared" si="2"/>
        <v>0.88956133225020306</v>
      </c>
      <c r="BT9" s="74">
        <f t="shared" si="2"/>
        <v>0.88956133225020306</v>
      </c>
      <c r="BU9" s="74">
        <f t="shared" si="2"/>
        <v>0.88956133225020306</v>
      </c>
      <c r="BV9" s="74">
        <f>$F$9*BV5</f>
        <v>0.91413484971567838</v>
      </c>
      <c r="BW9" s="74">
        <f>$F$9*BW5</f>
        <v>0.90922014622258329</v>
      </c>
      <c r="BX9" s="74">
        <f>$F$9*BX5</f>
        <v>0.90922014622258329</v>
      </c>
      <c r="BY9" s="74">
        <f t="shared" ref="BY9:CG9" si="3">$F$9*BY5</f>
        <v>0.94362307067424855</v>
      </c>
      <c r="BZ9" s="74">
        <f t="shared" si="3"/>
        <v>0.94362307067424855</v>
      </c>
      <c r="CA9" s="74">
        <f t="shared" si="3"/>
        <v>0.96328188464662867</v>
      </c>
      <c r="CB9" s="74">
        <f t="shared" si="3"/>
        <v>1.0124289195775793</v>
      </c>
      <c r="CC9" s="74">
        <f t="shared" si="3"/>
        <v>1.0124289195775793</v>
      </c>
      <c r="CD9" s="74">
        <f t="shared" si="3"/>
        <v>1.0124289195775793</v>
      </c>
      <c r="CE9" s="74">
        <f t="shared" si="3"/>
        <v>1.0124289195775793</v>
      </c>
      <c r="CF9" s="74">
        <f t="shared" si="3"/>
        <v>1.0222583265637692</v>
      </c>
      <c r="CG9" s="74">
        <f t="shared" si="3"/>
        <v>1.0222583265637692</v>
      </c>
      <c r="CH9" s="74">
        <f t="shared" ref="CH9:CM9" si="4">$F$9*CH5</f>
        <v>1.0222583265637692</v>
      </c>
      <c r="CI9" s="74">
        <f t="shared" si="4"/>
        <v>1.0222583265637692</v>
      </c>
      <c r="CJ9" s="74">
        <f t="shared" si="4"/>
        <v>1.0222583265637692</v>
      </c>
      <c r="CK9" s="74">
        <f t="shared" si="4"/>
        <v>1.0419171405361496</v>
      </c>
      <c r="CL9" s="74">
        <f t="shared" si="4"/>
        <v>1.0419171405361496</v>
      </c>
      <c r="CM9" s="74">
        <f t="shared" si="4"/>
        <v>1.0517465475223395</v>
      </c>
      <c r="CN9" s="74">
        <f t="shared" ref="CN9:CS9" si="5">$F$9*CN5</f>
        <v>1.0517465475223395</v>
      </c>
      <c r="CO9" s="74">
        <f t="shared" si="5"/>
        <v>1.0517465475223395</v>
      </c>
      <c r="CP9" s="74">
        <f t="shared" si="5"/>
        <v>1.0517465475223395</v>
      </c>
      <c r="CQ9" s="74">
        <f t="shared" si="5"/>
        <v>1.0517465475223395</v>
      </c>
      <c r="CR9" s="74">
        <f t="shared" si="5"/>
        <v>1.0468318440292443</v>
      </c>
      <c r="CS9" s="74">
        <f t="shared" si="5"/>
        <v>1.0566612510154345</v>
      </c>
      <c r="CT9" s="74">
        <f t="shared" ref="CT9:ED9" si="6">$F$9*CT5</f>
        <v>1.0517465475223395</v>
      </c>
      <c r="CU9" s="74">
        <f t="shared" si="6"/>
        <v>1.0517465475223395</v>
      </c>
      <c r="CV9" s="74">
        <f t="shared" si="6"/>
        <v>1.0517465475223395</v>
      </c>
      <c r="CW9" s="74">
        <f t="shared" si="6"/>
        <v>1.0222583265637692</v>
      </c>
      <c r="CX9" s="74">
        <f t="shared" si="6"/>
        <v>1.0025995125913891</v>
      </c>
      <c r="CY9" s="74">
        <f t="shared" si="6"/>
        <v>1.0025995125913891</v>
      </c>
      <c r="CZ9" s="74">
        <f t="shared" si="6"/>
        <v>1.0025995125913891</v>
      </c>
      <c r="DA9" s="74">
        <f t="shared" si="6"/>
        <v>1.0025995125913891</v>
      </c>
      <c r="DB9" s="74">
        <f t="shared" si="6"/>
        <v>0.99522745735174645</v>
      </c>
      <c r="DC9" s="74">
        <f t="shared" si="6"/>
        <v>0.94362307067424855</v>
      </c>
      <c r="DD9" s="74">
        <f t="shared" si="6"/>
        <v>0.93870836718115347</v>
      </c>
      <c r="DE9" s="74">
        <f t="shared" si="6"/>
        <v>0.86007311129163277</v>
      </c>
      <c r="DF9" s="74">
        <f t="shared" si="6"/>
        <v>0.83549959382615757</v>
      </c>
      <c r="DG9" s="74">
        <f t="shared" si="6"/>
        <v>0.85024370430544272</v>
      </c>
      <c r="DH9" s="74">
        <f t="shared" si="6"/>
        <v>0.84041429731925255</v>
      </c>
      <c r="DI9" s="74">
        <f t="shared" si="6"/>
        <v>0.8256701868399674</v>
      </c>
      <c r="DJ9" s="74">
        <f t="shared" si="6"/>
        <v>0.8256701868399674</v>
      </c>
      <c r="DK9" s="74">
        <f t="shared" si="6"/>
        <v>0.8256701868399674</v>
      </c>
      <c r="DL9" s="74">
        <f t="shared" si="6"/>
        <v>0.80601137286758728</v>
      </c>
      <c r="DM9" s="74">
        <f t="shared" si="6"/>
        <v>0.77652315190901711</v>
      </c>
      <c r="DN9" s="74">
        <f t="shared" si="6"/>
        <v>0.76669374492282694</v>
      </c>
      <c r="DO9" s="74">
        <f t="shared" si="6"/>
        <v>0.76669374492282694</v>
      </c>
      <c r="DP9" s="74">
        <f t="shared" si="6"/>
        <v>0.74703493095044682</v>
      </c>
      <c r="DQ9" s="74">
        <f t="shared" si="6"/>
        <v>0.73720552396425665</v>
      </c>
      <c r="DR9" s="74">
        <f t="shared" si="6"/>
        <v>0.73229082047116167</v>
      </c>
      <c r="DS9" s="74">
        <f t="shared" si="6"/>
        <v>0</v>
      </c>
      <c r="DT9" s="74">
        <f t="shared" si="6"/>
        <v>0</v>
      </c>
      <c r="DU9" s="74">
        <f t="shared" si="6"/>
        <v>0</v>
      </c>
      <c r="DV9" s="74">
        <f t="shared" si="6"/>
        <v>0</v>
      </c>
      <c r="DW9" s="74">
        <f t="shared" si="6"/>
        <v>0</v>
      </c>
      <c r="DX9" s="74">
        <f t="shared" si="6"/>
        <v>0</v>
      </c>
      <c r="DY9" s="74">
        <f t="shared" si="6"/>
        <v>0</v>
      </c>
      <c r="DZ9" s="74">
        <f t="shared" si="6"/>
        <v>0</v>
      </c>
      <c r="EA9" s="74">
        <f t="shared" si="6"/>
        <v>0</v>
      </c>
      <c r="EB9" s="74">
        <f t="shared" si="6"/>
        <v>0</v>
      </c>
      <c r="EC9" s="74">
        <f t="shared" si="6"/>
        <v>0</v>
      </c>
      <c r="ED9" s="74">
        <f t="shared" si="6"/>
        <v>0</v>
      </c>
      <c r="EE9" s="74">
        <f t="shared" ref="EE9:EK9" si="7">$F$9*EE5</f>
        <v>0</v>
      </c>
      <c r="EF9" s="74">
        <f t="shared" si="7"/>
        <v>0</v>
      </c>
      <c r="EG9" s="74">
        <f t="shared" si="7"/>
        <v>0</v>
      </c>
      <c r="EH9" s="74">
        <f t="shared" si="7"/>
        <v>0</v>
      </c>
      <c r="EI9" s="74">
        <f t="shared" si="7"/>
        <v>0</v>
      </c>
      <c r="EJ9" s="74">
        <f t="shared" si="7"/>
        <v>0</v>
      </c>
      <c r="EK9" s="74">
        <f t="shared" si="7"/>
        <v>0</v>
      </c>
    </row>
    <row r="10" spans="1:141">
      <c r="A10" s="63"/>
      <c r="B10" s="60" t="s">
        <v>526</v>
      </c>
      <c r="C10" s="60">
        <v>1</v>
      </c>
      <c r="D10" s="64">
        <f>C5</f>
        <v>2.1059999999999999</v>
      </c>
      <c r="E10" s="60">
        <f>D10*C10</f>
        <v>2.1059999999999999</v>
      </c>
      <c r="F10" s="65">
        <f>E10/E2</f>
        <v>1.7820877335499592E-2</v>
      </c>
      <c r="H10" s="70">
        <f>$F$10*H6</f>
        <v>0</v>
      </c>
      <c r="I10" s="70">
        <f t="shared" ref="I10:BF10" si="8">$F$10*I6</f>
        <v>0</v>
      </c>
      <c r="J10" s="70">
        <f t="shared" si="8"/>
        <v>0</v>
      </c>
      <c r="K10" s="70">
        <f t="shared" si="8"/>
        <v>0</v>
      </c>
      <c r="L10" s="70">
        <f t="shared" si="8"/>
        <v>0</v>
      </c>
      <c r="M10" s="70">
        <f t="shared" si="8"/>
        <v>0</v>
      </c>
      <c r="N10" s="70">
        <f t="shared" si="8"/>
        <v>0</v>
      </c>
      <c r="O10" s="70">
        <f t="shared" si="8"/>
        <v>0</v>
      </c>
      <c r="P10" s="70">
        <f t="shared" si="8"/>
        <v>0</v>
      </c>
      <c r="Q10" s="70">
        <f t="shared" si="8"/>
        <v>0</v>
      </c>
      <c r="R10" s="70">
        <f t="shared" si="8"/>
        <v>0</v>
      </c>
      <c r="S10" s="70">
        <f t="shared" si="8"/>
        <v>0</v>
      </c>
      <c r="T10" s="70">
        <f t="shared" si="8"/>
        <v>0</v>
      </c>
      <c r="U10" s="70">
        <f t="shared" si="8"/>
        <v>0</v>
      </c>
      <c r="V10" s="70">
        <f t="shared" si="8"/>
        <v>0</v>
      </c>
      <c r="W10" s="70">
        <f t="shared" si="8"/>
        <v>0</v>
      </c>
      <c r="X10" s="70">
        <f t="shared" si="8"/>
        <v>0</v>
      </c>
      <c r="Y10" s="70">
        <f t="shared" si="8"/>
        <v>0</v>
      </c>
      <c r="Z10" s="70">
        <f t="shared" si="8"/>
        <v>0</v>
      </c>
      <c r="AA10" s="70">
        <f t="shared" si="8"/>
        <v>0</v>
      </c>
      <c r="AB10" s="70">
        <f t="shared" si="8"/>
        <v>0</v>
      </c>
      <c r="AC10" s="70">
        <f t="shared" si="8"/>
        <v>0</v>
      </c>
      <c r="AD10" s="70">
        <f t="shared" si="8"/>
        <v>0</v>
      </c>
      <c r="AE10" s="70">
        <f t="shared" si="8"/>
        <v>0</v>
      </c>
      <c r="AF10" s="70">
        <f t="shared" si="8"/>
        <v>0</v>
      </c>
      <c r="AG10" s="70">
        <f t="shared" si="8"/>
        <v>0</v>
      </c>
      <c r="AH10" s="70">
        <f t="shared" si="8"/>
        <v>0</v>
      </c>
      <c r="AI10" s="70">
        <f t="shared" si="8"/>
        <v>0</v>
      </c>
      <c r="AJ10" s="70">
        <f t="shared" si="8"/>
        <v>0</v>
      </c>
      <c r="AK10" s="70">
        <f t="shared" si="8"/>
        <v>0</v>
      </c>
      <c r="AL10" s="70">
        <f t="shared" si="8"/>
        <v>0</v>
      </c>
      <c r="AM10" s="70">
        <f t="shared" si="8"/>
        <v>0</v>
      </c>
      <c r="AN10" s="70">
        <f t="shared" si="8"/>
        <v>0</v>
      </c>
      <c r="AO10" s="70">
        <f t="shared" si="8"/>
        <v>0</v>
      </c>
      <c r="AP10" s="70">
        <f t="shared" si="8"/>
        <v>0</v>
      </c>
      <c r="AQ10" s="70">
        <f t="shared" si="8"/>
        <v>0</v>
      </c>
      <c r="AR10" s="70">
        <f t="shared" si="8"/>
        <v>0</v>
      </c>
      <c r="AS10" s="70">
        <f t="shared" si="8"/>
        <v>0</v>
      </c>
      <c r="AT10" s="70">
        <f t="shared" si="8"/>
        <v>0</v>
      </c>
      <c r="AU10" s="70">
        <f t="shared" si="8"/>
        <v>0</v>
      </c>
      <c r="AV10" s="70">
        <f t="shared" si="8"/>
        <v>0</v>
      </c>
      <c r="AW10" s="70">
        <f t="shared" si="8"/>
        <v>0</v>
      </c>
      <c r="AX10" s="70">
        <f t="shared" si="8"/>
        <v>0</v>
      </c>
      <c r="AY10" s="70">
        <f t="shared" si="8"/>
        <v>0</v>
      </c>
      <c r="AZ10" s="70">
        <f t="shared" si="8"/>
        <v>0</v>
      </c>
      <c r="BA10" s="70">
        <f t="shared" si="8"/>
        <v>0</v>
      </c>
      <c r="BB10" s="70">
        <f t="shared" si="8"/>
        <v>0</v>
      </c>
      <c r="BC10" s="70">
        <f t="shared" si="8"/>
        <v>0</v>
      </c>
      <c r="BD10" s="70">
        <f t="shared" si="8"/>
        <v>0</v>
      </c>
      <c r="BE10" s="70">
        <f t="shared" si="8"/>
        <v>0</v>
      </c>
      <c r="BF10" s="70">
        <f t="shared" si="8"/>
        <v>0</v>
      </c>
      <c r="BG10" s="70">
        <f t="shared" ref="BG10:BN10" si="9">$F$10*BG6</f>
        <v>0</v>
      </c>
      <c r="BH10" s="70">
        <f t="shared" si="9"/>
        <v>0</v>
      </c>
      <c r="BI10" s="70">
        <f t="shared" si="9"/>
        <v>0</v>
      </c>
      <c r="BJ10" s="70">
        <f t="shared" si="9"/>
        <v>0</v>
      </c>
      <c r="BK10" s="70">
        <f t="shared" si="9"/>
        <v>0</v>
      </c>
      <c r="BL10" s="70">
        <f t="shared" si="9"/>
        <v>0</v>
      </c>
      <c r="BM10" s="70">
        <f t="shared" si="9"/>
        <v>0</v>
      </c>
      <c r="BN10" s="70">
        <f t="shared" si="9"/>
        <v>0</v>
      </c>
      <c r="BO10" s="70">
        <f t="shared" ref="BO10:BU10" si="10">$F$10*BO6</f>
        <v>0</v>
      </c>
      <c r="BP10" s="70">
        <f t="shared" si="10"/>
        <v>0</v>
      </c>
      <c r="BQ10" s="70">
        <f t="shared" si="10"/>
        <v>0</v>
      </c>
      <c r="BR10" s="70">
        <f t="shared" si="10"/>
        <v>0</v>
      </c>
      <c r="BS10" s="70">
        <f t="shared" si="10"/>
        <v>0</v>
      </c>
      <c r="BT10" s="70">
        <f t="shared" si="10"/>
        <v>0</v>
      </c>
      <c r="BU10" s="70">
        <f t="shared" si="10"/>
        <v>0</v>
      </c>
      <c r="BV10" s="70">
        <f>$F$10*BV6</f>
        <v>0</v>
      </c>
      <c r="BW10" s="70">
        <f>$F$10*BW6</f>
        <v>0</v>
      </c>
      <c r="BX10" s="70">
        <f>$F$10*BX6</f>
        <v>0</v>
      </c>
      <c r="BY10" s="70">
        <f t="shared" ref="BY10:CG10" si="11">$F$10*BY6</f>
        <v>0</v>
      </c>
      <c r="BZ10" s="70">
        <f t="shared" si="11"/>
        <v>0</v>
      </c>
      <c r="CA10" s="70">
        <f t="shared" si="11"/>
        <v>0</v>
      </c>
      <c r="CB10" s="70">
        <f t="shared" si="11"/>
        <v>0</v>
      </c>
      <c r="CC10" s="70">
        <f t="shared" si="11"/>
        <v>0</v>
      </c>
      <c r="CD10" s="70">
        <f t="shared" si="11"/>
        <v>0</v>
      </c>
      <c r="CE10" s="70">
        <f t="shared" si="11"/>
        <v>0</v>
      </c>
      <c r="CF10" s="70">
        <f t="shared" si="11"/>
        <v>0</v>
      </c>
      <c r="CG10" s="70">
        <f t="shared" si="11"/>
        <v>0</v>
      </c>
      <c r="CH10" s="70">
        <f t="shared" ref="CH10:CM10" si="12">$F$10*CH6</f>
        <v>0</v>
      </c>
      <c r="CI10" s="70">
        <f t="shared" si="12"/>
        <v>0</v>
      </c>
      <c r="CJ10" s="70">
        <f t="shared" si="12"/>
        <v>0</v>
      </c>
      <c r="CK10" s="70">
        <f t="shared" si="12"/>
        <v>0</v>
      </c>
      <c r="CL10" s="70">
        <f t="shared" si="12"/>
        <v>0</v>
      </c>
      <c r="CM10" s="70">
        <f t="shared" si="12"/>
        <v>0</v>
      </c>
      <c r="CN10" s="70">
        <f t="shared" ref="CN10:CS10" si="13">$F$10*CN6</f>
        <v>0</v>
      </c>
      <c r="CO10" s="70">
        <f t="shared" si="13"/>
        <v>0</v>
      </c>
      <c r="CP10" s="70">
        <f t="shared" si="13"/>
        <v>0</v>
      </c>
      <c r="CQ10" s="70">
        <f t="shared" si="13"/>
        <v>0</v>
      </c>
      <c r="CR10" s="70">
        <f t="shared" si="13"/>
        <v>0</v>
      </c>
      <c r="CS10" s="70">
        <f t="shared" si="13"/>
        <v>0</v>
      </c>
      <c r="CT10" s="70">
        <f t="shared" ref="CT10:ED10" si="14">$F$10*CT6</f>
        <v>0</v>
      </c>
      <c r="CU10" s="70">
        <f t="shared" si="14"/>
        <v>0</v>
      </c>
      <c r="CV10" s="70">
        <f t="shared" si="14"/>
        <v>0</v>
      </c>
      <c r="CW10" s="70">
        <f t="shared" si="14"/>
        <v>0</v>
      </c>
      <c r="CX10" s="70">
        <f t="shared" si="14"/>
        <v>0</v>
      </c>
      <c r="CY10" s="70">
        <f t="shared" si="14"/>
        <v>0</v>
      </c>
      <c r="CZ10" s="70">
        <f t="shared" si="14"/>
        <v>0</v>
      </c>
      <c r="DA10" s="70">
        <f t="shared" si="14"/>
        <v>0</v>
      </c>
      <c r="DB10" s="70">
        <f t="shared" si="14"/>
        <v>0</v>
      </c>
      <c r="DC10" s="70">
        <f t="shared" si="14"/>
        <v>0</v>
      </c>
      <c r="DD10" s="70">
        <f t="shared" si="14"/>
        <v>0</v>
      </c>
      <c r="DE10" s="70">
        <f t="shared" si="14"/>
        <v>0</v>
      </c>
      <c r="DF10" s="70">
        <f t="shared" si="14"/>
        <v>0</v>
      </c>
      <c r="DG10" s="70">
        <f t="shared" si="14"/>
        <v>0</v>
      </c>
      <c r="DH10" s="70">
        <f t="shared" si="14"/>
        <v>0</v>
      </c>
      <c r="DI10" s="70">
        <f t="shared" si="14"/>
        <v>0</v>
      </c>
      <c r="DJ10" s="70">
        <f t="shared" si="14"/>
        <v>0</v>
      </c>
      <c r="DK10" s="70">
        <f t="shared" si="14"/>
        <v>0</v>
      </c>
      <c r="DL10" s="70">
        <f t="shared" si="14"/>
        <v>0</v>
      </c>
      <c r="DM10" s="70">
        <f t="shared" si="14"/>
        <v>0</v>
      </c>
      <c r="DN10" s="70">
        <f t="shared" si="14"/>
        <v>0</v>
      </c>
      <c r="DO10" s="70">
        <f t="shared" si="14"/>
        <v>0</v>
      </c>
      <c r="DP10" s="70">
        <f t="shared" si="14"/>
        <v>0</v>
      </c>
      <c r="DQ10" s="70">
        <f t="shared" si="14"/>
        <v>0</v>
      </c>
      <c r="DR10" s="70">
        <f t="shared" si="14"/>
        <v>0</v>
      </c>
      <c r="DS10" s="70">
        <f t="shared" si="14"/>
        <v>0</v>
      </c>
      <c r="DT10" s="70">
        <f t="shared" si="14"/>
        <v>0</v>
      </c>
      <c r="DU10" s="70">
        <f t="shared" si="14"/>
        <v>0</v>
      </c>
      <c r="DV10" s="70">
        <f t="shared" si="14"/>
        <v>0</v>
      </c>
      <c r="DW10" s="70">
        <f t="shared" si="14"/>
        <v>0</v>
      </c>
      <c r="DX10" s="70">
        <f t="shared" si="14"/>
        <v>0</v>
      </c>
      <c r="DY10" s="70">
        <f t="shared" si="14"/>
        <v>0</v>
      </c>
      <c r="DZ10" s="70">
        <f t="shared" si="14"/>
        <v>0</v>
      </c>
      <c r="EA10" s="70">
        <f t="shared" si="14"/>
        <v>0</v>
      </c>
      <c r="EB10" s="70">
        <f t="shared" si="14"/>
        <v>0</v>
      </c>
      <c r="EC10" s="70">
        <f t="shared" si="14"/>
        <v>0</v>
      </c>
      <c r="ED10" s="70">
        <f t="shared" si="14"/>
        <v>0</v>
      </c>
      <c r="EE10" s="70">
        <f t="shared" ref="EE10:EK10" si="15">$F$10*EE6</f>
        <v>0</v>
      </c>
      <c r="EF10" s="70">
        <f t="shared" si="15"/>
        <v>0</v>
      </c>
      <c r="EG10" s="70">
        <f t="shared" si="15"/>
        <v>0</v>
      </c>
      <c r="EH10" s="70">
        <f t="shared" si="15"/>
        <v>0</v>
      </c>
      <c r="EI10" s="70">
        <f t="shared" si="15"/>
        <v>0</v>
      </c>
      <c r="EJ10" s="70">
        <f t="shared" si="15"/>
        <v>0</v>
      </c>
      <c r="EK10" s="70">
        <f t="shared" si="15"/>
        <v>0</v>
      </c>
    </row>
    <row r="11" spans="1:141">
      <c r="A11" s="59"/>
      <c r="B11" s="59"/>
      <c r="C11" s="59"/>
      <c r="D11" s="59"/>
      <c r="E11" s="59"/>
      <c r="F11" s="59" t="s">
        <v>400</v>
      </c>
      <c r="G11" s="59"/>
      <c r="H11" s="94">
        <f>SUM(H9:H10)</f>
        <v>0.67233143785540217</v>
      </c>
      <c r="I11" s="94">
        <f t="shared" ref="I11:BF11" si="16">SUM(I9:I10)</f>
        <v>0.69425101543460588</v>
      </c>
      <c r="J11" s="94">
        <f t="shared" si="16"/>
        <v>0.63281722177091781</v>
      </c>
      <c r="K11" s="94">
        <f t="shared" si="16"/>
        <v>0.57993501218521526</v>
      </c>
      <c r="L11" s="94">
        <f t="shared" si="16"/>
        <v>0.77062550771730298</v>
      </c>
      <c r="M11" s="94">
        <f t="shared" si="16"/>
        <v>0.91295532087733544</v>
      </c>
      <c r="N11" s="94">
        <f t="shared" si="16"/>
        <v>0.93723395613322502</v>
      </c>
      <c r="O11" s="94">
        <f t="shared" si="16"/>
        <v>0.87727457351746541</v>
      </c>
      <c r="P11" s="94">
        <f t="shared" si="16"/>
        <v>0.86990251827782283</v>
      </c>
      <c r="Q11" s="94">
        <f t="shared" si="16"/>
        <v>0.89251015434606007</v>
      </c>
      <c r="R11" s="94">
        <f t="shared" si="16"/>
        <v>0.94735824532900081</v>
      </c>
      <c r="S11" s="94">
        <f t="shared" si="16"/>
        <v>1.0358229082047115</v>
      </c>
      <c r="T11" s="94">
        <f t="shared" si="16"/>
        <v>0.97556864337936633</v>
      </c>
      <c r="U11" s="94">
        <f t="shared" si="16"/>
        <v>1.0664906580016247</v>
      </c>
      <c r="V11" s="94">
        <f t="shared" si="16"/>
        <v>1.2581640942323313</v>
      </c>
      <c r="W11" s="94">
        <f t="shared" si="16"/>
        <v>1.2827376116978066</v>
      </c>
      <c r="X11" s="94">
        <f t="shared" si="16"/>
        <v>1.2163891145410235</v>
      </c>
      <c r="Y11" s="94">
        <f t="shared" si="16"/>
        <v>1.0112493907392364</v>
      </c>
      <c r="Z11" s="94">
        <f t="shared" si="16"/>
        <v>0.84926076360682368</v>
      </c>
      <c r="AA11" s="94">
        <f t="shared" si="16"/>
        <v>0.80846872461413488</v>
      </c>
      <c r="AB11" s="94">
        <f t="shared" si="16"/>
        <v>0.82468724614134847</v>
      </c>
      <c r="AC11" s="94">
        <f t="shared" si="16"/>
        <v>0.88661251015434606</v>
      </c>
      <c r="AD11" s="94">
        <f t="shared" si="16"/>
        <v>0.87855239642567007</v>
      </c>
      <c r="AE11" s="94">
        <f t="shared" si="16"/>
        <v>0.82075548334687243</v>
      </c>
      <c r="AF11" s="94">
        <f t="shared" si="16"/>
        <v>0.80846872461413488</v>
      </c>
      <c r="AG11" s="94">
        <f t="shared" si="16"/>
        <v>0.86007311129163277</v>
      </c>
      <c r="AH11" s="94">
        <f t="shared" si="16"/>
        <v>0.96947441104792842</v>
      </c>
      <c r="AI11" s="94">
        <f t="shared" si="16"/>
        <v>0.94558895207148652</v>
      </c>
      <c r="AJ11" s="94">
        <f t="shared" si="16"/>
        <v>0.93870836718115347</v>
      </c>
      <c r="AK11" s="94">
        <f t="shared" si="16"/>
        <v>0.94362307067424855</v>
      </c>
      <c r="AL11" s="94">
        <f t="shared" si="16"/>
        <v>0.93575954508529646</v>
      </c>
      <c r="AM11" s="94">
        <f t="shared" si="16"/>
        <v>0.86007311129163277</v>
      </c>
      <c r="AN11" s="94">
        <f t="shared" si="16"/>
        <v>0.82321283509342003</v>
      </c>
      <c r="AO11" s="94">
        <f t="shared" si="16"/>
        <v>0.80483184402924446</v>
      </c>
      <c r="AP11" s="94">
        <f t="shared" si="16"/>
        <v>0.77160844841592202</v>
      </c>
      <c r="AQ11" s="94">
        <f t="shared" si="16"/>
        <v>0.77652315190901711</v>
      </c>
      <c r="AR11" s="94">
        <f t="shared" si="16"/>
        <v>0.77652315190901711</v>
      </c>
      <c r="AS11" s="94">
        <f t="shared" si="16"/>
        <v>0.8195759545085296</v>
      </c>
      <c r="AT11" s="94">
        <f t="shared" si="16"/>
        <v>0.89939073923639323</v>
      </c>
      <c r="AU11" s="94">
        <f t="shared" si="16"/>
        <v>0.89939073923639323</v>
      </c>
      <c r="AV11" s="94">
        <f t="shared" si="16"/>
        <v>0.91659220146222575</v>
      </c>
      <c r="AW11" s="94">
        <f t="shared" si="16"/>
        <v>0.90676279447603569</v>
      </c>
      <c r="AX11" s="94">
        <f t="shared" si="16"/>
        <v>0.78635255889520717</v>
      </c>
      <c r="AY11" s="94">
        <f t="shared" si="16"/>
        <v>0.8010966693744922</v>
      </c>
      <c r="AZ11" s="94">
        <f t="shared" si="16"/>
        <v>0.8010966693744922</v>
      </c>
      <c r="BA11" s="94">
        <f t="shared" si="16"/>
        <v>0.81092607636068226</v>
      </c>
      <c r="BB11" s="94">
        <f t="shared" si="16"/>
        <v>0.83058489033306249</v>
      </c>
      <c r="BC11" s="94">
        <f t="shared" si="16"/>
        <v>0.84532900081234763</v>
      </c>
      <c r="BD11" s="94">
        <f t="shared" si="16"/>
        <v>0.85024370430544272</v>
      </c>
      <c r="BE11" s="94">
        <f t="shared" si="16"/>
        <v>0.85024370430544272</v>
      </c>
      <c r="BF11" s="94">
        <f t="shared" si="16"/>
        <v>0.85024370430544272</v>
      </c>
      <c r="BG11" s="94">
        <f t="shared" ref="BG11:BN11" si="17">SUM(BG9:BG10)</f>
        <v>0.86007311129163277</v>
      </c>
      <c r="BH11" s="94">
        <f t="shared" si="17"/>
        <v>0.86007311129163277</v>
      </c>
      <c r="BI11" s="94">
        <f t="shared" si="17"/>
        <v>0.90922014622258329</v>
      </c>
      <c r="BJ11" s="94">
        <f t="shared" si="17"/>
        <v>0.92396425670186833</v>
      </c>
      <c r="BK11" s="94">
        <f t="shared" si="17"/>
        <v>0.93379366368805838</v>
      </c>
      <c r="BL11" s="94">
        <f t="shared" si="17"/>
        <v>0.90430544272948821</v>
      </c>
      <c r="BM11" s="94">
        <f t="shared" si="17"/>
        <v>0.90430544272948821</v>
      </c>
      <c r="BN11" s="94">
        <f t="shared" si="17"/>
        <v>0.90430544272948821</v>
      </c>
      <c r="BO11" s="94">
        <f t="shared" ref="BO11:BU11" si="18">SUM(BO9:BO10)</f>
        <v>0.91413484971567838</v>
      </c>
      <c r="BP11" s="94">
        <f t="shared" si="18"/>
        <v>0.91413484971567838</v>
      </c>
      <c r="BQ11" s="94">
        <f t="shared" si="18"/>
        <v>0.91413484971567838</v>
      </c>
      <c r="BR11" s="94">
        <f t="shared" si="18"/>
        <v>0.88956133225020306</v>
      </c>
      <c r="BS11" s="94">
        <f t="shared" si="18"/>
        <v>0.88956133225020306</v>
      </c>
      <c r="BT11" s="94">
        <f t="shared" si="18"/>
        <v>0.88956133225020306</v>
      </c>
      <c r="BU11" s="94">
        <f t="shared" si="18"/>
        <v>0.88956133225020306</v>
      </c>
      <c r="BV11" s="94">
        <f>SUM(BV9:BV10)</f>
        <v>0.91413484971567838</v>
      </c>
      <c r="BW11" s="94">
        <f>SUM(BW9:BW10)</f>
        <v>0.90922014622258329</v>
      </c>
      <c r="BX11" s="94">
        <f>SUM(BX9:BX10)</f>
        <v>0.90922014622258329</v>
      </c>
      <c r="BY11" s="94">
        <f t="shared" ref="BY11:CG11" si="19">SUM(BY9:BY10)</f>
        <v>0.94362307067424855</v>
      </c>
      <c r="BZ11" s="94">
        <f t="shared" si="19"/>
        <v>0.94362307067424855</v>
      </c>
      <c r="CA11" s="94">
        <f t="shared" si="19"/>
        <v>0.96328188464662867</v>
      </c>
      <c r="CB11" s="94">
        <f t="shared" si="19"/>
        <v>1.0124289195775793</v>
      </c>
      <c r="CC11" s="94">
        <f t="shared" si="19"/>
        <v>1.0124289195775793</v>
      </c>
      <c r="CD11" s="94">
        <f t="shared" si="19"/>
        <v>1.0124289195775793</v>
      </c>
      <c r="CE11" s="94">
        <f t="shared" si="19"/>
        <v>1.0124289195775793</v>
      </c>
      <c r="CF11" s="94">
        <f t="shared" si="19"/>
        <v>1.0222583265637692</v>
      </c>
      <c r="CG11" s="94">
        <f t="shared" si="19"/>
        <v>1.0222583265637692</v>
      </c>
      <c r="CH11" s="94">
        <f t="shared" ref="CH11:CM11" si="20">SUM(CH9:CH10)</f>
        <v>1.0222583265637692</v>
      </c>
      <c r="CI11" s="94">
        <f t="shared" si="20"/>
        <v>1.0222583265637692</v>
      </c>
      <c r="CJ11" s="94">
        <f t="shared" si="20"/>
        <v>1.0222583265637692</v>
      </c>
      <c r="CK11" s="94">
        <f t="shared" si="20"/>
        <v>1.0419171405361496</v>
      </c>
      <c r="CL11" s="94">
        <f t="shared" si="20"/>
        <v>1.0419171405361496</v>
      </c>
      <c r="CM11" s="94">
        <f t="shared" si="20"/>
        <v>1.0517465475223395</v>
      </c>
      <c r="CN11" s="94">
        <f t="shared" ref="CN11:CS11" si="21">SUM(CN9:CN10)</f>
        <v>1.0517465475223395</v>
      </c>
      <c r="CO11" s="94">
        <f t="shared" si="21"/>
        <v>1.0517465475223395</v>
      </c>
      <c r="CP11" s="94">
        <f t="shared" si="21"/>
        <v>1.0517465475223395</v>
      </c>
      <c r="CQ11" s="94">
        <f t="shared" si="21"/>
        <v>1.0517465475223395</v>
      </c>
      <c r="CR11" s="94">
        <f t="shared" si="21"/>
        <v>1.0468318440292443</v>
      </c>
      <c r="CS11" s="94">
        <f t="shared" si="21"/>
        <v>1.0566612510154345</v>
      </c>
      <c r="CT11" s="94">
        <f t="shared" ref="CT11:ED11" si="22">SUM(CT9:CT10)</f>
        <v>1.0517465475223395</v>
      </c>
      <c r="CU11" s="94">
        <f t="shared" si="22"/>
        <v>1.0517465475223395</v>
      </c>
      <c r="CV11" s="94">
        <f t="shared" si="22"/>
        <v>1.0517465475223395</v>
      </c>
      <c r="CW11" s="94">
        <f t="shared" si="22"/>
        <v>1.0222583265637692</v>
      </c>
      <c r="CX11" s="94">
        <f t="shared" si="22"/>
        <v>1.0025995125913891</v>
      </c>
      <c r="CY11" s="94">
        <f t="shared" si="22"/>
        <v>1.0025995125913891</v>
      </c>
      <c r="CZ11" s="94">
        <f t="shared" si="22"/>
        <v>1.0025995125913891</v>
      </c>
      <c r="DA11" s="94">
        <f t="shared" si="22"/>
        <v>1.0025995125913891</v>
      </c>
      <c r="DB11" s="94">
        <f t="shared" si="22"/>
        <v>0.99522745735174645</v>
      </c>
      <c r="DC11" s="94">
        <f t="shared" si="22"/>
        <v>0.94362307067424855</v>
      </c>
      <c r="DD11" s="94">
        <f t="shared" si="22"/>
        <v>0.93870836718115347</v>
      </c>
      <c r="DE11" s="94">
        <f t="shared" si="22"/>
        <v>0.86007311129163277</v>
      </c>
      <c r="DF11" s="94">
        <f t="shared" si="22"/>
        <v>0.83549959382615757</v>
      </c>
      <c r="DG11" s="94">
        <f t="shared" si="22"/>
        <v>0.85024370430544272</v>
      </c>
      <c r="DH11" s="94">
        <f t="shared" si="22"/>
        <v>0.84041429731925255</v>
      </c>
      <c r="DI11" s="94">
        <f t="shared" si="22"/>
        <v>0.8256701868399674</v>
      </c>
      <c r="DJ11" s="94">
        <f t="shared" si="22"/>
        <v>0.8256701868399674</v>
      </c>
      <c r="DK11" s="94">
        <f t="shared" si="22"/>
        <v>0.8256701868399674</v>
      </c>
      <c r="DL11" s="94">
        <f t="shared" si="22"/>
        <v>0.80601137286758728</v>
      </c>
      <c r="DM11" s="94">
        <f t="shared" si="22"/>
        <v>0.77652315190901711</v>
      </c>
      <c r="DN11" s="94">
        <f t="shared" si="22"/>
        <v>0.76669374492282694</v>
      </c>
      <c r="DO11" s="94">
        <f t="shared" si="22"/>
        <v>0.76669374492282694</v>
      </c>
      <c r="DP11" s="94">
        <f t="shared" si="22"/>
        <v>0.74703493095044682</v>
      </c>
      <c r="DQ11" s="94">
        <f t="shared" si="22"/>
        <v>0.73720552396425665</v>
      </c>
      <c r="DR11" s="94">
        <f t="shared" si="22"/>
        <v>0.73229082047116167</v>
      </c>
      <c r="DS11" s="94">
        <f t="shared" si="22"/>
        <v>0</v>
      </c>
      <c r="DT11" s="94">
        <f t="shared" si="22"/>
        <v>0</v>
      </c>
      <c r="DU11" s="94">
        <f t="shared" si="22"/>
        <v>0</v>
      </c>
      <c r="DV11" s="94">
        <f t="shared" si="22"/>
        <v>0</v>
      </c>
      <c r="DW11" s="94">
        <f t="shared" si="22"/>
        <v>0</v>
      </c>
      <c r="DX11" s="94">
        <f t="shared" si="22"/>
        <v>0</v>
      </c>
      <c r="DY11" s="94">
        <f t="shared" si="22"/>
        <v>0</v>
      </c>
      <c r="DZ11" s="94">
        <f t="shared" si="22"/>
        <v>0</v>
      </c>
      <c r="EA11" s="94">
        <f t="shared" si="22"/>
        <v>0</v>
      </c>
      <c r="EB11" s="94">
        <f t="shared" si="22"/>
        <v>0</v>
      </c>
      <c r="EC11" s="94">
        <f t="shared" si="22"/>
        <v>0</v>
      </c>
      <c r="ED11" s="94">
        <f t="shared" si="22"/>
        <v>0</v>
      </c>
      <c r="EE11" s="94">
        <f t="shared" ref="EE11:EK11" si="23">SUM(EE9:EE10)</f>
        <v>0</v>
      </c>
      <c r="EF11" s="94">
        <f t="shared" si="23"/>
        <v>0</v>
      </c>
      <c r="EG11" s="94">
        <f t="shared" si="23"/>
        <v>0</v>
      </c>
      <c r="EH11" s="94">
        <f t="shared" si="23"/>
        <v>0</v>
      </c>
      <c r="EI11" s="94">
        <f t="shared" si="23"/>
        <v>0</v>
      </c>
      <c r="EJ11" s="94">
        <f t="shared" si="23"/>
        <v>0</v>
      </c>
      <c r="EK11" s="94">
        <f t="shared" si="23"/>
        <v>0</v>
      </c>
    </row>
    <row r="12" spans="1:141">
      <c r="A12" s="72" t="s">
        <v>625</v>
      </c>
      <c r="G12" s="173" t="s">
        <v>429</v>
      </c>
      <c r="H12" s="70"/>
      <c r="I12" s="74">
        <v>1.25</v>
      </c>
      <c r="J12" s="74">
        <v>1.4</v>
      </c>
      <c r="K12" s="74">
        <v>1.4</v>
      </c>
      <c r="L12" s="74"/>
      <c r="M12" s="74">
        <v>1.31</v>
      </c>
      <c r="N12" s="74">
        <v>1.65</v>
      </c>
      <c r="O12" s="74"/>
      <c r="P12" s="74"/>
      <c r="Q12" s="74"/>
      <c r="R12" s="74">
        <v>1.4</v>
      </c>
      <c r="S12" s="74"/>
      <c r="T12" s="74">
        <v>1.6</v>
      </c>
      <c r="U12" s="74"/>
      <c r="V12" s="74"/>
      <c r="W12" s="74"/>
      <c r="X12" s="74">
        <v>2.25</v>
      </c>
      <c r="Y12" s="74">
        <v>2.2000000000000002</v>
      </c>
      <c r="Z12" s="74"/>
      <c r="AA12" s="74"/>
      <c r="AB12" s="74"/>
      <c r="AC12" s="74">
        <v>2.4</v>
      </c>
      <c r="AD12" s="74">
        <v>2.5499999999999998</v>
      </c>
      <c r="AE12" s="74"/>
      <c r="AF12" s="74"/>
      <c r="AG12" s="74"/>
      <c r="AH12" s="74">
        <v>2.6</v>
      </c>
      <c r="AI12" s="74"/>
      <c r="AJ12" s="74"/>
      <c r="AK12" s="74">
        <v>2.6</v>
      </c>
      <c r="AL12" s="74"/>
      <c r="AM12" s="74">
        <v>1.95</v>
      </c>
      <c r="AN12" s="74"/>
      <c r="AO12" s="74"/>
      <c r="AP12" s="74">
        <v>1.65</v>
      </c>
      <c r="AQ12" s="74"/>
      <c r="AR12" s="74"/>
      <c r="AS12" s="74"/>
      <c r="AT12" s="74"/>
      <c r="AU12" s="74"/>
      <c r="AV12" s="74">
        <f>132/82</f>
        <v>1.6097560975609757</v>
      </c>
      <c r="AW12" s="74"/>
      <c r="AX12" s="74"/>
      <c r="AY12" s="74"/>
      <c r="AZ12" s="74"/>
      <c r="BA12" s="74"/>
      <c r="BB12" s="74">
        <v>2</v>
      </c>
      <c r="BC12" s="74"/>
      <c r="BD12" s="74"/>
      <c r="BE12" s="74"/>
      <c r="BF12" s="74"/>
      <c r="BG12" s="74"/>
      <c r="BH12" s="74"/>
      <c r="BI12" s="74"/>
      <c r="BJ12" s="74"/>
      <c r="BK12" s="74"/>
      <c r="BL12" s="74"/>
      <c r="BM12" s="74"/>
      <c r="BN12" s="74"/>
      <c r="BO12" s="74"/>
      <c r="BP12" s="74"/>
      <c r="BQ12" s="74"/>
      <c r="BR12" s="74"/>
      <c r="BS12" s="74"/>
      <c r="BT12" s="74"/>
      <c r="BU12" s="74"/>
      <c r="BV12" s="74"/>
      <c r="BW12" s="74"/>
      <c r="BX12" s="74"/>
      <c r="BY12" s="74"/>
      <c r="BZ12" s="74"/>
      <c r="CA12" s="74"/>
      <c r="CB12" s="74"/>
      <c r="CC12" s="74"/>
      <c r="CD12" s="74">
        <v>1.59</v>
      </c>
      <c r="CE12" s="74"/>
      <c r="CF12" s="74"/>
      <c r="CG12" s="74"/>
      <c r="CH12" s="74"/>
      <c r="CI12" s="74"/>
      <c r="CJ12" s="74"/>
      <c r="CK12" s="74"/>
      <c r="CL12" s="74"/>
      <c r="CM12" s="74"/>
      <c r="CN12" s="74"/>
      <c r="CO12" s="74"/>
      <c r="CP12" s="74"/>
      <c r="CQ12" s="74">
        <v>1.63</v>
      </c>
      <c r="CR12" s="74"/>
      <c r="CS12" s="74"/>
      <c r="CT12" s="74"/>
      <c r="CU12" s="74"/>
      <c r="CV12" s="74"/>
      <c r="CW12" s="74"/>
      <c r="CX12" s="74"/>
      <c r="CY12" s="74"/>
      <c r="CZ12" s="74"/>
      <c r="DA12" s="74"/>
      <c r="DB12" s="74"/>
      <c r="DC12" s="74"/>
      <c r="DD12" s="74"/>
      <c r="DE12" s="74"/>
      <c r="DF12" s="74"/>
      <c r="DG12" s="74"/>
      <c r="DH12" s="74"/>
      <c r="DI12" s="74"/>
      <c r="DJ12" s="74"/>
      <c r="DK12" s="74"/>
      <c r="DL12" s="74"/>
      <c r="DM12" s="74"/>
      <c r="DN12" s="74"/>
      <c r="DO12" s="74"/>
      <c r="DP12" s="74"/>
      <c r="DQ12" s="74"/>
      <c r="DR12" s="74"/>
      <c r="DS12" s="74"/>
      <c r="DT12" s="74"/>
      <c r="DU12" s="74"/>
      <c r="DV12" s="74"/>
      <c r="DW12" s="74"/>
      <c r="DX12" s="74"/>
      <c r="DY12" s="74"/>
      <c r="DZ12" s="74"/>
      <c r="EA12" s="74"/>
      <c r="EB12" s="74"/>
      <c r="EC12" s="74"/>
      <c r="ED12" s="74"/>
      <c r="EE12" s="74"/>
      <c r="EF12" s="74"/>
      <c r="EG12" s="74"/>
      <c r="EH12" s="74"/>
      <c r="EI12" s="74"/>
      <c r="EJ12" s="74"/>
      <c r="EK12" s="74"/>
    </row>
    <row r="13" spans="1:141">
      <c r="G13" s="170" t="s">
        <v>406</v>
      </c>
      <c r="H13" s="70"/>
      <c r="I13" s="74">
        <f>I12-I11</f>
        <v>0.55574898456539412</v>
      </c>
      <c r="J13" s="74">
        <f>J12-J11</f>
        <v>0.7671827782290821</v>
      </c>
      <c r="K13" s="74">
        <f>K12-K11</f>
        <v>0.82006498781478465</v>
      </c>
      <c r="L13" s="70"/>
      <c r="M13" s="74">
        <f>M12-M11</f>
        <v>0.39704467912266461</v>
      </c>
      <c r="N13" s="74">
        <f>N12-N11</f>
        <v>0.71276604386677489</v>
      </c>
      <c r="O13" s="70"/>
      <c r="P13" s="70"/>
      <c r="Q13" s="70"/>
      <c r="R13" s="74">
        <f>R12-R11</f>
        <v>0.4526417546709991</v>
      </c>
      <c r="S13" s="70"/>
      <c r="T13" s="74">
        <f>T12-T11</f>
        <v>0.62443135662063376</v>
      </c>
      <c r="X13" s="74">
        <f>X12-X11</f>
        <v>1.0336108854589765</v>
      </c>
      <c r="Y13" s="74">
        <f>Y12-Y11</f>
        <v>1.1887506092607638</v>
      </c>
      <c r="AC13" s="74">
        <f>AC12-AC11</f>
        <v>1.5133874898456539</v>
      </c>
      <c r="AD13" s="74">
        <f>AD12-AD11</f>
        <v>1.6714476035743298</v>
      </c>
      <c r="AH13" s="74">
        <f>AH12-AH11</f>
        <v>1.6305255889520716</v>
      </c>
      <c r="AK13" s="74">
        <f>AK12-AK11</f>
        <v>1.6563769293257515</v>
      </c>
      <c r="AM13" s="74">
        <f>AM12-AM11</f>
        <v>1.0899268887083671</v>
      </c>
      <c r="AO13" s="74"/>
      <c r="AP13" s="74">
        <f>AP12-AP11</f>
        <v>0.87839155158407789</v>
      </c>
      <c r="AT13" s="74"/>
      <c r="AV13" s="74">
        <f>AV12-AV11</f>
        <v>0.69316389609874995</v>
      </c>
      <c r="AW13" s="74"/>
      <c r="AY13" s="74"/>
      <c r="BB13" s="74">
        <f>BB12-BB11</f>
        <v>1.1694151096669376</v>
      </c>
      <c r="CD13" s="74">
        <f>CD12-CD11</f>
        <v>0.57757108042242078</v>
      </c>
      <c r="CQ13" s="74">
        <f>CQ12-CQ11</f>
        <v>0.57825345247766036</v>
      </c>
    </row>
    <row r="14" spans="1:141">
      <c r="G14" s="44"/>
    </row>
    <row r="15" spans="1:141">
      <c r="G15" s="44"/>
    </row>
    <row r="16" spans="1:141" s="101" customFormat="1">
      <c r="E16" s="208"/>
      <c r="G16" s="186" t="s">
        <v>407</v>
      </c>
      <c r="H16" s="209">
        <f>0.4+H11</f>
        <v>1.0723314378554023</v>
      </c>
      <c r="I16" s="209">
        <f>0.4+I11</f>
        <v>1.0942510154346059</v>
      </c>
      <c r="J16" s="209">
        <f t="shared" ref="J16:BF16" si="24">0.4+J11</f>
        <v>1.0328172217709177</v>
      </c>
      <c r="K16" s="209">
        <f t="shared" si="24"/>
        <v>0.97993501218521528</v>
      </c>
      <c r="L16" s="209">
        <f t="shared" si="24"/>
        <v>1.1706255077173031</v>
      </c>
      <c r="M16" s="209">
        <f t="shared" si="24"/>
        <v>1.3129553208773355</v>
      </c>
      <c r="N16" s="209">
        <f t="shared" si="24"/>
        <v>1.3372339561332249</v>
      </c>
      <c r="O16" s="209">
        <f>0.4+O11</f>
        <v>1.2772745735174653</v>
      </c>
      <c r="P16" s="209">
        <f t="shared" si="24"/>
        <v>1.269902518277823</v>
      </c>
      <c r="Q16" s="209">
        <f t="shared" si="24"/>
        <v>1.29251015434606</v>
      </c>
      <c r="R16" s="209">
        <f t="shared" si="24"/>
        <v>1.3473582453290009</v>
      </c>
      <c r="S16" s="209">
        <f t="shared" si="24"/>
        <v>1.4358229082047114</v>
      </c>
      <c r="T16" s="209">
        <f t="shared" si="24"/>
        <v>1.3755686433793664</v>
      </c>
      <c r="U16" s="209">
        <f t="shared" si="24"/>
        <v>1.4664906580016246</v>
      </c>
      <c r="V16" s="209">
        <f t="shared" si="24"/>
        <v>1.6581640942323315</v>
      </c>
      <c r="W16" s="209">
        <f t="shared" si="24"/>
        <v>1.6827376116978066</v>
      </c>
      <c r="X16" s="209">
        <f t="shared" si="24"/>
        <v>1.6163891145410236</v>
      </c>
      <c r="Y16" s="209">
        <f t="shared" si="24"/>
        <v>1.4112493907392363</v>
      </c>
      <c r="Z16" s="209">
        <f t="shared" si="24"/>
        <v>1.2492607636068236</v>
      </c>
      <c r="AA16" s="209">
        <f t="shared" si="24"/>
        <v>1.2084687246141348</v>
      </c>
      <c r="AB16" s="209">
        <f t="shared" si="24"/>
        <v>1.2246872461413485</v>
      </c>
      <c r="AC16" s="209">
        <f t="shared" si="24"/>
        <v>1.2866125101543462</v>
      </c>
      <c r="AD16" s="209">
        <f t="shared" si="24"/>
        <v>1.27855239642567</v>
      </c>
      <c r="AE16" s="209">
        <f t="shared" si="24"/>
        <v>1.2207554833468723</v>
      </c>
      <c r="AF16" s="209">
        <f t="shared" si="24"/>
        <v>1.2084687246141348</v>
      </c>
      <c r="AG16" s="209">
        <f t="shared" si="24"/>
        <v>1.2600731112916328</v>
      </c>
      <c r="AH16" s="209">
        <f t="shared" si="24"/>
        <v>1.3694744110479284</v>
      </c>
      <c r="AI16" s="209">
        <f t="shared" si="24"/>
        <v>1.3455889520714865</v>
      </c>
      <c r="AJ16" s="209">
        <f t="shared" si="24"/>
        <v>1.3387083671811535</v>
      </c>
      <c r="AK16" s="209">
        <f t="shared" si="24"/>
        <v>1.3436230706742487</v>
      </c>
      <c r="AL16" s="209">
        <f t="shared" si="24"/>
        <v>1.3357595450852964</v>
      </c>
      <c r="AM16" s="209">
        <f t="shared" si="24"/>
        <v>1.2600731112916328</v>
      </c>
      <c r="AN16" s="209">
        <f t="shared" si="24"/>
        <v>1.2232128350934199</v>
      </c>
      <c r="AO16" s="209">
        <f t="shared" si="24"/>
        <v>1.2048318440292445</v>
      </c>
      <c r="AP16" s="209">
        <f t="shared" si="24"/>
        <v>1.1716084484159222</v>
      </c>
      <c r="AQ16" s="209">
        <f t="shared" si="24"/>
        <v>1.1765231519090171</v>
      </c>
      <c r="AR16" s="209">
        <f t="shared" si="24"/>
        <v>1.1765231519090171</v>
      </c>
      <c r="AS16" s="209">
        <f t="shared" si="24"/>
        <v>1.2195759545085296</v>
      </c>
      <c r="AT16" s="209">
        <f>0.4+AT11</f>
        <v>1.2993907392363933</v>
      </c>
      <c r="AU16" s="209">
        <f t="shared" si="24"/>
        <v>1.2993907392363933</v>
      </c>
      <c r="AV16" s="209">
        <f t="shared" si="24"/>
        <v>1.3165922014622258</v>
      </c>
      <c r="AW16" s="209">
        <f t="shared" si="24"/>
        <v>1.3067627944760356</v>
      </c>
      <c r="AX16" s="209">
        <f t="shared" si="24"/>
        <v>1.1863525588952073</v>
      </c>
      <c r="AY16" s="209">
        <f t="shared" si="24"/>
        <v>1.2010966693744922</v>
      </c>
      <c r="AZ16" s="209">
        <f t="shared" si="24"/>
        <v>1.2010966693744922</v>
      </c>
      <c r="BA16" s="209">
        <f t="shared" si="24"/>
        <v>1.2109260763606824</v>
      </c>
      <c r="BB16" s="209">
        <f t="shared" si="24"/>
        <v>1.2305848903330625</v>
      </c>
      <c r="BC16" s="209">
        <f t="shared" si="24"/>
        <v>1.2453290008123477</v>
      </c>
      <c r="BD16" s="209">
        <f t="shared" si="24"/>
        <v>1.2502437043054426</v>
      </c>
      <c r="BE16" s="209">
        <f t="shared" si="24"/>
        <v>1.2502437043054426</v>
      </c>
      <c r="BF16" s="209">
        <f t="shared" si="24"/>
        <v>1.2502437043054426</v>
      </c>
      <c r="BG16" s="209">
        <f t="shared" ref="BG16:BN16" si="25">0.4+BG11</f>
        <v>1.2600731112916328</v>
      </c>
      <c r="BH16" s="209">
        <f t="shared" si="25"/>
        <v>1.2600731112916328</v>
      </c>
      <c r="BI16" s="209">
        <f t="shared" si="25"/>
        <v>1.3092201462225832</v>
      </c>
      <c r="BJ16" s="209">
        <f t="shared" si="25"/>
        <v>1.3239642567018683</v>
      </c>
      <c r="BK16" s="209">
        <f t="shared" si="25"/>
        <v>1.3337936636880583</v>
      </c>
      <c r="BL16" s="209">
        <f t="shared" si="25"/>
        <v>1.3043054427294882</v>
      </c>
      <c r="BM16" s="209">
        <f t="shared" si="25"/>
        <v>1.3043054427294882</v>
      </c>
      <c r="BN16" s="209">
        <f t="shared" si="25"/>
        <v>1.3043054427294882</v>
      </c>
      <c r="BO16" s="209">
        <f t="shared" ref="BO16:BU16" si="26">0.4+BO11</f>
        <v>1.3141348497156784</v>
      </c>
      <c r="BP16" s="209">
        <f t="shared" si="26"/>
        <v>1.3141348497156784</v>
      </c>
      <c r="BQ16" s="209">
        <f t="shared" si="26"/>
        <v>1.3141348497156784</v>
      </c>
      <c r="BR16" s="209">
        <f t="shared" si="26"/>
        <v>1.2895613322502031</v>
      </c>
      <c r="BS16" s="209">
        <f t="shared" si="26"/>
        <v>1.2895613322502031</v>
      </c>
      <c r="BT16" s="209">
        <f t="shared" si="26"/>
        <v>1.2895613322502031</v>
      </c>
      <c r="BU16" s="209">
        <f t="shared" si="26"/>
        <v>1.2895613322502031</v>
      </c>
      <c r="BV16" s="209">
        <f>0.4+BV11</f>
        <v>1.3141348497156784</v>
      </c>
      <c r="BW16" s="209">
        <f>0.4+BW11</f>
        <v>1.3092201462225832</v>
      </c>
      <c r="BX16" s="209">
        <f>0.4+BX11</f>
        <v>1.3092201462225832</v>
      </c>
      <c r="BY16" s="209">
        <f t="shared" ref="BY16:CG16" si="27">0.4+BY11</f>
        <v>1.3436230706742487</v>
      </c>
      <c r="BZ16" s="209">
        <f t="shared" si="27"/>
        <v>1.3436230706742487</v>
      </c>
      <c r="CA16" s="209">
        <f t="shared" si="27"/>
        <v>1.3632818846466286</v>
      </c>
      <c r="CB16" s="209">
        <f t="shared" si="27"/>
        <v>1.4124289195775792</v>
      </c>
      <c r="CC16" s="209">
        <f t="shared" si="27"/>
        <v>1.4124289195775792</v>
      </c>
      <c r="CD16" s="209">
        <f t="shared" si="27"/>
        <v>1.4124289195775792</v>
      </c>
      <c r="CE16" s="209">
        <f t="shared" si="27"/>
        <v>1.4124289195775792</v>
      </c>
      <c r="CF16" s="209">
        <f t="shared" si="27"/>
        <v>1.4222583265637692</v>
      </c>
      <c r="CG16" s="209">
        <f t="shared" si="27"/>
        <v>1.4222583265637692</v>
      </c>
      <c r="CH16" s="209">
        <f t="shared" ref="CH16:CM16" si="28">0.4+CH11</f>
        <v>1.4222583265637692</v>
      </c>
      <c r="CI16" s="209">
        <f t="shared" si="28"/>
        <v>1.4222583265637692</v>
      </c>
      <c r="CJ16" s="209">
        <f t="shared" si="28"/>
        <v>1.4222583265637692</v>
      </c>
      <c r="CK16" s="209">
        <f t="shared" si="28"/>
        <v>1.4419171405361495</v>
      </c>
      <c r="CL16" s="209">
        <f t="shared" si="28"/>
        <v>1.4419171405361495</v>
      </c>
      <c r="CM16" s="209">
        <f t="shared" si="28"/>
        <v>1.4517465475223394</v>
      </c>
      <c r="CN16" s="209">
        <f t="shared" ref="CN16:CS16" si="29">0.4+CN11</f>
        <v>1.4517465475223394</v>
      </c>
      <c r="CO16" s="209">
        <f t="shared" si="29"/>
        <v>1.4517465475223394</v>
      </c>
      <c r="CP16" s="209">
        <f t="shared" si="29"/>
        <v>1.4517465475223394</v>
      </c>
      <c r="CQ16" s="209">
        <f t="shared" si="29"/>
        <v>1.4517465475223394</v>
      </c>
      <c r="CR16" s="209">
        <f t="shared" si="29"/>
        <v>1.4468318440292443</v>
      </c>
      <c r="CS16" s="209">
        <f t="shared" si="29"/>
        <v>1.4566612510154346</v>
      </c>
      <c r="CT16" s="209">
        <f t="shared" ref="CT16:ED16" si="30">0.4+CT11</f>
        <v>1.4517465475223394</v>
      </c>
      <c r="CU16" s="209">
        <f t="shared" si="30"/>
        <v>1.4517465475223394</v>
      </c>
      <c r="CV16" s="209">
        <f t="shared" si="30"/>
        <v>1.4517465475223394</v>
      </c>
      <c r="CW16" s="209">
        <f t="shared" si="30"/>
        <v>1.4222583265637692</v>
      </c>
      <c r="CX16" s="209">
        <f t="shared" si="30"/>
        <v>1.4025995125913893</v>
      </c>
      <c r="CY16" s="209">
        <f t="shared" si="30"/>
        <v>1.4025995125913893</v>
      </c>
      <c r="CZ16" s="209">
        <f t="shared" si="30"/>
        <v>1.4025995125913893</v>
      </c>
      <c r="DA16" s="209">
        <f t="shared" si="30"/>
        <v>1.4025995125913893</v>
      </c>
      <c r="DB16" s="209">
        <f t="shared" si="30"/>
        <v>1.3952274573517465</v>
      </c>
      <c r="DC16" s="209">
        <f t="shared" si="30"/>
        <v>1.3436230706742487</v>
      </c>
      <c r="DD16" s="209">
        <f t="shared" si="30"/>
        <v>1.3387083671811535</v>
      </c>
      <c r="DE16" s="209">
        <f t="shared" si="30"/>
        <v>1.2600731112916328</v>
      </c>
      <c r="DF16" s="209">
        <f t="shared" si="30"/>
        <v>1.2354995938261575</v>
      </c>
      <c r="DG16" s="209">
        <f t="shared" si="30"/>
        <v>1.2502437043054426</v>
      </c>
      <c r="DH16" s="209">
        <f t="shared" si="30"/>
        <v>1.2404142973192527</v>
      </c>
      <c r="DI16" s="209">
        <f t="shared" si="30"/>
        <v>1.2256701868399675</v>
      </c>
      <c r="DJ16" s="209">
        <f t="shared" si="30"/>
        <v>1.2256701868399675</v>
      </c>
      <c r="DK16" s="209">
        <f t="shared" si="30"/>
        <v>1.2256701868399675</v>
      </c>
      <c r="DL16" s="209">
        <f t="shared" si="30"/>
        <v>1.2060113728675872</v>
      </c>
      <c r="DM16" s="209">
        <f t="shared" si="30"/>
        <v>1.1765231519090171</v>
      </c>
      <c r="DN16" s="209">
        <f t="shared" si="30"/>
        <v>1.166693744922827</v>
      </c>
      <c r="DO16" s="209">
        <f t="shared" si="30"/>
        <v>1.166693744922827</v>
      </c>
      <c r="DP16" s="209">
        <f t="shared" si="30"/>
        <v>1.1470349309504468</v>
      </c>
      <c r="DQ16" s="209">
        <f t="shared" si="30"/>
        <v>1.1372055239642567</v>
      </c>
      <c r="DR16" s="209">
        <f t="shared" si="30"/>
        <v>1.1322908204711617</v>
      </c>
      <c r="DS16" s="209">
        <f t="shared" si="30"/>
        <v>0.4</v>
      </c>
      <c r="DT16" s="209">
        <f t="shared" si="30"/>
        <v>0.4</v>
      </c>
      <c r="DU16" s="209">
        <f t="shared" si="30"/>
        <v>0.4</v>
      </c>
      <c r="DV16" s="209">
        <f t="shared" si="30"/>
        <v>0.4</v>
      </c>
      <c r="DW16" s="209">
        <f t="shared" si="30"/>
        <v>0.4</v>
      </c>
      <c r="DX16" s="209">
        <f t="shared" si="30"/>
        <v>0.4</v>
      </c>
      <c r="DY16" s="209">
        <f t="shared" si="30"/>
        <v>0.4</v>
      </c>
      <c r="DZ16" s="209">
        <f t="shared" si="30"/>
        <v>0.4</v>
      </c>
      <c r="EA16" s="209">
        <f t="shared" si="30"/>
        <v>0.4</v>
      </c>
      <c r="EB16" s="209">
        <f t="shared" si="30"/>
        <v>0.4</v>
      </c>
      <c r="EC16" s="209">
        <f t="shared" si="30"/>
        <v>0.4</v>
      </c>
      <c r="ED16" s="209">
        <f t="shared" si="30"/>
        <v>0.4</v>
      </c>
      <c r="EE16" s="209">
        <f t="shared" ref="EE16:EK16" si="31">0.4+EE11</f>
        <v>0.4</v>
      </c>
      <c r="EF16" s="209">
        <f t="shared" si="31"/>
        <v>0.4</v>
      </c>
      <c r="EG16" s="209">
        <f t="shared" si="31"/>
        <v>0.4</v>
      </c>
      <c r="EH16" s="209">
        <f t="shared" si="31"/>
        <v>0.4</v>
      </c>
      <c r="EI16" s="209">
        <f t="shared" si="31"/>
        <v>0.4</v>
      </c>
      <c r="EJ16" s="209">
        <f t="shared" si="31"/>
        <v>0.4</v>
      </c>
      <c r="EK16" s="209">
        <f t="shared" si="31"/>
        <v>0.4</v>
      </c>
    </row>
    <row r="17" spans="1:7" ht="14">
      <c r="A17" s="63"/>
      <c r="C17" s="65"/>
      <c r="D17" s="78"/>
      <c r="G17" s="8"/>
    </row>
    <row r="18" spans="1:7">
      <c r="A18" s="62"/>
      <c r="C18" s="65"/>
      <c r="D18" s="78"/>
    </row>
    <row r="19" spans="1:7">
      <c r="A19" s="62"/>
      <c r="C19" s="65"/>
      <c r="D19" s="78"/>
    </row>
    <row r="20" spans="1:7">
      <c r="A20" s="62"/>
      <c r="C20" s="65"/>
      <c r="D20" s="78"/>
    </row>
  </sheetData>
  <phoneticPr fontId="52" type="noConversion"/>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6"/>
  <dimension ref="A1:ER10"/>
  <sheetViews>
    <sheetView workbookViewId="0">
      <pane xSplit="11" ySplit="3" topLeftCell="CS4" activePane="bottomRight" state="frozen"/>
      <selection pane="topRight" activeCell="L1" sqref="L1"/>
      <selection pane="bottomLeft" activeCell="A4" sqref="A4"/>
      <selection pane="bottomRight" activeCell="H10" sqref="H10"/>
    </sheetView>
  </sheetViews>
  <sheetFormatPr baseColWidth="10" defaultColWidth="14.1640625" defaultRowHeight="12"/>
  <cols>
    <col min="1" max="3" width="13.5" style="60" bestFit="1" customWidth="1"/>
    <col min="4" max="4" width="12.5" style="60" bestFit="1" customWidth="1"/>
    <col min="5" max="5" width="12.1640625" style="60" bestFit="1" customWidth="1"/>
    <col min="6" max="6" width="7.83203125" style="60" bestFit="1" customWidth="1"/>
    <col min="7" max="7" width="15.1640625" style="60" bestFit="1" customWidth="1"/>
    <col min="8" max="8" width="5.33203125" style="60" bestFit="1" customWidth="1"/>
    <col min="9" max="9" width="5.5" style="60" bestFit="1" customWidth="1"/>
    <col min="10" max="10" width="5.83203125" style="60" bestFit="1" customWidth="1"/>
    <col min="11" max="11" width="5.5" style="60" bestFit="1" customWidth="1"/>
    <col min="12" max="12" width="6.1640625" style="60" bestFit="1" customWidth="1"/>
    <col min="13" max="13" width="5.5" style="60" bestFit="1" customWidth="1"/>
    <col min="14" max="14" width="4.83203125" style="60" bestFit="1" customWidth="1"/>
    <col min="15" max="15" width="5.6640625" style="60" bestFit="1" customWidth="1"/>
    <col min="16" max="17" width="5.5" style="60" bestFit="1" customWidth="1"/>
    <col min="18" max="18" width="5.83203125" style="60" bestFit="1" customWidth="1"/>
    <col min="19" max="19" width="5.6640625" style="60" bestFit="1" customWidth="1"/>
    <col min="20" max="20" width="5.33203125" style="60" bestFit="1" customWidth="1"/>
    <col min="21" max="21" width="5.5" style="60" bestFit="1" customWidth="1"/>
    <col min="22" max="22" width="5.83203125" style="60" bestFit="1" customWidth="1"/>
    <col min="23" max="23" width="5.5" style="60" bestFit="1" customWidth="1"/>
    <col min="24" max="24" width="6.1640625" style="60" bestFit="1" customWidth="1"/>
    <col min="25" max="25" width="5.6640625" style="60" bestFit="1" customWidth="1"/>
    <col min="26" max="26" width="4.83203125" style="60" bestFit="1" customWidth="1"/>
    <col min="27" max="27" width="5.6640625" style="60" bestFit="1" customWidth="1"/>
    <col min="28" max="29" width="5.5" style="60" bestFit="1" customWidth="1"/>
    <col min="30" max="30" width="5.83203125" style="60" bestFit="1" customWidth="1"/>
    <col min="31" max="31" width="5.5" style="60" bestFit="1" customWidth="1"/>
    <col min="32" max="32" width="5.33203125" style="60" bestFit="1" customWidth="1"/>
    <col min="33" max="33" width="5.5" style="60" bestFit="1" customWidth="1"/>
    <col min="34" max="34" width="5.83203125" style="60" bestFit="1" customWidth="1"/>
    <col min="35" max="35" width="5.5" style="60" bestFit="1" customWidth="1"/>
    <col min="36" max="36" width="6.1640625" style="60" bestFit="1" customWidth="1"/>
    <col min="37" max="37" width="5.5" style="60" bestFit="1" customWidth="1"/>
    <col min="38" max="38" width="4.83203125" style="60" bestFit="1" customWidth="1"/>
    <col min="39" max="39" width="5.6640625" style="60" bestFit="1" customWidth="1"/>
    <col min="40" max="41" width="5.5" style="60" bestFit="1" customWidth="1"/>
    <col min="42" max="42" width="5.83203125" style="60" bestFit="1" customWidth="1"/>
    <col min="43" max="43" width="5.5" style="60" bestFit="1" customWidth="1"/>
    <col min="44" max="44" width="5.33203125" style="60" bestFit="1" customWidth="1"/>
    <col min="45" max="45" width="5.5" style="60" bestFit="1" customWidth="1"/>
    <col min="46" max="46" width="5.83203125" style="60" bestFit="1" customWidth="1"/>
    <col min="47" max="47" width="5.5" style="60" bestFit="1" customWidth="1"/>
    <col min="48" max="48" width="6.1640625" style="60" bestFit="1" customWidth="1"/>
    <col min="49" max="49" width="5.5" style="60" bestFit="1" customWidth="1"/>
    <col min="50" max="50" width="4.83203125" style="60" bestFit="1" customWidth="1"/>
    <col min="51" max="53" width="7.1640625" style="60" bestFit="1" customWidth="1"/>
    <col min="54" max="55" width="5.6640625" style="60" bestFit="1" customWidth="1"/>
    <col min="56" max="57" width="4.33203125" style="60" bestFit="1" customWidth="1"/>
    <col min="58" max="61" width="6.33203125" style="60" bestFit="1" customWidth="1"/>
    <col min="62" max="65" width="6.1640625" style="60" bestFit="1" customWidth="1"/>
    <col min="66" max="69" width="5.6640625" style="60" bestFit="1" customWidth="1"/>
    <col min="70" max="73" width="5.5" style="60" bestFit="1" customWidth="1"/>
    <col min="74" max="77" width="5.1640625" style="60" bestFit="1" customWidth="1"/>
    <col min="78" max="81" width="5.5" style="60" bestFit="1" customWidth="1"/>
    <col min="82" max="82" width="6.1640625" style="60" bestFit="1" customWidth="1"/>
    <col min="83" max="85" width="5.6640625" style="60" bestFit="1" customWidth="1"/>
    <col min="86" max="89" width="5.5" style="60" bestFit="1" customWidth="1"/>
    <col min="90" max="94" width="6.33203125" style="60" bestFit="1" customWidth="1"/>
    <col min="95" max="98" width="6.1640625" style="60" bestFit="1" customWidth="1"/>
    <col min="99" max="102" width="5.1640625" style="60" bestFit="1" customWidth="1"/>
    <col min="103" max="106" width="5.83203125" style="60" bestFit="1" customWidth="1"/>
    <col min="107" max="114" width="5.6640625" style="60" bestFit="1" customWidth="1"/>
    <col min="115" max="118" width="6.1640625" style="60" bestFit="1" customWidth="1"/>
    <col min="119" max="122" width="5.83203125" style="60" bestFit="1" customWidth="1"/>
    <col min="123" max="129" width="5.1640625" style="60" bestFit="1" customWidth="1"/>
    <col min="130" max="148" width="3.33203125" style="60" bestFit="1" customWidth="1"/>
    <col min="149" max="16384" width="14.1640625" style="60"/>
  </cols>
  <sheetData>
    <row r="1" spans="1:148">
      <c r="A1" s="59" t="s">
        <v>377</v>
      </c>
      <c r="B1" s="59" t="s">
        <v>378</v>
      </c>
      <c r="C1" s="59" t="s">
        <v>379</v>
      </c>
      <c r="D1" s="59" t="s">
        <v>380</v>
      </c>
      <c r="E1" s="59" t="s">
        <v>381</v>
      </c>
      <c r="F1" s="59" t="s">
        <v>33</v>
      </c>
      <c r="H1" s="61">
        <v>6</v>
      </c>
      <c r="I1" s="61">
        <v>7</v>
      </c>
      <c r="J1" s="61">
        <v>8</v>
      </c>
      <c r="K1" s="61">
        <v>9</v>
      </c>
      <c r="L1" s="61">
        <v>10</v>
      </c>
      <c r="M1" s="61">
        <v>11</v>
      </c>
      <c r="N1" s="61">
        <v>12</v>
      </c>
      <c r="O1" s="61">
        <v>13</v>
      </c>
      <c r="P1" s="61">
        <v>14</v>
      </c>
      <c r="Q1" s="61">
        <v>15</v>
      </c>
      <c r="R1" s="61">
        <v>16</v>
      </c>
      <c r="S1" s="61">
        <v>17</v>
      </c>
      <c r="T1" s="61">
        <v>18</v>
      </c>
      <c r="U1" s="61">
        <v>19</v>
      </c>
      <c r="V1" s="61">
        <v>20</v>
      </c>
      <c r="W1" s="61">
        <v>21</v>
      </c>
      <c r="X1" s="61">
        <v>22</v>
      </c>
      <c r="Y1" s="61">
        <v>23</v>
      </c>
      <c r="Z1" s="61">
        <v>24</v>
      </c>
      <c r="AA1" s="61">
        <v>25</v>
      </c>
      <c r="AB1" s="61">
        <v>26</v>
      </c>
      <c r="AC1" s="61">
        <v>27</v>
      </c>
      <c r="AD1" s="61">
        <v>28</v>
      </c>
      <c r="AE1" s="61">
        <v>29</v>
      </c>
      <c r="AF1" s="61">
        <v>30</v>
      </c>
      <c r="AG1" s="61">
        <v>31</v>
      </c>
      <c r="AH1" s="61">
        <v>32</v>
      </c>
      <c r="AI1" s="61">
        <v>33</v>
      </c>
      <c r="AJ1" s="61">
        <v>34</v>
      </c>
      <c r="AK1" s="61">
        <v>35</v>
      </c>
      <c r="AL1" s="61">
        <v>36</v>
      </c>
      <c r="AM1" s="61">
        <v>37</v>
      </c>
      <c r="AN1" s="61">
        <v>38</v>
      </c>
      <c r="AO1" s="61">
        <v>39</v>
      </c>
      <c r="AP1" s="61">
        <v>40</v>
      </c>
      <c r="AQ1" s="61">
        <v>41</v>
      </c>
      <c r="AR1" s="61">
        <v>42</v>
      </c>
      <c r="AS1" s="61">
        <v>43</v>
      </c>
      <c r="AT1" s="61">
        <v>44</v>
      </c>
      <c r="AU1" s="61">
        <v>45</v>
      </c>
      <c r="AV1" s="61">
        <v>46</v>
      </c>
      <c r="AW1" s="61">
        <v>47</v>
      </c>
      <c r="AX1" s="61">
        <v>48</v>
      </c>
      <c r="AY1" s="61">
        <v>49</v>
      </c>
      <c r="AZ1" s="61">
        <v>50</v>
      </c>
      <c r="BA1" s="61">
        <v>51</v>
      </c>
      <c r="BB1" s="61">
        <v>52</v>
      </c>
      <c r="BC1" s="61">
        <v>53</v>
      </c>
      <c r="BD1" s="61">
        <v>54</v>
      </c>
      <c r="BE1" s="61">
        <v>55</v>
      </c>
      <c r="BF1" s="61">
        <v>56</v>
      </c>
      <c r="BG1" s="61">
        <v>57</v>
      </c>
      <c r="BH1" s="61">
        <v>58</v>
      </c>
      <c r="BI1" s="61">
        <v>59</v>
      </c>
      <c r="BJ1" s="61">
        <v>60</v>
      </c>
      <c r="BK1" s="61">
        <v>61</v>
      </c>
      <c r="BL1" s="61">
        <v>62</v>
      </c>
      <c r="BM1" s="61">
        <v>63</v>
      </c>
      <c r="BN1" s="61">
        <v>64</v>
      </c>
      <c r="BO1" s="61">
        <v>65</v>
      </c>
      <c r="BP1" s="61">
        <v>66</v>
      </c>
      <c r="BQ1" s="61">
        <v>67</v>
      </c>
      <c r="BR1" s="61">
        <v>68</v>
      </c>
      <c r="BS1" s="61">
        <v>69</v>
      </c>
      <c r="BT1" s="61">
        <v>70</v>
      </c>
      <c r="BU1" s="61">
        <v>71</v>
      </c>
      <c r="BV1" s="61">
        <v>72</v>
      </c>
      <c r="BW1" s="61">
        <v>73</v>
      </c>
      <c r="BX1" s="61">
        <v>74</v>
      </c>
      <c r="BY1" s="61">
        <v>75</v>
      </c>
      <c r="BZ1" s="61">
        <v>76</v>
      </c>
      <c r="CA1" s="61">
        <v>77</v>
      </c>
      <c r="CB1" s="61">
        <v>78</v>
      </c>
      <c r="CC1" s="61">
        <v>79</v>
      </c>
      <c r="CD1" s="61">
        <v>80</v>
      </c>
      <c r="CE1" s="61">
        <v>81</v>
      </c>
      <c r="CF1" s="61">
        <v>82</v>
      </c>
      <c r="CG1" s="61">
        <v>83</v>
      </c>
      <c r="CH1" s="61">
        <v>84</v>
      </c>
      <c r="CI1" s="61">
        <v>85</v>
      </c>
      <c r="CJ1" s="61">
        <v>86</v>
      </c>
      <c r="CK1" s="61">
        <v>87</v>
      </c>
      <c r="CL1" s="61">
        <v>88</v>
      </c>
      <c r="CM1" s="61">
        <v>89</v>
      </c>
      <c r="CN1" s="61">
        <v>90</v>
      </c>
      <c r="CO1" s="61">
        <v>91</v>
      </c>
      <c r="CP1" s="61">
        <v>92</v>
      </c>
      <c r="CQ1" s="61">
        <v>93</v>
      </c>
      <c r="CR1" s="61">
        <v>94</v>
      </c>
      <c r="CS1" s="61">
        <v>95</v>
      </c>
      <c r="CT1" s="61">
        <v>96</v>
      </c>
      <c r="CU1" s="61">
        <v>97</v>
      </c>
      <c r="CV1" s="61">
        <v>98</v>
      </c>
      <c r="CW1" s="61">
        <v>99</v>
      </c>
      <c r="CX1" s="61">
        <v>100</v>
      </c>
      <c r="CY1" s="61">
        <v>101</v>
      </c>
      <c r="CZ1" s="61">
        <v>102</v>
      </c>
      <c r="DA1" s="61">
        <v>103</v>
      </c>
      <c r="DB1" s="61">
        <v>104</v>
      </c>
      <c r="DC1" s="61">
        <v>105</v>
      </c>
      <c r="DD1" s="61">
        <v>106</v>
      </c>
      <c r="DE1" s="61">
        <v>107</v>
      </c>
      <c r="DF1" s="61">
        <v>108</v>
      </c>
      <c r="DG1" s="61">
        <v>109</v>
      </c>
      <c r="DH1" s="61">
        <v>110</v>
      </c>
      <c r="DI1" s="61">
        <v>111</v>
      </c>
      <c r="DJ1" s="61">
        <v>112</v>
      </c>
      <c r="DK1" s="61">
        <v>113</v>
      </c>
      <c r="DL1" s="61">
        <v>114</v>
      </c>
      <c r="DM1" s="61">
        <v>115</v>
      </c>
      <c r="DN1" s="61">
        <v>116</v>
      </c>
      <c r="DO1" s="61">
        <v>117</v>
      </c>
      <c r="DP1" s="61">
        <v>118</v>
      </c>
      <c r="DQ1" s="61">
        <v>119</v>
      </c>
      <c r="DR1" s="61">
        <v>120</v>
      </c>
      <c r="DS1" s="61">
        <v>121</v>
      </c>
      <c r="DT1" s="61">
        <v>122</v>
      </c>
      <c r="DU1" s="61">
        <v>123</v>
      </c>
      <c r="DV1" s="61">
        <v>124</v>
      </c>
      <c r="DW1" s="61">
        <v>125</v>
      </c>
      <c r="DX1" s="61">
        <v>126</v>
      </c>
      <c r="DY1" s="61">
        <v>127</v>
      </c>
      <c r="DZ1" s="61">
        <v>128</v>
      </c>
      <c r="EA1" s="61">
        <v>129</v>
      </c>
      <c r="EB1" s="61">
        <v>130</v>
      </c>
      <c r="EC1" s="61">
        <v>131</v>
      </c>
      <c r="ED1" s="61">
        <v>132</v>
      </c>
      <c r="EE1" s="61">
        <v>133</v>
      </c>
      <c r="EF1" s="61">
        <v>134</v>
      </c>
      <c r="EG1" s="61">
        <v>135</v>
      </c>
      <c r="EH1" s="61">
        <v>136</v>
      </c>
      <c r="EI1" s="61">
        <v>137</v>
      </c>
      <c r="EJ1" s="61">
        <v>138</v>
      </c>
      <c r="EK1" s="61">
        <v>139</v>
      </c>
      <c r="EL1" s="61">
        <v>140</v>
      </c>
      <c r="EM1" s="61">
        <v>141</v>
      </c>
      <c r="EN1" s="61">
        <v>142</v>
      </c>
      <c r="EO1" s="61">
        <v>143</v>
      </c>
      <c r="EP1" s="61">
        <v>144</v>
      </c>
      <c r="EQ1" s="61">
        <v>145</v>
      </c>
      <c r="ER1" s="61">
        <v>146</v>
      </c>
    </row>
    <row r="2" spans="1:148">
      <c r="A2" s="60" t="s">
        <v>624</v>
      </c>
      <c r="B2" s="60" t="s">
        <v>623</v>
      </c>
      <c r="C2" s="60">
        <v>1</v>
      </c>
      <c r="D2" s="64"/>
      <c r="E2" s="67">
        <v>116.16</v>
      </c>
      <c r="I2" s="84"/>
      <c r="J2" s="84"/>
      <c r="K2" s="84"/>
      <c r="L2" s="84"/>
      <c r="M2" s="84"/>
    </row>
    <row r="3" spans="1:148" ht="30">
      <c r="A3" s="63"/>
      <c r="B3" s="66"/>
      <c r="D3" s="64"/>
      <c r="H3" s="69">
        <v>43831</v>
      </c>
      <c r="I3" s="69">
        <v>43862</v>
      </c>
      <c r="J3" s="69">
        <v>43891</v>
      </c>
      <c r="K3" s="69">
        <v>43922</v>
      </c>
      <c r="L3" s="69">
        <v>43952</v>
      </c>
      <c r="M3" s="69">
        <v>43983</v>
      </c>
      <c r="N3" s="69">
        <v>44013</v>
      </c>
      <c r="O3" s="69">
        <v>44044</v>
      </c>
      <c r="P3" s="69">
        <v>44075</v>
      </c>
      <c r="Q3" s="69">
        <v>44105</v>
      </c>
      <c r="R3" s="69">
        <v>44136</v>
      </c>
      <c r="S3" s="69">
        <v>44166</v>
      </c>
      <c r="T3" s="69">
        <v>44197</v>
      </c>
      <c r="U3" s="69">
        <v>44228</v>
      </c>
      <c r="V3" s="69">
        <v>44256</v>
      </c>
      <c r="W3" s="69">
        <v>44287</v>
      </c>
      <c r="X3" s="69">
        <v>44317</v>
      </c>
      <c r="Y3" s="69">
        <v>44348</v>
      </c>
      <c r="Z3" s="69">
        <v>44378</v>
      </c>
      <c r="AA3" s="69">
        <v>44409</v>
      </c>
      <c r="AB3" s="69">
        <v>44440</v>
      </c>
      <c r="AC3" s="69">
        <v>44470</v>
      </c>
      <c r="AD3" s="69">
        <v>44501</v>
      </c>
      <c r="AE3" s="69">
        <v>44531</v>
      </c>
      <c r="AF3" s="69">
        <v>44562</v>
      </c>
      <c r="AG3" s="69">
        <v>44593</v>
      </c>
      <c r="AH3" s="69">
        <v>44621</v>
      </c>
      <c r="AI3" s="69">
        <v>44652</v>
      </c>
      <c r="AJ3" s="69">
        <v>44682</v>
      </c>
      <c r="AK3" s="69">
        <v>44713</v>
      </c>
      <c r="AL3" s="69">
        <v>44743</v>
      </c>
      <c r="AM3" s="69">
        <v>44774</v>
      </c>
      <c r="AN3" s="69">
        <v>44805</v>
      </c>
      <c r="AO3" s="69">
        <v>44835</v>
      </c>
      <c r="AP3" s="69">
        <v>44866</v>
      </c>
      <c r="AQ3" s="69">
        <v>44896</v>
      </c>
      <c r="AR3" s="69">
        <v>44927</v>
      </c>
      <c r="AS3" s="69">
        <v>44958</v>
      </c>
      <c r="AT3" s="69">
        <v>44986</v>
      </c>
      <c r="AU3" s="69">
        <v>45017</v>
      </c>
      <c r="AV3" s="69">
        <v>45047</v>
      </c>
      <c r="AW3" s="69">
        <v>45078</v>
      </c>
      <c r="AX3" s="69">
        <v>45108</v>
      </c>
      <c r="AY3" s="69" t="s">
        <v>530</v>
      </c>
      <c r="AZ3" s="69" t="s">
        <v>531</v>
      </c>
      <c r="BA3" s="69" t="s">
        <v>532</v>
      </c>
      <c r="BB3" s="69">
        <v>37104</v>
      </c>
      <c r="BC3" s="69">
        <v>37469</v>
      </c>
      <c r="BD3" s="34" t="s">
        <v>168</v>
      </c>
      <c r="BE3" s="34" t="s">
        <v>169</v>
      </c>
      <c r="BF3" s="69" t="s">
        <v>393</v>
      </c>
      <c r="BG3" s="69" t="s">
        <v>458</v>
      </c>
      <c r="BH3" s="69" t="s">
        <v>459</v>
      </c>
      <c r="BI3" s="69" t="s">
        <v>460</v>
      </c>
      <c r="BJ3" s="69" t="s">
        <v>461</v>
      </c>
      <c r="BK3" s="69" t="s">
        <v>462</v>
      </c>
      <c r="BL3" s="69" t="s">
        <v>463</v>
      </c>
      <c r="BM3" s="69" t="s">
        <v>464</v>
      </c>
      <c r="BN3" s="59">
        <v>37196</v>
      </c>
      <c r="BO3" s="59">
        <v>37561</v>
      </c>
      <c r="BP3" s="59">
        <v>37926</v>
      </c>
      <c r="BQ3" s="59">
        <v>38292</v>
      </c>
      <c r="BR3" s="59">
        <v>37226</v>
      </c>
      <c r="BS3" s="59">
        <v>37591</v>
      </c>
      <c r="BT3" s="59">
        <v>37956</v>
      </c>
      <c r="BU3" s="59">
        <v>38322</v>
      </c>
      <c r="BV3" s="59">
        <v>36892</v>
      </c>
      <c r="BW3" s="59">
        <v>37257</v>
      </c>
      <c r="BX3" s="59">
        <v>37622</v>
      </c>
      <c r="BY3" s="59">
        <v>37987</v>
      </c>
      <c r="BZ3" s="59">
        <v>36923</v>
      </c>
      <c r="CA3" s="59">
        <v>37288</v>
      </c>
      <c r="CB3" s="59">
        <v>37653</v>
      </c>
      <c r="CC3" s="59">
        <v>38018</v>
      </c>
      <c r="CD3" s="59" t="str">
        <f>Sheet8!A15</f>
        <v>Mar-w1</v>
      </c>
      <c r="CE3" s="59">
        <v>37316</v>
      </c>
      <c r="CF3" s="59">
        <v>37681</v>
      </c>
      <c r="CG3" s="59">
        <v>38047</v>
      </c>
      <c r="CH3" s="59" t="str">
        <f>Sheet8!E15</f>
        <v>Apr-w1</v>
      </c>
      <c r="CI3" s="59" t="str">
        <f>Sheet8!F15</f>
        <v>Apr-w2</v>
      </c>
      <c r="CJ3" s="59" t="str">
        <f>Sheet8!G15</f>
        <v>Apr-w3</v>
      </c>
      <c r="CK3" s="59" t="str">
        <f>Sheet8!H15</f>
        <v>Apr-w4</v>
      </c>
      <c r="CL3" s="59" t="str">
        <f>Sheet8!I15</f>
        <v>May-w1</v>
      </c>
      <c r="CM3" s="59" t="str">
        <f>Sheet8!J15</f>
        <v>May-w2</v>
      </c>
      <c r="CN3" s="59" t="str">
        <f>Sheet8!K15</f>
        <v>May-w3</v>
      </c>
      <c r="CO3" s="59" t="str">
        <f>Sheet8!L15</f>
        <v>May-w4</v>
      </c>
      <c r="CP3" s="59" t="str">
        <f>Sheet8!M15</f>
        <v>May-w5</v>
      </c>
      <c r="CQ3" s="59" t="str">
        <f>Sheet8!N15</f>
        <v>june-w1</v>
      </c>
      <c r="CR3" s="59" t="str">
        <f>Sheet8!O15</f>
        <v>june-w2</v>
      </c>
      <c r="CS3" s="59" t="str">
        <f>Sheet8!P15</f>
        <v>june-w3</v>
      </c>
      <c r="CT3" s="59" t="str">
        <f>Sheet8!Q15</f>
        <v>june-w4</v>
      </c>
      <c r="CU3" s="59" t="str">
        <f>Sheet8!R15</f>
        <v>Jul-w1</v>
      </c>
      <c r="CV3" s="59" t="str">
        <f>Sheet8!S15</f>
        <v>Jul-w2</v>
      </c>
      <c r="CW3" s="59" t="str">
        <f>Sheet8!T15</f>
        <v>Jul-w3</v>
      </c>
      <c r="CX3" s="59" t="str">
        <f>Sheet8!U15</f>
        <v>Jul-w4</v>
      </c>
      <c r="CY3" s="59" t="str">
        <f>Sheet8!V15</f>
        <v>Aug-w1</v>
      </c>
      <c r="CZ3" s="59" t="str">
        <f>Sheet8!W15</f>
        <v>Aug-w2</v>
      </c>
      <c r="DA3" s="59" t="str">
        <f>Sheet8!X15</f>
        <v>Aug-w3</v>
      </c>
      <c r="DB3" s="59" t="str">
        <f>Sheet8!Y15</f>
        <v>Aug-w4</v>
      </c>
      <c r="DC3" s="59" t="str">
        <f>Sheet8!Z15</f>
        <v>Sep-w1</v>
      </c>
      <c r="DD3" s="59" t="str">
        <f>Sheet8!AA15</f>
        <v>Sep-w2</v>
      </c>
      <c r="DE3" s="59" t="str">
        <f>Sheet8!AB15</f>
        <v>Sep-w3</v>
      </c>
      <c r="DF3" s="59" t="str">
        <f>Sheet8!AC15</f>
        <v>Sep-w4</v>
      </c>
      <c r="DG3" s="59" t="str">
        <f>Sheet8!AD15</f>
        <v>Oct-w1</v>
      </c>
      <c r="DH3" s="59" t="str">
        <f>Sheet8!AE15</f>
        <v>Oct-w2</v>
      </c>
      <c r="DI3" s="59" t="str">
        <f>Sheet8!AF15</f>
        <v>Oct-w3</v>
      </c>
      <c r="DJ3" s="59" t="str">
        <f>Sheet8!AG15</f>
        <v>Oct-w4</v>
      </c>
      <c r="DK3" s="59" t="str">
        <f>Sheet8!AH15</f>
        <v>Nov-w1</v>
      </c>
      <c r="DL3" s="59" t="str">
        <f>Sheet8!AI15</f>
        <v>Nov-w2</v>
      </c>
      <c r="DM3" s="59" t="str">
        <f>Sheet8!AJ15</f>
        <v>Nov-w3</v>
      </c>
      <c r="DN3" s="59" t="str">
        <f>Sheet8!AK15</f>
        <v>Nov-w4</v>
      </c>
      <c r="DO3" s="59" t="str">
        <f>Sheet8!AL15</f>
        <v>Dec-w1</v>
      </c>
      <c r="DP3" s="59" t="str">
        <f>Sheet8!AM15</f>
        <v>Dec-w2</v>
      </c>
      <c r="DQ3" s="59" t="str">
        <f>Sheet8!AN15</f>
        <v>Dec-w3</v>
      </c>
      <c r="DR3" s="59" t="str">
        <f>Sheet8!AO15</f>
        <v>Dec-w4</v>
      </c>
      <c r="DS3" s="59">
        <f>Sheet8!AP15</f>
        <v>0</v>
      </c>
      <c r="DT3" s="59">
        <f>Sheet8!AQ15</f>
        <v>0</v>
      </c>
      <c r="DU3" s="59">
        <f>Sheet8!AR15</f>
        <v>0</v>
      </c>
      <c r="DV3" s="59">
        <f>Sheet8!AS15</f>
        <v>0</v>
      </c>
      <c r="DW3" s="59">
        <f>Sheet8!AT15</f>
        <v>0</v>
      </c>
      <c r="DX3" s="59">
        <f>Sheet8!AU15</f>
        <v>0</v>
      </c>
      <c r="DY3" s="59">
        <f>Sheet8!AV15</f>
        <v>0</v>
      </c>
    </row>
    <row r="4" spans="1:148">
      <c r="A4" s="60" t="s">
        <v>64</v>
      </c>
      <c r="C4" s="60" t="s">
        <v>627</v>
      </c>
      <c r="G4" s="60" t="s">
        <v>64</v>
      </c>
      <c r="H4" s="60">
        <f>VLOOKUP($G$4&amp;$F$1,'Input RM sheet'!$A:$BH,H1,0)</f>
        <v>684</v>
      </c>
      <c r="I4" s="60">
        <f>VLOOKUP($G$4&amp;$F$1,'Input RM sheet'!$A:$BH,I1,0)</f>
        <v>706.3</v>
      </c>
      <c r="J4" s="60">
        <f>VLOOKUP($G$4&amp;$F$1,'Input RM sheet'!$A:$BH,J1,0)</f>
        <v>643.79999999999995</v>
      </c>
      <c r="K4" s="60">
        <f>VLOOKUP($G$4&amp;$F$1,'Input RM sheet'!$A:$BH,K1,0)</f>
        <v>590</v>
      </c>
      <c r="L4" s="60">
        <f>VLOOKUP($G$4&amp;$F$1,'Input RM sheet'!$A:$BH,L1,0)</f>
        <v>784</v>
      </c>
      <c r="M4" s="60">
        <f>VLOOKUP($G$4&amp;$F$1,'Input RM sheet'!$A:$BH,M1,0)</f>
        <v>928.8</v>
      </c>
      <c r="N4" s="60">
        <f>VLOOKUP($G$4&amp;$F$1,'Input RM sheet'!$A:$BH,N1,0)</f>
        <v>953.5</v>
      </c>
      <c r="O4" s="60">
        <f>VLOOKUP($G$4&amp;$F$1,'Input RM sheet'!$A:$BH,O1,0)</f>
        <v>892.5</v>
      </c>
      <c r="P4" s="60">
        <f>VLOOKUP($G$4&amp;$F$1,'Input RM sheet'!$A:$BH,P1,0)</f>
        <v>885</v>
      </c>
      <c r="Q4" s="60">
        <f>VLOOKUP($G$4&amp;$F$1,'Input RM sheet'!$A:$BH,Q1,0)</f>
        <v>908</v>
      </c>
      <c r="R4" s="60">
        <f>VLOOKUP($G$4&amp;$F$1,'Input RM sheet'!$A:$BH,R1,0)</f>
        <v>963.8</v>
      </c>
      <c r="S4" s="60">
        <f>VLOOKUP($G$4&amp;$F$1,'Input RM sheet'!$A:$BH,S1,0)</f>
        <v>1053.8</v>
      </c>
      <c r="T4" s="60">
        <f>VLOOKUP($G$4&amp;$F$1,'Input RM sheet'!$A:$BH,T1,0)</f>
        <v>992.5</v>
      </c>
      <c r="U4" s="60">
        <f>VLOOKUP($G$4&amp;$F$1,'Input RM sheet'!$A:$BH,U1,0)</f>
        <v>1085</v>
      </c>
      <c r="V4" s="60">
        <f>VLOOKUP($G$4&amp;$F$1,'Input RM sheet'!$A:$BH,V1,0)</f>
        <v>1280</v>
      </c>
      <c r="W4" s="60">
        <f>VLOOKUP($G$4&amp;$F$1,'Input RM sheet'!$A:$BH,W1,0)</f>
        <v>1305</v>
      </c>
      <c r="X4" s="60">
        <f>VLOOKUP($G$4&amp;$F$1,'Input RM sheet'!$A:$BH,X1,0)</f>
        <v>1237.5</v>
      </c>
      <c r="Y4" s="60">
        <f>VLOOKUP($G$4&amp;$F$1,'Input RM sheet'!$A:$BH,Y1,0)</f>
        <v>1028.8</v>
      </c>
      <c r="Z4" s="60">
        <f>VLOOKUP($G$4&amp;$F$1,'Input RM sheet'!$A:$BH,Z1,0)</f>
        <v>864</v>
      </c>
      <c r="AA4" s="60">
        <f>VLOOKUP($G$4&amp;$F$1,'Input RM sheet'!$A:$BH,AA1,0)</f>
        <v>822.5</v>
      </c>
      <c r="AB4" s="60">
        <f>VLOOKUP($G$4&amp;$F$1,'Input RM sheet'!$A:$BH,AB1,0)</f>
        <v>839</v>
      </c>
      <c r="AC4" s="60">
        <f>VLOOKUP($G$4&amp;$F$1,'Input RM sheet'!$A:$BH,AC1,0)</f>
        <v>902</v>
      </c>
      <c r="AD4" s="60">
        <f>VLOOKUP($G$4&amp;$F$1,'Input RM sheet'!$A:$BH,AD1,0)</f>
        <v>893.8</v>
      </c>
      <c r="AE4" s="60">
        <f>VLOOKUP($G$4&amp;$F$1,'Input RM sheet'!$A:$BH,AE1,0)</f>
        <v>835</v>
      </c>
      <c r="AF4" s="60">
        <f>VLOOKUP($G$4&amp;$F$1,'Input RM sheet'!$A:$BH,AF1,0)</f>
        <v>822.5</v>
      </c>
      <c r="AG4" s="60">
        <f>VLOOKUP($G$4&amp;$F$1,'Input RM sheet'!$A:$BH,AG1,0)</f>
        <v>875</v>
      </c>
      <c r="AH4" s="60">
        <f>VLOOKUP($G$4&amp;$F$1,'Input RM sheet'!$A:$BH,AH1,0)</f>
        <v>986.3</v>
      </c>
      <c r="AI4" s="60">
        <f>VLOOKUP($G$4&amp;$F$1,'Input RM sheet'!$A:$BH,AI1,0)</f>
        <v>962</v>
      </c>
      <c r="AJ4" s="60">
        <f>VLOOKUP($G$4&amp;$F$1,'Input RM sheet'!$A:$BH,AJ1,0)</f>
        <v>955</v>
      </c>
      <c r="AK4" s="60">
        <f>VLOOKUP($G$4&amp;$F$1,'Input RM sheet'!$A:$BH,AK1,0)</f>
        <v>960</v>
      </c>
      <c r="AL4" s="60">
        <f>VLOOKUP($G$4&amp;$F$1,'Input RM sheet'!$A:$BH,AL1,0)</f>
        <v>952</v>
      </c>
      <c r="AM4" s="60">
        <f>VLOOKUP($G$4&amp;$F$1,'Input RM sheet'!$A:$BH,AM1,0)</f>
        <v>875</v>
      </c>
      <c r="AN4" s="60">
        <f>VLOOKUP($G$4&amp;$F$1,'Input RM sheet'!$A:$BH,AN1,0)</f>
        <v>837.5</v>
      </c>
      <c r="AO4" s="60">
        <f>VLOOKUP($G$4&amp;$F$1,'Input RM sheet'!$A:$BH,AO1,0)</f>
        <v>818.8</v>
      </c>
      <c r="AP4" s="60">
        <f>VLOOKUP($G$4&amp;$F$1,'Input RM sheet'!$A:$BH,AP1,0)</f>
        <v>785</v>
      </c>
      <c r="AQ4" s="60">
        <f>VLOOKUP($G$4&amp;$F$1,'Input RM sheet'!$A:$BH,AQ1,0)</f>
        <v>790</v>
      </c>
      <c r="AR4" s="60">
        <f>VLOOKUP($G$4&amp;$F$1,'Input RM sheet'!$A:$BH,AR1,0)</f>
        <v>790</v>
      </c>
      <c r="AS4" s="60">
        <f>VLOOKUP($G$4&amp;$F$1,'Input RM sheet'!$A:$BH,AS1,0)</f>
        <v>833.8</v>
      </c>
      <c r="AT4" s="60">
        <f>VLOOKUP($G$4&amp;$F$1,'Input RM sheet'!$A:$BH,AT1,0)</f>
        <v>915</v>
      </c>
      <c r="AU4" s="60">
        <f>VLOOKUP($G$4&amp;$F$1,'Input RM sheet'!$A:$BH,AU1,0)</f>
        <v>915</v>
      </c>
      <c r="AV4" s="60">
        <f>VLOOKUP($G$4&amp;$F$1,'Input RM sheet'!$A:$BH,AV1,0)</f>
        <v>932.5</v>
      </c>
      <c r="AW4" s="60">
        <f>VLOOKUP($G$4&amp;$F$1,'Input RM sheet'!$A:$BH,AW1,0)</f>
        <v>922.5</v>
      </c>
      <c r="AX4" s="60">
        <f>VLOOKUP($G$4&amp;$F$1,'Input RM sheet'!$A:$BH,AX1,0)</f>
        <v>800</v>
      </c>
      <c r="AY4" s="60">
        <f>VLOOKUP($G$4&amp;$F$1,'Input RM sheet'!$A:$BH,AY1,0)</f>
        <v>815</v>
      </c>
      <c r="AZ4" s="60">
        <f>VLOOKUP($G$4&amp;$F$1,'Input RM sheet'!$A:$BH,AZ1,0)</f>
        <v>815</v>
      </c>
      <c r="BA4" s="60">
        <f>VLOOKUP($G$4&amp;$F$1,'Input RM sheet'!$A:$BH,BA1,0)</f>
        <v>825</v>
      </c>
      <c r="BB4" s="60">
        <f>VLOOKUP($G$4&amp;$F$1,'Input RM sheet'!$A:$BH,BB1,0)</f>
        <v>845</v>
      </c>
      <c r="BC4" s="60">
        <f>VLOOKUP($G$4&amp;$F$1,'Input RM sheet'!$A:$BH,BC1,0)</f>
        <v>860</v>
      </c>
      <c r="BD4" s="60">
        <f>VLOOKUP($G$4&amp;$F$1,'Input RM sheet'!$A:$BH,BD1,0)</f>
        <v>865</v>
      </c>
      <c r="BE4" s="60">
        <f>VLOOKUP($G$4&amp;$F$1,'Input RM sheet'!$A:$BH,BE1,0)</f>
        <v>865</v>
      </c>
      <c r="BF4" s="60">
        <f>VLOOKUP($G$4&amp;$F$1,'Input RM sheet'!$A:$DD,BF1,0)</f>
        <v>865</v>
      </c>
      <c r="BG4" s="60">
        <f>VLOOKUP($G$4&amp;$F$1,'Input RM sheet'!$A:$DD,BG1,0)</f>
        <v>875</v>
      </c>
      <c r="BH4" s="60">
        <f>VLOOKUP($G$4&amp;$F$1,'Input RM sheet'!$A:$DD,BH1,0)</f>
        <v>875</v>
      </c>
      <c r="BI4" s="60">
        <f>VLOOKUP($G$4&amp;$F$1,'Input RM sheet'!$A:$DD,BI1,0)</f>
        <v>925</v>
      </c>
      <c r="BJ4" s="60">
        <f>VLOOKUP($G$4&amp;$F$1,'Input RM sheet'!$A:$DD,BJ1,0)</f>
        <v>940</v>
      </c>
      <c r="BK4" s="60">
        <f>VLOOKUP($G$4&amp;$F$1,'Input RM sheet'!$A:$DD,BK1,0)</f>
        <v>950</v>
      </c>
      <c r="BL4" s="60">
        <f>VLOOKUP($G$4&amp;$F$1,'Input RM sheet'!$A:$DD,BL1,0)</f>
        <v>920</v>
      </c>
      <c r="BM4" s="60">
        <f>VLOOKUP($G$4&amp;$F$1,'Input RM sheet'!$A:$DD,BM1,0)</f>
        <v>920</v>
      </c>
      <c r="BN4" s="60">
        <f>VLOOKUP($G$4&amp;$F$1,'Input RM sheet'!$A:$DD,BN1,0)</f>
        <v>920</v>
      </c>
      <c r="BO4" s="60">
        <f>VLOOKUP($G$4&amp;$F$1,'Input RM sheet'!$A:$DD,BO1,0)</f>
        <v>930</v>
      </c>
      <c r="BP4" s="60">
        <f>VLOOKUP($G$4&amp;$F$1,'Input RM sheet'!$A:$DD,BP1,0)</f>
        <v>930</v>
      </c>
      <c r="BQ4" s="60">
        <f>VLOOKUP($G$4&amp;$F$1,'Input RM sheet'!$A:$DD,BQ1,0)</f>
        <v>930</v>
      </c>
      <c r="BR4" s="60">
        <f>VLOOKUP($G$4&amp;$F$1,'Input RM sheet'!$A:$DD,BR1,0)</f>
        <v>905</v>
      </c>
      <c r="BS4" s="60">
        <f>VLOOKUP($G$4&amp;$F$1,'Input RM sheet'!$A:$DD,BS1,0)</f>
        <v>905</v>
      </c>
      <c r="BT4" s="60">
        <f>VLOOKUP($G$4&amp;$F$1,'Input RM sheet'!$A:$DD,BT1,0)</f>
        <v>905</v>
      </c>
      <c r="BU4" s="60">
        <f>VLOOKUP($G$4&amp;$F$1,'Input RM sheet'!$A:$DD,BU1,0)</f>
        <v>905</v>
      </c>
      <c r="BV4" s="60">
        <f>VLOOKUP($G$4&amp;$F$1,'Input RM sheet'!$A:$DD,BV1,0)</f>
        <v>930</v>
      </c>
      <c r="BW4" s="60">
        <f>VLOOKUP($G$4&amp;$F$1,'Input RM sheet'!$A:$DD,BW1,0)</f>
        <v>925</v>
      </c>
      <c r="BX4" s="60">
        <f>VLOOKUP($G$4&amp;$F$1,'Input RM sheet'!$A:$DD,BX1,0)</f>
        <v>925</v>
      </c>
      <c r="BY4" s="60">
        <f>VLOOKUP($G$4&amp;$F$1,'Input RM sheet'!$A:$DD,BY1,0)</f>
        <v>960</v>
      </c>
      <c r="BZ4" s="60">
        <f>VLOOKUP($G$4&amp;$F$1,'Input RM sheet'!$A:$DD,BZ1,0)</f>
        <v>960</v>
      </c>
      <c r="CA4" s="60">
        <f>VLOOKUP($G$4&amp;$F$1,'Input RM sheet'!$A:$DD,CA1,0)</f>
        <v>980</v>
      </c>
      <c r="CB4" s="60">
        <f>VLOOKUP($G$4&amp;$F$1,'Input RM sheet'!$A:$DD,CB1,0)</f>
        <v>1030</v>
      </c>
      <c r="CC4" s="60">
        <f>VLOOKUP($G$4&amp;$F$1,'Input RM sheet'!$A:$DD,CC1,0)</f>
        <v>1030</v>
      </c>
      <c r="CD4" s="60">
        <f>VLOOKUP($G$4&amp;$F$1,'Input RM sheet'!$A:$DD,CD1,0)</f>
        <v>1030</v>
      </c>
      <c r="CE4" s="60">
        <f>VLOOKUP($G$4&amp;$F$1,'Input RM sheet'!$A:$DD,CE1,0)</f>
        <v>1030</v>
      </c>
      <c r="CF4" s="60">
        <f>VLOOKUP($G$4&amp;$F$1,'Input RM sheet'!$A:$DD,CF1,0)</f>
        <v>1040</v>
      </c>
      <c r="CG4" s="60">
        <f>VLOOKUP($G$4&amp;$F$1,'Input RM sheet'!$A:$DD,CG1,0)</f>
        <v>1040</v>
      </c>
      <c r="CH4" s="60">
        <f>VLOOKUP($G$4&amp;$F$1,'Input RM sheet'!$A:$DD,CH1,0)</f>
        <v>1040</v>
      </c>
      <c r="CI4" s="60">
        <f>VLOOKUP($G$4&amp;$F$1,'Input RM sheet'!$A:$DD,CI1,0)</f>
        <v>1040</v>
      </c>
      <c r="CJ4" s="60">
        <f>VLOOKUP($G$4&amp;$F$1,'Input RM sheet'!$A:$DD,CJ1,0)</f>
        <v>1040</v>
      </c>
      <c r="CK4" s="60">
        <f>VLOOKUP($G$4&amp;$F$1,'Input RM sheet'!$A:$DD,CK1,0)</f>
        <v>1060</v>
      </c>
      <c r="CL4" s="60">
        <f>VLOOKUP($G$4&amp;$F$1,'Input RM sheet'!$A:$DD,CL1,0)</f>
        <v>1060</v>
      </c>
      <c r="CM4" s="60">
        <f>VLOOKUP($G$4&amp;$F$1,'Input RM sheet'!$A:$DD,CM1,0)</f>
        <v>1070</v>
      </c>
      <c r="CN4" s="60">
        <f>VLOOKUP($G$4&amp;$F$1,'Input RM sheet'!$A:$DD,CN1,0)</f>
        <v>1070</v>
      </c>
      <c r="CO4" s="60">
        <f>VLOOKUP($G$4&amp;$F$1,'Input RM sheet'!$A:$DD,CO1,0)</f>
        <v>1070</v>
      </c>
      <c r="CP4" s="60">
        <f>VLOOKUP($G$4&amp;$F$1,'Input RM sheet'!$A:$DD,CP1,0)</f>
        <v>1070</v>
      </c>
      <c r="CQ4" s="60">
        <f>VLOOKUP($G$4&amp;$F$1,'Input RM sheet'!$A:$DD,CQ1,0)</f>
        <v>1070</v>
      </c>
      <c r="CR4" s="60">
        <f>VLOOKUP($G$4&amp;$F$1,'Input RM sheet'!$A:$DD,CR1,0)</f>
        <v>1065</v>
      </c>
      <c r="CS4" s="60">
        <f>VLOOKUP($G$4&amp;$F$1,'Input RM sheet'!$A:$DD,CS1,0)</f>
        <v>1075</v>
      </c>
      <c r="CT4" s="60">
        <f>VLOOKUP($G$4&amp;$F$1,'Input RM sheet'!$A:$ZZ,CT1,0)</f>
        <v>1070</v>
      </c>
      <c r="CU4" s="60">
        <f>VLOOKUP($G$4&amp;$F$1,'Input RM sheet'!$A:$ZZ,CU1,0)</f>
        <v>1070</v>
      </c>
      <c r="CV4" s="60">
        <f>VLOOKUP($G$4&amp;$F$1,'Input RM sheet'!$A:$ZZ,CV1,0)</f>
        <v>1070</v>
      </c>
      <c r="CW4" s="60">
        <f>VLOOKUP($G$4&amp;$F$1,'Input RM sheet'!$A:$ZZ,CW1,0)</f>
        <v>1040</v>
      </c>
      <c r="CX4" s="60">
        <f>VLOOKUP($G$4&amp;$F$1,'Input RM sheet'!$A:$ZZ,CX1,0)</f>
        <v>1020</v>
      </c>
      <c r="CY4" s="60">
        <f>VLOOKUP($G$4&amp;$F$1,'Input RM sheet'!$A:$ZZ,CY1,0)</f>
        <v>1020</v>
      </c>
      <c r="CZ4" s="60">
        <f>VLOOKUP($G$4&amp;$F$1,'Input RM sheet'!$A:$ZZ,CZ1,0)</f>
        <v>1020</v>
      </c>
      <c r="DA4" s="60">
        <f>VLOOKUP($G$4&amp;$F$1,'Input RM sheet'!$A:$ZZ,DA1,0)</f>
        <v>1020</v>
      </c>
      <c r="DB4" s="60">
        <f>VLOOKUP($G$4&amp;$F$1,'Input RM sheet'!$A:$ZZ,DB1,0)</f>
        <v>1012.5</v>
      </c>
      <c r="DC4" s="60">
        <f>VLOOKUP($G$4&amp;$F$1,'Input RM sheet'!$A:$ZZ,DC1,0)</f>
        <v>960</v>
      </c>
      <c r="DD4" s="60">
        <f>VLOOKUP($G$4&amp;$F$1,'Input RM sheet'!$A:$ZZ,DD1,0)</f>
        <v>955</v>
      </c>
      <c r="DE4" s="60">
        <f>VLOOKUP($G$4&amp;$F$1,'Input RM sheet'!$A:$ZZ,DE1,0)</f>
        <v>875</v>
      </c>
      <c r="DF4" s="60">
        <f>VLOOKUP($G$4&amp;$F$1,'Input RM sheet'!$A:$ZZ,DF1,0)</f>
        <v>850</v>
      </c>
      <c r="DG4" s="60">
        <f>VLOOKUP($G$4&amp;$F$1,'Input RM sheet'!$A:$ZZ,DG1,0)</f>
        <v>865</v>
      </c>
      <c r="DH4" s="60">
        <f>VLOOKUP($G$4&amp;$F$1,'Input RM sheet'!$A:$ZZ,DH1,0)</f>
        <v>855</v>
      </c>
      <c r="DI4" s="60">
        <f>VLOOKUP($G$4&amp;$F$1,'Input RM sheet'!$A:$ZZ,DI1,0)</f>
        <v>840</v>
      </c>
      <c r="DJ4" s="60">
        <f>VLOOKUP($G$4&amp;$F$1,'Input RM sheet'!$A:$ZZ,DJ1,0)</f>
        <v>840</v>
      </c>
      <c r="DK4" s="60">
        <f>VLOOKUP($G$4&amp;$F$1,'Input RM sheet'!$A:$ZZ,DK1,0)</f>
        <v>840</v>
      </c>
      <c r="DL4" s="60">
        <f>VLOOKUP($G$4&amp;$F$1,'Input RM sheet'!$A:$ZZ,DL1,0)</f>
        <v>820</v>
      </c>
      <c r="DM4" s="60">
        <f>VLOOKUP($G$4&amp;$F$1,'Input RM sheet'!$A:$ZZ,DM1,0)</f>
        <v>790</v>
      </c>
      <c r="DN4" s="60">
        <f>VLOOKUP($G$4&amp;$F$1,'Input RM sheet'!$A:$ZZ,DN1,0)</f>
        <v>780</v>
      </c>
      <c r="DO4" s="60">
        <f>VLOOKUP($G$4&amp;$F$1,'Input RM sheet'!$A:$ZZ,DO1,0)</f>
        <v>780</v>
      </c>
      <c r="DP4" s="60">
        <f>VLOOKUP($G$4&amp;$F$1,'Input RM sheet'!$A:$ZZ,DP1,0)</f>
        <v>760</v>
      </c>
      <c r="DQ4" s="60">
        <f>VLOOKUP($G$4&amp;$F$1,'Input RM sheet'!$A:$ZZ,DQ1,0)</f>
        <v>750</v>
      </c>
      <c r="DR4" s="60">
        <f>VLOOKUP($G$4&amp;$F$1,'Input RM sheet'!$A:$ZZ,DR1,0)</f>
        <v>745</v>
      </c>
      <c r="DS4" s="60">
        <f>VLOOKUP($G$4&amp;$F$1,'Input RM sheet'!$A:$ZZ,DS1,0)</f>
        <v>0</v>
      </c>
      <c r="DT4" s="60">
        <f>VLOOKUP($G$4&amp;$F$1,'Input RM sheet'!$A:$ZZ,DT1,0)</f>
        <v>0</v>
      </c>
      <c r="DU4" s="60">
        <f>VLOOKUP($G$4&amp;$F$1,'Input RM sheet'!$A:$ZZ,DU1,0)</f>
        <v>0</v>
      </c>
      <c r="DV4" s="60">
        <f>VLOOKUP($G$4&amp;$F$1,'Input RM sheet'!$A:$ZZ,DV1,0)</f>
        <v>0</v>
      </c>
      <c r="DW4" s="60">
        <f>VLOOKUP($G$4&amp;$F$1,'Input RM sheet'!$A:$ZZ,DW1,0)</f>
        <v>0</v>
      </c>
      <c r="DX4" s="60">
        <f>VLOOKUP($G$4&amp;$F$1,'Input RM sheet'!$A:$ZZ,DX1,0)</f>
        <v>0</v>
      </c>
      <c r="DY4" s="60">
        <f>VLOOKUP($G$4&amp;$F$1,'Input RM sheet'!$A:$ZZ,DY1,0)</f>
        <v>0</v>
      </c>
    </row>
    <row r="5" spans="1:148">
      <c r="A5" s="67">
        <v>58.08</v>
      </c>
      <c r="B5" s="85"/>
      <c r="C5" s="67">
        <v>171.34</v>
      </c>
      <c r="D5" s="85"/>
      <c r="G5" s="60" t="s">
        <v>75</v>
      </c>
      <c r="H5" s="65">
        <f>VLOOKUP($G$5&amp;$F$1,'Input RM sheet'!$A:$BH,H1,0)</f>
        <v>1.3258295268223861</v>
      </c>
      <c r="I5" s="65">
        <f>VLOOKUP($G$5&amp;$F$1,'Input RM sheet'!$A:$BH,I1,0)</f>
        <v>0.8980356447585468</v>
      </c>
      <c r="J5" s="65">
        <f>VLOOKUP($G$5&amp;$F$1,'Input RM sheet'!$A:$BH,J1,0)</f>
        <v>0.8980356447585468</v>
      </c>
      <c r="K5" s="65">
        <f>VLOOKUP($G$5&amp;$F$1,'Input RM sheet'!$A:$BH,K1,0)</f>
        <v>1.2007061613044094</v>
      </c>
      <c r="L5" s="65">
        <f>VLOOKUP($G$5&amp;$F$1,'Input RM sheet'!$A:$BH,L1,0)</f>
        <v>1.3665422078198071</v>
      </c>
      <c r="M5" s="65">
        <f>VLOOKUP($G$5&amp;$F$1,'Input RM sheet'!$A:$BH,M1,0)</f>
        <v>0.9341097406689971</v>
      </c>
      <c r="N5" s="65">
        <f>VLOOKUP($G$5&amp;$F$1,'Input RM sheet'!$A:$BH,N1,0)</f>
        <v>0.9341097406689971</v>
      </c>
      <c r="O5" s="65">
        <f>VLOOKUP($G$5&amp;$F$1,'Input RM sheet'!$A:$BH,O1,0)</f>
        <v>0.9341097406689971</v>
      </c>
      <c r="P5" s="65">
        <f>VLOOKUP($G$5&amp;$F$1,'Input RM sheet'!$A:$BH,P1,0)</f>
        <v>0.90596743771546751</v>
      </c>
      <c r="Q5" s="65">
        <f>VLOOKUP($G$5&amp;$F$1,'Input RM sheet'!$A:$BH,Q1,0)</f>
        <v>1.0686235654101559</v>
      </c>
      <c r="R5" s="65">
        <f>VLOOKUP($G$5&amp;$F$1,'Input RM sheet'!$A:$BH,R1,0)</f>
        <v>1.2645829874780437</v>
      </c>
      <c r="S5" s="65">
        <f>VLOOKUP($G$5&amp;$F$1,'Input RM sheet'!$A:$BH,S1,0)</f>
        <v>1.5350103725494681</v>
      </c>
      <c r="T5" s="65">
        <f>VLOOKUP($G$5&amp;$F$1,'Input RM sheet'!$A:$BH,T1,0)</f>
        <v>1.5188086045228903</v>
      </c>
      <c r="U5" s="65">
        <f>VLOOKUP($G$5&amp;$F$1,'Input RM sheet'!$A:$BH,U1,0)</f>
        <v>1.6590987052092743</v>
      </c>
      <c r="V5" s="65">
        <f>VLOOKUP($G$5&amp;$F$1,'Input RM sheet'!$A:$BH,V1,0)</f>
        <v>1.5053900412208738</v>
      </c>
      <c r="W5" s="65">
        <f>VLOOKUP($G$5&amp;$F$1,'Input RM sheet'!$A:$BH,W1,0)</f>
        <v>1.0326923076923076</v>
      </c>
      <c r="X5" s="65">
        <f>VLOOKUP($G$5&amp;$F$1,'Input RM sheet'!$A:$BH,X1,0)</f>
        <v>2.2770819184982991</v>
      </c>
      <c r="Y5" s="65">
        <f>VLOOKUP($G$5&amp;$F$1,'Input RM sheet'!$A:$BH,Y1,0)</f>
        <v>3.4136045159847974</v>
      </c>
      <c r="Z5" s="65">
        <f>VLOOKUP($G$5&amp;$F$1,'Input RM sheet'!$A:$BH,Z1,0)</f>
        <v>1.8079052836273952</v>
      </c>
      <c r="AA5" s="65">
        <f>VLOOKUP($G$5&amp;$F$1,'Input RM sheet'!$A:$BH,AA1,0)</f>
        <v>6.662234042553191</v>
      </c>
      <c r="AB5" s="65">
        <f>VLOOKUP($G$5&amp;$F$1,'Input RM sheet'!$A:$BH,AB1,0)</f>
        <v>6.841982234689107</v>
      </c>
      <c r="AC5" s="65">
        <f>VLOOKUP($G$5&amp;$F$1,'Input RM sheet'!$A:$BH,AC1,0)</f>
        <v>6.841982234689107</v>
      </c>
      <c r="AD5" s="65">
        <f>VLOOKUP($G$5&amp;$F$1,'Input RM sheet'!$A:$BH,AD1,0)</f>
        <v>1.9895856049039715</v>
      </c>
      <c r="AE5" s="65">
        <f>VLOOKUP($G$5&amp;$F$1,'Input RM sheet'!$A:$BH,AE1,0)</f>
        <v>3.9092686429512513</v>
      </c>
      <c r="AF5" s="65">
        <f>VLOOKUP($G$5&amp;$F$1,'Input RM sheet'!$A:$BH,AF1,0)</f>
        <v>2.9185750320421997</v>
      </c>
      <c r="AG5" s="65">
        <f>VLOOKUP($G$5&amp;$F$1,'Input RM sheet'!$A:$BH,AG1,0)</f>
        <v>5.9753004555389841</v>
      </c>
      <c r="AH5" s="65">
        <f>VLOOKUP($G$5&amp;$F$1,'Input RM sheet'!$A:$BH,AH1,0)</f>
        <v>2.0443297008235293</v>
      </c>
      <c r="AI5" s="65">
        <f>VLOOKUP($G$5&amp;$F$1,'Input RM sheet'!$A:$BH,AI1,0)</f>
        <v>2.0443297008235293</v>
      </c>
      <c r="AJ5" s="65">
        <f>VLOOKUP($G$5&amp;$F$1,'Input RM sheet'!$A:$BH,AJ1,0)</f>
        <v>3.5169099337748344</v>
      </c>
      <c r="AK5" s="65">
        <f>VLOOKUP($G$5&amp;$F$1,'Input RM sheet'!$A:$BH,AK1,0)</f>
        <v>1.7459268874172182</v>
      </c>
      <c r="AL5" s="65">
        <f>VLOOKUP($G$5&amp;$F$1,'Input RM sheet'!$A:$BH,AL1,0)</f>
        <v>5.5940907216494846</v>
      </c>
      <c r="AM5" s="65">
        <f>VLOOKUP($G$5&amp;$F$1,'Input RM sheet'!$A:$BH,AM1,0)</f>
        <v>3.8175414814814812</v>
      </c>
      <c r="AN5" s="65">
        <f>VLOOKUP($G$5&amp;$F$1,'Input RM sheet'!$A:$BH,AN1,0)</f>
        <v>1.48</v>
      </c>
      <c r="AO5" s="65">
        <f>VLOOKUP($G$5&amp;$F$1,'Input RM sheet'!$A:$BH,AO1,0)</f>
        <v>1.4531782347428193</v>
      </c>
      <c r="AP5" s="65">
        <f>VLOOKUP($G$5&amp;$F$1,'Input RM sheet'!$A:$BH,AP1,0)</f>
        <v>1.4138798305084745</v>
      </c>
      <c r="AQ5" s="65">
        <f>VLOOKUP($G$5&amp;$F$1,'Input RM sheet'!$A:$BH,AQ1,0)</f>
        <v>5.6951200000000002</v>
      </c>
      <c r="AR5" s="65">
        <f>VLOOKUP($G$5&amp;$F$1,'Input RM sheet'!$A:$BH,AR1,0)</f>
        <v>1.0877919298245613</v>
      </c>
      <c r="AS5" s="65">
        <f>VLOOKUP($G$5&amp;$F$1,'Input RM sheet'!$A:$BH,AS1,0)</f>
        <v>1.2935606741573034</v>
      </c>
      <c r="AT5" s="65">
        <f>VLOOKUP($G$5&amp;$F$1,'Input RM sheet'!$A:$BH,AT1,0)</f>
        <v>1.2963307142857143</v>
      </c>
      <c r="AU5" s="65">
        <f>VLOOKUP($G$5&amp;$F$1,'Input RM sheet'!$A:$BH,AU1,0)</f>
        <v>0.84</v>
      </c>
      <c r="AV5" s="65">
        <f>VLOOKUP($G$5&amp;$F$1,'Input RM sheet'!$A:$BH,AV1,0)</f>
        <v>0.84</v>
      </c>
      <c r="AW5" s="65">
        <f>VLOOKUP($G$5&amp;$F$1,'Input RM sheet'!$A:$BH,AW1,0)</f>
        <v>0.84</v>
      </c>
      <c r="AX5" s="65">
        <f>VLOOKUP($G$5&amp;$F$1,'Input RM sheet'!$A:$BH,AX1,0)</f>
        <v>0.84</v>
      </c>
      <c r="AY5" s="65">
        <f>VLOOKUP($G$5&amp;$F$1,'Input RM sheet'!$A:$BH,AY1,0)</f>
        <v>0.84</v>
      </c>
      <c r="AZ5" s="65">
        <f>VLOOKUP($G$5&amp;$F$1,'Input RM sheet'!$A:$BH,AZ1,0)</f>
        <v>0.84</v>
      </c>
      <c r="BA5" s="65">
        <f>VLOOKUP($G$5&amp;$F$1,'Input RM sheet'!$A:$BH,BA1,0)</f>
        <v>0.84</v>
      </c>
      <c r="BB5" s="65">
        <f>VLOOKUP($G$5&amp;$F$1,'Input RM sheet'!$A:$BH,BB1,0)</f>
        <v>0.84</v>
      </c>
      <c r="BC5" s="65">
        <f>VLOOKUP($G$5&amp;$F$1,'Input RM sheet'!$A:$BH,BC1,0)</f>
        <v>0.84</v>
      </c>
      <c r="BD5" s="65">
        <f>VLOOKUP($G$5&amp;$F$1,'Input RM sheet'!$A:$BH,BD1,0)</f>
        <v>0.84</v>
      </c>
      <c r="BE5" s="65">
        <f>VLOOKUP($G$5&amp;$F$1,'Input RM sheet'!$A:$BH,BE1,0)</f>
        <v>0.84</v>
      </c>
      <c r="BF5" s="65">
        <f>VLOOKUP($G$5&amp;$F$1,'Input RM sheet'!$A:$DD,BF1,0)</f>
        <v>0.84</v>
      </c>
      <c r="BG5" s="65">
        <f>VLOOKUP($G$5&amp;$F$1,'Input RM sheet'!$A:$DD,BG1,0)</f>
        <v>0.84</v>
      </c>
      <c r="BH5" s="65">
        <f>VLOOKUP($G$5&amp;$F$1,'Input RM sheet'!$A:$DD,BH1,0)</f>
        <v>0.84</v>
      </c>
      <c r="BI5" s="65">
        <f>VLOOKUP($G$5&amp;$F$1,'Input RM sheet'!$A:$DD,BI1,0)</f>
        <v>0.84</v>
      </c>
      <c r="BJ5" s="65">
        <f>VLOOKUP($G$5&amp;$F$1,'Input RM sheet'!$A:$DD,BJ1,0)</f>
        <v>0.84</v>
      </c>
      <c r="BK5" s="65">
        <f>VLOOKUP($G$5&amp;$F$1,'Input RM sheet'!$A:$DD,BK1,0)</f>
        <v>0.84</v>
      </c>
      <c r="BL5" s="65">
        <f>VLOOKUP($G$5&amp;$F$1,'Input RM sheet'!$A:$DD,BL1,0)</f>
        <v>0.84</v>
      </c>
      <c r="BM5" s="65">
        <f>VLOOKUP($G$5&amp;$F$1,'Input RM sheet'!$A:$DD,BM1,0)</f>
        <v>0.84</v>
      </c>
      <c r="BN5" s="65">
        <f>VLOOKUP($G$5&amp;$F$1,'Input RM sheet'!$A:$DD,BN1,0)</f>
        <v>0.84</v>
      </c>
      <c r="BO5" s="65">
        <f>VLOOKUP($G$5&amp;$F$1,'Input RM sheet'!$A:$DD,BO1,0)</f>
        <v>0.84</v>
      </c>
      <c r="BP5" s="65">
        <f>VLOOKUP($G$5&amp;$F$1,'Input RM sheet'!$A:$DD,BP1,0)</f>
        <v>0.84</v>
      </c>
      <c r="BQ5" s="65">
        <f>VLOOKUP($G$5&amp;$F$1,'Input RM sheet'!$A:$DD,BQ1,0)</f>
        <v>0.84</v>
      </c>
      <c r="BR5" s="65">
        <f>VLOOKUP($G$5&amp;$F$1,'Input RM sheet'!$A:$DD,BR1,0)</f>
        <v>0.84</v>
      </c>
      <c r="BS5" s="65">
        <f>VLOOKUP($G$5&amp;$F$1,'Input RM sheet'!$A:$DD,BS1,0)</f>
        <v>0.84</v>
      </c>
      <c r="BT5" s="65">
        <f>VLOOKUP($G$5&amp;$F$1,'Input RM sheet'!$A:$DD,BT1,0)</f>
        <v>0.84</v>
      </c>
      <c r="BU5" s="65">
        <f>VLOOKUP($G$5&amp;$F$1,'Input RM sheet'!$A:$DD,BU1,0)</f>
        <v>0.84</v>
      </c>
      <c r="BV5" s="65">
        <f>VLOOKUP($G$5&amp;$F$1,'Input RM sheet'!$A:$DD,BV1,0)</f>
        <v>0.84</v>
      </c>
      <c r="BW5" s="65">
        <f>VLOOKUP($G$5&amp;$F$1,'Input RM sheet'!$A:$DD,BW1,0)</f>
        <v>0.84</v>
      </c>
      <c r="BX5" s="65">
        <f>VLOOKUP($G$5&amp;$F$1,'Input RM sheet'!$A:$DD,BX1,0)</f>
        <v>0.84</v>
      </c>
      <c r="BY5" s="65">
        <f>VLOOKUP($G$5&amp;$F$1,'Input RM sheet'!$A:$DD,BY1,0)</f>
        <v>0.84</v>
      </c>
      <c r="BZ5" s="65">
        <f>VLOOKUP($G$5&amp;$F$1,'Input RM sheet'!$A:$DD,BZ1,0)</f>
        <v>0.84</v>
      </c>
      <c r="CA5" s="65">
        <f>VLOOKUP($G$5&amp;$F$1,'Input RM sheet'!$A:$DD,CA1,0)</f>
        <v>0.84</v>
      </c>
      <c r="CB5" s="65">
        <f>VLOOKUP($G$5&amp;$F$1,'Input RM sheet'!$A:$DD,CB1,0)</f>
        <v>0.84</v>
      </c>
      <c r="CC5" s="65">
        <f>VLOOKUP($G$5&amp;$F$1,'Input RM sheet'!$A:$DD,CC1,0)</f>
        <v>0.84</v>
      </c>
      <c r="CD5" s="65">
        <f>VLOOKUP($G$5&amp;$F$1,'Input RM sheet'!$A:$DD,CD1,0)</f>
        <v>0.84</v>
      </c>
      <c r="CE5" s="65">
        <f>VLOOKUP($G$5&amp;$F$1,'Input RM sheet'!$A:$DD,CE1,0)</f>
        <v>0.84</v>
      </c>
      <c r="CF5" s="65">
        <f>VLOOKUP($G$5&amp;$F$1,'Input RM sheet'!$A:$DD,CF1,0)</f>
        <v>0.84</v>
      </c>
      <c r="CG5" s="65">
        <f>VLOOKUP($G$5&amp;$F$1,'Input RM sheet'!$A:$DD,CG1,0)</f>
        <v>0.84</v>
      </c>
      <c r="CH5" s="65">
        <f>VLOOKUP($G$5&amp;$F$1,'Input RM sheet'!$A:$DD,CH1,0)</f>
        <v>0.84</v>
      </c>
      <c r="CI5" s="65">
        <f>VLOOKUP($G$5&amp;$F$1,'Input RM sheet'!$A:$DD,CI1,0)</f>
        <v>0.84</v>
      </c>
      <c r="CJ5" s="65">
        <f>VLOOKUP($G$5&amp;$F$1,'Input RM sheet'!$A:$DD,CJ1,0)</f>
        <v>0.84</v>
      </c>
      <c r="CK5" s="65">
        <f>VLOOKUP($G$5&amp;$F$1,'Input RM sheet'!$A:$DD,CK1,0)</f>
        <v>0.84</v>
      </c>
      <c r="CL5" s="65">
        <f>VLOOKUP($G$5&amp;$F$1,'Input RM sheet'!$A:$DD,CL1,0)</f>
        <v>0.84</v>
      </c>
      <c r="CM5" s="65">
        <f>VLOOKUP($G$5&amp;$F$1,'Input RM sheet'!$A:$DD,CM1,0)</f>
        <v>0.84</v>
      </c>
      <c r="CN5" s="65">
        <f>VLOOKUP($G$5&amp;$F$1,'Input RM sheet'!$A:$DD,CN1,0)</f>
        <v>0.84</v>
      </c>
      <c r="CO5" s="65">
        <f>VLOOKUP($G$5&amp;$F$1,'Input RM sheet'!$A:$DD,CO1,0)</f>
        <v>0.84</v>
      </c>
      <c r="CP5" s="65">
        <f>VLOOKUP($G$5&amp;$F$1,'Input RM sheet'!$A:$DD,CP1,0)</f>
        <v>0.84</v>
      </c>
      <c r="CQ5" s="65">
        <f>VLOOKUP($G$5&amp;$F$1,'Input RM sheet'!$A:$DD,CQ1,0)</f>
        <v>0.84</v>
      </c>
      <c r="CR5" s="65">
        <f>VLOOKUP($G$5&amp;$F$1,'Input RM sheet'!$A:$DD,CR1,0)</f>
        <v>0.84</v>
      </c>
      <c r="CS5" s="65">
        <f>VLOOKUP($G$5&amp;$F$1,'Input RM sheet'!$A:$DD,CS1,0)</f>
        <v>0.84</v>
      </c>
      <c r="CT5" s="65">
        <f>VLOOKUP($G$5&amp;$F$1,'Input RM sheet'!$A:$ZZ,CT1,0)</f>
        <v>0.84</v>
      </c>
      <c r="CU5" s="65">
        <f>VLOOKUP($G$5&amp;$F$1,'Input RM sheet'!$A:$ZZ,CU1,0)</f>
        <v>0.84</v>
      </c>
      <c r="CV5" s="65">
        <f>VLOOKUP($G$5&amp;$F$1,'Input RM sheet'!$A:$ZZ,CV1,0)</f>
        <v>0.84</v>
      </c>
      <c r="CW5" s="65">
        <f>VLOOKUP($G$5&amp;$F$1,'Input RM sheet'!$A:$ZZ,CW1,0)</f>
        <v>0.84</v>
      </c>
      <c r="CX5" s="65">
        <f>VLOOKUP($G$5&amp;$F$1,'Input RM sheet'!$A:$ZZ,CX1,0)</f>
        <v>0.84</v>
      </c>
      <c r="CY5" s="65">
        <f>VLOOKUP($G$5&amp;$F$1,'Input RM sheet'!$A:$ZZ,CY1,0)</f>
        <v>0.84</v>
      </c>
      <c r="CZ5" s="65">
        <f>VLOOKUP($G$5&amp;$F$1,'Input RM sheet'!$A:$ZZ,CZ1,0)</f>
        <v>0.84</v>
      </c>
      <c r="DA5" s="65">
        <f>VLOOKUP($G$5&amp;$F$1,'Input RM sheet'!$A:$ZZ,DA1,0)</f>
        <v>0.84</v>
      </c>
      <c r="DB5" s="65">
        <f>VLOOKUP($G$5&amp;$F$1,'Input RM sheet'!$A:$ZZ,DB1,0)</f>
        <v>0.81</v>
      </c>
      <c r="DC5" s="65">
        <f>VLOOKUP($G$5&amp;$F$1,'Input RM sheet'!$A:$ZZ,DC1,0)</f>
        <v>0.81</v>
      </c>
      <c r="DD5" s="65">
        <f>VLOOKUP($G$5&amp;$F$1,'Input RM sheet'!$A:$ZZ,DD1,0)</f>
        <v>0.81</v>
      </c>
      <c r="DE5" s="65">
        <f>VLOOKUP($G$5&amp;$F$1,'Input RM sheet'!$A:$ZZ,DE1,0)</f>
        <v>0.81</v>
      </c>
      <c r="DF5" s="65">
        <f>VLOOKUP($G$5&amp;$F$1,'Input RM sheet'!$A:$ZZ,DF1,0)</f>
        <v>0.81</v>
      </c>
      <c r="DG5" s="65">
        <f>VLOOKUP($G$5&amp;$F$1,'Input RM sheet'!$A:$ZZ,DG1,0)</f>
        <v>0.81</v>
      </c>
      <c r="DH5" s="65">
        <f>VLOOKUP($G$5&amp;$F$1,'Input RM sheet'!$A:$ZZ,DH1,0)</f>
        <v>0.81</v>
      </c>
      <c r="DI5" s="65">
        <f>VLOOKUP($G$5&amp;$F$1,'Input RM sheet'!$A:$ZZ,DI1,0)</f>
        <v>0.81</v>
      </c>
      <c r="DJ5" s="65">
        <f>VLOOKUP($G$5&amp;$F$1,'Input RM sheet'!$A:$ZZ,DJ1,0)</f>
        <v>0.81</v>
      </c>
      <c r="DK5" s="65">
        <f>VLOOKUP($G$5&amp;$F$1,'Input RM sheet'!$A:$ZZ,DK1,0)</f>
        <v>0.81</v>
      </c>
      <c r="DL5" s="65">
        <f>VLOOKUP($G$5&amp;$F$1,'Input RM sheet'!$A:$ZZ,DL1,0)</f>
        <v>0.81</v>
      </c>
      <c r="DM5" s="65">
        <f>VLOOKUP($G$5&amp;$F$1,'Input RM sheet'!$A:$ZZ,DM1,0)</f>
        <v>0.81</v>
      </c>
      <c r="DN5" s="65">
        <f>VLOOKUP($G$5&amp;$F$1,'Input RM sheet'!$A:$ZZ,DN1,0)</f>
        <v>0.81</v>
      </c>
      <c r="DO5" s="65">
        <f>VLOOKUP($G$5&amp;$F$1,'Input RM sheet'!$A:$ZZ,DO1,0)</f>
        <v>0.81</v>
      </c>
      <c r="DP5" s="65">
        <f>VLOOKUP($G$5&amp;$F$1,'Input RM sheet'!$A:$ZZ,DP1,0)</f>
        <v>1.44</v>
      </c>
      <c r="DQ5" s="65">
        <f>VLOOKUP($G$5&amp;$F$1,'Input RM sheet'!$A:$ZZ,DQ1,0)</f>
        <v>1.44</v>
      </c>
      <c r="DR5" s="65">
        <f>VLOOKUP($G$5&amp;$F$1,'Input RM sheet'!$A:$ZZ,DR1,0)</f>
        <v>1.44</v>
      </c>
      <c r="DS5" s="65">
        <f>VLOOKUP($G$5&amp;$F$1,'Input RM sheet'!$A:$ZZ,DS1,0)</f>
        <v>0</v>
      </c>
      <c r="DT5" s="65">
        <f>VLOOKUP($G$5&amp;$F$1,'Input RM sheet'!$A:$ZZ,DT1,0)</f>
        <v>0</v>
      </c>
      <c r="DU5" s="65">
        <f>VLOOKUP($G$5&amp;$F$1,'Input RM sheet'!$A:$ZZ,DU1,0)</f>
        <v>0</v>
      </c>
      <c r="DV5" s="65">
        <f>VLOOKUP($G$5&amp;$F$1,'Input RM sheet'!$A:$ZZ,DV1,0)</f>
        <v>0</v>
      </c>
      <c r="DW5" s="65">
        <f>VLOOKUP($G$5&amp;$F$1,'Input RM sheet'!$A:$ZZ,DW1,0)</f>
        <v>0</v>
      </c>
      <c r="DX5" s="65">
        <f>VLOOKUP($G$5&amp;$F$1,'Input RM sheet'!$A:$ZZ,DX1,0)</f>
        <v>0</v>
      </c>
      <c r="DY5" s="65">
        <f>VLOOKUP($G$5&amp;$F$1,'Input RM sheet'!$A:$ZZ,DY1,0)</f>
        <v>0</v>
      </c>
    </row>
    <row r="6" spans="1:148">
      <c r="A6" s="69" t="s">
        <v>395</v>
      </c>
      <c r="B6" s="69"/>
      <c r="C6" s="69" t="s">
        <v>379</v>
      </c>
      <c r="D6" s="69" t="s">
        <v>380</v>
      </c>
      <c r="E6" s="69" t="s">
        <v>381</v>
      </c>
      <c r="F6" s="69" t="s">
        <v>396</v>
      </c>
      <c r="G6" s="69"/>
      <c r="H6" s="86"/>
      <c r="I6" s="86"/>
      <c r="J6" s="86"/>
      <c r="K6" s="86"/>
      <c r="L6" s="86"/>
      <c r="M6" s="86"/>
      <c r="N6" s="86"/>
      <c r="O6" s="86"/>
      <c r="P6" s="86"/>
      <c r="Q6" s="86"/>
      <c r="R6" s="86"/>
      <c r="S6" s="86"/>
    </row>
    <row r="7" spans="1:148">
      <c r="A7" s="86"/>
      <c r="B7" s="86"/>
      <c r="C7" s="86"/>
      <c r="D7" s="86"/>
      <c r="E7" s="86"/>
      <c r="F7" s="86"/>
      <c r="G7" s="86"/>
      <c r="H7" s="86"/>
      <c r="I7" s="86"/>
      <c r="J7" s="86"/>
      <c r="K7" s="86"/>
      <c r="L7" s="86"/>
      <c r="M7" s="86"/>
      <c r="N7" s="86"/>
      <c r="O7" s="86"/>
      <c r="P7" s="86"/>
      <c r="Q7" s="86"/>
      <c r="R7" s="86"/>
      <c r="S7" s="86"/>
    </row>
    <row r="8" spans="1:148">
      <c r="A8" s="381" t="s">
        <v>397</v>
      </c>
      <c r="B8" s="60" t="s">
        <v>64</v>
      </c>
      <c r="C8" s="60">
        <v>2</v>
      </c>
      <c r="D8" s="64">
        <f>A5</f>
        <v>58.08</v>
      </c>
      <c r="E8" s="60">
        <f>D8*C8</f>
        <v>116.16</v>
      </c>
      <c r="F8" s="65">
        <f>E8/E2</f>
        <v>1</v>
      </c>
      <c r="H8" s="74">
        <f>$F$8*(H4/1000)</f>
        <v>0.68400000000000005</v>
      </c>
      <c r="I8" s="74">
        <f t="shared" ref="I8:BF8" si="0">$F$8*(I4/1000)</f>
        <v>0.70629999999999993</v>
      </c>
      <c r="J8" s="74">
        <f t="shared" si="0"/>
        <v>0.64379999999999993</v>
      </c>
      <c r="K8" s="74">
        <f t="shared" si="0"/>
        <v>0.59</v>
      </c>
      <c r="L8" s="74">
        <f t="shared" si="0"/>
        <v>0.78400000000000003</v>
      </c>
      <c r="M8" s="74">
        <f t="shared" si="0"/>
        <v>0.92879999999999996</v>
      </c>
      <c r="N8" s="74">
        <f t="shared" si="0"/>
        <v>0.95350000000000001</v>
      </c>
      <c r="O8" s="74">
        <f t="shared" si="0"/>
        <v>0.89249999999999996</v>
      </c>
      <c r="P8" s="74">
        <f t="shared" si="0"/>
        <v>0.88500000000000001</v>
      </c>
      <c r="Q8" s="74">
        <f t="shared" si="0"/>
        <v>0.90800000000000003</v>
      </c>
      <c r="R8" s="74">
        <f t="shared" si="0"/>
        <v>0.96379999999999999</v>
      </c>
      <c r="S8" s="74">
        <f t="shared" si="0"/>
        <v>1.0537999999999998</v>
      </c>
      <c r="T8" s="74">
        <f t="shared" si="0"/>
        <v>0.99250000000000005</v>
      </c>
      <c r="U8" s="74">
        <f t="shared" si="0"/>
        <v>1.085</v>
      </c>
      <c r="V8" s="74">
        <f t="shared" si="0"/>
        <v>1.28</v>
      </c>
      <c r="W8" s="74">
        <f t="shared" si="0"/>
        <v>1.3049999999999999</v>
      </c>
      <c r="X8" s="74">
        <f t="shared" si="0"/>
        <v>1.2375</v>
      </c>
      <c r="Y8" s="74">
        <f t="shared" si="0"/>
        <v>1.0287999999999999</v>
      </c>
      <c r="Z8" s="74">
        <f t="shared" si="0"/>
        <v>0.86399999999999999</v>
      </c>
      <c r="AA8" s="74">
        <f t="shared" si="0"/>
        <v>0.82250000000000001</v>
      </c>
      <c r="AB8" s="74">
        <f t="shared" si="0"/>
        <v>0.83899999999999997</v>
      </c>
      <c r="AC8" s="74">
        <f t="shared" si="0"/>
        <v>0.90200000000000002</v>
      </c>
      <c r="AD8" s="74">
        <f t="shared" si="0"/>
        <v>0.89379999999999993</v>
      </c>
      <c r="AE8" s="74">
        <f t="shared" si="0"/>
        <v>0.83499999999999996</v>
      </c>
      <c r="AF8" s="74">
        <f t="shared" si="0"/>
        <v>0.82250000000000001</v>
      </c>
      <c r="AG8" s="74">
        <f t="shared" si="0"/>
        <v>0.875</v>
      </c>
      <c r="AH8" s="74">
        <f t="shared" si="0"/>
        <v>0.98629999999999995</v>
      </c>
      <c r="AI8" s="74">
        <f t="shared" si="0"/>
        <v>0.96199999999999997</v>
      </c>
      <c r="AJ8" s="74">
        <f t="shared" si="0"/>
        <v>0.95499999999999996</v>
      </c>
      <c r="AK8" s="74">
        <f t="shared" si="0"/>
        <v>0.96</v>
      </c>
      <c r="AL8" s="74">
        <f t="shared" si="0"/>
        <v>0.95199999999999996</v>
      </c>
      <c r="AM8" s="74">
        <f t="shared" si="0"/>
        <v>0.875</v>
      </c>
      <c r="AN8" s="74">
        <f t="shared" si="0"/>
        <v>0.83750000000000002</v>
      </c>
      <c r="AO8" s="74">
        <f t="shared" si="0"/>
        <v>0.81879999999999997</v>
      </c>
      <c r="AP8" s="74">
        <f t="shared" si="0"/>
        <v>0.78500000000000003</v>
      </c>
      <c r="AQ8" s="74">
        <f t="shared" si="0"/>
        <v>0.79</v>
      </c>
      <c r="AR8" s="74">
        <f t="shared" si="0"/>
        <v>0.79</v>
      </c>
      <c r="AS8" s="74">
        <f t="shared" si="0"/>
        <v>0.83379999999999999</v>
      </c>
      <c r="AT8" s="74">
        <f t="shared" si="0"/>
        <v>0.91500000000000004</v>
      </c>
      <c r="AU8" s="74">
        <f t="shared" si="0"/>
        <v>0.91500000000000004</v>
      </c>
      <c r="AV8" s="74">
        <f t="shared" si="0"/>
        <v>0.9325</v>
      </c>
      <c r="AW8" s="74">
        <f t="shared" si="0"/>
        <v>0.92249999999999999</v>
      </c>
      <c r="AX8" s="74">
        <f t="shared" si="0"/>
        <v>0.8</v>
      </c>
      <c r="AY8" s="74">
        <f t="shared" si="0"/>
        <v>0.81499999999999995</v>
      </c>
      <c r="AZ8" s="74">
        <f t="shared" si="0"/>
        <v>0.81499999999999995</v>
      </c>
      <c r="BA8" s="74">
        <f t="shared" si="0"/>
        <v>0.82499999999999996</v>
      </c>
      <c r="BB8" s="74">
        <f t="shared" si="0"/>
        <v>0.84499999999999997</v>
      </c>
      <c r="BC8" s="74">
        <f t="shared" si="0"/>
        <v>0.86</v>
      </c>
      <c r="BD8" s="74">
        <f t="shared" si="0"/>
        <v>0.86499999999999999</v>
      </c>
      <c r="BE8" s="74">
        <f t="shared" si="0"/>
        <v>0.86499999999999999</v>
      </c>
      <c r="BF8" s="74">
        <f t="shared" si="0"/>
        <v>0.86499999999999999</v>
      </c>
      <c r="BG8" s="74">
        <f t="shared" ref="BG8:BM8" si="1">$F$8*(BG4/1000)</f>
        <v>0.875</v>
      </c>
      <c r="BH8" s="74">
        <f t="shared" si="1"/>
        <v>0.875</v>
      </c>
      <c r="BI8" s="74">
        <f t="shared" si="1"/>
        <v>0.92500000000000004</v>
      </c>
      <c r="BJ8" s="74">
        <f t="shared" si="1"/>
        <v>0.94</v>
      </c>
      <c r="BK8" s="74">
        <f t="shared" si="1"/>
        <v>0.95</v>
      </c>
      <c r="BL8" s="74">
        <f t="shared" si="1"/>
        <v>0.92</v>
      </c>
      <c r="BM8" s="74">
        <f t="shared" si="1"/>
        <v>0.92</v>
      </c>
      <c r="BN8" s="74">
        <f t="shared" ref="BN8:BU8" si="2">$F$8*(BN4/1000)</f>
        <v>0.92</v>
      </c>
      <c r="BO8" s="74">
        <f t="shared" si="2"/>
        <v>0.93</v>
      </c>
      <c r="BP8" s="74">
        <f t="shared" si="2"/>
        <v>0.93</v>
      </c>
      <c r="BQ8" s="74">
        <f t="shared" si="2"/>
        <v>0.93</v>
      </c>
      <c r="BR8" s="74">
        <f t="shared" si="2"/>
        <v>0.90500000000000003</v>
      </c>
      <c r="BS8" s="74">
        <f t="shared" si="2"/>
        <v>0.90500000000000003</v>
      </c>
      <c r="BT8" s="74">
        <f t="shared" si="2"/>
        <v>0.90500000000000003</v>
      </c>
      <c r="BU8" s="74">
        <f t="shared" si="2"/>
        <v>0.90500000000000003</v>
      </c>
      <c r="BV8" s="74">
        <f>$F$8*(BV4/1000)</f>
        <v>0.93</v>
      </c>
      <c r="BW8" s="74">
        <f>$F$8*(BW4/1000)</f>
        <v>0.92500000000000004</v>
      </c>
      <c r="BX8" s="74">
        <f>$F$8*(BX4/1000)</f>
        <v>0.92500000000000004</v>
      </c>
      <c r="BY8" s="74">
        <f>$F$8*(BY4/1000)</f>
        <v>0.96</v>
      </c>
      <c r="BZ8" s="74">
        <f>$F$8*(BZ4/1000)</f>
        <v>0.96</v>
      </c>
      <c r="CA8" s="74">
        <f t="shared" ref="CA8:CG8" si="3">$F$8*(CA4/1000)</f>
        <v>0.98</v>
      </c>
      <c r="CB8" s="74">
        <f t="shared" si="3"/>
        <v>1.03</v>
      </c>
      <c r="CC8" s="74">
        <f t="shared" si="3"/>
        <v>1.03</v>
      </c>
      <c r="CD8" s="74">
        <f t="shared" si="3"/>
        <v>1.03</v>
      </c>
      <c r="CE8" s="74">
        <f t="shared" si="3"/>
        <v>1.03</v>
      </c>
      <c r="CF8" s="74">
        <f t="shared" si="3"/>
        <v>1.04</v>
      </c>
      <c r="CG8" s="74">
        <f t="shared" si="3"/>
        <v>1.04</v>
      </c>
      <c r="CH8" s="74">
        <f t="shared" ref="CH8:CN8" si="4">$F$8*(CH4/1000)</f>
        <v>1.04</v>
      </c>
      <c r="CI8" s="74">
        <f t="shared" si="4"/>
        <v>1.04</v>
      </c>
      <c r="CJ8" s="74">
        <f t="shared" si="4"/>
        <v>1.04</v>
      </c>
      <c r="CK8" s="74">
        <f t="shared" si="4"/>
        <v>1.06</v>
      </c>
      <c r="CL8" s="74">
        <f t="shared" si="4"/>
        <v>1.06</v>
      </c>
      <c r="CM8" s="74">
        <f t="shared" si="4"/>
        <v>1.07</v>
      </c>
      <c r="CN8" s="74">
        <f t="shared" si="4"/>
        <v>1.07</v>
      </c>
      <c r="CO8" s="74">
        <f t="shared" ref="CO8:CT8" si="5">$F$8*(CO4/1000)</f>
        <v>1.07</v>
      </c>
      <c r="CP8" s="74">
        <f t="shared" si="5"/>
        <v>1.07</v>
      </c>
      <c r="CQ8" s="74">
        <f t="shared" si="5"/>
        <v>1.07</v>
      </c>
      <c r="CR8" s="74">
        <f t="shared" si="5"/>
        <v>1.0649999999999999</v>
      </c>
      <c r="CS8" s="74">
        <f t="shared" si="5"/>
        <v>1.075</v>
      </c>
      <c r="CT8" s="74">
        <f t="shared" si="5"/>
        <v>1.07</v>
      </c>
      <c r="CU8" s="74">
        <f t="shared" ref="CU8:DY8" si="6">$F$8*(CU4/1000)</f>
        <v>1.07</v>
      </c>
      <c r="CV8" s="74">
        <f t="shared" si="6"/>
        <v>1.07</v>
      </c>
      <c r="CW8" s="74">
        <f t="shared" si="6"/>
        <v>1.04</v>
      </c>
      <c r="CX8" s="74">
        <f t="shared" si="6"/>
        <v>1.02</v>
      </c>
      <c r="CY8" s="74">
        <f t="shared" si="6"/>
        <v>1.02</v>
      </c>
      <c r="CZ8" s="74">
        <f t="shared" si="6"/>
        <v>1.02</v>
      </c>
      <c r="DA8" s="74">
        <f t="shared" si="6"/>
        <v>1.02</v>
      </c>
      <c r="DB8" s="74">
        <f t="shared" si="6"/>
        <v>1.0125</v>
      </c>
      <c r="DC8" s="74">
        <f t="shared" si="6"/>
        <v>0.96</v>
      </c>
      <c r="DD8" s="74">
        <f t="shared" si="6"/>
        <v>0.95499999999999996</v>
      </c>
      <c r="DE8" s="74">
        <f t="shared" si="6"/>
        <v>0.875</v>
      </c>
      <c r="DF8" s="74">
        <f t="shared" si="6"/>
        <v>0.85</v>
      </c>
      <c r="DG8" s="74">
        <f t="shared" si="6"/>
        <v>0.86499999999999999</v>
      </c>
      <c r="DH8" s="74">
        <f t="shared" si="6"/>
        <v>0.85499999999999998</v>
      </c>
      <c r="DI8" s="74">
        <f t="shared" si="6"/>
        <v>0.84</v>
      </c>
      <c r="DJ8" s="74">
        <f t="shared" si="6"/>
        <v>0.84</v>
      </c>
      <c r="DK8" s="74">
        <f t="shared" si="6"/>
        <v>0.84</v>
      </c>
      <c r="DL8" s="74">
        <f t="shared" si="6"/>
        <v>0.82</v>
      </c>
      <c r="DM8" s="74">
        <f t="shared" si="6"/>
        <v>0.79</v>
      </c>
      <c r="DN8" s="74">
        <f t="shared" si="6"/>
        <v>0.78</v>
      </c>
      <c r="DO8" s="74">
        <f t="shared" si="6"/>
        <v>0.78</v>
      </c>
      <c r="DP8" s="74">
        <f t="shared" si="6"/>
        <v>0.76</v>
      </c>
      <c r="DQ8" s="74">
        <f t="shared" si="6"/>
        <v>0.75</v>
      </c>
      <c r="DR8" s="74">
        <f t="shared" si="6"/>
        <v>0.745</v>
      </c>
      <c r="DS8" s="74">
        <f t="shared" si="6"/>
        <v>0</v>
      </c>
      <c r="DT8" s="74">
        <f t="shared" si="6"/>
        <v>0</v>
      </c>
      <c r="DU8" s="74">
        <f t="shared" si="6"/>
        <v>0</v>
      </c>
      <c r="DV8" s="74">
        <f t="shared" si="6"/>
        <v>0</v>
      </c>
      <c r="DW8" s="74">
        <f t="shared" si="6"/>
        <v>0</v>
      </c>
      <c r="DX8" s="74">
        <f t="shared" si="6"/>
        <v>0</v>
      </c>
      <c r="DY8" s="74">
        <f t="shared" si="6"/>
        <v>0</v>
      </c>
    </row>
    <row r="9" spans="1:148">
      <c r="A9" s="381"/>
      <c r="B9" s="60" t="s">
        <v>627</v>
      </c>
      <c r="C9" s="60">
        <v>1</v>
      </c>
      <c r="D9" s="64">
        <f>C5</f>
        <v>171.34</v>
      </c>
      <c r="E9" s="60">
        <f>D9*C9</f>
        <v>171.34</v>
      </c>
      <c r="F9" s="65"/>
      <c r="H9" s="74">
        <f>$F$9*H5</f>
        <v>0</v>
      </c>
      <c r="I9" s="70">
        <f t="shared" ref="I9:BF9" si="7">$F$9*I5</f>
        <v>0</v>
      </c>
      <c r="J9" s="70">
        <f t="shared" si="7"/>
        <v>0</v>
      </c>
      <c r="K9" s="70">
        <f t="shared" si="7"/>
        <v>0</v>
      </c>
      <c r="L9" s="70">
        <f t="shared" si="7"/>
        <v>0</v>
      </c>
      <c r="M9" s="70">
        <f t="shared" si="7"/>
        <v>0</v>
      </c>
      <c r="N9" s="70">
        <f t="shared" si="7"/>
        <v>0</v>
      </c>
      <c r="O9" s="70">
        <f t="shared" si="7"/>
        <v>0</v>
      </c>
      <c r="P9" s="70">
        <f t="shared" si="7"/>
        <v>0</v>
      </c>
      <c r="Q9" s="70">
        <f t="shared" si="7"/>
        <v>0</v>
      </c>
      <c r="R9" s="70">
        <f t="shared" si="7"/>
        <v>0</v>
      </c>
      <c r="S9" s="70">
        <f t="shared" si="7"/>
        <v>0</v>
      </c>
      <c r="T9" s="70">
        <f t="shared" si="7"/>
        <v>0</v>
      </c>
      <c r="U9" s="70">
        <f t="shared" si="7"/>
        <v>0</v>
      </c>
      <c r="V9" s="70">
        <f t="shared" si="7"/>
        <v>0</v>
      </c>
      <c r="W9" s="70">
        <f t="shared" si="7"/>
        <v>0</v>
      </c>
      <c r="X9" s="70">
        <f t="shared" si="7"/>
        <v>0</v>
      </c>
      <c r="Y9" s="70">
        <f t="shared" si="7"/>
        <v>0</v>
      </c>
      <c r="Z9" s="70">
        <f t="shared" si="7"/>
        <v>0</v>
      </c>
      <c r="AA9" s="70">
        <f t="shared" si="7"/>
        <v>0</v>
      </c>
      <c r="AB9" s="70">
        <f t="shared" si="7"/>
        <v>0</v>
      </c>
      <c r="AC9" s="70">
        <f t="shared" si="7"/>
        <v>0</v>
      </c>
      <c r="AD9" s="70">
        <f t="shared" si="7"/>
        <v>0</v>
      </c>
      <c r="AE9" s="70">
        <f t="shared" si="7"/>
        <v>0</v>
      </c>
      <c r="AF9" s="70">
        <f t="shared" si="7"/>
        <v>0</v>
      </c>
      <c r="AG9" s="70">
        <f t="shared" si="7"/>
        <v>0</v>
      </c>
      <c r="AH9" s="70">
        <f t="shared" si="7"/>
        <v>0</v>
      </c>
      <c r="AI9" s="70">
        <f t="shared" si="7"/>
        <v>0</v>
      </c>
      <c r="AJ9" s="70">
        <f t="shared" si="7"/>
        <v>0</v>
      </c>
      <c r="AK9" s="70">
        <f t="shared" si="7"/>
        <v>0</v>
      </c>
      <c r="AL9" s="70">
        <f t="shared" si="7"/>
        <v>0</v>
      </c>
      <c r="AM9" s="70">
        <f t="shared" si="7"/>
        <v>0</v>
      </c>
      <c r="AN9" s="70">
        <f t="shared" si="7"/>
        <v>0</v>
      </c>
      <c r="AO9" s="70">
        <f t="shared" si="7"/>
        <v>0</v>
      </c>
      <c r="AP9" s="70">
        <f t="shared" si="7"/>
        <v>0</v>
      </c>
      <c r="AQ9" s="70">
        <f t="shared" si="7"/>
        <v>0</v>
      </c>
      <c r="AR9" s="70">
        <f t="shared" si="7"/>
        <v>0</v>
      </c>
      <c r="AS9" s="70">
        <f t="shared" si="7"/>
        <v>0</v>
      </c>
      <c r="AT9" s="70">
        <f t="shared" si="7"/>
        <v>0</v>
      </c>
      <c r="AU9" s="70">
        <f t="shared" si="7"/>
        <v>0</v>
      </c>
      <c r="AV9" s="70">
        <f t="shared" si="7"/>
        <v>0</v>
      </c>
      <c r="AW9" s="70">
        <f t="shared" si="7"/>
        <v>0</v>
      </c>
      <c r="AX9" s="70">
        <f t="shared" si="7"/>
        <v>0</v>
      </c>
      <c r="AY9" s="70">
        <f t="shared" si="7"/>
        <v>0</v>
      </c>
      <c r="AZ9" s="70">
        <f t="shared" si="7"/>
        <v>0</v>
      </c>
      <c r="BA9" s="70">
        <f t="shared" si="7"/>
        <v>0</v>
      </c>
      <c r="BB9" s="70">
        <f t="shared" si="7"/>
        <v>0</v>
      </c>
      <c r="BC9" s="70">
        <f t="shared" si="7"/>
        <v>0</v>
      </c>
      <c r="BD9" s="70">
        <f t="shared" si="7"/>
        <v>0</v>
      </c>
      <c r="BE9" s="70">
        <f t="shared" si="7"/>
        <v>0</v>
      </c>
      <c r="BF9" s="70">
        <f t="shared" si="7"/>
        <v>0</v>
      </c>
      <c r="BG9" s="70">
        <f t="shared" ref="BG9:BM9" si="8">$F$9*BG5</f>
        <v>0</v>
      </c>
      <c r="BH9" s="70">
        <f t="shared" si="8"/>
        <v>0</v>
      </c>
      <c r="BI9" s="70">
        <f t="shared" si="8"/>
        <v>0</v>
      </c>
      <c r="BJ9" s="70">
        <f t="shared" si="8"/>
        <v>0</v>
      </c>
      <c r="BK9" s="70">
        <f t="shared" si="8"/>
        <v>0</v>
      </c>
      <c r="BL9" s="70">
        <f t="shared" si="8"/>
        <v>0</v>
      </c>
      <c r="BM9" s="70">
        <f t="shared" si="8"/>
        <v>0</v>
      </c>
      <c r="BN9" s="70">
        <f t="shared" ref="BN9:BU9" si="9">$F$9*BN5</f>
        <v>0</v>
      </c>
      <c r="BO9" s="70">
        <f t="shared" si="9"/>
        <v>0</v>
      </c>
      <c r="BP9" s="70">
        <f t="shared" si="9"/>
        <v>0</v>
      </c>
      <c r="BQ9" s="70">
        <f t="shared" si="9"/>
        <v>0</v>
      </c>
      <c r="BR9" s="70">
        <f t="shared" si="9"/>
        <v>0</v>
      </c>
      <c r="BS9" s="70">
        <f t="shared" si="9"/>
        <v>0</v>
      </c>
      <c r="BT9" s="70">
        <f t="shared" si="9"/>
        <v>0</v>
      </c>
      <c r="BU9" s="70">
        <f t="shared" si="9"/>
        <v>0</v>
      </c>
      <c r="BV9" s="70">
        <f>$F$9*BV5</f>
        <v>0</v>
      </c>
      <c r="BW9" s="70">
        <f>$F$9*BW5</f>
        <v>0</v>
      </c>
      <c r="BX9" s="70">
        <f>$F$9*BX5</f>
        <v>0</v>
      </c>
      <c r="BY9" s="70">
        <f>$F$9*BY5</f>
        <v>0</v>
      </c>
      <c r="BZ9" s="70">
        <f>$F$9*BZ5</f>
        <v>0</v>
      </c>
      <c r="CA9" s="70">
        <f t="shared" ref="CA9:CG9" si="10">$F$9*CA5</f>
        <v>0</v>
      </c>
      <c r="CB9" s="70">
        <f t="shared" si="10"/>
        <v>0</v>
      </c>
      <c r="CC9" s="70">
        <f t="shared" si="10"/>
        <v>0</v>
      </c>
      <c r="CD9" s="70">
        <f t="shared" si="10"/>
        <v>0</v>
      </c>
      <c r="CE9" s="70">
        <f t="shared" si="10"/>
        <v>0</v>
      </c>
      <c r="CF9" s="70">
        <f t="shared" si="10"/>
        <v>0</v>
      </c>
      <c r="CG9" s="70">
        <f t="shared" si="10"/>
        <v>0</v>
      </c>
      <c r="CH9" s="70">
        <f t="shared" ref="CH9:CN9" si="11">$F$9*CH5</f>
        <v>0</v>
      </c>
      <c r="CI9" s="70">
        <f t="shared" si="11"/>
        <v>0</v>
      </c>
      <c r="CJ9" s="70">
        <f t="shared" si="11"/>
        <v>0</v>
      </c>
      <c r="CK9" s="70">
        <f t="shared" si="11"/>
        <v>0</v>
      </c>
      <c r="CL9" s="70">
        <f t="shared" si="11"/>
        <v>0</v>
      </c>
      <c r="CM9" s="70">
        <f t="shared" si="11"/>
        <v>0</v>
      </c>
      <c r="CN9" s="70">
        <f t="shared" si="11"/>
        <v>0</v>
      </c>
      <c r="CO9" s="70">
        <f t="shared" ref="CO9:CT9" si="12">$F$9*CO5</f>
        <v>0</v>
      </c>
      <c r="CP9" s="70">
        <f t="shared" si="12"/>
        <v>0</v>
      </c>
      <c r="CQ9" s="70">
        <f t="shared" si="12"/>
        <v>0</v>
      </c>
      <c r="CR9" s="70">
        <f t="shared" si="12"/>
        <v>0</v>
      </c>
      <c r="CS9" s="70">
        <f t="shared" si="12"/>
        <v>0</v>
      </c>
      <c r="CT9" s="70">
        <f t="shared" si="12"/>
        <v>0</v>
      </c>
      <c r="CU9" s="70">
        <f t="shared" ref="CU9:DY9" si="13">$F$9*CU5</f>
        <v>0</v>
      </c>
      <c r="CV9" s="70">
        <f t="shared" si="13"/>
        <v>0</v>
      </c>
      <c r="CW9" s="70">
        <f t="shared" si="13"/>
        <v>0</v>
      </c>
      <c r="CX9" s="70">
        <f t="shared" si="13"/>
        <v>0</v>
      </c>
      <c r="CY9" s="70">
        <f t="shared" si="13"/>
        <v>0</v>
      </c>
      <c r="CZ9" s="70">
        <f t="shared" si="13"/>
        <v>0</v>
      </c>
      <c r="DA9" s="70">
        <f t="shared" si="13"/>
        <v>0</v>
      </c>
      <c r="DB9" s="70">
        <f t="shared" si="13"/>
        <v>0</v>
      </c>
      <c r="DC9" s="70">
        <f t="shared" si="13"/>
        <v>0</v>
      </c>
      <c r="DD9" s="70">
        <f t="shared" si="13"/>
        <v>0</v>
      </c>
      <c r="DE9" s="70">
        <f t="shared" si="13"/>
        <v>0</v>
      </c>
      <c r="DF9" s="70">
        <f t="shared" si="13"/>
        <v>0</v>
      </c>
      <c r="DG9" s="70">
        <f t="shared" si="13"/>
        <v>0</v>
      </c>
      <c r="DH9" s="70">
        <f t="shared" si="13"/>
        <v>0</v>
      </c>
      <c r="DI9" s="70">
        <f t="shared" si="13"/>
        <v>0</v>
      </c>
      <c r="DJ9" s="70">
        <f t="shared" si="13"/>
        <v>0</v>
      </c>
      <c r="DK9" s="70">
        <f t="shared" si="13"/>
        <v>0</v>
      </c>
      <c r="DL9" s="70">
        <f t="shared" si="13"/>
        <v>0</v>
      </c>
      <c r="DM9" s="70">
        <f t="shared" si="13"/>
        <v>0</v>
      </c>
      <c r="DN9" s="70">
        <f t="shared" si="13"/>
        <v>0</v>
      </c>
      <c r="DO9" s="70">
        <f t="shared" si="13"/>
        <v>0</v>
      </c>
      <c r="DP9" s="70">
        <f t="shared" si="13"/>
        <v>0</v>
      </c>
      <c r="DQ9" s="70">
        <f t="shared" si="13"/>
        <v>0</v>
      </c>
      <c r="DR9" s="70">
        <f t="shared" si="13"/>
        <v>0</v>
      </c>
      <c r="DS9" s="70">
        <f t="shared" si="13"/>
        <v>0</v>
      </c>
      <c r="DT9" s="70">
        <f t="shared" si="13"/>
        <v>0</v>
      </c>
      <c r="DU9" s="70">
        <f t="shared" si="13"/>
        <v>0</v>
      </c>
      <c r="DV9" s="70">
        <f t="shared" si="13"/>
        <v>0</v>
      </c>
      <c r="DW9" s="70">
        <f t="shared" si="13"/>
        <v>0</v>
      </c>
      <c r="DX9" s="70">
        <f t="shared" si="13"/>
        <v>0</v>
      </c>
      <c r="DY9" s="70">
        <f t="shared" si="13"/>
        <v>0</v>
      </c>
    </row>
    <row r="10" spans="1:148">
      <c r="A10" s="59"/>
      <c r="B10" s="59"/>
      <c r="C10" s="59"/>
      <c r="D10" s="59"/>
      <c r="E10" s="59"/>
      <c r="F10" s="59" t="s">
        <v>400</v>
      </c>
      <c r="G10" s="59"/>
      <c r="H10" s="94">
        <f>SUM(H8:H9)</f>
        <v>0.68400000000000005</v>
      </c>
      <c r="I10" s="94">
        <f t="shared" ref="I10:BF10" si="14">SUM(I8:I9)</f>
        <v>0.70629999999999993</v>
      </c>
      <c r="J10" s="94">
        <f t="shared" si="14"/>
        <v>0.64379999999999993</v>
      </c>
      <c r="K10" s="94">
        <f t="shared" si="14"/>
        <v>0.59</v>
      </c>
      <c r="L10" s="94">
        <f t="shared" si="14"/>
        <v>0.78400000000000003</v>
      </c>
      <c r="M10" s="94">
        <f t="shared" si="14"/>
        <v>0.92879999999999996</v>
      </c>
      <c r="N10" s="94">
        <f t="shared" si="14"/>
        <v>0.95350000000000001</v>
      </c>
      <c r="O10" s="94">
        <f t="shared" si="14"/>
        <v>0.89249999999999996</v>
      </c>
      <c r="P10" s="94">
        <f t="shared" si="14"/>
        <v>0.88500000000000001</v>
      </c>
      <c r="Q10" s="94">
        <f t="shared" si="14"/>
        <v>0.90800000000000003</v>
      </c>
      <c r="R10" s="94">
        <f t="shared" si="14"/>
        <v>0.96379999999999999</v>
      </c>
      <c r="S10" s="94">
        <f t="shared" si="14"/>
        <v>1.0537999999999998</v>
      </c>
      <c r="T10" s="94">
        <f t="shared" si="14"/>
        <v>0.99250000000000005</v>
      </c>
      <c r="U10" s="94">
        <f t="shared" si="14"/>
        <v>1.085</v>
      </c>
      <c r="V10" s="94">
        <f t="shared" si="14"/>
        <v>1.28</v>
      </c>
      <c r="W10" s="94">
        <f t="shared" si="14"/>
        <v>1.3049999999999999</v>
      </c>
      <c r="X10" s="94">
        <f t="shared" si="14"/>
        <v>1.2375</v>
      </c>
      <c r="Y10" s="94">
        <f t="shared" si="14"/>
        <v>1.0287999999999999</v>
      </c>
      <c r="Z10" s="94">
        <f t="shared" si="14"/>
        <v>0.86399999999999999</v>
      </c>
      <c r="AA10" s="94">
        <f t="shared" si="14"/>
        <v>0.82250000000000001</v>
      </c>
      <c r="AB10" s="94">
        <f t="shared" si="14"/>
        <v>0.83899999999999997</v>
      </c>
      <c r="AC10" s="94">
        <f t="shared" si="14"/>
        <v>0.90200000000000002</v>
      </c>
      <c r="AD10" s="94">
        <f t="shared" si="14"/>
        <v>0.89379999999999993</v>
      </c>
      <c r="AE10" s="94">
        <f t="shared" si="14"/>
        <v>0.83499999999999996</v>
      </c>
      <c r="AF10" s="94">
        <f t="shared" si="14"/>
        <v>0.82250000000000001</v>
      </c>
      <c r="AG10" s="94">
        <f t="shared" si="14"/>
        <v>0.875</v>
      </c>
      <c r="AH10" s="94">
        <f t="shared" si="14"/>
        <v>0.98629999999999995</v>
      </c>
      <c r="AI10" s="94">
        <f t="shared" si="14"/>
        <v>0.96199999999999997</v>
      </c>
      <c r="AJ10" s="94">
        <f t="shared" si="14"/>
        <v>0.95499999999999996</v>
      </c>
      <c r="AK10" s="94">
        <f t="shared" si="14"/>
        <v>0.96</v>
      </c>
      <c r="AL10" s="94">
        <f t="shared" si="14"/>
        <v>0.95199999999999996</v>
      </c>
      <c r="AM10" s="94">
        <f t="shared" si="14"/>
        <v>0.875</v>
      </c>
      <c r="AN10" s="94">
        <f t="shared" si="14"/>
        <v>0.83750000000000002</v>
      </c>
      <c r="AO10" s="94">
        <f t="shared" si="14"/>
        <v>0.81879999999999997</v>
      </c>
      <c r="AP10" s="94">
        <f t="shared" si="14"/>
        <v>0.78500000000000003</v>
      </c>
      <c r="AQ10" s="94">
        <f t="shared" si="14"/>
        <v>0.79</v>
      </c>
      <c r="AR10" s="94">
        <f t="shared" si="14"/>
        <v>0.79</v>
      </c>
      <c r="AS10" s="94">
        <f t="shared" si="14"/>
        <v>0.83379999999999999</v>
      </c>
      <c r="AT10" s="94">
        <f t="shared" si="14"/>
        <v>0.91500000000000004</v>
      </c>
      <c r="AU10" s="94">
        <f t="shared" si="14"/>
        <v>0.91500000000000004</v>
      </c>
      <c r="AV10" s="94">
        <f t="shared" si="14"/>
        <v>0.9325</v>
      </c>
      <c r="AW10" s="94">
        <f t="shared" si="14"/>
        <v>0.92249999999999999</v>
      </c>
      <c r="AX10" s="94">
        <f t="shared" si="14"/>
        <v>0.8</v>
      </c>
      <c r="AY10" s="94">
        <f t="shared" si="14"/>
        <v>0.81499999999999995</v>
      </c>
      <c r="AZ10" s="94">
        <f t="shared" si="14"/>
        <v>0.81499999999999995</v>
      </c>
      <c r="BA10" s="94">
        <f t="shared" si="14"/>
        <v>0.82499999999999996</v>
      </c>
      <c r="BB10" s="94">
        <f t="shared" si="14"/>
        <v>0.84499999999999997</v>
      </c>
      <c r="BC10" s="94">
        <f t="shared" si="14"/>
        <v>0.86</v>
      </c>
      <c r="BD10" s="94">
        <f t="shared" si="14"/>
        <v>0.86499999999999999</v>
      </c>
      <c r="BE10" s="94">
        <f t="shared" si="14"/>
        <v>0.86499999999999999</v>
      </c>
      <c r="BF10" s="94">
        <f t="shared" si="14"/>
        <v>0.86499999999999999</v>
      </c>
      <c r="BG10" s="94">
        <f t="shared" ref="BG10:BM10" si="15">SUM(BG8:BG9)</f>
        <v>0.875</v>
      </c>
      <c r="BH10" s="94">
        <f t="shared" si="15"/>
        <v>0.875</v>
      </c>
      <c r="BI10" s="94">
        <f t="shared" si="15"/>
        <v>0.92500000000000004</v>
      </c>
      <c r="BJ10" s="94">
        <f t="shared" si="15"/>
        <v>0.94</v>
      </c>
      <c r="BK10" s="94">
        <f t="shared" si="15"/>
        <v>0.95</v>
      </c>
      <c r="BL10" s="94">
        <f t="shared" si="15"/>
        <v>0.92</v>
      </c>
      <c r="BM10" s="94">
        <f t="shared" si="15"/>
        <v>0.92</v>
      </c>
      <c r="BN10" s="94">
        <f t="shared" ref="BN10:BU10" si="16">SUM(BN8:BN9)</f>
        <v>0.92</v>
      </c>
      <c r="BO10" s="94">
        <f t="shared" si="16"/>
        <v>0.93</v>
      </c>
      <c r="BP10" s="94">
        <f t="shared" si="16"/>
        <v>0.93</v>
      </c>
      <c r="BQ10" s="94">
        <f t="shared" si="16"/>
        <v>0.93</v>
      </c>
      <c r="BR10" s="94">
        <f t="shared" si="16"/>
        <v>0.90500000000000003</v>
      </c>
      <c r="BS10" s="94">
        <f t="shared" si="16"/>
        <v>0.90500000000000003</v>
      </c>
      <c r="BT10" s="94">
        <f t="shared" si="16"/>
        <v>0.90500000000000003</v>
      </c>
      <c r="BU10" s="94">
        <f t="shared" si="16"/>
        <v>0.90500000000000003</v>
      </c>
      <c r="BV10" s="94">
        <f>SUM(BV8:BV9)</f>
        <v>0.93</v>
      </c>
      <c r="BW10" s="94">
        <f>SUM(BW8:BW9)</f>
        <v>0.92500000000000004</v>
      </c>
      <c r="BX10" s="94">
        <f>SUM(BX8:BX9)</f>
        <v>0.92500000000000004</v>
      </c>
      <c r="BY10" s="94">
        <f>SUM(BY8:BY9)</f>
        <v>0.96</v>
      </c>
      <c r="BZ10" s="94">
        <f>SUM(BZ8:BZ9)</f>
        <v>0.96</v>
      </c>
      <c r="CA10" s="94">
        <f t="shared" ref="CA10:CG10" si="17">SUM(CA8:CA9)</f>
        <v>0.98</v>
      </c>
      <c r="CB10" s="94">
        <f t="shared" si="17"/>
        <v>1.03</v>
      </c>
      <c r="CC10" s="94">
        <f t="shared" si="17"/>
        <v>1.03</v>
      </c>
      <c r="CD10" s="94">
        <f t="shared" si="17"/>
        <v>1.03</v>
      </c>
      <c r="CE10" s="94">
        <f t="shared" si="17"/>
        <v>1.03</v>
      </c>
      <c r="CF10" s="94">
        <f t="shared" si="17"/>
        <v>1.04</v>
      </c>
      <c r="CG10" s="94">
        <f t="shared" si="17"/>
        <v>1.04</v>
      </c>
      <c r="CH10" s="94">
        <f t="shared" ref="CH10:CN10" si="18">SUM(CH8:CH9)</f>
        <v>1.04</v>
      </c>
      <c r="CI10" s="94">
        <f t="shared" si="18"/>
        <v>1.04</v>
      </c>
      <c r="CJ10" s="94">
        <f t="shared" si="18"/>
        <v>1.04</v>
      </c>
      <c r="CK10" s="94">
        <f t="shared" si="18"/>
        <v>1.06</v>
      </c>
      <c r="CL10" s="94">
        <f t="shared" si="18"/>
        <v>1.06</v>
      </c>
      <c r="CM10" s="94">
        <f t="shared" si="18"/>
        <v>1.07</v>
      </c>
      <c r="CN10" s="94">
        <f t="shared" si="18"/>
        <v>1.07</v>
      </c>
      <c r="CO10" s="94">
        <f t="shared" ref="CO10:CT10" si="19">SUM(CO8:CO9)</f>
        <v>1.07</v>
      </c>
      <c r="CP10" s="94">
        <f t="shared" si="19"/>
        <v>1.07</v>
      </c>
      <c r="CQ10" s="94">
        <f t="shared" si="19"/>
        <v>1.07</v>
      </c>
      <c r="CR10" s="94">
        <f t="shared" si="19"/>
        <v>1.0649999999999999</v>
      </c>
      <c r="CS10" s="94">
        <f t="shared" si="19"/>
        <v>1.075</v>
      </c>
      <c r="CT10" s="94">
        <f t="shared" si="19"/>
        <v>1.07</v>
      </c>
      <c r="CU10" s="94">
        <f t="shared" ref="CU10:DY10" si="20">SUM(CU8:CU9)</f>
        <v>1.07</v>
      </c>
      <c r="CV10" s="94">
        <f t="shared" si="20"/>
        <v>1.07</v>
      </c>
      <c r="CW10" s="94">
        <f t="shared" si="20"/>
        <v>1.04</v>
      </c>
      <c r="CX10" s="94">
        <f t="shared" si="20"/>
        <v>1.02</v>
      </c>
      <c r="CY10" s="94">
        <f t="shared" si="20"/>
        <v>1.02</v>
      </c>
      <c r="CZ10" s="94">
        <f t="shared" si="20"/>
        <v>1.02</v>
      </c>
      <c r="DA10" s="94">
        <f t="shared" si="20"/>
        <v>1.02</v>
      </c>
      <c r="DB10" s="94">
        <f t="shared" si="20"/>
        <v>1.0125</v>
      </c>
      <c r="DC10" s="94">
        <f t="shared" si="20"/>
        <v>0.96</v>
      </c>
      <c r="DD10" s="94">
        <f t="shared" si="20"/>
        <v>0.95499999999999996</v>
      </c>
      <c r="DE10" s="94">
        <f t="shared" si="20"/>
        <v>0.875</v>
      </c>
      <c r="DF10" s="94">
        <f t="shared" si="20"/>
        <v>0.85</v>
      </c>
      <c r="DG10" s="94">
        <f t="shared" si="20"/>
        <v>0.86499999999999999</v>
      </c>
      <c r="DH10" s="94">
        <f t="shared" si="20"/>
        <v>0.85499999999999998</v>
      </c>
      <c r="DI10" s="94">
        <f t="shared" si="20"/>
        <v>0.84</v>
      </c>
      <c r="DJ10" s="94">
        <f t="shared" si="20"/>
        <v>0.84</v>
      </c>
      <c r="DK10" s="94">
        <f t="shared" si="20"/>
        <v>0.84</v>
      </c>
      <c r="DL10" s="94">
        <f t="shared" si="20"/>
        <v>0.82</v>
      </c>
      <c r="DM10" s="94">
        <f t="shared" si="20"/>
        <v>0.79</v>
      </c>
      <c r="DN10" s="94">
        <f t="shared" si="20"/>
        <v>0.78</v>
      </c>
      <c r="DO10" s="94">
        <f t="shared" si="20"/>
        <v>0.78</v>
      </c>
      <c r="DP10" s="94">
        <f t="shared" si="20"/>
        <v>0.76</v>
      </c>
      <c r="DQ10" s="94">
        <f t="shared" si="20"/>
        <v>0.75</v>
      </c>
      <c r="DR10" s="94">
        <f t="shared" si="20"/>
        <v>0.745</v>
      </c>
      <c r="DS10" s="94">
        <f t="shared" si="20"/>
        <v>0</v>
      </c>
      <c r="DT10" s="94">
        <f t="shared" si="20"/>
        <v>0</v>
      </c>
      <c r="DU10" s="94">
        <f t="shared" si="20"/>
        <v>0</v>
      </c>
      <c r="DV10" s="94">
        <f t="shared" si="20"/>
        <v>0</v>
      </c>
      <c r="DW10" s="94">
        <f t="shared" si="20"/>
        <v>0</v>
      </c>
      <c r="DX10" s="94">
        <f t="shared" si="20"/>
        <v>0</v>
      </c>
      <c r="DY10" s="94">
        <f t="shared" si="20"/>
        <v>0</v>
      </c>
    </row>
  </sheetData>
  <mergeCells count="1">
    <mergeCell ref="A8:A9"/>
  </mergeCells>
  <phoneticPr fontId="52" type="noConversion"/>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7"/>
  <dimension ref="A1:EL48"/>
  <sheetViews>
    <sheetView zoomScale="89" zoomScaleNormal="89" workbookViewId="0">
      <pane xSplit="8" ySplit="7" topLeftCell="CW8" activePane="bottomRight" state="frozen"/>
      <selection pane="topRight" activeCell="I1" sqref="I1"/>
      <selection pane="bottomLeft" activeCell="A8" sqref="A8"/>
      <selection pane="bottomRight" activeCell="DK19" sqref="DK19"/>
    </sheetView>
  </sheetViews>
  <sheetFormatPr baseColWidth="10" defaultColWidth="22.6640625" defaultRowHeight="14"/>
  <cols>
    <col min="1" max="1" width="16.6640625" style="8" customWidth="1"/>
    <col min="2" max="2" width="18.33203125" style="8" bestFit="1" customWidth="1"/>
    <col min="3" max="3" width="5.5" style="8" bestFit="1" customWidth="1"/>
    <col min="4" max="4" width="12.5" style="8" bestFit="1" customWidth="1"/>
    <col min="5" max="5" width="8.5" style="8" bestFit="1" customWidth="1"/>
    <col min="6" max="6" width="10.33203125" style="8" bestFit="1" customWidth="1"/>
    <col min="7" max="7" width="3.1640625" style="8" bestFit="1" customWidth="1"/>
    <col min="8" max="8" width="26.1640625" style="8" bestFit="1" customWidth="1"/>
    <col min="9" max="9" width="5.83203125" style="8" bestFit="1" customWidth="1"/>
    <col min="10" max="10" width="6" style="8" bestFit="1" customWidth="1"/>
    <col min="11" max="11" width="6.5" style="8" bestFit="1" customWidth="1"/>
    <col min="12" max="12" width="5.83203125" style="8" bestFit="1" customWidth="1"/>
    <col min="13" max="13" width="6.5" style="8" bestFit="1" customWidth="1"/>
    <col min="14" max="14" width="5.83203125" style="8" bestFit="1" customWidth="1"/>
    <col min="15" max="15" width="5.33203125" style="8" bestFit="1" customWidth="1"/>
    <col min="16" max="16" width="6.1640625" style="8" bestFit="1" customWidth="1"/>
    <col min="17" max="18" width="6" style="8" bestFit="1" customWidth="1"/>
    <col min="19" max="19" width="6.5" style="8" bestFit="1" customWidth="1"/>
    <col min="20" max="20" width="6.1640625" style="8" bestFit="1" customWidth="1"/>
    <col min="21" max="21" width="5.83203125" style="8" bestFit="1" customWidth="1"/>
    <col min="22" max="22" width="6" style="8" bestFit="1" customWidth="1"/>
    <col min="23" max="23" width="6.5" style="8" bestFit="1" customWidth="1"/>
    <col min="24" max="24" width="5.83203125" style="8" bestFit="1" customWidth="1"/>
    <col min="25" max="25" width="6.5" style="8" bestFit="1" customWidth="1"/>
    <col min="26" max="26" width="5.83203125" style="8" bestFit="1" customWidth="1"/>
    <col min="27" max="27" width="5.33203125" style="8" bestFit="1" customWidth="1"/>
    <col min="28" max="28" width="6.1640625" style="8" bestFit="1" customWidth="1"/>
    <col min="29" max="30" width="6" style="8" bestFit="1" customWidth="1"/>
    <col min="31" max="31" width="6.5" style="8" bestFit="1" customWidth="1"/>
    <col min="32" max="32" width="6.1640625" style="8" bestFit="1" customWidth="1"/>
    <col min="33" max="33" width="5.83203125" style="8" bestFit="1" customWidth="1"/>
    <col min="34" max="34" width="6" style="8" bestFit="1" customWidth="1"/>
    <col min="35" max="35" width="6.5" style="8" bestFit="1" customWidth="1"/>
    <col min="36" max="36" width="5.83203125" style="8" bestFit="1" customWidth="1"/>
    <col min="37" max="37" width="6.5" style="8" bestFit="1" customWidth="1"/>
    <col min="38" max="38" width="5.83203125" style="8" bestFit="1" customWidth="1"/>
    <col min="39" max="39" width="5.33203125" style="8" bestFit="1" customWidth="1"/>
    <col min="40" max="40" width="6.1640625" style="8" bestFit="1" customWidth="1"/>
    <col min="41" max="42" width="6" style="8" bestFit="1" customWidth="1"/>
    <col min="43" max="43" width="6.5" style="8" bestFit="1" customWidth="1"/>
    <col min="44" max="44" width="6.1640625" style="8" bestFit="1" customWidth="1"/>
    <col min="45" max="45" width="5.83203125" style="8" bestFit="1" customWidth="1"/>
    <col min="46" max="46" width="6" style="8" bestFit="1" customWidth="1"/>
    <col min="47" max="47" width="6.5" style="8" bestFit="1" customWidth="1"/>
    <col min="48" max="48" width="5.83203125" style="8" bestFit="1" customWidth="1"/>
    <col min="49" max="49" width="6.5" style="8" bestFit="1" customWidth="1"/>
    <col min="50" max="50" width="5.83203125" style="8" bestFit="1" customWidth="1"/>
    <col min="51" max="51" width="5.33203125" style="8" bestFit="1" customWidth="1"/>
    <col min="52" max="54" width="7.83203125" style="8" bestFit="1" customWidth="1"/>
    <col min="55" max="56" width="6.1640625" style="8" bestFit="1" customWidth="1"/>
    <col min="57" max="66" width="6.5" style="8" bestFit="1" customWidth="1"/>
    <col min="67" max="70" width="5.6640625" style="8" bestFit="1" customWidth="1"/>
    <col min="71" max="74" width="5.5" style="8" bestFit="1" customWidth="1"/>
    <col min="75" max="78" width="5.1640625" style="8" bestFit="1" customWidth="1"/>
    <col min="79" max="82" width="5.5" style="8" bestFit="1" customWidth="1"/>
    <col min="83" max="83" width="6.1640625" style="8" bestFit="1" customWidth="1"/>
    <col min="84" max="86" width="5.6640625" style="8" bestFit="1" customWidth="1"/>
    <col min="87" max="90" width="5.5" style="8" bestFit="1" customWidth="1"/>
    <col min="91" max="95" width="6.33203125" style="8" bestFit="1" customWidth="1"/>
    <col min="96" max="99" width="6.1640625" style="8" bestFit="1" customWidth="1"/>
    <col min="100" max="103" width="5.1640625" style="8" bestFit="1" customWidth="1"/>
    <col min="104" max="107" width="5.83203125" style="8" bestFit="1" customWidth="1"/>
    <col min="108" max="115" width="5.6640625" style="8" bestFit="1" customWidth="1"/>
    <col min="116" max="119" width="6.1640625" style="8" bestFit="1" customWidth="1"/>
    <col min="120" max="123" width="5.83203125" style="8" bestFit="1" customWidth="1"/>
    <col min="124" max="128" width="5.1640625" style="8" bestFit="1" customWidth="1"/>
    <col min="129" max="142" width="3.5" style="8" bestFit="1" customWidth="1"/>
    <col min="143" max="16384" width="22.6640625" style="8"/>
  </cols>
  <sheetData>
    <row r="1" spans="1:142" ht="30">
      <c r="A1" s="24" t="s">
        <v>377</v>
      </c>
      <c r="B1" s="24" t="s">
        <v>378</v>
      </c>
      <c r="C1" s="24" t="s">
        <v>379</v>
      </c>
      <c r="D1" s="131" t="s">
        <v>380</v>
      </c>
      <c r="E1" s="131" t="s">
        <v>381</v>
      </c>
      <c r="G1" s="44" t="s">
        <v>33</v>
      </c>
      <c r="H1" s="117">
        <v>6</v>
      </c>
      <c r="I1" s="117">
        <v>7</v>
      </c>
      <c r="J1" s="117">
        <v>8</v>
      </c>
      <c r="K1" s="117">
        <v>9</v>
      </c>
      <c r="L1" s="117">
        <v>10</v>
      </c>
      <c r="M1" s="117">
        <v>11</v>
      </c>
      <c r="N1" s="117">
        <v>12</v>
      </c>
      <c r="O1" s="117">
        <v>13</v>
      </c>
      <c r="P1" s="117">
        <v>14</v>
      </c>
      <c r="Q1" s="117">
        <v>15</v>
      </c>
      <c r="R1" s="117">
        <v>16</v>
      </c>
      <c r="S1" s="117">
        <v>17</v>
      </c>
      <c r="T1" s="117">
        <v>18</v>
      </c>
      <c r="U1" s="117">
        <v>19</v>
      </c>
      <c r="V1" s="117">
        <v>20</v>
      </c>
      <c r="W1" s="117">
        <v>21</v>
      </c>
      <c r="X1" s="117">
        <v>22</v>
      </c>
      <c r="Y1" s="117">
        <v>23</v>
      </c>
      <c r="Z1" s="117">
        <v>24</v>
      </c>
      <c r="AA1" s="117">
        <v>25</v>
      </c>
      <c r="AB1" s="117">
        <v>26</v>
      </c>
      <c r="AC1" s="117">
        <v>27</v>
      </c>
      <c r="AD1" s="117">
        <v>28</v>
      </c>
      <c r="AE1" s="117">
        <v>29</v>
      </c>
      <c r="AF1" s="117">
        <v>30</v>
      </c>
      <c r="AG1" s="117">
        <v>31</v>
      </c>
      <c r="AH1" s="117">
        <v>32</v>
      </c>
      <c r="AI1" s="117">
        <v>33</v>
      </c>
      <c r="AJ1" s="117">
        <v>34</v>
      </c>
      <c r="AK1" s="117">
        <v>35</v>
      </c>
      <c r="AL1" s="117">
        <v>36</v>
      </c>
      <c r="AM1" s="117">
        <v>37</v>
      </c>
      <c r="AN1" s="117">
        <v>38</v>
      </c>
      <c r="AO1" s="117">
        <v>39</v>
      </c>
      <c r="AP1" s="117">
        <v>40</v>
      </c>
      <c r="AQ1" s="117">
        <v>41</v>
      </c>
      <c r="AR1" s="117">
        <v>42</v>
      </c>
      <c r="AS1" s="117">
        <v>43</v>
      </c>
      <c r="AT1" s="117">
        <v>44</v>
      </c>
      <c r="AU1" s="117">
        <v>45</v>
      </c>
      <c r="AV1" s="117">
        <v>46</v>
      </c>
      <c r="AW1" s="117">
        <v>47</v>
      </c>
      <c r="AX1" s="117">
        <v>48</v>
      </c>
      <c r="AY1" s="117">
        <v>49</v>
      </c>
      <c r="AZ1" s="117">
        <v>50</v>
      </c>
      <c r="BA1" s="117">
        <v>51</v>
      </c>
      <c r="BB1" s="117">
        <v>52</v>
      </c>
      <c r="BC1" s="117">
        <v>53</v>
      </c>
      <c r="BD1" s="117">
        <v>54</v>
      </c>
      <c r="BE1" s="117">
        <v>55</v>
      </c>
      <c r="BF1" s="117">
        <v>56</v>
      </c>
      <c r="BG1" s="117">
        <v>57</v>
      </c>
      <c r="BH1" s="117">
        <v>58</v>
      </c>
      <c r="BI1" s="117">
        <v>59</v>
      </c>
      <c r="BJ1" s="117">
        <v>60</v>
      </c>
      <c r="BK1" s="117">
        <v>61</v>
      </c>
      <c r="BL1" s="117">
        <v>62</v>
      </c>
      <c r="BM1" s="117">
        <v>63</v>
      </c>
      <c r="BN1" s="117">
        <v>64</v>
      </c>
      <c r="BO1" s="117">
        <v>65</v>
      </c>
      <c r="BP1" s="117">
        <v>66</v>
      </c>
      <c r="BQ1" s="117">
        <v>67</v>
      </c>
      <c r="BR1" s="117">
        <v>68</v>
      </c>
      <c r="BS1" s="117">
        <v>69</v>
      </c>
      <c r="BT1" s="117">
        <v>70</v>
      </c>
      <c r="BU1" s="117">
        <v>71</v>
      </c>
      <c r="BV1" s="117">
        <v>72</v>
      </c>
      <c r="BW1" s="117">
        <v>73</v>
      </c>
      <c r="BX1" s="117">
        <v>74</v>
      </c>
      <c r="BY1" s="117">
        <v>75</v>
      </c>
      <c r="BZ1" s="117">
        <v>76</v>
      </c>
      <c r="CA1" s="117">
        <v>77</v>
      </c>
      <c r="CB1" s="117">
        <v>78</v>
      </c>
      <c r="CC1" s="117">
        <v>79</v>
      </c>
      <c r="CD1" s="117">
        <v>80</v>
      </c>
      <c r="CE1" s="117">
        <v>81</v>
      </c>
      <c r="CF1" s="117">
        <v>82</v>
      </c>
      <c r="CG1" s="117">
        <v>83</v>
      </c>
      <c r="CH1" s="117">
        <v>84</v>
      </c>
      <c r="CI1" s="117">
        <v>85</v>
      </c>
      <c r="CJ1" s="117">
        <v>86</v>
      </c>
      <c r="CK1" s="117">
        <v>87</v>
      </c>
      <c r="CL1" s="117">
        <v>88</v>
      </c>
      <c r="CM1" s="117">
        <v>89</v>
      </c>
      <c r="CN1" s="117">
        <v>90</v>
      </c>
      <c r="CO1" s="117">
        <v>91</v>
      </c>
      <c r="CP1" s="117">
        <v>92</v>
      </c>
      <c r="CQ1" s="117">
        <v>93</v>
      </c>
      <c r="CR1" s="117">
        <v>94</v>
      </c>
      <c r="CS1" s="117">
        <v>95</v>
      </c>
      <c r="CT1" s="117">
        <v>96</v>
      </c>
      <c r="CU1" s="117">
        <v>97</v>
      </c>
      <c r="CV1" s="117">
        <v>98</v>
      </c>
      <c r="CW1" s="117">
        <v>99</v>
      </c>
      <c r="CX1" s="117">
        <v>100</v>
      </c>
      <c r="CY1" s="117">
        <v>101</v>
      </c>
      <c r="CZ1" s="117">
        <v>102</v>
      </c>
      <c r="DA1" s="117">
        <v>103</v>
      </c>
      <c r="DB1" s="117">
        <v>104</v>
      </c>
      <c r="DC1" s="117">
        <v>105</v>
      </c>
      <c r="DD1" s="117">
        <v>106</v>
      </c>
      <c r="DE1" s="117">
        <v>107</v>
      </c>
      <c r="DF1" s="117">
        <v>108</v>
      </c>
      <c r="DG1" s="117">
        <v>109</v>
      </c>
      <c r="DH1" s="117">
        <v>110</v>
      </c>
      <c r="DI1" s="117">
        <v>111</v>
      </c>
      <c r="DJ1" s="117">
        <v>112</v>
      </c>
      <c r="DK1" s="117">
        <v>113</v>
      </c>
      <c r="DL1" s="117">
        <v>114</v>
      </c>
      <c r="DM1" s="117">
        <v>115</v>
      </c>
      <c r="DN1" s="117">
        <v>116</v>
      </c>
      <c r="DO1" s="117">
        <v>117</v>
      </c>
      <c r="DP1" s="117">
        <v>118</v>
      </c>
      <c r="DQ1" s="117">
        <v>119</v>
      </c>
      <c r="DR1" s="117">
        <v>120</v>
      </c>
      <c r="DS1" s="117">
        <v>121</v>
      </c>
      <c r="DT1" s="117">
        <v>122</v>
      </c>
      <c r="DU1" s="117">
        <v>123</v>
      </c>
      <c r="DV1" s="117">
        <v>124</v>
      </c>
      <c r="DW1" s="117">
        <v>125</v>
      </c>
      <c r="DX1" s="117">
        <v>126</v>
      </c>
      <c r="DY1" s="117">
        <v>127</v>
      </c>
      <c r="DZ1" s="117">
        <v>128</v>
      </c>
      <c r="EA1" s="117">
        <v>129</v>
      </c>
      <c r="EB1" s="117">
        <v>130</v>
      </c>
      <c r="EC1" s="117">
        <v>131</v>
      </c>
      <c r="ED1" s="117">
        <v>132</v>
      </c>
      <c r="EE1" s="117">
        <v>133</v>
      </c>
      <c r="EF1" s="117">
        <v>134</v>
      </c>
      <c r="EG1" s="117">
        <v>135</v>
      </c>
      <c r="EH1" s="117">
        <v>136</v>
      </c>
      <c r="EI1" s="117">
        <v>137</v>
      </c>
      <c r="EJ1" s="117">
        <v>138</v>
      </c>
      <c r="EK1" s="117">
        <v>139</v>
      </c>
      <c r="EL1" s="117">
        <v>140</v>
      </c>
    </row>
    <row r="2" spans="1:142" ht="30">
      <c r="A2" s="118" t="s">
        <v>628</v>
      </c>
      <c r="B2" s="132" t="s">
        <v>629</v>
      </c>
      <c r="C2" s="79"/>
      <c r="D2" s="118" t="s">
        <v>225</v>
      </c>
      <c r="K2" s="119"/>
      <c r="M2" s="119"/>
    </row>
    <row r="3" spans="1:142">
      <c r="A3" s="18"/>
      <c r="B3" s="18"/>
      <c r="D3" s="145" t="s">
        <v>630</v>
      </c>
      <c r="E3" s="18"/>
      <c r="F3" s="81">
        <v>0.4</v>
      </c>
    </row>
    <row r="4" spans="1:142">
      <c r="A4" s="18">
        <v>84.08</v>
      </c>
      <c r="B4" s="18">
        <v>79.900000000000006</v>
      </c>
      <c r="D4" s="18">
        <v>241.87</v>
      </c>
      <c r="E4" s="18"/>
      <c r="H4" s="8" t="s">
        <v>387</v>
      </c>
    </row>
    <row r="5" spans="1:142">
      <c r="A5" s="19">
        <f>A4/D4</f>
        <v>0.34762475710092194</v>
      </c>
      <c r="B5" s="19">
        <f>B4/D4</f>
        <v>0.33034274610327863</v>
      </c>
    </row>
    <row r="6" spans="1:142">
      <c r="A6" s="19"/>
      <c r="B6" s="19"/>
    </row>
    <row r="7" spans="1:142">
      <c r="A7" s="24"/>
      <c r="B7" s="24"/>
      <c r="C7" s="24"/>
      <c r="D7" s="131"/>
      <c r="E7" s="131"/>
      <c r="F7" s="24"/>
      <c r="H7" s="24" t="s">
        <v>416</v>
      </c>
      <c r="I7" s="24">
        <v>43831</v>
      </c>
      <c r="J7" s="24">
        <v>43862</v>
      </c>
      <c r="K7" s="24">
        <v>43891</v>
      </c>
      <c r="L7" s="24">
        <v>43922</v>
      </c>
      <c r="M7" s="24">
        <v>43952</v>
      </c>
      <c r="N7" s="24">
        <v>43983</v>
      </c>
      <c r="O7" s="24">
        <v>44013</v>
      </c>
      <c r="P7" s="24">
        <v>44044</v>
      </c>
      <c r="Q7" s="24">
        <v>44075</v>
      </c>
      <c r="R7" s="24">
        <v>44105</v>
      </c>
      <c r="S7" s="24">
        <v>44136</v>
      </c>
      <c r="T7" s="24">
        <v>44166</v>
      </c>
      <c r="U7" s="24">
        <v>44197</v>
      </c>
      <c r="V7" s="24">
        <v>44228</v>
      </c>
      <c r="W7" s="24">
        <v>44256</v>
      </c>
      <c r="X7" s="24">
        <v>44287</v>
      </c>
      <c r="Y7" s="24">
        <v>44317</v>
      </c>
      <c r="Z7" s="24">
        <v>44348</v>
      </c>
      <c r="AA7" s="24">
        <v>44378</v>
      </c>
      <c r="AB7" s="24">
        <v>44409</v>
      </c>
      <c r="AC7" s="24">
        <v>44440</v>
      </c>
      <c r="AD7" s="24">
        <v>44470</v>
      </c>
      <c r="AE7" s="24">
        <v>44501</v>
      </c>
      <c r="AF7" s="24">
        <v>44531</v>
      </c>
      <c r="AG7" s="24">
        <v>44562</v>
      </c>
      <c r="AH7" s="24">
        <v>44593</v>
      </c>
      <c r="AI7" s="24">
        <v>44621</v>
      </c>
      <c r="AJ7" s="24">
        <v>44652</v>
      </c>
      <c r="AK7" s="24">
        <v>44682</v>
      </c>
      <c r="AL7" s="24">
        <v>44713</v>
      </c>
      <c r="AM7" s="24">
        <v>44743</v>
      </c>
      <c r="AN7" s="24">
        <v>44774</v>
      </c>
      <c r="AO7" s="24">
        <v>44805</v>
      </c>
      <c r="AP7" s="24">
        <v>44835</v>
      </c>
      <c r="AQ7" s="24">
        <v>44866</v>
      </c>
      <c r="AR7" s="24">
        <v>44896</v>
      </c>
      <c r="AS7" s="24">
        <v>44927</v>
      </c>
      <c r="AT7" s="24">
        <v>44958</v>
      </c>
      <c r="AU7" s="24">
        <v>44986</v>
      </c>
      <c r="AV7" s="24">
        <v>45017</v>
      </c>
      <c r="AW7" s="24">
        <v>45047</v>
      </c>
      <c r="AX7" s="24">
        <v>45078</v>
      </c>
      <c r="AY7" s="24">
        <v>45108</v>
      </c>
      <c r="AZ7" s="24" t="s">
        <v>530</v>
      </c>
      <c r="BA7" s="24" t="s">
        <v>531</v>
      </c>
      <c r="BB7" s="24" t="s">
        <v>532</v>
      </c>
      <c r="BC7" s="24">
        <v>37104</v>
      </c>
      <c r="BD7" s="24">
        <v>37469</v>
      </c>
      <c r="BE7" s="24" t="s">
        <v>168</v>
      </c>
      <c r="BF7" s="24" t="s">
        <v>169</v>
      </c>
      <c r="BG7" s="24" t="s">
        <v>421</v>
      </c>
      <c r="BH7" s="24" t="s">
        <v>422</v>
      </c>
      <c r="BI7" s="24" t="s">
        <v>423</v>
      </c>
      <c r="BJ7" s="24" t="s">
        <v>424</v>
      </c>
      <c r="BK7" s="24" t="s">
        <v>435</v>
      </c>
      <c r="BL7" s="24" t="s">
        <v>436</v>
      </c>
      <c r="BM7" s="24" t="s">
        <v>437</v>
      </c>
      <c r="BN7" s="24" t="s">
        <v>438</v>
      </c>
      <c r="BO7" s="59">
        <v>37196</v>
      </c>
      <c r="BP7" s="59">
        <v>37561</v>
      </c>
      <c r="BQ7" s="59">
        <v>37926</v>
      </c>
      <c r="BR7" s="59">
        <v>38292</v>
      </c>
      <c r="BS7" s="59">
        <v>37226</v>
      </c>
      <c r="BT7" s="59">
        <v>37591</v>
      </c>
      <c r="BU7" s="59">
        <v>37956</v>
      </c>
      <c r="BV7" s="59">
        <v>38322</v>
      </c>
      <c r="BW7" s="59">
        <v>36892</v>
      </c>
      <c r="BX7" s="59">
        <v>37257</v>
      </c>
      <c r="BY7" s="59">
        <v>37622</v>
      </c>
      <c r="BZ7" s="59">
        <v>37987</v>
      </c>
      <c r="CA7" s="59">
        <v>36923</v>
      </c>
      <c r="CB7" s="59">
        <v>37288</v>
      </c>
      <c r="CC7" s="59">
        <v>37653</v>
      </c>
      <c r="CD7" s="59">
        <v>38018</v>
      </c>
      <c r="CE7" s="59" t="str">
        <f>Sheet8!A15</f>
        <v>Mar-w1</v>
      </c>
      <c r="CF7" s="59">
        <v>37316</v>
      </c>
      <c r="CG7" s="59">
        <v>37681</v>
      </c>
      <c r="CH7" s="59">
        <v>38047</v>
      </c>
      <c r="CI7" s="59" t="str">
        <f>Sheet8!E15</f>
        <v>Apr-w1</v>
      </c>
      <c r="CJ7" s="59" t="str">
        <f>Sheet8!F15</f>
        <v>Apr-w2</v>
      </c>
      <c r="CK7" s="59" t="str">
        <f>Sheet8!G15</f>
        <v>Apr-w3</v>
      </c>
      <c r="CL7" s="59" t="str">
        <f>Sheet8!H15</f>
        <v>Apr-w4</v>
      </c>
      <c r="CM7" s="59" t="str">
        <f>Sheet8!I15</f>
        <v>May-w1</v>
      </c>
      <c r="CN7" s="59" t="str">
        <f>Sheet8!J15</f>
        <v>May-w2</v>
      </c>
      <c r="CO7" s="59" t="str">
        <f>Sheet8!K15</f>
        <v>May-w3</v>
      </c>
      <c r="CP7" s="59" t="str">
        <f>Sheet8!L15</f>
        <v>May-w4</v>
      </c>
      <c r="CQ7" s="59" t="str">
        <f>Sheet8!M15</f>
        <v>May-w5</v>
      </c>
      <c r="CR7" s="59" t="str">
        <f>Sheet8!N15</f>
        <v>june-w1</v>
      </c>
      <c r="CS7" s="59" t="str">
        <f>Sheet8!O15</f>
        <v>june-w2</v>
      </c>
      <c r="CT7" s="59" t="str">
        <f>Sheet8!P15</f>
        <v>june-w3</v>
      </c>
      <c r="CU7" s="59" t="str">
        <f>Sheet8!Q15</f>
        <v>june-w4</v>
      </c>
      <c r="CV7" s="59" t="str">
        <f>Sheet8!R15</f>
        <v>Jul-w1</v>
      </c>
      <c r="CW7" s="59" t="str">
        <f>Sheet8!S15</f>
        <v>Jul-w2</v>
      </c>
      <c r="CX7" s="59" t="str">
        <f>Sheet8!T15</f>
        <v>Jul-w3</v>
      </c>
      <c r="CY7" s="59" t="str">
        <f>Sheet8!U15</f>
        <v>Jul-w4</v>
      </c>
      <c r="CZ7" s="59" t="str">
        <f>Sheet8!V15</f>
        <v>Aug-w1</v>
      </c>
      <c r="DA7" s="59" t="str">
        <f>Sheet8!W15</f>
        <v>Aug-w2</v>
      </c>
      <c r="DB7" s="59" t="str">
        <f>Sheet8!X15</f>
        <v>Aug-w3</v>
      </c>
      <c r="DC7" s="59" t="str">
        <f>Sheet8!Y15</f>
        <v>Aug-w4</v>
      </c>
      <c r="DD7" s="59" t="str">
        <f>Sheet8!Z15</f>
        <v>Sep-w1</v>
      </c>
      <c r="DE7" s="59" t="str">
        <f>Sheet8!AA15</f>
        <v>Sep-w2</v>
      </c>
      <c r="DF7" s="59" t="str">
        <f>Sheet8!AB15</f>
        <v>Sep-w3</v>
      </c>
      <c r="DG7" s="59" t="str">
        <f>Sheet8!AC15</f>
        <v>Sep-w4</v>
      </c>
      <c r="DH7" s="59" t="str">
        <f>Sheet8!AD15</f>
        <v>Oct-w1</v>
      </c>
      <c r="DI7" s="59" t="str">
        <f>Sheet8!AE15</f>
        <v>Oct-w2</v>
      </c>
      <c r="DJ7" s="59" t="str">
        <f>Sheet8!AF15</f>
        <v>Oct-w3</v>
      </c>
      <c r="DK7" s="59" t="str">
        <f>Sheet8!AG15</f>
        <v>Oct-w4</v>
      </c>
      <c r="DL7" s="59" t="str">
        <f>Sheet8!AH15</f>
        <v>Nov-w1</v>
      </c>
      <c r="DM7" s="59" t="str">
        <f>Sheet8!AI15</f>
        <v>Nov-w2</v>
      </c>
      <c r="DN7" s="59" t="str">
        <f>Sheet8!AJ15</f>
        <v>Nov-w3</v>
      </c>
      <c r="DO7" s="59" t="str">
        <f>Sheet8!AK15</f>
        <v>Nov-w4</v>
      </c>
      <c r="DP7" s="59" t="str">
        <f>Sheet8!AL15</f>
        <v>Dec-w1</v>
      </c>
      <c r="DQ7" s="59" t="str">
        <f>Sheet8!AM15</f>
        <v>Dec-w2</v>
      </c>
      <c r="DR7" s="59" t="str">
        <f>Sheet8!AN15</f>
        <v>Dec-w3</v>
      </c>
      <c r="DS7" s="59" t="str">
        <f>Sheet8!AO15</f>
        <v>Dec-w4</v>
      </c>
      <c r="DT7" s="59">
        <f>Sheet8!AP15</f>
        <v>0</v>
      </c>
      <c r="DU7" s="59">
        <f>Sheet8!AQ15</f>
        <v>0</v>
      </c>
      <c r="DV7" s="59">
        <f>Sheet8!AR15</f>
        <v>0</v>
      </c>
      <c r="DW7" s="59">
        <f>Sheet8!AS15</f>
        <v>0</v>
      </c>
      <c r="DX7" s="59">
        <f>Sheet8!AT15</f>
        <v>0</v>
      </c>
    </row>
    <row r="8" spans="1:142">
      <c r="A8" s="22"/>
      <c r="B8" s="8" t="s">
        <v>631</v>
      </c>
      <c r="D8" s="8" t="s">
        <v>403</v>
      </c>
      <c r="E8" s="8" t="s">
        <v>404</v>
      </c>
      <c r="F8" s="8" t="s">
        <v>425</v>
      </c>
      <c r="H8" s="8" t="s">
        <v>102</v>
      </c>
      <c r="I8" s="19">
        <f>VLOOKUP($H$8&amp;$G$1,'Input RM sheet'!$A:$BD,H1,0)</f>
        <v>3.3722677740973346</v>
      </c>
      <c r="J8" s="19">
        <f>VLOOKUP($H$8&amp;$G$1,'Input RM sheet'!$A:$BD,I1,0)</f>
        <v>3.5884490664929807</v>
      </c>
      <c r="K8" s="19">
        <f>VLOOKUP($H$8&amp;$G$1,'Input RM sheet'!$A:$BD,J1,0)</f>
        <v>3.3010375884295726</v>
      </c>
      <c r="L8" s="19">
        <f>VLOOKUP($H$8&amp;$G$1,'Input RM sheet'!$A:$BD,K1,0)</f>
        <v>3.2761440126618488</v>
      </c>
      <c r="M8" s="19">
        <f>VLOOKUP($H$8&amp;$G$1,'Input RM sheet'!$A:$BD,L1,0)</f>
        <v>3.3313918893164898</v>
      </c>
      <c r="N8" s="19">
        <f>VLOOKUP($H$8&amp;$G$1,'Input RM sheet'!$A:$BD,M1,0)</f>
        <v>3.2126032639307116</v>
      </c>
      <c r="O8" s="19">
        <f>VLOOKUP($H$8&amp;$G$1,'Input RM sheet'!$A:$BD,N1,0)</f>
        <v>3.305640263333288</v>
      </c>
      <c r="P8" s="19">
        <f>VLOOKUP($H$8&amp;$G$1,'Input RM sheet'!$A:$BD,O1,0)</f>
        <v>3.2428482174215421</v>
      </c>
      <c r="Q8" s="19">
        <f>VLOOKUP($H$8&amp;$G$1,'Input RM sheet'!$A:$BD,P1,0)</f>
        <v>3.0558305817010916</v>
      </c>
      <c r="R8" s="19">
        <f>VLOOKUP($H$8&amp;$G$1,'Input RM sheet'!$A:$BD,Q1,0)</f>
        <v>3.1187400447713336</v>
      </c>
      <c r="S8" s="19">
        <f>VLOOKUP($H$8&amp;$G$1,'Input RM sheet'!$A:$BD,R1,0)</f>
        <v>2.9643536344731332</v>
      </c>
      <c r="T8" s="19">
        <f>VLOOKUP($H$8&amp;$G$1,'Input RM sheet'!$A:$BD,S1,0)</f>
        <v>3.0743580036551674</v>
      </c>
      <c r="U8" s="19">
        <f>VLOOKUP($H$8&amp;$G$1,'Input RM sheet'!$A:$BD,T1,0)</f>
        <v>3.1440983976529004</v>
      </c>
      <c r="V8" s="19">
        <f>VLOOKUP($H$8&amp;$G$1,'Input RM sheet'!$A:$BD,U1,0)</f>
        <v>3.6417121216368651</v>
      </c>
      <c r="W8" s="19">
        <f>VLOOKUP($H$8&amp;$G$1,'Input RM sheet'!$A:$BD,V1,0)</f>
        <v>4.060230072669893</v>
      </c>
      <c r="X8" s="19">
        <f>VLOOKUP($H$8&amp;$G$1,'Input RM sheet'!$A:$BD,W1,0)</f>
        <v>3.8836327345461683</v>
      </c>
      <c r="Y8" s="19">
        <f>VLOOKUP($H$8&amp;$G$1,'Input RM sheet'!$A:$BD,X1,0)</f>
        <v>3.7884508075864156</v>
      </c>
      <c r="Z8" s="19">
        <f>VLOOKUP($H$8&amp;$G$1,'Input RM sheet'!$A:$BD,Y1,0)</f>
        <v>3.837401992491376</v>
      </c>
      <c r="AA8" s="19">
        <f>VLOOKUP($H$8&amp;$G$1,'Input RM sheet'!$A:$BD,Z1,0)</f>
        <v>3.9030382165072637</v>
      </c>
      <c r="AB8" s="19">
        <f>VLOOKUP($H$8&amp;$G$1,'Input RM sheet'!$A:$BD,AA1,0)</f>
        <v>3.8081991962597312</v>
      </c>
      <c r="AC8" s="19">
        <f>VLOOKUP($H$8&amp;$G$1,'Input RM sheet'!$A:$BD,AB1,0)</f>
        <v>3.9842480228824653</v>
      </c>
      <c r="AD8" s="19">
        <f>VLOOKUP($H$8&amp;$G$1,'Input RM sheet'!$A:$BD,AC1,0)</f>
        <v>4.0671955678400016</v>
      </c>
      <c r="AE8" s="19">
        <f>VLOOKUP($H$8&amp;$G$1,'Input RM sheet'!$A:$BD,AD1,0)</f>
        <v>5.8482673702726471</v>
      </c>
      <c r="AF8" s="19">
        <f>VLOOKUP($H$8&amp;$G$1,'Input RM sheet'!$A:$BD,AE1,0)</f>
        <v>6.6775339200281429</v>
      </c>
      <c r="AG8" s="19">
        <f>VLOOKUP($H$8&amp;$G$1,'Input RM sheet'!$A:$BD,AF1,0)</f>
        <v>7.2166196928556987</v>
      </c>
      <c r="AH8" s="19">
        <f>VLOOKUP($H$8&amp;$G$1,'Input RM sheet'!$A:$BD,AG1,0)</f>
        <v>7.7366156412070888</v>
      </c>
      <c r="AI8" s="19">
        <f>VLOOKUP($H$8&amp;$G$1,'Input RM sheet'!$A:$BD,AH1,0)</f>
        <v>7.6217441905288466</v>
      </c>
      <c r="AJ8" s="19">
        <f>VLOOKUP($H$8&amp;$G$1,'Input RM sheet'!$A:$BD,AI1,0)</f>
        <v>7.2166896551724138</v>
      </c>
      <c r="AK8" s="19">
        <f>VLOOKUP($H$8&amp;$G$1,'Input RM sheet'!$A:$BD,AJ1,0)</f>
        <v>6.9105245786163518</v>
      </c>
      <c r="AL8" s="19">
        <f>VLOOKUP($H$8&amp;$G$1,'Input RM sheet'!$A:$BD,AK1,0)</f>
        <v>6.9259629864253398</v>
      </c>
      <c r="AM8" s="19">
        <f>VLOOKUP($H$8&amp;$G$1,'Input RM sheet'!$A:$BD,AL1,0)</f>
        <v>6.0260156630265209</v>
      </c>
      <c r="AN8" s="19">
        <f>VLOOKUP($H$8&amp;$G$1,'Input RM sheet'!$A:$BD,AM1,0)</f>
        <v>5.6731331527093598</v>
      </c>
      <c r="AO8" s="19">
        <f>VLOOKUP($H$8&amp;$G$1,'Input RM sheet'!$A:$BD,AN1,0)</f>
        <v>5.6208484848484845</v>
      </c>
      <c r="AP8" s="19">
        <f>VLOOKUP($H$8&amp;$G$1,'Input RM sheet'!$A:$BD,AO1,0)</f>
        <v>5.31386815920398</v>
      </c>
      <c r="AQ8" s="19">
        <f>VLOOKUP($H$8&amp;$G$1,'Input RM sheet'!$A:$BD,AP1,0)</f>
        <v>5.1623768446601934</v>
      </c>
      <c r="AR8" s="19">
        <f>VLOOKUP($H$8&amp;$G$1,'Input RM sheet'!$A:$BD,AQ1,0)</f>
        <v>4.5309395098039218</v>
      </c>
      <c r="AS8" s="19">
        <f>VLOOKUP($H$8&amp;$G$1,'Input RM sheet'!$A:$BD,AR1,0)</f>
        <v>4.4188660650336624</v>
      </c>
      <c r="AT8" s="19">
        <f>VLOOKUP($H$8&amp;$G$1,'Input RM sheet'!$A:$BD,AS1,0)</f>
        <v>4.4813940838476274</v>
      </c>
      <c r="AU8" s="19">
        <f>VLOOKUP($H$8&amp;$G$1,'Input RM sheet'!$A:$BD,AT1,0)</f>
        <v>4.2824249470770237</v>
      </c>
      <c r="AV8" s="19">
        <f>VLOOKUP($H$8&amp;$G$1,'Input RM sheet'!$A:$BD,AU1,0)</f>
        <v>4.008818696263873</v>
      </c>
      <c r="AW8" s="19">
        <f>VLOOKUP($H$8&amp;$G$1,'Input RM sheet'!$A:$BD,AV1,0)</f>
        <v>3.9972925836058657</v>
      </c>
      <c r="AX8" s="19">
        <f>VLOOKUP($H$8&amp;$G$1,'Input RM sheet'!$A:$BD,AW1,0)</f>
        <v>3.7949300431832205</v>
      </c>
      <c r="AY8" s="19">
        <f>VLOOKUP($H$8&amp;$G$1,'Input RM sheet'!$A:$BD,AX1,0)</f>
        <v>3.7949300431832205</v>
      </c>
      <c r="AZ8" s="19">
        <f>VLOOKUP($H$8&amp;$G$1,'Input RM sheet'!$A:$BD,AY1,0)</f>
        <v>3.5</v>
      </c>
      <c r="BA8" s="19">
        <f>VLOOKUP($H$8&amp;$G$1,'Input RM sheet'!$A:$BD,AZ1,0)</f>
        <v>3.5</v>
      </c>
      <c r="BB8" s="19">
        <f>VLOOKUP($H$8&amp;$G$1,'Input RM sheet'!$A:$BD,BA1,0)</f>
        <v>3.5</v>
      </c>
      <c r="BC8" s="19">
        <f>VLOOKUP($H$8&amp;$G$1,'Input RM sheet'!$A:$BD,BB1,0)</f>
        <v>3.5</v>
      </c>
      <c r="BD8" s="19">
        <f>VLOOKUP($H$8&amp;$G$1,'Input RM sheet'!$A:$BD,BC1,0)</f>
        <v>3.5</v>
      </c>
      <c r="BE8" s="19">
        <f>VLOOKUP($H$8&amp;$G$1,'Input RM sheet'!$A:$BD,BD1,0)</f>
        <v>3.5</v>
      </c>
      <c r="BF8" s="19">
        <f>VLOOKUP($H$8&amp;$G$1,'Input RM sheet'!$A:$BD,BE1,0)</f>
        <v>3.69</v>
      </c>
      <c r="BG8" s="19">
        <f>VLOOKUP($H$8&amp;$G$1,'Input RM sheet'!$A:$DD,BF1,0)</f>
        <v>3.47</v>
      </c>
      <c r="BH8" s="19">
        <f>VLOOKUP($H$8&amp;$G$1,'Input RM sheet'!$A:$DD,BG1,0)</f>
        <v>3.47</v>
      </c>
      <c r="BI8" s="19">
        <f>VLOOKUP($H$8&amp;$G$1,'Input RM sheet'!$A:$DD,BH1,0)</f>
        <v>3.47</v>
      </c>
      <c r="BJ8" s="19">
        <f>VLOOKUP($H$8&amp;$G$1,'Input RM sheet'!$A:$DD,BI1,0)</f>
        <v>3.47</v>
      </c>
      <c r="BK8" s="19">
        <f>VLOOKUP($H$8&amp;$G$1,'Input RM sheet'!$A:$DD,BJ1,0)</f>
        <v>3.47</v>
      </c>
      <c r="BL8" s="19">
        <f>VLOOKUP($H$8&amp;$G$1,'Input RM sheet'!$A:$DD,BK1,0)</f>
        <v>3.47</v>
      </c>
      <c r="BM8" s="19">
        <f>VLOOKUP($H$8&amp;$G$1,'Input RM sheet'!$A:$DD,BL1,0)</f>
        <v>3.43</v>
      </c>
      <c r="BN8" s="19">
        <f>VLOOKUP($H$8&amp;$G$1,'Input RM sheet'!$A:$DD,BM1,0)</f>
        <v>3.49</v>
      </c>
      <c r="BO8" s="19">
        <f>VLOOKUP($H$8&amp;$G$1,'Input RM sheet'!$A:$DD,BN1,0)</f>
        <v>3.49</v>
      </c>
      <c r="BP8" s="19">
        <f>VLOOKUP($H$8&amp;$G$1,'Input RM sheet'!$A:$DD,BO1,0)</f>
        <v>3.35</v>
      </c>
      <c r="BQ8" s="19">
        <f>VLOOKUP($H$8&amp;$G$1,'Input RM sheet'!$A:$DD,BP1,0)</f>
        <v>3.35</v>
      </c>
      <c r="BR8" s="19">
        <f>VLOOKUP($H$8&amp;$G$1,'Input RM sheet'!$A:$DD,BQ1,0)</f>
        <v>3.35</v>
      </c>
      <c r="BS8" s="19">
        <f>VLOOKUP($H$8&amp;$G$1,'Input RM sheet'!$A:$DD,BR1,0)</f>
        <v>3.19</v>
      </c>
      <c r="BT8" s="19">
        <f>VLOOKUP($H$8&amp;$G$1,'Input RM sheet'!$A:$DD,BS1,0)</f>
        <v>3.19</v>
      </c>
      <c r="BU8" s="19">
        <f>VLOOKUP($H$8&amp;$G$1,'Input RM sheet'!$A:$DD,BT1,0)</f>
        <v>3.19</v>
      </c>
      <c r="BV8" s="19">
        <f>VLOOKUP($H$8&amp;$G$1,'Input RM sheet'!$A:$DD,BU1,0)</f>
        <v>3.19</v>
      </c>
      <c r="BW8" s="19">
        <f>VLOOKUP($H$8&amp;$G$1,'Input RM sheet'!$A:$DD,BV1,0)</f>
        <v>3.19</v>
      </c>
      <c r="BX8" s="19">
        <f>VLOOKUP($H$8&amp;$G$1,'Input RM sheet'!$A:$DD,BW1,0)</f>
        <v>3.19</v>
      </c>
      <c r="BY8" s="19">
        <f>VLOOKUP($H$8&amp;$G$1,'Input RM sheet'!$A:$DD,BX1,0)</f>
        <v>3.19</v>
      </c>
      <c r="BZ8" s="19">
        <f>VLOOKUP($H$8&amp;$G$1,'Input RM sheet'!$A:$DD,BY1,0)</f>
        <v>3.24</v>
      </c>
      <c r="CA8" s="19">
        <f>VLOOKUP($H$8&amp;$G$1,'Input RM sheet'!$A:$DD,BZ1,0)</f>
        <v>3.24</v>
      </c>
      <c r="CB8" s="19">
        <f>VLOOKUP($H$8&amp;$G$1,'Input RM sheet'!$A:$DD,CA1,0)</f>
        <v>3.24</v>
      </c>
      <c r="CC8" s="19">
        <f>VLOOKUP($H$8&amp;$G$1,'Input RM sheet'!$A:$DD,CB1,0)</f>
        <v>3.2</v>
      </c>
      <c r="CD8" s="19">
        <f>VLOOKUP($H$8&amp;$G$1,'Input RM sheet'!$A:$DD,CC1,0)</f>
        <v>3.2</v>
      </c>
      <c r="CE8" s="19">
        <f>VLOOKUP($H$8&amp;$G$1,'Input RM sheet'!$A:$DD,CD1,0)</f>
        <v>3.2</v>
      </c>
      <c r="CF8" s="19">
        <f>VLOOKUP($H$8&amp;$G$1,'Input RM sheet'!$A:$DD,CE1,0)</f>
        <v>3.2</v>
      </c>
      <c r="CG8" s="19">
        <f>VLOOKUP($H$8&amp;$G$1,'Input RM sheet'!$A:$DD,CF1,0)</f>
        <v>3.2</v>
      </c>
      <c r="CH8" s="19">
        <f>VLOOKUP($H$8&amp;$G$1,'Input RM sheet'!$A:$DD,CG1,0)</f>
        <v>3.2</v>
      </c>
      <c r="CI8" s="19">
        <f>VLOOKUP($H$8&amp;$G$1,'Input RM sheet'!$A:$DD,CH1,0)</f>
        <v>3.14</v>
      </c>
      <c r="CJ8" s="19">
        <f>VLOOKUP($H$8&amp;$G$1,'Input RM sheet'!$A:$DD,CI1,0)</f>
        <v>3.18</v>
      </c>
      <c r="CK8" s="19">
        <f>VLOOKUP($H$8&amp;$G$1,'Input RM sheet'!$A:$DD,CJ1,0)</f>
        <v>3.18</v>
      </c>
      <c r="CL8" s="19">
        <f>VLOOKUP($H$8&amp;$G$1,'Input RM sheet'!$A:$DD,CK1,0)</f>
        <v>3.15</v>
      </c>
      <c r="CM8" s="19">
        <f>VLOOKUP($H$8&amp;$G$1,'Input RM sheet'!$A:$DD,CL1,0)</f>
        <v>3.15</v>
      </c>
      <c r="CN8" s="19">
        <f>VLOOKUP($H$8&amp;$G$1,'Input RM sheet'!$A:$DD,CM1,0)</f>
        <v>3.15</v>
      </c>
      <c r="CO8" s="19">
        <f>VLOOKUP($H$8&amp;$G$1,'Input RM sheet'!$A:$DD,CN1,0)</f>
        <v>3.15</v>
      </c>
      <c r="CP8" s="19">
        <f>VLOOKUP($H$8&amp;$G$1,'Input RM sheet'!$A:$DD,CO1,0)</f>
        <v>3.15</v>
      </c>
      <c r="CQ8" s="19">
        <f>VLOOKUP($H$8&amp;$G$1,'Input RM sheet'!$A:$DD,CP1,0)</f>
        <v>3.15</v>
      </c>
      <c r="CR8" s="19">
        <f>VLOOKUP($H$8&amp;$G$1,'Input RM sheet'!$A:$ZZ,CQ1,0)</f>
        <v>3.15</v>
      </c>
      <c r="CS8" s="19">
        <f>VLOOKUP($H$8&amp;$G$1,'Input RM sheet'!$A:$ZZ,CR1,0)</f>
        <v>3.04</v>
      </c>
      <c r="CT8" s="19">
        <f>VLOOKUP($H$8&amp;$G$1,'Input RM sheet'!$A:$ZZ,CS1,0)</f>
        <v>3.04</v>
      </c>
      <c r="CU8" s="19">
        <f>VLOOKUP($H$8&amp;$G$1,'Input RM sheet'!$A:$ZZ,CT1,0)</f>
        <v>3.04</v>
      </c>
      <c r="CV8" s="19">
        <f>VLOOKUP($H$8&amp;$G$1,'Input RM sheet'!$A:$ZZ,CU1,0)</f>
        <v>3.04</v>
      </c>
      <c r="CW8" s="19">
        <f>VLOOKUP($H$8&amp;$G$1,'Input RM sheet'!$A:$ZZ,CV1,0)</f>
        <v>3.02</v>
      </c>
      <c r="CX8" s="19">
        <f>VLOOKUP($H$8&amp;$G$1,'Input RM sheet'!$A:$ZZ,CW1,0)</f>
        <v>3.02</v>
      </c>
      <c r="CY8" s="19">
        <f>VLOOKUP($H$8&amp;$G$1,'Input RM sheet'!$A:$ZZ,CX1,0)</f>
        <v>3.1</v>
      </c>
      <c r="CZ8" s="19">
        <f>VLOOKUP($H$8&amp;$G$1,'Input RM sheet'!$A:$ZZ,CY1,0)</f>
        <v>3.1</v>
      </c>
      <c r="DA8" s="19">
        <f>VLOOKUP($H$8&amp;$G$1,'Input RM sheet'!$A:$ZZ,CZ1,0)</f>
        <v>3.1</v>
      </c>
      <c r="DB8" s="19">
        <f>VLOOKUP($H$8&amp;$G$1,'Input RM sheet'!$A:$ZZ,DA1,0)</f>
        <v>3.1</v>
      </c>
      <c r="DC8" s="19">
        <f>VLOOKUP($H$8&amp;$G$1,'Input RM sheet'!$A:$ZZ,DB1,0)</f>
        <v>3.1</v>
      </c>
      <c r="DD8" s="19">
        <f>VLOOKUP($H$8&amp;$G$1,'Input RM sheet'!$A:$ZZ,DC1,0)</f>
        <v>3.1</v>
      </c>
      <c r="DE8" s="19">
        <f>VLOOKUP($H$8&amp;$G$1,'Input RM sheet'!$A:$ZZ,DD1,0)</f>
        <v>3.1</v>
      </c>
      <c r="DF8" s="19">
        <f>VLOOKUP($H$8&amp;$G$1,'Input RM sheet'!$A:$ZZ,DE1,0)</f>
        <v>3.1</v>
      </c>
      <c r="DG8" s="19">
        <f>VLOOKUP($H$8&amp;$G$1,'Input RM sheet'!$A:$ZZ,DF1,0)</f>
        <v>3.1</v>
      </c>
      <c r="DH8" s="19">
        <f>VLOOKUP($H$8&amp;$G$1,'Input RM sheet'!$A:$ZZ,DG1,0)</f>
        <v>3.09</v>
      </c>
      <c r="DI8" s="19">
        <f>VLOOKUP($H$8&amp;$G$1,'Input RM sheet'!$A:$ZZ,DH1,0)</f>
        <v>3.09</v>
      </c>
      <c r="DJ8" s="19">
        <f>VLOOKUP($H$8&amp;$G$1,'Input RM sheet'!$A:$ZZ,DI1,0)</f>
        <v>3.09</v>
      </c>
      <c r="DK8" s="19">
        <f>VLOOKUP($H$8&amp;$G$1,'Input RM sheet'!$A:$ZZ,DJ1,0)</f>
        <v>3.09</v>
      </c>
      <c r="DL8" s="19">
        <f>VLOOKUP($H$8&amp;$G$1,'Input RM sheet'!$A:$ZZ,DK1,0)</f>
        <v>3.09</v>
      </c>
      <c r="DM8" s="19">
        <f>VLOOKUP($H$8&amp;$G$1,'Input RM sheet'!$A:$ZZ,DL1,0)</f>
        <v>3.1</v>
      </c>
      <c r="DN8" s="19">
        <f>VLOOKUP($H$8&amp;$G$1,'Input RM sheet'!$A:$ZZ,DM1,0)</f>
        <v>3.1</v>
      </c>
      <c r="DO8" s="19">
        <f>VLOOKUP($H$8&amp;$G$1,'Input RM sheet'!$A:$ZZ,DN1,0)</f>
        <v>3.1</v>
      </c>
      <c r="DP8" s="19">
        <f>VLOOKUP($H$8&amp;$G$1,'Input RM sheet'!$A:$ZZ,DO1,0)</f>
        <v>3.1</v>
      </c>
      <c r="DQ8" s="19">
        <f>VLOOKUP($H$8&amp;$G$1,'Input RM sheet'!$A:$ZZ,DP1,0)</f>
        <v>3.04</v>
      </c>
      <c r="DR8" s="19">
        <f>VLOOKUP($H$8&amp;$G$1,'Input RM sheet'!$A:$ZZ,DQ1,0)</f>
        <v>3.04</v>
      </c>
      <c r="DS8" s="19">
        <f>VLOOKUP($H$8&amp;$G$1,'Input RM sheet'!$A:$ZZ,DR1,0)</f>
        <v>3.01</v>
      </c>
      <c r="DT8" s="19">
        <f>VLOOKUP($H$8&amp;$G$1,'Input RM sheet'!$A:$ZZ,DS1,0)</f>
        <v>0</v>
      </c>
      <c r="DU8" s="19">
        <f>VLOOKUP($H$8&amp;$G$1,'Input RM sheet'!$A:$ZZ,DT1,0)</f>
        <v>0</v>
      </c>
      <c r="DV8" s="19">
        <f>VLOOKUP($H$8&amp;$G$1,'Input RM sheet'!$A:$ZZ,DU1,0)</f>
        <v>0</v>
      </c>
      <c r="DW8" s="19">
        <f>VLOOKUP($H$8&amp;$G$1,'Input RM sheet'!$A:$ZZ,DV1,0)</f>
        <v>0</v>
      </c>
      <c r="DX8" s="19">
        <f>VLOOKUP($H$8&amp;$G$1,'Input RM sheet'!$A:$ZZ,DW1,0)</f>
        <v>0</v>
      </c>
    </row>
    <row r="9" spans="1:142">
      <c r="A9" s="35"/>
      <c r="B9" s="8" t="s">
        <v>631</v>
      </c>
      <c r="D9" s="8" t="s">
        <v>403</v>
      </c>
      <c r="E9" s="8" t="s">
        <v>404</v>
      </c>
      <c r="F9" s="8" t="s">
        <v>425</v>
      </c>
      <c r="H9" s="8" t="s">
        <v>101</v>
      </c>
      <c r="I9" s="19">
        <f>VLOOKUP($H$9&amp;$G$1,'Input RM sheet'!$A:$BD,H1,0)</f>
        <v>3.437657148745096</v>
      </c>
      <c r="J9" s="19">
        <f>VLOOKUP($H$9&amp;$G$1,'Input RM sheet'!$A:$BD,I1,0)</f>
        <v>3.6504767491504015</v>
      </c>
      <c r="K9" s="19">
        <f>VLOOKUP($H$9&amp;$G$1,'Input RM sheet'!$A:$BD,J1,0)</f>
        <v>3.6376615793029541</v>
      </c>
      <c r="L9" s="19">
        <f>VLOOKUP($H$9&amp;$G$1,'Input RM sheet'!$A:$BD,K1,0)</f>
        <v>3.6764010659341144</v>
      </c>
      <c r="M9" s="19">
        <f>VLOOKUP($H$9&amp;$G$1,'Input RM sheet'!$A:$BD,L1,0)</f>
        <v>3.8026447262828107</v>
      </c>
      <c r="N9" s="19">
        <f>VLOOKUP($H$9&amp;$G$1,'Input RM sheet'!$A:$BD,M1,0)</f>
        <v>3.8248805396352576</v>
      </c>
      <c r="O9" s="19">
        <f>VLOOKUP($H$9&amp;$G$1,'Input RM sheet'!$A:$BD,N1,0)</f>
        <v>3.8721625885847621</v>
      </c>
      <c r="P9" s="19">
        <f>VLOOKUP($H$9&amp;$G$1,'Input RM sheet'!$A:$BD,O1,0)</f>
        <v>3.8430681277946968</v>
      </c>
      <c r="Q9" s="19">
        <f>VLOOKUP($H$9&amp;$G$1,'Input RM sheet'!$A:$BD,P1,0)</f>
        <v>3.8780402793670787</v>
      </c>
      <c r="R9" s="19">
        <f>VLOOKUP($H$9&amp;$G$1,'Input RM sheet'!$A:$BD,Q1,0)</f>
        <v>3.8043619567759612</v>
      </c>
      <c r="S9" s="19">
        <f>VLOOKUP($H$9&amp;$G$1,'Input RM sheet'!$A:$BD,R1,0)</f>
        <v>3.8554919147975388</v>
      </c>
      <c r="T9" s="19">
        <f>VLOOKUP($H$9&amp;$G$1,'Input RM sheet'!$A:$BD,S1,0)</f>
        <v>3.8325781970658754</v>
      </c>
      <c r="U9" s="19">
        <f>VLOOKUP($H$9&amp;$G$1,'Input RM sheet'!$A:$BD,T1,0)</f>
        <v>3.8023622373348833</v>
      </c>
      <c r="V9" s="19">
        <f>VLOOKUP($H$9&amp;$G$1,'Input RM sheet'!$A:$BD,U1,0)</f>
        <v>3.8183314487426521</v>
      </c>
      <c r="W9" s="19">
        <f>VLOOKUP($H$9&amp;$G$1,'Input RM sheet'!$A:$BD,V1,0)</f>
        <v>3.8136432113917813</v>
      </c>
      <c r="X9" s="19">
        <f>VLOOKUP($H$9&amp;$G$1,'Input RM sheet'!$A:$BD,W1,0)</f>
        <v>3.843947116906985</v>
      </c>
      <c r="Y9" s="19">
        <f>VLOOKUP($H$9&amp;$G$1,'Input RM sheet'!$A:$BD,X1,0)</f>
        <v>3.840042867422123</v>
      </c>
      <c r="Z9" s="19">
        <f>VLOOKUP($H$9&amp;$G$1,'Input RM sheet'!$A:$BD,Y1,0)</f>
        <v>3.8336805480355101</v>
      </c>
      <c r="AA9" s="19">
        <f>VLOOKUP($H$9&amp;$G$1,'Input RM sheet'!$A:$BD,Z1,0)</f>
        <v>3.8294841100571313</v>
      </c>
      <c r="AB9" s="19">
        <f>VLOOKUP($H$9&amp;$G$1,'Input RM sheet'!$A:$BD,AA1,0)</f>
        <v>3.8812197137205766</v>
      </c>
      <c r="AC9" s="19">
        <f>VLOOKUP($H$9&amp;$G$1,'Input RM sheet'!$A:$BD,AB1,0)</f>
        <v>3.9168831250708678</v>
      </c>
      <c r="AD9" s="19">
        <f>VLOOKUP($H$9&amp;$G$1,'Input RM sheet'!$A:$BD,AC1,0)</f>
        <v>4.0829158332767541</v>
      </c>
      <c r="AE9" s="19">
        <f>VLOOKUP($H$9&amp;$G$1,'Input RM sheet'!$A:$BD,AD1,0)</f>
        <v>4.3685605569339403</v>
      </c>
      <c r="AF9" s="19">
        <f>VLOOKUP($H$9&amp;$G$1,'Input RM sheet'!$A:$BD,AE1,0)</f>
        <v>4.20307561313136</v>
      </c>
      <c r="AG9" s="19">
        <f>VLOOKUP($H$9&amp;$G$1,'Input RM sheet'!$A:$BD,AF1,0)</f>
        <v>4.828941227228368</v>
      </c>
      <c r="AH9" s="19">
        <f>VLOOKUP($H$9&amp;$G$1,'Input RM sheet'!$A:$BD,AG1,0)</f>
        <v>4.8781820440908605</v>
      </c>
      <c r="AI9" s="19">
        <f>VLOOKUP($H$9&amp;$G$1,'Input RM sheet'!$A:$BD,AH1,0)</f>
        <v>5.1431011069842238</v>
      </c>
      <c r="AJ9" s="19">
        <f>VLOOKUP($H$9&amp;$G$1,'Input RM sheet'!$A:$BD,AI1,0)</f>
        <v>5.6057447243486358</v>
      </c>
      <c r="AK9" s="19">
        <f>VLOOKUP($H$9&amp;$G$1,'Input RM sheet'!$A:$BD,AJ1,0)</f>
        <v>5.8840952994204763</v>
      </c>
      <c r="AL9" s="19">
        <f>VLOOKUP($H$9&amp;$G$1,'Input RM sheet'!$A:$BD,AK1,0)</f>
        <v>6.0218438754597274</v>
      </c>
      <c r="AM9" s="19">
        <f>VLOOKUP($H$9&amp;$G$1,'Input RM sheet'!$A:$BD,AL1,0)</f>
        <v>6.0321849202801374</v>
      </c>
      <c r="AN9" s="19">
        <f>VLOOKUP($H$9&amp;$G$1,'Input RM sheet'!$A:$BD,AM1,0)</f>
        <v>6.0989541938572405</v>
      </c>
      <c r="AO9" s="19">
        <f>VLOOKUP($H$9&amp;$G$1,'Input RM sheet'!$A:$BD,AN1,0)</f>
        <v>6.2236622530109695</v>
      </c>
      <c r="AP9" s="19">
        <f>VLOOKUP($H$9&amp;$G$1,'Input RM sheet'!$A:$BD,AO1,0)</f>
        <v>5.7323824318599073</v>
      </c>
      <c r="AQ9" s="19">
        <f>VLOOKUP($H$9&amp;$G$1,'Input RM sheet'!$A:$BD,AP1,0)</f>
        <v>5.4868904638800942</v>
      </c>
      <c r="AR9" s="19">
        <f>VLOOKUP($H$9&amp;$G$1,'Input RM sheet'!$A:$BD,AQ1,0)</f>
        <v>5.9492305426699064</v>
      </c>
      <c r="AS9" s="19">
        <f>VLOOKUP($H$9&amp;$G$1,'Input RM sheet'!$A:$BD,AR1,0)</f>
        <v>5.625580816098859</v>
      </c>
      <c r="AT9" s="19">
        <f>VLOOKUP($H$9&amp;$G$1,'Input RM sheet'!$A:$BD,AS1,0)</f>
        <v>6.06951668064207</v>
      </c>
      <c r="AU9" s="19">
        <f>VLOOKUP($H$9&amp;$G$1,'Input RM sheet'!$A:$BD,AT1,0)</f>
        <v>6.06</v>
      </c>
      <c r="AV9" s="19">
        <f>VLOOKUP($H$9&amp;$G$1,'Input RM sheet'!$A:$BD,AU1,0)</f>
        <v>5.67</v>
      </c>
      <c r="AW9" s="19">
        <f>VLOOKUP($H$9&amp;$G$1,'Input RM sheet'!$A:$BD,AV1,0)</f>
        <v>5.22</v>
      </c>
      <c r="AX9" s="19">
        <f>VLOOKUP($H$9&amp;$G$1,'Input RM sheet'!$A:$BD,AW1,0)</f>
        <v>4.95</v>
      </c>
      <c r="AY9" s="19">
        <f>VLOOKUP($H$9&amp;$G$1,'Input RM sheet'!$A:$BD,AX1,0)</f>
        <v>4.95</v>
      </c>
      <c r="AZ9" s="19">
        <f>VLOOKUP($H$9&amp;$G$1,'Input RM sheet'!$A:$BD,AY1,0)</f>
        <v>4.95</v>
      </c>
      <c r="BA9" s="19">
        <f>VLOOKUP($H$9&amp;$G$1,'Input RM sheet'!$A:$BD,AZ1,0)</f>
        <v>4.76</v>
      </c>
      <c r="BB9" s="19">
        <f>VLOOKUP($H$9&amp;$G$1,'Input RM sheet'!$A:$BD,BA1,0)</f>
        <v>4</v>
      </c>
      <c r="BC9" s="19">
        <f>VLOOKUP($H$9&amp;$G$1,'Input RM sheet'!$A:$BD,BB1,0)</f>
        <v>2.74</v>
      </c>
      <c r="BD9" s="19">
        <f>VLOOKUP($H$9&amp;$G$1,'Input RM sheet'!$A:$BD,BC1,0)</f>
        <v>2.74</v>
      </c>
      <c r="BE9" s="19">
        <f>VLOOKUP($H$9&amp;$G$1,'Input RM sheet'!$A:$BD,BD1,0)</f>
        <v>2.74</v>
      </c>
      <c r="BF9" s="19">
        <f>VLOOKUP($H$9&amp;$G$1,'Input RM sheet'!$A:$BD,BE1,0)</f>
        <v>2.6</v>
      </c>
      <c r="BG9" s="19">
        <f>VLOOKUP($H$9&amp;$G$1,'Input RM sheet'!$A:$DD,BF1,0)</f>
        <v>2.6</v>
      </c>
      <c r="BH9" s="19">
        <f>VLOOKUP($H$9&amp;$G$1,'Input RM sheet'!$A:$DD,BG1,0)</f>
        <v>2.6</v>
      </c>
      <c r="BI9" s="19">
        <f>VLOOKUP($H$9&amp;$G$1,'Input RM sheet'!$A:$DD,BH1,0)</f>
        <v>2.79</v>
      </c>
      <c r="BJ9" s="19">
        <f>VLOOKUP($H$9&amp;$G$1,'Input RM sheet'!$A:$DD,BI1,0)</f>
        <v>2.6</v>
      </c>
      <c r="BK9" s="19">
        <f>VLOOKUP($H$9&amp;$G$1,'Input RM sheet'!$A:$DD,BJ1,0)</f>
        <v>2.6</v>
      </c>
      <c r="BL9" s="19">
        <f>VLOOKUP($H$9&amp;$G$1,'Input RM sheet'!$A:$DD,BK1,0)</f>
        <v>2.6</v>
      </c>
      <c r="BM9" s="19">
        <f>VLOOKUP($H$9&amp;$G$1,'Input RM sheet'!$A:$DD,BL1,0)</f>
        <v>2.74</v>
      </c>
      <c r="BN9" s="19">
        <f>VLOOKUP($H$9&amp;$G$1,'Input RM sheet'!$A:$DD,BM1,0)</f>
        <v>2.74</v>
      </c>
      <c r="BO9" s="19">
        <f>VLOOKUP($H$9&amp;$G$1,'Input RM sheet'!$A:$DD,BN1,0)</f>
        <v>2.74</v>
      </c>
      <c r="BP9" s="19">
        <f>VLOOKUP($H$9&amp;$G$1,'Input RM sheet'!$A:$DD,BO1,0)</f>
        <v>2.74</v>
      </c>
      <c r="BQ9" s="19">
        <f>VLOOKUP($H$9&amp;$G$1,'Input RM sheet'!$A:$DD,BP1,0)</f>
        <v>2.74</v>
      </c>
      <c r="BR9" s="19">
        <f>VLOOKUP($H$9&amp;$G$1,'Input RM sheet'!$A:$DD,BQ1,0)</f>
        <v>2.74</v>
      </c>
      <c r="BS9" s="19">
        <f>VLOOKUP($H$9&amp;$G$1,'Input RM sheet'!$A:$DD,BR1,0)</f>
        <v>2.2999999999999998</v>
      </c>
      <c r="BT9" s="19">
        <f>VLOOKUP($H$9&amp;$G$1,'Input RM sheet'!$A:$DD,BS1,0)</f>
        <v>2.2999999999999998</v>
      </c>
      <c r="BU9" s="19">
        <f>VLOOKUP($H$9&amp;$G$1,'Input RM sheet'!$A:$DD,BT1,0)</f>
        <v>2.8</v>
      </c>
      <c r="BV9" s="19">
        <f>VLOOKUP($H$9&amp;$G$1,'Input RM sheet'!$A:$DD,BU1,0)</f>
        <v>2.8</v>
      </c>
      <c r="BW9" s="19">
        <f>VLOOKUP($H$9&amp;$G$1,'Input RM sheet'!$A:$DD,BV1,0)</f>
        <v>2.75</v>
      </c>
      <c r="BX9" s="19">
        <f>VLOOKUP($H$9&amp;$G$1,'Input RM sheet'!$A:$DD,BW1,0)</f>
        <v>2.75</v>
      </c>
      <c r="BY9" s="19">
        <f>VLOOKUP($H$9&amp;$G$1,'Input RM sheet'!$A:$DD,BX1,0)</f>
        <v>2.75</v>
      </c>
      <c r="BZ9" s="19">
        <f>VLOOKUP($H$9&amp;$G$1,'Input RM sheet'!$A:$DD,BY1,0)</f>
        <v>2.75</v>
      </c>
      <c r="CA9" s="19">
        <f>VLOOKUP($H$9&amp;$G$1,'Input RM sheet'!$A:$DD,BZ1,0)</f>
        <v>2.75</v>
      </c>
      <c r="CB9" s="19">
        <f>VLOOKUP($H$9&amp;$G$1,'Input RM sheet'!$A:$DD,CA1,0)</f>
        <v>2.75</v>
      </c>
      <c r="CC9" s="19">
        <f>VLOOKUP($H$9&amp;$G$1,'Input RM sheet'!$A:$DD,CB1,0)</f>
        <v>2.75</v>
      </c>
      <c r="CD9" s="19">
        <f>VLOOKUP($H$9&amp;$G$1,'Input RM sheet'!$A:$DD,CC1,0)</f>
        <v>2.75</v>
      </c>
      <c r="CE9" s="19">
        <f>VLOOKUP($H$9&amp;$G$1,'Input RM sheet'!$A:$DD,CD1,0)</f>
        <v>2.75</v>
      </c>
      <c r="CF9" s="19">
        <f>VLOOKUP($H$9&amp;$G$1,'Input RM sheet'!$A:$DD,CE1,0)</f>
        <v>2.75</v>
      </c>
      <c r="CG9" s="19">
        <f>VLOOKUP($H$9&amp;$G$1,'Input RM sheet'!$A:$DD,CF1,0)</f>
        <v>2.75</v>
      </c>
      <c r="CH9" s="19">
        <f>VLOOKUP($H$9&amp;$G$1,'Input RM sheet'!$A:$DD,CG1,0)</f>
        <v>2.75</v>
      </c>
      <c r="CI9" s="19">
        <f>VLOOKUP($H$9&amp;$G$1,'Input RM sheet'!$A:$DD,CH1,0)</f>
        <v>2.4</v>
      </c>
      <c r="CJ9" s="19">
        <f>VLOOKUP($H$9&amp;$G$1,'Input RM sheet'!$A:$DD,CI1,0)</f>
        <v>2.2799999999999998</v>
      </c>
      <c r="CK9" s="19">
        <f>VLOOKUP($H$9&amp;$G$1,'Input RM sheet'!$A:$DD,CJ1,0)</f>
        <v>2.4</v>
      </c>
      <c r="CL9" s="19">
        <f>VLOOKUP($H$9&amp;$G$1,'Input RM sheet'!$A:$DD,CK1,0)</f>
        <v>2.27</v>
      </c>
      <c r="CM9" s="19">
        <f>VLOOKUP($H$9&amp;$G$1,'Input RM sheet'!$A:$DD,CL1,0)</f>
        <v>2.27</v>
      </c>
      <c r="CN9" s="19">
        <f>VLOOKUP($H$9&amp;$G$1,'Input RM sheet'!$A:$DD,CM1,0)</f>
        <v>2.27</v>
      </c>
      <c r="CO9" s="19">
        <f>VLOOKUP($H$9&amp;$G$1,'Input RM sheet'!$A:$DD,CN1,0)</f>
        <v>2.27</v>
      </c>
      <c r="CP9" s="19">
        <f>VLOOKUP($H$9&amp;$G$1,'Input RM sheet'!$A:$DD,CO1,0)</f>
        <v>2.27</v>
      </c>
      <c r="CQ9" s="19">
        <f>VLOOKUP($H$9&amp;$G$1,'Input RM sheet'!$A:$DD,CP1,0)</f>
        <v>2.27</v>
      </c>
      <c r="CR9" s="19">
        <f>VLOOKUP($H$9&amp;$G$1,'Input RM sheet'!$A:$ZZ,CQ1,0)</f>
        <v>2.27</v>
      </c>
      <c r="CS9" s="19">
        <f>VLOOKUP($H$9&amp;$G$1,'Input RM sheet'!$A:$ZZ,CR1,0)</f>
        <v>2.2999999999999998</v>
      </c>
      <c r="CT9" s="19">
        <f>VLOOKUP($H$9&amp;$G$1,'Input RM sheet'!$A:$ZZ,CS1,0)</f>
        <v>2.2999999999999998</v>
      </c>
      <c r="CU9" s="19">
        <f>VLOOKUP($H$9&amp;$G$1,'Input RM sheet'!$A:$ZZ,CT1,0)</f>
        <v>2.2999999999999998</v>
      </c>
      <c r="CV9" s="19">
        <f>VLOOKUP($H$9&amp;$G$1,'Input RM sheet'!$A:$ZZ,CU1,0)</f>
        <v>2.2999999999999998</v>
      </c>
      <c r="CW9" s="19">
        <f>VLOOKUP($H$9&amp;$G$1,'Input RM sheet'!$A:$ZZ,CV1,0)</f>
        <v>2.2000000000000002</v>
      </c>
      <c r="CX9" s="19">
        <f>VLOOKUP($H$9&amp;$G$1,'Input RM sheet'!$A:$ZZ,CW1,0)</f>
        <v>2.2000000000000002</v>
      </c>
      <c r="CY9" s="19">
        <f>VLOOKUP($H$9&amp;$G$1,'Input RM sheet'!$A:$ZZ,CX1,0)</f>
        <v>2.2000000000000002</v>
      </c>
      <c r="CZ9" s="19">
        <f>VLOOKUP($H$9&amp;$G$1,'Input RM sheet'!$A:$ZZ,CY1,0)</f>
        <v>2.2000000000000002</v>
      </c>
      <c r="DA9" s="19">
        <f>VLOOKUP($H$9&amp;$G$1,'Input RM sheet'!$A:$ZZ,CZ1,0)</f>
        <v>2.2000000000000002</v>
      </c>
      <c r="DB9" s="19">
        <f>VLOOKUP($H$9&amp;$G$1,'Input RM sheet'!$A:$ZZ,DA1,0)</f>
        <v>2.2000000000000002</v>
      </c>
      <c r="DC9" s="19">
        <f>VLOOKUP($H$9&amp;$G$1,'Input RM sheet'!$A:$ZZ,DB1,0)</f>
        <v>2.31</v>
      </c>
      <c r="DD9" s="19">
        <f>VLOOKUP($H$9&amp;$G$1,'Input RM sheet'!$A:$ZZ,DC1,0)</f>
        <v>2.31</v>
      </c>
      <c r="DE9" s="19">
        <f>VLOOKUP($H$9&amp;$G$1,'Input RM sheet'!$A:$ZZ,DD1,0)</f>
        <v>2.31</v>
      </c>
      <c r="DF9" s="19">
        <f>VLOOKUP($H$9&amp;$G$1,'Input RM sheet'!$A:$ZZ,DE1,0)</f>
        <v>2.31</v>
      </c>
      <c r="DG9" s="19">
        <f>VLOOKUP($H$9&amp;$G$1,'Input RM sheet'!$A:$ZZ,DF1,0)</f>
        <v>2.31</v>
      </c>
      <c r="DH9" s="19">
        <f>VLOOKUP($H$9&amp;$G$1,'Input RM sheet'!$A:$ZZ,DG1,0)</f>
        <v>2.2999999999999998</v>
      </c>
      <c r="DI9" s="19">
        <f>VLOOKUP($H$9&amp;$G$1,'Input RM sheet'!$A:$ZZ,DH1,0)</f>
        <v>2.2999999999999998</v>
      </c>
      <c r="DJ9" s="19">
        <f>VLOOKUP($H$9&amp;$G$1,'Input RM sheet'!$A:$ZZ,DI1,0)</f>
        <v>2.2999999999999998</v>
      </c>
      <c r="DK9" s="19">
        <f>VLOOKUP($H$9&amp;$G$1,'Input RM sheet'!$A:$ZZ,DJ1,0)</f>
        <v>2.2999999999999998</v>
      </c>
      <c r="DL9" s="19">
        <f>VLOOKUP($H$9&amp;$G$1,'Input RM sheet'!$A:$ZZ,DK1,0)</f>
        <v>2.2999999999999998</v>
      </c>
      <c r="DM9" s="19">
        <f>VLOOKUP($H$9&amp;$G$1,'Input RM sheet'!$A:$ZZ,DL1,0)</f>
        <v>2.6</v>
      </c>
      <c r="DN9" s="19">
        <f>VLOOKUP($H$9&amp;$G$1,'Input RM sheet'!$A:$ZZ,DM1,0)</f>
        <v>2.6</v>
      </c>
      <c r="DO9" s="19">
        <f>VLOOKUP($H$9&amp;$G$1,'Input RM sheet'!$A:$ZZ,DN1,0)</f>
        <v>2.6</v>
      </c>
      <c r="DP9" s="19">
        <f>VLOOKUP($H$9&amp;$G$1,'Input RM sheet'!$A:$ZZ,DO1,0)</f>
        <v>2.6</v>
      </c>
      <c r="DQ9" s="19">
        <f>VLOOKUP($H$9&amp;$G$1,'Input RM sheet'!$A:$ZZ,DP1,0)</f>
        <v>2.6</v>
      </c>
      <c r="DR9" s="19">
        <f>VLOOKUP($H$9&amp;$G$1,'Input RM sheet'!$A:$ZZ,DQ1,0)</f>
        <v>2.6</v>
      </c>
      <c r="DS9" s="19">
        <f>VLOOKUP($H$9&amp;$G$1,'Input RM sheet'!$A:$ZZ,DR1,0)</f>
        <v>2.2799999999999998</v>
      </c>
      <c r="DT9" s="19">
        <f>VLOOKUP($H$9&amp;$G$1,'Input RM sheet'!$A:$ZZ,DS1,0)</f>
        <v>0</v>
      </c>
      <c r="DU9" s="19">
        <f>VLOOKUP($H$9&amp;$G$1,'Input RM sheet'!$A:$ZZ,DT1,0)</f>
        <v>0</v>
      </c>
      <c r="DV9" s="19">
        <f>VLOOKUP($H$9&amp;$G$1,'Input RM sheet'!$A:$ZZ,DU1,0)</f>
        <v>0</v>
      </c>
      <c r="DW9" s="19">
        <f>VLOOKUP($H$9&amp;$G$1,'Input RM sheet'!$A:$ZZ,DV1,0)</f>
        <v>0</v>
      </c>
      <c r="DX9" s="19">
        <f>VLOOKUP($H$9&amp;$G$1,'Input RM sheet'!$A:$ZZ,DW1,0)</f>
        <v>0</v>
      </c>
    </row>
    <row r="10" spans="1:142" hidden="1">
      <c r="B10" s="8" t="s">
        <v>631</v>
      </c>
      <c r="D10" s="8" t="s">
        <v>403</v>
      </c>
      <c r="E10" s="8" t="s">
        <v>632</v>
      </c>
      <c r="F10" s="8" t="s">
        <v>633</v>
      </c>
      <c r="H10" s="8" t="s">
        <v>101</v>
      </c>
      <c r="I10" s="20">
        <v>3.7154729455799256</v>
      </c>
      <c r="J10" s="20">
        <v>3.7923766325655901</v>
      </c>
      <c r="K10" s="20">
        <v>3.7638561905827039</v>
      </c>
      <c r="L10" s="20">
        <v>3.7011257260894541</v>
      </c>
      <c r="M10" s="20">
        <v>3.6197261461814061</v>
      </c>
      <c r="N10" s="20">
        <v>3.69102757045686</v>
      </c>
      <c r="O10" s="20">
        <v>3.4094408334393642</v>
      </c>
      <c r="P10" s="20">
        <v>3.4594099723647105</v>
      </c>
      <c r="Q10" s="20">
        <v>3.2118924838324681</v>
      </c>
      <c r="R10" s="20">
        <v>3.2097191076037719</v>
      </c>
      <c r="S10" s="20">
        <v>3.2028787337204832</v>
      </c>
      <c r="T10" s="20">
        <v>3.2925583969064962</v>
      </c>
      <c r="U10" s="20">
        <v>3.3055985196532895</v>
      </c>
      <c r="V10" s="20">
        <v>3.505988625122499</v>
      </c>
      <c r="W10" s="20">
        <v>3.2449642991104963</v>
      </c>
      <c r="X10" s="20">
        <v>3.5676573751699339</v>
      </c>
      <c r="Y10" s="20">
        <v>3.4685173641594593</v>
      </c>
      <c r="Z10" s="20">
        <v>3.7740142514492732</v>
      </c>
      <c r="AA10" s="20">
        <v>3.897906221804416</v>
      </c>
      <c r="AB10" s="20">
        <v>3.9325649024495615</v>
      </c>
      <c r="AC10" s="20">
        <v>4.2134965395327866</v>
      </c>
      <c r="AD10" s="20">
        <v>4.5030065863970838</v>
      </c>
      <c r="AE10" s="20">
        <v>4.2747363592739687</v>
      </c>
      <c r="AF10" s="20">
        <v>4.7768124793409177</v>
      </c>
      <c r="AG10" s="20">
        <v>4.5755365748565788</v>
      </c>
      <c r="AH10" s="20">
        <v>4.7795092382938442</v>
      </c>
      <c r="AI10" s="20">
        <v>4.940859935862207</v>
      </c>
      <c r="AJ10" s="20">
        <v>5.2624005431815544</v>
      </c>
      <c r="AK10" s="20">
        <v>5.2142863015931322</v>
      </c>
      <c r="AL10" s="20">
        <v>5.2653439967377667</v>
      </c>
      <c r="AM10" s="20">
        <v>5.3453286108940228</v>
      </c>
      <c r="AN10" s="20">
        <v>5.6288800252844506</v>
      </c>
      <c r="AO10" s="20">
        <v>5.4622080517286102</v>
      </c>
      <c r="AP10" s="20">
        <v>5.2261808193619537</v>
      </c>
      <c r="AQ10" s="20">
        <v>5.1590004010860184</v>
      </c>
      <c r="AR10" s="20">
        <v>5.4691407599184245</v>
      </c>
      <c r="AS10" s="20">
        <v>5.2394642834955976</v>
      </c>
      <c r="AT10" s="20">
        <v>5.2759414531625293</v>
      </c>
      <c r="AU10" s="20">
        <v>5.2759414531625293</v>
      </c>
      <c r="AV10" s="20">
        <v>5.2759414531625293</v>
      </c>
      <c r="AW10" s="20">
        <v>5.2759414531625293</v>
      </c>
      <c r="AX10" s="20">
        <v>5.2759414531625293</v>
      </c>
      <c r="AY10" s="20">
        <v>5.2759414531625293</v>
      </c>
    </row>
    <row r="11" spans="1:142" ht="30">
      <c r="A11" s="24" t="s">
        <v>395</v>
      </c>
      <c r="B11" s="24"/>
      <c r="C11" s="24" t="s">
        <v>379</v>
      </c>
      <c r="D11" s="131" t="s">
        <v>380</v>
      </c>
      <c r="E11" s="131" t="s">
        <v>381</v>
      </c>
      <c r="F11" s="24" t="s">
        <v>396</v>
      </c>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row>
    <row r="12" spans="1:142">
      <c r="A12" s="382" t="s">
        <v>397</v>
      </c>
      <c r="B12" s="8" t="s">
        <v>634</v>
      </c>
      <c r="C12" s="8">
        <v>1</v>
      </c>
      <c r="D12" s="18">
        <v>84.08</v>
      </c>
      <c r="E12" s="8">
        <f>D12*C12</f>
        <v>84.08</v>
      </c>
      <c r="F12" s="20">
        <f>E12/$D$4</f>
        <v>0.34762475710092194</v>
      </c>
      <c r="H12" s="8" t="s">
        <v>399</v>
      </c>
      <c r="I12" s="19">
        <f>$F$12*I8</f>
        <v>1.1722837658498526</v>
      </c>
      <c r="J12" s="19">
        <f t="shared" ref="J12:AX12" si="0">$F$12*J8</f>
        <v>1.2474337351086524</v>
      </c>
      <c r="K12" s="19">
        <f>$F$12*K8</f>
        <v>1.1475223898588434</v>
      </c>
      <c r="L12" s="19">
        <f t="shared" si="0"/>
        <v>1.138868766629215</v>
      </c>
      <c r="M12" s="19">
        <f t="shared" si="0"/>
        <v>1.1580742963316262</v>
      </c>
      <c r="N12" s="19">
        <f t="shared" si="0"/>
        <v>1.1167804292855426</v>
      </c>
      <c r="O12" s="19">
        <f t="shared" si="0"/>
        <v>1.1491223936042618</v>
      </c>
      <c r="P12" s="19">
        <f t="shared" si="0"/>
        <v>1.1272943238963213</v>
      </c>
      <c r="Q12" s="19">
        <f t="shared" si="0"/>
        <v>1.0622823637054111</v>
      </c>
      <c r="R12" s="19">
        <f t="shared" si="0"/>
        <v>1.0841512505245532</v>
      </c>
      <c r="S12" s="19">
        <f t="shared" si="0"/>
        <v>1.030482712144958</v>
      </c>
      <c r="T12" s="19">
        <f t="shared" si="0"/>
        <v>1.0687229542619028</v>
      </c>
      <c r="U12" s="19">
        <f t="shared" si="0"/>
        <v>1.0929664417854874</v>
      </c>
      <c r="V12" s="19">
        <f t="shared" si="0"/>
        <v>1.2659492917154984</v>
      </c>
      <c r="W12" s="19">
        <f t="shared" si="0"/>
        <v>1.4114364927857301</v>
      </c>
      <c r="X12" s="19">
        <f t="shared" si="0"/>
        <v>1.350046886015801</v>
      </c>
      <c r="Y12" s="19">
        <f t="shared" si="0"/>
        <v>1.3169592917760193</v>
      </c>
      <c r="Z12" s="19">
        <f t="shared" si="0"/>
        <v>1.3339759355384084</v>
      </c>
      <c r="AA12" s="19">
        <f t="shared" si="0"/>
        <v>1.3567927119689531</v>
      </c>
      <c r="AB12" s="19">
        <f t="shared" si="0"/>
        <v>1.3238243205917153</v>
      </c>
      <c r="AC12" s="19">
        <f t="shared" si="0"/>
        <v>1.3850232511843454</v>
      </c>
      <c r="AD12" s="19">
        <f t="shared" si="0"/>
        <v>1.4138578713523269</v>
      </c>
      <c r="AE12" s="19">
        <f t="shared" si="0"/>
        <v>2.0330025240522764</v>
      </c>
      <c r="AF12" s="19">
        <f t="shared" si="0"/>
        <v>2.3212761069829502</v>
      </c>
      <c r="AG12" s="19">
        <f t="shared" si="0"/>
        <v>2.5086756678186921</v>
      </c>
      <c r="AH12" s="19">
        <f t="shared" si="0"/>
        <v>2.6894391330578076</v>
      </c>
      <c r="AI12" s="19">
        <f t="shared" si="0"/>
        <v>2.649506972917953</v>
      </c>
      <c r="AJ12" s="19">
        <f t="shared" si="0"/>
        <v>2.5086999884520464</v>
      </c>
      <c r="AK12" s="19">
        <f t="shared" si="0"/>
        <v>2.4022694280814605</v>
      </c>
      <c r="AL12" s="19">
        <f t="shared" si="0"/>
        <v>2.4076362008460848</v>
      </c>
      <c r="AM12" s="19">
        <f t="shared" si="0"/>
        <v>2.0947922311459455</v>
      </c>
      <c r="AN12" s="19">
        <f t="shared" si="0"/>
        <v>1.9721215342117788</v>
      </c>
      <c r="AO12" s="19">
        <f t="shared" si="0"/>
        <v>1.9539460892465397</v>
      </c>
      <c r="AP12" s="19">
        <f t="shared" si="0"/>
        <v>1.8472321281096067</v>
      </c>
      <c r="AQ12" s="19">
        <f t="shared" si="0"/>
        <v>1.7945699966884237</v>
      </c>
      <c r="AR12" s="19">
        <f t="shared" si="0"/>
        <v>1.5750667465345587</v>
      </c>
      <c r="AS12" s="19">
        <f t="shared" si="0"/>
        <v>1.5361072425188336</v>
      </c>
      <c r="AT12" s="19">
        <f t="shared" si="0"/>
        <v>1.55784352987104</v>
      </c>
      <c r="AU12" s="19">
        <f t="shared" si="0"/>
        <v>1.4886769320305788</v>
      </c>
      <c r="AV12" s="19">
        <f t="shared" si="0"/>
        <v>1.3935646255503635</v>
      </c>
      <c r="AW12" s="19">
        <f t="shared" si="0"/>
        <v>1.3895578634373058</v>
      </c>
      <c r="AX12" s="19">
        <f t="shared" si="0"/>
        <v>1.3192116344765583</v>
      </c>
      <c r="AY12" s="19">
        <f t="shared" ref="AY12:BN12" si="1">$F$12*AY8</f>
        <v>1.3192116344765583</v>
      </c>
      <c r="AZ12" s="19">
        <f t="shared" si="1"/>
        <v>1.2166866498532267</v>
      </c>
      <c r="BA12" s="19">
        <f t="shared" si="1"/>
        <v>1.2166866498532267</v>
      </c>
      <c r="BB12" s="19">
        <f t="shared" si="1"/>
        <v>1.2166866498532267</v>
      </c>
      <c r="BC12" s="19">
        <f t="shared" si="1"/>
        <v>1.2166866498532267</v>
      </c>
      <c r="BD12" s="19">
        <f t="shared" si="1"/>
        <v>1.2166866498532267</v>
      </c>
      <c r="BE12" s="19">
        <f t="shared" si="1"/>
        <v>1.2166866498532267</v>
      </c>
      <c r="BF12" s="19">
        <f t="shared" si="1"/>
        <v>1.282735353702402</v>
      </c>
      <c r="BG12" s="19">
        <f t="shared" si="1"/>
        <v>1.2062579071401993</v>
      </c>
      <c r="BH12" s="19">
        <f t="shared" si="1"/>
        <v>1.2062579071401993</v>
      </c>
      <c r="BI12" s="19">
        <f t="shared" si="1"/>
        <v>1.2062579071401993</v>
      </c>
      <c r="BJ12" s="19">
        <f t="shared" si="1"/>
        <v>1.2062579071401993</v>
      </c>
      <c r="BK12" s="19">
        <f t="shared" si="1"/>
        <v>1.2062579071401993</v>
      </c>
      <c r="BL12" s="19">
        <f t="shared" si="1"/>
        <v>1.2062579071401993</v>
      </c>
      <c r="BM12" s="19">
        <f t="shared" si="1"/>
        <v>1.1923529168561624</v>
      </c>
      <c r="BN12" s="19">
        <f t="shared" si="1"/>
        <v>1.2132104022822177</v>
      </c>
      <c r="BO12" s="19">
        <f t="shared" ref="BO12:BV12" si="2">$F$12*BO8</f>
        <v>1.2132104022822177</v>
      </c>
      <c r="BP12" s="19">
        <f t="shared" si="2"/>
        <v>1.1645429362880886</v>
      </c>
      <c r="BQ12" s="19">
        <f t="shared" si="2"/>
        <v>1.1645429362880886</v>
      </c>
      <c r="BR12" s="19">
        <f t="shared" si="2"/>
        <v>1.1645429362880886</v>
      </c>
      <c r="BS12" s="19">
        <f t="shared" si="2"/>
        <v>1.1089229751519409</v>
      </c>
      <c r="BT12" s="19">
        <f t="shared" si="2"/>
        <v>1.1089229751519409</v>
      </c>
      <c r="BU12" s="19">
        <f t="shared" si="2"/>
        <v>1.1089229751519409</v>
      </c>
      <c r="BV12" s="19">
        <f t="shared" si="2"/>
        <v>1.1089229751519409</v>
      </c>
      <c r="BW12" s="19">
        <f>$F$12*BW8</f>
        <v>1.1089229751519409</v>
      </c>
      <c r="BX12" s="19">
        <f>$F$12*BX8</f>
        <v>1.1089229751519409</v>
      </c>
      <c r="BY12" s="19">
        <f>$F$12*BY8</f>
        <v>1.1089229751519409</v>
      </c>
      <c r="BZ12" s="19">
        <f>$F$12*BZ8</f>
        <v>1.1263042130069871</v>
      </c>
      <c r="CA12" s="19">
        <f t="shared" ref="CA12:CH12" si="3">$F$12*CA8</f>
        <v>1.1263042130069871</v>
      </c>
      <c r="CB12" s="19">
        <f t="shared" si="3"/>
        <v>1.1263042130069871</v>
      </c>
      <c r="CC12" s="19">
        <f t="shared" si="3"/>
        <v>1.1123992227229502</v>
      </c>
      <c r="CD12" s="19">
        <f t="shared" si="3"/>
        <v>1.1123992227229502</v>
      </c>
      <c r="CE12" s="19">
        <f t="shared" si="3"/>
        <v>1.1123992227229502</v>
      </c>
      <c r="CF12" s="19">
        <f t="shared" si="3"/>
        <v>1.1123992227229502</v>
      </c>
      <c r="CG12" s="19">
        <f t="shared" si="3"/>
        <v>1.1123992227229502</v>
      </c>
      <c r="CH12" s="19">
        <f t="shared" si="3"/>
        <v>1.1123992227229502</v>
      </c>
      <c r="CI12" s="19">
        <f>$F$12*CI8</f>
        <v>1.091541737296895</v>
      </c>
      <c r="CJ12" s="19">
        <f>$F$12*CJ8</f>
        <v>1.1054467275809319</v>
      </c>
      <c r="CK12" s="19">
        <f>$F$12*CK8</f>
        <v>1.1054467275809319</v>
      </c>
      <c r="CL12" s="19">
        <f t="shared" ref="CL12:CQ12" si="4">$F$12*CL8</f>
        <v>1.095017984867904</v>
      </c>
      <c r="CM12" s="19">
        <f t="shared" si="4"/>
        <v>1.095017984867904</v>
      </c>
      <c r="CN12" s="19">
        <f t="shared" si="4"/>
        <v>1.095017984867904</v>
      </c>
      <c r="CO12" s="19">
        <f t="shared" si="4"/>
        <v>1.095017984867904</v>
      </c>
      <c r="CP12" s="19">
        <f t="shared" si="4"/>
        <v>1.095017984867904</v>
      </c>
      <c r="CQ12" s="19">
        <f t="shared" si="4"/>
        <v>1.095017984867904</v>
      </c>
      <c r="CR12" s="19">
        <f>$F$12*CR8</f>
        <v>1.095017984867904</v>
      </c>
      <c r="CS12" s="19">
        <f>$F$12*CS8</f>
        <v>1.0567792615868028</v>
      </c>
      <c r="CT12" s="19">
        <f t="shared" ref="CT12:DX12" si="5">$F$12*CT8</f>
        <v>1.0567792615868028</v>
      </c>
      <c r="CU12" s="19">
        <f t="shared" si="5"/>
        <v>1.0567792615868028</v>
      </c>
      <c r="CV12" s="19">
        <f t="shared" si="5"/>
        <v>1.0567792615868028</v>
      </c>
      <c r="CW12" s="19">
        <f t="shared" si="5"/>
        <v>1.0498267664447842</v>
      </c>
      <c r="CX12" s="19">
        <f t="shared" si="5"/>
        <v>1.0498267664447842</v>
      </c>
      <c r="CY12" s="19">
        <f t="shared" si="5"/>
        <v>1.0776367470128581</v>
      </c>
      <c r="CZ12" s="19">
        <f t="shared" si="5"/>
        <v>1.0776367470128581</v>
      </c>
      <c r="DA12" s="19">
        <f t="shared" si="5"/>
        <v>1.0776367470128581</v>
      </c>
      <c r="DB12" s="19">
        <f t="shared" si="5"/>
        <v>1.0776367470128581</v>
      </c>
      <c r="DC12" s="19">
        <f t="shared" si="5"/>
        <v>1.0776367470128581</v>
      </c>
      <c r="DD12" s="19">
        <f t="shared" si="5"/>
        <v>1.0776367470128581</v>
      </c>
      <c r="DE12" s="19">
        <f t="shared" si="5"/>
        <v>1.0776367470128581</v>
      </c>
      <c r="DF12" s="19">
        <f t="shared" si="5"/>
        <v>1.0776367470128581</v>
      </c>
      <c r="DG12" s="19">
        <f t="shared" si="5"/>
        <v>1.0776367470128581</v>
      </c>
      <c r="DH12" s="19">
        <f t="shared" si="5"/>
        <v>1.0741604994418488</v>
      </c>
      <c r="DI12" s="19">
        <f t="shared" si="5"/>
        <v>1.0741604994418488</v>
      </c>
      <c r="DJ12" s="19">
        <f t="shared" si="5"/>
        <v>1.0741604994418488</v>
      </c>
      <c r="DK12" s="19">
        <f t="shared" si="5"/>
        <v>1.0741604994418488</v>
      </c>
      <c r="DL12" s="19">
        <f t="shared" si="5"/>
        <v>1.0741604994418488</v>
      </c>
      <c r="DM12" s="19">
        <f t="shared" si="5"/>
        <v>1.0776367470128581</v>
      </c>
      <c r="DN12" s="19">
        <f t="shared" si="5"/>
        <v>1.0776367470128581</v>
      </c>
      <c r="DO12" s="19">
        <f t="shared" si="5"/>
        <v>1.0776367470128581</v>
      </c>
      <c r="DP12" s="19">
        <f t="shared" si="5"/>
        <v>1.0776367470128581</v>
      </c>
      <c r="DQ12" s="19">
        <f t="shared" si="5"/>
        <v>1.0567792615868028</v>
      </c>
      <c r="DR12" s="19">
        <f t="shared" si="5"/>
        <v>1.0567792615868028</v>
      </c>
      <c r="DS12" s="19">
        <f t="shared" si="5"/>
        <v>1.0463505188737749</v>
      </c>
      <c r="DT12" s="19">
        <f t="shared" si="5"/>
        <v>0</v>
      </c>
      <c r="DU12" s="19">
        <f t="shared" si="5"/>
        <v>0</v>
      </c>
      <c r="DV12" s="19">
        <f t="shared" si="5"/>
        <v>0</v>
      </c>
      <c r="DW12" s="19">
        <f t="shared" si="5"/>
        <v>0</v>
      </c>
      <c r="DX12" s="19">
        <f t="shared" si="5"/>
        <v>0</v>
      </c>
    </row>
    <row r="13" spans="1:142" ht="30">
      <c r="A13" s="383"/>
      <c r="B13" s="132" t="s">
        <v>635</v>
      </c>
      <c r="C13" s="8">
        <v>1</v>
      </c>
      <c r="D13" s="18">
        <v>79.900000000000006</v>
      </c>
      <c r="E13" s="8">
        <f>D13*C13</f>
        <v>79.900000000000006</v>
      </c>
      <c r="F13" s="81">
        <v>0.4</v>
      </c>
      <c r="H13" s="26"/>
      <c r="I13" s="19">
        <f>$F$13*I9</f>
        <v>1.3750628594980385</v>
      </c>
      <c r="J13" s="19">
        <f t="shared" ref="J13:AX13" si="6">$F$13*J9</f>
        <v>1.4601906996601608</v>
      </c>
      <c r="K13" s="19">
        <f t="shared" si="6"/>
        <v>1.4550646317211817</v>
      </c>
      <c r="L13" s="19">
        <f t="shared" si="6"/>
        <v>1.4705604263736458</v>
      </c>
      <c r="M13" s="19">
        <f t="shared" si="6"/>
        <v>1.5210578905131245</v>
      </c>
      <c r="N13" s="19">
        <f t="shared" si="6"/>
        <v>1.5299522158541032</v>
      </c>
      <c r="O13" s="19">
        <f t="shared" si="6"/>
        <v>1.5488650354339049</v>
      </c>
      <c r="P13" s="19">
        <f t="shared" si="6"/>
        <v>1.5372272511178788</v>
      </c>
      <c r="Q13" s="19">
        <f t="shared" si="6"/>
        <v>1.5512161117468315</v>
      </c>
      <c r="R13" s="19">
        <f t="shared" si="6"/>
        <v>1.5217447827103845</v>
      </c>
      <c r="S13" s="19">
        <f t="shared" si="6"/>
        <v>1.5421967659190157</v>
      </c>
      <c r="T13" s="19">
        <f t="shared" si="6"/>
        <v>1.5330312788263503</v>
      </c>
      <c r="U13" s="19">
        <f t="shared" si="6"/>
        <v>1.5209448949339535</v>
      </c>
      <c r="V13" s="19">
        <f t="shared" si="6"/>
        <v>1.5273325794970609</v>
      </c>
      <c r="W13" s="19">
        <f t="shared" si="6"/>
        <v>1.5254572845567127</v>
      </c>
      <c r="X13" s="19">
        <f t="shared" si="6"/>
        <v>1.537578846762794</v>
      </c>
      <c r="Y13" s="19">
        <f t="shared" si="6"/>
        <v>1.5360171469688493</v>
      </c>
      <c r="Z13" s="19">
        <f t="shared" si="6"/>
        <v>1.5334722192142041</v>
      </c>
      <c r="AA13" s="19">
        <f t="shared" si="6"/>
        <v>1.5317936440228526</v>
      </c>
      <c r="AB13" s="19">
        <f t="shared" si="6"/>
        <v>1.5524878854882307</v>
      </c>
      <c r="AC13" s="19">
        <f t="shared" si="6"/>
        <v>1.5667532500283472</v>
      </c>
      <c r="AD13" s="19">
        <f t="shared" si="6"/>
        <v>1.6331663333107018</v>
      </c>
      <c r="AE13" s="19">
        <f t="shared" si="6"/>
        <v>1.7474242227735761</v>
      </c>
      <c r="AF13" s="19">
        <f t="shared" si="6"/>
        <v>1.6812302452525441</v>
      </c>
      <c r="AG13" s="19">
        <f t="shared" si="6"/>
        <v>1.9315764908913473</v>
      </c>
      <c r="AH13" s="19">
        <f t="shared" si="6"/>
        <v>1.9512728176363443</v>
      </c>
      <c r="AI13" s="19">
        <f t="shared" si="6"/>
        <v>2.0572404427936894</v>
      </c>
      <c r="AJ13" s="19">
        <f t="shared" si="6"/>
        <v>2.2422978897394543</v>
      </c>
      <c r="AK13" s="19">
        <f t="shared" si="6"/>
        <v>2.3536381197681906</v>
      </c>
      <c r="AL13" s="19">
        <f t="shared" si="6"/>
        <v>2.4087375501838912</v>
      </c>
      <c r="AM13" s="19">
        <f t="shared" si="6"/>
        <v>2.4128739681120552</v>
      </c>
      <c r="AN13" s="19">
        <f t="shared" si="6"/>
        <v>2.4395816775428965</v>
      </c>
      <c r="AO13" s="19">
        <f t="shared" si="6"/>
        <v>2.4894649012043879</v>
      </c>
      <c r="AP13" s="19">
        <f t="shared" si="6"/>
        <v>2.2929529727439628</v>
      </c>
      <c r="AQ13" s="19">
        <f t="shared" si="6"/>
        <v>2.1947561855520377</v>
      </c>
      <c r="AR13" s="19">
        <f t="shared" si="6"/>
        <v>2.3796922170679626</v>
      </c>
      <c r="AS13" s="19">
        <f t="shared" si="6"/>
        <v>2.2502323264395439</v>
      </c>
      <c r="AT13" s="19">
        <f t="shared" si="6"/>
        <v>2.4278066722568283</v>
      </c>
      <c r="AU13" s="19">
        <f t="shared" si="6"/>
        <v>2.4239999999999999</v>
      </c>
      <c r="AV13" s="19">
        <f t="shared" si="6"/>
        <v>2.2680000000000002</v>
      </c>
      <c r="AW13" s="19">
        <f t="shared" si="6"/>
        <v>2.0880000000000001</v>
      </c>
      <c r="AX13" s="19">
        <f t="shared" si="6"/>
        <v>1.9800000000000002</v>
      </c>
      <c r="AY13" s="19">
        <f t="shared" ref="AY13:BN13" si="7">$F$13*AY9</f>
        <v>1.9800000000000002</v>
      </c>
      <c r="AZ13" s="19">
        <f t="shared" si="7"/>
        <v>1.9800000000000002</v>
      </c>
      <c r="BA13" s="19">
        <f t="shared" si="7"/>
        <v>1.9039999999999999</v>
      </c>
      <c r="BB13" s="19">
        <f t="shared" si="7"/>
        <v>1.6</v>
      </c>
      <c r="BC13" s="19">
        <f t="shared" si="7"/>
        <v>1.0960000000000001</v>
      </c>
      <c r="BD13" s="19">
        <f t="shared" si="7"/>
        <v>1.0960000000000001</v>
      </c>
      <c r="BE13" s="19">
        <f t="shared" si="7"/>
        <v>1.0960000000000001</v>
      </c>
      <c r="BF13" s="19">
        <f t="shared" si="7"/>
        <v>1.04</v>
      </c>
      <c r="BG13" s="19">
        <f t="shared" si="7"/>
        <v>1.04</v>
      </c>
      <c r="BH13" s="19">
        <f t="shared" si="7"/>
        <v>1.04</v>
      </c>
      <c r="BI13" s="19">
        <f t="shared" si="7"/>
        <v>1.1160000000000001</v>
      </c>
      <c r="BJ13" s="19">
        <f t="shared" si="7"/>
        <v>1.04</v>
      </c>
      <c r="BK13" s="19">
        <f t="shared" si="7"/>
        <v>1.04</v>
      </c>
      <c r="BL13" s="19">
        <f t="shared" si="7"/>
        <v>1.04</v>
      </c>
      <c r="BM13" s="19">
        <f t="shared" si="7"/>
        <v>1.0960000000000001</v>
      </c>
      <c r="BN13" s="19">
        <f t="shared" si="7"/>
        <v>1.0960000000000001</v>
      </c>
      <c r="BO13" s="19">
        <f t="shared" ref="BO13:BV13" si="8">$F$13*BO9</f>
        <v>1.0960000000000001</v>
      </c>
      <c r="BP13" s="19">
        <f t="shared" si="8"/>
        <v>1.0960000000000001</v>
      </c>
      <c r="BQ13" s="19">
        <f t="shared" si="8"/>
        <v>1.0960000000000001</v>
      </c>
      <c r="BR13" s="19">
        <f t="shared" si="8"/>
        <v>1.0960000000000001</v>
      </c>
      <c r="BS13" s="19">
        <f t="shared" si="8"/>
        <v>0.91999999999999993</v>
      </c>
      <c r="BT13" s="19">
        <f t="shared" si="8"/>
        <v>0.91999999999999993</v>
      </c>
      <c r="BU13" s="19">
        <f t="shared" si="8"/>
        <v>1.1199999999999999</v>
      </c>
      <c r="BV13" s="19">
        <f t="shared" si="8"/>
        <v>1.1199999999999999</v>
      </c>
      <c r="BW13" s="19">
        <f>$F$13*BW9</f>
        <v>1.1000000000000001</v>
      </c>
      <c r="BX13" s="19">
        <f>$F$13*BX9</f>
        <v>1.1000000000000001</v>
      </c>
      <c r="BY13" s="19">
        <f>$F$13*BY9</f>
        <v>1.1000000000000001</v>
      </c>
      <c r="BZ13" s="19">
        <f>$F$13*BZ9</f>
        <v>1.1000000000000001</v>
      </c>
      <c r="CA13" s="19">
        <f t="shared" ref="CA13:CH13" si="9">$F$13*CA9</f>
        <v>1.1000000000000001</v>
      </c>
      <c r="CB13" s="19">
        <f t="shared" si="9"/>
        <v>1.1000000000000001</v>
      </c>
      <c r="CC13" s="19">
        <f t="shared" si="9"/>
        <v>1.1000000000000001</v>
      </c>
      <c r="CD13" s="19">
        <f t="shared" si="9"/>
        <v>1.1000000000000001</v>
      </c>
      <c r="CE13" s="19">
        <f t="shared" si="9"/>
        <v>1.1000000000000001</v>
      </c>
      <c r="CF13" s="19">
        <f t="shared" si="9"/>
        <v>1.1000000000000001</v>
      </c>
      <c r="CG13" s="19">
        <f t="shared" si="9"/>
        <v>1.1000000000000001</v>
      </c>
      <c r="CH13" s="19">
        <f t="shared" si="9"/>
        <v>1.1000000000000001</v>
      </c>
      <c r="CI13" s="19">
        <f>$F$13*CI9</f>
        <v>0.96</v>
      </c>
      <c r="CJ13" s="19">
        <f>$F$13*CJ9</f>
        <v>0.91199999999999992</v>
      </c>
      <c r="CK13" s="19">
        <f>$F$13*CK9</f>
        <v>0.96</v>
      </c>
      <c r="CL13" s="19">
        <f t="shared" ref="CL13:CQ13" si="10">$F$13*CL9</f>
        <v>0.90800000000000003</v>
      </c>
      <c r="CM13" s="19">
        <f t="shared" si="10"/>
        <v>0.90800000000000003</v>
      </c>
      <c r="CN13" s="19">
        <f t="shared" si="10"/>
        <v>0.90800000000000003</v>
      </c>
      <c r="CO13" s="19">
        <f t="shared" si="10"/>
        <v>0.90800000000000003</v>
      </c>
      <c r="CP13" s="19">
        <f t="shared" si="10"/>
        <v>0.90800000000000003</v>
      </c>
      <c r="CQ13" s="19">
        <f t="shared" si="10"/>
        <v>0.90800000000000003</v>
      </c>
      <c r="CR13" s="19">
        <f>$F$13*CR9</f>
        <v>0.90800000000000003</v>
      </c>
      <c r="CS13" s="19">
        <f>$F$13*CS9</f>
        <v>0.91999999999999993</v>
      </c>
      <c r="CT13" s="19">
        <f t="shared" ref="CT13:DX13" si="11">$F$13*CT9</f>
        <v>0.91999999999999993</v>
      </c>
      <c r="CU13" s="19">
        <f t="shared" si="11"/>
        <v>0.91999999999999993</v>
      </c>
      <c r="CV13" s="19">
        <f t="shared" si="11"/>
        <v>0.91999999999999993</v>
      </c>
      <c r="CW13" s="19">
        <f t="shared" si="11"/>
        <v>0.88000000000000012</v>
      </c>
      <c r="CX13" s="19">
        <f t="shared" si="11"/>
        <v>0.88000000000000012</v>
      </c>
      <c r="CY13" s="19">
        <f t="shared" si="11"/>
        <v>0.88000000000000012</v>
      </c>
      <c r="CZ13" s="19">
        <f t="shared" si="11"/>
        <v>0.88000000000000012</v>
      </c>
      <c r="DA13" s="19">
        <f t="shared" si="11"/>
        <v>0.88000000000000012</v>
      </c>
      <c r="DB13" s="19">
        <f t="shared" si="11"/>
        <v>0.88000000000000012</v>
      </c>
      <c r="DC13" s="19">
        <f t="shared" si="11"/>
        <v>0.92400000000000004</v>
      </c>
      <c r="DD13" s="19">
        <f t="shared" si="11"/>
        <v>0.92400000000000004</v>
      </c>
      <c r="DE13" s="19">
        <f t="shared" si="11"/>
        <v>0.92400000000000004</v>
      </c>
      <c r="DF13" s="19">
        <f t="shared" si="11"/>
        <v>0.92400000000000004</v>
      </c>
      <c r="DG13" s="19">
        <f t="shared" si="11"/>
        <v>0.92400000000000004</v>
      </c>
      <c r="DH13" s="19">
        <f t="shared" si="11"/>
        <v>0.91999999999999993</v>
      </c>
      <c r="DI13" s="19">
        <f t="shared" si="11"/>
        <v>0.91999999999999993</v>
      </c>
      <c r="DJ13" s="19">
        <f t="shared" si="11"/>
        <v>0.91999999999999993</v>
      </c>
      <c r="DK13" s="19">
        <f t="shared" si="11"/>
        <v>0.91999999999999993</v>
      </c>
      <c r="DL13" s="19">
        <f t="shared" si="11"/>
        <v>0.91999999999999993</v>
      </c>
      <c r="DM13" s="19">
        <f t="shared" si="11"/>
        <v>1.04</v>
      </c>
      <c r="DN13" s="19">
        <f t="shared" si="11"/>
        <v>1.04</v>
      </c>
      <c r="DO13" s="19">
        <f t="shared" si="11"/>
        <v>1.04</v>
      </c>
      <c r="DP13" s="19">
        <f t="shared" si="11"/>
        <v>1.04</v>
      </c>
      <c r="DQ13" s="19">
        <f t="shared" si="11"/>
        <v>1.04</v>
      </c>
      <c r="DR13" s="19">
        <f t="shared" si="11"/>
        <v>1.04</v>
      </c>
      <c r="DS13" s="19">
        <f t="shared" si="11"/>
        <v>0.91199999999999992</v>
      </c>
      <c r="DT13" s="19">
        <f t="shared" si="11"/>
        <v>0</v>
      </c>
      <c r="DU13" s="19">
        <f t="shared" si="11"/>
        <v>0</v>
      </c>
      <c r="DV13" s="19">
        <f t="shared" si="11"/>
        <v>0</v>
      </c>
      <c r="DW13" s="19">
        <f t="shared" si="11"/>
        <v>0</v>
      </c>
      <c r="DX13" s="19">
        <f t="shared" si="11"/>
        <v>0</v>
      </c>
    </row>
    <row r="14" spans="1:142" s="80" customFormat="1">
      <c r="A14" s="80" t="s">
        <v>400</v>
      </c>
      <c r="H14" s="8"/>
      <c r="I14" s="121">
        <f>SUM(I12:I13)</f>
        <v>2.5473466253478909</v>
      </c>
      <c r="J14" s="121">
        <f t="shared" ref="J14:AX14" si="12">SUM(J12:J13)</f>
        <v>2.707624434768813</v>
      </c>
      <c r="K14" s="121">
        <f t="shared" si="12"/>
        <v>2.6025870215800251</v>
      </c>
      <c r="L14" s="121">
        <f t="shared" si="12"/>
        <v>2.6094291930028608</v>
      </c>
      <c r="M14" s="121">
        <f t="shared" si="12"/>
        <v>2.6791321868447504</v>
      </c>
      <c r="N14" s="121">
        <f t="shared" si="12"/>
        <v>2.6467326451396458</v>
      </c>
      <c r="O14" s="121">
        <f t="shared" si="12"/>
        <v>2.6979874290381667</v>
      </c>
      <c r="P14" s="121">
        <f t="shared" si="12"/>
        <v>2.6645215750142004</v>
      </c>
      <c r="Q14" s="121">
        <f t="shared" si="12"/>
        <v>2.6134984754522428</v>
      </c>
      <c r="R14" s="121">
        <f t="shared" si="12"/>
        <v>2.6058960332349379</v>
      </c>
      <c r="S14" s="121">
        <f t="shared" si="12"/>
        <v>2.5726794780639737</v>
      </c>
      <c r="T14" s="121">
        <f t="shared" si="12"/>
        <v>2.6017542330882533</v>
      </c>
      <c r="U14" s="121">
        <f t="shared" si="12"/>
        <v>2.6139113367194406</v>
      </c>
      <c r="V14" s="121">
        <f t="shared" si="12"/>
        <v>2.7932818712125593</v>
      </c>
      <c r="W14" s="121">
        <f t="shared" si="12"/>
        <v>2.9368937773424428</v>
      </c>
      <c r="X14" s="121">
        <f t="shared" si="12"/>
        <v>2.887625732778595</v>
      </c>
      <c r="Y14" s="121">
        <f t="shared" si="12"/>
        <v>2.8529764387448688</v>
      </c>
      <c r="Z14" s="121">
        <f t="shared" si="12"/>
        <v>2.8674481547526125</v>
      </c>
      <c r="AA14" s="121">
        <f t="shared" si="12"/>
        <v>2.8885863559918059</v>
      </c>
      <c r="AB14" s="121">
        <f t="shared" si="12"/>
        <v>2.876312206079946</v>
      </c>
      <c r="AC14" s="121">
        <f t="shared" si="12"/>
        <v>2.9517765012126924</v>
      </c>
      <c r="AD14" s="121">
        <f t="shared" si="12"/>
        <v>3.0470242046630287</v>
      </c>
      <c r="AE14" s="121">
        <f t="shared" si="12"/>
        <v>3.7804267468258526</v>
      </c>
      <c r="AF14" s="121">
        <f t="shared" si="12"/>
        <v>4.0025063522354944</v>
      </c>
      <c r="AG14" s="121">
        <f t="shared" si="12"/>
        <v>4.4402521587100399</v>
      </c>
      <c r="AH14" s="121">
        <f t="shared" si="12"/>
        <v>4.6407119506941523</v>
      </c>
      <c r="AI14" s="121">
        <f t="shared" si="12"/>
        <v>4.7067474157116429</v>
      </c>
      <c r="AJ14" s="121">
        <f t="shared" si="12"/>
        <v>4.7509978781915008</v>
      </c>
      <c r="AK14" s="121">
        <f t="shared" si="12"/>
        <v>4.7559075478496506</v>
      </c>
      <c r="AL14" s="121">
        <f t="shared" si="12"/>
        <v>4.8163737510299764</v>
      </c>
      <c r="AM14" s="121">
        <f t="shared" si="12"/>
        <v>4.5076661992580007</v>
      </c>
      <c r="AN14" s="121">
        <f t="shared" si="12"/>
        <v>4.4117032117546753</v>
      </c>
      <c r="AO14" s="121">
        <f t="shared" si="12"/>
        <v>4.4434109904509276</v>
      </c>
      <c r="AP14" s="121">
        <f t="shared" si="12"/>
        <v>4.1401851008535697</v>
      </c>
      <c r="AQ14" s="121">
        <f t="shared" si="12"/>
        <v>3.9893261822404611</v>
      </c>
      <c r="AR14" s="121">
        <f t="shared" si="12"/>
        <v>3.9547589636025213</v>
      </c>
      <c r="AS14" s="121">
        <f t="shared" si="12"/>
        <v>3.7863395689583772</v>
      </c>
      <c r="AT14" s="121">
        <f t="shared" si="12"/>
        <v>3.9856502021278684</v>
      </c>
      <c r="AU14" s="121">
        <f t="shared" si="12"/>
        <v>3.9126769320305788</v>
      </c>
      <c r="AV14" s="121">
        <f t="shared" si="12"/>
        <v>3.6615646255503638</v>
      </c>
      <c r="AW14" s="121">
        <f t="shared" si="12"/>
        <v>3.4775578634373057</v>
      </c>
      <c r="AX14" s="121">
        <f t="shared" si="12"/>
        <v>3.2992116344765585</v>
      </c>
      <c r="AY14" s="121">
        <f t="shared" ref="AY14:BN14" si="13">SUM(AY12:AY13)</f>
        <v>3.2992116344765585</v>
      </c>
      <c r="AZ14" s="121">
        <f t="shared" si="13"/>
        <v>3.1966866498532269</v>
      </c>
      <c r="BA14" s="121">
        <f t="shared" si="13"/>
        <v>3.1206866498532264</v>
      </c>
      <c r="BB14" s="121">
        <f t="shared" si="13"/>
        <v>2.816686649853227</v>
      </c>
      <c r="BC14" s="121">
        <f t="shared" si="13"/>
        <v>2.3126866498532266</v>
      </c>
      <c r="BD14" s="121">
        <f t="shared" si="13"/>
        <v>2.3126866498532266</v>
      </c>
      <c r="BE14" s="121">
        <f t="shared" si="13"/>
        <v>2.3126866498532266</v>
      </c>
      <c r="BF14" s="121">
        <f t="shared" si="13"/>
        <v>2.3227353537024023</v>
      </c>
      <c r="BG14" s="121">
        <f t="shared" si="13"/>
        <v>2.2462579071401994</v>
      </c>
      <c r="BH14" s="121">
        <f t="shared" si="13"/>
        <v>2.2462579071401994</v>
      </c>
      <c r="BI14" s="121">
        <f t="shared" si="13"/>
        <v>2.3222579071401994</v>
      </c>
      <c r="BJ14" s="121">
        <f t="shared" si="13"/>
        <v>2.2462579071401994</v>
      </c>
      <c r="BK14" s="121">
        <f t="shared" si="13"/>
        <v>2.2462579071401994</v>
      </c>
      <c r="BL14" s="121">
        <f t="shared" si="13"/>
        <v>2.2462579071401994</v>
      </c>
      <c r="BM14" s="121">
        <f t="shared" si="13"/>
        <v>2.2883529168561623</v>
      </c>
      <c r="BN14" s="121">
        <f t="shared" si="13"/>
        <v>2.3092104022822175</v>
      </c>
      <c r="BO14" s="121">
        <f t="shared" ref="BO14:BV14" si="14">SUM(BO12:BO13)</f>
        <v>2.3092104022822175</v>
      </c>
      <c r="BP14" s="121">
        <f t="shared" si="14"/>
        <v>2.2605429362880889</v>
      </c>
      <c r="BQ14" s="121">
        <f t="shared" si="14"/>
        <v>2.2605429362880889</v>
      </c>
      <c r="BR14" s="121">
        <f t="shared" si="14"/>
        <v>2.2605429362880889</v>
      </c>
      <c r="BS14" s="121">
        <f t="shared" si="14"/>
        <v>2.0289229751519411</v>
      </c>
      <c r="BT14" s="121">
        <f t="shared" si="14"/>
        <v>2.0289229751519411</v>
      </c>
      <c r="BU14" s="121">
        <f t="shared" si="14"/>
        <v>2.2289229751519408</v>
      </c>
      <c r="BV14" s="121">
        <f t="shared" si="14"/>
        <v>2.2289229751519408</v>
      </c>
      <c r="BW14" s="121">
        <f>SUM(BW12:BW13)</f>
        <v>2.2089229751519408</v>
      </c>
      <c r="BX14" s="121">
        <f>SUM(BX12:BX13)</f>
        <v>2.2089229751519408</v>
      </c>
      <c r="BY14" s="121">
        <f>SUM(BY12:BY13)</f>
        <v>2.2089229751519408</v>
      </c>
      <c r="BZ14" s="121">
        <f>SUM(BZ12:BZ13)</f>
        <v>2.226304213006987</v>
      </c>
      <c r="CA14" s="121">
        <f t="shared" ref="CA14:CH14" si="15">SUM(CA12:CA13)</f>
        <v>2.226304213006987</v>
      </c>
      <c r="CB14" s="121">
        <f t="shared" si="15"/>
        <v>2.226304213006987</v>
      </c>
      <c r="CC14" s="121">
        <f t="shared" si="15"/>
        <v>2.2123992227229503</v>
      </c>
      <c r="CD14" s="121">
        <f t="shared" si="15"/>
        <v>2.2123992227229503</v>
      </c>
      <c r="CE14" s="121">
        <f t="shared" si="15"/>
        <v>2.2123992227229503</v>
      </c>
      <c r="CF14" s="121">
        <f t="shared" si="15"/>
        <v>2.2123992227229503</v>
      </c>
      <c r="CG14" s="121">
        <f t="shared" si="15"/>
        <v>2.2123992227229503</v>
      </c>
      <c r="CH14" s="121">
        <f t="shared" si="15"/>
        <v>2.2123992227229503</v>
      </c>
      <c r="CI14" s="121">
        <f>SUM(CI12:CI13)</f>
        <v>2.0515417372968949</v>
      </c>
      <c r="CJ14" s="121">
        <f>SUM(CJ12:CJ13)</f>
        <v>2.017446727580932</v>
      </c>
      <c r="CK14" s="121">
        <f>SUM(CK12:CK13)</f>
        <v>2.0654467275809321</v>
      </c>
      <c r="CL14" s="121">
        <f t="shared" ref="CL14:CQ14" si="16">SUM(CL12:CL13)</f>
        <v>2.0030179848679039</v>
      </c>
      <c r="CM14" s="121">
        <f t="shared" si="16"/>
        <v>2.0030179848679039</v>
      </c>
      <c r="CN14" s="121">
        <f t="shared" si="16"/>
        <v>2.0030179848679039</v>
      </c>
      <c r="CO14" s="121">
        <f t="shared" si="16"/>
        <v>2.0030179848679039</v>
      </c>
      <c r="CP14" s="121">
        <f t="shared" si="16"/>
        <v>2.0030179848679039</v>
      </c>
      <c r="CQ14" s="121">
        <f t="shared" si="16"/>
        <v>2.0030179848679039</v>
      </c>
      <c r="CR14" s="121">
        <f>SUM(CR12:CR13)</f>
        <v>2.0030179848679039</v>
      </c>
      <c r="CS14" s="121">
        <f>SUM(CS12:CS13)</f>
        <v>1.9767792615868027</v>
      </c>
      <c r="CT14" s="121">
        <f t="shared" ref="CT14:DX14" si="17">SUM(CT12:CT13)</f>
        <v>1.9767792615868027</v>
      </c>
      <c r="CU14" s="121">
        <f t="shared" si="17"/>
        <v>1.9767792615868027</v>
      </c>
      <c r="CV14" s="121">
        <f t="shared" si="17"/>
        <v>1.9767792615868027</v>
      </c>
      <c r="CW14" s="121">
        <f t="shared" si="17"/>
        <v>1.9298267664447843</v>
      </c>
      <c r="CX14" s="121">
        <f t="shared" si="17"/>
        <v>1.9298267664447843</v>
      </c>
      <c r="CY14" s="121">
        <f t="shared" si="17"/>
        <v>1.9576367470128582</v>
      </c>
      <c r="CZ14" s="121">
        <f t="shared" si="17"/>
        <v>1.9576367470128582</v>
      </c>
      <c r="DA14" s="121">
        <f t="shared" si="17"/>
        <v>1.9576367470128582</v>
      </c>
      <c r="DB14" s="121">
        <f t="shared" si="17"/>
        <v>1.9576367470128582</v>
      </c>
      <c r="DC14" s="121">
        <f t="shared" si="17"/>
        <v>2.0016367470128582</v>
      </c>
      <c r="DD14" s="121">
        <f t="shared" si="17"/>
        <v>2.0016367470128582</v>
      </c>
      <c r="DE14" s="121">
        <f t="shared" si="17"/>
        <v>2.0016367470128582</v>
      </c>
      <c r="DF14" s="121">
        <f t="shared" si="17"/>
        <v>2.0016367470128582</v>
      </c>
      <c r="DG14" s="121">
        <f t="shared" si="17"/>
        <v>2.0016367470128582</v>
      </c>
      <c r="DH14" s="121">
        <f t="shared" si="17"/>
        <v>1.9941604994418487</v>
      </c>
      <c r="DI14" s="121">
        <f t="shared" si="17"/>
        <v>1.9941604994418487</v>
      </c>
      <c r="DJ14" s="121">
        <f t="shared" si="17"/>
        <v>1.9941604994418487</v>
      </c>
      <c r="DK14" s="121">
        <f t="shared" si="17"/>
        <v>1.9941604994418487</v>
      </c>
      <c r="DL14" s="121">
        <f t="shared" si="17"/>
        <v>1.9941604994418487</v>
      </c>
      <c r="DM14" s="121">
        <f t="shared" si="17"/>
        <v>2.1176367470128579</v>
      </c>
      <c r="DN14" s="121">
        <f t="shared" si="17"/>
        <v>2.1176367470128579</v>
      </c>
      <c r="DO14" s="121">
        <f t="shared" si="17"/>
        <v>2.1176367470128579</v>
      </c>
      <c r="DP14" s="121">
        <f t="shared" si="17"/>
        <v>2.1176367470128579</v>
      </c>
      <c r="DQ14" s="121">
        <f t="shared" si="17"/>
        <v>2.0967792615868026</v>
      </c>
      <c r="DR14" s="121">
        <f t="shared" si="17"/>
        <v>2.0967792615868026</v>
      </c>
      <c r="DS14" s="121">
        <f t="shared" si="17"/>
        <v>1.9583505188737749</v>
      </c>
      <c r="DT14" s="121">
        <f t="shared" si="17"/>
        <v>0</v>
      </c>
      <c r="DU14" s="121">
        <f t="shared" si="17"/>
        <v>0</v>
      </c>
      <c r="DV14" s="121">
        <f t="shared" si="17"/>
        <v>0</v>
      </c>
      <c r="DW14" s="121">
        <f t="shared" si="17"/>
        <v>0</v>
      </c>
      <c r="DX14" s="121">
        <f t="shared" si="17"/>
        <v>0</v>
      </c>
    </row>
    <row r="15" spans="1:142">
      <c r="A15" s="8" t="s">
        <v>636</v>
      </c>
      <c r="H15" s="8" t="s">
        <v>429</v>
      </c>
      <c r="I15" s="26"/>
      <c r="J15" s="26"/>
      <c r="K15" s="26"/>
      <c r="L15" s="26"/>
      <c r="M15" s="26"/>
      <c r="N15" s="146">
        <v>7.7</v>
      </c>
      <c r="O15" s="147">
        <v>5.0999999999999996</v>
      </c>
      <c r="P15" s="26"/>
      <c r="Q15" s="42">
        <v>7.29</v>
      </c>
      <c r="R15" s="19">
        <v>4.8</v>
      </c>
      <c r="S15" s="26"/>
      <c r="T15" s="48">
        <v>5.54</v>
      </c>
      <c r="U15" s="48">
        <v>5.38</v>
      </c>
      <c r="V15" s="48">
        <v>10.09</v>
      </c>
      <c r="X15" s="20">
        <v>6.1</v>
      </c>
      <c r="AQ15" s="8">
        <v>7.43</v>
      </c>
      <c r="AV15" s="133"/>
    </row>
    <row r="16" spans="1:142" s="28" customFormat="1">
      <c r="H16" s="28" t="s">
        <v>406</v>
      </c>
      <c r="N16" s="29">
        <f>N15-N14</f>
        <v>5.0532673548603544</v>
      </c>
      <c r="O16" s="29">
        <f>O15-O14</f>
        <v>2.402012570961833</v>
      </c>
      <c r="Q16" s="89">
        <f>Q15-Q14</f>
        <v>4.6765015245477572</v>
      </c>
      <c r="R16" s="148">
        <f>R15-R14</f>
        <v>2.1941039667650619</v>
      </c>
      <c r="T16" s="89">
        <f>T15-T14</f>
        <v>2.9382457669117468</v>
      </c>
      <c r="U16" s="89">
        <f>U15-U14</f>
        <v>2.7660886632805592</v>
      </c>
      <c r="V16" s="89">
        <f>V15-V14</f>
        <v>7.2967181287874405</v>
      </c>
      <c r="X16" s="29">
        <f>X15-X14</f>
        <v>3.2123742672214046</v>
      </c>
      <c r="AQ16" s="29">
        <f>AQ15-AQ14</f>
        <v>3.4406738177595386</v>
      </c>
      <c r="AT16" s="149"/>
      <c r="AU16" s="29"/>
    </row>
    <row r="18" spans="8:128" ht="15" thickBot="1"/>
    <row r="19" spans="8:128" ht="15" thickBot="1">
      <c r="H19" s="150" t="s">
        <v>407</v>
      </c>
      <c r="I19" s="151">
        <f>2.19+I14</f>
        <v>4.7373466253478913</v>
      </c>
      <c r="J19" s="151">
        <f t="shared" ref="J19:AX19" si="18">2.19+J14</f>
        <v>4.8976244347688134</v>
      </c>
      <c r="K19" s="151">
        <f t="shared" si="18"/>
        <v>4.792587021580025</v>
      </c>
      <c r="L19" s="151">
        <f t="shared" si="18"/>
        <v>4.7994291930028607</v>
      </c>
      <c r="M19" s="151">
        <f t="shared" si="18"/>
        <v>4.8691321868447499</v>
      </c>
      <c r="N19" s="151">
        <f t="shared" si="18"/>
        <v>4.8367326451396462</v>
      </c>
      <c r="O19" s="151">
        <f t="shared" si="18"/>
        <v>4.8879874290381666</v>
      </c>
      <c r="P19" s="151">
        <f t="shared" si="18"/>
        <v>4.8545215750141999</v>
      </c>
      <c r="Q19" s="151">
        <f t="shared" si="18"/>
        <v>4.8034984754522423</v>
      </c>
      <c r="R19" s="151">
        <f t="shared" si="18"/>
        <v>4.7958960332349374</v>
      </c>
      <c r="S19" s="151">
        <f t="shared" si="18"/>
        <v>4.7626794780639736</v>
      </c>
      <c r="T19" s="151">
        <f t="shared" si="18"/>
        <v>4.7917542330882537</v>
      </c>
      <c r="U19" s="151">
        <f t="shared" si="18"/>
        <v>4.803911336719441</v>
      </c>
      <c r="V19" s="151">
        <f t="shared" si="18"/>
        <v>4.9832818712125597</v>
      </c>
      <c r="W19" s="151">
        <f t="shared" si="18"/>
        <v>5.1268937773424428</v>
      </c>
      <c r="X19" s="151">
        <f t="shared" si="18"/>
        <v>5.0776257327785945</v>
      </c>
      <c r="Y19" s="151">
        <f t="shared" si="18"/>
        <v>5.0429764387448692</v>
      </c>
      <c r="Z19" s="151">
        <f t="shared" si="18"/>
        <v>5.0574481547526124</v>
      </c>
      <c r="AA19" s="151">
        <f t="shared" si="18"/>
        <v>5.0785863559918063</v>
      </c>
      <c r="AB19" s="151">
        <f t="shared" si="18"/>
        <v>5.0663122060799459</v>
      </c>
      <c r="AC19" s="151">
        <f t="shared" si="18"/>
        <v>5.1417765012126928</v>
      </c>
      <c r="AD19" s="151">
        <f t="shared" si="18"/>
        <v>5.2370242046630286</v>
      </c>
      <c r="AE19" s="151">
        <f t="shared" si="18"/>
        <v>5.9704267468258525</v>
      </c>
      <c r="AF19" s="151">
        <f t="shared" si="18"/>
        <v>6.1925063522354939</v>
      </c>
      <c r="AG19" s="151">
        <f t="shared" si="18"/>
        <v>6.6302521587100394</v>
      </c>
      <c r="AH19" s="151">
        <f t="shared" si="18"/>
        <v>6.8307119506941518</v>
      </c>
      <c r="AI19" s="151">
        <f t="shared" si="18"/>
        <v>6.8967474157116424</v>
      </c>
      <c r="AJ19" s="151">
        <f t="shared" si="18"/>
        <v>6.9409978781915012</v>
      </c>
      <c r="AK19" s="151">
        <f t="shared" si="18"/>
        <v>6.9459075478496501</v>
      </c>
      <c r="AL19" s="151">
        <f t="shared" si="18"/>
        <v>7.0063737510299759</v>
      </c>
      <c r="AM19" s="151">
        <f t="shared" si="18"/>
        <v>6.6976661992580002</v>
      </c>
      <c r="AN19" s="151">
        <f t="shared" si="18"/>
        <v>6.6017032117546748</v>
      </c>
      <c r="AO19" s="151">
        <f t="shared" si="18"/>
        <v>6.633410990450928</v>
      </c>
      <c r="AP19" s="151">
        <f t="shared" si="18"/>
        <v>6.3301851008535692</v>
      </c>
      <c r="AQ19" s="151">
        <f t="shared" si="18"/>
        <v>6.1793261822404606</v>
      </c>
      <c r="AR19" s="151">
        <f t="shared" si="18"/>
        <v>6.1447589636025217</v>
      </c>
      <c r="AS19" s="151">
        <f t="shared" si="18"/>
        <v>5.9763395689583767</v>
      </c>
      <c r="AT19" s="151">
        <f t="shared" si="18"/>
        <v>6.1756502021278683</v>
      </c>
      <c r="AU19" s="152">
        <f t="shared" si="18"/>
        <v>6.1026769320305787</v>
      </c>
      <c r="AV19" s="152">
        <f t="shared" si="18"/>
        <v>5.8515646255503633</v>
      </c>
      <c r="AW19" s="152">
        <f t="shared" si="18"/>
        <v>5.6675578634373061</v>
      </c>
      <c r="AX19" s="152">
        <f t="shared" si="18"/>
        <v>5.4892116344765585</v>
      </c>
      <c r="AY19" s="152">
        <f t="shared" ref="AY19:BN19" si="19">2.19+AY14</f>
        <v>5.4892116344765585</v>
      </c>
      <c r="AZ19" s="152">
        <f t="shared" si="19"/>
        <v>5.3866866498532264</v>
      </c>
      <c r="BA19" s="152">
        <f t="shared" si="19"/>
        <v>5.3106866498532259</v>
      </c>
      <c r="BB19" s="152">
        <f t="shared" si="19"/>
        <v>5.0066866498532274</v>
      </c>
      <c r="BC19" s="152">
        <f t="shared" si="19"/>
        <v>4.5026866498532261</v>
      </c>
      <c r="BD19" s="152">
        <f t="shared" si="19"/>
        <v>4.5026866498532261</v>
      </c>
      <c r="BE19" s="152">
        <f t="shared" si="19"/>
        <v>4.5026866498532261</v>
      </c>
      <c r="BF19" s="152">
        <f t="shared" si="19"/>
        <v>4.5127353537024018</v>
      </c>
      <c r="BG19" s="152">
        <f t="shared" si="19"/>
        <v>4.4362579071401989</v>
      </c>
      <c r="BH19" s="152">
        <f t="shared" si="19"/>
        <v>4.4362579071401989</v>
      </c>
      <c r="BI19" s="152">
        <f t="shared" si="19"/>
        <v>4.5122579071401994</v>
      </c>
      <c r="BJ19" s="152">
        <f t="shared" si="19"/>
        <v>4.4362579071401989</v>
      </c>
      <c r="BK19" s="152">
        <f t="shared" si="19"/>
        <v>4.4362579071401989</v>
      </c>
      <c r="BL19" s="152">
        <f t="shared" si="19"/>
        <v>4.4362579071401989</v>
      </c>
      <c r="BM19" s="152">
        <f t="shared" si="19"/>
        <v>4.4783529168561618</v>
      </c>
      <c r="BN19" s="152">
        <f t="shared" si="19"/>
        <v>4.4992104022822179</v>
      </c>
      <c r="BO19" s="152">
        <f t="shared" ref="BO19:BV19" si="20">2.19+BO14</f>
        <v>4.4992104022822179</v>
      </c>
      <c r="BP19" s="152">
        <f t="shared" si="20"/>
        <v>4.4505429362880893</v>
      </c>
      <c r="BQ19" s="152">
        <f t="shared" si="20"/>
        <v>4.4505429362880893</v>
      </c>
      <c r="BR19" s="152">
        <f t="shared" si="20"/>
        <v>4.4505429362880893</v>
      </c>
      <c r="BS19" s="152">
        <f t="shared" si="20"/>
        <v>4.2189229751519406</v>
      </c>
      <c r="BT19" s="152">
        <f t="shared" si="20"/>
        <v>4.2189229751519406</v>
      </c>
      <c r="BU19" s="152">
        <f t="shared" si="20"/>
        <v>4.4189229751519408</v>
      </c>
      <c r="BV19" s="152">
        <f t="shared" si="20"/>
        <v>4.4189229751519408</v>
      </c>
      <c r="BW19" s="152">
        <f>2.19+BW14</f>
        <v>4.3989229751519403</v>
      </c>
      <c r="BX19" s="152">
        <f>2.19+BX14</f>
        <v>4.3989229751519403</v>
      </c>
      <c r="BY19" s="152">
        <f>2.19+BY14</f>
        <v>4.3989229751519403</v>
      </c>
      <c r="BZ19" s="152">
        <f>2.19+BZ14</f>
        <v>4.4163042130069865</v>
      </c>
      <c r="CA19" s="152">
        <f t="shared" ref="CA19:CH19" si="21">2.19+CA14</f>
        <v>4.4163042130069865</v>
      </c>
      <c r="CB19" s="152">
        <f t="shared" si="21"/>
        <v>4.4163042130069865</v>
      </c>
      <c r="CC19" s="152">
        <f t="shared" si="21"/>
        <v>4.4023992227229503</v>
      </c>
      <c r="CD19" s="152">
        <f t="shared" si="21"/>
        <v>4.4023992227229503</v>
      </c>
      <c r="CE19" s="152">
        <f t="shared" si="21"/>
        <v>4.4023992227229503</v>
      </c>
      <c r="CF19" s="152">
        <f t="shared" si="21"/>
        <v>4.4023992227229503</v>
      </c>
      <c r="CG19" s="152">
        <f t="shared" si="21"/>
        <v>4.4023992227229503</v>
      </c>
      <c r="CH19" s="152">
        <f t="shared" si="21"/>
        <v>4.4023992227229503</v>
      </c>
      <c r="CI19" s="152">
        <f>2.19+CI14</f>
        <v>4.2415417372968953</v>
      </c>
      <c r="CJ19" s="152">
        <f>2.19+CJ14</f>
        <v>4.2074467275809315</v>
      </c>
      <c r="CK19" s="152">
        <f>2.19+CK14</f>
        <v>4.2554467275809316</v>
      </c>
      <c r="CL19" s="152">
        <f t="shared" ref="CL19:CQ19" si="22">2.19+CL14</f>
        <v>4.1930179848679039</v>
      </c>
      <c r="CM19" s="152">
        <f t="shared" si="22"/>
        <v>4.1930179848679039</v>
      </c>
      <c r="CN19" s="152">
        <f t="shared" si="22"/>
        <v>4.1930179848679039</v>
      </c>
      <c r="CO19" s="152">
        <f t="shared" si="22"/>
        <v>4.1930179848679039</v>
      </c>
      <c r="CP19" s="152">
        <f t="shared" si="22"/>
        <v>4.1930179848679039</v>
      </c>
      <c r="CQ19" s="152">
        <f t="shared" si="22"/>
        <v>4.1930179848679039</v>
      </c>
      <c r="CR19" s="152">
        <f>2.19+CR14</f>
        <v>4.1930179848679039</v>
      </c>
      <c r="CS19" s="152">
        <f>2.19+CS14</f>
        <v>4.1667792615868029</v>
      </c>
      <c r="CT19" s="152">
        <f t="shared" ref="CT19:DX19" si="23">2.19+CT14</f>
        <v>4.1667792615868029</v>
      </c>
      <c r="CU19" s="152">
        <f t="shared" si="23"/>
        <v>4.1667792615868029</v>
      </c>
      <c r="CV19" s="152">
        <f t="shared" si="23"/>
        <v>4.1667792615868029</v>
      </c>
      <c r="CW19" s="152">
        <f t="shared" si="23"/>
        <v>4.1198267664447847</v>
      </c>
      <c r="CX19" s="152">
        <f t="shared" si="23"/>
        <v>4.1198267664447847</v>
      </c>
      <c r="CY19" s="152">
        <f t="shared" si="23"/>
        <v>4.1476367470128581</v>
      </c>
      <c r="CZ19" s="152">
        <f t="shared" si="23"/>
        <v>4.1476367470128581</v>
      </c>
      <c r="DA19" s="152">
        <f t="shared" si="23"/>
        <v>4.1476367470128581</v>
      </c>
      <c r="DB19" s="152">
        <f t="shared" si="23"/>
        <v>4.1476367470128581</v>
      </c>
      <c r="DC19" s="152">
        <f t="shared" si="23"/>
        <v>4.1916367470128577</v>
      </c>
      <c r="DD19" s="152">
        <f t="shared" si="23"/>
        <v>4.1916367470128577</v>
      </c>
      <c r="DE19" s="152">
        <f t="shared" si="23"/>
        <v>4.1916367470128577</v>
      </c>
      <c r="DF19" s="152">
        <f t="shared" si="23"/>
        <v>4.1916367470128577</v>
      </c>
      <c r="DG19" s="152">
        <f t="shared" si="23"/>
        <v>4.1916367470128577</v>
      </c>
      <c r="DH19" s="152">
        <f t="shared" si="23"/>
        <v>4.1841604994418482</v>
      </c>
      <c r="DI19" s="152">
        <f t="shared" si="23"/>
        <v>4.1841604994418482</v>
      </c>
      <c r="DJ19" s="152">
        <f t="shared" si="23"/>
        <v>4.1841604994418482</v>
      </c>
      <c r="DK19" s="152">
        <f t="shared" si="23"/>
        <v>4.1841604994418482</v>
      </c>
      <c r="DL19" s="152">
        <f t="shared" si="23"/>
        <v>4.1841604994418482</v>
      </c>
      <c r="DM19" s="152">
        <f t="shared" si="23"/>
        <v>4.3076367470128574</v>
      </c>
      <c r="DN19" s="152">
        <f t="shared" si="23"/>
        <v>4.3076367470128574</v>
      </c>
      <c r="DO19" s="152">
        <f t="shared" si="23"/>
        <v>4.3076367470128574</v>
      </c>
      <c r="DP19" s="152">
        <f t="shared" si="23"/>
        <v>4.3076367470128574</v>
      </c>
      <c r="DQ19" s="152">
        <f t="shared" si="23"/>
        <v>4.286779261586803</v>
      </c>
      <c r="DR19" s="152">
        <f t="shared" si="23"/>
        <v>4.286779261586803</v>
      </c>
      <c r="DS19" s="152">
        <f t="shared" si="23"/>
        <v>4.1483505188737748</v>
      </c>
      <c r="DT19" s="152">
        <f t="shared" si="23"/>
        <v>2.19</v>
      </c>
      <c r="DU19" s="152">
        <f t="shared" si="23"/>
        <v>2.19</v>
      </c>
      <c r="DV19" s="152">
        <f t="shared" si="23"/>
        <v>2.19</v>
      </c>
      <c r="DW19" s="152">
        <f t="shared" si="23"/>
        <v>2.19</v>
      </c>
      <c r="DX19" s="152">
        <f t="shared" si="23"/>
        <v>2.19</v>
      </c>
    </row>
    <row r="48" spans="1:1">
      <c r="A48" s="8" t="s">
        <v>637</v>
      </c>
    </row>
  </sheetData>
  <mergeCells count="1">
    <mergeCell ref="A12:A13"/>
  </mergeCells>
  <phoneticPr fontId="52" type="noConversion"/>
  <pageMargins left="0.7" right="0.7" top="0.75" bottom="0.75" header="0.3" footer="0.3"/>
  <pageSetup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8"/>
  <dimension ref="A1:FJ19"/>
  <sheetViews>
    <sheetView workbookViewId="0">
      <pane xSplit="9" ySplit="4" topLeftCell="BF5" activePane="bottomRight" state="frozen"/>
      <selection pane="topRight" activeCell="J1" sqref="J1"/>
      <selection pane="bottomLeft" activeCell="A5" sqref="A5"/>
      <selection pane="bottomRight" activeCell="BH11" sqref="BH11"/>
    </sheetView>
  </sheetViews>
  <sheetFormatPr baseColWidth="10" defaultColWidth="22.6640625" defaultRowHeight="12"/>
  <cols>
    <col min="1" max="1" width="13.33203125" style="60" bestFit="1" customWidth="1"/>
    <col min="2" max="2" width="11.33203125" style="60" bestFit="1" customWidth="1"/>
    <col min="3" max="3" width="4.83203125" style="60" bestFit="1" customWidth="1"/>
    <col min="4" max="4" width="12.33203125" style="60" bestFit="1" customWidth="1"/>
    <col min="5" max="5" width="7.5" style="60" bestFit="1" customWidth="1"/>
    <col min="6" max="6" width="19.5" style="60" bestFit="1" customWidth="1"/>
    <col min="7" max="7" width="3.5" style="60" bestFit="1" customWidth="1"/>
    <col min="8" max="8" width="22.83203125" style="60" bestFit="1" customWidth="1"/>
    <col min="9" max="9" width="5.1640625" style="60" bestFit="1" customWidth="1"/>
    <col min="10" max="10" width="5.5" style="60" bestFit="1" customWidth="1"/>
    <col min="11" max="11" width="5.6640625" style="60" bestFit="1" customWidth="1"/>
    <col min="12" max="12" width="5.33203125" style="60" bestFit="1" customWidth="1"/>
    <col min="13" max="13" width="5.83203125" style="60" bestFit="1" customWidth="1"/>
    <col min="14" max="14" width="5.1640625" style="60" bestFit="1" customWidth="1"/>
    <col min="15" max="15" width="4.6640625" style="60" bestFit="1" customWidth="1"/>
    <col min="16" max="18" width="5.5" style="60" bestFit="1" customWidth="1"/>
    <col min="19" max="19" width="5.6640625" style="60" bestFit="1" customWidth="1"/>
    <col min="20" max="20" width="5.5" style="60" bestFit="1" customWidth="1"/>
    <col min="21" max="21" width="5.1640625" style="60" bestFit="1" customWidth="1"/>
    <col min="22" max="22" width="5.5" style="60" bestFit="1" customWidth="1"/>
    <col min="23" max="23" width="5.6640625" style="60" bestFit="1" customWidth="1"/>
    <col min="24" max="24" width="5.33203125" style="60" bestFit="1" customWidth="1"/>
    <col min="25" max="25" width="5.83203125" style="60" bestFit="1" customWidth="1"/>
    <col min="26" max="26" width="5.1640625" style="60" bestFit="1" customWidth="1"/>
    <col min="27" max="27" width="4.6640625" style="60" bestFit="1" customWidth="1"/>
    <col min="28" max="30" width="5.5" style="60" bestFit="1" customWidth="1"/>
    <col min="31" max="31" width="5.6640625" style="60" bestFit="1" customWidth="1"/>
    <col min="32" max="32" width="5.5" style="60" bestFit="1" customWidth="1"/>
    <col min="33" max="33" width="5.1640625" style="60" bestFit="1" customWidth="1"/>
    <col min="34" max="34" width="5.5" style="60" bestFit="1" customWidth="1"/>
    <col min="35" max="35" width="5.6640625" style="60" bestFit="1" customWidth="1"/>
    <col min="36" max="36" width="5.33203125" style="60" bestFit="1" customWidth="1"/>
    <col min="37" max="37" width="5.83203125" style="60" bestFit="1" customWidth="1"/>
    <col min="38" max="38" width="5.1640625" style="60" bestFit="1" customWidth="1"/>
    <col min="39" max="39" width="4.6640625" style="60" bestFit="1" customWidth="1"/>
    <col min="40" max="42" width="5.5" style="60" bestFit="1" customWidth="1"/>
    <col min="43" max="43" width="5.6640625" style="60" bestFit="1" customWidth="1"/>
    <col min="44" max="44" width="5.5" style="60" bestFit="1" customWidth="1"/>
    <col min="45" max="45" width="5.1640625" style="60" bestFit="1" customWidth="1"/>
    <col min="46" max="46" width="5.5" style="60" bestFit="1" customWidth="1"/>
    <col min="47" max="47" width="5.6640625" style="60" bestFit="1" customWidth="1"/>
    <col min="48" max="48" width="5.33203125" style="60" bestFit="1" customWidth="1"/>
    <col min="49" max="49" width="5.83203125" style="60" bestFit="1" customWidth="1"/>
    <col min="50" max="50" width="5.1640625" style="60" bestFit="1" customWidth="1"/>
    <col min="51" max="51" width="4.6640625" style="60" bestFit="1" customWidth="1"/>
    <col min="52" max="54" width="7" style="60" bestFit="1" customWidth="1"/>
    <col min="55" max="56" width="5.5" style="60" bestFit="1" customWidth="1"/>
    <col min="57" max="58" width="5.83203125" style="60" bestFit="1" customWidth="1"/>
    <col min="59" max="62" width="6.1640625" style="60" bestFit="1" customWidth="1"/>
    <col min="63" max="70" width="5.6640625" style="60" bestFit="1" customWidth="1"/>
    <col min="71" max="74" width="5.5" style="60" bestFit="1" customWidth="1"/>
    <col min="75" max="78" width="5.1640625" style="60" bestFit="1" customWidth="1"/>
    <col min="79" max="82" width="5.5" style="60" bestFit="1" customWidth="1"/>
    <col min="83" max="83" width="6.1640625" style="60" bestFit="1" customWidth="1"/>
    <col min="84" max="86" width="5.6640625" style="60" bestFit="1" customWidth="1"/>
    <col min="87" max="90" width="5.5" style="60" bestFit="1" customWidth="1"/>
    <col min="91" max="95" width="6.33203125" style="60" bestFit="1" customWidth="1"/>
    <col min="96" max="99" width="6.1640625" style="60" bestFit="1" customWidth="1"/>
    <col min="100" max="100" width="5.1640625" style="60" bestFit="1" customWidth="1"/>
    <col min="101" max="103" width="6" style="60" bestFit="1" customWidth="1"/>
    <col min="104" max="107" width="5.83203125" style="60" bestFit="1" customWidth="1"/>
    <col min="108" max="115" width="5.6640625" style="60" bestFit="1" customWidth="1"/>
    <col min="116" max="119" width="6.1640625" style="60" bestFit="1" customWidth="1"/>
    <col min="120" max="123" width="5.83203125" style="60" bestFit="1" customWidth="1"/>
    <col min="124" max="166" width="3.33203125" style="60" bestFit="1" customWidth="1"/>
    <col min="167" max="16384" width="22.6640625" style="60"/>
  </cols>
  <sheetData>
    <row r="1" spans="1:166" ht="26">
      <c r="A1" s="59" t="s">
        <v>377</v>
      </c>
      <c r="B1" s="59" t="s">
        <v>378</v>
      </c>
      <c r="C1" s="59" t="s">
        <v>379</v>
      </c>
      <c r="D1" s="98" t="s">
        <v>380</v>
      </c>
      <c r="E1" s="98" t="s">
        <v>381</v>
      </c>
      <c r="G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c r="EM1" s="99">
        <v>141</v>
      </c>
      <c r="EN1" s="99">
        <v>142</v>
      </c>
      <c r="EO1" s="99">
        <v>143</v>
      </c>
      <c r="EP1" s="99">
        <v>144</v>
      </c>
      <c r="EQ1" s="99">
        <v>145</v>
      </c>
      <c r="ER1" s="99">
        <v>146</v>
      </c>
      <c r="ES1" s="99">
        <v>147</v>
      </c>
      <c r="ET1" s="99">
        <v>148</v>
      </c>
      <c r="EU1" s="99">
        <v>149</v>
      </c>
      <c r="EV1" s="99">
        <v>150</v>
      </c>
      <c r="EW1" s="99">
        <v>151</v>
      </c>
      <c r="EX1" s="99">
        <v>152</v>
      </c>
      <c r="EY1" s="99">
        <v>153</v>
      </c>
      <c r="EZ1" s="99">
        <v>154</v>
      </c>
      <c r="FA1" s="99">
        <v>155</v>
      </c>
      <c r="FB1" s="99">
        <v>156</v>
      </c>
      <c r="FC1" s="99">
        <v>157</v>
      </c>
      <c r="FD1" s="99">
        <v>158</v>
      </c>
      <c r="FE1" s="99">
        <v>159</v>
      </c>
      <c r="FF1" s="99">
        <v>160</v>
      </c>
      <c r="FG1" s="99">
        <v>161</v>
      </c>
      <c r="FH1" s="99">
        <v>162</v>
      </c>
      <c r="FI1" s="99">
        <v>163</v>
      </c>
      <c r="FJ1" s="99">
        <v>164</v>
      </c>
    </row>
    <row r="2" spans="1:166">
      <c r="A2" s="64" t="s">
        <v>78</v>
      </c>
      <c r="B2" s="64" t="s">
        <v>444</v>
      </c>
      <c r="C2" s="101"/>
      <c r="D2" s="64" t="s">
        <v>638</v>
      </c>
      <c r="K2" s="102"/>
      <c r="M2" s="102"/>
    </row>
    <row r="3" spans="1:166">
      <c r="A3" s="64"/>
      <c r="B3" s="64"/>
      <c r="D3" s="64" t="s">
        <v>639</v>
      </c>
      <c r="E3" s="64"/>
      <c r="F3" s="103"/>
      <c r="H3" s="59" t="s">
        <v>416</v>
      </c>
      <c r="I3" s="144">
        <v>43831</v>
      </c>
      <c r="J3" s="144">
        <v>43862</v>
      </c>
      <c r="K3" s="144">
        <v>43891</v>
      </c>
      <c r="L3" s="144">
        <v>43922</v>
      </c>
      <c r="M3" s="144">
        <v>43952</v>
      </c>
      <c r="N3" s="144">
        <v>43983</v>
      </c>
      <c r="O3" s="144">
        <v>44013</v>
      </c>
      <c r="P3" s="144">
        <v>44044</v>
      </c>
      <c r="Q3" s="144">
        <v>44075</v>
      </c>
      <c r="R3" s="144">
        <v>44105</v>
      </c>
      <c r="S3" s="144">
        <v>44136</v>
      </c>
      <c r="T3" s="144">
        <v>44166</v>
      </c>
      <c r="U3" s="144">
        <v>44197</v>
      </c>
      <c r="V3" s="144">
        <v>44228</v>
      </c>
      <c r="W3" s="144">
        <v>44256</v>
      </c>
      <c r="X3" s="144">
        <v>44287</v>
      </c>
      <c r="Y3" s="144">
        <v>44317</v>
      </c>
      <c r="Z3" s="144">
        <v>44348</v>
      </c>
      <c r="AA3" s="144">
        <v>44378</v>
      </c>
      <c r="AB3" s="144">
        <v>44409</v>
      </c>
      <c r="AC3" s="144">
        <v>44440</v>
      </c>
      <c r="AD3" s="144">
        <v>44470</v>
      </c>
      <c r="AE3" s="144">
        <v>44501</v>
      </c>
      <c r="AF3" s="144">
        <v>44531</v>
      </c>
      <c r="AG3" s="144">
        <v>44562</v>
      </c>
      <c r="AH3" s="144">
        <v>44593</v>
      </c>
      <c r="AI3" s="144">
        <v>44621</v>
      </c>
      <c r="AJ3" s="144">
        <v>44652</v>
      </c>
      <c r="AK3" s="144">
        <v>44682</v>
      </c>
      <c r="AL3" s="144">
        <v>44713</v>
      </c>
      <c r="AM3" s="144">
        <v>44743</v>
      </c>
      <c r="AN3" s="144">
        <v>44774</v>
      </c>
      <c r="AO3" s="144">
        <v>44805</v>
      </c>
      <c r="AP3" s="144">
        <v>44835</v>
      </c>
      <c r="AQ3" s="144">
        <v>44866</v>
      </c>
      <c r="AR3" s="144">
        <v>44896</v>
      </c>
      <c r="AS3" s="144">
        <v>44927</v>
      </c>
      <c r="AT3" s="144">
        <v>44958</v>
      </c>
      <c r="AU3" s="144">
        <v>44986</v>
      </c>
      <c r="AV3" s="144">
        <v>45017</v>
      </c>
      <c r="AW3" s="144">
        <v>45047</v>
      </c>
      <c r="AX3" s="144">
        <v>45078</v>
      </c>
      <c r="AY3" s="144">
        <v>45108</v>
      </c>
      <c r="AZ3" s="144" t="s">
        <v>530</v>
      </c>
      <c r="BA3" s="144" t="s">
        <v>531</v>
      </c>
      <c r="BB3" s="144" t="s">
        <v>532</v>
      </c>
      <c r="BC3" s="144">
        <v>37104</v>
      </c>
      <c r="BD3" s="144">
        <v>37469</v>
      </c>
      <c r="BE3" s="144" t="s">
        <v>168</v>
      </c>
      <c r="BF3" s="144" t="s">
        <v>169</v>
      </c>
      <c r="BG3" s="144" t="s">
        <v>393</v>
      </c>
      <c r="BH3" s="144" t="s">
        <v>458</v>
      </c>
      <c r="BI3" s="144" t="s">
        <v>459</v>
      </c>
      <c r="BJ3" s="144" t="s">
        <v>460</v>
      </c>
      <c r="BK3" s="144" t="s">
        <v>435</v>
      </c>
      <c r="BL3" s="144" t="s">
        <v>436</v>
      </c>
      <c r="BM3" s="144" t="s">
        <v>437</v>
      </c>
      <c r="BN3" s="144" t="s">
        <v>438</v>
      </c>
      <c r="BO3" s="59">
        <v>37196</v>
      </c>
      <c r="BP3" s="59">
        <v>37561</v>
      </c>
      <c r="BQ3" s="59">
        <v>37926</v>
      </c>
      <c r="BR3" s="59">
        <v>38292</v>
      </c>
      <c r="BS3" s="59">
        <v>37226</v>
      </c>
      <c r="BT3" s="59">
        <v>37591</v>
      </c>
      <c r="BU3" s="59">
        <v>37956</v>
      </c>
      <c r="BV3" s="59">
        <v>38322</v>
      </c>
      <c r="BW3" s="59">
        <v>36892</v>
      </c>
      <c r="BX3" s="59">
        <v>37257</v>
      </c>
      <c r="BY3" s="59">
        <v>37622</v>
      </c>
      <c r="BZ3" s="59">
        <v>37987</v>
      </c>
      <c r="CA3" s="59">
        <v>36923</v>
      </c>
      <c r="CB3" s="59">
        <v>37288</v>
      </c>
      <c r="CC3" s="59">
        <v>37653</v>
      </c>
      <c r="CD3" s="59">
        <v>38018</v>
      </c>
      <c r="CE3" s="59" t="str">
        <f>Sheet8!A15</f>
        <v>Mar-w1</v>
      </c>
      <c r="CF3" s="59">
        <v>37316</v>
      </c>
      <c r="CG3" s="59">
        <v>37681</v>
      </c>
      <c r="CH3" s="59">
        <v>38047</v>
      </c>
      <c r="CI3" s="59" t="str">
        <f>Sheet8!E15</f>
        <v>Apr-w1</v>
      </c>
      <c r="CJ3" s="59" t="str">
        <f>Sheet8!F15</f>
        <v>Apr-w2</v>
      </c>
      <c r="CK3" s="59" t="str">
        <f>Sheet8!G15</f>
        <v>Apr-w3</v>
      </c>
      <c r="CL3" s="59" t="str">
        <f>Sheet8!H15</f>
        <v>Apr-w4</v>
      </c>
      <c r="CM3" s="59" t="str">
        <f>Sheet8!I15</f>
        <v>May-w1</v>
      </c>
      <c r="CN3" s="59" t="str">
        <f>Sheet8!J15</f>
        <v>May-w2</v>
      </c>
      <c r="CO3" s="59" t="str">
        <f>Sheet8!K15</f>
        <v>May-w3</v>
      </c>
      <c r="CP3" s="59" t="str">
        <f>Sheet8!L15</f>
        <v>May-w4</v>
      </c>
      <c r="CQ3" s="59" t="str">
        <f>Sheet8!M15</f>
        <v>May-w5</v>
      </c>
      <c r="CR3" s="59" t="str">
        <f>Sheet8!N15</f>
        <v>june-w1</v>
      </c>
      <c r="CS3" s="59" t="str">
        <f>Sheet8!O15</f>
        <v>june-w2</v>
      </c>
      <c r="CT3" s="59" t="str">
        <f>Sheet8!P15</f>
        <v>june-w3</v>
      </c>
      <c r="CU3" s="59" t="str">
        <f>Sheet8!Q15</f>
        <v>june-w4</v>
      </c>
      <c r="CV3" s="59" t="str">
        <f>Sheet8!R15</f>
        <v>Jul-w1</v>
      </c>
      <c r="CW3" s="59" t="str">
        <f>Sheet8!S15</f>
        <v>Jul-w2</v>
      </c>
      <c r="CX3" s="59" t="str">
        <f>Sheet8!T15</f>
        <v>Jul-w3</v>
      </c>
      <c r="CY3" s="59" t="str">
        <f>Sheet8!U15</f>
        <v>Jul-w4</v>
      </c>
      <c r="CZ3" s="59" t="str">
        <f>Sheet8!V15</f>
        <v>Aug-w1</v>
      </c>
      <c r="DA3" s="59" t="str">
        <f>Sheet8!W15</f>
        <v>Aug-w2</v>
      </c>
      <c r="DB3" s="59" t="str">
        <f>Sheet8!X15</f>
        <v>Aug-w3</v>
      </c>
      <c r="DC3" s="59" t="str">
        <f>Sheet8!Y15</f>
        <v>Aug-w4</v>
      </c>
      <c r="DD3" s="59" t="str">
        <f>Sheet8!Z15</f>
        <v>Sep-w1</v>
      </c>
      <c r="DE3" s="59" t="str">
        <f>Sheet8!AA15</f>
        <v>Sep-w2</v>
      </c>
      <c r="DF3" s="59" t="str">
        <f>Sheet8!AB15</f>
        <v>Sep-w3</v>
      </c>
      <c r="DG3" s="59" t="str">
        <f>Sheet8!AC15</f>
        <v>Sep-w4</v>
      </c>
      <c r="DH3" s="59" t="str">
        <f>Sheet8!AD15</f>
        <v>Oct-w1</v>
      </c>
      <c r="DI3" s="59" t="str">
        <f>Sheet8!AE15</f>
        <v>Oct-w2</v>
      </c>
      <c r="DJ3" s="59" t="str">
        <f>Sheet8!AF15</f>
        <v>Oct-w3</v>
      </c>
      <c r="DK3" s="59" t="str">
        <f>Sheet8!AG15</f>
        <v>Oct-w4</v>
      </c>
      <c r="DL3" s="59" t="str">
        <f>Sheet8!AH15</f>
        <v>Nov-w1</v>
      </c>
      <c r="DM3" s="59" t="str">
        <f>Sheet8!AI15</f>
        <v>Nov-w2</v>
      </c>
      <c r="DN3" s="59" t="str">
        <f>Sheet8!AJ15</f>
        <v>Nov-w3</v>
      </c>
      <c r="DO3" s="59" t="str">
        <f>Sheet8!AK15</f>
        <v>Nov-w4</v>
      </c>
      <c r="DP3" s="59" t="str">
        <f>Sheet8!AL15</f>
        <v>Dec-w1</v>
      </c>
      <c r="DQ3" s="59" t="str">
        <f>Sheet8!AM15</f>
        <v>Dec-w2</v>
      </c>
      <c r="DR3" s="59" t="str">
        <f>Sheet8!AN15</f>
        <v>Dec-w3</v>
      </c>
      <c r="DS3" s="59" t="str">
        <f>Sheet8!AO15</f>
        <v>Dec-w4</v>
      </c>
    </row>
    <row r="4" spans="1:166">
      <c r="A4" s="64">
        <v>74.120999999999995</v>
      </c>
      <c r="B4" s="64">
        <v>17.030999999999999</v>
      </c>
      <c r="D4" s="74">
        <v>129.24</v>
      </c>
      <c r="E4" s="64"/>
      <c r="F4" s="60" t="s">
        <v>640</v>
      </c>
      <c r="H4" s="60" t="s">
        <v>78</v>
      </c>
      <c r="I4" s="70">
        <f>VLOOKUP($H$4&amp;$G$1,'Input RM sheet'!$A:$BD,H1,0)</f>
        <v>691.5</v>
      </c>
      <c r="J4" s="70">
        <f>VLOOKUP($H$4&amp;$G$1,'Input RM sheet'!$A:$BD,I1,0)</f>
        <v>666.25</v>
      </c>
      <c r="K4" s="70">
        <f>VLOOKUP($H$4&amp;$G$1,'Input RM sheet'!$A:$BD,J1,0)</f>
        <v>650</v>
      </c>
      <c r="L4" s="70">
        <f>VLOOKUP($H$4&amp;$G$1,'Input RM sheet'!$A:$BD,K1,0)</f>
        <v>603</v>
      </c>
      <c r="M4" s="70">
        <f>VLOOKUP($H$4&amp;$G$1,'Input RM sheet'!$A:$BD,L1,0)</f>
        <v>602.5</v>
      </c>
      <c r="N4" s="70">
        <f>VLOOKUP($H$4&amp;$G$1,'Input RM sheet'!$A:$BD,M1,0)</f>
        <v>612.5</v>
      </c>
      <c r="O4" s="70">
        <f>VLOOKUP($H$4&amp;$G$1,'Input RM sheet'!$A:$BD,N1,0)</f>
        <v>627</v>
      </c>
      <c r="P4" s="70">
        <f>VLOOKUP($H$4&amp;$G$1,'Input RM sheet'!$A:$BD,O1,0)</f>
        <v>617.5</v>
      </c>
      <c r="Q4" s="70">
        <f>VLOOKUP($H$4&amp;$G$1,'Input RM sheet'!$A:$BD,P1,0)</f>
        <v>638.75</v>
      </c>
      <c r="R4" s="70">
        <f>VLOOKUP($H$4&amp;$G$1,'Input RM sheet'!$A:$BD,Q1,0)</f>
        <v>696</v>
      </c>
      <c r="S4" s="70">
        <f>VLOOKUP($H$4&amp;$G$1,'Input RM sheet'!$A:$BD,R1,0)</f>
        <v>933.75</v>
      </c>
      <c r="T4" s="70">
        <f>VLOOKUP($H$4&amp;$G$1,'Input RM sheet'!$A:$BD,S1,0)</f>
        <v>1078.75</v>
      </c>
      <c r="U4" s="70">
        <f>VLOOKUP($H$4&amp;$G$1,'Input RM sheet'!$A:$BD,T1,0)</f>
        <v>1238.75</v>
      </c>
      <c r="V4" s="70">
        <f>VLOOKUP($H$4&amp;$G$1,'Input RM sheet'!$A:$BD,U1,0)</f>
        <v>1370</v>
      </c>
      <c r="W4" s="70">
        <f>VLOOKUP($H$4&amp;$G$1,'Input RM sheet'!$A:$BD,V1,0)</f>
        <v>1862.5</v>
      </c>
      <c r="X4" s="70">
        <f>VLOOKUP($H$4&amp;$G$1,'Input RM sheet'!$A:$BD,W1,0)</f>
        <v>1655</v>
      </c>
      <c r="Y4" s="70">
        <f>VLOOKUP($H$4&amp;$G$1,'Input RM sheet'!$A:$BD,X1,0)</f>
        <v>1793.75</v>
      </c>
      <c r="Z4" s="70">
        <f>VLOOKUP($H$4&amp;$G$1,'Input RM sheet'!$A:$BD,Y1,0)</f>
        <v>1843.75</v>
      </c>
      <c r="AA4" s="70">
        <f>VLOOKUP($H$4&amp;$G$1,'Input RM sheet'!$A:$BD,Z1,0)</f>
        <v>1880</v>
      </c>
      <c r="AB4" s="70">
        <f>VLOOKUP($H$4&amp;$G$1,'Input RM sheet'!$A:$BD,AA1,0)</f>
        <v>1950</v>
      </c>
      <c r="AC4" s="70">
        <f>VLOOKUP($H$4&amp;$G$1,'Input RM sheet'!$A:$BD,AB1,0)</f>
        <v>1940</v>
      </c>
      <c r="AD4" s="70">
        <f>VLOOKUP($H$4&amp;$G$1,'Input RM sheet'!$A:$BD,AC1,0)</f>
        <v>1750</v>
      </c>
      <c r="AE4" s="70">
        <f>VLOOKUP($H$4&amp;$G$1,'Input RM sheet'!$A:$BD,AD1,0)</f>
        <v>1662.5</v>
      </c>
      <c r="AF4" s="70">
        <f>VLOOKUP($H$4&amp;$G$1,'Input RM sheet'!$A:$BD,AE1,0)</f>
        <v>1371.25</v>
      </c>
      <c r="AG4" s="70">
        <f>VLOOKUP($H$4&amp;$G$1,'Input RM sheet'!$A:$BD,AF1,0)</f>
        <v>1275</v>
      </c>
      <c r="AH4" s="70">
        <f>VLOOKUP($H$4&amp;$G$1,'Input RM sheet'!$A:$BD,AG1,0)</f>
        <v>1362.5</v>
      </c>
      <c r="AI4" s="70">
        <f>VLOOKUP($H$4&amp;$G$1,'Input RM sheet'!$A:$BD,AH1,0)</f>
        <v>1470</v>
      </c>
      <c r="AJ4" s="70">
        <f>VLOOKUP($H$4&amp;$G$1,'Input RM sheet'!$A:$BD,AI1,0)</f>
        <v>1462.5</v>
      </c>
      <c r="AK4" s="70">
        <f>VLOOKUP($H$4&amp;$G$1,'Input RM sheet'!$A:$BD,AJ1,0)</f>
        <v>1487.5</v>
      </c>
      <c r="AL4" s="70">
        <f>VLOOKUP($H$4&amp;$G$1,'Input RM sheet'!$A:$BD,AK1,0)</f>
        <v>1418</v>
      </c>
      <c r="AM4" s="70">
        <f>VLOOKUP($H$4&amp;$G$1,'Input RM sheet'!$A:$BD,AL1,0)</f>
        <v>1118.75</v>
      </c>
      <c r="AN4" s="70">
        <f>VLOOKUP($H$4&amp;$G$1,'Input RM sheet'!$A:$BD,AM1,0)</f>
        <v>962.5</v>
      </c>
      <c r="AO4" s="70">
        <f>VLOOKUP($H$4&amp;$G$1,'Input RM sheet'!$A:$BD,AN1,0)</f>
        <v>934</v>
      </c>
      <c r="AP4" s="70">
        <f>VLOOKUP($H$4&amp;$G$1,'Input RM sheet'!$A:$BD,AO1,0)</f>
        <v>950</v>
      </c>
      <c r="AQ4" s="70">
        <f>VLOOKUP($H$4&amp;$G$1,'Input RM sheet'!$A:$BD,AP1,0)</f>
        <v>950</v>
      </c>
      <c r="AR4" s="70">
        <f>VLOOKUP($H$4&amp;$G$1,'Input RM sheet'!$A:$BD,AQ1,0)</f>
        <v>935</v>
      </c>
      <c r="AS4" s="70">
        <f>VLOOKUP($H$4&amp;$G$1,'Input RM sheet'!$A:$BD,AR1,0)</f>
        <v>975</v>
      </c>
      <c r="AT4" s="70">
        <f>VLOOKUP($H$4&amp;$G$1,'Input RM sheet'!$A:$BD,AS1,0)</f>
        <v>1005</v>
      </c>
      <c r="AU4" s="70">
        <f>VLOOKUP($H$4&amp;$G$1,'Input RM sheet'!$A:$BD,AT1,0)</f>
        <v>975</v>
      </c>
      <c r="AV4" s="70">
        <f>VLOOKUP($H$4&amp;$G$1,'Input RM sheet'!$A:$BD,AU1,0)</f>
        <v>980</v>
      </c>
      <c r="AW4" s="70">
        <f>VLOOKUP($H$4&amp;$G$1,'Input RM sheet'!$A:$BD,AV1,0)</f>
        <v>975</v>
      </c>
      <c r="AX4" s="70">
        <f>VLOOKUP($H$4&amp;$G$1,'Input RM sheet'!$A:$BD,AW1,0)</f>
        <v>900</v>
      </c>
      <c r="AY4" s="70">
        <f>VLOOKUP($H$4&amp;$G$1,'Input RM sheet'!$A:$BD,AX1,0)</f>
        <v>880</v>
      </c>
      <c r="AZ4" s="70">
        <f>VLOOKUP($H$4&amp;$G$1,'Input RM sheet'!$A:$BD,AY1,0)</f>
        <v>870</v>
      </c>
      <c r="BA4" s="70">
        <f>VLOOKUP($H$4&amp;$G$1,'Input RM sheet'!$A:$BD,AZ1,0)</f>
        <v>870</v>
      </c>
      <c r="BB4" s="70">
        <f>VLOOKUP($H$4&amp;$G$1,'Input RM sheet'!$A:$BD,BA1,0)</f>
        <v>870</v>
      </c>
      <c r="BC4" s="70">
        <f>VLOOKUP($H$4&amp;$G$1,'Input RM sheet'!$A:$BD,BB1,0)</f>
        <v>890</v>
      </c>
      <c r="BD4" s="70">
        <f>VLOOKUP($H$4&amp;$G$1,'Input RM sheet'!$A:$BD,BC1,0)</f>
        <v>900</v>
      </c>
      <c r="BE4" s="70">
        <f>VLOOKUP($H$4&amp;$G$1,'Input RM sheet'!$A:$BD,BD1,0)</f>
        <v>900</v>
      </c>
      <c r="BF4" s="70">
        <f>VLOOKUP($H$4&amp;$G$1,'Input RM sheet'!$A:$BD,BE1,0)</f>
        <v>900</v>
      </c>
      <c r="BG4" s="70">
        <f>VLOOKUP($H$4&amp;$G$1,'Input RM sheet'!$A:$DD,BF1,0)</f>
        <v>1050</v>
      </c>
      <c r="BH4" s="70">
        <f>VLOOKUP($H$4&amp;$G$1,'Input RM sheet'!$A:$DD,BG1,0)</f>
        <v>1050</v>
      </c>
      <c r="BI4" s="70">
        <f>VLOOKUP($H$4&amp;$G$1,'Input RM sheet'!$A:$DD,BH1,0)</f>
        <v>1050</v>
      </c>
      <c r="BJ4" s="70">
        <f>VLOOKUP($H$4&amp;$G$1,'Input RM sheet'!$A:$DD,BI1,0)</f>
        <v>1050</v>
      </c>
      <c r="BK4" s="70">
        <f>VLOOKUP($H$4&amp;$G$1,'Input RM sheet'!$A:$DD,BJ1,0)</f>
        <v>1050</v>
      </c>
      <c r="BL4" s="70">
        <f>VLOOKUP($H$4&amp;$G$1,'Input RM sheet'!$A:$DD,BK1,0)</f>
        <v>1075</v>
      </c>
      <c r="BM4" s="70">
        <f>VLOOKUP($H$4&amp;$G$1,'Input RM sheet'!$A:$DD,BL1,0)</f>
        <v>1050</v>
      </c>
      <c r="BN4" s="70">
        <f>VLOOKUP($H$4&amp;$G$1,'Input RM sheet'!$A:$DD,BM1,0)</f>
        <v>1000</v>
      </c>
      <c r="BO4" s="70">
        <f>VLOOKUP($H$4&amp;$G$1,'Input RM sheet'!$A:$DD,BN1,0)</f>
        <v>975</v>
      </c>
      <c r="BP4" s="70">
        <f>VLOOKUP($H$4&amp;$G$1,'Input RM sheet'!$A:$DD,BO1,0)</f>
        <v>975</v>
      </c>
      <c r="BQ4" s="70">
        <f>VLOOKUP($H$4&amp;$G$1,'Input RM sheet'!$A:$DD,BP1,0)</f>
        <v>975</v>
      </c>
      <c r="BR4" s="70">
        <f>VLOOKUP($H$4&amp;$G$1,'Input RM sheet'!$A:$DD,BQ1,0)</f>
        <v>975</v>
      </c>
      <c r="BS4" s="70">
        <f>VLOOKUP($H$4&amp;$G$1,'Input RM sheet'!$A:$DD,BR1,0)</f>
        <v>975</v>
      </c>
      <c r="BT4" s="70">
        <f>VLOOKUP($H$4&amp;$G$1,'Input RM sheet'!$A:$DD,BS1,0)</f>
        <v>975</v>
      </c>
      <c r="BU4" s="70">
        <f>VLOOKUP($H$4&amp;$G$1,'Input RM sheet'!$A:$DD,BT1,0)</f>
        <v>1000</v>
      </c>
      <c r="BV4" s="70">
        <f>VLOOKUP($H$4&amp;$G$1,'Input RM sheet'!$A:$DD,BU1,0)</f>
        <v>1000</v>
      </c>
      <c r="BW4" s="70">
        <f>VLOOKUP($H$4&amp;$G$1,'Input RM sheet'!$A:$DD,BV1,0)</f>
        <v>1065</v>
      </c>
      <c r="BX4" s="70">
        <f>VLOOKUP($H$4&amp;$G$1,'Input RM sheet'!$A:$DD,BW1,0)</f>
        <v>1085</v>
      </c>
      <c r="BY4" s="70">
        <f>VLOOKUP($H$4&amp;$G$1,'Input RM sheet'!$A:$DD,BX1,0)</f>
        <v>1085</v>
      </c>
      <c r="BZ4" s="70">
        <f>VLOOKUP($H$4&amp;$G$1,'Input RM sheet'!$A:$DD,BY1,0)</f>
        <v>1085</v>
      </c>
      <c r="CA4" s="70">
        <f>VLOOKUP($H$4&amp;$G$1,'Input RM sheet'!$A:$DD,BZ1,0)</f>
        <v>1085</v>
      </c>
      <c r="CB4" s="70">
        <f>VLOOKUP($H$4&amp;$G$1,'Input RM sheet'!$A:$DD,CA1,0)</f>
        <v>1085</v>
      </c>
      <c r="CC4" s="70">
        <f>VLOOKUP($H$4&amp;$G$1,'Input RM sheet'!$A:$DD,CB1,0)</f>
        <v>1085</v>
      </c>
      <c r="CD4" s="70">
        <f>VLOOKUP($H$4&amp;$G$1,'Input RM sheet'!$A:$DD,CC1,0)</f>
        <v>1082.5</v>
      </c>
      <c r="CE4" s="70">
        <f>VLOOKUP($H$4&amp;$G$1,'Input RM sheet'!$A:$DD,CD1,0)</f>
        <v>1082.5</v>
      </c>
      <c r="CF4" s="70">
        <f>VLOOKUP($H$4&amp;$G$1,'Input RM sheet'!$A:$DD,CE1,0)</f>
        <v>1075</v>
      </c>
      <c r="CG4" s="70">
        <f>VLOOKUP($H$4&amp;$G$1,'Input RM sheet'!$A:$DD,CF1,0)</f>
        <v>1030</v>
      </c>
      <c r="CH4" s="70">
        <f>VLOOKUP($H$4&amp;$G$1,'Input RM sheet'!$A:$DD,CG1,0)</f>
        <v>1030</v>
      </c>
      <c r="CI4" s="70">
        <f>VLOOKUP($H$4&amp;$G$1,'Input RM sheet'!$A:$DD,CH1,0)</f>
        <v>1047</v>
      </c>
      <c r="CJ4" s="70">
        <f>VLOOKUP($H$4&amp;$G$1,'Input RM sheet'!$A:$DD,CI1,0)</f>
        <v>1047</v>
      </c>
      <c r="CK4" s="70">
        <f>VLOOKUP($H$4&amp;$G$1,'Input RM sheet'!$A:$DD,CJ1,0)</f>
        <v>1047</v>
      </c>
      <c r="CL4" s="70">
        <f>VLOOKUP($H$4&amp;$G$1,'Input RM sheet'!$A:$DD,CK1,0)</f>
        <v>1045</v>
      </c>
      <c r="CM4" s="70">
        <f>VLOOKUP($H$4&amp;$G$1,'Input RM sheet'!$A:$DD,CL1,0)</f>
        <v>1040</v>
      </c>
      <c r="CN4" s="70">
        <f>VLOOKUP($H$4&amp;$G$1,'Input RM sheet'!$A:$DD,CM1,0)</f>
        <v>1067</v>
      </c>
      <c r="CO4" s="70">
        <f>VLOOKUP($H$4&amp;$G$1,'Input RM sheet'!$A:$DD,CN1,0)</f>
        <v>1067</v>
      </c>
      <c r="CP4" s="70">
        <f>VLOOKUP($H$4&amp;$G$1,'Input RM sheet'!$A:$DD,CO1,0)</f>
        <v>1067</v>
      </c>
      <c r="CQ4" s="70">
        <f>VLOOKUP($H$4&amp;$G$1,'Input RM sheet'!$A:$DD,CP1,0)</f>
        <v>1067</v>
      </c>
      <c r="CR4" s="70">
        <f>VLOOKUP($H$4&amp;$G$1,'Input RM sheet'!$A:$ZZ,CQ1,0)</f>
        <v>1067</v>
      </c>
      <c r="CS4" s="70">
        <f>VLOOKUP($H$4&amp;$G$1,'Input RM sheet'!$A:$ZZ,CR1,0)</f>
        <v>1075</v>
      </c>
      <c r="CT4" s="70">
        <f>VLOOKUP($H$4&amp;$G$1,'Input RM sheet'!$A:$ZZ,CS1,0)</f>
        <v>1075</v>
      </c>
      <c r="CU4" s="70">
        <f>VLOOKUP($H$4&amp;$G$1,'Input RM sheet'!$A:$ZZ,CT1,0)</f>
        <v>1075</v>
      </c>
      <c r="CV4" s="70">
        <f>VLOOKUP($H$4&amp;$G$1,'Input RM sheet'!$A:$ZZ,CU1,0)</f>
        <v>1075</v>
      </c>
      <c r="CW4" s="70">
        <f>VLOOKUP($H$4&amp;$G$1,'Input RM sheet'!$A:$ZZ,CV1,0)</f>
        <v>1075</v>
      </c>
      <c r="CX4" s="70">
        <f>VLOOKUP($H$4&amp;$G$1,'Input RM sheet'!$A:$ZZ,CW1,0)</f>
        <v>1045</v>
      </c>
      <c r="CY4" s="70">
        <f>VLOOKUP($H$4&amp;$G$1,'Input RM sheet'!$A:$ZZ,CX1,0)</f>
        <v>1025</v>
      </c>
      <c r="CZ4" s="70">
        <f>VLOOKUP($H$4&amp;$G$1,'Input RM sheet'!$A:$ZZ,CY1,0)</f>
        <v>1025</v>
      </c>
      <c r="DA4" s="70">
        <f>VLOOKUP($H$4&amp;$G$1,'Input RM sheet'!$A:$ZZ,CZ1,0)</f>
        <v>1025</v>
      </c>
      <c r="DB4" s="70">
        <f>VLOOKUP($H$4&amp;$G$1,'Input RM sheet'!$A:$ZZ,DA1,0)</f>
        <v>1025</v>
      </c>
      <c r="DC4" s="70">
        <f>VLOOKUP($H$4&amp;$G$1,'Input RM sheet'!$A:$ZZ,DB1,0)</f>
        <v>990</v>
      </c>
      <c r="DD4" s="70">
        <f>VLOOKUP($H$4&amp;$G$1,'Input RM sheet'!$A:$ZZ,DC1,0)</f>
        <v>940</v>
      </c>
      <c r="DE4" s="70">
        <f>VLOOKUP($H$4&amp;$G$1,'Input RM sheet'!$A:$ZZ,DD1,0)</f>
        <v>940</v>
      </c>
      <c r="DF4" s="70">
        <f>VLOOKUP($H$4&amp;$G$1,'Input RM sheet'!$A:$ZZ,DE1,0)</f>
        <v>940</v>
      </c>
      <c r="DG4" s="70">
        <f>VLOOKUP($H$4&amp;$G$1,'Input RM sheet'!$A:$ZZ,DF1,0)</f>
        <v>940</v>
      </c>
      <c r="DH4" s="70">
        <f>VLOOKUP($H$4&amp;$G$1,'Input RM sheet'!$A:$ZZ,DG1,0)</f>
        <v>940</v>
      </c>
      <c r="DI4" s="70">
        <f>VLOOKUP($H$4&amp;$G$1,'Input RM sheet'!$A:$ZZ,DH1,0)</f>
        <v>900</v>
      </c>
      <c r="DJ4" s="70">
        <f>VLOOKUP($H$4&amp;$G$1,'Input RM sheet'!$A:$ZZ,DI1,0)</f>
        <v>910</v>
      </c>
      <c r="DK4" s="70">
        <f>VLOOKUP($H$4&amp;$G$1,'Input RM sheet'!$A:$ZZ,DJ1,0)</f>
        <v>910</v>
      </c>
      <c r="DL4" s="70">
        <f>VLOOKUP($H$4&amp;$G$1,'Input RM sheet'!$A:$ZZ,DK1,0)</f>
        <v>905</v>
      </c>
      <c r="DM4" s="70">
        <f>VLOOKUP($H$4&amp;$G$1,'Input RM sheet'!$A:$ZZ,DL1,0)</f>
        <v>905</v>
      </c>
      <c r="DN4" s="70">
        <f>VLOOKUP($H$4&amp;$G$1,'Input RM sheet'!$A:$ZZ,DM1,0)</f>
        <v>865</v>
      </c>
      <c r="DO4" s="70">
        <f>VLOOKUP($H$4&amp;$G$1,'Input RM sheet'!$A:$ZZ,DN1,0)</f>
        <v>865</v>
      </c>
      <c r="DP4" s="70">
        <f>VLOOKUP($H$4&amp;$G$1,'Input RM sheet'!$A:$ZZ,DO1,0)</f>
        <v>865</v>
      </c>
      <c r="DQ4" s="70">
        <f>VLOOKUP($H$4&amp;$G$1,'Input RM sheet'!$A:$ZZ,DP1,0)</f>
        <v>870</v>
      </c>
      <c r="DR4" s="70">
        <f>VLOOKUP($H$4&amp;$G$1,'Input RM sheet'!$A:$ZZ,DQ1,0)</f>
        <v>855</v>
      </c>
      <c r="DS4" s="70">
        <f>VLOOKUP($H$4&amp;$G$1,'Input RM sheet'!$A:$ZZ,DR1,0)</f>
        <v>850</v>
      </c>
    </row>
    <row r="5" spans="1:166">
      <c r="A5" s="74">
        <f>A4/D4</f>
        <v>0.57351439182915498</v>
      </c>
      <c r="B5" s="74">
        <f>B4/D4</f>
        <v>0.13177808727948001</v>
      </c>
      <c r="F5" s="60" t="s">
        <v>641</v>
      </c>
      <c r="H5" s="178" t="s">
        <v>45</v>
      </c>
      <c r="I5" s="74">
        <f>VLOOKUP($H$5&amp;$G$1,'Input RM sheet'!$A:$BD,H1,0)</f>
        <v>0.50625069064173545</v>
      </c>
      <c r="J5" s="74">
        <f>VLOOKUP($H$5&amp;$G$1,'Input RM sheet'!$A:$BD,I1,0)</f>
        <v>0.50605053403738476</v>
      </c>
      <c r="K5" s="74">
        <f>VLOOKUP($H$5&amp;$G$1,'Input RM sheet'!$A:$BD,J1,0)</f>
        <v>0.48566205346589675</v>
      </c>
      <c r="L5" s="74">
        <f>VLOOKUP($H$5&amp;$G$1,'Input RM sheet'!$A:$BD,K1,0)</f>
        <v>0.46604911475979133</v>
      </c>
      <c r="M5" s="74">
        <f>VLOOKUP($H$5&amp;$G$1,'Input RM sheet'!$A:$BD,L1,0)</f>
        <v>0.47286371932487081</v>
      </c>
      <c r="N5" s="74">
        <f>VLOOKUP($H$5&amp;$G$1,'Input RM sheet'!$A:$BD,M1,0)</f>
        <v>0.44148091934964817</v>
      </c>
      <c r="O5" s="74">
        <f>VLOOKUP($H$5&amp;$G$1,'Input RM sheet'!$A:$BD,N1,0)</f>
        <v>0.43426534003337747</v>
      </c>
      <c r="P5" s="74">
        <f>VLOOKUP($H$5&amp;$G$1,'Input RM sheet'!$A:$BD,O1,0)</f>
        <v>0.4253624199790475</v>
      </c>
      <c r="Q5" s="74">
        <f>VLOOKUP($H$5&amp;$G$1,'Input RM sheet'!$A:$BD,P1,0)</f>
        <v>0.43233741458081631</v>
      </c>
      <c r="R5" s="74">
        <f>VLOOKUP($H$5&amp;$G$1,'Input RM sheet'!$A:$BD,Q1,0)</f>
        <v>0.4289746699475917</v>
      </c>
      <c r="S5" s="74">
        <f>VLOOKUP($H$5&amp;$G$1,'Input RM sheet'!$A:$BD,R1,0)</f>
        <v>0.42484260760346637</v>
      </c>
      <c r="T5" s="74">
        <f>VLOOKUP($H$5&amp;$G$1,'Input RM sheet'!$A:$BD,S1,0)</f>
        <v>0.45075951239765033</v>
      </c>
      <c r="U5" s="74">
        <f>VLOOKUP($H$5&amp;$G$1,'Input RM sheet'!$A:$BD,T1,0)</f>
        <v>0.47632070741601718</v>
      </c>
      <c r="V5" s="74">
        <f>VLOOKUP($H$5&amp;$G$1,'Input RM sheet'!$A:$BD,U1,0)</f>
        <v>0.50824175824175821</v>
      </c>
      <c r="W5" s="74">
        <f>VLOOKUP($H$5&amp;$G$1,'Input RM sheet'!$A:$BD,V1,0)</f>
        <v>0.50824175824175821</v>
      </c>
      <c r="X5" s="74">
        <f>VLOOKUP($H$5&amp;$G$1,'Input RM sheet'!$A:$BD,W1,0)</f>
        <v>0.53357522262827839</v>
      </c>
      <c r="Y5" s="74">
        <f>VLOOKUP($H$5&amp;$G$1,'Input RM sheet'!$A:$BD,X1,0)</f>
        <v>0.59385665529010234</v>
      </c>
      <c r="Z5" s="74">
        <f>VLOOKUP($H$5&amp;$G$1,'Input RM sheet'!$A:$BD,Y1,0)</f>
        <v>0.63431872099725806</v>
      </c>
      <c r="AA5" s="74">
        <f>VLOOKUP($H$5&amp;$G$1,'Input RM sheet'!$A:$BD,Z1,0)</f>
        <v>0.72591659871949687</v>
      </c>
      <c r="AB5" s="74">
        <f>VLOOKUP($H$5&amp;$G$1,'Input RM sheet'!$A:$BD,AA1,0)</f>
        <v>0.72889455792717117</v>
      </c>
      <c r="AC5" s="74">
        <f>VLOOKUP($H$5&amp;$G$1,'Input RM sheet'!$A:$BD,AB1,0)</f>
        <v>0.74862988980369449</v>
      </c>
      <c r="AD5" s="74">
        <f>VLOOKUP($H$5&amp;$G$1,'Input RM sheet'!$A:$BD,AC1,0)</f>
        <v>0.79168514687656644</v>
      </c>
      <c r="AE5" s="74">
        <f>VLOOKUP($H$5&amp;$G$1,'Input RM sheet'!$A:$BD,AD1,0)</f>
        <v>0.82087330176727136</v>
      </c>
      <c r="AF5" s="74">
        <f>VLOOKUP($H$5&amp;$G$1,'Input RM sheet'!$A:$BD,AE1,0)</f>
        <v>0.84614593649711278</v>
      </c>
      <c r="AG5" s="74">
        <f>VLOOKUP($H$5&amp;$G$1,'Input RM sheet'!$A:$BD,AF1,0)</f>
        <v>1.0564787620243885</v>
      </c>
      <c r="AH5" s="74">
        <f>VLOOKUP($H$5&amp;$G$1,'Input RM sheet'!$A:$BD,AG1,0)</f>
        <v>1.2058469531568468</v>
      </c>
      <c r="AI5" s="74">
        <f>VLOOKUP($H$5&amp;$G$1,'Input RM sheet'!$A:$BD,AH1,0)</f>
        <v>1.328155753838079</v>
      </c>
      <c r="AJ5" s="74">
        <f>VLOOKUP($H$5&amp;$G$1,'Input RM sheet'!$A:$BD,AI1,0)</f>
        <v>1.2605824467442697</v>
      </c>
      <c r="AK5" s="74">
        <f>VLOOKUP($H$5&amp;$G$1,'Input RM sheet'!$A:$BD,AJ1,0)</f>
        <v>1.1242096737595759</v>
      </c>
      <c r="AL5" s="74">
        <f>VLOOKUP($H$5&amp;$G$1,'Input RM sheet'!$A:$BD,AK1,0)</f>
        <v>1.1179786985052897</v>
      </c>
      <c r="AM5" s="74">
        <f>VLOOKUP($H$5&amp;$G$1,'Input RM sheet'!$A:$BD,AL1,0)</f>
        <v>1.0829322457612403</v>
      </c>
      <c r="AN5" s="74">
        <f>VLOOKUP($H$5&amp;$G$1,'Input RM sheet'!$A:$BD,AM1,0)</f>
        <v>1.0855018240664733</v>
      </c>
      <c r="AO5" s="74">
        <f>VLOOKUP($H$5&amp;$G$1,'Input RM sheet'!$A:$BD,AN1,0)</f>
        <v>1.0549821404108952</v>
      </c>
      <c r="AP5" s="74">
        <f>VLOOKUP($H$5&amp;$G$1,'Input RM sheet'!$A:$BD,AO1,0)</f>
        <v>1.0740005833527477</v>
      </c>
      <c r="AQ5" s="74">
        <f>VLOOKUP($H$5&amp;$G$1,'Input RM sheet'!$A:$BD,AP1,0)</f>
        <v>1.1385193276752337</v>
      </c>
      <c r="AR5" s="74">
        <f>VLOOKUP($H$5&amp;$G$1,'Input RM sheet'!$A:$BD,AQ1,0)</f>
        <v>1.0816813265611029</v>
      </c>
      <c r="AS5" s="74">
        <f>VLOOKUP($H$5&amp;$G$1,'Input RM sheet'!$A:$BD,AR1,0)</f>
        <v>0.99756298566293211</v>
      </c>
      <c r="AT5" s="74">
        <f>VLOOKUP($H$5&amp;$G$1,'Input RM sheet'!$A:$BD,AS1,0)</f>
        <v>0.92545631998382882</v>
      </c>
      <c r="AU5" s="74">
        <f>VLOOKUP($H$5&amp;$G$1,'Input RM sheet'!$A:$BD,AT1,0)</f>
        <v>0.9011022063000439</v>
      </c>
      <c r="AV5" s="74">
        <f>VLOOKUP($H$5&amp;$G$1,'Input RM sheet'!$A:$BD,AU1,0)</f>
        <v>0.74767129009219857</v>
      </c>
      <c r="AW5" s="74">
        <f>VLOOKUP($H$5&amp;$G$1,'Input RM sheet'!$A:$BD,AV1,0)</f>
        <v>0.70626929682976414</v>
      </c>
      <c r="AX5" s="74">
        <f>VLOOKUP($H$5&amp;$G$1,'Input RM sheet'!$A:$BD,AW1,0)</f>
        <v>0.61818181818181817</v>
      </c>
      <c r="AY5" s="74">
        <f>VLOOKUP($H$5&amp;$G$1,'Input RM sheet'!$A:$BD,AX1,0)</f>
        <v>0.61863173216885003</v>
      </c>
      <c r="AZ5" s="74">
        <f>VLOOKUP($H$5&amp;$G$1,'Input RM sheet'!$A:$BD,AY1,0)</f>
        <v>0.6205889510829885</v>
      </c>
      <c r="BA5" s="74">
        <f>VLOOKUP($H$5&amp;$G$1,'Input RM sheet'!$A:$BD,AZ1,0)</f>
        <v>0.62255859375</v>
      </c>
      <c r="BB5" s="74">
        <f>VLOOKUP($H$5&amp;$G$1,'Input RM sheet'!$A:$BD,BA1,0)</f>
        <v>0.59567225869195228</v>
      </c>
      <c r="BC5" s="74">
        <f>VLOOKUP($H$5&amp;$G$1,'Input RM sheet'!$A:$BD,BB1,0)</f>
        <v>0.59157310153326093</v>
      </c>
      <c r="BD5" s="74">
        <f>VLOOKUP($H$5&amp;$G$1,'Input RM sheet'!$A:$BD,BC1,0)</f>
        <v>0.58858858858858853</v>
      </c>
      <c r="BE5" s="74">
        <f>VLOOKUP($H$5&amp;$G$1,'Input RM sheet'!$A:$BD,BD1,0)</f>
        <v>0.58858858858858853</v>
      </c>
      <c r="BF5" s="74">
        <f>VLOOKUP($H$5&amp;$G$1,'Input RM sheet'!$A:$BD,BE1,0)</f>
        <v>0.59286146400483963</v>
      </c>
      <c r="BG5" s="74">
        <f>VLOOKUP($H$5&amp;$G$1,'Input RM sheet'!$A:$DD,BF1,0)</f>
        <v>0.5900060204695966</v>
      </c>
      <c r="BH5" s="74">
        <f>VLOOKUP($H$5&amp;$G$1,'Input RM sheet'!$A:$DD,BG1,0)</f>
        <v>0.5666747046057391</v>
      </c>
      <c r="BI5" s="74">
        <f>VLOOKUP($H$5&amp;$G$1,'Input RM sheet'!$A:$DD,BH1,0)</f>
        <v>0.59085976124442297</v>
      </c>
      <c r="BJ5" s="74">
        <f>VLOOKUP($H$5&amp;$G$1,'Input RM sheet'!$A:$DD,BI1,0)</f>
        <v>0.58851789574825841</v>
      </c>
      <c r="BK5" s="74">
        <f>VLOOKUP($H$5&amp;$G$1,'Input RM sheet'!$A:$DD,BJ1,0)</f>
        <v>0.68493150684931503</v>
      </c>
      <c r="BL5" s="74">
        <f>VLOOKUP($H$5&amp;$G$1,'Input RM sheet'!$A:$DD,BK1,0)</f>
        <v>0.68468468468468469</v>
      </c>
      <c r="BM5" s="74">
        <f>VLOOKUP($H$5&amp;$G$1,'Input RM sheet'!$A:$DD,BL1,0)</f>
        <v>0.66169393647738206</v>
      </c>
      <c r="BN5" s="74">
        <f>VLOOKUP($H$5&amp;$G$1,'Input RM sheet'!$A:$DD,BM1,0)</f>
        <v>0.69661301945712217</v>
      </c>
      <c r="BO5" s="74">
        <f>VLOOKUP($H$5&amp;$G$1,'Input RM sheet'!$A:$DD,BN1,0)</f>
        <v>0.69694784907474161</v>
      </c>
      <c r="BP5" s="74">
        <f>VLOOKUP($H$5&amp;$G$1,'Input RM sheet'!$A:$DD,BO1,0)</f>
        <v>0.69719918259406177</v>
      </c>
      <c r="BQ5" s="74">
        <f>VLOOKUP($H$5&amp;$G$1,'Input RM sheet'!$A:$DD,BP1,0)</f>
        <v>0.69719918259406177</v>
      </c>
      <c r="BR5" s="74">
        <f>VLOOKUP($H$5&amp;$G$1,'Input RM sheet'!$A:$DD,BQ1,0)</f>
        <v>0.69602784111364457</v>
      </c>
      <c r="BS5" s="74">
        <f>VLOOKUP($H$5&amp;$G$1,'Input RM sheet'!$A:$DD,BR1,0)</f>
        <v>0.69544364508393286</v>
      </c>
      <c r="BT5" s="74">
        <f>VLOOKUP($H$5&amp;$G$1,'Input RM sheet'!$A:$DD,BS1,0)</f>
        <v>0.63579654510556627</v>
      </c>
      <c r="BU5" s="74">
        <f>VLOOKUP($H$5&amp;$G$1,'Input RM sheet'!$A:$DD,BT1,0)</f>
        <v>0.64872657376261422</v>
      </c>
      <c r="BV5" s="74">
        <f>VLOOKUP($H$5&amp;$G$1,'Input RM sheet'!$A:$DD,BU1,0)</f>
        <v>0.64810369659145473</v>
      </c>
      <c r="BW5" s="74">
        <f>VLOOKUP($H$5&amp;$G$1,'Input RM sheet'!$A:$DD,BV1,0)</f>
        <v>0.63146499879720952</v>
      </c>
      <c r="BX5" s="74">
        <f>VLOOKUP($H$5&amp;$G$1,'Input RM sheet'!$A:$DD,BW1,0)</f>
        <v>0.66145520144317493</v>
      </c>
      <c r="BY5" s="74">
        <f>VLOOKUP($H$5&amp;$G$1,'Input RM sheet'!$A:$DD,BX1,0)</f>
        <v>0.66066066066066065</v>
      </c>
      <c r="BZ5" s="74">
        <f>VLOOKUP($H$5&amp;$G$1,'Input RM sheet'!$A:$DD,BY1,0)</f>
        <v>0.67421141343607027</v>
      </c>
      <c r="CA5" s="74">
        <f>VLOOKUP($H$5&amp;$G$1,'Input RM sheet'!$A:$DD,BZ1,0)</f>
        <v>0.67469879518072284</v>
      </c>
      <c r="CB5" s="74">
        <f>VLOOKUP($H$5&amp;$G$1,'Input RM sheet'!$A:$DD,CA1,0)</f>
        <v>0.6746175159619322</v>
      </c>
      <c r="CC5" s="74">
        <f>VLOOKUP($H$5&amp;$G$1,'Input RM sheet'!$A:$DD,CB1,0)</f>
        <v>0.67551266586248493</v>
      </c>
      <c r="CD5" s="74">
        <f>VLOOKUP($H$5&amp;$G$1,'Input RM sheet'!$A:$DD,CC1,0)</f>
        <v>0.67551266586248493</v>
      </c>
      <c r="CE5" s="74">
        <f>VLOOKUP($H$5&amp;$G$1,'Input RM sheet'!$A:$DD,CD1,0)</f>
        <v>0.64087061668681977</v>
      </c>
      <c r="CF5" s="74">
        <f>VLOOKUP($H$5&amp;$G$1,'Input RM sheet'!$A:$DD,CE1,0)</f>
        <v>0.64040599323344605</v>
      </c>
      <c r="CG5" s="74">
        <f>VLOOKUP($H$5&amp;$G$1,'Input RM sheet'!$A:$DD,CF1,0)</f>
        <v>0.63656017295219791</v>
      </c>
      <c r="CH5" s="74">
        <f>VLOOKUP($H$5&amp;$G$1,'Input RM sheet'!$A:$DD,CG1,0)</f>
        <v>0.63556781388655714</v>
      </c>
      <c r="CI5" s="74">
        <f>VLOOKUP($H$5&amp;$G$1,'Input RM sheet'!$A:$DD,CH1,0)</f>
        <v>0.63694267515923575</v>
      </c>
      <c r="CJ5" s="74">
        <f>VLOOKUP($H$5&amp;$G$1,'Input RM sheet'!$A:$DD,CI1,0)</f>
        <v>0.63549160671462823</v>
      </c>
      <c r="CK5" s="74">
        <f>VLOOKUP($H$5&amp;$G$1,'Input RM sheet'!$A:$DD,CJ1,0)</f>
        <v>0.63389546704939603</v>
      </c>
      <c r="CL5" s="74">
        <f>VLOOKUP($H$5&amp;$G$1,'Input RM sheet'!$A:$DD,CK1,0)</f>
        <v>0.65931431311436106</v>
      </c>
      <c r="CM5" s="74">
        <f>VLOOKUP($H$5&amp;$G$1,'Input RM sheet'!$A:$DD,CL1,0)</f>
        <v>0.6586826347305389</v>
      </c>
      <c r="CN5" s="74">
        <f>VLOOKUP($H$5&amp;$G$1,'Input RM sheet'!$A:$DD,CM1,0)</f>
        <v>0.65986802639472109</v>
      </c>
      <c r="CO5" s="74">
        <f>VLOOKUP($H$5&amp;$G$1,'Input RM sheet'!$A:$DD,CN1,0)</f>
        <v>0.62387522495500902</v>
      </c>
      <c r="CP5" s="74">
        <f>VLOOKUP($H$5&amp;$G$1,'Input RM sheet'!$A:$DD,CO1,0)</f>
        <v>0.62387522495500902</v>
      </c>
      <c r="CQ5" s="74">
        <f>VLOOKUP($H$5&amp;$G$1,'Input RM sheet'!$A:$DD,CP1,0)</f>
        <v>0.62387522495500902</v>
      </c>
      <c r="CR5" s="74">
        <f>VLOOKUP($H$5&amp;$G$1,'Input RM sheet'!$A:$ZZ,CQ1,0)</f>
        <v>0.61985933961139583</v>
      </c>
      <c r="CS5" s="74">
        <f>VLOOKUP($H$5&amp;$G$1,'Input RM sheet'!$A:$ZZ,CR1,0)</f>
        <v>0.64748201438848918</v>
      </c>
      <c r="CT5" s="74">
        <f>VLOOKUP($H$5&amp;$G$1,'Input RM sheet'!$A:$ZZ,CS1,0)</f>
        <v>0.6467065868263473</v>
      </c>
      <c r="CU5" s="74">
        <f>VLOOKUP($H$5&amp;$G$1,'Input RM sheet'!$A:$ZZ,CT1,0)</f>
        <v>0.67106051527860988</v>
      </c>
      <c r="CV5" s="74">
        <f>VLOOKUP($H$5&amp;$G$1,'Input RM sheet'!$A:$ZZ,CU1,0)</f>
        <v>0.67089972445189894</v>
      </c>
      <c r="CW5" s="74">
        <f>VLOOKUP($H$5&amp;$G$1,'Input RM sheet'!$A:$ZZ,CV1,0)</f>
        <v>0.67025733093955719</v>
      </c>
      <c r="CX5" s="74">
        <f>VLOOKUP($H$5&amp;$G$1,'Input RM sheet'!$A:$ZZ,CW1,0)</f>
        <v>0.65710872162485068</v>
      </c>
      <c r="CY5" s="74">
        <f>VLOOKUP($H$5&amp;$G$1,'Input RM sheet'!$A:$ZZ,CX1,0)</f>
        <v>0.65687328317210081</v>
      </c>
      <c r="CZ5" s="74">
        <f>VLOOKUP($H$5&amp;$G$1,'Input RM sheet'!$A:$ZZ,CY1,0)</f>
        <v>0.67897558070279929</v>
      </c>
      <c r="DA5" s="74">
        <f>VLOOKUP($H$5&amp;$G$1,'Input RM sheet'!$A:$ZZ,CZ1,0)</f>
        <v>0.67889471176750837</v>
      </c>
      <c r="DB5" s="74">
        <f>VLOOKUP($H$5&amp;$G$1,'Input RM sheet'!$A:$ZZ,DA1,0)</f>
        <v>0.6793802145411203</v>
      </c>
      <c r="DC5" s="74">
        <f>VLOOKUP($H$5&amp;$G$1,'Input RM sheet'!$A:$ZZ,DB1,0)</f>
        <v>0.67946119918941472</v>
      </c>
      <c r="DD5" s="74">
        <f>VLOOKUP($H$5&amp;$G$1,'Input RM sheet'!$A:$ZZ,DC1,0)</f>
        <v>0.62529776083849453</v>
      </c>
      <c r="DE5" s="74">
        <f>VLOOKUP($H$5&amp;$G$1,'Input RM sheet'!$A:$ZZ,DD1,0)</f>
        <v>0.62529776083849453</v>
      </c>
      <c r="DF5" s="74">
        <f>VLOOKUP($H$5&amp;$G$1,'Input RM sheet'!$A:$ZZ,DE1,0)</f>
        <v>0.59224694903086861</v>
      </c>
      <c r="DG5" s="74">
        <f>VLOOKUP($H$5&amp;$G$1,'Input RM sheet'!$A:$ZZ,DF1,0)</f>
        <v>0.59168061200095623</v>
      </c>
      <c r="DH5" s="74">
        <f>VLOOKUP($H$5&amp;$G$1,'Input RM sheet'!$A:$ZZ,DG1,0)</f>
        <v>0.58949624866023576</v>
      </c>
      <c r="DI5" s="74">
        <f>VLOOKUP($H$5&amp;$G$1,'Input RM sheet'!$A:$ZZ,DH1,0)</f>
        <v>0.60068990127274891</v>
      </c>
      <c r="DJ5" s="74">
        <f>VLOOKUP($H$5&amp;$G$1,'Input RM sheet'!$A:$ZZ,DI1,0)</f>
        <v>0.60068990127274891</v>
      </c>
      <c r="DK5" s="74">
        <f>VLOOKUP($H$5&amp;$G$1,'Input RM sheet'!$A:$ZZ,DJ1,0)</f>
        <v>0.60061845861084684</v>
      </c>
      <c r="DL5" s="74">
        <f>VLOOKUP($H$5&amp;$G$1,'Input RM sheet'!$A:$ZZ,DK1,0)</f>
        <v>0.60033285782215884</v>
      </c>
      <c r="DM5" s="74">
        <f>VLOOKUP($H$5&amp;$G$1,'Input RM sheet'!$A:$ZZ,DL1,0)</f>
        <v>0.59834123222748814</v>
      </c>
      <c r="DN5" s="74">
        <f>VLOOKUP($H$5&amp;$G$1,'Input RM sheet'!$A:$ZZ,DM1,0)</f>
        <v>0.61706419840987303</v>
      </c>
      <c r="DO5" s="74">
        <f>VLOOKUP($H$5&amp;$G$1,'Input RM sheet'!$A:$ZZ,DN1,0)</f>
        <v>0.61443932411674351</v>
      </c>
      <c r="DP5" s="74">
        <f>VLOOKUP($H$5&amp;$G$1,'Input RM sheet'!$A:$ZZ,DO1,0)</f>
        <v>0.6376195536663124</v>
      </c>
      <c r="DQ5" s="74">
        <f>VLOOKUP($H$5&amp;$G$1,'Input RM sheet'!$A:$ZZ,DP1,0)</f>
        <v>0.63067311092773781</v>
      </c>
      <c r="DR5" s="74">
        <f>VLOOKUP($H$5&amp;$G$1,'Input RM sheet'!$A:$ZZ,DQ1,0)</f>
        <v>0.63000471031559113</v>
      </c>
      <c r="DS5" s="74">
        <f>VLOOKUP($H$5&amp;$G$1,'Input RM sheet'!$A:$ZZ,DR1,0)</f>
        <v>0.62808170932143692</v>
      </c>
    </row>
    <row r="6" spans="1:166" ht="26">
      <c r="A6" s="59" t="s">
        <v>395</v>
      </c>
      <c r="B6" s="59"/>
      <c r="C6" s="59" t="s">
        <v>379</v>
      </c>
      <c r="D6" s="98" t="s">
        <v>380</v>
      </c>
      <c r="E6" s="98" t="s">
        <v>381</v>
      </c>
      <c r="F6" s="59" t="s">
        <v>396</v>
      </c>
      <c r="H6" s="60" t="s">
        <v>399</v>
      </c>
    </row>
    <row r="7" spans="1:166">
      <c r="A7" s="384" t="s">
        <v>397</v>
      </c>
      <c r="B7" s="64" t="s">
        <v>78</v>
      </c>
      <c r="C7" s="60">
        <v>1</v>
      </c>
      <c r="D7" s="64">
        <v>74.120999999999995</v>
      </c>
      <c r="E7" s="60">
        <f>D7*C7</f>
        <v>74.120999999999995</v>
      </c>
      <c r="F7" s="65">
        <f>E7/$D$4</f>
        <v>0.57351439182915498</v>
      </c>
      <c r="H7" s="70"/>
      <c r="I7" s="74">
        <f>$F$7*(I4/1000)</f>
        <v>0.39658520194986069</v>
      </c>
      <c r="J7" s="74">
        <f t="shared" ref="J7:BO7" si="0">$F$7*(J4/1000)</f>
        <v>0.38210396355617449</v>
      </c>
      <c r="K7" s="74">
        <f t="shared" si="0"/>
        <v>0.37278435468895077</v>
      </c>
      <c r="L7" s="74">
        <f t="shared" si="0"/>
        <v>0.34582917827298043</v>
      </c>
      <c r="M7" s="74">
        <f t="shared" si="0"/>
        <v>0.3455424210770659</v>
      </c>
      <c r="N7" s="74">
        <f t="shared" si="0"/>
        <v>0.35127756499535745</v>
      </c>
      <c r="O7" s="74">
        <f t="shared" si="0"/>
        <v>0.35959352367688019</v>
      </c>
      <c r="P7" s="74">
        <f t="shared" si="0"/>
        <v>0.35414513695450323</v>
      </c>
      <c r="Q7" s="74">
        <f t="shared" si="0"/>
        <v>0.36633231778087277</v>
      </c>
      <c r="R7" s="74">
        <f t="shared" si="0"/>
        <v>0.39916601671309182</v>
      </c>
      <c r="S7" s="74">
        <f t="shared" si="0"/>
        <v>0.53551906337047339</v>
      </c>
      <c r="T7" s="74">
        <f t="shared" si="0"/>
        <v>0.61867865018570101</v>
      </c>
      <c r="U7" s="74">
        <f t="shared" si="0"/>
        <v>0.71044095287836573</v>
      </c>
      <c r="V7" s="74">
        <f t="shared" si="0"/>
        <v>0.7857147168059424</v>
      </c>
      <c r="W7" s="74">
        <f t="shared" si="0"/>
        <v>1.0681705547818012</v>
      </c>
      <c r="X7" s="74">
        <f t="shared" si="0"/>
        <v>0.94916631847725152</v>
      </c>
      <c r="Y7" s="74">
        <f t="shared" si="0"/>
        <v>1.0287414403435466</v>
      </c>
      <c r="Z7" s="74">
        <f t="shared" si="0"/>
        <v>1.0574171599350044</v>
      </c>
      <c r="AA7" s="74">
        <f t="shared" si="0"/>
        <v>1.0782070566388113</v>
      </c>
      <c r="AB7" s="74">
        <f t="shared" si="0"/>
        <v>1.1183530640668522</v>
      </c>
      <c r="AC7" s="74">
        <f t="shared" si="0"/>
        <v>1.1126179201485606</v>
      </c>
      <c r="AD7" s="74">
        <f t="shared" si="0"/>
        <v>1.0036501857010212</v>
      </c>
      <c r="AE7" s="74">
        <f t="shared" si="0"/>
        <v>0.95346767641597019</v>
      </c>
      <c r="AF7" s="74">
        <f t="shared" si="0"/>
        <v>0.78643160979572879</v>
      </c>
      <c r="AG7" s="74">
        <f t="shared" si="0"/>
        <v>0.73123084958217255</v>
      </c>
      <c r="AH7" s="74">
        <f t="shared" si="0"/>
        <v>0.78141335886722374</v>
      </c>
      <c r="AI7" s="74">
        <f t="shared" si="0"/>
        <v>0.84306615598885781</v>
      </c>
      <c r="AJ7" s="74">
        <f t="shared" si="0"/>
        <v>0.83876479805013915</v>
      </c>
      <c r="AK7" s="74">
        <f t="shared" si="0"/>
        <v>0.85310265784586803</v>
      </c>
      <c r="AL7" s="74">
        <f t="shared" si="0"/>
        <v>0.8132434076137417</v>
      </c>
      <c r="AM7" s="74">
        <f t="shared" si="0"/>
        <v>0.6416192258588671</v>
      </c>
      <c r="AN7" s="74">
        <f t="shared" si="0"/>
        <v>0.55200760213556166</v>
      </c>
      <c r="AO7" s="74">
        <f t="shared" si="0"/>
        <v>0.53566244196843082</v>
      </c>
      <c r="AP7" s="74">
        <f t="shared" si="0"/>
        <v>0.54483867223769722</v>
      </c>
      <c r="AQ7" s="74">
        <f t="shared" si="0"/>
        <v>0.54483867223769722</v>
      </c>
      <c r="AR7" s="74">
        <f t="shared" si="0"/>
        <v>0.53623595636025989</v>
      </c>
      <c r="AS7" s="74">
        <f t="shared" si="0"/>
        <v>0.5591765320334261</v>
      </c>
      <c r="AT7" s="74">
        <f t="shared" si="0"/>
        <v>0.57638196378830064</v>
      </c>
      <c r="AU7" s="74">
        <f t="shared" si="0"/>
        <v>0.5591765320334261</v>
      </c>
      <c r="AV7" s="74">
        <f t="shared" si="0"/>
        <v>0.56204410399257188</v>
      </c>
      <c r="AW7" s="74">
        <f t="shared" si="0"/>
        <v>0.5591765320334261</v>
      </c>
      <c r="AX7" s="74">
        <f t="shared" si="0"/>
        <v>0.51616295264623946</v>
      </c>
      <c r="AY7" s="74">
        <f t="shared" si="0"/>
        <v>0.50469266480965636</v>
      </c>
      <c r="AZ7" s="74">
        <f t="shared" si="0"/>
        <v>0.4989575208913648</v>
      </c>
      <c r="BA7" s="74">
        <f t="shared" si="0"/>
        <v>0.4989575208913648</v>
      </c>
      <c r="BB7" s="74">
        <f t="shared" si="0"/>
        <v>0.4989575208913648</v>
      </c>
      <c r="BC7" s="74">
        <f t="shared" si="0"/>
        <v>0.51042780872794791</v>
      </c>
      <c r="BD7" s="74">
        <f t="shared" si="0"/>
        <v>0.51616295264623946</v>
      </c>
      <c r="BE7" s="74">
        <f t="shared" si="0"/>
        <v>0.51616295264623946</v>
      </c>
      <c r="BF7" s="74">
        <f t="shared" si="0"/>
        <v>0.51616295264623946</v>
      </c>
      <c r="BG7" s="74">
        <f t="shared" si="0"/>
        <v>0.60219011142061274</v>
      </c>
      <c r="BH7" s="74">
        <f t="shared" si="0"/>
        <v>0.60219011142061274</v>
      </c>
      <c r="BI7" s="74">
        <f t="shared" si="0"/>
        <v>0.60219011142061274</v>
      </c>
      <c r="BJ7" s="74">
        <f t="shared" si="0"/>
        <v>0.60219011142061274</v>
      </c>
      <c r="BK7" s="74">
        <f t="shared" si="0"/>
        <v>0.60219011142061274</v>
      </c>
      <c r="BL7" s="74">
        <f t="shared" si="0"/>
        <v>0.61652797121634162</v>
      </c>
      <c r="BM7" s="74">
        <f t="shared" si="0"/>
        <v>0.60219011142061274</v>
      </c>
      <c r="BN7" s="74">
        <f t="shared" si="0"/>
        <v>0.57351439182915498</v>
      </c>
      <c r="BO7" s="74">
        <f t="shared" si="0"/>
        <v>0.5591765320334261</v>
      </c>
      <c r="BP7" s="74">
        <f t="shared" ref="BP7:BV7" si="1">$F$7*(BP4/1000)</f>
        <v>0.5591765320334261</v>
      </c>
      <c r="BQ7" s="74">
        <f t="shared" si="1"/>
        <v>0.5591765320334261</v>
      </c>
      <c r="BR7" s="74">
        <f t="shared" si="1"/>
        <v>0.5591765320334261</v>
      </c>
      <c r="BS7" s="74">
        <f t="shared" si="1"/>
        <v>0.5591765320334261</v>
      </c>
      <c r="BT7" s="74">
        <f t="shared" si="1"/>
        <v>0.5591765320334261</v>
      </c>
      <c r="BU7" s="74">
        <f t="shared" si="1"/>
        <v>0.57351439182915498</v>
      </c>
      <c r="BV7" s="74">
        <f t="shared" si="1"/>
        <v>0.57351439182915498</v>
      </c>
      <c r="BW7" s="74">
        <f>$F$7*(BW4/1000)</f>
        <v>0.61079282729805007</v>
      </c>
      <c r="BX7" s="74">
        <f>$F$7*(BX4/1000)</f>
        <v>0.62226311513463317</v>
      </c>
      <c r="BY7" s="74">
        <f>$F$7*(BY4/1000)</f>
        <v>0.62226311513463317</v>
      </c>
      <c r="BZ7" s="74">
        <f>$F$7*(BZ4/1000)</f>
        <v>0.62226311513463317</v>
      </c>
      <c r="CA7" s="74">
        <f>$F$7*(CA4/1000)</f>
        <v>0.62226311513463317</v>
      </c>
      <c r="CB7" s="74">
        <f t="shared" ref="CB7:CH7" si="2">$F$7*(CB4/1000)</f>
        <v>0.62226311513463317</v>
      </c>
      <c r="CC7" s="74">
        <f t="shared" si="2"/>
        <v>0.62226311513463317</v>
      </c>
      <c r="CD7" s="74">
        <f t="shared" si="2"/>
        <v>0.62082932915506028</v>
      </c>
      <c r="CE7" s="74">
        <f t="shared" si="2"/>
        <v>0.62082932915506028</v>
      </c>
      <c r="CF7" s="74">
        <f t="shared" si="2"/>
        <v>0.61652797121634162</v>
      </c>
      <c r="CG7" s="74">
        <f t="shared" si="2"/>
        <v>0.59071982358402964</v>
      </c>
      <c r="CH7" s="74">
        <f t="shared" si="2"/>
        <v>0.59071982358402964</v>
      </c>
      <c r="CI7" s="74">
        <f>$F$7*(CI4/1000)</f>
        <v>0.60046956824512521</v>
      </c>
      <c r="CJ7" s="74">
        <f>$F$7*(CJ4/1000)</f>
        <v>0.60046956824512521</v>
      </c>
      <c r="CK7" s="74">
        <f>$F$7*(CK4/1000)</f>
        <v>0.60046956824512521</v>
      </c>
      <c r="CL7" s="74">
        <f t="shared" ref="CL7:CQ7" si="3">$F$7*(CL4/1000)</f>
        <v>0.59932253946146696</v>
      </c>
      <c r="CM7" s="74">
        <f t="shared" si="3"/>
        <v>0.59645496750232119</v>
      </c>
      <c r="CN7" s="74">
        <f t="shared" si="3"/>
        <v>0.61193985608170831</v>
      </c>
      <c r="CO7" s="74">
        <f t="shared" si="3"/>
        <v>0.61193985608170831</v>
      </c>
      <c r="CP7" s="74">
        <f t="shared" si="3"/>
        <v>0.61193985608170831</v>
      </c>
      <c r="CQ7" s="74">
        <f t="shared" si="3"/>
        <v>0.61193985608170831</v>
      </c>
      <c r="CR7" s="74">
        <f>$F$7*(CR4/1000)</f>
        <v>0.61193985608170831</v>
      </c>
      <c r="CS7" s="74">
        <f>$F$7*(CS4/1000)</f>
        <v>0.61652797121634162</v>
      </c>
      <c r="CT7" s="74">
        <f t="shared" ref="CT7:DS7" si="4">$F$7*(CT4/1000)</f>
        <v>0.61652797121634162</v>
      </c>
      <c r="CU7" s="74">
        <f t="shared" si="4"/>
        <v>0.61652797121634162</v>
      </c>
      <c r="CV7" s="74">
        <f t="shared" si="4"/>
        <v>0.61652797121634162</v>
      </c>
      <c r="CW7" s="74">
        <f t="shared" si="4"/>
        <v>0.61652797121634162</v>
      </c>
      <c r="CX7" s="74">
        <f t="shared" si="4"/>
        <v>0.59932253946146696</v>
      </c>
      <c r="CY7" s="74">
        <f t="shared" si="4"/>
        <v>0.58785225162488375</v>
      </c>
      <c r="CZ7" s="74">
        <f t="shared" si="4"/>
        <v>0.58785225162488375</v>
      </c>
      <c r="DA7" s="74">
        <f t="shared" si="4"/>
        <v>0.58785225162488375</v>
      </c>
      <c r="DB7" s="74">
        <f t="shared" si="4"/>
        <v>0.58785225162488375</v>
      </c>
      <c r="DC7" s="74">
        <f t="shared" si="4"/>
        <v>0.56777924791086343</v>
      </c>
      <c r="DD7" s="74">
        <f t="shared" si="4"/>
        <v>0.53910352831940567</v>
      </c>
      <c r="DE7" s="74">
        <f t="shared" si="4"/>
        <v>0.53910352831940567</v>
      </c>
      <c r="DF7" s="74">
        <f t="shared" si="4"/>
        <v>0.53910352831940567</v>
      </c>
      <c r="DG7" s="74">
        <f t="shared" si="4"/>
        <v>0.53910352831940567</v>
      </c>
      <c r="DH7" s="74">
        <f t="shared" si="4"/>
        <v>0.53910352831940567</v>
      </c>
      <c r="DI7" s="74">
        <f t="shared" si="4"/>
        <v>0.51616295264623946</v>
      </c>
      <c r="DJ7" s="74">
        <f t="shared" si="4"/>
        <v>0.52189809656453101</v>
      </c>
      <c r="DK7" s="74">
        <f t="shared" si="4"/>
        <v>0.52189809656453101</v>
      </c>
      <c r="DL7" s="74">
        <f t="shared" si="4"/>
        <v>0.51903052460538524</v>
      </c>
      <c r="DM7" s="74">
        <f t="shared" si="4"/>
        <v>0.51903052460538524</v>
      </c>
      <c r="DN7" s="74">
        <f t="shared" si="4"/>
        <v>0.49608994893221903</v>
      </c>
      <c r="DO7" s="74">
        <f t="shared" si="4"/>
        <v>0.49608994893221903</v>
      </c>
      <c r="DP7" s="74">
        <f t="shared" si="4"/>
        <v>0.49608994893221903</v>
      </c>
      <c r="DQ7" s="74">
        <f t="shared" si="4"/>
        <v>0.4989575208913648</v>
      </c>
      <c r="DR7" s="74">
        <f t="shared" si="4"/>
        <v>0.49035480501392747</v>
      </c>
      <c r="DS7" s="74">
        <f t="shared" si="4"/>
        <v>0.4874872330547817</v>
      </c>
    </row>
    <row r="8" spans="1:166">
      <c r="A8" s="385"/>
      <c r="B8" s="64" t="s">
        <v>444</v>
      </c>
      <c r="C8" s="60">
        <v>1</v>
      </c>
      <c r="D8" s="64">
        <v>17.309999999999999</v>
      </c>
      <c r="E8" s="60">
        <f>D8*C8</f>
        <v>17.309999999999999</v>
      </c>
      <c r="F8" s="65">
        <f>E8/$D$4</f>
        <v>0.13393686165273908</v>
      </c>
      <c r="H8" s="70"/>
      <c r="I8" s="74">
        <f>$F$8*I5</f>
        <v>6.7805628714085728E-2</v>
      </c>
      <c r="J8" s="74">
        <f t="shared" ref="J8:BO8" si="5">$F$8*J5</f>
        <v>6.7778820366659928E-2</v>
      </c>
      <c r="K8" s="74">
        <f t="shared" si="5"/>
        <v>6.504805126504698E-2</v>
      </c>
      <c r="L8" s="74">
        <f t="shared" si="5"/>
        <v>6.2421155806963689E-2</v>
      </c>
      <c r="M8" s="74">
        <f t="shared" si="5"/>
        <v>6.333388255581486E-2</v>
      </c>
      <c r="N8" s="74">
        <f t="shared" si="5"/>
        <v>5.9130568817257888E-2</v>
      </c>
      <c r="O8" s="74">
        <f t="shared" si="5"/>
        <v>5.8164136768630172E-2</v>
      </c>
      <c r="P8" s="74">
        <f t="shared" si="5"/>
        <v>5.6971707597007981E-2</v>
      </c>
      <c r="Q8" s="74">
        <f t="shared" si="5"/>
        <v>5.7905916484013692E-2</v>
      </c>
      <c r="R8" s="74">
        <f t="shared" si="5"/>
        <v>5.7455521021299999E-2</v>
      </c>
      <c r="S8" s="74">
        <f t="shared" si="5"/>
        <v>5.6902085558774386E-2</v>
      </c>
      <c r="T8" s="74">
        <f t="shared" si="5"/>
        <v>6.0373314450660215E-2</v>
      </c>
      <c r="U8" s="74">
        <f t="shared" si="5"/>
        <v>6.3796900691513905E-2</v>
      </c>
      <c r="V8" s="74">
        <f t="shared" si="5"/>
        <v>6.8072306059771229E-2</v>
      </c>
      <c r="W8" s="74">
        <f t="shared" si="5"/>
        <v>6.8072306059771229E-2</v>
      </c>
      <c r="X8" s="74">
        <f t="shared" si="5"/>
        <v>7.1465390774493182E-2</v>
      </c>
      <c r="Y8" s="74">
        <f t="shared" si="5"/>
        <v>7.9539296681148799E-2</v>
      </c>
      <c r="Z8" s="74">
        <f t="shared" si="5"/>
        <v>8.4958658777952153E-2</v>
      </c>
      <c r="AA8" s="74">
        <f t="shared" si="5"/>
        <v>9.7226991054120165E-2</v>
      </c>
      <c r="AB8" s="74">
        <f t="shared" si="5"/>
        <v>9.7625849564525927E-2</v>
      </c>
      <c r="AC8" s="74">
        <f t="shared" si="5"/>
        <v>0.10026913797974273</v>
      </c>
      <c r="AD8" s="74">
        <f t="shared" si="5"/>
        <v>0.1060358239897351</v>
      </c>
      <c r="AE8" s="74">
        <f t="shared" si="5"/>
        <v>0.10994519385323016</v>
      </c>
      <c r="AF8" s="74">
        <f t="shared" si="5"/>
        <v>0.11333013123464114</v>
      </c>
      <c r="AG8" s="74">
        <f t="shared" si="5"/>
        <v>0.14150144978831758</v>
      </c>
      <c r="AH8" s="74">
        <f t="shared" si="5"/>
        <v>0.16150735653934553</v>
      </c>
      <c r="AI8" s="74">
        <f t="shared" si="5"/>
        <v>0.17788901345510016</v>
      </c>
      <c r="AJ8" s="74">
        <f t="shared" si="5"/>
        <v>0.16883845677145856</v>
      </c>
      <c r="AK8" s="74">
        <f t="shared" si="5"/>
        <v>0.15057311554300726</v>
      </c>
      <c r="AL8" s="74">
        <f t="shared" si="5"/>
        <v>0.14973855827241228</v>
      </c>
      <c r="AM8" s="74">
        <f t="shared" si="5"/>
        <v>0.14504454637981326</v>
      </c>
      <c r="AN8" s="74">
        <f t="shared" si="5"/>
        <v>0.14538870763378714</v>
      </c>
      <c r="AO8" s="74">
        <f t="shared" si="5"/>
        <v>0.14130099698632462</v>
      </c>
      <c r="AP8" s="74">
        <f t="shared" si="5"/>
        <v>0.14384826754747804</v>
      </c>
      <c r="AQ8" s="74">
        <f t="shared" si="5"/>
        <v>0.15248970567980727</v>
      </c>
      <c r="AR8" s="74">
        <f t="shared" si="5"/>
        <v>0.14487700218796573</v>
      </c>
      <c r="AS8" s="74">
        <f t="shared" si="5"/>
        <v>0.13361045560062948</v>
      </c>
      <c r="AT8" s="74">
        <f t="shared" si="5"/>
        <v>0.12395271509532711</v>
      </c>
      <c r="AU8" s="74">
        <f t="shared" si="5"/>
        <v>0.12069080154018692</v>
      </c>
      <c r="AV8" s="74">
        <f t="shared" si="5"/>
        <v>0.10014074614280374</v>
      </c>
      <c r="AW8" s="74">
        <f t="shared" si="5"/>
        <v>9.4595493099065425E-2</v>
      </c>
      <c r="AX8" s="74">
        <f t="shared" si="5"/>
        <v>8.2797332658056874E-2</v>
      </c>
      <c r="AY8" s="74">
        <f t="shared" si="5"/>
        <v>8.2857592725493603E-2</v>
      </c>
      <c r="AZ8" s="74">
        <f t="shared" si="5"/>
        <v>8.3119736484420684E-2</v>
      </c>
      <c r="BA8" s="74">
        <f t="shared" si="5"/>
        <v>8.3383544241817542E-2</v>
      </c>
      <c r="BB8" s="74">
        <f t="shared" si="5"/>
        <v>7.9782472902798621E-2</v>
      </c>
      <c r="BC8" s="74">
        <f t="shared" si="5"/>
        <v>7.9233444657542132E-2</v>
      </c>
      <c r="BD8" s="74">
        <f t="shared" si="5"/>
        <v>7.8833708360170743E-2</v>
      </c>
      <c r="BE8" s="74">
        <f t="shared" si="5"/>
        <v>7.8833708360170743E-2</v>
      </c>
      <c r="BF8" s="74">
        <f t="shared" si="5"/>
        <v>7.9406003883656553E-2</v>
      </c>
      <c r="BG8" s="74">
        <f t="shared" si="5"/>
        <v>7.9023554737919499E-2</v>
      </c>
      <c r="BH8" s="74">
        <f t="shared" si="5"/>
        <v>7.5898631512885659E-2</v>
      </c>
      <c r="BI8" s="74">
        <f t="shared" si="5"/>
        <v>7.9137902097964716E-2</v>
      </c>
      <c r="BJ8" s="74">
        <f t="shared" si="5"/>
        <v>7.8824239982995606E-2</v>
      </c>
      <c r="BK8" s="74">
        <f t="shared" si="5"/>
        <v>9.1737576474478819E-2</v>
      </c>
      <c r="BL8" s="74">
        <f t="shared" si="5"/>
        <v>9.1704517888361883E-2</v>
      </c>
      <c r="BM8" s="74">
        <f t="shared" si="5"/>
        <v>8.8625209226427443E-2</v>
      </c>
      <c r="BN8" s="74">
        <f t="shared" si="5"/>
        <v>9.33021616125254E-2</v>
      </c>
      <c r="BO8" s="74">
        <f t="shared" si="5"/>
        <v>9.3347007640697741E-2</v>
      </c>
      <c r="BP8" s="74">
        <f t="shared" ref="BP8:BV8" si="6">$F$8*BP5</f>
        <v>9.3380670463503623E-2</v>
      </c>
      <c r="BQ8" s="74">
        <f t="shared" si="6"/>
        <v>9.3380670463503623E-2</v>
      </c>
      <c r="BR8" s="74">
        <f t="shared" si="6"/>
        <v>9.3223784661692871E-2</v>
      </c>
      <c r="BS8" s="74">
        <f t="shared" si="6"/>
        <v>9.3145539278883291E-2</v>
      </c>
      <c r="BT8" s="74">
        <f t="shared" si="6"/>
        <v>8.5156593901093702E-2</v>
      </c>
      <c r="BU8" s="74">
        <f t="shared" si="6"/>
        <v>8.688840136049869E-2</v>
      </c>
      <c r="BV8" s="74">
        <f t="shared" si="6"/>
        <v>8.6804975146998448E-2</v>
      </c>
      <c r="BW8" s="74">
        <f>$F$8*BW5</f>
        <v>8.4576440182448892E-2</v>
      </c>
      <c r="BX8" s="74">
        <f>$F$8*BX5</f>
        <v>8.8593233805179181E-2</v>
      </c>
      <c r="BY8" s="74">
        <f>$F$8*BY5</f>
        <v>8.8486815506314098E-2</v>
      </c>
      <c r="BZ8" s="74">
        <f>$F$8*BZ5</f>
        <v>9.0301760806084611E-2</v>
      </c>
      <c r="CA8" s="74">
        <f>$F$8*CA5</f>
        <v>9.0367039187390211E-2</v>
      </c>
      <c r="CB8" s="74">
        <f t="shared" ref="CB8:CH8" si="7">$F$8*CB5</f>
        <v>9.0356152903907805E-2</v>
      </c>
      <c r="CC8" s="74">
        <f t="shared" si="7"/>
        <v>9.0476046472296595E-2</v>
      </c>
      <c r="CD8" s="74">
        <f t="shared" si="7"/>
        <v>9.0476046472296595E-2</v>
      </c>
      <c r="CE8" s="74">
        <f t="shared" si="7"/>
        <v>8.5836199124488158E-2</v>
      </c>
      <c r="CF8" s="74">
        <f t="shared" si="7"/>
        <v>8.5773968917293025E-2</v>
      </c>
      <c r="CG8" s="74">
        <f t="shared" si="7"/>
        <v>8.5258871818342186E-2</v>
      </c>
      <c r="CH8" s="74">
        <f t="shared" si="7"/>
        <v>8.5125958359457618E-2</v>
      </c>
      <c r="CI8" s="74">
        <f>$F$8*CI5</f>
        <v>8.5310102963528089E-2</v>
      </c>
      <c r="CJ8" s="74">
        <f>$F$8*CJ5</f>
        <v>8.5115751410014026E-2</v>
      </c>
      <c r="CK8" s="74">
        <f>$F$8*CK5</f>
        <v>8.4901969472493372E-2</v>
      </c>
      <c r="CL8" s="74">
        <f t="shared" ref="CL8:CQ8" si="8">$F$8*CL5</f>
        <v>8.830648994126887E-2</v>
      </c>
      <c r="CM8" s="74">
        <f t="shared" si="8"/>
        <v>8.822188492096586E-2</v>
      </c>
      <c r="CN8" s="74">
        <f t="shared" si="8"/>
        <v>8.838065256029573E-2</v>
      </c>
      <c r="CO8" s="74">
        <f t="shared" si="8"/>
        <v>8.3559889693370512E-2</v>
      </c>
      <c r="CP8" s="74">
        <f t="shared" si="8"/>
        <v>8.3559889693370512E-2</v>
      </c>
      <c r="CQ8" s="74">
        <f t="shared" si="8"/>
        <v>8.3559889693370512E-2</v>
      </c>
      <c r="CR8" s="74">
        <f>$F$8*CR5</f>
        <v>8.3022014613689729E-2</v>
      </c>
      <c r="CS8" s="74">
        <f>$F$8*CS5</f>
        <v>8.6721708983787893E-2</v>
      </c>
      <c r="CT8" s="74">
        <f t="shared" ref="CT8:DS8" si="9">$F$8*CT5</f>
        <v>8.6617850649675573E-2</v>
      </c>
      <c r="CU8" s="74">
        <f t="shared" si="9"/>
        <v>8.9879739395486963E-2</v>
      </c>
      <c r="CV8" s="74">
        <f t="shared" si="9"/>
        <v>8.9858203576774751E-2</v>
      </c>
      <c r="CW8" s="74">
        <f t="shared" si="9"/>
        <v>8.9772163405785615E-2</v>
      </c>
      <c r="CX8" s="74">
        <f t="shared" si="9"/>
        <v>8.8011079939075865E-2</v>
      </c>
      <c r="CY8" s="74">
        <f t="shared" si="9"/>
        <v>8.7979546051602159E-2</v>
      </c>
      <c r="CZ8" s="74">
        <f t="shared" si="9"/>
        <v>9.0939858418179004E-2</v>
      </c>
      <c r="DA8" s="74">
        <f t="shared" si="9"/>
        <v>9.0929027086780939E-2</v>
      </c>
      <c r="DB8" s="74">
        <f t="shared" si="9"/>
        <v>9.0994053804602223E-2</v>
      </c>
      <c r="DC8" s="74">
        <f t="shared" si="9"/>
        <v>9.1004900634236829E-2</v>
      </c>
      <c r="DD8" s="74">
        <f t="shared" si="9"/>
        <v>8.3750419685192964E-2</v>
      </c>
      <c r="DE8" s="74">
        <f t="shared" si="9"/>
        <v>8.3750419685192964E-2</v>
      </c>
      <c r="DF8" s="74">
        <f t="shared" si="9"/>
        <v>7.9323697676604257E-2</v>
      </c>
      <c r="DG8" s="74">
        <f t="shared" si="9"/>
        <v>7.9247844272180068E-2</v>
      </c>
      <c r="DH8" s="74">
        <f t="shared" si="9"/>
        <v>7.8955277501614671E-2</v>
      </c>
      <c r="DI8" s="74">
        <f t="shared" si="9"/>
        <v>8.045452020296566E-2</v>
      </c>
      <c r="DJ8" s="74">
        <f t="shared" si="9"/>
        <v>8.045452020296566E-2</v>
      </c>
      <c r="DK8" s="74">
        <f t="shared" si="9"/>
        <v>8.0444951397042386E-2</v>
      </c>
      <c r="DL8" s="74">
        <f t="shared" si="9"/>
        <v>8.040669892371996E-2</v>
      </c>
      <c r="DM8" s="74">
        <f t="shared" si="9"/>
        <v>8.0139946841982501E-2</v>
      </c>
      <c r="DN8" s="74">
        <f t="shared" si="9"/>
        <v>8.2647642173281494E-2</v>
      </c>
      <c r="DO8" s="74">
        <f t="shared" si="9"/>
        <v>8.2296074748226783E-2</v>
      </c>
      <c r="DP8" s="74">
        <f t="shared" si="9"/>
        <v>8.5400761946486117E-2</v>
      </c>
      <c r="DQ8" s="74">
        <f t="shared" si="9"/>
        <v>8.4470377206430983E-2</v>
      </c>
      <c r="DR8" s="74">
        <f t="shared" si="9"/>
        <v>8.4380853726113286E-2</v>
      </c>
      <c r="DS8" s="74">
        <f t="shared" si="9"/>
        <v>8.4123293008001171E-2</v>
      </c>
    </row>
    <row r="9" spans="1:166">
      <c r="A9" s="124"/>
      <c r="D9" s="64"/>
      <c r="F9" s="65"/>
      <c r="H9" s="70"/>
      <c r="I9" s="70"/>
      <c r="J9" s="70"/>
      <c r="K9" s="70"/>
      <c r="L9" s="70"/>
      <c r="M9" s="70"/>
      <c r="N9" s="70"/>
      <c r="O9" s="70"/>
      <c r="P9" s="70"/>
      <c r="Q9" s="70"/>
      <c r="R9" s="70"/>
      <c r="S9" s="70"/>
      <c r="T9" s="70"/>
      <c r="U9" s="70"/>
      <c r="V9" s="70"/>
      <c r="W9" s="70"/>
      <c r="X9" s="70"/>
      <c r="Y9" s="70"/>
      <c r="Z9" s="70"/>
      <c r="AA9" s="70"/>
      <c r="AB9" s="70"/>
      <c r="AC9" s="70"/>
      <c r="AD9" s="70"/>
      <c r="AE9" s="70"/>
      <c r="AF9" s="70"/>
      <c r="AG9" s="70"/>
      <c r="AH9" s="70"/>
      <c r="AI9" s="70"/>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0"/>
      <c r="DD9" s="70"/>
      <c r="DE9" s="70"/>
      <c r="DF9" s="70"/>
      <c r="DG9" s="70"/>
      <c r="DH9" s="70"/>
      <c r="DI9" s="70"/>
      <c r="DJ9" s="70"/>
      <c r="DK9" s="70"/>
      <c r="DL9" s="70"/>
      <c r="DM9" s="70"/>
      <c r="DN9" s="70"/>
      <c r="DO9" s="70"/>
      <c r="DP9" s="70"/>
      <c r="DQ9" s="70"/>
      <c r="DR9" s="70"/>
      <c r="DS9" s="70"/>
    </row>
    <row r="10" spans="1:166" s="104" customFormat="1">
      <c r="A10" s="104" t="s">
        <v>400</v>
      </c>
      <c r="H10" s="134"/>
      <c r="I10" s="105">
        <f>SUM(I7:I9)</f>
        <v>0.46439083066394643</v>
      </c>
      <c r="J10" s="105">
        <f t="shared" ref="J10:BO10" si="10">SUM(J7:J9)</f>
        <v>0.44988278392283443</v>
      </c>
      <c r="K10" s="105">
        <f t="shared" si="10"/>
        <v>0.43783240595399775</v>
      </c>
      <c r="L10" s="105">
        <f t="shared" si="10"/>
        <v>0.4082503340799441</v>
      </c>
      <c r="M10" s="105">
        <f t="shared" si="10"/>
        <v>0.40887630363288074</v>
      </c>
      <c r="N10" s="105">
        <f t="shared" si="10"/>
        <v>0.41040813381261532</v>
      </c>
      <c r="O10" s="105">
        <f t="shared" si="10"/>
        <v>0.41775766044551038</v>
      </c>
      <c r="P10" s="105">
        <f t="shared" si="10"/>
        <v>0.41111684455151121</v>
      </c>
      <c r="Q10" s="105">
        <f t="shared" si="10"/>
        <v>0.42423823426488649</v>
      </c>
      <c r="R10" s="105">
        <f t="shared" si="10"/>
        <v>0.45662153773439185</v>
      </c>
      <c r="S10" s="105">
        <f t="shared" si="10"/>
        <v>0.5924211489292478</v>
      </c>
      <c r="T10" s="105">
        <f t="shared" si="10"/>
        <v>0.67905196463636119</v>
      </c>
      <c r="U10" s="105">
        <f t="shared" si="10"/>
        <v>0.77423785356987962</v>
      </c>
      <c r="V10" s="105">
        <f t="shared" si="10"/>
        <v>0.85378702286571362</v>
      </c>
      <c r="W10" s="105">
        <f t="shared" si="10"/>
        <v>1.1362428608415724</v>
      </c>
      <c r="X10" s="105">
        <f t="shared" si="10"/>
        <v>1.0206317092517447</v>
      </c>
      <c r="Y10" s="105">
        <f t="shared" si="10"/>
        <v>1.1082807370246954</v>
      </c>
      <c r="Z10" s="105">
        <f t="shared" si="10"/>
        <v>1.1423758187129565</v>
      </c>
      <c r="AA10" s="105">
        <f t="shared" si="10"/>
        <v>1.1754340476929315</v>
      </c>
      <c r="AB10" s="105">
        <f t="shared" si="10"/>
        <v>1.2159789136313781</v>
      </c>
      <c r="AC10" s="105">
        <f t="shared" si="10"/>
        <v>1.2128870581283033</v>
      </c>
      <c r="AD10" s="105">
        <f t="shared" si="10"/>
        <v>1.1096860096907561</v>
      </c>
      <c r="AE10" s="105">
        <f t="shared" si="10"/>
        <v>1.0634128702692003</v>
      </c>
      <c r="AF10" s="105">
        <f t="shared" si="10"/>
        <v>0.89976174103036999</v>
      </c>
      <c r="AG10" s="105">
        <f t="shared" si="10"/>
        <v>0.87273229937049013</v>
      </c>
      <c r="AH10" s="105">
        <f t="shared" si="10"/>
        <v>0.9429207154065693</v>
      </c>
      <c r="AI10" s="105">
        <f t="shared" si="10"/>
        <v>1.020955169443958</v>
      </c>
      <c r="AJ10" s="105">
        <f t="shared" si="10"/>
        <v>1.0076032548215976</v>
      </c>
      <c r="AK10" s="105">
        <f t="shared" si="10"/>
        <v>1.0036757733888753</v>
      </c>
      <c r="AL10" s="105">
        <f t="shared" si="10"/>
        <v>0.96298196588615403</v>
      </c>
      <c r="AM10" s="105">
        <f t="shared" si="10"/>
        <v>0.78666377223868034</v>
      </c>
      <c r="AN10" s="105">
        <f t="shared" si="10"/>
        <v>0.69739630976934874</v>
      </c>
      <c r="AO10" s="105">
        <f t="shared" si="10"/>
        <v>0.67696343895475541</v>
      </c>
      <c r="AP10" s="105">
        <f t="shared" si="10"/>
        <v>0.68868693978517526</v>
      </c>
      <c r="AQ10" s="105">
        <f t="shared" si="10"/>
        <v>0.69732837791750446</v>
      </c>
      <c r="AR10" s="105">
        <f t="shared" si="10"/>
        <v>0.68111295854822562</v>
      </c>
      <c r="AS10" s="105">
        <f t="shared" si="10"/>
        <v>0.69278698763405555</v>
      </c>
      <c r="AT10" s="105">
        <f t="shared" si="10"/>
        <v>0.70033467888362777</v>
      </c>
      <c r="AU10" s="105">
        <f t="shared" si="10"/>
        <v>0.67986733357361306</v>
      </c>
      <c r="AV10" s="105">
        <f t="shared" si="10"/>
        <v>0.66218485013537565</v>
      </c>
      <c r="AW10" s="105">
        <f t="shared" si="10"/>
        <v>0.65377202513249155</v>
      </c>
      <c r="AX10" s="105">
        <f t="shared" si="10"/>
        <v>0.59896028530429635</v>
      </c>
      <c r="AY10" s="105">
        <f t="shared" si="10"/>
        <v>0.58755025753515</v>
      </c>
      <c r="AZ10" s="105">
        <f t="shared" si="10"/>
        <v>0.58207725737578553</v>
      </c>
      <c r="BA10" s="105">
        <f t="shared" si="10"/>
        <v>0.5823410651331824</v>
      </c>
      <c r="BB10" s="105">
        <f t="shared" si="10"/>
        <v>0.57873999379416341</v>
      </c>
      <c r="BC10" s="105">
        <f t="shared" si="10"/>
        <v>0.58966125338549003</v>
      </c>
      <c r="BD10" s="105">
        <f t="shared" si="10"/>
        <v>0.59499666100641024</v>
      </c>
      <c r="BE10" s="105">
        <f t="shared" si="10"/>
        <v>0.59499666100641024</v>
      </c>
      <c r="BF10" s="105">
        <f t="shared" si="10"/>
        <v>0.59556895652989605</v>
      </c>
      <c r="BG10" s="105">
        <f t="shared" si="10"/>
        <v>0.68121366615853218</v>
      </c>
      <c r="BH10" s="105">
        <f t="shared" si="10"/>
        <v>0.67808874293349841</v>
      </c>
      <c r="BI10" s="105">
        <f t="shared" si="10"/>
        <v>0.68132801351857741</v>
      </c>
      <c r="BJ10" s="105">
        <f t="shared" si="10"/>
        <v>0.68101435140360833</v>
      </c>
      <c r="BK10" s="105">
        <f t="shared" si="10"/>
        <v>0.69392768789509152</v>
      </c>
      <c r="BL10" s="105">
        <f t="shared" si="10"/>
        <v>0.70823248910470349</v>
      </c>
      <c r="BM10" s="105">
        <f t="shared" si="10"/>
        <v>0.69081532064704021</v>
      </c>
      <c r="BN10" s="105">
        <f t="shared" si="10"/>
        <v>0.66681655344168034</v>
      </c>
      <c r="BO10" s="105">
        <f t="shared" si="10"/>
        <v>0.6525235396741238</v>
      </c>
      <c r="BP10" s="105">
        <f t="shared" ref="BP10:BV10" si="11">SUM(BP7:BP9)</f>
        <v>0.65255720249692972</v>
      </c>
      <c r="BQ10" s="105">
        <f t="shared" si="11"/>
        <v>0.65255720249692972</v>
      </c>
      <c r="BR10" s="105">
        <f t="shared" si="11"/>
        <v>0.652400316695119</v>
      </c>
      <c r="BS10" s="105">
        <f t="shared" si="11"/>
        <v>0.65232207131230935</v>
      </c>
      <c r="BT10" s="105">
        <f t="shared" si="11"/>
        <v>0.64433312593451975</v>
      </c>
      <c r="BU10" s="105">
        <f t="shared" si="11"/>
        <v>0.66040279318965367</v>
      </c>
      <c r="BV10" s="105">
        <f t="shared" si="11"/>
        <v>0.66031936697615345</v>
      </c>
      <c r="BW10" s="105">
        <f>SUM(BW7:BW9)</f>
        <v>0.69536926748049899</v>
      </c>
      <c r="BX10" s="105">
        <f>SUM(BX7:BX9)</f>
        <v>0.71085634893981231</v>
      </c>
      <c r="BY10" s="105">
        <f>SUM(BY7:BY9)</f>
        <v>0.71074993064094727</v>
      </c>
      <c r="BZ10" s="105">
        <f>SUM(BZ7:BZ9)</f>
        <v>0.71256487594071782</v>
      </c>
      <c r="CA10" s="105">
        <f>SUM(CA7:CA9)</f>
        <v>0.71263015432202337</v>
      </c>
      <c r="CB10" s="105">
        <f t="shared" ref="CB10:CH10" si="12">SUM(CB7:CB9)</f>
        <v>0.71261926803854103</v>
      </c>
      <c r="CC10" s="105">
        <f t="shared" si="12"/>
        <v>0.71273916160692974</v>
      </c>
      <c r="CD10" s="105">
        <f t="shared" si="12"/>
        <v>0.71130537562735685</v>
      </c>
      <c r="CE10" s="105">
        <f t="shared" si="12"/>
        <v>0.70666552827954843</v>
      </c>
      <c r="CF10" s="105">
        <f t="shared" si="12"/>
        <v>0.70230194013363467</v>
      </c>
      <c r="CG10" s="105">
        <f t="shared" si="12"/>
        <v>0.67597869540237188</v>
      </c>
      <c r="CH10" s="105">
        <f t="shared" si="12"/>
        <v>0.67584578194348721</v>
      </c>
      <c r="CI10" s="105">
        <f>SUM(CI7:CI9)</f>
        <v>0.68577967120865324</v>
      </c>
      <c r="CJ10" s="105">
        <f>SUM(CJ7:CJ9)</f>
        <v>0.68558531965513925</v>
      </c>
      <c r="CK10" s="105">
        <f>SUM(CK7:CK9)</f>
        <v>0.68537153771761861</v>
      </c>
      <c r="CL10" s="105">
        <f t="shared" ref="CL10:CQ10" si="13">SUM(CL7:CL9)</f>
        <v>0.68762902940273585</v>
      </c>
      <c r="CM10" s="105">
        <f t="shared" si="13"/>
        <v>0.68467685242328702</v>
      </c>
      <c r="CN10" s="105">
        <f t="shared" si="13"/>
        <v>0.70032050864200401</v>
      </c>
      <c r="CO10" s="105">
        <f t="shared" si="13"/>
        <v>0.69549974577507878</v>
      </c>
      <c r="CP10" s="105">
        <f t="shared" si="13"/>
        <v>0.69549974577507878</v>
      </c>
      <c r="CQ10" s="105">
        <f t="shared" si="13"/>
        <v>0.69549974577507878</v>
      </c>
      <c r="CR10" s="105">
        <f>SUM(CR7:CR9)</f>
        <v>0.69496187069539805</v>
      </c>
      <c r="CS10" s="105">
        <f>SUM(CS7:CS9)</f>
        <v>0.70324968020012957</v>
      </c>
      <c r="CT10" s="105">
        <f t="shared" ref="CT10:DS10" si="14">SUM(CT7:CT9)</f>
        <v>0.70314582186601715</v>
      </c>
      <c r="CU10" s="105">
        <f t="shared" si="14"/>
        <v>0.70640771061182861</v>
      </c>
      <c r="CV10" s="105">
        <f t="shared" si="14"/>
        <v>0.70638617479311638</v>
      </c>
      <c r="CW10" s="105">
        <f t="shared" si="14"/>
        <v>0.70630013462212726</v>
      </c>
      <c r="CX10" s="105">
        <f t="shared" si="14"/>
        <v>0.68733361940054283</v>
      </c>
      <c r="CY10" s="105">
        <f t="shared" si="14"/>
        <v>0.67583179767648593</v>
      </c>
      <c r="CZ10" s="105">
        <f t="shared" si="14"/>
        <v>0.67879211004306272</v>
      </c>
      <c r="DA10" s="105">
        <f t="shared" si="14"/>
        <v>0.67878127871166472</v>
      </c>
      <c r="DB10" s="105">
        <f t="shared" si="14"/>
        <v>0.67884630542948599</v>
      </c>
      <c r="DC10" s="105">
        <f t="shared" si="14"/>
        <v>0.65878414854510026</v>
      </c>
      <c r="DD10" s="105">
        <f t="shared" si="14"/>
        <v>0.62285394800459859</v>
      </c>
      <c r="DE10" s="105">
        <f t="shared" si="14"/>
        <v>0.62285394800459859</v>
      </c>
      <c r="DF10" s="105">
        <f t="shared" si="14"/>
        <v>0.61842722599600997</v>
      </c>
      <c r="DG10" s="105">
        <f t="shared" si="14"/>
        <v>0.61835137259158568</v>
      </c>
      <c r="DH10" s="105">
        <f t="shared" si="14"/>
        <v>0.61805880582102035</v>
      </c>
      <c r="DI10" s="105">
        <f t="shared" si="14"/>
        <v>0.59661747284920508</v>
      </c>
      <c r="DJ10" s="105">
        <f t="shared" si="14"/>
        <v>0.60235261676749663</v>
      </c>
      <c r="DK10" s="105">
        <f t="shared" si="14"/>
        <v>0.60234304796157345</v>
      </c>
      <c r="DL10" s="105">
        <f t="shared" si="14"/>
        <v>0.59943722352910522</v>
      </c>
      <c r="DM10" s="105">
        <f t="shared" si="14"/>
        <v>0.59917047144736779</v>
      </c>
      <c r="DN10" s="105">
        <f t="shared" si="14"/>
        <v>0.57873759110550049</v>
      </c>
      <c r="DO10" s="105">
        <f t="shared" si="14"/>
        <v>0.57838602368044578</v>
      </c>
      <c r="DP10" s="105">
        <f t="shared" si="14"/>
        <v>0.58149071087870519</v>
      </c>
      <c r="DQ10" s="105">
        <f t="shared" si="14"/>
        <v>0.58342789809779583</v>
      </c>
      <c r="DR10" s="105">
        <f t="shared" si="14"/>
        <v>0.57473565874004073</v>
      </c>
      <c r="DS10" s="105">
        <f t="shared" si="14"/>
        <v>0.57161052606278284</v>
      </c>
    </row>
    <row r="11" spans="1:166" ht="13">
      <c r="A11" s="331" t="s">
        <v>642</v>
      </c>
      <c r="B11" s="60" t="s">
        <v>643</v>
      </c>
      <c r="H11" s="60" t="s">
        <v>429</v>
      </c>
      <c r="I11" s="70"/>
      <c r="J11" s="70"/>
      <c r="K11" s="70"/>
      <c r="L11" s="70"/>
      <c r="M11" s="70"/>
      <c r="N11" s="70"/>
      <c r="O11" s="74">
        <v>1.43</v>
      </c>
      <c r="P11" s="70"/>
      <c r="Q11" s="70"/>
      <c r="R11" s="70"/>
      <c r="S11" s="70"/>
      <c r="T11" s="70"/>
      <c r="U11" s="70"/>
      <c r="V11" s="70"/>
      <c r="W11" s="70"/>
      <c r="X11" s="70"/>
      <c r="Y11" s="70"/>
      <c r="Z11" s="70"/>
      <c r="AA11" s="70"/>
      <c r="AB11" s="70"/>
      <c r="AC11" s="70"/>
      <c r="AD11" s="70"/>
      <c r="AE11" s="70"/>
      <c r="AF11" s="70"/>
      <c r="AG11" s="70"/>
      <c r="AH11" s="70"/>
      <c r="AI11" s="70"/>
      <c r="AJ11" s="70"/>
      <c r="AK11" s="70"/>
      <c r="AL11" s="70"/>
      <c r="AM11" s="70"/>
      <c r="AN11" s="70"/>
      <c r="AO11" s="70">
        <v>2.2200000000000002</v>
      </c>
      <c r="AP11" s="74">
        <f>135/83</f>
        <v>1.6265060240963856</v>
      </c>
      <c r="AQ11" s="70"/>
      <c r="AR11" s="70">
        <v>2.2599999999999998</v>
      </c>
      <c r="AS11" s="70"/>
      <c r="AT11" s="70"/>
      <c r="AU11" s="70"/>
      <c r="AV11" s="74">
        <v>2.1</v>
      </c>
      <c r="AW11" s="70"/>
      <c r="AX11" s="70"/>
      <c r="AY11" s="70"/>
      <c r="AZ11" s="70"/>
      <c r="BA11" s="70"/>
      <c r="BB11" s="70"/>
      <c r="BC11" s="70"/>
      <c r="BD11" s="70"/>
      <c r="BE11" s="70"/>
      <c r="BF11" s="70"/>
      <c r="BG11" s="70"/>
      <c r="BH11" s="70">
        <f>168/83</f>
        <v>2.0240963855421685</v>
      </c>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v>1.93</v>
      </c>
      <c r="CW11" s="70"/>
      <c r="CX11" s="70"/>
      <c r="CY11" s="70"/>
      <c r="CZ11" s="70">
        <f>182/83</f>
        <v>2.1927710843373496</v>
      </c>
      <c r="DA11" s="70"/>
      <c r="DB11" s="70"/>
      <c r="DC11" s="70"/>
      <c r="DD11" s="70"/>
      <c r="DE11" s="70"/>
      <c r="DF11" s="70">
        <v>1.72</v>
      </c>
      <c r="DG11" s="70"/>
      <c r="DH11" s="70"/>
      <c r="DI11" s="70"/>
      <c r="DJ11" s="70"/>
      <c r="DK11" s="70"/>
      <c r="DL11" s="70"/>
      <c r="DM11" s="70"/>
      <c r="DN11" s="70"/>
      <c r="DO11" s="70"/>
      <c r="DP11" s="70"/>
      <c r="DQ11" s="70"/>
      <c r="DR11" s="70"/>
      <c r="DS11" s="70"/>
    </row>
    <row r="12" spans="1:166">
      <c r="A12" s="30"/>
      <c r="H12" s="73" t="s">
        <v>406</v>
      </c>
      <c r="I12" s="70"/>
      <c r="J12" s="70"/>
      <c r="K12" s="70"/>
      <c r="L12" s="70"/>
      <c r="M12" s="70"/>
      <c r="N12" s="70"/>
      <c r="O12" s="74">
        <f>O11-O10</f>
        <v>1.0122423395544895</v>
      </c>
      <c r="P12" s="70"/>
      <c r="Q12" s="70"/>
      <c r="R12" s="70"/>
      <c r="S12" s="70"/>
      <c r="T12" s="70"/>
      <c r="U12" s="70"/>
      <c r="V12" s="70"/>
      <c r="W12" s="70"/>
      <c r="X12" s="70"/>
      <c r="Y12" s="70"/>
      <c r="Z12" s="70"/>
      <c r="AA12" s="70"/>
      <c r="AB12" s="70"/>
      <c r="AC12" s="70"/>
      <c r="AD12" s="70"/>
      <c r="AE12" s="70"/>
      <c r="AF12" s="70"/>
      <c r="AG12" s="70"/>
      <c r="AH12" s="70"/>
      <c r="AI12" s="70"/>
      <c r="AJ12" s="70"/>
      <c r="AK12" s="70"/>
      <c r="AL12" s="70"/>
      <c r="AM12" s="70"/>
      <c r="AN12" s="70"/>
      <c r="AO12" s="74">
        <f>AO11-AO10</f>
        <v>1.5430365610452448</v>
      </c>
      <c r="AP12" s="74">
        <f>AP11-AP10</f>
        <v>0.9378190843112103</v>
      </c>
      <c r="AQ12" s="70"/>
      <c r="AR12" s="74">
        <f>AR11-AR10</f>
        <v>1.5788870414517742</v>
      </c>
      <c r="AS12" s="70"/>
      <c r="AT12" s="70"/>
      <c r="AU12" s="70"/>
      <c r="AV12" s="74">
        <f>AV11-AV10</f>
        <v>1.4378151498646243</v>
      </c>
      <c r="AW12" s="70"/>
      <c r="AX12" s="70"/>
      <c r="AY12" s="70"/>
      <c r="AZ12" s="70"/>
      <c r="BA12" s="70"/>
      <c r="BB12" s="70"/>
      <c r="BC12" s="70"/>
      <c r="BD12" s="70"/>
      <c r="BE12" s="70"/>
      <c r="BF12" s="70"/>
      <c r="BG12" s="70"/>
      <c r="BH12" s="70">
        <f>BH11-BH10</f>
        <v>1.34600764260867</v>
      </c>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f>CV11-CV10</f>
        <v>1.2236138252068836</v>
      </c>
      <c r="CW12" s="70"/>
      <c r="CX12" s="70"/>
      <c r="CY12" s="70"/>
      <c r="CZ12" s="70">
        <f>CZ11-CZ10</f>
        <v>1.5139789742942869</v>
      </c>
      <c r="DA12" s="70"/>
      <c r="DB12" s="70"/>
      <c r="DC12" s="70"/>
      <c r="DD12" s="70"/>
      <c r="DE12" s="70"/>
      <c r="DF12" s="74">
        <f>DF11-DF10</f>
        <v>1.10157277400399</v>
      </c>
      <c r="DG12" s="70"/>
      <c r="DH12" s="70"/>
      <c r="DI12" s="70"/>
      <c r="DJ12" s="70"/>
      <c r="DK12" s="70"/>
      <c r="DL12" s="70"/>
      <c r="DM12" s="70"/>
      <c r="DN12" s="70"/>
      <c r="DO12" s="70"/>
      <c r="DP12" s="70"/>
      <c r="DQ12" s="70"/>
      <c r="DR12" s="70"/>
      <c r="DS12" s="70"/>
    </row>
    <row r="13" spans="1:166" ht="14">
      <c r="H13" s="8"/>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5"/>
      <c r="BZ13" s="65"/>
      <c r="CA13" s="65"/>
      <c r="CB13" s="65"/>
      <c r="CC13" s="65"/>
      <c r="CD13" s="65"/>
      <c r="CE13" s="65"/>
      <c r="CF13" s="65"/>
      <c r="CG13" s="65"/>
      <c r="CH13" s="65"/>
      <c r="CI13" s="65"/>
      <c r="CJ13" s="65"/>
      <c r="CK13" s="65"/>
      <c r="CL13" s="65"/>
      <c r="CM13" s="65"/>
      <c r="CN13" s="65"/>
      <c r="CO13" s="65"/>
      <c r="CP13" s="65"/>
      <c r="CQ13" s="65"/>
      <c r="CR13" s="65"/>
      <c r="CS13" s="65"/>
      <c r="CT13" s="65"/>
      <c r="CU13" s="65"/>
      <c r="CV13" s="65"/>
      <c r="CW13" s="65"/>
      <c r="CX13" s="65"/>
      <c r="CY13" s="65"/>
      <c r="CZ13" s="65"/>
      <c r="DA13" s="65"/>
      <c r="DB13" s="65"/>
      <c r="DC13" s="65"/>
      <c r="DD13" s="65"/>
      <c r="DE13" s="65"/>
      <c r="DF13" s="65"/>
      <c r="DG13" s="65"/>
      <c r="DH13" s="65"/>
      <c r="DI13" s="65"/>
      <c r="DJ13" s="65"/>
      <c r="DK13" s="65"/>
      <c r="DL13" s="65"/>
      <c r="DM13" s="65"/>
      <c r="DN13" s="65"/>
      <c r="DO13" s="65"/>
      <c r="DP13" s="65"/>
      <c r="DQ13" s="65"/>
      <c r="DR13" s="65"/>
      <c r="DS13" s="65"/>
    </row>
    <row r="14" spans="1:166" ht="14">
      <c r="H14" s="8"/>
    </row>
    <row r="15" spans="1:166" s="73" customFormat="1">
      <c r="H15" s="73" t="s">
        <v>407</v>
      </c>
      <c r="I15" s="93">
        <f>1.01+I10</f>
        <v>1.4743908306639464</v>
      </c>
      <c r="J15" s="93">
        <f t="shared" ref="J15:BW15" si="15">1.01+J10</f>
        <v>1.4598827839228345</v>
      </c>
      <c r="K15" s="93">
        <f t="shared" si="15"/>
        <v>1.4478324059539978</v>
      </c>
      <c r="L15" s="93">
        <f t="shared" si="15"/>
        <v>1.4182503340799442</v>
      </c>
      <c r="M15" s="93">
        <f t="shared" si="15"/>
        <v>1.4188763036328806</v>
      </c>
      <c r="N15" s="93">
        <f t="shared" si="15"/>
        <v>1.4204081338126153</v>
      </c>
      <c r="O15" s="93">
        <f t="shared" si="15"/>
        <v>1.4277576604455104</v>
      </c>
      <c r="P15" s="93">
        <f t="shared" si="15"/>
        <v>1.4211168445515112</v>
      </c>
      <c r="Q15" s="93">
        <f t="shared" si="15"/>
        <v>1.4342382342648865</v>
      </c>
      <c r="R15" s="93">
        <f t="shared" si="15"/>
        <v>1.4666215377343919</v>
      </c>
      <c r="S15" s="93">
        <f t="shared" si="15"/>
        <v>1.6024211489292477</v>
      </c>
      <c r="T15" s="93">
        <f t="shared" si="15"/>
        <v>1.6890519646363611</v>
      </c>
      <c r="U15" s="93">
        <f t="shared" si="15"/>
        <v>1.7842378535698797</v>
      </c>
      <c r="V15" s="93">
        <f t="shared" si="15"/>
        <v>1.8637870228657136</v>
      </c>
      <c r="W15" s="93">
        <f t="shared" si="15"/>
        <v>2.1462428608415722</v>
      </c>
      <c r="X15" s="93">
        <f t="shared" si="15"/>
        <v>2.030631709251745</v>
      </c>
      <c r="Y15" s="93">
        <f t="shared" si="15"/>
        <v>2.1182807370246954</v>
      </c>
      <c r="Z15" s="93">
        <f t="shared" si="15"/>
        <v>2.1523758187129562</v>
      </c>
      <c r="AA15" s="93">
        <f t="shared" si="15"/>
        <v>2.1854340476929313</v>
      </c>
      <c r="AB15" s="93">
        <f t="shared" si="15"/>
        <v>2.2259789136313781</v>
      </c>
      <c r="AC15" s="93">
        <f t="shared" si="15"/>
        <v>2.2228870581283031</v>
      </c>
      <c r="AD15" s="93">
        <f t="shared" si="15"/>
        <v>2.1196860096907564</v>
      </c>
      <c r="AE15" s="93">
        <f t="shared" si="15"/>
        <v>2.0734128702692001</v>
      </c>
      <c r="AF15" s="93">
        <f t="shared" si="15"/>
        <v>1.90976174103037</v>
      </c>
      <c r="AG15" s="93">
        <f t="shared" si="15"/>
        <v>1.88273229937049</v>
      </c>
      <c r="AH15" s="93">
        <f t="shared" si="15"/>
        <v>1.9529207154065693</v>
      </c>
      <c r="AI15" s="93">
        <f t="shared" si="15"/>
        <v>2.030955169443958</v>
      </c>
      <c r="AJ15" s="93">
        <f t="shared" si="15"/>
        <v>2.0176032548215979</v>
      </c>
      <c r="AK15" s="93">
        <f t="shared" si="15"/>
        <v>2.0136757733888753</v>
      </c>
      <c r="AL15" s="93">
        <f t="shared" si="15"/>
        <v>1.972981965886154</v>
      </c>
      <c r="AM15" s="93">
        <f t="shared" si="15"/>
        <v>1.7966637722386802</v>
      </c>
      <c r="AN15" s="93">
        <f t="shared" si="15"/>
        <v>1.7073963097693488</v>
      </c>
      <c r="AO15" s="93">
        <f t="shared" si="15"/>
        <v>1.6869634389547554</v>
      </c>
      <c r="AP15" s="93">
        <f>0.94+AP10</f>
        <v>1.6286869397851751</v>
      </c>
      <c r="AQ15" s="93">
        <f t="shared" ref="AQ15:AU15" si="16">0.94+AQ10</f>
        <v>1.6373283779175045</v>
      </c>
      <c r="AR15" s="93">
        <f t="shared" si="16"/>
        <v>1.6211129585482256</v>
      </c>
      <c r="AS15" s="93">
        <f t="shared" si="16"/>
        <v>1.6327869876340555</v>
      </c>
      <c r="AT15" s="93">
        <f t="shared" si="16"/>
        <v>1.6403346788836277</v>
      </c>
      <c r="AU15" s="93">
        <f t="shared" si="16"/>
        <v>1.6198673335736129</v>
      </c>
      <c r="AV15" s="93">
        <f t="shared" si="15"/>
        <v>1.6721848501353755</v>
      </c>
      <c r="AW15" s="93">
        <f t="shared" si="15"/>
        <v>1.6637720251324914</v>
      </c>
      <c r="AX15" s="93">
        <f t="shared" si="15"/>
        <v>1.6089602853042964</v>
      </c>
      <c r="AY15" s="93">
        <f t="shared" si="15"/>
        <v>1.5975502575351501</v>
      </c>
      <c r="AZ15" s="93">
        <f t="shared" si="15"/>
        <v>1.5920772573757855</v>
      </c>
      <c r="BA15" s="93">
        <f t="shared" si="15"/>
        <v>1.5923410651331824</v>
      </c>
      <c r="BB15" s="93">
        <f t="shared" si="15"/>
        <v>1.5887399937941633</v>
      </c>
      <c r="BC15" s="93">
        <f t="shared" si="15"/>
        <v>1.5996612533854901</v>
      </c>
      <c r="BD15" s="93">
        <f t="shared" si="15"/>
        <v>1.6049966610064104</v>
      </c>
      <c r="BE15" s="93">
        <f t="shared" si="15"/>
        <v>1.6049966610064104</v>
      </c>
      <c r="BF15" s="93">
        <f t="shared" si="15"/>
        <v>1.6055689565298961</v>
      </c>
      <c r="BG15" s="93">
        <f t="shared" si="15"/>
        <v>1.6912136661585322</v>
      </c>
      <c r="BH15" s="93">
        <f t="shared" si="15"/>
        <v>1.6880887429334983</v>
      </c>
      <c r="BI15" s="93">
        <f t="shared" si="15"/>
        <v>1.6913280135185773</v>
      </c>
      <c r="BJ15" s="93">
        <f t="shared" si="15"/>
        <v>1.6910143514036085</v>
      </c>
      <c r="BK15" s="93">
        <f t="shared" si="15"/>
        <v>1.7039276878950915</v>
      </c>
      <c r="BL15" s="93">
        <f t="shared" si="15"/>
        <v>1.7182324891047034</v>
      </c>
      <c r="BM15" s="93">
        <f t="shared" si="15"/>
        <v>1.7008153206470402</v>
      </c>
      <c r="BN15" s="93">
        <f t="shared" si="15"/>
        <v>1.6768165534416803</v>
      </c>
      <c r="BO15" s="93">
        <f t="shared" si="15"/>
        <v>1.6625235396741238</v>
      </c>
      <c r="BP15" s="93">
        <f t="shared" si="15"/>
        <v>1.6625572024969297</v>
      </c>
      <c r="BQ15" s="93">
        <f t="shared" si="15"/>
        <v>1.6625572024969297</v>
      </c>
      <c r="BR15" s="93">
        <f t="shared" si="15"/>
        <v>1.6624003166951189</v>
      </c>
      <c r="BS15" s="93">
        <f t="shared" si="15"/>
        <v>1.6623220713123095</v>
      </c>
      <c r="BT15" s="93">
        <f t="shared" si="15"/>
        <v>1.6543331259345198</v>
      </c>
      <c r="BU15" s="93">
        <f t="shared" si="15"/>
        <v>1.6704027931896537</v>
      </c>
      <c r="BV15" s="93">
        <f t="shared" ref="BV15" si="17">1.01+BV10</f>
        <v>1.6703193669761536</v>
      </c>
      <c r="BW15" s="93">
        <f t="shared" si="15"/>
        <v>1.705369267480499</v>
      </c>
      <c r="BX15" s="93">
        <f t="shared" ref="BX15:DS15" si="18">1.01+BX10</f>
        <v>1.7208563489398123</v>
      </c>
      <c r="BY15" s="93">
        <f t="shared" si="18"/>
        <v>1.7207499306409473</v>
      </c>
      <c r="BZ15" s="93">
        <f t="shared" si="18"/>
        <v>1.7225648759407179</v>
      </c>
      <c r="CA15" s="93">
        <f t="shared" si="18"/>
        <v>1.7226301543220233</v>
      </c>
      <c r="CB15" s="93">
        <f t="shared" si="18"/>
        <v>1.722619268038541</v>
      </c>
      <c r="CC15" s="93">
        <f t="shared" si="18"/>
        <v>1.7227391616069299</v>
      </c>
      <c r="CD15" s="93">
        <f t="shared" si="18"/>
        <v>1.7213053756273569</v>
      </c>
      <c r="CE15" s="93">
        <f t="shared" si="18"/>
        <v>1.7166655282795484</v>
      </c>
      <c r="CF15" s="93">
        <f t="shared" si="18"/>
        <v>1.7123019401336346</v>
      </c>
      <c r="CG15" s="93">
        <f t="shared" si="18"/>
        <v>1.6859786954023719</v>
      </c>
      <c r="CH15" s="93">
        <f t="shared" si="18"/>
        <v>1.6858457819434873</v>
      </c>
      <c r="CI15" s="93">
        <f t="shared" si="18"/>
        <v>1.6957796712086532</v>
      </c>
      <c r="CJ15" s="93">
        <f t="shared" si="18"/>
        <v>1.6955853196551391</v>
      </c>
      <c r="CK15" s="93">
        <f t="shared" si="18"/>
        <v>1.6953715377176186</v>
      </c>
      <c r="CL15" s="93">
        <f t="shared" si="18"/>
        <v>1.6976290294027359</v>
      </c>
      <c r="CM15" s="93">
        <f t="shared" si="18"/>
        <v>1.6946768524232869</v>
      </c>
      <c r="CN15" s="93">
        <f t="shared" si="18"/>
        <v>1.7103205086420039</v>
      </c>
      <c r="CO15" s="93">
        <f t="shared" si="18"/>
        <v>1.7054997457750787</v>
      </c>
      <c r="CP15" s="93">
        <f t="shared" si="18"/>
        <v>1.7054997457750787</v>
      </c>
      <c r="CQ15" s="93">
        <f t="shared" si="18"/>
        <v>1.7054997457750787</v>
      </c>
      <c r="CR15" s="93">
        <f t="shared" si="18"/>
        <v>1.704961870695398</v>
      </c>
      <c r="CS15" s="93">
        <f t="shared" si="18"/>
        <v>1.7132496802001296</v>
      </c>
      <c r="CT15" s="93">
        <f t="shared" si="18"/>
        <v>1.7131458218660172</v>
      </c>
      <c r="CU15" s="93">
        <f t="shared" si="18"/>
        <v>1.7164077106118287</v>
      </c>
      <c r="CV15" s="93">
        <f t="shared" si="18"/>
        <v>1.7163861747931164</v>
      </c>
      <c r="CW15" s="93">
        <f t="shared" si="18"/>
        <v>1.7163001346221272</v>
      </c>
      <c r="CX15" s="93">
        <f t="shared" si="18"/>
        <v>1.6973336194005428</v>
      </c>
      <c r="CY15" s="93">
        <f t="shared" si="18"/>
        <v>1.6858317976764861</v>
      </c>
      <c r="CZ15" s="93">
        <f t="shared" si="18"/>
        <v>1.6887921100430627</v>
      </c>
      <c r="DA15" s="93">
        <f t="shared" si="18"/>
        <v>1.6887812787116647</v>
      </c>
      <c r="DB15" s="93">
        <f t="shared" si="18"/>
        <v>1.688846305429486</v>
      </c>
      <c r="DC15" s="93">
        <f t="shared" si="18"/>
        <v>1.6687841485451003</v>
      </c>
      <c r="DD15" s="93">
        <f t="shared" si="18"/>
        <v>1.6328539480045987</v>
      </c>
      <c r="DE15" s="93">
        <f t="shared" si="18"/>
        <v>1.6328539480045987</v>
      </c>
      <c r="DF15" s="93">
        <f t="shared" si="18"/>
        <v>1.62842722599601</v>
      </c>
      <c r="DG15" s="93">
        <f t="shared" si="18"/>
        <v>1.6283513725915857</v>
      </c>
      <c r="DH15" s="93">
        <f t="shared" si="18"/>
        <v>1.6280588058210204</v>
      </c>
      <c r="DI15" s="93">
        <f t="shared" si="18"/>
        <v>1.6066174728492051</v>
      </c>
      <c r="DJ15" s="93">
        <f t="shared" si="18"/>
        <v>1.6123526167674966</v>
      </c>
      <c r="DK15" s="93">
        <f t="shared" si="18"/>
        <v>1.6123430479615735</v>
      </c>
      <c r="DL15" s="93">
        <f t="shared" si="18"/>
        <v>1.6094372235291052</v>
      </c>
      <c r="DM15" s="93">
        <f t="shared" si="18"/>
        <v>1.6091704714473678</v>
      </c>
      <c r="DN15" s="93">
        <f t="shared" si="18"/>
        <v>1.5887375911055006</v>
      </c>
      <c r="DO15" s="93">
        <f t="shared" si="18"/>
        <v>1.5883860236804459</v>
      </c>
      <c r="DP15" s="93">
        <f t="shared" si="18"/>
        <v>1.5914907108787051</v>
      </c>
      <c r="DQ15" s="93">
        <f t="shared" si="18"/>
        <v>1.5934278980977958</v>
      </c>
      <c r="DR15" s="93">
        <f t="shared" si="18"/>
        <v>1.5847356587400407</v>
      </c>
      <c r="DS15" s="93">
        <f t="shared" si="18"/>
        <v>1.5816105260627829</v>
      </c>
    </row>
    <row r="16" spans="1:166">
      <c r="O16" s="70"/>
      <c r="AO16" s="70"/>
      <c r="AP16" s="70"/>
      <c r="AR16" s="70"/>
      <c r="AU16" s="70"/>
      <c r="AV16" s="142"/>
    </row>
    <row r="17" spans="45:47">
      <c r="AS17" s="65"/>
    </row>
    <row r="18" spans="45:47">
      <c r="AU18" s="65"/>
    </row>
    <row r="19" spans="45:47">
      <c r="AU19" s="65"/>
    </row>
  </sheetData>
  <mergeCells count="1">
    <mergeCell ref="A7:A8"/>
  </mergeCells>
  <phoneticPr fontId="52" type="noConversion"/>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9"/>
  <dimension ref="A1:FC24"/>
  <sheetViews>
    <sheetView workbookViewId="0">
      <pane xSplit="10" ySplit="5" topLeftCell="DI6" activePane="bottomRight" state="frozen"/>
      <selection pane="topRight" activeCell="K1" sqref="K1"/>
      <selection pane="bottomLeft" activeCell="A6" sqref="A6"/>
      <selection pane="bottomRight" activeCell="DR18" sqref="DR18"/>
    </sheetView>
  </sheetViews>
  <sheetFormatPr baseColWidth="10" defaultColWidth="22.6640625" defaultRowHeight="12"/>
  <cols>
    <col min="1" max="1" width="13.33203125" style="60" bestFit="1" customWidth="1"/>
    <col min="2" max="2" width="11.33203125" style="60" bestFit="1" customWidth="1"/>
    <col min="3" max="3" width="4.83203125" style="60" bestFit="1" customWidth="1"/>
    <col min="4" max="4" width="18.5" style="60" bestFit="1" customWidth="1"/>
    <col min="5" max="5" width="7.5" style="60" bestFit="1" customWidth="1"/>
    <col min="6" max="6" width="6" style="60" bestFit="1" customWidth="1"/>
    <col min="7" max="7" width="3.5" style="60" bestFit="1" customWidth="1"/>
    <col min="8" max="8" width="26.1640625" style="60" bestFit="1" customWidth="1"/>
    <col min="9" max="9" width="5.1640625" style="60" bestFit="1" customWidth="1"/>
    <col min="10" max="10" width="5.5" style="60" bestFit="1" customWidth="1"/>
    <col min="11" max="11" width="5.6640625" style="60" bestFit="1" customWidth="1"/>
    <col min="12" max="12" width="5.33203125" style="60" bestFit="1" customWidth="1"/>
    <col min="13" max="13" width="5.83203125" style="60" bestFit="1" customWidth="1"/>
    <col min="14" max="14" width="5.1640625" style="60" bestFit="1" customWidth="1"/>
    <col min="15" max="15" width="4.6640625" style="60" bestFit="1" customWidth="1"/>
    <col min="16" max="18" width="5.5" style="60" bestFit="1" customWidth="1"/>
    <col min="19" max="19" width="5.6640625" style="60" bestFit="1" customWidth="1"/>
    <col min="20" max="20" width="5.5" style="60" bestFit="1" customWidth="1"/>
    <col min="21" max="21" width="5.1640625" style="60" bestFit="1" customWidth="1"/>
    <col min="22" max="22" width="5.5" style="60" bestFit="1" customWidth="1"/>
    <col min="23" max="23" width="5.6640625" style="60" bestFit="1" customWidth="1"/>
    <col min="24" max="24" width="5.33203125" style="60" bestFit="1" customWidth="1"/>
    <col min="25" max="25" width="5.83203125" style="60" bestFit="1" customWidth="1"/>
    <col min="26" max="26" width="5.1640625" style="60" bestFit="1" customWidth="1"/>
    <col min="27" max="27" width="4.6640625" style="60" bestFit="1" customWidth="1"/>
    <col min="28" max="30" width="5.5" style="60" bestFit="1" customWidth="1"/>
    <col min="31" max="31" width="5.6640625" style="60" bestFit="1" customWidth="1"/>
    <col min="32" max="32" width="5.5" style="60" bestFit="1" customWidth="1"/>
    <col min="33" max="33" width="5.1640625" style="60" bestFit="1" customWidth="1"/>
    <col min="34" max="34" width="9.83203125" style="60" bestFit="1" customWidth="1"/>
    <col min="35" max="35" width="5.6640625" style="60" bestFit="1" customWidth="1"/>
    <col min="36" max="36" width="5.33203125" style="60" bestFit="1" customWidth="1"/>
    <col min="37" max="37" width="5.83203125" style="60" bestFit="1" customWidth="1"/>
    <col min="38" max="38" width="5.1640625" style="60" bestFit="1" customWidth="1"/>
    <col min="39" max="39" width="5.6640625" style="60" bestFit="1" customWidth="1"/>
    <col min="40" max="40" width="9.83203125" style="60" bestFit="1" customWidth="1"/>
    <col min="41" max="42" width="5.5" style="60" bestFit="1" customWidth="1"/>
    <col min="43" max="43" width="5.6640625" style="60" bestFit="1" customWidth="1"/>
    <col min="44" max="44" width="5.5" style="60" bestFit="1" customWidth="1"/>
    <col min="45" max="45" width="5.1640625" style="60" bestFit="1" customWidth="1"/>
    <col min="46" max="46" width="5.5" style="60" bestFit="1" customWidth="1"/>
    <col min="47" max="47" width="5.6640625" style="60" bestFit="1" customWidth="1"/>
    <col min="48" max="48" width="5.33203125" style="60" bestFit="1" customWidth="1"/>
    <col min="49" max="49" width="5.83203125" style="60" bestFit="1" customWidth="1"/>
    <col min="50" max="50" width="5.1640625" style="60" bestFit="1" customWidth="1"/>
    <col min="51" max="51" width="4.6640625" style="60" bestFit="1" customWidth="1"/>
    <col min="52" max="54" width="7" style="60" bestFit="1" customWidth="1"/>
    <col min="55" max="55" width="5.5" style="60" bestFit="1" customWidth="1"/>
    <col min="56" max="56" width="5.6640625" style="60" bestFit="1" customWidth="1"/>
    <col min="57" max="58" width="5.83203125" style="60" bestFit="1" customWidth="1"/>
    <col min="59" max="66" width="6.1640625" style="60" bestFit="1" customWidth="1"/>
    <col min="67" max="70" width="5.6640625" style="60" bestFit="1" customWidth="1"/>
    <col min="71" max="74" width="5.5" style="60" bestFit="1" customWidth="1"/>
    <col min="75" max="78" width="5.1640625" style="60" bestFit="1" customWidth="1"/>
    <col min="79" max="82" width="5.5" style="60" bestFit="1" customWidth="1"/>
    <col min="83" max="83" width="6.1640625" style="60" bestFit="1" customWidth="1"/>
    <col min="84" max="86" width="5.6640625" style="60" bestFit="1" customWidth="1"/>
    <col min="87" max="90" width="5.5" style="60" bestFit="1" customWidth="1"/>
    <col min="91" max="95" width="6.33203125" style="60" bestFit="1" customWidth="1"/>
    <col min="96" max="99" width="6.1640625" style="60" bestFit="1" customWidth="1"/>
    <col min="100" max="103" width="5.1640625" style="60" bestFit="1" customWidth="1"/>
    <col min="104" max="107" width="5.83203125" style="60" bestFit="1" customWidth="1"/>
    <col min="108" max="115" width="5.6640625" style="60" bestFit="1" customWidth="1"/>
    <col min="116" max="119" width="6.1640625" style="60" bestFit="1" customWidth="1"/>
    <col min="120" max="123" width="5.83203125" style="60" bestFit="1" customWidth="1"/>
    <col min="124" max="145" width="5.1640625" style="60" bestFit="1" customWidth="1"/>
    <col min="146" max="146" width="3.6640625" style="60" bestFit="1" customWidth="1"/>
    <col min="147" max="159" width="3.33203125" style="60" bestFit="1" customWidth="1"/>
    <col min="160" max="16384" width="22.6640625" style="60"/>
  </cols>
  <sheetData>
    <row r="1" spans="1:159" ht="26">
      <c r="A1" s="59" t="s">
        <v>377</v>
      </c>
      <c r="B1" s="59" t="s">
        <v>378</v>
      </c>
      <c r="C1" s="59" t="s">
        <v>379</v>
      </c>
      <c r="D1" s="98" t="s">
        <v>380</v>
      </c>
      <c r="E1" s="98" t="s">
        <v>381</v>
      </c>
      <c r="G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c r="EM1" s="99">
        <v>141</v>
      </c>
      <c r="EN1" s="99">
        <v>142</v>
      </c>
      <c r="EO1" s="99">
        <v>143</v>
      </c>
      <c r="EP1" s="99">
        <v>144</v>
      </c>
      <c r="EQ1" s="99">
        <v>145</v>
      </c>
      <c r="ER1" s="99">
        <v>146</v>
      </c>
      <c r="ES1" s="99">
        <v>147</v>
      </c>
      <c r="ET1" s="99">
        <v>148</v>
      </c>
      <c r="EU1" s="99">
        <v>149</v>
      </c>
      <c r="EV1" s="99">
        <v>150</v>
      </c>
      <c r="EW1" s="99">
        <v>151</v>
      </c>
      <c r="EX1" s="99">
        <v>152</v>
      </c>
      <c r="EY1" s="99">
        <v>153</v>
      </c>
      <c r="EZ1" s="99">
        <v>154</v>
      </c>
      <c r="FA1" s="99">
        <v>155</v>
      </c>
      <c r="FB1" s="99">
        <v>156</v>
      </c>
      <c r="FC1" s="99">
        <v>157</v>
      </c>
    </row>
    <row r="2" spans="1:159">
      <c r="A2" s="59"/>
      <c r="B2" s="59"/>
      <c r="C2" s="59"/>
      <c r="D2" s="98"/>
      <c r="E2" s="98"/>
      <c r="G2" s="59"/>
      <c r="H2" s="99"/>
      <c r="I2" s="99"/>
      <c r="J2" s="99"/>
      <c r="K2" s="99"/>
      <c r="L2" s="99"/>
      <c r="M2" s="99"/>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99"/>
      <c r="AP2" s="99"/>
      <c r="AQ2" s="99"/>
      <c r="AR2" s="99"/>
      <c r="AS2" s="99"/>
      <c r="AT2" s="99"/>
      <c r="AU2" s="99"/>
      <c r="AV2" s="99"/>
      <c r="AW2" s="99"/>
      <c r="AX2" s="99"/>
      <c r="AY2" s="99"/>
      <c r="AZ2" s="99"/>
      <c r="BA2" s="99"/>
      <c r="BB2" s="99"/>
      <c r="BC2" s="99"/>
      <c r="BD2" s="99"/>
      <c r="BE2" s="99"/>
      <c r="BF2" s="99">
        <f>BF1</f>
        <v>56</v>
      </c>
      <c r="BG2" s="99">
        <f>BG1</f>
        <v>57</v>
      </c>
      <c r="BH2" s="99">
        <v>58</v>
      </c>
      <c r="BI2" s="99">
        <v>59</v>
      </c>
      <c r="BJ2" s="99">
        <v>60</v>
      </c>
      <c r="BK2" s="99">
        <v>61</v>
      </c>
      <c r="BL2" s="99">
        <v>62</v>
      </c>
      <c r="BM2" s="99">
        <v>63</v>
      </c>
      <c r="BN2" s="99">
        <v>64</v>
      </c>
      <c r="BO2" s="99">
        <v>65</v>
      </c>
      <c r="BP2" s="99">
        <v>66</v>
      </c>
      <c r="BQ2" s="99">
        <v>67</v>
      </c>
      <c r="BR2" s="99">
        <v>68</v>
      </c>
      <c r="BS2" s="99">
        <v>69</v>
      </c>
      <c r="BT2" s="99">
        <v>70</v>
      </c>
      <c r="BU2" s="99">
        <v>71</v>
      </c>
      <c r="BV2" s="99">
        <v>72</v>
      </c>
      <c r="BW2" s="99">
        <v>73</v>
      </c>
      <c r="BX2" s="99">
        <v>74</v>
      </c>
      <c r="BY2" s="99">
        <v>75</v>
      </c>
      <c r="BZ2" s="99">
        <v>76</v>
      </c>
      <c r="CA2" s="99">
        <v>77</v>
      </c>
      <c r="CB2" s="99">
        <v>78</v>
      </c>
      <c r="CC2" s="99">
        <v>79</v>
      </c>
      <c r="CD2" s="99">
        <v>80</v>
      </c>
      <c r="CE2" s="99">
        <v>81</v>
      </c>
      <c r="CF2" s="99">
        <v>82</v>
      </c>
      <c r="CG2" s="99">
        <v>83</v>
      </c>
      <c r="CH2" s="99">
        <v>84</v>
      </c>
      <c r="CI2" s="99">
        <v>85</v>
      </c>
      <c r="CJ2" s="99">
        <v>86</v>
      </c>
      <c r="CK2" s="99">
        <v>87</v>
      </c>
      <c r="CL2" s="99">
        <v>88</v>
      </c>
      <c r="CM2" s="99">
        <v>89</v>
      </c>
      <c r="CN2" s="99">
        <v>90</v>
      </c>
      <c r="CO2" s="99">
        <v>91</v>
      </c>
      <c r="CP2" s="99">
        <v>92</v>
      </c>
      <c r="CQ2" s="99">
        <v>93</v>
      </c>
      <c r="CR2" s="99">
        <v>94</v>
      </c>
      <c r="CS2" s="99">
        <v>95</v>
      </c>
      <c r="CT2" s="99">
        <v>96</v>
      </c>
      <c r="CU2" s="99">
        <v>97</v>
      </c>
      <c r="CV2" s="99">
        <v>98</v>
      </c>
      <c r="CW2" s="99">
        <v>99</v>
      </c>
      <c r="CX2" s="99">
        <v>100</v>
      </c>
    </row>
    <row r="3" spans="1:159">
      <c r="A3" s="64" t="s">
        <v>301</v>
      </c>
      <c r="B3" s="64" t="s">
        <v>644</v>
      </c>
      <c r="C3" s="101"/>
      <c r="D3" s="64" t="s">
        <v>645</v>
      </c>
      <c r="E3" s="74">
        <v>206.32390000000001</v>
      </c>
      <c r="K3" s="102"/>
      <c r="M3" s="102"/>
    </row>
    <row r="4" spans="1:159">
      <c r="A4" s="64">
        <v>94.11</v>
      </c>
      <c r="B4" s="64">
        <v>56.1</v>
      </c>
      <c r="D4" s="64" t="s">
        <v>646</v>
      </c>
      <c r="E4" s="74"/>
      <c r="K4" s="102"/>
      <c r="M4" s="102"/>
    </row>
    <row r="5" spans="1:159">
      <c r="E5" s="64"/>
      <c r="F5" s="103"/>
      <c r="H5" s="59" t="s">
        <v>416</v>
      </c>
      <c r="I5" s="59">
        <v>43831</v>
      </c>
      <c r="J5" s="59">
        <v>43862</v>
      </c>
      <c r="K5" s="59">
        <v>43891</v>
      </c>
      <c r="L5" s="59">
        <v>43922</v>
      </c>
      <c r="M5" s="59">
        <v>43952</v>
      </c>
      <c r="N5" s="59">
        <v>43983</v>
      </c>
      <c r="O5" s="59">
        <v>44013</v>
      </c>
      <c r="P5" s="59">
        <v>44044</v>
      </c>
      <c r="Q5" s="59">
        <v>44075</v>
      </c>
      <c r="R5" s="59">
        <v>44105</v>
      </c>
      <c r="S5" s="59">
        <v>44136</v>
      </c>
      <c r="T5" s="59">
        <v>44166</v>
      </c>
      <c r="U5" s="59">
        <v>44197</v>
      </c>
      <c r="V5" s="59">
        <v>44228</v>
      </c>
      <c r="W5" s="59">
        <v>44256</v>
      </c>
      <c r="X5" s="59">
        <v>44287</v>
      </c>
      <c r="Y5" s="59">
        <v>44317</v>
      </c>
      <c r="Z5" s="59">
        <v>44348</v>
      </c>
      <c r="AA5" s="59">
        <v>44378</v>
      </c>
      <c r="AB5" s="59">
        <v>44409</v>
      </c>
      <c r="AC5" s="59">
        <v>44440</v>
      </c>
      <c r="AD5" s="59">
        <v>44470</v>
      </c>
      <c r="AE5" s="59">
        <v>44501</v>
      </c>
      <c r="AF5" s="59">
        <v>44531</v>
      </c>
      <c r="AG5" s="59">
        <v>44562</v>
      </c>
      <c r="AH5" s="59">
        <v>44593</v>
      </c>
      <c r="AI5" s="59">
        <v>44621</v>
      </c>
      <c r="AJ5" s="59">
        <v>44652</v>
      </c>
      <c r="AK5" s="59">
        <v>44682</v>
      </c>
      <c r="AL5" s="59">
        <v>44713</v>
      </c>
      <c r="AM5" s="59">
        <v>44743</v>
      </c>
      <c r="AN5" s="59">
        <v>44774</v>
      </c>
      <c r="AO5" s="59">
        <v>44805</v>
      </c>
      <c r="AP5" s="59">
        <v>44835</v>
      </c>
      <c r="AQ5" s="59">
        <v>44866</v>
      </c>
      <c r="AR5" s="59">
        <v>44896</v>
      </c>
      <c r="AS5" s="59">
        <v>44927</v>
      </c>
      <c r="AT5" s="59">
        <v>44958</v>
      </c>
      <c r="AU5" s="59">
        <v>44986</v>
      </c>
      <c r="AV5" s="59">
        <v>45017</v>
      </c>
      <c r="AW5" s="59">
        <v>45047</v>
      </c>
      <c r="AX5" s="59">
        <v>45078</v>
      </c>
      <c r="AY5" s="59">
        <v>45108</v>
      </c>
      <c r="AZ5" s="59" t="s">
        <v>530</v>
      </c>
      <c r="BA5" s="59" t="s">
        <v>531</v>
      </c>
      <c r="BB5" s="59" t="s">
        <v>532</v>
      </c>
      <c r="BC5" s="59">
        <v>37104</v>
      </c>
      <c r="BD5" s="59">
        <v>37469</v>
      </c>
      <c r="BE5" s="59" t="s">
        <v>168</v>
      </c>
      <c r="BF5" s="59" t="s">
        <v>169</v>
      </c>
      <c r="BG5" s="59" t="s">
        <v>393</v>
      </c>
      <c r="BH5" s="59" t="s">
        <v>458</v>
      </c>
      <c r="BI5" s="59" t="s">
        <v>459</v>
      </c>
      <c r="BJ5" s="59" t="s">
        <v>460</v>
      </c>
      <c r="BK5" s="59" t="s">
        <v>461</v>
      </c>
      <c r="BL5" s="59" t="s">
        <v>462</v>
      </c>
      <c r="BM5" s="59" t="s">
        <v>463</v>
      </c>
      <c r="BN5" s="59" t="s">
        <v>464</v>
      </c>
      <c r="BO5" s="59">
        <v>37196</v>
      </c>
      <c r="BP5" s="59">
        <v>37561</v>
      </c>
      <c r="BQ5" s="59">
        <v>37926</v>
      </c>
      <c r="BR5" s="59">
        <v>38292</v>
      </c>
      <c r="BS5" s="59">
        <v>37226</v>
      </c>
      <c r="BT5" s="59">
        <v>37591</v>
      </c>
      <c r="BU5" s="59">
        <v>37956</v>
      </c>
      <c r="BV5" s="59">
        <v>38322</v>
      </c>
      <c r="BW5" s="59">
        <v>36892</v>
      </c>
      <c r="BX5" s="59">
        <v>37257</v>
      </c>
      <c r="BY5" s="59">
        <v>37622</v>
      </c>
      <c r="BZ5" s="59">
        <v>37987</v>
      </c>
      <c r="CA5" s="59">
        <v>36923</v>
      </c>
      <c r="CB5" s="59">
        <v>37288</v>
      </c>
      <c r="CC5" s="59">
        <v>37653</v>
      </c>
      <c r="CD5" s="59">
        <v>38018</v>
      </c>
      <c r="CE5" s="59" t="str">
        <f>Sheet8!A15</f>
        <v>Mar-w1</v>
      </c>
      <c r="CF5" s="59">
        <v>37316</v>
      </c>
      <c r="CG5" s="59">
        <v>37681</v>
      </c>
      <c r="CH5" s="59">
        <v>38047</v>
      </c>
      <c r="CI5" s="59" t="str">
        <f>Sheet8!E15</f>
        <v>Apr-w1</v>
      </c>
      <c r="CJ5" s="59" t="str">
        <f>Sheet8!F15</f>
        <v>Apr-w2</v>
      </c>
      <c r="CK5" s="59" t="str">
        <f>Sheet8!G15</f>
        <v>Apr-w3</v>
      </c>
      <c r="CL5" s="59" t="str">
        <f>Sheet8!H15</f>
        <v>Apr-w4</v>
      </c>
      <c r="CM5" s="59" t="str">
        <f>Sheet8!I15</f>
        <v>May-w1</v>
      </c>
      <c r="CN5" s="59" t="str">
        <f>Sheet8!J15</f>
        <v>May-w2</v>
      </c>
      <c r="CO5" s="59" t="str">
        <f>Sheet8!K15</f>
        <v>May-w3</v>
      </c>
      <c r="CP5" s="59" t="str">
        <f>Sheet8!L15</f>
        <v>May-w4</v>
      </c>
      <c r="CQ5" s="59" t="str">
        <f>Sheet8!M15</f>
        <v>May-w5</v>
      </c>
      <c r="CR5" s="59" t="str">
        <f>Sheet8!N15</f>
        <v>june-w1</v>
      </c>
      <c r="CS5" s="59" t="str">
        <f>Sheet8!O15</f>
        <v>june-w2</v>
      </c>
      <c r="CT5" s="59" t="str">
        <f>Sheet8!P15</f>
        <v>june-w3</v>
      </c>
      <c r="CU5" s="59" t="str">
        <f>Sheet8!Q15</f>
        <v>june-w4</v>
      </c>
      <c r="CV5" s="59" t="str">
        <f>Sheet8!R15</f>
        <v>Jul-w1</v>
      </c>
      <c r="CW5" s="59" t="str">
        <f>Sheet8!S15</f>
        <v>Jul-w2</v>
      </c>
      <c r="CX5" s="59" t="str">
        <f>Sheet8!T15</f>
        <v>Jul-w3</v>
      </c>
      <c r="CY5" s="59" t="str">
        <f>Sheet8!U15</f>
        <v>Jul-w4</v>
      </c>
      <c r="CZ5" s="59" t="str">
        <f>Sheet8!V15</f>
        <v>Aug-w1</v>
      </c>
      <c r="DA5" s="59" t="str">
        <f>Sheet8!W15</f>
        <v>Aug-w2</v>
      </c>
      <c r="DB5" s="59" t="str">
        <f>Sheet8!X15</f>
        <v>Aug-w3</v>
      </c>
      <c r="DC5" s="59" t="str">
        <f>Sheet8!Y15</f>
        <v>Aug-w4</v>
      </c>
      <c r="DD5" s="59" t="str">
        <f>Sheet8!Z15</f>
        <v>Sep-w1</v>
      </c>
      <c r="DE5" s="59" t="str">
        <f>Sheet8!AA15</f>
        <v>Sep-w2</v>
      </c>
      <c r="DF5" s="59" t="str">
        <f>Sheet8!AB15</f>
        <v>Sep-w3</v>
      </c>
      <c r="DG5" s="59" t="str">
        <f>Sheet8!AC15</f>
        <v>Sep-w4</v>
      </c>
      <c r="DH5" s="59" t="str">
        <f>Sheet8!AD15</f>
        <v>Oct-w1</v>
      </c>
      <c r="DI5" s="59" t="str">
        <f>Sheet8!AE15</f>
        <v>Oct-w2</v>
      </c>
      <c r="DJ5" s="59" t="str">
        <f>Sheet8!AF15</f>
        <v>Oct-w3</v>
      </c>
      <c r="DK5" s="59" t="str">
        <f>Sheet8!AG15</f>
        <v>Oct-w4</v>
      </c>
      <c r="DL5" s="59" t="str">
        <f>Sheet8!AH15</f>
        <v>Nov-w1</v>
      </c>
      <c r="DM5" s="59" t="str">
        <f>Sheet8!AI15</f>
        <v>Nov-w2</v>
      </c>
      <c r="DN5" s="59" t="str">
        <f>Sheet8!AJ15</f>
        <v>Nov-w3</v>
      </c>
      <c r="DO5" s="59" t="str">
        <f>Sheet8!AK15</f>
        <v>Nov-w4</v>
      </c>
      <c r="DP5" s="59" t="str">
        <f>Sheet8!AL15</f>
        <v>Dec-w1</v>
      </c>
      <c r="DQ5" s="59" t="str">
        <f>Sheet8!AM15</f>
        <v>Dec-w2</v>
      </c>
      <c r="DR5" s="59" t="str">
        <f>Sheet8!AN15</f>
        <v>Dec-w3</v>
      </c>
      <c r="DS5" s="59" t="str">
        <f>Sheet8!AO15</f>
        <v>Dec-w4</v>
      </c>
      <c r="DT5" s="59">
        <f>Sheet8!AP15</f>
        <v>0</v>
      </c>
      <c r="DU5" s="59">
        <f>Sheet8!AQ15</f>
        <v>0</v>
      </c>
      <c r="DV5" s="59">
        <f>Sheet8!AR15</f>
        <v>0</v>
      </c>
      <c r="DW5" s="59">
        <f>Sheet8!AS15</f>
        <v>0</v>
      </c>
      <c r="DX5" s="59">
        <f>Sheet8!AT15</f>
        <v>0</v>
      </c>
      <c r="DY5" s="59">
        <f>Sheet8!AU15</f>
        <v>0</v>
      </c>
      <c r="DZ5" s="59">
        <f>Sheet8!AV15</f>
        <v>0</v>
      </c>
      <c r="EA5" s="59">
        <f>Sheet8!AW15</f>
        <v>0</v>
      </c>
      <c r="EB5" s="59">
        <f>Sheet8!AX15</f>
        <v>0</v>
      </c>
      <c r="EC5" s="59">
        <f>Sheet8!AY15</f>
        <v>0</v>
      </c>
      <c r="ED5" s="59">
        <f>Sheet8!AZ15</f>
        <v>0</v>
      </c>
      <c r="EE5" s="59">
        <f>Sheet8!BA15</f>
        <v>0</v>
      </c>
      <c r="EF5" s="59">
        <f>Sheet8!BB15</f>
        <v>0</v>
      </c>
      <c r="EG5" s="59">
        <f>Sheet8!BC15</f>
        <v>0</v>
      </c>
      <c r="EH5" s="59">
        <f>Sheet8!BD15</f>
        <v>0</v>
      </c>
      <c r="EI5" s="59">
        <f>Sheet8!BE15</f>
        <v>0</v>
      </c>
      <c r="EJ5" s="59">
        <f>Sheet8!BF15</f>
        <v>0</v>
      </c>
      <c r="EK5" s="59">
        <f>Sheet8!BG15</f>
        <v>0</v>
      </c>
      <c r="EL5" s="59">
        <f>Sheet8!BH15</f>
        <v>0</v>
      </c>
      <c r="EM5" s="59">
        <f>Sheet8!BI15</f>
        <v>0</v>
      </c>
      <c r="EN5" s="59">
        <f>Sheet8!BJ15</f>
        <v>0</v>
      </c>
      <c r="EO5" s="59">
        <f>Sheet8!BK15</f>
        <v>0</v>
      </c>
    </row>
    <row r="6" spans="1:159">
      <c r="E6" s="64" t="s">
        <v>474</v>
      </c>
      <c r="F6" s="60" t="s">
        <v>564</v>
      </c>
      <c r="H6" s="30" t="s">
        <v>67</v>
      </c>
      <c r="I6" s="141">
        <f>VLOOKUP($H$6&amp;$G$1,'Input RM sheet'!$A:$BD,H1,0)</f>
        <v>865</v>
      </c>
      <c r="J6" s="141">
        <f>VLOOKUP($H$6&amp;$G$1,'Input RM sheet'!$A:$BD,I1,0)</f>
        <v>920</v>
      </c>
      <c r="K6" s="141">
        <f>VLOOKUP($H$6&amp;$G$1,'Input RM sheet'!$A:$BD,J1,0)</f>
        <v>795</v>
      </c>
      <c r="L6" s="141">
        <f>VLOOKUP($H$6&amp;$G$1,'Input RM sheet'!$A:$BD,K1,0)</f>
        <v>665</v>
      </c>
      <c r="M6" s="141">
        <f>VLOOKUP($H$6&amp;$G$1,'Input RM sheet'!$A:$BD,L1,0)</f>
        <v>700</v>
      </c>
      <c r="N6" s="141">
        <f>VLOOKUP($H$6&amp;$G$1,'Input RM sheet'!$A:$BD,M1,0)</f>
        <v>840</v>
      </c>
      <c r="O6" s="141">
        <f>VLOOKUP($H$6&amp;$G$1,'Input RM sheet'!$A:$BD,N1,0)</f>
        <v>630</v>
      </c>
      <c r="P6" s="141">
        <f>VLOOKUP($H$6&amp;$G$1,'Input RM sheet'!$A:$BD,O1,0)</f>
        <v>625</v>
      </c>
      <c r="Q6" s="141">
        <f>VLOOKUP($H$6&amp;$G$1,'Input RM sheet'!$A:$BD,P1,0)</f>
        <v>625</v>
      </c>
      <c r="R6" s="141">
        <f>VLOOKUP($H$6&amp;$G$1,'Input RM sheet'!$A:$BD,Q1,0)</f>
        <v>645</v>
      </c>
      <c r="S6" s="141">
        <f>VLOOKUP($H$6&amp;$G$1,'Input RM sheet'!$A:$BD,R1,0)</f>
        <v>750</v>
      </c>
      <c r="T6" s="141">
        <f>VLOOKUP($H$6&amp;$G$1,'Input RM sheet'!$A:$BD,S1,0)</f>
        <v>850</v>
      </c>
      <c r="U6" s="141">
        <f>VLOOKUP($H$6&amp;$G$1,'Input RM sheet'!$A:$BD,T1,0)</f>
        <v>875</v>
      </c>
      <c r="V6" s="141">
        <f>VLOOKUP($H$6&amp;$G$1,'Input RM sheet'!$A:$BD,U1,0)</f>
        <v>925</v>
      </c>
      <c r="W6" s="141">
        <f>VLOOKUP($H$6&amp;$G$1,'Input RM sheet'!$A:$BD,V1,0)</f>
        <v>1150</v>
      </c>
      <c r="X6" s="141">
        <f>VLOOKUP($H$6&amp;$G$1,'Input RM sheet'!$A:$BD,W1,0)</f>
        <v>1200</v>
      </c>
      <c r="Y6" s="141">
        <f>VLOOKUP($H$6&amp;$G$1,'Input RM sheet'!$A:$BD,X1,0)</f>
        <v>1300</v>
      </c>
      <c r="Z6" s="141">
        <f>VLOOKUP($H$6&amp;$G$1,'Input RM sheet'!$A:$BD,Y1,0)</f>
        <v>1150</v>
      </c>
      <c r="AA6" s="141">
        <f>VLOOKUP($H$6&amp;$G$1,'Input RM sheet'!$A:$BD,Z1,0)</f>
        <v>1230</v>
      </c>
      <c r="AB6" s="141">
        <f>VLOOKUP($H$6&amp;$G$1,'Input RM sheet'!$A:$BD,AA1,0)</f>
        <v>1215</v>
      </c>
      <c r="AC6" s="141">
        <f>VLOOKUP($H$6&amp;$G$1,'Input RM sheet'!$A:$BD,AB1,0)</f>
        <v>1425</v>
      </c>
      <c r="AD6" s="141">
        <f>VLOOKUP($H$6&amp;$G$1,'Input RM sheet'!$A:$BD,AC1,0)</f>
        <v>1375</v>
      </c>
      <c r="AE6" s="141">
        <f>VLOOKUP($H$6&amp;$G$1,'Input RM sheet'!$A:$BD,AD1,0)</f>
        <v>1250</v>
      </c>
      <c r="AF6" s="141">
        <f>VLOOKUP($H$6&amp;$G$1,'Input RM sheet'!$A:$BD,AE1,0)</f>
        <v>1225</v>
      </c>
      <c r="AG6" s="141">
        <f>VLOOKUP($H$6&amp;$G$1,'Input RM sheet'!$A:$BD,AF1,0)</f>
        <v>1475</v>
      </c>
      <c r="AH6" s="141">
        <f>VLOOKUP($H$6&amp;$G$1,'Input RM sheet'!$A:$BD,AG1,0)</f>
        <v>1495</v>
      </c>
      <c r="AI6" s="141">
        <f>VLOOKUP($H$6&amp;$G$1,'Input RM sheet'!$A:$BD,AH1,0)</f>
        <v>1555</v>
      </c>
      <c r="AJ6" s="141">
        <f>VLOOKUP($H$6&amp;$G$1,'Input RM sheet'!$A:$BD,AI1,0)</f>
        <v>1455</v>
      </c>
      <c r="AK6" s="141">
        <f>VLOOKUP($H$6&amp;$G$1,'Input RM sheet'!$A:$BD,AJ1,0)</f>
        <v>1425</v>
      </c>
      <c r="AL6" s="141">
        <f>VLOOKUP($H$6&amp;$G$1,'Input RM sheet'!$A:$BD,AK1,0)</f>
        <v>1475</v>
      </c>
      <c r="AM6" s="141">
        <f>VLOOKUP($H$6&amp;$G$1,'Input RM sheet'!$A:$BD,AL1,0)</f>
        <v>1225</v>
      </c>
      <c r="AN6" s="141">
        <f>VLOOKUP($H$6&amp;$G$1,'Input RM sheet'!$A:$BD,AM1,0)</f>
        <v>1180</v>
      </c>
      <c r="AO6" s="141">
        <f>VLOOKUP($H$6&amp;$G$1,'Input RM sheet'!$A:$BD,AN1,0)</f>
        <v>1240</v>
      </c>
      <c r="AP6" s="141">
        <f>VLOOKUP($H$6&amp;$G$1,'Input RM sheet'!$A:$BD,AO1,0)</f>
        <v>1190</v>
      </c>
      <c r="AQ6" s="141">
        <f>VLOOKUP($H$6&amp;$G$1,'Input RM sheet'!$A:$BD,AP1,0)</f>
        <v>1075</v>
      </c>
      <c r="AR6" s="141">
        <f>VLOOKUP($H$6&amp;$G$1,'Input RM sheet'!$A:$BD,AQ1,0)</f>
        <v>955</v>
      </c>
      <c r="AS6" s="141">
        <f>VLOOKUP($H$6&amp;$G$1,'Input RM sheet'!$A:$BD,AR1,0)</f>
        <v>910</v>
      </c>
      <c r="AT6" s="141">
        <f>VLOOKUP($H$6&amp;$G$1,'Input RM sheet'!$A:$BD,AS1,0)</f>
        <v>1000</v>
      </c>
      <c r="AU6" s="141">
        <f>VLOOKUP($H$6&amp;$G$1,'Input RM sheet'!$A:$BD,AT1,0)</f>
        <v>940</v>
      </c>
      <c r="AV6" s="141">
        <f>VLOOKUP($H$6&amp;$G$1,'Input RM sheet'!$A:$BD,AU1,0)</f>
        <v>900</v>
      </c>
      <c r="AW6" s="141">
        <f>VLOOKUP($H$6&amp;$G$1,'Input RM sheet'!$A:$BD,AV1,0)</f>
        <v>880</v>
      </c>
      <c r="AX6" s="141">
        <f>VLOOKUP($H$6&amp;$G$1,'Input RM sheet'!$A:$BD,AW1,0)</f>
        <v>725</v>
      </c>
      <c r="AY6" s="141">
        <f>VLOOKUP($H$6&amp;$G$1,'Input RM sheet'!$A:$BD,AX1,0)</f>
        <v>725</v>
      </c>
      <c r="AZ6" s="141">
        <f>VLOOKUP($H$6&amp;$G$1,'Input RM sheet'!$A:$BD,AY1,0)</f>
        <v>725</v>
      </c>
      <c r="BA6" s="141">
        <f>VLOOKUP($H$6&amp;$G$1,'Input RM sheet'!$A:$BD,AZ1,0)</f>
        <v>725</v>
      </c>
      <c r="BB6" s="268">
        <f>VLOOKUP($H$6&amp;$G$1,'Input RM sheet'!$A:$BD,BA1,0)</f>
        <v>825</v>
      </c>
      <c r="BC6" s="268">
        <f>VLOOKUP($H$6&amp;$G$1,'Input RM sheet'!$A:$BD,BB1,0)</f>
        <v>825</v>
      </c>
      <c r="BD6" s="268">
        <f>VLOOKUP($H$6&amp;$G$1,'Input RM sheet'!$A:$BD,BC1,0)</f>
        <v>977.04</v>
      </c>
      <c r="BE6" s="268">
        <f>VLOOKUP($H$6&amp;$G$1,'Input RM sheet'!$A:$BD,BD1,0)</f>
        <v>925</v>
      </c>
      <c r="BF6" s="268">
        <f>VLOOKUP($H$6&amp;$G$1,'Input RM sheet'!$A:$ZZ,BE1,0)</f>
        <v>925</v>
      </c>
      <c r="BG6" s="268">
        <f>VLOOKUP($H$6&amp;$G$1,'Input RM sheet'!$A:$ZZ,BF1,0)</f>
        <v>925</v>
      </c>
      <c r="BH6" s="268">
        <f>VLOOKUP($H$6&amp;$G$1,'Input RM sheet'!$A:$ZZ,BG1,0)</f>
        <v>1050</v>
      </c>
      <c r="BI6" s="268">
        <f>VLOOKUP($H$6&amp;$G$1,'Input RM sheet'!$A:$ZZ,BH1,0)</f>
        <v>1050</v>
      </c>
      <c r="BJ6" s="268">
        <f>VLOOKUP($H$6&amp;$G$1,'Input RM sheet'!$A:$ZZ,BI1,0)</f>
        <v>1050</v>
      </c>
      <c r="BK6" s="268">
        <f>VLOOKUP($H$6&amp;$G$1,'Input RM sheet'!$A:$ZZ,BJ1,0)</f>
        <v>1075</v>
      </c>
      <c r="BL6" s="268">
        <f>VLOOKUP($H$6&amp;$G$1,'Input RM sheet'!$A:$ZZ,BK1,0)</f>
        <v>1075</v>
      </c>
      <c r="BM6" s="268">
        <f>VLOOKUP($H$6&amp;$G$1,'Input RM sheet'!$A:$ZZ,BL1,0)</f>
        <v>1075</v>
      </c>
      <c r="BN6" s="268">
        <f>VLOOKUP($H$6&amp;$G$1,'Input RM sheet'!$A:$ZZ,BM1,0)</f>
        <v>975</v>
      </c>
      <c r="BO6" s="268">
        <f>VLOOKUP($H$6&amp;$G$1,'Input RM sheet'!$A:$ZZ,BN1,0)</f>
        <v>925</v>
      </c>
      <c r="BP6" s="268">
        <f>VLOOKUP($H$6&amp;$G$1,'Input RM sheet'!$A:$ZZ,BO1,0)</f>
        <v>925</v>
      </c>
      <c r="BQ6" s="268">
        <f>VLOOKUP($H$6&amp;$G$1,'Input RM sheet'!$A:$ZZ,BP1,0)</f>
        <v>925</v>
      </c>
      <c r="BR6" s="268">
        <f>VLOOKUP($H$6&amp;$G$1,'Input RM sheet'!$A:$ZZ,BQ1,0)</f>
        <v>925</v>
      </c>
      <c r="BS6" s="268">
        <f>VLOOKUP($H$6&amp;$G$1,'Input RM sheet'!$A:$ZZ,BR1,0)</f>
        <v>925</v>
      </c>
      <c r="BT6" s="268">
        <f>VLOOKUP($H$6&amp;$G$1,'Input RM sheet'!$A:$ZZ,BS1,0)</f>
        <v>925</v>
      </c>
      <c r="BU6" s="268">
        <f>VLOOKUP($H$6&amp;$G$1,'Input RM sheet'!$A:$ZZ,BT1,0)</f>
        <v>905</v>
      </c>
      <c r="BV6" s="268">
        <f>VLOOKUP($H$6&amp;$G$1,'Input RM sheet'!$A:$ZZ,BU1,0)</f>
        <v>905</v>
      </c>
      <c r="BW6" s="268">
        <f>VLOOKUP($H$6&amp;$G$1,'Input RM sheet'!$A:$ZZ,BV1,0)</f>
        <v>905</v>
      </c>
      <c r="BX6" s="268">
        <f>VLOOKUP($H$6&amp;$G$1,'Input RM sheet'!$A:$ZZ,BW1,0)</f>
        <v>905</v>
      </c>
      <c r="BY6" s="268">
        <f>VLOOKUP($H$6&amp;$G$1,'Input RM sheet'!$A:$ZZ,BX1,0)</f>
        <v>905</v>
      </c>
      <c r="BZ6" s="268">
        <f>VLOOKUP($H$6&amp;$G$1,'Input RM sheet'!$A:$ZZ,BY1,0)</f>
        <v>865</v>
      </c>
      <c r="CA6" s="268">
        <f>VLOOKUP($H$6&amp;$G$1,'Input RM sheet'!$A:$ZZ,BZ1,0)</f>
        <v>865</v>
      </c>
      <c r="CB6" s="268">
        <f>VLOOKUP($H$6&amp;$G$1,'Input RM sheet'!$A:$ZZ,CA1,0)</f>
        <v>865</v>
      </c>
      <c r="CC6" s="268">
        <f>VLOOKUP($H$6&amp;$G$1,'Input RM sheet'!$A:$ZZ,CB1,0)</f>
        <v>940</v>
      </c>
      <c r="CD6" s="268">
        <f>VLOOKUP($H$6&amp;$G$1,'Input RM sheet'!$A:$ZZ,CC1,0)</f>
        <v>940</v>
      </c>
      <c r="CE6" s="268">
        <f>VLOOKUP($H$6&amp;$G$1,'Input RM sheet'!$A:$ZZ,CD1,0)</f>
        <v>940</v>
      </c>
      <c r="CF6" s="268">
        <f>VLOOKUP($H$6&amp;$G$1,'Input RM sheet'!$A:$ZZ,CE1,0)</f>
        <v>940</v>
      </c>
      <c r="CG6" s="268">
        <f>VLOOKUP($H$6&amp;$G$1,'Input RM sheet'!$A:$ZZ,CF1,0)</f>
        <v>940</v>
      </c>
      <c r="CH6" s="268">
        <f>VLOOKUP($H$6&amp;$G$1,'Input RM sheet'!$A:$ZZ,CG1,0)</f>
        <v>910</v>
      </c>
      <c r="CI6" s="268">
        <f>VLOOKUP($H$6&amp;$G$1,'Input RM sheet'!$A:$ZZ,CH1,0)</f>
        <v>910</v>
      </c>
      <c r="CJ6" s="268">
        <f>VLOOKUP($H$6&amp;$G$1,'Input RM sheet'!$A:$ZZ,CI1,0)</f>
        <v>910</v>
      </c>
      <c r="CK6" s="268">
        <f>VLOOKUP($H$6&amp;$G$1,'Input RM sheet'!$A:$ZZ,CJ1,0)</f>
        <v>910</v>
      </c>
      <c r="CL6" s="268">
        <f>VLOOKUP($H$6&amp;$G$1,'Input RM sheet'!$A:$ZZ,CK1,0)</f>
        <v>945</v>
      </c>
      <c r="CM6" s="268">
        <f>VLOOKUP($H$6&amp;$G$1,'Input RM sheet'!$A:$ZZ,CL1,0)</f>
        <v>945</v>
      </c>
      <c r="CN6" s="268">
        <f>VLOOKUP($H$6&amp;$G$1,'Input RM sheet'!$A:$ZZ,CM1,0)</f>
        <v>945</v>
      </c>
      <c r="CO6" s="268">
        <f>VLOOKUP($H$6&amp;$G$1,'Input RM sheet'!$A:$ZZ,CN1,0)</f>
        <v>945</v>
      </c>
      <c r="CP6" s="268">
        <f>VLOOKUP($H$6&amp;$G$1,'Input RM sheet'!$A:$ZZ,CO1,0)</f>
        <v>945</v>
      </c>
      <c r="CQ6" s="268">
        <f>VLOOKUP($H$6&amp;$G$1,'Input RM sheet'!$A:$ZZ,CP1,0)</f>
        <v>945</v>
      </c>
      <c r="CR6" s="268">
        <f>VLOOKUP($H$6&amp;$G$1,'Input RM sheet'!$A:$ZZ,CQ1,0)</f>
        <v>910</v>
      </c>
      <c r="CS6" s="268">
        <f>VLOOKUP($H$6&amp;$G$1,'Input RM sheet'!$A:$ZZ,CR1,0)</f>
        <v>910</v>
      </c>
      <c r="CT6" s="268">
        <f>VLOOKUP($H$6&amp;$G$1,'Input RM sheet'!$A:$ZZ,CS1,0)</f>
        <v>910</v>
      </c>
      <c r="CU6" s="268">
        <f>VLOOKUP($H$6&amp;$G$1,'Input RM sheet'!$A:$ZZ,CT1,0)</f>
        <v>930</v>
      </c>
      <c r="CV6" s="268">
        <f>VLOOKUP($H$6&amp;$G$1,'Input RM sheet'!$A:$ZZ,CU1,0)</f>
        <v>930</v>
      </c>
      <c r="CW6" s="268">
        <f>VLOOKUP($H$6&amp;$G$1,'Input RM sheet'!$A:$ZZ,CV1,0)</f>
        <v>930</v>
      </c>
      <c r="CX6" s="268">
        <f>VLOOKUP($H$6&amp;$G$1,'Input RM sheet'!$A:$ZZ,CW1,0)</f>
        <v>930</v>
      </c>
      <c r="CY6" s="268">
        <f>VLOOKUP($H$6&amp;$G$1,'Input RM sheet'!$A:$ZZ,CX1,0)</f>
        <v>970</v>
      </c>
      <c r="CZ6" s="268">
        <f>VLOOKUP($H$6&amp;$G$1,'Input RM sheet'!$A:$ZZ,CY1,0)</f>
        <v>1015</v>
      </c>
      <c r="DA6" s="268">
        <f>VLOOKUP($H$6&amp;$G$1,'Input RM sheet'!$A:$ZZ,CZ1,0)</f>
        <v>1015</v>
      </c>
      <c r="DB6" s="268">
        <f>VLOOKUP($H$6&amp;$G$1,'Input RM sheet'!$A:$ZZ,DA1,0)</f>
        <v>1010</v>
      </c>
      <c r="DC6" s="268">
        <f>VLOOKUP($H$6&amp;$G$1,'Input RM sheet'!$A:$ZZ,DB1,0)</f>
        <v>1090</v>
      </c>
      <c r="DD6" s="268">
        <f>VLOOKUP($H$6&amp;$G$1,'Input RM sheet'!$A:$ZZ,DC1,0)</f>
        <v>1090</v>
      </c>
      <c r="DE6" s="268">
        <f>VLOOKUP($H$6&amp;$G$1,'Input RM sheet'!$A:$ZZ,DD1,0)</f>
        <v>1090</v>
      </c>
      <c r="DF6" s="268">
        <f>VLOOKUP($H$6&amp;$G$1,'Input RM sheet'!$A:$ZZ,DE1,0)</f>
        <v>1025</v>
      </c>
      <c r="DG6" s="268">
        <f>VLOOKUP($H$6&amp;$G$1,'Input RM sheet'!$A:$ZZ,DF1,0)</f>
        <v>1025</v>
      </c>
      <c r="DH6" s="268">
        <f>VLOOKUP($H$6&amp;$G$1,'Input RM sheet'!$A:$ZZ,DG1,0)</f>
        <v>985</v>
      </c>
      <c r="DI6" s="268">
        <f>VLOOKUP($H$6&amp;$G$1,'Input RM sheet'!$A:$ZZ,DH1,0)</f>
        <v>955</v>
      </c>
      <c r="DJ6" s="268">
        <f>VLOOKUP($H$6&amp;$G$1,'Input RM sheet'!$A:$ZZ,DI1,0)</f>
        <v>905</v>
      </c>
      <c r="DK6" s="268">
        <f>VLOOKUP($H$6&amp;$G$1,'Input RM sheet'!$A:$ZZ,DJ1,0)</f>
        <v>895</v>
      </c>
      <c r="DL6" s="268">
        <f>VLOOKUP($H$6&amp;$G$1,'Input RM sheet'!$A:$ZZ,DK1,0)</f>
        <v>895</v>
      </c>
      <c r="DM6" s="268">
        <f>VLOOKUP($H$6&amp;$G$1,'Input RM sheet'!$A:$ZZ,DL1,0)</f>
        <v>900</v>
      </c>
      <c r="DN6" s="268">
        <f>VLOOKUP($H$6&amp;$G$1,'Input RM sheet'!$A:$ZZ,DM1,0)</f>
        <v>910</v>
      </c>
      <c r="DO6" s="268">
        <f>VLOOKUP($H$6&amp;$G$1,'Input RM sheet'!$A:$ZZ,DN1,0)</f>
        <v>895</v>
      </c>
      <c r="DP6" s="268">
        <f>VLOOKUP($H$6&amp;$G$1,'Input RM sheet'!$A:$ZZ,DO1,0)</f>
        <v>895</v>
      </c>
      <c r="DQ6" s="268">
        <f>VLOOKUP($H$6&amp;$G$1,'Input RM sheet'!$A:$ZZ,DP1,0)</f>
        <v>900</v>
      </c>
      <c r="DR6" s="268">
        <f>VLOOKUP($H$6&amp;$G$1,'Input RM sheet'!$A:$ZZ,DQ1,0)</f>
        <v>900</v>
      </c>
      <c r="DS6" s="268">
        <f>VLOOKUP($H$6&amp;$G$1,'Input RM sheet'!$A:$ZZ,DR1,0)</f>
        <v>900</v>
      </c>
      <c r="DT6" s="268">
        <f>VLOOKUP($H$6&amp;$G$1,'Input RM sheet'!$A:$ZZ,DS1,0)</f>
        <v>0</v>
      </c>
      <c r="DU6" s="268">
        <f>VLOOKUP($H$6&amp;$G$1,'Input RM sheet'!$A:$ZZ,DT1,0)</f>
        <v>0</v>
      </c>
      <c r="DV6" s="268">
        <f>VLOOKUP($H$6&amp;$G$1,'Input RM sheet'!$A:$ZZ,DU1,0)</f>
        <v>0</v>
      </c>
      <c r="DW6" s="268">
        <f>VLOOKUP($H$6&amp;$G$1,'Input RM sheet'!$A:$ZZ,DV1,0)</f>
        <v>0</v>
      </c>
      <c r="DX6" s="268">
        <f>VLOOKUP($H$6&amp;$G$1,'Input RM sheet'!$A:$ZZ,DW1,0)</f>
        <v>0</v>
      </c>
      <c r="DY6" s="268">
        <f>VLOOKUP($H$6&amp;$G$1,'Input RM sheet'!$A:$ZZ,DX1,0)</f>
        <v>0</v>
      </c>
      <c r="DZ6" s="268">
        <f>VLOOKUP($H$6&amp;$G$1,'Input RM sheet'!$A:$ZZ,DY1,0)</f>
        <v>0</v>
      </c>
      <c r="EA6" s="268">
        <f>VLOOKUP($H$6&amp;$G$1,'Input RM sheet'!$A:$ZZ,DZ1,0)</f>
        <v>0</v>
      </c>
      <c r="EB6" s="268">
        <f>VLOOKUP($H$6&amp;$G$1,'Input RM sheet'!$A:$ZZ,EA1,0)</f>
        <v>0</v>
      </c>
      <c r="EC6" s="268">
        <f>VLOOKUP($H$6&amp;$G$1,'Input RM sheet'!$A:$ZZ,EB1,0)</f>
        <v>0</v>
      </c>
      <c r="ED6" s="268">
        <f>VLOOKUP($H$6&amp;$G$1,'Input RM sheet'!$A:$ZZ,EC1,0)</f>
        <v>0</v>
      </c>
      <c r="EE6" s="268">
        <f>VLOOKUP($H$6&amp;$G$1,'Input RM sheet'!$A:$ZZ,ED1,0)</f>
        <v>0</v>
      </c>
      <c r="EF6" s="268">
        <f>VLOOKUP($H$6&amp;$G$1,'Input RM sheet'!$A:$ZZ,EE1,0)</f>
        <v>0</v>
      </c>
      <c r="EG6" s="268">
        <f>VLOOKUP($H$6&amp;$G$1,'Input RM sheet'!$A:$ZZ,EF1,0)</f>
        <v>0</v>
      </c>
      <c r="EH6" s="268">
        <f>VLOOKUP($H$6&amp;$G$1,'Input RM sheet'!$A:$ZZ,EG1,0)</f>
        <v>0</v>
      </c>
    </row>
    <row r="7" spans="1:159">
      <c r="A7" s="74"/>
      <c r="B7" s="74"/>
      <c r="E7" s="60" t="s">
        <v>154</v>
      </c>
      <c r="F7" s="60" t="s">
        <v>564</v>
      </c>
      <c r="H7" s="30" t="s">
        <v>77</v>
      </c>
      <c r="I7" s="141">
        <f>VLOOKUP($H$7&amp;$G$1,'Input RM sheet'!$A:$BD,H1,0)</f>
        <v>897</v>
      </c>
      <c r="J7" s="141">
        <f>VLOOKUP($H$7&amp;$G$1,'Input RM sheet'!$A:$BD,I1,0)</f>
        <v>850</v>
      </c>
      <c r="K7" s="141">
        <f>VLOOKUP($H$7&amp;$G$1,'Input RM sheet'!$A:$BD,J1,0)</f>
        <v>700</v>
      </c>
      <c r="L7" s="141">
        <f>VLOOKUP($H$7&amp;$G$1,'Input RM sheet'!$A:$BD,K1,0)</f>
        <v>300</v>
      </c>
      <c r="M7" s="141">
        <f>VLOOKUP($H$7&amp;$G$1,'Input RM sheet'!$A:$BD,L1,0)</f>
        <v>250</v>
      </c>
      <c r="N7" s="141">
        <f>VLOOKUP($H$7&amp;$G$1,'Input RM sheet'!$A:$BD,M1,0)</f>
        <v>278</v>
      </c>
      <c r="O7" s="141">
        <f>VLOOKUP($H$7&amp;$G$1,'Input RM sheet'!$A:$BD,N1,0)</f>
        <v>350</v>
      </c>
      <c r="P7" s="141">
        <f>VLOOKUP($H$7&amp;$G$1,'Input RM sheet'!$A:$BD,O1,0)</f>
        <v>530</v>
      </c>
      <c r="Q7" s="141">
        <f>VLOOKUP($H$7&amp;$G$1,'Input RM sheet'!$A:$BD,P1,0)</f>
        <v>680</v>
      </c>
      <c r="R7" s="141">
        <f>VLOOKUP($H$7&amp;$G$1,'Input RM sheet'!$A:$BD,Q1,0)</f>
        <v>825</v>
      </c>
      <c r="S7" s="141">
        <f>VLOOKUP($H$7&amp;$G$1,'Input RM sheet'!$A:$BD,R1,0)</f>
        <v>1230</v>
      </c>
      <c r="T7" s="141">
        <f>VLOOKUP($H$7&amp;$G$1,'Input RM sheet'!$A:$BD,S1,0)</f>
        <v>1150</v>
      </c>
      <c r="U7" s="141">
        <f>VLOOKUP($H$7&amp;$G$1,'Input RM sheet'!$A:$BD,T1,0)</f>
        <v>740</v>
      </c>
      <c r="V7" s="141">
        <f>VLOOKUP($H$7&amp;$G$1,'Input RM sheet'!$A:$BD,U1,0)</f>
        <v>750</v>
      </c>
      <c r="W7" s="141">
        <f>VLOOKUP($H$7&amp;$G$1,'Input RM sheet'!$A:$BD,V1,0)</f>
        <v>1050</v>
      </c>
      <c r="X7" s="141">
        <f>VLOOKUP($H$7&amp;$G$1,'Input RM sheet'!$A:$BD,W1,0)</f>
        <v>950</v>
      </c>
      <c r="Y7" s="141">
        <f>VLOOKUP($H$7&amp;$G$1,'Input RM sheet'!$A:$BD,X1,0)</f>
        <v>950</v>
      </c>
      <c r="Z7" s="141">
        <f>VLOOKUP($H$7&amp;$G$1,'Input RM sheet'!$A:$BD,Y1,0)</f>
        <v>1150</v>
      </c>
      <c r="AA7" s="141">
        <f>VLOOKUP($H$7&amp;$G$1,'Input RM sheet'!$A:$BD,Z1,0)</f>
        <v>1350</v>
      </c>
      <c r="AB7" s="141">
        <f>VLOOKUP($H$7&amp;$G$1,'Input RM sheet'!$A:$BD,AA1,0)</f>
        <v>1550</v>
      </c>
      <c r="AC7" s="141">
        <f>VLOOKUP($H$7&amp;$G$1,'Input RM sheet'!$A:$BD,AB1,0)</f>
        <v>920</v>
      </c>
      <c r="AD7" s="141">
        <f>VLOOKUP($H$7&amp;$G$1,'Input RM sheet'!$A:$BD,AC1,0)</f>
        <v>750</v>
      </c>
      <c r="AE7" s="141">
        <f>VLOOKUP($H$7&amp;$G$1,'Input RM sheet'!$A:$BD,AD1,0)</f>
        <v>740</v>
      </c>
      <c r="AF7" s="141">
        <f>VLOOKUP($H$7&amp;$G$1,'Input RM sheet'!$A:$BD,AE1,0)</f>
        <v>600</v>
      </c>
      <c r="AG7" s="141">
        <f>VLOOKUP($H$7&amp;$G$1,'Input RM sheet'!$A:$BD,AF1,0)</f>
        <v>750</v>
      </c>
      <c r="AH7" s="141">
        <f>VLOOKUP($H$7&amp;$G$1,'Input RM sheet'!$A:$BD,AG1,0)</f>
        <v>983.33333333333337</v>
      </c>
      <c r="AI7" s="141">
        <f>VLOOKUP($H$7&amp;$G$1,'Input RM sheet'!$A:$BD,AH1,0)</f>
        <v>1300</v>
      </c>
      <c r="AJ7" s="141">
        <f>VLOOKUP($H$7&amp;$G$1,'Input RM sheet'!$A:$BD,AI1,0)</f>
        <v>1384</v>
      </c>
      <c r="AK7" s="141">
        <f>VLOOKUP($H$7&amp;$G$1,'Input RM sheet'!$A:$BD,AJ1,0)</f>
        <v>1335</v>
      </c>
      <c r="AL7" s="337">
        <f>VLOOKUP($H$7&amp;$G$1,'Input RM sheet'!$A:$BD,AK1,0)</f>
        <v>1466.6666666666667</v>
      </c>
      <c r="AM7" s="141">
        <f>VLOOKUP($H$7&amp;$G$1,'Input RM sheet'!$A:$BD,AL1,0)</f>
        <v>1272.5</v>
      </c>
      <c r="AN7" s="141">
        <f>VLOOKUP($H$7&amp;$G$1,'Input RM sheet'!$A:$BD,AM1,0)</f>
        <v>946.66666666666663</v>
      </c>
      <c r="AO7" s="141">
        <f>VLOOKUP($H$7&amp;$G$1,'Input RM sheet'!$A:$BD,AN1,0)</f>
        <v>802.5</v>
      </c>
      <c r="AP7" s="141">
        <f>VLOOKUP($H$7&amp;$G$1,'Input RM sheet'!$A:$BD,AO1,0)</f>
        <v>720</v>
      </c>
      <c r="AQ7" s="141">
        <f>VLOOKUP($H$7&amp;$G$1,'Input RM sheet'!$A:$BD,AP1,0)</f>
        <v>680</v>
      </c>
      <c r="AR7" s="141">
        <f>VLOOKUP($H$7&amp;$G$1,'Input RM sheet'!$A:$BD,AQ1,0)</f>
        <v>730</v>
      </c>
      <c r="AS7" s="141">
        <f>VLOOKUP($H$7&amp;$G$1,'Input RM sheet'!$A:$BD,AR1,0)</f>
        <v>850</v>
      </c>
      <c r="AT7" s="141">
        <f>VLOOKUP($H$7&amp;$G$1,'Input RM sheet'!$A:$BD,AS1,0)</f>
        <v>1130</v>
      </c>
      <c r="AU7" s="141">
        <f>VLOOKUP($H$7&amp;$G$1,'Input RM sheet'!$A:$BD,AT1,0)</f>
        <v>1100</v>
      </c>
      <c r="AV7" s="141">
        <f>VLOOKUP($H$7&amp;$G$1,'Input RM sheet'!$A:$BD,AU1,0)</f>
        <v>1000</v>
      </c>
      <c r="AW7" s="141">
        <f>VLOOKUP($H$7&amp;$G$1,'Input RM sheet'!$A:$BD,AV1,0)</f>
        <v>890</v>
      </c>
      <c r="AX7" s="141">
        <f>VLOOKUP($H$7&amp;$G$1,'Input RM sheet'!$A:$BD,AW1,0)</f>
        <v>560</v>
      </c>
      <c r="AY7" s="141">
        <f>VLOOKUP($H$7&amp;$G$1,'Input RM sheet'!$A:$BD,AX1,0)</f>
        <v>558</v>
      </c>
      <c r="AZ7" s="141">
        <f>VLOOKUP($H$7&amp;$G$1,'Input RM sheet'!$A:$BD,AY1,0)</f>
        <v>620</v>
      </c>
      <c r="BA7" s="141">
        <f>VLOOKUP($H$7&amp;$G$1,'Input RM sheet'!$A:$BD,AZ1,0)</f>
        <v>630</v>
      </c>
      <c r="BB7" s="268">
        <f>VLOOKUP($H$7&amp;$G$1,'Input RM sheet'!$A:$BD,BA1,0)</f>
        <v>630</v>
      </c>
      <c r="BC7" s="268">
        <f>VLOOKUP($H$7&amp;$G$1,'Input RM sheet'!$A:$BD,BB1,0)</f>
        <v>660</v>
      </c>
      <c r="BD7" s="268">
        <f>VLOOKUP($H$7&amp;$G$1,'Input RM sheet'!$A:$BD,BC1,0)</f>
        <v>710</v>
      </c>
      <c r="BE7" s="268">
        <f>VLOOKUP($H$7&amp;$G$1,'Input RM sheet'!$A:$BD,BD1,0)</f>
        <v>760</v>
      </c>
      <c r="BF7" s="268">
        <f>VLOOKUP($H$7&amp;$G$1,'Input RM sheet'!$A:$ZZ,BE1,0)</f>
        <v>800</v>
      </c>
      <c r="BG7" s="268">
        <f>VLOOKUP($H$7&amp;$G$1,'Input RM sheet'!$A:$ZZ,BF1,0)</f>
        <v>840</v>
      </c>
      <c r="BH7" s="268">
        <f>VLOOKUP($H$7&amp;$G$1,'Input RM sheet'!$A:$ZZ,BG1,0)</f>
        <v>930</v>
      </c>
      <c r="BI7" s="268">
        <f>VLOOKUP($H$7&amp;$G$1,'Input RM sheet'!$A:$ZZ,BH1,0)</f>
        <v>1000</v>
      </c>
      <c r="BJ7" s="268">
        <f>VLOOKUP($H$7&amp;$G$1,'Input RM sheet'!$A:$ZZ,BI1,0)</f>
        <v>1010</v>
      </c>
      <c r="BK7" s="268">
        <f>VLOOKUP($H$7&amp;$G$1,'Input RM sheet'!$A:$ZZ,BJ1,0)</f>
        <v>1010</v>
      </c>
      <c r="BL7" s="268">
        <f>VLOOKUP($H$7&amp;$G$1,'Input RM sheet'!$A:$ZZ,BK1,0)</f>
        <v>1010</v>
      </c>
      <c r="BM7" s="268">
        <f>VLOOKUP($H$7&amp;$G$1,'Input RM sheet'!$A:$ZZ,BL1,0)</f>
        <v>1010</v>
      </c>
      <c r="BN7" s="268">
        <f>VLOOKUP($H$7&amp;$G$1,'Input RM sheet'!$A:$ZZ,BM1,0)</f>
        <v>988</v>
      </c>
      <c r="BO7" s="268">
        <f>VLOOKUP($H$7&amp;$G$1,'Input RM sheet'!$A:$ZZ,BN1,0)</f>
        <v>988</v>
      </c>
      <c r="BP7" s="268">
        <f>VLOOKUP($H$7&amp;$G$1,'Input RM sheet'!$A:$ZZ,BO1,0)</f>
        <v>975</v>
      </c>
      <c r="BQ7" s="268">
        <f>VLOOKUP($H$7&amp;$G$1,'Input RM sheet'!$A:$ZZ,BP1,0)</f>
        <v>968</v>
      </c>
      <c r="BR7" s="268">
        <f>VLOOKUP($H$7&amp;$G$1,'Input RM sheet'!$A:$ZZ,BQ1,0)</f>
        <v>920</v>
      </c>
      <c r="BS7" s="268">
        <f>VLOOKUP($H$7&amp;$G$1,'Input RM sheet'!$A:$ZZ,BR1,0)</f>
        <v>914</v>
      </c>
      <c r="BT7" s="268">
        <f>VLOOKUP($H$7&amp;$G$1,'Input RM sheet'!$A:$ZZ,BS1,0)</f>
        <v>888</v>
      </c>
      <c r="BU7" s="268">
        <f>VLOOKUP($H$7&amp;$G$1,'Input RM sheet'!$A:$ZZ,BT1,0)</f>
        <v>879</v>
      </c>
      <c r="BV7" s="268">
        <f>VLOOKUP($H$7&amp;$G$1,'Input RM sheet'!$A:$ZZ,BU1,0)</f>
        <v>879</v>
      </c>
      <c r="BW7" s="268">
        <f>VLOOKUP($H$7&amp;$G$1,'Input RM sheet'!$A:$ZZ,BV1,0)</f>
        <v>928</v>
      </c>
      <c r="BX7" s="268">
        <f>VLOOKUP($H$7&amp;$G$1,'Input RM sheet'!$A:$ZZ,BW1,0)</f>
        <v>1010</v>
      </c>
      <c r="BY7" s="268">
        <f>VLOOKUP($H$7&amp;$G$1,'Input RM sheet'!$A:$ZZ,BX1,0)</f>
        <v>1025</v>
      </c>
      <c r="BZ7" s="268">
        <f>VLOOKUP($H$7&amp;$G$1,'Input RM sheet'!$A:$ZZ,BY1,0)</f>
        <v>1060</v>
      </c>
      <c r="CA7" s="268">
        <f>VLOOKUP($H$7&amp;$G$1,'Input RM sheet'!$A:$ZZ,BZ1,0)</f>
        <v>1090</v>
      </c>
      <c r="CB7" s="268">
        <f>VLOOKUP($H$7&amp;$G$1,'Input RM sheet'!$A:$ZZ,CA1,0)</f>
        <v>1125</v>
      </c>
      <c r="CC7" s="268">
        <f>VLOOKUP($H$7&amp;$G$1,'Input RM sheet'!$A:$ZZ,CB1,0)</f>
        <v>1128</v>
      </c>
      <c r="CD7" s="268">
        <f>VLOOKUP($H$7&amp;$G$1,'Input RM sheet'!$A:$ZZ,CC1,0)</f>
        <v>1198</v>
      </c>
      <c r="CE7" s="268">
        <f>VLOOKUP($H$7&amp;$G$1,'Input RM sheet'!$A:$ZZ,CD1,0)</f>
        <v>1260</v>
      </c>
      <c r="CF7" s="268">
        <f>VLOOKUP($H$7&amp;$G$1,'Input RM sheet'!$A:$ZZ,CE1,0)</f>
        <v>1320</v>
      </c>
      <c r="CG7" s="268">
        <f>VLOOKUP($H$7&amp;$G$1,'Input RM sheet'!$A:$ZZ,CF1,0)</f>
        <v>1360</v>
      </c>
      <c r="CH7" s="268">
        <f>VLOOKUP($H$7&amp;$G$1,'Input RM sheet'!$A:$ZZ,CG1,0)</f>
        <v>1415</v>
      </c>
      <c r="CI7" s="268">
        <f>VLOOKUP($H$7&amp;$G$1,'Input RM sheet'!$A:$ZZ,CH1,0)</f>
        <v>1418</v>
      </c>
      <c r="CJ7" s="268">
        <f>VLOOKUP($H$7&amp;$G$1,'Input RM sheet'!$A:$ZZ,CI1,0)</f>
        <v>1418</v>
      </c>
      <c r="CK7" s="268">
        <f>VLOOKUP($H$7&amp;$G$1,'Input RM sheet'!$A:$ZZ,CJ1,0)</f>
        <v>1418</v>
      </c>
      <c r="CL7" s="268">
        <f>VLOOKUP($H$7&amp;$G$1,'Input RM sheet'!$A:$ZZ,CK1,0)</f>
        <v>1403</v>
      </c>
      <c r="CM7" s="268">
        <f>VLOOKUP($H$7&amp;$G$1,'Input RM sheet'!$A:$ZZ,CL1,0)</f>
        <v>1398</v>
      </c>
      <c r="CN7" s="268">
        <f>VLOOKUP($H$7&amp;$G$1,'Input RM sheet'!$A:$ZZ,CM1,0)</f>
        <v>1360</v>
      </c>
      <c r="CO7" s="268">
        <f>VLOOKUP($H$7&amp;$G$1,'Input RM sheet'!$A:$ZZ,CN1,0)</f>
        <v>1360</v>
      </c>
      <c r="CP7" s="268">
        <f>VLOOKUP($H$7&amp;$G$1,'Input RM sheet'!$A:$ZZ,CO1,0)</f>
        <v>1360</v>
      </c>
      <c r="CQ7" s="268">
        <f>VLOOKUP($H$7&amp;$G$1,'Input RM sheet'!$A:$ZZ,CP1,0)</f>
        <v>1325</v>
      </c>
      <c r="CR7" s="268">
        <f>VLOOKUP($H$7&amp;$G$1,'Input RM sheet'!$A:$ZZ,CQ1,0)</f>
        <v>1300</v>
      </c>
      <c r="CS7" s="268">
        <f>VLOOKUP($H$7&amp;$G$1,'Input RM sheet'!$A:$ZZ,CR1,0)</f>
        <v>1400</v>
      </c>
      <c r="CT7" s="268">
        <f>VLOOKUP($H$7&amp;$G$1,'Input RM sheet'!$A:$ZZ,CS1,0)</f>
        <v>1462</v>
      </c>
      <c r="CU7" s="268">
        <f>VLOOKUP($H$7&amp;$G$1,'Input RM sheet'!$A:$ZZ,CT1,0)</f>
        <v>1462</v>
      </c>
      <c r="CV7" s="268">
        <f>VLOOKUP($H$7&amp;$G$1,'Input RM sheet'!$A:$ZZ,CU1,0)</f>
        <v>1462</v>
      </c>
      <c r="CW7" s="268">
        <f>VLOOKUP($H$7&amp;$G$1,'Input RM sheet'!$A:$ZZ,CV1,0)</f>
        <v>1449</v>
      </c>
      <c r="CX7" s="268">
        <f>VLOOKUP($H$7&amp;$G$1,'Input RM sheet'!$A:$ZZ,CW1,0)</f>
        <v>1449</v>
      </c>
      <c r="CY7" s="268">
        <f>VLOOKUP($H$7&amp;$G$1,'Input RM sheet'!$A:$ZZ,CX1,0)</f>
        <v>1418</v>
      </c>
      <c r="CZ7" s="268">
        <f>VLOOKUP($H$7&amp;$G$1,'Input RM sheet'!$A:$ZZ,CY1,0)</f>
        <v>1418</v>
      </c>
      <c r="DA7" s="268">
        <f>VLOOKUP($H$7&amp;$G$1,'Input RM sheet'!$A:$ZZ,CZ1,0)</f>
        <v>1409</v>
      </c>
      <c r="DB7" s="268">
        <f>VLOOKUP($H$7&amp;$G$1,'Input RM sheet'!$A:$ZZ,DA1,0)</f>
        <v>1380</v>
      </c>
      <c r="DC7" s="268">
        <f>VLOOKUP($H$7&amp;$G$1,'Input RM sheet'!$A:$ZZ,DB1,0)</f>
        <v>1380</v>
      </c>
      <c r="DD7" s="268">
        <f>VLOOKUP($H$7&amp;$G$1,'Input RM sheet'!$A:$ZZ,DC1,0)</f>
        <v>1380</v>
      </c>
      <c r="DE7" s="268">
        <f>VLOOKUP($H$7&amp;$G$1,'Input RM sheet'!$A:$ZZ,DD1,0)</f>
        <v>1418</v>
      </c>
      <c r="DF7" s="268">
        <f>VLOOKUP($H$7&amp;$G$1,'Input RM sheet'!$A:$ZZ,DE1,0)</f>
        <v>1470</v>
      </c>
      <c r="DG7" s="268">
        <f>VLOOKUP($H$7&amp;$G$1,'Input RM sheet'!$A:$ZZ,DF1,0)</f>
        <v>1468</v>
      </c>
      <c r="DH7" s="268">
        <f>VLOOKUP($H$7&amp;$G$1,'Input RM sheet'!$A:$ZZ,DG1,0)</f>
        <v>1480</v>
      </c>
      <c r="DI7" s="268">
        <f>VLOOKUP($H$7&amp;$G$1,'Input RM sheet'!$A:$ZZ,DH1,0)</f>
        <v>1458</v>
      </c>
      <c r="DJ7" s="268">
        <f>VLOOKUP($H$7&amp;$G$1,'Input RM sheet'!$A:$ZZ,DI1,0)</f>
        <v>1450</v>
      </c>
      <c r="DK7" s="268">
        <f>VLOOKUP($H$7&amp;$G$1,'Input RM sheet'!$A:$ZZ,DJ1,0)</f>
        <v>1390</v>
      </c>
      <c r="DL7" s="268">
        <f>VLOOKUP($H$7&amp;$G$1,'Input RM sheet'!$A:$ZZ,DK1,0)</f>
        <v>1325</v>
      </c>
      <c r="DM7" s="268">
        <f>VLOOKUP($H$7&amp;$G$1,'Input RM sheet'!$A:$ZZ,DL1,0)</f>
        <v>1225</v>
      </c>
      <c r="DN7" s="268">
        <f>VLOOKUP($H$7&amp;$G$1,'Input RM sheet'!$A:$ZZ,DM1,0)</f>
        <v>1049</v>
      </c>
      <c r="DO7" s="268">
        <f>VLOOKUP($H$7&amp;$G$1,'Input RM sheet'!$A:$ZZ,DN1,0)</f>
        <v>1020</v>
      </c>
      <c r="DP7" s="268">
        <f>VLOOKUP($H$7&amp;$G$1,'Input RM sheet'!$A:$ZZ,DO1,0)</f>
        <v>1020</v>
      </c>
      <c r="DQ7" s="268">
        <f>VLOOKUP($H$7&amp;$G$1,'Input RM sheet'!$A:$ZZ,DP1,0)</f>
        <v>1042</v>
      </c>
      <c r="DR7" s="268">
        <f>VLOOKUP($H$7&amp;$G$1,'Input RM sheet'!$A:$ZZ,DQ1,0)</f>
        <v>1100</v>
      </c>
      <c r="DS7" s="268">
        <f>VLOOKUP($H$7&amp;$G$1,'Input RM sheet'!$A:$ZZ,DR1,0)</f>
        <v>1180</v>
      </c>
      <c r="DT7" s="268">
        <f>VLOOKUP($H$7&amp;$G$1,'Input RM sheet'!$A:$ZZ,DS1,0)</f>
        <v>0</v>
      </c>
      <c r="DU7" s="268">
        <f>VLOOKUP($H$7&amp;$G$1,'Input RM sheet'!$A:$ZZ,DT1,0)</f>
        <v>0</v>
      </c>
      <c r="DV7" s="268">
        <f>VLOOKUP($H$7&amp;$G$1,'Input RM sheet'!$A:$ZZ,DU1,0)</f>
        <v>0</v>
      </c>
      <c r="DW7" s="268">
        <f>VLOOKUP($H$7&amp;$G$1,'Input RM sheet'!$A:$ZZ,DV1,0)</f>
        <v>0</v>
      </c>
      <c r="DX7" s="268">
        <f>VLOOKUP($H$7&amp;$G$1,'Input RM sheet'!$A:$ZZ,DW1,0)</f>
        <v>0</v>
      </c>
      <c r="DY7" s="268">
        <f>VLOOKUP($H$7&amp;$G$1,'Input RM sheet'!$A:$ZZ,DX1,0)</f>
        <v>0</v>
      </c>
      <c r="DZ7" s="268">
        <f>VLOOKUP($H$7&amp;$G$1,'Input RM sheet'!$A:$ZZ,DY1,0)</f>
        <v>0</v>
      </c>
      <c r="EA7" s="268">
        <f>VLOOKUP($H$7&amp;$G$1,'Input RM sheet'!$A:$ZZ,DZ1,0)</f>
        <v>0</v>
      </c>
      <c r="EB7" s="268">
        <f>VLOOKUP($H$7&amp;$G$1,'Input RM sheet'!$A:$ZZ,EA1,0)</f>
        <v>0</v>
      </c>
      <c r="EC7" s="268">
        <f>VLOOKUP($H$7&amp;$G$1,'Input RM sheet'!$A:$ZZ,EB1,0)</f>
        <v>0</v>
      </c>
      <c r="ED7" s="268">
        <f>VLOOKUP($H$7&amp;$G$1,'Input RM sheet'!$A:$ZZ,EC1,0)</f>
        <v>0</v>
      </c>
      <c r="EE7" s="268">
        <f>VLOOKUP($H$7&amp;$G$1,'Input RM sheet'!$A:$ZZ,ED1,0)</f>
        <v>0</v>
      </c>
      <c r="EF7" s="268">
        <f>VLOOKUP($H$7&amp;$G$1,'Input RM sheet'!$A:$ZZ,EE1,0)</f>
        <v>0</v>
      </c>
      <c r="EG7" s="268">
        <f>VLOOKUP($H$7&amp;$G$1,'Input RM sheet'!$A:$ZZ,EF1,0)</f>
        <v>0</v>
      </c>
      <c r="EH7" s="268">
        <f>VLOOKUP($H$7&amp;$G$1,'Input RM sheet'!$A:$ZZ,EG1,0)</f>
        <v>0</v>
      </c>
    </row>
    <row r="8" spans="1:159" ht="26">
      <c r="A8" s="59" t="s">
        <v>395</v>
      </c>
      <c r="B8" s="59"/>
      <c r="C8" s="59" t="s">
        <v>379</v>
      </c>
      <c r="D8" s="98" t="s">
        <v>380</v>
      </c>
      <c r="E8" s="98" t="s">
        <v>381</v>
      </c>
      <c r="F8" s="59" t="s">
        <v>396</v>
      </c>
      <c r="H8" s="60" t="s">
        <v>399</v>
      </c>
      <c r="BB8" s="64"/>
      <c r="BC8" s="64"/>
      <c r="BD8" s="64"/>
      <c r="BE8" s="64"/>
      <c r="BF8" s="64"/>
    </row>
    <row r="9" spans="1:159">
      <c r="A9" s="384" t="s">
        <v>397</v>
      </c>
      <c r="B9" s="64" t="s">
        <v>301</v>
      </c>
      <c r="C9" s="60">
        <v>1</v>
      </c>
      <c r="D9" s="64">
        <v>94.11</v>
      </c>
      <c r="E9" s="60">
        <f>D9*C9</f>
        <v>94.11</v>
      </c>
      <c r="F9" s="65">
        <f>E9/$E$3</f>
        <v>0.4561274772336118</v>
      </c>
      <c r="H9" s="70"/>
      <c r="I9" s="74">
        <f>$F$9*(I6/1000)</f>
        <v>0.3945502678070742</v>
      </c>
      <c r="J9" s="74">
        <f t="shared" ref="J9:AV9" si="0">$F$9*(J6/1000)</f>
        <v>0.41963727905492287</v>
      </c>
      <c r="K9" s="74">
        <f t="shared" si="0"/>
        <v>0.36262134440072141</v>
      </c>
      <c r="L9" s="74">
        <f t="shared" si="0"/>
        <v>0.30332477236035188</v>
      </c>
      <c r="M9" s="74">
        <f t="shared" si="0"/>
        <v>0.31928923406352822</v>
      </c>
      <c r="N9" s="74">
        <f t="shared" si="0"/>
        <v>0.38314708087623389</v>
      </c>
      <c r="O9" s="74">
        <f t="shared" si="0"/>
        <v>0.28736031065717543</v>
      </c>
      <c r="P9" s="74">
        <f t="shared" si="0"/>
        <v>0.28507967327100736</v>
      </c>
      <c r="Q9" s="74">
        <f t="shared" si="0"/>
        <v>0.28507967327100736</v>
      </c>
      <c r="R9" s="74">
        <f t="shared" si="0"/>
        <v>0.29420222281567959</v>
      </c>
      <c r="S9" s="74">
        <f t="shared" si="0"/>
        <v>0.34209560792520888</v>
      </c>
      <c r="T9" s="74">
        <f t="shared" si="0"/>
        <v>0.38770835564857004</v>
      </c>
      <c r="U9" s="74">
        <f t="shared" si="0"/>
        <v>0.39911154257941034</v>
      </c>
      <c r="V9" s="74">
        <f t="shared" si="0"/>
        <v>0.42191791644109095</v>
      </c>
      <c r="W9" s="74">
        <f t="shared" si="0"/>
        <v>0.52454659881865351</v>
      </c>
      <c r="X9" s="74">
        <f t="shared" si="0"/>
        <v>0.54735297268033412</v>
      </c>
      <c r="Y9" s="74">
        <f t="shared" si="0"/>
        <v>0.59296572040369533</v>
      </c>
      <c r="Z9" s="74">
        <f t="shared" si="0"/>
        <v>0.52454659881865351</v>
      </c>
      <c r="AA9" s="74">
        <f t="shared" si="0"/>
        <v>0.56103679699734255</v>
      </c>
      <c r="AB9" s="74">
        <f t="shared" si="0"/>
        <v>0.55419488483883839</v>
      </c>
      <c r="AC9" s="74">
        <f t="shared" si="0"/>
        <v>0.64998165505789685</v>
      </c>
      <c r="AD9" s="74">
        <f t="shared" si="0"/>
        <v>0.62717528119621624</v>
      </c>
      <c r="AE9" s="74">
        <f t="shared" si="0"/>
        <v>0.57015934654201472</v>
      </c>
      <c r="AF9" s="74">
        <f t="shared" si="0"/>
        <v>0.55875615961117453</v>
      </c>
      <c r="AG9" s="74">
        <f t="shared" si="0"/>
        <v>0.67278802891957745</v>
      </c>
      <c r="AH9" s="74">
        <f t="shared" si="0"/>
        <v>0.68191057846424974</v>
      </c>
      <c r="AI9" s="74">
        <f t="shared" si="0"/>
        <v>0.70927822709826627</v>
      </c>
      <c r="AJ9" s="74">
        <f t="shared" si="0"/>
        <v>0.66366547937490517</v>
      </c>
      <c r="AK9" s="74">
        <f t="shared" si="0"/>
        <v>0.64998165505789685</v>
      </c>
      <c r="AL9" s="74">
        <f t="shared" si="0"/>
        <v>0.67278802891957745</v>
      </c>
      <c r="AM9" s="74">
        <f t="shared" si="0"/>
        <v>0.55875615961117453</v>
      </c>
      <c r="AN9" s="74">
        <f t="shared" si="0"/>
        <v>0.53823042313566194</v>
      </c>
      <c r="AO9" s="74">
        <f t="shared" si="0"/>
        <v>0.56559807176967858</v>
      </c>
      <c r="AP9" s="74">
        <f t="shared" si="0"/>
        <v>0.54279169790799797</v>
      </c>
      <c r="AQ9" s="74">
        <f t="shared" si="0"/>
        <v>0.49033703802613265</v>
      </c>
      <c r="AR9" s="74">
        <f t="shared" si="0"/>
        <v>0.43560174075809927</v>
      </c>
      <c r="AS9" s="74">
        <f t="shared" si="0"/>
        <v>0.41507600428258673</v>
      </c>
      <c r="AT9" s="74">
        <f t="shared" si="0"/>
        <v>0.4561274772336118</v>
      </c>
      <c r="AU9" s="74">
        <f t="shared" si="0"/>
        <v>0.42875982859959505</v>
      </c>
      <c r="AV9" s="74">
        <f t="shared" si="0"/>
        <v>0.41051472951025064</v>
      </c>
      <c r="AW9" s="74">
        <f t="shared" ref="AW9:BN9" si="1">$F$9*(AW6/1000)</f>
        <v>0.40139217996557841</v>
      </c>
      <c r="AX9" s="74">
        <f t="shared" si="1"/>
        <v>0.33069242099436852</v>
      </c>
      <c r="AY9" s="74">
        <f t="shared" si="1"/>
        <v>0.33069242099436852</v>
      </c>
      <c r="AZ9" s="74">
        <f t="shared" si="1"/>
        <v>0.33069242099436852</v>
      </c>
      <c r="BA9" s="74">
        <f t="shared" si="1"/>
        <v>0.33069242099436852</v>
      </c>
      <c r="BB9" s="74">
        <f t="shared" si="1"/>
        <v>0.37630516871772973</v>
      </c>
      <c r="BC9" s="74">
        <f t="shared" si="1"/>
        <v>0.37630516871772973</v>
      </c>
      <c r="BD9" s="74">
        <f t="shared" si="1"/>
        <v>0.44565479035632805</v>
      </c>
      <c r="BE9" s="74">
        <f t="shared" si="1"/>
        <v>0.42191791644109095</v>
      </c>
      <c r="BF9" s="74">
        <f t="shared" si="1"/>
        <v>0.42191791644109095</v>
      </c>
      <c r="BG9" s="74">
        <f t="shared" si="1"/>
        <v>0.42191791644109095</v>
      </c>
      <c r="BH9" s="74">
        <f t="shared" si="1"/>
        <v>0.47893385109529241</v>
      </c>
      <c r="BI9" s="74">
        <f t="shared" si="1"/>
        <v>0.47893385109529241</v>
      </c>
      <c r="BJ9" s="74">
        <f t="shared" si="1"/>
        <v>0.47893385109529241</v>
      </c>
      <c r="BK9" s="74">
        <f t="shared" si="1"/>
        <v>0.49033703802613265</v>
      </c>
      <c r="BL9" s="74">
        <f t="shared" si="1"/>
        <v>0.49033703802613265</v>
      </c>
      <c r="BM9" s="74">
        <f t="shared" si="1"/>
        <v>0.49033703802613265</v>
      </c>
      <c r="BN9" s="74">
        <f t="shared" si="1"/>
        <v>0.4447242903027715</v>
      </c>
      <c r="BO9" s="74">
        <f t="shared" ref="BO9:BV9" si="2">$F$9*(BO6/1000)</f>
        <v>0.42191791644109095</v>
      </c>
      <c r="BP9" s="74">
        <f t="shared" si="2"/>
        <v>0.42191791644109095</v>
      </c>
      <c r="BQ9" s="74">
        <f t="shared" si="2"/>
        <v>0.42191791644109095</v>
      </c>
      <c r="BR9" s="74">
        <f t="shared" si="2"/>
        <v>0.42191791644109095</v>
      </c>
      <c r="BS9" s="74">
        <f t="shared" si="2"/>
        <v>0.42191791644109095</v>
      </c>
      <c r="BT9" s="74">
        <f t="shared" si="2"/>
        <v>0.42191791644109095</v>
      </c>
      <c r="BU9" s="74">
        <f t="shared" si="2"/>
        <v>0.41279536689641871</v>
      </c>
      <c r="BV9" s="74">
        <f t="shared" si="2"/>
        <v>0.41279536689641871</v>
      </c>
      <c r="BW9" s="74">
        <f>$F$9*(BW6/1000)</f>
        <v>0.41279536689641871</v>
      </c>
      <c r="BX9" s="74">
        <f>$F$9*(BX6/1000)</f>
        <v>0.41279536689641871</v>
      </c>
      <c r="BY9" s="74">
        <f>$F$9*(BY6/1000)</f>
        <v>0.41279536689641871</v>
      </c>
      <c r="BZ9" s="74">
        <f>$F$9*(BZ6/1000)</f>
        <v>0.3945502678070742</v>
      </c>
      <c r="CA9" s="74">
        <f>$F$9*(CA6/1000)</f>
        <v>0.3945502678070742</v>
      </c>
      <c r="CB9" s="74">
        <f t="shared" ref="CB9:CH9" si="3">$F$9*(CB6/1000)</f>
        <v>0.3945502678070742</v>
      </c>
      <c r="CC9" s="74">
        <f t="shared" si="3"/>
        <v>0.42875982859959505</v>
      </c>
      <c r="CD9" s="74">
        <f t="shared" si="3"/>
        <v>0.42875982859959505</v>
      </c>
      <c r="CE9" s="74">
        <f t="shared" si="3"/>
        <v>0.42875982859959505</v>
      </c>
      <c r="CF9" s="74">
        <f t="shared" si="3"/>
        <v>0.42875982859959505</v>
      </c>
      <c r="CG9" s="74">
        <f t="shared" si="3"/>
        <v>0.42875982859959505</v>
      </c>
      <c r="CH9" s="74">
        <f t="shared" si="3"/>
        <v>0.41507600428258673</v>
      </c>
      <c r="CI9" s="74">
        <f t="shared" ref="CI9:DG9" si="4">$F$9*(CI6/1000)</f>
        <v>0.41507600428258673</v>
      </c>
      <c r="CJ9" s="74">
        <f t="shared" si="4"/>
        <v>0.41507600428258673</v>
      </c>
      <c r="CK9" s="74">
        <f t="shared" si="4"/>
        <v>0.41507600428258673</v>
      </c>
      <c r="CL9" s="74">
        <f t="shared" si="4"/>
        <v>0.43104046598576312</v>
      </c>
      <c r="CM9" s="74">
        <f t="shared" si="4"/>
        <v>0.43104046598576312</v>
      </c>
      <c r="CN9" s="74">
        <f t="shared" si="4"/>
        <v>0.43104046598576312</v>
      </c>
      <c r="CO9" s="74">
        <f t="shared" si="4"/>
        <v>0.43104046598576312</v>
      </c>
      <c r="CP9" s="74">
        <f t="shared" si="4"/>
        <v>0.43104046598576312</v>
      </c>
      <c r="CQ9" s="74">
        <f t="shared" si="4"/>
        <v>0.43104046598576312</v>
      </c>
      <c r="CR9" s="74">
        <f t="shared" si="4"/>
        <v>0.41507600428258673</v>
      </c>
      <c r="CS9" s="74">
        <f t="shared" si="4"/>
        <v>0.41507600428258673</v>
      </c>
      <c r="CT9" s="74">
        <f t="shared" si="4"/>
        <v>0.41507600428258673</v>
      </c>
      <c r="CU9" s="74">
        <f t="shared" si="4"/>
        <v>0.42419855382725902</v>
      </c>
      <c r="CV9" s="74">
        <f t="shared" si="4"/>
        <v>0.42419855382725902</v>
      </c>
      <c r="CW9" s="74">
        <f t="shared" si="4"/>
        <v>0.42419855382725902</v>
      </c>
      <c r="CX9" s="74">
        <f t="shared" si="4"/>
        <v>0.42419855382725902</v>
      </c>
      <c r="CY9" s="74">
        <f t="shared" si="4"/>
        <v>0.44244365291660342</v>
      </c>
      <c r="CZ9" s="74">
        <f t="shared" si="4"/>
        <v>0.46296938939211596</v>
      </c>
      <c r="DA9" s="74">
        <f t="shared" si="4"/>
        <v>0.46296938939211596</v>
      </c>
      <c r="DB9" s="74">
        <f t="shared" si="4"/>
        <v>0.46068875200594794</v>
      </c>
      <c r="DC9" s="74">
        <f t="shared" si="4"/>
        <v>0.49717895018463693</v>
      </c>
      <c r="DD9" s="74">
        <f t="shared" si="4"/>
        <v>0.49717895018463693</v>
      </c>
      <c r="DE9" s="74">
        <f t="shared" si="4"/>
        <v>0.49717895018463693</v>
      </c>
      <c r="DF9" s="74">
        <f t="shared" si="4"/>
        <v>0.46753066416445205</v>
      </c>
      <c r="DG9" s="74">
        <f t="shared" si="4"/>
        <v>0.46753066416445205</v>
      </c>
      <c r="DH9" s="74">
        <f>$F$9*(DH6/1000)</f>
        <v>0.44928556507510764</v>
      </c>
      <c r="DI9" s="74">
        <f>$F$9*(DI6/1000)</f>
        <v>0.43560174075809927</v>
      </c>
      <c r="DJ9" s="74">
        <f>$F$9*(DJ6/1000)</f>
        <v>0.41279536689641871</v>
      </c>
      <c r="DK9" s="74">
        <f t="shared" ref="DK9:EP9" si="5">$F$9*(DK6/1000)</f>
        <v>0.40823409212408257</v>
      </c>
      <c r="DL9" s="74">
        <f t="shared" si="5"/>
        <v>0.40823409212408257</v>
      </c>
      <c r="DM9" s="74">
        <f t="shared" si="5"/>
        <v>0.41051472951025064</v>
      </c>
      <c r="DN9" s="74">
        <f t="shared" si="5"/>
        <v>0.41507600428258673</v>
      </c>
      <c r="DO9" s="74">
        <f t="shared" si="5"/>
        <v>0.40823409212408257</v>
      </c>
      <c r="DP9" s="74">
        <f t="shared" si="5"/>
        <v>0.40823409212408257</v>
      </c>
      <c r="DQ9" s="74">
        <f t="shared" si="5"/>
        <v>0.41051472951025064</v>
      </c>
      <c r="DR9" s="74">
        <f t="shared" si="5"/>
        <v>0.41051472951025064</v>
      </c>
      <c r="DS9" s="74">
        <f t="shared" si="5"/>
        <v>0.41051472951025064</v>
      </c>
      <c r="DT9" s="74">
        <f t="shared" si="5"/>
        <v>0</v>
      </c>
      <c r="DU9" s="74">
        <f t="shared" si="5"/>
        <v>0</v>
      </c>
      <c r="DV9" s="74">
        <f t="shared" si="5"/>
        <v>0</v>
      </c>
      <c r="DW9" s="74">
        <f t="shared" si="5"/>
        <v>0</v>
      </c>
      <c r="DX9" s="74">
        <f t="shared" si="5"/>
        <v>0</v>
      </c>
      <c r="DY9" s="74">
        <f t="shared" si="5"/>
        <v>0</v>
      </c>
      <c r="DZ9" s="74">
        <f t="shared" si="5"/>
        <v>0</v>
      </c>
      <c r="EA9" s="74">
        <f t="shared" si="5"/>
        <v>0</v>
      </c>
      <c r="EB9" s="74">
        <f t="shared" si="5"/>
        <v>0</v>
      </c>
      <c r="EC9" s="74">
        <f t="shared" si="5"/>
        <v>0</v>
      </c>
      <c r="ED9" s="74">
        <f t="shared" si="5"/>
        <v>0</v>
      </c>
      <c r="EE9" s="74">
        <f t="shared" si="5"/>
        <v>0</v>
      </c>
      <c r="EF9" s="74">
        <f t="shared" si="5"/>
        <v>0</v>
      </c>
      <c r="EG9" s="74">
        <f t="shared" si="5"/>
        <v>0</v>
      </c>
      <c r="EH9" s="74">
        <f t="shared" si="5"/>
        <v>0</v>
      </c>
      <c r="EI9" s="74">
        <f t="shared" si="5"/>
        <v>0</v>
      </c>
      <c r="EJ9" s="74">
        <f t="shared" si="5"/>
        <v>0</v>
      </c>
      <c r="EK9" s="74">
        <f t="shared" si="5"/>
        <v>0</v>
      </c>
      <c r="EL9" s="74">
        <f t="shared" si="5"/>
        <v>0</v>
      </c>
      <c r="EM9" s="74">
        <f t="shared" si="5"/>
        <v>0</v>
      </c>
      <c r="EN9" s="74">
        <f t="shared" si="5"/>
        <v>0</v>
      </c>
      <c r="EO9" s="74">
        <f t="shared" si="5"/>
        <v>0</v>
      </c>
      <c r="EP9" s="74">
        <f t="shared" si="5"/>
        <v>0</v>
      </c>
    </row>
    <row r="10" spans="1:159">
      <c r="A10" s="385"/>
      <c r="B10" s="64" t="s">
        <v>644</v>
      </c>
      <c r="C10" s="60">
        <v>2</v>
      </c>
      <c r="D10" s="64">
        <v>56.01</v>
      </c>
      <c r="E10" s="60">
        <v>79.900000000000006</v>
      </c>
      <c r="F10" s="65">
        <f>E10/$E$3</f>
        <v>0.38725518468776521</v>
      </c>
      <c r="H10" s="70"/>
      <c r="I10" s="74">
        <f>$F$10*(I7/1000)</f>
        <v>0.3473679006649254</v>
      </c>
      <c r="J10" s="74">
        <f t="shared" ref="J10:AV10" si="6">$F$10*(J7/1000)</f>
        <v>0.32916690698460044</v>
      </c>
      <c r="K10" s="74">
        <f t="shared" si="6"/>
        <v>0.27107862928143561</v>
      </c>
      <c r="L10" s="74">
        <f t="shared" si="6"/>
        <v>0.11617655540632955</v>
      </c>
      <c r="M10" s="74">
        <f t="shared" si="6"/>
        <v>9.6813796171941302E-2</v>
      </c>
      <c r="N10" s="74">
        <f t="shared" si="6"/>
        <v>0.10765694134319874</v>
      </c>
      <c r="O10" s="74">
        <f t="shared" si="6"/>
        <v>0.13553931464071781</v>
      </c>
      <c r="P10" s="74">
        <f t="shared" si="6"/>
        <v>0.20524524788451556</v>
      </c>
      <c r="Q10" s="74">
        <f t="shared" si="6"/>
        <v>0.26333352558768036</v>
      </c>
      <c r="R10" s="74">
        <f t="shared" si="6"/>
        <v>0.31948552736740626</v>
      </c>
      <c r="S10" s="74">
        <f t="shared" si="6"/>
        <v>0.4763238771659512</v>
      </c>
      <c r="T10" s="74">
        <f t="shared" si="6"/>
        <v>0.44534346239092998</v>
      </c>
      <c r="U10" s="74">
        <f t="shared" si="6"/>
        <v>0.28656883666894623</v>
      </c>
      <c r="V10" s="74">
        <f t="shared" si="6"/>
        <v>0.29044138851582391</v>
      </c>
      <c r="W10" s="74">
        <f t="shared" si="6"/>
        <v>0.4066179439221535</v>
      </c>
      <c r="X10" s="74">
        <f t="shared" si="6"/>
        <v>0.36789242545337691</v>
      </c>
      <c r="Y10" s="74">
        <f t="shared" si="6"/>
        <v>0.36789242545337691</v>
      </c>
      <c r="Z10" s="74">
        <f t="shared" si="6"/>
        <v>0.44534346239092998</v>
      </c>
      <c r="AA10" s="74">
        <f t="shared" si="6"/>
        <v>0.5227944993284831</v>
      </c>
      <c r="AB10" s="74">
        <f t="shared" si="6"/>
        <v>0.60024553626603605</v>
      </c>
      <c r="AC10" s="74">
        <f t="shared" si="6"/>
        <v>0.35627476991274398</v>
      </c>
      <c r="AD10" s="74">
        <f t="shared" si="6"/>
        <v>0.29044138851582391</v>
      </c>
      <c r="AE10" s="74">
        <f t="shared" si="6"/>
        <v>0.28656883666894623</v>
      </c>
      <c r="AF10" s="74">
        <f t="shared" si="6"/>
        <v>0.23235311081265911</v>
      </c>
      <c r="AG10" s="74">
        <f t="shared" si="6"/>
        <v>0.29044138851582391</v>
      </c>
      <c r="AH10" s="74">
        <f t="shared" si="6"/>
        <v>0.3808009316096358</v>
      </c>
      <c r="AI10" s="74">
        <f t="shared" si="6"/>
        <v>0.50343174009409475</v>
      </c>
      <c r="AJ10" s="74">
        <f t="shared" si="6"/>
        <v>0.53596117560786705</v>
      </c>
      <c r="AK10" s="74">
        <f t="shared" si="6"/>
        <v>0.51698567155816655</v>
      </c>
      <c r="AL10" s="74">
        <f t="shared" si="6"/>
        <v>0.56797427087538899</v>
      </c>
      <c r="AM10" s="74">
        <f t="shared" si="6"/>
        <v>0.49278222251518122</v>
      </c>
      <c r="AN10" s="74">
        <f t="shared" si="6"/>
        <v>0.36660157483775108</v>
      </c>
      <c r="AO10" s="74">
        <f t="shared" si="6"/>
        <v>0.31077228571193155</v>
      </c>
      <c r="AP10" s="74">
        <f t="shared" si="6"/>
        <v>0.27882373297519092</v>
      </c>
      <c r="AQ10" s="74">
        <f t="shared" si="6"/>
        <v>0.26333352558768036</v>
      </c>
      <c r="AR10" s="74">
        <f t="shared" si="6"/>
        <v>0.2826962848220686</v>
      </c>
      <c r="AS10" s="74">
        <f t="shared" si="6"/>
        <v>0.32916690698460044</v>
      </c>
      <c r="AT10" s="74">
        <f t="shared" si="6"/>
        <v>0.43759835869717462</v>
      </c>
      <c r="AU10" s="74">
        <f t="shared" si="6"/>
        <v>0.42598070315654174</v>
      </c>
      <c r="AV10" s="74">
        <f t="shared" si="6"/>
        <v>0.38725518468776521</v>
      </c>
      <c r="AW10" s="74">
        <f t="shared" ref="AW10:BN10" si="7">$F$10*(AW7/1000)</f>
        <v>0.34465711437211105</v>
      </c>
      <c r="AX10" s="74">
        <f t="shared" si="7"/>
        <v>0.21686290342514855</v>
      </c>
      <c r="AY10" s="74">
        <f t="shared" si="7"/>
        <v>0.21608839305577301</v>
      </c>
      <c r="AZ10" s="74">
        <f t="shared" si="7"/>
        <v>0.24009821450641441</v>
      </c>
      <c r="BA10" s="74">
        <f t="shared" si="7"/>
        <v>0.2439707663532921</v>
      </c>
      <c r="BB10" s="74">
        <f t="shared" si="7"/>
        <v>0.2439707663532921</v>
      </c>
      <c r="BC10" s="74">
        <f t="shared" si="7"/>
        <v>0.25558842189392506</v>
      </c>
      <c r="BD10" s="74">
        <f t="shared" si="7"/>
        <v>0.27495118112831329</v>
      </c>
      <c r="BE10" s="74">
        <f t="shared" si="7"/>
        <v>0.29431394036270159</v>
      </c>
      <c r="BF10" s="74">
        <f t="shared" si="7"/>
        <v>0.3098041477502122</v>
      </c>
      <c r="BG10" s="74">
        <f t="shared" si="7"/>
        <v>0.32529435513772276</v>
      </c>
      <c r="BH10" s="74">
        <f t="shared" si="7"/>
        <v>0.36014732175962166</v>
      </c>
      <c r="BI10" s="74">
        <f t="shared" si="7"/>
        <v>0.38725518468776521</v>
      </c>
      <c r="BJ10" s="74">
        <f t="shared" si="7"/>
        <v>0.39112773653464289</v>
      </c>
      <c r="BK10" s="74">
        <f t="shared" si="7"/>
        <v>0.39112773653464289</v>
      </c>
      <c r="BL10" s="74">
        <f t="shared" si="7"/>
        <v>0.39112773653464289</v>
      </c>
      <c r="BM10" s="74">
        <f t="shared" si="7"/>
        <v>0.39112773653464289</v>
      </c>
      <c r="BN10" s="74">
        <f t="shared" si="7"/>
        <v>0.38260812247151205</v>
      </c>
      <c r="BO10" s="74">
        <f t="shared" ref="BO10:BV10" si="8">$F$10*(BO7/1000)</f>
        <v>0.38260812247151205</v>
      </c>
      <c r="BP10" s="74">
        <f t="shared" si="8"/>
        <v>0.37757380507057109</v>
      </c>
      <c r="BQ10" s="74">
        <f t="shared" si="8"/>
        <v>0.37486301877775668</v>
      </c>
      <c r="BR10" s="74">
        <f t="shared" si="8"/>
        <v>0.35627476991274398</v>
      </c>
      <c r="BS10" s="74">
        <f t="shared" si="8"/>
        <v>0.35395123880461743</v>
      </c>
      <c r="BT10" s="74">
        <f t="shared" si="8"/>
        <v>0.34388260400273551</v>
      </c>
      <c r="BU10" s="74">
        <f t="shared" si="8"/>
        <v>0.34039730734054563</v>
      </c>
      <c r="BV10" s="74">
        <f t="shared" si="8"/>
        <v>0.34039730734054563</v>
      </c>
      <c r="BW10" s="74">
        <f>$F$10*(BW7/1000)</f>
        <v>0.35937281139024613</v>
      </c>
      <c r="BX10" s="74">
        <f>$F$10*(BX7/1000)</f>
        <v>0.39112773653464289</v>
      </c>
      <c r="BY10" s="74">
        <f>$F$10*(BY7/1000)</f>
        <v>0.39693656430495933</v>
      </c>
      <c r="BZ10" s="74">
        <f>$F$10*(BZ7/1000)</f>
        <v>0.41049049576903113</v>
      </c>
      <c r="CA10" s="74">
        <f>$F$10*(CA7/1000)</f>
        <v>0.42210815130966411</v>
      </c>
      <c r="CB10" s="74">
        <f t="shared" ref="CB10:CH10" si="9">$F$10*(CB7/1000)</f>
        <v>0.43566208277373586</v>
      </c>
      <c r="CC10" s="74">
        <f t="shared" si="9"/>
        <v>0.43682384832779914</v>
      </c>
      <c r="CD10" s="74">
        <f t="shared" si="9"/>
        <v>0.46393171125594268</v>
      </c>
      <c r="CE10" s="74">
        <f t="shared" si="9"/>
        <v>0.48794153270658419</v>
      </c>
      <c r="CF10" s="74">
        <f t="shared" si="9"/>
        <v>0.51117684378785011</v>
      </c>
      <c r="CG10" s="74">
        <f t="shared" si="9"/>
        <v>0.52666705117536072</v>
      </c>
      <c r="CH10" s="74">
        <f t="shared" si="9"/>
        <v>0.54796608633318777</v>
      </c>
      <c r="CI10" s="74">
        <f t="shared" ref="CI10:DG10" si="10">$F$10*(CI7/1000)</f>
        <v>0.549127851887251</v>
      </c>
      <c r="CJ10" s="74">
        <f t="shared" si="10"/>
        <v>0.549127851887251</v>
      </c>
      <c r="CK10" s="74">
        <f t="shared" si="10"/>
        <v>0.549127851887251</v>
      </c>
      <c r="CL10" s="74">
        <f t="shared" si="10"/>
        <v>0.54331902411693456</v>
      </c>
      <c r="CM10" s="74">
        <f t="shared" si="10"/>
        <v>0.54138274819349574</v>
      </c>
      <c r="CN10" s="74">
        <f t="shared" si="10"/>
        <v>0.52666705117536072</v>
      </c>
      <c r="CO10" s="74">
        <f t="shared" si="10"/>
        <v>0.52666705117536072</v>
      </c>
      <c r="CP10" s="74">
        <f t="shared" si="10"/>
        <v>0.52666705117536072</v>
      </c>
      <c r="CQ10" s="74">
        <f t="shared" si="10"/>
        <v>0.51311311971128892</v>
      </c>
      <c r="CR10" s="74">
        <f t="shared" si="10"/>
        <v>0.50343174009409475</v>
      </c>
      <c r="CS10" s="74">
        <f t="shared" si="10"/>
        <v>0.54215725856287122</v>
      </c>
      <c r="CT10" s="74">
        <f t="shared" si="10"/>
        <v>0.56616708001351268</v>
      </c>
      <c r="CU10" s="74">
        <f t="shared" si="10"/>
        <v>0.56616708001351268</v>
      </c>
      <c r="CV10" s="74">
        <f t="shared" si="10"/>
        <v>0.56616708001351268</v>
      </c>
      <c r="CW10" s="74">
        <f t="shared" si="10"/>
        <v>0.56113276261257183</v>
      </c>
      <c r="CX10" s="74">
        <f t="shared" si="10"/>
        <v>0.56113276261257183</v>
      </c>
      <c r="CY10" s="74">
        <f t="shared" si="10"/>
        <v>0.549127851887251</v>
      </c>
      <c r="CZ10" s="74">
        <f t="shared" si="10"/>
        <v>0.549127851887251</v>
      </c>
      <c r="DA10" s="74">
        <f t="shared" si="10"/>
        <v>0.54564255522506122</v>
      </c>
      <c r="DB10" s="74">
        <f t="shared" si="10"/>
        <v>0.53441215486911597</v>
      </c>
      <c r="DC10" s="74">
        <f t="shared" si="10"/>
        <v>0.53441215486911597</v>
      </c>
      <c r="DD10" s="74">
        <f t="shared" si="10"/>
        <v>0.53441215486911597</v>
      </c>
      <c r="DE10" s="74">
        <f t="shared" si="10"/>
        <v>0.549127851887251</v>
      </c>
      <c r="DF10" s="74">
        <f t="shared" si="10"/>
        <v>0.56926512149101482</v>
      </c>
      <c r="DG10" s="74">
        <f t="shared" si="10"/>
        <v>0.56849061112163934</v>
      </c>
      <c r="DH10" s="74">
        <f>$F$10*(DH7/1000)</f>
        <v>0.57313767333789245</v>
      </c>
      <c r="DI10" s="74">
        <f>$F$10*(DI7/1000)</f>
        <v>0.56461805927476161</v>
      </c>
      <c r="DJ10" s="74">
        <f>$F$10*(DJ7/1000)</f>
        <v>0.56152001779725957</v>
      </c>
      <c r="DK10" s="74">
        <f t="shared" ref="DK10:EP10" si="11">$F$10*(DK7/1000)</f>
        <v>0.5382847067159936</v>
      </c>
      <c r="DL10" s="74">
        <f t="shared" si="11"/>
        <v>0.51311311971128892</v>
      </c>
      <c r="DM10" s="74">
        <f t="shared" si="11"/>
        <v>0.47438760124251239</v>
      </c>
      <c r="DN10" s="74">
        <f t="shared" si="11"/>
        <v>0.40623068873746565</v>
      </c>
      <c r="DO10" s="74">
        <f t="shared" si="11"/>
        <v>0.39500028838152051</v>
      </c>
      <c r="DP10" s="74">
        <f t="shared" si="11"/>
        <v>0.39500028838152051</v>
      </c>
      <c r="DQ10" s="74">
        <f t="shared" si="11"/>
        <v>0.40351990244465136</v>
      </c>
      <c r="DR10" s="74">
        <f t="shared" si="11"/>
        <v>0.42598070315654174</v>
      </c>
      <c r="DS10" s="74">
        <f t="shared" si="11"/>
        <v>0.45696111793156291</v>
      </c>
      <c r="DT10" s="74">
        <f t="shared" si="11"/>
        <v>0</v>
      </c>
      <c r="DU10" s="74">
        <f t="shared" si="11"/>
        <v>0</v>
      </c>
      <c r="DV10" s="74">
        <f t="shared" si="11"/>
        <v>0</v>
      </c>
      <c r="DW10" s="74">
        <f t="shared" si="11"/>
        <v>0</v>
      </c>
      <c r="DX10" s="74">
        <f t="shared" si="11"/>
        <v>0</v>
      </c>
      <c r="DY10" s="74">
        <f t="shared" si="11"/>
        <v>0</v>
      </c>
      <c r="DZ10" s="74">
        <f t="shared" si="11"/>
        <v>0</v>
      </c>
      <c r="EA10" s="74">
        <f t="shared" si="11"/>
        <v>0</v>
      </c>
      <c r="EB10" s="74">
        <f t="shared" si="11"/>
        <v>0</v>
      </c>
      <c r="EC10" s="74">
        <f t="shared" si="11"/>
        <v>0</v>
      </c>
      <c r="ED10" s="74">
        <f t="shared" si="11"/>
        <v>0</v>
      </c>
      <c r="EE10" s="74">
        <f t="shared" si="11"/>
        <v>0</v>
      </c>
      <c r="EF10" s="74">
        <f t="shared" si="11"/>
        <v>0</v>
      </c>
      <c r="EG10" s="74">
        <f t="shared" si="11"/>
        <v>0</v>
      </c>
      <c r="EH10" s="74">
        <f t="shared" si="11"/>
        <v>0</v>
      </c>
      <c r="EI10" s="74">
        <f t="shared" si="11"/>
        <v>0</v>
      </c>
      <c r="EJ10" s="74">
        <f t="shared" si="11"/>
        <v>0</v>
      </c>
      <c r="EK10" s="74">
        <f t="shared" si="11"/>
        <v>0</v>
      </c>
      <c r="EL10" s="74">
        <f t="shared" si="11"/>
        <v>0</v>
      </c>
      <c r="EM10" s="74">
        <f t="shared" si="11"/>
        <v>0</v>
      </c>
      <c r="EN10" s="74">
        <f t="shared" si="11"/>
        <v>0</v>
      </c>
      <c r="EO10" s="74">
        <f t="shared" si="11"/>
        <v>0</v>
      </c>
      <c r="EP10" s="74">
        <f t="shared" si="11"/>
        <v>0</v>
      </c>
    </row>
    <row r="11" spans="1:159">
      <c r="A11" s="124"/>
      <c r="D11" s="64"/>
      <c r="F11" s="65"/>
      <c r="H11" s="70"/>
      <c r="I11" s="70"/>
      <c r="J11" s="70"/>
      <c r="K11" s="70"/>
      <c r="L11" s="70"/>
      <c r="M11" s="70"/>
      <c r="N11" s="70"/>
      <c r="O11" s="70"/>
      <c r="P11" s="70"/>
      <c r="Q11" s="70"/>
      <c r="R11" s="70"/>
      <c r="S11" s="70"/>
    </row>
    <row r="12" spans="1:159">
      <c r="A12" s="72"/>
      <c r="B12" s="100"/>
      <c r="D12" s="64"/>
      <c r="F12" s="65"/>
      <c r="G12" s="70"/>
      <c r="H12" s="70"/>
      <c r="I12" s="74"/>
      <c r="J12" s="74"/>
      <c r="K12" s="74"/>
      <c r="L12" s="74"/>
      <c r="M12" s="74"/>
      <c r="N12" s="74"/>
      <c r="O12" s="74"/>
      <c r="P12" s="74"/>
      <c r="Q12" s="74"/>
      <c r="R12" s="74"/>
      <c r="S12" s="74"/>
      <c r="T12" s="74"/>
      <c r="U12" s="74"/>
      <c r="V12" s="74"/>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row>
    <row r="13" spans="1:159" s="104" customFormat="1">
      <c r="A13" s="104" t="s">
        <v>400</v>
      </c>
      <c r="H13" s="134"/>
      <c r="I13" s="135">
        <f>SUM(I9:I12)</f>
        <v>0.74191816847199954</v>
      </c>
      <c r="J13" s="135">
        <f t="shared" ref="J13:AY13" si="12">SUM(J9:J12)</f>
        <v>0.74880418603952337</v>
      </c>
      <c r="K13" s="135">
        <f t="shared" si="12"/>
        <v>0.63369997368215703</v>
      </c>
      <c r="L13" s="135">
        <f t="shared" si="12"/>
        <v>0.41950132776668142</v>
      </c>
      <c r="M13" s="135">
        <f t="shared" si="12"/>
        <v>0.41610303023546952</v>
      </c>
      <c r="N13" s="135">
        <f t="shared" si="12"/>
        <v>0.49080402221943265</v>
      </c>
      <c r="O13" s="105">
        <f t="shared" si="12"/>
        <v>0.42289962529789327</v>
      </c>
      <c r="P13" s="135">
        <f t="shared" si="12"/>
        <v>0.49032492115552295</v>
      </c>
      <c r="Q13" s="135">
        <f t="shared" si="12"/>
        <v>0.54841319885868778</v>
      </c>
      <c r="R13" s="136">
        <f t="shared" si="12"/>
        <v>0.61368775018308586</v>
      </c>
      <c r="S13" s="135">
        <f t="shared" si="12"/>
        <v>0.81841948509116014</v>
      </c>
      <c r="T13" s="135">
        <f t="shared" si="12"/>
        <v>0.83305181803950001</v>
      </c>
      <c r="U13" s="135">
        <f t="shared" si="12"/>
        <v>0.68568037924835656</v>
      </c>
      <c r="V13" s="135">
        <f t="shared" si="12"/>
        <v>0.7123593049569148</v>
      </c>
      <c r="W13" s="135">
        <f t="shared" si="12"/>
        <v>0.93116454274080707</v>
      </c>
      <c r="X13" s="135">
        <f t="shared" si="12"/>
        <v>0.91524539813371097</v>
      </c>
      <c r="Y13" s="135">
        <f t="shared" si="12"/>
        <v>0.96085814585707219</v>
      </c>
      <c r="Z13" s="135">
        <f t="shared" si="12"/>
        <v>0.96989006120958354</v>
      </c>
      <c r="AA13" s="135">
        <f t="shared" si="12"/>
        <v>1.0838312963258256</v>
      </c>
      <c r="AB13" s="135">
        <f t="shared" si="12"/>
        <v>1.1544404211048744</v>
      </c>
      <c r="AC13" s="135">
        <f t="shared" si="12"/>
        <v>1.0062564249706409</v>
      </c>
      <c r="AD13" s="135">
        <f t="shared" si="12"/>
        <v>0.91761666971204014</v>
      </c>
      <c r="AE13" s="135">
        <f t="shared" si="12"/>
        <v>0.856728183210961</v>
      </c>
      <c r="AF13" s="135">
        <f t="shared" si="12"/>
        <v>0.79110927042383361</v>
      </c>
      <c r="AG13" s="135">
        <f t="shared" si="12"/>
        <v>0.96322941743540136</v>
      </c>
      <c r="AH13" s="135">
        <f t="shared" si="12"/>
        <v>1.0627115100738855</v>
      </c>
      <c r="AI13" s="135">
        <f t="shared" si="12"/>
        <v>1.2127099671923611</v>
      </c>
      <c r="AJ13" s="135">
        <f t="shared" si="12"/>
        <v>1.1996266549827723</v>
      </c>
      <c r="AK13" s="135">
        <f t="shared" si="12"/>
        <v>1.1669673266160634</v>
      </c>
      <c r="AL13" s="135">
        <f t="shared" si="12"/>
        <v>1.2407622997949663</v>
      </c>
      <c r="AM13" s="135">
        <f t="shared" si="12"/>
        <v>1.0515383821263558</v>
      </c>
      <c r="AN13" s="135">
        <f t="shared" si="12"/>
        <v>0.90483199797341296</v>
      </c>
      <c r="AO13" s="135">
        <f t="shared" si="12"/>
        <v>0.87637035748161018</v>
      </c>
      <c r="AP13" s="135">
        <f t="shared" si="12"/>
        <v>0.82161543088318889</v>
      </c>
      <c r="AQ13" s="135">
        <f t="shared" si="12"/>
        <v>0.75367056361381302</v>
      </c>
      <c r="AR13" s="135">
        <f t="shared" si="12"/>
        <v>0.71829802558016786</v>
      </c>
      <c r="AS13" s="135">
        <f t="shared" si="12"/>
        <v>0.74424291126718711</v>
      </c>
      <c r="AT13" s="135">
        <f t="shared" si="12"/>
        <v>0.89372583593078647</v>
      </c>
      <c r="AU13" s="105">
        <f t="shared" si="12"/>
        <v>0.85474053175613673</v>
      </c>
      <c r="AV13" s="105">
        <f t="shared" si="12"/>
        <v>0.79776991419801591</v>
      </c>
      <c r="AW13" s="105">
        <f t="shared" si="12"/>
        <v>0.74604929433768952</v>
      </c>
      <c r="AX13" s="105">
        <f t="shared" si="12"/>
        <v>0.54755532441951704</v>
      </c>
      <c r="AY13" s="105">
        <f t="shared" si="12"/>
        <v>0.54678081405014156</v>
      </c>
      <c r="AZ13" s="105">
        <f t="shared" ref="AZ13:BN13" si="13">SUM(AZ9:AZ12)</f>
        <v>0.57079063550078291</v>
      </c>
      <c r="BA13" s="105">
        <f t="shared" si="13"/>
        <v>0.57466318734766064</v>
      </c>
      <c r="BB13" s="105">
        <f t="shared" si="13"/>
        <v>0.62027593507102186</v>
      </c>
      <c r="BC13" s="105">
        <f t="shared" si="13"/>
        <v>0.63189359061165473</v>
      </c>
      <c r="BD13" s="105">
        <f t="shared" si="13"/>
        <v>0.72060597148464134</v>
      </c>
      <c r="BE13" s="105">
        <f t="shared" si="13"/>
        <v>0.71623185680379253</v>
      </c>
      <c r="BF13" s="105">
        <f t="shared" si="13"/>
        <v>0.73172206419130315</v>
      </c>
      <c r="BG13" s="105">
        <f t="shared" si="13"/>
        <v>0.74721227157881365</v>
      </c>
      <c r="BH13" s="105">
        <f t="shared" si="13"/>
        <v>0.83908117285491413</v>
      </c>
      <c r="BI13" s="105">
        <f t="shared" si="13"/>
        <v>0.86618903578305761</v>
      </c>
      <c r="BJ13" s="105">
        <f t="shared" si="13"/>
        <v>0.87006158762993535</v>
      </c>
      <c r="BK13" s="105">
        <f t="shared" si="13"/>
        <v>0.88146477456077554</v>
      </c>
      <c r="BL13" s="105">
        <f t="shared" si="13"/>
        <v>0.88146477456077554</v>
      </c>
      <c r="BM13" s="105">
        <f t="shared" si="13"/>
        <v>0.88146477456077554</v>
      </c>
      <c r="BN13" s="105">
        <f t="shared" si="13"/>
        <v>0.8273324127742836</v>
      </c>
      <c r="BO13" s="105">
        <f t="shared" ref="BO13:BV13" si="14">SUM(BO9:BO12)</f>
        <v>0.80452603891260299</v>
      </c>
      <c r="BP13" s="105">
        <f t="shared" si="14"/>
        <v>0.79949172151166203</v>
      </c>
      <c r="BQ13" s="105">
        <f t="shared" si="14"/>
        <v>0.79678093521884763</v>
      </c>
      <c r="BR13" s="105">
        <f t="shared" si="14"/>
        <v>0.77819268635383487</v>
      </c>
      <c r="BS13" s="105">
        <f t="shared" si="14"/>
        <v>0.77586915524570843</v>
      </c>
      <c r="BT13" s="105">
        <f t="shared" si="14"/>
        <v>0.76580052044382652</v>
      </c>
      <c r="BU13" s="105">
        <f t="shared" si="14"/>
        <v>0.75319267423696434</v>
      </c>
      <c r="BV13" s="105">
        <f t="shared" si="14"/>
        <v>0.75319267423696434</v>
      </c>
      <c r="BW13" s="105">
        <f>SUM(BW9:BW12)</f>
        <v>0.77216817828666484</v>
      </c>
      <c r="BX13" s="105">
        <f>SUM(BX9:BX12)</f>
        <v>0.80392310343106166</v>
      </c>
      <c r="BY13" s="105">
        <f>SUM(BY9:BY12)</f>
        <v>0.80973193120137799</v>
      </c>
      <c r="BZ13" s="105">
        <f>SUM(BZ9:BZ12)</f>
        <v>0.80504076357610532</v>
      </c>
      <c r="CA13" s="105">
        <f>SUM(CA9:CA12)</f>
        <v>0.81665841911673831</v>
      </c>
      <c r="CB13" s="105">
        <f t="shared" ref="CB13:CH13" si="15">SUM(CB9:CB12)</f>
        <v>0.83021235058081011</v>
      </c>
      <c r="CC13" s="105">
        <f t="shared" si="15"/>
        <v>0.86558367692739413</v>
      </c>
      <c r="CD13" s="105">
        <f t="shared" si="15"/>
        <v>0.89269153985553773</v>
      </c>
      <c r="CE13" s="105">
        <f t="shared" si="15"/>
        <v>0.91670136130617919</v>
      </c>
      <c r="CF13" s="105">
        <f t="shared" si="15"/>
        <v>0.93993667238744516</v>
      </c>
      <c r="CG13" s="105">
        <f t="shared" si="15"/>
        <v>0.95542687977495577</v>
      </c>
      <c r="CH13" s="105">
        <f t="shared" si="15"/>
        <v>0.9630420906157745</v>
      </c>
      <c r="CI13" s="105">
        <f t="shared" ref="CI13:DG13" si="16">SUM(CI9:CI12)</f>
        <v>0.96420385616983773</v>
      </c>
      <c r="CJ13" s="105">
        <f t="shared" si="16"/>
        <v>0.96420385616983773</v>
      </c>
      <c r="CK13" s="105">
        <f t="shared" si="16"/>
        <v>0.96420385616983773</v>
      </c>
      <c r="CL13" s="105">
        <f t="shared" si="16"/>
        <v>0.97435949010269773</v>
      </c>
      <c r="CM13" s="105">
        <f t="shared" si="16"/>
        <v>0.97242321417925881</v>
      </c>
      <c r="CN13" s="105">
        <f t="shared" si="16"/>
        <v>0.95770751716112379</v>
      </c>
      <c r="CO13" s="105">
        <f t="shared" si="16"/>
        <v>0.95770751716112379</v>
      </c>
      <c r="CP13" s="105">
        <f t="shared" si="16"/>
        <v>0.95770751716112379</v>
      </c>
      <c r="CQ13" s="105">
        <f t="shared" si="16"/>
        <v>0.94415358569705199</v>
      </c>
      <c r="CR13" s="105">
        <f t="shared" si="16"/>
        <v>0.91850774437668148</v>
      </c>
      <c r="CS13" s="105">
        <f t="shared" si="16"/>
        <v>0.95723326284545796</v>
      </c>
      <c r="CT13" s="105">
        <f t="shared" si="16"/>
        <v>0.98124308429609941</v>
      </c>
      <c r="CU13" s="105">
        <f t="shared" si="16"/>
        <v>0.9903656338407717</v>
      </c>
      <c r="CV13" s="105">
        <f t="shared" si="16"/>
        <v>0.9903656338407717</v>
      </c>
      <c r="CW13" s="105">
        <f t="shared" si="16"/>
        <v>0.98533131643983085</v>
      </c>
      <c r="CX13" s="105">
        <f t="shared" si="16"/>
        <v>0.98533131643983085</v>
      </c>
      <c r="CY13" s="105">
        <f t="shared" si="16"/>
        <v>0.99157150480385448</v>
      </c>
      <c r="CZ13" s="105">
        <f t="shared" si="16"/>
        <v>1.012097241279367</v>
      </c>
      <c r="DA13" s="105">
        <f t="shared" si="16"/>
        <v>1.0086119446171771</v>
      </c>
      <c r="DB13" s="105">
        <f t="shared" si="16"/>
        <v>0.99510090687506392</v>
      </c>
      <c r="DC13" s="105">
        <f t="shared" si="16"/>
        <v>1.031591105053753</v>
      </c>
      <c r="DD13" s="105">
        <f t="shared" si="16"/>
        <v>1.031591105053753</v>
      </c>
      <c r="DE13" s="105">
        <f t="shared" si="16"/>
        <v>1.046306802071888</v>
      </c>
      <c r="DF13" s="105">
        <f t="shared" si="16"/>
        <v>1.0367957856554668</v>
      </c>
      <c r="DG13" s="105">
        <f t="shared" si="16"/>
        <v>1.0360212752860913</v>
      </c>
      <c r="DH13" s="105">
        <f>SUM(DH9:DH12)</f>
        <v>1.0224232384130001</v>
      </c>
      <c r="DI13" s="105">
        <f>SUM(DI9:DI12)</f>
        <v>1.0002198000328608</v>
      </c>
      <c r="DJ13" s="105">
        <f>SUM(DJ9:DJ12)</f>
        <v>0.97431538469367829</v>
      </c>
      <c r="DK13" s="105">
        <f t="shared" ref="DK13:EP13" si="17">SUM(DK9:DK12)</f>
        <v>0.94651879884007617</v>
      </c>
      <c r="DL13" s="105">
        <f t="shared" si="17"/>
        <v>0.92134721183537149</v>
      </c>
      <c r="DM13" s="105">
        <f t="shared" si="17"/>
        <v>0.88490233075276303</v>
      </c>
      <c r="DN13" s="105">
        <f t="shared" si="17"/>
        <v>0.82130669302005233</v>
      </c>
      <c r="DO13" s="105">
        <f t="shared" si="17"/>
        <v>0.80323438050560303</v>
      </c>
      <c r="DP13" s="105">
        <f t="shared" si="17"/>
        <v>0.80323438050560303</v>
      </c>
      <c r="DQ13" s="105">
        <f t="shared" si="17"/>
        <v>0.814034631954902</v>
      </c>
      <c r="DR13" s="105">
        <f t="shared" si="17"/>
        <v>0.83649543266679238</v>
      </c>
      <c r="DS13" s="105">
        <f t="shared" si="17"/>
        <v>0.86747584744181361</v>
      </c>
      <c r="DT13" s="105">
        <f t="shared" si="17"/>
        <v>0</v>
      </c>
      <c r="DU13" s="105">
        <f t="shared" si="17"/>
        <v>0</v>
      </c>
      <c r="DV13" s="105">
        <f t="shared" si="17"/>
        <v>0</v>
      </c>
      <c r="DW13" s="105">
        <f t="shared" si="17"/>
        <v>0</v>
      </c>
      <c r="DX13" s="105">
        <f t="shared" si="17"/>
        <v>0</v>
      </c>
      <c r="DY13" s="105">
        <f t="shared" si="17"/>
        <v>0</v>
      </c>
      <c r="DZ13" s="105">
        <f t="shared" si="17"/>
        <v>0</v>
      </c>
      <c r="EA13" s="105">
        <f t="shared" si="17"/>
        <v>0</v>
      </c>
      <c r="EB13" s="105">
        <f t="shared" si="17"/>
        <v>0</v>
      </c>
      <c r="EC13" s="105">
        <f t="shared" si="17"/>
        <v>0</v>
      </c>
      <c r="ED13" s="105">
        <f t="shared" si="17"/>
        <v>0</v>
      </c>
      <c r="EE13" s="105">
        <f t="shared" si="17"/>
        <v>0</v>
      </c>
      <c r="EF13" s="105">
        <f t="shared" si="17"/>
        <v>0</v>
      </c>
      <c r="EG13" s="105">
        <f t="shared" si="17"/>
        <v>0</v>
      </c>
      <c r="EH13" s="105">
        <f t="shared" si="17"/>
        <v>0</v>
      </c>
      <c r="EI13" s="105">
        <f t="shared" si="17"/>
        <v>0</v>
      </c>
      <c r="EJ13" s="105">
        <f t="shared" si="17"/>
        <v>0</v>
      </c>
      <c r="EK13" s="105">
        <f t="shared" si="17"/>
        <v>0</v>
      </c>
      <c r="EL13" s="105">
        <f t="shared" si="17"/>
        <v>0</v>
      </c>
      <c r="EM13" s="105">
        <f t="shared" si="17"/>
        <v>0</v>
      </c>
      <c r="EN13" s="105">
        <f t="shared" si="17"/>
        <v>0</v>
      </c>
      <c r="EO13" s="105">
        <f t="shared" si="17"/>
        <v>0</v>
      </c>
      <c r="EP13" s="105">
        <f t="shared" si="17"/>
        <v>0</v>
      </c>
    </row>
    <row r="14" spans="1:159" s="137" customFormat="1">
      <c r="B14" s="137" t="s">
        <v>643</v>
      </c>
      <c r="H14" s="114" t="s">
        <v>429</v>
      </c>
      <c r="I14" s="108">
        <v>1.7</v>
      </c>
      <c r="J14" s="108">
        <v>1.66</v>
      </c>
      <c r="K14" s="138"/>
      <c r="L14" s="138"/>
      <c r="M14" s="138"/>
      <c r="N14" s="138"/>
      <c r="O14" s="108">
        <v>1.43</v>
      </c>
      <c r="P14" s="138"/>
      <c r="Q14" s="138"/>
      <c r="R14" s="138"/>
      <c r="S14" s="138"/>
      <c r="T14" s="138"/>
      <c r="U14" s="137">
        <v>1.56</v>
      </c>
      <c r="AA14" s="137">
        <v>1.93</v>
      </c>
      <c r="AB14" s="137">
        <v>1.56</v>
      </c>
      <c r="AR14" s="137">
        <v>2.39</v>
      </c>
      <c r="AS14" s="139">
        <f>201/82</f>
        <v>2.4512195121951219</v>
      </c>
      <c r="AU14" s="103">
        <f>192/82.5</f>
        <v>2.3272727272727272</v>
      </c>
      <c r="CI14" s="108">
        <v>1.8</v>
      </c>
      <c r="CJ14" s="108"/>
      <c r="CK14" s="108"/>
      <c r="CL14" s="108"/>
      <c r="CM14" s="108"/>
      <c r="CN14" s="108"/>
      <c r="CO14" s="108"/>
      <c r="CP14" s="108"/>
      <c r="CQ14" s="108"/>
      <c r="CR14" s="108"/>
      <c r="CS14" s="108">
        <f>190/83.5</f>
        <v>2.2754491017964074</v>
      </c>
      <c r="CT14" s="108"/>
      <c r="CU14" s="108"/>
      <c r="CV14" s="108"/>
      <c r="CW14" s="108"/>
      <c r="CX14" s="108"/>
      <c r="CY14" s="108"/>
      <c r="CZ14" s="108">
        <f>183/84</f>
        <v>2.1785714285714284</v>
      </c>
      <c r="DA14" s="108"/>
      <c r="DB14" s="108"/>
      <c r="DC14" s="108"/>
      <c r="DD14" s="108"/>
      <c r="DE14" s="108"/>
      <c r="DF14" s="108"/>
      <c r="DG14" s="108"/>
      <c r="DH14" s="108">
        <f>173/84.4</f>
        <v>2.0497630331753554</v>
      </c>
      <c r="DI14" s="108"/>
      <c r="DJ14" s="108"/>
      <c r="DK14" s="108"/>
      <c r="DL14" s="108"/>
      <c r="DM14" s="108"/>
      <c r="DN14" s="108"/>
      <c r="DO14" s="108"/>
      <c r="DP14" s="108"/>
      <c r="DQ14" s="108"/>
      <c r="DR14" s="108"/>
      <c r="DS14" s="108"/>
      <c r="DT14" s="108"/>
      <c r="DU14" s="108"/>
      <c r="DV14" s="108"/>
      <c r="DW14" s="108"/>
      <c r="DX14" s="108"/>
      <c r="DY14" s="108"/>
      <c r="DZ14" s="108"/>
      <c r="EA14" s="108"/>
      <c r="EB14" s="108"/>
      <c r="EC14" s="108"/>
      <c r="ED14" s="108"/>
      <c r="EE14" s="108"/>
      <c r="EF14" s="108"/>
      <c r="EG14" s="108"/>
      <c r="EH14" s="108"/>
      <c r="EI14" s="108"/>
      <c r="EJ14" s="108"/>
      <c r="EK14" s="108"/>
      <c r="EL14" s="108"/>
      <c r="EM14" s="108"/>
      <c r="EN14" s="108"/>
      <c r="EO14" s="108"/>
      <c r="EP14" s="108"/>
    </row>
    <row r="15" spans="1:159" ht="14">
      <c r="A15" s="72"/>
      <c r="H15" s="28" t="s">
        <v>406</v>
      </c>
      <c r="I15" s="65">
        <f>I14-I13</f>
        <v>0.95808183152800042</v>
      </c>
      <c r="J15" s="65">
        <f>J14-J13</f>
        <v>0.91119581396047655</v>
      </c>
      <c r="K15" s="65"/>
      <c r="L15" s="65"/>
      <c r="M15" s="65"/>
      <c r="N15" s="65"/>
      <c r="O15" s="65">
        <f>O14-O13</f>
        <v>1.0071003747021066</v>
      </c>
      <c r="P15" s="65"/>
      <c r="Q15" s="65"/>
      <c r="R15" s="65"/>
      <c r="S15" s="65"/>
      <c r="T15" s="65"/>
      <c r="U15" s="65">
        <f>U14-U13</f>
        <v>0.87431962075164349</v>
      </c>
      <c r="V15" s="65"/>
      <c r="W15" s="65"/>
      <c r="X15" s="65"/>
      <c r="Y15" s="65"/>
      <c r="Z15" s="65"/>
      <c r="AA15" s="65">
        <f>AA14-AA13</f>
        <v>0.84616870367417429</v>
      </c>
      <c r="AB15" s="65">
        <f>AB14-AB13</f>
        <v>0.40555957889512562</v>
      </c>
      <c r="AC15" s="65"/>
      <c r="AD15" s="65"/>
      <c r="AE15" s="65"/>
      <c r="AF15" s="65"/>
      <c r="AG15" s="65"/>
      <c r="AH15" s="65"/>
      <c r="AI15" s="65"/>
      <c r="AJ15" s="65"/>
      <c r="AK15" s="65"/>
      <c r="AL15" s="65"/>
      <c r="AM15" s="65"/>
      <c r="AN15" s="65"/>
      <c r="AO15" s="65"/>
      <c r="AP15" s="65"/>
      <c r="AQ15" s="65"/>
      <c r="AR15" s="65">
        <f>AR14-AR13</f>
        <v>1.6717019744198323</v>
      </c>
      <c r="AS15" s="65">
        <f>AS14-AS13</f>
        <v>1.7069766009279348</v>
      </c>
      <c r="AT15" s="65"/>
      <c r="AU15" s="65">
        <f>AU14-AU13</f>
        <v>1.4725321955165904</v>
      </c>
      <c r="AV15" s="140"/>
      <c r="CI15" s="65">
        <f>CI14-CI13</f>
        <v>0.83579614383016232</v>
      </c>
      <c r="CJ15" s="65"/>
      <c r="CK15" s="65"/>
      <c r="CL15" s="65"/>
      <c r="CM15" s="65"/>
      <c r="CN15" s="65"/>
      <c r="CO15" s="65"/>
      <c r="CP15" s="65"/>
      <c r="CQ15" s="65"/>
      <c r="CR15" s="65"/>
      <c r="CS15" s="65">
        <f>CS14-CS13</f>
        <v>1.3182158389509495</v>
      </c>
      <c r="CT15" s="65"/>
      <c r="CU15" s="65"/>
      <c r="CV15" s="65"/>
      <c r="CW15" s="65"/>
      <c r="CX15" s="65"/>
      <c r="CY15" s="65"/>
      <c r="CZ15" s="65">
        <f>CZ14-CZ13</f>
        <v>1.1664741872920614</v>
      </c>
      <c r="DA15" s="65"/>
      <c r="DB15" s="65"/>
      <c r="DC15" s="65"/>
      <c r="DD15" s="65"/>
      <c r="DE15" s="65"/>
      <c r="DF15" s="65"/>
      <c r="DG15" s="65"/>
      <c r="DH15" s="65">
        <f>DH14-DH13</f>
        <v>1.0273397947623553</v>
      </c>
      <c r="DI15" s="65"/>
      <c r="DJ15" s="65"/>
      <c r="DK15" s="65"/>
      <c r="DL15" s="65"/>
      <c r="DM15" s="65"/>
      <c r="DN15" s="65"/>
      <c r="DO15" s="65"/>
      <c r="DP15" s="65"/>
      <c r="DQ15" s="65"/>
      <c r="DR15" s="65"/>
      <c r="DS15" s="65"/>
      <c r="DT15" s="65"/>
      <c r="DU15" s="65"/>
      <c r="DV15" s="65"/>
      <c r="DW15" s="65"/>
      <c r="DX15" s="65"/>
      <c r="DY15" s="65"/>
      <c r="DZ15" s="65"/>
      <c r="EA15" s="65"/>
      <c r="EB15" s="65"/>
      <c r="EC15" s="65"/>
      <c r="ED15" s="65"/>
      <c r="EE15" s="65"/>
      <c r="EF15" s="65"/>
      <c r="EG15" s="65"/>
      <c r="EH15" s="65"/>
      <c r="EI15" s="65"/>
      <c r="EJ15" s="65"/>
      <c r="EK15" s="65"/>
      <c r="EL15" s="65"/>
      <c r="EM15" s="65"/>
      <c r="EN15" s="65"/>
      <c r="EO15" s="65"/>
      <c r="EP15" s="65"/>
    </row>
    <row r="16" spans="1:159">
      <c r="A16" s="72"/>
      <c r="AV16" s="103"/>
      <c r="AW16" s="65"/>
      <c r="DP16" s="65"/>
    </row>
    <row r="17" spans="1:146">
      <c r="A17" s="30"/>
      <c r="I17" s="74"/>
      <c r="J17" s="74"/>
      <c r="K17" s="74"/>
      <c r="L17" s="74"/>
      <c r="M17" s="74"/>
      <c r="N17" s="74"/>
      <c r="O17" s="74"/>
      <c r="P17" s="74"/>
      <c r="Q17" s="74"/>
      <c r="R17" s="74"/>
      <c r="S17" s="74"/>
      <c r="T17" s="74"/>
      <c r="U17" s="74"/>
      <c r="V17" s="74"/>
      <c r="W17" s="65"/>
      <c r="X17" s="65"/>
      <c r="Y17" s="65"/>
      <c r="Z17" s="65"/>
      <c r="AA17" s="65"/>
      <c r="AB17" s="65"/>
      <c r="AC17" s="65"/>
      <c r="AD17" s="65"/>
      <c r="AE17" s="65"/>
      <c r="AF17" s="65"/>
      <c r="AG17" s="74"/>
      <c r="AH17" s="74"/>
      <c r="AI17" s="74"/>
      <c r="AJ17" s="74"/>
      <c r="AK17" s="74"/>
      <c r="AL17" s="74"/>
      <c r="AM17" s="74"/>
      <c r="AN17" s="74"/>
      <c r="AO17" s="74"/>
      <c r="AP17" s="74"/>
      <c r="AQ17" s="74"/>
      <c r="AR17" s="74"/>
      <c r="AS17" s="65"/>
      <c r="AT17" s="65"/>
      <c r="AU17" s="103"/>
      <c r="AW17" s="140"/>
    </row>
    <row r="18" spans="1:146" s="210" customFormat="1">
      <c r="H18" s="211" t="s">
        <v>407</v>
      </c>
      <c r="I18" s="212">
        <f>0.41+I13</f>
        <v>1.1519181684719995</v>
      </c>
      <c r="J18" s="212">
        <f t="shared" ref="J18:AU18" si="18">0.41+J13</f>
        <v>1.1588041860395233</v>
      </c>
      <c r="K18" s="212">
        <f t="shared" si="18"/>
        <v>1.0436999736821571</v>
      </c>
      <c r="L18" s="212">
        <f t="shared" si="18"/>
        <v>0.8295013277666814</v>
      </c>
      <c r="M18" s="212">
        <f t="shared" si="18"/>
        <v>0.82610303023546949</v>
      </c>
      <c r="N18" s="212">
        <f t="shared" si="18"/>
        <v>0.90080402221943268</v>
      </c>
      <c r="O18" s="212">
        <f t="shared" si="18"/>
        <v>0.8328996252978933</v>
      </c>
      <c r="P18" s="212">
        <f t="shared" si="18"/>
        <v>0.90032492115552287</v>
      </c>
      <c r="Q18" s="212">
        <f t="shared" si="18"/>
        <v>0.9584131988586877</v>
      </c>
      <c r="R18" s="212">
        <f t="shared" si="18"/>
        <v>1.0236877501830859</v>
      </c>
      <c r="S18" s="212">
        <f t="shared" si="18"/>
        <v>1.2284194850911601</v>
      </c>
      <c r="T18" s="212">
        <f t="shared" si="18"/>
        <v>1.2430518180395</v>
      </c>
      <c r="U18" s="212">
        <f t="shared" si="18"/>
        <v>1.0956803792483565</v>
      </c>
      <c r="V18" s="212">
        <f t="shared" si="18"/>
        <v>1.1223593049569147</v>
      </c>
      <c r="W18" s="212">
        <f t="shared" si="18"/>
        <v>1.341164542740807</v>
      </c>
      <c r="X18" s="212">
        <f t="shared" si="18"/>
        <v>1.3252453981337109</v>
      </c>
      <c r="Y18" s="212">
        <f t="shared" si="18"/>
        <v>1.3708581458570721</v>
      </c>
      <c r="Z18" s="212">
        <f t="shared" si="18"/>
        <v>1.3798900612095835</v>
      </c>
      <c r="AA18" s="212">
        <f t="shared" si="18"/>
        <v>1.4938312963258256</v>
      </c>
      <c r="AB18" s="212">
        <f t="shared" si="18"/>
        <v>1.5644404211048744</v>
      </c>
      <c r="AC18" s="212">
        <f t="shared" si="18"/>
        <v>1.4162564249706409</v>
      </c>
      <c r="AD18" s="212">
        <f t="shared" si="18"/>
        <v>1.3276166697120402</v>
      </c>
      <c r="AE18" s="212">
        <f t="shared" si="18"/>
        <v>1.2667281832109609</v>
      </c>
      <c r="AF18" s="212">
        <f t="shared" si="18"/>
        <v>1.2011092704238335</v>
      </c>
      <c r="AG18" s="212">
        <f t="shared" si="18"/>
        <v>1.3732294174354014</v>
      </c>
      <c r="AH18" s="212">
        <f t="shared" si="18"/>
        <v>1.4727115100738855</v>
      </c>
      <c r="AI18" s="212">
        <f t="shared" si="18"/>
        <v>1.622709967192361</v>
      </c>
      <c r="AJ18" s="212">
        <f t="shared" si="18"/>
        <v>1.6096266549827722</v>
      </c>
      <c r="AK18" s="212">
        <f t="shared" si="18"/>
        <v>1.5769673266160633</v>
      </c>
      <c r="AL18" s="212">
        <f t="shared" si="18"/>
        <v>1.6507622997949662</v>
      </c>
      <c r="AM18" s="212">
        <f t="shared" si="18"/>
        <v>1.4615383821263557</v>
      </c>
      <c r="AN18" s="212">
        <f t="shared" si="18"/>
        <v>1.3148319979734129</v>
      </c>
      <c r="AO18" s="212">
        <f t="shared" si="18"/>
        <v>1.2863703574816101</v>
      </c>
      <c r="AP18" s="212">
        <f t="shared" si="18"/>
        <v>1.2316154308831888</v>
      </c>
      <c r="AQ18" s="212">
        <f t="shared" si="18"/>
        <v>1.1636705636138129</v>
      </c>
      <c r="AR18" s="212">
        <f t="shared" si="18"/>
        <v>1.1282980255801678</v>
      </c>
      <c r="AS18" s="212">
        <f t="shared" si="18"/>
        <v>1.154242911267187</v>
      </c>
      <c r="AT18" s="212">
        <f>0.41+AT13</f>
        <v>1.3037258359307864</v>
      </c>
      <c r="AU18" s="212">
        <f t="shared" si="18"/>
        <v>1.2647405317561367</v>
      </c>
      <c r="AV18" s="212">
        <f t="shared" ref="AV18:BB18" si="19">0.41+AV13</f>
        <v>1.2077699141980158</v>
      </c>
      <c r="AW18" s="212">
        <f t="shared" si="19"/>
        <v>1.1560492943376894</v>
      </c>
      <c r="AX18" s="212">
        <f t="shared" si="19"/>
        <v>0.95755532441951696</v>
      </c>
      <c r="AY18" s="212">
        <f t="shared" si="19"/>
        <v>0.95678081405014148</v>
      </c>
      <c r="AZ18" s="212">
        <f t="shared" si="19"/>
        <v>0.98079063550078294</v>
      </c>
      <c r="BA18" s="212">
        <f t="shared" si="19"/>
        <v>0.98466318734766056</v>
      </c>
      <c r="BB18" s="212">
        <f t="shared" si="19"/>
        <v>1.0302759350710218</v>
      </c>
      <c r="BC18" s="212">
        <f t="shared" ref="BC18:BN18" si="20">0.41+BC13</f>
        <v>1.0418935906116547</v>
      </c>
      <c r="BD18" s="212">
        <f t="shared" si="20"/>
        <v>1.1306059714846413</v>
      </c>
      <c r="BE18" s="212">
        <f t="shared" si="20"/>
        <v>1.1262318568037926</v>
      </c>
      <c r="BF18" s="212">
        <f t="shared" si="20"/>
        <v>1.1417220641913031</v>
      </c>
      <c r="BG18" s="212">
        <f t="shared" si="20"/>
        <v>1.1572122715788136</v>
      </c>
      <c r="BH18" s="212">
        <f t="shared" si="20"/>
        <v>1.249081172854914</v>
      </c>
      <c r="BI18" s="212">
        <f t="shared" si="20"/>
        <v>1.2761890357830576</v>
      </c>
      <c r="BJ18" s="212">
        <f t="shared" si="20"/>
        <v>1.2800615876299353</v>
      </c>
      <c r="BK18" s="212">
        <f t="shared" si="20"/>
        <v>1.2914647745607755</v>
      </c>
      <c r="BL18" s="212">
        <f t="shared" si="20"/>
        <v>1.2914647745607755</v>
      </c>
      <c r="BM18" s="212">
        <f t="shared" si="20"/>
        <v>1.2914647745607755</v>
      </c>
      <c r="BN18" s="212">
        <f t="shared" si="20"/>
        <v>1.2373324127742835</v>
      </c>
      <c r="BO18" s="212">
        <f t="shared" ref="BO18:BV18" si="21">0.41+BO13</f>
        <v>1.2145260389126029</v>
      </c>
      <c r="BP18" s="212">
        <f t="shared" si="21"/>
        <v>1.2094917215116621</v>
      </c>
      <c r="BQ18" s="212">
        <f t="shared" si="21"/>
        <v>1.2067809352188477</v>
      </c>
      <c r="BR18" s="212">
        <f t="shared" si="21"/>
        <v>1.1881926863538348</v>
      </c>
      <c r="BS18" s="212">
        <f t="shared" si="21"/>
        <v>1.1858691552457084</v>
      </c>
      <c r="BT18" s="212">
        <f t="shared" si="21"/>
        <v>1.1758005204438264</v>
      </c>
      <c r="BU18" s="212">
        <f t="shared" si="21"/>
        <v>1.1631926742369643</v>
      </c>
      <c r="BV18" s="212">
        <f t="shared" si="21"/>
        <v>1.1631926742369643</v>
      </c>
      <c r="BW18" s="212">
        <f>0.41+BW13</f>
        <v>1.1821681782866649</v>
      </c>
      <c r="BX18" s="212">
        <f>0.41+BX13</f>
        <v>1.2139231034310616</v>
      </c>
      <c r="BY18" s="212">
        <f>0.41+BY13</f>
        <v>1.2197319312013779</v>
      </c>
      <c r="BZ18" s="212">
        <f>0.41+BZ13</f>
        <v>1.2150407635761054</v>
      </c>
      <c r="CA18" s="212">
        <f>0.41+CA13</f>
        <v>1.2266584191167382</v>
      </c>
      <c r="CB18" s="212">
        <f t="shared" ref="CB18:CH18" si="22">0.41+CB13</f>
        <v>1.24021235058081</v>
      </c>
      <c r="CC18" s="212">
        <f t="shared" si="22"/>
        <v>1.2755836769273941</v>
      </c>
      <c r="CD18" s="212">
        <f t="shared" si="22"/>
        <v>1.3026915398555377</v>
      </c>
      <c r="CE18" s="212">
        <f t="shared" si="22"/>
        <v>1.3267013613061791</v>
      </c>
      <c r="CF18" s="212">
        <f t="shared" si="22"/>
        <v>1.3499366723874451</v>
      </c>
      <c r="CG18" s="212">
        <f t="shared" si="22"/>
        <v>1.3654268797749558</v>
      </c>
      <c r="CH18" s="212">
        <f t="shared" si="22"/>
        <v>1.3730420906157745</v>
      </c>
      <c r="CI18" s="212">
        <f>0.41+CI13</f>
        <v>1.3742038561698378</v>
      </c>
      <c r="CJ18" s="212">
        <f>0.41+CJ13</f>
        <v>1.3742038561698378</v>
      </c>
      <c r="CK18" s="212">
        <f>0.41+CK13</f>
        <v>1.3742038561698378</v>
      </c>
      <c r="CL18" s="212">
        <f>0.41+CL13</f>
        <v>1.3843594901026977</v>
      </c>
      <c r="CM18" s="212">
        <f t="shared" ref="CM18:DG18" si="23">0.41+CM13</f>
        <v>1.3824232141792587</v>
      </c>
      <c r="CN18" s="212">
        <f t="shared" si="23"/>
        <v>1.3677075171611237</v>
      </c>
      <c r="CO18" s="212">
        <f t="shared" si="23"/>
        <v>1.3677075171611237</v>
      </c>
      <c r="CP18" s="212">
        <f t="shared" si="23"/>
        <v>1.3677075171611237</v>
      </c>
      <c r="CQ18" s="212">
        <f t="shared" si="23"/>
        <v>1.3541535856970519</v>
      </c>
      <c r="CR18" s="212">
        <f t="shared" si="23"/>
        <v>1.3285077443766815</v>
      </c>
      <c r="CS18" s="212">
        <f t="shared" si="23"/>
        <v>1.367233262845458</v>
      </c>
      <c r="CT18" s="212">
        <f t="shared" si="23"/>
        <v>1.3912430842960994</v>
      </c>
      <c r="CU18" s="212">
        <f t="shared" si="23"/>
        <v>1.4003656338407717</v>
      </c>
      <c r="CV18" s="212">
        <f t="shared" si="23"/>
        <v>1.4003656338407717</v>
      </c>
      <c r="CW18" s="212">
        <f t="shared" si="23"/>
        <v>1.3953313164398309</v>
      </c>
      <c r="CX18" s="212">
        <f t="shared" si="23"/>
        <v>1.3953313164398309</v>
      </c>
      <c r="CY18" s="212">
        <f t="shared" si="23"/>
        <v>1.4015715048038544</v>
      </c>
      <c r="CZ18" s="212">
        <f t="shared" si="23"/>
        <v>1.4220972412793669</v>
      </c>
      <c r="DA18" s="212">
        <f t="shared" si="23"/>
        <v>1.418611944617177</v>
      </c>
      <c r="DB18" s="212">
        <f t="shared" si="23"/>
        <v>1.4051009068750639</v>
      </c>
      <c r="DC18" s="212">
        <f t="shared" si="23"/>
        <v>1.4415911050537529</v>
      </c>
      <c r="DD18" s="212">
        <f t="shared" si="23"/>
        <v>1.4415911050537529</v>
      </c>
      <c r="DE18" s="212">
        <f t="shared" si="23"/>
        <v>1.4563068020718879</v>
      </c>
      <c r="DF18" s="212">
        <f t="shared" si="23"/>
        <v>1.4467957856554667</v>
      </c>
      <c r="DG18" s="212">
        <f t="shared" si="23"/>
        <v>1.4460212752860913</v>
      </c>
      <c r="DH18" s="212">
        <f>0.41+DH13</f>
        <v>1.432423238413</v>
      </c>
      <c r="DI18" s="212">
        <f>0.41+DI13</f>
        <v>1.4102198000328607</v>
      </c>
      <c r="DJ18" s="212">
        <f>0.41+DJ13</f>
        <v>1.3843153846936782</v>
      </c>
      <c r="DK18" s="212">
        <f t="shared" ref="DK18:EP18" si="24">0.41+DK13</f>
        <v>1.3565187988400762</v>
      </c>
      <c r="DL18" s="212">
        <f t="shared" si="24"/>
        <v>1.3313472118353715</v>
      </c>
      <c r="DM18" s="212">
        <f t="shared" si="24"/>
        <v>1.294902330752763</v>
      </c>
      <c r="DN18" s="212">
        <f t="shared" si="24"/>
        <v>1.2313066930200522</v>
      </c>
      <c r="DO18" s="212">
        <f t="shared" si="24"/>
        <v>1.2132343805056029</v>
      </c>
      <c r="DP18" s="212">
        <f>0.41+DP13</f>
        <v>1.2132343805056029</v>
      </c>
      <c r="DQ18" s="212">
        <f t="shared" si="24"/>
        <v>1.224034631954902</v>
      </c>
      <c r="DR18" s="212">
        <f t="shared" si="24"/>
        <v>1.2464954326667923</v>
      </c>
      <c r="DS18" s="212">
        <f t="shared" si="24"/>
        <v>1.2774758474418135</v>
      </c>
      <c r="DT18" s="212">
        <f t="shared" si="24"/>
        <v>0.41</v>
      </c>
      <c r="DU18" s="212">
        <f t="shared" si="24"/>
        <v>0.41</v>
      </c>
      <c r="DV18" s="212">
        <f t="shared" si="24"/>
        <v>0.41</v>
      </c>
      <c r="DW18" s="212">
        <f t="shared" si="24"/>
        <v>0.41</v>
      </c>
      <c r="DX18" s="212">
        <f t="shared" si="24"/>
        <v>0.41</v>
      </c>
      <c r="DY18" s="212">
        <f t="shared" si="24"/>
        <v>0.41</v>
      </c>
      <c r="DZ18" s="212">
        <f t="shared" si="24"/>
        <v>0.41</v>
      </c>
      <c r="EA18" s="212">
        <f t="shared" si="24"/>
        <v>0.41</v>
      </c>
      <c r="EB18" s="212">
        <f t="shared" si="24"/>
        <v>0.41</v>
      </c>
      <c r="EC18" s="212">
        <f t="shared" si="24"/>
        <v>0.41</v>
      </c>
      <c r="ED18" s="212">
        <f t="shared" si="24"/>
        <v>0.41</v>
      </c>
      <c r="EE18" s="212">
        <f t="shared" si="24"/>
        <v>0.41</v>
      </c>
      <c r="EF18" s="212">
        <f t="shared" si="24"/>
        <v>0.41</v>
      </c>
      <c r="EG18" s="212">
        <f t="shared" si="24"/>
        <v>0.41</v>
      </c>
      <c r="EH18" s="212">
        <f t="shared" si="24"/>
        <v>0.41</v>
      </c>
      <c r="EI18" s="212">
        <f t="shared" si="24"/>
        <v>0.41</v>
      </c>
      <c r="EJ18" s="212">
        <f t="shared" si="24"/>
        <v>0.41</v>
      </c>
      <c r="EK18" s="212">
        <f t="shared" si="24"/>
        <v>0.41</v>
      </c>
      <c r="EL18" s="212">
        <f t="shared" si="24"/>
        <v>0.41</v>
      </c>
      <c r="EM18" s="212">
        <f t="shared" si="24"/>
        <v>0.41</v>
      </c>
      <c r="EN18" s="212">
        <f t="shared" si="24"/>
        <v>0.41</v>
      </c>
      <c r="EO18" s="212">
        <f t="shared" si="24"/>
        <v>0.41</v>
      </c>
      <c r="EP18" s="212">
        <f t="shared" si="24"/>
        <v>0.41</v>
      </c>
    </row>
    <row r="19" spans="1:146">
      <c r="A19" s="30"/>
    </row>
    <row r="21" spans="1:146">
      <c r="DP21" s="65"/>
    </row>
    <row r="22" spans="1:146">
      <c r="AU22" s="77"/>
    </row>
    <row r="23" spans="1:146">
      <c r="AV23" s="142"/>
    </row>
    <row r="24" spans="1:146">
      <c r="AS24" s="65"/>
    </row>
  </sheetData>
  <mergeCells count="1">
    <mergeCell ref="A9:A10"/>
  </mergeCells>
  <phoneticPr fontId="52" type="noConversion"/>
  <pageMargins left="0.7" right="0.7" top="0.75" bottom="0.75" header="0.3" footer="0.3"/>
  <pageSetup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0"/>
  <dimension ref="A1:FM15"/>
  <sheetViews>
    <sheetView workbookViewId="0">
      <pane xSplit="11" ySplit="6" topLeftCell="DU7" activePane="bottomRight" state="frozen"/>
      <selection pane="topRight" activeCell="L1" sqref="L1"/>
      <selection pane="bottomLeft" activeCell="A7" sqref="A7"/>
      <selection pane="bottomRight" activeCell="DV13" sqref="DV13"/>
    </sheetView>
  </sheetViews>
  <sheetFormatPr baseColWidth="10" defaultColWidth="22.6640625" defaultRowHeight="12"/>
  <cols>
    <col min="1" max="1" width="13.33203125" style="60" bestFit="1" customWidth="1"/>
    <col min="2" max="2" width="11.33203125" style="60" bestFit="1" customWidth="1"/>
    <col min="3" max="3" width="4.83203125" style="60" bestFit="1" customWidth="1"/>
    <col min="4" max="4" width="13.1640625" style="60" bestFit="1" customWidth="1"/>
    <col min="5" max="5" width="18.83203125" style="60" bestFit="1" customWidth="1"/>
    <col min="6" max="6" width="6.5" style="60" bestFit="1" customWidth="1"/>
    <col min="7" max="7" width="4.1640625" style="60" bestFit="1" customWidth="1"/>
    <col min="8" max="8" width="22.83203125" style="60" bestFit="1" customWidth="1"/>
    <col min="9" max="10" width="5.5" style="60" bestFit="1" customWidth="1"/>
    <col min="11" max="11" width="5.6640625" style="60" bestFit="1" customWidth="1"/>
    <col min="12" max="12" width="5.5" style="60" bestFit="1" customWidth="1"/>
    <col min="13" max="13" width="5.83203125" style="60" bestFit="1" customWidth="1"/>
    <col min="14" max="18" width="5.5" style="60" bestFit="1" customWidth="1"/>
    <col min="19" max="19" width="5.6640625" style="60" bestFit="1" customWidth="1"/>
    <col min="20" max="22" width="5.5" style="60" bestFit="1" customWidth="1"/>
    <col min="23" max="23" width="5.6640625" style="60" bestFit="1" customWidth="1"/>
    <col min="24" max="24" width="5.5" style="60" bestFit="1" customWidth="1"/>
    <col min="25" max="25" width="5.83203125" style="60" bestFit="1" customWidth="1"/>
    <col min="26" max="30" width="5.5" style="60" bestFit="1" customWidth="1"/>
    <col min="31" max="31" width="5.6640625" style="60" bestFit="1" customWidth="1"/>
    <col min="32" max="34" width="5.5" style="60" bestFit="1" customWidth="1"/>
    <col min="35" max="35" width="5.6640625" style="60" bestFit="1" customWidth="1"/>
    <col min="36" max="36" width="5.5" style="60" bestFit="1" customWidth="1"/>
    <col min="37" max="37" width="5.83203125" style="60" bestFit="1" customWidth="1"/>
    <col min="38" max="42" width="5.5" style="60" bestFit="1" customWidth="1"/>
    <col min="43" max="43" width="5.6640625" style="60" bestFit="1" customWidth="1"/>
    <col min="44" max="46" width="5.5" style="60" bestFit="1" customWidth="1"/>
    <col min="47" max="47" width="5.6640625" style="60" bestFit="1" customWidth="1"/>
    <col min="48" max="48" width="5.5" style="60" bestFit="1" customWidth="1"/>
    <col min="49" max="49" width="5.83203125" style="60" bestFit="1" customWidth="1"/>
    <col min="50" max="51" width="5.5" style="60" bestFit="1" customWidth="1"/>
    <col min="52" max="54" width="7" style="60" bestFit="1" customWidth="1"/>
    <col min="55" max="56" width="5.5" style="60" bestFit="1" customWidth="1"/>
    <col min="57" max="58" width="5.83203125" style="60" bestFit="1" customWidth="1"/>
    <col min="59" max="70" width="5.6640625" style="60" bestFit="1" customWidth="1"/>
    <col min="71" max="82" width="5.5" style="60" bestFit="1" customWidth="1"/>
    <col min="83" max="83" width="6.1640625" style="60" bestFit="1" customWidth="1"/>
    <col min="84" max="86" width="5.6640625" style="60" bestFit="1" customWidth="1"/>
    <col min="87" max="90" width="5.5" style="60" bestFit="1" customWidth="1"/>
    <col min="91" max="93" width="6.33203125" style="60" bestFit="1" customWidth="1"/>
    <col min="94" max="95" width="6.5" style="60" bestFit="1" customWidth="1"/>
    <col min="96" max="97" width="6.1640625" style="60" bestFit="1" customWidth="1"/>
    <col min="98" max="16384" width="22.6640625" style="60"/>
  </cols>
  <sheetData>
    <row r="1" spans="1:169" ht="13">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c r="EM1" s="99">
        <v>141</v>
      </c>
      <c r="EN1" s="99">
        <v>142</v>
      </c>
      <c r="EO1" s="99">
        <v>143</v>
      </c>
      <c r="EP1" s="99">
        <v>144</v>
      </c>
      <c r="EQ1" s="99">
        <v>145</v>
      </c>
      <c r="ER1" s="99">
        <v>146</v>
      </c>
      <c r="ES1" s="99">
        <v>147</v>
      </c>
      <c r="ET1" s="99">
        <v>148</v>
      </c>
      <c r="EU1" s="99">
        <v>149</v>
      </c>
      <c r="EV1" s="99">
        <v>150</v>
      </c>
      <c r="EW1" s="99">
        <v>151</v>
      </c>
      <c r="EX1" s="99">
        <v>152</v>
      </c>
      <c r="EY1" s="99">
        <v>153</v>
      </c>
      <c r="EZ1" s="99">
        <v>154</v>
      </c>
      <c r="FA1" s="99">
        <v>155</v>
      </c>
      <c r="FB1" s="99">
        <v>156</v>
      </c>
      <c r="FC1" s="99">
        <v>157</v>
      </c>
      <c r="FD1" s="99">
        <v>158</v>
      </c>
      <c r="FE1" s="99">
        <v>159</v>
      </c>
      <c r="FF1" s="99">
        <v>160</v>
      </c>
      <c r="FG1" s="99">
        <v>161</v>
      </c>
      <c r="FH1" s="99">
        <v>162</v>
      </c>
      <c r="FI1" s="99">
        <v>163</v>
      </c>
      <c r="FJ1" s="99">
        <v>164</v>
      </c>
      <c r="FK1" s="99">
        <v>165</v>
      </c>
      <c r="FL1" s="99">
        <v>166</v>
      </c>
      <c r="FM1" s="99">
        <v>167</v>
      </c>
    </row>
    <row r="2" spans="1:169" ht="13">
      <c r="A2" s="100" t="s">
        <v>36</v>
      </c>
      <c r="B2" s="100"/>
      <c r="C2" s="101"/>
      <c r="D2" s="100" t="s">
        <v>228</v>
      </c>
      <c r="K2" s="102"/>
      <c r="M2" s="102"/>
    </row>
    <row r="3" spans="1:169" ht="13">
      <c r="A3" s="36" t="s">
        <v>647</v>
      </c>
      <c r="B3" s="64"/>
      <c r="D3" s="100" t="s">
        <v>648</v>
      </c>
      <c r="E3" s="64"/>
      <c r="F3" s="103"/>
    </row>
    <row r="4" spans="1:169">
      <c r="A4" s="64">
        <v>32.04</v>
      </c>
      <c r="B4" s="64"/>
      <c r="D4" s="64">
        <v>32.020000000000003</v>
      </c>
      <c r="E4" s="64"/>
      <c r="H4" s="60" t="s">
        <v>387</v>
      </c>
    </row>
    <row r="5" spans="1:169">
      <c r="A5" s="74"/>
      <c r="B5" s="74"/>
    </row>
    <row r="6" spans="1:169">
      <c r="A6" s="59"/>
      <c r="B6" s="59"/>
      <c r="C6" s="59"/>
      <c r="D6" s="98"/>
      <c r="E6" s="98"/>
      <c r="F6" s="59"/>
      <c r="H6" s="59" t="s">
        <v>416</v>
      </c>
      <c r="I6" s="59">
        <v>43831</v>
      </c>
      <c r="J6" s="59">
        <v>43862</v>
      </c>
      <c r="K6" s="59">
        <v>43891</v>
      </c>
      <c r="L6" s="59">
        <v>43922</v>
      </c>
      <c r="M6" s="59">
        <v>43952</v>
      </c>
      <c r="N6" s="59">
        <v>43983</v>
      </c>
      <c r="O6" s="59">
        <v>44013</v>
      </c>
      <c r="P6" s="59">
        <v>44044</v>
      </c>
      <c r="Q6" s="59">
        <v>44075</v>
      </c>
      <c r="R6" s="59">
        <v>44105</v>
      </c>
      <c r="S6" s="59">
        <v>44136</v>
      </c>
      <c r="T6" s="59">
        <v>44166</v>
      </c>
      <c r="U6" s="59">
        <v>44197</v>
      </c>
      <c r="V6" s="59">
        <v>44228</v>
      </c>
      <c r="W6" s="59">
        <v>44256</v>
      </c>
      <c r="X6" s="59">
        <v>44287</v>
      </c>
      <c r="Y6" s="59">
        <v>44317</v>
      </c>
      <c r="Z6" s="59">
        <v>44348</v>
      </c>
      <c r="AA6" s="59">
        <v>44378</v>
      </c>
      <c r="AB6" s="59">
        <v>44409</v>
      </c>
      <c r="AC6" s="59">
        <v>44440</v>
      </c>
      <c r="AD6" s="59">
        <v>44470</v>
      </c>
      <c r="AE6" s="59">
        <v>44501</v>
      </c>
      <c r="AF6" s="59">
        <v>44531</v>
      </c>
      <c r="AG6" s="59">
        <v>44562</v>
      </c>
      <c r="AH6" s="59">
        <v>44593</v>
      </c>
      <c r="AI6" s="59">
        <v>44621</v>
      </c>
      <c r="AJ6" s="59">
        <v>44652</v>
      </c>
      <c r="AK6" s="59">
        <v>44682</v>
      </c>
      <c r="AL6" s="59">
        <v>44713</v>
      </c>
      <c r="AM6" s="59">
        <v>44743</v>
      </c>
      <c r="AN6" s="59">
        <v>44774</v>
      </c>
      <c r="AO6" s="59">
        <v>44805</v>
      </c>
      <c r="AP6" s="59">
        <v>44835</v>
      </c>
      <c r="AQ6" s="59">
        <v>44866</v>
      </c>
      <c r="AR6" s="59">
        <v>44896</v>
      </c>
      <c r="AS6" s="59">
        <v>44927</v>
      </c>
      <c r="AT6" s="59">
        <v>44958</v>
      </c>
      <c r="AU6" s="59">
        <v>44986</v>
      </c>
      <c r="AV6" s="59">
        <v>45017</v>
      </c>
      <c r="AW6" s="59">
        <v>45047</v>
      </c>
      <c r="AX6" s="59">
        <v>45078</v>
      </c>
      <c r="AY6" s="59">
        <v>45108</v>
      </c>
      <c r="AZ6" s="59" t="s">
        <v>530</v>
      </c>
      <c r="BA6" s="59" t="s">
        <v>531</v>
      </c>
      <c r="BB6" s="59" t="s">
        <v>532</v>
      </c>
      <c r="BC6" s="59">
        <v>37104</v>
      </c>
      <c r="BD6" s="59">
        <v>37469</v>
      </c>
      <c r="BE6" s="59" t="s">
        <v>168</v>
      </c>
      <c r="BF6" s="59" t="s">
        <v>169</v>
      </c>
      <c r="BG6" s="59" t="s">
        <v>195</v>
      </c>
      <c r="BH6" s="59" t="s">
        <v>196</v>
      </c>
      <c r="BI6" s="59" t="s">
        <v>197</v>
      </c>
      <c r="BJ6" s="59" t="s">
        <v>198</v>
      </c>
      <c r="BK6" s="59" t="s">
        <v>199</v>
      </c>
      <c r="BL6" s="59" t="s">
        <v>200</v>
      </c>
      <c r="BM6" s="59" t="s">
        <v>201</v>
      </c>
      <c r="BN6" s="59" t="s">
        <v>202</v>
      </c>
      <c r="BO6" s="59">
        <v>37196</v>
      </c>
      <c r="BP6" s="59">
        <v>37561</v>
      </c>
      <c r="BQ6" s="59">
        <v>37926</v>
      </c>
      <c r="BR6" s="59">
        <v>38292</v>
      </c>
      <c r="BS6" s="59">
        <v>37226</v>
      </c>
      <c r="BT6" s="59">
        <v>37591</v>
      </c>
      <c r="BU6" s="59">
        <v>37956</v>
      </c>
      <c r="BV6" s="59">
        <v>38322</v>
      </c>
      <c r="BW6" s="59">
        <v>36892</v>
      </c>
      <c r="BX6" s="59">
        <v>37257</v>
      </c>
      <c r="BY6" s="59">
        <v>37622</v>
      </c>
      <c r="BZ6" s="59">
        <v>37987</v>
      </c>
      <c r="CA6" s="59">
        <v>36923</v>
      </c>
      <c r="CB6" s="59">
        <v>37288</v>
      </c>
      <c r="CC6" s="59">
        <v>37653</v>
      </c>
      <c r="CD6" s="59">
        <v>38018</v>
      </c>
      <c r="CE6" s="59" t="str">
        <f>Sheet8!A15</f>
        <v>Mar-w1</v>
      </c>
      <c r="CF6" s="59">
        <v>37316</v>
      </c>
      <c r="CG6" s="59">
        <v>37681</v>
      </c>
      <c r="CH6" s="59">
        <v>38047</v>
      </c>
      <c r="CI6" s="84" t="str">
        <f>Sheet8!E15</f>
        <v>Apr-w1</v>
      </c>
      <c r="CJ6" s="84" t="str">
        <f>Sheet8!F15</f>
        <v>Apr-w2</v>
      </c>
      <c r="CK6" s="59" t="str">
        <f>Sheet8!G15</f>
        <v>Apr-w3</v>
      </c>
      <c r="CL6" s="59" t="str">
        <f>Sheet8!H15</f>
        <v>Apr-w4</v>
      </c>
      <c r="CM6" s="59" t="str">
        <f>Sheet8!I15</f>
        <v>May-w1</v>
      </c>
      <c r="CN6" s="59" t="str">
        <f>Sheet8!J15</f>
        <v>May-w2</v>
      </c>
      <c r="CO6" s="59" t="str">
        <f>Sheet8!K15</f>
        <v>May-w3</v>
      </c>
      <c r="CP6" s="59" t="str">
        <f>Sheet8!L15</f>
        <v>May-w4</v>
      </c>
      <c r="CQ6" s="59" t="str">
        <f>Sheet8!M15</f>
        <v>May-w5</v>
      </c>
      <c r="CR6" s="59" t="str">
        <f>Sheet8!N15</f>
        <v>june-w1</v>
      </c>
      <c r="CS6" s="59" t="str">
        <f>Sheet8!O15</f>
        <v>june-w2</v>
      </c>
      <c r="CT6" s="59" t="str">
        <f>Sheet8!P15</f>
        <v>june-w3</v>
      </c>
      <c r="CU6" s="59" t="str">
        <f>Sheet8!Q15</f>
        <v>june-w4</v>
      </c>
      <c r="CV6" s="59" t="str">
        <f>Sheet8!R15</f>
        <v>Jul-w1</v>
      </c>
      <c r="CW6" s="59" t="str">
        <f>Sheet8!S15</f>
        <v>Jul-w2</v>
      </c>
      <c r="CX6" s="59" t="str">
        <f>Sheet8!T15</f>
        <v>Jul-w3</v>
      </c>
      <c r="CY6" s="59" t="str">
        <f>Sheet8!U15</f>
        <v>Jul-w4</v>
      </c>
      <c r="CZ6" s="59" t="str">
        <f>Sheet8!V15</f>
        <v>Aug-w1</v>
      </c>
      <c r="DA6" s="59" t="str">
        <f>Sheet8!W15</f>
        <v>Aug-w2</v>
      </c>
      <c r="DB6" s="59" t="str">
        <f>Sheet8!X15</f>
        <v>Aug-w3</v>
      </c>
      <c r="DC6" s="59" t="str">
        <f>Sheet8!Y15</f>
        <v>Aug-w4</v>
      </c>
      <c r="DD6" s="59" t="str">
        <f>Sheet8!Z15</f>
        <v>Sep-w1</v>
      </c>
      <c r="DE6" s="59" t="str">
        <f>Sheet8!AA15</f>
        <v>Sep-w2</v>
      </c>
      <c r="DF6" s="59" t="str">
        <f>Sheet8!AB15</f>
        <v>Sep-w3</v>
      </c>
      <c r="DG6" s="59" t="str">
        <f>Sheet8!AC15</f>
        <v>Sep-w4</v>
      </c>
      <c r="DH6" s="59" t="str">
        <f>Sheet8!AD15</f>
        <v>Oct-w1</v>
      </c>
      <c r="DI6" s="59" t="str">
        <f>Sheet8!AE15</f>
        <v>Oct-w2</v>
      </c>
      <c r="DJ6" s="59" t="str">
        <f>Sheet8!AF15</f>
        <v>Oct-w3</v>
      </c>
      <c r="DK6" s="59" t="str">
        <f>Sheet8!AG15</f>
        <v>Oct-w4</v>
      </c>
      <c r="DL6" s="59" t="str">
        <f>Sheet8!AH15</f>
        <v>Nov-w1</v>
      </c>
      <c r="DM6" s="59" t="str">
        <f>Sheet8!AI15</f>
        <v>Nov-w2</v>
      </c>
      <c r="DN6" s="59" t="str">
        <f>Sheet8!AJ15</f>
        <v>Nov-w3</v>
      </c>
      <c r="DO6" s="59" t="str">
        <f>Sheet8!AK15</f>
        <v>Nov-w4</v>
      </c>
      <c r="DP6" s="59" t="str">
        <f>Sheet8!AL15</f>
        <v>Dec-w1</v>
      </c>
      <c r="DQ6" s="59" t="str">
        <f>Sheet8!AM15</f>
        <v>Dec-w2</v>
      </c>
      <c r="DR6" s="59" t="str">
        <f>Sheet8!AN15</f>
        <v>Dec-w3</v>
      </c>
      <c r="DS6" s="59" t="str">
        <f>Sheet8!AO15</f>
        <v>Dec-w4</v>
      </c>
      <c r="DT6" s="59">
        <f>Sheet8!AP15</f>
        <v>0</v>
      </c>
      <c r="DU6" s="59">
        <f>Sheet8!AQ15</f>
        <v>0</v>
      </c>
      <c r="DV6" s="59">
        <f>Sheet8!AR15</f>
        <v>0</v>
      </c>
      <c r="DW6" s="59">
        <f>Sheet8!AS15</f>
        <v>0</v>
      </c>
      <c r="DX6" s="59">
        <f>Sheet8!AT15</f>
        <v>0</v>
      </c>
      <c r="DY6" s="59">
        <f>Sheet8!AU15</f>
        <v>0</v>
      </c>
      <c r="DZ6" s="59">
        <f>Sheet8!AV15</f>
        <v>0</v>
      </c>
      <c r="EA6" s="59">
        <f>Sheet8!AW15</f>
        <v>0</v>
      </c>
      <c r="EB6" s="59">
        <f>Sheet8!AX15</f>
        <v>0</v>
      </c>
      <c r="EC6" s="59">
        <f>Sheet8!AY15</f>
        <v>0</v>
      </c>
      <c r="ED6" s="59">
        <f>Sheet8!AZ15</f>
        <v>0</v>
      </c>
      <c r="EE6" s="59">
        <f>Sheet8!BA15</f>
        <v>0</v>
      </c>
      <c r="EF6" s="59">
        <f>Sheet8!BB15</f>
        <v>0</v>
      </c>
      <c r="EG6" s="59">
        <f>Sheet8!BC15</f>
        <v>0</v>
      </c>
      <c r="EH6" s="59">
        <f>Sheet8!BD15</f>
        <v>0</v>
      </c>
      <c r="EI6" s="59">
        <f>Sheet8!BE15</f>
        <v>0</v>
      </c>
      <c r="EJ6" s="59">
        <f>Sheet8!BF15</f>
        <v>0</v>
      </c>
      <c r="EK6" s="59">
        <f>Sheet8!BG15</f>
        <v>0</v>
      </c>
    </row>
    <row r="7" spans="1:169">
      <c r="D7" s="60" t="s">
        <v>649</v>
      </c>
      <c r="E7" s="60" t="s">
        <v>650</v>
      </c>
      <c r="F7" s="60" t="s">
        <v>651</v>
      </c>
      <c r="H7" s="60" t="s">
        <v>36</v>
      </c>
      <c r="I7" s="74">
        <f>VLOOKUP($H$7&amp;$F$1,'Input RM sheet'!$A:$BD,H1,0)</f>
        <v>262.5</v>
      </c>
      <c r="J7" s="74">
        <f>VLOOKUP($H$7&amp;$F$1,'Input RM sheet'!$A:$BD,I1,0)</f>
        <v>322.5</v>
      </c>
      <c r="K7" s="74">
        <f>VLOOKUP($H$7&amp;$F$1,'Input RM sheet'!$A:$DD,J1,0)</f>
        <v>285</v>
      </c>
      <c r="L7" s="74">
        <f>VLOOKUP($H$7&amp;$F$1,'Input RM sheet'!$A:$DD,K1,0)</f>
        <v>210</v>
      </c>
      <c r="M7" s="74">
        <f>VLOOKUP($H$7&amp;$F$1,'Input RM sheet'!$A:$DD,L1,0)</f>
        <v>175</v>
      </c>
      <c r="N7" s="74">
        <f>VLOOKUP($H$7&amp;$F$1,'Input RM sheet'!$A:$DD,M1,0)</f>
        <v>167.5</v>
      </c>
      <c r="O7" s="74">
        <f>VLOOKUP($H$7&amp;$F$1,'Input RM sheet'!$A:$DD,N1,0)</f>
        <v>180</v>
      </c>
      <c r="P7" s="74">
        <f>VLOOKUP($H$7&amp;$F$1,'Input RM sheet'!$A:$DD,O1,0)</f>
        <v>220</v>
      </c>
      <c r="Q7" s="74">
        <f>VLOOKUP($H$7&amp;$F$1,'Input RM sheet'!$A:$DD,P1,0)</f>
        <v>230</v>
      </c>
      <c r="R7" s="74">
        <f>VLOOKUP($H$7&amp;$F$1,'Input RM sheet'!$A:$DD,Q1,0)</f>
        <v>240</v>
      </c>
      <c r="S7" s="74">
        <f>VLOOKUP($H$7&amp;$F$1,'Input RM sheet'!$A:$DD,R1,0)</f>
        <v>270</v>
      </c>
      <c r="T7" s="74">
        <f>VLOOKUP($H$7&amp;$F$1,'Input RM sheet'!$A:$DD,S1,0)</f>
        <v>300</v>
      </c>
      <c r="U7" s="74">
        <f>VLOOKUP($H$7&amp;$F$1,'Input RM sheet'!$A:$DD,T1,0)</f>
        <v>360</v>
      </c>
      <c r="V7" s="74">
        <f>VLOOKUP($H$7&amp;$F$1,'Input RM sheet'!$A:$DD,U1,0)</f>
        <v>365</v>
      </c>
      <c r="W7" s="74">
        <f>VLOOKUP($H$7&amp;$F$1,'Input RM sheet'!$A:$DD,V1,0)</f>
        <v>355</v>
      </c>
      <c r="X7" s="74">
        <f>VLOOKUP($H$7&amp;$F$1,'Input RM sheet'!$A:$DD,W1,0)</f>
        <v>340</v>
      </c>
      <c r="Y7" s="74">
        <f>VLOOKUP($H$7&amp;$F$1,'Input RM sheet'!$A:$DD,X1,0)</f>
        <v>347.5</v>
      </c>
      <c r="Z7" s="74">
        <f>VLOOKUP($H$7&amp;$F$1,'Input RM sheet'!$A:$DD,Y1,0)</f>
        <v>357.5</v>
      </c>
      <c r="AA7" s="74">
        <f>VLOOKUP($H$7&amp;$F$1,'Input RM sheet'!$A:$DD,Z1,0)</f>
        <v>360</v>
      </c>
      <c r="AB7" s="74">
        <f>VLOOKUP($H$7&amp;$F$1,'Input RM sheet'!$A:$DD,AA1,0)</f>
        <v>370</v>
      </c>
      <c r="AC7" s="74">
        <f>VLOOKUP($H$7&amp;$F$1,'Input RM sheet'!$A:$DD,AB1,0)</f>
        <v>390</v>
      </c>
      <c r="AD7" s="74">
        <f>VLOOKUP($H$7&amp;$F$1,'Input RM sheet'!$A:$DD,AC1,0)</f>
        <v>467.5</v>
      </c>
      <c r="AE7" s="74">
        <f>VLOOKUP($H$7&amp;$F$1,'Input RM sheet'!$A:$DD,AD1,0)</f>
        <v>392.5</v>
      </c>
      <c r="AF7" s="74">
        <f>VLOOKUP($H$7&amp;$F$1,'Input RM sheet'!$A:$DD,AE1,0)</f>
        <v>340</v>
      </c>
      <c r="AG7" s="74">
        <f>VLOOKUP($H$7&amp;$F$1,'Input RM sheet'!$A:$DD,AF1,0)</f>
        <v>310</v>
      </c>
      <c r="AH7" s="74">
        <f>VLOOKUP($H$7&amp;$F$1,'Input RM sheet'!$A:$DD,AG1,0)</f>
        <v>390</v>
      </c>
      <c r="AI7" s="74">
        <f>VLOOKUP($H$7&amp;$F$1,'Input RM sheet'!$A:$DD,AH1,0)</f>
        <v>430</v>
      </c>
      <c r="AJ7" s="74">
        <f>VLOOKUP($H$7&amp;$F$1,'Input RM sheet'!$A:$DD,AI1,0)</f>
        <v>390</v>
      </c>
      <c r="AK7" s="74">
        <f>VLOOKUP($H$7&amp;$F$1,'Input RM sheet'!$A:$DD,AJ1,0)</f>
        <v>350</v>
      </c>
      <c r="AL7" s="74">
        <f>VLOOKUP($H$7&amp;$F$1,'Input RM sheet'!$A:$DD,AK1,0)</f>
        <v>340</v>
      </c>
      <c r="AM7" s="74">
        <f>VLOOKUP($H$7&amp;$F$1,'Input RM sheet'!$A:$DD,AL1,0)</f>
        <v>315</v>
      </c>
      <c r="AN7" s="74">
        <f>VLOOKUP($H$7&amp;$F$1,'Input RM sheet'!$A:$DD,AM1,0)</f>
        <v>315</v>
      </c>
      <c r="AO7" s="74">
        <f>VLOOKUP($H$7&amp;$F$1,'Input RM sheet'!$A:$DD,AN1,0)</f>
        <v>315</v>
      </c>
      <c r="AP7" s="74">
        <f>VLOOKUP($H$7&amp;$F$1,'Input RM sheet'!$A:$DD,AO1,0)</f>
        <v>325</v>
      </c>
      <c r="AQ7" s="74">
        <f>VLOOKUP($H$7&amp;$F$1,'Input RM sheet'!$A:$DD,AP1,0)</f>
        <v>325</v>
      </c>
      <c r="AR7" s="74">
        <f>VLOOKUP($H$7&amp;$F$1,'Input RM sheet'!$A:$DD,AQ1,0)</f>
        <v>315</v>
      </c>
      <c r="AS7" s="74">
        <f>VLOOKUP($H$7&amp;$F$1,'Input RM sheet'!$A:$DD,AR1,0)</f>
        <v>325</v>
      </c>
      <c r="AT7" s="74">
        <f>VLOOKUP($H$7&amp;$F$1,'Input RM sheet'!$A:$DD,AS1,0)</f>
        <v>347.5</v>
      </c>
      <c r="AU7" s="74">
        <f>VLOOKUP($H$7&amp;$F$1,'Input RM sheet'!$A:$DD,AT1,0)</f>
        <v>362.5</v>
      </c>
      <c r="AV7" s="74">
        <f>VLOOKUP($H$7&amp;$F$1,'Input RM sheet'!$A:$DD,AU1,0)</f>
        <v>335</v>
      </c>
      <c r="AW7" s="74">
        <f>VLOOKUP($H$7&amp;$F$1,'Input RM sheet'!$A:$DD,AV1,0)</f>
        <v>310</v>
      </c>
      <c r="AX7" s="74">
        <f>VLOOKUP($H$7&amp;$F$1,'Input RM sheet'!$A:$DD,AW1,0)</f>
        <v>300</v>
      </c>
      <c r="AY7" s="74">
        <f>VLOOKUP($H$7&amp;$F$1,'Input RM sheet'!$A:$DD,AX1,0)</f>
        <v>300</v>
      </c>
      <c r="AZ7" s="74">
        <f>VLOOKUP($H$7&amp;$F$1,'Input RM sheet'!$A:$DD,AY1,0)</f>
        <v>290</v>
      </c>
      <c r="BA7" s="74">
        <f>VLOOKUP($H$7&amp;$F$1,'Input RM sheet'!$A:$DD,AZ1,0)</f>
        <v>290</v>
      </c>
      <c r="BB7" s="74">
        <f>VLOOKUP($H$7&amp;$F$1,'Input RM sheet'!$A:$DD,BA1,0)</f>
        <v>290</v>
      </c>
      <c r="BC7" s="74">
        <f>VLOOKUP($H$7&amp;$F$1,'Input RM sheet'!$A:$DD,BB1,0)</f>
        <v>290</v>
      </c>
      <c r="BD7" s="74">
        <f>VLOOKUP($H$7&amp;$F$1,'Input RM sheet'!$A:$DD,BC1,0)</f>
        <v>310</v>
      </c>
      <c r="BE7" s="74">
        <f>VLOOKUP($H$7&amp;$F$1,'Input RM sheet'!$A:$DD,BD1,0)</f>
        <v>310</v>
      </c>
      <c r="BF7" s="74">
        <f>VLOOKUP($H$7&amp;$F$1,'Input RM sheet'!$A:$DD,BE1,0)</f>
        <v>310</v>
      </c>
      <c r="BG7" s="74">
        <f>VLOOKUP($H$7&amp;$F$1,'Input RM sheet'!$A:$DD,BF1,0)</f>
        <v>310</v>
      </c>
      <c r="BH7" s="74">
        <f>VLOOKUP($H$7&amp;$F$1,'Input RM sheet'!$A:$DD,BG1,0)</f>
        <v>310</v>
      </c>
      <c r="BI7" s="74">
        <f>VLOOKUP($H$7&amp;$F$1,'Input RM sheet'!$A:$DD,BH1,0)</f>
        <v>330</v>
      </c>
      <c r="BJ7" s="74">
        <f>VLOOKUP($H$7&amp;$F$1,'Input RM sheet'!$A:$DD,BI1,0)</f>
        <v>330</v>
      </c>
      <c r="BK7" s="74">
        <f>VLOOKUP($H$7&amp;$F$1,'Input RM sheet'!$A:$DD,BJ1,0)</f>
        <v>330</v>
      </c>
      <c r="BL7" s="74">
        <f>VLOOKUP($H$7&amp;$F$1,'Input RM sheet'!$A:$DD,BK1,0)</f>
        <v>330</v>
      </c>
      <c r="BM7" s="74">
        <f>VLOOKUP($H$7&amp;$F$1,'Input RM sheet'!$A:$DD,BL1,0)</f>
        <v>330</v>
      </c>
      <c r="BN7" s="74">
        <f>VLOOKUP($H$7&amp;$F$1,'Input RM sheet'!$A:$DD,BM1,0)</f>
        <v>330</v>
      </c>
      <c r="BO7" s="74">
        <f>VLOOKUP($H$7&amp;$F$1,'Input RM sheet'!$A:$DD,BN1,0)</f>
        <v>330</v>
      </c>
      <c r="BP7" s="74">
        <f>VLOOKUP($H$7&amp;$F$1,'Input RM sheet'!$A:$DD,BO1,0)</f>
        <v>315</v>
      </c>
      <c r="BQ7" s="74">
        <f>VLOOKUP($H$7&amp;$F$1,'Input RM sheet'!$A:$DD,BP1,0)</f>
        <v>315</v>
      </c>
      <c r="BR7" s="74">
        <f>VLOOKUP($H$7&amp;$F$1,'Input RM sheet'!$A:$DD,BQ1,0)</f>
        <v>315</v>
      </c>
      <c r="BS7" s="74">
        <f>VLOOKUP($H$7&amp;$F$1,'Input RM sheet'!$A:$DD,BR1,0)</f>
        <v>315</v>
      </c>
      <c r="BT7" s="74">
        <f>VLOOKUP($H$7&amp;$F$1,'Input RM sheet'!$A:$DD,BS1,0)</f>
        <v>335</v>
      </c>
      <c r="BU7" s="74">
        <f>VLOOKUP($H$7&amp;$F$1,'Input RM sheet'!$A:$DD,BT1,0)</f>
        <v>335</v>
      </c>
      <c r="BV7" s="74">
        <f>VLOOKUP($H$7&amp;$F$1,'Input RM sheet'!$A:$DD,BU1,0)</f>
        <v>335</v>
      </c>
      <c r="BW7" s="74">
        <f>VLOOKUP($H$7&amp;$F$1,'Input RM sheet'!$A:$DD,BV1,0)</f>
        <v>337.5</v>
      </c>
      <c r="BX7" s="74">
        <f>VLOOKUP($H$7&amp;$F$1,'Input RM sheet'!$A:$DD,BW1,0)</f>
        <v>337.5</v>
      </c>
      <c r="BY7" s="74">
        <f>VLOOKUP($H$7&amp;$F$1,'Input RM sheet'!$A:$DD,BX1,0)</f>
        <v>337.5</v>
      </c>
      <c r="BZ7" s="74">
        <f>VLOOKUP($H$7&amp;$F$1,'Input RM sheet'!$A:$DD,BY1,0)</f>
        <v>347.5</v>
      </c>
      <c r="CA7" s="74">
        <f>VLOOKUP($H$7&amp;$F$1,'Input RM sheet'!$A:$DD,BZ1,0)</f>
        <v>347.5</v>
      </c>
      <c r="CB7" s="74">
        <f>VLOOKUP($H$7&amp;$F$1,'Input RM sheet'!$A:$DD,CA1,0)</f>
        <v>347.5</v>
      </c>
      <c r="CC7" s="74">
        <f>VLOOKUP($H$7&amp;$F$1,'Input RM sheet'!$A:$DD,CB1,0)</f>
        <v>347.5</v>
      </c>
      <c r="CD7" s="74">
        <f>VLOOKUP($H$7&amp;$F$1,'Input RM sheet'!$A:$DD,CC1,0)</f>
        <v>347.5</v>
      </c>
      <c r="CE7" s="74">
        <f>VLOOKUP($H$7&amp;$F$1,'Input RM sheet'!$A:$DD,CD1,0)</f>
        <v>347.5</v>
      </c>
      <c r="CF7" s="74">
        <f>VLOOKUP($H$7&amp;$F$1,'Input RM sheet'!$A:$DD,CE1,0)</f>
        <v>347.5</v>
      </c>
      <c r="CG7" s="74">
        <f>VLOOKUP($H$7&amp;$F$1,'Input RM sheet'!$A:$DD,CF1,0)</f>
        <v>355</v>
      </c>
      <c r="CH7" s="74">
        <f>VLOOKUP($H$7&amp;$F$1,'Input RM sheet'!$A:$DD,CG1,0)</f>
        <v>355</v>
      </c>
      <c r="CI7" s="74">
        <f>VLOOKUP($H$7&amp;$F$1,'Input RM sheet'!$A:$DD,CH1,0)</f>
        <v>345</v>
      </c>
      <c r="CJ7" s="74">
        <f>VLOOKUP($H$7&amp;$F$1,'Input RM sheet'!$A:$DD,CI1,0)</f>
        <v>345</v>
      </c>
      <c r="CK7" s="74">
        <f>VLOOKUP($H$7&amp;$F$1,'Input RM sheet'!$A:$DD,CJ1,0)</f>
        <v>345</v>
      </c>
      <c r="CL7" s="74">
        <f>VLOOKUP($H$7&amp;$F$1,'Input RM sheet'!$A:$DD,CK1,0)</f>
        <v>345</v>
      </c>
      <c r="CM7" s="74">
        <f>VLOOKUP($H$7&amp;$F$1,'Input RM sheet'!$A:$DD,CL1,0)</f>
        <v>342.5</v>
      </c>
      <c r="CN7" s="74">
        <f>VLOOKUP($H$7&amp;$F$1,'Input RM sheet'!$A:$DD,CM1,0)</f>
        <v>342.5</v>
      </c>
      <c r="CO7" s="74">
        <f>VLOOKUP($H$7&amp;$F$1,'Input RM sheet'!$A:$DD,CN1,0)</f>
        <v>342.5</v>
      </c>
      <c r="CP7" s="74">
        <f>VLOOKUP($H$7&amp;$F$1,'Input RM sheet'!$A:$DD,CO1,0)</f>
        <v>342.5</v>
      </c>
      <c r="CQ7" s="74">
        <f>VLOOKUP($H$7&amp;$F$1,'Input RM sheet'!$A:$DD,CP1,0)</f>
        <v>342.5</v>
      </c>
      <c r="CR7" s="74">
        <f>VLOOKUP($H$7&amp;$F$1,'Input RM sheet'!$A:$ZZ,CQ1,0)</f>
        <v>342.5</v>
      </c>
      <c r="CS7" s="74">
        <f>VLOOKUP($H$7&amp;$F$1,'Input RM sheet'!$A:$ZZ,CR1,0)</f>
        <v>340</v>
      </c>
      <c r="CT7" s="74">
        <f>VLOOKUP($H$7&amp;$F$1,'Input RM sheet'!$A:$ZZ,CS1,0)</f>
        <v>340</v>
      </c>
      <c r="CU7" s="74">
        <f>VLOOKUP($H$7&amp;$F$1,'Input RM sheet'!$A:$ZZ,CT1,0)</f>
        <v>340</v>
      </c>
      <c r="CV7" s="74">
        <f>VLOOKUP($H$7&amp;$F$1,'Input RM sheet'!$A:$ZZ,CU1,0)</f>
        <v>340</v>
      </c>
      <c r="CW7" s="74">
        <f>VLOOKUP($H$7&amp;$F$1,'Input RM sheet'!$A:$ZZ,CV1,0)</f>
        <v>335</v>
      </c>
      <c r="CX7" s="74">
        <f>VLOOKUP($H$7&amp;$F$1,'Input RM sheet'!$A:$ZZ,CW1,0)</f>
        <v>335</v>
      </c>
      <c r="CY7" s="74">
        <f>VLOOKUP($H$7&amp;$F$1,'Input RM sheet'!$A:$ZZ,CX1,0)</f>
        <v>335</v>
      </c>
      <c r="CZ7" s="74">
        <f>VLOOKUP($H$7&amp;$F$1,'Input RM sheet'!$A:$ZZ,CY1,0)</f>
        <v>335</v>
      </c>
      <c r="DA7" s="74">
        <f>VLOOKUP($H$7&amp;$F$1,'Input RM sheet'!$A:$ZZ,CZ1,0)</f>
        <v>335</v>
      </c>
      <c r="DB7" s="74">
        <f>VLOOKUP($H$7&amp;$F$1,'Input RM sheet'!$A:$ZZ,DA1,0)</f>
        <v>335</v>
      </c>
      <c r="DC7" s="74">
        <f>VLOOKUP($H$7&amp;$F$1,'Input RM sheet'!$A:$ZZ,DB1,0)</f>
        <v>335</v>
      </c>
      <c r="DD7" s="74">
        <f>VLOOKUP($H$7&amp;$F$1,'Input RM sheet'!$A:$ZZ,DC1,0)</f>
        <v>335</v>
      </c>
      <c r="DE7" s="74">
        <f>VLOOKUP($H$7&amp;$F$1,'Input RM sheet'!$A:$ZZ,DD1,0)</f>
        <v>335</v>
      </c>
      <c r="DF7" s="74">
        <f>VLOOKUP($H$7&amp;$F$1,'Input RM sheet'!$A:$ZZ,DE1,0)</f>
        <v>335</v>
      </c>
      <c r="DG7" s="74">
        <f>VLOOKUP($H$7&amp;$F$1,'Input RM sheet'!$A:$ZZ,DF1,0)</f>
        <v>335</v>
      </c>
      <c r="DH7" s="74">
        <f>VLOOKUP($H$7&amp;$F$1,'Input RM sheet'!$A:$ZZ,DG1,0)</f>
        <v>335</v>
      </c>
      <c r="DI7" s="74">
        <f>VLOOKUP($H$7&amp;$F$1,'Input RM sheet'!$A:$ZZ,DH1,0)</f>
        <v>335</v>
      </c>
      <c r="DJ7" s="74">
        <f>VLOOKUP($H$7&amp;$F$1,'Input RM sheet'!$A:$ZZ,DI1,0)</f>
        <v>345</v>
      </c>
      <c r="DK7" s="74">
        <f>VLOOKUP($H$7&amp;$F$1,'Input RM sheet'!$A:$ZZ,DJ1,0)</f>
        <v>345</v>
      </c>
      <c r="DL7" s="74">
        <f>VLOOKUP($H$7&amp;$F$1,'Input RM sheet'!$A:$ZZ,DK1,0)</f>
        <v>345</v>
      </c>
      <c r="DM7" s="74">
        <f>VLOOKUP($H$7&amp;$F$1,'Input RM sheet'!$A:$ZZ,DL1,0)</f>
        <v>345</v>
      </c>
      <c r="DN7" s="74">
        <f>VLOOKUP($H$7&amp;$F$1,'Input RM sheet'!$A:$ZZ,DM1,0)</f>
        <v>330</v>
      </c>
      <c r="DO7" s="74">
        <f>VLOOKUP($H$7&amp;$F$1,'Input RM sheet'!$A:$ZZ,DN1,0)</f>
        <v>330</v>
      </c>
      <c r="DP7" s="74">
        <f>VLOOKUP($H$7&amp;$F$1,'Input RM sheet'!$A:$ZZ,DO1,0)</f>
        <v>330</v>
      </c>
      <c r="DQ7" s="74">
        <f>VLOOKUP($H$7&amp;$F$1,'Input RM sheet'!$A:$ZZ,DP1,0)</f>
        <v>330</v>
      </c>
      <c r="DR7" s="74">
        <f>VLOOKUP($H$7&amp;$F$1,'Input RM sheet'!$A:$ZZ,DQ1,0)</f>
        <v>330</v>
      </c>
      <c r="DS7" s="74">
        <f>VLOOKUP($H$7&amp;$F$1,'Input RM sheet'!$A:$ZZ,DR1,0)</f>
        <v>347.5</v>
      </c>
      <c r="DT7" s="74">
        <f>VLOOKUP($H$7&amp;$F$1,'Input RM sheet'!$A:$ZZ,DS1,0)</f>
        <v>0</v>
      </c>
      <c r="DU7" s="74">
        <f>VLOOKUP($H$7&amp;$F$1,'Input RM sheet'!$A:$ZZ,DT1,0)</f>
        <v>0</v>
      </c>
      <c r="DV7" s="74">
        <f>VLOOKUP($H$7&amp;$F$1,'Input RM sheet'!$A:$ZZ,DU1,0)</f>
        <v>0</v>
      </c>
      <c r="DW7" s="74">
        <f>VLOOKUP($H$7&amp;$F$1,'Input RM sheet'!$A:$ZZ,DV1,0)</f>
        <v>0</v>
      </c>
      <c r="DX7" s="74">
        <f>VLOOKUP($H$7&amp;$F$1,'Input RM sheet'!$A:$ZZ,DW1,0)</f>
        <v>0</v>
      </c>
      <c r="DY7" s="74">
        <f>VLOOKUP($H$7&amp;$F$1,'Input RM sheet'!$A:$ZZ,DX1,0)</f>
        <v>0</v>
      </c>
      <c r="DZ7" s="74">
        <f>VLOOKUP($H$7&amp;$F$1,'Input RM sheet'!$A:$ZZ,DY1,0)</f>
        <v>0</v>
      </c>
      <c r="EA7" s="74">
        <f>VLOOKUP($H$7&amp;$F$1,'Input RM sheet'!$A:$ZZ,DZ1,0)</f>
        <v>0</v>
      </c>
      <c r="EB7" s="74">
        <f>VLOOKUP($H$7&amp;$F$1,'Input RM sheet'!$A:$ZZ,EA1,0)</f>
        <v>0</v>
      </c>
      <c r="EC7" s="74">
        <f>VLOOKUP($H$7&amp;$F$1,'Input RM sheet'!$A:$ZZ,EB1,0)</f>
        <v>0</v>
      </c>
      <c r="ED7" s="74">
        <f>VLOOKUP($H$7&amp;$F$1,'Input RM sheet'!$A:$ZZ,EC1,0)</f>
        <v>0</v>
      </c>
      <c r="EE7" s="74">
        <f>VLOOKUP($H$7&amp;$F$1,'Input RM sheet'!$A:$ZZ,ED1,0)</f>
        <v>0</v>
      </c>
      <c r="EF7" s="74">
        <f>VLOOKUP($H$7&amp;$F$1,'Input RM sheet'!$A:$ZZ,EE1,0)</f>
        <v>0</v>
      </c>
      <c r="EG7" s="74">
        <f>VLOOKUP($H$7&amp;$F$1,'Input RM sheet'!$A:$ZZ,EF1,0)</f>
        <v>0</v>
      </c>
      <c r="EH7" s="74">
        <f>VLOOKUP($H$7&amp;$F$1,'Input RM sheet'!$A:$ZZ,EG1,0)</f>
        <v>0</v>
      </c>
      <c r="EI7" s="74">
        <f>VLOOKUP($H$7&amp;$F$1,'Input RM sheet'!$A:$ZZ,EH1,0)</f>
        <v>0</v>
      </c>
      <c r="EJ7" s="74">
        <f>VLOOKUP($H$7&amp;$F$1,'Input RM sheet'!$A:$ZZ,EI1,0)</f>
        <v>0</v>
      </c>
      <c r="EK7" s="74">
        <f>VLOOKUP($H$7&amp;$F$1,'Input RM sheet'!$A:$ZZ,EJ1,0)</f>
        <v>0</v>
      </c>
    </row>
    <row r="8" spans="1:169" ht="13">
      <c r="A8" s="59" t="s">
        <v>395</v>
      </c>
      <c r="B8" s="59"/>
      <c r="C8" s="59" t="s">
        <v>379</v>
      </c>
      <c r="D8" s="98" t="s">
        <v>380</v>
      </c>
      <c r="E8" s="98" t="s">
        <v>381</v>
      </c>
      <c r="F8" s="59" t="s">
        <v>396</v>
      </c>
      <c r="I8" s="84"/>
      <c r="J8" s="84"/>
      <c r="K8" s="84"/>
      <c r="L8" s="84"/>
      <c r="M8" s="84"/>
      <c r="N8" s="84"/>
      <c r="O8" s="84"/>
      <c r="P8" s="84"/>
      <c r="Q8" s="84"/>
      <c r="R8" s="84"/>
      <c r="S8" s="84"/>
      <c r="T8" s="84"/>
      <c r="U8" s="84"/>
      <c r="V8" s="84"/>
      <c r="W8" s="84"/>
      <c r="X8" s="84"/>
      <c r="Y8" s="84"/>
      <c r="Z8" s="84"/>
      <c r="AA8" s="84"/>
      <c r="AB8" s="84"/>
      <c r="AC8" s="84"/>
      <c r="AD8" s="84"/>
      <c r="AE8" s="84"/>
      <c r="AF8" s="84"/>
      <c r="AG8" s="84"/>
      <c r="AH8" s="84"/>
      <c r="AI8" s="84"/>
      <c r="AJ8" s="84"/>
      <c r="AK8" s="84"/>
      <c r="AL8" s="84"/>
      <c r="AM8" s="84"/>
      <c r="AN8" s="84"/>
      <c r="AO8" s="84"/>
      <c r="AP8" s="84"/>
      <c r="AQ8" s="84"/>
      <c r="AR8" s="84"/>
      <c r="AS8" s="84"/>
      <c r="AT8" s="84"/>
      <c r="AU8" s="84"/>
      <c r="AV8" s="84"/>
      <c r="AW8" s="84"/>
      <c r="AX8" s="84"/>
      <c r="AY8" s="84"/>
      <c r="AZ8" s="84"/>
      <c r="BA8" s="84"/>
      <c r="BB8" s="84"/>
      <c r="BC8" s="84"/>
      <c r="BD8" s="84"/>
      <c r="BE8" s="84"/>
      <c r="BF8" s="84"/>
      <c r="BG8" s="84"/>
      <c r="BH8" s="84"/>
      <c r="BI8" s="84"/>
      <c r="BJ8" s="84"/>
      <c r="BK8" s="84"/>
      <c r="BL8" s="84"/>
      <c r="BM8" s="84"/>
      <c r="BN8" s="84"/>
      <c r="BO8" s="84"/>
      <c r="BP8" s="84"/>
      <c r="BQ8" s="84"/>
      <c r="BR8" s="84"/>
      <c r="BS8" s="84"/>
      <c r="BT8" s="84"/>
      <c r="BU8" s="84"/>
      <c r="BV8" s="84"/>
      <c r="BW8" s="84"/>
      <c r="BX8" s="84"/>
      <c r="BY8" s="84"/>
      <c r="BZ8" s="84"/>
      <c r="CA8" s="84"/>
      <c r="CB8" s="84"/>
      <c r="CC8" s="84"/>
      <c r="CD8" s="84"/>
      <c r="CE8" s="84"/>
      <c r="CF8" s="84"/>
      <c r="CG8" s="84"/>
      <c r="CH8" s="84"/>
      <c r="CI8" s="84"/>
      <c r="CJ8" s="84"/>
      <c r="CK8" s="84"/>
      <c r="CL8" s="84"/>
      <c r="CM8" s="84"/>
      <c r="CN8" s="84"/>
      <c r="CO8" s="84"/>
      <c r="CP8" s="84"/>
      <c r="CQ8" s="84"/>
      <c r="CR8" s="84"/>
      <c r="CS8" s="84"/>
      <c r="CT8" s="84"/>
      <c r="CU8" s="84"/>
      <c r="CV8" s="84"/>
      <c r="CW8" s="84"/>
      <c r="CX8" s="84"/>
      <c r="CY8" s="84"/>
      <c r="CZ8" s="84"/>
      <c r="DA8" s="84"/>
      <c r="DB8" s="84"/>
      <c r="DC8" s="84"/>
      <c r="DD8" s="84"/>
      <c r="DE8" s="84"/>
      <c r="DF8" s="84"/>
      <c r="DG8" s="84"/>
      <c r="DH8" s="84"/>
      <c r="DI8" s="84"/>
      <c r="DJ8" s="84"/>
      <c r="DK8" s="84"/>
      <c r="DL8" s="84"/>
      <c r="DM8" s="84"/>
      <c r="DN8" s="84"/>
      <c r="DO8" s="84"/>
      <c r="DP8" s="84"/>
      <c r="DQ8" s="84"/>
      <c r="DR8" s="84"/>
      <c r="DS8" s="84"/>
      <c r="DT8" s="84"/>
      <c r="DU8" s="84"/>
      <c r="DV8" s="84"/>
      <c r="DW8" s="84"/>
      <c r="DX8" s="84"/>
      <c r="DY8" s="84"/>
      <c r="DZ8" s="84"/>
      <c r="EA8" s="84"/>
      <c r="EB8" s="84"/>
      <c r="EC8" s="84"/>
      <c r="ED8" s="84"/>
      <c r="EE8" s="84"/>
      <c r="EF8" s="84"/>
      <c r="EG8" s="84"/>
      <c r="EH8" s="84"/>
      <c r="EI8" s="84"/>
      <c r="EJ8" s="84"/>
      <c r="EK8" s="84"/>
    </row>
    <row r="9" spans="1:169" ht="13">
      <c r="A9" s="107" t="s">
        <v>397</v>
      </c>
      <c r="B9" s="100" t="s">
        <v>36</v>
      </c>
      <c r="C9" s="60">
        <v>1</v>
      </c>
      <c r="D9" s="64">
        <v>32.04</v>
      </c>
      <c r="E9" s="60">
        <f>D9*C9</f>
        <v>32.04</v>
      </c>
      <c r="F9" s="65">
        <v>0.5</v>
      </c>
      <c r="H9" s="60" t="s">
        <v>399</v>
      </c>
      <c r="I9" s="74">
        <f>$F$9*(I7/1000)</f>
        <v>0.13125000000000001</v>
      </c>
      <c r="J9" s="74">
        <f>$F$9*(J7/1000)</f>
        <v>0.16125</v>
      </c>
      <c r="K9" s="74">
        <f>$F$9*(K7/1000)</f>
        <v>0.14249999999999999</v>
      </c>
      <c r="L9" s="74">
        <f t="shared" ref="L9:BJ9" si="0">$F$9*(L7/1000)</f>
        <v>0.105</v>
      </c>
      <c r="M9" s="74">
        <f t="shared" si="0"/>
        <v>8.7499999999999994E-2</v>
      </c>
      <c r="N9" s="74">
        <f t="shared" si="0"/>
        <v>8.3750000000000005E-2</v>
      </c>
      <c r="O9" s="74">
        <f t="shared" si="0"/>
        <v>0.09</v>
      </c>
      <c r="P9" s="74">
        <f t="shared" si="0"/>
        <v>0.11</v>
      </c>
      <c r="Q9" s="74">
        <f t="shared" si="0"/>
        <v>0.115</v>
      </c>
      <c r="R9" s="74">
        <f t="shared" si="0"/>
        <v>0.12</v>
      </c>
      <c r="S9" s="74">
        <f t="shared" si="0"/>
        <v>0.13500000000000001</v>
      </c>
      <c r="T9" s="74">
        <f t="shared" si="0"/>
        <v>0.15</v>
      </c>
      <c r="U9" s="74">
        <f t="shared" si="0"/>
        <v>0.18</v>
      </c>
      <c r="V9" s="74">
        <f t="shared" si="0"/>
        <v>0.1825</v>
      </c>
      <c r="W9" s="74">
        <f t="shared" si="0"/>
        <v>0.17749999999999999</v>
      </c>
      <c r="X9" s="74">
        <f t="shared" si="0"/>
        <v>0.17</v>
      </c>
      <c r="Y9" s="74">
        <f t="shared" si="0"/>
        <v>0.17374999999999999</v>
      </c>
      <c r="Z9" s="74">
        <f t="shared" si="0"/>
        <v>0.17874999999999999</v>
      </c>
      <c r="AA9" s="74">
        <f t="shared" si="0"/>
        <v>0.18</v>
      </c>
      <c r="AB9" s="74">
        <f t="shared" si="0"/>
        <v>0.185</v>
      </c>
      <c r="AC9" s="74">
        <f t="shared" si="0"/>
        <v>0.19500000000000001</v>
      </c>
      <c r="AD9" s="74">
        <f t="shared" si="0"/>
        <v>0.23375000000000001</v>
      </c>
      <c r="AE9" s="74">
        <f t="shared" si="0"/>
        <v>0.19625000000000001</v>
      </c>
      <c r="AF9" s="74">
        <f t="shared" si="0"/>
        <v>0.17</v>
      </c>
      <c r="AG9" s="74">
        <f t="shared" si="0"/>
        <v>0.155</v>
      </c>
      <c r="AH9" s="74">
        <f t="shared" si="0"/>
        <v>0.19500000000000001</v>
      </c>
      <c r="AI9" s="74">
        <f t="shared" si="0"/>
        <v>0.215</v>
      </c>
      <c r="AJ9" s="74">
        <f t="shared" si="0"/>
        <v>0.19500000000000001</v>
      </c>
      <c r="AK9" s="74">
        <f t="shared" si="0"/>
        <v>0.17499999999999999</v>
      </c>
      <c r="AL9" s="74">
        <f t="shared" si="0"/>
        <v>0.17</v>
      </c>
      <c r="AM9" s="74">
        <f t="shared" si="0"/>
        <v>0.1575</v>
      </c>
      <c r="AN9" s="74">
        <f t="shared" si="0"/>
        <v>0.1575</v>
      </c>
      <c r="AO9" s="74">
        <f t="shared" si="0"/>
        <v>0.1575</v>
      </c>
      <c r="AP9" s="74">
        <f t="shared" si="0"/>
        <v>0.16250000000000001</v>
      </c>
      <c r="AQ9" s="74">
        <f t="shared" si="0"/>
        <v>0.16250000000000001</v>
      </c>
      <c r="AR9" s="74">
        <f t="shared" si="0"/>
        <v>0.1575</v>
      </c>
      <c r="AS9" s="74">
        <f t="shared" si="0"/>
        <v>0.16250000000000001</v>
      </c>
      <c r="AT9" s="74">
        <f t="shared" si="0"/>
        <v>0.17374999999999999</v>
      </c>
      <c r="AU9" s="74">
        <f t="shared" si="0"/>
        <v>0.18124999999999999</v>
      </c>
      <c r="AV9" s="74">
        <f t="shared" si="0"/>
        <v>0.16750000000000001</v>
      </c>
      <c r="AW9" s="74">
        <f t="shared" si="0"/>
        <v>0.155</v>
      </c>
      <c r="AX9" s="74">
        <f t="shared" si="0"/>
        <v>0.15</v>
      </c>
      <c r="AY9" s="74">
        <f t="shared" si="0"/>
        <v>0.15</v>
      </c>
      <c r="AZ9" s="74">
        <f t="shared" si="0"/>
        <v>0.14499999999999999</v>
      </c>
      <c r="BA9" s="74">
        <f t="shared" si="0"/>
        <v>0.14499999999999999</v>
      </c>
      <c r="BB9" s="74">
        <f t="shared" si="0"/>
        <v>0.14499999999999999</v>
      </c>
      <c r="BC9" s="74">
        <f t="shared" si="0"/>
        <v>0.14499999999999999</v>
      </c>
      <c r="BD9" s="74">
        <f t="shared" si="0"/>
        <v>0.155</v>
      </c>
      <c r="BE9" s="74">
        <f t="shared" si="0"/>
        <v>0.155</v>
      </c>
      <c r="BF9" s="74">
        <f t="shared" si="0"/>
        <v>0.155</v>
      </c>
      <c r="BG9" s="74">
        <f t="shared" si="0"/>
        <v>0.155</v>
      </c>
      <c r="BH9" s="74">
        <f t="shared" si="0"/>
        <v>0.155</v>
      </c>
      <c r="BI9" s="74">
        <f t="shared" si="0"/>
        <v>0.16500000000000001</v>
      </c>
      <c r="BJ9" s="74">
        <f t="shared" si="0"/>
        <v>0.16500000000000001</v>
      </c>
      <c r="BK9" s="74">
        <f>$F$9*(BK7/1000)</f>
        <v>0.16500000000000001</v>
      </c>
      <c r="BL9" s="74">
        <f>$F$9*(BL7/1000)</f>
        <v>0.16500000000000001</v>
      </c>
      <c r="BM9" s="74">
        <f>$F$9*(BM7/1000)</f>
        <v>0.16500000000000001</v>
      </c>
      <c r="BN9" s="74">
        <f>$F$9*(BN7/1000)</f>
        <v>0.16500000000000001</v>
      </c>
      <c r="BO9" s="74">
        <f t="shared" ref="BO9:BV9" si="1">$F$9*(BO7/1000)</f>
        <v>0.16500000000000001</v>
      </c>
      <c r="BP9" s="74">
        <f t="shared" si="1"/>
        <v>0.1575</v>
      </c>
      <c r="BQ9" s="74">
        <f t="shared" si="1"/>
        <v>0.1575</v>
      </c>
      <c r="BR9" s="74">
        <f t="shared" si="1"/>
        <v>0.1575</v>
      </c>
      <c r="BS9" s="74">
        <f t="shared" si="1"/>
        <v>0.1575</v>
      </c>
      <c r="BT9" s="74">
        <f t="shared" si="1"/>
        <v>0.16750000000000001</v>
      </c>
      <c r="BU9" s="74">
        <f t="shared" si="1"/>
        <v>0.16750000000000001</v>
      </c>
      <c r="BV9" s="74">
        <f t="shared" si="1"/>
        <v>0.16750000000000001</v>
      </c>
      <c r="BW9" s="74">
        <f>$F$9*(BW7/1000)</f>
        <v>0.16875000000000001</v>
      </c>
      <c r="BX9" s="74">
        <f>$F$9*(BX7/1000)</f>
        <v>0.16875000000000001</v>
      </c>
      <c r="BY9" s="74">
        <f>$F$9*(BY7/1000)</f>
        <v>0.16875000000000001</v>
      </c>
      <c r="BZ9" s="74">
        <f>$F$9*(BZ7/1000)</f>
        <v>0.17374999999999999</v>
      </c>
      <c r="CA9" s="74">
        <f t="shared" ref="CA9:CH9" si="2">$F$9*(CA7/1000)</f>
        <v>0.17374999999999999</v>
      </c>
      <c r="CB9" s="74">
        <f t="shared" si="2"/>
        <v>0.17374999999999999</v>
      </c>
      <c r="CC9" s="74">
        <f t="shared" si="2"/>
        <v>0.17374999999999999</v>
      </c>
      <c r="CD9" s="74">
        <f t="shared" si="2"/>
        <v>0.17374999999999999</v>
      </c>
      <c r="CE9" s="74">
        <f t="shared" si="2"/>
        <v>0.17374999999999999</v>
      </c>
      <c r="CF9" s="74">
        <f t="shared" si="2"/>
        <v>0.17374999999999999</v>
      </c>
      <c r="CG9" s="74">
        <f t="shared" si="2"/>
        <v>0.17749999999999999</v>
      </c>
      <c r="CH9" s="74">
        <f t="shared" si="2"/>
        <v>0.17749999999999999</v>
      </c>
      <c r="CI9" s="74">
        <f t="shared" ref="CI9:CR9" si="3">$F$9*(CI7/1000)</f>
        <v>0.17249999999999999</v>
      </c>
      <c r="CJ9" s="74">
        <f t="shared" si="3"/>
        <v>0.17249999999999999</v>
      </c>
      <c r="CK9" s="74">
        <f t="shared" si="3"/>
        <v>0.17249999999999999</v>
      </c>
      <c r="CL9" s="74">
        <f t="shared" si="3"/>
        <v>0.17249999999999999</v>
      </c>
      <c r="CM9" s="74">
        <f t="shared" si="3"/>
        <v>0.17125000000000001</v>
      </c>
      <c r="CN9" s="74">
        <f t="shared" si="3"/>
        <v>0.17125000000000001</v>
      </c>
      <c r="CO9" s="74">
        <f t="shared" si="3"/>
        <v>0.17125000000000001</v>
      </c>
      <c r="CP9" s="74">
        <f t="shared" si="3"/>
        <v>0.17125000000000001</v>
      </c>
      <c r="CQ9" s="74">
        <f t="shared" si="3"/>
        <v>0.17125000000000001</v>
      </c>
      <c r="CR9" s="74">
        <f t="shared" si="3"/>
        <v>0.17125000000000001</v>
      </c>
      <c r="CS9" s="74">
        <f>$F$9*(CS7/1000)</f>
        <v>0.17</v>
      </c>
      <c r="CT9" s="74">
        <f>$F$9*(CT7/1000)</f>
        <v>0.17</v>
      </c>
      <c r="CU9" s="74">
        <f t="shared" ref="CU9:EK9" si="4">$F$9*(CU7/1000)</f>
        <v>0.17</v>
      </c>
      <c r="CV9" s="74">
        <f t="shared" si="4"/>
        <v>0.17</v>
      </c>
      <c r="CW9" s="74">
        <f t="shared" si="4"/>
        <v>0.16750000000000001</v>
      </c>
      <c r="CX9" s="74">
        <f t="shared" si="4"/>
        <v>0.16750000000000001</v>
      </c>
      <c r="CY9" s="74">
        <f t="shared" si="4"/>
        <v>0.16750000000000001</v>
      </c>
      <c r="CZ9" s="74">
        <f t="shared" si="4"/>
        <v>0.16750000000000001</v>
      </c>
      <c r="DA9" s="74">
        <f t="shared" si="4"/>
        <v>0.16750000000000001</v>
      </c>
      <c r="DB9" s="74">
        <f t="shared" si="4"/>
        <v>0.16750000000000001</v>
      </c>
      <c r="DC9" s="74">
        <f t="shared" si="4"/>
        <v>0.16750000000000001</v>
      </c>
      <c r="DD9" s="74">
        <f t="shared" si="4"/>
        <v>0.16750000000000001</v>
      </c>
      <c r="DE9" s="74">
        <f t="shared" si="4"/>
        <v>0.16750000000000001</v>
      </c>
      <c r="DF9" s="74">
        <f t="shared" si="4"/>
        <v>0.16750000000000001</v>
      </c>
      <c r="DG9" s="74">
        <f t="shared" si="4"/>
        <v>0.16750000000000001</v>
      </c>
      <c r="DH9" s="74">
        <f t="shared" si="4"/>
        <v>0.16750000000000001</v>
      </c>
      <c r="DI9" s="74">
        <f t="shared" si="4"/>
        <v>0.16750000000000001</v>
      </c>
      <c r="DJ9" s="74">
        <f t="shared" si="4"/>
        <v>0.17249999999999999</v>
      </c>
      <c r="DK9" s="74">
        <f t="shared" si="4"/>
        <v>0.17249999999999999</v>
      </c>
      <c r="DL9" s="74">
        <f t="shared" si="4"/>
        <v>0.17249999999999999</v>
      </c>
      <c r="DM9" s="74">
        <f t="shared" si="4"/>
        <v>0.17249999999999999</v>
      </c>
      <c r="DN9" s="74">
        <f t="shared" si="4"/>
        <v>0.16500000000000001</v>
      </c>
      <c r="DO9" s="74">
        <f t="shared" si="4"/>
        <v>0.16500000000000001</v>
      </c>
      <c r="DP9" s="74">
        <f t="shared" si="4"/>
        <v>0.16500000000000001</v>
      </c>
      <c r="DQ9" s="74">
        <f t="shared" si="4"/>
        <v>0.16500000000000001</v>
      </c>
      <c r="DR9" s="74">
        <f t="shared" si="4"/>
        <v>0.16500000000000001</v>
      </c>
      <c r="DS9" s="74">
        <f t="shared" si="4"/>
        <v>0.17374999999999999</v>
      </c>
      <c r="DT9" s="74">
        <f t="shared" si="4"/>
        <v>0</v>
      </c>
      <c r="DU9" s="74">
        <f t="shared" si="4"/>
        <v>0</v>
      </c>
      <c r="DV9" s="74">
        <f t="shared" si="4"/>
        <v>0</v>
      </c>
      <c r="DW9" s="74">
        <f t="shared" si="4"/>
        <v>0</v>
      </c>
      <c r="DX9" s="74">
        <f t="shared" si="4"/>
        <v>0</v>
      </c>
      <c r="DY9" s="74">
        <f t="shared" si="4"/>
        <v>0</v>
      </c>
      <c r="DZ9" s="74">
        <f t="shared" si="4"/>
        <v>0</v>
      </c>
      <c r="EA9" s="74">
        <f t="shared" si="4"/>
        <v>0</v>
      </c>
      <c r="EB9" s="74">
        <f t="shared" si="4"/>
        <v>0</v>
      </c>
      <c r="EC9" s="74">
        <f t="shared" si="4"/>
        <v>0</v>
      </c>
      <c r="ED9" s="74">
        <f t="shared" si="4"/>
        <v>0</v>
      </c>
      <c r="EE9" s="74">
        <f t="shared" si="4"/>
        <v>0</v>
      </c>
      <c r="EF9" s="74">
        <f t="shared" si="4"/>
        <v>0</v>
      </c>
      <c r="EG9" s="74">
        <f t="shared" si="4"/>
        <v>0</v>
      </c>
      <c r="EH9" s="74">
        <f t="shared" si="4"/>
        <v>0</v>
      </c>
      <c r="EI9" s="74">
        <f t="shared" si="4"/>
        <v>0</v>
      </c>
      <c r="EJ9" s="74">
        <f t="shared" si="4"/>
        <v>0</v>
      </c>
      <c r="EK9" s="74">
        <f t="shared" si="4"/>
        <v>0</v>
      </c>
    </row>
    <row r="10" spans="1:169" s="104" customFormat="1">
      <c r="A10" s="104" t="s">
        <v>400</v>
      </c>
      <c r="H10" s="60"/>
      <c r="I10" s="105">
        <f>SUM(I9:I9)</f>
        <v>0.13125000000000001</v>
      </c>
      <c r="J10" s="105">
        <f>SUM(J9:J9)</f>
        <v>0.16125</v>
      </c>
      <c r="K10" s="105">
        <f>SUM(K9:K9)</f>
        <v>0.14249999999999999</v>
      </c>
      <c r="L10" s="105">
        <f t="shared" ref="L10:BJ10" si="5">SUM(L9:L9)</f>
        <v>0.105</v>
      </c>
      <c r="M10" s="105">
        <f t="shared" si="5"/>
        <v>8.7499999999999994E-2</v>
      </c>
      <c r="N10" s="105">
        <f t="shared" si="5"/>
        <v>8.3750000000000005E-2</v>
      </c>
      <c r="O10" s="105">
        <f t="shared" si="5"/>
        <v>0.09</v>
      </c>
      <c r="P10" s="105">
        <f t="shared" si="5"/>
        <v>0.11</v>
      </c>
      <c r="Q10" s="105">
        <f t="shared" si="5"/>
        <v>0.115</v>
      </c>
      <c r="R10" s="105">
        <f t="shared" si="5"/>
        <v>0.12</v>
      </c>
      <c r="S10" s="105">
        <f t="shared" si="5"/>
        <v>0.13500000000000001</v>
      </c>
      <c r="T10" s="105">
        <f t="shared" si="5"/>
        <v>0.15</v>
      </c>
      <c r="U10" s="105">
        <f t="shared" si="5"/>
        <v>0.18</v>
      </c>
      <c r="V10" s="105">
        <f t="shared" si="5"/>
        <v>0.1825</v>
      </c>
      <c r="W10" s="105">
        <f t="shared" si="5"/>
        <v>0.17749999999999999</v>
      </c>
      <c r="X10" s="105">
        <f t="shared" si="5"/>
        <v>0.17</v>
      </c>
      <c r="Y10" s="105">
        <f t="shared" si="5"/>
        <v>0.17374999999999999</v>
      </c>
      <c r="Z10" s="105">
        <f t="shared" si="5"/>
        <v>0.17874999999999999</v>
      </c>
      <c r="AA10" s="105">
        <f t="shared" si="5"/>
        <v>0.18</v>
      </c>
      <c r="AB10" s="105">
        <f t="shared" si="5"/>
        <v>0.185</v>
      </c>
      <c r="AC10" s="105">
        <f t="shared" si="5"/>
        <v>0.19500000000000001</v>
      </c>
      <c r="AD10" s="105">
        <f t="shared" si="5"/>
        <v>0.23375000000000001</v>
      </c>
      <c r="AE10" s="105">
        <f t="shared" si="5"/>
        <v>0.19625000000000001</v>
      </c>
      <c r="AF10" s="105">
        <f t="shared" si="5"/>
        <v>0.17</v>
      </c>
      <c r="AG10" s="105">
        <f t="shared" si="5"/>
        <v>0.155</v>
      </c>
      <c r="AH10" s="105">
        <f t="shared" si="5"/>
        <v>0.19500000000000001</v>
      </c>
      <c r="AI10" s="105">
        <f t="shared" si="5"/>
        <v>0.215</v>
      </c>
      <c r="AJ10" s="105">
        <f t="shared" si="5"/>
        <v>0.19500000000000001</v>
      </c>
      <c r="AK10" s="105">
        <f t="shared" si="5"/>
        <v>0.17499999999999999</v>
      </c>
      <c r="AL10" s="105">
        <f t="shared" si="5"/>
        <v>0.17</v>
      </c>
      <c r="AM10" s="105">
        <f t="shared" si="5"/>
        <v>0.1575</v>
      </c>
      <c r="AN10" s="105">
        <f t="shared" si="5"/>
        <v>0.1575</v>
      </c>
      <c r="AO10" s="105">
        <f t="shared" si="5"/>
        <v>0.1575</v>
      </c>
      <c r="AP10" s="105">
        <f t="shared" si="5"/>
        <v>0.16250000000000001</v>
      </c>
      <c r="AQ10" s="105">
        <f t="shared" si="5"/>
        <v>0.16250000000000001</v>
      </c>
      <c r="AR10" s="105">
        <f t="shared" si="5"/>
        <v>0.1575</v>
      </c>
      <c r="AS10" s="105">
        <f t="shared" si="5"/>
        <v>0.16250000000000001</v>
      </c>
      <c r="AT10" s="105">
        <f t="shared" si="5"/>
        <v>0.17374999999999999</v>
      </c>
      <c r="AU10" s="105">
        <f t="shared" si="5"/>
        <v>0.18124999999999999</v>
      </c>
      <c r="AV10" s="105">
        <f t="shared" si="5"/>
        <v>0.16750000000000001</v>
      </c>
      <c r="AW10" s="105">
        <f t="shared" si="5"/>
        <v>0.155</v>
      </c>
      <c r="AX10" s="105">
        <f t="shared" si="5"/>
        <v>0.15</v>
      </c>
      <c r="AY10" s="105">
        <f t="shared" si="5"/>
        <v>0.15</v>
      </c>
      <c r="AZ10" s="105">
        <f t="shared" si="5"/>
        <v>0.14499999999999999</v>
      </c>
      <c r="BA10" s="105">
        <f t="shared" si="5"/>
        <v>0.14499999999999999</v>
      </c>
      <c r="BB10" s="105">
        <f t="shared" si="5"/>
        <v>0.14499999999999999</v>
      </c>
      <c r="BC10" s="105">
        <f t="shared" si="5"/>
        <v>0.14499999999999999</v>
      </c>
      <c r="BD10" s="105">
        <f t="shared" si="5"/>
        <v>0.155</v>
      </c>
      <c r="BE10" s="105">
        <f t="shared" si="5"/>
        <v>0.155</v>
      </c>
      <c r="BF10" s="105">
        <f t="shared" si="5"/>
        <v>0.155</v>
      </c>
      <c r="BG10" s="105">
        <f t="shared" si="5"/>
        <v>0.155</v>
      </c>
      <c r="BH10" s="105">
        <f t="shared" si="5"/>
        <v>0.155</v>
      </c>
      <c r="BI10" s="105">
        <f t="shared" si="5"/>
        <v>0.16500000000000001</v>
      </c>
      <c r="BJ10" s="105">
        <f t="shared" si="5"/>
        <v>0.16500000000000001</v>
      </c>
      <c r="BK10" s="105">
        <f>SUM(BK9:BK9)</f>
        <v>0.16500000000000001</v>
      </c>
      <c r="BL10" s="105">
        <f>SUM(BL9:BL9)</f>
        <v>0.16500000000000001</v>
      </c>
      <c r="BM10" s="105">
        <f>SUM(BM9:BM9)</f>
        <v>0.16500000000000001</v>
      </c>
      <c r="BN10" s="105">
        <f>SUM(BN9:BN9)</f>
        <v>0.16500000000000001</v>
      </c>
      <c r="BO10" s="105">
        <f t="shared" ref="BO10:BV10" si="6">SUM(BO9:BO9)</f>
        <v>0.16500000000000001</v>
      </c>
      <c r="BP10" s="105">
        <f t="shared" si="6"/>
        <v>0.1575</v>
      </c>
      <c r="BQ10" s="105">
        <f t="shared" si="6"/>
        <v>0.1575</v>
      </c>
      <c r="BR10" s="105">
        <f t="shared" si="6"/>
        <v>0.1575</v>
      </c>
      <c r="BS10" s="105">
        <f t="shared" si="6"/>
        <v>0.1575</v>
      </c>
      <c r="BT10" s="105">
        <f t="shared" si="6"/>
        <v>0.16750000000000001</v>
      </c>
      <c r="BU10" s="105">
        <f t="shared" si="6"/>
        <v>0.16750000000000001</v>
      </c>
      <c r="BV10" s="105">
        <f t="shared" si="6"/>
        <v>0.16750000000000001</v>
      </c>
      <c r="BW10" s="105">
        <f>SUM(BW9:BW9)</f>
        <v>0.16875000000000001</v>
      </c>
      <c r="BX10" s="105">
        <f>SUM(BX9:BX9)</f>
        <v>0.16875000000000001</v>
      </c>
      <c r="BY10" s="105">
        <f>SUM(BY9:BY9)</f>
        <v>0.16875000000000001</v>
      </c>
      <c r="BZ10" s="105">
        <f>SUM(BZ9:BZ9)</f>
        <v>0.17374999999999999</v>
      </c>
      <c r="CA10" s="105">
        <f t="shared" ref="CA10:CH10" si="7">SUM(CA9:CA9)</f>
        <v>0.17374999999999999</v>
      </c>
      <c r="CB10" s="105">
        <f t="shared" si="7"/>
        <v>0.17374999999999999</v>
      </c>
      <c r="CC10" s="105">
        <f t="shared" si="7"/>
        <v>0.17374999999999999</v>
      </c>
      <c r="CD10" s="105">
        <f t="shared" si="7"/>
        <v>0.17374999999999999</v>
      </c>
      <c r="CE10" s="105">
        <f t="shared" si="7"/>
        <v>0.17374999999999999</v>
      </c>
      <c r="CF10" s="105">
        <f t="shared" si="7"/>
        <v>0.17374999999999999</v>
      </c>
      <c r="CG10" s="105">
        <f t="shared" si="7"/>
        <v>0.17749999999999999</v>
      </c>
      <c r="CH10" s="105">
        <f t="shared" si="7"/>
        <v>0.17749999999999999</v>
      </c>
      <c r="CI10" s="105">
        <f t="shared" ref="CI10:CR10" si="8">SUM(CI9:CI9)</f>
        <v>0.17249999999999999</v>
      </c>
      <c r="CJ10" s="105">
        <f t="shared" si="8"/>
        <v>0.17249999999999999</v>
      </c>
      <c r="CK10" s="105">
        <f t="shared" si="8"/>
        <v>0.17249999999999999</v>
      </c>
      <c r="CL10" s="105">
        <f t="shared" si="8"/>
        <v>0.17249999999999999</v>
      </c>
      <c r="CM10" s="105">
        <f t="shared" si="8"/>
        <v>0.17125000000000001</v>
      </c>
      <c r="CN10" s="105">
        <f t="shared" si="8"/>
        <v>0.17125000000000001</v>
      </c>
      <c r="CO10" s="105">
        <f t="shared" si="8"/>
        <v>0.17125000000000001</v>
      </c>
      <c r="CP10" s="105">
        <f t="shared" si="8"/>
        <v>0.17125000000000001</v>
      </c>
      <c r="CQ10" s="105">
        <f t="shared" si="8"/>
        <v>0.17125000000000001</v>
      </c>
      <c r="CR10" s="105">
        <f t="shared" si="8"/>
        <v>0.17125000000000001</v>
      </c>
      <c r="CS10" s="105">
        <f>SUM(CS9:CS9)</f>
        <v>0.17</v>
      </c>
      <c r="CT10" s="105">
        <f>SUM(CT9:CT9)</f>
        <v>0.17</v>
      </c>
      <c r="CU10" s="105">
        <f t="shared" ref="CU10:EK10" si="9">SUM(CU9:CU9)</f>
        <v>0.17</v>
      </c>
      <c r="CV10" s="105">
        <f t="shared" si="9"/>
        <v>0.17</v>
      </c>
      <c r="CW10" s="105">
        <f t="shared" si="9"/>
        <v>0.16750000000000001</v>
      </c>
      <c r="CX10" s="105">
        <f t="shared" si="9"/>
        <v>0.16750000000000001</v>
      </c>
      <c r="CY10" s="105">
        <f t="shared" si="9"/>
        <v>0.16750000000000001</v>
      </c>
      <c r="CZ10" s="105">
        <f t="shared" si="9"/>
        <v>0.16750000000000001</v>
      </c>
      <c r="DA10" s="105">
        <f t="shared" si="9"/>
        <v>0.16750000000000001</v>
      </c>
      <c r="DB10" s="105">
        <f t="shared" si="9"/>
        <v>0.16750000000000001</v>
      </c>
      <c r="DC10" s="105">
        <f t="shared" si="9"/>
        <v>0.16750000000000001</v>
      </c>
      <c r="DD10" s="105">
        <f t="shared" si="9"/>
        <v>0.16750000000000001</v>
      </c>
      <c r="DE10" s="105">
        <f t="shared" si="9"/>
        <v>0.16750000000000001</v>
      </c>
      <c r="DF10" s="105">
        <f t="shared" si="9"/>
        <v>0.16750000000000001</v>
      </c>
      <c r="DG10" s="105">
        <f t="shared" si="9"/>
        <v>0.16750000000000001</v>
      </c>
      <c r="DH10" s="105">
        <f t="shared" si="9"/>
        <v>0.16750000000000001</v>
      </c>
      <c r="DI10" s="105">
        <f t="shared" si="9"/>
        <v>0.16750000000000001</v>
      </c>
      <c r="DJ10" s="105">
        <f t="shared" si="9"/>
        <v>0.17249999999999999</v>
      </c>
      <c r="DK10" s="105">
        <f t="shared" si="9"/>
        <v>0.17249999999999999</v>
      </c>
      <c r="DL10" s="105">
        <f t="shared" si="9"/>
        <v>0.17249999999999999</v>
      </c>
      <c r="DM10" s="105">
        <f t="shared" si="9"/>
        <v>0.17249999999999999</v>
      </c>
      <c r="DN10" s="105">
        <f t="shared" si="9"/>
        <v>0.16500000000000001</v>
      </c>
      <c r="DO10" s="105">
        <f t="shared" si="9"/>
        <v>0.16500000000000001</v>
      </c>
      <c r="DP10" s="105">
        <f t="shared" si="9"/>
        <v>0.16500000000000001</v>
      </c>
      <c r="DQ10" s="105">
        <f t="shared" si="9"/>
        <v>0.16500000000000001</v>
      </c>
      <c r="DR10" s="105">
        <f t="shared" si="9"/>
        <v>0.16500000000000001</v>
      </c>
      <c r="DS10" s="105">
        <f t="shared" si="9"/>
        <v>0.17374999999999999</v>
      </c>
      <c r="DT10" s="105">
        <f t="shared" si="9"/>
        <v>0</v>
      </c>
      <c r="DU10" s="105">
        <f t="shared" si="9"/>
        <v>0</v>
      </c>
      <c r="DV10" s="105">
        <f t="shared" si="9"/>
        <v>0</v>
      </c>
      <c r="DW10" s="105">
        <f t="shared" si="9"/>
        <v>0</v>
      </c>
      <c r="DX10" s="105">
        <f t="shared" si="9"/>
        <v>0</v>
      </c>
      <c r="DY10" s="105">
        <f t="shared" si="9"/>
        <v>0</v>
      </c>
      <c r="DZ10" s="105">
        <f t="shared" si="9"/>
        <v>0</v>
      </c>
      <c r="EA10" s="105">
        <f t="shared" si="9"/>
        <v>0</v>
      </c>
      <c r="EB10" s="105">
        <f t="shared" si="9"/>
        <v>0</v>
      </c>
      <c r="EC10" s="105">
        <f t="shared" si="9"/>
        <v>0</v>
      </c>
      <c r="ED10" s="105">
        <f t="shared" si="9"/>
        <v>0</v>
      </c>
      <c r="EE10" s="105">
        <f t="shared" si="9"/>
        <v>0</v>
      </c>
      <c r="EF10" s="105">
        <f t="shared" si="9"/>
        <v>0</v>
      </c>
      <c r="EG10" s="105">
        <f t="shared" si="9"/>
        <v>0</v>
      </c>
      <c r="EH10" s="105">
        <f t="shared" si="9"/>
        <v>0</v>
      </c>
      <c r="EI10" s="105">
        <f t="shared" si="9"/>
        <v>0</v>
      </c>
      <c r="EJ10" s="105">
        <f t="shared" si="9"/>
        <v>0</v>
      </c>
      <c r="EK10" s="105">
        <f t="shared" si="9"/>
        <v>0</v>
      </c>
    </row>
    <row r="11" spans="1:169" ht="13">
      <c r="A11" s="331" t="s">
        <v>652</v>
      </c>
      <c r="H11" s="60" t="s">
        <v>429</v>
      </c>
      <c r="I11" s="74">
        <v>0.53</v>
      </c>
      <c r="J11" s="74">
        <v>0.53</v>
      </c>
      <c r="K11" s="74"/>
      <c r="L11" s="74"/>
      <c r="M11" s="74">
        <v>0.51</v>
      </c>
      <c r="N11" s="74">
        <v>0.54</v>
      </c>
      <c r="O11" s="74"/>
      <c r="P11" s="74"/>
      <c r="Q11" s="74"/>
      <c r="R11" s="74"/>
      <c r="S11" s="74">
        <f>40/72</f>
        <v>0.55555555555555558</v>
      </c>
      <c r="T11" s="74"/>
      <c r="U11" s="74"/>
      <c r="V11" s="74"/>
      <c r="W11" s="74"/>
      <c r="X11" s="74">
        <v>0.82</v>
      </c>
      <c r="Y11" s="74">
        <f>66/72</f>
        <v>0.91666666666666663</v>
      </c>
      <c r="Z11" s="74"/>
      <c r="AA11" s="74">
        <v>0.87</v>
      </c>
      <c r="AB11" s="74"/>
      <c r="AC11" s="74"/>
      <c r="AD11" s="74">
        <v>0.99</v>
      </c>
      <c r="AE11" s="74"/>
      <c r="AF11" s="74">
        <f>87/72</f>
        <v>1.2083333333333333</v>
      </c>
      <c r="AG11" s="74">
        <f>78/75</f>
        <v>1.04</v>
      </c>
      <c r="AH11" s="74">
        <f>80/75</f>
        <v>1.0666666666666667</v>
      </c>
      <c r="AI11" s="74">
        <f>80/75</f>
        <v>1.0666666666666667</v>
      </c>
      <c r="AJ11" s="74">
        <f>81/75</f>
        <v>1.08</v>
      </c>
      <c r="AK11" s="74"/>
      <c r="AL11" s="74"/>
      <c r="AM11" s="74"/>
      <c r="AN11" s="74">
        <f>82/75</f>
        <v>1.0933333333333333</v>
      </c>
      <c r="AO11" s="74">
        <f>80/75</f>
        <v>1.0666666666666667</v>
      </c>
      <c r="AP11" s="74"/>
      <c r="AQ11" s="74"/>
      <c r="AR11" s="74">
        <f>70/75</f>
        <v>0.93333333333333335</v>
      </c>
      <c r="AS11" s="74"/>
      <c r="AT11" s="74">
        <f>72/82</f>
        <v>0.87804878048780488</v>
      </c>
      <c r="AU11" s="74"/>
      <c r="AV11" s="74">
        <f>71/82</f>
        <v>0.86585365853658536</v>
      </c>
      <c r="AW11" s="74">
        <f>69/82</f>
        <v>0.84146341463414631</v>
      </c>
      <c r="AX11" s="74"/>
      <c r="AY11" s="74">
        <v>0.71</v>
      </c>
      <c r="AZ11" s="74"/>
      <c r="BA11" s="74"/>
      <c r="BB11" s="74"/>
      <c r="BC11" s="74">
        <v>0.69</v>
      </c>
      <c r="BD11" s="74"/>
      <c r="BE11" s="74"/>
      <c r="BF11" s="74"/>
      <c r="BG11" s="74"/>
      <c r="BH11" s="74"/>
      <c r="BI11" s="74"/>
      <c r="BJ11" s="74"/>
      <c r="BK11" s="74"/>
      <c r="BL11" s="74"/>
      <c r="BM11" s="74"/>
      <c r="BN11" s="74"/>
      <c r="BO11" s="74"/>
      <c r="BP11" s="74"/>
      <c r="BQ11" s="74"/>
      <c r="BR11" s="74"/>
      <c r="BS11" s="74">
        <f>65/82</f>
        <v>0.79268292682926833</v>
      </c>
      <c r="BT11" s="74"/>
      <c r="BU11" s="74"/>
      <c r="BV11" s="74"/>
      <c r="BW11" s="74"/>
      <c r="BX11" s="74"/>
      <c r="BY11" s="74"/>
      <c r="BZ11" s="74"/>
      <c r="CA11" s="74"/>
      <c r="CB11" s="74"/>
      <c r="CC11" s="74"/>
      <c r="CD11" s="74"/>
      <c r="CE11" s="74"/>
      <c r="CF11" s="74"/>
      <c r="CG11" s="74"/>
      <c r="CH11" s="74"/>
      <c r="CI11" s="74"/>
      <c r="CJ11" s="74"/>
      <c r="CK11" s="74"/>
      <c r="CL11" s="74"/>
      <c r="CM11" s="74">
        <v>0.68500000000000005</v>
      </c>
      <c r="CN11" s="74"/>
      <c r="CO11" s="74"/>
      <c r="CP11" s="74"/>
      <c r="CQ11" s="74"/>
      <c r="CR11" s="74"/>
      <c r="CS11" s="74"/>
      <c r="CT11" s="74"/>
      <c r="CU11" s="74"/>
      <c r="CV11" s="74"/>
      <c r="CW11" s="74">
        <f>65/84</f>
        <v>0.77380952380952384</v>
      </c>
      <c r="CX11" s="74"/>
      <c r="CY11" s="74"/>
      <c r="CZ11" s="74"/>
      <c r="DA11" s="74"/>
      <c r="DB11" s="74"/>
      <c r="DC11" s="74">
        <v>0.71</v>
      </c>
      <c r="DD11" s="74"/>
      <c r="DE11" s="74"/>
      <c r="DF11" s="74"/>
      <c r="DG11" s="74"/>
      <c r="DH11" s="74"/>
      <c r="DI11" s="74">
        <v>0.7</v>
      </c>
      <c r="DJ11" s="74"/>
      <c r="DK11" s="74"/>
      <c r="DL11" s="74"/>
      <c r="DM11" s="74"/>
      <c r="DN11" s="74">
        <f>63.45/84</f>
        <v>0.75535714285714284</v>
      </c>
      <c r="DO11" s="74"/>
      <c r="DP11" s="74"/>
      <c r="DQ11" s="74"/>
      <c r="DR11" s="74"/>
      <c r="DS11" s="74"/>
      <c r="DT11" s="74"/>
      <c r="DU11" s="74"/>
      <c r="DV11" s="74"/>
      <c r="DW11" s="74"/>
      <c r="DX11" s="74"/>
      <c r="DY11" s="74"/>
      <c r="DZ11" s="74"/>
      <c r="EA11" s="74"/>
      <c r="EB11" s="74"/>
      <c r="EC11" s="74"/>
      <c r="ED11" s="74"/>
      <c r="EE11" s="74"/>
      <c r="EF11" s="74"/>
      <c r="EG11" s="74"/>
      <c r="EH11" s="74"/>
      <c r="EI11" s="74"/>
      <c r="EJ11" s="74"/>
      <c r="EK11" s="74"/>
    </row>
    <row r="12" spans="1:169">
      <c r="H12" s="60" t="s">
        <v>406</v>
      </c>
      <c r="I12" s="74">
        <f>I11-I10</f>
        <v>0.39875000000000005</v>
      </c>
      <c r="J12" s="108">
        <f>J11-J10</f>
        <v>0.36875000000000002</v>
      </c>
      <c r="K12" s="74"/>
      <c r="L12" s="74"/>
      <c r="M12" s="74">
        <f>M11-M10</f>
        <v>0.42249999999999999</v>
      </c>
      <c r="N12" s="74">
        <f>N11-N10</f>
        <v>0.45625000000000004</v>
      </c>
      <c r="O12" s="74"/>
      <c r="P12" s="74"/>
      <c r="Q12" s="74"/>
      <c r="R12" s="74"/>
      <c r="S12" s="74">
        <f>S11-S10</f>
        <v>0.42055555555555557</v>
      </c>
      <c r="T12" s="74"/>
      <c r="U12" s="74"/>
      <c r="V12" s="74"/>
      <c r="W12" s="74"/>
      <c r="X12" s="74">
        <f>X11-X10</f>
        <v>0.64999999999999991</v>
      </c>
      <c r="Y12" s="74">
        <f>Y11-Y10</f>
        <v>0.74291666666666667</v>
      </c>
      <c r="Z12" s="74"/>
      <c r="AA12" s="74">
        <f>AA11-AA10</f>
        <v>0.69</v>
      </c>
      <c r="AB12" s="74"/>
      <c r="AC12" s="74"/>
      <c r="AD12" s="74">
        <f>AD11-AD10</f>
        <v>0.75624999999999998</v>
      </c>
      <c r="AE12" s="74"/>
      <c r="AF12" s="74">
        <f>AF11-AF10</f>
        <v>1.0383333333333333</v>
      </c>
      <c r="AG12" s="74">
        <f t="shared" ref="AG12:AJ12" si="10">AG11-AG10</f>
        <v>0.88500000000000001</v>
      </c>
      <c r="AH12" s="74">
        <f t="shared" si="10"/>
        <v>0.87166666666666659</v>
      </c>
      <c r="AI12" s="74">
        <f t="shared" si="10"/>
        <v>0.85166666666666668</v>
      </c>
      <c r="AJ12" s="74">
        <f t="shared" si="10"/>
        <v>0.88500000000000001</v>
      </c>
      <c r="AK12" s="74"/>
      <c r="AL12" s="74"/>
      <c r="AM12" s="74"/>
      <c r="AN12" s="74">
        <f>AN11-AN10</f>
        <v>0.93583333333333329</v>
      </c>
      <c r="AO12" s="74">
        <f>AO11-AO10</f>
        <v>0.90916666666666668</v>
      </c>
      <c r="AP12" s="74"/>
      <c r="AQ12" s="74"/>
      <c r="AR12" s="74">
        <f>AR11-AR10</f>
        <v>0.77583333333333337</v>
      </c>
      <c r="AS12" s="74"/>
      <c r="AT12" s="74">
        <f>AT11-AT10</f>
        <v>0.70429878048780492</v>
      </c>
      <c r="AU12" s="74"/>
      <c r="AV12" s="74">
        <f>AV11-AV10</f>
        <v>0.69835365853658538</v>
      </c>
      <c r="AW12" s="74">
        <f>AW11-AW10</f>
        <v>0.68646341463414629</v>
      </c>
      <c r="AX12" s="74"/>
      <c r="AY12" s="74">
        <f>AY11-AY10</f>
        <v>0.55999999999999994</v>
      </c>
      <c r="AZ12" s="74"/>
      <c r="BA12" s="74"/>
      <c r="BB12" s="74"/>
      <c r="BC12" s="74">
        <f>BC11-BC10</f>
        <v>0.54499999999999993</v>
      </c>
      <c r="BD12" s="74"/>
      <c r="BE12" s="74"/>
      <c r="BF12" s="74"/>
      <c r="BG12" s="74"/>
      <c r="BH12" s="74"/>
      <c r="BI12" s="74"/>
      <c r="BJ12" s="74"/>
      <c r="BK12" s="74"/>
      <c r="BL12" s="74"/>
      <c r="BM12" s="74"/>
      <c r="BN12" s="74"/>
      <c r="BO12" s="74"/>
      <c r="BP12" s="74"/>
      <c r="BQ12" s="74"/>
      <c r="BR12" s="74"/>
      <c r="BS12" s="74">
        <f>BS11-BS10</f>
        <v>0.63518292682926836</v>
      </c>
      <c r="BT12" s="74"/>
      <c r="BU12" s="74"/>
      <c r="BV12" s="74"/>
      <c r="BW12" s="74"/>
      <c r="BX12" s="74"/>
      <c r="BY12" s="74"/>
      <c r="BZ12" s="74"/>
      <c r="CA12" s="74"/>
      <c r="CB12" s="74"/>
      <c r="CC12" s="74"/>
      <c r="CD12" s="74"/>
      <c r="CE12" s="74"/>
      <c r="CF12" s="74"/>
      <c r="CG12" s="74"/>
      <c r="CH12" s="74"/>
      <c r="CI12" s="74"/>
      <c r="CJ12" s="74"/>
      <c r="CK12" s="74"/>
      <c r="CL12" s="74"/>
      <c r="CM12" s="74">
        <f>CM11-CM10</f>
        <v>0.51375000000000004</v>
      </c>
      <c r="CN12" s="74"/>
      <c r="CO12" s="74"/>
      <c r="CP12" s="74"/>
      <c r="CQ12" s="74"/>
      <c r="CR12" s="74"/>
      <c r="CS12" s="74"/>
      <c r="CT12" s="74"/>
      <c r="CU12" s="74"/>
      <c r="CV12" s="74"/>
      <c r="CW12" s="74">
        <f>CW11-CW10</f>
        <v>0.60630952380952385</v>
      </c>
      <c r="CX12" s="74"/>
      <c r="CY12" s="74"/>
      <c r="CZ12" s="74"/>
      <c r="DA12" s="74"/>
      <c r="DB12" s="74"/>
      <c r="DC12" s="74">
        <f>DC11-DC10</f>
        <v>0.54249999999999998</v>
      </c>
      <c r="DD12" s="74"/>
      <c r="DE12" s="74"/>
      <c r="DF12" s="74"/>
      <c r="DG12" s="74"/>
      <c r="DH12" s="74"/>
      <c r="DI12" s="74">
        <f>DI11-DI10</f>
        <v>0.53249999999999997</v>
      </c>
      <c r="DJ12" s="74"/>
      <c r="DK12" s="74"/>
      <c r="DL12" s="74"/>
      <c r="DM12" s="74"/>
      <c r="DN12" s="74">
        <f>DN11-DN10</f>
        <v>0.5903571428571428</v>
      </c>
      <c r="DO12" s="74"/>
      <c r="DP12" s="74"/>
      <c r="DQ12" s="74"/>
      <c r="DR12" s="74"/>
      <c r="DS12" s="74"/>
      <c r="DT12" s="74"/>
      <c r="DU12" s="74"/>
      <c r="DV12" s="74"/>
      <c r="DW12" s="74"/>
      <c r="DX12" s="74"/>
      <c r="DY12" s="74"/>
      <c r="DZ12" s="74"/>
      <c r="EA12" s="74"/>
      <c r="EB12" s="74"/>
      <c r="EC12" s="74"/>
      <c r="ED12" s="74"/>
      <c r="EE12" s="74"/>
      <c r="EF12" s="74"/>
      <c r="EG12" s="74"/>
      <c r="EH12" s="74"/>
      <c r="EI12" s="74"/>
      <c r="EJ12" s="74"/>
      <c r="EK12" s="74"/>
    </row>
    <row r="14" spans="1:169" ht="13" thickBot="1"/>
    <row r="15" spans="1:169" s="73" customFormat="1" ht="13" thickBot="1">
      <c r="H15" s="257" t="s">
        <v>407</v>
      </c>
      <c r="I15" s="258">
        <f>0.37+I10</f>
        <v>0.50124999999999997</v>
      </c>
      <c r="J15" s="258">
        <f>0.37+J10</f>
        <v>0.53125</v>
      </c>
      <c r="K15" s="258">
        <f>0.37+K10</f>
        <v>0.51249999999999996</v>
      </c>
      <c r="L15" s="258">
        <f t="shared" ref="L15:BJ15" si="11">0.37+L10</f>
        <v>0.47499999999999998</v>
      </c>
      <c r="M15" s="258">
        <f t="shared" si="11"/>
        <v>0.45750000000000002</v>
      </c>
      <c r="N15" s="258">
        <f t="shared" si="11"/>
        <v>0.45374999999999999</v>
      </c>
      <c r="O15" s="258">
        <f t="shared" si="11"/>
        <v>0.45999999999999996</v>
      </c>
      <c r="P15" s="258">
        <f t="shared" si="11"/>
        <v>0.48</v>
      </c>
      <c r="Q15" s="258">
        <f t="shared" si="11"/>
        <v>0.48499999999999999</v>
      </c>
      <c r="R15" s="258">
        <f t="shared" si="11"/>
        <v>0.49</v>
      </c>
      <c r="S15" s="258">
        <f t="shared" si="11"/>
        <v>0.505</v>
      </c>
      <c r="T15" s="258">
        <f t="shared" si="11"/>
        <v>0.52</v>
      </c>
      <c r="U15" s="258">
        <f t="shared" si="11"/>
        <v>0.55000000000000004</v>
      </c>
      <c r="V15" s="258">
        <f t="shared" si="11"/>
        <v>0.55249999999999999</v>
      </c>
      <c r="W15" s="258">
        <f t="shared" si="11"/>
        <v>0.54749999999999999</v>
      </c>
      <c r="X15" s="258">
        <f t="shared" si="11"/>
        <v>0.54</v>
      </c>
      <c r="Y15" s="258">
        <f t="shared" si="11"/>
        <v>0.54374999999999996</v>
      </c>
      <c r="Z15" s="258">
        <f t="shared" si="11"/>
        <v>0.54874999999999996</v>
      </c>
      <c r="AA15" s="258">
        <f t="shared" si="11"/>
        <v>0.55000000000000004</v>
      </c>
      <c r="AB15" s="258">
        <f t="shared" si="11"/>
        <v>0.55499999999999994</v>
      </c>
      <c r="AC15" s="258">
        <f t="shared" si="11"/>
        <v>0.56499999999999995</v>
      </c>
      <c r="AD15" s="258">
        <f t="shared" si="11"/>
        <v>0.60375000000000001</v>
      </c>
      <c r="AE15" s="258">
        <f t="shared" si="11"/>
        <v>0.56625000000000003</v>
      </c>
      <c r="AF15" s="258">
        <f t="shared" si="11"/>
        <v>0.54</v>
      </c>
      <c r="AG15" s="258">
        <f t="shared" si="11"/>
        <v>0.52500000000000002</v>
      </c>
      <c r="AH15" s="258">
        <f t="shared" si="11"/>
        <v>0.56499999999999995</v>
      </c>
      <c r="AI15" s="258">
        <f t="shared" si="11"/>
        <v>0.58499999999999996</v>
      </c>
      <c r="AJ15" s="258">
        <f t="shared" si="11"/>
        <v>0.56499999999999995</v>
      </c>
      <c r="AK15" s="258">
        <f t="shared" si="11"/>
        <v>0.54499999999999993</v>
      </c>
      <c r="AL15" s="258">
        <f t="shared" si="11"/>
        <v>0.54</v>
      </c>
      <c r="AM15" s="258">
        <f t="shared" si="11"/>
        <v>0.52749999999999997</v>
      </c>
      <c r="AN15" s="258">
        <f t="shared" si="11"/>
        <v>0.52749999999999997</v>
      </c>
      <c r="AO15" s="258">
        <f t="shared" si="11"/>
        <v>0.52749999999999997</v>
      </c>
      <c r="AP15" s="258">
        <f t="shared" si="11"/>
        <v>0.53249999999999997</v>
      </c>
      <c r="AQ15" s="258">
        <f t="shared" si="11"/>
        <v>0.53249999999999997</v>
      </c>
      <c r="AR15" s="258">
        <f t="shared" si="11"/>
        <v>0.52749999999999997</v>
      </c>
      <c r="AS15" s="258">
        <f t="shared" si="11"/>
        <v>0.53249999999999997</v>
      </c>
      <c r="AT15" s="258">
        <f t="shared" si="11"/>
        <v>0.54374999999999996</v>
      </c>
      <c r="AU15" s="258">
        <f t="shared" si="11"/>
        <v>0.55125000000000002</v>
      </c>
      <c r="AV15" s="258">
        <f t="shared" si="11"/>
        <v>0.53749999999999998</v>
      </c>
      <c r="AW15" s="258">
        <f t="shared" si="11"/>
        <v>0.52500000000000002</v>
      </c>
      <c r="AX15" s="258">
        <f t="shared" si="11"/>
        <v>0.52</v>
      </c>
      <c r="AY15" s="258">
        <f t="shared" si="11"/>
        <v>0.52</v>
      </c>
      <c r="AZ15" s="258">
        <f t="shared" si="11"/>
        <v>0.51500000000000001</v>
      </c>
      <c r="BA15" s="258">
        <f t="shared" si="11"/>
        <v>0.51500000000000001</v>
      </c>
      <c r="BB15" s="258">
        <f t="shared" si="11"/>
        <v>0.51500000000000001</v>
      </c>
      <c r="BC15" s="258">
        <f t="shared" si="11"/>
        <v>0.51500000000000001</v>
      </c>
      <c r="BD15" s="258">
        <f t="shared" si="11"/>
        <v>0.52500000000000002</v>
      </c>
      <c r="BE15" s="258">
        <f t="shared" si="11"/>
        <v>0.52500000000000002</v>
      </c>
      <c r="BF15" s="258">
        <f t="shared" si="11"/>
        <v>0.52500000000000002</v>
      </c>
      <c r="BG15" s="258">
        <f t="shared" si="11"/>
        <v>0.52500000000000002</v>
      </c>
      <c r="BH15" s="258">
        <f t="shared" si="11"/>
        <v>0.52500000000000002</v>
      </c>
      <c r="BI15" s="258">
        <f t="shared" si="11"/>
        <v>0.53500000000000003</v>
      </c>
      <c r="BJ15" s="258">
        <f t="shared" si="11"/>
        <v>0.53500000000000003</v>
      </c>
      <c r="BK15" s="258">
        <f>0.37+BK10</f>
        <v>0.53500000000000003</v>
      </c>
      <c r="BL15" s="258">
        <f>0.37+BL10</f>
        <v>0.53500000000000003</v>
      </c>
      <c r="BM15" s="258">
        <f>0.37+BM10</f>
        <v>0.53500000000000003</v>
      </c>
      <c r="BN15" s="258">
        <f>0.37+BN10</f>
        <v>0.53500000000000003</v>
      </c>
      <c r="BO15" s="258">
        <f t="shared" ref="BO15:BV15" si="12">0.37+BO10</f>
        <v>0.53500000000000003</v>
      </c>
      <c r="BP15" s="258">
        <f t="shared" si="12"/>
        <v>0.52749999999999997</v>
      </c>
      <c r="BQ15" s="258">
        <f t="shared" si="12"/>
        <v>0.52749999999999997</v>
      </c>
      <c r="BR15" s="258">
        <f t="shared" si="12"/>
        <v>0.52749999999999997</v>
      </c>
      <c r="BS15" s="258">
        <f t="shared" si="12"/>
        <v>0.52749999999999997</v>
      </c>
      <c r="BT15" s="258">
        <f t="shared" si="12"/>
        <v>0.53749999999999998</v>
      </c>
      <c r="BU15" s="258">
        <f t="shared" si="12"/>
        <v>0.53749999999999998</v>
      </c>
      <c r="BV15" s="258">
        <f t="shared" si="12"/>
        <v>0.53749999999999998</v>
      </c>
      <c r="BW15" s="258">
        <f>0.37+BW10</f>
        <v>0.53875000000000006</v>
      </c>
      <c r="BX15" s="258">
        <f>0.37+BX10</f>
        <v>0.53875000000000006</v>
      </c>
      <c r="BY15" s="258">
        <f>0.37+BY10</f>
        <v>0.53875000000000006</v>
      </c>
      <c r="BZ15" s="258">
        <f>0.37+BZ10</f>
        <v>0.54374999999999996</v>
      </c>
      <c r="CA15" s="258">
        <f t="shared" ref="CA15:CH15" si="13">0.37+CA10</f>
        <v>0.54374999999999996</v>
      </c>
      <c r="CB15" s="258">
        <f t="shared" si="13"/>
        <v>0.54374999999999996</v>
      </c>
      <c r="CC15" s="258">
        <f t="shared" si="13"/>
        <v>0.54374999999999996</v>
      </c>
      <c r="CD15" s="258">
        <f t="shared" si="13"/>
        <v>0.54374999999999996</v>
      </c>
      <c r="CE15" s="258">
        <f t="shared" si="13"/>
        <v>0.54374999999999996</v>
      </c>
      <c r="CF15" s="258">
        <f t="shared" si="13"/>
        <v>0.54374999999999996</v>
      </c>
      <c r="CG15" s="258">
        <f t="shared" si="13"/>
        <v>0.54749999999999999</v>
      </c>
      <c r="CH15" s="258">
        <f t="shared" si="13"/>
        <v>0.54749999999999999</v>
      </c>
      <c r="CI15" s="258">
        <f t="shared" ref="CI15:CR15" si="14">0.37+CI10</f>
        <v>0.54249999999999998</v>
      </c>
      <c r="CJ15" s="258">
        <f t="shared" si="14"/>
        <v>0.54249999999999998</v>
      </c>
      <c r="CK15" s="258">
        <f t="shared" si="14"/>
        <v>0.54249999999999998</v>
      </c>
      <c r="CL15" s="258">
        <f t="shared" si="14"/>
        <v>0.54249999999999998</v>
      </c>
      <c r="CM15" s="258">
        <f t="shared" si="14"/>
        <v>0.54125000000000001</v>
      </c>
      <c r="CN15" s="258">
        <f t="shared" si="14"/>
        <v>0.54125000000000001</v>
      </c>
      <c r="CO15" s="258">
        <f t="shared" si="14"/>
        <v>0.54125000000000001</v>
      </c>
      <c r="CP15" s="258">
        <f t="shared" si="14"/>
        <v>0.54125000000000001</v>
      </c>
      <c r="CQ15" s="258">
        <f t="shared" si="14"/>
        <v>0.54125000000000001</v>
      </c>
      <c r="CR15" s="258">
        <f t="shared" si="14"/>
        <v>0.54125000000000001</v>
      </c>
      <c r="CS15" s="258">
        <f>0.37+CS10</f>
        <v>0.54</v>
      </c>
      <c r="CT15" s="258">
        <f>0.37+CT10</f>
        <v>0.54</v>
      </c>
      <c r="CU15" s="258">
        <f t="shared" ref="CU15:EK15" si="15">0.37+CU10</f>
        <v>0.54</v>
      </c>
      <c r="CV15" s="258">
        <f t="shared" si="15"/>
        <v>0.54</v>
      </c>
      <c r="CW15" s="258">
        <f t="shared" si="15"/>
        <v>0.53749999999999998</v>
      </c>
      <c r="CX15" s="258">
        <f t="shared" si="15"/>
        <v>0.53749999999999998</v>
      </c>
      <c r="CY15" s="258">
        <f t="shared" si="15"/>
        <v>0.53749999999999998</v>
      </c>
      <c r="CZ15" s="258">
        <f t="shared" si="15"/>
        <v>0.53749999999999998</v>
      </c>
      <c r="DA15" s="258">
        <f t="shared" si="15"/>
        <v>0.53749999999999998</v>
      </c>
      <c r="DB15" s="258">
        <f t="shared" si="15"/>
        <v>0.53749999999999998</v>
      </c>
      <c r="DC15" s="258">
        <f t="shared" si="15"/>
        <v>0.53749999999999998</v>
      </c>
      <c r="DD15" s="258">
        <f t="shared" si="15"/>
        <v>0.53749999999999998</v>
      </c>
      <c r="DE15" s="258">
        <f t="shared" si="15"/>
        <v>0.53749999999999998</v>
      </c>
      <c r="DF15" s="258">
        <f t="shared" si="15"/>
        <v>0.53749999999999998</v>
      </c>
      <c r="DG15" s="258">
        <f t="shared" si="15"/>
        <v>0.53749999999999998</v>
      </c>
      <c r="DH15" s="258">
        <f t="shared" si="15"/>
        <v>0.53749999999999998</v>
      </c>
      <c r="DI15" s="258">
        <f t="shared" si="15"/>
        <v>0.53749999999999998</v>
      </c>
      <c r="DJ15" s="258">
        <f t="shared" si="15"/>
        <v>0.54249999999999998</v>
      </c>
      <c r="DK15" s="258">
        <f t="shared" si="15"/>
        <v>0.54249999999999998</v>
      </c>
      <c r="DL15" s="258">
        <f t="shared" si="15"/>
        <v>0.54249999999999998</v>
      </c>
      <c r="DM15" s="258">
        <f t="shared" si="15"/>
        <v>0.54249999999999998</v>
      </c>
      <c r="DN15" s="258">
        <f t="shared" si="15"/>
        <v>0.53500000000000003</v>
      </c>
      <c r="DO15" s="258">
        <f t="shared" si="15"/>
        <v>0.53500000000000003</v>
      </c>
      <c r="DP15" s="258">
        <f t="shared" si="15"/>
        <v>0.53500000000000003</v>
      </c>
      <c r="DQ15" s="258">
        <f t="shared" si="15"/>
        <v>0.53500000000000003</v>
      </c>
      <c r="DR15" s="258">
        <f t="shared" si="15"/>
        <v>0.53500000000000003</v>
      </c>
      <c r="DS15" s="258">
        <f t="shared" si="15"/>
        <v>0.54374999999999996</v>
      </c>
      <c r="DT15" s="258">
        <f t="shared" si="15"/>
        <v>0.37</v>
      </c>
      <c r="DU15" s="258">
        <f t="shared" si="15"/>
        <v>0.37</v>
      </c>
      <c r="DV15" s="258">
        <f t="shared" si="15"/>
        <v>0.37</v>
      </c>
      <c r="DW15" s="258">
        <f t="shared" si="15"/>
        <v>0.37</v>
      </c>
      <c r="DX15" s="258">
        <f t="shared" si="15"/>
        <v>0.37</v>
      </c>
      <c r="DY15" s="258">
        <f t="shared" si="15"/>
        <v>0.37</v>
      </c>
      <c r="DZ15" s="258">
        <f t="shared" si="15"/>
        <v>0.37</v>
      </c>
      <c r="EA15" s="258">
        <f t="shared" si="15"/>
        <v>0.37</v>
      </c>
      <c r="EB15" s="258">
        <f t="shared" si="15"/>
        <v>0.37</v>
      </c>
      <c r="EC15" s="258">
        <f t="shared" si="15"/>
        <v>0.37</v>
      </c>
      <c r="ED15" s="258">
        <f t="shared" si="15"/>
        <v>0.37</v>
      </c>
      <c r="EE15" s="258">
        <f t="shared" si="15"/>
        <v>0.37</v>
      </c>
      <c r="EF15" s="258">
        <f t="shared" si="15"/>
        <v>0.37</v>
      </c>
      <c r="EG15" s="258">
        <f t="shared" si="15"/>
        <v>0.37</v>
      </c>
      <c r="EH15" s="258">
        <f t="shared" si="15"/>
        <v>0.37</v>
      </c>
      <c r="EI15" s="258">
        <f t="shared" si="15"/>
        <v>0.37</v>
      </c>
      <c r="EJ15" s="258">
        <f t="shared" si="15"/>
        <v>0.37</v>
      </c>
      <c r="EK15" s="258">
        <f t="shared" si="15"/>
        <v>0.37</v>
      </c>
    </row>
  </sheetData>
  <phoneticPr fontId="52" type="noConversion"/>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1"/>
  <dimension ref="A1:ED18"/>
  <sheetViews>
    <sheetView workbookViewId="0">
      <pane xSplit="10" ySplit="6" topLeftCell="K7" activePane="bottomRight" state="frozen"/>
      <selection pane="topRight" activeCell="K1" sqref="K1"/>
      <selection pane="bottomLeft" activeCell="A7" sqref="A7"/>
      <selection pane="bottomRight" activeCell="I7" sqref="I7"/>
    </sheetView>
  </sheetViews>
  <sheetFormatPr baseColWidth="10" defaultColWidth="22.6640625" defaultRowHeight="12"/>
  <cols>
    <col min="1" max="2" width="16.1640625" style="60" bestFit="1" customWidth="1"/>
    <col min="3" max="3" width="4.83203125" style="60" bestFit="1" customWidth="1"/>
    <col min="4" max="4" width="12.33203125" style="60" bestFit="1" customWidth="1"/>
    <col min="5" max="5" width="7.5" style="60" bestFit="1" customWidth="1"/>
    <col min="6" max="6" width="6" style="60" bestFit="1" customWidth="1"/>
    <col min="7" max="7" width="4.1640625" style="60" bestFit="1" customWidth="1"/>
    <col min="8" max="8" width="22.83203125" style="60" bestFit="1" customWidth="1"/>
    <col min="9" max="9" width="5.1640625" style="60" bestFit="1" customWidth="1"/>
    <col min="10" max="10" width="5.5" style="60" bestFit="1" customWidth="1"/>
    <col min="11" max="11" width="5.6640625" style="60" bestFit="1" customWidth="1"/>
    <col min="12" max="12" width="5.33203125" style="60" bestFit="1" customWidth="1"/>
    <col min="13" max="13" width="5.83203125" style="60" bestFit="1" customWidth="1"/>
    <col min="14" max="14" width="5.1640625" style="60" bestFit="1" customWidth="1"/>
    <col min="15" max="15" width="4.6640625" style="60" bestFit="1" customWidth="1"/>
    <col min="16" max="18" width="5.5" style="60" bestFit="1" customWidth="1"/>
    <col min="19" max="19" width="5.6640625" style="60" bestFit="1" customWidth="1"/>
    <col min="20" max="20" width="5.5" style="60" bestFit="1" customWidth="1"/>
    <col min="21" max="21" width="5.1640625" style="60" bestFit="1" customWidth="1"/>
    <col min="22" max="22" width="5.5" style="60" bestFit="1" customWidth="1"/>
    <col min="23" max="23" width="5.6640625" style="60" bestFit="1" customWidth="1"/>
    <col min="24" max="24" width="5.33203125" style="60" bestFit="1" customWidth="1"/>
    <col min="25" max="25" width="5.83203125" style="60" bestFit="1" customWidth="1"/>
    <col min="26" max="26" width="5.1640625" style="60" bestFit="1" customWidth="1"/>
    <col min="27" max="27" width="4.6640625" style="60" bestFit="1" customWidth="1"/>
    <col min="28" max="30" width="5.5" style="60" bestFit="1" customWidth="1"/>
    <col min="31" max="31" width="5.6640625" style="60" bestFit="1" customWidth="1"/>
    <col min="32" max="32" width="5.5" style="60" bestFit="1" customWidth="1"/>
    <col min="33" max="33" width="5.1640625" style="60" bestFit="1" customWidth="1"/>
    <col min="34" max="34" width="5.5" style="60" bestFit="1" customWidth="1"/>
    <col min="35" max="35" width="5.6640625" style="60" bestFit="1" customWidth="1"/>
    <col min="36" max="36" width="5.33203125" style="60" bestFit="1" customWidth="1"/>
    <col min="37" max="37" width="5.83203125" style="60" bestFit="1" customWidth="1"/>
    <col min="38" max="38" width="5.1640625" style="60" bestFit="1" customWidth="1"/>
    <col min="39" max="39" width="4.6640625" style="60" bestFit="1" customWidth="1"/>
    <col min="40" max="42" width="5.5" style="60" bestFit="1" customWidth="1"/>
    <col min="43" max="43" width="5.6640625" style="60" bestFit="1" customWidth="1"/>
    <col min="44" max="44" width="5.5" style="60" bestFit="1" customWidth="1"/>
    <col min="45" max="45" width="5.1640625" style="60" bestFit="1" customWidth="1"/>
    <col min="46" max="46" width="5.5" style="60" bestFit="1" customWidth="1"/>
    <col min="47" max="47" width="5.6640625" style="60" bestFit="1" customWidth="1"/>
    <col min="48" max="48" width="5.33203125" style="60" bestFit="1" customWidth="1"/>
    <col min="49" max="49" width="5.83203125" style="60" bestFit="1" customWidth="1"/>
    <col min="50" max="50" width="5.1640625" style="60" bestFit="1" customWidth="1"/>
    <col min="51" max="51" width="4.6640625" style="60" bestFit="1" customWidth="1"/>
    <col min="52" max="54" width="7" style="60" bestFit="1" customWidth="1"/>
    <col min="55" max="56" width="5.5" style="60" bestFit="1" customWidth="1"/>
    <col min="57" max="58" width="5.83203125" style="60" bestFit="1" customWidth="1"/>
    <col min="59" max="66" width="6.1640625" style="60" bestFit="1" customWidth="1"/>
    <col min="67" max="70" width="5.6640625" style="60" bestFit="1" customWidth="1"/>
    <col min="71" max="74" width="5.5" style="60" bestFit="1" customWidth="1"/>
    <col min="75" max="78" width="5.1640625" style="60" bestFit="1" customWidth="1"/>
    <col min="79" max="82" width="5.5" style="60" bestFit="1" customWidth="1"/>
    <col min="83" max="83" width="6.1640625" style="60" bestFit="1" customWidth="1"/>
    <col min="84" max="86" width="5.6640625" style="60" bestFit="1" customWidth="1"/>
    <col min="87" max="90" width="5.5" style="60" bestFit="1" customWidth="1"/>
    <col min="91" max="95" width="6.33203125" style="60" bestFit="1" customWidth="1"/>
    <col min="96" max="99" width="6.1640625" style="60" bestFit="1" customWidth="1"/>
    <col min="100" max="100" width="5.1640625" style="60" bestFit="1" customWidth="1"/>
    <col min="101" max="103" width="6" style="60" bestFit="1" customWidth="1"/>
    <col min="104" max="107" width="5.83203125" style="60" bestFit="1" customWidth="1"/>
    <col min="108" max="115" width="5.6640625" style="60" bestFit="1" customWidth="1"/>
    <col min="116" max="118" width="6.1640625" style="60" bestFit="1" customWidth="1"/>
    <col min="119" max="134" width="3.33203125" style="60" bestFit="1" customWidth="1"/>
    <col min="135" max="16384" width="22.6640625" style="60"/>
  </cols>
  <sheetData>
    <row r="1" spans="1:134" ht="26">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row>
    <row r="2" spans="1:134" ht="13">
      <c r="A2" s="107" t="s">
        <v>653</v>
      </c>
      <c r="B2" s="100"/>
      <c r="C2" s="101">
        <v>1</v>
      </c>
      <c r="D2" s="100">
        <v>162.3775</v>
      </c>
      <c r="E2" s="60">
        <f>D2*C2</f>
        <v>162.3775</v>
      </c>
      <c r="H2" s="37" t="s">
        <v>654</v>
      </c>
      <c r="K2" s="102"/>
      <c r="M2" s="102"/>
    </row>
    <row r="3" spans="1:134" ht="13">
      <c r="A3" s="107" t="s">
        <v>655</v>
      </c>
      <c r="B3" s="107" t="s">
        <v>58</v>
      </c>
      <c r="D3" s="100"/>
      <c r="E3" s="64"/>
      <c r="F3" s="103"/>
    </row>
    <row r="4" spans="1:134">
      <c r="A4" s="64">
        <v>129.06</v>
      </c>
      <c r="B4" s="64">
        <v>36.457999999999998</v>
      </c>
      <c r="D4" s="64"/>
      <c r="E4" s="64"/>
      <c r="H4" s="60" t="s">
        <v>387</v>
      </c>
    </row>
    <row r="5" spans="1:134">
      <c r="A5" s="74"/>
      <c r="B5" s="74"/>
    </row>
    <row r="6" spans="1:134">
      <c r="A6" s="59"/>
      <c r="B6" s="59"/>
      <c r="C6" s="59"/>
      <c r="D6" s="98"/>
      <c r="E6" s="98"/>
      <c r="F6" s="59"/>
      <c r="H6" s="59" t="s">
        <v>416</v>
      </c>
      <c r="I6" s="59">
        <v>43831</v>
      </c>
      <c r="J6" s="59">
        <v>43862</v>
      </c>
      <c r="K6" s="59">
        <v>43891</v>
      </c>
      <c r="L6" s="59">
        <v>43922</v>
      </c>
      <c r="M6" s="59">
        <v>43952</v>
      </c>
      <c r="N6" s="59">
        <v>43983</v>
      </c>
      <c r="O6" s="59">
        <v>44013</v>
      </c>
      <c r="P6" s="59">
        <v>44044</v>
      </c>
      <c r="Q6" s="59">
        <v>44075</v>
      </c>
      <c r="R6" s="59">
        <v>44105</v>
      </c>
      <c r="S6" s="59">
        <v>44136</v>
      </c>
      <c r="T6" s="59">
        <v>44166</v>
      </c>
      <c r="U6" s="220">
        <v>44197</v>
      </c>
      <c r="V6" s="59">
        <v>44228</v>
      </c>
      <c r="W6" s="59">
        <v>44256</v>
      </c>
      <c r="X6" s="59">
        <v>44287</v>
      </c>
      <c r="Y6" s="59">
        <v>44317</v>
      </c>
      <c r="Z6" s="59">
        <v>44348</v>
      </c>
      <c r="AA6" s="59">
        <v>44378</v>
      </c>
      <c r="AB6" s="59">
        <v>44409</v>
      </c>
      <c r="AC6" s="59">
        <v>44440</v>
      </c>
      <c r="AD6" s="59">
        <v>44470</v>
      </c>
      <c r="AE6" s="59">
        <v>44501</v>
      </c>
      <c r="AF6" s="59">
        <v>44531</v>
      </c>
      <c r="AG6" s="59">
        <v>44562</v>
      </c>
      <c r="AH6" s="59">
        <v>44593</v>
      </c>
      <c r="AI6" s="59">
        <v>44621</v>
      </c>
      <c r="AJ6" s="59">
        <v>44652</v>
      </c>
      <c r="AK6" s="59">
        <v>44682</v>
      </c>
      <c r="AL6" s="59">
        <v>44713</v>
      </c>
      <c r="AM6" s="59">
        <v>44743</v>
      </c>
      <c r="AN6" s="59">
        <v>44774</v>
      </c>
      <c r="AO6" s="59">
        <v>44805</v>
      </c>
      <c r="AP6" s="59">
        <v>44835</v>
      </c>
      <c r="AQ6" s="59">
        <v>44866</v>
      </c>
      <c r="AR6" s="59">
        <v>44896</v>
      </c>
      <c r="AS6" s="59">
        <v>44927</v>
      </c>
      <c r="AT6" s="59">
        <v>44958</v>
      </c>
      <c r="AU6" s="59">
        <v>44986</v>
      </c>
      <c r="AV6" s="59">
        <v>45017</v>
      </c>
      <c r="AW6" s="59">
        <v>45047</v>
      </c>
      <c r="AX6" s="59">
        <v>45078</v>
      </c>
      <c r="AY6" s="59">
        <v>45108</v>
      </c>
      <c r="AZ6" s="59" t="s">
        <v>530</v>
      </c>
      <c r="BA6" s="59" t="s">
        <v>531</v>
      </c>
      <c r="BB6" s="59" t="s">
        <v>532</v>
      </c>
      <c r="BC6" s="59">
        <v>37104</v>
      </c>
      <c r="BD6" s="59">
        <v>37469</v>
      </c>
      <c r="BE6" s="59" t="s">
        <v>168</v>
      </c>
      <c r="BF6" s="59" t="s">
        <v>169</v>
      </c>
      <c r="BG6" s="59" t="s">
        <v>393</v>
      </c>
      <c r="BH6" s="59" t="s">
        <v>458</v>
      </c>
      <c r="BI6" s="59" t="s">
        <v>459</v>
      </c>
      <c r="BJ6" s="59" t="s">
        <v>460</v>
      </c>
      <c r="BK6" s="59" t="s">
        <v>461</v>
      </c>
      <c r="BL6" s="59" t="s">
        <v>462</v>
      </c>
      <c r="BM6" s="59" t="s">
        <v>463</v>
      </c>
      <c r="BN6" s="59" t="s">
        <v>464</v>
      </c>
      <c r="BO6" s="59">
        <v>37196</v>
      </c>
      <c r="BP6" s="59">
        <v>37561</v>
      </c>
      <c r="BQ6" s="59">
        <v>37926</v>
      </c>
      <c r="BR6" s="59">
        <v>38292</v>
      </c>
      <c r="BS6" s="59">
        <v>37226</v>
      </c>
      <c r="BT6" s="59">
        <v>37591</v>
      </c>
      <c r="BU6" s="59">
        <v>37956</v>
      </c>
      <c r="BV6" s="59">
        <v>38322</v>
      </c>
      <c r="BW6" s="59">
        <v>36892</v>
      </c>
      <c r="BX6" s="59">
        <v>37257</v>
      </c>
      <c r="BY6" s="59">
        <v>37622</v>
      </c>
      <c r="BZ6" s="59">
        <v>37987</v>
      </c>
      <c r="CA6" s="59">
        <v>36923</v>
      </c>
      <c r="CB6" s="59">
        <v>37288</v>
      </c>
      <c r="CC6" s="59">
        <v>37653</v>
      </c>
      <c r="CD6" s="59">
        <v>38018</v>
      </c>
      <c r="CE6" s="59" t="str">
        <f>Sheet8!A15</f>
        <v>Mar-w1</v>
      </c>
      <c r="CF6" s="59">
        <v>37316</v>
      </c>
      <c r="CG6" s="59">
        <v>37681</v>
      </c>
      <c r="CH6" s="59">
        <v>38047</v>
      </c>
      <c r="CI6" s="59" t="str">
        <f>Sheet8!E15</f>
        <v>Apr-w1</v>
      </c>
      <c r="CJ6" s="59" t="str">
        <f>Sheet8!F15</f>
        <v>Apr-w2</v>
      </c>
      <c r="CK6" s="59" t="str">
        <f>Sheet8!G15</f>
        <v>Apr-w3</v>
      </c>
      <c r="CL6" s="59" t="str">
        <f>Sheet8!H15</f>
        <v>Apr-w4</v>
      </c>
      <c r="CM6" s="59" t="str">
        <f>Sheet8!I15</f>
        <v>May-w1</v>
      </c>
      <c r="CN6" s="59" t="str">
        <f>Sheet8!J15</f>
        <v>May-w2</v>
      </c>
      <c r="CO6" s="59" t="str">
        <f>Sheet8!K15</f>
        <v>May-w3</v>
      </c>
      <c r="CP6" s="59" t="str">
        <f>Sheet8!L15</f>
        <v>May-w4</v>
      </c>
      <c r="CQ6" s="59" t="str">
        <f>Sheet8!M15</f>
        <v>May-w5</v>
      </c>
      <c r="CR6" s="59" t="str">
        <f>Sheet8!N15</f>
        <v>june-w1</v>
      </c>
      <c r="CS6" s="59" t="str">
        <f>Sheet8!O15</f>
        <v>june-w2</v>
      </c>
      <c r="CT6" s="59" t="str">
        <f>Sheet8!P15</f>
        <v>june-w3</v>
      </c>
      <c r="CU6" s="59" t="str">
        <f>Sheet8!Q15</f>
        <v>june-w4</v>
      </c>
      <c r="CV6" s="59" t="str">
        <f>Sheet8!R15</f>
        <v>Jul-w1</v>
      </c>
      <c r="CW6" s="59" t="str">
        <f>Sheet8!S15</f>
        <v>Jul-w2</v>
      </c>
      <c r="CX6" s="59" t="str">
        <f>Sheet8!T15</f>
        <v>Jul-w3</v>
      </c>
      <c r="CY6" s="59" t="str">
        <f>Sheet8!U15</f>
        <v>Jul-w4</v>
      </c>
      <c r="CZ6" s="59" t="str">
        <f>Sheet8!V15</f>
        <v>Aug-w1</v>
      </c>
      <c r="DA6" s="59" t="str">
        <f>Sheet8!W15</f>
        <v>Aug-w2</v>
      </c>
      <c r="DB6" s="59" t="str">
        <f>Sheet8!X15</f>
        <v>Aug-w3</v>
      </c>
      <c r="DC6" s="59" t="str">
        <f>Sheet8!Y15</f>
        <v>Aug-w4</v>
      </c>
      <c r="DD6" s="59" t="str">
        <f>Sheet8!Z15</f>
        <v>Sep-w1</v>
      </c>
      <c r="DE6" s="59" t="str">
        <f>Sheet8!AA15</f>
        <v>Sep-w2</v>
      </c>
      <c r="DF6" s="59" t="str">
        <f>Sheet8!AB15</f>
        <v>Sep-w3</v>
      </c>
      <c r="DG6" s="59" t="str">
        <f>Sheet8!AC15</f>
        <v>Sep-w4</v>
      </c>
      <c r="DH6" s="59" t="str">
        <f>Sheet8!AD15</f>
        <v>Oct-w1</v>
      </c>
      <c r="DI6" s="59" t="str">
        <f>Sheet8!AE15</f>
        <v>Oct-w2</v>
      </c>
      <c r="DJ6" s="59" t="str">
        <f>Sheet8!AF15</f>
        <v>Oct-w3</v>
      </c>
      <c r="DK6" s="59" t="str">
        <f>Sheet8!AG15</f>
        <v>Oct-w4</v>
      </c>
      <c r="DL6" s="59" t="str">
        <f>Sheet8!AH15</f>
        <v>Nov-w1</v>
      </c>
      <c r="DM6" s="59" t="str">
        <f>Sheet8!AI15</f>
        <v>Nov-w2</v>
      </c>
      <c r="DN6" s="59" t="str">
        <f>Sheet8!AJ15</f>
        <v>Nov-w3</v>
      </c>
      <c r="DO6" s="59" t="str">
        <f>Sheet8!AK15</f>
        <v>Nov-w4</v>
      </c>
      <c r="DP6" s="59" t="str">
        <f>Sheet8!AL15</f>
        <v>Dec-w1</v>
      </c>
      <c r="DQ6" s="59" t="str">
        <f>Sheet8!AM15</f>
        <v>Dec-w2</v>
      </c>
      <c r="DR6" s="59" t="str">
        <f>Sheet8!AN15</f>
        <v>Dec-w3</v>
      </c>
      <c r="DS6" s="59" t="str">
        <f>Sheet8!AO15</f>
        <v>Dec-w4</v>
      </c>
      <c r="DT6" s="59">
        <f>Sheet8!AP15</f>
        <v>0</v>
      </c>
      <c r="DU6" s="59">
        <f>Sheet8!AQ15</f>
        <v>0</v>
      </c>
      <c r="DV6" s="59">
        <f>Sheet8!AR15</f>
        <v>0</v>
      </c>
      <c r="DW6" s="59">
        <f>Sheet8!AS15</f>
        <v>0</v>
      </c>
      <c r="DX6" s="59">
        <f>Sheet8!AT15</f>
        <v>0</v>
      </c>
      <c r="DY6" s="59">
        <f>Sheet8!AU15</f>
        <v>0</v>
      </c>
      <c r="DZ6" s="59">
        <f>Sheet8!AV15</f>
        <v>0</v>
      </c>
      <c r="EA6" s="59">
        <f>Sheet8!AW15</f>
        <v>0</v>
      </c>
      <c r="EB6" s="59">
        <f>Sheet8!AX15</f>
        <v>0</v>
      </c>
      <c r="EC6" s="59">
        <f>Sheet8!AY15</f>
        <v>0</v>
      </c>
      <c r="ED6" s="59">
        <f>Sheet8!AZ15</f>
        <v>0</v>
      </c>
    </row>
    <row r="7" spans="1:134">
      <c r="H7" s="60" t="s">
        <v>655</v>
      </c>
      <c r="I7" s="74">
        <f>Dichlorodimethylsilane!I13</f>
        <v>0.37654258512969924</v>
      </c>
      <c r="J7" s="74">
        <f>Dichlorodimethylsilane!J13</f>
        <v>0.39804060117864914</v>
      </c>
      <c r="K7" s="74">
        <f>Dichlorodimethylsilane!K13</f>
        <v>0.38460434114805536</v>
      </c>
      <c r="L7" s="74">
        <f>Dichlorodimethylsilane!L13</f>
        <v>0.35773182108686796</v>
      </c>
      <c r="M7" s="74">
        <f>Dichlorodimethylsilane!M13</f>
        <v>0.34519131172498052</v>
      </c>
      <c r="N7" s="74">
        <f>Dichlorodimethylsilane!N13</f>
        <v>0.34250405971886178</v>
      </c>
      <c r="O7" s="74">
        <f>Dichlorodimethylsilane!O13</f>
        <v>0.34698281306239298</v>
      </c>
      <c r="P7" s="74">
        <f>Dichlorodimethylsilane!P13</f>
        <v>0.36131482376169299</v>
      </c>
      <c r="Q7" s="74">
        <f>Dichlorodimethylsilane!Q13</f>
        <v>0.36489782643651797</v>
      </c>
      <c r="R7" s="74">
        <f>Dichlorodimethylsilane!R13</f>
        <v>0.368480829111343</v>
      </c>
      <c r="S7" s="74">
        <f>Dichlorodimethylsilane!S13</f>
        <v>0.37922983713581793</v>
      </c>
      <c r="T7" s="74">
        <f>Dichlorodimethylsilane!T13</f>
        <v>0.38997884516029291</v>
      </c>
      <c r="U7" s="74">
        <f>Dichlorodimethylsilane!U13</f>
        <v>0.81676994907336531</v>
      </c>
      <c r="V7" s="74">
        <f>Dichlorodimethylsilane!V13</f>
        <v>0.81954943257219681</v>
      </c>
      <c r="W7" s="74">
        <f>Dichlorodimethylsilane!W13</f>
        <v>0.81548066701987043</v>
      </c>
      <c r="X7" s="74">
        <f>Dichlorodimethylsilane!X13</f>
        <v>0.79745661418790137</v>
      </c>
      <c r="Y7" s="74">
        <f>Dichlorodimethylsilane!Y13</f>
        <v>0.81765505772678315</v>
      </c>
      <c r="Z7" s="74">
        <f>Dichlorodimethylsilane!Z13</f>
        <v>0.83230121214815522</v>
      </c>
      <c r="AA7" s="74">
        <f>Dichlorodimethylsilane!AA13</f>
        <v>0.84534898415618775</v>
      </c>
      <c r="AB7" s="74">
        <f>Dichlorodimethylsilane!AB13</f>
        <v>0.98717151047203777</v>
      </c>
      <c r="AC7" s="74">
        <f>Dichlorodimethylsilane!AC13</f>
        <v>1.5040202502534186</v>
      </c>
      <c r="AD7" s="74">
        <f>Dichlorodimethylsilane!AD13</f>
        <v>2.0290444335565341</v>
      </c>
      <c r="AE7" s="74">
        <f>Dichlorodimethylsilane!AE13</f>
        <v>1.3495627873649221</v>
      </c>
      <c r="AF7" s="74">
        <f>Dichlorodimethylsilane!AF13</f>
        <v>1.102494262847036</v>
      </c>
      <c r="AG7" s="74">
        <f>Dichlorodimethylsilane!AG13</f>
        <v>1.0254539800106139</v>
      </c>
      <c r="AH7" s="74">
        <f>Dichlorodimethylsilane!AH13</f>
        <v>1.0686472518496064</v>
      </c>
      <c r="AI7" s="74">
        <f>Dichlorodimethylsilane!AI13</f>
        <v>1.1410002863573498</v>
      </c>
      <c r="AJ7" s="74">
        <f>Dichlorodimethylsilane!AJ13</f>
        <v>1.0360777784297435</v>
      </c>
      <c r="AK7" s="74">
        <f>Dichlorodimethylsilane!AK13</f>
        <v>0.97803452250034384</v>
      </c>
      <c r="AL7" s="74">
        <f>Dichlorodimethylsilane!AL13</f>
        <v>0.92173405952357257</v>
      </c>
      <c r="AM7" s="74">
        <f>Dichlorodimethylsilane!AM13</f>
        <v>0.90837536642039218</v>
      </c>
      <c r="AN7" s="74">
        <f>Dichlorodimethylsilane!AN13</f>
        <v>0.95439527584200701</v>
      </c>
      <c r="AO7" s="74">
        <f>Dichlorodimethylsilane!AO13</f>
        <v>0.95295356162611966</v>
      </c>
      <c r="AP7" s="74">
        <f>Dichlorodimethylsilane!AP13</f>
        <v>0.96673579032440826</v>
      </c>
      <c r="AQ7" s="74">
        <f>Dichlorodimethylsilane!AQ13</f>
        <v>0.96988605748511691</v>
      </c>
      <c r="AR7" s="74">
        <f>Dichlorodimethylsilane!AR13</f>
        <v>0.94567467568858243</v>
      </c>
      <c r="AS7" s="74">
        <f>Dichlorodimethylsilane!AS13</f>
        <v>0.9300454477847826</v>
      </c>
      <c r="AT7" s="74">
        <f>Dichlorodimethylsilane!AT13</f>
        <v>0.90558428753653564</v>
      </c>
      <c r="AU7" s="74">
        <f>Dichlorodimethylsilane!AU13</f>
        <v>0.89985391202988896</v>
      </c>
      <c r="AV7" s="74">
        <f>Dichlorodimethylsilane!AV13</f>
        <v>0.85355545906810182</v>
      </c>
      <c r="AW7" s="74">
        <f>Dichlorodimethylsilane!AW13</f>
        <v>0.82301691614599948</v>
      </c>
      <c r="AX7" s="74">
        <f>Dichlorodimethylsilane!AX13</f>
        <v>0.75699646347877225</v>
      </c>
      <c r="AY7" s="74">
        <f>Dichlorodimethylsilane!AY13</f>
        <v>0.75488040963336056</v>
      </c>
      <c r="AZ7" s="74">
        <f>Dichlorodimethylsilane!AZ13</f>
        <v>0.75129740695853564</v>
      </c>
      <c r="BA7" s="74">
        <f>Dichlorodimethylsilane!BA13</f>
        <v>0.75088982141274196</v>
      </c>
      <c r="BB7" s="74">
        <f>Dichlorodimethylsilane!BB13</f>
        <v>0.75343873035628928</v>
      </c>
      <c r="BC7" s="74">
        <f>Dichlorodimethylsilane!BC13</f>
        <v>0.74937739826366612</v>
      </c>
      <c r="BD7" s="74">
        <f>Dichlorodimethylsilane!BD13</f>
        <v>0.75454625612622839</v>
      </c>
      <c r="BE7" s="74">
        <f>Dichlorodimethylsilane!BE13</f>
        <v>0.76464889466741037</v>
      </c>
      <c r="BF7" s="74">
        <f>Dichlorodimethylsilane!BF13</f>
        <v>0.7741571748709426</v>
      </c>
      <c r="BG7" s="74">
        <f>Dichlorodimethylsilane!BG13</f>
        <v>0.77311587438657647</v>
      </c>
      <c r="BH7" s="74">
        <f>Dichlorodimethylsilane!BH13</f>
        <v>0.79687139980160238</v>
      </c>
      <c r="BI7" s="74">
        <f>Dichlorodimethylsilane!BI13</f>
        <v>0.80902382515753402</v>
      </c>
      <c r="BJ7" s="74">
        <f>Dichlorodimethylsilane!BJ13</f>
        <v>0.80348492631294233</v>
      </c>
      <c r="BK7" s="74">
        <f>Dichlorodimethylsilane!BK13</f>
        <v>0.81851908031969134</v>
      </c>
      <c r="BL7" s="74">
        <f>Dichlorodimethylsilane!BL13</f>
        <v>0.82325205472922347</v>
      </c>
      <c r="BM7" s="74">
        <f>Dichlorodimethylsilane!BM13</f>
        <v>0.812943017343708</v>
      </c>
      <c r="BN7" s="74">
        <f>Dichlorodimethylsilane!BN13</f>
        <v>0.80843433527269459</v>
      </c>
      <c r="BO7" s="74">
        <f>Dichlorodimethylsilane!BO13</f>
        <v>0.80911960489782175</v>
      </c>
      <c r="BP7" s="74">
        <f>Dichlorodimethylsilane!BP13</f>
        <v>0.79794257688117154</v>
      </c>
      <c r="BQ7" s="74">
        <f>Dichlorodimethylsilane!BQ13</f>
        <v>0.79794257688117154</v>
      </c>
      <c r="BR7" s="74">
        <f>Dichlorodimethylsilane!BR13</f>
        <v>0.80701501018164801</v>
      </c>
      <c r="BS7" s="74">
        <f>Dichlorodimethylsilane!BS13</f>
        <v>0.80551778522132322</v>
      </c>
      <c r="BT7" s="74">
        <f>Dichlorodimethylsilane!BT13</f>
        <v>0.81693419332252692</v>
      </c>
      <c r="BU7" s="74">
        <f>Dichlorodimethylsilane!BU13</f>
        <v>0.81345658628364292</v>
      </c>
      <c r="BV7" s="74">
        <f>Dichlorodimethylsilane!BV13</f>
        <v>0.82671069017495979</v>
      </c>
      <c r="BW7" s="74">
        <f>Dichlorodimethylsilane!BW13</f>
        <v>0.82673780139327968</v>
      </c>
      <c r="BX7" s="74">
        <f>Dichlorodimethylsilane!BX13</f>
        <v>0.82538186706848016</v>
      </c>
      <c r="BY7" s="74">
        <f>Dichlorodimethylsilane!BY13</f>
        <v>0.81959934040581006</v>
      </c>
      <c r="BZ7" s="74">
        <f>Dichlorodimethylsilane!BZ13</f>
        <v>0.82105963913408031</v>
      </c>
      <c r="CA7" s="74">
        <f>Dichlorodimethylsilane!CA13</f>
        <v>0.82105963913408031</v>
      </c>
      <c r="CB7" s="74">
        <f>Dichlorodimethylsilane!CB13</f>
        <v>0.81645255672775641</v>
      </c>
      <c r="CC7" s="74">
        <f>Dichlorodimethylsilane!CC13</f>
        <v>0.81568200112643952</v>
      </c>
      <c r="CD7" s="74">
        <f>Dichlorodimethylsilane!CD13</f>
        <v>0.80812867895221996</v>
      </c>
      <c r="CE7" s="74">
        <f>Dichlorodimethylsilane!CE13</f>
        <v>0.80812867895221996</v>
      </c>
      <c r="CF7" s="74">
        <f>Dichlorodimethylsilane!CF13</f>
        <v>0.80763704259768498</v>
      </c>
      <c r="CG7" s="74">
        <f>Dichlorodimethylsilane!CG13</f>
        <v>0.79743750415534276</v>
      </c>
      <c r="CH7" s="74">
        <f>Dichlorodimethylsilane!CH13</f>
        <v>0.78225410274321638</v>
      </c>
      <c r="CI7" s="74">
        <f>Dichlorodimethylsilane!CI13</f>
        <v>0.77041546673814632</v>
      </c>
      <c r="CJ7" s="74">
        <f>Dichlorodimethylsilane!CJ13</f>
        <v>0.76991227183546518</v>
      </c>
      <c r="CK7" s="74">
        <f>Dichlorodimethylsilane!CK13</f>
        <v>0.76991227183546518</v>
      </c>
      <c r="CL7" s="74">
        <f>Dichlorodimethylsilane!CL13</f>
        <v>0.76938038599535052</v>
      </c>
      <c r="CM7" s="74">
        <f>Dichlorodimethylsilane!CM13</f>
        <v>0.76999619439237943</v>
      </c>
      <c r="CN7" s="74">
        <f>Dichlorodimethylsilane!CN13</f>
        <v>0.76659029779096599</v>
      </c>
      <c r="CO7" s="74">
        <f>Dichlorodimethylsilane!CO13</f>
        <v>0.76419350101766892</v>
      </c>
      <c r="CP7" s="74">
        <f>Dichlorodimethylsilane!CP13</f>
        <v>0.76419350101766892</v>
      </c>
      <c r="CQ7" s="74">
        <f>Dichlorodimethylsilane!CQ13</f>
        <v>0.76419350101766892</v>
      </c>
      <c r="CR7" s="74">
        <f>Dichlorodimethylsilane!CR13</f>
        <v>0.7636976627656118</v>
      </c>
      <c r="CS7" s="74">
        <f>Dichlorodimethylsilane!CS13</f>
        <v>0.76200408333673364</v>
      </c>
      <c r="CT7" s="74">
        <f>Dichlorodimethylsilane!CT13</f>
        <v>0.76075349224985234</v>
      </c>
      <c r="CU7" s="74">
        <f>Dichlorodimethylsilane!CU13</f>
        <v>0.75417175340365517</v>
      </c>
      <c r="CV7" s="74">
        <f>Dichlorodimethylsilane!CV13</f>
        <v>0.74940453451206301</v>
      </c>
      <c r="CW7" s="74">
        <f>Dichlorodimethylsilane!CW13</f>
        <v>0.7383434408854439</v>
      </c>
      <c r="CX7" s="74">
        <f>Dichlorodimethylsilane!CX13</f>
        <v>0.73074113829252563</v>
      </c>
      <c r="CY7" s="74">
        <f>Dichlorodimethylsilane!CY13</f>
        <v>0.72475536515432992</v>
      </c>
      <c r="CZ7" s="74">
        <f>Dichlorodimethylsilane!CZ13</f>
        <v>0.72718336151370422</v>
      </c>
      <c r="DA7" s="74">
        <f>Dichlorodimethylsilane!DA13</f>
        <v>0.72485402624094353</v>
      </c>
      <c r="DB7" s="74">
        <f>Dichlorodimethylsilane!DB13</f>
        <v>0.72405215578245974</v>
      </c>
      <c r="DC7" s="74">
        <f>Dichlorodimethylsilane!DC13</f>
        <v>0.72586106043090015</v>
      </c>
      <c r="DD7" s="74">
        <f>Dichlorodimethylsilane!DD13</f>
        <v>0.72785944422258364</v>
      </c>
      <c r="DE7" s="74">
        <f>Dichlorodimethylsilane!DE13</f>
        <v>0.72694428222623908</v>
      </c>
      <c r="DF7" s="74">
        <f>Dichlorodimethylsilane!DF13</f>
        <v>0.72924190919298182</v>
      </c>
      <c r="DG7" s="74">
        <f>Dichlorodimethylsilane!DG13</f>
        <v>0.73082929885759962</v>
      </c>
      <c r="DH7" s="74">
        <f>Dichlorodimethylsilane!DH13</f>
        <v>0.73055502154403618</v>
      </c>
      <c r="DI7" s="74">
        <f>Dichlorodimethylsilane!DI13</f>
        <v>0.72802750402157834</v>
      </c>
      <c r="DJ7" s="74">
        <f>Dichlorodimethylsilane!DJ13</f>
        <v>0.73069744035839657</v>
      </c>
      <c r="DK7" s="74">
        <f>Dichlorodimethylsilane!DK13</f>
        <v>0.73159116345005792</v>
      </c>
      <c r="DL7" s="74">
        <f>Dichlorodimethylsilane!DL13</f>
        <v>0.73431856118475103</v>
      </c>
      <c r="DM7" s="74">
        <f>Dichlorodimethylsilane!DM13</f>
        <v>0.72887098933433203</v>
      </c>
      <c r="DN7" s="74">
        <f>Dichlorodimethylsilane!DN13</f>
        <v>0.72305067229428066</v>
      </c>
      <c r="DO7" s="74">
        <f>Dichlorodimethylsilane!DO13</f>
        <v>0.72083667916917504</v>
      </c>
      <c r="DP7" s="74">
        <f>Dichlorodimethylsilane!DP13</f>
        <v>0.72039636441541377</v>
      </c>
      <c r="DQ7" s="74">
        <f>Dichlorodimethylsilane!DQ13</f>
        <v>0.71827760046359512</v>
      </c>
      <c r="DR7" s="74">
        <f>Dichlorodimethylsilane!DR13</f>
        <v>0.71265226763952771</v>
      </c>
      <c r="DS7" s="74">
        <f>Dichlorodimethylsilane!DS13</f>
        <v>0.71691268607501402</v>
      </c>
      <c r="DT7" s="74" t="e">
        <f>Dichlorodimethylsilane!DT13</f>
        <v>#DIV/0!</v>
      </c>
      <c r="DU7" s="74" t="e">
        <f>Dichlorodimethylsilane!DU13</f>
        <v>#DIV/0!</v>
      </c>
      <c r="DV7" s="74" t="e">
        <f>Dichlorodimethylsilane!DV13</f>
        <v>#DIV/0!</v>
      </c>
      <c r="DW7" s="74" t="e">
        <f>Dichlorodimethylsilane!DW13</f>
        <v>#DIV/0!</v>
      </c>
      <c r="DX7" s="74">
        <f>Dichlorodimethylsilane!DX13</f>
        <v>0</v>
      </c>
      <c r="DY7" s="74">
        <f>Dichlorodimethylsilane!DY13</f>
        <v>0</v>
      </c>
      <c r="DZ7" s="74">
        <f>Dichlorodimethylsilane!DZ13</f>
        <v>0</v>
      </c>
      <c r="EA7" s="74">
        <f>Dichlorodimethylsilane!EA13</f>
        <v>0</v>
      </c>
      <c r="EB7" s="74">
        <f>Dichlorodimethylsilane!EB13</f>
        <v>0</v>
      </c>
      <c r="EC7" s="74">
        <f>Dichlorodimethylsilane!EC13</f>
        <v>0</v>
      </c>
      <c r="ED7" s="74">
        <f>Dichlorodimethylsilane!ED13</f>
        <v>0</v>
      </c>
    </row>
    <row r="8" spans="1:134">
      <c r="H8" s="112" t="s">
        <v>58</v>
      </c>
      <c r="I8" s="74">
        <f>VLOOKUP($H$8&amp;$F$1,'Input RM sheet'!$A:$BD,H1,0)</f>
        <v>4.2082443851499292E-2</v>
      </c>
      <c r="J8" s="74">
        <f>VLOOKUP($H$8&amp;$F$1,'Input RM sheet'!$A:$BD,I1,0)</f>
        <v>4.1927866431118795E-2</v>
      </c>
      <c r="K8" s="74">
        <f>VLOOKUP($H$8&amp;$F$1,'Input RM sheet'!$A:$BD,J1,0)</f>
        <v>4.0293873182269707E-2</v>
      </c>
      <c r="L8" s="74">
        <f>VLOOKUP($H$8&amp;$F$1,'Input RM sheet'!$A:$BD,K1,0)</f>
        <v>3.9343426408514334E-2</v>
      </c>
      <c r="M8" s="74">
        <f>VLOOKUP($H$8&amp;$F$1,'Input RM sheet'!$A:$BD,L1,0)</f>
        <v>3.9668766651551307E-2</v>
      </c>
      <c r="N8" s="74">
        <f>VLOOKUP($H$8&amp;$F$1,'Input RM sheet'!$A:$BD,M1,0)</f>
        <v>3.9606114550388739E-2</v>
      </c>
      <c r="O8" s="74">
        <f>VLOOKUP($H$8&amp;$F$1,'Input RM sheet'!$A:$BD,N1,0)</f>
        <v>4.0040446878941899E-2</v>
      </c>
      <c r="P8" s="74">
        <f>VLOOKUP($H$8&amp;$F$1,'Input RM sheet'!$A:$BD,O1,0)</f>
        <v>4.0221543722742607E-2</v>
      </c>
      <c r="Q8" s="74">
        <f>VLOOKUP($H$8&amp;$F$1,'Input RM sheet'!$A:$BD,P1,0)</f>
        <v>4.0797531912509413E-2</v>
      </c>
      <c r="R8" s="74">
        <f>VLOOKUP($H$8&amp;$F$1,'Input RM sheet'!$A:$BD,Q1,0)</f>
        <v>4.0806798675929075E-2</v>
      </c>
      <c r="S8" s="74">
        <f>VLOOKUP($H$8&amp;$F$1,'Input RM sheet'!$A:$BD,R1,0)</f>
        <v>4.0413730627846631E-2</v>
      </c>
      <c r="T8" s="74">
        <f>VLOOKUP($H$8&amp;$F$1,'Input RM sheet'!$A:$BD,S1,0)</f>
        <v>4.068802678279676E-2</v>
      </c>
      <c r="U8" s="74">
        <f>VLOOKUP($H$8&amp;$F$1,'Input RM sheet'!$A:$BD,T1,0)</f>
        <v>4.1022836045398609E-2</v>
      </c>
      <c r="V8" s="74">
        <f>VLOOKUP($H$8&amp;$F$1,'Input RM sheet'!$A:$BD,U1,0)</f>
        <v>4.1208791208791208E-2</v>
      </c>
      <c r="W8" s="74">
        <f>VLOOKUP($H$8&amp;$F$1,'Input RM sheet'!$A:$BD,V1,0)</f>
        <v>4.1208791208791208E-2</v>
      </c>
      <c r="X8" s="74">
        <f>VLOOKUP($H$8&amp;$F$1,'Input RM sheet'!$A:$BD,W1,0)</f>
        <v>4.0295500335795834E-2</v>
      </c>
      <c r="Y8" s="74">
        <f>VLOOKUP($H$8&amp;$F$1,'Input RM sheet'!$A:$BD,X1,0)</f>
        <v>4.0955631399317405E-2</v>
      </c>
      <c r="Z8" s="74">
        <f>VLOOKUP($H$8&amp;$F$1,'Input RM sheet'!$A:$BD,Y1,0)</f>
        <v>4.0794125645906988E-2</v>
      </c>
      <c r="AA8" s="74">
        <f>VLOOKUP($H$8&amp;$F$1,'Input RM sheet'!$A:$BD,Z1,0)</f>
        <v>4.0252247417147453E-2</v>
      </c>
      <c r="AB8" s="74">
        <f>VLOOKUP($H$8&amp;$F$1,'Input RM sheet'!$A:$BD,AA1,0)</f>
        <v>4.0453074433656963E-2</v>
      </c>
      <c r="AC8" s="74">
        <f>VLOOKUP($H$8&amp;$F$1,'Input RM sheet'!$A:$BD,AB1,0)</f>
        <v>4.0788579197824609E-2</v>
      </c>
      <c r="AD8" s="74">
        <f>VLOOKUP($H$8&amp;$F$1,'Input RM sheet'!$A:$BD,AC1,0)</f>
        <v>4.0048057669203045E-2</v>
      </c>
      <c r="AE8" s="74">
        <f>VLOOKUP($H$8&amp;$F$1,'Input RM sheet'!$A:$BD,AD1,0)</f>
        <v>4.0284678393984155E-2</v>
      </c>
      <c r="AF8" s="74">
        <f>VLOOKUP($H$8&amp;$F$1,'Input RM sheet'!$A:$BD,AE1,0)</f>
        <v>3.9777247414478918E-2</v>
      </c>
      <c r="AG8" s="74">
        <f>VLOOKUP($H$8&amp;$F$1,'Input RM sheet'!$A:$BD,AF1,0)</f>
        <v>4.0295500335795834E-2</v>
      </c>
      <c r="AH8" s="74">
        <f>VLOOKUP($H$8&amp;$F$1,'Input RM sheet'!$A:$BD,AG1,0)</f>
        <v>4.0021344717182501E-2</v>
      </c>
      <c r="AI8" s="74">
        <f>VLOOKUP($H$8&amp;$F$1,'Input RM sheet'!$A:$BD,AH1,0)</f>
        <v>3.9364912741110092E-2</v>
      </c>
      <c r="AJ8" s="74">
        <f>VLOOKUP($H$8&amp;$F$1,'Input RM sheet'!$A:$BD,AI1,0)</f>
        <v>3.926160695794198E-2</v>
      </c>
      <c r="AK8" s="74">
        <f>VLOOKUP($H$8&amp;$F$1,'Input RM sheet'!$A:$BD,AJ1,0)</f>
        <v>3.8800156881967661E-2</v>
      </c>
      <c r="AL8" s="74">
        <f>VLOOKUP($H$8&amp;$F$1,'Input RM sheet'!$A:$BD,AK1,0)</f>
        <v>3.8424799784960856E-2</v>
      </c>
      <c r="AM8" s="74">
        <f>VLOOKUP($H$8&amp;$F$1,'Input RM sheet'!$A:$BD,AL1,0)</f>
        <v>3.768770721509021E-2</v>
      </c>
      <c r="AN8" s="74">
        <f>VLOOKUP($H$8&amp;$F$1,'Input RM sheet'!$A:$BD,AM1,0)</f>
        <v>3.7713584600789135E-2</v>
      </c>
      <c r="AO8" s="74">
        <f>VLOOKUP($H$8&amp;$F$1,'Input RM sheet'!$A:$BD,AN1,0)</f>
        <v>3.739177206519629E-2</v>
      </c>
      <c r="AP8" s="74">
        <f>VLOOKUP($H$8&amp;$F$1,'Input RM sheet'!$A:$BD,AO1,0)</f>
        <v>3.6434245194778475E-2</v>
      </c>
      <c r="AQ8" s="74">
        <f>VLOOKUP($H$8&amp;$F$1,'Input RM sheet'!$A:$BD,AP1,0)</f>
        <v>3.6670101044754461E-2</v>
      </c>
      <c r="AR8" s="74">
        <f>VLOOKUP($H$8&amp;$F$1,'Input RM sheet'!$A:$BD,AQ1,0)</f>
        <v>3.637941681259315E-2</v>
      </c>
      <c r="AS8" s="74">
        <f>VLOOKUP($H$8&amp;$F$1,'Input RM sheet'!$A:$BD,AR1,0)</f>
        <v>3.6630219791784532E-2</v>
      </c>
      <c r="AT8" s="74">
        <f>VLOOKUP($H$8&amp;$F$1,'Input RM sheet'!$A:$BD,AS1,0)</f>
        <v>3.6531170525677455E-2</v>
      </c>
      <c r="AU8" s="74">
        <f>VLOOKUP($H$8&amp;$F$1,'Input RM sheet'!$A:$BD,AT1,0)</f>
        <v>3.6531170525677455E-2</v>
      </c>
      <c r="AV8" s="74">
        <f>VLOOKUP($H$8&amp;$F$1,'Input RM sheet'!$A:$BD,AU1,0)</f>
        <v>3.6531170525677455E-2</v>
      </c>
      <c r="AW8" s="74">
        <f>VLOOKUP($H$8&amp;$F$1,'Input RM sheet'!$A:$BD,AV1,0)</f>
        <v>3.6531170525677455E-2</v>
      </c>
      <c r="AX8" s="74">
        <f>VLOOKUP($H$8&amp;$F$1,'Input RM sheet'!$A:$BD,AW1,0)</f>
        <v>3.6363636363636362E-2</v>
      </c>
      <c r="AY8" s="74">
        <f>VLOOKUP($H$8&amp;$F$1,'Input RM sheet'!$A:$BD,AX1,0)</f>
        <v>3.6390101892285302E-2</v>
      </c>
      <c r="AZ8" s="74">
        <f>VLOOKUP($H$8&amp;$F$1,'Input RM sheet'!$A:$BD,AY1,0)</f>
        <v>3.6505232416646383E-2</v>
      </c>
      <c r="BA8" s="74">
        <f>VLOOKUP($H$8&amp;$F$1,'Input RM sheet'!$A:$BD,AZ1,0)</f>
        <v>3.662109375E-2</v>
      </c>
      <c r="BB8" s="74">
        <f>VLOOKUP($H$8&amp;$F$1,'Input RM sheet'!$A:$BD,BA1,0)</f>
        <v>3.6469730123997082E-2</v>
      </c>
      <c r="BC8" s="74">
        <f>VLOOKUP($H$8&amp;$F$1,'Input RM sheet'!$A:$BD,BB1,0)</f>
        <v>3.6218761318362915E-2</v>
      </c>
      <c r="BD8" s="74">
        <f>VLOOKUP($H$8&amp;$F$1,'Input RM sheet'!$A:$BD,BC1,0)</f>
        <v>3.6036036036036036E-2</v>
      </c>
      <c r="BE8" s="74">
        <f>VLOOKUP($H$8&amp;$F$1,'Input RM sheet'!$A:$BD,BD1,0)</f>
        <v>3.6036036036036036E-2</v>
      </c>
      <c r="BF8" s="74">
        <f>VLOOKUP($H$8&amp;$F$1,'Input RM sheet'!$A:$BD,BE1,0)</f>
        <v>3.6297640653357527E-2</v>
      </c>
      <c r="BG8" s="74">
        <f>VLOOKUP($H$8&amp;$F$1,'Input RM sheet'!$A:$DD,BF1,0)</f>
        <v>3.6122817579771226E-2</v>
      </c>
      <c r="BH8" s="74">
        <f>VLOOKUP($H$8&amp;$F$1,'Input RM sheet'!$A:$DD,BG1,0)</f>
        <v>3.6170725825898239E-2</v>
      </c>
      <c r="BI8" s="74">
        <f>VLOOKUP($H$8&amp;$F$1,'Input RM sheet'!$A:$DD,BH1,0)</f>
        <v>3.6175087423127937E-2</v>
      </c>
      <c r="BJ8" s="74">
        <f>VLOOKUP($H$8&amp;$F$1,'Input RM sheet'!$A:$DD,BI1,0)</f>
        <v>3.6031707902954596E-2</v>
      </c>
      <c r="BK8" s="74">
        <f>VLOOKUP($H$8&amp;$F$1,'Input RM sheet'!$A:$DD,BJ1,0)</f>
        <v>3.6049026676279738E-2</v>
      </c>
      <c r="BL8" s="74">
        <f>VLOOKUP($H$8&amp;$F$1,'Input RM sheet'!$A:$DD,BK1,0)</f>
        <v>3.6036036036036036E-2</v>
      </c>
      <c r="BM8" s="74">
        <f>VLOOKUP($H$8&amp;$F$1,'Input RM sheet'!$A:$DD,BL1,0)</f>
        <v>3.6092396535129932E-2</v>
      </c>
      <c r="BN8" s="74">
        <f>VLOOKUP($H$8&amp;$F$1,'Input RM sheet'!$A:$DD,BM1,0)</f>
        <v>3.6031707902954596E-2</v>
      </c>
      <c r="BO8" s="74">
        <f>VLOOKUP($H$8&amp;$F$1,'Input RM sheet'!$A:$DD,BN1,0)</f>
        <v>3.6049026676279738E-2</v>
      </c>
      <c r="BP8" s="74">
        <f>VLOOKUP($H$8&amp;$F$1,'Input RM sheet'!$A:$DD,BO1,0)</f>
        <v>3.6062026685899751E-2</v>
      </c>
      <c r="BQ8" s="74">
        <f>VLOOKUP($H$8&amp;$F$1,'Input RM sheet'!$A:$DD,BP1,0)</f>
        <v>3.6062026685899751E-2</v>
      </c>
      <c r="BR8" s="74">
        <f>VLOOKUP($H$8&amp;$F$1,'Input RM sheet'!$A:$DD,BQ1,0)</f>
        <v>3.6001440057602307E-2</v>
      </c>
      <c r="BS8" s="74">
        <f>VLOOKUP($H$8&amp;$F$1,'Input RM sheet'!$A:$DD,BR1,0)</f>
        <v>3.5971223021582732E-2</v>
      </c>
      <c r="BT8" s="74">
        <f>VLOOKUP($H$8&amp;$F$1,'Input RM sheet'!$A:$DD,BS1,0)</f>
        <v>3.5988483685220729E-2</v>
      </c>
      <c r="BU8" s="74">
        <f>VLOOKUP($H$8&amp;$F$1,'Input RM sheet'!$A:$DD,BT1,0)</f>
        <v>3.6040365209034121E-2</v>
      </c>
      <c r="BV8" s="74">
        <f>VLOOKUP($H$8&amp;$F$1,'Input RM sheet'!$A:$DD,BU1,0)</f>
        <v>3.6005760921747482E-2</v>
      </c>
      <c r="BW8" s="74">
        <f>VLOOKUP($H$8&amp;$F$1,'Input RM sheet'!$A:$DD,BV1,0)</f>
        <v>3.6083714216983399E-2</v>
      </c>
      <c r="BX8" s="74">
        <f>VLOOKUP($H$8&amp;$F$1,'Input RM sheet'!$A:$DD,BW1,0)</f>
        <v>3.6079374624173176E-2</v>
      </c>
      <c r="BY8" s="74">
        <f>VLOOKUP($H$8&amp;$F$1,'Input RM sheet'!$A:$DD,BX1,0)</f>
        <v>3.6036036036036036E-2</v>
      </c>
      <c r="BZ8" s="74">
        <f>VLOOKUP($H$8&amp;$F$1,'Input RM sheet'!$A:$DD,BY1,0)</f>
        <v>3.6118468576932336E-2</v>
      </c>
      <c r="CA8" s="74">
        <f>VLOOKUP($H$8&amp;$F$1,'Input RM sheet'!$A:$DD,BZ1,0)</f>
        <v>3.614457831325301E-2</v>
      </c>
      <c r="CB8" s="74">
        <f>VLOOKUP($H$8&amp;$F$1,'Input RM sheet'!$A:$DD,CA1,0)</f>
        <v>3.6140224069389229E-2</v>
      </c>
      <c r="CC8" s="74">
        <f>VLOOKUP($H$8&amp;$F$1,'Input RM sheet'!$A:$DD,CB1,0)</f>
        <v>3.6188178528347402E-2</v>
      </c>
      <c r="CD8" s="74">
        <f>VLOOKUP($H$8&amp;$F$1,'Input RM sheet'!$A:$DD,CC1,0)</f>
        <v>3.6188178528347402E-2</v>
      </c>
      <c r="CE8" s="74">
        <f>VLOOKUP($H$8&amp;$F$1,'Input RM sheet'!$A:$DD,CD1,0)</f>
        <v>3.6275695284159609E-2</v>
      </c>
      <c r="CF8" s="74">
        <f>VLOOKUP($H$8&amp;$F$1,'Input RM sheet'!$A:$DD,CE1,0)</f>
        <v>3.6249395843402608E-2</v>
      </c>
      <c r="CG8" s="74">
        <f>VLOOKUP($H$8&amp;$F$1,'Input RM sheet'!$A:$DD,CF1,0)</f>
        <v>3.6031707902954596E-2</v>
      </c>
      <c r="CH8" s="74">
        <f>VLOOKUP($H$8&amp;$F$1,'Input RM sheet'!$A:$DD,CG1,0)</f>
        <v>3.5975536635088137E-2</v>
      </c>
      <c r="CI8" s="74">
        <f>VLOOKUP($H$8&amp;$F$1,'Input RM sheet'!$A:$DD,CH1,0)</f>
        <v>3.6053358971277497E-2</v>
      </c>
      <c r="CJ8" s="74">
        <f>VLOOKUP($H$8&amp;$F$1,'Input RM sheet'!$A:$DD,CI1,0)</f>
        <v>3.5971223021582732E-2</v>
      </c>
      <c r="CK8" s="74">
        <f>VLOOKUP($H$8&amp;$F$1,'Input RM sheet'!$A:$DD,CJ1,0)</f>
        <v>3.5880875493362038E-2</v>
      </c>
      <c r="CL8" s="74">
        <f>VLOOKUP($H$8&amp;$F$1,'Input RM sheet'!$A:$DD,CK1,0)</f>
        <v>3.5962598897146966E-2</v>
      </c>
      <c r="CM8" s="74">
        <f>VLOOKUP($H$8&amp;$F$1,'Input RM sheet'!$A:$DD,CL1,0)</f>
        <v>3.5928143712574849E-2</v>
      </c>
      <c r="CN8" s="74">
        <f>VLOOKUP($H$8&amp;$F$1,'Input RM sheet'!$A:$ZZ,CM1,0)</f>
        <v>3.5992801439712063E-2</v>
      </c>
      <c r="CO8" s="74">
        <f>VLOOKUP($H$8&amp;$F$1,'Input RM sheet'!$A:$ZZ,CN1,0)</f>
        <v>3.5992801439712063E-2</v>
      </c>
      <c r="CP8" s="74">
        <f>VLOOKUP($H$8&amp;$F$1,'Input RM sheet'!$A:$ZZ,CO1,0)</f>
        <v>3.5992801439712063E-2</v>
      </c>
      <c r="CQ8" s="74">
        <f>VLOOKUP($H$8&amp;$F$1,'Input RM sheet'!$A:$ZZ,CP1,0)</f>
        <v>3.5992801439712063E-2</v>
      </c>
      <c r="CR8" s="74">
        <f>VLOOKUP($H$8&amp;$F$1,'Input RM sheet'!$A:$ZZ,CQ1,0)</f>
        <v>3.5761115746811303E-2</v>
      </c>
      <c r="CS8" s="74">
        <f>VLOOKUP($H$8&amp;$F$1,'Input RM sheet'!$A:$ZZ,CR1,0)</f>
        <v>3.5971223021582732E-2</v>
      </c>
      <c r="CT8" s="74">
        <f>VLOOKUP($H$8&amp;$F$1,'Input RM sheet'!$A:$ZZ,CS1,0)</f>
        <v>3.5928143712574849E-2</v>
      </c>
      <c r="CU8" s="74">
        <f>VLOOKUP($H$8&amp;$F$1,'Input RM sheet'!$A:$ZZ,CT1,0)</f>
        <v>3.5949670461354104E-2</v>
      </c>
      <c r="CV8" s="74">
        <f>VLOOKUP($H$8&amp;$F$1,'Input RM sheet'!$A:$ZZ,CU1,0)</f>
        <v>3.5941056667066013E-2</v>
      </c>
      <c r="CW8" s="74">
        <f>VLOOKUP($H$8&amp;$F$1,'Input RM sheet'!$A:$ZZ,CV1,0)</f>
        <v>3.5906642728904849E-2</v>
      </c>
      <c r="CX8" s="74">
        <f>VLOOKUP($H$8&amp;$F$1,'Input RM sheet'!$A:$ZZ,CW1,0)</f>
        <v>3.5842293906810034E-2</v>
      </c>
      <c r="CY8" s="74">
        <f>VLOOKUP($H$8&amp;$F$1,'Input RM sheet'!$A:$ZZ,CX1,0)</f>
        <v>3.5829451809387312E-2</v>
      </c>
      <c r="CZ8" s="74">
        <f>VLOOKUP($H$8&amp;$F$1,'Input RM sheet'!$A:$ZZ,CY1,0)</f>
        <v>3.5735556879094701E-2</v>
      </c>
      <c r="DA8" s="74">
        <f>VLOOKUP($H$8&amp;$F$1,'Input RM sheet'!$A:$ZZ,CZ1,0)</f>
        <v>3.573130061934255E-2</v>
      </c>
      <c r="DB8" s="74">
        <f>VLOOKUP($H$8&amp;$F$1,'Input RM sheet'!$A:$ZZ,DA1,0)</f>
        <v>3.5756853396901073E-2</v>
      </c>
      <c r="DC8" s="74">
        <f>VLOOKUP($H$8&amp;$F$1,'Input RM sheet'!$A:$ZZ,DB1,0)</f>
        <v>3.5761115746811303E-2</v>
      </c>
      <c r="DD8" s="74">
        <f>VLOOKUP($H$8&amp;$F$1,'Input RM sheet'!$A:$ZZ,DC1,0)</f>
        <v>3.573130061934255E-2</v>
      </c>
      <c r="DE8" s="74">
        <f>VLOOKUP($H$8&amp;$F$1,'Input RM sheet'!$A:$ZZ,DD1,0)</f>
        <v>3.573130061934255E-2</v>
      </c>
      <c r="DF8" s="74">
        <f>VLOOKUP($H$8&amp;$F$1,'Input RM sheet'!$A:$ZZ,DE1,0)</f>
        <v>3.5893754486719311E-2</v>
      </c>
      <c r="DG8" s="74">
        <f>VLOOKUP($H$8&amp;$F$1,'Input RM sheet'!$A:$ZZ,DF1,0)</f>
        <v>3.5859431030360989E-2</v>
      </c>
      <c r="DH8" s="74">
        <f>VLOOKUP($H$8&amp;$F$1,'Input RM sheet'!$A:$ZZ,DG1,0)</f>
        <v>3.5727045373347623E-2</v>
      </c>
      <c r="DI8" s="74">
        <f>VLOOKUP($H$8&amp;$F$1,'Input RM sheet'!$A:$ZZ,DH1,0)</f>
        <v>3.5684548590460337E-2</v>
      </c>
      <c r="DJ8" s="74">
        <f>VLOOKUP($H$8&amp;$F$1,'Input RM sheet'!$A:$ZZ,DI1,0)</f>
        <v>3.5684548590460337E-2</v>
      </c>
      <c r="DK8" s="74">
        <f>VLOOKUP($H$8&amp;$F$1,'Input RM sheet'!$A:$ZZ,DJ1,0)</f>
        <v>3.5680304471931497E-2</v>
      </c>
      <c r="DL8" s="74">
        <f>VLOOKUP($H$8&amp;$F$1,'Input RM sheet'!$A:$ZZ,DK1,0)</f>
        <v>3.5663338088445073E-2</v>
      </c>
      <c r="DM8" s="74">
        <f>VLOOKUP($H$8&amp;$F$1,'Input RM sheet'!$A:$ZZ,DL1,0)</f>
        <v>3.5545023696682464E-2</v>
      </c>
      <c r="DN8" s="74">
        <f>VLOOKUP($H$8&amp;$F$1,'Input RM sheet'!$A:$ZZ,DM1,0)</f>
        <v>3.55998576005696E-2</v>
      </c>
      <c r="DO8" s="74">
        <f>VLOOKUP($H$8&amp;$F$1,'Input RM sheet'!$A:$ZZ,DN1,0)</f>
        <v>3.5448422545196742E-2</v>
      </c>
      <c r="DP8" s="74">
        <f>VLOOKUP($H$8&amp;$F$1,'Input RM sheet'!$A:$ZZ,DO1,0)</f>
        <v>3.5423308537017362E-2</v>
      </c>
      <c r="DQ8" s="74">
        <f>VLOOKUP($H$8&amp;$F$1,'Input RM sheet'!$A:$ZZ,DP1,0)</f>
        <v>3.5364847341742306E-2</v>
      </c>
      <c r="DR8" s="74">
        <f>VLOOKUP($H$8&amp;$F$1,'Input RM sheet'!$A:$ZZ,DQ1,0)</f>
        <v>3.5327366933584549E-2</v>
      </c>
      <c r="DS8" s="74">
        <f>VLOOKUP($H$8&amp;$F$1,'Input RM sheet'!$A:$ZZ,DR1,0)</f>
        <v>3.521953510213665E-2</v>
      </c>
      <c r="DT8" s="74">
        <f>VLOOKUP($H$8&amp;$F$1,'Input RM sheet'!$A:$ZZ,DS1,0)</f>
        <v>0</v>
      </c>
      <c r="DU8" s="74">
        <f>VLOOKUP($H$8&amp;$F$1,'Input RM sheet'!$A:$ZZ,DT1,0)</f>
        <v>0</v>
      </c>
      <c r="DV8" s="74">
        <f>VLOOKUP($H$8&amp;$F$1,'Input RM sheet'!$A:$ZZ,DU1,0)</f>
        <v>0</v>
      </c>
      <c r="DW8" s="74">
        <f>VLOOKUP($H$8&amp;$F$1,'Input RM sheet'!$A:$ZZ,DV1,0)</f>
        <v>0</v>
      </c>
      <c r="DX8" s="74">
        <f>VLOOKUP($H$8&amp;$F$1,'Input RM sheet'!$A:$ZZ,DW1,0)</f>
        <v>0</v>
      </c>
      <c r="DY8" s="74">
        <f>VLOOKUP($H$8&amp;$F$1,'Input RM sheet'!$A:$ZZ,DX1,0)</f>
        <v>0</v>
      </c>
      <c r="DZ8" s="74">
        <f>VLOOKUP($H$8&amp;$F$1,'Input RM sheet'!$A:$ZZ,DY1,0)</f>
        <v>0</v>
      </c>
      <c r="EA8" s="74">
        <f>VLOOKUP($H$8&amp;$F$1,'Input RM sheet'!$A:$ZZ,DZ1,0)</f>
        <v>0</v>
      </c>
      <c r="EB8" s="74">
        <f>VLOOKUP($H$8&amp;$F$1,'Input RM sheet'!$A:$ZZ,EA1,0)</f>
        <v>0</v>
      </c>
      <c r="EC8" s="74">
        <f>VLOOKUP($H$8&amp;$F$1,'Input RM sheet'!$A:$ZZ,EB1,0)</f>
        <v>0</v>
      </c>
      <c r="ED8" s="74">
        <f>VLOOKUP($H$8&amp;$F$1,'Input RM sheet'!$A:$ZZ,EC1,0)</f>
        <v>0</v>
      </c>
    </row>
    <row r="9" spans="1:134" ht="26">
      <c r="A9" s="59" t="s">
        <v>395</v>
      </c>
      <c r="B9" s="59"/>
      <c r="C9" s="59" t="s">
        <v>379</v>
      </c>
      <c r="D9" s="98" t="s">
        <v>380</v>
      </c>
      <c r="E9" s="98" t="s">
        <v>381</v>
      </c>
      <c r="F9" s="59" t="s">
        <v>396</v>
      </c>
      <c r="H9" s="60" t="s">
        <v>399</v>
      </c>
      <c r="I9" s="84"/>
      <c r="J9" s="84"/>
      <c r="K9" s="84"/>
      <c r="L9" s="84"/>
      <c r="M9" s="84"/>
      <c r="N9" s="84"/>
      <c r="O9" s="84"/>
      <c r="P9" s="84"/>
      <c r="Q9" s="84"/>
      <c r="R9" s="84"/>
      <c r="S9" s="84"/>
      <c r="T9" s="84"/>
      <c r="U9" s="84"/>
      <c r="V9" s="84"/>
      <c r="W9" s="84"/>
      <c r="X9" s="84"/>
      <c r="Y9" s="84"/>
      <c r="Z9" s="84"/>
      <c r="AA9" s="84"/>
      <c r="AB9" s="84"/>
      <c r="AC9" s="84"/>
      <c r="AD9" s="84"/>
      <c r="AE9" s="84"/>
      <c r="AF9" s="84"/>
      <c r="AG9" s="84"/>
      <c r="AH9" s="84"/>
      <c r="AI9" s="84"/>
      <c r="AJ9" s="84"/>
      <c r="AK9" s="84"/>
      <c r="AL9" s="84"/>
      <c r="AM9" s="84"/>
      <c r="AN9" s="84"/>
      <c r="AO9" s="84"/>
      <c r="AP9" s="84"/>
      <c r="AQ9" s="84"/>
      <c r="AR9" s="84"/>
      <c r="AS9" s="84"/>
      <c r="AT9" s="84"/>
      <c r="AU9" s="84"/>
      <c r="AV9" s="84"/>
      <c r="AW9" s="84"/>
      <c r="AX9" s="84"/>
      <c r="AY9" s="84"/>
      <c r="AZ9" s="84"/>
      <c r="BA9" s="84"/>
      <c r="BB9" s="84"/>
      <c r="BC9" s="84"/>
      <c r="BD9" s="84"/>
      <c r="BE9" s="84"/>
      <c r="BF9" s="84"/>
      <c r="BG9" s="84"/>
      <c r="BH9" s="84"/>
      <c r="BI9" s="84"/>
      <c r="BJ9" s="84"/>
      <c r="BK9" s="84"/>
      <c r="BL9" s="84"/>
      <c r="BM9" s="84"/>
      <c r="BN9" s="84"/>
      <c r="BO9" s="84"/>
      <c r="BP9" s="84"/>
      <c r="BQ9" s="84"/>
      <c r="BR9" s="84"/>
      <c r="BS9" s="84"/>
      <c r="BT9" s="84"/>
      <c r="BU9" s="84"/>
      <c r="BV9" s="84"/>
      <c r="BW9" s="84"/>
      <c r="BX9" s="84"/>
      <c r="BY9" s="84"/>
      <c r="BZ9" s="84"/>
      <c r="CA9" s="84"/>
      <c r="CB9" s="84"/>
      <c r="CC9" s="84"/>
      <c r="CD9" s="84"/>
      <c r="CE9" s="84"/>
      <c r="CF9" s="84"/>
      <c r="CG9" s="84"/>
      <c r="CH9" s="84"/>
      <c r="CI9" s="84"/>
      <c r="CJ9" s="84"/>
      <c r="CK9" s="84"/>
      <c r="CL9" s="84"/>
      <c r="CM9" s="84"/>
      <c r="CN9" s="84"/>
      <c r="CO9" s="84"/>
      <c r="CP9" s="84"/>
      <c r="CQ9" s="84"/>
      <c r="CR9" s="84"/>
      <c r="CS9" s="84"/>
      <c r="CT9" s="84"/>
      <c r="CU9" s="84"/>
      <c r="CV9" s="84"/>
      <c r="CW9" s="84"/>
      <c r="CX9" s="84"/>
      <c r="CY9" s="84"/>
      <c r="CZ9" s="84"/>
      <c r="DA9" s="84"/>
      <c r="DB9" s="84"/>
      <c r="DC9" s="84"/>
      <c r="DD9" s="84"/>
      <c r="DE9" s="84"/>
      <c r="DF9" s="84"/>
      <c r="DG9" s="84"/>
      <c r="DH9" s="84"/>
      <c r="DI9" s="84"/>
      <c r="DJ9" s="84"/>
      <c r="DK9" s="84"/>
      <c r="DL9" s="84"/>
      <c r="DM9" s="84"/>
      <c r="DN9" s="84"/>
      <c r="DO9" s="84"/>
      <c r="DP9" s="84"/>
      <c r="DQ9" s="84"/>
      <c r="DR9" s="84"/>
      <c r="DS9" s="84"/>
      <c r="DT9" s="84"/>
      <c r="DU9" s="84"/>
      <c r="DV9" s="84"/>
      <c r="DW9" s="84"/>
      <c r="DX9" s="84"/>
      <c r="DY9" s="84"/>
      <c r="DZ9" s="84"/>
      <c r="EA9" s="84"/>
      <c r="EB9" s="84"/>
      <c r="EC9" s="84"/>
      <c r="ED9" s="84"/>
    </row>
    <row r="10" spans="1:134">
      <c r="A10" s="59"/>
      <c r="B10" s="59"/>
      <c r="C10" s="59"/>
      <c r="D10" s="98"/>
      <c r="E10" s="98"/>
      <c r="F10" s="59"/>
      <c r="I10" s="84"/>
      <c r="J10" s="84"/>
      <c r="K10" s="84"/>
      <c r="L10" s="84"/>
      <c r="M10" s="84"/>
      <c r="N10" s="84"/>
      <c r="O10" s="84"/>
      <c r="P10" s="84"/>
      <c r="Q10" s="84"/>
      <c r="R10" s="84"/>
      <c r="S10" s="84"/>
      <c r="T10" s="84"/>
      <c r="U10" s="84"/>
      <c r="V10" s="84"/>
      <c r="W10" s="84"/>
      <c r="X10" s="84"/>
      <c r="Y10" s="84"/>
      <c r="Z10" s="84"/>
      <c r="AA10" s="84"/>
      <c r="AB10" s="84"/>
      <c r="AC10" s="84"/>
      <c r="AD10" s="84"/>
      <c r="AE10" s="84"/>
      <c r="AF10" s="84"/>
      <c r="AG10" s="84"/>
      <c r="AH10" s="84"/>
      <c r="AI10" s="84"/>
      <c r="AJ10" s="84"/>
      <c r="AK10" s="84"/>
      <c r="AL10" s="84"/>
      <c r="AM10" s="84"/>
      <c r="AN10" s="84"/>
      <c r="AO10" s="84"/>
      <c r="AP10" s="84"/>
      <c r="AQ10" s="84"/>
      <c r="AR10" s="84"/>
      <c r="AS10" s="84"/>
      <c r="AT10" s="84"/>
      <c r="AU10" s="84"/>
      <c r="AV10" s="84"/>
      <c r="AW10" s="84"/>
      <c r="AX10" s="84"/>
      <c r="AY10" s="84"/>
      <c r="AZ10" s="84"/>
      <c r="BA10" s="84"/>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84"/>
      <c r="CE10" s="84"/>
      <c r="CF10" s="84"/>
      <c r="CG10" s="84"/>
      <c r="CH10" s="84"/>
      <c r="CI10" s="84"/>
      <c r="CJ10" s="84"/>
      <c r="CK10" s="84"/>
      <c r="CL10" s="84"/>
      <c r="CM10" s="84"/>
      <c r="CN10" s="84"/>
      <c r="CO10" s="84"/>
      <c r="CP10" s="84"/>
      <c r="CQ10" s="84"/>
      <c r="CR10" s="84"/>
      <c r="CS10" s="84"/>
      <c r="CT10" s="84"/>
      <c r="CU10" s="84"/>
      <c r="CV10" s="84"/>
      <c r="CW10" s="84"/>
      <c r="CX10" s="84"/>
      <c r="CY10" s="84"/>
      <c r="CZ10" s="84"/>
      <c r="DA10" s="84"/>
      <c r="DB10" s="84"/>
      <c r="DC10" s="84"/>
      <c r="DD10" s="84"/>
      <c r="DE10" s="84"/>
      <c r="DF10" s="84"/>
      <c r="DG10" s="84"/>
      <c r="DH10" s="84"/>
      <c r="DI10" s="84"/>
      <c r="DJ10" s="84"/>
      <c r="DK10" s="84"/>
      <c r="DL10" s="84"/>
      <c r="DM10" s="84"/>
      <c r="DN10" s="84"/>
      <c r="DO10" s="84"/>
      <c r="DP10" s="84"/>
      <c r="DQ10" s="84"/>
      <c r="DR10" s="84"/>
      <c r="DS10" s="84"/>
      <c r="DT10" s="84"/>
      <c r="DU10" s="84"/>
      <c r="DV10" s="84"/>
      <c r="DW10" s="84"/>
      <c r="DX10" s="84"/>
      <c r="DY10" s="84"/>
      <c r="DZ10" s="84"/>
      <c r="EA10" s="84"/>
      <c r="EB10" s="84"/>
      <c r="EC10" s="84"/>
      <c r="ED10" s="84"/>
    </row>
    <row r="11" spans="1:134" ht="13">
      <c r="A11" s="107" t="s">
        <v>397</v>
      </c>
      <c r="B11" s="107" t="s">
        <v>655</v>
      </c>
      <c r="C11" s="60">
        <v>1</v>
      </c>
      <c r="D11" s="64">
        <v>129.06</v>
      </c>
      <c r="E11" s="60">
        <f>D11*C11</f>
        <v>129.06</v>
      </c>
      <c r="F11" s="65">
        <f>E11/E2</f>
        <v>0.79481455250881439</v>
      </c>
      <c r="I11" s="74">
        <f>$F$11*I7</f>
        <v>0.29928152630037402</v>
      </c>
      <c r="J11" s="74">
        <f t="shared" ref="J11:BO11" si="0">$F$11*J7</f>
        <v>0.31636846230614746</v>
      </c>
      <c r="K11" s="74">
        <f t="shared" si="0"/>
        <v>0.305689127302539</v>
      </c>
      <c r="L11" s="74">
        <f t="shared" si="0"/>
        <v>0.28433045729532219</v>
      </c>
      <c r="M11" s="74">
        <f t="shared" si="0"/>
        <v>0.27436307795862103</v>
      </c>
      <c r="N11" s="74">
        <f t="shared" si="0"/>
        <v>0.27222721095789937</v>
      </c>
      <c r="O11" s="74">
        <f t="shared" si="0"/>
        <v>0.27578698929243545</v>
      </c>
      <c r="P11" s="74">
        <f t="shared" si="0"/>
        <v>0.28717827996295114</v>
      </c>
      <c r="Q11" s="74">
        <f t="shared" si="0"/>
        <v>0.29002610263058004</v>
      </c>
      <c r="R11" s="74">
        <f t="shared" si="0"/>
        <v>0.29287392529820899</v>
      </c>
      <c r="S11" s="74">
        <f t="shared" si="0"/>
        <v>0.30141739330109568</v>
      </c>
      <c r="T11" s="74">
        <f t="shared" si="0"/>
        <v>0.30996086130398243</v>
      </c>
      <c r="U11" s="74">
        <f t="shared" si="0"/>
        <v>0.64918064157539401</v>
      </c>
      <c r="V11" s="74">
        <f t="shared" si="0"/>
        <v>0.65138981550872332</v>
      </c>
      <c r="W11" s="74">
        <f t="shared" si="0"/>
        <v>0.64815590143698776</v>
      </c>
      <c r="X11" s="74">
        <f t="shared" si="0"/>
        <v>0.63383012195095112</v>
      </c>
      <c r="Y11" s="74">
        <f t="shared" si="0"/>
        <v>0.6498841388136819</v>
      </c>
      <c r="Z11" s="74">
        <f t="shared" si="0"/>
        <v>0.66152511548607973</v>
      </c>
      <c r="AA11" s="74">
        <f t="shared" si="0"/>
        <v>0.67189567455588117</v>
      </c>
      <c r="AB11" s="74">
        <f t="shared" si="0"/>
        <v>0.78461828234528308</v>
      </c>
      <c r="AC11" s="74">
        <f t="shared" si="0"/>
        <v>1.195417182169366</v>
      </c>
      <c r="AD11" s="74">
        <f t="shared" si="0"/>
        <v>1.6127140434777374</v>
      </c>
      <c r="AE11" s="74">
        <f t="shared" si="0"/>
        <v>1.0726521429219988</v>
      </c>
      <c r="AF11" s="74">
        <f t="shared" si="0"/>
        <v>0.87627848416830212</v>
      </c>
      <c r="AG11" s="74">
        <f t="shared" si="0"/>
        <v>0.81504574624051884</v>
      </c>
      <c r="AH11" s="74">
        <f t="shared" si="0"/>
        <v>0.84937638726861919</v>
      </c>
      <c r="AI11" s="74">
        <f t="shared" si="0"/>
        <v>0.90688363201354605</v>
      </c>
      <c r="AJ11" s="74">
        <f t="shared" si="0"/>
        <v>0.82348969582696308</v>
      </c>
      <c r="AK11" s="74">
        <f t="shared" si="0"/>
        <v>0.77735607133928275</v>
      </c>
      <c r="AL11" s="74">
        <f t="shared" si="0"/>
        <v>0.73260764405236123</v>
      </c>
      <c r="AM11" s="74">
        <f t="shared" si="0"/>
        <v>0.72198996037145435</v>
      </c>
      <c r="AN11" s="74">
        <f t="shared" si="0"/>
        <v>0.75856725408489123</v>
      </c>
      <c r="AO11" s="74">
        <f t="shared" si="0"/>
        <v>0.75742135864554516</v>
      </c>
      <c r="AP11" s="74">
        <f t="shared" si="0"/>
        <v>0.76837567458094957</v>
      </c>
      <c r="AQ11" s="74">
        <f t="shared" si="0"/>
        <v>0.77087955276457143</v>
      </c>
      <c r="AR11" s="74">
        <f t="shared" si="0"/>
        <v>0.75163599417633886</v>
      </c>
      <c r="AS11" s="74">
        <f t="shared" si="0"/>
        <v>0.73921365639392189</v>
      </c>
      <c r="AT11" s="74">
        <f t="shared" si="0"/>
        <v>0.71977157025736505</v>
      </c>
      <c r="AU11" s="74">
        <f t="shared" si="0"/>
        <v>0.71521698441334225</v>
      </c>
      <c r="AV11" s="74">
        <f t="shared" si="0"/>
        <v>0.67841830024066896</v>
      </c>
      <c r="AW11" s="74">
        <f t="shared" si="0"/>
        <v>0.65414582191376702</v>
      </c>
      <c r="AX11" s="74">
        <f t="shared" si="0"/>
        <v>0.60167180537063547</v>
      </c>
      <c r="AY11" s="74">
        <f t="shared" si="0"/>
        <v>0.59998993498040998</v>
      </c>
      <c r="AZ11" s="74">
        <f t="shared" si="0"/>
        <v>0.59714211231278114</v>
      </c>
      <c r="BA11" s="74">
        <f t="shared" si="0"/>
        <v>0.5968181573895921</v>
      </c>
      <c r="BB11" s="74">
        <f t="shared" si="0"/>
        <v>0.59884406731094331</v>
      </c>
      <c r="BC11" s="74">
        <f t="shared" si="0"/>
        <v>0.59561606146115531</v>
      </c>
      <c r="BD11" s="74">
        <f t="shared" si="0"/>
        <v>0.59972434491016946</v>
      </c>
      <c r="BE11" s="74">
        <f t="shared" si="0"/>
        <v>0.60775406904143736</v>
      </c>
      <c r="BF11" s="74">
        <f t="shared" si="0"/>
        <v>0.61531138851653622</v>
      </c>
      <c r="BG11" s="74">
        <f t="shared" si="0"/>
        <v>0.6144837477380275</v>
      </c>
      <c r="BH11" s="74">
        <f t="shared" si="0"/>
        <v>0.63336498504038308</v>
      </c>
      <c r="BI11" s="74">
        <f t="shared" si="0"/>
        <v>0.64302390956155464</v>
      </c>
      <c r="BJ11" s="74">
        <f t="shared" si="0"/>
        <v>0.63862151215499896</v>
      </c>
      <c r="BK11" s="74">
        <f t="shared" si="0"/>
        <v>0.65057087654422174</v>
      </c>
      <c r="BL11" s="74">
        <f t="shared" si="0"/>
        <v>0.65433271348156974</v>
      </c>
      <c r="BM11" s="74">
        <f t="shared" si="0"/>
        <v>0.6461389405452046</v>
      </c>
      <c r="BN11" s="74">
        <f t="shared" si="0"/>
        <v>0.64255537442252753</v>
      </c>
      <c r="BO11" s="74">
        <f t="shared" si="0"/>
        <v>0.64310003669297089</v>
      </c>
      <c r="BP11" s="74">
        <f t="shared" ref="BP11:BV11" si="1">$F$11*BP7</f>
        <v>0.63421637217153859</v>
      </c>
      <c r="BQ11" s="74">
        <f t="shared" si="1"/>
        <v>0.63421637217153859</v>
      </c>
      <c r="BR11" s="74">
        <f t="shared" si="1"/>
        <v>0.64142727418542289</v>
      </c>
      <c r="BS11" s="74">
        <f t="shared" si="1"/>
        <v>0.64023725799857722</v>
      </c>
      <c r="BT11" s="74">
        <f t="shared" si="1"/>
        <v>0.64931118529479348</v>
      </c>
      <c r="BU11" s="74">
        <f t="shared" si="1"/>
        <v>0.64654713261238139</v>
      </c>
      <c r="BV11" s="74">
        <f t="shared" si="1"/>
        <v>0.65708168726566374</v>
      </c>
      <c r="BW11" s="74">
        <f>$F$11*BW7</f>
        <v>0.65710323565652062</v>
      </c>
      <c r="BX11" s="74">
        <f>$F$11*BX7</f>
        <v>0.65602551932292374</v>
      </c>
      <c r="BY11" s="74">
        <f>$F$11*BY7</f>
        <v>0.65142948298116332</v>
      </c>
      <c r="BZ11" s="74">
        <f t="shared" ref="BZ11:CH11" si="2">$F$11*BZ7</f>
        <v>0.65259014966140272</v>
      </c>
      <c r="CA11" s="74">
        <f t="shared" si="2"/>
        <v>0.65259014966140272</v>
      </c>
      <c r="CB11" s="74">
        <f t="shared" si="2"/>
        <v>0.64892837352024912</v>
      </c>
      <c r="CC11" s="74">
        <f t="shared" si="2"/>
        <v>0.64831592471480526</v>
      </c>
      <c r="CD11" s="74">
        <f t="shared" si="2"/>
        <v>0.64231243433094798</v>
      </c>
      <c r="CE11" s="74">
        <f t="shared" si="2"/>
        <v>0.64231243433094798</v>
      </c>
      <c r="CF11" s="74">
        <f t="shared" si="2"/>
        <v>0.64192167460182126</v>
      </c>
      <c r="CG11" s="74">
        <f t="shared" si="2"/>
        <v>0.63381493301897451</v>
      </c>
      <c r="CH11" s="74">
        <f t="shared" si="2"/>
        <v>0.62174694462003366</v>
      </c>
      <c r="CI11" s="74">
        <f t="shared" ref="CI11:CN11" si="3">$F$11*CI7</f>
        <v>0.61233742444134909</v>
      </c>
      <c r="CJ11" s="74">
        <f t="shared" si="3"/>
        <v>0.61193747780994989</v>
      </c>
      <c r="CK11" s="74">
        <f t="shared" si="3"/>
        <v>0.61193747780994989</v>
      </c>
      <c r="CL11" s="74">
        <f t="shared" si="3"/>
        <v>0.61151472720395339</v>
      </c>
      <c r="CM11" s="74">
        <f t="shared" si="3"/>
        <v>0.61200418067946916</v>
      </c>
      <c r="CN11" s="74">
        <f t="shared" si="3"/>
        <v>0.60929712449632545</v>
      </c>
      <c r="CO11" s="74">
        <f>$F$11*CO7</f>
        <v>0.60739211554150274</v>
      </c>
      <c r="CP11" s="74">
        <f>$F$11*CP7</f>
        <v>0.60739211554150274</v>
      </c>
      <c r="CQ11" s="74">
        <f>$F$11*CQ7</f>
        <v>0.60739211554150274</v>
      </c>
      <c r="CR11" s="74">
        <f t="shared" ref="CR11:DN11" si="4">$F$11*CR7</f>
        <v>0.60699801608307713</v>
      </c>
      <c r="CS11" s="74">
        <f t="shared" si="4"/>
        <v>0.60565193450717525</v>
      </c>
      <c r="CT11" s="74">
        <f t="shared" si="4"/>
        <v>0.60465794651208415</v>
      </c>
      <c r="CU11" s="74">
        <f t="shared" si="4"/>
        <v>0.5994266846963141</v>
      </c>
      <c r="CV11" s="74">
        <f t="shared" si="4"/>
        <v>0.59563762974628176</v>
      </c>
      <c r="CW11" s="74">
        <f t="shared" si="4"/>
        <v>0.58684611156518229</v>
      </c>
      <c r="CX11" s="74">
        <f t="shared" si="4"/>
        <v>0.58080369083175543</v>
      </c>
      <c r="CY11" s="74">
        <f t="shared" si="4"/>
        <v>0.57604611123350113</v>
      </c>
      <c r="CZ11" s="74">
        <f t="shared" si="4"/>
        <v>0.57797591807337023</v>
      </c>
      <c r="DA11" s="74">
        <f t="shared" si="4"/>
        <v>0.5761245285009079</v>
      </c>
      <c r="DB11" s="74">
        <f t="shared" si="4"/>
        <v>0.57548719019127814</v>
      </c>
      <c r="DC11" s="74">
        <f t="shared" si="4"/>
        <v>0.57692493392995936</v>
      </c>
      <c r="DD11" s="74">
        <f t="shared" si="4"/>
        <v>0.57851327844908718</v>
      </c>
      <c r="DE11" s="74">
        <f t="shared" si="4"/>
        <v>0.57778589437648953</v>
      </c>
      <c r="DF11" s="74">
        <f t="shared" si="4"/>
        <v>0.57961208172589329</v>
      </c>
      <c r="DG11" s="74">
        <f t="shared" si="4"/>
        <v>0.58087376213183362</v>
      </c>
      <c r="DH11" s="74">
        <f t="shared" si="4"/>
        <v>0.58065576253159035</v>
      </c>
      <c r="DI11" s="74">
        <f t="shared" si="4"/>
        <v>0.57864685482301981</v>
      </c>
      <c r="DJ11" s="74">
        <f t="shared" si="4"/>
        <v>0.58076895907779502</v>
      </c>
      <c r="DK11" s="74">
        <f t="shared" si="4"/>
        <v>0.58147930319696062</v>
      </c>
      <c r="DL11" s="74">
        <f t="shared" si="4"/>
        <v>0.58364707860697429</v>
      </c>
      <c r="DM11" s="74">
        <f t="shared" si="4"/>
        <v>0.57931726922442395</v>
      </c>
      <c r="DN11" s="74">
        <f t="shared" si="4"/>
        <v>0.57469119654077605</v>
      </c>
      <c r="DO11" s="74">
        <f t="shared" ref="DO11:ED11" si="5">$F$11*DO7</f>
        <v>0.57293148258578763</v>
      </c>
      <c r="DP11" s="74">
        <f t="shared" si="5"/>
        <v>0.5725815140118139</v>
      </c>
      <c r="DQ11" s="74">
        <f t="shared" si="5"/>
        <v>0.57089748958957731</v>
      </c>
      <c r="DR11" s="74">
        <f t="shared" si="5"/>
        <v>0.56642639319830301</v>
      </c>
      <c r="DS11" s="74">
        <f t="shared" si="5"/>
        <v>0.56981263577060437</v>
      </c>
      <c r="DT11" s="74" t="e">
        <f t="shared" si="5"/>
        <v>#DIV/0!</v>
      </c>
      <c r="DU11" s="74" t="e">
        <f t="shared" si="5"/>
        <v>#DIV/0!</v>
      </c>
      <c r="DV11" s="74" t="e">
        <f t="shared" si="5"/>
        <v>#DIV/0!</v>
      </c>
      <c r="DW11" s="74" t="e">
        <f t="shared" si="5"/>
        <v>#DIV/0!</v>
      </c>
      <c r="DX11" s="74">
        <f t="shared" si="5"/>
        <v>0</v>
      </c>
      <c r="DY11" s="74">
        <f t="shared" si="5"/>
        <v>0</v>
      </c>
      <c r="DZ11" s="74">
        <f t="shared" si="5"/>
        <v>0</v>
      </c>
      <c r="EA11" s="74">
        <f t="shared" si="5"/>
        <v>0</v>
      </c>
      <c r="EB11" s="74">
        <f t="shared" si="5"/>
        <v>0</v>
      </c>
      <c r="EC11" s="74">
        <f t="shared" si="5"/>
        <v>0</v>
      </c>
      <c r="ED11" s="74">
        <f t="shared" si="5"/>
        <v>0</v>
      </c>
    </row>
    <row r="12" spans="1:134" ht="13">
      <c r="A12" s="67"/>
      <c r="B12" s="107" t="s">
        <v>58</v>
      </c>
      <c r="C12" s="60">
        <v>1</v>
      </c>
      <c r="D12" s="64">
        <v>36.457999999999998</v>
      </c>
      <c r="E12" s="60">
        <f>D12*C12</f>
        <v>36.457999999999998</v>
      </c>
      <c r="F12" s="65">
        <f>E12/E2</f>
        <v>0.22452618127511509</v>
      </c>
      <c r="I12" s="74">
        <f>$F$12*I8</f>
        <v>9.4486104167015826E-3</v>
      </c>
      <c r="J12" s="74">
        <f t="shared" ref="J12:BO12" si="6">$F$12*J8</f>
        <v>9.4139037387921919E-3</v>
      </c>
      <c r="K12" s="74">
        <f t="shared" si="6"/>
        <v>9.0470294743987874E-3</v>
      </c>
      <c r="L12" s="74">
        <f t="shared" si="6"/>
        <v>8.833629289782239E-3</v>
      </c>
      <c r="M12" s="74">
        <f t="shared" si="6"/>
        <v>8.9066766921664497E-3</v>
      </c>
      <c r="N12" s="74">
        <f t="shared" si="6"/>
        <v>8.892609655143555E-3</v>
      </c>
      <c r="O12" s="74">
        <f t="shared" si="6"/>
        <v>8.9901286342779253E-3</v>
      </c>
      <c r="P12" s="74">
        <f t="shared" si="6"/>
        <v>9.0307896170574737E-3</v>
      </c>
      <c r="Q12" s="74">
        <f t="shared" si="6"/>
        <v>9.1601140457653815E-3</v>
      </c>
      <c r="R12" s="74">
        <f t="shared" si="6"/>
        <v>9.1621946767687784E-3</v>
      </c>
      <c r="S12" s="74">
        <f t="shared" si="6"/>
        <v>9.0739406089515636E-3</v>
      </c>
      <c r="T12" s="74">
        <f t="shared" si="6"/>
        <v>9.1355272771609635E-3</v>
      </c>
      <c r="U12" s="74">
        <f t="shared" si="6"/>
        <v>9.210700722348494E-3</v>
      </c>
      <c r="V12" s="74">
        <f t="shared" si="6"/>
        <v>9.2524525250734235E-3</v>
      </c>
      <c r="W12" s="74">
        <f t="shared" si="6"/>
        <v>9.2524525250734235E-3</v>
      </c>
      <c r="X12" s="74">
        <f t="shared" si="6"/>
        <v>9.047394812966356E-3</v>
      </c>
      <c r="Y12" s="74">
        <f t="shared" si="6"/>
        <v>9.1956115197999351E-3</v>
      </c>
      <c r="Z12" s="74">
        <f t="shared" si="6"/>
        <v>9.1593492497327334E-3</v>
      </c>
      <c r="AA12" s="74">
        <f t="shared" si="6"/>
        <v>9.0376834003132317E-3</v>
      </c>
      <c r="AB12" s="74">
        <f t="shared" si="6"/>
        <v>9.0827743234269866E-3</v>
      </c>
      <c r="AC12" s="74">
        <f t="shared" si="6"/>
        <v>9.1581039269251572E-3</v>
      </c>
      <c r="AD12" s="74">
        <f t="shared" si="6"/>
        <v>8.9918374559517459E-3</v>
      </c>
      <c r="AE12" s="74">
        <f t="shared" si="6"/>
        <v>9.0449650036973986E-3</v>
      </c>
      <c r="AF12" s="74">
        <f t="shared" si="6"/>
        <v>8.9310334636083961E-3</v>
      </c>
      <c r="AG12" s="74">
        <f t="shared" si="6"/>
        <v>9.047394812966356E-3</v>
      </c>
      <c r="AH12" s="74">
        <f t="shared" si="6"/>
        <v>8.9858396988439886E-3</v>
      </c>
      <c r="AI12" s="74">
        <f t="shared" si="6"/>
        <v>8.8384535339895726E-3</v>
      </c>
      <c r="AJ12" s="74">
        <f t="shared" si="6"/>
        <v>8.8152586809912004E-3</v>
      </c>
      <c r="AK12" s="74">
        <f t="shared" si="6"/>
        <v>8.7116510575835759E-3</v>
      </c>
      <c r="AL12" s="74">
        <f t="shared" si="6"/>
        <v>8.6273735619781244E-3</v>
      </c>
      <c r="AM12" s="74">
        <f t="shared" si="6"/>
        <v>8.4618769820188067E-3</v>
      </c>
      <c r="AN12" s="74">
        <f t="shared" si="6"/>
        <v>8.4676871326111701E-3</v>
      </c>
      <c r="AO12" s="74">
        <f t="shared" si="6"/>
        <v>8.3954317929080466E-3</v>
      </c>
      <c r="AP12" s="74">
        <f t="shared" si="6"/>
        <v>8.1804419412248221E-3</v>
      </c>
      <c r="AQ12" s="74">
        <f t="shared" si="6"/>
        <v>8.2333977545513276E-3</v>
      </c>
      <c r="AR12" s="74">
        <f t="shared" si="6"/>
        <v>8.16813153394726E-3</v>
      </c>
      <c r="AS12" s="74">
        <f t="shared" si="6"/>
        <v>8.2244433691175227E-3</v>
      </c>
      <c r="AT12" s="74">
        <f t="shared" si="6"/>
        <v>8.2022042156403973E-3</v>
      </c>
      <c r="AU12" s="74">
        <f t="shared" si="6"/>
        <v>8.2022042156403973E-3</v>
      </c>
      <c r="AV12" s="74">
        <f t="shared" si="6"/>
        <v>8.2022042156403973E-3</v>
      </c>
      <c r="AW12" s="74">
        <f t="shared" si="6"/>
        <v>8.2022042156403973E-3</v>
      </c>
      <c r="AX12" s="74">
        <f t="shared" si="6"/>
        <v>8.1645884100041838E-3</v>
      </c>
      <c r="AY12" s="74">
        <f t="shared" si="6"/>
        <v>8.1705306140871584E-3</v>
      </c>
      <c r="AZ12" s="74">
        <f t="shared" si="6"/>
        <v>8.1963804310701532E-3</v>
      </c>
      <c r="BA12" s="74">
        <f t="shared" si="6"/>
        <v>8.2223943338054842E-3</v>
      </c>
      <c r="BB12" s="74">
        <f t="shared" si="6"/>
        <v>8.1884092368750949E-3</v>
      </c>
      <c r="BC12" s="74">
        <f t="shared" si="6"/>
        <v>8.1320601693268789E-3</v>
      </c>
      <c r="BD12" s="74">
        <f t="shared" si="6"/>
        <v>8.0910335594636066E-3</v>
      </c>
      <c r="BE12" s="74">
        <f t="shared" si="6"/>
        <v>8.0910335594636066E-3</v>
      </c>
      <c r="BF12" s="74">
        <f t="shared" si="6"/>
        <v>8.1497706451947385E-3</v>
      </c>
      <c r="BG12" s="74">
        <f t="shared" si="6"/>
        <v>8.1105182880836287E-3</v>
      </c>
      <c r="BH12" s="74">
        <f t="shared" si="6"/>
        <v>8.1212749436381151E-3</v>
      </c>
      <c r="BI12" s="74">
        <f t="shared" si="6"/>
        <v>8.1222542364083588E-3</v>
      </c>
      <c r="BJ12" s="74">
        <f t="shared" si="6"/>
        <v>8.0900617802707811E-3</v>
      </c>
      <c r="BK12" s="74">
        <f t="shared" si="6"/>
        <v>8.0939502983098446E-3</v>
      </c>
      <c r="BL12" s="74">
        <f t="shared" si="6"/>
        <v>8.0910335594636066E-3</v>
      </c>
      <c r="BM12" s="74">
        <f t="shared" si="6"/>
        <v>8.1036879670999193E-3</v>
      </c>
      <c r="BN12" s="74">
        <f t="shared" si="6"/>
        <v>8.0900617802707811E-3</v>
      </c>
      <c r="BO12" s="74">
        <f t="shared" si="6"/>
        <v>8.0939502983098446E-3</v>
      </c>
      <c r="BP12" s="74">
        <f t="shared" ref="BP12:BV12" si="7">$F$12*BP8</f>
        <v>8.0968691408263658E-3</v>
      </c>
      <c r="BQ12" s="74">
        <f t="shared" si="7"/>
        <v>8.0968691408263658E-3</v>
      </c>
      <c r="BR12" s="74">
        <f t="shared" si="7"/>
        <v>8.0832658565384054E-3</v>
      </c>
      <c r="BS12" s="74">
        <f t="shared" si="7"/>
        <v>8.0764813408314776E-3</v>
      </c>
      <c r="BT12" s="74">
        <f t="shared" si="7"/>
        <v>8.0803568117243912E-3</v>
      </c>
      <c r="BU12" s="74">
        <f t="shared" si="7"/>
        <v>8.0920055721449453E-3</v>
      </c>
      <c r="BV12" s="74">
        <f t="shared" si="7"/>
        <v>8.0842360036647298E-3</v>
      </c>
      <c r="BW12" s="74">
        <f>$F$12*BW8</f>
        <v>8.1017385593618631E-3</v>
      </c>
      <c r="BX12" s="74">
        <f>$F$12*BX8</f>
        <v>8.1007642071598933E-3</v>
      </c>
      <c r="BY12" s="74">
        <f>$F$12*BY8</f>
        <v>8.0910335594636066E-3</v>
      </c>
      <c r="BZ12" s="74">
        <f t="shared" ref="BZ12:CH12" si="8">$F$12*BZ8</f>
        <v>8.1095418230838576E-3</v>
      </c>
      <c r="CA12" s="74">
        <f t="shared" si="8"/>
        <v>8.1154041424740392E-3</v>
      </c>
      <c r="CB12" s="74">
        <f t="shared" si="8"/>
        <v>8.1144265007269643E-3</v>
      </c>
      <c r="CC12" s="74">
        <f t="shared" si="8"/>
        <v>8.1251935322719567E-3</v>
      </c>
      <c r="CD12" s="74">
        <f t="shared" si="8"/>
        <v>8.1251935322719567E-3</v>
      </c>
      <c r="CE12" s="74">
        <f t="shared" si="8"/>
        <v>8.1448433352520576E-3</v>
      </c>
      <c r="CF12" s="74">
        <f t="shared" si="8"/>
        <v>8.1389384222492183E-3</v>
      </c>
      <c r="CG12" s="74">
        <f t="shared" si="8"/>
        <v>8.0900617802707811E-3</v>
      </c>
      <c r="CH12" s="74">
        <f t="shared" si="8"/>
        <v>8.077449859999343E-3</v>
      </c>
      <c r="CI12" s="74">
        <f t="shared" ref="CI12:CN12" si="9">$F$12*CI8</f>
        <v>8.0949230119618486E-3</v>
      </c>
      <c r="CJ12" s="74">
        <f t="shared" si="9"/>
        <v>8.0764813408314776E-3</v>
      </c>
      <c r="CK12" s="74">
        <f t="shared" si="9"/>
        <v>8.0561959553324403E-3</v>
      </c>
      <c r="CL12" s="74">
        <f t="shared" si="9"/>
        <v>8.0745449991050742E-3</v>
      </c>
      <c r="CM12" s="74">
        <f t="shared" si="9"/>
        <v>8.0668089080879676E-3</v>
      </c>
      <c r="CN12" s="74">
        <f t="shared" si="9"/>
        <v>8.0813262606520136E-3</v>
      </c>
      <c r="CO12" s="74">
        <f>$F$12*CO8</f>
        <v>8.0813262606520136E-3</v>
      </c>
      <c r="CP12" s="74">
        <f>$F$12*CP8</f>
        <v>8.0813262606520136E-3</v>
      </c>
      <c r="CQ12" s="74">
        <f>$F$12*CQ8</f>
        <v>8.0813262606520136E-3</v>
      </c>
      <c r="CR12" s="74">
        <f t="shared" ref="CR12:DN12" si="10">$F$12*CR8</f>
        <v>8.029306756768927E-3</v>
      </c>
      <c r="CS12" s="74">
        <f t="shared" si="10"/>
        <v>8.0764813408314776E-3</v>
      </c>
      <c r="CT12" s="74">
        <f t="shared" si="10"/>
        <v>8.0668089080879676E-3</v>
      </c>
      <c r="CU12" s="74">
        <f t="shared" si="10"/>
        <v>8.0716422267866419E-3</v>
      </c>
      <c r="CV12" s="74">
        <f t="shared" si="10"/>
        <v>8.0697082044488468E-3</v>
      </c>
      <c r="CW12" s="74">
        <f t="shared" si="10"/>
        <v>8.0619813743308833E-3</v>
      </c>
      <c r="CX12" s="74">
        <f t="shared" si="10"/>
        <v>8.047533379036383E-3</v>
      </c>
      <c r="CY12" s="74">
        <f t="shared" si="10"/>
        <v>8.0446499919424961E-3</v>
      </c>
      <c r="CZ12" s="74">
        <f t="shared" si="10"/>
        <v>8.0235681218028022E-3</v>
      </c>
      <c r="DA12" s="74">
        <f t="shared" si="10"/>
        <v>8.0226124800541372E-3</v>
      </c>
      <c r="DB12" s="74">
        <f t="shared" si="10"/>
        <v>8.0283497476203256E-3</v>
      </c>
      <c r="DC12" s="74">
        <f t="shared" si="10"/>
        <v>8.029306756768927E-3</v>
      </c>
      <c r="DD12" s="74">
        <f t="shared" si="10"/>
        <v>8.0226124800541372E-3</v>
      </c>
      <c r="DE12" s="74">
        <f t="shared" si="10"/>
        <v>8.0226124800541372E-3</v>
      </c>
      <c r="DF12" s="74">
        <f t="shared" si="10"/>
        <v>8.0590876265296159E-3</v>
      </c>
      <c r="DG12" s="74">
        <f t="shared" si="10"/>
        <v>8.0513811119453191E-3</v>
      </c>
      <c r="DH12" s="74">
        <f t="shared" si="10"/>
        <v>8.0216570659205101E-3</v>
      </c>
      <c r="DI12" s="74">
        <f t="shared" si="10"/>
        <v>8.0121154255423498E-3</v>
      </c>
      <c r="DJ12" s="74">
        <f t="shared" si="10"/>
        <v>8.0121154255423498E-3</v>
      </c>
      <c r="DK12" s="74">
        <f t="shared" si="10"/>
        <v>8.0111625098161915E-3</v>
      </c>
      <c r="DL12" s="74">
        <f t="shared" si="10"/>
        <v>8.0073531125219345E-3</v>
      </c>
      <c r="DM12" s="74">
        <f t="shared" si="10"/>
        <v>7.9807884339495889E-3</v>
      </c>
      <c r="DN12" s="74">
        <f t="shared" si="10"/>
        <v>7.9931000809937737E-3</v>
      </c>
      <c r="DO12" s="74">
        <f t="shared" ref="DO12:ED12" si="11">$F$12*DO8</f>
        <v>7.9590989462997204E-3</v>
      </c>
      <c r="DP12" s="74">
        <f t="shared" si="11"/>
        <v>7.9534601939466928E-3</v>
      </c>
      <c r="DQ12" s="74">
        <f t="shared" si="11"/>
        <v>7.9403341250188046E-3</v>
      </c>
      <c r="DR12" s="74">
        <f t="shared" si="11"/>
        <v>7.9319187921025117E-3</v>
      </c>
      <c r="DS12" s="74">
        <f t="shared" si="11"/>
        <v>7.9077077227676131E-3</v>
      </c>
      <c r="DT12" s="74">
        <f t="shared" si="11"/>
        <v>0</v>
      </c>
      <c r="DU12" s="74">
        <f t="shared" si="11"/>
        <v>0</v>
      </c>
      <c r="DV12" s="74">
        <f t="shared" si="11"/>
        <v>0</v>
      </c>
      <c r="DW12" s="74">
        <f t="shared" si="11"/>
        <v>0</v>
      </c>
      <c r="DX12" s="74">
        <f t="shared" si="11"/>
        <v>0</v>
      </c>
      <c r="DY12" s="74">
        <f t="shared" si="11"/>
        <v>0</v>
      </c>
      <c r="DZ12" s="74">
        <f t="shared" si="11"/>
        <v>0</v>
      </c>
      <c r="EA12" s="74">
        <f t="shared" si="11"/>
        <v>0</v>
      </c>
      <c r="EB12" s="74">
        <f t="shared" si="11"/>
        <v>0</v>
      </c>
      <c r="EC12" s="74">
        <f t="shared" si="11"/>
        <v>0</v>
      </c>
      <c r="ED12" s="74">
        <f t="shared" si="11"/>
        <v>0</v>
      </c>
    </row>
    <row r="13" spans="1:134" s="104" customFormat="1">
      <c r="A13" s="104" t="s">
        <v>400</v>
      </c>
      <c r="H13" s="60"/>
      <c r="I13" s="105">
        <f>SUM(I11:I12)</f>
        <v>0.30873013671707561</v>
      </c>
      <c r="J13" s="105">
        <f t="shared" ref="J13:BO13" si="12">SUM(J11:J12)</f>
        <v>0.32578236604493965</v>
      </c>
      <c r="K13" s="105">
        <f t="shared" si="12"/>
        <v>0.31473615677693778</v>
      </c>
      <c r="L13" s="105">
        <f t="shared" si="12"/>
        <v>0.29316408658510446</v>
      </c>
      <c r="M13" s="105">
        <f t="shared" si="12"/>
        <v>0.28326975465078746</v>
      </c>
      <c r="N13" s="105">
        <f t="shared" si="12"/>
        <v>0.28111982061304291</v>
      </c>
      <c r="O13" s="105">
        <f t="shared" si="12"/>
        <v>0.2847771179267134</v>
      </c>
      <c r="P13" s="105">
        <f t="shared" si="12"/>
        <v>0.29620906958000864</v>
      </c>
      <c r="Q13" s="105">
        <f t="shared" si="12"/>
        <v>0.29918621667634543</v>
      </c>
      <c r="R13" s="105">
        <f t="shared" si="12"/>
        <v>0.30203611997497776</v>
      </c>
      <c r="S13" s="105">
        <f t="shared" si="12"/>
        <v>0.31049133391004724</v>
      </c>
      <c r="T13" s="105">
        <f t="shared" si="12"/>
        <v>0.31909638858114336</v>
      </c>
      <c r="U13" s="105">
        <f t="shared" si="12"/>
        <v>0.65839134229774254</v>
      </c>
      <c r="V13" s="105">
        <f t="shared" si="12"/>
        <v>0.66064226803379678</v>
      </c>
      <c r="W13" s="105">
        <f t="shared" si="12"/>
        <v>0.65740835396206121</v>
      </c>
      <c r="X13" s="105">
        <f t="shared" si="12"/>
        <v>0.64287751676391747</v>
      </c>
      <c r="Y13" s="105">
        <f t="shared" si="12"/>
        <v>0.65907975033348187</v>
      </c>
      <c r="Z13" s="105">
        <f t="shared" si="12"/>
        <v>0.67068446473581245</v>
      </c>
      <c r="AA13" s="105">
        <f t="shared" si="12"/>
        <v>0.68093335795619436</v>
      </c>
      <c r="AB13" s="105">
        <f t="shared" si="12"/>
        <v>0.79370105666871005</v>
      </c>
      <c r="AC13" s="105">
        <f t="shared" si="12"/>
        <v>1.2045752860962911</v>
      </c>
      <c r="AD13" s="105">
        <f t="shared" si="12"/>
        <v>1.6217058809336891</v>
      </c>
      <c r="AE13" s="105">
        <f t="shared" si="12"/>
        <v>1.0816971079256963</v>
      </c>
      <c r="AF13" s="105">
        <f t="shared" si="12"/>
        <v>0.88520951763191047</v>
      </c>
      <c r="AG13" s="105">
        <f t="shared" si="12"/>
        <v>0.82409314105348519</v>
      </c>
      <c r="AH13" s="105">
        <f t="shared" si="12"/>
        <v>0.85836222696746323</v>
      </c>
      <c r="AI13" s="105">
        <f t="shared" si="12"/>
        <v>0.91572208554753565</v>
      </c>
      <c r="AJ13" s="105">
        <f t="shared" si="12"/>
        <v>0.83230495450795428</v>
      </c>
      <c r="AK13" s="105">
        <f t="shared" si="12"/>
        <v>0.78606772239686629</v>
      </c>
      <c r="AL13" s="105">
        <f t="shared" si="12"/>
        <v>0.74123501761433941</v>
      </c>
      <c r="AM13" s="105">
        <f t="shared" si="12"/>
        <v>0.73045183735347319</v>
      </c>
      <c r="AN13" s="105">
        <f t="shared" si="12"/>
        <v>0.76703494121750238</v>
      </c>
      <c r="AO13" s="105">
        <f t="shared" si="12"/>
        <v>0.76581679043845319</v>
      </c>
      <c r="AP13" s="105">
        <f t="shared" si="12"/>
        <v>0.77655611652217438</v>
      </c>
      <c r="AQ13" s="105">
        <f t="shared" si="12"/>
        <v>0.77911295051912277</v>
      </c>
      <c r="AR13" s="105">
        <f t="shared" si="12"/>
        <v>0.7598041257102861</v>
      </c>
      <c r="AS13" s="105">
        <f t="shared" si="12"/>
        <v>0.74743809976303943</v>
      </c>
      <c r="AT13" s="105">
        <f t="shared" si="12"/>
        <v>0.72797377447300549</v>
      </c>
      <c r="AU13" s="105">
        <f t="shared" si="12"/>
        <v>0.72341918862898269</v>
      </c>
      <c r="AV13" s="105">
        <f t="shared" si="12"/>
        <v>0.6866205044563094</v>
      </c>
      <c r="AW13" s="105">
        <f t="shared" si="12"/>
        <v>0.66234802612940746</v>
      </c>
      <c r="AX13" s="105">
        <f t="shared" si="12"/>
        <v>0.6098363937806397</v>
      </c>
      <c r="AY13" s="105">
        <f t="shared" si="12"/>
        <v>0.6081604655944971</v>
      </c>
      <c r="AZ13" s="105">
        <f t="shared" si="12"/>
        <v>0.60533849274385132</v>
      </c>
      <c r="BA13" s="105">
        <f t="shared" si="12"/>
        <v>0.60504055172339755</v>
      </c>
      <c r="BB13" s="105">
        <f t="shared" si="12"/>
        <v>0.60703247654781844</v>
      </c>
      <c r="BC13" s="105">
        <f t="shared" si="12"/>
        <v>0.60374812163048219</v>
      </c>
      <c r="BD13" s="105">
        <f t="shared" si="12"/>
        <v>0.60781537846963307</v>
      </c>
      <c r="BE13" s="105">
        <f t="shared" si="12"/>
        <v>0.61584510260090097</v>
      </c>
      <c r="BF13" s="105">
        <f t="shared" si="12"/>
        <v>0.62346115916173095</v>
      </c>
      <c r="BG13" s="105">
        <f t="shared" si="12"/>
        <v>0.62259426602611112</v>
      </c>
      <c r="BH13" s="105">
        <f t="shared" si="12"/>
        <v>0.6414862599840212</v>
      </c>
      <c r="BI13" s="105">
        <f t="shared" si="12"/>
        <v>0.65114616379796297</v>
      </c>
      <c r="BJ13" s="105">
        <f t="shared" si="12"/>
        <v>0.64671157393526979</v>
      </c>
      <c r="BK13" s="105">
        <f t="shared" si="12"/>
        <v>0.65866482684253158</v>
      </c>
      <c r="BL13" s="105">
        <f t="shared" si="12"/>
        <v>0.66242374704103335</v>
      </c>
      <c r="BM13" s="105">
        <f t="shared" si="12"/>
        <v>0.65424262851230452</v>
      </c>
      <c r="BN13" s="105">
        <f t="shared" si="12"/>
        <v>0.65064543620279836</v>
      </c>
      <c r="BO13" s="105">
        <f t="shared" si="12"/>
        <v>0.65119398699128073</v>
      </c>
      <c r="BP13" s="105">
        <f t="shared" ref="BP13:BV13" si="13">SUM(BP11:BP12)</f>
        <v>0.642313241312365</v>
      </c>
      <c r="BQ13" s="105">
        <f t="shared" si="13"/>
        <v>0.642313241312365</v>
      </c>
      <c r="BR13" s="105">
        <f t="shared" si="13"/>
        <v>0.64951054004196129</v>
      </c>
      <c r="BS13" s="105">
        <f t="shared" si="13"/>
        <v>0.64831373933940872</v>
      </c>
      <c r="BT13" s="105">
        <f t="shared" si="13"/>
        <v>0.65739154210651785</v>
      </c>
      <c r="BU13" s="105">
        <f t="shared" si="13"/>
        <v>0.65463913818452635</v>
      </c>
      <c r="BV13" s="105">
        <f t="shared" si="13"/>
        <v>0.66516592326932844</v>
      </c>
      <c r="BW13" s="105">
        <f>SUM(BW11:BW12)</f>
        <v>0.66520497421588254</v>
      </c>
      <c r="BX13" s="105">
        <f>SUM(BX11:BX12)</f>
        <v>0.66412628353008363</v>
      </c>
      <c r="BY13" s="105">
        <f>SUM(BY11:BY12)</f>
        <v>0.65952051654062693</v>
      </c>
      <c r="BZ13" s="105">
        <f t="shared" ref="BZ13:CH13" si="14">SUM(BZ11:BZ12)</f>
        <v>0.6606996914844866</v>
      </c>
      <c r="CA13" s="105">
        <f t="shared" si="14"/>
        <v>0.66070555380387674</v>
      </c>
      <c r="CB13" s="105">
        <f t="shared" si="14"/>
        <v>0.65704280002097604</v>
      </c>
      <c r="CC13" s="105">
        <f t="shared" si="14"/>
        <v>0.65644111824707718</v>
      </c>
      <c r="CD13" s="105">
        <f t="shared" si="14"/>
        <v>0.6504376278632199</v>
      </c>
      <c r="CE13" s="105">
        <f t="shared" si="14"/>
        <v>0.65045727766619998</v>
      </c>
      <c r="CF13" s="105">
        <f t="shared" si="14"/>
        <v>0.65006061302407048</v>
      </c>
      <c r="CG13" s="105">
        <f t="shared" si="14"/>
        <v>0.64190499479924534</v>
      </c>
      <c r="CH13" s="105">
        <f t="shared" si="14"/>
        <v>0.62982439448003302</v>
      </c>
      <c r="CI13" s="105">
        <f t="shared" ref="CI13:CN13" si="15">SUM(CI11:CI12)</f>
        <v>0.62043234745331088</v>
      </c>
      <c r="CJ13" s="105">
        <f t="shared" si="15"/>
        <v>0.62001395915078139</v>
      </c>
      <c r="CK13" s="105">
        <f t="shared" si="15"/>
        <v>0.61999367376528236</v>
      </c>
      <c r="CL13" s="105">
        <f t="shared" si="15"/>
        <v>0.61958927220305848</v>
      </c>
      <c r="CM13" s="105">
        <f t="shared" si="15"/>
        <v>0.62007098958755713</v>
      </c>
      <c r="CN13" s="105">
        <f t="shared" si="15"/>
        <v>0.6173784507569775</v>
      </c>
      <c r="CO13" s="105">
        <f>SUM(CO11:CO12)</f>
        <v>0.6154734418021548</v>
      </c>
      <c r="CP13" s="105">
        <f>SUM(CP11:CP12)</f>
        <v>0.6154734418021548</v>
      </c>
      <c r="CQ13" s="105">
        <f>SUM(CQ11:CQ12)</f>
        <v>0.6154734418021548</v>
      </c>
      <c r="CR13" s="105">
        <f t="shared" ref="CR13:DN13" si="16">SUM(CR11:CR12)</f>
        <v>0.61502732283984607</v>
      </c>
      <c r="CS13" s="105">
        <f t="shared" si="16"/>
        <v>0.61372841584800675</v>
      </c>
      <c r="CT13" s="105">
        <f t="shared" si="16"/>
        <v>0.61272475542017213</v>
      </c>
      <c r="CU13" s="105">
        <f t="shared" si="16"/>
        <v>0.6074983269231008</v>
      </c>
      <c r="CV13" s="105">
        <f t="shared" si="16"/>
        <v>0.60370733795073062</v>
      </c>
      <c r="CW13" s="105">
        <f t="shared" si="16"/>
        <v>0.59490809293951319</v>
      </c>
      <c r="CX13" s="105">
        <f t="shared" si="16"/>
        <v>0.58885122421079183</v>
      </c>
      <c r="CY13" s="105">
        <f t="shared" si="16"/>
        <v>0.58409076122544368</v>
      </c>
      <c r="CZ13" s="105">
        <f t="shared" si="16"/>
        <v>0.58599948619517306</v>
      </c>
      <c r="DA13" s="105">
        <f t="shared" si="16"/>
        <v>0.58414714098096199</v>
      </c>
      <c r="DB13" s="105">
        <f t="shared" si="16"/>
        <v>0.58351553993889849</v>
      </c>
      <c r="DC13" s="105">
        <f t="shared" si="16"/>
        <v>0.5849542406867283</v>
      </c>
      <c r="DD13" s="105">
        <f t="shared" si="16"/>
        <v>0.58653589092914127</v>
      </c>
      <c r="DE13" s="105">
        <f t="shared" si="16"/>
        <v>0.58580850685654362</v>
      </c>
      <c r="DF13" s="105">
        <f t="shared" si="16"/>
        <v>0.58767116935242292</v>
      </c>
      <c r="DG13" s="105">
        <f t="shared" si="16"/>
        <v>0.58892514324377898</v>
      </c>
      <c r="DH13" s="105">
        <f t="shared" si="16"/>
        <v>0.58867741959751085</v>
      </c>
      <c r="DI13" s="105">
        <f t="shared" si="16"/>
        <v>0.58665897024856217</v>
      </c>
      <c r="DJ13" s="105">
        <f t="shared" si="16"/>
        <v>0.58878107450333739</v>
      </c>
      <c r="DK13" s="105">
        <f t="shared" si="16"/>
        <v>0.58949046570677677</v>
      </c>
      <c r="DL13" s="105">
        <f t="shared" si="16"/>
        <v>0.59165443171949628</v>
      </c>
      <c r="DM13" s="105">
        <f t="shared" si="16"/>
        <v>0.58729805765837351</v>
      </c>
      <c r="DN13" s="105">
        <f t="shared" si="16"/>
        <v>0.58268429662176979</v>
      </c>
      <c r="DO13" s="105">
        <f t="shared" ref="DO13:ED13" si="17">SUM(DO11:DO12)</f>
        <v>0.58089058153208739</v>
      </c>
      <c r="DP13" s="105">
        <f t="shared" si="17"/>
        <v>0.58053497420576061</v>
      </c>
      <c r="DQ13" s="105">
        <f t="shared" si="17"/>
        <v>0.57883782371459613</v>
      </c>
      <c r="DR13" s="105">
        <f t="shared" si="17"/>
        <v>0.57435831199040555</v>
      </c>
      <c r="DS13" s="105">
        <f t="shared" si="17"/>
        <v>0.57772034349337198</v>
      </c>
      <c r="DT13" s="105" t="e">
        <f t="shared" si="17"/>
        <v>#DIV/0!</v>
      </c>
      <c r="DU13" s="105" t="e">
        <f t="shared" si="17"/>
        <v>#DIV/0!</v>
      </c>
      <c r="DV13" s="105" t="e">
        <f t="shared" si="17"/>
        <v>#DIV/0!</v>
      </c>
      <c r="DW13" s="105" t="e">
        <f t="shared" si="17"/>
        <v>#DIV/0!</v>
      </c>
      <c r="DX13" s="105">
        <f t="shared" si="17"/>
        <v>0</v>
      </c>
      <c r="DY13" s="105">
        <f t="shared" si="17"/>
        <v>0</v>
      </c>
      <c r="DZ13" s="105">
        <f t="shared" si="17"/>
        <v>0</v>
      </c>
      <c r="EA13" s="105">
        <f t="shared" si="17"/>
        <v>0</v>
      </c>
      <c r="EB13" s="105">
        <f t="shared" si="17"/>
        <v>0</v>
      </c>
      <c r="EC13" s="105">
        <f t="shared" si="17"/>
        <v>0</v>
      </c>
      <c r="ED13" s="105">
        <f t="shared" si="17"/>
        <v>0</v>
      </c>
    </row>
    <row r="14" spans="1:134" ht="13">
      <c r="A14" s="331" t="s">
        <v>656</v>
      </c>
      <c r="H14" s="60" t="s">
        <v>429</v>
      </c>
      <c r="I14" s="74"/>
      <c r="J14" s="74">
        <v>2.4500000000000002</v>
      </c>
      <c r="K14" s="74"/>
      <c r="L14" s="74"/>
      <c r="M14" s="74"/>
      <c r="N14" s="74">
        <v>2.4</v>
      </c>
      <c r="O14" s="74"/>
      <c r="P14" s="74">
        <v>2.4</v>
      </c>
      <c r="Q14" s="74"/>
      <c r="R14" s="74"/>
      <c r="S14" s="74"/>
      <c r="T14" s="74"/>
      <c r="U14" s="74"/>
      <c r="V14" s="74"/>
      <c r="W14" s="74"/>
      <c r="X14" s="74"/>
      <c r="Y14" s="74"/>
      <c r="Z14" s="74"/>
      <c r="AA14" s="74">
        <v>4.54</v>
      </c>
      <c r="AB14" s="74"/>
      <c r="AC14" s="74"/>
      <c r="AD14" s="74"/>
      <c r="AE14" s="74">
        <v>6.8</v>
      </c>
      <c r="AF14" s="74"/>
      <c r="AG14" s="74"/>
      <c r="AH14" s="74">
        <v>7.2</v>
      </c>
      <c r="AI14" s="74"/>
      <c r="AJ14" s="74">
        <v>5.6</v>
      </c>
      <c r="AK14" s="74"/>
      <c r="AL14" s="74"/>
      <c r="AM14" s="74"/>
      <c r="AN14" s="74"/>
      <c r="AO14" s="74"/>
      <c r="AP14" s="74">
        <v>3.2</v>
      </c>
      <c r="AQ14" s="74"/>
      <c r="AR14" s="74">
        <v>2.92</v>
      </c>
      <c r="AS14" s="74"/>
      <c r="AT14" s="74"/>
      <c r="AU14" s="74"/>
      <c r="AV14" s="74"/>
    </row>
    <row r="15" spans="1:134">
      <c r="H15" s="60" t="s">
        <v>406</v>
      </c>
      <c r="I15" s="74"/>
      <c r="J15" s="74">
        <f>J14-J13</f>
        <v>2.1242176339550607</v>
      </c>
      <c r="K15" s="74"/>
      <c r="L15" s="74"/>
      <c r="M15" s="74"/>
      <c r="N15" s="74">
        <f>N14-N13</f>
        <v>2.1188801793869572</v>
      </c>
      <c r="O15" s="65"/>
      <c r="P15" s="74">
        <f>P14-P13</f>
        <v>2.1037909304199913</v>
      </c>
      <c r="Q15" s="74"/>
      <c r="R15" s="74"/>
      <c r="S15" s="74"/>
      <c r="T15" s="74"/>
      <c r="U15" s="74"/>
      <c r="V15" s="74"/>
      <c r="X15" s="74"/>
      <c r="Y15" s="74"/>
      <c r="Z15" s="74"/>
      <c r="AA15" s="74">
        <f>AA14-AA13</f>
        <v>3.8590666420438056</v>
      </c>
      <c r="AD15" s="74"/>
      <c r="AE15" s="74">
        <f>AE14-AE13</f>
        <v>5.7183028920743038</v>
      </c>
      <c r="AF15" s="74"/>
      <c r="AG15" s="74"/>
      <c r="AH15" s="74">
        <f>AH14-AH13</f>
        <v>6.3416377730325371</v>
      </c>
      <c r="AI15" s="74"/>
      <c r="AJ15" s="74">
        <f>AJ14-AJ13</f>
        <v>4.7676950454920455</v>
      </c>
      <c r="AK15" s="74"/>
      <c r="AL15" s="74"/>
      <c r="AM15" s="74"/>
      <c r="AN15" s="74"/>
      <c r="AO15" s="74"/>
      <c r="AP15" s="74">
        <f>AP14-AP13</f>
        <v>2.4234438834778258</v>
      </c>
      <c r="AQ15" s="65"/>
      <c r="AR15" s="74">
        <f>AR14-AR13</f>
        <v>2.1601958742897138</v>
      </c>
      <c r="AT15" s="74"/>
      <c r="AU15" s="65"/>
    </row>
    <row r="17" spans="8:134" ht="13" thickBot="1"/>
    <row r="18" spans="8:134" ht="13" thickBot="1">
      <c r="H18" s="106" t="s">
        <v>407</v>
      </c>
      <c r="I18" s="109">
        <f>2.1+I13</f>
        <v>2.4087301367170757</v>
      </c>
      <c r="J18" s="109">
        <f t="shared" ref="J18:BU18" si="18">2.1+J13</f>
        <v>2.4257823660449396</v>
      </c>
      <c r="K18" s="109">
        <f t="shared" si="18"/>
        <v>2.4147361567769376</v>
      </c>
      <c r="L18" s="109">
        <f t="shared" si="18"/>
        <v>2.3931640865851045</v>
      </c>
      <c r="M18" s="109">
        <f t="shared" si="18"/>
        <v>2.3832697546507875</v>
      </c>
      <c r="N18" s="109">
        <f t="shared" si="18"/>
        <v>2.3811198206130428</v>
      </c>
      <c r="O18" s="109">
        <f t="shared" si="18"/>
        <v>2.3847771179267134</v>
      </c>
      <c r="P18" s="109">
        <f t="shared" si="18"/>
        <v>2.3962090695800087</v>
      </c>
      <c r="Q18" s="109">
        <f t="shared" si="18"/>
        <v>2.3991862166763456</v>
      </c>
      <c r="R18" s="109">
        <f t="shared" si="18"/>
        <v>2.4020361199749778</v>
      </c>
      <c r="S18" s="109">
        <f t="shared" si="18"/>
        <v>2.4104913339100476</v>
      </c>
      <c r="T18" s="109">
        <f t="shared" si="18"/>
        <v>2.4190963885811434</v>
      </c>
      <c r="U18" s="109">
        <f t="shared" si="18"/>
        <v>2.7583913422977426</v>
      </c>
      <c r="V18" s="109">
        <f t="shared" si="18"/>
        <v>2.7606422680337968</v>
      </c>
      <c r="W18" s="109">
        <f t="shared" si="18"/>
        <v>2.7574083539620613</v>
      </c>
      <c r="X18" s="109">
        <f t="shared" si="18"/>
        <v>2.7428775167639174</v>
      </c>
      <c r="Y18" s="109">
        <f t="shared" si="18"/>
        <v>2.7590797503334819</v>
      </c>
      <c r="Z18" s="109">
        <f t="shared" si="18"/>
        <v>2.7706844647358126</v>
      </c>
      <c r="AA18" s="109">
        <f t="shared" si="18"/>
        <v>2.7809333579561946</v>
      </c>
      <c r="AB18" s="109">
        <f t="shared" si="18"/>
        <v>2.8937010566687102</v>
      </c>
      <c r="AC18" s="109">
        <f t="shared" si="18"/>
        <v>3.3045752860962914</v>
      </c>
      <c r="AD18" s="109">
        <f t="shared" si="18"/>
        <v>3.7217058809336891</v>
      </c>
      <c r="AE18" s="109">
        <f t="shared" si="18"/>
        <v>3.1816971079256966</v>
      </c>
      <c r="AF18" s="109">
        <f t="shared" si="18"/>
        <v>2.9852095176319104</v>
      </c>
      <c r="AG18" s="109">
        <f t="shared" si="18"/>
        <v>2.9240931410534854</v>
      </c>
      <c r="AH18" s="109">
        <f t="shared" si="18"/>
        <v>2.9583622269674632</v>
      </c>
      <c r="AI18" s="109">
        <f t="shared" si="18"/>
        <v>3.0157220855475355</v>
      </c>
      <c r="AJ18" s="109">
        <f t="shared" si="18"/>
        <v>2.9323049545079543</v>
      </c>
      <c r="AK18" s="109">
        <f t="shared" si="18"/>
        <v>2.8860677223968665</v>
      </c>
      <c r="AL18" s="109">
        <f t="shared" si="18"/>
        <v>2.8412350176143395</v>
      </c>
      <c r="AM18" s="109">
        <f t="shared" si="18"/>
        <v>2.8304518373534733</v>
      </c>
      <c r="AN18" s="109">
        <f t="shared" si="18"/>
        <v>2.8670349412175025</v>
      </c>
      <c r="AO18" s="109">
        <f t="shared" si="18"/>
        <v>2.8658167904384531</v>
      </c>
      <c r="AP18" s="109">
        <f t="shared" si="18"/>
        <v>2.8765561165221745</v>
      </c>
      <c r="AQ18" s="109">
        <f t="shared" si="18"/>
        <v>2.8791129505191231</v>
      </c>
      <c r="AR18" s="109">
        <f t="shared" si="18"/>
        <v>2.8598041257102862</v>
      </c>
      <c r="AS18" s="109">
        <f t="shared" si="18"/>
        <v>2.8474380997630395</v>
      </c>
      <c r="AT18" s="109">
        <f t="shared" si="18"/>
        <v>2.8279737744730058</v>
      </c>
      <c r="AU18" s="109">
        <f t="shared" si="18"/>
        <v>2.823419188628983</v>
      </c>
      <c r="AV18" s="109">
        <f t="shared" si="18"/>
        <v>2.7866205044563097</v>
      </c>
      <c r="AW18" s="109">
        <f t="shared" si="18"/>
        <v>2.7623480261294073</v>
      </c>
      <c r="AX18" s="109">
        <f t="shared" si="18"/>
        <v>2.7098363937806398</v>
      </c>
      <c r="AY18" s="109">
        <f t="shared" si="18"/>
        <v>2.7081604655944971</v>
      </c>
      <c r="AZ18" s="109">
        <f t="shared" si="18"/>
        <v>2.7053384927438513</v>
      </c>
      <c r="BA18" s="109">
        <f t="shared" si="18"/>
        <v>2.7050405517233975</v>
      </c>
      <c r="BB18" s="109">
        <f t="shared" si="18"/>
        <v>2.7070324765478184</v>
      </c>
      <c r="BC18" s="109">
        <f t="shared" si="18"/>
        <v>2.7037481216304822</v>
      </c>
      <c r="BD18" s="109">
        <f t="shared" si="18"/>
        <v>2.707815378469633</v>
      </c>
      <c r="BE18" s="109">
        <f t="shared" si="18"/>
        <v>2.715845102600901</v>
      </c>
      <c r="BF18" s="109">
        <f t="shared" si="18"/>
        <v>2.7234611591617313</v>
      </c>
      <c r="BG18" s="109">
        <f t="shared" si="18"/>
        <v>2.7225942660261113</v>
      </c>
      <c r="BH18" s="109">
        <f t="shared" si="18"/>
        <v>2.7414862599840211</v>
      </c>
      <c r="BI18" s="109">
        <f t="shared" si="18"/>
        <v>2.7511461637979631</v>
      </c>
      <c r="BJ18" s="109">
        <f t="shared" si="18"/>
        <v>2.7467115739352699</v>
      </c>
      <c r="BK18" s="109">
        <f t="shared" si="18"/>
        <v>2.7586648268425318</v>
      </c>
      <c r="BL18" s="109">
        <f t="shared" si="18"/>
        <v>2.7624237470410336</v>
      </c>
      <c r="BM18" s="109">
        <f t="shared" si="18"/>
        <v>2.7542426285123045</v>
      </c>
      <c r="BN18" s="109">
        <f t="shared" si="18"/>
        <v>2.7506454362027983</v>
      </c>
      <c r="BO18" s="109">
        <f t="shared" si="18"/>
        <v>2.7511939869912809</v>
      </c>
      <c r="BP18" s="109">
        <f t="shared" si="18"/>
        <v>2.742313241312365</v>
      </c>
      <c r="BQ18" s="109">
        <f t="shared" si="18"/>
        <v>2.742313241312365</v>
      </c>
      <c r="BR18" s="109">
        <f t="shared" si="18"/>
        <v>2.7495105400419613</v>
      </c>
      <c r="BS18" s="109">
        <f t="shared" si="18"/>
        <v>2.7483137393394088</v>
      </c>
      <c r="BT18" s="109">
        <f t="shared" si="18"/>
        <v>2.757391542106518</v>
      </c>
      <c r="BU18" s="109">
        <f t="shared" si="18"/>
        <v>2.7546391381845265</v>
      </c>
      <c r="BV18" s="109">
        <f t="shared" ref="BV18:ED18" si="19">2.1+BV13</f>
        <v>2.7651659232693286</v>
      </c>
      <c r="BW18" s="109">
        <f t="shared" si="19"/>
        <v>2.7652049742158828</v>
      </c>
      <c r="BX18" s="109">
        <f t="shared" si="19"/>
        <v>2.7641262835300839</v>
      </c>
      <c r="BY18" s="109">
        <f t="shared" si="19"/>
        <v>2.7595205165406269</v>
      </c>
      <c r="BZ18" s="109">
        <f t="shared" si="19"/>
        <v>2.7606996914844868</v>
      </c>
      <c r="CA18" s="109">
        <f t="shared" si="19"/>
        <v>2.7607055538038767</v>
      </c>
      <c r="CB18" s="109">
        <f t="shared" si="19"/>
        <v>2.7570428000209759</v>
      </c>
      <c r="CC18" s="109">
        <f t="shared" si="19"/>
        <v>2.7564411182470772</v>
      </c>
      <c r="CD18" s="109">
        <f t="shared" si="19"/>
        <v>2.7504376278632199</v>
      </c>
      <c r="CE18" s="109">
        <f t="shared" si="19"/>
        <v>2.7504572776662002</v>
      </c>
      <c r="CF18" s="109">
        <f t="shared" si="19"/>
        <v>2.7500606130240706</v>
      </c>
      <c r="CG18" s="109">
        <f t="shared" si="19"/>
        <v>2.7419049947992455</v>
      </c>
      <c r="CH18" s="109">
        <f t="shared" si="19"/>
        <v>2.7298243944800333</v>
      </c>
      <c r="CI18" s="109">
        <f t="shared" si="19"/>
        <v>2.7204323474533112</v>
      </c>
      <c r="CJ18" s="109">
        <f t="shared" si="19"/>
        <v>2.7200139591507817</v>
      </c>
      <c r="CK18" s="109">
        <f t="shared" si="19"/>
        <v>2.7199936737652823</v>
      </c>
      <c r="CL18" s="109">
        <f t="shared" si="19"/>
        <v>2.7195892722030583</v>
      </c>
      <c r="CM18" s="109">
        <f t="shared" si="19"/>
        <v>2.7200709895875574</v>
      </c>
      <c r="CN18" s="109">
        <f t="shared" si="19"/>
        <v>2.7173784507569776</v>
      </c>
      <c r="CO18" s="109">
        <f t="shared" si="19"/>
        <v>2.7154734418021551</v>
      </c>
      <c r="CP18" s="109">
        <f t="shared" si="19"/>
        <v>2.7154734418021551</v>
      </c>
      <c r="CQ18" s="109">
        <f t="shared" si="19"/>
        <v>2.7154734418021551</v>
      </c>
      <c r="CR18" s="109">
        <f t="shared" si="19"/>
        <v>2.715027322839846</v>
      </c>
      <c r="CS18" s="109">
        <f t="shared" si="19"/>
        <v>2.7137284158480068</v>
      </c>
      <c r="CT18" s="109">
        <f t="shared" si="19"/>
        <v>2.7127247554201723</v>
      </c>
      <c r="CU18" s="109">
        <f t="shared" si="19"/>
        <v>2.7074983269231008</v>
      </c>
      <c r="CV18" s="109">
        <f t="shared" si="19"/>
        <v>2.7037073379507306</v>
      </c>
      <c r="CW18" s="109">
        <f t="shared" si="19"/>
        <v>2.6949080929395133</v>
      </c>
      <c r="CX18" s="109">
        <f t="shared" si="19"/>
        <v>2.6888512242107918</v>
      </c>
      <c r="CY18" s="109">
        <f t="shared" si="19"/>
        <v>2.6840907612254439</v>
      </c>
      <c r="CZ18" s="109">
        <f t="shared" si="19"/>
        <v>2.6859994861951733</v>
      </c>
      <c r="DA18" s="109">
        <f t="shared" si="19"/>
        <v>2.6841471409809623</v>
      </c>
      <c r="DB18" s="109">
        <f t="shared" si="19"/>
        <v>2.6835155399388988</v>
      </c>
      <c r="DC18" s="109">
        <f t="shared" si="19"/>
        <v>2.6849542406867286</v>
      </c>
      <c r="DD18" s="109">
        <f t="shared" si="19"/>
        <v>2.6865358909291412</v>
      </c>
      <c r="DE18" s="109">
        <f t="shared" si="19"/>
        <v>2.6858085068565436</v>
      </c>
      <c r="DF18" s="109">
        <f t="shared" si="19"/>
        <v>2.6876711693524231</v>
      </c>
      <c r="DG18" s="109">
        <f t="shared" si="19"/>
        <v>2.6889251432437788</v>
      </c>
      <c r="DH18" s="109">
        <f t="shared" si="19"/>
        <v>2.6886774195975107</v>
      </c>
      <c r="DI18" s="109">
        <f t="shared" si="19"/>
        <v>2.6866589702485624</v>
      </c>
      <c r="DJ18" s="109">
        <f t="shared" si="19"/>
        <v>2.6887810745033374</v>
      </c>
      <c r="DK18" s="109">
        <f t="shared" si="19"/>
        <v>2.6894904657067769</v>
      </c>
      <c r="DL18" s="109">
        <f t="shared" si="19"/>
        <v>2.6916544317194964</v>
      </c>
      <c r="DM18" s="109">
        <f t="shared" si="19"/>
        <v>2.6872980576583734</v>
      </c>
      <c r="DN18" s="109">
        <f t="shared" si="19"/>
        <v>2.6826842966217699</v>
      </c>
      <c r="DO18" s="109">
        <f t="shared" si="19"/>
        <v>2.6808905815320876</v>
      </c>
      <c r="DP18" s="109">
        <f t="shared" si="19"/>
        <v>2.6805349742057607</v>
      </c>
      <c r="DQ18" s="109">
        <f t="shared" si="19"/>
        <v>2.6788378237145962</v>
      </c>
      <c r="DR18" s="109">
        <f t="shared" si="19"/>
        <v>2.6743583119904057</v>
      </c>
      <c r="DS18" s="109">
        <f t="shared" si="19"/>
        <v>2.6777203434933723</v>
      </c>
      <c r="DT18" s="109" t="e">
        <f t="shared" si="19"/>
        <v>#DIV/0!</v>
      </c>
      <c r="DU18" s="109" t="e">
        <f t="shared" si="19"/>
        <v>#DIV/0!</v>
      </c>
      <c r="DV18" s="109" t="e">
        <f t="shared" si="19"/>
        <v>#DIV/0!</v>
      </c>
      <c r="DW18" s="109" t="e">
        <f t="shared" si="19"/>
        <v>#DIV/0!</v>
      </c>
      <c r="DX18" s="109">
        <f t="shared" si="19"/>
        <v>2.1</v>
      </c>
      <c r="DY18" s="109">
        <f t="shared" si="19"/>
        <v>2.1</v>
      </c>
      <c r="DZ18" s="109">
        <f t="shared" si="19"/>
        <v>2.1</v>
      </c>
      <c r="EA18" s="109">
        <f t="shared" si="19"/>
        <v>2.1</v>
      </c>
      <c r="EB18" s="109">
        <f t="shared" si="19"/>
        <v>2.1</v>
      </c>
      <c r="EC18" s="109">
        <f t="shared" si="19"/>
        <v>2.1</v>
      </c>
      <c r="ED18" s="109">
        <f t="shared" si="19"/>
        <v>2.1</v>
      </c>
    </row>
  </sheetData>
  <phoneticPr fontId="52" type="noConversion"/>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2"/>
  <dimension ref="A1:FC18"/>
  <sheetViews>
    <sheetView workbookViewId="0">
      <pane xSplit="10" ySplit="5" topLeftCell="K6" activePane="bottomRight" state="frozen"/>
      <selection pane="topRight" activeCell="K1" sqref="K1"/>
      <selection pane="bottomLeft" activeCell="A6" sqref="A6"/>
      <selection pane="bottomRight" activeCell="I18" sqref="I18:FC18"/>
    </sheetView>
  </sheetViews>
  <sheetFormatPr baseColWidth="10" defaultColWidth="22.6640625" defaultRowHeight="12"/>
  <cols>
    <col min="1" max="1" width="15.5" style="60" bestFit="1" customWidth="1"/>
    <col min="2" max="2" width="11.33203125" style="60" bestFit="1" customWidth="1"/>
    <col min="3" max="3" width="4.83203125" style="60" bestFit="1" customWidth="1"/>
    <col min="4" max="4" width="12.33203125" style="60" bestFit="1" customWidth="1"/>
    <col min="5" max="5" width="9.5" style="60" bestFit="1" customWidth="1"/>
    <col min="6" max="6" width="6" style="60" bestFit="1" customWidth="1"/>
    <col min="7" max="7" width="4.1640625" style="60" bestFit="1" customWidth="1"/>
    <col min="8" max="8" width="22.83203125" style="60" bestFit="1" customWidth="1"/>
    <col min="9" max="9" width="5.1640625" style="60" bestFit="1" customWidth="1"/>
    <col min="10" max="10" width="5.5" style="60" bestFit="1" customWidth="1"/>
    <col min="11" max="11" width="5.6640625" style="60" bestFit="1" customWidth="1"/>
    <col min="12" max="12" width="5.33203125" style="60" bestFit="1" customWidth="1"/>
    <col min="13" max="13" width="5.83203125" style="60" bestFit="1" customWidth="1"/>
    <col min="14" max="14" width="5.1640625" style="60" bestFit="1" customWidth="1"/>
    <col min="15" max="15" width="4.6640625" style="60" bestFit="1" customWidth="1"/>
    <col min="16" max="18" width="5.5" style="60" bestFit="1" customWidth="1"/>
    <col min="19" max="19" width="5.6640625" style="60" bestFit="1" customWidth="1"/>
    <col min="20" max="20" width="5.5" style="60" bestFit="1" customWidth="1"/>
    <col min="21" max="21" width="5.1640625" style="60" bestFit="1" customWidth="1"/>
    <col min="22" max="22" width="5.5" style="60" bestFit="1" customWidth="1"/>
    <col min="23" max="23" width="5.6640625" style="60" bestFit="1" customWidth="1"/>
    <col min="24" max="24" width="5.33203125" style="60" bestFit="1" customWidth="1"/>
    <col min="25" max="25" width="5.83203125" style="60" bestFit="1" customWidth="1"/>
    <col min="26" max="26" width="5.1640625" style="60" bestFit="1" customWidth="1"/>
    <col min="27" max="27" width="4.6640625" style="60" bestFit="1" customWidth="1"/>
    <col min="28" max="30" width="5.5" style="60" bestFit="1" customWidth="1"/>
    <col min="31" max="31" width="5.6640625" style="60" bestFit="1" customWidth="1"/>
    <col min="32" max="32" width="5.5" style="60" bestFit="1" customWidth="1"/>
    <col min="33" max="33" width="5.1640625" style="60" bestFit="1" customWidth="1"/>
    <col min="34" max="34" width="5.5" style="60" bestFit="1" customWidth="1"/>
    <col min="35" max="35" width="5.6640625" style="60" bestFit="1" customWidth="1"/>
    <col min="36" max="36" width="5.33203125" style="60" bestFit="1" customWidth="1"/>
    <col min="37" max="37" width="5.83203125" style="60" bestFit="1" customWidth="1"/>
    <col min="38" max="38" width="5.1640625" style="60" bestFit="1" customWidth="1"/>
    <col min="39" max="39" width="4.6640625" style="60" bestFit="1" customWidth="1"/>
    <col min="40" max="42" width="5.5" style="60" bestFit="1" customWidth="1"/>
    <col min="43" max="43" width="5.6640625" style="60" bestFit="1" customWidth="1"/>
    <col min="44" max="44" width="5.5" style="60" bestFit="1" customWidth="1"/>
    <col min="45" max="45" width="5.1640625" style="60" bestFit="1" customWidth="1"/>
    <col min="46" max="46" width="5.5" style="60" bestFit="1" customWidth="1"/>
    <col min="47" max="47" width="5.6640625" style="60" bestFit="1" customWidth="1"/>
    <col min="48" max="48" width="5.33203125" style="60" bestFit="1" customWidth="1"/>
    <col min="49" max="49" width="5.83203125" style="60" bestFit="1" customWidth="1"/>
    <col min="50" max="50" width="5.1640625" style="60" bestFit="1" customWidth="1"/>
    <col min="51" max="51" width="4.6640625" style="60" bestFit="1" customWidth="1"/>
    <col min="52" max="54" width="7.1640625" style="60" bestFit="1" customWidth="1"/>
    <col min="55" max="56" width="5.5" style="60" bestFit="1" customWidth="1"/>
    <col min="57" max="58" width="5.83203125" style="60" bestFit="1" customWidth="1"/>
    <col min="59" max="62" width="6" style="60" bestFit="1" customWidth="1"/>
    <col min="63" max="66" width="5.83203125" style="60" bestFit="1" customWidth="1"/>
    <col min="67" max="70" width="5.6640625" style="60" bestFit="1" customWidth="1"/>
    <col min="71" max="74" width="5.5" style="60" bestFit="1" customWidth="1"/>
    <col min="75" max="78" width="5.1640625" style="60" bestFit="1" customWidth="1"/>
    <col min="79" max="82" width="5.5" style="60" bestFit="1" customWidth="1"/>
    <col min="83" max="83" width="6.1640625" style="60" bestFit="1" customWidth="1"/>
    <col min="84" max="86" width="5.6640625" style="60" bestFit="1" customWidth="1"/>
    <col min="87" max="90" width="5.5" style="60" bestFit="1" customWidth="1"/>
    <col min="91" max="95" width="6.33203125" style="60" bestFit="1" customWidth="1"/>
    <col min="96" max="99" width="6.1640625" style="60" bestFit="1" customWidth="1"/>
    <col min="100" max="100" width="5.1640625" style="60" bestFit="1" customWidth="1"/>
    <col min="101" max="103" width="6" style="60" bestFit="1" customWidth="1"/>
    <col min="104" max="107" width="5.83203125" style="60" bestFit="1" customWidth="1"/>
    <col min="108" max="115" width="5.6640625" style="60" bestFit="1" customWidth="1"/>
    <col min="116" max="119" width="6.1640625" style="60" bestFit="1" customWidth="1"/>
    <col min="120" max="123" width="5.83203125" style="60" bestFit="1" customWidth="1"/>
    <col min="124" max="153" width="5.1640625" style="60" bestFit="1" customWidth="1"/>
    <col min="154" max="159" width="6.5" style="60" bestFit="1" customWidth="1"/>
    <col min="160" max="16384" width="22.6640625" style="60"/>
  </cols>
  <sheetData>
    <row r="1" spans="1:159" ht="26">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c r="EM1" s="99">
        <v>141</v>
      </c>
      <c r="EN1" s="99">
        <v>142</v>
      </c>
      <c r="EO1" s="99">
        <v>143</v>
      </c>
      <c r="EP1" s="99">
        <v>144</v>
      </c>
      <c r="EQ1" s="99">
        <v>145</v>
      </c>
      <c r="ER1" s="99">
        <v>146</v>
      </c>
      <c r="ES1" s="99">
        <v>147</v>
      </c>
      <c r="ET1" s="99">
        <v>148</v>
      </c>
      <c r="EU1" s="99">
        <v>149</v>
      </c>
      <c r="EV1" s="99">
        <v>150</v>
      </c>
    </row>
    <row r="2" spans="1:159">
      <c r="A2" s="112" t="s">
        <v>655</v>
      </c>
      <c r="B2" s="100"/>
      <c r="C2" s="101">
        <v>1</v>
      </c>
      <c r="D2" s="64">
        <v>129.06</v>
      </c>
      <c r="E2" s="64">
        <f>D2*C2</f>
        <v>129.06</v>
      </c>
      <c r="K2" s="102"/>
      <c r="M2" s="102"/>
    </row>
    <row r="3" spans="1:159">
      <c r="A3" s="37" t="s">
        <v>657</v>
      </c>
      <c r="B3" s="37" t="s">
        <v>658</v>
      </c>
      <c r="D3" s="100"/>
      <c r="E3" s="64"/>
      <c r="F3" s="103"/>
    </row>
    <row r="4" spans="1:159">
      <c r="A4" s="37" t="s">
        <v>654</v>
      </c>
      <c r="B4" s="64"/>
      <c r="D4" s="64"/>
      <c r="E4" s="64"/>
      <c r="H4" s="60" t="s">
        <v>387</v>
      </c>
    </row>
    <row r="5" spans="1:159">
      <c r="A5" s="74"/>
      <c r="B5" s="74"/>
    </row>
    <row r="6" spans="1:159">
      <c r="A6" s="59"/>
      <c r="B6" s="59"/>
      <c r="C6" s="59"/>
      <c r="D6" s="98"/>
      <c r="E6" s="98"/>
      <c r="F6" s="59"/>
      <c r="H6" s="59" t="s">
        <v>416</v>
      </c>
      <c r="I6" s="59">
        <v>43831</v>
      </c>
      <c r="J6" s="59">
        <v>43862</v>
      </c>
      <c r="K6" s="59">
        <v>43891</v>
      </c>
      <c r="L6" s="59">
        <v>43922</v>
      </c>
      <c r="M6" s="59">
        <v>43952</v>
      </c>
      <c r="N6" s="59">
        <v>43983</v>
      </c>
      <c r="O6" s="59">
        <v>44013</v>
      </c>
      <c r="P6" s="59">
        <v>44044</v>
      </c>
      <c r="Q6" s="59">
        <v>44075</v>
      </c>
      <c r="R6" s="59">
        <v>44105</v>
      </c>
      <c r="S6" s="59">
        <v>44136</v>
      </c>
      <c r="T6" s="59">
        <v>44166</v>
      </c>
      <c r="U6" s="59">
        <v>44197</v>
      </c>
      <c r="V6" s="59">
        <v>44228</v>
      </c>
      <c r="W6" s="59">
        <v>44256</v>
      </c>
      <c r="X6" s="59">
        <v>44287</v>
      </c>
      <c r="Y6" s="59">
        <v>44317</v>
      </c>
      <c r="Z6" s="59">
        <v>44348</v>
      </c>
      <c r="AA6" s="59">
        <v>44378</v>
      </c>
      <c r="AB6" s="59">
        <v>44409</v>
      </c>
      <c r="AC6" s="59">
        <v>44440</v>
      </c>
      <c r="AD6" s="59">
        <v>44470</v>
      </c>
      <c r="AE6" s="59">
        <v>44501</v>
      </c>
      <c r="AF6" s="59">
        <v>44531</v>
      </c>
      <c r="AG6" s="59">
        <v>44562</v>
      </c>
      <c r="AH6" s="59">
        <v>44593</v>
      </c>
      <c r="AI6" s="59">
        <v>44621</v>
      </c>
      <c r="AJ6" s="59">
        <v>44652</v>
      </c>
      <c r="AK6" s="59">
        <v>44682</v>
      </c>
      <c r="AL6" s="59">
        <v>44713</v>
      </c>
      <c r="AM6" s="59">
        <v>44743</v>
      </c>
      <c r="AN6" s="59">
        <v>44774</v>
      </c>
      <c r="AO6" s="59">
        <v>44805</v>
      </c>
      <c r="AP6" s="59">
        <v>44835</v>
      </c>
      <c r="AQ6" s="59">
        <v>44866</v>
      </c>
      <c r="AR6" s="59">
        <v>44896</v>
      </c>
      <c r="AS6" s="59">
        <v>44927</v>
      </c>
      <c r="AT6" s="59">
        <v>44958</v>
      </c>
      <c r="AU6" s="59">
        <v>44986</v>
      </c>
      <c r="AV6" s="59">
        <v>45017</v>
      </c>
      <c r="AW6" s="59">
        <v>45047</v>
      </c>
      <c r="AX6" s="59">
        <v>45078</v>
      </c>
      <c r="AY6" s="59">
        <v>45108</v>
      </c>
      <c r="AZ6" s="59" t="s">
        <v>659</v>
      </c>
      <c r="BA6" s="59" t="s">
        <v>660</v>
      </c>
      <c r="BB6" s="59" t="s">
        <v>661</v>
      </c>
      <c r="BC6" s="59">
        <v>37104</v>
      </c>
      <c r="BD6" s="59">
        <v>37469</v>
      </c>
      <c r="BE6" s="59" t="s">
        <v>168</v>
      </c>
      <c r="BF6" s="59" t="s">
        <v>169</v>
      </c>
      <c r="BG6" s="59" t="s">
        <v>662</v>
      </c>
      <c r="BH6" s="59" t="s">
        <v>663</v>
      </c>
      <c r="BI6" s="59" t="s">
        <v>664</v>
      </c>
      <c r="BJ6" s="59" t="s">
        <v>665</v>
      </c>
      <c r="BK6" s="59" t="s">
        <v>596</v>
      </c>
      <c r="BL6" s="59" t="s">
        <v>597</v>
      </c>
      <c r="BM6" s="59" t="s">
        <v>598</v>
      </c>
      <c r="BN6" s="59" t="s">
        <v>599</v>
      </c>
      <c r="BO6" s="59">
        <v>37196</v>
      </c>
      <c r="BP6" s="59">
        <v>37561</v>
      </c>
      <c r="BQ6" s="59">
        <v>37926</v>
      </c>
      <c r="BR6" s="59">
        <v>38292</v>
      </c>
      <c r="BS6" s="59">
        <v>37226</v>
      </c>
      <c r="BT6" s="59">
        <v>37591</v>
      </c>
      <c r="BU6" s="59">
        <v>37956</v>
      </c>
      <c r="BV6" s="59">
        <v>38322</v>
      </c>
      <c r="BW6" s="59">
        <v>36892</v>
      </c>
      <c r="BX6" s="59">
        <v>37257</v>
      </c>
      <c r="BY6" s="59">
        <v>37622</v>
      </c>
      <c r="BZ6" s="59">
        <v>37987</v>
      </c>
      <c r="CA6" s="59">
        <v>36923</v>
      </c>
      <c r="CB6" s="59">
        <v>37288</v>
      </c>
      <c r="CC6" s="59">
        <v>37653</v>
      </c>
      <c r="CD6" s="59">
        <v>38018</v>
      </c>
      <c r="CE6" s="59" t="str">
        <f>Sheet8!A15</f>
        <v>Mar-w1</v>
      </c>
      <c r="CF6" s="59">
        <v>37316</v>
      </c>
      <c r="CG6" s="59">
        <v>37681</v>
      </c>
      <c r="CH6" s="59">
        <v>38047</v>
      </c>
      <c r="CI6" s="59" t="str">
        <f>Sheet8!E15</f>
        <v>Apr-w1</v>
      </c>
      <c r="CJ6" s="59" t="str">
        <f>Sheet8!F15</f>
        <v>Apr-w2</v>
      </c>
      <c r="CK6" s="59" t="str">
        <f>Sheet8!G15</f>
        <v>Apr-w3</v>
      </c>
      <c r="CL6" s="59" t="str">
        <f>Sheet8!H15</f>
        <v>Apr-w4</v>
      </c>
      <c r="CM6" s="59" t="str">
        <f>Sheet8!I15</f>
        <v>May-w1</v>
      </c>
      <c r="CN6" s="59" t="str">
        <f>Sheet8!J15</f>
        <v>May-w2</v>
      </c>
      <c r="CO6" s="59" t="str">
        <f>Sheet8!K15</f>
        <v>May-w3</v>
      </c>
      <c r="CP6" s="59" t="str">
        <f>Sheet8!L15</f>
        <v>May-w4</v>
      </c>
      <c r="CQ6" s="59" t="str">
        <f>Sheet8!M15</f>
        <v>May-w5</v>
      </c>
      <c r="CR6" s="59" t="str">
        <f>Sheet8!N15</f>
        <v>june-w1</v>
      </c>
      <c r="CS6" s="59" t="str">
        <f>Sheet8!O15</f>
        <v>june-w2</v>
      </c>
      <c r="CT6" s="59" t="str">
        <f>Sheet8!P15</f>
        <v>june-w3</v>
      </c>
      <c r="CU6" s="59" t="str">
        <f>Sheet8!Q15</f>
        <v>june-w4</v>
      </c>
      <c r="CV6" s="59" t="str">
        <f>Sheet8!R15</f>
        <v>Jul-w1</v>
      </c>
      <c r="CW6" s="59" t="str">
        <f>Sheet8!S15</f>
        <v>Jul-w2</v>
      </c>
      <c r="CX6" s="59" t="str">
        <f>Sheet8!T15</f>
        <v>Jul-w3</v>
      </c>
      <c r="CY6" s="59" t="str">
        <f>Sheet8!U15</f>
        <v>Jul-w4</v>
      </c>
      <c r="CZ6" s="59" t="str">
        <f>Sheet8!V15</f>
        <v>Aug-w1</v>
      </c>
      <c r="DA6" s="59" t="str">
        <f>Sheet8!W15</f>
        <v>Aug-w2</v>
      </c>
      <c r="DB6" s="59" t="str">
        <f>Sheet8!X15</f>
        <v>Aug-w3</v>
      </c>
      <c r="DC6" s="59" t="str">
        <f>Sheet8!Y15</f>
        <v>Aug-w4</v>
      </c>
      <c r="DD6" s="59" t="str">
        <f>Sheet8!Z15</f>
        <v>Sep-w1</v>
      </c>
      <c r="DE6" s="59" t="str">
        <f>Sheet8!AA15</f>
        <v>Sep-w2</v>
      </c>
      <c r="DF6" s="59" t="str">
        <f>Sheet8!AB15</f>
        <v>Sep-w3</v>
      </c>
      <c r="DG6" s="59" t="str">
        <f>Sheet8!AC15</f>
        <v>Sep-w4</v>
      </c>
      <c r="DH6" s="59" t="str">
        <f>Sheet8!AD15</f>
        <v>Oct-w1</v>
      </c>
      <c r="DI6" s="59" t="str">
        <f>Sheet8!AE15</f>
        <v>Oct-w2</v>
      </c>
      <c r="DJ6" s="59" t="str">
        <f>Sheet8!AF15</f>
        <v>Oct-w3</v>
      </c>
      <c r="DK6" s="59" t="str">
        <f>Sheet8!AG15</f>
        <v>Oct-w4</v>
      </c>
      <c r="DL6" s="59" t="str">
        <f>Sheet8!AH15</f>
        <v>Nov-w1</v>
      </c>
      <c r="DM6" s="59" t="str">
        <f>Sheet8!AI15</f>
        <v>Nov-w2</v>
      </c>
      <c r="DN6" s="59" t="str">
        <f>Sheet8!AJ15</f>
        <v>Nov-w3</v>
      </c>
      <c r="DO6" s="59" t="str">
        <f>Sheet8!AK15</f>
        <v>Nov-w4</v>
      </c>
      <c r="DP6" s="59" t="str">
        <f>Sheet8!AL15</f>
        <v>Dec-w1</v>
      </c>
      <c r="DQ6" s="59" t="str">
        <f>Sheet8!AM15</f>
        <v>Dec-w2</v>
      </c>
      <c r="DR6" s="59" t="str">
        <f>Sheet8!AN15</f>
        <v>Dec-w3</v>
      </c>
      <c r="DS6" s="59" t="str">
        <f>Sheet8!AO15</f>
        <v>Dec-w4</v>
      </c>
      <c r="DT6" s="59">
        <f>Sheet8!AP15</f>
        <v>0</v>
      </c>
      <c r="DU6" s="59">
        <f>Sheet8!AQ15</f>
        <v>0</v>
      </c>
      <c r="DV6" s="59">
        <f>Sheet8!AR15</f>
        <v>0</v>
      </c>
      <c r="DW6" s="59">
        <f>Sheet8!AS15</f>
        <v>0</v>
      </c>
      <c r="DX6" s="59">
        <f>Sheet8!AT15</f>
        <v>0</v>
      </c>
      <c r="DY6" s="59">
        <f>Sheet8!AU15</f>
        <v>0</v>
      </c>
      <c r="DZ6" s="59">
        <f>Sheet8!AV15</f>
        <v>0</v>
      </c>
      <c r="EA6" s="59">
        <f>Sheet8!AW15</f>
        <v>0</v>
      </c>
      <c r="EB6" s="59">
        <f>Sheet8!AX15</f>
        <v>0</v>
      </c>
      <c r="EC6" s="59">
        <f>Sheet8!AY15</f>
        <v>0</v>
      </c>
      <c r="ED6" s="59">
        <f>Sheet8!AZ15</f>
        <v>0</v>
      </c>
      <c r="EE6" s="59">
        <f>Sheet8!BA15</f>
        <v>0</v>
      </c>
      <c r="EF6" s="59">
        <f>Sheet8!BB15</f>
        <v>0</v>
      </c>
      <c r="EG6" s="59">
        <f>Sheet8!BC15</f>
        <v>0</v>
      </c>
      <c r="EH6" s="59">
        <f>Sheet8!BD15</f>
        <v>0</v>
      </c>
      <c r="EI6" s="59">
        <f>Sheet8!BE15</f>
        <v>0</v>
      </c>
      <c r="EJ6" s="59">
        <f>Sheet8!BF15</f>
        <v>0</v>
      </c>
      <c r="EK6" s="59">
        <f>Sheet8!BG15</f>
        <v>0</v>
      </c>
      <c r="EL6" s="59">
        <f>Sheet8!BH15</f>
        <v>0</v>
      </c>
      <c r="EM6" s="59">
        <f>Sheet8!BI15</f>
        <v>0</v>
      </c>
      <c r="EN6" s="59">
        <f>Sheet8!BJ15</f>
        <v>0</v>
      </c>
      <c r="EO6" s="59">
        <f>Sheet8!BK15</f>
        <v>0</v>
      </c>
      <c r="EP6" s="59">
        <f>Sheet8!BL15</f>
        <v>0</v>
      </c>
      <c r="EQ6" s="59">
        <f>Sheet8!BM15</f>
        <v>0</v>
      </c>
      <c r="ER6" s="59">
        <f>Sheet8!BN15</f>
        <v>0</v>
      </c>
      <c r="ES6" s="59">
        <f>Sheet8!BO15</f>
        <v>0</v>
      </c>
      <c r="ET6" s="59">
        <f>Sheet8!BP15</f>
        <v>0</v>
      </c>
      <c r="EU6" s="59">
        <f>Sheet8!BQ15</f>
        <v>0</v>
      </c>
      <c r="EV6" s="59">
        <f>Sheet8!BR15</f>
        <v>0</v>
      </c>
      <c r="EW6" s="59">
        <f>Sheet8!BS15</f>
        <v>0</v>
      </c>
      <c r="EX6" s="59">
        <f>Sheet8!BT15</f>
        <v>0</v>
      </c>
      <c r="EY6" s="59">
        <f>Sheet8!BU15</f>
        <v>0</v>
      </c>
      <c r="EZ6" s="59">
        <f>Sheet8!BV15</f>
        <v>0</v>
      </c>
      <c r="FA6" s="59">
        <f>Sheet8!BW15</f>
        <v>0</v>
      </c>
      <c r="FB6" s="59">
        <f>Sheet8!BX15</f>
        <v>0</v>
      </c>
      <c r="FC6" s="59">
        <f>Sheet8!BY15</f>
        <v>0</v>
      </c>
    </row>
    <row r="7" spans="1:159">
      <c r="H7" s="178" t="s">
        <v>30</v>
      </c>
      <c r="I7" s="74">
        <f>VLOOKUP($H$7&amp;$F$1,'Input RM sheet'!$A:$BD,H1,0)</f>
        <v>0</v>
      </c>
      <c r="J7" s="74">
        <f>VLOOKUP($H$7&amp;$F$1,'Input RM sheet'!$A:$BD,I1,0)</f>
        <v>0</v>
      </c>
      <c r="K7" s="74">
        <f>VLOOKUP($H$7&amp;$F$1,'Input RM sheet'!$A:$BD,J1,0)</f>
        <v>0</v>
      </c>
      <c r="L7" s="74">
        <f>VLOOKUP($H$7&amp;$F$1,'Input RM sheet'!$A:$BD,K1,0)</f>
        <v>0</v>
      </c>
      <c r="M7" s="74">
        <f>VLOOKUP($H$7&amp;$F$1,'Input RM sheet'!$A:$BD,L1,0)</f>
        <v>0</v>
      </c>
      <c r="N7" s="74">
        <f>VLOOKUP($H$7&amp;$F$1,'Input RM sheet'!$A:$BD,M1,0)</f>
        <v>0</v>
      </c>
      <c r="O7" s="74">
        <f>VLOOKUP($H$7&amp;$F$1,'Input RM sheet'!$A:$BD,N1,0)</f>
        <v>0</v>
      </c>
      <c r="P7" s="74">
        <f>VLOOKUP($H$7&amp;$F$1,'Input RM sheet'!$A:$BD,O1,0)</f>
        <v>0</v>
      </c>
      <c r="Q7" s="74">
        <f>VLOOKUP($H$7&amp;$F$1,'Input RM sheet'!$A:$BD,P1,0)</f>
        <v>0</v>
      </c>
      <c r="R7" s="74">
        <f>VLOOKUP($H$7&amp;$F$1,'Input RM sheet'!$A:$BD,Q1,0)</f>
        <v>0</v>
      </c>
      <c r="S7" s="74">
        <f>VLOOKUP($H$7&amp;$F$1,'Input RM sheet'!$A:$BD,R1,0)</f>
        <v>0</v>
      </c>
      <c r="T7" s="74">
        <f>VLOOKUP($H$7&amp;$F$1,'Input RM sheet'!$A:$BD,S1,0)</f>
        <v>0</v>
      </c>
      <c r="U7" s="74">
        <f>VLOOKUP($H$7&amp;$F$1,'Input RM sheet'!$A:$BD,T1,0)</f>
        <v>1.8627893846062558</v>
      </c>
      <c r="V7" s="74">
        <f>VLOOKUP($H$7&amp;$F$1,'Input RM sheet'!$A:$BD,U1,0)</f>
        <v>1.8673303026173924</v>
      </c>
      <c r="W7" s="74">
        <f>VLOOKUP($H$7&amp;$F$1,'Input RM sheet'!$A:$BD,V1,0)</f>
        <v>1.8650976616996457</v>
      </c>
      <c r="X7" s="74">
        <f>VLOOKUP($H$7&amp;$F$1,'Input RM sheet'!$A:$BD,W1,0)</f>
        <v>1.8069583892397256</v>
      </c>
      <c r="Y7" s="74">
        <f>VLOOKUP($H$7&amp;$F$1,'Input RM sheet'!$A:$BD,X1,0)</f>
        <v>1.8874425195537712</v>
      </c>
      <c r="Z7" s="74">
        <f>VLOOKUP($H$7&amp;$F$1,'Input RM sheet'!$A:$BD,Y1,0)</f>
        <v>1.9382904670042471</v>
      </c>
      <c r="AA7" s="74">
        <f>VLOOKUP($H$7&amp;$F$1,'Input RM sheet'!$A:$BD,Z1,0)</f>
        <v>1.9941430266215356</v>
      </c>
      <c r="AB7" s="74">
        <f>VLOOKUP($H$7&amp;$F$1,'Input RM sheet'!$A:$BD,AA1,0)</f>
        <v>2.629513144894708</v>
      </c>
      <c r="AC7" s="74">
        <f>VLOOKUP($H$7&amp;$F$1,'Input RM sheet'!$A:$BD,AB1,0)</f>
        <v>4.972093405071317</v>
      </c>
      <c r="AD7" s="74">
        <f>VLOOKUP($H$7&amp;$F$1,'Input RM sheet'!$A:$BD,AC1,0)</f>
        <v>7.2575580801674722</v>
      </c>
      <c r="AE7" s="74">
        <f>VLOOKUP($H$7&amp;$F$1,'Input RM sheet'!$A:$BD,AD1,0)</f>
        <v>4.2580661350680202</v>
      </c>
      <c r="AF7" s="74">
        <f>VLOOKUP($H$7&amp;$F$1,'Input RM sheet'!$A:$BD,AE1,0)</f>
        <v>3.2089583513461331</v>
      </c>
      <c r="AG7" s="74">
        <f>VLOOKUP($H$7&amp;$F$1,'Input RM sheet'!$A:$BD,AF1,0)</f>
        <v>2.904273453652761</v>
      </c>
      <c r="AH7" s="74">
        <f>VLOOKUP($H$7&amp;$F$1,'Input RM sheet'!$A:$BD,AG1,0)</f>
        <v>2.9710521239461034</v>
      </c>
      <c r="AI7" s="74">
        <f>VLOOKUP($H$7&amp;$F$1,'Input RM sheet'!$A:$BD,AH1,0)</f>
        <v>3.2377256756810651</v>
      </c>
      <c r="AJ7" s="74">
        <f>VLOOKUP($H$7&amp;$F$1,'Input RM sheet'!$A:$BD,AI1,0)</f>
        <v>2.8213578134201951</v>
      </c>
      <c r="AK7" s="74">
        <f>VLOOKUP($H$7&amp;$F$1,'Input RM sheet'!$A:$BD,AJ1,0)</f>
        <v>2.6204542055356983</v>
      </c>
      <c r="AL7" s="74">
        <f>VLOOKUP($H$7&amp;$F$1,'Input RM sheet'!$A:$BD,AK1,0)</f>
        <v>2.3781566476094458</v>
      </c>
      <c r="AM7" s="74">
        <f>VLOOKUP($H$7&amp;$F$1,'Input RM sheet'!$A:$BD,AL1,0)</f>
        <v>2.3579281177353648</v>
      </c>
      <c r="AN7" s="74">
        <f>VLOOKUP($H$7&amp;$F$1,'Input RM sheet'!$A:$BD,AM1,0)</f>
        <v>2.5694427014231715</v>
      </c>
      <c r="AO7" s="74">
        <f>VLOOKUP($H$7&amp;$F$1,'Input RM sheet'!$A:$BD,AN1,0)</f>
        <v>2.5628163610847663</v>
      </c>
      <c r="AP7" s="74">
        <f>VLOOKUP($H$7&amp;$F$1,'Input RM sheet'!$A:$BD,AO1,0)</f>
        <v>2.6096935730003006</v>
      </c>
      <c r="AQ7" s="74">
        <f>VLOOKUP($H$7&amp;$F$1,'Input RM sheet'!$A:$BD,AP1,0)</f>
        <v>2.6241726855274043</v>
      </c>
      <c r="AR7" s="74">
        <f>VLOOKUP($H$7&amp;$F$1,'Input RM sheet'!$A:$BD,AQ1,0)</f>
        <v>2.5293614814872392</v>
      </c>
      <c r="AS7" s="74">
        <f>VLOOKUP($H$7&amp;$F$1,'Input RM sheet'!$A:$BD,AR1,0)</f>
        <v>2.4410591140200979</v>
      </c>
      <c r="AT7" s="74">
        <f>VLOOKUP($H$7&amp;$F$1,'Input RM sheet'!$A:$BD,AS1,0)</f>
        <v>2.2915787873332105</v>
      </c>
      <c r="AU7" s="74">
        <f>VLOOKUP($H$7&amp;$F$1,'Input RM sheet'!$A:$BD,AT1,0)</f>
        <v>2.2405390526214162</v>
      </c>
      <c r="AV7" s="74">
        <f>VLOOKUP($H$7&amp;$F$1,'Input RM sheet'!$A:$BD,AU1,0)</f>
        <v>2.073031326662985</v>
      </c>
      <c r="AW7" s="74">
        <f>VLOOKUP($H$7&amp;$F$1,'Input RM sheet'!$A:$BD,AV1,0)</f>
        <v>1.973841563967321</v>
      </c>
      <c r="AX7" s="74">
        <f>VLOOKUP($H$7&amp;$F$1,'Input RM sheet'!$A:$BD,AW1,0)</f>
        <v>1.6868694380407032</v>
      </c>
      <c r="AY7" s="74">
        <f>VLOOKUP($H$7&amp;$F$1,'Input RM sheet'!$A:$BD,AX1,0)</f>
        <v>1.6771437290204458</v>
      </c>
      <c r="AZ7" s="74">
        <f>VLOOKUP($H$7&amp;$F$1,'Input RM sheet'!$A:$BD,AY1,0)</f>
        <v>1.6771437290204458</v>
      </c>
      <c r="BA7" s="74">
        <f>VLOOKUP($H$7&amp;$F$1,'Input RM sheet'!$A:$BD,AZ1,0)</f>
        <v>1.6752704031465095</v>
      </c>
      <c r="BB7" s="74">
        <f>VLOOKUP($H$7&amp;$F$1,'Input RM sheet'!$A:$BD,BA1,0)</f>
        <v>1.6869855807908907</v>
      </c>
      <c r="BC7" s="74">
        <f>VLOOKUP($H$7&amp;$F$1,'Input RM sheet'!$A:CH,BB1,0)</f>
        <v>1.6683190736728726</v>
      </c>
      <c r="BD7" s="74">
        <f>VLOOKUP($H$7&amp;$F$1,'Input RM sheet'!$A:$BD,BC1,0)</f>
        <v>1.6591398765687579</v>
      </c>
      <c r="BE7" s="74">
        <f>VLOOKUP($H$7&amp;$F$1,'Input RM sheet'!$A:$BD,BD1,0)</f>
        <v>1.7055731575561139</v>
      </c>
      <c r="BF7" s="74">
        <f>VLOOKUP($H$7&amp;$F$1,'Input RM sheet'!$A:$BD,BE1,0)</f>
        <v>1.7492746761838864</v>
      </c>
      <c r="BG7" s="74">
        <f>VLOOKUP($H$7&amp;$F$1,'Input RM sheet'!$A:$DD,BF1,0)</f>
        <v>1.7444886989576653</v>
      </c>
      <c r="BH7" s="74">
        <f>VLOOKUP($H$7&amp;$F$1,'Input RM sheet'!$A:$DD,BG1,0)</f>
        <v>1.8536727484613427</v>
      </c>
      <c r="BI7" s="74">
        <f>VLOOKUP($H$7&amp;$F$1,'Input RM sheet'!$A:$DD,BH1,0)</f>
        <v>1.8765911019517518</v>
      </c>
      <c r="BJ7" s="74">
        <f>VLOOKUP($H$7&amp;$F$1,'Input RM sheet'!$A:$DD,BI1,0)</f>
        <v>1.8511334707237246</v>
      </c>
      <c r="BK7" s="74">
        <f>VLOOKUP($H$7&amp;$F$1,'Input RM sheet'!$A:$DD,BJ1,0)</f>
        <v>1.9202327554855136</v>
      </c>
      <c r="BL7" s="74">
        <f>VLOOKUP($H$7&amp;$F$1,'Input RM sheet'!$A:$DD,BK1,0)</f>
        <v>1.9419862340216323</v>
      </c>
      <c r="BM7" s="74">
        <f>VLOOKUP($H$7&amp;$F$1,'Input RM sheet'!$A:$DD,BL1,0)</f>
        <v>1.8946043121920515</v>
      </c>
      <c r="BN7" s="74">
        <f>VLOOKUP($H$7&amp;$F$1,'Input RM sheet'!$A:$DD,BM1,0)</f>
        <v>1.8738817157502781</v>
      </c>
      <c r="BO7" s="74">
        <f>VLOOKUP($H$7&amp;$F$1,'Input RM sheet'!$A:$DD,BN1,0)</f>
        <v>1.877031320373459</v>
      </c>
      <c r="BP7" s="74">
        <f>VLOOKUP($H$7&amp;$F$1,'Input RM sheet'!$A:$DD,BO1,0)</f>
        <v>1.8503620273531778</v>
      </c>
      <c r="BQ7" s="74">
        <f>VLOOKUP($H$7&amp;$F$1,'Input RM sheet'!$A:$DD,BP1,0)</f>
        <v>1.8503620273531778</v>
      </c>
      <c r="BR7" s="74">
        <f>VLOOKUP($H$7&amp;$F$1,'Input RM sheet'!$A:$DD,BQ1,0)</f>
        <v>1.8920603265611369</v>
      </c>
      <c r="BS7" s="74">
        <f>VLOOKUP($H$7&amp;$F$1,'Input RM sheet'!$A:$DD,BR1,0)</f>
        <v>1.8851788503011826</v>
      </c>
      <c r="BT7" s="74">
        <f>VLOOKUP($H$7&amp;$F$1,'Input RM sheet'!$A:$DD,BS1,0)</f>
        <v>1.9047143552554391</v>
      </c>
      <c r="BU7" s="74">
        <f>VLOOKUP($H$7&amp;$F$1,'Input RM sheet'!$A:$DD,BT1,0)</f>
        <v>1.8887307382882608</v>
      </c>
      <c r="BV7" s="74">
        <f>VLOOKUP($H$7&amp;$F$1,'Input RM sheet'!$A:$DD,BU1,0)</f>
        <v>1.9496486388656593</v>
      </c>
      <c r="BW7" s="74">
        <f>VLOOKUP($H$7&amp;$F$1,'Input RM sheet'!$A:$DD,BV1,0)</f>
        <v>1.945656238314845</v>
      </c>
      <c r="BX7" s="74">
        <f>VLOOKUP($H$7&amp;$F$1,'Input RM sheet'!$A:$DD,BW1,0)</f>
        <v>1.9394241555527858</v>
      </c>
      <c r="BY7" s="74">
        <f>VLOOKUP($H$7&amp;$F$1,'Input RM sheet'!$A:$DD,BX1,0)</f>
        <v>1.9128467733916674</v>
      </c>
      <c r="BZ7" s="74">
        <f>VLOOKUP($H$7&amp;$F$1,'Input RM sheet'!$A:$DD,BY1,0)</f>
        <v>1.9030904994834645</v>
      </c>
      <c r="CA7" s="74">
        <f>VLOOKUP($H$7&amp;$F$1,'Input RM sheet'!$A:$DD,BZ1,0)</f>
        <v>1.9030904994834645</v>
      </c>
      <c r="CB7" s="74">
        <f>VLOOKUP($H$7&amp;$F$1,'Input RM sheet'!$A:$DD,CA1,0)</f>
        <v>1.8819156399620909</v>
      </c>
      <c r="CC7" s="74">
        <f>VLOOKUP($H$7&amp;$F$1,'Input RM sheet'!$A:$DD,CB1,0)</f>
        <v>1.8783740478714228</v>
      </c>
      <c r="CD7" s="74">
        <f>VLOOKUP($H$7&amp;$F$1,'Input RM sheet'!$A:$DD,CC1,0)</f>
        <v>1.8436578171091447</v>
      </c>
      <c r="CE7" s="74">
        <f>VLOOKUP($H$7&amp;$F$1,'Input RM sheet'!$A:$DD,CD1,0)</f>
        <v>1.8436578171091447</v>
      </c>
      <c r="CF7" s="74">
        <f>VLOOKUP($H$7&amp;$F$1,'Input RM sheet'!$A:$DD,CE1,0)</f>
        <v>1.8413981807873396</v>
      </c>
      <c r="CG7" s="74">
        <f>VLOOKUP($H$7&amp;$F$1,'Input RM sheet'!$A:$DD,CF1,0)</f>
        <v>1.7821685093030668</v>
      </c>
      <c r="CH7" s="74">
        <f>VLOOKUP($H$7&amp;$F$1,'Input RM sheet'!$A:$DD,CG1,0)</f>
        <v>1.7123832605050244</v>
      </c>
      <c r="CI7" s="74">
        <f>VLOOKUP($H$7&amp;$F$1,'Input RM sheet'!$A:$DD,CH1,0)</f>
        <v>1.6744390996217824</v>
      </c>
      <c r="CJ7" s="74">
        <f>VLOOKUP($H$7&amp;$F$1,'Input RM sheet'!$A:$DD,CI1,0)</f>
        <v>1.6721263384344596</v>
      </c>
      <c r="CK7" s="74">
        <f>VLOOKUP($H$7&amp;$F$1,'Input RM sheet'!$A:$DD,CJ1,0)</f>
        <v>1.6721263384344596</v>
      </c>
      <c r="CL7" s="74">
        <f>VLOOKUP($H$7&amp;$F$1,'Input RM sheet'!$A:$DD,CK1,0)</f>
        <v>1.6696817092847018</v>
      </c>
      <c r="CM7" s="74">
        <f>VLOOKUP($H$7&amp;$F$1,'Input RM sheet'!$A:$DD,CL1,0)</f>
        <v>1.6766290672983692</v>
      </c>
      <c r="CN7" s="74">
        <f>VLOOKUP($H$7&amp;$F$1,'Input RM sheet'!$A:$DD,CM1,0)</f>
        <v>1.6609750425341807</v>
      </c>
      <c r="CO7" s="74">
        <f>VLOOKUP($H$7&amp;$F$1,'Input RM sheet'!$A:$DD,CN1,0)</f>
        <v>1.6499589958261422</v>
      </c>
      <c r="CP7" s="74">
        <f>VLOOKUP($H$7&amp;$F$1,'Input RM sheet'!$A:$DD,CO1,0)</f>
        <v>1.6499589958261422</v>
      </c>
      <c r="CQ7" s="74">
        <f>VLOOKUP($H$7&amp;$F$1,'Input RM sheet'!$A:$DD,CP1,0)</f>
        <v>1.6499589958261422</v>
      </c>
      <c r="CR7" s="74">
        <f>VLOOKUP($H$7&amp;$F$1,'Input RM sheet'!$A:$ZZ,CQ1,0)</f>
        <v>1.6476800469368797</v>
      </c>
      <c r="CS7" s="74">
        <f>VLOOKUP($H$7&amp;$F$1,'Input RM sheet'!$A:$ZZ,CR1,0)</f>
        <v>1.6440131032122429</v>
      </c>
      <c r="CT7" s="74">
        <f>VLOOKUP($H$7&amp;$F$1,'Input RM sheet'!$A:$ZZ,CS1,0)</f>
        <v>1.638265194178308</v>
      </c>
      <c r="CU7" s="74">
        <f>VLOOKUP($H$7&amp;$F$1,'Input RM sheet'!$A:$ZZ,CT1,0)</f>
        <v>1.6080145098659786</v>
      </c>
      <c r="CV7" s="74">
        <f>VLOOKUP($H$7&amp;$F$1,'Input RM sheet'!$A:$ZZ,CU1,0)</f>
        <v>1.5861036384219305</v>
      </c>
      <c r="CW7" s="74">
        <f>VLOOKUP($H$7&amp;$F$1,'Input RM sheet'!$A:$ZZ,CV1,0)</f>
        <v>1.5434991661696147</v>
      </c>
      <c r="CX7" s="74">
        <f>VLOOKUP($H$7&amp;$F$1,'Input RM sheet'!$A:$ZZ,CW1,0)</f>
        <v>1.5085578138675484</v>
      </c>
      <c r="CY7" s="74">
        <f>VLOOKUP($H$7&amp;$F$1,'Input RM sheet'!$A:$ZZ,CX1,0)</f>
        <v>1.4810462796362258</v>
      </c>
      <c r="CZ7" s="74">
        <f>VLOOKUP($H$7&amp;$F$1,'Input RM sheet'!$A:$ZZ,CY1,0)</f>
        <v>1.4922057244418114</v>
      </c>
      <c r="DA7" s="74">
        <f>VLOOKUP($H$7&amp;$F$1,'Input RM sheet'!$A:$ZZ,CZ1,0)</f>
        <v>1.4814997411689306</v>
      </c>
      <c r="DB7" s="74">
        <f>VLOOKUP($H$7&amp;$F$1,'Input RM sheet'!$A:$ZZ,DA1,0)</f>
        <v>1.4778142211770533</v>
      </c>
      <c r="DC7" s="74">
        <f>VLOOKUP($H$7&amp;$F$1,'Input RM sheet'!$A:$ZZ,DB1,0)</f>
        <v>1.486128225234308</v>
      </c>
      <c r="DD7" s="74">
        <f>VLOOKUP($H$7&amp;$F$1,'Input RM sheet'!$A:$ZZ,DC1,0)</f>
        <v>1.4953131045845454</v>
      </c>
      <c r="DE7" s="74">
        <f>VLOOKUP($H$7&amp;$F$1,'Input RM sheet'!$A:$ZZ,DD1,0)</f>
        <v>1.4911068792551931</v>
      </c>
      <c r="DF7" s="74">
        <f>VLOOKUP($H$7&amp;$F$1,'Input RM sheet'!$A:$ZZ,DE1,0)</f>
        <v>1.5016671262754144</v>
      </c>
      <c r="DG7" s="74">
        <f>VLOOKUP($H$7&amp;$F$1,'Input RM sheet'!$A:$ZZ,DF1,0)</f>
        <v>1.5089630133877923</v>
      </c>
      <c r="DH7" s="74">
        <f>VLOOKUP($H$7&amp;$F$1,'Input RM sheet'!$A:$ZZ,DG1,0)</f>
        <v>1.5077023926581452</v>
      </c>
      <c r="DI7" s="74">
        <f>VLOOKUP($H$7&amp;$F$1,'Input RM sheet'!$A:$ZZ,DH1,0)</f>
        <v>1.496085533276079</v>
      </c>
      <c r="DJ7" s="74">
        <f>VLOOKUP($H$7&amp;$F$1,'Input RM sheet'!$A:$ZZ,DI1,0)</f>
        <v>1.4918889399148558</v>
      </c>
      <c r="DK7" s="74">
        <f>VLOOKUP($H$7&amp;$F$1,'Input RM sheet'!$A:$ZZ,DJ1,0)</f>
        <v>1.4959966287399915</v>
      </c>
      <c r="DL7" s="74">
        <f>VLOOKUP($H$7&amp;$F$1,'Input RM sheet'!$A:$ZZ,DK1,0)</f>
        <v>1.5085321683282926</v>
      </c>
      <c r="DM7" s="74">
        <f>VLOOKUP($H$7&amp;$F$1,'Input RM sheet'!$A:$ZZ,DL1,0)</f>
        <v>1.4834942900157899</v>
      </c>
      <c r="DN7" s="74">
        <f>VLOOKUP($H$7&amp;$F$1,'Input RM sheet'!$A:$ZZ,DM1,0)</f>
        <v>1.4814452647533372</v>
      </c>
      <c r="DO7" s="74">
        <f>VLOOKUP($H$7&amp;$F$1,'Input RM sheet'!$A:$ZZ,DN1,0)</f>
        <v>1.471269411736025</v>
      </c>
      <c r="DP7" s="74">
        <f>VLOOKUP($H$7&amp;$F$1,'Input RM sheet'!$A:$ZZ,DO1,0)</f>
        <v>1.469245657387007</v>
      </c>
      <c r="DQ7" s="74">
        <f>VLOOKUP($H$7&amp;$F$1,'Input RM sheet'!$A:$ZZ,DP1,0)</f>
        <v>1.4595074923007636</v>
      </c>
      <c r="DR7" s="74">
        <f>VLOOKUP($H$7&amp;$F$1,'Input RM sheet'!$A:$ZZ,DQ1,0)</f>
        <v>1.4336525972055307</v>
      </c>
      <c r="DS7" s="74">
        <f>VLOOKUP($H$7&amp;$F$1,'Input RM sheet'!$A:$ZZ,DR1,0)</f>
        <v>1.4244150806158324</v>
      </c>
      <c r="DT7" s="74" t="e">
        <f>VLOOKUP($H$7&amp;$F$1,'Input RM sheet'!$A:$ZZ,DS1,0)</f>
        <v>#DIV/0!</v>
      </c>
      <c r="DU7" s="74" t="e">
        <f>VLOOKUP($H$7&amp;$F$1,'Input RM sheet'!$A:$ZZ,DT1,0)</f>
        <v>#DIV/0!</v>
      </c>
      <c r="DV7" s="74" t="e">
        <f>VLOOKUP($H$7&amp;$F$1,'Input RM sheet'!$A:$ZZ,DU1,0)</f>
        <v>#DIV/0!</v>
      </c>
      <c r="DW7" s="74" t="e">
        <f>VLOOKUP($H$7&amp;$F$1,'Input RM sheet'!$A:$ZZ,DV1,0)</f>
        <v>#DIV/0!</v>
      </c>
      <c r="DX7" s="74">
        <f>VLOOKUP($H$7&amp;$F$1,'Input RM sheet'!$A:$ZZ,DW1,0)</f>
        <v>0</v>
      </c>
      <c r="DY7" s="74">
        <f>VLOOKUP($H$7&amp;$F$1,'Input RM sheet'!$A:$ZZ,DX1,0)</f>
        <v>0</v>
      </c>
      <c r="DZ7" s="74">
        <f>VLOOKUP($H$7&amp;$F$1,'Input RM sheet'!$A:$ZZ,DY1,0)</f>
        <v>0</v>
      </c>
      <c r="EA7" s="74">
        <f>VLOOKUP($H$7&amp;$F$1,'Input RM sheet'!$A:$ZZ,DZ1,0)</f>
        <v>0</v>
      </c>
      <c r="EB7" s="74">
        <f>VLOOKUP($H$7&amp;$F$1,'Input RM sheet'!$A:$ZZ,EA1,0)</f>
        <v>0</v>
      </c>
      <c r="EC7" s="74">
        <f>VLOOKUP($H$7&amp;$F$1,'Input RM sheet'!$A:$ZZ,EB1,0)</f>
        <v>0</v>
      </c>
      <c r="ED7" s="74">
        <f>VLOOKUP($H$7&amp;$F$1,'Input RM sheet'!$A:$ZZ,EC1,0)</f>
        <v>0</v>
      </c>
      <c r="EE7" s="74">
        <f>VLOOKUP($H$7&amp;$F$1,'Input RM sheet'!$A:$ZZ,ED1,0)</f>
        <v>0</v>
      </c>
      <c r="EF7" s="74">
        <f>VLOOKUP($H$7&amp;$F$1,'Input RM sheet'!$A:$ZZ,EE1,0)</f>
        <v>0</v>
      </c>
      <c r="EG7" s="74">
        <f>VLOOKUP($H$7&amp;$F$1,'Input RM sheet'!$A:$ZZ,EF1,0)</f>
        <v>0</v>
      </c>
      <c r="EH7" s="74">
        <f>VLOOKUP($H$7&amp;$F$1,'Input RM sheet'!$A:$ZZ,EG1,0)</f>
        <v>0</v>
      </c>
      <c r="EI7" s="74">
        <f>VLOOKUP($H$7&amp;$F$1,'Input RM sheet'!$A:$ZZ,EH1,0)</f>
        <v>0</v>
      </c>
      <c r="EJ7" s="74">
        <f>VLOOKUP($H$7&amp;$F$1,'Input RM sheet'!$A:$ZZ,EI1,0)</f>
        <v>0</v>
      </c>
      <c r="EK7" s="74">
        <f>VLOOKUP($H$7&amp;$F$1,'Input RM sheet'!$A:$ZZ,EJ1,0)</f>
        <v>0</v>
      </c>
      <c r="EL7" s="74">
        <f>VLOOKUP($H$7&amp;$F$1,'Input RM sheet'!$A:$ZZ,EK1,0)</f>
        <v>0</v>
      </c>
      <c r="EM7" s="74">
        <f>VLOOKUP($H$7&amp;$F$1,'Input RM sheet'!$A:$ZZ,EL1,0)</f>
        <v>0</v>
      </c>
      <c r="EN7" s="74">
        <f>VLOOKUP($H$7&amp;$F$1,'Input RM sheet'!$A:$ZZ,EM1,0)</f>
        <v>0</v>
      </c>
      <c r="EO7" s="74">
        <f>VLOOKUP($H$7&amp;$F$1,'Input RM sheet'!$A:$ZZ,EN1,0)</f>
        <v>0</v>
      </c>
      <c r="EP7" s="74">
        <f>VLOOKUP($H$7&amp;$F$1,'Input RM sheet'!$A:$ZZ,EO1,0)</f>
        <v>0</v>
      </c>
      <c r="EQ7" s="74">
        <f>VLOOKUP($H$7&amp;$F$1,'Input RM sheet'!$A:$ZZ,EP1,0)</f>
        <v>0</v>
      </c>
      <c r="ER7" s="74">
        <f>VLOOKUP($H$7&amp;$F$1,'Input RM sheet'!$A:$ZZ,EQ1,0)</f>
        <v>0</v>
      </c>
      <c r="ES7" s="74">
        <f>VLOOKUP($H$7&amp;$F$1,'Input RM sheet'!$A:$ZZ,ER1,0)</f>
        <v>0</v>
      </c>
      <c r="ET7" s="74">
        <f>VLOOKUP($H$7&amp;$F$1,'Input RM sheet'!$A:$ZZ,ES1,0)</f>
        <v>0</v>
      </c>
      <c r="EU7" s="74">
        <f>VLOOKUP($H$7&amp;$F$1,'Input RM sheet'!$A:$ZZ,ET1,0)</f>
        <v>0</v>
      </c>
      <c r="EV7" s="74">
        <f>VLOOKUP($H$7&amp;$F$1,'Input RM sheet'!$A:$ZZ,EU1,0)</f>
        <v>0</v>
      </c>
      <c r="EW7" s="74">
        <f>VLOOKUP($H$7&amp;$F$1,'Input RM sheet'!$A:$ZZ,EV1,0)</f>
        <v>0</v>
      </c>
      <c r="EX7" s="74" t="e" vm="1">
        <f>VLOOKUP($H$7&amp;$F$1,'Input RM sheet'!$A:$ZZ,EW1,0)</f>
        <v>#VALUE!</v>
      </c>
      <c r="EY7" s="74" t="e" vm="1">
        <f>VLOOKUP($H$7&amp;$F$1,'Input RM sheet'!$A:$ZZ,EX1,0)</f>
        <v>#VALUE!</v>
      </c>
      <c r="EZ7" s="74" t="e" vm="1">
        <f>VLOOKUP($H$7&amp;$F$1,'Input RM sheet'!$A:$ZZ,EY1,0)</f>
        <v>#VALUE!</v>
      </c>
      <c r="FA7" s="74" t="e" vm="1">
        <f>VLOOKUP($H$7&amp;$F$1,'Input RM sheet'!$A:$ZZ,EZ1,0)</f>
        <v>#VALUE!</v>
      </c>
      <c r="FB7" s="74" t="e" vm="1">
        <f>VLOOKUP($H$7&amp;$F$1,'Input RM sheet'!$A:$ZZ,FA1,0)</f>
        <v>#VALUE!</v>
      </c>
      <c r="FC7" s="74" t="e" vm="1">
        <f>VLOOKUP($H$7&amp;$F$1,'Input RM sheet'!$A:$ZZ,FB1,0)</f>
        <v>#VALUE!</v>
      </c>
    </row>
    <row r="8" spans="1:159">
      <c r="E8" s="60" t="s">
        <v>666</v>
      </c>
      <c r="F8" s="60" t="s">
        <v>402</v>
      </c>
      <c r="H8" s="112" t="s">
        <v>83</v>
      </c>
      <c r="I8" s="74">
        <f>VLOOKUP($H$8&amp;$F$1,'Input RM sheet'!$A:$BD,H1,0)</f>
        <v>0.66647355912061801</v>
      </c>
      <c r="J8" s="74">
        <f>VLOOKUP($H$8&amp;$F$1,'Input RM sheet'!$A:$BD,I1,0)</f>
        <v>0.70452465834818778</v>
      </c>
      <c r="K8" s="74">
        <f>VLOOKUP($H$8&amp;$F$1,'Input RM sheet'!$A:$BD,J1,0)</f>
        <v>0.68074272133095659</v>
      </c>
      <c r="L8" s="74">
        <f>VLOOKUP($H$8&amp;$F$1,'Input RM sheet'!$A:$BD,K1,0)</f>
        <v>0.63317884729649432</v>
      </c>
      <c r="M8" s="74">
        <f>VLOOKUP($H$8&amp;$F$1,'Input RM sheet'!$A:$BD,L1,0)</f>
        <v>0.61098237274707867</v>
      </c>
      <c r="N8" s="74">
        <f>VLOOKUP($H$8&amp;$F$1,'Input RM sheet'!$A:$BD,M1,0)</f>
        <v>0.60622598534363248</v>
      </c>
      <c r="O8" s="74">
        <f>VLOOKUP($H$8&amp;$F$1,'Input RM sheet'!$A:$BD,N1,0)</f>
        <v>0.61415329768270943</v>
      </c>
      <c r="P8" s="74">
        <f>VLOOKUP($H$8&amp;$F$1,'Input RM sheet'!$A:$BD,O1,0)</f>
        <v>0.63952069716775606</v>
      </c>
      <c r="Q8" s="74">
        <f>VLOOKUP($H$8&amp;$F$1,'Input RM sheet'!$A:$BD,P1,0)</f>
        <v>0.64586254703901769</v>
      </c>
      <c r="R8" s="74">
        <f>VLOOKUP($H$8&amp;$F$1,'Input RM sheet'!$A:$BD,Q1,0)</f>
        <v>0.65220439691027932</v>
      </c>
      <c r="S8" s="74">
        <f>VLOOKUP($H$8&amp;$F$1,'Input RM sheet'!$A:$BD,R1,0)</f>
        <v>0.6712299465240642</v>
      </c>
      <c r="T8" s="74">
        <f>VLOOKUP($H$8&amp;$F$1,'Input RM sheet'!$A:$BD,S1,0)</f>
        <v>0.69025549613784909</v>
      </c>
      <c r="U8" s="74">
        <f>VLOOKUP($H$8&amp;$F$1,'Input RM sheet'!$A:$BD,T1,0)</f>
        <v>0.72830659536541886</v>
      </c>
      <c r="V8" s="74">
        <f>VLOOKUP($H$8&amp;$F$1,'Input RM sheet'!$A:$BD,U1,0)</f>
        <v>0.73147752030104973</v>
      </c>
      <c r="W8" s="74">
        <f>VLOOKUP($H$8&amp;$F$1,'Input RM sheet'!$A:$BD,V1,0)</f>
        <v>0.7251356704297881</v>
      </c>
      <c r="X8" s="74">
        <f>VLOOKUP($H$8&amp;$F$1,'Input RM sheet'!$A:$BD,W1,0)</f>
        <v>0.71562289562289561</v>
      </c>
      <c r="Y8" s="74">
        <f>VLOOKUP($H$8&amp;$F$1,'Input RM sheet'!$A:$BD,X1,0)</f>
        <v>0.7203792830263418</v>
      </c>
      <c r="Z8" s="74">
        <f>VLOOKUP($H$8&amp;$F$1,'Input RM sheet'!$A:$BD,Y1,0)</f>
        <v>0.72672113289760354</v>
      </c>
      <c r="AA8" s="74">
        <f>VLOOKUP($H$8&amp;$F$1,'Input RM sheet'!$A:$BD,Z1,0)</f>
        <v>0.72830659536541886</v>
      </c>
      <c r="AB8" s="74">
        <f>VLOOKUP($H$8&amp;$F$1,'Input RM sheet'!$A:$BD,AA1,0)</f>
        <v>0.7346484452366806</v>
      </c>
      <c r="AC8" s="74">
        <f>VLOOKUP($H$8&amp;$F$1,'Input RM sheet'!$A:$BD,AB1,0)</f>
        <v>0.74733214497920386</v>
      </c>
      <c r="AD8" s="74">
        <f>VLOOKUP($H$8&amp;$F$1,'Input RM sheet'!$A:$BD,AC1,0)</f>
        <v>0.79648148148148157</v>
      </c>
      <c r="AE8" s="74">
        <f>VLOOKUP($H$8&amp;$F$1,'Input RM sheet'!$A:$BD,AD1,0)</f>
        <v>0.74891760744701918</v>
      </c>
      <c r="AF8" s="74">
        <f>VLOOKUP($H$8&amp;$F$1,'Input RM sheet'!$A:$BD,AE1,0)</f>
        <v>0.71562289562289561</v>
      </c>
      <c r="AG8" s="74">
        <f>VLOOKUP($H$8&amp;$F$1,'Input RM sheet'!$A:$BD,AF1,0)</f>
        <v>0.69659734600911072</v>
      </c>
      <c r="AH8" s="74">
        <f>VLOOKUP($H$8&amp;$F$1,'Input RM sheet'!$A:$BD,AG1,0)</f>
        <v>0.74733214497920386</v>
      </c>
      <c r="AI8" s="74">
        <f>VLOOKUP($H$8&amp;$F$1,'Input RM sheet'!$A:$BD,AH1,0)</f>
        <v>0.77269954446425038</v>
      </c>
      <c r="AJ8" s="74">
        <f>VLOOKUP($H$8&amp;$F$1,'Input RM sheet'!$A:$BD,AI1,0)</f>
        <v>0.74733214497920386</v>
      </c>
      <c r="AK8" s="74">
        <f>VLOOKUP($H$8&amp;$F$1,'Input RM sheet'!$A:$BD,AJ1,0)</f>
        <v>0.72196474549415723</v>
      </c>
      <c r="AL8" s="74">
        <f>VLOOKUP($H$8&amp;$F$1,'Input RM sheet'!$A:$BD,AK1,0)</f>
        <v>0.71562289562289561</v>
      </c>
      <c r="AM8" s="74">
        <f>VLOOKUP($H$8&amp;$F$1,'Input RM sheet'!$A:$BD,AL1,0)</f>
        <v>0.69976827094474159</v>
      </c>
      <c r="AN8" s="74">
        <f>VLOOKUP($H$8&amp;$F$1,'Input RM sheet'!$A:$BD,AM1,0)</f>
        <v>0.69976827094474159</v>
      </c>
      <c r="AO8" s="74">
        <f>VLOOKUP($H$8&amp;$F$1,'Input RM sheet'!$A:$BD,AN1,0)</f>
        <v>0.69976827094474159</v>
      </c>
      <c r="AP8" s="74">
        <f>VLOOKUP($H$8&amp;$F$1,'Input RM sheet'!$A:$BD,AO1,0)</f>
        <v>0.70611012081600322</v>
      </c>
      <c r="AQ8" s="74">
        <f>VLOOKUP($H$8&amp;$F$1,'Input RM sheet'!$A:$BD,AP1,0)</f>
        <v>0.70611012081600322</v>
      </c>
      <c r="AR8" s="74">
        <f>VLOOKUP($H$8&amp;$F$1,'Input RM sheet'!$A:$BD,AQ1,0)</f>
        <v>0.69976827094474159</v>
      </c>
      <c r="AS8" s="74">
        <f>VLOOKUP($H$8&amp;$F$1,'Input RM sheet'!$A:$BD,AR1,0)</f>
        <v>0.70611012081600322</v>
      </c>
      <c r="AT8" s="74">
        <f>VLOOKUP($H$8&amp;$F$1,'Input RM sheet'!$A:$BD,AS1,0)</f>
        <v>0.7203792830263418</v>
      </c>
      <c r="AU8" s="74">
        <f>VLOOKUP($H$8&amp;$F$1,'Input RM sheet'!$A:$BD,AT1,0)</f>
        <v>0.7298920578332343</v>
      </c>
      <c r="AV8" s="74">
        <f>VLOOKUP($H$8&amp;$F$1,'Input RM sheet'!$A:$BD,AU1,0)</f>
        <v>0.71245197068726485</v>
      </c>
      <c r="AW8" s="74">
        <f>VLOOKUP($H$8&amp;$F$1,'Input RM sheet'!$A:$BD,AV1,0)</f>
        <v>0.69659734600911072</v>
      </c>
      <c r="AX8" s="74">
        <f>VLOOKUP($H$8&amp;$F$1,'Input RM sheet'!$A:$BD,AW1,0)</f>
        <v>0.69025549613784909</v>
      </c>
      <c r="AY8" s="74">
        <f>VLOOKUP($H$8&amp;$F$1,'Input RM sheet'!$A:$BD,AX1,0)</f>
        <v>0.69025549613784909</v>
      </c>
      <c r="AZ8" s="74">
        <f>VLOOKUP($H$8&amp;$F$1,'Input RM sheet'!$A:$BD,AY1,0)</f>
        <v>0.68391364626658746</v>
      </c>
      <c r="BA8" s="74">
        <f>VLOOKUP($H$8&amp;$F$1,'Input RM sheet'!$A:$BD,AZ1,0)</f>
        <v>0.68391364626658746</v>
      </c>
      <c r="BB8" s="74">
        <f>VLOOKUP($H$8&amp;$F$1,'Input RM sheet'!$A:$BD,BA1,0)</f>
        <v>0.68391364626658746</v>
      </c>
      <c r="BC8" s="74">
        <f>VLOOKUP($H$8&amp;$F$1,'Input RM sheet'!$A:$BD,BB1,0)</f>
        <v>0.68391364626658746</v>
      </c>
      <c r="BD8" s="74">
        <f>VLOOKUP($H$8&amp;$F$1,'Input RM sheet'!$A:$BD,BC1,0)</f>
        <v>0.69659734600911072</v>
      </c>
      <c r="BE8" s="74">
        <f>VLOOKUP($H$8&amp;$F$1,'Input RM sheet'!$A:$BD,BD1,0)</f>
        <v>0.69659734600911072</v>
      </c>
      <c r="BF8" s="74">
        <f>VLOOKUP($H$8&amp;$F$1,'Input RM sheet'!$A:$BD,BE1,0)</f>
        <v>0.69659734600911072</v>
      </c>
      <c r="BG8" s="74">
        <f>VLOOKUP($H$8&amp;$F$1,'Input RM sheet'!$A:$DD,BF1,0)</f>
        <v>0.69659734600911072</v>
      </c>
      <c r="BH8" s="74">
        <f>VLOOKUP($H$8&amp;$F$1,'Input RM sheet'!$A:$DD,BG1,0)</f>
        <v>0.69659734600911072</v>
      </c>
      <c r="BI8" s="74">
        <f>VLOOKUP($H$8&amp;$F$1,'Input RM sheet'!$A:$DD,BH1,0)</f>
        <v>0.70928104575163409</v>
      </c>
      <c r="BJ8" s="74">
        <f>VLOOKUP($H$8&amp;$F$1,'Input RM sheet'!$A:$DD,BI1,0)</f>
        <v>0.70928104575163409</v>
      </c>
      <c r="BK8" s="74">
        <f>VLOOKUP($H$8&amp;$F$1,'Input RM sheet'!$A:$DD,BJ1,0)</f>
        <v>0.70928104575163409</v>
      </c>
      <c r="BL8" s="74">
        <f>VLOOKUP($H$8&amp;$F$1,'Input RM sheet'!$A:$DD,BK1,0)</f>
        <v>0.70928104575163409</v>
      </c>
      <c r="BM8" s="74">
        <f>VLOOKUP($H$8&amp;$F$1,'Input RM sheet'!$A:$DD,BL1,0)</f>
        <v>0.70928104575163409</v>
      </c>
      <c r="BN8" s="74">
        <f>VLOOKUP($H$8&amp;$F$1,'Input RM sheet'!$A:$DD,BM1,0)</f>
        <v>0.70928104575163409</v>
      </c>
      <c r="BO8" s="74">
        <f>VLOOKUP($H$8&amp;$F$1,'Input RM sheet'!$A:$DD,BN1,0)</f>
        <v>0.70928104575163409</v>
      </c>
      <c r="BP8" s="74">
        <f>VLOOKUP($H$8&amp;$F$1,'Input RM sheet'!$A:$DD,BO1,0)</f>
        <v>0.69976827094474159</v>
      </c>
      <c r="BQ8" s="74">
        <f>VLOOKUP($H$8&amp;$F$1,'Input RM sheet'!$A:$DD,BP1,0)</f>
        <v>0.69976827094474159</v>
      </c>
      <c r="BR8" s="74">
        <f>VLOOKUP($H$8&amp;$F$1,'Input RM sheet'!$A:$DD,BQ1,0)</f>
        <v>0.69976827094474159</v>
      </c>
      <c r="BS8" s="74">
        <f>VLOOKUP($H$8&amp;$F$1,'Input RM sheet'!$A:$DD,BR1,0)</f>
        <v>0.69976827094474159</v>
      </c>
      <c r="BT8" s="74">
        <f>VLOOKUP($H$8&amp;$F$1,'Input RM sheet'!$A:$DD,BS1,0)</f>
        <v>0.71245197068726485</v>
      </c>
      <c r="BU8" s="74">
        <f>VLOOKUP($H$8&amp;$F$1,'Input RM sheet'!$A:$DD,BT1,0)</f>
        <v>0.71245197068726485</v>
      </c>
      <c r="BV8" s="74">
        <f>VLOOKUP($H$8&amp;$F$1,'Input RM sheet'!$A:$DD,BU1,0)</f>
        <v>0.71245197068726485</v>
      </c>
      <c r="BW8" s="74">
        <f>VLOOKUP($H$8&amp;$F$1,'Input RM sheet'!$A:$DD,BV1,0)</f>
        <v>0.71403743315508028</v>
      </c>
      <c r="BX8" s="74">
        <f>VLOOKUP($H$8&amp;$F$1,'Input RM sheet'!$A:$DD,BW1,0)</f>
        <v>0.71403743315508028</v>
      </c>
      <c r="BY8" s="74">
        <f>VLOOKUP($H$8&amp;$F$1,'Input RM sheet'!$A:$DD,BX1,0)</f>
        <v>0.71403743315508028</v>
      </c>
      <c r="BZ8" s="74">
        <f>VLOOKUP($H$8&amp;$F$1,'Input RM sheet'!$A:$DD,BY1,0)</f>
        <v>0.7203792830263418</v>
      </c>
      <c r="CA8" s="74">
        <f>VLOOKUP($H$8&amp;$F$1,'Input RM sheet'!$A:$DD,BZ1,0)</f>
        <v>0.7203792830263418</v>
      </c>
      <c r="CB8" s="74">
        <f>VLOOKUP($H$8&amp;$F$1,'Input RM sheet'!$A:$DD,CA1,0)</f>
        <v>0.7203792830263418</v>
      </c>
      <c r="CC8" s="74">
        <f>VLOOKUP($H$8&amp;$F$1,'Input RM sheet'!$A:$DD,CB1,0)</f>
        <v>0.7203792830263418</v>
      </c>
      <c r="CD8" s="74">
        <f>VLOOKUP($H$8&amp;$F$1,'Input RM sheet'!$A:$DD,CC1,0)</f>
        <v>0.7203792830263418</v>
      </c>
      <c r="CE8" s="74">
        <f>VLOOKUP($H$8&amp;$F$1,'Input RM sheet'!$A:$DD,CD1,0)</f>
        <v>0.7203792830263418</v>
      </c>
      <c r="CF8" s="74">
        <f>VLOOKUP($H$8&amp;$F$1,'Input RM sheet'!$A:$DD,CE1,0)</f>
        <v>0.7203792830263418</v>
      </c>
      <c r="CG8" s="74">
        <f>VLOOKUP($H$8&amp;$F$1,'Input RM sheet'!$A:$DD,CF1,0)</f>
        <v>0.7251356704297881</v>
      </c>
      <c r="CH8" s="74">
        <f>VLOOKUP($H$8&amp;$F$1,'Input RM sheet'!$A:$DD,CG1,0)</f>
        <v>0.7251356704297881</v>
      </c>
      <c r="CI8" s="74">
        <f>VLOOKUP($H$8&amp;$F$1,'Input RM sheet'!$A:$DD,CH1,0)</f>
        <v>0.71879382055852648</v>
      </c>
      <c r="CJ8" s="74">
        <f>VLOOKUP($H$8&amp;$F$1,'Input RM sheet'!$A:$DD,CI1,0)</f>
        <v>0.71879382055852648</v>
      </c>
      <c r="CK8" s="74">
        <f>VLOOKUP($H$8&amp;$F$1,'Input RM sheet'!$A:$DD,CJ1,0)</f>
        <v>0.71879382055852648</v>
      </c>
      <c r="CL8" s="74">
        <f>VLOOKUP($H$8&amp;$F$1,'Input RM sheet'!$A:$DD,CK1,0)</f>
        <v>0.71879382055852648</v>
      </c>
      <c r="CM8" s="74">
        <f>VLOOKUP($H$8&amp;$F$1,'Input RM sheet'!$A:$DD,CL1,0)</f>
        <v>0.71720835809071104</v>
      </c>
      <c r="CN8" s="74">
        <f>VLOOKUP($H$8&amp;$F$1,'Input RM sheet'!$A:$DD,CM1,0)</f>
        <v>0.71720835809071104</v>
      </c>
      <c r="CO8" s="74">
        <f>VLOOKUP($H$8&amp;$F$1,'Input RM sheet'!$A:$DD,CN1,0)</f>
        <v>0.71720835809071104</v>
      </c>
      <c r="CP8" s="74">
        <f>VLOOKUP($H$8&amp;$F$1,'Input RM sheet'!$A:$DD,CO1,0)</f>
        <v>0.71720835809071104</v>
      </c>
      <c r="CQ8" s="74">
        <f>VLOOKUP($H$8&amp;$F$1,'Input RM sheet'!$A:$DD,CP1,0)</f>
        <v>0.71720835809071104</v>
      </c>
      <c r="CR8" s="74">
        <f>VLOOKUP($H$8&amp;$F$1,'Input RM sheet'!$A:$ZZ,CQ1,0)</f>
        <v>0.71720835809071104</v>
      </c>
      <c r="CS8" s="74">
        <f>VLOOKUP($H$8&amp;$F$1,'Input RM sheet'!$A:$ZZ,CR1,0)</f>
        <v>0.71562289562289561</v>
      </c>
      <c r="CT8" s="74">
        <f>VLOOKUP($H$8&amp;$F$1,'Input RM sheet'!$A:$ZZ,CS1,0)</f>
        <v>0.71562289562289561</v>
      </c>
      <c r="CU8" s="74">
        <f>VLOOKUP($H$8&amp;$F$1,'Input RM sheet'!$A:$ZZ,CT1,0)</f>
        <v>0.71562289562289561</v>
      </c>
      <c r="CV8" s="74">
        <f>VLOOKUP($H$8&amp;$F$1,'Input RM sheet'!$A:$ZZ,CU1,0)</f>
        <v>0.71562289562289561</v>
      </c>
      <c r="CW8" s="74">
        <f>VLOOKUP($H$8&amp;$F$1,'Input RM sheet'!$A:$ZZ,CV1,0)</f>
        <v>0.71245197068726485</v>
      </c>
      <c r="CX8" s="74">
        <f>VLOOKUP($H$8&amp;$F$1,'Input RM sheet'!$A:$ZZ,CW1,0)</f>
        <v>0.71245197068726485</v>
      </c>
      <c r="CY8" s="74">
        <f>VLOOKUP($H$8&amp;$F$1,'Input RM sheet'!$A:$ZZ,CX1,0)</f>
        <v>0.71245197068726485</v>
      </c>
      <c r="CZ8" s="74">
        <f>VLOOKUP($H$8&amp;$F$1,'Input RM sheet'!$A:$ZZ,CY1,0)</f>
        <v>0.71245197068726485</v>
      </c>
      <c r="DA8" s="74">
        <f>VLOOKUP($H$8&amp;$F$1,'Input RM sheet'!$A:$ZZ,CZ1,0)</f>
        <v>0.71245197068726485</v>
      </c>
      <c r="DB8" s="74">
        <f>VLOOKUP($H$8&amp;$F$1,'Input RM sheet'!$A:$ZZ,DA1,0)</f>
        <v>0.71245197068726485</v>
      </c>
      <c r="DC8" s="74">
        <f>VLOOKUP($H$8&amp;$F$1,'Input RM sheet'!$A:$ZZ,DB1,0)</f>
        <v>0.71245197068726485</v>
      </c>
      <c r="DD8" s="74">
        <f>VLOOKUP($H$8&amp;$F$1,'Input RM sheet'!$A:$ZZ,DC1,0)</f>
        <v>0.71245197068726485</v>
      </c>
      <c r="DE8" s="74">
        <f>VLOOKUP($H$8&amp;$F$1,'Input RM sheet'!$A:$ZZ,DD1,0)</f>
        <v>0.71245197068726485</v>
      </c>
      <c r="DF8" s="74">
        <f>VLOOKUP($H$8&amp;$F$1,'Input RM sheet'!$A:$ZZ,DE1,0)</f>
        <v>0.71245197068726485</v>
      </c>
      <c r="DG8" s="74">
        <f>VLOOKUP($H$8&amp;$F$1,'Input RM sheet'!$A:$ZZ,DF1,0)</f>
        <v>0.71245197068726485</v>
      </c>
      <c r="DH8" s="74">
        <f>VLOOKUP($H$8&amp;$F$1,'Input RM sheet'!$A:$ZZ,DG1,0)</f>
        <v>0.71245197068726485</v>
      </c>
      <c r="DI8" s="74">
        <f>VLOOKUP($H$8&amp;$F$1,'Input RM sheet'!$A:$ZZ,DH1,0)</f>
        <v>0.71245197068726485</v>
      </c>
      <c r="DJ8" s="74">
        <f>VLOOKUP($H$8&amp;$F$1,'Input RM sheet'!$A:$ZZ,DI1,0)</f>
        <v>0.71879382055852648</v>
      </c>
      <c r="DK8" s="74">
        <f>VLOOKUP($H$8&amp;$F$1,'Input RM sheet'!$A:$ZZ,DJ1,0)</f>
        <v>0.71879382055852648</v>
      </c>
      <c r="DL8" s="74">
        <f>VLOOKUP($H$8&amp;$F$1,'Input RM sheet'!$A:$ZZ,DK1,0)</f>
        <v>0.71879382055852648</v>
      </c>
      <c r="DM8" s="74">
        <f>VLOOKUP($H$8&amp;$F$1,'Input RM sheet'!$A:$ZZ,DL1,0)</f>
        <v>0.71879382055852648</v>
      </c>
      <c r="DN8" s="74">
        <f>VLOOKUP($H$8&amp;$F$1,'Input RM sheet'!$A:$ZZ,DM1,0)</f>
        <v>0.70928104575163409</v>
      </c>
      <c r="DO8" s="74">
        <f>VLOOKUP($H$8&amp;$F$1,'Input RM sheet'!$A:$ZZ,DN1,0)</f>
        <v>0.70928104575163409</v>
      </c>
      <c r="DP8" s="74">
        <f>VLOOKUP($H$8&amp;$F$1,'Input RM sheet'!$A:$ZZ,DO1,0)</f>
        <v>0.70928104575163409</v>
      </c>
      <c r="DQ8" s="74">
        <f>VLOOKUP($H$8&amp;$F$1,'Input RM sheet'!$A:$ZZ,DP1,0)</f>
        <v>0.70928104575163409</v>
      </c>
      <c r="DR8" s="74">
        <f>VLOOKUP($H$8&amp;$F$1,'Input RM sheet'!$A:$ZZ,DQ1,0)</f>
        <v>0.70928104575163409</v>
      </c>
      <c r="DS8" s="74">
        <f>VLOOKUP($H$8&amp;$F$1,'Input RM sheet'!$A:$ZZ,DR1,0)</f>
        <v>0.7203792830263418</v>
      </c>
      <c r="DT8" s="74">
        <f>VLOOKUP($H$8&amp;$F$1,'Input RM sheet'!$A:$ZZ,DS1,0)</f>
        <v>0</v>
      </c>
      <c r="DU8" s="74">
        <f>VLOOKUP($H$8&amp;$F$1,'Input RM sheet'!$A:$ZZ,DT1,0)</f>
        <v>0</v>
      </c>
      <c r="DV8" s="74">
        <f>VLOOKUP($H$8&amp;$F$1,'Input RM sheet'!$A:$ZZ,DU1,0)</f>
        <v>0</v>
      </c>
      <c r="DW8" s="74">
        <f>VLOOKUP($H$8&amp;$F$1,'Input RM sheet'!$A:$ZZ,DV1,0)</f>
        <v>0</v>
      </c>
      <c r="DX8" s="74">
        <f>VLOOKUP($H$8&amp;$F$1,'Input RM sheet'!$A:$ZZ,DW1,0)</f>
        <v>0</v>
      </c>
      <c r="DY8" s="74">
        <f>VLOOKUP($H$8&amp;$F$1,'Input RM sheet'!$A:$ZZ,DX1,0)</f>
        <v>0</v>
      </c>
      <c r="DZ8" s="74">
        <f>VLOOKUP($H$8&amp;$F$1,'Input RM sheet'!$A:$ZZ,DY1,0)</f>
        <v>0</v>
      </c>
      <c r="EA8" s="74">
        <f>VLOOKUP($H$8&amp;$F$1,'Input RM sheet'!$A:$ZZ,DZ1,0)</f>
        <v>0</v>
      </c>
      <c r="EB8" s="74">
        <f>VLOOKUP($H$8&amp;$F$1,'Input RM sheet'!$A:$ZZ,EA1,0)</f>
        <v>0</v>
      </c>
      <c r="EC8" s="74">
        <f>VLOOKUP($H$8&amp;$F$1,'Input RM sheet'!$A:$ZZ,EB1,0)</f>
        <v>0</v>
      </c>
      <c r="ED8" s="74">
        <f>VLOOKUP($H$8&amp;$F$1,'Input RM sheet'!$A:$ZZ,EC1,0)</f>
        <v>0</v>
      </c>
      <c r="EE8" s="74">
        <f>VLOOKUP($H$8&amp;$F$1,'Input RM sheet'!$A:$ZZ,ED1,0)</f>
        <v>0</v>
      </c>
      <c r="EF8" s="74">
        <f>VLOOKUP($H$8&amp;$F$1,'Input RM sheet'!$A:$ZZ,EE1,0)</f>
        <v>0</v>
      </c>
      <c r="EG8" s="74">
        <f>VLOOKUP($H$8&amp;$F$1,'Input RM sheet'!$A:$ZZ,EF1,0)</f>
        <v>0</v>
      </c>
      <c r="EH8" s="74">
        <f>VLOOKUP($H$8&amp;$F$1,'Input RM sheet'!$A:$ZZ,EG1,0)</f>
        <v>0</v>
      </c>
      <c r="EI8" s="74">
        <f>VLOOKUP($H$8&amp;$F$1,'Input RM sheet'!$A:$ZZ,EH1,0)</f>
        <v>0</v>
      </c>
      <c r="EJ8" s="74">
        <f>VLOOKUP($H$8&amp;$F$1,'Input RM sheet'!$A:$ZZ,EI1,0)</f>
        <v>0</v>
      </c>
      <c r="EK8" s="74">
        <f>VLOOKUP($H$8&amp;$F$1,'Input RM sheet'!$A:$ZZ,EJ1,0)</f>
        <v>0</v>
      </c>
      <c r="EL8" s="74">
        <f>VLOOKUP($H$8&amp;$F$1,'Input RM sheet'!$A:$ZZ,EK1,0)</f>
        <v>0</v>
      </c>
      <c r="EM8" s="74">
        <f>VLOOKUP($H$8&amp;$F$1,'Input RM sheet'!$A:$ZZ,EL1,0)</f>
        <v>0</v>
      </c>
      <c r="EN8" s="74">
        <f>VLOOKUP($H$8&amp;$F$1,'Input RM sheet'!$A:$ZZ,EM1,0)</f>
        <v>0</v>
      </c>
      <c r="EO8" s="74">
        <f>VLOOKUP($H$8&amp;$F$1,'Input RM sheet'!$A:$ZZ,EN1,0)</f>
        <v>0</v>
      </c>
      <c r="EP8" s="74">
        <f>VLOOKUP($H$8&amp;$F$1,'Input RM sheet'!$A:$ZZ,EO1,0)</f>
        <v>0</v>
      </c>
      <c r="EQ8" s="74">
        <f>VLOOKUP($H$8&amp;$F$1,'Input RM sheet'!$A:$ZZ,EP1,0)</f>
        <v>0</v>
      </c>
      <c r="ER8" s="74">
        <f>VLOOKUP($H$8&amp;$F$1,'Input RM sheet'!$A:$ZZ,EQ1,0)</f>
        <v>0</v>
      </c>
      <c r="ES8" s="74">
        <f>VLOOKUP($H$8&amp;$F$1,'Input RM sheet'!$A:$ZZ,ER1,0)</f>
        <v>0</v>
      </c>
      <c r="ET8" s="74">
        <f>VLOOKUP($H$8&amp;$F$1,'Input RM sheet'!$A:$ZZ,ES1,0)</f>
        <v>0</v>
      </c>
      <c r="EU8" s="74">
        <f>VLOOKUP($H$8&amp;$F$1,'Input RM sheet'!$A:$ZZ,ET1,0)</f>
        <v>0</v>
      </c>
      <c r="EV8" s="74">
        <f>VLOOKUP($H$8&amp;$F$1,'Input RM sheet'!$A:$ZZ,EU1,0)</f>
        <v>0</v>
      </c>
      <c r="EW8" s="74">
        <f>VLOOKUP($H$8&amp;$F$1,'Input RM sheet'!$A:$ZZ,EV1,0)</f>
        <v>0</v>
      </c>
      <c r="EX8" s="74" t="e" vm="1">
        <f>VLOOKUP($H$8&amp;$F$1,'Input RM sheet'!$A:$ZZ,EW1,0)</f>
        <v>#VALUE!</v>
      </c>
      <c r="EY8" s="74" t="e" vm="1">
        <f>VLOOKUP($H$8&amp;$F$1,'Input RM sheet'!$A:$ZZ,EX1,0)</f>
        <v>#VALUE!</v>
      </c>
      <c r="EZ8" s="74" t="e" vm="1">
        <f>VLOOKUP($H$8&amp;$F$1,'Input RM sheet'!$A:$ZZ,EY1,0)</f>
        <v>#VALUE!</v>
      </c>
      <c r="FA8" s="74" t="e" vm="1">
        <f>VLOOKUP($H$8&amp;$F$1,'Input RM sheet'!$A:$ZZ,EZ1,0)</f>
        <v>#VALUE!</v>
      </c>
      <c r="FB8" s="74" t="e" vm="1">
        <f>VLOOKUP($H$8&amp;$F$1,'Input RM sheet'!$A:$ZZ,FA1,0)</f>
        <v>#VALUE!</v>
      </c>
      <c r="FC8" s="74" t="e" vm="1">
        <f>VLOOKUP($H$8&amp;$F$1,'Input RM sheet'!$A:$ZZ,FB1,0)</f>
        <v>#VALUE!</v>
      </c>
    </row>
    <row r="9" spans="1:159" ht="26">
      <c r="A9" s="59" t="s">
        <v>395</v>
      </c>
      <c r="B9" s="59"/>
      <c r="C9" s="59" t="s">
        <v>379</v>
      </c>
      <c r="D9" s="98" t="s">
        <v>380</v>
      </c>
      <c r="E9" s="98" t="s">
        <v>381</v>
      </c>
      <c r="F9" s="59" t="s">
        <v>396</v>
      </c>
      <c r="H9" s="60" t="s">
        <v>399</v>
      </c>
      <c r="I9" s="84"/>
      <c r="J9" s="84"/>
      <c r="K9" s="84"/>
      <c r="L9" s="84"/>
      <c r="M9" s="84"/>
      <c r="N9" s="84"/>
      <c r="O9" s="84"/>
      <c r="P9" s="84"/>
      <c r="Q9" s="84"/>
      <c r="R9" s="84"/>
      <c r="S9" s="84"/>
      <c r="T9" s="84"/>
      <c r="U9" s="84"/>
      <c r="V9" s="84"/>
      <c r="W9" s="84"/>
      <c r="X9" s="84"/>
      <c r="Y9" s="84"/>
      <c r="Z9" s="84"/>
      <c r="AA9" s="84"/>
      <c r="AB9" s="84"/>
      <c r="AC9" s="84"/>
      <c r="AD9" s="84"/>
      <c r="AE9" s="84"/>
      <c r="AF9" s="84"/>
      <c r="AG9" s="84"/>
      <c r="AH9" s="84"/>
      <c r="AI9" s="84"/>
      <c r="AJ9" s="84"/>
      <c r="AK9" s="84"/>
      <c r="AL9" s="84"/>
      <c r="AM9" s="84"/>
      <c r="AN9" s="84"/>
      <c r="AO9" s="84"/>
      <c r="AP9" s="84"/>
      <c r="AQ9" s="84"/>
      <c r="AR9" s="84"/>
      <c r="AS9" s="84"/>
      <c r="AT9" s="84"/>
      <c r="AU9" s="84"/>
    </row>
    <row r="10" spans="1:159">
      <c r="A10" s="59"/>
      <c r="B10" s="59"/>
      <c r="C10" s="59"/>
      <c r="D10" s="98"/>
      <c r="E10" s="98"/>
      <c r="F10" s="59"/>
      <c r="I10" s="84"/>
      <c r="J10" s="84"/>
      <c r="K10" s="84"/>
      <c r="L10" s="84"/>
      <c r="M10" s="84"/>
      <c r="N10" s="84"/>
      <c r="O10" s="84"/>
      <c r="P10" s="84"/>
      <c r="Q10" s="84"/>
      <c r="R10" s="84"/>
      <c r="S10" s="84"/>
      <c r="T10" s="84"/>
      <c r="U10" s="84"/>
      <c r="V10" s="84"/>
      <c r="W10" s="84"/>
      <c r="X10" s="84"/>
      <c r="Y10" s="84"/>
      <c r="Z10" s="84"/>
      <c r="AA10" s="84"/>
      <c r="AB10" s="84"/>
      <c r="AC10" s="84"/>
      <c r="AD10" s="84"/>
      <c r="AE10" s="84"/>
      <c r="AF10" s="84"/>
      <c r="AG10" s="84"/>
      <c r="AH10" s="84"/>
      <c r="AI10" s="84"/>
      <c r="AJ10" s="84"/>
      <c r="AK10" s="84"/>
      <c r="AL10" s="84"/>
      <c r="AM10" s="84"/>
      <c r="AN10" s="84"/>
      <c r="AO10" s="84"/>
      <c r="AP10" s="84"/>
      <c r="AQ10" s="84"/>
      <c r="AR10" s="84"/>
      <c r="AS10" s="84"/>
      <c r="AT10" s="84"/>
      <c r="AU10" s="84"/>
    </row>
    <row r="11" spans="1:159" ht="13">
      <c r="A11" s="107" t="s">
        <v>397</v>
      </c>
      <c r="B11" s="112" t="s">
        <v>667</v>
      </c>
      <c r="C11" s="60">
        <v>1</v>
      </c>
      <c r="D11" s="64">
        <v>28.08</v>
      </c>
      <c r="E11" s="60">
        <f>D11*C11</f>
        <v>28.08</v>
      </c>
      <c r="F11" s="65">
        <f>E11/E2</f>
        <v>0.21757322175732216</v>
      </c>
      <c r="I11" s="74">
        <f>$F$11*I7</f>
        <v>0</v>
      </c>
      <c r="J11" s="74">
        <f t="shared" ref="J11:AU11" si="0">$F$11*J7</f>
        <v>0</v>
      </c>
      <c r="K11" s="74">
        <f t="shared" si="0"/>
        <v>0</v>
      </c>
      <c r="L11" s="74">
        <f t="shared" si="0"/>
        <v>0</v>
      </c>
      <c r="M11" s="74">
        <f t="shared" si="0"/>
        <v>0</v>
      </c>
      <c r="N11" s="74">
        <f t="shared" si="0"/>
        <v>0</v>
      </c>
      <c r="O11" s="74">
        <f t="shared" si="0"/>
        <v>0</v>
      </c>
      <c r="P11" s="74">
        <f t="shared" si="0"/>
        <v>0</v>
      </c>
      <c r="Q11" s="74">
        <f t="shared" si="0"/>
        <v>0</v>
      </c>
      <c r="R11" s="74">
        <f t="shared" si="0"/>
        <v>0</v>
      </c>
      <c r="S11" s="74">
        <f t="shared" si="0"/>
        <v>0</v>
      </c>
      <c r="T11" s="74">
        <f t="shared" si="0"/>
        <v>0</v>
      </c>
      <c r="U11" s="74">
        <f t="shared" si="0"/>
        <v>0.40529308786412255</v>
      </c>
      <c r="V11" s="74">
        <f t="shared" si="0"/>
        <v>0.40628107002554142</v>
      </c>
      <c r="W11" s="74">
        <f t="shared" si="0"/>
        <v>0.40579530714804007</v>
      </c>
      <c r="X11" s="74">
        <f t="shared" si="0"/>
        <v>0.3931457583283085</v>
      </c>
      <c r="Y11" s="74">
        <f t="shared" si="0"/>
        <v>0.41065694986107154</v>
      </c>
      <c r="Z11" s="74">
        <f t="shared" si="0"/>
        <v>0.42172010160761858</v>
      </c>
      <c r="AA11" s="74">
        <f t="shared" si="0"/>
        <v>0.43387212294694494</v>
      </c>
      <c r="AB11" s="74">
        <f t="shared" si="0"/>
        <v>0.57211164658796987</v>
      </c>
      <c r="AC11" s="74">
        <f t="shared" si="0"/>
        <v>1.0817943810197006</v>
      </c>
      <c r="AD11" s="74">
        <f t="shared" si="0"/>
        <v>1.5790502935929227</v>
      </c>
      <c r="AE11" s="74">
        <f t="shared" si="0"/>
        <v>0.92644116746249805</v>
      </c>
      <c r="AF11" s="74">
        <f t="shared" si="0"/>
        <v>0.69818340698744308</v>
      </c>
      <c r="AG11" s="74">
        <f t="shared" si="0"/>
        <v>0.63189213217549611</v>
      </c>
      <c r="AH11" s="74">
        <f t="shared" si="0"/>
        <v>0.64642138261588855</v>
      </c>
      <c r="AI11" s="74">
        <f t="shared" si="0"/>
        <v>0.70444240642433209</v>
      </c>
      <c r="AJ11" s="74">
        <f t="shared" si="0"/>
        <v>0.61385190919602561</v>
      </c>
      <c r="AK11" s="74">
        <f t="shared" si="0"/>
        <v>0.570140663965926</v>
      </c>
      <c r="AL11" s="74">
        <f t="shared" si="0"/>
        <v>0.51742320366397976</v>
      </c>
      <c r="AM11" s="74">
        <f t="shared" si="0"/>
        <v>0.51302201724786178</v>
      </c>
      <c r="AN11" s="74">
        <f t="shared" si="0"/>
        <v>0.55904192666947661</v>
      </c>
      <c r="AO11" s="74">
        <f t="shared" si="0"/>
        <v>0.55760021245358926</v>
      </c>
      <c r="AP11" s="74">
        <f t="shared" si="0"/>
        <v>0.56779943847705283</v>
      </c>
      <c r="AQ11" s="74">
        <f t="shared" si="0"/>
        <v>0.5709497056377616</v>
      </c>
      <c r="AR11" s="74">
        <f t="shared" si="0"/>
        <v>0.55032132651605203</v>
      </c>
      <c r="AS11" s="74">
        <f t="shared" si="0"/>
        <v>0.53110909593742717</v>
      </c>
      <c r="AT11" s="74">
        <f t="shared" si="0"/>
        <v>0.49858617967082403</v>
      </c>
      <c r="AU11" s="74">
        <f t="shared" si="0"/>
        <v>0.48748130015193991</v>
      </c>
      <c r="AV11" s="74">
        <f t="shared" ref="AV11:BN11" si="1">$F$11*AV7</f>
        <v>0.45103610454592136</v>
      </c>
      <c r="AW11" s="74">
        <f t="shared" si="1"/>
        <v>0.42945506831088154</v>
      </c>
      <c r="AX11" s="74">
        <f t="shared" si="1"/>
        <v>0.36701761831847934</v>
      </c>
      <c r="AY11" s="74">
        <f t="shared" si="1"/>
        <v>0.36490156447306771</v>
      </c>
      <c r="AZ11" s="74">
        <f t="shared" si="1"/>
        <v>0.36490156447306771</v>
      </c>
      <c r="BA11" s="74">
        <f t="shared" si="1"/>
        <v>0.36449397892727403</v>
      </c>
      <c r="BB11" s="74">
        <f t="shared" si="1"/>
        <v>0.3670428878708214</v>
      </c>
      <c r="BC11" s="74">
        <f t="shared" si="1"/>
        <v>0.36298155577819818</v>
      </c>
      <c r="BD11" s="74">
        <f t="shared" si="1"/>
        <v>0.3609844082911105</v>
      </c>
      <c r="BE11" s="74">
        <f t="shared" si="1"/>
        <v>0.37108704683229254</v>
      </c>
      <c r="BF11" s="74">
        <f t="shared" si="1"/>
        <v>0.38059532703582466</v>
      </c>
      <c r="BG11" s="74">
        <f t="shared" si="1"/>
        <v>0.37955402655145853</v>
      </c>
      <c r="BH11" s="74">
        <f t="shared" si="1"/>
        <v>0.40330955196648455</v>
      </c>
      <c r="BI11" s="74">
        <f t="shared" si="1"/>
        <v>0.40829597197276607</v>
      </c>
      <c r="BJ11" s="74">
        <f t="shared" si="1"/>
        <v>0.40275707312817438</v>
      </c>
      <c r="BK11" s="74">
        <f t="shared" si="1"/>
        <v>0.41779122713492345</v>
      </c>
      <c r="BL11" s="74">
        <f t="shared" si="1"/>
        <v>0.42252420154445552</v>
      </c>
      <c r="BM11" s="74">
        <f t="shared" si="1"/>
        <v>0.41221516415894005</v>
      </c>
      <c r="BN11" s="74">
        <f t="shared" si="1"/>
        <v>0.40770648208792659</v>
      </c>
      <c r="BO11" s="74">
        <f t="shared" ref="BO11:BV11" si="2">$F$11*BO7</f>
        <v>0.40839175171305381</v>
      </c>
      <c r="BP11" s="74">
        <f t="shared" si="2"/>
        <v>0.40258922770864114</v>
      </c>
      <c r="BQ11" s="74">
        <f t="shared" si="2"/>
        <v>0.40258922770864114</v>
      </c>
      <c r="BR11" s="74">
        <f t="shared" si="2"/>
        <v>0.41166166100911761</v>
      </c>
      <c r="BS11" s="74">
        <f t="shared" si="2"/>
        <v>0.41016443604879282</v>
      </c>
      <c r="BT11" s="74">
        <f t="shared" si="2"/>
        <v>0.41441483880034657</v>
      </c>
      <c r="BU11" s="74">
        <f t="shared" si="2"/>
        <v>0.41093723176146257</v>
      </c>
      <c r="BV11" s="74">
        <f t="shared" si="2"/>
        <v>0.42419133565277939</v>
      </c>
      <c r="BW11" s="74">
        <f>$F$11*BW7</f>
        <v>0.42332269620239305</v>
      </c>
      <c r="BX11" s="74">
        <f>$F$11*BX7</f>
        <v>0.42196676187759352</v>
      </c>
      <c r="BY11" s="74">
        <f>$F$11*BY7</f>
        <v>0.41618423521492343</v>
      </c>
      <c r="BZ11" s="74">
        <f t="shared" ref="BZ11:CH11" si="3">$F$11*BZ7</f>
        <v>0.41406153126836881</v>
      </c>
      <c r="CA11" s="74">
        <f t="shared" si="3"/>
        <v>0.41406153126836881</v>
      </c>
      <c r="CB11" s="74">
        <f t="shared" si="3"/>
        <v>0.40945444886204485</v>
      </c>
      <c r="CC11" s="74">
        <f t="shared" si="3"/>
        <v>0.40868389326072796</v>
      </c>
      <c r="CD11" s="74">
        <f t="shared" si="3"/>
        <v>0.40113057108650846</v>
      </c>
      <c r="CE11" s="74">
        <f t="shared" si="3"/>
        <v>0.40113057108650846</v>
      </c>
      <c r="CF11" s="74">
        <f t="shared" si="3"/>
        <v>0.40063893473197343</v>
      </c>
      <c r="CG11" s="74">
        <f t="shared" si="3"/>
        <v>0.3877521442835124</v>
      </c>
      <c r="CH11" s="74">
        <f t="shared" si="3"/>
        <v>0.37256874287138603</v>
      </c>
      <c r="CI11" s="74">
        <f t="shared" ref="CI11:CR11" si="4">$F$11*CI7</f>
        <v>0.36431310954114093</v>
      </c>
      <c r="CJ11" s="74">
        <f t="shared" si="4"/>
        <v>0.3638099146384598</v>
      </c>
      <c r="CK11" s="74">
        <f t="shared" si="4"/>
        <v>0.3638099146384598</v>
      </c>
      <c r="CL11" s="74">
        <f t="shared" si="4"/>
        <v>0.36327802879834514</v>
      </c>
      <c r="CM11" s="74">
        <f t="shared" si="4"/>
        <v>0.36478958786408033</v>
      </c>
      <c r="CN11" s="74">
        <f t="shared" si="4"/>
        <v>0.3613836912626669</v>
      </c>
      <c r="CO11" s="74">
        <f t="shared" si="4"/>
        <v>0.35898689448936982</v>
      </c>
      <c r="CP11" s="74">
        <f t="shared" si="4"/>
        <v>0.35898689448936982</v>
      </c>
      <c r="CQ11" s="74">
        <f t="shared" si="4"/>
        <v>0.35898689448936982</v>
      </c>
      <c r="CR11" s="74">
        <f t="shared" si="4"/>
        <v>0.3584910562373127</v>
      </c>
      <c r="CS11" s="74">
        <f t="shared" ref="CS11:FC11" si="5">$F$11*CS7</f>
        <v>0.35769322747714072</v>
      </c>
      <c r="CT11" s="74">
        <f t="shared" si="5"/>
        <v>0.35644263639025947</v>
      </c>
      <c r="CU11" s="74">
        <f t="shared" si="5"/>
        <v>0.34986089754406224</v>
      </c>
      <c r="CV11" s="74">
        <f t="shared" si="5"/>
        <v>0.3450936786524702</v>
      </c>
      <c r="CW11" s="74">
        <f t="shared" si="5"/>
        <v>0.33582408636326344</v>
      </c>
      <c r="CX11" s="74">
        <f t="shared" si="5"/>
        <v>0.32822178377034522</v>
      </c>
      <c r="CY11" s="74">
        <f t="shared" si="5"/>
        <v>0.32223601063214952</v>
      </c>
      <c r="CZ11" s="74">
        <f t="shared" si="5"/>
        <v>0.32466400699152381</v>
      </c>
      <c r="DA11" s="74">
        <f t="shared" si="5"/>
        <v>0.32233467171876312</v>
      </c>
      <c r="DB11" s="74">
        <f t="shared" si="5"/>
        <v>0.32153280126027933</v>
      </c>
      <c r="DC11" s="74">
        <f t="shared" si="5"/>
        <v>0.32334170590871969</v>
      </c>
      <c r="DD11" s="74">
        <f t="shared" si="5"/>
        <v>0.32534008970040318</v>
      </c>
      <c r="DE11" s="74">
        <f t="shared" si="5"/>
        <v>0.32442492770405873</v>
      </c>
      <c r="DF11" s="74">
        <f t="shared" si="5"/>
        <v>0.32672255467080147</v>
      </c>
      <c r="DG11" s="74">
        <f t="shared" si="5"/>
        <v>0.32830994433541921</v>
      </c>
      <c r="DH11" s="74">
        <f t="shared" si="5"/>
        <v>0.32803566702185583</v>
      </c>
      <c r="DI11" s="74">
        <f t="shared" si="5"/>
        <v>0.32550814949939794</v>
      </c>
      <c r="DJ11" s="74">
        <f t="shared" si="5"/>
        <v>0.32459508316139118</v>
      </c>
      <c r="DK11" s="74">
        <f t="shared" si="5"/>
        <v>0.32548880625305254</v>
      </c>
      <c r="DL11" s="74">
        <f t="shared" si="5"/>
        <v>0.32821620398774565</v>
      </c>
      <c r="DM11" s="74">
        <f t="shared" si="5"/>
        <v>0.32276863213732665</v>
      </c>
      <c r="DN11" s="74">
        <f t="shared" si="5"/>
        <v>0.32232281910951266</v>
      </c>
      <c r="DO11" s="74">
        <f t="shared" si="5"/>
        <v>0.3201088259844071</v>
      </c>
      <c r="DP11" s="74">
        <f t="shared" si="5"/>
        <v>0.31966851123064582</v>
      </c>
      <c r="DQ11" s="74">
        <f t="shared" si="5"/>
        <v>0.31754974727882718</v>
      </c>
      <c r="DR11" s="74">
        <f t="shared" si="5"/>
        <v>0.31192441445475982</v>
      </c>
      <c r="DS11" s="74">
        <f t="shared" si="5"/>
        <v>0.30991457820930246</v>
      </c>
      <c r="DT11" s="74" t="e">
        <f t="shared" si="5"/>
        <v>#DIV/0!</v>
      </c>
      <c r="DU11" s="74" t="e">
        <f t="shared" si="5"/>
        <v>#DIV/0!</v>
      </c>
      <c r="DV11" s="74" t="e">
        <f t="shared" si="5"/>
        <v>#DIV/0!</v>
      </c>
      <c r="DW11" s="74" t="e">
        <f t="shared" si="5"/>
        <v>#DIV/0!</v>
      </c>
      <c r="DX11" s="74">
        <f t="shared" si="5"/>
        <v>0</v>
      </c>
      <c r="DY11" s="74">
        <f t="shared" si="5"/>
        <v>0</v>
      </c>
      <c r="DZ11" s="74">
        <f t="shared" si="5"/>
        <v>0</v>
      </c>
      <c r="EA11" s="74">
        <f t="shared" si="5"/>
        <v>0</v>
      </c>
      <c r="EB11" s="74">
        <f t="shared" si="5"/>
        <v>0</v>
      </c>
      <c r="EC11" s="74">
        <f t="shared" si="5"/>
        <v>0</v>
      </c>
      <c r="ED11" s="74">
        <f t="shared" si="5"/>
        <v>0</v>
      </c>
      <c r="EE11" s="74">
        <f t="shared" si="5"/>
        <v>0</v>
      </c>
      <c r="EF11" s="74">
        <f t="shared" si="5"/>
        <v>0</v>
      </c>
      <c r="EG11" s="74">
        <f t="shared" si="5"/>
        <v>0</v>
      </c>
      <c r="EH11" s="74">
        <f t="shared" si="5"/>
        <v>0</v>
      </c>
      <c r="EI11" s="74">
        <f t="shared" si="5"/>
        <v>0</v>
      </c>
      <c r="EJ11" s="74">
        <f t="shared" si="5"/>
        <v>0</v>
      </c>
      <c r="EK11" s="74">
        <f t="shared" si="5"/>
        <v>0</v>
      </c>
      <c r="EL11" s="74">
        <f t="shared" si="5"/>
        <v>0</v>
      </c>
      <c r="EM11" s="74">
        <f t="shared" si="5"/>
        <v>0</v>
      </c>
      <c r="EN11" s="74">
        <f t="shared" si="5"/>
        <v>0</v>
      </c>
      <c r="EO11" s="74">
        <f t="shared" si="5"/>
        <v>0</v>
      </c>
      <c r="EP11" s="74">
        <f t="shared" si="5"/>
        <v>0</v>
      </c>
      <c r="EQ11" s="74">
        <f t="shared" si="5"/>
        <v>0</v>
      </c>
      <c r="ER11" s="74">
        <f t="shared" si="5"/>
        <v>0</v>
      </c>
      <c r="ES11" s="74">
        <f t="shared" si="5"/>
        <v>0</v>
      </c>
      <c r="ET11" s="74">
        <f t="shared" si="5"/>
        <v>0</v>
      </c>
      <c r="EU11" s="74">
        <f t="shared" si="5"/>
        <v>0</v>
      </c>
      <c r="EV11" s="74">
        <f t="shared" si="5"/>
        <v>0</v>
      </c>
      <c r="EW11" s="74">
        <f t="shared" si="5"/>
        <v>0</v>
      </c>
      <c r="EX11" s="74" t="e" vm="2">
        <f t="shared" si="5"/>
        <v>#VALUE!</v>
      </c>
      <c r="EY11" s="74" t="e" vm="2">
        <f t="shared" si="5"/>
        <v>#VALUE!</v>
      </c>
      <c r="EZ11" s="74" t="e" vm="2">
        <f t="shared" si="5"/>
        <v>#VALUE!</v>
      </c>
      <c r="FA11" s="74" t="e" vm="2">
        <f t="shared" si="5"/>
        <v>#VALUE!</v>
      </c>
      <c r="FB11" s="74" t="e" vm="2">
        <f t="shared" si="5"/>
        <v>#VALUE!</v>
      </c>
      <c r="FC11" s="74" t="e" vm="2">
        <f t="shared" si="5"/>
        <v>#VALUE!</v>
      </c>
    </row>
    <row r="12" spans="1:159">
      <c r="A12" s="67"/>
      <c r="B12" s="112" t="s">
        <v>83</v>
      </c>
      <c r="C12" s="60">
        <v>2</v>
      </c>
      <c r="D12" s="64">
        <v>36.457999999999998</v>
      </c>
      <c r="E12" s="60">
        <f>D12*C12</f>
        <v>72.915999999999997</v>
      </c>
      <c r="F12" s="65">
        <f>E12/E2</f>
        <v>0.56497752983108629</v>
      </c>
      <c r="I12" s="74">
        <f>$F$12*I8</f>
        <v>0.37654258512969924</v>
      </c>
      <c r="J12" s="74">
        <f t="shared" ref="J12:AU12" si="6">$F$12*J8</f>
        <v>0.39804060117864914</v>
      </c>
      <c r="K12" s="74">
        <f t="shared" si="6"/>
        <v>0.38460434114805536</v>
      </c>
      <c r="L12" s="74">
        <f t="shared" si="6"/>
        <v>0.35773182108686796</v>
      </c>
      <c r="M12" s="74">
        <f t="shared" si="6"/>
        <v>0.34519131172498052</v>
      </c>
      <c r="N12" s="74">
        <f t="shared" si="6"/>
        <v>0.34250405971886178</v>
      </c>
      <c r="O12" s="74">
        <f t="shared" si="6"/>
        <v>0.34698281306239298</v>
      </c>
      <c r="P12" s="74">
        <f t="shared" si="6"/>
        <v>0.36131482376169299</v>
      </c>
      <c r="Q12" s="74">
        <f t="shared" si="6"/>
        <v>0.36489782643651797</v>
      </c>
      <c r="R12" s="74">
        <f t="shared" si="6"/>
        <v>0.368480829111343</v>
      </c>
      <c r="S12" s="74">
        <f t="shared" si="6"/>
        <v>0.37922983713581793</v>
      </c>
      <c r="T12" s="74">
        <f t="shared" si="6"/>
        <v>0.38997884516029291</v>
      </c>
      <c r="U12" s="74">
        <f t="shared" si="6"/>
        <v>0.41147686120924282</v>
      </c>
      <c r="V12" s="74">
        <f t="shared" si="6"/>
        <v>0.41326836254665533</v>
      </c>
      <c r="W12" s="74">
        <f t="shared" si="6"/>
        <v>0.40968535987183036</v>
      </c>
      <c r="X12" s="74">
        <f t="shared" si="6"/>
        <v>0.40431085585959287</v>
      </c>
      <c r="Y12" s="74">
        <f t="shared" si="6"/>
        <v>0.40699810786571156</v>
      </c>
      <c r="Z12" s="74">
        <f t="shared" si="6"/>
        <v>0.41058111054053664</v>
      </c>
      <c r="AA12" s="74">
        <f t="shared" si="6"/>
        <v>0.41147686120924282</v>
      </c>
      <c r="AB12" s="74">
        <f t="shared" si="6"/>
        <v>0.4150598638840679</v>
      </c>
      <c r="AC12" s="74">
        <f t="shared" si="6"/>
        <v>0.42222586923371785</v>
      </c>
      <c r="AD12" s="74">
        <f t="shared" si="6"/>
        <v>0.44999413996361154</v>
      </c>
      <c r="AE12" s="74">
        <f t="shared" si="6"/>
        <v>0.42312161990242403</v>
      </c>
      <c r="AF12" s="74">
        <f t="shared" si="6"/>
        <v>0.40431085585959287</v>
      </c>
      <c r="AG12" s="74">
        <f t="shared" si="6"/>
        <v>0.39356184783511788</v>
      </c>
      <c r="AH12" s="74">
        <f t="shared" si="6"/>
        <v>0.42222586923371785</v>
      </c>
      <c r="AI12" s="74">
        <f t="shared" si="6"/>
        <v>0.43655787993301781</v>
      </c>
      <c r="AJ12" s="74">
        <f t="shared" si="6"/>
        <v>0.42222586923371785</v>
      </c>
      <c r="AK12" s="74">
        <f t="shared" si="6"/>
        <v>0.40789385853441784</v>
      </c>
      <c r="AL12" s="74">
        <f t="shared" si="6"/>
        <v>0.40431085585959287</v>
      </c>
      <c r="AM12" s="74">
        <f t="shared" si="6"/>
        <v>0.3953533491725304</v>
      </c>
      <c r="AN12" s="74">
        <f t="shared" si="6"/>
        <v>0.3953533491725304</v>
      </c>
      <c r="AO12" s="74">
        <f t="shared" si="6"/>
        <v>0.3953533491725304</v>
      </c>
      <c r="AP12" s="74">
        <f t="shared" si="6"/>
        <v>0.39893635184735537</v>
      </c>
      <c r="AQ12" s="74">
        <f t="shared" si="6"/>
        <v>0.39893635184735537</v>
      </c>
      <c r="AR12" s="74">
        <f t="shared" si="6"/>
        <v>0.3953533491725304</v>
      </c>
      <c r="AS12" s="74">
        <f t="shared" si="6"/>
        <v>0.39893635184735537</v>
      </c>
      <c r="AT12" s="74">
        <f t="shared" si="6"/>
        <v>0.40699810786571156</v>
      </c>
      <c r="AU12" s="74">
        <f t="shared" si="6"/>
        <v>0.4123726118779491</v>
      </c>
      <c r="AV12" s="74">
        <f t="shared" ref="AV12:BN12" si="7">$F$12*AV8</f>
        <v>0.40251935452218041</v>
      </c>
      <c r="AW12" s="74">
        <f t="shared" si="7"/>
        <v>0.39356184783511788</v>
      </c>
      <c r="AX12" s="74">
        <f t="shared" si="7"/>
        <v>0.38997884516029291</v>
      </c>
      <c r="AY12" s="74">
        <f t="shared" si="7"/>
        <v>0.38997884516029291</v>
      </c>
      <c r="AZ12" s="74">
        <f t="shared" si="7"/>
        <v>0.38639584248546793</v>
      </c>
      <c r="BA12" s="74">
        <f t="shared" si="7"/>
        <v>0.38639584248546793</v>
      </c>
      <c r="BB12" s="74">
        <f t="shared" si="7"/>
        <v>0.38639584248546793</v>
      </c>
      <c r="BC12" s="74">
        <f t="shared" si="7"/>
        <v>0.38639584248546793</v>
      </c>
      <c r="BD12" s="74">
        <f t="shared" si="7"/>
        <v>0.39356184783511788</v>
      </c>
      <c r="BE12" s="74">
        <f t="shared" si="7"/>
        <v>0.39356184783511788</v>
      </c>
      <c r="BF12" s="74">
        <f t="shared" si="7"/>
        <v>0.39356184783511788</v>
      </c>
      <c r="BG12" s="74">
        <f t="shared" si="7"/>
        <v>0.39356184783511788</v>
      </c>
      <c r="BH12" s="74">
        <f t="shared" si="7"/>
        <v>0.39356184783511788</v>
      </c>
      <c r="BI12" s="74">
        <f t="shared" si="7"/>
        <v>0.40072785318476795</v>
      </c>
      <c r="BJ12" s="74">
        <f t="shared" si="7"/>
        <v>0.40072785318476795</v>
      </c>
      <c r="BK12" s="74">
        <f t="shared" si="7"/>
        <v>0.40072785318476795</v>
      </c>
      <c r="BL12" s="74">
        <f t="shared" si="7"/>
        <v>0.40072785318476795</v>
      </c>
      <c r="BM12" s="74">
        <f t="shared" si="7"/>
        <v>0.40072785318476795</v>
      </c>
      <c r="BN12" s="74">
        <f t="shared" si="7"/>
        <v>0.40072785318476795</v>
      </c>
      <c r="BO12" s="74">
        <f t="shared" ref="BO12:BV12" si="8">$F$12*BO8</f>
        <v>0.40072785318476795</v>
      </c>
      <c r="BP12" s="74">
        <f t="shared" si="8"/>
        <v>0.3953533491725304</v>
      </c>
      <c r="BQ12" s="74">
        <f t="shared" si="8"/>
        <v>0.3953533491725304</v>
      </c>
      <c r="BR12" s="74">
        <f t="shared" si="8"/>
        <v>0.3953533491725304</v>
      </c>
      <c r="BS12" s="74">
        <f t="shared" si="8"/>
        <v>0.3953533491725304</v>
      </c>
      <c r="BT12" s="74">
        <f t="shared" si="8"/>
        <v>0.40251935452218041</v>
      </c>
      <c r="BU12" s="74">
        <f t="shared" si="8"/>
        <v>0.40251935452218041</v>
      </c>
      <c r="BV12" s="74">
        <f t="shared" si="8"/>
        <v>0.40251935452218041</v>
      </c>
      <c r="BW12" s="74">
        <f>$F$12*BW8</f>
        <v>0.40341510519088664</v>
      </c>
      <c r="BX12" s="74">
        <f>$F$12*BX8</f>
        <v>0.40341510519088664</v>
      </c>
      <c r="BY12" s="74">
        <f>$F$12*BY8</f>
        <v>0.40341510519088664</v>
      </c>
      <c r="BZ12" s="74">
        <f t="shared" ref="BZ12:CH12" si="9">$F$12*BZ8</f>
        <v>0.40699810786571156</v>
      </c>
      <c r="CA12" s="74">
        <f t="shared" si="9"/>
        <v>0.40699810786571156</v>
      </c>
      <c r="CB12" s="74">
        <f t="shared" si="9"/>
        <v>0.40699810786571156</v>
      </c>
      <c r="CC12" s="74">
        <f t="shared" si="9"/>
        <v>0.40699810786571156</v>
      </c>
      <c r="CD12" s="74">
        <f t="shared" si="9"/>
        <v>0.40699810786571156</v>
      </c>
      <c r="CE12" s="74">
        <f t="shared" si="9"/>
        <v>0.40699810786571156</v>
      </c>
      <c r="CF12" s="74">
        <f t="shared" si="9"/>
        <v>0.40699810786571156</v>
      </c>
      <c r="CG12" s="74">
        <f t="shared" si="9"/>
        <v>0.40968535987183036</v>
      </c>
      <c r="CH12" s="74">
        <f t="shared" si="9"/>
        <v>0.40968535987183036</v>
      </c>
      <c r="CI12" s="74">
        <f t="shared" ref="CI12:CR12" si="10">$F$12*CI8</f>
        <v>0.40610235719700538</v>
      </c>
      <c r="CJ12" s="74">
        <f t="shared" si="10"/>
        <v>0.40610235719700538</v>
      </c>
      <c r="CK12" s="74">
        <f t="shared" si="10"/>
        <v>0.40610235719700538</v>
      </c>
      <c r="CL12" s="74">
        <f t="shared" si="10"/>
        <v>0.40610235719700538</v>
      </c>
      <c r="CM12" s="74">
        <f t="shared" si="10"/>
        <v>0.4052066065282991</v>
      </c>
      <c r="CN12" s="74">
        <f t="shared" si="10"/>
        <v>0.4052066065282991</v>
      </c>
      <c r="CO12" s="74">
        <f t="shared" si="10"/>
        <v>0.4052066065282991</v>
      </c>
      <c r="CP12" s="74">
        <f t="shared" si="10"/>
        <v>0.4052066065282991</v>
      </c>
      <c r="CQ12" s="74">
        <f t="shared" si="10"/>
        <v>0.4052066065282991</v>
      </c>
      <c r="CR12" s="74">
        <f t="shared" si="10"/>
        <v>0.4052066065282991</v>
      </c>
      <c r="CS12" s="74">
        <f t="shared" ref="CS12:FC12" si="11">$F$12*CS8</f>
        <v>0.40431085585959287</v>
      </c>
      <c r="CT12" s="74">
        <f t="shared" si="11"/>
        <v>0.40431085585959287</v>
      </c>
      <c r="CU12" s="74">
        <f t="shared" si="11"/>
        <v>0.40431085585959287</v>
      </c>
      <c r="CV12" s="74">
        <f t="shared" si="11"/>
        <v>0.40431085585959287</v>
      </c>
      <c r="CW12" s="74">
        <f t="shared" si="11"/>
        <v>0.40251935452218041</v>
      </c>
      <c r="CX12" s="74">
        <f t="shared" si="11"/>
        <v>0.40251935452218041</v>
      </c>
      <c r="CY12" s="74">
        <f t="shared" si="11"/>
        <v>0.40251935452218041</v>
      </c>
      <c r="CZ12" s="74">
        <f t="shared" si="11"/>
        <v>0.40251935452218041</v>
      </c>
      <c r="DA12" s="74">
        <f t="shared" si="11"/>
        <v>0.40251935452218041</v>
      </c>
      <c r="DB12" s="74">
        <f t="shared" si="11"/>
        <v>0.40251935452218041</v>
      </c>
      <c r="DC12" s="74">
        <f t="shared" si="11"/>
        <v>0.40251935452218041</v>
      </c>
      <c r="DD12" s="74">
        <f t="shared" si="11"/>
        <v>0.40251935452218041</v>
      </c>
      <c r="DE12" s="74">
        <f t="shared" si="11"/>
        <v>0.40251935452218041</v>
      </c>
      <c r="DF12" s="74">
        <f t="shared" si="11"/>
        <v>0.40251935452218041</v>
      </c>
      <c r="DG12" s="74">
        <f t="shared" si="11"/>
        <v>0.40251935452218041</v>
      </c>
      <c r="DH12" s="74">
        <f t="shared" si="11"/>
        <v>0.40251935452218041</v>
      </c>
      <c r="DI12" s="74">
        <f>$F$12*DI8</f>
        <v>0.40251935452218041</v>
      </c>
      <c r="DJ12" s="74">
        <f t="shared" si="11"/>
        <v>0.40610235719700538</v>
      </c>
      <c r="DK12" s="74">
        <f t="shared" si="11"/>
        <v>0.40610235719700538</v>
      </c>
      <c r="DL12" s="74">
        <f t="shared" si="11"/>
        <v>0.40610235719700538</v>
      </c>
      <c r="DM12" s="74">
        <f t="shared" si="11"/>
        <v>0.40610235719700538</v>
      </c>
      <c r="DN12" s="74">
        <f t="shared" si="11"/>
        <v>0.40072785318476795</v>
      </c>
      <c r="DO12" s="74">
        <f t="shared" si="11"/>
        <v>0.40072785318476795</v>
      </c>
      <c r="DP12" s="74">
        <f t="shared" si="11"/>
        <v>0.40072785318476795</v>
      </c>
      <c r="DQ12" s="74">
        <f t="shared" si="11"/>
        <v>0.40072785318476795</v>
      </c>
      <c r="DR12" s="74">
        <f t="shared" si="11"/>
        <v>0.40072785318476795</v>
      </c>
      <c r="DS12" s="74">
        <f t="shared" si="11"/>
        <v>0.40699810786571156</v>
      </c>
      <c r="DT12" s="74">
        <f t="shared" si="11"/>
        <v>0</v>
      </c>
      <c r="DU12" s="74">
        <f t="shared" si="11"/>
        <v>0</v>
      </c>
      <c r="DV12" s="74">
        <f t="shared" si="11"/>
        <v>0</v>
      </c>
      <c r="DW12" s="74">
        <f t="shared" si="11"/>
        <v>0</v>
      </c>
      <c r="DX12" s="74">
        <f t="shared" si="11"/>
        <v>0</v>
      </c>
      <c r="DY12" s="74">
        <f t="shared" si="11"/>
        <v>0</v>
      </c>
      <c r="DZ12" s="74">
        <f t="shared" si="11"/>
        <v>0</v>
      </c>
      <c r="EA12" s="74">
        <f t="shared" si="11"/>
        <v>0</v>
      </c>
      <c r="EB12" s="74">
        <f t="shared" si="11"/>
        <v>0</v>
      </c>
      <c r="EC12" s="74">
        <f t="shared" si="11"/>
        <v>0</v>
      </c>
      <c r="ED12" s="74">
        <f t="shared" si="11"/>
        <v>0</v>
      </c>
      <c r="EE12" s="74">
        <f t="shared" si="11"/>
        <v>0</v>
      </c>
      <c r="EF12" s="74">
        <f t="shared" si="11"/>
        <v>0</v>
      </c>
      <c r="EG12" s="74">
        <f t="shared" si="11"/>
        <v>0</v>
      </c>
      <c r="EH12" s="74">
        <f t="shared" si="11"/>
        <v>0</v>
      </c>
      <c r="EI12" s="74">
        <f t="shared" si="11"/>
        <v>0</v>
      </c>
      <c r="EJ12" s="74">
        <f t="shared" si="11"/>
        <v>0</v>
      </c>
      <c r="EK12" s="74">
        <f t="shared" si="11"/>
        <v>0</v>
      </c>
      <c r="EL12" s="74">
        <f t="shared" si="11"/>
        <v>0</v>
      </c>
      <c r="EM12" s="74">
        <f t="shared" si="11"/>
        <v>0</v>
      </c>
      <c r="EN12" s="74">
        <f t="shared" si="11"/>
        <v>0</v>
      </c>
      <c r="EO12" s="74">
        <f t="shared" si="11"/>
        <v>0</v>
      </c>
      <c r="EP12" s="74">
        <f t="shared" si="11"/>
        <v>0</v>
      </c>
      <c r="EQ12" s="74">
        <f t="shared" si="11"/>
        <v>0</v>
      </c>
      <c r="ER12" s="74">
        <f t="shared" si="11"/>
        <v>0</v>
      </c>
      <c r="ES12" s="74">
        <f t="shared" si="11"/>
        <v>0</v>
      </c>
      <c r="ET12" s="74">
        <f t="shared" si="11"/>
        <v>0</v>
      </c>
      <c r="EU12" s="74">
        <f t="shared" si="11"/>
        <v>0</v>
      </c>
      <c r="EV12" s="74">
        <f t="shared" si="11"/>
        <v>0</v>
      </c>
      <c r="EW12" s="74">
        <f t="shared" si="11"/>
        <v>0</v>
      </c>
      <c r="EX12" s="74" t="e" vm="2">
        <f t="shared" si="11"/>
        <v>#VALUE!</v>
      </c>
      <c r="EY12" s="74" t="e" vm="2">
        <f t="shared" si="11"/>
        <v>#VALUE!</v>
      </c>
      <c r="EZ12" s="74" t="e" vm="2">
        <f t="shared" si="11"/>
        <v>#VALUE!</v>
      </c>
      <c r="FA12" s="74" t="e" vm="2">
        <f t="shared" si="11"/>
        <v>#VALUE!</v>
      </c>
      <c r="FB12" s="74" t="e" vm="2">
        <f t="shared" si="11"/>
        <v>#VALUE!</v>
      </c>
      <c r="FC12" s="74" t="e" vm="2">
        <f t="shared" si="11"/>
        <v>#VALUE!</v>
      </c>
    </row>
    <row r="13" spans="1:159" s="104" customFormat="1">
      <c r="A13" s="104" t="s">
        <v>400</v>
      </c>
      <c r="H13" s="60"/>
      <c r="I13" s="105">
        <f>SUM(I11:I12)</f>
        <v>0.37654258512969924</v>
      </c>
      <c r="J13" s="105">
        <f t="shared" ref="J13:AW13" si="12">SUM(J11:J12)</f>
        <v>0.39804060117864914</v>
      </c>
      <c r="K13" s="105">
        <f t="shared" si="12"/>
        <v>0.38460434114805536</v>
      </c>
      <c r="L13" s="105">
        <f t="shared" si="12"/>
        <v>0.35773182108686796</v>
      </c>
      <c r="M13" s="105">
        <f t="shared" si="12"/>
        <v>0.34519131172498052</v>
      </c>
      <c r="N13" s="105">
        <f t="shared" si="12"/>
        <v>0.34250405971886178</v>
      </c>
      <c r="O13" s="105">
        <f t="shared" si="12"/>
        <v>0.34698281306239298</v>
      </c>
      <c r="P13" s="105">
        <f t="shared" si="12"/>
        <v>0.36131482376169299</v>
      </c>
      <c r="Q13" s="105">
        <f t="shared" si="12"/>
        <v>0.36489782643651797</v>
      </c>
      <c r="R13" s="105">
        <f t="shared" si="12"/>
        <v>0.368480829111343</v>
      </c>
      <c r="S13" s="105">
        <f t="shared" si="12"/>
        <v>0.37922983713581793</v>
      </c>
      <c r="T13" s="105">
        <f t="shared" si="12"/>
        <v>0.38997884516029291</v>
      </c>
      <c r="U13" s="105">
        <f t="shared" si="12"/>
        <v>0.81676994907336531</v>
      </c>
      <c r="V13" s="105">
        <f t="shared" si="12"/>
        <v>0.81954943257219681</v>
      </c>
      <c r="W13" s="105">
        <f t="shared" si="12"/>
        <v>0.81548066701987043</v>
      </c>
      <c r="X13" s="105">
        <f t="shared" si="12"/>
        <v>0.79745661418790137</v>
      </c>
      <c r="Y13" s="105">
        <f t="shared" si="12"/>
        <v>0.81765505772678315</v>
      </c>
      <c r="Z13" s="105">
        <f t="shared" si="12"/>
        <v>0.83230121214815522</v>
      </c>
      <c r="AA13" s="105">
        <f t="shared" si="12"/>
        <v>0.84534898415618775</v>
      </c>
      <c r="AB13" s="105">
        <f t="shared" si="12"/>
        <v>0.98717151047203777</v>
      </c>
      <c r="AC13" s="105">
        <f t="shared" si="12"/>
        <v>1.5040202502534186</v>
      </c>
      <c r="AD13" s="105">
        <f t="shared" si="12"/>
        <v>2.0290444335565341</v>
      </c>
      <c r="AE13" s="105">
        <f t="shared" si="12"/>
        <v>1.3495627873649221</v>
      </c>
      <c r="AF13" s="105">
        <f t="shared" si="12"/>
        <v>1.102494262847036</v>
      </c>
      <c r="AG13" s="105">
        <f t="shared" si="12"/>
        <v>1.0254539800106139</v>
      </c>
      <c r="AH13" s="105">
        <f t="shared" si="12"/>
        <v>1.0686472518496064</v>
      </c>
      <c r="AI13" s="105">
        <f t="shared" si="12"/>
        <v>1.1410002863573498</v>
      </c>
      <c r="AJ13" s="105">
        <f t="shared" si="12"/>
        <v>1.0360777784297435</v>
      </c>
      <c r="AK13" s="105">
        <f t="shared" si="12"/>
        <v>0.97803452250034384</v>
      </c>
      <c r="AL13" s="105">
        <f t="shared" si="12"/>
        <v>0.92173405952357257</v>
      </c>
      <c r="AM13" s="105">
        <f t="shared" si="12"/>
        <v>0.90837536642039218</v>
      </c>
      <c r="AN13" s="105">
        <f t="shared" si="12"/>
        <v>0.95439527584200701</v>
      </c>
      <c r="AO13" s="105">
        <f t="shared" si="12"/>
        <v>0.95295356162611966</v>
      </c>
      <c r="AP13" s="105">
        <f t="shared" si="12"/>
        <v>0.96673579032440826</v>
      </c>
      <c r="AQ13" s="105">
        <f t="shared" si="12"/>
        <v>0.96988605748511691</v>
      </c>
      <c r="AR13" s="105">
        <f t="shared" si="12"/>
        <v>0.94567467568858243</v>
      </c>
      <c r="AS13" s="105">
        <f t="shared" si="12"/>
        <v>0.9300454477847826</v>
      </c>
      <c r="AT13" s="105">
        <f t="shared" si="12"/>
        <v>0.90558428753653564</v>
      </c>
      <c r="AU13" s="105">
        <f t="shared" si="12"/>
        <v>0.89985391202988896</v>
      </c>
      <c r="AV13" s="105">
        <f t="shared" si="12"/>
        <v>0.85355545906810182</v>
      </c>
      <c r="AW13" s="105">
        <f t="shared" si="12"/>
        <v>0.82301691614599948</v>
      </c>
      <c r="AX13" s="105">
        <f t="shared" ref="AX13:BN13" si="13">SUM(AX11:AX12)</f>
        <v>0.75699646347877225</v>
      </c>
      <c r="AY13" s="105">
        <f t="shared" si="13"/>
        <v>0.75488040963336056</v>
      </c>
      <c r="AZ13" s="105">
        <f t="shared" si="13"/>
        <v>0.75129740695853564</v>
      </c>
      <c r="BA13" s="105">
        <f t="shared" si="13"/>
        <v>0.75088982141274196</v>
      </c>
      <c r="BB13" s="105">
        <f t="shared" si="13"/>
        <v>0.75343873035628928</v>
      </c>
      <c r="BC13" s="105">
        <f t="shared" si="13"/>
        <v>0.74937739826366612</v>
      </c>
      <c r="BD13" s="105">
        <f t="shared" si="13"/>
        <v>0.75454625612622839</v>
      </c>
      <c r="BE13" s="105">
        <f t="shared" si="13"/>
        <v>0.76464889466741037</v>
      </c>
      <c r="BF13" s="105">
        <f t="shared" si="13"/>
        <v>0.7741571748709426</v>
      </c>
      <c r="BG13" s="105">
        <f t="shared" si="13"/>
        <v>0.77311587438657647</v>
      </c>
      <c r="BH13" s="105">
        <f t="shared" si="13"/>
        <v>0.79687139980160238</v>
      </c>
      <c r="BI13" s="105">
        <f t="shared" si="13"/>
        <v>0.80902382515753402</v>
      </c>
      <c r="BJ13" s="105">
        <f t="shared" si="13"/>
        <v>0.80348492631294233</v>
      </c>
      <c r="BK13" s="105">
        <f t="shared" si="13"/>
        <v>0.81851908031969134</v>
      </c>
      <c r="BL13" s="105">
        <f t="shared" si="13"/>
        <v>0.82325205472922347</v>
      </c>
      <c r="BM13" s="105">
        <f t="shared" si="13"/>
        <v>0.812943017343708</v>
      </c>
      <c r="BN13" s="105">
        <f t="shared" si="13"/>
        <v>0.80843433527269459</v>
      </c>
      <c r="BO13" s="105">
        <f t="shared" ref="BO13:BV13" si="14">SUM(BO11:BO12)</f>
        <v>0.80911960489782175</v>
      </c>
      <c r="BP13" s="105">
        <f t="shared" si="14"/>
        <v>0.79794257688117154</v>
      </c>
      <c r="BQ13" s="105">
        <f t="shared" si="14"/>
        <v>0.79794257688117154</v>
      </c>
      <c r="BR13" s="105">
        <f t="shared" si="14"/>
        <v>0.80701501018164801</v>
      </c>
      <c r="BS13" s="105">
        <f t="shared" si="14"/>
        <v>0.80551778522132322</v>
      </c>
      <c r="BT13" s="105">
        <f t="shared" si="14"/>
        <v>0.81693419332252692</v>
      </c>
      <c r="BU13" s="105">
        <f t="shared" si="14"/>
        <v>0.81345658628364292</v>
      </c>
      <c r="BV13" s="105">
        <f t="shared" si="14"/>
        <v>0.82671069017495979</v>
      </c>
      <c r="BW13" s="105">
        <f>SUM(BW11:BW12)</f>
        <v>0.82673780139327968</v>
      </c>
      <c r="BX13" s="105">
        <f>SUM(BX11:BX12)</f>
        <v>0.82538186706848016</v>
      </c>
      <c r="BY13" s="105">
        <f>SUM(BY11:BY12)</f>
        <v>0.81959934040581006</v>
      </c>
      <c r="BZ13" s="105">
        <f t="shared" ref="BZ13:CH13" si="15">SUM(BZ11:BZ12)</f>
        <v>0.82105963913408031</v>
      </c>
      <c r="CA13" s="105">
        <f t="shared" si="15"/>
        <v>0.82105963913408031</v>
      </c>
      <c r="CB13" s="105">
        <f t="shared" si="15"/>
        <v>0.81645255672775641</v>
      </c>
      <c r="CC13" s="105">
        <f t="shared" si="15"/>
        <v>0.81568200112643952</v>
      </c>
      <c r="CD13" s="105">
        <f t="shared" si="15"/>
        <v>0.80812867895221996</v>
      </c>
      <c r="CE13" s="105">
        <f t="shared" si="15"/>
        <v>0.80812867895221996</v>
      </c>
      <c r="CF13" s="105">
        <f t="shared" si="15"/>
        <v>0.80763704259768498</v>
      </c>
      <c r="CG13" s="105">
        <f t="shared" si="15"/>
        <v>0.79743750415534276</v>
      </c>
      <c r="CH13" s="105">
        <f t="shared" si="15"/>
        <v>0.78225410274321638</v>
      </c>
      <c r="CI13" s="105">
        <f t="shared" ref="CI13:CR13" si="16">SUM(CI11:CI12)</f>
        <v>0.77041546673814632</v>
      </c>
      <c r="CJ13" s="105">
        <f t="shared" si="16"/>
        <v>0.76991227183546518</v>
      </c>
      <c r="CK13" s="105">
        <f t="shared" si="16"/>
        <v>0.76991227183546518</v>
      </c>
      <c r="CL13" s="105">
        <f t="shared" si="16"/>
        <v>0.76938038599535052</v>
      </c>
      <c r="CM13" s="105">
        <f t="shared" si="16"/>
        <v>0.76999619439237943</v>
      </c>
      <c r="CN13" s="105">
        <f t="shared" si="16"/>
        <v>0.76659029779096599</v>
      </c>
      <c r="CO13" s="105">
        <f t="shared" si="16"/>
        <v>0.76419350101766892</v>
      </c>
      <c r="CP13" s="105">
        <f t="shared" si="16"/>
        <v>0.76419350101766892</v>
      </c>
      <c r="CQ13" s="105">
        <f t="shared" si="16"/>
        <v>0.76419350101766892</v>
      </c>
      <c r="CR13" s="105">
        <f t="shared" si="16"/>
        <v>0.7636976627656118</v>
      </c>
      <c r="CS13" s="105">
        <f t="shared" ref="CS13:FC13" si="17">SUM(CS11:CS12)</f>
        <v>0.76200408333673364</v>
      </c>
      <c r="CT13" s="105">
        <f t="shared" si="17"/>
        <v>0.76075349224985234</v>
      </c>
      <c r="CU13" s="105">
        <f t="shared" si="17"/>
        <v>0.75417175340365517</v>
      </c>
      <c r="CV13" s="105">
        <f t="shared" si="17"/>
        <v>0.74940453451206301</v>
      </c>
      <c r="CW13" s="105">
        <f t="shared" si="17"/>
        <v>0.7383434408854439</v>
      </c>
      <c r="CX13" s="105">
        <f t="shared" si="17"/>
        <v>0.73074113829252563</v>
      </c>
      <c r="CY13" s="105">
        <f t="shared" si="17"/>
        <v>0.72475536515432992</v>
      </c>
      <c r="CZ13" s="105">
        <f t="shared" si="17"/>
        <v>0.72718336151370422</v>
      </c>
      <c r="DA13" s="105">
        <f t="shared" si="17"/>
        <v>0.72485402624094353</v>
      </c>
      <c r="DB13" s="105">
        <f t="shared" si="17"/>
        <v>0.72405215578245974</v>
      </c>
      <c r="DC13" s="105">
        <f t="shared" si="17"/>
        <v>0.72586106043090015</v>
      </c>
      <c r="DD13" s="105">
        <f t="shared" si="17"/>
        <v>0.72785944422258364</v>
      </c>
      <c r="DE13" s="105">
        <f t="shared" si="17"/>
        <v>0.72694428222623908</v>
      </c>
      <c r="DF13" s="105">
        <f t="shared" si="17"/>
        <v>0.72924190919298182</v>
      </c>
      <c r="DG13" s="105">
        <f t="shared" si="17"/>
        <v>0.73082929885759962</v>
      </c>
      <c r="DH13" s="105">
        <f t="shared" si="17"/>
        <v>0.73055502154403618</v>
      </c>
      <c r="DI13" s="105">
        <f t="shared" si="17"/>
        <v>0.72802750402157834</v>
      </c>
      <c r="DJ13" s="105">
        <f t="shared" si="17"/>
        <v>0.73069744035839657</v>
      </c>
      <c r="DK13" s="105">
        <f t="shared" si="17"/>
        <v>0.73159116345005792</v>
      </c>
      <c r="DL13" s="105">
        <f t="shared" si="17"/>
        <v>0.73431856118475103</v>
      </c>
      <c r="DM13" s="105">
        <f t="shared" si="17"/>
        <v>0.72887098933433203</v>
      </c>
      <c r="DN13" s="105">
        <f t="shared" si="17"/>
        <v>0.72305067229428066</v>
      </c>
      <c r="DO13" s="105">
        <f t="shared" si="17"/>
        <v>0.72083667916917504</v>
      </c>
      <c r="DP13" s="105">
        <f t="shared" si="17"/>
        <v>0.72039636441541377</v>
      </c>
      <c r="DQ13" s="105">
        <f t="shared" si="17"/>
        <v>0.71827760046359512</v>
      </c>
      <c r="DR13" s="105">
        <f t="shared" si="17"/>
        <v>0.71265226763952771</v>
      </c>
      <c r="DS13" s="105">
        <f t="shared" si="17"/>
        <v>0.71691268607501402</v>
      </c>
      <c r="DT13" s="105" t="e">
        <f t="shared" si="17"/>
        <v>#DIV/0!</v>
      </c>
      <c r="DU13" s="105" t="e">
        <f t="shared" si="17"/>
        <v>#DIV/0!</v>
      </c>
      <c r="DV13" s="105" t="e">
        <f t="shared" si="17"/>
        <v>#DIV/0!</v>
      </c>
      <c r="DW13" s="105" t="e">
        <f t="shared" si="17"/>
        <v>#DIV/0!</v>
      </c>
      <c r="DX13" s="105">
        <f t="shared" si="17"/>
        <v>0</v>
      </c>
      <c r="DY13" s="105">
        <f t="shared" si="17"/>
        <v>0</v>
      </c>
      <c r="DZ13" s="105">
        <f t="shared" si="17"/>
        <v>0</v>
      </c>
      <c r="EA13" s="105">
        <f t="shared" si="17"/>
        <v>0</v>
      </c>
      <c r="EB13" s="105">
        <f t="shared" si="17"/>
        <v>0</v>
      </c>
      <c r="EC13" s="105">
        <f t="shared" si="17"/>
        <v>0</v>
      </c>
      <c r="ED13" s="105">
        <f t="shared" si="17"/>
        <v>0</v>
      </c>
      <c r="EE13" s="105">
        <f t="shared" si="17"/>
        <v>0</v>
      </c>
      <c r="EF13" s="105">
        <f t="shared" si="17"/>
        <v>0</v>
      </c>
      <c r="EG13" s="105">
        <f t="shared" si="17"/>
        <v>0</v>
      </c>
      <c r="EH13" s="105">
        <f t="shared" si="17"/>
        <v>0</v>
      </c>
      <c r="EI13" s="105">
        <f t="shared" si="17"/>
        <v>0</v>
      </c>
      <c r="EJ13" s="105">
        <f t="shared" si="17"/>
        <v>0</v>
      </c>
      <c r="EK13" s="105">
        <f t="shared" si="17"/>
        <v>0</v>
      </c>
      <c r="EL13" s="105">
        <f t="shared" si="17"/>
        <v>0</v>
      </c>
      <c r="EM13" s="105">
        <f t="shared" si="17"/>
        <v>0</v>
      </c>
      <c r="EN13" s="105">
        <f t="shared" si="17"/>
        <v>0</v>
      </c>
      <c r="EO13" s="105">
        <f t="shared" si="17"/>
        <v>0</v>
      </c>
      <c r="EP13" s="105">
        <f t="shared" si="17"/>
        <v>0</v>
      </c>
      <c r="EQ13" s="105">
        <f t="shared" si="17"/>
        <v>0</v>
      </c>
      <c r="ER13" s="105">
        <f t="shared" si="17"/>
        <v>0</v>
      </c>
      <c r="ES13" s="105">
        <f t="shared" si="17"/>
        <v>0</v>
      </c>
      <c r="ET13" s="105">
        <f t="shared" si="17"/>
        <v>0</v>
      </c>
      <c r="EU13" s="105">
        <f t="shared" si="17"/>
        <v>0</v>
      </c>
      <c r="EV13" s="105">
        <f t="shared" si="17"/>
        <v>0</v>
      </c>
      <c r="EW13" s="105">
        <f t="shared" si="17"/>
        <v>0</v>
      </c>
      <c r="EX13" s="105" t="e" vm="2">
        <f t="shared" si="17"/>
        <v>#VALUE!</v>
      </c>
      <c r="EY13" s="105" t="e" vm="2">
        <f t="shared" si="17"/>
        <v>#VALUE!</v>
      </c>
      <c r="EZ13" s="105" t="e" vm="2">
        <f t="shared" si="17"/>
        <v>#VALUE!</v>
      </c>
      <c r="FA13" s="105" t="e" vm="2">
        <f t="shared" si="17"/>
        <v>#VALUE!</v>
      </c>
      <c r="FB13" s="105" t="e" vm="2">
        <f t="shared" si="17"/>
        <v>#VALUE!</v>
      </c>
      <c r="FC13" s="105" t="e" vm="2">
        <f t="shared" si="17"/>
        <v>#VALUE!</v>
      </c>
    </row>
    <row r="14" spans="1:159">
      <c r="H14" s="60" t="s">
        <v>429</v>
      </c>
      <c r="I14" s="74"/>
      <c r="J14" s="74"/>
      <c r="K14" s="74"/>
      <c r="L14" s="74"/>
      <c r="M14" s="74"/>
      <c r="N14" s="74"/>
      <c r="O14" s="74"/>
      <c r="P14" s="74"/>
      <c r="Q14" s="74"/>
      <c r="R14" s="74"/>
      <c r="S14" s="74"/>
      <c r="T14" s="74"/>
      <c r="U14" s="74"/>
      <c r="V14" s="74"/>
      <c r="W14" s="74"/>
      <c r="X14" s="74"/>
      <c r="Y14" s="74"/>
      <c r="Z14" s="74"/>
      <c r="AA14" s="74"/>
      <c r="AB14" s="74"/>
      <c r="AC14" s="74"/>
      <c r="AD14" s="74"/>
      <c r="AE14" s="74"/>
      <c r="AF14" s="74"/>
      <c r="AG14" s="74"/>
      <c r="AH14" s="74"/>
      <c r="AI14" s="74"/>
      <c r="AJ14" s="74"/>
      <c r="AK14" s="74"/>
      <c r="AL14" s="74"/>
      <c r="AM14" s="74"/>
      <c r="AN14" s="74"/>
      <c r="AO14" s="74"/>
      <c r="AP14" s="74"/>
      <c r="AQ14" s="74"/>
      <c r="AR14" s="74"/>
      <c r="AS14" s="74"/>
      <c r="AT14" s="74"/>
      <c r="AU14" s="74"/>
      <c r="AV14" s="74"/>
    </row>
    <row r="15" spans="1:159">
      <c r="H15" s="60" t="s">
        <v>406</v>
      </c>
      <c r="I15" s="74"/>
      <c r="J15" s="108"/>
      <c r="K15" s="74"/>
      <c r="L15" s="74"/>
      <c r="M15" s="74"/>
      <c r="N15" s="74"/>
      <c r="O15" s="65"/>
      <c r="P15" s="74"/>
      <c r="Q15" s="74"/>
      <c r="R15" s="74"/>
      <c r="S15" s="74"/>
      <c r="T15" s="74"/>
      <c r="U15" s="74"/>
      <c r="V15" s="74"/>
      <c r="X15" s="74"/>
      <c r="Y15" s="74"/>
      <c r="Z15" s="74"/>
      <c r="AD15" s="74"/>
      <c r="AE15" s="74"/>
      <c r="AF15" s="74"/>
      <c r="AG15" s="74"/>
      <c r="AH15" s="74"/>
      <c r="AI15" s="74"/>
      <c r="AJ15" s="74"/>
      <c r="AK15" s="74"/>
      <c r="AL15" s="74"/>
      <c r="AM15" s="74"/>
      <c r="AN15" s="74"/>
      <c r="AO15" s="74"/>
      <c r="AQ15" s="65"/>
      <c r="AR15" s="74"/>
      <c r="AT15" s="74"/>
      <c r="AU15" s="65"/>
    </row>
    <row r="17" spans="8:159" ht="13" thickBot="1"/>
    <row r="18" spans="8:159" ht="13" thickBot="1">
      <c r="H18" s="106" t="s">
        <v>407</v>
      </c>
      <c r="I18" s="109">
        <f>+I13</f>
        <v>0.37654258512969924</v>
      </c>
      <c r="J18" s="109">
        <f t="shared" ref="J18:BU18" si="18">+J13</f>
        <v>0.39804060117864914</v>
      </c>
      <c r="K18" s="109">
        <f t="shared" si="18"/>
        <v>0.38460434114805536</v>
      </c>
      <c r="L18" s="109">
        <f t="shared" si="18"/>
        <v>0.35773182108686796</v>
      </c>
      <c r="M18" s="109">
        <f t="shared" si="18"/>
        <v>0.34519131172498052</v>
      </c>
      <c r="N18" s="109">
        <f t="shared" si="18"/>
        <v>0.34250405971886178</v>
      </c>
      <c r="O18" s="109">
        <f t="shared" si="18"/>
        <v>0.34698281306239298</v>
      </c>
      <c r="P18" s="109">
        <f t="shared" si="18"/>
        <v>0.36131482376169299</v>
      </c>
      <c r="Q18" s="109">
        <f t="shared" si="18"/>
        <v>0.36489782643651797</v>
      </c>
      <c r="R18" s="109">
        <f t="shared" si="18"/>
        <v>0.368480829111343</v>
      </c>
      <c r="S18" s="109">
        <f t="shared" si="18"/>
        <v>0.37922983713581793</v>
      </c>
      <c r="T18" s="109">
        <f t="shared" si="18"/>
        <v>0.38997884516029291</v>
      </c>
      <c r="U18" s="109">
        <f t="shared" si="18"/>
        <v>0.81676994907336531</v>
      </c>
      <c r="V18" s="109">
        <f t="shared" si="18"/>
        <v>0.81954943257219681</v>
      </c>
      <c r="W18" s="109">
        <f t="shared" si="18"/>
        <v>0.81548066701987043</v>
      </c>
      <c r="X18" s="109">
        <f t="shared" si="18"/>
        <v>0.79745661418790137</v>
      </c>
      <c r="Y18" s="109">
        <f t="shared" si="18"/>
        <v>0.81765505772678315</v>
      </c>
      <c r="Z18" s="109">
        <f t="shared" si="18"/>
        <v>0.83230121214815522</v>
      </c>
      <c r="AA18" s="109">
        <f t="shared" si="18"/>
        <v>0.84534898415618775</v>
      </c>
      <c r="AB18" s="109">
        <f t="shared" si="18"/>
        <v>0.98717151047203777</v>
      </c>
      <c r="AC18" s="109">
        <f t="shared" si="18"/>
        <v>1.5040202502534186</v>
      </c>
      <c r="AD18" s="109">
        <f t="shared" si="18"/>
        <v>2.0290444335565341</v>
      </c>
      <c r="AE18" s="109">
        <f t="shared" si="18"/>
        <v>1.3495627873649221</v>
      </c>
      <c r="AF18" s="109">
        <f t="shared" si="18"/>
        <v>1.102494262847036</v>
      </c>
      <c r="AG18" s="109">
        <f t="shared" si="18"/>
        <v>1.0254539800106139</v>
      </c>
      <c r="AH18" s="109">
        <f t="shared" si="18"/>
        <v>1.0686472518496064</v>
      </c>
      <c r="AI18" s="109">
        <f t="shared" si="18"/>
        <v>1.1410002863573498</v>
      </c>
      <c r="AJ18" s="109">
        <f t="shared" si="18"/>
        <v>1.0360777784297435</v>
      </c>
      <c r="AK18" s="109">
        <f t="shared" si="18"/>
        <v>0.97803452250034384</v>
      </c>
      <c r="AL18" s="109">
        <f t="shared" si="18"/>
        <v>0.92173405952357257</v>
      </c>
      <c r="AM18" s="109">
        <f t="shared" si="18"/>
        <v>0.90837536642039218</v>
      </c>
      <c r="AN18" s="109">
        <f t="shared" si="18"/>
        <v>0.95439527584200701</v>
      </c>
      <c r="AO18" s="109">
        <f t="shared" si="18"/>
        <v>0.95295356162611966</v>
      </c>
      <c r="AP18" s="109">
        <f t="shared" si="18"/>
        <v>0.96673579032440826</v>
      </c>
      <c r="AQ18" s="109">
        <f t="shared" si="18"/>
        <v>0.96988605748511691</v>
      </c>
      <c r="AR18" s="109">
        <f t="shared" si="18"/>
        <v>0.94567467568858243</v>
      </c>
      <c r="AS18" s="109">
        <f t="shared" si="18"/>
        <v>0.9300454477847826</v>
      </c>
      <c r="AT18" s="109">
        <f t="shared" si="18"/>
        <v>0.90558428753653564</v>
      </c>
      <c r="AU18" s="109">
        <f t="shared" si="18"/>
        <v>0.89985391202988896</v>
      </c>
      <c r="AV18" s="109">
        <f t="shared" si="18"/>
        <v>0.85355545906810182</v>
      </c>
      <c r="AW18" s="109">
        <f t="shared" si="18"/>
        <v>0.82301691614599948</v>
      </c>
      <c r="AX18" s="109">
        <f t="shared" si="18"/>
        <v>0.75699646347877225</v>
      </c>
      <c r="AY18" s="109">
        <f t="shared" si="18"/>
        <v>0.75488040963336056</v>
      </c>
      <c r="AZ18" s="109">
        <f t="shared" si="18"/>
        <v>0.75129740695853564</v>
      </c>
      <c r="BA18" s="109">
        <f t="shared" si="18"/>
        <v>0.75088982141274196</v>
      </c>
      <c r="BB18" s="109">
        <f t="shared" si="18"/>
        <v>0.75343873035628928</v>
      </c>
      <c r="BC18" s="109">
        <f t="shared" si="18"/>
        <v>0.74937739826366612</v>
      </c>
      <c r="BD18" s="109">
        <f t="shared" si="18"/>
        <v>0.75454625612622839</v>
      </c>
      <c r="BE18" s="109">
        <f t="shared" si="18"/>
        <v>0.76464889466741037</v>
      </c>
      <c r="BF18" s="109">
        <f t="shared" si="18"/>
        <v>0.7741571748709426</v>
      </c>
      <c r="BG18" s="109">
        <f t="shared" si="18"/>
        <v>0.77311587438657647</v>
      </c>
      <c r="BH18" s="109">
        <f t="shared" si="18"/>
        <v>0.79687139980160238</v>
      </c>
      <c r="BI18" s="109">
        <f t="shared" si="18"/>
        <v>0.80902382515753402</v>
      </c>
      <c r="BJ18" s="109">
        <f t="shared" si="18"/>
        <v>0.80348492631294233</v>
      </c>
      <c r="BK18" s="109">
        <f t="shared" si="18"/>
        <v>0.81851908031969134</v>
      </c>
      <c r="BL18" s="109">
        <f t="shared" si="18"/>
        <v>0.82325205472922347</v>
      </c>
      <c r="BM18" s="109">
        <f t="shared" si="18"/>
        <v>0.812943017343708</v>
      </c>
      <c r="BN18" s="109">
        <f t="shared" si="18"/>
        <v>0.80843433527269459</v>
      </c>
      <c r="BO18" s="109">
        <f t="shared" si="18"/>
        <v>0.80911960489782175</v>
      </c>
      <c r="BP18" s="109">
        <f t="shared" si="18"/>
        <v>0.79794257688117154</v>
      </c>
      <c r="BQ18" s="109">
        <f t="shared" si="18"/>
        <v>0.79794257688117154</v>
      </c>
      <c r="BR18" s="109">
        <f t="shared" si="18"/>
        <v>0.80701501018164801</v>
      </c>
      <c r="BS18" s="109">
        <f t="shared" si="18"/>
        <v>0.80551778522132322</v>
      </c>
      <c r="BT18" s="109">
        <f t="shared" si="18"/>
        <v>0.81693419332252692</v>
      </c>
      <c r="BU18" s="109">
        <f t="shared" si="18"/>
        <v>0.81345658628364292</v>
      </c>
      <c r="BV18" s="109">
        <f t="shared" ref="BV18:EG18" si="19">+BV13</f>
        <v>0.82671069017495979</v>
      </c>
      <c r="BW18" s="109">
        <f t="shared" si="19"/>
        <v>0.82673780139327968</v>
      </c>
      <c r="BX18" s="109">
        <f t="shared" si="19"/>
        <v>0.82538186706848016</v>
      </c>
      <c r="BY18" s="109">
        <f t="shared" si="19"/>
        <v>0.81959934040581006</v>
      </c>
      <c r="BZ18" s="109">
        <f t="shared" si="19"/>
        <v>0.82105963913408031</v>
      </c>
      <c r="CA18" s="109">
        <f t="shared" si="19"/>
        <v>0.82105963913408031</v>
      </c>
      <c r="CB18" s="109">
        <f t="shared" si="19"/>
        <v>0.81645255672775641</v>
      </c>
      <c r="CC18" s="109">
        <f t="shared" si="19"/>
        <v>0.81568200112643952</v>
      </c>
      <c r="CD18" s="109">
        <f t="shared" si="19"/>
        <v>0.80812867895221996</v>
      </c>
      <c r="CE18" s="109">
        <f t="shared" si="19"/>
        <v>0.80812867895221996</v>
      </c>
      <c r="CF18" s="109">
        <f t="shared" si="19"/>
        <v>0.80763704259768498</v>
      </c>
      <c r="CG18" s="109">
        <f t="shared" si="19"/>
        <v>0.79743750415534276</v>
      </c>
      <c r="CH18" s="109">
        <f t="shared" si="19"/>
        <v>0.78225410274321638</v>
      </c>
      <c r="CI18" s="109">
        <f t="shared" si="19"/>
        <v>0.77041546673814632</v>
      </c>
      <c r="CJ18" s="109">
        <f t="shared" si="19"/>
        <v>0.76991227183546518</v>
      </c>
      <c r="CK18" s="109">
        <f t="shared" si="19"/>
        <v>0.76991227183546518</v>
      </c>
      <c r="CL18" s="109">
        <f t="shared" si="19"/>
        <v>0.76938038599535052</v>
      </c>
      <c r="CM18" s="109">
        <f t="shared" si="19"/>
        <v>0.76999619439237943</v>
      </c>
      <c r="CN18" s="109">
        <f t="shared" si="19"/>
        <v>0.76659029779096599</v>
      </c>
      <c r="CO18" s="109">
        <f t="shared" si="19"/>
        <v>0.76419350101766892</v>
      </c>
      <c r="CP18" s="109">
        <f t="shared" si="19"/>
        <v>0.76419350101766892</v>
      </c>
      <c r="CQ18" s="109">
        <f t="shared" si="19"/>
        <v>0.76419350101766892</v>
      </c>
      <c r="CR18" s="109">
        <f t="shared" si="19"/>
        <v>0.7636976627656118</v>
      </c>
      <c r="CS18" s="109">
        <f t="shared" si="19"/>
        <v>0.76200408333673364</v>
      </c>
      <c r="CT18" s="109">
        <f t="shared" si="19"/>
        <v>0.76075349224985234</v>
      </c>
      <c r="CU18" s="109">
        <f t="shared" si="19"/>
        <v>0.75417175340365517</v>
      </c>
      <c r="CV18" s="109">
        <f t="shared" si="19"/>
        <v>0.74940453451206301</v>
      </c>
      <c r="CW18" s="109">
        <f t="shared" si="19"/>
        <v>0.7383434408854439</v>
      </c>
      <c r="CX18" s="109">
        <f t="shared" si="19"/>
        <v>0.73074113829252563</v>
      </c>
      <c r="CY18" s="109">
        <f t="shared" si="19"/>
        <v>0.72475536515432992</v>
      </c>
      <c r="CZ18" s="109">
        <f t="shared" si="19"/>
        <v>0.72718336151370422</v>
      </c>
      <c r="DA18" s="109">
        <f t="shared" si="19"/>
        <v>0.72485402624094353</v>
      </c>
      <c r="DB18" s="109">
        <f t="shared" si="19"/>
        <v>0.72405215578245974</v>
      </c>
      <c r="DC18" s="109">
        <f t="shared" si="19"/>
        <v>0.72586106043090015</v>
      </c>
      <c r="DD18" s="109">
        <f t="shared" si="19"/>
        <v>0.72785944422258364</v>
      </c>
      <c r="DE18" s="109">
        <f t="shared" si="19"/>
        <v>0.72694428222623908</v>
      </c>
      <c r="DF18" s="109">
        <f t="shared" si="19"/>
        <v>0.72924190919298182</v>
      </c>
      <c r="DG18" s="109">
        <f t="shared" si="19"/>
        <v>0.73082929885759962</v>
      </c>
      <c r="DH18" s="109">
        <f t="shared" si="19"/>
        <v>0.73055502154403618</v>
      </c>
      <c r="DI18" s="109">
        <f t="shared" si="19"/>
        <v>0.72802750402157834</v>
      </c>
      <c r="DJ18" s="109">
        <f t="shared" si="19"/>
        <v>0.73069744035839657</v>
      </c>
      <c r="DK18" s="109">
        <f t="shared" si="19"/>
        <v>0.73159116345005792</v>
      </c>
      <c r="DL18" s="109">
        <f t="shared" si="19"/>
        <v>0.73431856118475103</v>
      </c>
      <c r="DM18" s="109">
        <f t="shared" si="19"/>
        <v>0.72887098933433203</v>
      </c>
      <c r="DN18" s="109">
        <f t="shared" si="19"/>
        <v>0.72305067229428066</v>
      </c>
      <c r="DO18" s="109">
        <f t="shared" si="19"/>
        <v>0.72083667916917504</v>
      </c>
      <c r="DP18" s="109">
        <f t="shared" si="19"/>
        <v>0.72039636441541377</v>
      </c>
      <c r="DQ18" s="109">
        <f t="shared" si="19"/>
        <v>0.71827760046359512</v>
      </c>
      <c r="DR18" s="109">
        <f t="shared" si="19"/>
        <v>0.71265226763952771</v>
      </c>
      <c r="DS18" s="109">
        <f t="shared" si="19"/>
        <v>0.71691268607501402</v>
      </c>
      <c r="DT18" s="109" t="e">
        <f t="shared" si="19"/>
        <v>#DIV/0!</v>
      </c>
      <c r="DU18" s="109" t="e">
        <f t="shared" si="19"/>
        <v>#DIV/0!</v>
      </c>
      <c r="DV18" s="109" t="e">
        <f t="shared" si="19"/>
        <v>#DIV/0!</v>
      </c>
      <c r="DW18" s="109" t="e">
        <f t="shared" si="19"/>
        <v>#DIV/0!</v>
      </c>
      <c r="DX18" s="109">
        <f t="shared" si="19"/>
        <v>0</v>
      </c>
      <c r="DY18" s="109">
        <f t="shared" si="19"/>
        <v>0</v>
      </c>
      <c r="DZ18" s="109">
        <f t="shared" si="19"/>
        <v>0</v>
      </c>
      <c r="EA18" s="109">
        <f t="shared" si="19"/>
        <v>0</v>
      </c>
      <c r="EB18" s="109">
        <f t="shared" si="19"/>
        <v>0</v>
      </c>
      <c r="EC18" s="109">
        <f t="shared" si="19"/>
        <v>0</v>
      </c>
      <c r="ED18" s="109">
        <f t="shared" si="19"/>
        <v>0</v>
      </c>
      <c r="EE18" s="109">
        <f t="shared" si="19"/>
        <v>0</v>
      </c>
      <c r="EF18" s="109">
        <f t="shared" si="19"/>
        <v>0</v>
      </c>
      <c r="EG18" s="109">
        <f t="shared" si="19"/>
        <v>0</v>
      </c>
      <c r="EH18" s="109">
        <f t="shared" ref="EH18:FC18" si="20">+EH13</f>
        <v>0</v>
      </c>
      <c r="EI18" s="109">
        <f t="shared" si="20"/>
        <v>0</v>
      </c>
      <c r="EJ18" s="109">
        <f t="shared" si="20"/>
        <v>0</v>
      </c>
      <c r="EK18" s="109">
        <f t="shared" si="20"/>
        <v>0</v>
      </c>
      <c r="EL18" s="109">
        <f t="shared" si="20"/>
        <v>0</v>
      </c>
      <c r="EM18" s="109">
        <f t="shared" si="20"/>
        <v>0</v>
      </c>
      <c r="EN18" s="109">
        <f t="shared" si="20"/>
        <v>0</v>
      </c>
      <c r="EO18" s="109">
        <f t="shared" si="20"/>
        <v>0</v>
      </c>
      <c r="EP18" s="109">
        <f t="shared" si="20"/>
        <v>0</v>
      </c>
      <c r="EQ18" s="109">
        <f t="shared" si="20"/>
        <v>0</v>
      </c>
      <c r="ER18" s="109">
        <f t="shared" si="20"/>
        <v>0</v>
      </c>
      <c r="ES18" s="109">
        <f t="shared" si="20"/>
        <v>0</v>
      </c>
      <c r="ET18" s="109">
        <f t="shared" si="20"/>
        <v>0</v>
      </c>
      <c r="EU18" s="109">
        <f t="shared" si="20"/>
        <v>0</v>
      </c>
      <c r="EV18" s="109">
        <f t="shared" si="20"/>
        <v>0</v>
      </c>
      <c r="EW18" s="109">
        <f t="shared" si="20"/>
        <v>0</v>
      </c>
      <c r="EX18" s="109" t="e" vm="2">
        <f t="shared" si="20"/>
        <v>#VALUE!</v>
      </c>
      <c r="EY18" s="109" t="e" vm="2">
        <f t="shared" si="20"/>
        <v>#VALUE!</v>
      </c>
      <c r="EZ18" s="109" t="e" vm="2">
        <f t="shared" si="20"/>
        <v>#VALUE!</v>
      </c>
      <c r="FA18" s="109" t="e" vm="2">
        <f t="shared" si="20"/>
        <v>#VALUE!</v>
      </c>
      <c r="FB18" s="109" t="e" vm="2">
        <f t="shared" si="20"/>
        <v>#VALUE!</v>
      </c>
      <c r="FC18" s="109" t="e" vm="2">
        <f t="shared" si="20"/>
        <v>#VALUE!</v>
      </c>
    </row>
  </sheetData>
  <phoneticPr fontId="52" type="noConversion"/>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3"/>
  <dimension ref="A1:EQ1048576"/>
  <sheetViews>
    <sheetView workbookViewId="0">
      <pane xSplit="10" ySplit="6" topLeftCell="V7" activePane="bottomRight" state="frozen"/>
      <selection pane="topRight" activeCell="K1" sqref="K1"/>
      <selection pane="bottomLeft" activeCell="A7" sqref="A7"/>
      <selection pane="bottomRight" activeCell="AA18" sqref="AA18"/>
    </sheetView>
  </sheetViews>
  <sheetFormatPr baseColWidth="10" defaultColWidth="22.6640625" defaultRowHeight="12"/>
  <cols>
    <col min="1" max="1" width="22.83203125" style="60" bestFit="1" customWidth="1"/>
    <col min="2" max="2" width="11.33203125" style="60" bestFit="1" customWidth="1"/>
    <col min="3" max="3" width="4.83203125" style="60" bestFit="1" customWidth="1"/>
    <col min="4" max="4" width="12.33203125" style="60" bestFit="1" customWidth="1"/>
    <col min="5" max="5" width="7.5" style="60" bestFit="1" customWidth="1"/>
    <col min="6" max="6" width="6.1640625" style="60" bestFit="1" customWidth="1"/>
    <col min="7" max="7" width="4.1640625" style="60" bestFit="1" customWidth="1"/>
    <col min="8" max="8" width="22.83203125" style="60" bestFit="1" customWidth="1"/>
    <col min="9" max="9" width="5.1640625" style="60" bestFit="1" customWidth="1"/>
    <col min="10" max="10" width="5.5" style="60" bestFit="1" customWidth="1"/>
    <col min="11" max="11" width="5.6640625" style="60" bestFit="1" customWidth="1"/>
    <col min="12" max="12" width="5.33203125" style="60" bestFit="1" customWidth="1"/>
    <col min="13" max="13" width="5.83203125" style="60" bestFit="1" customWidth="1"/>
    <col min="14" max="14" width="5.1640625" style="60" bestFit="1" customWidth="1"/>
    <col min="15" max="15" width="4.6640625" style="60" bestFit="1" customWidth="1"/>
    <col min="16" max="18" width="5.5" style="60" bestFit="1" customWidth="1"/>
    <col min="19" max="19" width="5.6640625" style="60" bestFit="1" customWidth="1"/>
    <col min="20" max="20" width="5.5" style="60" bestFit="1" customWidth="1"/>
    <col min="21" max="21" width="5.1640625" style="60" bestFit="1" customWidth="1"/>
    <col min="22" max="22" width="5.5" style="60" bestFit="1" customWidth="1"/>
    <col min="23" max="23" width="5.6640625" style="60" bestFit="1" customWidth="1"/>
    <col min="24" max="24" width="5.33203125" style="60" bestFit="1" customWidth="1"/>
    <col min="25" max="25" width="5.83203125" style="60" bestFit="1" customWidth="1"/>
    <col min="26" max="26" width="5.1640625" style="60" bestFit="1" customWidth="1"/>
    <col min="27" max="27" width="4.6640625" style="60" bestFit="1" customWidth="1"/>
    <col min="28" max="30" width="5.5" style="60" bestFit="1" customWidth="1"/>
    <col min="31" max="31" width="5.6640625" style="60" bestFit="1" customWidth="1"/>
    <col min="32" max="32" width="5.5" style="60" bestFit="1" customWidth="1"/>
    <col min="33" max="33" width="5.1640625" style="60" bestFit="1" customWidth="1"/>
    <col min="34" max="34" width="5.5" style="60" bestFit="1" customWidth="1"/>
    <col min="35" max="35" width="5.6640625" style="60" bestFit="1" customWidth="1"/>
    <col min="36" max="36" width="5.33203125" style="60" bestFit="1" customWidth="1"/>
    <col min="37" max="37" width="5.83203125" style="60" bestFit="1" customWidth="1"/>
    <col min="38" max="38" width="5.1640625" style="60" bestFit="1" customWidth="1"/>
    <col min="39" max="39" width="4.6640625" style="60" bestFit="1" customWidth="1"/>
    <col min="40" max="42" width="5.5" style="60" bestFit="1" customWidth="1"/>
    <col min="43" max="43" width="5.6640625" style="60" bestFit="1" customWidth="1"/>
    <col min="44" max="44" width="5.5" style="60" bestFit="1" customWidth="1"/>
    <col min="45" max="45" width="5.1640625" style="60" bestFit="1" customWidth="1"/>
    <col min="46" max="46" width="5.5" style="60" bestFit="1" customWidth="1"/>
    <col min="47" max="47" width="5.6640625" style="60" bestFit="1" customWidth="1"/>
    <col min="48" max="48" width="5.33203125" style="60" bestFit="1" customWidth="1"/>
    <col min="49" max="49" width="5.83203125" style="60" bestFit="1" customWidth="1"/>
    <col min="50" max="50" width="5.1640625" style="60" bestFit="1" customWidth="1"/>
    <col min="51" max="51" width="4.6640625" style="60" bestFit="1" customWidth="1"/>
    <col min="52" max="54" width="7" style="60" bestFit="1" customWidth="1"/>
    <col min="55" max="56" width="5.5" style="60" bestFit="1" customWidth="1"/>
    <col min="57" max="58" width="5.83203125" style="60" bestFit="1" customWidth="1"/>
    <col min="59" max="66" width="5.5" style="60" bestFit="1" customWidth="1"/>
    <col min="67" max="70" width="5.6640625" style="60" bestFit="1" customWidth="1"/>
    <col min="71" max="74" width="5.5" style="60" bestFit="1" customWidth="1"/>
    <col min="75" max="78" width="5.1640625" style="60" bestFit="1" customWidth="1"/>
    <col min="79" max="82" width="5.5" style="60" bestFit="1" customWidth="1"/>
    <col min="83" max="83" width="6.1640625" style="60" bestFit="1" customWidth="1"/>
    <col min="84" max="86" width="5.6640625" style="60" bestFit="1" customWidth="1"/>
    <col min="87" max="90" width="5.5" style="60" bestFit="1" customWidth="1"/>
    <col min="91" max="95" width="6.33203125" style="60" bestFit="1" customWidth="1"/>
    <col min="96" max="99" width="6.1640625" style="60" bestFit="1" customWidth="1"/>
    <col min="100" max="103" width="5.1640625" style="60" bestFit="1" customWidth="1"/>
    <col min="104" max="107" width="5.83203125" style="60" bestFit="1" customWidth="1"/>
    <col min="108" max="115" width="5.6640625" style="60" bestFit="1" customWidth="1"/>
    <col min="116" max="119" width="6.1640625" style="60" bestFit="1" customWidth="1"/>
    <col min="120" max="123" width="5.83203125" style="60" bestFit="1" customWidth="1"/>
    <col min="124" max="143" width="5.1640625" style="60" bestFit="1" customWidth="1"/>
    <col min="144" max="147" width="3.33203125" style="60" bestFit="1" customWidth="1"/>
    <col min="148" max="16384" width="22.6640625" style="60"/>
  </cols>
  <sheetData>
    <row r="1" spans="1:147" ht="26">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c r="EM1" s="99">
        <v>141</v>
      </c>
      <c r="EN1" s="99">
        <v>142</v>
      </c>
      <c r="EO1" s="99">
        <v>143</v>
      </c>
      <c r="EP1" s="99">
        <v>144</v>
      </c>
      <c r="EQ1" s="99">
        <v>145</v>
      </c>
    </row>
    <row r="2" spans="1:147">
      <c r="A2" s="112" t="s">
        <v>668</v>
      </c>
      <c r="B2" s="100"/>
      <c r="C2" s="101">
        <v>1</v>
      </c>
      <c r="D2" s="100">
        <v>149.59</v>
      </c>
      <c r="E2" s="60">
        <f>D2*C2</f>
        <v>149.59</v>
      </c>
      <c r="K2" s="102"/>
      <c r="M2" s="102"/>
    </row>
    <row r="3" spans="1:147">
      <c r="A3" s="36"/>
      <c r="B3" s="64"/>
      <c r="D3" s="100"/>
      <c r="E3" s="64"/>
      <c r="F3" s="103"/>
    </row>
    <row r="4" spans="1:147">
      <c r="A4" s="64"/>
      <c r="B4" s="64"/>
      <c r="D4" s="64"/>
      <c r="E4" s="64"/>
      <c r="H4" s="60" t="s">
        <v>387</v>
      </c>
    </row>
    <row r="5" spans="1:147">
      <c r="A5" s="74"/>
      <c r="B5" s="74"/>
    </row>
    <row r="6" spans="1:147">
      <c r="A6" s="59"/>
      <c r="B6" s="59"/>
      <c r="C6" s="59"/>
      <c r="D6" s="98"/>
      <c r="E6" s="98"/>
      <c r="F6" s="59"/>
      <c r="H6" s="59" t="s">
        <v>416</v>
      </c>
      <c r="I6" s="59">
        <v>43831</v>
      </c>
      <c r="J6" s="59">
        <v>43862</v>
      </c>
      <c r="K6" s="59">
        <v>43891</v>
      </c>
      <c r="L6" s="59">
        <v>43922</v>
      </c>
      <c r="M6" s="59">
        <v>43952</v>
      </c>
      <c r="N6" s="59">
        <v>43983</v>
      </c>
      <c r="O6" s="59">
        <v>44013</v>
      </c>
      <c r="P6" s="59">
        <v>44044</v>
      </c>
      <c r="Q6" s="59">
        <v>44075</v>
      </c>
      <c r="R6" s="59">
        <v>44105</v>
      </c>
      <c r="S6" s="59">
        <v>44136</v>
      </c>
      <c r="T6" s="59">
        <v>44166</v>
      </c>
      <c r="U6" s="59">
        <v>44197</v>
      </c>
      <c r="V6" s="59">
        <v>44228</v>
      </c>
      <c r="W6" s="59">
        <v>44256</v>
      </c>
      <c r="X6" s="59">
        <v>44287</v>
      </c>
      <c r="Y6" s="59">
        <v>44317</v>
      </c>
      <c r="Z6" s="59">
        <v>44348</v>
      </c>
      <c r="AA6" s="59">
        <v>44378</v>
      </c>
      <c r="AB6" s="59">
        <v>44409</v>
      </c>
      <c r="AC6" s="59">
        <v>44440</v>
      </c>
      <c r="AD6" s="59">
        <v>44470</v>
      </c>
      <c r="AE6" s="59">
        <v>44501</v>
      </c>
      <c r="AF6" s="59">
        <v>44531</v>
      </c>
      <c r="AG6" s="59">
        <v>44562</v>
      </c>
      <c r="AH6" s="59">
        <v>44593</v>
      </c>
      <c r="AI6" s="59">
        <v>44621</v>
      </c>
      <c r="AJ6" s="59">
        <v>44652</v>
      </c>
      <c r="AK6" s="59">
        <v>44682</v>
      </c>
      <c r="AL6" s="59">
        <v>44713</v>
      </c>
      <c r="AM6" s="59">
        <v>44743</v>
      </c>
      <c r="AN6" s="59">
        <v>44774</v>
      </c>
      <c r="AO6" s="59">
        <v>44805</v>
      </c>
      <c r="AP6" s="59">
        <v>44835</v>
      </c>
      <c r="AQ6" s="59">
        <v>44866</v>
      </c>
      <c r="AR6" s="59">
        <v>44896</v>
      </c>
      <c r="AS6" s="59">
        <v>44927</v>
      </c>
      <c r="AT6" s="59">
        <v>44958</v>
      </c>
      <c r="AU6" s="59">
        <v>44986</v>
      </c>
      <c r="AV6" s="59">
        <v>45017</v>
      </c>
      <c r="AW6" s="59">
        <v>45047</v>
      </c>
      <c r="AX6" s="59">
        <v>45078</v>
      </c>
      <c r="AY6" s="59">
        <v>45108</v>
      </c>
      <c r="AZ6" s="59" t="s">
        <v>530</v>
      </c>
      <c r="BA6" s="59" t="s">
        <v>531</v>
      </c>
      <c r="BB6" s="59" t="s">
        <v>532</v>
      </c>
      <c r="BC6" s="84">
        <v>37104</v>
      </c>
      <c r="BD6" s="84">
        <v>37469</v>
      </c>
      <c r="BE6" s="59" t="s">
        <v>168</v>
      </c>
      <c r="BF6" s="59" t="s">
        <v>169</v>
      </c>
      <c r="BG6" s="59" t="s">
        <v>502</v>
      </c>
      <c r="BH6" s="59" t="s">
        <v>503</v>
      </c>
      <c r="BI6" s="59" t="s">
        <v>504</v>
      </c>
      <c r="BJ6" s="59" t="s">
        <v>505</v>
      </c>
      <c r="BK6" s="59" t="s">
        <v>506</v>
      </c>
      <c r="BL6" s="59" t="s">
        <v>507</v>
      </c>
      <c r="BM6" s="59" t="s">
        <v>508</v>
      </c>
      <c r="BN6" s="59" t="s">
        <v>509</v>
      </c>
      <c r="BO6" s="59">
        <v>37196</v>
      </c>
      <c r="BP6" s="59">
        <v>37561</v>
      </c>
      <c r="BQ6" s="59">
        <v>37926</v>
      </c>
      <c r="BR6" s="59">
        <v>38292</v>
      </c>
      <c r="BS6" s="59">
        <v>37226</v>
      </c>
      <c r="BT6" s="59">
        <v>37591</v>
      </c>
      <c r="BU6" s="59">
        <v>37956</v>
      </c>
      <c r="BV6" s="59">
        <v>38322</v>
      </c>
      <c r="BW6" s="59">
        <v>36892</v>
      </c>
      <c r="BX6" s="59">
        <v>37257</v>
      </c>
      <c r="BY6" s="59">
        <v>37622</v>
      </c>
      <c r="BZ6" s="59">
        <v>37987</v>
      </c>
      <c r="CA6" s="59">
        <v>36923</v>
      </c>
      <c r="CB6" s="59">
        <v>37288</v>
      </c>
      <c r="CC6" s="59">
        <v>37653</v>
      </c>
      <c r="CD6" s="59">
        <v>38018</v>
      </c>
      <c r="CE6" s="59" t="str">
        <f>Sheet8!A15</f>
        <v>Mar-w1</v>
      </c>
      <c r="CF6" s="59">
        <v>37316</v>
      </c>
      <c r="CG6" s="59">
        <v>37681</v>
      </c>
      <c r="CH6" s="59">
        <v>38047</v>
      </c>
      <c r="CI6" s="59" t="str">
        <f>Sheet8!E15</f>
        <v>Apr-w1</v>
      </c>
      <c r="CJ6" s="59" t="str">
        <f>Sheet8!F15</f>
        <v>Apr-w2</v>
      </c>
      <c r="CK6" s="59" t="str">
        <f>Sheet8!G15</f>
        <v>Apr-w3</v>
      </c>
      <c r="CL6" s="59" t="str">
        <f>Sheet8!H15</f>
        <v>Apr-w4</v>
      </c>
      <c r="CM6" s="59" t="str">
        <f>Sheet8!I15</f>
        <v>May-w1</v>
      </c>
      <c r="CN6" s="59" t="str">
        <f>Sheet8!J15</f>
        <v>May-w2</v>
      </c>
      <c r="CO6" s="59" t="str">
        <f>Sheet8!K15</f>
        <v>May-w3</v>
      </c>
      <c r="CP6" s="59" t="str">
        <f>Sheet8!L15</f>
        <v>May-w4</v>
      </c>
      <c r="CQ6" s="59" t="str">
        <f>Sheet8!M15</f>
        <v>May-w5</v>
      </c>
      <c r="CR6" s="59" t="str">
        <f>Sheet8!N15</f>
        <v>june-w1</v>
      </c>
      <c r="CS6" s="59" t="str">
        <f>Sheet8!O15</f>
        <v>june-w2</v>
      </c>
      <c r="CT6" s="59" t="str">
        <f>Sheet8!P15</f>
        <v>june-w3</v>
      </c>
      <c r="CU6" s="59" t="str">
        <f>Sheet8!Q15</f>
        <v>june-w4</v>
      </c>
      <c r="CV6" s="59" t="str">
        <f>Sheet8!R15</f>
        <v>Jul-w1</v>
      </c>
      <c r="CW6" s="59" t="str">
        <f>Sheet8!S15</f>
        <v>Jul-w2</v>
      </c>
      <c r="CX6" s="59" t="str">
        <f>Sheet8!T15</f>
        <v>Jul-w3</v>
      </c>
      <c r="CY6" s="59" t="str">
        <f>Sheet8!U15</f>
        <v>Jul-w4</v>
      </c>
      <c r="CZ6" s="59" t="str">
        <f>Sheet8!V15</f>
        <v>Aug-w1</v>
      </c>
      <c r="DA6" s="59" t="str">
        <f>Sheet8!W15</f>
        <v>Aug-w2</v>
      </c>
      <c r="DB6" s="59" t="str">
        <f>Sheet8!X15</f>
        <v>Aug-w3</v>
      </c>
      <c r="DC6" s="59" t="str">
        <f>Sheet8!Y15</f>
        <v>Aug-w4</v>
      </c>
      <c r="DD6" s="59" t="str">
        <f>Sheet8!Z15</f>
        <v>Sep-w1</v>
      </c>
      <c r="DE6" s="59" t="str">
        <f>Sheet8!AA15</f>
        <v>Sep-w2</v>
      </c>
      <c r="DF6" s="59" t="str">
        <f>Sheet8!AB15</f>
        <v>Sep-w3</v>
      </c>
      <c r="DG6" s="59" t="str">
        <f>Sheet8!AC15</f>
        <v>Sep-w4</v>
      </c>
      <c r="DH6" s="59" t="str">
        <f>Sheet8!AD15</f>
        <v>Oct-w1</v>
      </c>
      <c r="DI6" s="59" t="str">
        <f>Sheet8!AE15</f>
        <v>Oct-w2</v>
      </c>
      <c r="DJ6" s="59" t="str">
        <f>Sheet8!AF15</f>
        <v>Oct-w3</v>
      </c>
      <c r="DK6" s="59" t="str">
        <f>Sheet8!AG15</f>
        <v>Oct-w4</v>
      </c>
      <c r="DL6" s="59" t="str">
        <f>Sheet8!AH15</f>
        <v>Nov-w1</v>
      </c>
      <c r="DM6" s="59" t="str">
        <f>Sheet8!AI15</f>
        <v>Nov-w2</v>
      </c>
      <c r="DN6" s="59" t="str">
        <f>Sheet8!AJ15</f>
        <v>Nov-w3</v>
      </c>
      <c r="DO6" s="59" t="str">
        <f>Sheet8!AK15</f>
        <v>Nov-w4</v>
      </c>
      <c r="DP6" s="59" t="str">
        <f>Sheet8!AL15</f>
        <v>Dec-w1</v>
      </c>
      <c r="DQ6" s="59" t="str">
        <f>Sheet8!AM15</f>
        <v>Dec-w2</v>
      </c>
      <c r="DR6" s="59" t="str">
        <f>Sheet8!AN15</f>
        <v>Dec-w3</v>
      </c>
      <c r="DS6" s="59" t="str">
        <f>Sheet8!AO15</f>
        <v>Dec-w4</v>
      </c>
      <c r="DT6" s="59">
        <f>Sheet8!AP15</f>
        <v>0</v>
      </c>
      <c r="DU6" s="59">
        <f>Sheet8!AQ15</f>
        <v>0</v>
      </c>
      <c r="DV6" s="59">
        <f>Sheet8!AR15</f>
        <v>0</v>
      </c>
      <c r="DW6" s="59">
        <f>Sheet8!AS15</f>
        <v>0</v>
      </c>
      <c r="DX6" s="59">
        <f>Sheet8!AT15</f>
        <v>0</v>
      </c>
      <c r="DY6" s="59">
        <f>Sheet8!AU15</f>
        <v>0</v>
      </c>
      <c r="DZ6" s="59">
        <f>Sheet8!AV15</f>
        <v>0</v>
      </c>
      <c r="EA6" s="59">
        <f>Sheet8!AW15</f>
        <v>0</v>
      </c>
      <c r="EB6" s="59">
        <f>Sheet8!AX15</f>
        <v>0</v>
      </c>
      <c r="EC6" s="59">
        <f>Sheet8!AY15</f>
        <v>0</v>
      </c>
      <c r="ED6" s="59">
        <f>Sheet8!AZ15</f>
        <v>0</v>
      </c>
      <c r="EE6" s="59">
        <f>Sheet8!BA15</f>
        <v>0</v>
      </c>
      <c r="EF6" s="59">
        <f>Sheet8!BB15</f>
        <v>0</v>
      </c>
      <c r="EG6" s="59">
        <f>Sheet8!BC15</f>
        <v>0</v>
      </c>
      <c r="EH6" s="59">
        <f>Sheet8!BD15</f>
        <v>0</v>
      </c>
      <c r="EI6" s="59">
        <f>Sheet8!BE15</f>
        <v>0</v>
      </c>
      <c r="EJ6" s="59">
        <f>Sheet8!BF15</f>
        <v>0</v>
      </c>
      <c r="EK6" s="59">
        <f>Sheet8!BG15</f>
        <v>0</v>
      </c>
      <c r="EL6" s="59">
        <f>Sheet8!BH15</f>
        <v>0</v>
      </c>
      <c r="EM6" s="59">
        <f>Sheet8!BI15</f>
        <v>0</v>
      </c>
    </row>
    <row r="7" spans="1:147">
      <c r="D7" s="60" t="s">
        <v>425</v>
      </c>
      <c r="E7" s="60" t="s">
        <v>402</v>
      </c>
      <c r="F7" s="60" t="s">
        <v>669</v>
      </c>
      <c r="H7" s="44" t="s">
        <v>81</v>
      </c>
      <c r="I7" s="70">
        <f>VLOOKUP($H$7&amp;$F$1,'Input RM sheet'!$A:$BD,H1,0)</f>
        <v>823.17</v>
      </c>
      <c r="J7" s="70">
        <f>VLOOKUP($H$7&amp;$F$1,'Input RM sheet'!$A:$DD,I1,0)</f>
        <v>807.62</v>
      </c>
      <c r="K7" s="70">
        <f>VLOOKUP($H$7&amp;$F$1,'Input RM sheet'!$A:$BD,J1,0)</f>
        <v>674.56</v>
      </c>
      <c r="L7" s="70">
        <f>VLOOKUP($H$7&amp;$F$1,'Input RM sheet'!$A:$BD,K1,0)</f>
        <v>745.99</v>
      </c>
      <c r="M7" s="70">
        <f>VLOOKUP($H$7&amp;$F$1,'Input RM sheet'!$A:$BD,L1,0)</f>
        <v>721.47</v>
      </c>
      <c r="N7" s="70">
        <f>VLOOKUP($H$7&amp;$F$1,'Input RM sheet'!$A:$BD,M1,0)</f>
        <v>776.61</v>
      </c>
      <c r="O7" s="70">
        <f>VLOOKUP($H$7&amp;$F$1,'Input RM sheet'!$A:$BD,N1,0)</f>
        <v>777.4</v>
      </c>
      <c r="P7" s="70">
        <f>VLOOKUP($H$7&amp;$F$1,'Input RM sheet'!$A:$BD,O1,0)</f>
        <v>797.21</v>
      </c>
      <c r="Q7" s="70">
        <f>VLOOKUP($H$7&amp;$F$1,'Input RM sheet'!$A:$BD,P1,0)</f>
        <v>840.17</v>
      </c>
      <c r="R7" s="70">
        <f>VLOOKUP($H$7&amp;$F$1,'Input RM sheet'!$A:$BD,Q1,0)</f>
        <v>970.45</v>
      </c>
      <c r="S7" s="70">
        <f>VLOOKUP($H$7&amp;$F$1,'Input RM sheet'!$A:$BD,R1,0)</f>
        <v>1019</v>
      </c>
      <c r="T7" s="70">
        <f>VLOOKUP($H$7&amp;$F$1,'Input RM sheet'!$A:$BD,S1,0)</f>
        <v>1017</v>
      </c>
      <c r="U7" s="70">
        <f>VLOOKUP($H$7&amp;$F$1,'Input RM sheet'!$A:$BD,T1,0)</f>
        <v>1189</v>
      </c>
      <c r="V7" s="70">
        <f>VLOOKUP($H$7&amp;$F$1,'Input RM sheet'!$A:$BD,U1,0)</f>
        <v>1357</v>
      </c>
      <c r="W7" s="70">
        <f>VLOOKUP($H$7&amp;$F$1,'Input RM sheet'!$A:$BD,V1,0)</f>
        <v>1290</v>
      </c>
      <c r="X7" s="70">
        <f>VLOOKUP($H$7&amp;$F$1,'Input RM sheet'!$A:$BD,W1,0)</f>
        <v>1498</v>
      </c>
      <c r="Y7" s="70">
        <f>VLOOKUP($H$7&amp;$F$1,'Input RM sheet'!$A:$BD,X1,0)</f>
        <v>1429</v>
      </c>
      <c r="Z7" s="70">
        <f>VLOOKUP($H$7&amp;$F$1,'Input RM sheet'!$A:$BD,Y1,0)</f>
        <v>1412</v>
      </c>
      <c r="AA7" s="70">
        <f>VLOOKUP($H$7&amp;$F$1,'Input RM sheet'!$A:$BD,Z1,0)</f>
        <v>1328</v>
      </c>
      <c r="AB7" s="70">
        <f>VLOOKUP($H$7&amp;$F$1,'Input RM sheet'!$A:$BD,AA1,0)</f>
        <v>1293</v>
      </c>
      <c r="AC7" s="70">
        <f>VLOOKUP($H$7&amp;$F$1,'Input RM sheet'!$A:$BD,AB1,0)</f>
        <v>1607</v>
      </c>
      <c r="AD7" s="70">
        <f>VLOOKUP($H$7&amp;$F$1,'Input RM sheet'!$A:$BD,AC1,0)</f>
        <v>1460</v>
      </c>
      <c r="AE7" s="70">
        <f>VLOOKUP($H$7&amp;$F$1,'Input RM sheet'!$A:$BD,AD1,0)</f>
        <v>1420</v>
      </c>
      <c r="AF7" s="70">
        <f>VLOOKUP($H$7&amp;$F$1,'Input RM sheet'!$A:$BD,AE1,0)</f>
        <v>1334</v>
      </c>
      <c r="AG7" s="70">
        <f>VLOOKUP($H$7&amp;$F$1,'Input RM sheet'!$A:$BD,AF1,0)</f>
        <v>1298</v>
      </c>
      <c r="AH7" s="70">
        <f>VLOOKUP($H$7&amp;$F$1,'Input RM sheet'!$A:$BD,AG1,0)</f>
        <v>1108</v>
      </c>
      <c r="AI7" s="70">
        <f>VLOOKUP($H$7&amp;$F$1,'Input RM sheet'!$A:$BD,AH1,0)</f>
        <v>1288</v>
      </c>
      <c r="AJ7" s="70">
        <f>VLOOKUP($H$7&amp;$F$1,'Input RM sheet'!$A:$BD,AI1,0)</f>
        <v>1369</v>
      </c>
      <c r="AK7" s="70">
        <f>VLOOKUP($H$7&amp;$F$1,'Input RM sheet'!$A:$BD,AJ1,0)</f>
        <v>1250</v>
      </c>
      <c r="AL7" s="70">
        <f>VLOOKUP($H$7&amp;$F$1,'Input RM sheet'!$A:$BD,AK1,0)</f>
        <v>1027</v>
      </c>
      <c r="AM7" s="70">
        <f>VLOOKUP($H$7&amp;$F$1,'Input RM sheet'!$A:$BD,AL1,0)</f>
        <v>976.52</v>
      </c>
      <c r="AN7" s="70">
        <f>VLOOKUP($H$7&amp;$F$1,'Input RM sheet'!$A:$BD,AM1,0)</f>
        <v>974.06</v>
      </c>
      <c r="AO7" s="70">
        <f>VLOOKUP($H$7&amp;$F$1,'Input RM sheet'!$A:$BD,AN1,0)</f>
        <v>973.26</v>
      </c>
      <c r="AP7" s="70">
        <f>VLOOKUP($H$7&amp;$F$1,'Input RM sheet'!$A:$BD,AO1,0)</f>
        <v>917.96</v>
      </c>
      <c r="AQ7" s="70">
        <f>VLOOKUP($H$7&amp;$F$1,'Input RM sheet'!$A:$BD,AP1,0)</f>
        <v>887.13</v>
      </c>
      <c r="AR7" s="70">
        <f>VLOOKUP($H$7&amp;$F$1,'Input RM sheet'!$A:$BD,AQ1,0)</f>
        <v>920.98</v>
      </c>
      <c r="AS7" s="70">
        <f>VLOOKUP($H$7&amp;$F$1,'Input RM sheet'!$A:$BD,AR1,0)</f>
        <v>938.51</v>
      </c>
      <c r="AT7" s="70">
        <f>VLOOKUP($H$7&amp;$F$1,'Input RM sheet'!$A:$BD,AS1,0)</f>
        <v>945.93</v>
      </c>
      <c r="AU7" s="70">
        <f>VLOOKUP($H$7&amp;$F$1,'Input RM sheet'!$A:$BD,AT1,0)</f>
        <v>917.22</v>
      </c>
      <c r="AV7" s="70">
        <f>VLOOKUP($H$7&amp;$F$1,'Input RM sheet'!$A:$BD,AU1,0)</f>
        <v>943.88</v>
      </c>
      <c r="AW7" s="70">
        <f>VLOOKUP($H$7&amp;$F$1,'Input RM sheet'!$A:$BD,AV1,0)</f>
        <v>898.09</v>
      </c>
      <c r="AX7" s="70">
        <f>VLOOKUP($H$7&amp;$F$1,'Input RM sheet'!$A:$BD,AW1,0)</f>
        <v>876.94</v>
      </c>
      <c r="AY7" s="70">
        <f>VLOOKUP($H$7&amp;$F$1,'Input RM sheet'!$A:$BD,AX1,0)</f>
        <v>876.94</v>
      </c>
      <c r="AZ7" s="70">
        <f>VLOOKUP($H$7&amp;$F$1,'Input RM sheet'!$A:$BD,AY1,0)</f>
        <v>848.99</v>
      </c>
      <c r="BA7" s="70">
        <f>VLOOKUP($H$7&amp;$F$1,'Input RM sheet'!$A:$BD,AZ1,0)</f>
        <v>848.99</v>
      </c>
      <c r="BB7" s="70">
        <f>VLOOKUP($H$7&amp;$F$1,'Input RM sheet'!$A:$BD,BA1,0)</f>
        <v>848.99</v>
      </c>
      <c r="BC7" s="70">
        <f>VLOOKUP($H$7&amp;$F$1,'Input RM sheet'!$A:$BD,BB1,0)</f>
        <v>844.91</v>
      </c>
      <c r="BD7" s="70">
        <f>VLOOKUP($H$7&amp;$F$1,'Input RM sheet'!$A:$CH,BC1,0)</f>
        <v>904.02</v>
      </c>
      <c r="BE7" s="70">
        <f>VLOOKUP($H$7&amp;$F$1,'Input RM sheet'!$A:$CH,BD1,0)</f>
        <v>904.02</v>
      </c>
      <c r="BF7" s="70">
        <f>VLOOKUP($H$7&amp;$F$1,'Input RM sheet'!$A:$CH,BE1,0)</f>
        <v>904.02</v>
      </c>
      <c r="BG7" s="70">
        <f>VLOOKUP($H$7&amp;$F$1,'Input RM sheet'!$A:$DD,BF1,0)</f>
        <v>897.33</v>
      </c>
      <c r="BH7" s="70">
        <f>VLOOKUP($H$7&amp;$F$1,'Input RM sheet'!$A:$DD,BG1,0)</f>
        <v>897.33</v>
      </c>
      <c r="BI7" s="70">
        <f>VLOOKUP($H$7&amp;$F$1,'Input RM sheet'!$A:$DD,BH1,0)</f>
        <v>962.74</v>
      </c>
      <c r="BJ7" s="70">
        <f>VLOOKUP($H$7&amp;$F$1,'Input RM sheet'!$A:$DD,BI1,0)</f>
        <v>962.74</v>
      </c>
      <c r="BK7" s="70">
        <f>VLOOKUP($H$7&amp;$F$1,'Input RM sheet'!$A:$DD,BJ1,0)</f>
        <v>962.74</v>
      </c>
      <c r="BL7" s="70">
        <f>VLOOKUP($H$7&amp;$F$1,'Input RM sheet'!$A:$DD,BK1,0)</f>
        <v>1024</v>
      </c>
      <c r="BM7" s="70">
        <f>VLOOKUP($H$7&amp;$F$1,'Input RM sheet'!$A:$DD,BL1,0)</f>
        <v>1024</v>
      </c>
      <c r="BN7" s="70">
        <f>VLOOKUP($H$7&amp;$F$1,'Input RM sheet'!$A:$DD,BM1,0)</f>
        <v>1024</v>
      </c>
      <c r="BO7" s="70">
        <f>VLOOKUP($H$7&amp;$F$1,'Input RM sheet'!$A:$DD,BN1,0)</f>
        <v>932.12</v>
      </c>
      <c r="BP7" s="70">
        <f>VLOOKUP($H$7&amp;$F$1,'Input RM sheet'!$A:$DD,BO1,0)</f>
        <v>932.12</v>
      </c>
      <c r="BQ7" s="70">
        <f>VLOOKUP($H$7&amp;$F$1,'Input RM sheet'!$A:$DD,BP1,0)</f>
        <v>932.12</v>
      </c>
      <c r="BR7" s="70">
        <f>VLOOKUP($H$7&amp;$F$1,'Input RM sheet'!$A:$DD,BQ1,0)</f>
        <v>932.12</v>
      </c>
      <c r="BS7" s="70">
        <f>VLOOKUP($H$7&amp;$F$1,'Input RM sheet'!$A:$DD,BR1,0)</f>
        <v>896.64</v>
      </c>
      <c r="BT7" s="70">
        <f>VLOOKUP($H$7&amp;$F$1,'Input RM sheet'!$A:$DD,BS1,0)</f>
        <v>896.64</v>
      </c>
      <c r="BU7" s="70">
        <f>VLOOKUP($H$7&amp;$F$1,'Input RM sheet'!$A:$DD,BT1,0)</f>
        <v>896.64</v>
      </c>
      <c r="BV7" s="70">
        <f>VLOOKUP($H$7&amp;$F$1,'Input RM sheet'!$A:$DD,BU1,0)</f>
        <v>896.64</v>
      </c>
      <c r="BW7" s="70">
        <f>VLOOKUP($H$7&amp;$F$1,'Input RM sheet'!$A:$DD,BV1,0)</f>
        <v>910.69</v>
      </c>
      <c r="BX7" s="70">
        <f>VLOOKUP($H$7&amp;$F$1,'Input RM sheet'!$A:$DD,BW1,0)</f>
        <v>910.69</v>
      </c>
      <c r="BY7" s="70">
        <f>VLOOKUP($H$7&amp;$F$1,'Input RM sheet'!$A:$DD,BX1,0)</f>
        <v>910.69</v>
      </c>
      <c r="BZ7" s="70">
        <f>VLOOKUP($H$7&amp;$F$1,'Input RM sheet'!$A:$DD,BY1,0)</f>
        <v>910.69</v>
      </c>
      <c r="CA7" s="70">
        <f>VLOOKUP($H$7&amp;$F$1,'Input RM sheet'!$A:$DD,BZ1,0)</f>
        <v>910.69</v>
      </c>
      <c r="CB7" s="70">
        <f>VLOOKUP($H$7&amp;$F$1,'Input RM sheet'!$A:$DD,CA1,0)</f>
        <v>910.69</v>
      </c>
      <c r="CC7" s="70">
        <f>VLOOKUP($H$7&amp;$F$1,'Input RM sheet'!$A:$DD,CB1,0)</f>
        <v>910.69</v>
      </c>
      <c r="CD7" s="70">
        <f>VLOOKUP($H$7&amp;$F$1,'Input RM sheet'!$A:$DD,CC1,0)</f>
        <v>910.69</v>
      </c>
      <c r="CE7" s="70">
        <f>VLOOKUP($H$7&amp;$F$1,'Input RM sheet'!$A:$DD,CD1,0)</f>
        <v>905.41</v>
      </c>
      <c r="CF7" s="70">
        <f>VLOOKUP($H$7&amp;$F$1,'Input RM sheet'!$A:$DD,CE1,0)</f>
        <v>905.41</v>
      </c>
      <c r="CG7" s="70">
        <f>VLOOKUP($H$7&amp;$F$1,'Input RM sheet'!$A:$DD,CF1,0)</f>
        <v>859.02</v>
      </c>
      <c r="CH7" s="70">
        <f>VLOOKUP($H$7&amp;$F$1,'Input RM sheet'!$A:$DD,CG1,0)</f>
        <v>854.11</v>
      </c>
      <c r="CI7" s="70">
        <f>VLOOKUP($H$7&amp;$F$1,'Input RM sheet'!$A:$DD,CH1,0)</f>
        <v>812.44</v>
      </c>
      <c r="CJ7" s="70">
        <f>VLOOKUP($H$7&amp;$F$1,'Input RM sheet'!$A:$DD,CI1,0)</f>
        <v>812.44</v>
      </c>
      <c r="CK7" s="70">
        <f>VLOOKUP($H$7&amp;$F$1,'Input RM sheet'!$A:$DD,CJ1,0)</f>
        <v>812.44</v>
      </c>
      <c r="CL7" s="70">
        <f>VLOOKUP($H$7&amp;$F$1,'Input RM sheet'!$A:$DD,CK1,0)</f>
        <v>808.14</v>
      </c>
      <c r="CM7" s="70">
        <f>VLOOKUP($H$7&amp;$F$1,'Input RM sheet'!$A:$DD,CL1,0)</f>
        <v>808.14</v>
      </c>
      <c r="CN7" s="70">
        <f>VLOOKUP($H$7&amp;$F$1,'Input RM sheet'!$A:$DD,CM1,0)</f>
        <v>808.14</v>
      </c>
      <c r="CO7" s="70">
        <f>VLOOKUP($H$7&amp;$F$1,'Input RM sheet'!$A:$DD,CN1,0)</f>
        <v>808.14</v>
      </c>
      <c r="CP7" s="70">
        <f>VLOOKUP($H$7&amp;$F$1,'Input RM sheet'!$A:$DD,CO1,0)</f>
        <v>808.14</v>
      </c>
      <c r="CQ7" s="70">
        <f>VLOOKUP($H$7&amp;$F$1,'Input RM sheet'!$A:$DD,CP1,0)</f>
        <v>808.14</v>
      </c>
      <c r="CR7" s="70">
        <f>VLOOKUP($H$7&amp;$F$1,'Input RM sheet'!$A:$ZZ,CQ1,0)</f>
        <v>815.02</v>
      </c>
      <c r="CS7" s="70">
        <f>VLOOKUP($H$7&amp;$F$1,'Input RM sheet'!$A:$ZZ,CR1,0)</f>
        <v>811.53</v>
      </c>
      <c r="CT7" s="70">
        <f>VLOOKUP($H$7&amp;$F$1,'Input RM sheet'!$A:$ZZ,CS1,0)</f>
        <v>811.53</v>
      </c>
      <c r="CU7" s="70">
        <f>VLOOKUP($H$7&amp;$F$1,'Input RM sheet'!$A:$ZZ,CT1,0)</f>
        <v>806.52</v>
      </c>
      <c r="CV7" s="70">
        <f>VLOOKUP($H$7&amp;$F$1,'Input RM sheet'!$A:$ZZ,CU1,0)</f>
        <v>806.52</v>
      </c>
      <c r="CW7" s="70">
        <f>VLOOKUP($H$7&amp;$F$1,'Input RM sheet'!$A:$ZZ,CV1,0)</f>
        <v>809.98</v>
      </c>
      <c r="CX7" s="70">
        <f>VLOOKUP($H$7&amp;$F$1,'Input RM sheet'!$A:$ZZ,CW1,0)</f>
        <v>809.98</v>
      </c>
      <c r="CY7" s="70">
        <f>VLOOKUP($H$7&amp;$F$1,'Input RM sheet'!$A:$ZZ,CX1,0)</f>
        <v>816.59</v>
      </c>
      <c r="CZ7" s="70">
        <f>VLOOKUP($H$7&amp;$F$1,'Input RM sheet'!$A:$ZZ,CY1,0)</f>
        <v>816.59</v>
      </c>
      <c r="DA7" s="70">
        <f>VLOOKUP($H$7&amp;$F$1,'Input RM sheet'!$A:$ZZ,CZ1,0)</f>
        <v>816.59</v>
      </c>
      <c r="DB7" s="70">
        <f>VLOOKUP($H$7&amp;$F$1,'Input RM sheet'!$A:$ZZ,DA1,0)</f>
        <v>816.59</v>
      </c>
      <c r="DC7" s="70">
        <f>VLOOKUP($H$7&amp;$F$1,'Input RM sheet'!$A:$ZZ,DB1,0)</f>
        <v>816.59</v>
      </c>
      <c r="DD7" s="70">
        <f>VLOOKUP($H$7&amp;$F$1,'Input RM sheet'!$A:$ZZ,DC1,0)</f>
        <v>816.59</v>
      </c>
      <c r="DE7" s="70">
        <f>VLOOKUP($H$7&amp;$F$1,'Input RM sheet'!$A:$ZZ,DD1,0)</f>
        <v>816.59</v>
      </c>
      <c r="DF7" s="70">
        <f>VLOOKUP($H$7&amp;$F$1,'Input RM sheet'!$A:$ZZ,DE1,0)</f>
        <v>816.59</v>
      </c>
      <c r="DG7" s="70">
        <f>VLOOKUP($H$7&amp;$F$1,'Input RM sheet'!$A:$ZZ,DF1,0)</f>
        <v>816.59</v>
      </c>
      <c r="DH7" s="70">
        <f>VLOOKUP($H$7&amp;$F$1,'Input RM sheet'!$A:$ZZ,DG1,0)</f>
        <v>770.39</v>
      </c>
      <c r="DI7" s="70">
        <f>VLOOKUP($H$7&amp;$F$1,'Input RM sheet'!$A:$ZZ,DH1,0)</f>
        <v>770.39</v>
      </c>
      <c r="DJ7" s="70">
        <f>VLOOKUP($H$7&amp;$F$1,'Input RM sheet'!$A:$ZZ,DI1,0)</f>
        <v>770.39</v>
      </c>
      <c r="DK7" s="70">
        <f>VLOOKUP($H$7&amp;$F$1,'Input RM sheet'!$A:$ZZ,DJ1,0)</f>
        <v>770.39</v>
      </c>
      <c r="DL7" s="70">
        <f>VLOOKUP($H$7&amp;$F$1,'Input RM sheet'!$A:$ZZ,DK1,0)</f>
        <v>770.39</v>
      </c>
      <c r="DM7" s="70">
        <f>VLOOKUP($H$7&amp;$F$1,'Input RM sheet'!$A:$ZZ,DL1,0)</f>
        <v>800.6</v>
      </c>
      <c r="DN7" s="70">
        <f>VLOOKUP($H$7&amp;$F$1,'Input RM sheet'!$A:$ZZ,DM1,0)</f>
        <v>758.58</v>
      </c>
      <c r="DO7" s="70">
        <f>VLOOKUP($H$7&amp;$F$1,'Input RM sheet'!$A:$ZZ,DN1,0)</f>
        <v>758.58</v>
      </c>
      <c r="DP7" s="70">
        <f>VLOOKUP($H$7&amp;$F$1,'Input RM sheet'!$A:$ZZ,DO1,0)</f>
        <v>758.58</v>
      </c>
      <c r="DQ7" s="70">
        <f>VLOOKUP($H$7&amp;$F$1,'Input RM sheet'!$A:$ZZ,DP1,0)</f>
        <v>735.55</v>
      </c>
      <c r="DR7" s="70">
        <f>VLOOKUP($H$7&amp;$F$1,'Input RM sheet'!$A:$ZZ,DQ1,0)</f>
        <v>735.55</v>
      </c>
      <c r="DS7" s="70">
        <f>VLOOKUP($H$7&amp;$F$1,'Input RM sheet'!$A:$ZZ,DR1,0)</f>
        <v>735.55</v>
      </c>
      <c r="DT7" s="70">
        <f>VLOOKUP($H$7&amp;$F$1,'Input RM sheet'!$A:$ZZ,DS1,0)</f>
        <v>0</v>
      </c>
      <c r="DU7" s="70">
        <f>VLOOKUP($H$7&amp;$F$1,'Input RM sheet'!$A:$ZZ,DT1,0)</f>
        <v>0</v>
      </c>
      <c r="DV7" s="70">
        <f>VLOOKUP($H$7&amp;$F$1,'Input RM sheet'!$A:$ZZ,DU1,0)</f>
        <v>0</v>
      </c>
      <c r="DW7" s="70">
        <f>VLOOKUP($H$7&amp;$F$1,'Input RM sheet'!$A:$ZZ,DV1,0)</f>
        <v>0</v>
      </c>
      <c r="DX7" s="70">
        <f>VLOOKUP($H$7&amp;$F$1,'Input RM sheet'!$A:$ZZ,DW1,0)</f>
        <v>0</v>
      </c>
      <c r="DY7" s="70">
        <f>VLOOKUP($H$7&amp;$F$1,'Input RM sheet'!$A:$ZZ,DX1,0)</f>
        <v>0</v>
      </c>
      <c r="DZ7" s="70">
        <f>VLOOKUP($H$7&amp;$F$1,'Input RM sheet'!$A:$ZZ,DY1,0)</f>
        <v>0</v>
      </c>
      <c r="EA7" s="70">
        <f>VLOOKUP($H$7&amp;$F$1,'Input RM sheet'!$A:$ZZ,DZ1,0)</f>
        <v>0</v>
      </c>
      <c r="EB7" s="70">
        <f>VLOOKUP($H$7&amp;$F$1,'Input RM sheet'!$A:$ZZ,EA1,0)</f>
        <v>0</v>
      </c>
      <c r="EC7" s="70">
        <f>VLOOKUP($H$7&amp;$F$1,'Input RM sheet'!$A:$ZZ,EB1,0)</f>
        <v>0</v>
      </c>
      <c r="ED7" s="70">
        <f>VLOOKUP($H$7&amp;$F$1,'Input RM sheet'!$A:$ZZ,EC1,0)</f>
        <v>0</v>
      </c>
      <c r="EE7" s="70">
        <f>VLOOKUP($H$7&amp;$F$1,'Input RM sheet'!$A:$ZZ,ED1,0)</f>
        <v>0</v>
      </c>
      <c r="EF7" s="70">
        <f>VLOOKUP($H$7&amp;$F$1,'Input RM sheet'!$A:$ZZ,EE1,0)</f>
        <v>0</v>
      </c>
      <c r="EG7" s="70">
        <f>VLOOKUP($H$7&amp;$F$1,'Input RM sheet'!$A:$ZZ,EF1,0)</f>
        <v>0</v>
      </c>
      <c r="EH7" s="70">
        <f>VLOOKUP($H$7&amp;$F$1,'Input RM sheet'!$A:$ZZ,EG1,0)</f>
        <v>0</v>
      </c>
      <c r="EI7" s="70">
        <f>VLOOKUP($H$7&amp;$F$1,'Input RM sheet'!$A:$ZZ,EH1,0)</f>
        <v>0</v>
      </c>
      <c r="EJ7" s="70">
        <f>VLOOKUP($H$7&amp;$F$1,'Input RM sheet'!$A:$ZZ,EI1,0)</f>
        <v>0</v>
      </c>
      <c r="EK7" s="70">
        <f>VLOOKUP($H$7&amp;$F$1,'Input RM sheet'!$A:$ZZ,EJ1,0)</f>
        <v>0</v>
      </c>
      <c r="EL7" s="70">
        <f>VLOOKUP($H$7&amp;$F$1,'Input RM sheet'!$A:$ZZ,EK1,0)</f>
        <v>0</v>
      </c>
      <c r="EM7" s="70">
        <f>VLOOKUP($H$7&amp;$F$1,'Input RM sheet'!$A:$ZZ,EL1,0)</f>
        <v>0</v>
      </c>
    </row>
    <row r="8" spans="1:147">
      <c r="D8" s="60" t="s">
        <v>425</v>
      </c>
      <c r="E8" s="60" t="s">
        <v>402</v>
      </c>
      <c r="F8" s="60" t="s">
        <v>669</v>
      </c>
      <c r="H8" s="44" t="s">
        <v>82</v>
      </c>
      <c r="I8" s="74">
        <f>VLOOKUP($H$8&amp;$F$1,'Input RM sheet'!$A:$BD,H1,0)</f>
        <v>1.2824739842750807</v>
      </c>
      <c r="J8" s="74">
        <f>VLOOKUP($H$8&amp;$F$1,'Input RM sheet'!$A:$DD,I1,0)</f>
        <v>1.2450999956775965</v>
      </c>
      <c r="K8" s="74">
        <f>VLOOKUP($H$8&amp;$F$1,'Input RM sheet'!$A:$BD,J1,0)</f>
        <v>1.2459440191248849</v>
      </c>
      <c r="L8" s="74">
        <f>VLOOKUP($H$8&amp;$F$1,'Input RM sheet'!$A:$BD,K1,0)</f>
        <v>1.309036680053137</v>
      </c>
      <c r="M8" s="74">
        <f>VLOOKUP($H$8&amp;$F$1,'Input RM sheet'!$A:$BD,L1,0)</f>
        <v>1.2178214765089475</v>
      </c>
      <c r="N8" s="74">
        <f>VLOOKUP($H$8&amp;$F$1,'Input RM sheet'!$A:$BD,M1,0)</f>
        <v>1.2730592736131654</v>
      </c>
      <c r="O8" s="74">
        <f>VLOOKUP($H$8&amp;$F$1,'Input RM sheet'!$A:$BD,N1,0)</f>
        <v>1.2898030053706282</v>
      </c>
      <c r="P8" s="74">
        <f>VLOOKUP($H$8&amp;$F$1,'Input RM sheet'!$A:$BD,O1,0)</f>
        <v>1.3059319441469961</v>
      </c>
      <c r="Q8" s="74">
        <f>VLOOKUP($H$8&amp;$F$1,'Input RM sheet'!$A:$BD,P1,0)</f>
        <v>1.2980994327163309</v>
      </c>
      <c r="R8" s="74">
        <f>VLOOKUP($H$8&amp;$F$1,'Input RM sheet'!$A:$BD,Q1,0)</f>
        <v>1.3320853166469768</v>
      </c>
      <c r="S8" s="74">
        <f>VLOOKUP($H$8&amp;$F$1,'Input RM sheet'!$A:$BD,R1,0)</f>
        <v>1.3315140897605529</v>
      </c>
      <c r="T8" s="74">
        <f>VLOOKUP($H$8&amp;$F$1,'Input RM sheet'!$A:$BD,S1,0)</f>
        <v>1.4720316509842615</v>
      </c>
      <c r="U8" s="74">
        <f>VLOOKUP($H$8&amp;$F$1,'Input RM sheet'!$A:$BD,T1,0)</f>
        <v>1.4945621081219287</v>
      </c>
      <c r="V8" s="74">
        <f>VLOOKUP($H$8&amp;$F$1,'Input RM sheet'!$A:$BD,U1,0)</f>
        <v>1.507861424319906</v>
      </c>
      <c r="W8" s="74">
        <f>VLOOKUP($H$8&amp;$F$1,'Input RM sheet'!$A:$BD,V1,0)</f>
        <v>1.6080367326235177</v>
      </c>
      <c r="X8" s="74">
        <f>VLOOKUP($H$8&amp;$F$1,'Input RM sheet'!$A:$BD,W1,0)</f>
        <v>2.2481367870717111</v>
      </c>
      <c r="Y8" s="74">
        <f>VLOOKUP($H$8&amp;$F$1,'Input RM sheet'!$A:$BD,X1,0)</f>
        <v>2.4143226786489316</v>
      </c>
      <c r="Z8" s="74">
        <f>VLOOKUP($H$8&amp;$F$1,'Input RM sheet'!$A:$BD,Y1,0)</f>
        <v>2.1609437150977886</v>
      </c>
      <c r="AA8" s="74">
        <f>VLOOKUP($H$8&amp;$F$1,'Input RM sheet'!$A:$BD,Z1,0)</f>
        <v>2.3329886976033829</v>
      </c>
      <c r="AB8" s="74">
        <f>VLOOKUP($H$8&amp;$F$1,'Input RM sheet'!$A:$BD,AA1,0)</f>
        <v>2.8589680335389476</v>
      </c>
      <c r="AC8" s="74">
        <f>VLOOKUP($H$8&amp;$F$1,'Input RM sheet'!$A:$BD,AB1,0)</f>
        <v>2.903848761723717</v>
      </c>
      <c r="AD8" s="74">
        <f>VLOOKUP($H$8&amp;$F$1,'Input RM sheet'!$A:$BD,AC1,0)</f>
        <v>2.9350000000000001</v>
      </c>
      <c r="AE8" s="74">
        <f>VLOOKUP($H$8&amp;$F$1,'Input RM sheet'!$A:$BD,AD1,0)</f>
        <v>2.9224999999999999</v>
      </c>
      <c r="AF8" s="74">
        <f>VLOOKUP($H$8&amp;$F$1,'Input RM sheet'!$A:$BD,AE1,0)</f>
        <v>2.88375</v>
      </c>
      <c r="AG8" s="74">
        <f>VLOOKUP($H$8&amp;$F$1,'Input RM sheet'!$A:$BD,AF1,0)</f>
        <v>2.76</v>
      </c>
      <c r="AH8" s="74">
        <f>VLOOKUP($H$8&amp;$F$1,'Input RM sheet'!$A:$BD,AG1,0)</f>
        <v>2.7749999999999999</v>
      </c>
      <c r="AI8" s="74">
        <f>VLOOKUP($H$8&amp;$F$1,'Input RM sheet'!$A:$BD,AH1,0)</f>
        <v>2.7949999999999999</v>
      </c>
      <c r="AJ8" s="74">
        <f>VLOOKUP($H$8&amp;$F$1,'Input RM sheet'!$A:$BD,AI1,0)</f>
        <v>2.8</v>
      </c>
      <c r="AK8" s="74">
        <f>VLOOKUP($H$8&amp;$F$1,'Input RM sheet'!$A:$BD,AJ1,0)</f>
        <v>2.7524999999999999</v>
      </c>
      <c r="AL8" s="74">
        <f>VLOOKUP($H$8&amp;$F$1,'Input RM sheet'!$A:$BD,AK1,0)</f>
        <v>2.6459999999999999</v>
      </c>
      <c r="AM8" s="74">
        <f>VLOOKUP($H$8&amp;$F$1,'Input RM sheet'!$A:$BD,AL1,0)</f>
        <v>2.4975000000000001</v>
      </c>
      <c r="AN8" s="74">
        <f>VLOOKUP($H$8&amp;$F$1,'Input RM sheet'!$A:$BD,AM1,0)</f>
        <v>2.1349999999999998</v>
      </c>
      <c r="AO8" s="74">
        <f>VLOOKUP($H$8&amp;$F$1,'Input RM sheet'!$A:$BD,AN1,0)</f>
        <v>1.8062499999999999</v>
      </c>
      <c r="AP8" s="74">
        <f>VLOOKUP($H$8&amp;$F$1,'Input RM sheet'!$A:$BD,AO1,0)</f>
        <v>1.78</v>
      </c>
      <c r="AQ8" s="74">
        <f>VLOOKUP($H$8&amp;$F$1,'Input RM sheet'!$A:$BD,AP1,0)</f>
        <v>1.677</v>
      </c>
      <c r="AR8" s="74">
        <f>VLOOKUP($H$8&amp;$F$1,'Input RM sheet'!$A:$BD,AQ1,0)</f>
        <v>1.585</v>
      </c>
      <c r="AS8" s="74">
        <f>VLOOKUP($H$8&amp;$F$1,'Input RM sheet'!$A:$BD,AR1,0)</f>
        <v>1.5925</v>
      </c>
      <c r="AT8" s="74">
        <f>VLOOKUP($H$8&amp;$F$1,'Input RM sheet'!$A:$BD,AS1,0)</f>
        <v>1.6</v>
      </c>
      <c r="AU8" s="74">
        <f>VLOOKUP($H$8&amp;$F$1,'Input RM sheet'!$A:$BD,AT1,0)</f>
        <v>1.5920000000000001</v>
      </c>
      <c r="AV8" s="74">
        <f>VLOOKUP($H$8&amp;$F$1,'Input RM sheet'!$A:$BD,AU1,0)</f>
        <v>1.51875</v>
      </c>
      <c r="AW8" s="74">
        <f>VLOOKUP($H$8&amp;$F$1,'Input RM sheet'!$A:$BD,AV1,0)</f>
        <v>1.5149999999999999</v>
      </c>
      <c r="AX8" s="74">
        <f>VLOOKUP($H$8&amp;$F$1,'Input RM sheet'!$A:$BD,AW1,0)</f>
        <v>1.4750000000000001</v>
      </c>
      <c r="AY8" s="74">
        <f>VLOOKUP($H$8&amp;$F$1,'Input RM sheet'!$A:$BD,AX1,0)</f>
        <v>1.4750000000000001</v>
      </c>
      <c r="AZ8" s="74">
        <f>VLOOKUP($H$8&amp;$F$1,'Input RM sheet'!$A:$BD,AY1,0)</f>
        <v>1.4</v>
      </c>
      <c r="BA8" s="74">
        <f>VLOOKUP($H$8&amp;$F$1,'Input RM sheet'!$A:$BD,AZ1,0)</f>
        <v>1.4</v>
      </c>
      <c r="BB8" s="74">
        <f>VLOOKUP($H$8&amp;$F$1,'Input RM sheet'!$A:$BD,BA1,0)</f>
        <v>1.375</v>
      </c>
      <c r="BC8" s="74">
        <f>VLOOKUP($H$8&amp;$F$1,'Input RM sheet'!$A:$BD,BB1,0)</f>
        <v>1.375</v>
      </c>
      <c r="BD8" s="74">
        <f>VLOOKUP($H$8&amp;$F$1,'Input RM sheet'!$A:$BD,BC1,0)</f>
        <v>1.375</v>
      </c>
      <c r="BE8" s="74">
        <f>VLOOKUP($H$8&amp;$F$1,'Input RM sheet'!$A:$BD,BD1,0)</f>
        <v>1.375</v>
      </c>
      <c r="BF8" s="74">
        <f>VLOOKUP($H$8&amp;$F$1,'Input RM sheet'!$A:$BD,BE1,0)</f>
        <v>1.375</v>
      </c>
      <c r="BG8" s="74">
        <f>VLOOKUP($H$8&amp;$F$1,'Input RM sheet'!$A:$DD,BF1,0)</f>
        <v>1.425</v>
      </c>
      <c r="BH8" s="74">
        <f>VLOOKUP($H$8&amp;$F$1,'Input RM sheet'!$A:$DD,BG1,0)</f>
        <v>1.425</v>
      </c>
      <c r="BI8" s="74">
        <f>VLOOKUP($H$8&amp;$F$1,'Input RM sheet'!$A:$DD,BH1,0)</f>
        <v>1.425</v>
      </c>
      <c r="BJ8" s="74">
        <f>VLOOKUP($H$8&amp;$F$1,'Input RM sheet'!$A:$DD,BI1,0)</f>
        <v>1.425</v>
      </c>
      <c r="BK8" s="74">
        <f>VLOOKUP($H$8&amp;$F$1,'Input RM sheet'!$A:$DD,BJ1,0)</f>
        <v>1.425</v>
      </c>
      <c r="BL8" s="74">
        <f>VLOOKUP($H$8&amp;$F$1,'Input RM sheet'!$A:$DD,BK1,0)</f>
        <v>1.425</v>
      </c>
      <c r="BM8" s="74">
        <f>VLOOKUP($H$8&amp;$F$1,'Input RM sheet'!$A:$DD,BL1,0)</f>
        <v>1.425</v>
      </c>
      <c r="BN8" s="74">
        <f>VLOOKUP($H$8&amp;$F$1,'Input RM sheet'!$A:$DD,BM1,0)</f>
        <v>1.425</v>
      </c>
      <c r="BO8" s="74">
        <f>VLOOKUP($H$8&amp;$F$1,'Input RM sheet'!$A:$DD,BN1,0)</f>
        <v>1.425</v>
      </c>
      <c r="BP8" s="74">
        <f>VLOOKUP($H$8&amp;$F$1,'Input RM sheet'!$A:$DD,BO1,0)</f>
        <v>1.415</v>
      </c>
      <c r="BQ8" s="74">
        <f>VLOOKUP($H$8&amp;$F$1,'Input RM sheet'!$A:$DD,BP1,0)</f>
        <v>1.415</v>
      </c>
      <c r="BR8" s="74">
        <f>VLOOKUP($H$8&amp;$F$1,'Input RM sheet'!$A:$DD,BQ1,0)</f>
        <v>1.415</v>
      </c>
      <c r="BS8" s="74">
        <f>VLOOKUP($H$8&amp;$F$1,'Input RM sheet'!$A:$DD,BR1,0)</f>
        <v>1.415</v>
      </c>
      <c r="BT8" s="74">
        <f>VLOOKUP($H$8&amp;$F$1,'Input RM sheet'!$A:$DD,BS1,0)</f>
        <v>1.415</v>
      </c>
      <c r="BU8" s="74">
        <f>VLOOKUP($H$8&amp;$F$1,'Input RM sheet'!$A:$DD,BT1,0)</f>
        <v>1.415</v>
      </c>
      <c r="BV8" s="74">
        <f>VLOOKUP($H$8&amp;$F$1,'Input RM sheet'!$A:$DD,BU1,0)</f>
        <v>1.415</v>
      </c>
      <c r="BW8" s="74">
        <f>VLOOKUP($H$8&amp;$F$1,'Input RM sheet'!$A:$DD,BV1,0)</f>
        <v>1.415</v>
      </c>
      <c r="BX8" s="74">
        <f>VLOOKUP($H$8&amp;$F$1,'Input RM sheet'!$A:$DD,BW1,0)</f>
        <v>1.415</v>
      </c>
      <c r="BY8" s="74">
        <f>VLOOKUP($H$8&amp;$F$1,'Input RM sheet'!$A:$DD,BX1,0)</f>
        <v>1.415</v>
      </c>
      <c r="BZ8" s="74">
        <f>VLOOKUP($H$8&amp;$F$1,'Input RM sheet'!$A:$DD,BY1,0)</f>
        <v>1.42</v>
      </c>
      <c r="CA8" s="74">
        <f>VLOOKUP($H$8&amp;$F$1,'Input RM sheet'!$A:$DD,BZ1,0)</f>
        <v>1.42</v>
      </c>
      <c r="CB8" s="74">
        <f>VLOOKUP($H$8&amp;$F$1,'Input RM sheet'!$A:$DD,CA1,0)</f>
        <v>1.42</v>
      </c>
      <c r="CC8" s="74">
        <f>VLOOKUP($H$8&amp;$F$1,'Input RM sheet'!$A:$DD,CB1,0)</f>
        <v>1.42</v>
      </c>
      <c r="CD8" s="74">
        <f>VLOOKUP($H$8&amp;$F$1,'Input RM sheet'!$A:$DD,CC1,0)</f>
        <v>1.42</v>
      </c>
      <c r="CE8" s="74">
        <f>VLOOKUP($H$8&amp;$F$1,'Input RM sheet'!$A:$DD,CD1,0)</f>
        <v>1.42</v>
      </c>
      <c r="CF8" s="74">
        <f>VLOOKUP($H$8&amp;$F$1,'Input RM sheet'!$A:$DD,CE1,0)</f>
        <v>1.42</v>
      </c>
      <c r="CG8" s="74">
        <f>VLOOKUP($H$8&amp;$F$1,'Input RM sheet'!$A:$DD,CF1,0)</f>
        <v>1.42</v>
      </c>
      <c r="CH8" s="74">
        <f>VLOOKUP($H$8&amp;$F$1,'Input RM sheet'!$A:$DD,CG1,0)</f>
        <v>1.42</v>
      </c>
      <c r="CI8" s="74">
        <f>VLOOKUP($H$8&amp;$F$1,'Input RM sheet'!$A:$DD,CH1,0)</f>
        <v>1.42</v>
      </c>
      <c r="CJ8" s="74">
        <f>VLOOKUP($H$8&amp;$F$1,'Input RM sheet'!$A:$DD,CI1,0)</f>
        <v>1.42</v>
      </c>
      <c r="CK8" s="74">
        <f>VLOOKUP($H$8&amp;$F$1,'Input RM sheet'!$A:$DD,CJ1,0)</f>
        <v>1.42</v>
      </c>
      <c r="CL8" s="74">
        <f>VLOOKUP($H$8&amp;$F$1,'Input RM sheet'!$A:$DD,CK1,0)</f>
        <v>1.42</v>
      </c>
      <c r="CM8" s="74">
        <f>VLOOKUP($H$8&amp;$F$1,'Input RM sheet'!$A:$DD,CL1,0)</f>
        <v>1.42</v>
      </c>
      <c r="CN8" s="74">
        <f>VLOOKUP($H$8&amp;$F$1,'Input RM sheet'!$A:$DD,CM1,0)</f>
        <v>1.42</v>
      </c>
      <c r="CO8" s="74">
        <f>VLOOKUP($H$8&amp;$F$1,'Input RM sheet'!$A:$DD,CN1,0)</f>
        <v>1.42</v>
      </c>
      <c r="CP8" s="74">
        <f>VLOOKUP($H$8&amp;$F$1,'Input RM sheet'!$A:$DD,CO1,0)</f>
        <v>1.42</v>
      </c>
      <c r="CQ8" s="74">
        <f>VLOOKUP($H$8&amp;$F$1,'Input RM sheet'!$A:$DD,CP1,0)</f>
        <v>1.42</v>
      </c>
      <c r="CR8" s="74">
        <f>VLOOKUP($H$8&amp;$F$1,'Input RM sheet'!$A:$ZZ,CQ1,0)</f>
        <v>1.375</v>
      </c>
      <c r="CS8" s="74">
        <f>VLOOKUP($H$8&amp;$F$1,'Input RM sheet'!$A:$ZZ,CR1,0)</f>
        <v>1.375</v>
      </c>
      <c r="CT8" s="74">
        <f>VLOOKUP($H$8&amp;$F$1,'Input RM sheet'!$A:$ZZ,CS1,0)</f>
        <v>1.375</v>
      </c>
      <c r="CU8" s="74">
        <f>VLOOKUP($H$8&amp;$F$1,'Input RM sheet'!$A:$ZZ,CT1,0)</f>
        <v>1.375</v>
      </c>
      <c r="CV8" s="74">
        <f>VLOOKUP($H$8&amp;$F$1,'Input RM sheet'!$A:$ZZ,CU1,0)</f>
        <v>1.375</v>
      </c>
      <c r="CW8" s="74">
        <f>VLOOKUP($H$8&amp;$F$1,'Input RM sheet'!$A:$ZZ,CV1,0)</f>
        <v>1.375</v>
      </c>
      <c r="CX8" s="74">
        <f>VLOOKUP($H$8&amp;$F$1,'Input RM sheet'!$A:$ZZ,CW1,0)</f>
        <v>1.375</v>
      </c>
      <c r="CY8" s="74">
        <f>VLOOKUP($H$8&amp;$F$1,'Input RM sheet'!$A:$ZZ,CX1,0)</f>
        <v>1.375</v>
      </c>
      <c r="CZ8" s="74">
        <f>VLOOKUP($H$8&amp;$F$1,'Input RM sheet'!$A:$ZZ,CY1,0)</f>
        <v>1.375</v>
      </c>
      <c r="DA8" s="74">
        <f>VLOOKUP($H$8&amp;$F$1,'Input RM sheet'!$A:$ZZ,CZ1,0)</f>
        <v>1.375</v>
      </c>
      <c r="DB8" s="74">
        <f>VLOOKUP($H$8&amp;$F$1,'Input RM sheet'!$A:$ZZ,DA1,0)</f>
        <v>1.375</v>
      </c>
      <c r="DC8" s="74">
        <f>VLOOKUP($H$8&amp;$F$1,'Input RM sheet'!$A:$ZZ,DB1,0)</f>
        <v>1.375</v>
      </c>
      <c r="DD8" s="74">
        <f>VLOOKUP($H$8&amp;$F$1,'Input RM sheet'!$A:$ZZ,DC1,0)</f>
        <v>1.375</v>
      </c>
      <c r="DE8" s="74">
        <f>VLOOKUP($H$8&amp;$F$1,'Input RM sheet'!$A:$ZZ,DD1,0)</f>
        <v>1.375</v>
      </c>
      <c r="DF8" s="74">
        <f>VLOOKUP($H$8&amp;$F$1,'Input RM sheet'!$A:$ZZ,DE1,0)</f>
        <v>1.345</v>
      </c>
      <c r="DG8" s="74">
        <f>VLOOKUP($H$8&amp;$F$1,'Input RM sheet'!$A:$ZZ,DF1,0)</f>
        <v>1.345</v>
      </c>
      <c r="DH8" s="74">
        <f>VLOOKUP($H$8&amp;$F$1,'Input RM sheet'!$A:$ZZ,DG1,0)</f>
        <v>1.345</v>
      </c>
      <c r="DI8" s="74">
        <f>VLOOKUP($H$8&amp;$F$1,'Input RM sheet'!$A:$ZZ,DH1,0)</f>
        <v>1.345</v>
      </c>
      <c r="DJ8" s="74">
        <f>VLOOKUP($H$8&amp;$F$1,'Input RM sheet'!$A:$ZZ,DI1,0)</f>
        <v>1.345</v>
      </c>
      <c r="DK8" s="74">
        <f>VLOOKUP($H$8&amp;$F$1,'Input RM sheet'!$A:$ZZ,DJ1,0)</f>
        <v>1.345</v>
      </c>
      <c r="DL8" s="74">
        <f>VLOOKUP($H$8&amp;$F$1,'Input RM sheet'!$A:$ZZ,DK1,0)</f>
        <v>1.375</v>
      </c>
      <c r="DM8" s="74">
        <f>VLOOKUP($H$8&amp;$F$1,'Input RM sheet'!$A:$ZZ,DL1,0)</f>
        <v>1.375</v>
      </c>
      <c r="DN8" s="74">
        <f>VLOOKUP($H$8&amp;$F$1,'Input RM sheet'!$A:$ZZ,DM1,0)</f>
        <v>1.375</v>
      </c>
      <c r="DO8" s="74">
        <f>VLOOKUP($H$8&amp;$F$1,'Input RM sheet'!$A:$ZZ,DN1,0)</f>
        <v>1.375</v>
      </c>
      <c r="DP8" s="74">
        <f>VLOOKUP($H$8&amp;$F$1,'Input RM sheet'!$A:$ZZ,DO1,0)</f>
        <v>1.375</v>
      </c>
      <c r="DQ8" s="74">
        <f>VLOOKUP($H$8&amp;$F$1,'Input RM sheet'!$A:$ZZ,DP1,0)</f>
        <v>1.375</v>
      </c>
      <c r="DR8" s="74">
        <f>VLOOKUP($H$8&amp;$F$1,'Input RM sheet'!$A:$ZZ,DQ1,0)</f>
        <v>1.375</v>
      </c>
      <c r="DS8" s="74">
        <f>VLOOKUP($H$8&amp;$F$1,'Input RM sheet'!$A:$ZZ,DR1,0)</f>
        <v>1.375</v>
      </c>
      <c r="DT8" s="74">
        <f>VLOOKUP($H$8&amp;$F$1,'Input RM sheet'!$A:$ZZ,DS1,0)</f>
        <v>0</v>
      </c>
      <c r="DU8" s="74">
        <f>VLOOKUP($H$8&amp;$F$1,'Input RM sheet'!$A:$ZZ,DT1,0)</f>
        <v>0</v>
      </c>
      <c r="DV8" s="74">
        <f>VLOOKUP($H$8&amp;$F$1,'Input RM sheet'!$A:$ZZ,DU1,0)</f>
        <v>0</v>
      </c>
      <c r="DW8" s="74">
        <f>VLOOKUP($H$8&amp;$F$1,'Input RM sheet'!$A:$ZZ,DV1,0)</f>
        <v>0</v>
      </c>
      <c r="DX8" s="74">
        <f>VLOOKUP($H$8&amp;$F$1,'Input RM sheet'!$A:$ZZ,DW1,0)</f>
        <v>0</v>
      </c>
      <c r="DY8" s="74">
        <f>VLOOKUP($H$8&amp;$F$1,'Input RM sheet'!$A:$ZZ,DX1,0)</f>
        <v>0</v>
      </c>
      <c r="DZ8" s="74">
        <f>VLOOKUP($H$8&amp;$F$1,'Input RM sheet'!$A:$ZZ,DY1,0)</f>
        <v>0</v>
      </c>
      <c r="EA8" s="74">
        <f>VLOOKUP($H$8&amp;$F$1,'Input RM sheet'!$A:$ZZ,DZ1,0)</f>
        <v>0</v>
      </c>
      <c r="EB8" s="74">
        <f>VLOOKUP($H$8&amp;$F$1,'Input RM sheet'!$A:$ZZ,EA1,0)</f>
        <v>0</v>
      </c>
      <c r="EC8" s="74">
        <f>VLOOKUP($H$8&amp;$F$1,'Input RM sheet'!$A:$ZZ,EB1,0)</f>
        <v>0</v>
      </c>
      <c r="ED8" s="74">
        <f>VLOOKUP($H$8&amp;$F$1,'Input RM sheet'!$A:$ZZ,EC1,0)</f>
        <v>0</v>
      </c>
      <c r="EE8" s="74">
        <f>VLOOKUP($H$8&amp;$F$1,'Input RM sheet'!$A:$ZZ,ED1,0)</f>
        <v>0</v>
      </c>
      <c r="EF8" s="74">
        <f>VLOOKUP($H$8&amp;$F$1,'Input RM sheet'!$A:$ZZ,EE1,0)</f>
        <v>0</v>
      </c>
      <c r="EG8" s="74">
        <f>VLOOKUP($H$8&amp;$F$1,'Input RM sheet'!$A:$ZZ,EF1,0)</f>
        <v>0</v>
      </c>
      <c r="EH8" s="74">
        <f>VLOOKUP($H$8&amp;$F$1,'Input RM sheet'!$A:$ZZ,EG1,0)</f>
        <v>0</v>
      </c>
      <c r="EI8" s="74">
        <f>VLOOKUP($H$8&amp;$F$1,'Input RM sheet'!$A:$ZZ,EH1,0)</f>
        <v>0</v>
      </c>
      <c r="EJ8" s="74">
        <f>VLOOKUP($H$8&amp;$F$1,'Input RM sheet'!$A:$ZZ,EI1,0)</f>
        <v>0</v>
      </c>
      <c r="EK8" s="74">
        <f>VLOOKUP($H$8&amp;$F$1,'Input RM sheet'!$A:$ZZ,EJ1,0)</f>
        <v>0</v>
      </c>
      <c r="EL8" s="74">
        <f>VLOOKUP($H$8&amp;$F$1,'Input RM sheet'!$A:$ZZ,EK1,0)</f>
        <v>0</v>
      </c>
      <c r="EM8" s="74">
        <f>VLOOKUP($H$8&amp;$F$1,'Input RM sheet'!$A:$ZZ,EL1,0)</f>
        <v>0</v>
      </c>
    </row>
    <row r="9" spans="1:147" ht="26">
      <c r="A9" s="59" t="s">
        <v>395</v>
      </c>
      <c r="B9" s="59"/>
      <c r="C9" s="59" t="s">
        <v>379</v>
      </c>
      <c r="D9" s="98" t="s">
        <v>380</v>
      </c>
      <c r="E9" s="98" t="s">
        <v>381</v>
      </c>
      <c r="F9" s="59" t="s">
        <v>396</v>
      </c>
      <c r="H9" s="60" t="s">
        <v>399</v>
      </c>
      <c r="J9" s="84"/>
      <c r="K9" s="84"/>
      <c r="L9" s="84"/>
      <c r="M9" s="84"/>
      <c r="N9" s="84"/>
      <c r="O9" s="84"/>
      <c r="P9" s="84"/>
      <c r="Q9" s="84"/>
      <c r="R9" s="84"/>
      <c r="S9" s="84"/>
      <c r="T9" s="84"/>
      <c r="U9" s="84"/>
      <c r="V9" s="84"/>
      <c r="W9" s="84"/>
      <c r="X9" s="84"/>
      <c r="Y9" s="84"/>
      <c r="Z9" s="84"/>
      <c r="AA9" s="84"/>
      <c r="AB9" s="84"/>
      <c r="AC9" s="84"/>
      <c r="AD9" s="84"/>
      <c r="AE9" s="84"/>
      <c r="AF9" s="84"/>
      <c r="AG9" s="84"/>
      <c r="AH9" s="84"/>
      <c r="AI9" s="84"/>
      <c r="AJ9" s="84"/>
      <c r="AK9" s="84"/>
      <c r="AL9" s="84"/>
      <c r="AM9" s="84"/>
      <c r="AN9" s="84"/>
      <c r="AO9" s="84"/>
      <c r="AP9" s="84"/>
      <c r="AQ9" s="84"/>
      <c r="AR9" s="84"/>
      <c r="AS9" s="84"/>
      <c r="AT9" s="84"/>
      <c r="AU9" s="84"/>
    </row>
    <row r="10" spans="1:147" ht="13">
      <c r="A10" s="107" t="s">
        <v>397</v>
      </c>
      <c r="B10" s="107" t="s">
        <v>82</v>
      </c>
      <c r="C10" s="60">
        <v>1</v>
      </c>
      <c r="D10" s="64">
        <v>86.09</v>
      </c>
      <c r="E10" s="60">
        <f>D10*C10</f>
        <v>86.09</v>
      </c>
      <c r="F10" s="103">
        <v>0.4</v>
      </c>
      <c r="I10" s="74">
        <f>$F$10*I8</f>
        <v>0.51298959371003228</v>
      </c>
      <c r="J10" s="74">
        <f>$F$10*J8</f>
        <v>0.49803999827103862</v>
      </c>
      <c r="K10" s="74">
        <f t="shared" ref="K10:AY10" si="0">$F$10*K8</f>
        <v>0.49837760764995398</v>
      </c>
      <c r="L10" s="74">
        <f t="shared" si="0"/>
        <v>0.52361467202125478</v>
      </c>
      <c r="M10" s="74">
        <f t="shared" si="0"/>
        <v>0.48712859060357899</v>
      </c>
      <c r="N10" s="74">
        <f t="shared" si="0"/>
        <v>0.50922370944526618</v>
      </c>
      <c r="O10" s="74">
        <f t="shared" si="0"/>
        <v>0.51592120214825132</v>
      </c>
      <c r="P10" s="74">
        <f t="shared" si="0"/>
        <v>0.52237277765879842</v>
      </c>
      <c r="Q10" s="74">
        <f t="shared" si="0"/>
        <v>0.51923977308653235</v>
      </c>
      <c r="R10" s="74">
        <f t="shared" si="0"/>
        <v>0.53283412665879071</v>
      </c>
      <c r="S10" s="74">
        <f t="shared" si="0"/>
        <v>0.53260563590422116</v>
      </c>
      <c r="T10" s="74">
        <f t="shared" si="0"/>
        <v>0.58881266039370461</v>
      </c>
      <c r="U10" s="74">
        <f t="shared" si="0"/>
        <v>0.5978248432487715</v>
      </c>
      <c r="V10" s="74">
        <f t="shared" si="0"/>
        <v>0.60314456972796249</v>
      </c>
      <c r="W10" s="74">
        <f t="shared" si="0"/>
        <v>0.64321469304940715</v>
      </c>
      <c r="X10" s="74">
        <f t="shared" si="0"/>
        <v>0.89925471482868446</v>
      </c>
      <c r="Y10" s="74">
        <f t="shared" si="0"/>
        <v>0.96572907145957265</v>
      </c>
      <c r="Z10" s="74">
        <f t="shared" si="0"/>
        <v>0.86437748603911546</v>
      </c>
      <c r="AA10" s="74">
        <f t="shared" si="0"/>
        <v>0.93319547904135325</v>
      </c>
      <c r="AB10" s="74">
        <f t="shared" si="0"/>
        <v>1.1435872134155791</v>
      </c>
      <c r="AC10" s="74">
        <f t="shared" si="0"/>
        <v>1.1615395046894867</v>
      </c>
      <c r="AD10" s="74">
        <f t="shared" si="0"/>
        <v>1.1740000000000002</v>
      </c>
      <c r="AE10" s="74">
        <f t="shared" si="0"/>
        <v>1.169</v>
      </c>
      <c r="AF10" s="74">
        <f t="shared" si="0"/>
        <v>1.1535</v>
      </c>
      <c r="AG10" s="74">
        <f t="shared" si="0"/>
        <v>1.1039999999999999</v>
      </c>
      <c r="AH10" s="74">
        <f t="shared" si="0"/>
        <v>1.1100000000000001</v>
      </c>
      <c r="AI10" s="74">
        <f t="shared" si="0"/>
        <v>1.1180000000000001</v>
      </c>
      <c r="AJ10" s="74">
        <f t="shared" si="0"/>
        <v>1.1199999999999999</v>
      </c>
      <c r="AK10" s="74">
        <f t="shared" si="0"/>
        <v>1.101</v>
      </c>
      <c r="AL10" s="74">
        <f t="shared" si="0"/>
        <v>1.0584</v>
      </c>
      <c r="AM10" s="74">
        <f t="shared" si="0"/>
        <v>0.99900000000000011</v>
      </c>
      <c r="AN10" s="74">
        <f t="shared" si="0"/>
        <v>0.85399999999999998</v>
      </c>
      <c r="AO10" s="74">
        <f t="shared" si="0"/>
        <v>0.72250000000000003</v>
      </c>
      <c r="AP10" s="74">
        <f t="shared" si="0"/>
        <v>0.71200000000000008</v>
      </c>
      <c r="AQ10" s="74">
        <f t="shared" si="0"/>
        <v>0.67080000000000006</v>
      </c>
      <c r="AR10" s="74">
        <f t="shared" si="0"/>
        <v>0.63400000000000001</v>
      </c>
      <c r="AS10" s="74">
        <f t="shared" si="0"/>
        <v>0.63700000000000001</v>
      </c>
      <c r="AT10" s="74">
        <f t="shared" si="0"/>
        <v>0.64000000000000012</v>
      </c>
      <c r="AU10" s="74">
        <f t="shared" si="0"/>
        <v>0.63680000000000003</v>
      </c>
      <c r="AV10" s="74">
        <f t="shared" si="0"/>
        <v>0.60750000000000004</v>
      </c>
      <c r="AW10" s="74">
        <f t="shared" si="0"/>
        <v>0.60599999999999998</v>
      </c>
      <c r="AX10" s="74">
        <f t="shared" si="0"/>
        <v>0.59000000000000008</v>
      </c>
      <c r="AY10" s="74">
        <f t="shared" si="0"/>
        <v>0.59000000000000008</v>
      </c>
      <c r="AZ10" s="74">
        <f t="shared" ref="AZ10:BJ10" si="1">$F$10*AZ8</f>
        <v>0.55999999999999994</v>
      </c>
      <c r="BA10" s="74">
        <f t="shared" si="1"/>
        <v>0.55999999999999994</v>
      </c>
      <c r="BB10" s="74">
        <f t="shared" si="1"/>
        <v>0.55000000000000004</v>
      </c>
      <c r="BC10" s="74">
        <f t="shared" si="1"/>
        <v>0.55000000000000004</v>
      </c>
      <c r="BD10" s="74">
        <f t="shared" si="1"/>
        <v>0.55000000000000004</v>
      </c>
      <c r="BE10" s="74">
        <f t="shared" si="1"/>
        <v>0.55000000000000004</v>
      </c>
      <c r="BF10" s="74">
        <f t="shared" si="1"/>
        <v>0.55000000000000004</v>
      </c>
      <c r="BG10" s="74">
        <f t="shared" si="1"/>
        <v>0.57000000000000006</v>
      </c>
      <c r="BH10" s="74">
        <f t="shared" si="1"/>
        <v>0.57000000000000006</v>
      </c>
      <c r="BI10" s="74">
        <f t="shared" si="1"/>
        <v>0.57000000000000006</v>
      </c>
      <c r="BJ10" s="74">
        <f t="shared" si="1"/>
        <v>0.57000000000000006</v>
      </c>
      <c r="BK10" s="74">
        <f t="shared" ref="BK10:BS10" si="2">$F$10*BK8</f>
        <v>0.57000000000000006</v>
      </c>
      <c r="BL10" s="74">
        <f t="shared" si="2"/>
        <v>0.57000000000000006</v>
      </c>
      <c r="BM10" s="74">
        <f t="shared" si="2"/>
        <v>0.57000000000000006</v>
      </c>
      <c r="BN10" s="74">
        <f t="shared" si="2"/>
        <v>0.57000000000000006</v>
      </c>
      <c r="BO10" s="74">
        <f t="shared" si="2"/>
        <v>0.57000000000000006</v>
      </c>
      <c r="BP10" s="74">
        <f t="shared" si="2"/>
        <v>0.56600000000000006</v>
      </c>
      <c r="BQ10" s="74">
        <f t="shared" si="2"/>
        <v>0.56600000000000006</v>
      </c>
      <c r="BR10" s="74">
        <f t="shared" si="2"/>
        <v>0.56600000000000006</v>
      </c>
      <c r="BS10" s="74">
        <f t="shared" si="2"/>
        <v>0.56600000000000006</v>
      </c>
      <c r="BT10" s="74">
        <f t="shared" ref="BT10:BY10" si="3">$F$10*BT8</f>
        <v>0.56600000000000006</v>
      </c>
      <c r="BU10" s="74">
        <f t="shared" si="3"/>
        <v>0.56600000000000006</v>
      </c>
      <c r="BV10" s="74">
        <f t="shared" si="3"/>
        <v>0.56600000000000006</v>
      </c>
      <c r="BW10" s="74">
        <f t="shared" si="3"/>
        <v>0.56600000000000006</v>
      </c>
      <c r="BX10" s="74">
        <f t="shared" si="3"/>
        <v>0.56600000000000006</v>
      </c>
      <c r="BY10" s="74">
        <f t="shared" si="3"/>
        <v>0.56600000000000006</v>
      </c>
      <c r="BZ10" s="74">
        <f t="shared" ref="BZ10:CH10" si="4">$F$10*BZ8</f>
        <v>0.56799999999999995</v>
      </c>
      <c r="CA10" s="74">
        <f t="shared" si="4"/>
        <v>0.56799999999999995</v>
      </c>
      <c r="CB10" s="74">
        <f t="shared" si="4"/>
        <v>0.56799999999999995</v>
      </c>
      <c r="CC10" s="74">
        <f t="shared" si="4"/>
        <v>0.56799999999999995</v>
      </c>
      <c r="CD10" s="74">
        <f t="shared" si="4"/>
        <v>0.56799999999999995</v>
      </c>
      <c r="CE10" s="74">
        <f t="shared" si="4"/>
        <v>0.56799999999999995</v>
      </c>
      <c r="CF10" s="74">
        <f t="shared" si="4"/>
        <v>0.56799999999999995</v>
      </c>
      <c r="CG10" s="74">
        <f t="shared" si="4"/>
        <v>0.56799999999999995</v>
      </c>
      <c r="CH10" s="74">
        <f t="shared" si="4"/>
        <v>0.56799999999999995</v>
      </c>
      <c r="CI10" s="74">
        <f t="shared" ref="CI10:CR10" si="5">$F$10*CI8</f>
        <v>0.56799999999999995</v>
      </c>
      <c r="CJ10" s="74">
        <f t="shared" si="5"/>
        <v>0.56799999999999995</v>
      </c>
      <c r="CK10" s="74">
        <f t="shared" si="5"/>
        <v>0.56799999999999995</v>
      </c>
      <c r="CL10" s="74">
        <f t="shared" si="5"/>
        <v>0.56799999999999995</v>
      </c>
      <c r="CM10" s="74">
        <f t="shared" si="5"/>
        <v>0.56799999999999995</v>
      </c>
      <c r="CN10" s="74">
        <f t="shared" si="5"/>
        <v>0.56799999999999995</v>
      </c>
      <c r="CO10" s="74">
        <f t="shared" si="5"/>
        <v>0.56799999999999995</v>
      </c>
      <c r="CP10" s="74">
        <f t="shared" si="5"/>
        <v>0.56799999999999995</v>
      </c>
      <c r="CQ10" s="74">
        <f t="shared" si="5"/>
        <v>0.56799999999999995</v>
      </c>
      <c r="CR10" s="74">
        <f t="shared" si="5"/>
        <v>0.55000000000000004</v>
      </c>
      <c r="CS10" s="74">
        <f>$F$10*CS8</f>
        <v>0.55000000000000004</v>
      </c>
      <c r="CT10" s="74">
        <f>$F$10*CT8</f>
        <v>0.55000000000000004</v>
      </c>
      <c r="CU10" s="74">
        <f>$F$10*CU8</f>
        <v>0.55000000000000004</v>
      </c>
      <c r="CV10" s="74">
        <f>$F$10*CV8</f>
        <v>0.55000000000000004</v>
      </c>
      <c r="CW10" s="74">
        <f>$F$10*CW8</f>
        <v>0.55000000000000004</v>
      </c>
      <c r="CX10" s="74">
        <f t="shared" ref="CX10:EM10" si="6">$F$10*CX8</f>
        <v>0.55000000000000004</v>
      </c>
      <c r="CY10" s="74">
        <f t="shared" si="6"/>
        <v>0.55000000000000004</v>
      </c>
      <c r="CZ10" s="74">
        <f t="shared" si="6"/>
        <v>0.55000000000000004</v>
      </c>
      <c r="DA10" s="74">
        <f t="shared" si="6"/>
        <v>0.55000000000000004</v>
      </c>
      <c r="DB10" s="74">
        <f t="shared" si="6"/>
        <v>0.55000000000000004</v>
      </c>
      <c r="DC10" s="74">
        <f t="shared" si="6"/>
        <v>0.55000000000000004</v>
      </c>
      <c r="DD10" s="74">
        <f t="shared" si="6"/>
        <v>0.55000000000000004</v>
      </c>
      <c r="DE10" s="74">
        <f t="shared" si="6"/>
        <v>0.55000000000000004</v>
      </c>
      <c r="DF10" s="74">
        <f t="shared" si="6"/>
        <v>0.53800000000000003</v>
      </c>
      <c r="DG10" s="74">
        <f t="shared" si="6"/>
        <v>0.53800000000000003</v>
      </c>
      <c r="DH10" s="74">
        <f t="shared" si="6"/>
        <v>0.53800000000000003</v>
      </c>
      <c r="DI10" s="74">
        <f t="shared" si="6"/>
        <v>0.53800000000000003</v>
      </c>
      <c r="DJ10" s="74">
        <f t="shared" si="6"/>
        <v>0.53800000000000003</v>
      </c>
      <c r="DK10" s="74">
        <f t="shared" si="6"/>
        <v>0.53800000000000003</v>
      </c>
      <c r="DL10" s="74">
        <f t="shared" si="6"/>
        <v>0.55000000000000004</v>
      </c>
      <c r="DM10" s="74">
        <f t="shared" si="6"/>
        <v>0.55000000000000004</v>
      </c>
      <c r="DN10" s="74">
        <f t="shared" si="6"/>
        <v>0.55000000000000004</v>
      </c>
      <c r="DO10" s="74">
        <f t="shared" si="6"/>
        <v>0.55000000000000004</v>
      </c>
      <c r="DP10" s="74">
        <f t="shared" si="6"/>
        <v>0.55000000000000004</v>
      </c>
      <c r="DQ10" s="74">
        <f t="shared" si="6"/>
        <v>0.55000000000000004</v>
      </c>
      <c r="DR10" s="74">
        <f t="shared" si="6"/>
        <v>0.55000000000000004</v>
      </c>
      <c r="DS10" s="74">
        <f t="shared" si="6"/>
        <v>0.55000000000000004</v>
      </c>
      <c r="DT10" s="74">
        <f t="shared" si="6"/>
        <v>0</v>
      </c>
      <c r="DU10" s="74">
        <f t="shared" si="6"/>
        <v>0</v>
      </c>
      <c r="DV10" s="74">
        <f t="shared" si="6"/>
        <v>0</v>
      </c>
      <c r="DW10" s="74">
        <f t="shared" si="6"/>
        <v>0</v>
      </c>
      <c r="DX10" s="74">
        <f t="shared" si="6"/>
        <v>0</v>
      </c>
      <c r="DY10" s="74">
        <f t="shared" si="6"/>
        <v>0</v>
      </c>
      <c r="DZ10" s="74">
        <f t="shared" si="6"/>
        <v>0</v>
      </c>
      <c r="EA10" s="74">
        <f t="shared" si="6"/>
        <v>0</v>
      </c>
      <c r="EB10" s="74">
        <f t="shared" si="6"/>
        <v>0</v>
      </c>
      <c r="EC10" s="74">
        <f t="shared" si="6"/>
        <v>0</v>
      </c>
      <c r="ED10" s="74">
        <f t="shared" si="6"/>
        <v>0</v>
      </c>
      <c r="EE10" s="74">
        <f t="shared" si="6"/>
        <v>0</v>
      </c>
      <c r="EF10" s="74">
        <f t="shared" si="6"/>
        <v>0</v>
      </c>
      <c r="EG10" s="74">
        <f t="shared" si="6"/>
        <v>0</v>
      </c>
      <c r="EH10" s="74">
        <f t="shared" si="6"/>
        <v>0</v>
      </c>
      <c r="EI10" s="74">
        <f t="shared" si="6"/>
        <v>0</v>
      </c>
      <c r="EJ10" s="74">
        <f t="shared" si="6"/>
        <v>0</v>
      </c>
      <c r="EK10" s="74">
        <f t="shared" si="6"/>
        <v>0</v>
      </c>
      <c r="EL10" s="74">
        <f t="shared" si="6"/>
        <v>0</v>
      </c>
      <c r="EM10" s="74">
        <f t="shared" si="6"/>
        <v>0</v>
      </c>
    </row>
    <row r="11" spans="1:147" ht="13">
      <c r="A11" s="67"/>
      <c r="B11" s="100" t="s">
        <v>670</v>
      </c>
      <c r="C11" s="60">
        <v>1</v>
      </c>
      <c r="D11" s="64">
        <v>88.11</v>
      </c>
      <c r="E11" s="60">
        <f>D11*C11</f>
        <v>88.11</v>
      </c>
      <c r="F11" s="65"/>
      <c r="I11" s="74">
        <f>$F$11*(I7/1000)</f>
        <v>0</v>
      </c>
      <c r="J11" s="74">
        <f>$F$11*(J7/1000)</f>
        <v>0</v>
      </c>
      <c r="K11" s="74">
        <f t="shared" ref="K11:AY11" si="7">$F$11*(K7/1000)</f>
        <v>0</v>
      </c>
      <c r="L11" s="74">
        <f t="shared" si="7"/>
        <v>0</v>
      </c>
      <c r="M11" s="74">
        <f t="shared" si="7"/>
        <v>0</v>
      </c>
      <c r="N11" s="74">
        <f t="shared" si="7"/>
        <v>0</v>
      </c>
      <c r="O11" s="74">
        <f t="shared" si="7"/>
        <v>0</v>
      </c>
      <c r="P11" s="74">
        <f t="shared" si="7"/>
        <v>0</v>
      </c>
      <c r="Q11" s="74">
        <f t="shared" si="7"/>
        <v>0</v>
      </c>
      <c r="R11" s="74">
        <f t="shared" si="7"/>
        <v>0</v>
      </c>
      <c r="S11" s="74">
        <f t="shared" si="7"/>
        <v>0</v>
      </c>
      <c r="T11" s="74">
        <f t="shared" si="7"/>
        <v>0</v>
      </c>
      <c r="U11" s="74">
        <f t="shared" si="7"/>
        <v>0</v>
      </c>
      <c r="V11" s="74">
        <f t="shared" si="7"/>
        <v>0</v>
      </c>
      <c r="W11" s="74">
        <f t="shared" si="7"/>
        <v>0</v>
      </c>
      <c r="X11" s="74">
        <f t="shared" si="7"/>
        <v>0</v>
      </c>
      <c r="Y11" s="74">
        <f t="shared" si="7"/>
        <v>0</v>
      </c>
      <c r="Z11" s="74">
        <f t="shared" si="7"/>
        <v>0</v>
      </c>
      <c r="AA11" s="74">
        <f t="shared" si="7"/>
        <v>0</v>
      </c>
      <c r="AB11" s="74">
        <f t="shared" si="7"/>
        <v>0</v>
      </c>
      <c r="AC11" s="74">
        <f t="shared" si="7"/>
        <v>0</v>
      </c>
      <c r="AD11" s="74">
        <f t="shared" si="7"/>
        <v>0</v>
      </c>
      <c r="AE11" s="74">
        <f t="shared" si="7"/>
        <v>0</v>
      </c>
      <c r="AF11" s="74">
        <f t="shared" si="7"/>
        <v>0</v>
      </c>
      <c r="AG11" s="74">
        <f t="shared" si="7"/>
        <v>0</v>
      </c>
      <c r="AH11" s="74">
        <f t="shared" si="7"/>
        <v>0</v>
      </c>
      <c r="AI11" s="74">
        <f t="shared" si="7"/>
        <v>0</v>
      </c>
      <c r="AJ11" s="74">
        <f t="shared" si="7"/>
        <v>0</v>
      </c>
      <c r="AK11" s="74">
        <f t="shared" si="7"/>
        <v>0</v>
      </c>
      <c r="AL11" s="74">
        <f t="shared" si="7"/>
        <v>0</v>
      </c>
      <c r="AM11" s="74">
        <f t="shared" si="7"/>
        <v>0</v>
      </c>
      <c r="AN11" s="74">
        <f t="shared" si="7"/>
        <v>0</v>
      </c>
      <c r="AO11" s="74">
        <f t="shared" si="7"/>
        <v>0</v>
      </c>
      <c r="AP11" s="74">
        <f t="shared" si="7"/>
        <v>0</v>
      </c>
      <c r="AQ11" s="74">
        <f t="shared" si="7"/>
        <v>0</v>
      </c>
      <c r="AR11" s="74">
        <f t="shared" si="7"/>
        <v>0</v>
      </c>
      <c r="AS11" s="74">
        <f t="shared" si="7"/>
        <v>0</v>
      </c>
      <c r="AT11" s="74">
        <f t="shared" si="7"/>
        <v>0</v>
      </c>
      <c r="AU11" s="74">
        <f t="shared" si="7"/>
        <v>0</v>
      </c>
      <c r="AV11" s="74">
        <f t="shared" si="7"/>
        <v>0</v>
      </c>
      <c r="AW11" s="74">
        <f t="shared" si="7"/>
        <v>0</v>
      </c>
      <c r="AX11" s="74">
        <f t="shared" si="7"/>
        <v>0</v>
      </c>
      <c r="AY11" s="74">
        <f t="shared" si="7"/>
        <v>0</v>
      </c>
      <c r="AZ11" s="74">
        <f t="shared" ref="AZ11:BJ11" si="8">$F$11*(AZ7/1000)</f>
        <v>0</v>
      </c>
      <c r="BA11" s="74">
        <f t="shared" si="8"/>
        <v>0</v>
      </c>
      <c r="BB11" s="74">
        <f t="shared" si="8"/>
        <v>0</v>
      </c>
      <c r="BC11" s="74">
        <f t="shared" si="8"/>
        <v>0</v>
      </c>
      <c r="BD11" s="74">
        <f t="shared" si="8"/>
        <v>0</v>
      </c>
      <c r="BE11" s="74">
        <f t="shared" si="8"/>
        <v>0</v>
      </c>
      <c r="BF11" s="74">
        <f t="shared" si="8"/>
        <v>0</v>
      </c>
      <c r="BG11" s="74">
        <f t="shared" si="8"/>
        <v>0</v>
      </c>
      <c r="BH11" s="74">
        <f t="shared" si="8"/>
        <v>0</v>
      </c>
      <c r="BI11" s="74">
        <f t="shared" si="8"/>
        <v>0</v>
      </c>
      <c r="BJ11" s="74">
        <f t="shared" si="8"/>
        <v>0</v>
      </c>
      <c r="BK11" s="74">
        <f t="shared" ref="BK11:BS11" si="9">$F$11*(BK7/1000)</f>
        <v>0</v>
      </c>
      <c r="BL11" s="74">
        <f t="shared" si="9"/>
        <v>0</v>
      </c>
      <c r="BM11" s="74">
        <f t="shared" si="9"/>
        <v>0</v>
      </c>
      <c r="BN11" s="74">
        <f t="shared" si="9"/>
        <v>0</v>
      </c>
      <c r="BO11" s="74">
        <f t="shared" si="9"/>
        <v>0</v>
      </c>
      <c r="BP11" s="74">
        <f t="shared" si="9"/>
        <v>0</v>
      </c>
      <c r="BQ11" s="74">
        <f t="shared" si="9"/>
        <v>0</v>
      </c>
      <c r="BR11" s="74">
        <f t="shared" si="9"/>
        <v>0</v>
      </c>
      <c r="BS11" s="74">
        <f t="shared" si="9"/>
        <v>0</v>
      </c>
      <c r="BT11" s="74">
        <f t="shared" ref="BT11:BY11" si="10">$F$11*(BT7/1000)</f>
        <v>0</v>
      </c>
      <c r="BU11" s="74">
        <f t="shared" si="10"/>
        <v>0</v>
      </c>
      <c r="BV11" s="74">
        <f t="shared" si="10"/>
        <v>0</v>
      </c>
      <c r="BW11" s="74">
        <f t="shared" si="10"/>
        <v>0</v>
      </c>
      <c r="BX11" s="74">
        <f t="shared" si="10"/>
        <v>0</v>
      </c>
      <c r="BY11" s="74">
        <f t="shared" si="10"/>
        <v>0</v>
      </c>
      <c r="BZ11" s="74">
        <f t="shared" ref="BZ11:CH11" si="11">$F$11*(BZ7/1000)</f>
        <v>0</v>
      </c>
      <c r="CA11" s="74">
        <f t="shared" si="11"/>
        <v>0</v>
      </c>
      <c r="CB11" s="74">
        <f t="shared" si="11"/>
        <v>0</v>
      </c>
      <c r="CC11" s="74">
        <f t="shared" si="11"/>
        <v>0</v>
      </c>
      <c r="CD11" s="74">
        <f t="shared" si="11"/>
        <v>0</v>
      </c>
      <c r="CE11" s="74">
        <f t="shared" si="11"/>
        <v>0</v>
      </c>
      <c r="CF11" s="74">
        <f t="shared" si="11"/>
        <v>0</v>
      </c>
      <c r="CG11" s="74">
        <f t="shared" si="11"/>
        <v>0</v>
      </c>
      <c r="CH11" s="74">
        <f t="shared" si="11"/>
        <v>0</v>
      </c>
      <c r="CI11" s="74">
        <f t="shared" ref="CI11:CR11" si="12">$F$11*(CI7/1000)</f>
        <v>0</v>
      </c>
      <c r="CJ11" s="74">
        <f t="shared" si="12"/>
        <v>0</v>
      </c>
      <c r="CK11" s="74">
        <f t="shared" si="12"/>
        <v>0</v>
      </c>
      <c r="CL11" s="74">
        <f t="shared" si="12"/>
        <v>0</v>
      </c>
      <c r="CM11" s="74">
        <f t="shared" si="12"/>
        <v>0</v>
      </c>
      <c r="CN11" s="74">
        <f t="shared" si="12"/>
        <v>0</v>
      </c>
      <c r="CO11" s="74">
        <f t="shared" si="12"/>
        <v>0</v>
      </c>
      <c r="CP11" s="74">
        <f t="shared" si="12"/>
        <v>0</v>
      </c>
      <c r="CQ11" s="74">
        <f t="shared" si="12"/>
        <v>0</v>
      </c>
      <c r="CR11" s="74">
        <f t="shared" si="12"/>
        <v>0</v>
      </c>
      <c r="CS11" s="74">
        <f>$F$11*(CS7/1000)</f>
        <v>0</v>
      </c>
      <c r="CT11" s="74">
        <f>$F$11*(CT7/1000)</f>
        <v>0</v>
      </c>
      <c r="CU11" s="74">
        <f>$F$11*(CU7/1000)</f>
        <v>0</v>
      </c>
      <c r="CV11" s="74">
        <f>$F$11*(CV7/1000)</f>
        <v>0</v>
      </c>
      <c r="CW11" s="74">
        <f>$F$11*(CW7/1000)</f>
        <v>0</v>
      </c>
      <c r="CX11" s="74">
        <f t="shared" ref="CX11:EM11" si="13">$F$11*(CX7/1000)</f>
        <v>0</v>
      </c>
      <c r="CY11" s="74">
        <f t="shared" si="13"/>
        <v>0</v>
      </c>
      <c r="CZ11" s="74">
        <f t="shared" si="13"/>
        <v>0</v>
      </c>
      <c r="DA11" s="74">
        <f t="shared" si="13"/>
        <v>0</v>
      </c>
      <c r="DB11" s="74">
        <f t="shared" si="13"/>
        <v>0</v>
      </c>
      <c r="DC11" s="74">
        <f t="shared" si="13"/>
        <v>0</v>
      </c>
      <c r="DD11" s="74">
        <f t="shared" si="13"/>
        <v>0</v>
      </c>
      <c r="DE11" s="74">
        <f t="shared" si="13"/>
        <v>0</v>
      </c>
      <c r="DF11" s="74">
        <f t="shared" si="13"/>
        <v>0</v>
      </c>
      <c r="DG11" s="74">
        <f t="shared" si="13"/>
        <v>0</v>
      </c>
      <c r="DH11" s="74">
        <f t="shared" si="13"/>
        <v>0</v>
      </c>
      <c r="DI11" s="74">
        <f t="shared" si="13"/>
        <v>0</v>
      </c>
      <c r="DJ11" s="74">
        <f t="shared" si="13"/>
        <v>0</v>
      </c>
      <c r="DK11" s="74">
        <f t="shared" si="13"/>
        <v>0</v>
      </c>
      <c r="DL11" s="74">
        <f t="shared" si="13"/>
        <v>0</v>
      </c>
      <c r="DM11" s="74">
        <f t="shared" si="13"/>
        <v>0</v>
      </c>
      <c r="DN11" s="74">
        <f t="shared" si="13"/>
        <v>0</v>
      </c>
      <c r="DO11" s="74">
        <f t="shared" si="13"/>
        <v>0</v>
      </c>
      <c r="DP11" s="74">
        <f t="shared" si="13"/>
        <v>0</v>
      </c>
      <c r="DQ11" s="74">
        <f t="shared" si="13"/>
        <v>0</v>
      </c>
      <c r="DR11" s="74">
        <f t="shared" si="13"/>
        <v>0</v>
      </c>
      <c r="DS11" s="74">
        <f t="shared" si="13"/>
        <v>0</v>
      </c>
      <c r="DT11" s="74">
        <f t="shared" si="13"/>
        <v>0</v>
      </c>
      <c r="DU11" s="74">
        <f t="shared" si="13"/>
        <v>0</v>
      </c>
      <c r="DV11" s="74">
        <f t="shared" si="13"/>
        <v>0</v>
      </c>
      <c r="DW11" s="74">
        <f t="shared" si="13"/>
        <v>0</v>
      </c>
      <c r="DX11" s="74">
        <f t="shared" si="13"/>
        <v>0</v>
      </c>
      <c r="DY11" s="74">
        <f t="shared" si="13"/>
        <v>0</v>
      </c>
      <c r="DZ11" s="74">
        <f t="shared" si="13"/>
        <v>0</v>
      </c>
      <c r="EA11" s="74">
        <f t="shared" si="13"/>
        <v>0</v>
      </c>
      <c r="EB11" s="74">
        <f t="shared" si="13"/>
        <v>0</v>
      </c>
      <c r="EC11" s="74">
        <f t="shared" si="13"/>
        <v>0</v>
      </c>
      <c r="ED11" s="74">
        <f t="shared" si="13"/>
        <v>0</v>
      </c>
      <c r="EE11" s="74">
        <f t="shared" si="13"/>
        <v>0</v>
      </c>
      <c r="EF11" s="74">
        <f t="shared" si="13"/>
        <v>0</v>
      </c>
      <c r="EG11" s="74">
        <f t="shared" si="13"/>
        <v>0</v>
      </c>
      <c r="EH11" s="74">
        <f t="shared" si="13"/>
        <v>0</v>
      </c>
      <c r="EI11" s="74">
        <f t="shared" si="13"/>
        <v>0</v>
      </c>
      <c r="EJ11" s="74">
        <f t="shared" si="13"/>
        <v>0</v>
      </c>
      <c r="EK11" s="74">
        <f t="shared" si="13"/>
        <v>0</v>
      </c>
      <c r="EL11" s="74">
        <f t="shared" si="13"/>
        <v>0</v>
      </c>
      <c r="EM11" s="74">
        <f t="shared" si="13"/>
        <v>0</v>
      </c>
    </row>
    <row r="12" spans="1:147">
      <c r="A12" s="67"/>
      <c r="B12" s="100"/>
      <c r="D12" s="64"/>
      <c r="F12" s="65"/>
      <c r="I12" s="74"/>
      <c r="J12" s="74"/>
      <c r="K12" s="74"/>
      <c r="L12" s="74"/>
      <c r="M12" s="74"/>
      <c r="N12" s="74"/>
      <c r="O12" s="74"/>
      <c r="P12" s="74"/>
      <c r="Q12" s="74"/>
      <c r="R12" s="74"/>
      <c r="S12" s="74"/>
      <c r="T12" s="74"/>
      <c r="U12" s="74"/>
      <c r="V12" s="74"/>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row>
    <row r="13" spans="1:147" s="104" customFormat="1">
      <c r="A13" s="104" t="s">
        <v>400</v>
      </c>
      <c r="H13" s="60"/>
      <c r="I13" s="105">
        <f>SUM(I10:I12)</f>
        <v>0.51298959371003228</v>
      </c>
      <c r="J13" s="105">
        <f t="shared" ref="J13:AY13" si="14">SUM(J10:J12)</f>
        <v>0.49803999827103862</v>
      </c>
      <c r="K13" s="105">
        <f t="shared" si="14"/>
        <v>0.49837760764995398</v>
      </c>
      <c r="L13" s="105">
        <f t="shared" si="14"/>
        <v>0.52361467202125478</v>
      </c>
      <c r="M13" s="105">
        <f t="shared" si="14"/>
        <v>0.48712859060357899</v>
      </c>
      <c r="N13" s="105">
        <f t="shared" si="14"/>
        <v>0.50922370944526618</v>
      </c>
      <c r="O13" s="105">
        <f t="shared" si="14"/>
        <v>0.51592120214825132</v>
      </c>
      <c r="P13" s="105">
        <f t="shared" si="14"/>
        <v>0.52237277765879842</v>
      </c>
      <c r="Q13" s="105">
        <f t="shared" si="14"/>
        <v>0.51923977308653235</v>
      </c>
      <c r="R13" s="105">
        <f t="shared" si="14"/>
        <v>0.53283412665879071</v>
      </c>
      <c r="S13" s="105">
        <f t="shared" si="14"/>
        <v>0.53260563590422116</v>
      </c>
      <c r="T13" s="105">
        <f t="shared" si="14"/>
        <v>0.58881266039370461</v>
      </c>
      <c r="U13" s="105">
        <f t="shared" si="14"/>
        <v>0.5978248432487715</v>
      </c>
      <c r="V13" s="105">
        <f t="shared" si="14"/>
        <v>0.60314456972796249</v>
      </c>
      <c r="W13" s="105">
        <f t="shared" si="14"/>
        <v>0.64321469304940715</v>
      </c>
      <c r="X13" s="105">
        <f t="shared" si="14"/>
        <v>0.89925471482868446</v>
      </c>
      <c r="Y13" s="105">
        <f t="shared" si="14"/>
        <v>0.96572907145957265</v>
      </c>
      <c r="Z13" s="105">
        <f t="shared" si="14"/>
        <v>0.86437748603911546</v>
      </c>
      <c r="AA13" s="105">
        <f t="shared" si="14"/>
        <v>0.93319547904135325</v>
      </c>
      <c r="AB13" s="105">
        <f t="shared" si="14"/>
        <v>1.1435872134155791</v>
      </c>
      <c r="AC13" s="105">
        <f t="shared" si="14"/>
        <v>1.1615395046894867</v>
      </c>
      <c r="AD13" s="105">
        <f t="shared" si="14"/>
        <v>1.1740000000000002</v>
      </c>
      <c r="AE13" s="105">
        <f t="shared" si="14"/>
        <v>1.169</v>
      </c>
      <c r="AF13" s="105">
        <f t="shared" si="14"/>
        <v>1.1535</v>
      </c>
      <c r="AG13" s="105">
        <f t="shared" si="14"/>
        <v>1.1039999999999999</v>
      </c>
      <c r="AH13" s="105">
        <f t="shared" si="14"/>
        <v>1.1100000000000001</v>
      </c>
      <c r="AI13" s="105">
        <f t="shared" si="14"/>
        <v>1.1180000000000001</v>
      </c>
      <c r="AJ13" s="105">
        <f t="shared" si="14"/>
        <v>1.1199999999999999</v>
      </c>
      <c r="AK13" s="105">
        <f t="shared" si="14"/>
        <v>1.101</v>
      </c>
      <c r="AL13" s="105">
        <f t="shared" si="14"/>
        <v>1.0584</v>
      </c>
      <c r="AM13" s="105">
        <f t="shared" si="14"/>
        <v>0.99900000000000011</v>
      </c>
      <c r="AN13" s="105">
        <f t="shared" si="14"/>
        <v>0.85399999999999998</v>
      </c>
      <c r="AO13" s="105">
        <f t="shared" si="14"/>
        <v>0.72250000000000003</v>
      </c>
      <c r="AP13" s="105">
        <f t="shared" si="14"/>
        <v>0.71200000000000008</v>
      </c>
      <c r="AQ13" s="105">
        <f t="shared" si="14"/>
        <v>0.67080000000000006</v>
      </c>
      <c r="AR13" s="105">
        <f t="shared" si="14"/>
        <v>0.63400000000000001</v>
      </c>
      <c r="AS13" s="105">
        <f t="shared" si="14"/>
        <v>0.63700000000000001</v>
      </c>
      <c r="AT13" s="105">
        <f t="shared" si="14"/>
        <v>0.64000000000000012</v>
      </c>
      <c r="AU13" s="105">
        <f t="shared" si="14"/>
        <v>0.63680000000000003</v>
      </c>
      <c r="AV13" s="105">
        <f t="shared" si="14"/>
        <v>0.60750000000000004</v>
      </c>
      <c r="AW13" s="105">
        <f t="shared" si="14"/>
        <v>0.60599999999999998</v>
      </c>
      <c r="AX13" s="105">
        <f t="shared" si="14"/>
        <v>0.59000000000000008</v>
      </c>
      <c r="AY13" s="105">
        <f t="shared" si="14"/>
        <v>0.59000000000000008</v>
      </c>
      <c r="AZ13" s="105">
        <f t="shared" ref="AZ13:BJ13" si="15">SUM(AZ10:AZ12)</f>
        <v>0.55999999999999994</v>
      </c>
      <c r="BA13" s="105">
        <f t="shared" si="15"/>
        <v>0.55999999999999994</v>
      </c>
      <c r="BB13" s="105">
        <f t="shared" si="15"/>
        <v>0.55000000000000004</v>
      </c>
      <c r="BC13" s="105">
        <f t="shared" si="15"/>
        <v>0.55000000000000004</v>
      </c>
      <c r="BD13" s="105">
        <f t="shared" si="15"/>
        <v>0.55000000000000004</v>
      </c>
      <c r="BE13" s="105">
        <f t="shared" si="15"/>
        <v>0.55000000000000004</v>
      </c>
      <c r="BF13" s="105">
        <f t="shared" si="15"/>
        <v>0.55000000000000004</v>
      </c>
      <c r="BG13" s="105">
        <f t="shared" si="15"/>
        <v>0.57000000000000006</v>
      </c>
      <c r="BH13" s="105">
        <f t="shared" si="15"/>
        <v>0.57000000000000006</v>
      </c>
      <c r="BI13" s="105">
        <f t="shared" si="15"/>
        <v>0.57000000000000006</v>
      </c>
      <c r="BJ13" s="105">
        <f t="shared" si="15"/>
        <v>0.57000000000000006</v>
      </c>
      <c r="BK13" s="105">
        <f t="shared" ref="BK13:BS13" si="16">SUM(BK10:BK12)</f>
        <v>0.57000000000000006</v>
      </c>
      <c r="BL13" s="105">
        <f t="shared" si="16"/>
        <v>0.57000000000000006</v>
      </c>
      <c r="BM13" s="105">
        <f t="shared" si="16"/>
        <v>0.57000000000000006</v>
      </c>
      <c r="BN13" s="105">
        <f t="shared" si="16"/>
        <v>0.57000000000000006</v>
      </c>
      <c r="BO13" s="105">
        <f t="shared" si="16"/>
        <v>0.57000000000000006</v>
      </c>
      <c r="BP13" s="105">
        <f t="shared" si="16"/>
        <v>0.56600000000000006</v>
      </c>
      <c r="BQ13" s="105">
        <f t="shared" si="16"/>
        <v>0.56600000000000006</v>
      </c>
      <c r="BR13" s="105">
        <f t="shared" si="16"/>
        <v>0.56600000000000006</v>
      </c>
      <c r="BS13" s="105">
        <f t="shared" si="16"/>
        <v>0.56600000000000006</v>
      </c>
      <c r="BT13" s="105">
        <f t="shared" ref="BT13:BY13" si="17">SUM(BT10:BT12)</f>
        <v>0.56600000000000006</v>
      </c>
      <c r="BU13" s="105">
        <f t="shared" si="17"/>
        <v>0.56600000000000006</v>
      </c>
      <c r="BV13" s="105">
        <f t="shared" si="17"/>
        <v>0.56600000000000006</v>
      </c>
      <c r="BW13" s="105">
        <f t="shared" si="17"/>
        <v>0.56600000000000006</v>
      </c>
      <c r="BX13" s="105">
        <f t="shared" si="17"/>
        <v>0.56600000000000006</v>
      </c>
      <c r="BY13" s="105">
        <f t="shared" si="17"/>
        <v>0.56600000000000006</v>
      </c>
      <c r="BZ13" s="105">
        <f t="shared" ref="BZ13:CH13" si="18">SUM(BZ10:BZ12)</f>
        <v>0.56799999999999995</v>
      </c>
      <c r="CA13" s="105">
        <f t="shared" si="18"/>
        <v>0.56799999999999995</v>
      </c>
      <c r="CB13" s="105">
        <f t="shared" si="18"/>
        <v>0.56799999999999995</v>
      </c>
      <c r="CC13" s="105">
        <f t="shared" si="18"/>
        <v>0.56799999999999995</v>
      </c>
      <c r="CD13" s="105">
        <f t="shared" si="18"/>
        <v>0.56799999999999995</v>
      </c>
      <c r="CE13" s="105">
        <f t="shared" si="18"/>
        <v>0.56799999999999995</v>
      </c>
      <c r="CF13" s="105">
        <f t="shared" si="18"/>
        <v>0.56799999999999995</v>
      </c>
      <c r="CG13" s="105">
        <f t="shared" si="18"/>
        <v>0.56799999999999995</v>
      </c>
      <c r="CH13" s="105">
        <f t="shared" si="18"/>
        <v>0.56799999999999995</v>
      </c>
      <c r="CI13" s="105">
        <f t="shared" ref="CI13:CR13" si="19">SUM(CI10:CI12)</f>
        <v>0.56799999999999995</v>
      </c>
      <c r="CJ13" s="105">
        <f t="shared" si="19"/>
        <v>0.56799999999999995</v>
      </c>
      <c r="CK13" s="105">
        <f t="shared" si="19"/>
        <v>0.56799999999999995</v>
      </c>
      <c r="CL13" s="105">
        <f t="shared" si="19"/>
        <v>0.56799999999999995</v>
      </c>
      <c r="CM13" s="105">
        <f t="shared" si="19"/>
        <v>0.56799999999999995</v>
      </c>
      <c r="CN13" s="105">
        <f t="shared" si="19"/>
        <v>0.56799999999999995</v>
      </c>
      <c r="CO13" s="105">
        <f t="shared" si="19"/>
        <v>0.56799999999999995</v>
      </c>
      <c r="CP13" s="105">
        <f t="shared" si="19"/>
        <v>0.56799999999999995</v>
      </c>
      <c r="CQ13" s="105">
        <f t="shared" si="19"/>
        <v>0.56799999999999995</v>
      </c>
      <c r="CR13" s="105">
        <f t="shared" si="19"/>
        <v>0.55000000000000004</v>
      </c>
      <c r="CS13" s="105">
        <f>SUM(CS10:CS12)</f>
        <v>0.55000000000000004</v>
      </c>
      <c r="CT13" s="105">
        <f>SUM(CT10:CT12)</f>
        <v>0.55000000000000004</v>
      </c>
      <c r="CU13" s="105">
        <f>SUM(CU10:CU12)</f>
        <v>0.55000000000000004</v>
      </c>
      <c r="CV13" s="105">
        <f>SUM(CV10:CV12)</f>
        <v>0.55000000000000004</v>
      </c>
      <c r="CW13" s="105">
        <f>SUM(CW10:CW12)</f>
        <v>0.55000000000000004</v>
      </c>
      <c r="CX13" s="105">
        <f t="shared" ref="CX13:EM13" si="20">SUM(CX10:CX12)</f>
        <v>0.55000000000000004</v>
      </c>
      <c r="CY13" s="105">
        <f t="shared" si="20"/>
        <v>0.55000000000000004</v>
      </c>
      <c r="CZ13" s="105">
        <f t="shared" si="20"/>
        <v>0.55000000000000004</v>
      </c>
      <c r="DA13" s="105">
        <f t="shared" si="20"/>
        <v>0.55000000000000004</v>
      </c>
      <c r="DB13" s="105">
        <f t="shared" si="20"/>
        <v>0.55000000000000004</v>
      </c>
      <c r="DC13" s="105">
        <f t="shared" si="20"/>
        <v>0.55000000000000004</v>
      </c>
      <c r="DD13" s="105">
        <f t="shared" si="20"/>
        <v>0.55000000000000004</v>
      </c>
      <c r="DE13" s="105">
        <f t="shared" si="20"/>
        <v>0.55000000000000004</v>
      </c>
      <c r="DF13" s="105">
        <f t="shared" si="20"/>
        <v>0.53800000000000003</v>
      </c>
      <c r="DG13" s="105">
        <f t="shared" si="20"/>
        <v>0.53800000000000003</v>
      </c>
      <c r="DH13" s="105">
        <f t="shared" si="20"/>
        <v>0.53800000000000003</v>
      </c>
      <c r="DI13" s="105">
        <f t="shared" si="20"/>
        <v>0.53800000000000003</v>
      </c>
      <c r="DJ13" s="105">
        <f t="shared" si="20"/>
        <v>0.53800000000000003</v>
      </c>
      <c r="DK13" s="105">
        <f t="shared" si="20"/>
        <v>0.53800000000000003</v>
      </c>
      <c r="DL13" s="105">
        <f t="shared" si="20"/>
        <v>0.55000000000000004</v>
      </c>
      <c r="DM13" s="105">
        <f t="shared" si="20"/>
        <v>0.55000000000000004</v>
      </c>
      <c r="DN13" s="105">
        <f t="shared" si="20"/>
        <v>0.55000000000000004</v>
      </c>
      <c r="DO13" s="105">
        <f t="shared" si="20"/>
        <v>0.55000000000000004</v>
      </c>
      <c r="DP13" s="105">
        <f t="shared" si="20"/>
        <v>0.55000000000000004</v>
      </c>
      <c r="DQ13" s="105">
        <f t="shared" si="20"/>
        <v>0.55000000000000004</v>
      </c>
      <c r="DR13" s="105">
        <f t="shared" si="20"/>
        <v>0.55000000000000004</v>
      </c>
      <c r="DS13" s="105">
        <f t="shared" si="20"/>
        <v>0.55000000000000004</v>
      </c>
      <c r="DT13" s="105">
        <f t="shared" si="20"/>
        <v>0</v>
      </c>
      <c r="DU13" s="105">
        <f t="shared" si="20"/>
        <v>0</v>
      </c>
      <c r="DV13" s="105">
        <f t="shared" si="20"/>
        <v>0</v>
      </c>
      <c r="DW13" s="105">
        <f t="shared" si="20"/>
        <v>0</v>
      </c>
      <c r="DX13" s="105">
        <f t="shared" si="20"/>
        <v>0</v>
      </c>
      <c r="DY13" s="105">
        <f t="shared" si="20"/>
        <v>0</v>
      </c>
      <c r="DZ13" s="105">
        <f t="shared" si="20"/>
        <v>0</v>
      </c>
      <c r="EA13" s="105">
        <f t="shared" si="20"/>
        <v>0</v>
      </c>
      <c r="EB13" s="105">
        <f t="shared" si="20"/>
        <v>0</v>
      </c>
      <c r="EC13" s="105">
        <f t="shared" si="20"/>
        <v>0</v>
      </c>
      <c r="ED13" s="105">
        <f t="shared" si="20"/>
        <v>0</v>
      </c>
      <c r="EE13" s="105">
        <f t="shared" si="20"/>
        <v>0</v>
      </c>
      <c r="EF13" s="105">
        <f t="shared" si="20"/>
        <v>0</v>
      </c>
      <c r="EG13" s="105">
        <f t="shared" si="20"/>
        <v>0</v>
      </c>
      <c r="EH13" s="105">
        <f t="shared" si="20"/>
        <v>0</v>
      </c>
      <c r="EI13" s="105">
        <f t="shared" si="20"/>
        <v>0</v>
      </c>
      <c r="EJ13" s="105">
        <f t="shared" si="20"/>
        <v>0</v>
      </c>
      <c r="EK13" s="105">
        <f t="shared" si="20"/>
        <v>0</v>
      </c>
      <c r="EL13" s="105">
        <f t="shared" si="20"/>
        <v>0</v>
      </c>
      <c r="EM13" s="105">
        <f t="shared" si="20"/>
        <v>0</v>
      </c>
    </row>
    <row r="14" spans="1:147">
      <c r="H14" s="60" t="s">
        <v>429</v>
      </c>
      <c r="I14" s="74"/>
      <c r="J14" s="74"/>
      <c r="K14" s="74"/>
      <c r="L14" s="74"/>
      <c r="M14" s="74"/>
      <c r="N14" s="74">
        <v>1.86</v>
      </c>
      <c r="O14" s="74"/>
      <c r="P14" s="74"/>
      <c r="Q14" s="74"/>
      <c r="R14" s="74"/>
      <c r="S14" s="74">
        <v>1.92</v>
      </c>
      <c r="T14" s="74"/>
      <c r="U14" s="74"/>
      <c r="V14" s="74"/>
      <c r="W14" s="74">
        <v>1.99</v>
      </c>
      <c r="X14" s="74"/>
      <c r="Y14" s="74">
        <v>2.0099999999999998</v>
      </c>
      <c r="Z14" s="74"/>
      <c r="AA14" s="74">
        <v>2.0150000000000001</v>
      </c>
      <c r="AB14" s="74"/>
      <c r="AC14" s="74">
        <v>2.35</v>
      </c>
      <c r="AD14" s="74"/>
      <c r="AE14" s="74"/>
      <c r="AF14" s="74"/>
      <c r="AG14" s="74"/>
      <c r="AH14" s="74">
        <v>3.1</v>
      </c>
      <c r="AI14" s="74"/>
      <c r="AJ14" s="74">
        <v>2.98</v>
      </c>
      <c r="AK14" s="74">
        <v>2.95</v>
      </c>
      <c r="AL14" s="74"/>
      <c r="AM14" s="74"/>
      <c r="AN14" s="74"/>
      <c r="AO14" s="74">
        <v>2.6</v>
      </c>
      <c r="AP14" s="74">
        <v>5.18</v>
      </c>
      <c r="AQ14" s="74">
        <v>5.18</v>
      </c>
      <c r="AR14" s="74">
        <v>4.8600000000000003</v>
      </c>
      <c r="AS14" s="74">
        <v>2.136762821187431</v>
      </c>
      <c r="AT14" s="74"/>
      <c r="AU14" s="74"/>
      <c r="AV14" s="74"/>
    </row>
    <row r="15" spans="1:147">
      <c r="H15" s="60" t="s">
        <v>406</v>
      </c>
      <c r="I15" s="74"/>
      <c r="K15" s="74"/>
      <c r="L15" s="74"/>
      <c r="M15" s="74"/>
      <c r="N15" s="74">
        <f>N14-N13</f>
        <v>1.3507762905547338</v>
      </c>
      <c r="O15" s="65"/>
      <c r="P15" s="74"/>
      <c r="Q15" s="74"/>
      <c r="R15" s="74"/>
      <c r="S15" s="74">
        <f>S14-S13</f>
        <v>1.3873943640957789</v>
      </c>
      <c r="T15" s="74"/>
      <c r="U15" s="74"/>
      <c r="V15" s="74"/>
      <c r="W15" s="74">
        <f>W14-W13</f>
        <v>1.3467853069505928</v>
      </c>
      <c r="X15" s="74"/>
      <c r="Y15" s="74">
        <f>Y14-Y13</f>
        <v>1.0442709285404272</v>
      </c>
      <c r="Z15" s="74"/>
      <c r="AA15" s="74">
        <f>AA14-AA13</f>
        <v>1.0818045209586469</v>
      </c>
      <c r="AC15" s="74">
        <f>AC14-AC13</f>
        <v>1.1884604953105133</v>
      </c>
      <c r="AD15" s="74"/>
      <c r="AE15" s="74"/>
      <c r="AF15" s="74"/>
      <c r="AG15" s="74"/>
      <c r="AH15" s="74">
        <f>AH14-AH13</f>
        <v>1.99</v>
      </c>
      <c r="AI15" s="74"/>
      <c r="AJ15" s="74">
        <f>AJ14-AJ13</f>
        <v>1.86</v>
      </c>
      <c r="AK15" s="74">
        <f>AK14-AK13</f>
        <v>1.8490000000000002</v>
      </c>
      <c r="AL15" s="74"/>
      <c r="AM15" s="74"/>
      <c r="AN15" s="74"/>
      <c r="AO15" s="74">
        <f>AO14-AO13</f>
        <v>1.8774999999999999</v>
      </c>
      <c r="AP15" s="74">
        <f>AP14-AP13</f>
        <v>4.468</v>
      </c>
      <c r="AQ15" s="74">
        <f>AQ14-AQ13</f>
        <v>4.5091999999999999</v>
      </c>
      <c r="AR15" s="74">
        <f>AR14-AR13</f>
        <v>4.226</v>
      </c>
      <c r="AS15" s="74">
        <f>AS14-AS13</f>
        <v>1.499762821187431</v>
      </c>
      <c r="AT15" s="74"/>
      <c r="AU15" s="65"/>
    </row>
    <row r="17" spans="8:143" ht="13" thickBot="1"/>
    <row r="18" spans="8:143" ht="13" thickBot="1">
      <c r="H18" s="106" t="s">
        <v>407</v>
      </c>
      <c r="I18" s="109">
        <f>1.04+I13</f>
        <v>1.5529895937100324</v>
      </c>
      <c r="J18" s="109">
        <f t="shared" ref="J18:AY18" si="21">1.04+J13</f>
        <v>1.5380399982710387</v>
      </c>
      <c r="K18" s="109">
        <f t="shared" si="21"/>
        <v>1.538377607649954</v>
      </c>
      <c r="L18" s="109">
        <f t="shared" si="21"/>
        <v>1.5636146720212549</v>
      </c>
      <c r="M18" s="109">
        <f t="shared" si="21"/>
        <v>1.527128590603579</v>
      </c>
      <c r="N18" s="109">
        <f t="shared" si="21"/>
        <v>1.5492237094452661</v>
      </c>
      <c r="O18" s="109">
        <f t="shared" si="21"/>
        <v>1.5559212021482514</v>
      </c>
      <c r="P18" s="109">
        <f t="shared" si="21"/>
        <v>1.5623727776587986</v>
      </c>
      <c r="Q18" s="109">
        <f t="shared" si="21"/>
        <v>1.5592397730865324</v>
      </c>
      <c r="R18" s="109">
        <f t="shared" si="21"/>
        <v>1.5728341266587909</v>
      </c>
      <c r="S18" s="109">
        <f t="shared" si="21"/>
        <v>1.5726056359042211</v>
      </c>
      <c r="T18" s="109">
        <f t="shared" si="21"/>
        <v>1.6288126603937045</v>
      </c>
      <c r="U18" s="109">
        <f t="shared" si="21"/>
        <v>1.6378248432487714</v>
      </c>
      <c r="V18" s="109">
        <f t="shared" si="21"/>
        <v>1.6431445697279625</v>
      </c>
      <c r="W18" s="109">
        <f t="shared" si="21"/>
        <v>1.6832146930494072</v>
      </c>
      <c r="X18" s="109">
        <f t="shared" si="21"/>
        <v>1.9392547148286845</v>
      </c>
      <c r="Y18" s="109">
        <f t="shared" si="21"/>
        <v>2.0057290714595726</v>
      </c>
      <c r="Z18" s="109">
        <f t="shared" si="21"/>
        <v>1.9043774860391154</v>
      </c>
      <c r="AA18" s="109">
        <f t="shared" si="21"/>
        <v>1.9731954790413533</v>
      </c>
      <c r="AB18" s="109">
        <f t="shared" si="21"/>
        <v>2.1835872134155792</v>
      </c>
      <c r="AC18" s="109">
        <f t="shared" si="21"/>
        <v>2.201539504689487</v>
      </c>
      <c r="AD18" s="109">
        <f t="shared" si="21"/>
        <v>2.2140000000000004</v>
      </c>
      <c r="AE18" s="109">
        <f t="shared" si="21"/>
        <v>2.2090000000000001</v>
      </c>
      <c r="AF18" s="109">
        <f t="shared" si="21"/>
        <v>2.1935000000000002</v>
      </c>
      <c r="AG18" s="109">
        <f t="shared" si="21"/>
        <v>2.1440000000000001</v>
      </c>
      <c r="AH18" s="109">
        <f t="shared" si="21"/>
        <v>2.1500000000000004</v>
      </c>
      <c r="AI18" s="109">
        <f t="shared" si="21"/>
        <v>2.1580000000000004</v>
      </c>
      <c r="AJ18" s="109">
        <f t="shared" si="21"/>
        <v>2.16</v>
      </c>
      <c r="AK18" s="109">
        <f t="shared" si="21"/>
        <v>2.141</v>
      </c>
      <c r="AL18" s="109">
        <f t="shared" si="21"/>
        <v>2.0983999999999998</v>
      </c>
      <c r="AM18" s="109">
        <f t="shared" si="21"/>
        <v>2.0390000000000001</v>
      </c>
      <c r="AN18" s="109">
        <f t="shared" si="21"/>
        <v>1.8940000000000001</v>
      </c>
      <c r="AO18" s="109">
        <f t="shared" si="21"/>
        <v>1.7625000000000002</v>
      </c>
      <c r="AP18" s="109">
        <f t="shared" si="21"/>
        <v>1.7520000000000002</v>
      </c>
      <c r="AQ18" s="109">
        <f t="shared" si="21"/>
        <v>1.7108000000000001</v>
      </c>
      <c r="AR18" s="109">
        <f t="shared" si="21"/>
        <v>1.6739999999999999</v>
      </c>
      <c r="AS18" s="109">
        <f t="shared" si="21"/>
        <v>1.677</v>
      </c>
      <c r="AT18" s="109">
        <f t="shared" si="21"/>
        <v>1.6800000000000002</v>
      </c>
      <c r="AU18" s="109">
        <f t="shared" si="21"/>
        <v>1.6768000000000001</v>
      </c>
      <c r="AV18" s="109">
        <f t="shared" si="21"/>
        <v>1.6475</v>
      </c>
      <c r="AW18" s="109">
        <f t="shared" si="21"/>
        <v>1.6459999999999999</v>
      </c>
      <c r="AX18" s="109">
        <f t="shared" si="21"/>
        <v>1.6300000000000001</v>
      </c>
      <c r="AY18" s="109">
        <f t="shared" si="21"/>
        <v>1.6300000000000001</v>
      </c>
      <c r="AZ18" s="109">
        <f t="shared" ref="AZ18:BJ18" si="22">1.04+AZ13</f>
        <v>1.6</v>
      </c>
      <c r="BA18" s="109">
        <f t="shared" si="22"/>
        <v>1.6</v>
      </c>
      <c r="BB18" s="109">
        <f t="shared" si="22"/>
        <v>1.59</v>
      </c>
      <c r="BC18" s="109">
        <f t="shared" si="22"/>
        <v>1.59</v>
      </c>
      <c r="BD18" s="109">
        <f t="shared" si="22"/>
        <v>1.59</v>
      </c>
      <c r="BE18" s="109">
        <f t="shared" si="22"/>
        <v>1.59</v>
      </c>
      <c r="BF18" s="109">
        <f t="shared" si="22"/>
        <v>1.59</v>
      </c>
      <c r="BG18" s="109">
        <f t="shared" si="22"/>
        <v>1.61</v>
      </c>
      <c r="BH18" s="109">
        <f t="shared" si="22"/>
        <v>1.61</v>
      </c>
      <c r="BI18" s="109">
        <f t="shared" si="22"/>
        <v>1.61</v>
      </c>
      <c r="BJ18" s="109">
        <f t="shared" si="22"/>
        <v>1.61</v>
      </c>
      <c r="BK18" s="109">
        <f t="shared" ref="BK18:BS18" si="23">1.04+BK13</f>
        <v>1.61</v>
      </c>
      <c r="BL18" s="109">
        <f t="shared" si="23"/>
        <v>1.61</v>
      </c>
      <c r="BM18" s="109">
        <f t="shared" si="23"/>
        <v>1.61</v>
      </c>
      <c r="BN18" s="109">
        <f t="shared" si="23"/>
        <v>1.61</v>
      </c>
      <c r="BO18" s="109">
        <f t="shared" si="23"/>
        <v>1.61</v>
      </c>
      <c r="BP18" s="109">
        <f t="shared" si="23"/>
        <v>1.6060000000000001</v>
      </c>
      <c r="BQ18" s="109">
        <f t="shared" si="23"/>
        <v>1.6060000000000001</v>
      </c>
      <c r="BR18" s="109">
        <f t="shared" si="23"/>
        <v>1.6060000000000001</v>
      </c>
      <c r="BS18" s="109">
        <f t="shared" si="23"/>
        <v>1.6060000000000001</v>
      </c>
      <c r="BT18" s="109">
        <f t="shared" ref="BT18:BY18" si="24">1.04+BT13</f>
        <v>1.6060000000000001</v>
      </c>
      <c r="BU18" s="109">
        <f t="shared" si="24"/>
        <v>1.6060000000000001</v>
      </c>
      <c r="BV18" s="109">
        <f t="shared" si="24"/>
        <v>1.6060000000000001</v>
      </c>
      <c r="BW18" s="109">
        <f t="shared" si="24"/>
        <v>1.6060000000000001</v>
      </c>
      <c r="BX18" s="109">
        <f t="shared" si="24"/>
        <v>1.6060000000000001</v>
      </c>
      <c r="BY18" s="109">
        <f t="shared" si="24"/>
        <v>1.6060000000000001</v>
      </c>
      <c r="BZ18" s="109">
        <f t="shared" ref="BZ18:CH18" si="25">1.04+BZ13</f>
        <v>1.6080000000000001</v>
      </c>
      <c r="CA18" s="109">
        <f t="shared" si="25"/>
        <v>1.6080000000000001</v>
      </c>
      <c r="CB18" s="109">
        <f t="shared" si="25"/>
        <v>1.6080000000000001</v>
      </c>
      <c r="CC18" s="109">
        <f t="shared" si="25"/>
        <v>1.6080000000000001</v>
      </c>
      <c r="CD18" s="109">
        <f t="shared" si="25"/>
        <v>1.6080000000000001</v>
      </c>
      <c r="CE18" s="109">
        <f t="shared" si="25"/>
        <v>1.6080000000000001</v>
      </c>
      <c r="CF18" s="109">
        <f t="shared" si="25"/>
        <v>1.6080000000000001</v>
      </c>
      <c r="CG18" s="109">
        <f t="shared" si="25"/>
        <v>1.6080000000000001</v>
      </c>
      <c r="CH18" s="109">
        <f t="shared" si="25"/>
        <v>1.6080000000000001</v>
      </c>
      <c r="CI18" s="109">
        <f t="shared" ref="CI18:CR18" si="26">1.04+CI13</f>
        <v>1.6080000000000001</v>
      </c>
      <c r="CJ18" s="109">
        <f t="shared" si="26"/>
        <v>1.6080000000000001</v>
      </c>
      <c r="CK18" s="109">
        <f t="shared" si="26"/>
        <v>1.6080000000000001</v>
      </c>
      <c r="CL18" s="109">
        <f t="shared" si="26"/>
        <v>1.6080000000000001</v>
      </c>
      <c r="CM18" s="109">
        <f t="shared" si="26"/>
        <v>1.6080000000000001</v>
      </c>
      <c r="CN18" s="109">
        <f t="shared" si="26"/>
        <v>1.6080000000000001</v>
      </c>
      <c r="CO18" s="109">
        <f t="shared" si="26"/>
        <v>1.6080000000000001</v>
      </c>
      <c r="CP18" s="109">
        <f t="shared" si="26"/>
        <v>1.6080000000000001</v>
      </c>
      <c r="CQ18" s="109">
        <f t="shared" si="26"/>
        <v>1.6080000000000001</v>
      </c>
      <c r="CR18" s="109">
        <f t="shared" si="26"/>
        <v>1.59</v>
      </c>
      <c r="CS18" s="109">
        <f>1.04+CS13</f>
        <v>1.59</v>
      </c>
      <c r="CT18" s="109">
        <f>1.04+CT13</f>
        <v>1.59</v>
      </c>
      <c r="CU18" s="109">
        <f>1.04+CU13</f>
        <v>1.59</v>
      </c>
      <c r="CV18" s="109">
        <f>1.04+CV13</f>
        <v>1.59</v>
      </c>
      <c r="CW18" s="109">
        <f>1.04+CW13</f>
        <v>1.59</v>
      </c>
      <c r="CX18" s="109">
        <f t="shared" ref="CX18:EM18" si="27">1.04+CX13</f>
        <v>1.59</v>
      </c>
      <c r="CY18" s="109">
        <f t="shared" si="27"/>
        <v>1.59</v>
      </c>
      <c r="CZ18" s="109">
        <f t="shared" si="27"/>
        <v>1.59</v>
      </c>
      <c r="DA18" s="109">
        <f t="shared" si="27"/>
        <v>1.59</v>
      </c>
      <c r="DB18" s="109">
        <f t="shared" si="27"/>
        <v>1.59</v>
      </c>
      <c r="DC18" s="109">
        <f t="shared" si="27"/>
        <v>1.59</v>
      </c>
      <c r="DD18" s="109">
        <f t="shared" si="27"/>
        <v>1.59</v>
      </c>
      <c r="DE18" s="109">
        <f t="shared" si="27"/>
        <v>1.59</v>
      </c>
      <c r="DF18" s="109">
        <f t="shared" si="27"/>
        <v>1.5780000000000001</v>
      </c>
      <c r="DG18" s="109">
        <f t="shared" si="27"/>
        <v>1.5780000000000001</v>
      </c>
      <c r="DH18" s="109">
        <f t="shared" si="27"/>
        <v>1.5780000000000001</v>
      </c>
      <c r="DI18" s="109">
        <f t="shared" si="27"/>
        <v>1.5780000000000001</v>
      </c>
      <c r="DJ18" s="109">
        <f t="shared" si="27"/>
        <v>1.5780000000000001</v>
      </c>
      <c r="DK18" s="109">
        <f t="shared" si="27"/>
        <v>1.5780000000000001</v>
      </c>
      <c r="DL18" s="109">
        <f t="shared" si="27"/>
        <v>1.59</v>
      </c>
      <c r="DM18" s="109">
        <f t="shared" si="27"/>
        <v>1.59</v>
      </c>
      <c r="DN18" s="109">
        <f t="shared" si="27"/>
        <v>1.59</v>
      </c>
      <c r="DO18" s="109">
        <f t="shared" si="27"/>
        <v>1.59</v>
      </c>
      <c r="DP18" s="109">
        <f t="shared" si="27"/>
        <v>1.59</v>
      </c>
      <c r="DQ18" s="109">
        <f t="shared" si="27"/>
        <v>1.59</v>
      </c>
      <c r="DR18" s="109">
        <f t="shared" si="27"/>
        <v>1.59</v>
      </c>
      <c r="DS18" s="109">
        <f t="shared" si="27"/>
        <v>1.59</v>
      </c>
      <c r="DT18" s="109">
        <f t="shared" si="27"/>
        <v>1.04</v>
      </c>
      <c r="DU18" s="109">
        <f t="shared" si="27"/>
        <v>1.04</v>
      </c>
      <c r="DV18" s="109">
        <f t="shared" si="27"/>
        <v>1.04</v>
      </c>
      <c r="DW18" s="109">
        <f t="shared" si="27"/>
        <v>1.04</v>
      </c>
      <c r="DX18" s="109">
        <f t="shared" si="27"/>
        <v>1.04</v>
      </c>
      <c r="DY18" s="109">
        <f t="shared" si="27"/>
        <v>1.04</v>
      </c>
      <c r="DZ18" s="109">
        <f t="shared" si="27"/>
        <v>1.04</v>
      </c>
      <c r="EA18" s="109">
        <f t="shared" si="27"/>
        <v>1.04</v>
      </c>
      <c r="EB18" s="109">
        <f t="shared" si="27"/>
        <v>1.04</v>
      </c>
      <c r="EC18" s="109">
        <f t="shared" si="27"/>
        <v>1.04</v>
      </c>
      <c r="ED18" s="109">
        <f t="shared" si="27"/>
        <v>1.04</v>
      </c>
      <c r="EE18" s="109">
        <f t="shared" si="27"/>
        <v>1.04</v>
      </c>
      <c r="EF18" s="109">
        <f t="shared" si="27"/>
        <v>1.04</v>
      </c>
      <c r="EG18" s="109">
        <f t="shared" si="27"/>
        <v>1.04</v>
      </c>
      <c r="EH18" s="109">
        <f t="shared" si="27"/>
        <v>1.04</v>
      </c>
      <c r="EI18" s="109">
        <f t="shared" si="27"/>
        <v>1.04</v>
      </c>
      <c r="EJ18" s="109">
        <f t="shared" si="27"/>
        <v>1.04</v>
      </c>
      <c r="EK18" s="109">
        <f t="shared" si="27"/>
        <v>1.04</v>
      </c>
      <c r="EL18" s="109">
        <f t="shared" si="27"/>
        <v>1.04</v>
      </c>
      <c r="EM18" s="109">
        <f t="shared" si="27"/>
        <v>1.04</v>
      </c>
    </row>
    <row r="1048576" spans="5:5">
      <c r="E1048576" s="60">
        <f>D1048576*C1048576</f>
        <v>0</v>
      </c>
    </row>
  </sheetData>
  <phoneticPr fontId="52" type="noConversion"/>
  <pageMargins left="0.7" right="0.7" top="0.75" bottom="0.75" header="0.3" footer="0.3"/>
  <pageSetup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4"/>
  <dimension ref="A1:ET15"/>
  <sheetViews>
    <sheetView zoomScale="90" zoomScaleNormal="90" workbookViewId="0">
      <pane xSplit="10" ySplit="6" topLeftCell="CL7" activePane="bottomRight" state="frozen"/>
      <selection pane="topRight" activeCell="K1" sqref="K1"/>
      <selection pane="bottomLeft" activeCell="A7" sqref="A7"/>
      <selection pane="bottomRight" activeCell="DA15" sqref="DA15"/>
    </sheetView>
  </sheetViews>
  <sheetFormatPr baseColWidth="10" defaultColWidth="22.6640625" defaultRowHeight="12"/>
  <cols>
    <col min="1" max="1" width="13.33203125" style="60" bestFit="1" customWidth="1"/>
    <col min="2" max="2" width="11.33203125" style="60" bestFit="1" customWidth="1"/>
    <col min="3" max="3" width="4.83203125" style="60" bestFit="1" customWidth="1"/>
    <col min="4" max="4" width="6.5" style="60" bestFit="1" customWidth="1"/>
    <col min="5" max="5" width="7.5" style="60" bestFit="1" customWidth="1"/>
    <col min="6" max="6" width="6.5" style="60" bestFit="1" customWidth="1"/>
    <col min="7" max="7" width="4.1640625" style="60" bestFit="1" customWidth="1"/>
    <col min="8" max="8" width="22.83203125" style="60" bestFit="1" customWidth="1"/>
    <col min="9" max="10" width="5.5" style="60" bestFit="1" customWidth="1"/>
    <col min="11" max="11" width="5.6640625" style="60" bestFit="1" customWidth="1"/>
    <col min="12" max="12" width="5.5" style="60" bestFit="1" customWidth="1"/>
    <col min="13" max="13" width="5.83203125" style="60" bestFit="1" customWidth="1"/>
    <col min="14" max="18" width="5.5" style="60" bestFit="1" customWidth="1"/>
    <col min="19" max="19" width="5.6640625" style="60" bestFit="1" customWidth="1"/>
    <col min="20" max="20" width="6.1640625" style="60" bestFit="1" customWidth="1"/>
    <col min="21" max="21" width="5.5" style="60" bestFit="1" customWidth="1"/>
    <col min="22" max="26" width="6.1640625" style="60" bestFit="1" customWidth="1"/>
    <col min="27" max="30" width="5.5" style="60" bestFit="1" customWidth="1"/>
    <col min="31" max="31" width="5.6640625" style="60" bestFit="1" customWidth="1"/>
    <col min="32" max="34" width="5.5" style="60" bestFit="1" customWidth="1"/>
    <col min="35" max="35" width="5.6640625" style="60" bestFit="1" customWidth="1"/>
    <col min="36" max="36" width="5.5" style="60" bestFit="1" customWidth="1"/>
    <col min="37" max="37" width="5.83203125" style="60" bestFit="1" customWidth="1"/>
    <col min="38" max="42" width="5.5" style="60" bestFit="1" customWidth="1"/>
    <col min="43" max="43" width="5.6640625" style="60" bestFit="1" customWidth="1"/>
    <col min="44" max="46" width="5.5" style="60" bestFit="1" customWidth="1"/>
    <col min="47" max="47" width="5.6640625" style="60" bestFit="1" customWidth="1"/>
    <col min="48" max="48" width="5.5" style="60" bestFit="1" customWidth="1"/>
    <col min="49" max="49" width="5.83203125" style="60" bestFit="1" customWidth="1"/>
    <col min="50" max="51" width="5.5" style="60" bestFit="1" customWidth="1"/>
    <col min="52" max="54" width="7" style="60" bestFit="1" customWidth="1"/>
    <col min="55" max="56" width="5.5" style="60" bestFit="1" customWidth="1"/>
    <col min="57" max="58" width="5.83203125" style="60" bestFit="1" customWidth="1"/>
    <col min="59" max="70" width="5.6640625" style="60" bestFit="1" customWidth="1"/>
    <col min="71" max="80" width="5.5" style="60" bestFit="1" customWidth="1"/>
    <col min="81" max="90" width="6.1640625" style="60" bestFit="1" customWidth="1"/>
    <col min="91" max="95" width="6.33203125" style="60" bestFit="1" customWidth="1"/>
    <col min="96" max="100" width="6.1640625" style="60" bestFit="1" customWidth="1"/>
    <col min="101" max="103" width="5.1640625" style="60" bestFit="1" customWidth="1"/>
    <col min="104" max="107" width="5.83203125" style="60" bestFit="1" customWidth="1"/>
    <col min="108" max="115" width="5.6640625" style="60" bestFit="1" customWidth="1"/>
    <col min="116" max="119" width="6.1640625" style="60" bestFit="1" customWidth="1"/>
    <col min="120" max="123" width="5.83203125" style="60" bestFit="1" customWidth="1"/>
    <col min="124" max="130" width="5.1640625" style="60" bestFit="1" customWidth="1"/>
    <col min="131" max="150" width="3.33203125" style="60" bestFit="1" customWidth="1"/>
    <col min="151" max="16384" width="22.6640625" style="60"/>
  </cols>
  <sheetData>
    <row r="1" spans="1:150" ht="39">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c r="EM1" s="99">
        <v>141</v>
      </c>
      <c r="EN1" s="99">
        <v>142</v>
      </c>
      <c r="EO1" s="99">
        <v>143</v>
      </c>
      <c r="EP1" s="99">
        <v>144</v>
      </c>
      <c r="EQ1" s="99">
        <v>145</v>
      </c>
      <c r="ER1" s="99">
        <v>146</v>
      </c>
      <c r="ES1" s="99">
        <v>147</v>
      </c>
      <c r="ET1" s="99">
        <v>148</v>
      </c>
    </row>
    <row r="2" spans="1:150" ht="13">
      <c r="A2" s="100" t="s">
        <v>671</v>
      </c>
      <c r="B2" s="112" t="s">
        <v>672</v>
      </c>
      <c r="C2" s="101">
        <v>1</v>
      </c>
      <c r="D2" s="112">
        <v>60.094999999999999</v>
      </c>
      <c r="E2" s="60">
        <f>D2*C2</f>
        <v>60.094999999999999</v>
      </c>
      <c r="K2" s="102"/>
      <c r="M2" s="102"/>
    </row>
    <row r="3" spans="1:150">
      <c r="A3" s="36"/>
      <c r="B3" s="64"/>
      <c r="D3" s="100"/>
      <c r="E3" s="64"/>
      <c r="F3" s="103"/>
    </row>
    <row r="4" spans="1:150">
      <c r="A4" s="64"/>
      <c r="B4" s="64"/>
      <c r="D4" s="64"/>
      <c r="E4" s="64"/>
      <c r="H4" s="60" t="s">
        <v>387</v>
      </c>
    </row>
    <row r="5" spans="1:150">
      <c r="A5" s="74"/>
      <c r="B5" s="74"/>
    </row>
    <row r="6" spans="1:150">
      <c r="A6" s="59"/>
      <c r="B6" s="59"/>
      <c r="C6" s="59"/>
      <c r="D6" s="98"/>
      <c r="E6" s="98"/>
      <c r="F6" s="59"/>
      <c r="H6" s="59" t="s">
        <v>416</v>
      </c>
      <c r="I6" s="59">
        <v>43831</v>
      </c>
      <c r="J6" s="59">
        <v>43862</v>
      </c>
      <c r="K6" s="59">
        <v>43891</v>
      </c>
      <c r="L6" s="59">
        <v>43922</v>
      </c>
      <c r="M6" s="59">
        <v>43952</v>
      </c>
      <c r="N6" s="59">
        <v>43983</v>
      </c>
      <c r="O6" s="59">
        <v>44013</v>
      </c>
      <c r="P6" s="59">
        <v>44044</v>
      </c>
      <c r="Q6" s="59">
        <v>44075</v>
      </c>
      <c r="R6" s="59">
        <v>44105</v>
      </c>
      <c r="S6" s="59">
        <v>44136</v>
      </c>
      <c r="T6" s="59">
        <v>44166</v>
      </c>
      <c r="U6" s="59">
        <v>44197</v>
      </c>
      <c r="V6" s="59">
        <v>44228</v>
      </c>
      <c r="W6" s="59">
        <v>44256</v>
      </c>
      <c r="X6" s="59">
        <v>44287</v>
      </c>
      <c r="Y6" s="59">
        <v>44317</v>
      </c>
      <c r="Z6" s="59">
        <v>44348</v>
      </c>
      <c r="AA6" s="59">
        <v>44378</v>
      </c>
      <c r="AB6" s="59">
        <v>44409</v>
      </c>
      <c r="AC6" s="59">
        <v>44440</v>
      </c>
      <c r="AD6" s="59">
        <v>44470</v>
      </c>
      <c r="AE6" s="59">
        <v>44501</v>
      </c>
      <c r="AF6" s="59">
        <v>44531</v>
      </c>
      <c r="AG6" s="59">
        <v>44562</v>
      </c>
      <c r="AH6" s="59">
        <v>44593</v>
      </c>
      <c r="AI6" s="59">
        <v>44621</v>
      </c>
      <c r="AJ6" s="59">
        <v>44652</v>
      </c>
      <c r="AK6" s="59">
        <v>44682</v>
      </c>
      <c r="AL6" s="59">
        <v>44713</v>
      </c>
      <c r="AM6" s="59">
        <v>44743</v>
      </c>
      <c r="AN6" s="59">
        <v>44774</v>
      </c>
      <c r="AO6" s="59">
        <v>44805</v>
      </c>
      <c r="AP6" s="59">
        <v>44835</v>
      </c>
      <c r="AQ6" s="59">
        <v>44866</v>
      </c>
      <c r="AR6" s="59">
        <v>44896</v>
      </c>
      <c r="AS6" s="59">
        <v>44927</v>
      </c>
      <c r="AT6" s="59">
        <v>44958</v>
      </c>
      <c r="AU6" s="59">
        <v>44986</v>
      </c>
      <c r="AV6" s="59">
        <v>45017</v>
      </c>
      <c r="AW6" s="59">
        <v>45047</v>
      </c>
      <c r="AX6" s="59">
        <v>45078</v>
      </c>
      <c r="AY6" s="59">
        <v>45108</v>
      </c>
      <c r="AZ6" s="59" t="s">
        <v>530</v>
      </c>
      <c r="BA6" s="59" t="s">
        <v>531</v>
      </c>
      <c r="BB6" s="59" t="s">
        <v>532</v>
      </c>
      <c r="BC6" s="84">
        <v>37104</v>
      </c>
      <c r="BD6" s="84">
        <v>37469</v>
      </c>
      <c r="BE6" s="59" t="s">
        <v>168</v>
      </c>
      <c r="BF6" s="59" t="s">
        <v>169</v>
      </c>
      <c r="BG6" s="59" t="s">
        <v>421</v>
      </c>
      <c r="BH6" s="59" t="s">
        <v>422</v>
      </c>
      <c r="BI6" s="59" t="s">
        <v>423</v>
      </c>
      <c r="BJ6" s="59" t="s">
        <v>424</v>
      </c>
      <c r="BK6" s="59" t="s">
        <v>435</v>
      </c>
      <c r="BL6" s="59" t="s">
        <v>436</v>
      </c>
      <c r="BM6" s="59" t="s">
        <v>437</v>
      </c>
      <c r="BN6" s="59" t="s">
        <v>438</v>
      </c>
      <c r="BO6" s="59">
        <v>37196</v>
      </c>
      <c r="BP6" s="59">
        <v>37561</v>
      </c>
      <c r="BQ6" s="59">
        <v>37926</v>
      </c>
      <c r="BR6" s="59">
        <v>38292</v>
      </c>
      <c r="BS6" s="59">
        <v>37226</v>
      </c>
      <c r="BT6" s="59">
        <v>37591</v>
      </c>
      <c r="BU6" s="59">
        <v>37956</v>
      </c>
      <c r="BV6" s="59">
        <v>38322</v>
      </c>
      <c r="BW6" s="59">
        <v>36892</v>
      </c>
      <c r="BX6" s="59">
        <v>37257</v>
      </c>
      <c r="BY6" s="59">
        <v>37622</v>
      </c>
      <c r="BZ6" s="59">
        <v>37987</v>
      </c>
      <c r="CA6" s="59">
        <v>36923</v>
      </c>
      <c r="CB6" s="59">
        <v>37288</v>
      </c>
      <c r="CC6" s="59">
        <v>37653</v>
      </c>
      <c r="CD6" s="59">
        <v>38018</v>
      </c>
      <c r="CE6" s="59" t="str">
        <f>Sheet8!A15</f>
        <v>Mar-w1</v>
      </c>
      <c r="CF6" s="59">
        <v>37316</v>
      </c>
      <c r="CG6" s="59">
        <v>37681</v>
      </c>
      <c r="CH6" s="59">
        <v>38047</v>
      </c>
      <c r="CI6" s="59" t="str">
        <f>Sheet8!E15</f>
        <v>Apr-w1</v>
      </c>
      <c r="CJ6" s="59" t="str">
        <f>Sheet8!F15</f>
        <v>Apr-w2</v>
      </c>
      <c r="CK6" s="59" t="str">
        <f>Sheet8!G15</f>
        <v>Apr-w3</v>
      </c>
      <c r="CL6" s="59" t="str">
        <f>Sheet8!H15</f>
        <v>Apr-w4</v>
      </c>
      <c r="CM6" s="59" t="str">
        <f>Sheet8!I15</f>
        <v>May-w1</v>
      </c>
      <c r="CN6" s="59" t="str">
        <f>Sheet8!J15</f>
        <v>May-w2</v>
      </c>
      <c r="CO6" s="59" t="str">
        <f>Sheet8!K15</f>
        <v>May-w3</v>
      </c>
      <c r="CP6" s="59" t="str">
        <f>Sheet8!L15</f>
        <v>May-w4</v>
      </c>
      <c r="CQ6" s="59" t="str">
        <f>Sheet8!M15</f>
        <v>May-w5</v>
      </c>
      <c r="CR6" s="59" t="str">
        <f>Sheet8!N15</f>
        <v>june-w1</v>
      </c>
      <c r="CS6" s="59" t="str">
        <f>Sheet8!O15</f>
        <v>june-w2</v>
      </c>
      <c r="CT6" s="59" t="str">
        <f>Sheet8!P15</f>
        <v>june-w3</v>
      </c>
      <c r="CU6" s="59" t="str">
        <f>Sheet8!Q15</f>
        <v>june-w4</v>
      </c>
      <c r="CV6" s="59" t="str">
        <f>Sheet8!R15</f>
        <v>Jul-w1</v>
      </c>
      <c r="CW6" s="59" t="str">
        <f>Sheet8!S15</f>
        <v>Jul-w2</v>
      </c>
      <c r="CX6" s="59" t="str">
        <f>Sheet8!T15</f>
        <v>Jul-w3</v>
      </c>
      <c r="CY6" s="59" t="str">
        <f>Sheet8!U15</f>
        <v>Jul-w4</v>
      </c>
      <c r="CZ6" s="59" t="str">
        <f>Sheet8!V15</f>
        <v>Aug-w1</v>
      </c>
      <c r="DA6" s="59" t="str">
        <f>Sheet8!W15</f>
        <v>Aug-w2</v>
      </c>
      <c r="DB6" s="59" t="str">
        <f>Sheet8!X15</f>
        <v>Aug-w3</v>
      </c>
      <c r="DC6" s="59" t="str">
        <f>Sheet8!Y15</f>
        <v>Aug-w4</v>
      </c>
      <c r="DD6" s="59" t="str">
        <f>Sheet8!Z15</f>
        <v>Sep-w1</v>
      </c>
      <c r="DE6" s="59" t="str">
        <f>Sheet8!AA15</f>
        <v>Sep-w2</v>
      </c>
      <c r="DF6" s="59" t="str">
        <f>Sheet8!AB15</f>
        <v>Sep-w3</v>
      </c>
      <c r="DG6" s="59" t="str">
        <f>Sheet8!AC15</f>
        <v>Sep-w4</v>
      </c>
      <c r="DH6" s="59" t="str">
        <f>Sheet8!AD15</f>
        <v>Oct-w1</v>
      </c>
      <c r="DI6" s="59" t="str">
        <f>Sheet8!AE15</f>
        <v>Oct-w2</v>
      </c>
      <c r="DJ6" s="59" t="str">
        <f>Sheet8!AF15</f>
        <v>Oct-w3</v>
      </c>
      <c r="DK6" s="59" t="str">
        <f>Sheet8!AG15</f>
        <v>Oct-w4</v>
      </c>
      <c r="DL6" s="59" t="str">
        <f>Sheet8!AH15</f>
        <v>Nov-w1</v>
      </c>
      <c r="DM6" s="59" t="str">
        <f>Sheet8!AI15</f>
        <v>Nov-w2</v>
      </c>
      <c r="DN6" s="59" t="str">
        <f>Sheet8!AJ15</f>
        <v>Nov-w3</v>
      </c>
      <c r="DO6" s="59" t="str">
        <f>Sheet8!AK15</f>
        <v>Nov-w4</v>
      </c>
      <c r="DP6" s="59" t="str">
        <f>Sheet8!AL15</f>
        <v>Dec-w1</v>
      </c>
      <c r="DQ6" s="59" t="str">
        <f>Sheet8!AM15</f>
        <v>Dec-w2</v>
      </c>
      <c r="DR6" s="59" t="str">
        <f>Sheet8!AN15</f>
        <v>Dec-w3</v>
      </c>
      <c r="DS6" s="59" t="str">
        <f>Sheet8!AO15</f>
        <v>Dec-w4</v>
      </c>
      <c r="DT6" s="59">
        <f>Sheet8!AP15</f>
        <v>0</v>
      </c>
      <c r="DU6" s="59">
        <f>Sheet8!AQ15</f>
        <v>0</v>
      </c>
      <c r="DV6" s="59">
        <f>Sheet8!AR15</f>
        <v>0</v>
      </c>
      <c r="DW6" s="59">
        <f>Sheet8!AS15</f>
        <v>0</v>
      </c>
      <c r="DX6" s="59">
        <f>Sheet8!AT15</f>
        <v>0</v>
      </c>
      <c r="DY6" s="59">
        <f>Sheet8!AU15</f>
        <v>0</v>
      </c>
      <c r="DZ6" s="59">
        <f>Sheet8!AV15</f>
        <v>0</v>
      </c>
    </row>
    <row r="7" spans="1:150">
      <c r="F7" s="60" t="s">
        <v>651</v>
      </c>
      <c r="H7" s="30" t="s">
        <v>64</v>
      </c>
      <c r="I7" s="74">
        <f>VLOOKUP($H$7&amp;$F$1,'Input RM sheet'!$A:$BD,H1,0)</f>
        <v>684</v>
      </c>
      <c r="J7" s="74">
        <f>VLOOKUP($H$7&amp;$F$1,'Input RM sheet'!$A:$BD,I1,0)</f>
        <v>706.3</v>
      </c>
      <c r="K7" s="74">
        <f>VLOOKUP($H$7&amp;$F$1,'Input RM sheet'!$A:$BD,J1,0)</f>
        <v>643.79999999999995</v>
      </c>
      <c r="L7" s="74">
        <f>VLOOKUP($H$7&amp;$F$1,'Input RM sheet'!$A:$BD,K1,0)</f>
        <v>590</v>
      </c>
      <c r="M7" s="74">
        <f>VLOOKUP($H$7&amp;$F$1,'Input RM sheet'!$A:$BD,L1,0)</f>
        <v>784</v>
      </c>
      <c r="N7" s="74">
        <f>VLOOKUP($H$7&amp;$F$1,'Input RM sheet'!$A:$BD,M1,0)</f>
        <v>928.8</v>
      </c>
      <c r="O7" s="74">
        <f>VLOOKUP($H$7&amp;$F$1,'Input RM sheet'!$A:$BD,N1,0)</f>
        <v>953.5</v>
      </c>
      <c r="P7" s="74">
        <f>VLOOKUP($H$7&amp;$F$1,'Input RM sheet'!$A:$BD,O1,0)</f>
        <v>892.5</v>
      </c>
      <c r="Q7" s="74">
        <f>VLOOKUP($H$7&amp;$F$1,'Input RM sheet'!$A:$BD,P1,0)</f>
        <v>885</v>
      </c>
      <c r="R7" s="74">
        <f>VLOOKUP($H$7&amp;$F$1,'Input RM sheet'!$A:$BD,Q1,0)</f>
        <v>908</v>
      </c>
      <c r="S7" s="74">
        <f>VLOOKUP($H$7&amp;$F$1,'Input RM sheet'!$A:$BD,R1,0)</f>
        <v>963.8</v>
      </c>
      <c r="T7" s="74">
        <f>VLOOKUP($H$7&amp;$F$1,'Input RM sheet'!$A:$BD,S1,0)</f>
        <v>1053.8</v>
      </c>
      <c r="U7" s="74">
        <f>VLOOKUP($H$7&amp;$F$1,'Input RM sheet'!$A:$BD,T1,0)</f>
        <v>992.5</v>
      </c>
      <c r="V7" s="74">
        <f>VLOOKUP($H$7&amp;$F$1,'Input RM sheet'!$A:$BD,U1,0)</f>
        <v>1085</v>
      </c>
      <c r="W7" s="74">
        <f>VLOOKUP($H$7&amp;$F$1,'Input RM sheet'!$A:$BD,V1,0)</f>
        <v>1280</v>
      </c>
      <c r="X7" s="74">
        <f>VLOOKUP($H$7&amp;$F$1,'Input RM sheet'!$A:$BD,W1,0)</f>
        <v>1305</v>
      </c>
      <c r="Y7" s="74">
        <f>VLOOKUP($H$7&amp;$F$1,'Input RM sheet'!$A:$BD,X1,0)</f>
        <v>1237.5</v>
      </c>
      <c r="Z7" s="74">
        <f>VLOOKUP($H$7&amp;$F$1,'Input RM sheet'!$A:$BD,Y1,0)</f>
        <v>1028.8</v>
      </c>
      <c r="AA7" s="74">
        <f>VLOOKUP($H$7&amp;$F$1,'Input RM sheet'!$A:$BD,Z1,0)</f>
        <v>864</v>
      </c>
      <c r="AB7" s="74">
        <f>VLOOKUP($H$7&amp;$F$1,'Input RM sheet'!$A:$BD,AA1,0)</f>
        <v>822.5</v>
      </c>
      <c r="AC7" s="74">
        <f>VLOOKUP($H$7&amp;$F$1,'Input RM sheet'!$A:$BD,AB1,0)</f>
        <v>839</v>
      </c>
      <c r="AD7" s="74">
        <f>VLOOKUP($H$7&amp;$F$1,'Input RM sheet'!$A:$BD,AC1,0)</f>
        <v>902</v>
      </c>
      <c r="AE7" s="74">
        <f>VLOOKUP($H$7&amp;$F$1,'Input RM sheet'!$A:$BD,AD1,0)</f>
        <v>893.8</v>
      </c>
      <c r="AF7" s="74">
        <f>VLOOKUP($H$7&amp;$F$1,'Input RM sheet'!$A:$BD,AE1,0)</f>
        <v>835</v>
      </c>
      <c r="AG7" s="74">
        <f>VLOOKUP($H$7&amp;$F$1,'Input RM sheet'!$A:$BD,AF1,0)</f>
        <v>822.5</v>
      </c>
      <c r="AH7" s="74">
        <f>VLOOKUP($H$7&amp;$F$1,'Input RM sheet'!$A:$BD,AG1,0)</f>
        <v>875</v>
      </c>
      <c r="AI7" s="74">
        <f>VLOOKUP($H$7&amp;$F$1,'Input RM sheet'!$A:$BD,AH1,0)</f>
        <v>986.3</v>
      </c>
      <c r="AJ7" s="74">
        <f>VLOOKUP($H$7&amp;$F$1,'Input RM sheet'!$A:$BD,AI1,0)</f>
        <v>962</v>
      </c>
      <c r="AK7" s="74">
        <f>VLOOKUP($H$7&amp;$F$1,'Input RM sheet'!$A:$BD,AJ1,0)</f>
        <v>955</v>
      </c>
      <c r="AL7" s="74">
        <f>VLOOKUP($H$7&amp;$F$1,'Input RM sheet'!$A:$BD,AK1,0)</f>
        <v>960</v>
      </c>
      <c r="AM7" s="74">
        <f>VLOOKUP($H$7&amp;$F$1,'Input RM sheet'!$A:$BD,AL1,0)</f>
        <v>952</v>
      </c>
      <c r="AN7" s="74">
        <f>VLOOKUP($H$7&amp;$F$1,'Input RM sheet'!$A:$BD,AM1,0)</f>
        <v>875</v>
      </c>
      <c r="AO7" s="74">
        <f>VLOOKUP($H$7&amp;$F$1,'Input RM sheet'!$A:$BD,AN1,0)</f>
        <v>837.5</v>
      </c>
      <c r="AP7" s="74">
        <f>VLOOKUP($H$7&amp;$F$1,'Input RM sheet'!$A:$BD,AO1,0)</f>
        <v>818.8</v>
      </c>
      <c r="AQ7" s="74">
        <f>VLOOKUP($H$7&amp;$F$1,'Input RM sheet'!$A:$BD,AP1,0)</f>
        <v>785</v>
      </c>
      <c r="AR7" s="74">
        <f>VLOOKUP($H$7&amp;$F$1,'Input RM sheet'!$A:$BD,AQ1,0)</f>
        <v>790</v>
      </c>
      <c r="AS7" s="74">
        <f>VLOOKUP($H$7&amp;$F$1,'Input RM sheet'!$A:$BD,AR1,0)</f>
        <v>790</v>
      </c>
      <c r="AT7" s="74">
        <f>VLOOKUP($H$7&amp;$F$1,'Input RM sheet'!$A:$BD,AS1,0)</f>
        <v>833.8</v>
      </c>
      <c r="AU7" s="74">
        <f>VLOOKUP($H$7&amp;$F$1,'Input RM sheet'!$A:$BD,AT1,0)</f>
        <v>915</v>
      </c>
      <c r="AV7" s="74">
        <f>VLOOKUP($H$7&amp;$F$1,'Input RM sheet'!$A:$BD,AU1,0)</f>
        <v>915</v>
      </c>
      <c r="AW7" s="74">
        <f>VLOOKUP($H$7&amp;$F$1,'Input RM sheet'!$A:$BD,AV1,0)</f>
        <v>932.5</v>
      </c>
      <c r="AX7" s="74">
        <f>VLOOKUP($H$7&amp;$F$1,'Input RM sheet'!$A:$BD,AW1,0)</f>
        <v>922.5</v>
      </c>
      <c r="AY7" s="74">
        <f>VLOOKUP($H$7&amp;$F$1,'Input RM sheet'!$A:$BD,AX1,0)</f>
        <v>800</v>
      </c>
      <c r="AZ7" s="74">
        <f>VLOOKUP($H$7&amp;$F$1,'Input RM sheet'!$A:$BD,AY1,0)</f>
        <v>815</v>
      </c>
      <c r="BA7" s="74">
        <f>VLOOKUP($H$7&amp;$F$1,'Input RM sheet'!$A:$BD,AZ1,0)</f>
        <v>815</v>
      </c>
      <c r="BB7" s="74">
        <f>VLOOKUP($H$7&amp;$F$1,'Input RM sheet'!$A:$BD,BA1,0)</f>
        <v>825</v>
      </c>
      <c r="BC7" s="74">
        <f>VLOOKUP($H$7&amp;$F$1,'Input RM sheet'!$A:$BD,BB1,0)</f>
        <v>845</v>
      </c>
      <c r="BD7" s="74">
        <f>VLOOKUP($H$7&amp;$F$1,'Input RM sheet'!$A:$BD,BC1,0)</f>
        <v>860</v>
      </c>
      <c r="BE7" s="74">
        <f>VLOOKUP($H$7&amp;$F$1,'Input RM sheet'!$A:$BD,BD1,0)</f>
        <v>865</v>
      </c>
      <c r="BF7" s="74">
        <f>VLOOKUP($H$7&amp;$F$1,'Input RM sheet'!$A:$DD,BE1,0)</f>
        <v>865</v>
      </c>
      <c r="BG7" s="74">
        <f>VLOOKUP($H$7&amp;$F$1,'Input RM sheet'!$A:$DD,BF1,0)</f>
        <v>865</v>
      </c>
      <c r="BH7" s="74">
        <f>VLOOKUP($H$7&amp;$F$1,'Input RM sheet'!$A:$DD,BG1,0)</f>
        <v>875</v>
      </c>
      <c r="BI7" s="74">
        <f>VLOOKUP($H$7&amp;$F$1,'Input RM sheet'!$A:$DD,BH1,0)</f>
        <v>875</v>
      </c>
      <c r="BJ7" s="74">
        <f>VLOOKUP($H$7&amp;$F$1,'Input RM sheet'!$A:$DD,BI1,0)</f>
        <v>925</v>
      </c>
      <c r="BK7" s="74">
        <f>VLOOKUP($H$7&amp;$F$1,'Input RM sheet'!$A:$DD,BJ1,0)</f>
        <v>940</v>
      </c>
      <c r="BL7" s="74">
        <f>VLOOKUP($H$7&amp;$F$1,'Input RM sheet'!$A:$DD,BK1,0)</f>
        <v>950</v>
      </c>
      <c r="BM7" s="74">
        <f>VLOOKUP($H$7&amp;$F$1,'Input RM sheet'!$A:$DD,BL1,0)</f>
        <v>920</v>
      </c>
      <c r="BN7" s="74">
        <f>VLOOKUP($H$7&amp;$F$1,'Input RM sheet'!$A:$DD,BM1,0)</f>
        <v>920</v>
      </c>
      <c r="BO7" s="74">
        <f>VLOOKUP($H$7&amp;$F$1,'Input RM sheet'!$A:$DD,BN1,0)</f>
        <v>920</v>
      </c>
      <c r="BP7" s="74">
        <f>VLOOKUP($H$7&amp;$F$1,'Input RM sheet'!$A:$DD,BO1,0)</f>
        <v>930</v>
      </c>
      <c r="BQ7" s="74">
        <f>VLOOKUP($H$7&amp;$F$1,'Input RM sheet'!$A:$DD,BP1,0)</f>
        <v>930</v>
      </c>
      <c r="BR7" s="74">
        <f>VLOOKUP($H$7&amp;$F$1,'Input RM sheet'!$A:$DD,BQ1,0)</f>
        <v>930</v>
      </c>
      <c r="BS7" s="74">
        <f>VLOOKUP($H$7&amp;$F$1,'Input RM sheet'!$A:$DD,BR1,0)</f>
        <v>905</v>
      </c>
      <c r="BT7" s="74">
        <f>VLOOKUP($H$7&amp;$F$1,'Input RM sheet'!$A:$DD,BS1,0)</f>
        <v>905</v>
      </c>
      <c r="BU7" s="74">
        <f>VLOOKUP($H$7&amp;$F$1,'Input RM sheet'!$A:$DD,BT1,0)</f>
        <v>905</v>
      </c>
      <c r="BV7" s="74">
        <f>VLOOKUP($H$7&amp;$F$1,'Input RM sheet'!$A:$DD,BU1,0)</f>
        <v>905</v>
      </c>
      <c r="BW7" s="74">
        <f>VLOOKUP($H$7&amp;$F$1,'Input RM sheet'!$A:$DD,BV1,0)</f>
        <v>930</v>
      </c>
      <c r="BX7" s="74">
        <f>VLOOKUP($H$7&amp;$F$1,'Input RM sheet'!$A:$DD,BW1,0)</f>
        <v>925</v>
      </c>
      <c r="BY7" s="74">
        <f>VLOOKUP($H$7&amp;$F$1,'Input RM sheet'!$A:$DD,BX1,0)</f>
        <v>925</v>
      </c>
      <c r="BZ7" s="74">
        <f>VLOOKUP($H$7&amp;$F$1,'Input RM sheet'!$A:$DD,BY1,0)</f>
        <v>960</v>
      </c>
      <c r="CA7" s="74">
        <f>VLOOKUP($H$7&amp;$F$1,'Input RM sheet'!$A:$DD,BZ1,0)</f>
        <v>960</v>
      </c>
      <c r="CB7" s="74">
        <f>VLOOKUP($H$7&amp;$F$1,'Input RM sheet'!$A:$DD,CA1,0)</f>
        <v>980</v>
      </c>
      <c r="CC7" s="74">
        <f>VLOOKUP($H$7&amp;$F$1,'Input RM sheet'!$A:$DD,CB1,0)</f>
        <v>1030</v>
      </c>
      <c r="CD7" s="74">
        <f>VLOOKUP($H$7&amp;$F$1,'Input RM sheet'!$A:$DD,CC1,0)</f>
        <v>1030</v>
      </c>
      <c r="CE7" s="74">
        <f>VLOOKUP($H$7&amp;$F$1,'Input RM sheet'!$A:$DD,CD1,0)</f>
        <v>1030</v>
      </c>
      <c r="CF7" s="74">
        <f>VLOOKUP($H$7&amp;$F$1,'Input RM sheet'!$A:$DD,CE1,0)</f>
        <v>1030</v>
      </c>
      <c r="CG7" s="74">
        <f>VLOOKUP($H$7&amp;$F$1,'Input RM sheet'!$A:$DD,CF1,0)</f>
        <v>1040</v>
      </c>
      <c r="CH7" s="74">
        <f>VLOOKUP($H$7&amp;$F$1,'Input RM sheet'!$A:$DD,CG1,0)</f>
        <v>1040</v>
      </c>
      <c r="CI7" s="74">
        <f>VLOOKUP($H$7&amp;$F$1,'Input RM sheet'!$A:$DD,CH1,0)</f>
        <v>1040</v>
      </c>
      <c r="CJ7" s="74">
        <f>VLOOKUP($H$7&amp;$F$1,'Input RM sheet'!$A:$DD,CI1,0)</f>
        <v>1040</v>
      </c>
      <c r="CK7" s="74">
        <f>VLOOKUP($H$7&amp;$F$1,'Input RM sheet'!$A:$DD,CJ1,0)</f>
        <v>1040</v>
      </c>
      <c r="CL7" s="74">
        <f>VLOOKUP($H$7&amp;$F$1,'Input RM sheet'!$A:$DD,CK1,0)</f>
        <v>1060</v>
      </c>
      <c r="CM7" s="74">
        <f>VLOOKUP($H$7&amp;$F$1,'Input RM sheet'!$A:$DD,CL1,0)</f>
        <v>1060</v>
      </c>
      <c r="CN7" s="74">
        <f>VLOOKUP($H$7&amp;$F$1,'Input RM sheet'!$A:$DD,CM1,0)</f>
        <v>1070</v>
      </c>
      <c r="CO7" s="74">
        <f>VLOOKUP($H$7&amp;$F$1,'Input RM sheet'!$A:$DD,CN1,0)</f>
        <v>1070</v>
      </c>
      <c r="CP7" s="74">
        <f>VLOOKUP($H$7&amp;$F$1,'Input RM sheet'!$A:$DD,CO1,0)</f>
        <v>1070</v>
      </c>
      <c r="CQ7" s="74">
        <f>VLOOKUP($H$7&amp;$F$1,'Input RM sheet'!$A:$DD,CP1,0)</f>
        <v>1070</v>
      </c>
      <c r="CR7" s="74">
        <f>VLOOKUP($H$7&amp;$F$1,'Input RM sheet'!$A:$DD,CQ1,0)</f>
        <v>1070</v>
      </c>
      <c r="CS7" s="74">
        <f>VLOOKUP($H$7&amp;$F$1,'Input RM sheet'!$A:$DD,CR1,0)</f>
        <v>1065</v>
      </c>
      <c r="CT7" s="74">
        <f>VLOOKUP($H$7&amp;$F$1,'Input RM sheet'!$A:$ZZ,CS1,0)</f>
        <v>1075</v>
      </c>
      <c r="CU7" s="74">
        <f>VLOOKUP($H$7&amp;$F$1,'Input RM sheet'!$A:$ZZ,CT1,0)</f>
        <v>1070</v>
      </c>
      <c r="CV7" s="74">
        <f>VLOOKUP($H$7&amp;$F$1,'Input RM sheet'!$A:$ZZ,CU1,0)</f>
        <v>1070</v>
      </c>
      <c r="CW7" s="74">
        <f>VLOOKUP($H$7&amp;$F$1,'Input RM sheet'!$A:$ZZ,CV1,0)</f>
        <v>1070</v>
      </c>
      <c r="CX7" s="74">
        <f>VLOOKUP($H$7&amp;$F$1,'Input RM sheet'!$A:$ZZ,CW1,0)</f>
        <v>1040</v>
      </c>
      <c r="CY7" s="74">
        <f>VLOOKUP($H$7&amp;$F$1,'Input RM sheet'!$A:$ZZ,CX1,0)</f>
        <v>1020</v>
      </c>
      <c r="CZ7" s="74">
        <f>VLOOKUP($H$7&amp;$F$1,'Input RM sheet'!$A:$ZZ,CY1,0)</f>
        <v>1020</v>
      </c>
      <c r="DA7" s="74">
        <f>VLOOKUP($H$7&amp;$F$1,'Input RM sheet'!$A:$ZZ,CZ1,0)</f>
        <v>1020</v>
      </c>
      <c r="DB7" s="74">
        <f>VLOOKUP($H$7&amp;$F$1,'Input RM sheet'!$A:$ZZ,DA1,0)</f>
        <v>1020</v>
      </c>
      <c r="DC7" s="74">
        <f>VLOOKUP($H$7&amp;$F$1,'Input RM sheet'!$A:$ZZ,DB1,0)</f>
        <v>1012.5</v>
      </c>
      <c r="DD7" s="74">
        <f>VLOOKUP($H$7&amp;$F$1,'Input RM sheet'!$A:$ZZ,DC1,0)</f>
        <v>960</v>
      </c>
      <c r="DE7" s="74">
        <f>VLOOKUP($H$7&amp;$F$1,'Input RM sheet'!$A:$ZZ,DD1,0)</f>
        <v>955</v>
      </c>
      <c r="DF7" s="74">
        <f>VLOOKUP($H$7&amp;$F$1,'Input RM sheet'!$A:$ZZ,DE1,0)</f>
        <v>875</v>
      </c>
      <c r="DG7" s="74">
        <f>VLOOKUP($H$7&amp;$F$1,'Input RM sheet'!$A:$ZZ,DF1,0)</f>
        <v>850</v>
      </c>
      <c r="DH7" s="74">
        <f>VLOOKUP($H$7&amp;$F$1,'Input RM sheet'!$A:$ZZ,DG1,0)</f>
        <v>865</v>
      </c>
      <c r="DI7" s="74">
        <f>VLOOKUP($H$7&amp;$F$1,'Input RM sheet'!$A:$ZZ,DH1,0)</f>
        <v>855</v>
      </c>
      <c r="DJ7" s="74">
        <f>VLOOKUP($H$7&amp;$F$1,'Input RM sheet'!$A:$ZZ,DI1,0)</f>
        <v>840</v>
      </c>
      <c r="DK7" s="74">
        <f>VLOOKUP($H$7&amp;$F$1,'Input RM sheet'!$A:$ZZ,DJ1,0)</f>
        <v>840</v>
      </c>
      <c r="DL7" s="74">
        <f>VLOOKUP($H$7&amp;$F$1,'Input RM sheet'!$A:$ZZ,DK1,0)</f>
        <v>840</v>
      </c>
      <c r="DM7" s="74">
        <f>VLOOKUP($H$7&amp;$F$1,'Input RM sheet'!$A:$ZZ,DL1,0)</f>
        <v>820</v>
      </c>
      <c r="DN7" s="74">
        <f>VLOOKUP($H$7&amp;$F$1,'Input RM sheet'!$A:$ZZ,DM1,0)</f>
        <v>790</v>
      </c>
      <c r="DO7" s="74">
        <f>VLOOKUP($H$7&amp;$F$1,'Input RM sheet'!$A:$ZZ,DN1,0)</f>
        <v>780</v>
      </c>
      <c r="DP7" s="74">
        <f>VLOOKUP($H$7&amp;$F$1,'Input RM sheet'!$A:$ZZ,DO1,0)</f>
        <v>780</v>
      </c>
      <c r="DQ7" s="74">
        <f>VLOOKUP($H$7&amp;$F$1,'Input RM sheet'!$A:$ZZ,DP1,0)</f>
        <v>760</v>
      </c>
      <c r="DR7" s="74">
        <f>VLOOKUP($H$7&amp;$F$1,'Input RM sheet'!$A:$ZZ,DQ1,0)</f>
        <v>750</v>
      </c>
      <c r="DS7" s="74">
        <f>VLOOKUP($H$7&amp;$F$1,'Input RM sheet'!$A:$ZZ,DR1,0)</f>
        <v>745</v>
      </c>
      <c r="DT7" s="74">
        <f>VLOOKUP($H$7&amp;$F$1,'Input RM sheet'!$A:$ZZ,DS1,0)</f>
        <v>0</v>
      </c>
      <c r="DU7" s="74">
        <f>VLOOKUP($H$7&amp;$F$1,'Input RM sheet'!$A:$ZZ,DT1,0)</f>
        <v>0</v>
      </c>
      <c r="DV7" s="74">
        <f>VLOOKUP($H$7&amp;$F$1,'Input RM sheet'!$A:$ZZ,DU1,0)</f>
        <v>0</v>
      </c>
      <c r="DW7" s="74">
        <f>VLOOKUP($H$7&amp;$F$1,'Input RM sheet'!$A:$ZZ,DV1,0)</f>
        <v>0</v>
      </c>
      <c r="DX7" s="74">
        <f>VLOOKUP($H$7&amp;$F$1,'Input RM sheet'!$A:$ZZ,DW1,0)</f>
        <v>0</v>
      </c>
      <c r="DY7" s="74">
        <f>VLOOKUP($H$7&amp;$F$1,'Input RM sheet'!$A:$ZZ,DX1,0)</f>
        <v>0</v>
      </c>
      <c r="DZ7" s="74">
        <f>VLOOKUP($H$7&amp;$F$1,'Input RM sheet'!$A:$ZZ,DY1,0)</f>
        <v>0</v>
      </c>
    </row>
    <row r="8" spans="1:150" ht="39">
      <c r="A8" s="59" t="s">
        <v>395</v>
      </c>
      <c r="B8" s="59"/>
      <c r="C8" s="59" t="s">
        <v>379</v>
      </c>
      <c r="D8" s="98" t="s">
        <v>380</v>
      </c>
      <c r="E8" s="98" t="s">
        <v>381</v>
      </c>
      <c r="F8" s="59" t="s">
        <v>396</v>
      </c>
      <c r="I8" s="84"/>
      <c r="J8" s="84"/>
      <c r="K8" s="84"/>
      <c r="L8" s="84"/>
      <c r="M8" s="84"/>
      <c r="N8" s="84"/>
      <c r="O8" s="84"/>
      <c r="P8" s="84"/>
      <c r="Q8" s="84"/>
      <c r="R8" s="84"/>
      <c r="S8" s="84"/>
      <c r="T8" s="84"/>
      <c r="U8" s="84"/>
      <c r="V8" s="84"/>
      <c r="W8" s="84"/>
      <c r="X8" s="84"/>
      <c r="Y8" s="84"/>
      <c r="Z8" s="84"/>
      <c r="AA8" s="84"/>
      <c r="AB8" s="84"/>
      <c r="AC8" s="84"/>
      <c r="AD8" s="84"/>
      <c r="AE8" s="84"/>
      <c r="AF8" s="84"/>
      <c r="AG8" s="84"/>
      <c r="AH8" s="84"/>
      <c r="AI8" s="84"/>
      <c r="AJ8" s="84"/>
      <c r="AK8" s="84"/>
      <c r="AL8" s="84"/>
      <c r="AM8" s="84"/>
      <c r="AN8" s="84"/>
      <c r="AO8" s="84"/>
      <c r="AP8" s="84"/>
      <c r="AQ8" s="84"/>
      <c r="AR8" s="84"/>
      <c r="AS8" s="84"/>
      <c r="AT8" s="84"/>
      <c r="AU8" s="84"/>
      <c r="AV8" s="84"/>
      <c r="AW8" s="84"/>
      <c r="AX8" s="84"/>
      <c r="AY8" s="84"/>
      <c r="AZ8" s="84"/>
      <c r="BA8" s="84"/>
      <c r="BB8" s="84"/>
      <c r="BC8" s="84"/>
      <c r="BD8" s="84"/>
      <c r="BE8" s="84"/>
      <c r="BF8" s="84"/>
      <c r="BG8" s="84"/>
    </row>
    <row r="9" spans="1:150" ht="13">
      <c r="A9" s="107" t="s">
        <v>397</v>
      </c>
      <c r="B9" s="30" t="s">
        <v>64</v>
      </c>
      <c r="C9" s="60">
        <v>1</v>
      </c>
      <c r="D9" s="60">
        <v>58.08</v>
      </c>
      <c r="E9" s="60">
        <v>58.08</v>
      </c>
      <c r="F9" s="65">
        <v>1.1000000000000001</v>
      </c>
      <c r="H9" s="60" t="s">
        <v>399</v>
      </c>
      <c r="I9" s="74">
        <f>$F$9*(I7/1000)</f>
        <v>0.75240000000000007</v>
      </c>
      <c r="J9" s="74">
        <f>$F$9*(J7/1000)</f>
        <v>0.77693000000000001</v>
      </c>
      <c r="K9" s="74">
        <f t="shared" ref="K9:BD9" si="0">$F$9*(K7/1000)</f>
        <v>0.70818000000000003</v>
      </c>
      <c r="L9" s="74">
        <f t="shared" si="0"/>
        <v>0.64900000000000002</v>
      </c>
      <c r="M9" s="74">
        <f t="shared" si="0"/>
        <v>0.86240000000000006</v>
      </c>
      <c r="N9" s="74">
        <f t="shared" si="0"/>
        <v>1.0216800000000001</v>
      </c>
      <c r="O9" s="74">
        <f t="shared" si="0"/>
        <v>1.0488500000000001</v>
      </c>
      <c r="P9" s="74">
        <f t="shared" si="0"/>
        <v>0.98175000000000001</v>
      </c>
      <c r="Q9" s="74">
        <f t="shared" si="0"/>
        <v>0.97350000000000014</v>
      </c>
      <c r="R9" s="74">
        <f t="shared" si="0"/>
        <v>0.99880000000000013</v>
      </c>
      <c r="S9" s="74">
        <f t="shared" si="0"/>
        <v>1.0601800000000001</v>
      </c>
      <c r="T9" s="74">
        <f t="shared" si="0"/>
        <v>1.1591799999999999</v>
      </c>
      <c r="U9" s="74">
        <f t="shared" si="0"/>
        <v>1.0917500000000002</v>
      </c>
      <c r="V9" s="74">
        <f t="shared" si="0"/>
        <v>1.1935</v>
      </c>
      <c r="W9" s="74">
        <f t="shared" si="0"/>
        <v>1.4080000000000001</v>
      </c>
      <c r="X9" s="74">
        <f t="shared" si="0"/>
        <v>1.4355</v>
      </c>
      <c r="Y9" s="74">
        <f t="shared" si="0"/>
        <v>1.3612500000000001</v>
      </c>
      <c r="Z9" s="74">
        <f t="shared" si="0"/>
        <v>1.13168</v>
      </c>
      <c r="AA9" s="74">
        <f t="shared" si="0"/>
        <v>0.95040000000000002</v>
      </c>
      <c r="AB9" s="74">
        <f t="shared" si="0"/>
        <v>0.90475000000000005</v>
      </c>
      <c r="AC9" s="74">
        <f t="shared" si="0"/>
        <v>0.92290000000000005</v>
      </c>
      <c r="AD9" s="74">
        <f t="shared" si="0"/>
        <v>0.99220000000000008</v>
      </c>
      <c r="AE9" s="74">
        <f t="shared" si="0"/>
        <v>0.98318000000000005</v>
      </c>
      <c r="AF9" s="74">
        <f t="shared" si="0"/>
        <v>0.91849999999999998</v>
      </c>
      <c r="AG9" s="74">
        <f t="shared" si="0"/>
        <v>0.90475000000000005</v>
      </c>
      <c r="AH9" s="74">
        <f t="shared" si="0"/>
        <v>0.96250000000000013</v>
      </c>
      <c r="AI9" s="74">
        <f t="shared" si="0"/>
        <v>1.0849299999999999</v>
      </c>
      <c r="AJ9" s="74">
        <f t="shared" si="0"/>
        <v>1.0582</v>
      </c>
      <c r="AK9" s="74">
        <f t="shared" si="0"/>
        <v>1.0505</v>
      </c>
      <c r="AL9" s="74">
        <f t="shared" si="0"/>
        <v>1.056</v>
      </c>
      <c r="AM9" s="74">
        <f t="shared" si="0"/>
        <v>1.0472000000000001</v>
      </c>
      <c r="AN9" s="74">
        <f t="shared" si="0"/>
        <v>0.96250000000000013</v>
      </c>
      <c r="AO9" s="74">
        <f t="shared" si="0"/>
        <v>0.92125000000000012</v>
      </c>
      <c r="AP9" s="74">
        <f t="shared" si="0"/>
        <v>0.90068000000000004</v>
      </c>
      <c r="AQ9" s="74">
        <f t="shared" si="0"/>
        <v>0.86350000000000016</v>
      </c>
      <c r="AR9" s="74">
        <f t="shared" si="0"/>
        <v>0.86900000000000011</v>
      </c>
      <c r="AS9" s="74">
        <f t="shared" si="0"/>
        <v>0.86900000000000011</v>
      </c>
      <c r="AT9" s="74">
        <f t="shared" si="0"/>
        <v>0.91718000000000011</v>
      </c>
      <c r="AU9" s="74">
        <f t="shared" si="0"/>
        <v>1.0065000000000002</v>
      </c>
      <c r="AV9" s="74">
        <f t="shared" si="0"/>
        <v>1.0065000000000002</v>
      </c>
      <c r="AW9" s="74">
        <f t="shared" si="0"/>
        <v>1.0257500000000002</v>
      </c>
      <c r="AX9" s="74">
        <f t="shared" si="0"/>
        <v>1.01475</v>
      </c>
      <c r="AY9" s="74">
        <f t="shared" si="0"/>
        <v>0.88000000000000012</v>
      </c>
      <c r="AZ9" s="74">
        <f t="shared" si="0"/>
        <v>0.89649999999999996</v>
      </c>
      <c r="BA9" s="74">
        <f t="shared" si="0"/>
        <v>0.89649999999999996</v>
      </c>
      <c r="BB9" s="74">
        <f t="shared" si="0"/>
        <v>0.90749999999999997</v>
      </c>
      <c r="BC9" s="74">
        <f t="shared" si="0"/>
        <v>0.92949999999999999</v>
      </c>
      <c r="BD9" s="74">
        <f t="shared" si="0"/>
        <v>0.94600000000000006</v>
      </c>
      <c r="BE9" s="74">
        <f t="shared" ref="BE9:BO9" si="1">$F$9*(BE7/1000)</f>
        <v>0.95150000000000001</v>
      </c>
      <c r="BF9" s="74">
        <f t="shared" si="1"/>
        <v>0.95150000000000001</v>
      </c>
      <c r="BG9" s="74">
        <f t="shared" si="1"/>
        <v>0.95150000000000001</v>
      </c>
      <c r="BH9" s="74">
        <f t="shared" si="1"/>
        <v>0.96250000000000013</v>
      </c>
      <c r="BI9" s="74">
        <f t="shared" si="1"/>
        <v>0.96250000000000013</v>
      </c>
      <c r="BJ9" s="74">
        <f t="shared" si="1"/>
        <v>1.0175000000000001</v>
      </c>
      <c r="BK9" s="74">
        <f t="shared" si="1"/>
        <v>1.034</v>
      </c>
      <c r="BL9" s="74">
        <f t="shared" si="1"/>
        <v>1.0449999999999999</v>
      </c>
      <c r="BM9" s="74">
        <f t="shared" si="1"/>
        <v>1.0120000000000002</v>
      </c>
      <c r="BN9" s="74">
        <f t="shared" si="1"/>
        <v>1.0120000000000002</v>
      </c>
      <c r="BO9" s="74">
        <f t="shared" si="1"/>
        <v>1.0120000000000002</v>
      </c>
      <c r="BP9" s="74">
        <f t="shared" ref="BP9:BV9" si="2">$F$9*(BP7/1000)</f>
        <v>1.0230000000000001</v>
      </c>
      <c r="BQ9" s="74">
        <f t="shared" si="2"/>
        <v>1.0230000000000001</v>
      </c>
      <c r="BR9" s="74">
        <f t="shared" si="2"/>
        <v>1.0230000000000001</v>
      </c>
      <c r="BS9" s="74">
        <f t="shared" si="2"/>
        <v>0.99550000000000016</v>
      </c>
      <c r="BT9" s="74">
        <f t="shared" si="2"/>
        <v>0.99550000000000016</v>
      </c>
      <c r="BU9" s="74">
        <f t="shared" si="2"/>
        <v>0.99550000000000016</v>
      </c>
      <c r="BV9" s="74">
        <f t="shared" si="2"/>
        <v>0.99550000000000016</v>
      </c>
      <c r="BW9" s="74">
        <f>$F$9*(BW7/1000)</f>
        <v>1.0230000000000001</v>
      </c>
      <c r="BX9" s="74">
        <f>$F$9*(BX7/1000)</f>
        <v>1.0175000000000001</v>
      </c>
      <c r="BY9" s="74">
        <f>$F$9*(BY7/1000)</f>
        <v>1.0175000000000001</v>
      </c>
      <c r="BZ9" s="74">
        <f>$F$9*(BZ7/1000)</f>
        <v>1.056</v>
      </c>
      <c r="CA9" s="74">
        <f t="shared" ref="CA9:CH9" si="3">$F$9*(CA7/1000)</f>
        <v>1.056</v>
      </c>
      <c r="CB9" s="74">
        <f t="shared" si="3"/>
        <v>1.0780000000000001</v>
      </c>
      <c r="CC9" s="74">
        <f t="shared" si="3"/>
        <v>1.1330000000000002</v>
      </c>
      <c r="CD9" s="74">
        <f t="shared" si="3"/>
        <v>1.1330000000000002</v>
      </c>
      <c r="CE9" s="74">
        <f t="shared" si="3"/>
        <v>1.1330000000000002</v>
      </c>
      <c r="CF9" s="74">
        <f t="shared" si="3"/>
        <v>1.1330000000000002</v>
      </c>
      <c r="CG9" s="74">
        <f t="shared" si="3"/>
        <v>1.1440000000000001</v>
      </c>
      <c r="CH9" s="74">
        <f t="shared" si="3"/>
        <v>1.1440000000000001</v>
      </c>
      <c r="CI9" s="74">
        <f t="shared" ref="CI9:CT9" si="4">$F$9*(CI7/1000)</f>
        <v>1.1440000000000001</v>
      </c>
      <c r="CJ9" s="74">
        <f t="shared" si="4"/>
        <v>1.1440000000000001</v>
      </c>
      <c r="CK9" s="74">
        <f t="shared" si="4"/>
        <v>1.1440000000000001</v>
      </c>
      <c r="CL9" s="74">
        <f t="shared" si="4"/>
        <v>1.1660000000000001</v>
      </c>
      <c r="CM9" s="74">
        <f t="shared" si="4"/>
        <v>1.1660000000000001</v>
      </c>
      <c r="CN9" s="74">
        <f t="shared" si="4"/>
        <v>1.1770000000000003</v>
      </c>
      <c r="CO9" s="74">
        <f t="shared" si="4"/>
        <v>1.1770000000000003</v>
      </c>
      <c r="CP9" s="74">
        <f t="shared" si="4"/>
        <v>1.1770000000000003</v>
      </c>
      <c r="CQ9" s="74">
        <f t="shared" si="4"/>
        <v>1.1770000000000003</v>
      </c>
      <c r="CR9" s="74">
        <f t="shared" si="4"/>
        <v>1.1770000000000003</v>
      </c>
      <c r="CS9" s="74">
        <f t="shared" si="4"/>
        <v>1.1715</v>
      </c>
      <c r="CT9" s="74">
        <f t="shared" si="4"/>
        <v>1.1825000000000001</v>
      </c>
      <c r="CU9" s="74">
        <f>$F$9*(CU7/1000)</f>
        <v>1.1770000000000003</v>
      </c>
      <c r="CV9" s="74">
        <f>$F$9*(CV7/1000)</f>
        <v>1.1770000000000003</v>
      </c>
      <c r="CW9" s="74">
        <f>$F$9*(CW7/1000)</f>
        <v>1.1770000000000003</v>
      </c>
      <c r="CX9" s="74">
        <f>$F$9*(CX7/1000)</f>
        <v>1.1440000000000001</v>
      </c>
      <c r="CY9" s="74">
        <f>$F$9*(CY7/1000)</f>
        <v>1.1220000000000001</v>
      </c>
      <c r="CZ9" s="74">
        <f t="shared" ref="CZ9:DZ9" si="5">$F$9*(CZ7/1000)</f>
        <v>1.1220000000000001</v>
      </c>
      <c r="DA9" s="74">
        <f t="shared" si="5"/>
        <v>1.1220000000000001</v>
      </c>
      <c r="DB9" s="74">
        <f t="shared" si="5"/>
        <v>1.1220000000000001</v>
      </c>
      <c r="DC9" s="74">
        <f t="shared" si="5"/>
        <v>1.11375</v>
      </c>
      <c r="DD9" s="74">
        <f t="shared" si="5"/>
        <v>1.056</v>
      </c>
      <c r="DE9" s="74">
        <f t="shared" si="5"/>
        <v>1.0505</v>
      </c>
      <c r="DF9" s="74">
        <f t="shared" si="5"/>
        <v>0.96250000000000013</v>
      </c>
      <c r="DG9" s="74">
        <f t="shared" si="5"/>
        <v>0.93500000000000005</v>
      </c>
      <c r="DH9" s="74">
        <f t="shared" si="5"/>
        <v>0.95150000000000001</v>
      </c>
      <c r="DI9" s="74">
        <f t="shared" si="5"/>
        <v>0.9405</v>
      </c>
      <c r="DJ9" s="74">
        <f t="shared" si="5"/>
        <v>0.92400000000000004</v>
      </c>
      <c r="DK9" s="74">
        <f t="shared" si="5"/>
        <v>0.92400000000000004</v>
      </c>
      <c r="DL9" s="74">
        <f t="shared" si="5"/>
        <v>0.92400000000000004</v>
      </c>
      <c r="DM9" s="74">
        <f t="shared" si="5"/>
        <v>0.90200000000000002</v>
      </c>
      <c r="DN9" s="74">
        <f t="shared" si="5"/>
        <v>0.86900000000000011</v>
      </c>
      <c r="DO9" s="74">
        <f t="shared" si="5"/>
        <v>0.8580000000000001</v>
      </c>
      <c r="DP9" s="74">
        <f t="shared" si="5"/>
        <v>0.8580000000000001</v>
      </c>
      <c r="DQ9" s="74">
        <f t="shared" si="5"/>
        <v>0.83600000000000008</v>
      </c>
      <c r="DR9" s="74">
        <f t="shared" si="5"/>
        <v>0.82500000000000007</v>
      </c>
      <c r="DS9" s="74">
        <f t="shared" si="5"/>
        <v>0.81950000000000001</v>
      </c>
      <c r="DT9" s="74">
        <f t="shared" si="5"/>
        <v>0</v>
      </c>
      <c r="DU9" s="74">
        <f t="shared" si="5"/>
        <v>0</v>
      </c>
      <c r="DV9" s="74">
        <f t="shared" si="5"/>
        <v>0</v>
      </c>
      <c r="DW9" s="74">
        <f t="shared" si="5"/>
        <v>0</v>
      </c>
      <c r="DX9" s="74">
        <f t="shared" si="5"/>
        <v>0</v>
      </c>
      <c r="DY9" s="74">
        <f t="shared" si="5"/>
        <v>0</v>
      </c>
      <c r="DZ9" s="74">
        <f t="shared" si="5"/>
        <v>0</v>
      </c>
    </row>
    <row r="10" spans="1:150" s="104" customFormat="1">
      <c r="A10" s="104" t="s">
        <v>400</v>
      </c>
      <c r="H10" s="60"/>
      <c r="I10" s="105">
        <f>SUM(I9:I9)</f>
        <v>0.75240000000000007</v>
      </c>
      <c r="J10" s="105">
        <f>SUM(J9:J9)</f>
        <v>0.77693000000000001</v>
      </c>
      <c r="K10" s="105">
        <f t="shared" ref="K10:BD10" si="6">SUM(K9:K9)</f>
        <v>0.70818000000000003</v>
      </c>
      <c r="L10" s="105">
        <f t="shared" si="6"/>
        <v>0.64900000000000002</v>
      </c>
      <c r="M10" s="105">
        <f t="shared" si="6"/>
        <v>0.86240000000000006</v>
      </c>
      <c r="N10" s="105">
        <f t="shared" si="6"/>
        <v>1.0216800000000001</v>
      </c>
      <c r="O10" s="105">
        <f t="shared" si="6"/>
        <v>1.0488500000000001</v>
      </c>
      <c r="P10" s="105">
        <f t="shared" si="6"/>
        <v>0.98175000000000001</v>
      </c>
      <c r="Q10" s="105">
        <f t="shared" si="6"/>
        <v>0.97350000000000014</v>
      </c>
      <c r="R10" s="105">
        <f t="shared" si="6"/>
        <v>0.99880000000000013</v>
      </c>
      <c r="S10" s="105">
        <f t="shared" si="6"/>
        <v>1.0601800000000001</v>
      </c>
      <c r="T10" s="105">
        <f t="shared" si="6"/>
        <v>1.1591799999999999</v>
      </c>
      <c r="U10" s="105">
        <f t="shared" si="6"/>
        <v>1.0917500000000002</v>
      </c>
      <c r="V10" s="105">
        <f t="shared" si="6"/>
        <v>1.1935</v>
      </c>
      <c r="W10" s="105">
        <f t="shared" si="6"/>
        <v>1.4080000000000001</v>
      </c>
      <c r="X10" s="105">
        <f t="shared" si="6"/>
        <v>1.4355</v>
      </c>
      <c r="Y10" s="105">
        <f t="shared" si="6"/>
        <v>1.3612500000000001</v>
      </c>
      <c r="Z10" s="105">
        <f t="shared" si="6"/>
        <v>1.13168</v>
      </c>
      <c r="AA10" s="105">
        <f t="shared" si="6"/>
        <v>0.95040000000000002</v>
      </c>
      <c r="AB10" s="105">
        <f t="shared" si="6"/>
        <v>0.90475000000000005</v>
      </c>
      <c r="AC10" s="105">
        <f t="shared" si="6"/>
        <v>0.92290000000000005</v>
      </c>
      <c r="AD10" s="105">
        <f t="shared" si="6"/>
        <v>0.99220000000000008</v>
      </c>
      <c r="AE10" s="105">
        <f t="shared" si="6"/>
        <v>0.98318000000000005</v>
      </c>
      <c r="AF10" s="105">
        <f t="shared" si="6"/>
        <v>0.91849999999999998</v>
      </c>
      <c r="AG10" s="105">
        <f t="shared" si="6"/>
        <v>0.90475000000000005</v>
      </c>
      <c r="AH10" s="105">
        <f t="shared" si="6"/>
        <v>0.96250000000000013</v>
      </c>
      <c r="AI10" s="105">
        <f t="shared" si="6"/>
        <v>1.0849299999999999</v>
      </c>
      <c r="AJ10" s="105">
        <f t="shared" si="6"/>
        <v>1.0582</v>
      </c>
      <c r="AK10" s="105">
        <f t="shared" si="6"/>
        <v>1.0505</v>
      </c>
      <c r="AL10" s="105">
        <f t="shared" si="6"/>
        <v>1.056</v>
      </c>
      <c r="AM10" s="105">
        <f t="shared" si="6"/>
        <v>1.0472000000000001</v>
      </c>
      <c r="AN10" s="105">
        <f t="shared" si="6"/>
        <v>0.96250000000000013</v>
      </c>
      <c r="AO10" s="105">
        <f t="shared" si="6"/>
        <v>0.92125000000000012</v>
      </c>
      <c r="AP10" s="105">
        <f t="shared" si="6"/>
        <v>0.90068000000000004</v>
      </c>
      <c r="AQ10" s="105">
        <f t="shared" si="6"/>
        <v>0.86350000000000016</v>
      </c>
      <c r="AR10" s="105">
        <f t="shared" si="6"/>
        <v>0.86900000000000011</v>
      </c>
      <c r="AS10" s="105">
        <f t="shared" si="6"/>
        <v>0.86900000000000011</v>
      </c>
      <c r="AT10" s="105">
        <f t="shared" si="6"/>
        <v>0.91718000000000011</v>
      </c>
      <c r="AU10" s="105">
        <f t="shared" si="6"/>
        <v>1.0065000000000002</v>
      </c>
      <c r="AV10" s="105">
        <f t="shared" si="6"/>
        <v>1.0065000000000002</v>
      </c>
      <c r="AW10" s="105">
        <f t="shared" si="6"/>
        <v>1.0257500000000002</v>
      </c>
      <c r="AX10" s="105">
        <f t="shared" si="6"/>
        <v>1.01475</v>
      </c>
      <c r="AY10" s="105">
        <f t="shared" si="6"/>
        <v>0.88000000000000012</v>
      </c>
      <c r="AZ10" s="105">
        <f t="shared" si="6"/>
        <v>0.89649999999999996</v>
      </c>
      <c r="BA10" s="105">
        <f t="shared" si="6"/>
        <v>0.89649999999999996</v>
      </c>
      <c r="BB10" s="105">
        <f t="shared" si="6"/>
        <v>0.90749999999999997</v>
      </c>
      <c r="BC10" s="105">
        <f t="shared" si="6"/>
        <v>0.92949999999999999</v>
      </c>
      <c r="BD10" s="105">
        <f t="shared" si="6"/>
        <v>0.94600000000000006</v>
      </c>
      <c r="BE10" s="105">
        <f t="shared" ref="BE10:BO10" si="7">SUM(BE9:BE9)</f>
        <v>0.95150000000000001</v>
      </c>
      <c r="BF10" s="105">
        <f t="shared" si="7"/>
        <v>0.95150000000000001</v>
      </c>
      <c r="BG10" s="105">
        <f t="shared" si="7"/>
        <v>0.95150000000000001</v>
      </c>
      <c r="BH10" s="105">
        <f t="shared" si="7"/>
        <v>0.96250000000000013</v>
      </c>
      <c r="BI10" s="105">
        <f t="shared" si="7"/>
        <v>0.96250000000000013</v>
      </c>
      <c r="BJ10" s="105">
        <f t="shared" si="7"/>
        <v>1.0175000000000001</v>
      </c>
      <c r="BK10" s="105">
        <f t="shared" si="7"/>
        <v>1.034</v>
      </c>
      <c r="BL10" s="105">
        <f t="shared" si="7"/>
        <v>1.0449999999999999</v>
      </c>
      <c r="BM10" s="105">
        <f t="shared" si="7"/>
        <v>1.0120000000000002</v>
      </c>
      <c r="BN10" s="105">
        <f t="shared" si="7"/>
        <v>1.0120000000000002</v>
      </c>
      <c r="BO10" s="105">
        <f t="shared" si="7"/>
        <v>1.0120000000000002</v>
      </c>
      <c r="BP10" s="105">
        <f t="shared" ref="BP10:BV10" si="8">SUM(BP9:BP9)</f>
        <v>1.0230000000000001</v>
      </c>
      <c r="BQ10" s="105">
        <f t="shared" si="8"/>
        <v>1.0230000000000001</v>
      </c>
      <c r="BR10" s="105">
        <f t="shared" si="8"/>
        <v>1.0230000000000001</v>
      </c>
      <c r="BS10" s="105">
        <f t="shared" si="8"/>
        <v>0.99550000000000016</v>
      </c>
      <c r="BT10" s="105">
        <f t="shared" si="8"/>
        <v>0.99550000000000016</v>
      </c>
      <c r="BU10" s="105">
        <f t="shared" si="8"/>
        <v>0.99550000000000016</v>
      </c>
      <c r="BV10" s="105">
        <f t="shared" si="8"/>
        <v>0.99550000000000016</v>
      </c>
      <c r="BW10" s="105">
        <f>SUM(BW9:BW9)</f>
        <v>1.0230000000000001</v>
      </c>
      <c r="BX10" s="105">
        <f>SUM(BX9:BX9)</f>
        <v>1.0175000000000001</v>
      </c>
      <c r="BY10" s="105">
        <f>SUM(BY9:BY9)</f>
        <v>1.0175000000000001</v>
      </c>
      <c r="BZ10" s="105">
        <f>SUM(BZ9:BZ9)</f>
        <v>1.056</v>
      </c>
      <c r="CA10" s="105">
        <f t="shared" ref="CA10:CH10" si="9">SUM(CA9:CA9)</f>
        <v>1.056</v>
      </c>
      <c r="CB10" s="105">
        <f t="shared" si="9"/>
        <v>1.0780000000000001</v>
      </c>
      <c r="CC10" s="105">
        <f t="shared" si="9"/>
        <v>1.1330000000000002</v>
      </c>
      <c r="CD10" s="105">
        <f t="shared" si="9"/>
        <v>1.1330000000000002</v>
      </c>
      <c r="CE10" s="105">
        <f t="shared" si="9"/>
        <v>1.1330000000000002</v>
      </c>
      <c r="CF10" s="105">
        <f t="shared" si="9"/>
        <v>1.1330000000000002</v>
      </c>
      <c r="CG10" s="105">
        <f t="shared" si="9"/>
        <v>1.1440000000000001</v>
      </c>
      <c r="CH10" s="105">
        <f t="shared" si="9"/>
        <v>1.1440000000000001</v>
      </c>
      <c r="CI10" s="105">
        <f t="shared" ref="CI10:CT10" si="10">SUM(CI9:CI9)</f>
        <v>1.1440000000000001</v>
      </c>
      <c r="CJ10" s="105">
        <f t="shared" si="10"/>
        <v>1.1440000000000001</v>
      </c>
      <c r="CK10" s="105">
        <f t="shared" si="10"/>
        <v>1.1440000000000001</v>
      </c>
      <c r="CL10" s="105">
        <f t="shared" si="10"/>
        <v>1.1660000000000001</v>
      </c>
      <c r="CM10" s="105">
        <f t="shared" si="10"/>
        <v>1.1660000000000001</v>
      </c>
      <c r="CN10" s="105">
        <f t="shared" si="10"/>
        <v>1.1770000000000003</v>
      </c>
      <c r="CO10" s="105">
        <f t="shared" si="10"/>
        <v>1.1770000000000003</v>
      </c>
      <c r="CP10" s="105">
        <f t="shared" si="10"/>
        <v>1.1770000000000003</v>
      </c>
      <c r="CQ10" s="105">
        <f t="shared" si="10"/>
        <v>1.1770000000000003</v>
      </c>
      <c r="CR10" s="105">
        <f t="shared" si="10"/>
        <v>1.1770000000000003</v>
      </c>
      <c r="CS10" s="105">
        <f t="shared" si="10"/>
        <v>1.1715</v>
      </c>
      <c r="CT10" s="105">
        <f t="shared" si="10"/>
        <v>1.1825000000000001</v>
      </c>
      <c r="CU10" s="105">
        <f>SUM(CU9:CU9)</f>
        <v>1.1770000000000003</v>
      </c>
      <c r="CV10" s="105">
        <f>SUM(CV9:CV9)</f>
        <v>1.1770000000000003</v>
      </c>
      <c r="CW10" s="105">
        <f>SUM(CW9:CW9)</f>
        <v>1.1770000000000003</v>
      </c>
      <c r="CX10" s="105">
        <f>SUM(CX9:CX9)</f>
        <v>1.1440000000000001</v>
      </c>
      <c r="CY10" s="105">
        <f>SUM(CY9:CY9)</f>
        <v>1.1220000000000001</v>
      </c>
      <c r="CZ10" s="105">
        <f t="shared" ref="CZ10:DZ10" si="11">SUM(CZ9:CZ9)</f>
        <v>1.1220000000000001</v>
      </c>
      <c r="DA10" s="105">
        <f t="shared" si="11"/>
        <v>1.1220000000000001</v>
      </c>
      <c r="DB10" s="105">
        <f t="shared" si="11"/>
        <v>1.1220000000000001</v>
      </c>
      <c r="DC10" s="105">
        <f t="shared" si="11"/>
        <v>1.11375</v>
      </c>
      <c r="DD10" s="105">
        <f t="shared" si="11"/>
        <v>1.056</v>
      </c>
      <c r="DE10" s="105">
        <f t="shared" si="11"/>
        <v>1.0505</v>
      </c>
      <c r="DF10" s="105">
        <f t="shared" si="11"/>
        <v>0.96250000000000013</v>
      </c>
      <c r="DG10" s="105">
        <f t="shared" si="11"/>
        <v>0.93500000000000005</v>
      </c>
      <c r="DH10" s="105">
        <f t="shared" si="11"/>
        <v>0.95150000000000001</v>
      </c>
      <c r="DI10" s="105">
        <f t="shared" si="11"/>
        <v>0.9405</v>
      </c>
      <c r="DJ10" s="105">
        <f t="shared" si="11"/>
        <v>0.92400000000000004</v>
      </c>
      <c r="DK10" s="105">
        <f t="shared" si="11"/>
        <v>0.92400000000000004</v>
      </c>
      <c r="DL10" s="105">
        <f t="shared" si="11"/>
        <v>0.92400000000000004</v>
      </c>
      <c r="DM10" s="105">
        <f t="shared" si="11"/>
        <v>0.90200000000000002</v>
      </c>
      <c r="DN10" s="105">
        <f t="shared" si="11"/>
        <v>0.86900000000000011</v>
      </c>
      <c r="DO10" s="105">
        <f t="shared" si="11"/>
        <v>0.8580000000000001</v>
      </c>
      <c r="DP10" s="105">
        <f t="shared" si="11"/>
        <v>0.8580000000000001</v>
      </c>
      <c r="DQ10" s="105">
        <f t="shared" si="11"/>
        <v>0.83600000000000008</v>
      </c>
      <c r="DR10" s="105">
        <f t="shared" si="11"/>
        <v>0.82500000000000007</v>
      </c>
      <c r="DS10" s="105">
        <f t="shared" si="11"/>
        <v>0.81950000000000001</v>
      </c>
      <c r="DT10" s="105">
        <f t="shared" si="11"/>
        <v>0</v>
      </c>
      <c r="DU10" s="105">
        <f t="shared" si="11"/>
        <v>0</v>
      </c>
      <c r="DV10" s="105">
        <f t="shared" si="11"/>
        <v>0</v>
      </c>
      <c r="DW10" s="105">
        <f t="shared" si="11"/>
        <v>0</v>
      </c>
      <c r="DX10" s="105">
        <f t="shared" si="11"/>
        <v>0</v>
      </c>
      <c r="DY10" s="105">
        <f t="shared" si="11"/>
        <v>0</v>
      </c>
      <c r="DZ10" s="105">
        <f t="shared" si="11"/>
        <v>0</v>
      </c>
    </row>
    <row r="11" spans="1:150" s="137" customFormat="1">
      <c r="A11" s="137" t="s">
        <v>636</v>
      </c>
      <c r="H11" s="137" t="s">
        <v>429</v>
      </c>
      <c r="I11" s="108"/>
      <c r="J11" s="108"/>
      <c r="K11" s="108"/>
      <c r="L11" s="108"/>
      <c r="M11" s="108"/>
      <c r="N11" s="108"/>
      <c r="O11" s="108"/>
      <c r="P11" s="108"/>
      <c r="Q11" s="108"/>
      <c r="R11" s="108"/>
      <c r="S11" s="108"/>
      <c r="T11" s="108"/>
      <c r="U11" s="108"/>
      <c r="V11" s="108"/>
      <c r="W11" s="108"/>
      <c r="X11" s="108"/>
      <c r="Y11" s="108"/>
      <c r="Z11" s="108"/>
      <c r="AA11" s="108"/>
      <c r="AB11" s="108"/>
      <c r="AC11" s="108"/>
      <c r="AD11" s="108"/>
      <c r="AE11" s="108"/>
      <c r="AF11" s="108"/>
      <c r="AG11" s="108"/>
      <c r="AH11" s="108"/>
      <c r="AI11" s="108"/>
      <c r="AJ11" s="108"/>
      <c r="AK11" s="108"/>
      <c r="AL11" s="108"/>
      <c r="AM11" s="108"/>
      <c r="AN11" s="108"/>
      <c r="AO11" s="108"/>
      <c r="AP11" s="108"/>
      <c r="AQ11" s="108"/>
      <c r="AR11" s="108"/>
      <c r="AS11" s="108"/>
      <c r="AT11" s="108"/>
      <c r="AU11" s="108"/>
      <c r="AV11" s="108"/>
      <c r="AW11" s="108"/>
      <c r="AX11" s="108"/>
      <c r="AY11" s="108"/>
      <c r="AZ11" s="108"/>
      <c r="BA11" s="108"/>
      <c r="BB11" s="108"/>
      <c r="BC11" s="108"/>
      <c r="BD11" s="108"/>
      <c r="BE11" s="108"/>
      <c r="BF11" s="108"/>
      <c r="BG11" s="108"/>
      <c r="BH11" s="108"/>
      <c r="BI11" s="108"/>
      <c r="BJ11" s="108"/>
      <c r="BK11" s="108"/>
      <c r="BL11" s="108"/>
      <c r="BM11" s="108"/>
      <c r="BN11" s="108"/>
      <c r="BO11" s="108"/>
      <c r="BP11" s="108"/>
      <c r="BQ11" s="108"/>
      <c r="BR11" s="108"/>
      <c r="BS11" s="108"/>
      <c r="BT11" s="108"/>
      <c r="BU11" s="108"/>
      <c r="BV11" s="108"/>
      <c r="BW11" s="108"/>
      <c r="BX11" s="108"/>
      <c r="BY11" s="108"/>
      <c r="BZ11" s="108"/>
      <c r="CA11" s="108"/>
      <c r="CB11" s="108"/>
      <c r="CC11" s="108"/>
      <c r="CD11" s="108"/>
      <c r="CE11" s="108"/>
      <c r="CF11" s="108"/>
      <c r="CG11" s="108"/>
      <c r="CH11" s="108"/>
      <c r="CI11" s="108"/>
      <c r="CJ11" s="108"/>
      <c r="CK11" s="108"/>
      <c r="CL11" s="108"/>
      <c r="CM11" s="108"/>
      <c r="CN11" s="108"/>
      <c r="CO11" s="108"/>
      <c r="CP11" s="108"/>
      <c r="CQ11" s="108"/>
      <c r="CR11" s="108"/>
      <c r="CS11" s="108"/>
      <c r="CT11" s="108"/>
      <c r="CU11" s="108"/>
      <c r="CV11" s="108"/>
      <c r="CW11" s="108"/>
      <c r="CX11" s="108"/>
      <c r="CY11" s="108"/>
      <c r="CZ11" s="108"/>
      <c r="DA11" s="108"/>
      <c r="DB11" s="108"/>
      <c r="DC11" s="108"/>
      <c r="DD11" s="108"/>
      <c r="DE11" s="108"/>
      <c r="DF11" s="108"/>
      <c r="DG11" s="108"/>
      <c r="DH11" s="108"/>
      <c r="DI11" s="108"/>
      <c r="DJ11" s="108"/>
      <c r="DK11" s="108"/>
      <c r="DL11" s="108"/>
      <c r="DM11" s="108"/>
      <c r="DN11" s="108"/>
      <c r="DO11" s="108"/>
      <c r="DP11" s="108"/>
      <c r="DQ11" s="108"/>
      <c r="DR11" s="108"/>
      <c r="DS11" s="108"/>
      <c r="DT11" s="108"/>
      <c r="DU11" s="108"/>
      <c r="DV11" s="108"/>
      <c r="DW11" s="108"/>
      <c r="DX11" s="108"/>
      <c r="DY11" s="108"/>
      <c r="DZ11" s="108"/>
    </row>
    <row r="12" spans="1:150">
      <c r="H12" s="60" t="s">
        <v>406</v>
      </c>
      <c r="I12" s="74"/>
      <c r="J12" s="74"/>
      <c r="K12" s="74"/>
      <c r="L12" s="74"/>
      <c r="M12" s="74"/>
      <c r="N12" s="74"/>
      <c r="O12" s="74"/>
      <c r="P12" s="74"/>
      <c r="Q12" s="74"/>
      <c r="R12" s="74"/>
      <c r="S12" s="74"/>
      <c r="T12" s="74"/>
      <c r="U12" s="74"/>
      <c r="V12" s="74"/>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c r="BL12" s="74"/>
      <c r="BM12" s="74"/>
      <c r="BN12" s="74"/>
      <c r="BO12" s="74"/>
      <c r="BP12" s="74"/>
      <c r="BQ12" s="74"/>
      <c r="BR12" s="74"/>
      <c r="BS12" s="74"/>
      <c r="BT12" s="74"/>
      <c r="BU12" s="74"/>
      <c r="BV12" s="74"/>
      <c r="BW12" s="74"/>
      <c r="BX12" s="74"/>
      <c r="BY12" s="74"/>
      <c r="BZ12" s="74"/>
      <c r="CA12" s="74"/>
      <c r="CB12" s="74"/>
      <c r="CC12" s="74"/>
      <c r="CD12" s="74"/>
      <c r="CE12" s="74"/>
      <c r="CF12" s="74"/>
      <c r="CG12" s="74"/>
      <c r="CH12" s="74"/>
      <c r="CI12" s="74"/>
      <c r="CJ12" s="74"/>
      <c r="CK12" s="74"/>
      <c r="CL12" s="74"/>
      <c r="CM12" s="74"/>
      <c r="CN12" s="74"/>
      <c r="CO12" s="74"/>
      <c r="CP12" s="74"/>
      <c r="CQ12" s="74"/>
      <c r="CR12" s="74"/>
      <c r="CS12" s="74"/>
      <c r="CT12" s="74"/>
      <c r="CU12" s="74"/>
      <c r="CV12" s="74"/>
      <c r="CW12" s="74"/>
      <c r="CX12" s="74"/>
      <c r="CY12" s="74"/>
      <c r="CZ12" s="74"/>
      <c r="DA12" s="74"/>
      <c r="DB12" s="74"/>
      <c r="DC12" s="74"/>
      <c r="DD12" s="74"/>
      <c r="DE12" s="74"/>
      <c r="DF12" s="74"/>
      <c r="DG12" s="74"/>
      <c r="DH12" s="74"/>
      <c r="DI12" s="74"/>
      <c r="DJ12" s="74"/>
      <c r="DK12" s="74"/>
      <c r="DL12" s="74"/>
      <c r="DM12" s="74"/>
      <c r="DN12" s="74"/>
      <c r="DO12" s="74"/>
      <c r="DP12" s="74"/>
      <c r="DQ12" s="74"/>
      <c r="DR12" s="74"/>
      <c r="DS12" s="74"/>
      <c r="DT12" s="74"/>
      <c r="DU12" s="74"/>
      <c r="DV12" s="74"/>
      <c r="DW12" s="74"/>
      <c r="DX12" s="74"/>
      <c r="DY12" s="74"/>
      <c r="DZ12" s="74"/>
    </row>
    <row r="14" spans="1:150" ht="13" thickBot="1"/>
    <row r="15" spans="1:150" ht="13" thickBot="1">
      <c r="H15" s="106" t="s">
        <v>407</v>
      </c>
      <c r="I15" s="109">
        <f>0.01+I10</f>
        <v>0.76240000000000008</v>
      </c>
      <c r="J15" s="109">
        <f>0.01+J10</f>
        <v>0.78693000000000002</v>
      </c>
      <c r="K15" s="109">
        <f t="shared" ref="K15:BD15" si="12">0.01+K10</f>
        <v>0.71818000000000004</v>
      </c>
      <c r="L15" s="109">
        <f t="shared" si="12"/>
        <v>0.65900000000000003</v>
      </c>
      <c r="M15" s="109">
        <f t="shared" si="12"/>
        <v>0.87240000000000006</v>
      </c>
      <c r="N15" s="109">
        <f t="shared" si="12"/>
        <v>1.0316800000000002</v>
      </c>
      <c r="O15" s="109">
        <f t="shared" si="12"/>
        <v>1.0588500000000001</v>
      </c>
      <c r="P15" s="109">
        <f t="shared" si="12"/>
        <v>0.99175000000000002</v>
      </c>
      <c r="Q15" s="109">
        <f t="shared" si="12"/>
        <v>0.98350000000000015</v>
      </c>
      <c r="R15" s="109">
        <f t="shared" si="12"/>
        <v>1.0088000000000001</v>
      </c>
      <c r="S15" s="109">
        <f t="shared" si="12"/>
        <v>1.0701800000000001</v>
      </c>
      <c r="T15" s="109">
        <f t="shared" si="12"/>
        <v>1.1691799999999999</v>
      </c>
      <c r="U15" s="109">
        <f t="shared" si="12"/>
        <v>1.1017500000000002</v>
      </c>
      <c r="V15" s="109">
        <f t="shared" si="12"/>
        <v>1.2035</v>
      </c>
      <c r="W15" s="109">
        <f t="shared" si="12"/>
        <v>1.4180000000000001</v>
      </c>
      <c r="X15" s="109">
        <f t="shared" si="12"/>
        <v>1.4455</v>
      </c>
      <c r="Y15" s="109">
        <f t="shared" si="12"/>
        <v>1.3712500000000001</v>
      </c>
      <c r="Z15" s="109">
        <f t="shared" si="12"/>
        <v>1.14168</v>
      </c>
      <c r="AA15" s="109">
        <f t="shared" si="12"/>
        <v>0.96040000000000003</v>
      </c>
      <c r="AB15" s="109">
        <f t="shared" si="12"/>
        <v>0.91475000000000006</v>
      </c>
      <c r="AC15" s="109">
        <f t="shared" si="12"/>
        <v>0.93290000000000006</v>
      </c>
      <c r="AD15" s="109">
        <f t="shared" si="12"/>
        <v>1.0022</v>
      </c>
      <c r="AE15" s="109">
        <f t="shared" si="12"/>
        <v>0.99318000000000006</v>
      </c>
      <c r="AF15" s="109">
        <f t="shared" si="12"/>
        <v>0.92849999999999999</v>
      </c>
      <c r="AG15" s="109">
        <f t="shared" si="12"/>
        <v>0.91475000000000006</v>
      </c>
      <c r="AH15" s="109">
        <f t="shared" si="12"/>
        <v>0.97250000000000014</v>
      </c>
      <c r="AI15" s="109">
        <f t="shared" si="12"/>
        <v>1.09493</v>
      </c>
      <c r="AJ15" s="109">
        <f t="shared" si="12"/>
        <v>1.0682</v>
      </c>
      <c r="AK15" s="109">
        <f t="shared" si="12"/>
        <v>1.0605</v>
      </c>
      <c r="AL15" s="109">
        <f t="shared" si="12"/>
        <v>1.0660000000000001</v>
      </c>
      <c r="AM15" s="109">
        <f t="shared" si="12"/>
        <v>1.0572000000000001</v>
      </c>
      <c r="AN15" s="109">
        <f t="shared" si="12"/>
        <v>0.97250000000000014</v>
      </c>
      <c r="AO15" s="109">
        <f t="shared" si="12"/>
        <v>0.93125000000000013</v>
      </c>
      <c r="AP15" s="109">
        <f t="shared" si="12"/>
        <v>0.91068000000000005</v>
      </c>
      <c r="AQ15" s="109">
        <f t="shared" si="12"/>
        <v>0.87350000000000017</v>
      </c>
      <c r="AR15" s="109">
        <f t="shared" si="12"/>
        <v>0.87900000000000011</v>
      </c>
      <c r="AS15" s="109">
        <f t="shared" si="12"/>
        <v>0.87900000000000011</v>
      </c>
      <c r="AT15" s="109">
        <f t="shared" si="12"/>
        <v>0.92718000000000012</v>
      </c>
      <c r="AU15" s="109">
        <f t="shared" si="12"/>
        <v>1.0165000000000002</v>
      </c>
      <c r="AV15" s="109">
        <f t="shared" si="12"/>
        <v>1.0165000000000002</v>
      </c>
      <c r="AW15" s="109">
        <f t="shared" si="12"/>
        <v>1.0357500000000002</v>
      </c>
      <c r="AX15" s="109">
        <f t="shared" si="12"/>
        <v>1.02475</v>
      </c>
      <c r="AY15" s="109">
        <f t="shared" si="12"/>
        <v>0.89000000000000012</v>
      </c>
      <c r="AZ15" s="109">
        <f t="shared" si="12"/>
        <v>0.90649999999999997</v>
      </c>
      <c r="BA15" s="109">
        <f t="shared" si="12"/>
        <v>0.90649999999999997</v>
      </c>
      <c r="BB15" s="109">
        <f t="shared" si="12"/>
        <v>0.91749999999999998</v>
      </c>
      <c r="BC15" s="109">
        <f t="shared" si="12"/>
        <v>0.9395</v>
      </c>
      <c r="BD15" s="109">
        <f t="shared" si="12"/>
        <v>0.95600000000000007</v>
      </c>
      <c r="BE15" s="109">
        <f t="shared" ref="BE15:BO15" si="13">0.01+BE10</f>
        <v>0.96150000000000002</v>
      </c>
      <c r="BF15" s="109">
        <f t="shared" si="13"/>
        <v>0.96150000000000002</v>
      </c>
      <c r="BG15" s="109">
        <f t="shared" si="13"/>
        <v>0.96150000000000002</v>
      </c>
      <c r="BH15" s="109">
        <f t="shared" si="13"/>
        <v>0.97250000000000014</v>
      </c>
      <c r="BI15" s="109">
        <f t="shared" si="13"/>
        <v>0.97250000000000014</v>
      </c>
      <c r="BJ15" s="109">
        <f t="shared" si="13"/>
        <v>1.0275000000000001</v>
      </c>
      <c r="BK15" s="109">
        <f t="shared" si="13"/>
        <v>1.044</v>
      </c>
      <c r="BL15" s="109">
        <f t="shared" si="13"/>
        <v>1.0549999999999999</v>
      </c>
      <c r="BM15" s="109">
        <f t="shared" si="13"/>
        <v>1.0220000000000002</v>
      </c>
      <c r="BN15" s="109">
        <f t="shared" si="13"/>
        <v>1.0220000000000002</v>
      </c>
      <c r="BO15" s="109">
        <f t="shared" si="13"/>
        <v>1.0220000000000002</v>
      </c>
      <c r="BP15" s="109">
        <f t="shared" ref="BP15:BU15" si="14">0.01+BP10</f>
        <v>1.0330000000000001</v>
      </c>
      <c r="BQ15" s="109">
        <f t="shared" si="14"/>
        <v>1.0330000000000001</v>
      </c>
      <c r="BR15" s="109">
        <f t="shared" si="14"/>
        <v>1.0330000000000001</v>
      </c>
      <c r="BS15" s="109">
        <f t="shared" si="14"/>
        <v>1.0055000000000001</v>
      </c>
      <c r="BT15" s="109">
        <f t="shared" si="14"/>
        <v>1.0055000000000001</v>
      </c>
      <c r="BU15" s="109">
        <f t="shared" si="14"/>
        <v>1.0055000000000001</v>
      </c>
      <c r="BV15" s="109">
        <f>0.01+BV10</f>
        <v>1.0055000000000001</v>
      </c>
      <c r="BW15" s="109">
        <f>0.01+BW10</f>
        <v>1.0330000000000001</v>
      </c>
      <c r="BX15" s="109">
        <f>0.01+BX10</f>
        <v>1.0275000000000001</v>
      </c>
      <c r="BY15" s="109">
        <f>0.01+BY10</f>
        <v>1.0275000000000001</v>
      </c>
      <c r="BZ15" s="109">
        <f>0.01+BZ10</f>
        <v>1.0660000000000001</v>
      </c>
      <c r="CA15" s="109">
        <f t="shared" ref="CA15:CH15" si="15">0.01+CA10</f>
        <v>1.0660000000000001</v>
      </c>
      <c r="CB15" s="109">
        <f t="shared" si="15"/>
        <v>1.0880000000000001</v>
      </c>
      <c r="CC15" s="109">
        <f t="shared" si="15"/>
        <v>1.1430000000000002</v>
      </c>
      <c r="CD15" s="109">
        <f t="shared" si="15"/>
        <v>1.1430000000000002</v>
      </c>
      <c r="CE15" s="109">
        <f t="shared" si="15"/>
        <v>1.1430000000000002</v>
      </c>
      <c r="CF15" s="109">
        <f t="shared" si="15"/>
        <v>1.1430000000000002</v>
      </c>
      <c r="CG15" s="109">
        <f t="shared" si="15"/>
        <v>1.1540000000000001</v>
      </c>
      <c r="CH15" s="109">
        <f t="shared" si="15"/>
        <v>1.1540000000000001</v>
      </c>
      <c r="CI15" s="109">
        <f t="shared" ref="CI15:CT15" si="16">0.01+CI10</f>
        <v>1.1540000000000001</v>
      </c>
      <c r="CJ15" s="109">
        <f t="shared" si="16"/>
        <v>1.1540000000000001</v>
      </c>
      <c r="CK15" s="109">
        <f t="shared" si="16"/>
        <v>1.1540000000000001</v>
      </c>
      <c r="CL15" s="109">
        <f t="shared" si="16"/>
        <v>1.1760000000000002</v>
      </c>
      <c r="CM15" s="109">
        <f t="shared" si="16"/>
        <v>1.1760000000000002</v>
      </c>
      <c r="CN15" s="109">
        <f t="shared" si="16"/>
        <v>1.1870000000000003</v>
      </c>
      <c r="CO15" s="109">
        <f t="shared" si="16"/>
        <v>1.1870000000000003</v>
      </c>
      <c r="CP15" s="109">
        <f t="shared" si="16"/>
        <v>1.1870000000000003</v>
      </c>
      <c r="CQ15" s="109">
        <f t="shared" si="16"/>
        <v>1.1870000000000003</v>
      </c>
      <c r="CR15" s="109">
        <f t="shared" si="16"/>
        <v>1.1870000000000003</v>
      </c>
      <c r="CS15" s="109">
        <f t="shared" si="16"/>
        <v>1.1815</v>
      </c>
      <c r="CT15" s="109">
        <f t="shared" si="16"/>
        <v>1.1925000000000001</v>
      </c>
      <c r="CU15" s="109">
        <f>0.01+CU10</f>
        <v>1.1870000000000003</v>
      </c>
      <c r="CV15" s="109">
        <f>0.01+CV10</f>
        <v>1.1870000000000003</v>
      </c>
      <c r="CW15" s="109">
        <f>0.01+CW10</f>
        <v>1.1870000000000003</v>
      </c>
      <c r="CX15" s="109">
        <f>0.01+CX10</f>
        <v>1.1540000000000001</v>
      </c>
      <c r="CY15" s="109">
        <f>0.01+CY10</f>
        <v>1.1320000000000001</v>
      </c>
      <c r="CZ15" s="109">
        <f t="shared" ref="CZ15:DZ15" si="17">0.01+CZ10</f>
        <v>1.1320000000000001</v>
      </c>
      <c r="DA15" s="109">
        <f t="shared" si="17"/>
        <v>1.1320000000000001</v>
      </c>
      <c r="DB15" s="109">
        <f t="shared" si="17"/>
        <v>1.1320000000000001</v>
      </c>
      <c r="DC15" s="109">
        <f t="shared" si="17"/>
        <v>1.12375</v>
      </c>
      <c r="DD15" s="109">
        <f t="shared" si="17"/>
        <v>1.0660000000000001</v>
      </c>
      <c r="DE15" s="109">
        <f t="shared" si="17"/>
        <v>1.0605</v>
      </c>
      <c r="DF15" s="109">
        <f t="shared" si="17"/>
        <v>0.97250000000000014</v>
      </c>
      <c r="DG15" s="109">
        <f t="shared" si="17"/>
        <v>0.94500000000000006</v>
      </c>
      <c r="DH15" s="109">
        <f t="shared" si="17"/>
        <v>0.96150000000000002</v>
      </c>
      <c r="DI15" s="109">
        <f t="shared" si="17"/>
        <v>0.95050000000000001</v>
      </c>
      <c r="DJ15" s="109">
        <f t="shared" si="17"/>
        <v>0.93400000000000005</v>
      </c>
      <c r="DK15" s="109">
        <f t="shared" si="17"/>
        <v>0.93400000000000005</v>
      </c>
      <c r="DL15" s="109">
        <f t="shared" si="17"/>
        <v>0.93400000000000005</v>
      </c>
      <c r="DM15" s="109">
        <f t="shared" si="17"/>
        <v>0.91200000000000003</v>
      </c>
      <c r="DN15" s="109">
        <f t="shared" si="17"/>
        <v>0.87900000000000011</v>
      </c>
      <c r="DO15" s="109">
        <f t="shared" si="17"/>
        <v>0.8680000000000001</v>
      </c>
      <c r="DP15" s="109">
        <f t="shared" si="17"/>
        <v>0.8680000000000001</v>
      </c>
      <c r="DQ15" s="109">
        <f t="shared" si="17"/>
        <v>0.84600000000000009</v>
      </c>
      <c r="DR15" s="109">
        <f t="shared" si="17"/>
        <v>0.83500000000000008</v>
      </c>
      <c r="DS15" s="109">
        <f t="shared" si="17"/>
        <v>0.82950000000000002</v>
      </c>
      <c r="DT15" s="109">
        <f t="shared" si="17"/>
        <v>0.01</v>
      </c>
      <c r="DU15" s="109">
        <f t="shared" si="17"/>
        <v>0.01</v>
      </c>
      <c r="DV15" s="109">
        <f t="shared" si="17"/>
        <v>0.01</v>
      </c>
      <c r="DW15" s="109">
        <f t="shared" si="17"/>
        <v>0.01</v>
      </c>
      <c r="DX15" s="109">
        <f t="shared" si="17"/>
        <v>0.01</v>
      </c>
      <c r="DY15" s="109">
        <f t="shared" si="17"/>
        <v>0.01</v>
      </c>
      <c r="DZ15" s="109">
        <f t="shared" si="17"/>
        <v>0.01</v>
      </c>
    </row>
  </sheetData>
  <phoneticPr fontId="52" type="noConversion"/>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5"/>
  <dimension ref="A1:EZ19"/>
  <sheetViews>
    <sheetView workbookViewId="0">
      <pane xSplit="11" ySplit="6" topLeftCell="CX10" activePane="bottomRight" state="frozen"/>
      <selection pane="topRight" activeCell="L1" sqref="L1"/>
      <selection pane="bottomLeft" activeCell="A7" sqref="A7"/>
      <selection pane="bottomRight" sqref="A1:XFD1048576"/>
    </sheetView>
  </sheetViews>
  <sheetFormatPr baseColWidth="10" defaultColWidth="22.6640625" defaultRowHeight="12"/>
  <cols>
    <col min="1" max="1" width="13.5" style="60" bestFit="1" customWidth="1"/>
    <col min="2" max="2" width="11.33203125" style="60" bestFit="1" customWidth="1"/>
    <col min="3" max="3" width="4.83203125" style="60" bestFit="1" customWidth="1"/>
    <col min="4" max="4" width="6.1640625" style="60" bestFit="1" customWidth="1"/>
    <col min="5" max="5" width="17.5" style="60" bestFit="1" customWidth="1"/>
    <col min="6" max="6" width="6.5" style="60" bestFit="1" customWidth="1"/>
    <col min="7" max="7" width="4.1640625" style="60" bestFit="1" customWidth="1"/>
    <col min="8" max="8" width="22.83203125" style="60" bestFit="1" customWidth="1"/>
    <col min="9" max="9" width="5.1640625" style="60" bestFit="1" customWidth="1"/>
    <col min="10" max="10" width="5.5" style="60" bestFit="1" customWidth="1"/>
    <col min="11" max="11" width="5.6640625" style="60" bestFit="1" customWidth="1"/>
    <col min="12" max="12" width="5.5" style="60" bestFit="1" customWidth="1"/>
    <col min="13" max="13" width="5.83203125" style="60" bestFit="1" customWidth="1"/>
    <col min="14" max="18" width="5.5" style="60" bestFit="1" customWidth="1"/>
    <col min="19" max="19" width="5.6640625" style="60" bestFit="1" customWidth="1"/>
    <col min="20" max="22" width="5.5" style="60" bestFit="1" customWidth="1"/>
    <col min="23" max="23" width="5.6640625" style="60" bestFit="1" customWidth="1"/>
    <col min="24" max="24" width="5.5" style="60" bestFit="1" customWidth="1"/>
    <col min="25" max="26" width="6.1640625" style="60" bestFit="1" customWidth="1"/>
    <col min="27" max="29" width="5.5" style="60" bestFit="1" customWidth="1"/>
    <col min="30" max="31" width="6.1640625" style="60" bestFit="1" customWidth="1"/>
    <col min="32" max="34" width="5.5" style="60" bestFit="1" customWidth="1"/>
    <col min="35" max="35" width="5.6640625" style="60" bestFit="1" customWidth="1"/>
    <col min="36" max="36" width="5.5" style="60" bestFit="1" customWidth="1"/>
    <col min="37" max="37" width="5.83203125" style="60" bestFit="1" customWidth="1"/>
    <col min="38" max="42" width="5.5" style="60" bestFit="1" customWidth="1"/>
    <col min="43" max="43" width="5.6640625" style="60" bestFit="1" customWidth="1"/>
    <col min="44" max="46" width="5.5" style="60" bestFit="1" customWidth="1"/>
    <col min="47" max="47" width="5.6640625" style="60" bestFit="1" customWidth="1"/>
    <col min="48" max="48" width="5.5" style="60" bestFit="1" customWidth="1"/>
    <col min="49" max="49" width="5.83203125" style="60" bestFit="1" customWidth="1"/>
    <col min="50" max="51" width="5.5" style="60" bestFit="1" customWidth="1"/>
    <col min="52" max="54" width="7" style="60" bestFit="1" customWidth="1"/>
    <col min="55" max="56" width="5.5" style="60" bestFit="1" customWidth="1"/>
    <col min="57" max="58" width="5.83203125" style="60" bestFit="1" customWidth="1"/>
    <col min="59" max="70" width="5.6640625" style="60" bestFit="1" customWidth="1"/>
    <col min="71" max="82" width="5.5" style="60" bestFit="1" customWidth="1"/>
    <col min="83" max="83" width="6.1640625" style="60" bestFit="1" customWidth="1"/>
    <col min="84" max="86" width="5.6640625" style="60" bestFit="1" customWidth="1"/>
    <col min="87" max="90" width="5.5" style="60" bestFit="1" customWidth="1"/>
    <col min="91" max="95" width="6.33203125" style="60" bestFit="1" customWidth="1"/>
    <col min="96" max="99" width="6.1640625" style="60" bestFit="1" customWidth="1"/>
    <col min="100" max="103" width="5.5" style="60" bestFit="1" customWidth="1"/>
    <col min="104" max="107" width="5.83203125" style="60" bestFit="1" customWidth="1"/>
    <col min="108" max="115" width="5.6640625" style="60" bestFit="1" customWidth="1"/>
    <col min="116" max="119" width="6.1640625" style="60" bestFit="1" customWidth="1"/>
    <col min="120" max="123" width="5.83203125" style="60" bestFit="1" customWidth="1"/>
    <col min="124" max="144" width="5.1640625" style="60" bestFit="1" customWidth="1"/>
    <col min="145" max="156" width="3.33203125" style="60" bestFit="1" customWidth="1"/>
    <col min="157" max="16384" width="22.6640625" style="60"/>
  </cols>
  <sheetData>
    <row r="1" spans="1:156" ht="39">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c r="EM1" s="99">
        <v>141</v>
      </c>
      <c r="EN1" s="99">
        <v>142</v>
      </c>
      <c r="EO1" s="99">
        <v>143</v>
      </c>
      <c r="EP1" s="99">
        <v>144</v>
      </c>
      <c r="EQ1" s="99">
        <v>145</v>
      </c>
      <c r="ER1" s="99">
        <v>146</v>
      </c>
      <c r="ES1" s="99">
        <v>147</v>
      </c>
      <c r="ET1" s="99">
        <v>148</v>
      </c>
      <c r="EU1" s="99">
        <v>149</v>
      </c>
      <c r="EV1" s="99">
        <v>150</v>
      </c>
      <c r="EW1" s="99">
        <v>151</v>
      </c>
      <c r="EX1" s="99">
        <v>152</v>
      </c>
      <c r="EY1" s="99">
        <v>153</v>
      </c>
      <c r="EZ1" s="99">
        <v>154</v>
      </c>
    </row>
    <row r="2" spans="1:156" ht="13">
      <c r="A2" s="100" t="s">
        <v>232</v>
      </c>
      <c r="B2" s="100" t="s">
        <v>673</v>
      </c>
      <c r="C2" s="101">
        <v>1</v>
      </c>
      <c r="D2" s="112">
        <v>130.13999999999999</v>
      </c>
      <c r="E2" s="60">
        <f>D2*C2</f>
        <v>130.13999999999999</v>
      </c>
      <c r="K2" s="102"/>
      <c r="M2" s="102"/>
    </row>
    <row r="3" spans="1:156">
      <c r="A3" s="36"/>
      <c r="B3" s="64"/>
      <c r="D3" s="100"/>
      <c r="E3" s="64"/>
      <c r="F3" s="103"/>
    </row>
    <row r="4" spans="1:156">
      <c r="A4" s="64"/>
      <c r="B4" s="64"/>
      <c r="D4" s="64"/>
      <c r="E4" s="64"/>
      <c r="H4" s="60" t="s">
        <v>387</v>
      </c>
    </row>
    <row r="5" spans="1:156">
      <c r="A5" s="74"/>
      <c r="B5" s="74"/>
    </row>
    <row r="6" spans="1:156">
      <c r="A6" s="59"/>
      <c r="B6" s="59"/>
      <c r="C6" s="59"/>
      <c r="D6" s="98"/>
      <c r="E6" s="98"/>
      <c r="F6" s="59"/>
      <c r="H6" s="59" t="s">
        <v>416</v>
      </c>
      <c r="I6" s="59">
        <v>43831</v>
      </c>
      <c r="J6" s="59">
        <v>43862</v>
      </c>
      <c r="K6" s="59">
        <v>43891</v>
      </c>
      <c r="L6" s="59">
        <v>43922</v>
      </c>
      <c r="M6" s="59">
        <v>43952</v>
      </c>
      <c r="N6" s="59">
        <v>43983</v>
      </c>
      <c r="O6" s="59">
        <v>44013</v>
      </c>
      <c r="P6" s="59">
        <v>44044</v>
      </c>
      <c r="Q6" s="59">
        <v>44075</v>
      </c>
      <c r="R6" s="59">
        <v>44105</v>
      </c>
      <c r="S6" s="59">
        <v>44136</v>
      </c>
      <c r="T6" s="59">
        <v>44166</v>
      </c>
      <c r="U6" s="59">
        <v>44197</v>
      </c>
      <c r="V6" s="59">
        <v>44228</v>
      </c>
      <c r="W6" s="59">
        <v>44256</v>
      </c>
      <c r="X6" s="59">
        <v>44287</v>
      </c>
      <c r="Y6" s="59">
        <v>44317</v>
      </c>
      <c r="Z6" s="59">
        <v>44348</v>
      </c>
      <c r="AA6" s="59">
        <v>44378</v>
      </c>
      <c r="AB6" s="59">
        <v>44409</v>
      </c>
      <c r="AC6" s="59">
        <v>44440</v>
      </c>
      <c r="AD6" s="59">
        <v>44470</v>
      </c>
      <c r="AE6" s="59">
        <v>44501</v>
      </c>
      <c r="AF6" s="59">
        <v>44531</v>
      </c>
      <c r="AG6" s="59">
        <v>44562</v>
      </c>
      <c r="AH6" s="59">
        <v>44593</v>
      </c>
      <c r="AI6" s="59">
        <v>44621</v>
      </c>
      <c r="AJ6" s="59">
        <v>44652</v>
      </c>
      <c r="AK6" s="59">
        <v>44682</v>
      </c>
      <c r="AL6" s="59">
        <v>44713</v>
      </c>
      <c r="AM6" s="59">
        <v>44743</v>
      </c>
      <c r="AN6" s="59">
        <v>44774</v>
      </c>
      <c r="AO6" s="59">
        <v>44805</v>
      </c>
      <c r="AP6" s="59">
        <v>44835</v>
      </c>
      <c r="AQ6" s="59">
        <v>44866</v>
      </c>
      <c r="AR6" s="59">
        <v>44896</v>
      </c>
      <c r="AS6" s="59">
        <v>44927</v>
      </c>
      <c r="AT6" s="59">
        <v>44958</v>
      </c>
      <c r="AU6" s="59">
        <v>44986</v>
      </c>
      <c r="AV6" s="59">
        <v>45017</v>
      </c>
      <c r="AW6" s="59">
        <v>45047</v>
      </c>
      <c r="AX6" s="59">
        <v>45078</v>
      </c>
      <c r="AY6" s="59">
        <v>45108</v>
      </c>
      <c r="AZ6" s="59" t="s">
        <v>530</v>
      </c>
      <c r="BA6" s="59" t="s">
        <v>531</v>
      </c>
      <c r="BB6" s="59" t="s">
        <v>532</v>
      </c>
      <c r="BC6" s="59">
        <v>37104</v>
      </c>
      <c r="BD6" s="59">
        <v>37469</v>
      </c>
      <c r="BE6" s="59" t="s">
        <v>168</v>
      </c>
      <c r="BF6" s="59" t="s">
        <v>169</v>
      </c>
      <c r="BG6" s="59" t="s">
        <v>421</v>
      </c>
      <c r="BH6" s="59" t="s">
        <v>422</v>
      </c>
      <c r="BI6" s="59" t="s">
        <v>423</v>
      </c>
      <c r="BJ6" s="59" t="s">
        <v>424</v>
      </c>
      <c r="BK6" s="59" t="s">
        <v>435</v>
      </c>
      <c r="BL6" s="59" t="s">
        <v>436</v>
      </c>
      <c r="BM6" s="59" t="s">
        <v>437</v>
      </c>
      <c r="BN6" s="59" t="s">
        <v>438</v>
      </c>
      <c r="BO6" s="59">
        <v>37196</v>
      </c>
      <c r="BP6" s="59">
        <v>37561</v>
      </c>
      <c r="BQ6" s="59">
        <v>37926</v>
      </c>
      <c r="BR6" s="59">
        <v>38292</v>
      </c>
      <c r="BS6" s="59">
        <v>37226</v>
      </c>
      <c r="BT6" s="59">
        <v>37591</v>
      </c>
      <c r="BU6" s="59">
        <v>37956</v>
      </c>
      <c r="BV6" s="59">
        <v>38322</v>
      </c>
      <c r="BW6" s="59">
        <v>36892</v>
      </c>
      <c r="BX6" s="59">
        <v>37257</v>
      </c>
      <c r="BY6" s="59">
        <v>37622</v>
      </c>
      <c r="BZ6" s="59">
        <v>37987</v>
      </c>
      <c r="CA6" s="59">
        <v>36923</v>
      </c>
      <c r="CB6" s="59">
        <v>37288</v>
      </c>
      <c r="CC6" s="59">
        <v>37653</v>
      </c>
      <c r="CD6" s="59">
        <v>38018</v>
      </c>
      <c r="CE6" s="59" t="str">
        <f>Sheet8!A15</f>
        <v>Mar-w1</v>
      </c>
      <c r="CF6" s="59">
        <v>37316</v>
      </c>
      <c r="CG6" s="59">
        <v>37681</v>
      </c>
      <c r="CH6" s="59">
        <v>38047</v>
      </c>
      <c r="CI6" s="59" t="str">
        <f>Sheet8!E15</f>
        <v>Apr-w1</v>
      </c>
      <c r="CJ6" s="59" t="str">
        <f>Sheet8!F15</f>
        <v>Apr-w2</v>
      </c>
      <c r="CK6" s="59" t="str">
        <f>Sheet8!G15</f>
        <v>Apr-w3</v>
      </c>
      <c r="CL6" s="59" t="str">
        <f>Sheet8!H15</f>
        <v>Apr-w4</v>
      </c>
      <c r="CM6" s="59" t="str">
        <f>Sheet8!I15</f>
        <v>May-w1</v>
      </c>
      <c r="CN6" s="59" t="str">
        <f>Sheet8!J15</f>
        <v>May-w2</v>
      </c>
      <c r="CO6" s="59" t="str">
        <f>Sheet8!K15</f>
        <v>May-w3</v>
      </c>
      <c r="CP6" s="59" t="str">
        <f>Sheet8!L15</f>
        <v>May-w4</v>
      </c>
      <c r="CQ6" s="59" t="str">
        <f>Sheet8!M15</f>
        <v>May-w5</v>
      </c>
      <c r="CR6" s="59" t="str">
        <f>Sheet8!N15</f>
        <v>june-w1</v>
      </c>
      <c r="CS6" s="59" t="str">
        <f>Sheet8!O15</f>
        <v>june-w2</v>
      </c>
      <c r="CT6" s="59" t="str">
        <f>Sheet8!P15</f>
        <v>june-w3</v>
      </c>
      <c r="CU6" s="59" t="str">
        <f>Sheet8!Q15</f>
        <v>june-w4</v>
      </c>
      <c r="CV6" s="59" t="str">
        <f>Sheet8!R15</f>
        <v>Jul-w1</v>
      </c>
      <c r="CW6" s="59" t="str">
        <f>Sheet8!S15</f>
        <v>Jul-w2</v>
      </c>
      <c r="CX6" s="59" t="str">
        <f>Sheet8!T15</f>
        <v>Jul-w3</v>
      </c>
      <c r="CY6" s="59" t="str">
        <f>Sheet8!U15</f>
        <v>Jul-w4</v>
      </c>
      <c r="CZ6" s="59" t="str">
        <f>Sheet8!V15</f>
        <v>Aug-w1</v>
      </c>
      <c r="DA6" s="59" t="str">
        <f>Sheet8!W15</f>
        <v>Aug-w2</v>
      </c>
      <c r="DB6" s="59" t="str">
        <f>Sheet8!X15</f>
        <v>Aug-w3</v>
      </c>
      <c r="DC6" s="59" t="str">
        <f>Sheet8!Y15</f>
        <v>Aug-w4</v>
      </c>
      <c r="DD6" s="59" t="str">
        <f>Sheet8!Z15</f>
        <v>Sep-w1</v>
      </c>
      <c r="DE6" s="59" t="str">
        <f>Sheet8!AA15</f>
        <v>Sep-w2</v>
      </c>
      <c r="DF6" s="59" t="str">
        <f>Sheet8!AB15</f>
        <v>Sep-w3</v>
      </c>
      <c r="DG6" s="59" t="str">
        <f>Sheet8!AC15</f>
        <v>Sep-w4</v>
      </c>
      <c r="DH6" s="59" t="str">
        <f>Sheet8!AD15</f>
        <v>Oct-w1</v>
      </c>
      <c r="DI6" s="59" t="str">
        <f>Sheet8!AE15</f>
        <v>Oct-w2</v>
      </c>
      <c r="DJ6" s="59" t="str">
        <f>Sheet8!AF15</f>
        <v>Oct-w3</v>
      </c>
      <c r="DK6" s="59" t="str">
        <f>Sheet8!AG15</f>
        <v>Oct-w4</v>
      </c>
      <c r="DL6" s="59" t="str">
        <f>Sheet8!AH15</f>
        <v>Nov-w1</v>
      </c>
      <c r="DM6" s="59" t="str">
        <f>Sheet8!AI15</f>
        <v>Nov-w2</v>
      </c>
      <c r="DN6" s="59" t="str">
        <f>Sheet8!AJ15</f>
        <v>Nov-w3</v>
      </c>
      <c r="DO6" s="59" t="str">
        <f>Sheet8!AK15</f>
        <v>Nov-w4</v>
      </c>
      <c r="DP6" s="59" t="str">
        <f>Sheet8!AL15</f>
        <v>Dec-w1</v>
      </c>
      <c r="DQ6" s="59" t="str">
        <f>Sheet8!AM15</f>
        <v>Dec-w2</v>
      </c>
      <c r="DR6" s="59" t="str">
        <f>Sheet8!AN15</f>
        <v>Dec-w3</v>
      </c>
      <c r="DS6" s="59" t="str">
        <f>Sheet8!AO15</f>
        <v>Dec-w4</v>
      </c>
      <c r="DT6" s="59">
        <f>Sheet8!AP15</f>
        <v>0</v>
      </c>
      <c r="DU6" s="59">
        <f>Sheet8!AQ15</f>
        <v>0</v>
      </c>
      <c r="DV6" s="59">
        <f>Sheet8!AR15</f>
        <v>0</v>
      </c>
      <c r="DW6" s="59">
        <f>Sheet8!AS15</f>
        <v>0</v>
      </c>
      <c r="DX6" s="59">
        <f>Sheet8!AT15</f>
        <v>0</v>
      </c>
      <c r="DY6" s="59">
        <f>Sheet8!AU15</f>
        <v>0</v>
      </c>
      <c r="DZ6" s="59">
        <f>Sheet8!AV15</f>
        <v>0</v>
      </c>
      <c r="EA6" s="59">
        <f>Sheet8!AW15</f>
        <v>0</v>
      </c>
      <c r="EB6" s="59">
        <f>Sheet8!AX15</f>
        <v>0</v>
      </c>
      <c r="EC6" s="59">
        <f>Sheet8!AY15</f>
        <v>0</v>
      </c>
      <c r="ED6" s="59">
        <f>Sheet8!AZ15</f>
        <v>0</v>
      </c>
      <c r="EE6" s="59">
        <f>Sheet8!BA15</f>
        <v>0</v>
      </c>
      <c r="EF6" s="59">
        <f>Sheet8!BB15</f>
        <v>0</v>
      </c>
      <c r="EG6" s="59">
        <f>Sheet8!BC15</f>
        <v>0</v>
      </c>
      <c r="EH6" s="59">
        <f>Sheet8!BD15</f>
        <v>0</v>
      </c>
      <c r="EI6" s="59">
        <f>Sheet8!BE15</f>
        <v>0</v>
      </c>
      <c r="EJ6" s="59">
        <f>Sheet8!BF15</f>
        <v>0</v>
      </c>
      <c r="EK6" s="59">
        <f>Sheet8!BG15</f>
        <v>0</v>
      </c>
      <c r="EL6" s="59">
        <f>Sheet8!BH15</f>
        <v>0</v>
      </c>
      <c r="EM6" s="59">
        <f>Sheet8!BI15</f>
        <v>0</v>
      </c>
      <c r="EN6" s="59">
        <f>Sheet8!BJ15</f>
        <v>0</v>
      </c>
    </row>
    <row r="7" spans="1:156" ht="13">
      <c r="F7" s="60" t="s">
        <v>651</v>
      </c>
      <c r="H7" s="107" t="s">
        <v>86</v>
      </c>
      <c r="I7" s="70">
        <f>VLOOKUP($H$7&amp;$F$1,'Input RM sheet'!$A:$BD,H1,0)</f>
        <v>374.5</v>
      </c>
      <c r="J7" s="74">
        <f>VLOOKUP($H$7&amp;$F$1,'Input RM sheet'!$A:$BD,I1,0)</f>
        <v>375.625</v>
      </c>
      <c r="K7" s="74">
        <f>VLOOKUP($H$7&amp;$F$1,'Input RM sheet'!$A:$DD,J1,0)</f>
        <v>340</v>
      </c>
      <c r="L7" s="74">
        <f>VLOOKUP($H$7&amp;$F$1,'Input RM sheet'!$A:$DD,K1,0)</f>
        <v>313.75</v>
      </c>
      <c r="M7" s="74">
        <f>VLOOKUP($H$7&amp;$F$1,'Input RM sheet'!$A:$DD,L1,0)</f>
        <v>326</v>
      </c>
      <c r="N7" s="74">
        <f>VLOOKUP($H$7&amp;$F$1,'Input RM sheet'!$A:$DD,M1,0)</f>
        <v>315</v>
      </c>
      <c r="O7" s="74">
        <f>VLOOKUP($H$7&amp;$F$1,'Input RM sheet'!$A:$DD,N1,0)</f>
        <v>337.5</v>
      </c>
      <c r="P7" s="74">
        <f>VLOOKUP($H$7&amp;$F$1,'Input RM sheet'!$A:$DD,O1,0)</f>
        <v>337.5</v>
      </c>
      <c r="Q7" s="74">
        <f>VLOOKUP($H$7&amp;$F$1,'Input RM sheet'!$A:$DD,P1,0)</f>
        <v>361.25</v>
      </c>
      <c r="R7" s="74">
        <f>VLOOKUP($H$7&amp;$F$1,'Input RM sheet'!$A:$DD,Q1,0)</f>
        <v>386.5</v>
      </c>
      <c r="S7" s="74">
        <f>VLOOKUP($H$7&amp;$F$1,'Input RM sheet'!$A:$DD,R1,0)</f>
        <v>426.25</v>
      </c>
      <c r="T7" s="74">
        <f>VLOOKUP($H$7&amp;$F$1,'Input RM sheet'!$A:$DD,S1,0)</f>
        <v>673.75</v>
      </c>
      <c r="U7" s="74">
        <f>VLOOKUP($H$7&amp;$F$1,'Input RM sheet'!$A:$DD,T1,0)</f>
        <v>645.625</v>
      </c>
      <c r="V7" s="74">
        <f>VLOOKUP($H$7&amp;$F$1,'Input RM sheet'!$A:$DD,U1,0)</f>
        <v>812.5</v>
      </c>
      <c r="W7" s="74">
        <f>VLOOKUP($H$7&amp;$F$1,'Input RM sheet'!$A:$DD,V1,0)</f>
        <v>973</v>
      </c>
      <c r="X7" s="74">
        <f>VLOOKUP($H$7&amp;$F$1,'Input RM sheet'!$A:$DD,W1,0)</f>
        <v>997</v>
      </c>
      <c r="Y7" s="74">
        <f>VLOOKUP($H$7&amp;$F$1,'Input RM sheet'!$A:$DD,X1,0)</f>
        <v>1040</v>
      </c>
      <c r="Z7" s="74">
        <f>VLOOKUP($H$7&amp;$F$1,'Input RM sheet'!$A:$DD,Y1,0)</f>
        <v>1018.75</v>
      </c>
      <c r="AA7" s="74">
        <f>VLOOKUP($H$7&amp;$F$1,'Input RM sheet'!$A:$DD,Z1,0)</f>
        <v>897</v>
      </c>
      <c r="AB7" s="74">
        <f>VLOOKUP($H$7&amp;$F$1,'Input RM sheet'!$A:$DD,AA1,0)</f>
        <v>861.25</v>
      </c>
      <c r="AC7" s="74">
        <f>VLOOKUP($H$7&amp;$F$1,'Input RM sheet'!$A:$DD,AB1,0)</f>
        <v>973.75</v>
      </c>
      <c r="AD7" s="74">
        <f>VLOOKUP($H$7&amp;$F$1,'Input RM sheet'!$A:$DD,AC1,0)</f>
        <v>1227</v>
      </c>
      <c r="AE7" s="74">
        <f>VLOOKUP($H$7&amp;$F$1,'Input RM sheet'!$A:$DD,AD1,0)</f>
        <v>1052.5</v>
      </c>
      <c r="AF7" s="74">
        <f>VLOOKUP($H$7&amp;$F$1,'Input RM sheet'!$A:$DD,AE1,0)</f>
        <v>885.625</v>
      </c>
      <c r="AG7" s="74">
        <f>VLOOKUP($H$7&amp;$F$1,'Input RM sheet'!$A:$DD,AF1,0)</f>
        <v>801.25</v>
      </c>
      <c r="AH7" s="74">
        <f>VLOOKUP($H$7&amp;$F$1,'Input RM sheet'!$A:$DD,AG1,0)</f>
        <v>705.625</v>
      </c>
      <c r="AI7" s="74">
        <f>VLOOKUP($H$7&amp;$F$1,'Input RM sheet'!$A:$DD,AH1,0)</f>
        <v>701.875</v>
      </c>
      <c r="AJ7" s="74">
        <f>VLOOKUP($H$7&amp;$F$1,'Input RM sheet'!$A:$DD,AI1,0)</f>
        <v>784</v>
      </c>
      <c r="AK7" s="74">
        <f>VLOOKUP($H$7&amp;$F$1,'Input RM sheet'!$A:$DD,AJ1,0)</f>
        <v>730</v>
      </c>
      <c r="AL7" s="74">
        <f>VLOOKUP($H$7&amp;$F$1,'Input RM sheet'!$A:$DD,AK1,0)</f>
        <v>703.75</v>
      </c>
      <c r="AM7" s="74">
        <f>VLOOKUP($H$7&amp;$F$1,'Input RM sheet'!$A:$DD,AL1,0)</f>
        <v>581</v>
      </c>
      <c r="AN7" s="74">
        <f>VLOOKUP($H$7&amp;$F$1,'Input RM sheet'!$A:$DD,AM1,0)</f>
        <v>531.25</v>
      </c>
      <c r="AO7" s="74">
        <f>VLOOKUP($H$7&amp;$F$1,'Input RM sheet'!$A:$DD,AN1,0)</f>
        <v>495.5</v>
      </c>
      <c r="AP7" s="74">
        <f>VLOOKUP($H$7&amp;$F$1,'Input RM sheet'!$A:$DD,AO1,0)</f>
        <v>476.25</v>
      </c>
      <c r="AQ7" s="74">
        <f>VLOOKUP($H$7&amp;$F$1,'Input RM sheet'!$A:$DD,AP1,0)</f>
        <v>475</v>
      </c>
      <c r="AR7" s="74">
        <f>VLOOKUP($H$7&amp;$F$1,'Input RM sheet'!$A:$DD,AQ1,0)</f>
        <v>440</v>
      </c>
      <c r="AS7" s="74">
        <f>VLOOKUP($H$7&amp;$F$1,'Input RM sheet'!$A:$DD,AR1,0)</f>
        <v>440</v>
      </c>
      <c r="AT7" s="74">
        <f>VLOOKUP($H$7&amp;$F$1,'Input RM sheet'!$A:$DD,AS1,0)</f>
        <v>445</v>
      </c>
      <c r="AU7" s="74">
        <f>VLOOKUP($H$7&amp;$F$1,'Input RM sheet'!$A:$DD,AT1,0)</f>
        <v>452</v>
      </c>
      <c r="AV7" s="74">
        <f>VLOOKUP($H$7&amp;$F$1,'Input RM sheet'!$A:$DD,AU1,0)</f>
        <v>447.5</v>
      </c>
      <c r="AW7" s="74">
        <f>VLOOKUP($H$7&amp;$F$1,'Input RM sheet'!$A:$DD,AV1,0)</f>
        <v>455</v>
      </c>
      <c r="AX7" s="74">
        <f>VLOOKUP($H$7&amp;$F$1,'Input RM sheet'!$A:$DD,AW1,0)</f>
        <v>460</v>
      </c>
      <c r="AY7" s="74">
        <f>VLOOKUP($H$7&amp;$F$1,'Input RM sheet'!$A:$DD,AX1,0)</f>
        <v>415</v>
      </c>
      <c r="AZ7" s="74">
        <f>VLOOKUP($H$7&amp;$F$1,'Input RM sheet'!$A:$DD,AY1,0)</f>
        <v>435</v>
      </c>
      <c r="BA7" s="74">
        <f>VLOOKUP($H$7&amp;$F$1,'Input RM sheet'!$A:$DD,AZ1,0)</f>
        <v>445</v>
      </c>
      <c r="BB7" s="74">
        <f>VLOOKUP($H$7&amp;$F$1,'Input RM sheet'!$A:$DD,BA1,0)</f>
        <v>425</v>
      </c>
      <c r="BC7" s="74">
        <f>VLOOKUP($H$7&amp;$F$1,'Input RM sheet'!$A:$DD,BB1,0)</f>
        <v>425</v>
      </c>
      <c r="BD7" s="74">
        <f>VLOOKUP($H$7&amp;$F$1,'Input RM sheet'!$A:$DD,BC1,0)</f>
        <v>440</v>
      </c>
      <c r="BE7" s="74">
        <f>VLOOKUP($H$7&amp;$F$1,'Input RM sheet'!$A:$DD,BD1,0)</f>
        <v>465</v>
      </c>
      <c r="BF7" s="74">
        <f>VLOOKUP($H$7&amp;$F$1,'Input RM sheet'!$A:$DD,BE1,0)</f>
        <v>480</v>
      </c>
      <c r="BG7" s="74">
        <f>VLOOKUP($H$7&amp;$F$1,'Input RM sheet'!$A:$DD,BF1,0)</f>
        <v>510</v>
      </c>
      <c r="BH7" s="74">
        <f>VLOOKUP($H$7&amp;$F$1,'Input RM sheet'!$A:$DD,BG1,0)</f>
        <v>522.5</v>
      </c>
      <c r="BI7" s="74">
        <f>VLOOKUP($H$7&amp;$F$1,'Input RM sheet'!$A:$DD,BH1,0)</f>
        <v>582.5</v>
      </c>
      <c r="BJ7" s="74">
        <f>VLOOKUP($H$7&amp;$F$1,'Input RM sheet'!$A:$DD,BI1,0)</f>
        <v>612.5</v>
      </c>
      <c r="BK7" s="74">
        <f>VLOOKUP($H$7&amp;$F$1,'Input RM sheet'!$A:$DD,BJ1,0)</f>
        <v>592.5</v>
      </c>
      <c r="BL7" s="74">
        <f>VLOOKUP($H$7&amp;$F$1,'Input RM sheet'!$A:$DD,BK1,0)</f>
        <v>564</v>
      </c>
      <c r="BM7" s="74">
        <f>VLOOKUP($H$7&amp;$F$1,'Input RM sheet'!$A:$DD,BL1,0)</f>
        <v>510</v>
      </c>
      <c r="BN7" s="74">
        <f>VLOOKUP($H$7&amp;$F$1,'Input RM sheet'!$A:$DD,BM1,0)</f>
        <v>475</v>
      </c>
      <c r="BO7" s="74">
        <f>VLOOKUP($H$7&amp;$F$1,'Input RM sheet'!$A:$DD,BN1,0)</f>
        <v>455</v>
      </c>
      <c r="BP7" s="74">
        <f>VLOOKUP($H$7&amp;$F$1,'Input RM sheet'!$A:$DD,BO1,0)</f>
        <v>435</v>
      </c>
      <c r="BQ7" s="74">
        <f>VLOOKUP($H$7&amp;$F$1,'Input RM sheet'!$A:$DD,BP1,0)</f>
        <v>435</v>
      </c>
      <c r="BR7" s="74">
        <f>VLOOKUP($H$7&amp;$F$1,'Input RM sheet'!$A:$DD,BQ1,0)</f>
        <v>435</v>
      </c>
      <c r="BS7" s="74">
        <f>VLOOKUP($H$7&amp;$F$1,'Input RM sheet'!$A:$DD,BR1,0)</f>
        <v>435</v>
      </c>
      <c r="BT7" s="74">
        <f>VLOOKUP($H$7&amp;$F$1,'Input RM sheet'!$A:$DD,BS1,0)</f>
        <v>480</v>
      </c>
      <c r="BU7" s="74">
        <f>VLOOKUP($H$7&amp;$F$1,'Input RM sheet'!$A:$DD,BT1,0)</f>
        <v>450</v>
      </c>
      <c r="BV7" s="74">
        <f>VLOOKUP($H$7&amp;$F$1,'Input RM sheet'!$A:$DD,BU1,0)</f>
        <v>452.5</v>
      </c>
      <c r="BW7" s="74">
        <f>VLOOKUP($H$7&amp;$F$1,'Input RM sheet'!$A:$DD,BV1,0)</f>
        <v>450</v>
      </c>
      <c r="BX7" s="74">
        <f>VLOOKUP($H$7&amp;$F$1,'Input RM sheet'!$A:$DD,BW1,0)</f>
        <v>445</v>
      </c>
      <c r="BY7" s="74">
        <f>VLOOKUP($H$7&amp;$F$1,'Input RM sheet'!$A:$DD,BX1,0)</f>
        <v>445</v>
      </c>
      <c r="BZ7" s="74">
        <f>VLOOKUP($H$7&amp;$F$1,'Input RM sheet'!$A:$DD,BY1,0)</f>
        <v>455</v>
      </c>
      <c r="CA7" s="74">
        <f>VLOOKUP($H$7&amp;$F$1,'Input RM sheet'!$A:$DD,BZ1,0)</f>
        <v>455</v>
      </c>
      <c r="CB7" s="74">
        <f>VLOOKUP($H$7&amp;$F$1,'Input RM sheet'!$A:$DD,CA1,0)</f>
        <v>462</v>
      </c>
      <c r="CC7" s="74">
        <f>VLOOKUP($H$7&amp;$F$1,'Input RM sheet'!$A:$DD,CB1,0)</f>
        <v>457.5</v>
      </c>
      <c r="CD7" s="74">
        <f>VLOOKUP($H$7&amp;$F$1,'Input RM sheet'!$A:$DD,CC1,0)</f>
        <v>465</v>
      </c>
      <c r="CE7" s="74">
        <f>VLOOKUP($H$7&amp;$F$1,'Input RM sheet'!$A:$DD,CD1,0)</f>
        <v>465</v>
      </c>
      <c r="CF7" s="74">
        <f>VLOOKUP($H$7&amp;$F$1,'Input RM sheet'!$A:$DD,CE1,0)</f>
        <v>465</v>
      </c>
      <c r="CG7" s="74">
        <f>VLOOKUP($H$7&amp;$F$1,'Input RM sheet'!$A:$DD,CF1,0)</f>
        <v>455</v>
      </c>
      <c r="CH7" s="74">
        <f>VLOOKUP($H$7&amp;$F$1,'Input RM sheet'!$A:$DD,CG1,0)</f>
        <v>452.5</v>
      </c>
      <c r="CI7" s="74">
        <f>VLOOKUP($H$7&amp;$F$1,'Input RM sheet'!$A:$DD,CH1,0)</f>
        <v>470</v>
      </c>
      <c r="CJ7" s="74">
        <f>VLOOKUP($H$7&amp;$F$1,'Input RM sheet'!$A:$DD,CI1,0)</f>
        <v>475</v>
      </c>
      <c r="CK7" s="74">
        <f>VLOOKUP($H$7&amp;$F$1,'Input RM sheet'!$A:$DD,CJ1,0)</f>
        <v>475</v>
      </c>
      <c r="CL7" s="74">
        <f>VLOOKUP($H$7&amp;$F$1,'Input RM sheet'!$A:$DD,CK1,0)</f>
        <v>475</v>
      </c>
      <c r="CM7" s="74">
        <f>VLOOKUP($H$7&amp;$F$1,'Input RM sheet'!$A:$DD,CL1,0)</f>
        <v>475</v>
      </c>
      <c r="CN7" s="74">
        <f>VLOOKUP($H$7&amp;$F$1,'Input RM sheet'!$A:$DD,CM1,0)</f>
        <v>460</v>
      </c>
      <c r="CO7" s="74">
        <f>VLOOKUP($H$7&amp;$F$1,'Input RM sheet'!$A:$DD,CN1,0)</f>
        <v>460</v>
      </c>
      <c r="CP7" s="74">
        <f>VLOOKUP($H$7&amp;$F$1,'Input RM sheet'!$A:$DD,CO1,0)</f>
        <v>460</v>
      </c>
      <c r="CQ7" s="74">
        <f>VLOOKUP($H$7&amp;$F$1,'Input RM sheet'!$A:$DD,CP1,0)</f>
        <v>450</v>
      </c>
      <c r="CR7" s="74">
        <f>VLOOKUP($H$7&amp;$F$1,'Input RM sheet'!$A:$DD,CQ1,0)</f>
        <v>445</v>
      </c>
      <c r="CS7" s="74">
        <f>VLOOKUP($H$7&amp;$F$1,'Input RM sheet'!$A:$DD,CR1,0)</f>
        <v>450</v>
      </c>
      <c r="CT7" s="74">
        <f>VLOOKUP($H$7&amp;$F$1,'Input RM sheet'!$A:$DD,CS1,0)</f>
        <v>445</v>
      </c>
      <c r="CU7" s="74">
        <f>VLOOKUP($H$7&amp;$F$1,'Input RM sheet'!$A:$DD,CT1,0)</f>
        <v>440</v>
      </c>
      <c r="CV7" s="74">
        <f>VLOOKUP($H$7&amp;$F$1,'Input RM sheet'!$A:$ZZ,CU1,0)</f>
        <v>437.5</v>
      </c>
      <c r="CW7" s="74">
        <f>VLOOKUP($H$7&amp;$F$1,'Input RM sheet'!$A:$ZZ,CV1,0)</f>
        <v>437.5</v>
      </c>
      <c r="CX7" s="74">
        <f>VLOOKUP($H$7&amp;$F$1,'Input RM sheet'!$A:$ZZ,CW1,0)</f>
        <v>440</v>
      </c>
      <c r="CY7" s="74">
        <f>VLOOKUP($H$7&amp;$F$1,'Input RM sheet'!$A:$ZZ,CX1,0)</f>
        <v>445</v>
      </c>
      <c r="CZ7" s="74">
        <f>VLOOKUP($H$7&amp;$F$1,'Input RM sheet'!$A:$ZZ,CY1,0)</f>
        <v>445</v>
      </c>
      <c r="DA7" s="74">
        <f>VLOOKUP($H$7&amp;$F$1,'Input RM sheet'!$A:$ZZ,CZ1,0)</f>
        <v>445</v>
      </c>
      <c r="DB7" s="74">
        <f>VLOOKUP($H$7&amp;$F$1,'Input RM sheet'!$A:$ZZ,DA1,0)</f>
        <v>452</v>
      </c>
      <c r="DC7" s="74">
        <f>VLOOKUP($H$7&amp;$F$1,'Input RM sheet'!$A:$ZZ,DB1,0)</f>
        <v>452</v>
      </c>
      <c r="DD7" s="74">
        <f>VLOOKUP($H$7&amp;$F$1,'Input RM sheet'!$A:$ZZ,DC1,0)</f>
        <v>442</v>
      </c>
      <c r="DE7" s="74">
        <f>VLOOKUP($H$7&amp;$F$1,'Input RM sheet'!$A:$ZZ,DD1,0)</f>
        <v>442</v>
      </c>
      <c r="DF7" s="74">
        <f>VLOOKUP($H$7&amp;$F$1,'Input RM sheet'!$A:$ZZ,DE1,0)</f>
        <v>440</v>
      </c>
      <c r="DG7" s="74">
        <f>VLOOKUP($H$7&amp;$F$1,'Input RM sheet'!$A:$ZZ,DF1,0)</f>
        <v>432.5</v>
      </c>
      <c r="DH7" s="74">
        <f>VLOOKUP($H$7&amp;$F$1,'Input RM sheet'!$A:$ZZ,DG1,0)</f>
        <v>432.5</v>
      </c>
      <c r="DI7" s="74">
        <f>VLOOKUP($H$7&amp;$F$1,'Input RM sheet'!$A:$ZZ,DH1,0)</f>
        <v>427.5</v>
      </c>
      <c r="DJ7" s="74">
        <f>VLOOKUP($H$7&amp;$F$1,'Input RM sheet'!$A:$ZZ,DI1,0)</f>
        <v>425</v>
      </c>
      <c r="DK7" s="74">
        <f>VLOOKUP($H$7&amp;$F$1,'Input RM sheet'!$A:$ZZ,DJ1,0)</f>
        <v>420</v>
      </c>
      <c r="DL7" s="74">
        <f>VLOOKUP($H$7&amp;$F$1,'Input RM sheet'!$A:$ZZ,DK1,0)</f>
        <v>417.5</v>
      </c>
      <c r="DM7" s="74">
        <f>VLOOKUP($H$7&amp;$F$1,'Input RM sheet'!$A:$ZZ,DL1,0)</f>
        <v>412.5</v>
      </c>
      <c r="DN7" s="74">
        <f>VLOOKUP($H$7&amp;$F$1,'Input RM sheet'!$A:$ZZ,DM1,0)</f>
        <v>407.5</v>
      </c>
      <c r="DO7" s="74">
        <f>VLOOKUP($H$7&amp;$F$1,'Input RM sheet'!$A:$ZZ,DN1,0)</f>
        <v>407.5</v>
      </c>
      <c r="DP7" s="74">
        <f>VLOOKUP($H$7&amp;$F$1,'Input RM sheet'!$A:$ZZ,DO1,0)</f>
        <v>407.5</v>
      </c>
      <c r="DQ7" s="74">
        <f>VLOOKUP($H$7&amp;$F$1,'Input RM sheet'!$A:$ZZ,DP1,0)</f>
        <v>407.5</v>
      </c>
      <c r="DR7" s="74">
        <f>VLOOKUP($H$7&amp;$F$1,'Input RM sheet'!$A:$ZZ,DQ1,0)</f>
        <v>405</v>
      </c>
      <c r="DS7" s="74">
        <f>VLOOKUP($H$7&amp;$F$1,'Input RM sheet'!$A:$ZZ,DR1,0)</f>
        <v>405</v>
      </c>
      <c r="DT7" s="74">
        <f>VLOOKUP($H$7&amp;$F$1,'Input RM sheet'!$A:$ZZ,DS1,0)</f>
        <v>0</v>
      </c>
      <c r="DU7" s="74">
        <f>VLOOKUP($H$7&amp;$F$1,'Input RM sheet'!$A:$ZZ,DT1,0)</f>
        <v>0</v>
      </c>
      <c r="DV7" s="74">
        <f>VLOOKUP($H$7&amp;$F$1,'Input RM sheet'!$A:$ZZ,DU1,0)</f>
        <v>0</v>
      </c>
      <c r="DW7" s="74">
        <f>VLOOKUP($H$7&amp;$F$1,'Input RM sheet'!$A:$ZZ,DV1,0)</f>
        <v>0</v>
      </c>
      <c r="DX7" s="74">
        <f>VLOOKUP($H$7&amp;$F$1,'Input RM sheet'!$A:$ZZ,DW1,0)</f>
        <v>0</v>
      </c>
      <c r="DY7" s="74">
        <f>VLOOKUP($H$7&amp;$F$1,'Input RM sheet'!$A:$ZZ,DX1,0)</f>
        <v>0</v>
      </c>
      <c r="DZ7" s="74">
        <f>VLOOKUP($H$7&amp;$F$1,'Input RM sheet'!$A:$ZZ,DY1,0)</f>
        <v>0</v>
      </c>
      <c r="EA7" s="74">
        <f>VLOOKUP($H$7&amp;$F$1,'Input RM sheet'!$A:$ZZ,DZ1,0)</f>
        <v>0</v>
      </c>
      <c r="EB7" s="74">
        <f>VLOOKUP($H$7&amp;$F$1,'Input RM sheet'!$A:$ZZ,EA1,0)</f>
        <v>0</v>
      </c>
      <c r="EC7" s="74">
        <f>VLOOKUP($H$7&amp;$F$1,'Input RM sheet'!$A:$ZZ,EB1,0)</f>
        <v>0</v>
      </c>
      <c r="ED7" s="74">
        <f>VLOOKUP($H$7&amp;$F$1,'Input RM sheet'!$A:$ZZ,EC1,0)</f>
        <v>0</v>
      </c>
      <c r="EE7" s="74">
        <f>VLOOKUP($H$7&amp;$F$1,'Input RM sheet'!$A:$ZZ,ED1,0)</f>
        <v>0</v>
      </c>
      <c r="EF7" s="74">
        <f>VLOOKUP($H$7&amp;$F$1,'Input RM sheet'!$A:$ZZ,EE1,0)</f>
        <v>0</v>
      </c>
      <c r="EG7" s="74">
        <f>VLOOKUP($H$7&amp;$F$1,'Input RM sheet'!$A:$ZZ,EF1,0)</f>
        <v>0</v>
      </c>
      <c r="EH7" s="74">
        <f>VLOOKUP($H$7&amp;$F$1,'Input RM sheet'!$A:$ZZ,EG1,0)</f>
        <v>0</v>
      </c>
      <c r="EI7" s="74">
        <f>VLOOKUP($H$7&amp;$F$1,'Input RM sheet'!$A:$ZZ,EH1,0)</f>
        <v>0</v>
      </c>
      <c r="EJ7" s="74">
        <f>VLOOKUP($H$7&amp;$F$1,'Input RM sheet'!$A:$ZZ,EI1,0)</f>
        <v>0</v>
      </c>
      <c r="EK7" s="74">
        <f>VLOOKUP($H$7&amp;$F$1,'Input RM sheet'!$A:$ZZ,EJ1,0)</f>
        <v>0</v>
      </c>
      <c r="EL7" s="74">
        <f>VLOOKUP($H$7&amp;$F$1,'Input RM sheet'!$A:$ZZ,EK1,0)</f>
        <v>0</v>
      </c>
      <c r="EM7" s="74">
        <f>VLOOKUP($H$7&amp;$F$1,'Input RM sheet'!$A:$ZZ,EL1,0)</f>
        <v>0</v>
      </c>
      <c r="EN7" s="74">
        <f>VLOOKUP($H$7&amp;$F$1,'Input RM sheet'!$A:$ZZ,EM1,0)</f>
        <v>0</v>
      </c>
    </row>
    <row r="8" spans="1:156">
      <c r="E8" s="44" t="s">
        <v>80</v>
      </c>
      <c r="F8" s="60" t="s">
        <v>651</v>
      </c>
      <c r="H8" s="30" t="s">
        <v>674</v>
      </c>
      <c r="I8" s="70">
        <f>VLOOKUP($H$8&amp;$F$1,'Input RM sheet'!$A:$BD,H1,0)</f>
        <v>823.17</v>
      </c>
      <c r="J8" s="70">
        <f>VLOOKUP($H$8&amp;$F$1,'Input RM sheet'!$A:$BD,I1,0)</f>
        <v>807.62</v>
      </c>
      <c r="K8" s="70">
        <f>VLOOKUP($H$8&amp;$F$1,'Input RM sheet'!$A:$DD,J1,0)</f>
        <v>674.56</v>
      </c>
      <c r="L8" s="70">
        <f>VLOOKUP($H$8&amp;$F$1,'Input RM sheet'!$A:$DD,K1,0)</f>
        <v>745.99</v>
      </c>
      <c r="M8" s="70">
        <f>VLOOKUP($H$8&amp;$F$1,'Input RM sheet'!$A:$DD,L1,0)</f>
        <v>721.47</v>
      </c>
      <c r="N8" s="70">
        <f>VLOOKUP($H$8&amp;$F$1,'Input RM sheet'!$A:$DD,M1,0)</f>
        <v>776.61</v>
      </c>
      <c r="O8" s="70">
        <f>VLOOKUP($H$8&amp;$F$1,'Input RM sheet'!$A:$DD,N1,0)</f>
        <v>777.4</v>
      </c>
      <c r="P8" s="70">
        <f>VLOOKUP($H$8&amp;$F$1,'Input RM sheet'!$A:$DD,O1,0)</f>
        <v>797.21</v>
      </c>
      <c r="Q8" s="70">
        <f>VLOOKUP($H$8&amp;$F$1,'Input RM sheet'!$A:$DD,P1,0)</f>
        <v>840.17</v>
      </c>
      <c r="R8" s="70">
        <f>VLOOKUP($H$8&amp;$F$1,'Input RM sheet'!$A:$DD,Q1,0)</f>
        <v>970.45</v>
      </c>
      <c r="S8" s="70">
        <f>VLOOKUP($H$8&amp;$F$1,'Input RM sheet'!$A:$DD,R1,0)</f>
        <v>1019</v>
      </c>
      <c r="T8" s="70">
        <f>VLOOKUP($H$8&amp;$F$1,'Input RM sheet'!$A:$DD,S1,0)</f>
        <v>1017</v>
      </c>
      <c r="U8" s="70">
        <f>VLOOKUP($H$8&amp;$F$1,'Input RM sheet'!$A:$DD,T1,0)</f>
        <v>1189</v>
      </c>
      <c r="V8" s="70">
        <f>VLOOKUP($H$8&amp;$F$1,'Input RM sheet'!$A:$DD,U1,0)</f>
        <v>1357</v>
      </c>
      <c r="W8" s="70">
        <f>VLOOKUP($H$8&amp;$F$1,'Input RM sheet'!$A:$DD,V1,0)</f>
        <v>1290</v>
      </c>
      <c r="X8" s="70">
        <f>VLOOKUP($H$8&amp;$F$1,'Input RM sheet'!$A:$DD,W1,0)</f>
        <v>1498</v>
      </c>
      <c r="Y8" s="70">
        <f>VLOOKUP($H$8&amp;$F$1,'Input RM sheet'!$A:$DD,X1,0)</f>
        <v>1429</v>
      </c>
      <c r="Z8" s="70">
        <f>VLOOKUP($H$8&amp;$F$1,'Input RM sheet'!$A:$DD,Y1,0)</f>
        <v>1412</v>
      </c>
      <c r="AA8" s="70">
        <f>VLOOKUP($H$8&amp;$F$1,'Input RM sheet'!$A:$DD,Z1,0)</f>
        <v>1328</v>
      </c>
      <c r="AB8" s="70">
        <f>VLOOKUP($H$8&amp;$F$1,'Input RM sheet'!$A:$DD,AA1,0)</f>
        <v>1293</v>
      </c>
      <c r="AC8" s="70">
        <f>VLOOKUP($H$8&amp;$F$1,'Input RM sheet'!$A:$DD,AB1,0)</f>
        <v>1607</v>
      </c>
      <c r="AD8" s="70">
        <f>VLOOKUP($H$8&amp;$F$1,'Input RM sheet'!$A:$DD,AC1,0)</f>
        <v>1460</v>
      </c>
      <c r="AE8" s="70">
        <f>VLOOKUP($H$8&amp;$F$1,'Input RM sheet'!$A:$DD,AD1,0)</f>
        <v>1420</v>
      </c>
      <c r="AF8" s="70">
        <f>VLOOKUP($H$8&amp;$F$1,'Input RM sheet'!$A:$DD,AE1,0)</f>
        <v>1334</v>
      </c>
      <c r="AG8" s="70">
        <f>VLOOKUP($H$8&amp;$F$1,'Input RM sheet'!$A:$DD,AF1,0)</f>
        <v>1298</v>
      </c>
      <c r="AH8" s="70">
        <f>VLOOKUP($H$8&amp;$F$1,'Input RM sheet'!$A:$DD,AG1,0)</f>
        <v>1108</v>
      </c>
      <c r="AI8" s="70">
        <f>VLOOKUP($H$8&amp;$F$1,'Input RM sheet'!$A:$DD,AH1,0)</f>
        <v>1288</v>
      </c>
      <c r="AJ8" s="70">
        <f>VLOOKUP($H$8&amp;$F$1,'Input RM sheet'!$A:$DD,AI1,0)</f>
        <v>1369</v>
      </c>
      <c r="AK8" s="70">
        <f>VLOOKUP($H$8&amp;$F$1,'Input RM sheet'!$A:$DD,AJ1,0)</f>
        <v>1250</v>
      </c>
      <c r="AL8" s="70">
        <f>VLOOKUP($H$8&amp;$F$1,'Input RM sheet'!$A:$DD,AK1,0)</f>
        <v>1027</v>
      </c>
      <c r="AM8" s="70">
        <f>VLOOKUP($H$8&amp;$F$1,'Input RM sheet'!$A:$DD,AL1,0)</f>
        <v>976.52</v>
      </c>
      <c r="AN8" s="70">
        <f>VLOOKUP($H$8&amp;$F$1,'Input RM sheet'!$A:$DD,AM1,0)</f>
        <v>974.06</v>
      </c>
      <c r="AO8" s="70">
        <f>VLOOKUP($H$8&amp;$F$1,'Input RM sheet'!$A:$DD,AN1,0)</f>
        <v>973.26</v>
      </c>
      <c r="AP8" s="70">
        <f>VLOOKUP($H$8&amp;$F$1,'Input RM sheet'!$A:$DD,AO1,0)</f>
        <v>917.96</v>
      </c>
      <c r="AQ8" s="70">
        <f>VLOOKUP($H$8&amp;$F$1,'Input RM sheet'!$A:$DD,AP1,0)</f>
        <v>887.13</v>
      </c>
      <c r="AR8" s="70">
        <f>VLOOKUP($H$8&amp;$F$1,'Input RM sheet'!$A:$DD,AQ1,0)</f>
        <v>920.98</v>
      </c>
      <c r="AS8" s="70">
        <f>VLOOKUP($H$8&amp;$F$1,'Input RM sheet'!$A:$DD,AR1,0)</f>
        <v>938.51</v>
      </c>
      <c r="AT8" s="70">
        <f>VLOOKUP($H$8&amp;$F$1,'Input RM sheet'!$A:$DD,AS1,0)</f>
        <v>945.93</v>
      </c>
      <c r="AU8" s="70">
        <f>VLOOKUP($H$8&amp;$F$1,'Input RM sheet'!$A:$DD,AT1,0)</f>
        <v>917.22</v>
      </c>
      <c r="AV8" s="70">
        <f>VLOOKUP($H$8&amp;$F$1,'Input RM sheet'!$A:$DD,AU1,0)</f>
        <v>943.88</v>
      </c>
      <c r="AW8" s="70">
        <f>VLOOKUP($H$8&amp;$F$1,'Input RM sheet'!$A:$DD,AV1,0)</f>
        <v>898.09</v>
      </c>
      <c r="AX8" s="70">
        <f>VLOOKUP($H$8&amp;$F$1,'Input RM sheet'!$A:$DD,AW1,0)</f>
        <v>876.94</v>
      </c>
      <c r="AY8" s="70">
        <f>VLOOKUP($H$8&amp;$F$1,'Input RM sheet'!$A:$DD,AX1,0)</f>
        <v>876.94</v>
      </c>
      <c r="AZ8" s="70">
        <f>VLOOKUP($H$8&amp;$F$1,'Input RM sheet'!$A:$DD,AY1,0)</f>
        <v>848.99</v>
      </c>
      <c r="BA8" s="70">
        <f>VLOOKUP($H$8&amp;$F$1,'Input RM sheet'!$A:$DD,AZ1,0)</f>
        <v>848.99</v>
      </c>
      <c r="BB8" s="70">
        <f>VLOOKUP($H$8&amp;$F$1,'Input RM sheet'!$A:$DD,BA1,0)</f>
        <v>848.99</v>
      </c>
      <c r="BC8" s="70">
        <f>VLOOKUP($H$8&amp;$F$1,'Input RM sheet'!$A:$DD,BB1,0)</f>
        <v>844.91</v>
      </c>
      <c r="BD8" s="70">
        <f>VLOOKUP($H$8&amp;$F$1,'Input RM sheet'!$A:$DD,BC1,0)</f>
        <v>904.02</v>
      </c>
      <c r="BE8" s="70">
        <f>VLOOKUP($H$8&amp;$F$1,'Input RM sheet'!$A:$DD,BD1,0)</f>
        <v>904.02</v>
      </c>
      <c r="BF8" s="70">
        <f>VLOOKUP($H$8&amp;$F$1,'Input RM sheet'!$A:$DD,BE1,0)</f>
        <v>904.02</v>
      </c>
      <c r="BG8" s="70">
        <f>VLOOKUP($H$8&amp;$F$1,'Input RM sheet'!$A:$DD,BF1,0)</f>
        <v>897.33</v>
      </c>
      <c r="BH8" s="70">
        <f>VLOOKUP($H$8&amp;$F$1,'Input RM sheet'!$A:$DD,BG1,0)</f>
        <v>897.33</v>
      </c>
      <c r="BI8" s="70">
        <f>VLOOKUP($H$8&amp;$F$1,'Input RM sheet'!$A:$DD,BH1,0)</f>
        <v>962.74</v>
      </c>
      <c r="BJ8" s="70">
        <f>VLOOKUP($H$8&amp;$F$1,'Input RM sheet'!$A:$DD,BI1,0)</f>
        <v>962.74</v>
      </c>
      <c r="BK8" s="70">
        <f>VLOOKUP($H$8&amp;$F$1,'Input RM sheet'!$A:$DD,BJ1,0)</f>
        <v>962.74</v>
      </c>
      <c r="BL8" s="70">
        <f>VLOOKUP($H$8&amp;$F$1,'Input RM sheet'!$A:$DD,BK1,0)</f>
        <v>1024</v>
      </c>
      <c r="BM8" s="70">
        <f>VLOOKUP($H$8&amp;$F$1,'Input RM sheet'!$A:$DD,BL1,0)</f>
        <v>1024</v>
      </c>
      <c r="BN8" s="70">
        <f>VLOOKUP($H$8&amp;$F$1,'Input RM sheet'!$A:$DD,BM1,0)</f>
        <v>1024</v>
      </c>
      <c r="BO8" s="70">
        <f>VLOOKUP($H$8&amp;$F$1,'Input RM sheet'!$A:$DD,BN1,0)</f>
        <v>932.12</v>
      </c>
      <c r="BP8" s="70">
        <f>VLOOKUP($H$8&amp;$F$1,'Input RM sheet'!$A:$DD,BO1,0)</f>
        <v>932.12</v>
      </c>
      <c r="BQ8" s="70">
        <f>VLOOKUP($H$8&amp;$F$1,'Input RM sheet'!$A:$DD,BP1,0)</f>
        <v>932.12</v>
      </c>
      <c r="BR8" s="70">
        <f>VLOOKUP($H$8&amp;$F$1,'Input RM sheet'!$A:$DD,BQ1,0)</f>
        <v>932.12</v>
      </c>
      <c r="BS8" s="70">
        <f>VLOOKUP($H$8&amp;$F$1,'Input RM sheet'!$A:$DD,BR1,0)</f>
        <v>896.64</v>
      </c>
      <c r="BT8" s="70">
        <f>VLOOKUP($H$8&amp;$F$1,'Input RM sheet'!$A:$DD,BS1,0)</f>
        <v>896.64</v>
      </c>
      <c r="BU8" s="70">
        <f>VLOOKUP($H$8&amp;$F$1,'Input RM sheet'!$A:$DD,BT1,0)</f>
        <v>896.64</v>
      </c>
      <c r="BV8" s="70">
        <f>VLOOKUP($H$8&amp;$F$1,'Input RM sheet'!$A:$DD,BU1,0)</f>
        <v>896.64</v>
      </c>
      <c r="BW8" s="70">
        <f>VLOOKUP($H$8&amp;$F$1,'Input RM sheet'!$A:$DD,BV1,0)</f>
        <v>910.69</v>
      </c>
      <c r="BX8" s="70">
        <f>VLOOKUP($H$8&amp;$F$1,'Input RM sheet'!$A:$DD,BW1,0)</f>
        <v>910.69</v>
      </c>
      <c r="BY8" s="70">
        <f>VLOOKUP($H$8&amp;$F$1,'Input RM sheet'!$A:$DD,BX1,0)</f>
        <v>910.69</v>
      </c>
      <c r="BZ8" s="70">
        <f>VLOOKUP($H$8&amp;$F$1,'Input RM sheet'!$A:$DD,BY1,0)</f>
        <v>910.69</v>
      </c>
      <c r="CA8" s="70">
        <f>VLOOKUP($H$8&amp;$F$1,'Input RM sheet'!$A:$DD,BZ1,0)</f>
        <v>910.69</v>
      </c>
      <c r="CB8" s="70">
        <f>VLOOKUP($H$8&amp;$F$1,'Input RM sheet'!$A:$DD,CA1,0)</f>
        <v>910.69</v>
      </c>
      <c r="CC8" s="70">
        <f>VLOOKUP($H$8&amp;$F$1,'Input RM sheet'!$A:$DD,CB1,0)</f>
        <v>910.69</v>
      </c>
      <c r="CD8" s="70">
        <f>VLOOKUP($H$8&amp;$F$1,'Input RM sheet'!$A:$DD,CC1,0)</f>
        <v>910.69</v>
      </c>
      <c r="CE8" s="70">
        <f>VLOOKUP($H$8&amp;$F$1,'Input RM sheet'!$A:$DD,CD1,0)</f>
        <v>905.41</v>
      </c>
      <c r="CF8" s="70">
        <f>VLOOKUP($H$8&amp;$F$1,'Input RM sheet'!$A:$DD,CE1,0)</f>
        <v>905.41</v>
      </c>
      <c r="CG8" s="70">
        <f>VLOOKUP($H$8&amp;$F$1,'Input RM sheet'!$A:$DD,CF1,0)</f>
        <v>859.02</v>
      </c>
      <c r="CH8" s="70">
        <f>VLOOKUP($H$8&amp;$F$1,'Input RM sheet'!$A:$DD,CG1,0)</f>
        <v>854.11</v>
      </c>
      <c r="CI8" s="70">
        <f>VLOOKUP($H$8&amp;$F$1,'Input RM sheet'!$A:$DD,CH1,0)</f>
        <v>812.44</v>
      </c>
      <c r="CJ8" s="70">
        <f>VLOOKUP($H$8&amp;$F$1,'Input RM sheet'!$A:$DD,CI1,0)</f>
        <v>812.44</v>
      </c>
      <c r="CK8" s="70">
        <f>VLOOKUP($H$8&amp;$F$1,'Input RM sheet'!$A:$DD,CJ1,0)</f>
        <v>812.44</v>
      </c>
      <c r="CL8" s="70">
        <f>VLOOKUP($H$8&amp;$F$1,'Input RM sheet'!$A:$DD,CK1,0)</f>
        <v>808.14</v>
      </c>
      <c r="CM8" s="70">
        <f>VLOOKUP($H$8&amp;$F$1,'Input RM sheet'!$A:$DD,CL1,0)</f>
        <v>808.14</v>
      </c>
      <c r="CN8" s="70">
        <f>VLOOKUP($H$8&amp;$F$1,'Input RM sheet'!$A:$DD,CM1,0)</f>
        <v>808.14</v>
      </c>
      <c r="CO8" s="70">
        <f>VLOOKUP($H$8&amp;$F$1,'Input RM sheet'!$A:$DD,CN1,0)</f>
        <v>808.14</v>
      </c>
      <c r="CP8" s="70">
        <f>VLOOKUP($H$8&amp;$F$1,'Input RM sheet'!$A:$DD,CO1,0)</f>
        <v>808.14</v>
      </c>
      <c r="CQ8" s="70">
        <f>VLOOKUP($H$8&amp;$F$1,'Input RM sheet'!$A:$DD,CP1,0)</f>
        <v>808.14</v>
      </c>
      <c r="CR8" s="70">
        <f>VLOOKUP($H$8&amp;$F$1,'Input RM sheet'!$A:$DD,CQ1,0)</f>
        <v>815.02</v>
      </c>
      <c r="CS8" s="70">
        <f>VLOOKUP($H$8&amp;$F$1,'Input RM sheet'!$A:$DD,CR1,0)</f>
        <v>811.53</v>
      </c>
      <c r="CT8" s="70">
        <f>VLOOKUP($H$8&amp;$F$1,'Input RM sheet'!$A:$DD,CS1,0)</f>
        <v>811.53</v>
      </c>
      <c r="CU8" s="70">
        <f>VLOOKUP($H$8&amp;$F$1,'Input RM sheet'!$A:$DD,CT1,0)</f>
        <v>806.52</v>
      </c>
      <c r="CV8" s="70">
        <f>VLOOKUP($H$8&amp;$F$1,'Input RM sheet'!$A:$ZZ,CU1,0)</f>
        <v>806.52</v>
      </c>
      <c r="CW8" s="70">
        <f>VLOOKUP($H$8&amp;$F$1,'Input RM sheet'!$A:$ZZ,CV1,0)</f>
        <v>809.98</v>
      </c>
      <c r="CX8" s="70">
        <f>VLOOKUP($H$8&amp;$F$1,'Input RM sheet'!$A:$ZZ,CW1,0)</f>
        <v>809.98</v>
      </c>
      <c r="CY8" s="70">
        <f>VLOOKUP($H$8&amp;$F$1,'Input RM sheet'!$A:$ZZ,CX1,0)</f>
        <v>816.59</v>
      </c>
      <c r="CZ8" s="70">
        <f>VLOOKUP($H$8&amp;$F$1,'Input RM sheet'!$A:$ZZ,CY1,0)</f>
        <v>816.59</v>
      </c>
      <c r="DA8" s="70">
        <f>VLOOKUP($H$8&amp;$F$1,'Input RM sheet'!$A:$ZZ,CZ1,0)</f>
        <v>816.59</v>
      </c>
      <c r="DB8" s="70">
        <f>VLOOKUP($H$8&amp;$F$1,'Input RM sheet'!$A:$ZZ,DA1,0)</f>
        <v>816.59</v>
      </c>
      <c r="DC8" s="70">
        <f>VLOOKUP($H$8&amp;$F$1,'Input RM sheet'!$A:$ZZ,DB1,0)</f>
        <v>816.59</v>
      </c>
      <c r="DD8" s="70">
        <f>VLOOKUP($H$8&amp;$F$1,'Input RM sheet'!$A:$ZZ,DC1,0)</f>
        <v>816.59</v>
      </c>
      <c r="DE8" s="70">
        <f>VLOOKUP($H$8&amp;$F$1,'Input RM sheet'!$A:$ZZ,DD1,0)</f>
        <v>816.59</v>
      </c>
      <c r="DF8" s="70">
        <f>VLOOKUP($H$8&amp;$F$1,'Input RM sheet'!$A:$ZZ,DE1,0)</f>
        <v>816.59</v>
      </c>
      <c r="DG8" s="70">
        <f>VLOOKUP($H$8&amp;$F$1,'Input RM sheet'!$A:$ZZ,DF1,0)</f>
        <v>816.59</v>
      </c>
      <c r="DH8" s="70">
        <f>VLOOKUP($H$8&amp;$F$1,'Input RM sheet'!$A:$ZZ,DG1,0)</f>
        <v>770.39</v>
      </c>
      <c r="DI8" s="70">
        <f>VLOOKUP($H$8&amp;$F$1,'Input RM sheet'!$A:$ZZ,DH1,0)</f>
        <v>770.39</v>
      </c>
      <c r="DJ8" s="70">
        <f>VLOOKUP($H$8&amp;$F$1,'Input RM sheet'!$A:$ZZ,DI1,0)</f>
        <v>770.39</v>
      </c>
      <c r="DK8" s="70">
        <f>VLOOKUP($H$8&amp;$F$1,'Input RM sheet'!$A:$ZZ,DJ1,0)</f>
        <v>770.39</v>
      </c>
      <c r="DL8" s="70">
        <f>VLOOKUP($H$8&amp;$F$1,'Input RM sheet'!$A:$ZZ,DK1,0)</f>
        <v>770.39</v>
      </c>
      <c r="DM8" s="70">
        <f>VLOOKUP($H$8&amp;$F$1,'Input RM sheet'!$A:$ZZ,DL1,0)</f>
        <v>800.6</v>
      </c>
      <c r="DN8" s="70">
        <f>VLOOKUP($H$8&amp;$F$1,'Input RM sheet'!$A:$ZZ,DM1,0)</f>
        <v>758.58</v>
      </c>
      <c r="DO8" s="70">
        <f>VLOOKUP($H$8&amp;$F$1,'Input RM sheet'!$A:$ZZ,DN1,0)</f>
        <v>758.58</v>
      </c>
      <c r="DP8" s="70">
        <f>VLOOKUP($H$8&amp;$F$1,'Input RM sheet'!$A:$ZZ,DO1,0)</f>
        <v>758.58</v>
      </c>
      <c r="DQ8" s="70">
        <f>VLOOKUP($H$8&amp;$F$1,'Input RM sheet'!$A:$ZZ,DP1,0)</f>
        <v>735.55</v>
      </c>
      <c r="DR8" s="70">
        <f>VLOOKUP($H$8&amp;$F$1,'Input RM sheet'!$A:$ZZ,DQ1,0)</f>
        <v>735.55</v>
      </c>
      <c r="DS8" s="70">
        <f>VLOOKUP($H$8&amp;$F$1,'Input RM sheet'!$A:$ZZ,DR1,0)</f>
        <v>735.55</v>
      </c>
      <c r="DT8" s="70">
        <f>VLOOKUP($H$8&amp;$F$1,'Input RM sheet'!$A:$ZZ,DS1,0)</f>
        <v>0</v>
      </c>
      <c r="DU8" s="70">
        <f>VLOOKUP($H$8&amp;$F$1,'Input RM sheet'!$A:$ZZ,DT1,0)</f>
        <v>0</v>
      </c>
      <c r="DV8" s="70">
        <f>VLOOKUP($H$8&amp;$F$1,'Input RM sheet'!$A:$ZZ,DU1,0)</f>
        <v>0</v>
      </c>
      <c r="DW8" s="70">
        <f>VLOOKUP($H$8&amp;$F$1,'Input RM sheet'!$A:$ZZ,DV1,0)</f>
        <v>0</v>
      </c>
      <c r="DX8" s="70">
        <f>VLOOKUP($H$8&amp;$F$1,'Input RM sheet'!$A:$ZZ,DW1,0)</f>
        <v>0</v>
      </c>
      <c r="DY8" s="70">
        <f>VLOOKUP($H$8&amp;$F$1,'Input RM sheet'!$A:$ZZ,DX1,0)</f>
        <v>0</v>
      </c>
      <c r="DZ8" s="70">
        <f>VLOOKUP($H$8&amp;$F$1,'Input RM sheet'!$A:$ZZ,DY1,0)</f>
        <v>0</v>
      </c>
      <c r="EA8" s="70">
        <f>VLOOKUP($H$8&amp;$F$1,'Input RM sheet'!$A:$ZZ,DZ1,0)</f>
        <v>0</v>
      </c>
      <c r="EB8" s="70">
        <f>VLOOKUP($H$8&amp;$F$1,'Input RM sheet'!$A:$ZZ,EA1,0)</f>
        <v>0</v>
      </c>
      <c r="EC8" s="70">
        <f>VLOOKUP($H$8&amp;$F$1,'Input RM sheet'!$A:$ZZ,EB1,0)</f>
        <v>0</v>
      </c>
      <c r="ED8" s="70">
        <f>VLOOKUP($H$8&amp;$F$1,'Input RM sheet'!$A:$ZZ,EC1,0)</f>
        <v>0</v>
      </c>
      <c r="EE8" s="70">
        <f>VLOOKUP($H$8&amp;$F$1,'Input RM sheet'!$A:$ZZ,ED1,0)</f>
        <v>0</v>
      </c>
      <c r="EF8" s="70">
        <f>VLOOKUP($H$8&amp;$F$1,'Input RM sheet'!$A:$ZZ,EE1,0)</f>
        <v>0</v>
      </c>
      <c r="EG8" s="70">
        <f>VLOOKUP($H$8&amp;$F$1,'Input RM sheet'!$A:$ZZ,EF1,0)</f>
        <v>0</v>
      </c>
      <c r="EH8" s="70">
        <f>VLOOKUP($H$8&amp;$F$1,'Input RM sheet'!$A:$ZZ,EG1,0)</f>
        <v>0</v>
      </c>
      <c r="EI8" s="70">
        <f>VLOOKUP($H$8&amp;$F$1,'Input RM sheet'!$A:$ZZ,EH1,0)</f>
        <v>0</v>
      </c>
      <c r="EJ8" s="70">
        <f>VLOOKUP($H$8&amp;$F$1,'Input RM sheet'!$A:$ZZ,EI1,0)</f>
        <v>0</v>
      </c>
      <c r="EK8" s="70">
        <f>VLOOKUP($H$8&amp;$F$1,'Input RM sheet'!$A:$ZZ,EJ1,0)</f>
        <v>0</v>
      </c>
      <c r="EL8" s="70">
        <f>VLOOKUP($H$8&amp;$F$1,'Input RM sheet'!$A:$ZZ,EK1,0)</f>
        <v>0</v>
      </c>
      <c r="EM8" s="70">
        <f>VLOOKUP($H$8&amp;$F$1,'Input RM sheet'!$A:$ZZ,EL1,0)</f>
        <v>0</v>
      </c>
      <c r="EN8" s="70">
        <f>VLOOKUP($H$8&amp;$F$1,'Input RM sheet'!$A:$ZZ,EM1,0)</f>
        <v>0</v>
      </c>
    </row>
    <row r="9" spans="1:156">
      <c r="H9" s="60" t="s">
        <v>675</v>
      </c>
      <c r="I9" s="74"/>
      <c r="J9" s="74"/>
      <c r="K9" s="74"/>
      <c r="L9" s="74"/>
      <c r="M9" s="74"/>
      <c r="N9" s="74"/>
      <c r="O9" s="74"/>
      <c r="P9" s="74"/>
      <c r="Q9" s="74"/>
      <c r="R9" s="74"/>
      <c r="S9" s="74"/>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74"/>
      <c r="BG9" s="74"/>
      <c r="BH9" s="74"/>
      <c r="BI9" s="74"/>
      <c r="BJ9" s="74"/>
      <c r="BK9" s="74"/>
      <c r="BL9" s="74"/>
      <c r="BM9" s="74"/>
      <c r="BN9" s="74"/>
      <c r="BO9" s="74"/>
      <c r="BP9" s="74"/>
      <c r="BQ9" s="74"/>
      <c r="BR9" s="74"/>
      <c r="BS9" s="74"/>
      <c r="BT9" s="74"/>
      <c r="BU9" s="74"/>
      <c r="BV9" s="74"/>
      <c r="BW9" s="74"/>
      <c r="BX9" s="74"/>
      <c r="BY9" s="74"/>
      <c r="BZ9" s="74"/>
      <c r="CA9" s="74"/>
      <c r="CB9" s="74"/>
      <c r="CC9" s="74"/>
      <c r="CD9" s="74"/>
      <c r="CE9" s="74"/>
      <c r="CF9" s="74"/>
      <c r="CG9" s="74"/>
      <c r="CH9" s="74"/>
      <c r="CI9" s="74"/>
      <c r="CJ9" s="74"/>
      <c r="CK9" s="74"/>
      <c r="CL9" s="74"/>
      <c r="CM9" s="74"/>
      <c r="CN9" s="74"/>
      <c r="CO9" s="74"/>
      <c r="CP9" s="74"/>
      <c r="CQ9" s="74"/>
      <c r="CR9" s="74"/>
      <c r="CS9" s="74"/>
      <c r="CT9" s="74"/>
      <c r="CU9" s="74"/>
      <c r="CV9" s="74"/>
      <c r="CW9" s="74"/>
      <c r="CX9" s="74"/>
      <c r="CY9" s="74"/>
      <c r="CZ9" s="74"/>
      <c r="DA9" s="74"/>
      <c r="DB9" s="74"/>
      <c r="DC9" s="74"/>
      <c r="DD9" s="74"/>
      <c r="DE9" s="74"/>
      <c r="DF9" s="74"/>
      <c r="DG9" s="74"/>
      <c r="DH9" s="74"/>
      <c r="DI9" s="74"/>
      <c r="DJ9" s="74"/>
      <c r="DK9" s="74"/>
      <c r="DL9" s="74"/>
      <c r="DM9" s="74"/>
      <c r="DN9" s="74"/>
      <c r="DO9" s="74"/>
      <c r="DP9" s="74"/>
      <c r="DQ9" s="74"/>
      <c r="DR9" s="74"/>
      <c r="DS9" s="74"/>
      <c r="DT9" s="74"/>
      <c r="DU9" s="74"/>
      <c r="DV9" s="74"/>
      <c r="DW9" s="74"/>
      <c r="DX9" s="74"/>
      <c r="DY9" s="74"/>
      <c r="DZ9" s="74"/>
      <c r="EA9" s="74"/>
      <c r="EB9" s="74"/>
      <c r="EC9" s="74"/>
      <c r="ED9" s="74"/>
      <c r="EE9" s="74"/>
      <c r="EF9" s="74"/>
      <c r="EG9" s="74"/>
      <c r="EH9" s="74"/>
      <c r="EI9" s="74"/>
      <c r="EJ9" s="74"/>
      <c r="EK9" s="74"/>
      <c r="EL9" s="74"/>
      <c r="EM9" s="74"/>
      <c r="EN9" s="74"/>
    </row>
    <row r="10" spans="1:156" ht="39">
      <c r="A10" s="59" t="s">
        <v>395</v>
      </c>
      <c r="B10" s="59"/>
      <c r="C10" s="59" t="s">
        <v>379</v>
      </c>
      <c r="D10" s="98" t="s">
        <v>380</v>
      </c>
      <c r="E10" s="98" t="s">
        <v>381</v>
      </c>
      <c r="F10" s="59" t="s">
        <v>396</v>
      </c>
      <c r="H10" s="60" t="s">
        <v>399</v>
      </c>
      <c r="I10" s="84"/>
      <c r="J10" s="84"/>
      <c r="K10" s="84"/>
      <c r="L10" s="84"/>
      <c r="M10" s="84"/>
      <c r="N10" s="84"/>
      <c r="O10" s="84"/>
      <c r="P10" s="84"/>
      <c r="Q10" s="84"/>
      <c r="R10" s="84"/>
      <c r="S10" s="84"/>
      <c r="T10" s="84"/>
      <c r="U10" s="84"/>
      <c r="V10" s="84"/>
      <c r="W10" s="84"/>
      <c r="X10" s="84"/>
      <c r="Y10" s="84"/>
      <c r="Z10" s="84"/>
      <c r="AA10" s="84"/>
      <c r="AB10" s="84"/>
      <c r="AC10" s="84"/>
      <c r="AD10" s="84"/>
      <c r="AE10" s="84"/>
      <c r="AF10" s="84"/>
      <c r="AG10" s="84"/>
      <c r="AH10" s="84"/>
      <c r="AI10" s="84"/>
      <c r="AJ10" s="84"/>
      <c r="AK10" s="84"/>
      <c r="AL10" s="84"/>
      <c r="AM10" s="84"/>
      <c r="AN10" s="84"/>
      <c r="AO10" s="84"/>
      <c r="AP10" s="84"/>
      <c r="AQ10" s="84"/>
      <c r="AR10" s="84"/>
      <c r="AS10" s="84"/>
      <c r="AT10" s="84"/>
      <c r="AU10" s="84"/>
      <c r="AV10" s="84"/>
      <c r="AW10" s="84"/>
      <c r="AX10" s="84"/>
      <c r="AY10" s="84"/>
      <c r="AZ10" s="84"/>
      <c r="BA10" s="84"/>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84"/>
      <c r="CE10" s="84"/>
      <c r="CF10" s="84"/>
      <c r="CG10" s="84"/>
      <c r="CH10" s="84"/>
      <c r="CI10" s="84"/>
      <c r="CJ10" s="84"/>
      <c r="CK10" s="84"/>
      <c r="CL10" s="84"/>
      <c r="CM10" s="84"/>
      <c r="CN10" s="84"/>
      <c r="CO10" s="84"/>
      <c r="CP10" s="84"/>
      <c r="CQ10" s="84"/>
      <c r="CR10" s="84"/>
      <c r="CS10" s="84"/>
      <c r="CT10" s="84"/>
      <c r="CU10" s="84"/>
      <c r="CV10" s="84"/>
      <c r="CW10" s="84"/>
      <c r="CX10" s="84"/>
      <c r="CY10" s="84"/>
      <c r="CZ10" s="84"/>
      <c r="DA10" s="84"/>
      <c r="DB10" s="84"/>
      <c r="DC10" s="84"/>
      <c r="DD10" s="84"/>
      <c r="DE10" s="84"/>
      <c r="DF10" s="84"/>
      <c r="DG10" s="84"/>
      <c r="DH10" s="84"/>
      <c r="DI10" s="84"/>
      <c r="DJ10" s="84"/>
      <c r="DK10" s="84"/>
      <c r="DL10" s="84"/>
      <c r="DM10" s="84"/>
      <c r="DN10" s="84"/>
      <c r="DO10" s="84"/>
      <c r="DP10" s="84"/>
      <c r="DQ10" s="84"/>
      <c r="DR10" s="84"/>
      <c r="DS10" s="84"/>
      <c r="DT10" s="84"/>
      <c r="DU10" s="84"/>
      <c r="DV10" s="84"/>
      <c r="DW10" s="84"/>
      <c r="DX10" s="84"/>
      <c r="DY10" s="84"/>
      <c r="DZ10" s="84"/>
      <c r="EA10" s="84"/>
      <c r="EB10" s="84"/>
      <c r="EC10" s="84"/>
      <c r="ED10" s="84"/>
      <c r="EE10" s="84"/>
      <c r="EF10" s="84"/>
      <c r="EG10" s="84"/>
      <c r="EH10" s="84"/>
      <c r="EI10" s="84"/>
      <c r="EJ10" s="84"/>
      <c r="EK10" s="84"/>
      <c r="EL10" s="84"/>
      <c r="EM10" s="84"/>
      <c r="EN10" s="84"/>
    </row>
    <row r="11" spans="1:156" ht="13">
      <c r="A11" s="107" t="s">
        <v>397</v>
      </c>
      <c r="B11" s="107" t="s">
        <v>676</v>
      </c>
      <c r="C11" s="60">
        <v>1</v>
      </c>
      <c r="D11" s="60">
        <v>60.05</v>
      </c>
      <c r="E11" s="60">
        <f>D11*C11</f>
        <v>60.05</v>
      </c>
      <c r="F11" s="65">
        <f>E11/E2</f>
        <v>0.46142615644690338</v>
      </c>
      <c r="I11" s="74">
        <f>$F$11*(I7/1000)</f>
        <v>0.17280409558936533</v>
      </c>
      <c r="J11" s="74">
        <f>$F$11*(J7/1000)</f>
        <v>0.17332320001536808</v>
      </c>
      <c r="K11" s="74">
        <f>$F$11*(K7/1000)</f>
        <v>0.15688489319194715</v>
      </c>
      <c r="L11" s="74">
        <f t="shared" ref="L11:BJ11" si="0">$F$11*(L7/1000)</f>
        <v>0.14477245658521593</v>
      </c>
      <c r="M11" s="74">
        <f t="shared" si="0"/>
        <v>0.15042492700169049</v>
      </c>
      <c r="N11" s="74">
        <f t="shared" si="0"/>
        <v>0.14534923928077456</v>
      </c>
      <c r="O11" s="74">
        <f t="shared" si="0"/>
        <v>0.15573132780082991</v>
      </c>
      <c r="P11" s="74">
        <f t="shared" si="0"/>
        <v>0.15573132780082991</v>
      </c>
      <c r="Q11" s="74">
        <f t="shared" si="0"/>
        <v>0.16669019901644386</v>
      </c>
      <c r="R11" s="74">
        <f t="shared" si="0"/>
        <v>0.17834120946672816</v>
      </c>
      <c r="S11" s="74">
        <f t="shared" si="0"/>
        <v>0.19668289918549256</v>
      </c>
      <c r="T11" s="74">
        <f t="shared" si="0"/>
        <v>0.31088587290610115</v>
      </c>
      <c r="U11" s="74">
        <f t="shared" si="0"/>
        <v>0.29790826225603201</v>
      </c>
      <c r="V11" s="74">
        <f t="shared" si="0"/>
        <v>0.37490875211310898</v>
      </c>
      <c r="W11" s="74">
        <f t="shared" si="0"/>
        <v>0.44896765022283697</v>
      </c>
      <c r="X11" s="74">
        <f t="shared" si="0"/>
        <v>0.46004187797756269</v>
      </c>
      <c r="Y11" s="74">
        <f t="shared" si="0"/>
        <v>0.47988320270477952</v>
      </c>
      <c r="Z11" s="74">
        <f t="shared" si="0"/>
        <v>0.47007789688028284</v>
      </c>
      <c r="AA11" s="74">
        <f t="shared" si="0"/>
        <v>0.41389926233287233</v>
      </c>
      <c r="AB11" s="74">
        <f t="shared" si="0"/>
        <v>0.39740327723989549</v>
      </c>
      <c r="AC11" s="74">
        <f t="shared" si="0"/>
        <v>0.44931371984017215</v>
      </c>
      <c r="AD11" s="74">
        <f t="shared" si="0"/>
        <v>0.56616989396035045</v>
      </c>
      <c r="AE11" s="74">
        <f t="shared" si="0"/>
        <v>0.48565102966036583</v>
      </c>
      <c r="AF11" s="74">
        <f t="shared" si="0"/>
        <v>0.4086505398032888</v>
      </c>
      <c r="AG11" s="74">
        <f t="shared" si="0"/>
        <v>0.36971770785308133</v>
      </c>
      <c r="AH11" s="74">
        <f t="shared" si="0"/>
        <v>0.32559383164284617</v>
      </c>
      <c r="AI11" s="74">
        <f t="shared" si="0"/>
        <v>0.32386348355617034</v>
      </c>
      <c r="AJ11" s="74">
        <f t="shared" si="0"/>
        <v>0.36175810665437225</v>
      </c>
      <c r="AK11" s="74">
        <f t="shared" si="0"/>
        <v>0.33684109420623948</v>
      </c>
      <c r="AL11" s="74">
        <f t="shared" si="0"/>
        <v>0.32472865759950825</v>
      </c>
      <c r="AM11" s="74">
        <f t="shared" si="0"/>
        <v>0.26808859689565084</v>
      </c>
      <c r="AN11" s="74">
        <f t="shared" si="0"/>
        <v>0.24513264561241743</v>
      </c>
      <c r="AO11" s="74">
        <f t="shared" si="0"/>
        <v>0.22863666051944062</v>
      </c>
      <c r="AP11" s="74">
        <f t="shared" si="0"/>
        <v>0.21975420700783774</v>
      </c>
      <c r="AQ11" s="74">
        <f t="shared" si="0"/>
        <v>0.2191774243122791</v>
      </c>
      <c r="AR11" s="74">
        <f t="shared" si="0"/>
        <v>0.20302750883663748</v>
      </c>
      <c r="AS11" s="74">
        <f t="shared" si="0"/>
        <v>0.20302750883663748</v>
      </c>
      <c r="AT11" s="74">
        <f t="shared" si="0"/>
        <v>0.20533463961887199</v>
      </c>
      <c r="AU11" s="74">
        <f t="shared" si="0"/>
        <v>0.20856462271400034</v>
      </c>
      <c r="AV11" s="74">
        <f t="shared" si="0"/>
        <v>0.20648820500998927</v>
      </c>
      <c r="AW11" s="74">
        <f t="shared" si="0"/>
        <v>0.20994890118334106</v>
      </c>
      <c r="AX11" s="74">
        <f t="shared" si="0"/>
        <v>0.21225603196557558</v>
      </c>
      <c r="AY11" s="74">
        <f t="shared" si="0"/>
        <v>0.19149185492546489</v>
      </c>
      <c r="AZ11" s="74">
        <f t="shared" si="0"/>
        <v>0.20072037805440296</v>
      </c>
      <c r="BA11" s="74">
        <f t="shared" si="0"/>
        <v>0.20533463961887199</v>
      </c>
      <c r="BB11" s="74">
        <f t="shared" si="0"/>
        <v>0.19610611648993392</v>
      </c>
      <c r="BC11" s="74">
        <f t="shared" si="0"/>
        <v>0.19610611648993392</v>
      </c>
      <c r="BD11" s="74">
        <f t="shared" si="0"/>
        <v>0.20302750883663748</v>
      </c>
      <c r="BE11" s="74">
        <f t="shared" si="0"/>
        <v>0.21456316274781009</v>
      </c>
      <c r="BF11" s="74">
        <f t="shared" si="0"/>
        <v>0.22148455509451362</v>
      </c>
      <c r="BG11" s="74">
        <f t="shared" si="0"/>
        <v>0.23532733978792073</v>
      </c>
      <c r="BH11" s="74">
        <f t="shared" si="0"/>
        <v>0.24109516674350701</v>
      </c>
      <c r="BI11" s="74">
        <f t="shared" si="0"/>
        <v>0.26878073613032122</v>
      </c>
      <c r="BJ11" s="74">
        <f t="shared" si="0"/>
        <v>0.28262352082372832</v>
      </c>
      <c r="BK11" s="74">
        <f t="shared" ref="BK11:BP11" si="1">$F$11*(BK7/1000)</f>
        <v>0.27339499769479025</v>
      </c>
      <c r="BL11" s="74">
        <f t="shared" si="1"/>
        <v>0.26024435223605347</v>
      </c>
      <c r="BM11" s="74">
        <f t="shared" si="1"/>
        <v>0.23532733978792073</v>
      </c>
      <c r="BN11" s="74">
        <f t="shared" si="1"/>
        <v>0.2191774243122791</v>
      </c>
      <c r="BO11" s="74">
        <f t="shared" si="1"/>
        <v>0.20994890118334106</v>
      </c>
      <c r="BP11" s="74">
        <f t="shared" si="1"/>
        <v>0.20072037805440296</v>
      </c>
      <c r="BQ11" s="74">
        <f t="shared" ref="BQ11:BV11" si="2">$F$11*(BQ7/1000)</f>
        <v>0.20072037805440296</v>
      </c>
      <c r="BR11" s="74">
        <f t="shared" si="2"/>
        <v>0.20072037805440296</v>
      </c>
      <c r="BS11" s="74">
        <f t="shared" si="2"/>
        <v>0.20072037805440296</v>
      </c>
      <c r="BT11" s="74">
        <f t="shared" si="2"/>
        <v>0.22148455509451362</v>
      </c>
      <c r="BU11" s="74">
        <f t="shared" si="2"/>
        <v>0.20764177040110651</v>
      </c>
      <c r="BV11" s="74">
        <f t="shared" si="2"/>
        <v>0.20879533579222379</v>
      </c>
      <c r="BW11" s="74">
        <f>$F$11*(BW7/1000)</f>
        <v>0.20764177040110651</v>
      </c>
      <c r="BX11" s="74">
        <f>$F$11*(BX7/1000)</f>
        <v>0.20533463961887199</v>
      </c>
      <c r="BY11" s="74">
        <f>$F$11*(BY7/1000)</f>
        <v>0.20533463961887199</v>
      </c>
      <c r="BZ11" s="74">
        <f>$F$11*(BZ7/1000)</f>
        <v>0.20994890118334106</v>
      </c>
      <c r="CA11" s="74">
        <f>$F$11*(CA7/1000)</f>
        <v>0.20994890118334106</v>
      </c>
      <c r="CB11" s="74">
        <f t="shared" ref="CB11:CH11" si="3">$F$11*(CB7/1000)</f>
        <v>0.21317888427846937</v>
      </c>
      <c r="CC11" s="74">
        <f t="shared" si="3"/>
        <v>0.2111024665744583</v>
      </c>
      <c r="CD11" s="74">
        <f t="shared" si="3"/>
        <v>0.21456316274781009</v>
      </c>
      <c r="CE11" s="74">
        <f t="shared" si="3"/>
        <v>0.21456316274781009</v>
      </c>
      <c r="CF11" s="74">
        <f t="shared" si="3"/>
        <v>0.21456316274781009</v>
      </c>
      <c r="CG11" s="74">
        <f t="shared" si="3"/>
        <v>0.20994890118334106</v>
      </c>
      <c r="CH11" s="74">
        <f t="shared" si="3"/>
        <v>0.20879533579222379</v>
      </c>
      <c r="CI11" s="74">
        <f>$F$11*(CI7/1000)</f>
        <v>0.21687029353004458</v>
      </c>
      <c r="CJ11" s="74">
        <f>$F$11*(CJ7/1000)</f>
        <v>0.2191774243122791</v>
      </c>
      <c r="CK11" s="74">
        <f>$F$11*(CK7/1000)</f>
        <v>0.2191774243122791</v>
      </c>
      <c r="CL11" s="74">
        <f>$F$11*(CL7/1000)</f>
        <v>0.2191774243122791</v>
      </c>
      <c r="CM11" s="74">
        <f>$F$11*(CM7/1000)</f>
        <v>0.2191774243122791</v>
      </c>
      <c r="CN11" s="74">
        <f t="shared" ref="CN11:CV11" si="4">$F$11*(CN7/1000)</f>
        <v>0.21225603196557558</v>
      </c>
      <c r="CO11" s="74">
        <f t="shared" si="4"/>
        <v>0.21225603196557558</v>
      </c>
      <c r="CP11" s="74">
        <f t="shared" si="4"/>
        <v>0.21225603196557558</v>
      </c>
      <c r="CQ11" s="74">
        <f t="shared" si="4"/>
        <v>0.20764177040110651</v>
      </c>
      <c r="CR11" s="74">
        <f t="shared" si="4"/>
        <v>0.20533463961887199</v>
      </c>
      <c r="CS11" s="74">
        <f t="shared" si="4"/>
        <v>0.20764177040110651</v>
      </c>
      <c r="CT11" s="74">
        <f t="shared" si="4"/>
        <v>0.20533463961887199</v>
      </c>
      <c r="CU11" s="74">
        <f t="shared" si="4"/>
        <v>0.20302750883663748</v>
      </c>
      <c r="CV11" s="74">
        <f t="shared" si="4"/>
        <v>0.20187394344552023</v>
      </c>
      <c r="CW11" s="74">
        <f>$F$11*(CW7/1000)</f>
        <v>0.20187394344552023</v>
      </c>
      <c r="CX11" s="74">
        <f>$F$11*(CX7/1000)</f>
        <v>0.20302750883663748</v>
      </c>
      <c r="CY11" s="74">
        <f>$F$11*(CY7/1000)</f>
        <v>0.20533463961887199</v>
      </c>
      <c r="CZ11" s="74">
        <f t="shared" ref="CZ11:EN11" si="5">$F$11*(CZ7/1000)</f>
        <v>0.20533463961887199</v>
      </c>
      <c r="DA11" s="74">
        <f t="shared" si="5"/>
        <v>0.20533463961887199</v>
      </c>
      <c r="DB11" s="74">
        <f t="shared" si="5"/>
        <v>0.20856462271400034</v>
      </c>
      <c r="DC11" s="74">
        <f t="shared" si="5"/>
        <v>0.20856462271400034</v>
      </c>
      <c r="DD11" s="74">
        <f t="shared" si="5"/>
        <v>0.2039503611495313</v>
      </c>
      <c r="DE11" s="74">
        <f t="shared" si="5"/>
        <v>0.2039503611495313</v>
      </c>
      <c r="DF11" s="74">
        <f t="shared" si="5"/>
        <v>0.20302750883663748</v>
      </c>
      <c r="DG11" s="74">
        <f t="shared" si="5"/>
        <v>0.19956681266328571</v>
      </c>
      <c r="DH11" s="74">
        <f t="shared" si="5"/>
        <v>0.19956681266328571</v>
      </c>
      <c r="DI11" s="74">
        <f t="shared" si="5"/>
        <v>0.1972596818810512</v>
      </c>
      <c r="DJ11" s="74">
        <f t="shared" si="5"/>
        <v>0.19610611648993392</v>
      </c>
      <c r="DK11" s="74">
        <f t="shared" si="5"/>
        <v>0.19379898570769941</v>
      </c>
      <c r="DL11" s="74">
        <f t="shared" si="5"/>
        <v>0.19264542031658216</v>
      </c>
      <c r="DM11" s="74">
        <f t="shared" si="5"/>
        <v>0.19033828953434764</v>
      </c>
      <c r="DN11" s="74">
        <f t="shared" si="5"/>
        <v>0.18803115875211313</v>
      </c>
      <c r="DO11" s="74">
        <f t="shared" si="5"/>
        <v>0.18803115875211313</v>
      </c>
      <c r="DP11" s="74">
        <f t="shared" si="5"/>
        <v>0.18803115875211313</v>
      </c>
      <c r="DQ11" s="74">
        <f t="shared" si="5"/>
        <v>0.18803115875211313</v>
      </c>
      <c r="DR11" s="74">
        <f t="shared" si="5"/>
        <v>0.18687759336099588</v>
      </c>
      <c r="DS11" s="74">
        <f t="shared" si="5"/>
        <v>0.18687759336099588</v>
      </c>
      <c r="DT11" s="74">
        <f t="shared" si="5"/>
        <v>0</v>
      </c>
      <c r="DU11" s="74">
        <f t="shared" si="5"/>
        <v>0</v>
      </c>
      <c r="DV11" s="74">
        <f t="shared" si="5"/>
        <v>0</v>
      </c>
      <c r="DW11" s="74">
        <f t="shared" si="5"/>
        <v>0</v>
      </c>
      <c r="DX11" s="74">
        <f t="shared" si="5"/>
        <v>0</v>
      </c>
      <c r="DY11" s="74">
        <f t="shared" si="5"/>
        <v>0</v>
      </c>
      <c r="DZ11" s="74">
        <f t="shared" si="5"/>
        <v>0</v>
      </c>
      <c r="EA11" s="74">
        <f t="shared" si="5"/>
        <v>0</v>
      </c>
      <c r="EB11" s="74">
        <f t="shared" si="5"/>
        <v>0</v>
      </c>
      <c r="EC11" s="74">
        <f t="shared" si="5"/>
        <v>0</v>
      </c>
      <c r="ED11" s="74">
        <f t="shared" si="5"/>
        <v>0</v>
      </c>
      <c r="EE11" s="74">
        <f t="shared" si="5"/>
        <v>0</v>
      </c>
      <c r="EF11" s="74">
        <f t="shared" si="5"/>
        <v>0</v>
      </c>
      <c r="EG11" s="74">
        <f t="shared" si="5"/>
        <v>0</v>
      </c>
      <c r="EH11" s="74">
        <f t="shared" si="5"/>
        <v>0</v>
      </c>
      <c r="EI11" s="74">
        <f t="shared" si="5"/>
        <v>0</v>
      </c>
      <c r="EJ11" s="74">
        <f t="shared" si="5"/>
        <v>0</v>
      </c>
      <c r="EK11" s="74">
        <f t="shared" si="5"/>
        <v>0</v>
      </c>
      <c r="EL11" s="74">
        <f t="shared" si="5"/>
        <v>0</v>
      </c>
      <c r="EM11" s="74">
        <f t="shared" si="5"/>
        <v>0</v>
      </c>
      <c r="EN11" s="74">
        <f t="shared" si="5"/>
        <v>0</v>
      </c>
    </row>
    <row r="12" spans="1:156">
      <c r="A12" s="67"/>
      <c r="B12" s="30" t="s">
        <v>674</v>
      </c>
      <c r="C12" s="60">
        <v>1</v>
      </c>
      <c r="D12" s="60">
        <v>88.11</v>
      </c>
      <c r="E12" s="60">
        <f>D12*C12</f>
        <v>88.11</v>
      </c>
      <c r="F12" s="65">
        <f>E12/E2</f>
        <v>0.67704011065006919</v>
      </c>
      <c r="I12" s="74">
        <f>$F$12*(I8/1000)</f>
        <v>0.55731910788381744</v>
      </c>
      <c r="J12" s="74">
        <f>$F$12*(J8/1000)</f>
        <v>0.5467911341632089</v>
      </c>
      <c r="K12" s="74">
        <f>$F$12*(K8/1000)</f>
        <v>0.45670417704011063</v>
      </c>
      <c r="L12" s="74">
        <f t="shared" ref="L12:BJ12" si="6">$F$12*(L8/1000)</f>
        <v>0.50506515214384518</v>
      </c>
      <c r="M12" s="74">
        <f t="shared" si="6"/>
        <v>0.48846412863070549</v>
      </c>
      <c r="N12" s="74">
        <f t="shared" si="6"/>
        <v>0.52579612033195022</v>
      </c>
      <c r="O12" s="74">
        <f t="shared" si="6"/>
        <v>0.52633098201936379</v>
      </c>
      <c r="P12" s="74">
        <f t="shared" si="6"/>
        <v>0.53974314661134171</v>
      </c>
      <c r="Q12" s="74">
        <f t="shared" si="6"/>
        <v>0.56882878976486861</v>
      </c>
      <c r="R12" s="74">
        <f t="shared" si="6"/>
        <v>0.65703357538035967</v>
      </c>
      <c r="S12" s="74">
        <f t="shared" si="6"/>
        <v>0.68990387275242049</v>
      </c>
      <c r="T12" s="74">
        <f t="shared" si="6"/>
        <v>0.68854979253112025</v>
      </c>
      <c r="U12" s="74">
        <f t="shared" si="6"/>
        <v>0.8050006915629323</v>
      </c>
      <c r="V12" s="74">
        <f t="shared" si="6"/>
        <v>0.91874343015214388</v>
      </c>
      <c r="W12" s="74">
        <f t="shared" si="6"/>
        <v>0.87338174273858926</v>
      </c>
      <c r="X12" s="74">
        <f t="shared" si="6"/>
        <v>1.0142060857538036</v>
      </c>
      <c r="Y12" s="74">
        <f t="shared" si="6"/>
        <v>0.96749031811894892</v>
      </c>
      <c r="Z12" s="74">
        <f t="shared" si="6"/>
        <v>0.95598063623789764</v>
      </c>
      <c r="AA12" s="74">
        <f t="shared" si="6"/>
        <v>0.89910926694329196</v>
      </c>
      <c r="AB12" s="74">
        <f t="shared" si="6"/>
        <v>0.87541286307053945</v>
      </c>
      <c r="AC12" s="74">
        <f t="shared" si="6"/>
        <v>1.0880034578146611</v>
      </c>
      <c r="AD12" s="74">
        <f t="shared" si="6"/>
        <v>0.98847856154910096</v>
      </c>
      <c r="AE12" s="74">
        <f t="shared" si="6"/>
        <v>0.96139695712309825</v>
      </c>
      <c r="AF12" s="74">
        <f t="shared" si="6"/>
        <v>0.90317150760719234</v>
      </c>
      <c r="AG12" s="74">
        <f t="shared" si="6"/>
        <v>0.87879806362378987</v>
      </c>
      <c r="AH12" s="74">
        <f t="shared" si="6"/>
        <v>0.7501604426002767</v>
      </c>
      <c r="AI12" s="74">
        <f t="shared" si="6"/>
        <v>0.87202766251728914</v>
      </c>
      <c r="AJ12" s="74">
        <f t="shared" si="6"/>
        <v>0.92686791147994474</v>
      </c>
      <c r="AK12" s="74">
        <f t="shared" si="6"/>
        <v>0.84630013831258655</v>
      </c>
      <c r="AL12" s="74">
        <f t="shared" si="6"/>
        <v>0.69532019363762099</v>
      </c>
      <c r="AM12" s="74">
        <f t="shared" si="6"/>
        <v>0.6611432088520055</v>
      </c>
      <c r="AN12" s="74">
        <f t="shared" si="6"/>
        <v>0.6594776901798064</v>
      </c>
      <c r="AO12" s="74">
        <f t="shared" si="6"/>
        <v>0.6589360580912863</v>
      </c>
      <c r="AP12" s="74">
        <f t="shared" si="6"/>
        <v>0.62149573997233754</v>
      </c>
      <c r="AQ12" s="74">
        <f t="shared" si="6"/>
        <v>0.60062259336099588</v>
      </c>
      <c r="AR12" s="74">
        <f t="shared" si="6"/>
        <v>0.62354040110650077</v>
      </c>
      <c r="AS12" s="74">
        <f t="shared" si="6"/>
        <v>0.63540891424619639</v>
      </c>
      <c r="AT12" s="74">
        <f t="shared" si="6"/>
        <v>0.64043255186721992</v>
      </c>
      <c r="AU12" s="74">
        <f t="shared" si="6"/>
        <v>0.62099473029045649</v>
      </c>
      <c r="AV12" s="74">
        <f t="shared" si="6"/>
        <v>0.63904461964038728</v>
      </c>
      <c r="AW12" s="74">
        <f t="shared" si="6"/>
        <v>0.60804295297372069</v>
      </c>
      <c r="AX12" s="74">
        <f t="shared" si="6"/>
        <v>0.59372355463347171</v>
      </c>
      <c r="AY12" s="74">
        <f t="shared" si="6"/>
        <v>0.59372355463347171</v>
      </c>
      <c r="AZ12" s="74">
        <f t="shared" si="6"/>
        <v>0.57480028354080226</v>
      </c>
      <c r="BA12" s="74">
        <f t="shared" si="6"/>
        <v>0.57480028354080226</v>
      </c>
      <c r="BB12" s="74">
        <f t="shared" si="6"/>
        <v>0.57480028354080226</v>
      </c>
      <c r="BC12" s="74">
        <f t="shared" si="6"/>
        <v>0.57203795988934991</v>
      </c>
      <c r="BD12" s="74">
        <f t="shared" si="6"/>
        <v>0.61205780082987549</v>
      </c>
      <c r="BE12" s="74">
        <f t="shared" si="6"/>
        <v>0.61205780082987549</v>
      </c>
      <c r="BF12" s="74">
        <f t="shared" si="6"/>
        <v>0.61205780082987549</v>
      </c>
      <c r="BG12" s="74">
        <f t="shared" si="6"/>
        <v>0.60752840248962658</v>
      </c>
      <c r="BH12" s="74">
        <f t="shared" si="6"/>
        <v>0.60752840248962658</v>
      </c>
      <c r="BI12" s="74">
        <f t="shared" si="6"/>
        <v>0.65181359612724765</v>
      </c>
      <c r="BJ12" s="74">
        <f t="shared" si="6"/>
        <v>0.65181359612724765</v>
      </c>
      <c r="BK12" s="74">
        <f t="shared" ref="BK12:BP12" si="7">$F$12*(BK8/1000)</f>
        <v>0.65181359612724765</v>
      </c>
      <c r="BL12" s="74">
        <f t="shared" si="7"/>
        <v>0.69328907330567091</v>
      </c>
      <c r="BM12" s="74">
        <f t="shared" si="7"/>
        <v>0.69328907330567091</v>
      </c>
      <c r="BN12" s="74">
        <f t="shared" si="7"/>
        <v>0.69328907330567091</v>
      </c>
      <c r="BO12" s="74">
        <f t="shared" si="7"/>
        <v>0.63108262793914249</v>
      </c>
      <c r="BP12" s="74">
        <f t="shared" si="7"/>
        <v>0.63108262793914249</v>
      </c>
      <c r="BQ12" s="74">
        <f t="shared" ref="BQ12:BV12" si="8">$F$12*(BQ8/1000)</f>
        <v>0.63108262793914249</v>
      </c>
      <c r="BR12" s="74">
        <f t="shared" si="8"/>
        <v>0.63108262793914249</v>
      </c>
      <c r="BS12" s="74">
        <f t="shared" si="8"/>
        <v>0.60706124481327806</v>
      </c>
      <c r="BT12" s="74">
        <f t="shared" si="8"/>
        <v>0.60706124481327806</v>
      </c>
      <c r="BU12" s="74">
        <f t="shared" si="8"/>
        <v>0.60706124481327806</v>
      </c>
      <c r="BV12" s="74">
        <f t="shared" si="8"/>
        <v>0.60706124481327806</v>
      </c>
      <c r="BW12" s="74">
        <f>$F$12*(BW8/1000)</f>
        <v>0.61657365836791156</v>
      </c>
      <c r="BX12" s="74">
        <f>$F$12*(BX8/1000)</f>
        <v>0.61657365836791156</v>
      </c>
      <c r="BY12" s="74">
        <f>$F$12*(BY8/1000)</f>
        <v>0.61657365836791156</v>
      </c>
      <c r="BZ12" s="74">
        <f>$F$12*(BZ8/1000)</f>
        <v>0.61657365836791156</v>
      </c>
      <c r="CA12" s="74">
        <f>$F$12*(CA8/1000)</f>
        <v>0.61657365836791156</v>
      </c>
      <c r="CB12" s="74">
        <f t="shared" ref="CB12:CH12" si="9">$F$12*(CB8/1000)</f>
        <v>0.61657365836791156</v>
      </c>
      <c r="CC12" s="74">
        <f t="shared" si="9"/>
        <v>0.61657365836791156</v>
      </c>
      <c r="CD12" s="74">
        <f t="shared" si="9"/>
        <v>0.61657365836791156</v>
      </c>
      <c r="CE12" s="74">
        <f t="shared" si="9"/>
        <v>0.61299888658367907</v>
      </c>
      <c r="CF12" s="74">
        <f t="shared" si="9"/>
        <v>0.61299888658367907</v>
      </c>
      <c r="CG12" s="74">
        <f t="shared" si="9"/>
        <v>0.58159099585062246</v>
      </c>
      <c r="CH12" s="74">
        <f t="shared" si="9"/>
        <v>0.57826672890733066</v>
      </c>
      <c r="CI12" s="74">
        <f>$F$12*(CI8/1000)</f>
        <v>0.5500544674965423</v>
      </c>
      <c r="CJ12" s="74">
        <f>$F$12*(CJ8/1000)</f>
        <v>0.5500544674965423</v>
      </c>
      <c r="CK12" s="74">
        <f>$F$12*(CK8/1000)</f>
        <v>0.5500544674965423</v>
      </c>
      <c r="CL12" s="74">
        <f>$F$12*(CL8/1000)</f>
        <v>0.54714319502074693</v>
      </c>
      <c r="CM12" s="74">
        <f>$F$12*(CM8/1000)</f>
        <v>0.54714319502074693</v>
      </c>
      <c r="CN12" s="74">
        <f t="shared" ref="CN12:CV12" si="10">$F$12*(CN8/1000)</f>
        <v>0.54714319502074693</v>
      </c>
      <c r="CO12" s="74">
        <f t="shared" si="10"/>
        <v>0.54714319502074693</v>
      </c>
      <c r="CP12" s="74">
        <f t="shared" si="10"/>
        <v>0.54714319502074693</v>
      </c>
      <c r="CQ12" s="74">
        <f t="shared" si="10"/>
        <v>0.54714319502074693</v>
      </c>
      <c r="CR12" s="74">
        <f t="shared" si="10"/>
        <v>0.55180123098201939</v>
      </c>
      <c r="CS12" s="74">
        <f t="shared" si="10"/>
        <v>0.54943836099585064</v>
      </c>
      <c r="CT12" s="74">
        <f t="shared" si="10"/>
        <v>0.54943836099585064</v>
      </c>
      <c r="CU12" s="74">
        <f t="shared" si="10"/>
        <v>0.5460463900414938</v>
      </c>
      <c r="CV12" s="74">
        <f t="shared" si="10"/>
        <v>0.5460463900414938</v>
      </c>
      <c r="CW12" s="74">
        <f>$F$12*(CW8/1000)</f>
        <v>0.54838894882434308</v>
      </c>
      <c r="CX12" s="74">
        <f>$F$12*(CX8/1000)</f>
        <v>0.54838894882434308</v>
      </c>
      <c r="CY12" s="74">
        <f>$F$12*(CY8/1000)</f>
        <v>0.55286418395574</v>
      </c>
      <c r="CZ12" s="74">
        <f t="shared" ref="CZ12:EN12" si="11">$F$12*(CZ8/1000)</f>
        <v>0.55286418395574</v>
      </c>
      <c r="DA12" s="74">
        <f t="shared" si="11"/>
        <v>0.55286418395574</v>
      </c>
      <c r="DB12" s="74">
        <f t="shared" si="11"/>
        <v>0.55286418395574</v>
      </c>
      <c r="DC12" s="74">
        <f t="shared" si="11"/>
        <v>0.55286418395574</v>
      </c>
      <c r="DD12" s="74">
        <f t="shared" si="11"/>
        <v>0.55286418395574</v>
      </c>
      <c r="DE12" s="74">
        <f t="shared" si="11"/>
        <v>0.55286418395574</v>
      </c>
      <c r="DF12" s="74">
        <f t="shared" si="11"/>
        <v>0.55286418395574</v>
      </c>
      <c r="DG12" s="74">
        <f t="shared" si="11"/>
        <v>0.55286418395574</v>
      </c>
      <c r="DH12" s="74">
        <f t="shared" si="11"/>
        <v>0.52158493084370683</v>
      </c>
      <c r="DI12" s="74">
        <f t="shared" si="11"/>
        <v>0.52158493084370683</v>
      </c>
      <c r="DJ12" s="74">
        <f t="shared" si="11"/>
        <v>0.52158493084370683</v>
      </c>
      <c r="DK12" s="74">
        <f t="shared" si="11"/>
        <v>0.52158493084370683</v>
      </c>
      <c r="DL12" s="74">
        <f t="shared" si="11"/>
        <v>0.52158493084370683</v>
      </c>
      <c r="DM12" s="74">
        <f t="shared" si="11"/>
        <v>0.54203831258644541</v>
      </c>
      <c r="DN12" s="74">
        <f t="shared" si="11"/>
        <v>0.51358908713692952</v>
      </c>
      <c r="DO12" s="74">
        <f t="shared" si="11"/>
        <v>0.51358908713692952</v>
      </c>
      <c r="DP12" s="74">
        <f t="shared" si="11"/>
        <v>0.51358908713692952</v>
      </c>
      <c r="DQ12" s="74">
        <f t="shared" si="11"/>
        <v>0.49799685338865834</v>
      </c>
      <c r="DR12" s="74">
        <f t="shared" si="11"/>
        <v>0.49799685338865834</v>
      </c>
      <c r="DS12" s="74">
        <f t="shared" si="11"/>
        <v>0.49799685338865834</v>
      </c>
      <c r="DT12" s="74">
        <f t="shared" si="11"/>
        <v>0</v>
      </c>
      <c r="DU12" s="74">
        <f t="shared" si="11"/>
        <v>0</v>
      </c>
      <c r="DV12" s="74">
        <f t="shared" si="11"/>
        <v>0</v>
      </c>
      <c r="DW12" s="74">
        <f t="shared" si="11"/>
        <v>0</v>
      </c>
      <c r="DX12" s="74">
        <f t="shared" si="11"/>
        <v>0</v>
      </c>
      <c r="DY12" s="74">
        <f t="shared" si="11"/>
        <v>0</v>
      </c>
      <c r="DZ12" s="74">
        <f t="shared" si="11"/>
        <v>0</v>
      </c>
      <c r="EA12" s="74">
        <f t="shared" si="11"/>
        <v>0</v>
      </c>
      <c r="EB12" s="74">
        <f t="shared" si="11"/>
        <v>0</v>
      </c>
      <c r="EC12" s="74">
        <f t="shared" si="11"/>
        <v>0</v>
      </c>
      <c r="ED12" s="74">
        <f t="shared" si="11"/>
        <v>0</v>
      </c>
      <c r="EE12" s="74">
        <f t="shared" si="11"/>
        <v>0</v>
      </c>
      <c r="EF12" s="74">
        <f t="shared" si="11"/>
        <v>0</v>
      </c>
      <c r="EG12" s="74">
        <f t="shared" si="11"/>
        <v>0</v>
      </c>
      <c r="EH12" s="74">
        <f t="shared" si="11"/>
        <v>0</v>
      </c>
      <c r="EI12" s="74">
        <f t="shared" si="11"/>
        <v>0</v>
      </c>
      <c r="EJ12" s="74">
        <f t="shared" si="11"/>
        <v>0</v>
      </c>
      <c r="EK12" s="74">
        <f t="shared" si="11"/>
        <v>0</v>
      </c>
      <c r="EL12" s="74">
        <f t="shared" si="11"/>
        <v>0</v>
      </c>
      <c r="EM12" s="74">
        <f t="shared" si="11"/>
        <v>0</v>
      </c>
      <c r="EN12" s="74">
        <f t="shared" si="11"/>
        <v>0</v>
      </c>
    </row>
    <row r="13" spans="1:156">
      <c r="A13" s="67"/>
      <c r="B13" s="60" t="s">
        <v>675</v>
      </c>
      <c r="C13" s="60">
        <v>1</v>
      </c>
      <c r="D13" s="60">
        <v>22.99</v>
      </c>
      <c r="E13" s="60">
        <f>D13*C13</f>
        <v>22.99</v>
      </c>
      <c r="F13" s="65">
        <f>E13/E2</f>
        <v>0.17665590902105427</v>
      </c>
      <c r="I13" s="74">
        <f>$F$13*(I9/1000)</f>
        <v>0</v>
      </c>
      <c r="J13" s="74">
        <f>$F$13*(J9/1000)</f>
        <v>0</v>
      </c>
      <c r="K13" s="74">
        <f>$F$13*(K9/1000)</f>
        <v>0</v>
      </c>
      <c r="L13" s="74">
        <f t="shared" ref="L13:BJ13" si="12">$F$13*(L9/1000)</f>
        <v>0</v>
      </c>
      <c r="M13" s="74">
        <f t="shared" si="12"/>
        <v>0</v>
      </c>
      <c r="N13" s="74">
        <f t="shared" si="12"/>
        <v>0</v>
      </c>
      <c r="O13" s="74">
        <f t="shared" si="12"/>
        <v>0</v>
      </c>
      <c r="P13" s="74">
        <f t="shared" si="12"/>
        <v>0</v>
      </c>
      <c r="Q13" s="74">
        <f t="shared" si="12"/>
        <v>0</v>
      </c>
      <c r="R13" s="74">
        <f t="shared" si="12"/>
        <v>0</v>
      </c>
      <c r="S13" s="74">
        <f t="shared" si="12"/>
        <v>0</v>
      </c>
      <c r="T13" s="74">
        <f t="shared" si="12"/>
        <v>0</v>
      </c>
      <c r="U13" s="74">
        <f t="shared" si="12"/>
        <v>0</v>
      </c>
      <c r="V13" s="74">
        <f t="shared" si="12"/>
        <v>0</v>
      </c>
      <c r="W13" s="74">
        <f t="shared" si="12"/>
        <v>0</v>
      </c>
      <c r="X13" s="74">
        <f t="shared" si="12"/>
        <v>0</v>
      </c>
      <c r="Y13" s="74">
        <f t="shared" si="12"/>
        <v>0</v>
      </c>
      <c r="Z13" s="74">
        <f t="shared" si="12"/>
        <v>0</v>
      </c>
      <c r="AA13" s="74">
        <f t="shared" si="12"/>
        <v>0</v>
      </c>
      <c r="AB13" s="74">
        <f t="shared" si="12"/>
        <v>0</v>
      </c>
      <c r="AC13" s="74">
        <f t="shared" si="12"/>
        <v>0</v>
      </c>
      <c r="AD13" s="74">
        <f t="shared" si="12"/>
        <v>0</v>
      </c>
      <c r="AE13" s="74">
        <f t="shared" si="12"/>
        <v>0</v>
      </c>
      <c r="AF13" s="74">
        <f t="shared" si="12"/>
        <v>0</v>
      </c>
      <c r="AG13" s="74">
        <f t="shared" si="12"/>
        <v>0</v>
      </c>
      <c r="AH13" s="74">
        <f t="shared" si="12"/>
        <v>0</v>
      </c>
      <c r="AI13" s="74">
        <f t="shared" si="12"/>
        <v>0</v>
      </c>
      <c r="AJ13" s="74">
        <f t="shared" si="12"/>
        <v>0</v>
      </c>
      <c r="AK13" s="74">
        <f t="shared" si="12"/>
        <v>0</v>
      </c>
      <c r="AL13" s="74">
        <f t="shared" si="12"/>
        <v>0</v>
      </c>
      <c r="AM13" s="74">
        <f t="shared" si="12"/>
        <v>0</v>
      </c>
      <c r="AN13" s="74">
        <f t="shared" si="12"/>
        <v>0</v>
      </c>
      <c r="AO13" s="74">
        <f t="shared" si="12"/>
        <v>0</v>
      </c>
      <c r="AP13" s="74">
        <f t="shared" si="12"/>
        <v>0</v>
      </c>
      <c r="AQ13" s="74">
        <f t="shared" si="12"/>
        <v>0</v>
      </c>
      <c r="AR13" s="74">
        <f t="shared" si="12"/>
        <v>0</v>
      </c>
      <c r="AS13" s="74">
        <f t="shared" si="12"/>
        <v>0</v>
      </c>
      <c r="AT13" s="74">
        <f t="shared" si="12"/>
        <v>0</v>
      </c>
      <c r="AU13" s="74">
        <f t="shared" si="12"/>
        <v>0</v>
      </c>
      <c r="AV13" s="74">
        <f t="shared" si="12"/>
        <v>0</v>
      </c>
      <c r="AW13" s="74">
        <f t="shared" si="12"/>
        <v>0</v>
      </c>
      <c r="AX13" s="74">
        <f t="shared" si="12"/>
        <v>0</v>
      </c>
      <c r="AY13" s="74">
        <f t="shared" si="12"/>
        <v>0</v>
      </c>
      <c r="AZ13" s="74">
        <f t="shared" si="12"/>
        <v>0</v>
      </c>
      <c r="BA13" s="74">
        <f t="shared" si="12"/>
        <v>0</v>
      </c>
      <c r="BB13" s="74">
        <f t="shared" si="12"/>
        <v>0</v>
      </c>
      <c r="BC13" s="74">
        <f t="shared" si="12"/>
        <v>0</v>
      </c>
      <c r="BD13" s="74">
        <f t="shared" si="12"/>
        <v>0</v>
      </c>
      <c r="BE13" s="74">
        <f t="shared" si="12"/>
        <v>0</v>
      </c>
      <c r="BF13" s="74">
        <f t="shared" si="12"/>
        <v>0</v>
      </c>
      <c r="BG13" s="74">
        <f t="shared" si="12"/>
        <v>0</v>
      </c>
      <c r="BH13" s="74">
        <f t="shared" si="12"/>
        <v>0</v>
      </c>
      <c r="BI13" s="74">
        <f t="shared" si="12"/>
        <v>0</v>
      </c>
      <c r="BJ13" s="74">
        <f t="shared" si="12"/>
        <v>0</v>
      </c>
      <c r="BK13" s="74">
        <f t="shared" ref="BK13:BP13" si="13">$F$13*(BK9/1000)</f>
        <v>0</v>
      </c>
      <c r="BL13" s="74">
        <f t="shared" si="13"/>
        <v>0</v>
      </c>
      <c r="BM13" s="74">
        <f t="shared" si="13"/>
        <v>0</v>
      </c>
      <c r="BN13" s="74">
        <f t="shared" si="13"/>
        <v>0</v>
      </c>
      <c r="BO13" s="74">
        <f t="shared" si="13"/>
        <v>0</v>
      </c>
      <c r="BP13" s="74">
        <f t="shared" si="13"/>
        <v>0</v>
      </c>
      <c r="BQ13" s="74">
        <f t="shared" ref="BQ13:BV13" si="14">$F$13*(BQ9/1000)</f>
        <v>0</v>
      </c>
      <c r="BR13" s="74">
        <f t="shared" si="14"/>
        <v>0</v>
      </c>
      <c r="BS13" s="74">
        <f t="shared" si="14"/>
        <v>0</v>
      </c>
      <c r="BT13" s="74">
        <f t="shared" si="14"/>
        <v>0</v>
      </c>
      <c r="BU13" s="74">
        <f t="shared" si="14"/>
        <v>0</v>
      </c>
      <c r="BV13" s="74">
        <f t="shared" si="14"/>
        <v>0</v>
      </c>
      <c r="BW13" s="74">
        <f>$F$13*(BW9/1000)</f>
        <v>0</v>
      </c>
      <c r="BX13" s="74">
        <f>$F$13*(BX9/1000)</f>
        <v>0</v>
      </c>
      <c r="BY13" s="74">
        <f>$F$13*(BY9/1000)</f>
        <v>0</v>
      </c>
      <c r="BZ13" s="74">
        <f>$F$13*(BZ9/1000)</f>
        <v>0</v>
      </c>
      <c r="CA13" s="74">
        <f>$F$13*(CA9/1000)</f>
        <v>0</v>
      </c>
      <c r="CB13" s="74">
        <f t="shared" ref="CB13:CH13" si="15">$F$13*(CB9/1000)</f>
        <v>0</v>
      </c>
      <c r="CC13" s="74">
        <f t="shared" si="15"/>
        <v>0</v>
      </c>
      <c r="CD13" s="74">
        <f t="shared" si="15"/>
        <v>0</v>
      </c>
      <c r="CE13" s="74">
        <f t="shared" si="15"/>
        <v>0</v>
      </c>
      <c r="CF13" s="74">
        <f t="shared" si="15"/>
        <v>0</v>
      </c>
      <c r="CG13" s="74">
        <f t="shared" si="15"/>
        <v>0</v>
      </c>
      <c r="CH13" s="74">
        <f t="shared" si="15"/>
        <v>0</v>
      </c>
      <c r="CI13" s="74">
        <f>$F$13*(CI9/1000)</f>
        <v>0</v>
      </c>
      <c r="CJ13" s="74">
        <f>$F$13*(CJ9/1000)</f>
        <v>0</v>
      </c>
      <c r="CK13" s="74">
        <f>$F$13*(CK9/1000)</f>
        <v>0</v>
      </c>
      <c r="CL13" s="74">
        <f>$F$13*(CL9/1000)</f>
        <v>0</v>
      </c>
      <c r="CM13" s="74">
        <f>$F$13*(CM9/1000)</f>
        <v>0</v>
      </c>
      <c r="CN13" s="74">
        <f t="shared" ref="CN13:CV13" si="16">$F$13*(CN9/1000)</f>
        <v>0</v>
      </c>
      <c r="CO13" s="74">
        <f t="shared" si="16"/>
        <v>0</v>
      </c>
      <c r="CP13" s="74">
        <f t="shared" si="16"/>
        <v>0</v>
      </c>
      <c r="CQ13" s="74">
        <f t="shared" si="16"/>
        <v>0</v>
      </c>
      <c r="CR13" s="74">
        <f t="shared" si="16"/>
        <v>0</v>
      </c>
      <c r="CS13" s="74">
        <f t="shared" si="16"/>
        <v>0</v>
      </c>
      <c r="CT13" s="74">
        <f t="shared" si="16"/>
        <v>0</v>
      </c>
      <c r="CU13" s="74">
        <f t="shared" si="16"/>
        <v>0</v>
      </c>
      <c r="CV13" s="74">
        <f t="shared" si="16"/>
        <v>0</v>
      </c>
      <c r="CW13" s="74">
        <f>$F$13*(CW9/1000)</f>
        <v>0</v>
      </c>
      <c r="CX13" s="74">
        <f>$F$13*(CX9/1000)</f>
        <v>0</v>
      </c>
      <c r="CY13" s="74">
        <f>$F$13*(CY9/1000)</f>
        <v>0</v>
      </c>
      <c r="CZ13" s="74">
        <f t="shared" ref="CZ13:EN13" si="17">$F$13*(CZ9/1000)</f>
        <v>0</v>
      </c>
      <c r="DA13" s="74">
        <f t="shared" si="17"/>
        <v>0</v>
      </c>
      <c r="DB13" s="74">
        <f t="shared" si="17"/>
        <v>0</v>
      </c>
      <c r="DC13" s="74">
        <f t="shared" si="17"/>
        <v>0</v>
      </c>
      <c r="DD13" s="74">
        <f t="shared" si="17"/>
        <v>0</v>
      </c>
      <c r="DE13" s="74">
        <f t="shared" si="17"/>
        <v>0</v>
      </c>
      <c r="DF13" s="74">
        <f t="shared" si="17"/>
        <v>0</v>
      </c>
      <c r="DG13" s="74">
        <f t="shared" si="17"/>
        <v>0</v>
      </c>
      <c r="DH13" s="74">
        <f t="shared" si="17"/>
        <v>0</v>
      </c>
      <c r="DI13" s="74">
        <f t="shared" si="17"/>
        <v>0</v>
      </c>
      <c r="DJ13" s="74">
        <f t="shared" si="17"/>
        <v>0</v>
      </c>
      <c r="DK13" s="74">
        <f t="shared" si="17"/>
        <v>0</v>
      </c>
      <c r="DL13" s="74">
        <f t="shared" si="17"/>
        <v>0</v>
      </c>
      <c r="DM13" s="74">
        <f t="shared" si="17"/>
        <v>0</v>
      </c>
      <c r="DN13" s="74">
        <f t="shared" si="17"/>
        <v>0</v>
      </c>
      <c r="DO13" s="74">
        <f t="shared" si="17"/>
        <v>0</v>
      </c>
      <c r="DP13" s="74">
        <f t="shared" si="17"/>
        <v>0</v>
      </c>
      <c r="DQ13" s="74">
        <f t="shared" si="17"/>
        <v>0</v>
      </c>
      <c r="DR13" s="74">
        <f t="shared" si="17"/>
        <v>0</v>
      </c>
      <c r="DS13" s="74">
        <f t="shared" si="17"/>
        <v>0</v>
      </c>
      <c r="DT13" s="74">
        <f t="shared" si="17"/>
        <v>0</v>
      </c>
      <c r="DU13" s="74">
        <f t="shared" si="17"/>
        <v>0</v>
      </c>
      <c r="DV13" s="74">
        <f t="shared" si="17"/>
        <v>0</v>
      </c>
      <c r="DW13" s="74">
        <f t="shared" si="17"/>
        <v>0</v>
      </c>
      <c r="DX13" s="74">
        <f t="shared" si="17"/>
        <v>0</v>
      </c>
      <c r="DY13" s="74">
        <f t="shared" si="17"/>
        <v>0</v>
      </c>
      <c r="DZ13" s="74">
        <f t="shared" si="17"/>
        <v>0</v>
      </c>
      <c r="EA13" s="74">
        <f t="shared" si="17"/>
        <v>0</v>
      </c>
      <c r="EB13" s="74">
        <f t="shared" si="17"/>
        <v>0</v>
      </c>
      <c r="EC13" s="74">
        <f t="shared" si="17"/>
        <v>0</v>
      </c>
      <c r="ED13" s="74">
        <f t="shared" si="17"/>
        <v>0</v>
      </c>
      <c r="EE13" s="74">
        <f t="shared" si="17"/>
        <v>0</v>
      </c>
      <c r="EF13" s="74">
        <f t="shared" si="17"/>
        <v>0</v>
      </c>
      <c r="EG13" s="74">
        <f t="shared" si="17"/>
        <v>0</v>
      </c>
      <c r="EH13" s="74">
        <f t="shared" si="17"/>
        <v>0</v>
      </c>
      <c r="EI13" s="74">
        <f t="shared" si="17"/>
        <v>0</v>
      </c>
      <c r="EJ13" s="74">
        <f t="shared" si="17"/>
        <v>0</v>
      </c>
      <c r="EK13" s="74">
        <f t="shared" si="17"/>
        <v>0</v>
      </c>
      <c r="EL13" s="74">
        <f t="shared" si="17"/>
        <v>0</v>
      </c>
      <c r="EM13" s="74">
        <f t="shared" si="17"/>
        <v>0</v>
      </c>
      <c r="EN13" s="74">
        <f t="shared" si="17"/>
        <v>0</v>
      </c>
    </row>
    <row r="14" spans="1:156" s="104" customFormat="1">
      <c r="A14" s="104" t="s">
        <v>400</v>
      </c>
      <c r="H14" s="60"/>
      <c r="I14" s="105">
        <f>SUM(I11:I13)</f>
        <v>0.73012320347318282</v>
      </c>
      <c r="J14" s="105">
        <f>SUM(J11:J13)</f>
        <v>0.72011433417857695</v>
      </c>
      <c r="K14" s="105">
        <f>SUM(K11:K13)</f>
        <v>0.61358907023205778</v>
      </c>
      <c r="L14" s="105">
        <f t="shared" ref="L14:BJ14" si="18">SUM(L11:L13)</f>
        <v>0.64983760872906116</v>
      </c>
      <c r="M14" s="105">
        <f t="shared" si="18"/>
        <v>0.63888905563239595</v>
      </c>
      <c r="N14" s="105">
        <f t="shared" si="18"/>
        <v>0.67114535961272481</v>
      </c>
      <c r="O14" s="105">
        <f t="shared" si="18"/>
        <v>0.68206230982019367</v>
      </c>
      <c r="P14" s="105">
        <f t="shared" si="18"/>
        <v>0.69547447441217158</v>
      </c>
      <c r="Q14" s="105">
        <f t="shared" si="18"/>
        <v>0.7355189887813125</v>
      </c>
      <c r="R14" s="105">
        <f t="shared" si="18"/>
        <v>0.83537478484708783</v>
      </c>
      <c r="S14" s="105">
        <f t="shared" si="18"/>
        <v>0.88658677193791302</v>
      </c>
      <c r="T14" s="105">
        <f t="shared" si="18"/>
        <v>0.9994356654372214</v>
      </c>
      <c r="U14" s="105">
        <f t="shared" si="18"/>
        <v>1.1029089538189643</v>
      </c>
      <c r="V14" s="105">
        <f t="shared" si="18"/>
        <v>1.2936521822652529</v>
      </c>
      <c r="W14" s="105">
        <f t="shared" si="18"/>
        <v>1.3223493929614263</v>
      </c>
      <c r="X14" s="105">
        <f t="shared" si="18"/>
        <v>1.4742479637313664</v>
      </c>
      <c r="Y14" s="105">
        <f t="shared" si="18"/>
        <v>1.4473735208237284</v>
      </c>
      <c r="Z14" s="105">
        <f t="shared" si="18"/>
        <v>1.4260585331181805</v>
      </c>
      <c r="AA14" s="105">
        <f t="shared" si="18"/>
        <v>1.3130085292761642</v>
      </c>
      <c r="AB14" s="105">
        <f t="shared" si="18"/>
        <v>1.272816140310435</v>
      </c>
      <c r="AC14" s="105">
        <f t="shared" si="18"/>
        <v>1.5373171776548333</v>
      </c>
      <c r="AD14" s="105">
        <f t="shared" si="18"/>
        <v>1.5546484555094513</v>
      </c>
      <c r="AE14" s="105">
        <f t="shared" si="18"/>
        <v>1.447047986783464</v>
      </c>
      <c r="AF14" s="105">
        <f t="shared" si="18"/>
        <v>1.3118220474104811</v>
      </c>
      <c r="AG14" s="105">
        <f t="shared" si="18"/>
        <v>1.2485157714768711</v>
      </c>
      <c r="AH14" s="105">
        <f t="shared" si="18"/>
        <v>1.0757542742431228</v>
      </c>
      <c r="AI14" s="105">
        <f t="shared" si="18"/>
        <v>1.1958911460734596</v>
      </c>
      <c r="AJ14" s="105">
        <f t="shared" si="18"/>
        <v>1.288626018134317</v>
      </c>
      <c r="AK14" s="105">
        <f t="shared" si="18"/>
        <v>1.183141232518826</v>
      </c>
      <c r="AL14" s="105">
        <f t="shared" si="18"/>
        <v>1.0200488512371293</v>
      </c>
      <c r="AM14" s="105">
        <f t="shared" si="18"/>
        <v>0.92923180574765629</v>
      </c>
      <c r="AN14" s="105">
        <f t="shared" si="18"/>
        <v>0.90461033579222383</v>
      </c>
      <c r="AO14" s="105">
        <f t="shared" si="18"/>
        <v>0.88757271861072695</v>
      </c>
      <c r="AP14" s="105">
        <f t="shared" si="18"/>
        <v>0.8412499469801753</v>
      </c>
      <c r="AQ14" s="105">
        <f t="shared" si="18"/>
        <v>0.81980001767327493</v>
      </c>
      <c r="AR14" s="105">
        <f t="shared" si="18"/>
        <v>0.82656790994313822</v>
      </c>
      <c r="AS14" s="105">
        <f t="shared" si="18"/>
        <v>0.83843642308283384</v>
      </c>
      <c r="AT14" s="105">
        <f t="shared" si="18"/>
        <v>0.84576719148609192</v>
      </c>
      <c r="AU14" s="105">
        <f t="shared" si="18"/>
        <v>0.82955935300445682</v>
      </c>
      <c r="AV14" s="105">
        <f t="shared" si="18"/>
        <v>0.8455328246503766</v>
      </c>
      <c r="AW14" s="105">
        <f t="shared" si="18"/>
        <v>0.81799185415706177</v>
      </c>
      <c r="AX14" s="105">
        <f t="shared" si="18"/>
        <v>0.80597958659904734</v>
      </c>
      <c r="AY14" s="105">
        <f t="shared" si="18"/>
        <v>0.78521540955893654</v>
      </c>
      <c r="AZ14" s="105">
        <f t="shared" si="18"/>
        <v>0.77552066159520527</v>
      </c>
      <c r="BA14" s="105">
        <f t="shared" si="18"/>
        <v>0.78013492315967425</v>
      </c>
      <c r="BB14" s="105">
        <f t="shared" si="18"/>
        <v>0.77090640003073618</v>
      </c>
      <c r="BC14" s="105">
        <f t="shared" si="18"/>
        <v>0.76814407637928384</v>
      </c>
      <c r="BD14" s="105">
        <f t="shared" si="18"/>
        <v>0.81508530966651294</v>
      </c>
      <c r="BE14" s="105">
        <f t="shared" si="18"/>
        <v>0.82662096357768555</v>
      </c>
      <c r="BF14" s="105">
        <f t="shared" si="18"/>
        <v>0.83354235592438908</v>
      </c>
      <c r="BG14" s="105">
        <f t="shared" si="18"/>
        <v>0.84285574227754734</v>
      </c>
      <c r="BH14" s="105">
        <f t="shared" si="18"/>
        <v>0.84862356923313365</v>
      </c>
      <c r="BI14" s="105">
        <f t="shared" si="18"/>
        <v>0.92059433225756893</v>
      </c>
      <c r="BJ14" s="105">
        <f t="shared" si="18"/>
        <v>0.93443711695097598</v>
      </c>
      <c r="BK14" s="105">
        <f t="shared" ref="BK14:BP14" si="19">SUM(BK11:BK13)</f>
        <v>0.92520859382203791</v>
      </c>
      <c r="BL14" s="105">
        <f t="shared" si="19"/>
        <v>0.95353342554172438</v>
      </c>
      <c r="BM14" s="105">
        <f t="shared" si="19"/>
        <v>0.92861641309359166</v>
      </c>
      <c r="BN14" s="105">
        <f t="shared" si="19"/>
        <v>0.91246649761794996</v>
      </c>
      <c r="BO14" s="105">
        <f t="shared" si="19"/>
        <v>0.84103152912248358</v>
      </c>
      <c r="BP14" s="105">
        <f t="shared" si="19"/>
        <v>0.83180300599354551</v>
      </c>
      <c r="BQ14" s="105">
        <f t="shared" ref="BQ14:BV14" si="20">SUM(BQ11:BQ13)</f>
        <v>0.83180300599354551</v>
      </c>
      <c r="BR14" s="105">
        <f t="shared" si="20"/>
        <v>0.83180300599354551</v>
      </c>
      <c r="BS14" s="105">
        <f t="shared" si="20"/>
        <v>0.80778162286768107</v>
      </c>
      <c r="BT14" s="105">
        <f t="shared" si="20"/>
        <v>0.82854579990779165</v>
      </c>
      <c r="BU14" s="105">
        <f t="shared" si="20"/>
        <v>0.8147030152143846</v>
      </c>
      <c r="BV14" s="105">
        <f t="shared" si="20"/>
        <v>0.81585658060550181</v>
      </c>
      <c r="BW14" s="105">
        <f>SUM(BW11:BW13)</f>
        <v>0.8242154287690181</v>
      </c>
      <c r="BX14" s="105">
        <f>SUM(BX11:BX13)</f>
        <v>0.82190829798678355</v>
      </c>
      <c r="BY14" s="105">
        <f>SUM(BY11:BY13)</f>
        <v>0.82190829798678355</v>
      </c>
      <c r="BZ14" s="105">
        <f>SUM(BZ11:BZ13)</f>
        <v>0.82652255955125264</v>
      </c>
      <c r="CA14" s="105">
        <f>SUM(CA11:CA13)</f>
        <v>0.82652255955125264</v>
      </c>
      <c r="CB14" s="105">
        <f t="shared" ref="CB14:CH14" si="21">SUM(CB11:CB13)</f>
        <v>0.82975254264638099</v>
      </c>
      <c r="CC14" s="105">
        <f t="shared" si="21"/>
        <v>0.82767612494236986</v>
      </c>
      <c r="CD14" s="105">
        <f t="shared" si="21"/>
        <v>0.83113682111572162</v>
      </c>
      <c r="CE14" s="105">
        <f t="shared" si="21"/>
        <v>0.82756204933148914</v>
      </c>
      <c r="CF14" s="105">
        <f t="shared" si="21"/>
        <v>0.82756204933148914</v>
      </c>
      <c r="CG14" s="105">
        <f t="shared" si="21"/>
        <v>0.79153989703396355</v>
      </c>
      <c r="CH14" s="105">
        <f t="shared" si="21"/>
        <v>0.78706206469955442</v>
      </c>
      <c r="CI14" s="105">
        <f>SUM(CI11:CI13)</f>
        <v>0.76692476102658691</v>
      </c>
      <c r="CJ14" s="105">
        <f>SUM(CJ11:CJ13)</f>
        <v>0.76923189180882146</v>
      </c>
      <c r="CK14" s="105">
        <f>SUM(CK11:CK13)</f>
        <v>0.76923189180882146</v>
      </c>
      <c r="CL14" s="105">
        <f>SUM(CL11:CL13)</f>
        <v>0.76632061933302609</v>
      </c>
      <c r="CM14" s="105">
        <f>SUM(CM11:CM13)</f>
        <v>0.76632061933302609</v>
      </c>
      <c r="CN14" s="105">
        <f t="shared" ref="CN14:CV14" si="22">SUM(CN11:CN13)</f>
        <v>0.75939922698632256</v>
      </c>
      <c r="CO14" s="105">
        <f t="shared" si="22"/>
        <v>0.75939922698632256</v>
      </c>
      <c r="CP14" s="105">
        <f t="shared" si="22"/>
        <v>0.75939922698632256</v>
      </c>
      <c r="CQ14" s="105">
        <f t="shared" si="22"/>
        <v>0.75478496542185347</v>
      </c>
      <c r="CR14" s="105">
        <f t="shared" si="22"/>
        <v>0.75713587060089138</v>
      </c>
      <c r="CS14" s="105">
        <f t="shared" si="22"/>
        <v>0.75708013139695718</v>
      </c>
      <c r="CT14" s="105">
        <f t="shared" si="22"/>
        <v>0.75477300061472263</v>
      </c>
      <c r="CU14" s="105">
        <f t="shared" si="22"/>
        <v>0.74907389887813125</v>
      </c>
      <c r="CV14" s="105">
        <f t="shared" si="22"/>
        <v>0.74792033348701403</v>
      </c>
      <c r="CW14" s="105">
        <f>SUM(CW11:CW13)</f>
        <v>0.75026289226986331</v>
      </c>
      <c r="CX14" s="105">
        <f>SUM(CX11:CX13)</f>
        <v>0.75141645766098053</v>
      </c>
      <c r="CY14" s="105">
        <f>SUM(CY11:CY13)</f>
        <v>0.75819882357461199</v>
      </c>
      <c r="CZ14" s="105">
        <f t="shared" ref="CZ14:EN14" si="23">SUM(CZ11:CZ13)</f>
        <v>0.75819882357461199</v>
      </c>
      <c r="DA14" s="105">
        <f t="shared" si="23"/>
        <v>0.75819882357461199</v>
      </c>
      <c r="DB14" s="105">
        <f t="shared" si="23"/>
        <v>0.76142880666974033</v>
      </c>
      <c r="DC14" s="105">
        <f t="shared" si="23"/>
        <v>0.76142880666974033</v>
      </c>
      <c r="DD14" s="105">
        <f t="shared" si="23"/>
        <v>0.75681454510527124</v>
      </c>
      <c r="DE14" s="105">
        <f t="shared" si="23"/>
        <v>0.75681454510527124</v>
      </c>
      <c r="DF14" s="105">
        <f t="shared" si="23"/>
        <v>0.75589169279237745</v>
      </c>
      <c r="DG14" s="105">
        <f t="shared" si="23"/>
        <v>0.75243099661902568</v>
      </c>
      <c r="DH14" s="105">
        <f t="shared" si="23"/>
        <v>0.72115174350699252</v>
      </c>
      <c r="DI14" s="105">
        <f t="shared" si="23"/>
        <v>0.71884461272475808</v>
      </c>
      <c r="DJ14" s="105">
        <f t="shared" si="23"/>
        <v>0.71769104733364075</v>
      </c>
      <c r="DK14" s="105">
        <f t="shared" si="23"/>
        <v>0.71538391655140621</v>
      </c>
      <c r="DL14" s="105">
        <f t="shared" si="23"/>
        <v>0.71423035116028899</v>
      </c>
      <c r="DM14" s="105">
        <f t="shared" si="23"/>
        <v>0.73237660212079303</v>
      </c>
      <c r="DN14" s="105">
        <f t="shared" si="23"/>
        <v>0.70162024588904259</v>
      </c>
      <c r="DO14" s="105">
        <f t="shared" si="23"/>
        <v>0.70162024588904259</v>
      </c>
      <c r="DP14" s="105">
        <f t="shared" si="23"/>
        <v>0.70162024588904259</v>
      </c>
      <c r="DQ14" s="105">
        <f t="shared" si="23"/>
        <v>0.68602801214077147</v>
      </c>
      <c r="DR14" s="105">
        <f t="shared" si="23"/>
        <v>0.68487444674965425</v>
      </c>
      <c r="DS14" s="105">
        <f t="shared" si="23"/>
        <v>0.68487444674965425</v>
      </c>
      <c r="DT14" s="105">
        <f t="shared" si="23"/>
        <v>0</v>
      </c>
      <c r="DU14" s="105">
        <f t="shared" si="23"/>
        <v>0</v>
      </c>
      <c r="DV14" s="105">
        <f t="shared" si="23"/>
        <v>0</v>
      </c>
      <c r="DW14" s="105">
        <f t="shared" si="23"/>
        <v>0</v>
      </c>
      <c r="DX14" s="105">
        <f t="shared" si="23"/>
        <v>0</v>
      </c>
      <c r="DY14" s="105">
        <f t="shared" si="23"/>
        <v>0</v>
      </c>
      <c r="DZ14" s="105">
        <f t="shared" si="23"/>
        <v>0</v>
      </c>
      <c r="EA14" s="105">
        <f t="shared" si="23"/>
        <v>0</v>
      </c>
      <c r="EB14" s="105">
        <f t="shared" si="23"/>
        <v>0</v>
      </c>
      <c r="EC14" s="105">
        <f t="shared" si="23"/>
        <v>0</v>
      </c>
      <c r="ED14" s="105">
        <f t="shared" si="23"/>
        <v>0</v>
      </c>
      <c r="EE14" s="105">
        <f t="shared" si="23"/>
        <v>0</v>
      </c>
      <c r="EF14" s="105">
        <f t="shared" si="23"/>
        <v>0</v>
      </c>
      <c r="EG14" s="105">
        <f t="shared" si="23"/>
        <v>0</v>
      </c>
      <c r="EH14" s="105">
        <f t="shared" si="23"/>
        <v>0</v>
      </c>
      <c r="EI14" s="105">
        <f t="shared" si="23"/>
        <v>0</v>
      </c>
      <c r="EJ14" s="105">
        <f t="shared" si="23"/>
        <v>0</v>
      </c>
      <c r="EK14" s="105">
        <f t="shared" si="23"/>
        <v>0</v>
      </c>
      <c r="EL14" s="105">
        <f t="shared" si="23"/>
        <v>0</v>
      </c>
      <c r="EM14" s="105">
        <f t="shared" si="23"/>
        <v>0</v>
      </c>
      <c r="EN14" s="105">
        <f t="shared" si="23"/>
        <v>0</v>
      </c>
    </row>
    <row r="15" spans="1:156" s="137" customFormat="1">
      <c r="H15" s="137" t="s">
        <v>429</v>
      </c>
      <c r="I15" s="108">
        <v>1.45</v>
      </c>
      <c r="J15" s="108"/>
      <c r="K15" s="108"/>
      <c r="L15" s="108"/>
      <c r="M15" s="108"/>
      <c r="N15" s="108"/>
      <c r="O15" s="108">
        <v>1.4</v>
      </c>
      <c r="P15" s="108">
        <v>1.45</v>
      </c>
      <c r="Q15" s="108">
        <v>1.33</v>
      </c>
      <c r="R15" s="108"/>
      <c r="S15" s="108"/>
      <c r="T15" s="108"/>
      <c r="U15" s="108"/>
      <c r="V15" s="108"/>
      <c r="W15" s="108"/>
      <c r="X15" s="108"/>
      <c r="Y15" s="108"/>
      <c r="Z15" s="108"/>
      <c r="AA15" s="108"/>
      <c r="AB15" s="108">
        <v>2.15</v>
      </c>
      <c r="AC15" s="108"/>
      <c r="AD15" s="108"/>
      <c r="AE15" s="108">
        <v>3.2</v>
      </c>
      <c r="AF15" s="108"/>
      <c r="AG15" s="108"/>
      <c r="AH15" s="108">
        <v>2.4</v>
      </c>
      <c r="AI15" s="108">
        <v>2.4500000000000002</v>
      </c>
      <c r="AJ15" s="108"/>
      <c r="AK15" s="108"/>
      <c r="AL15" s="108"/>
      <c r="AM15" s="108"/>
      <c r="AN15" s="108"/>
      <c r="AO15" s="108">
        <v>1.65</v>
      </c>
      <c r="AP15" s="108"/>
      <c r="AQ15" s="108"/>
      <c r="AR15" s="108"/>
      <c r="AS15" s="108"/>
      <c r="AT15" s="108"/>
      <c r="AU15" s="108"/>
      <c r="AV15" s="108"/>
      <c r="AW15" s="137">
        <v>1.42</v>
      </c>
      <c r="AX15" s="137">
        <v>1.365</v>
      </c>
      <c r="AY15" s="137">
        <v>1.34</v>
      </c>
      <c r="BC15" s="137">
        <v>1.34</v>
      </c>
      <c r="BG15" s="137">
        <v>1.44</v>
      </c>
      <c r="BK15" s="137">
        <v>1.4</v>
      </c>
      <c r="BO15" s="137">
        <v>1.325</v>
      </c>
      <c r="BW15" s="137">
        <v>1.37</v>
      </c>
      <c r="CA15" s="137">
        <v>1.37</v>
      </c>
      <c r="CI15" s="137">
        <v>1.36</v>
      </c>
      <c r="CV15" s="137">
        <f>1.41</f>
        <v>1.41</v>
      </c>
      <c r="DA15" s="137">
        <v>1.38</v>
      </c>
    </row>
    <row r="16" spans="1:156" ht="13">
      <c r="A16" s="331" t="s">
        <v>677</v>
      </c>
      <c r="H16" s="60" t="s">
        <v>406</v>
      </c>
      <c r="I16" s="74">
        <f>I15-I14</f>
        <v>0.71987679652681713</v>
      </c>
      <c r="J16" s="74"/>
      <c r="K16" s="74"/>
      <c r="L16" s="74"/>
      <c r="M16" s="74"/>
      <c r="N16" s="74"/>
      <c r="O16" s="74">
        <f>O15-O14</f>
        <v>0.71793769017980624</v>
      </c>
      <c r="P16" s="74">
        <f>P15-P14</f>
        <v>0.75452552558782837</v>
      </c>
      <c r="Q16" s="74">
        <f>Q15-Q14</f>
        <v>0.59448101121868757</v>
      </c>
      <c r="R16" s="74"/>
      <c r="S16" s="74"/>
      <c r="T16" s="74"/>
      <c r="U16" s="74"/>
      <c r="V16" s="74"/>
      <c r="W16" s="74"/>
      <c r="X16" s="74"/>
      <c r="Y16" s="74"/>
      <c r="Z16" s="74"/>
      <c r="AA16" s="74"/>
      <c r="AB16" s="74">
        <f>AB15-AB14</f>
        <v>0.87718385968956492</v>
      </c>
      <c r="AC16" s="74"/>
      <c r="AD16" s="74"/>
      <c r="AE16" s="74">
        <f>AE15-AE14</f>
        <v>1.7529520132165362</v>
      </c>
      <c r="AF16" s="74"/>
      <c r="AG16" s="74"/>
      <c r="AH16" s="74">
        <f>AH15-AH14</f>
        <v>1.3242457257568772</v>
      </c>
      <c r="AI16" s="74">
        <f>AI15-AI14</f>
        <v>1.2541088539265406</v>
      </c>
      <c r="AJ16" s="74"/>
      <c r="AK16" s="74"/>
      <c r="AL16" s="74"/>
      <c r="AM16" s="74"/>
      <c r="AN16" s="74"/>
      <c r="AO16" s="74">
        <f>AO15-AO14</f>
        <v>0.76242728138927296</v>
      </c>
      <c r="AP16" s="74"/>
      <c r="AQ16" s="74"/>
      <c r="AR16" s="74"/>
      <c r="AS16" s="74"/>
      <c r="AT16" s="74"/>
      <c r="AU16" s="74"/>
      <c r="AW16" s="65">
        <f>AW15-AW14</f>
        <v>0.60200814584293816</v>
      </c>
      <c r="AX16" s="65">
        <f>AX15-AX14</f>
        <v>0.55902041340095265</v>
      </c>
      <c r="AY16" s="65">
        <f>AY15-AY14</f>
        <v>0.55478459044106354</v>
      </c>
      <c r="BC16" s="65">
        <f>BC15-BC14</f>
        <v>0.57185592362071624</v>
      </c>
      <c r="BG16" s="65">
        <f>BG15-BG14</f>
        <v>0.59714425772245261</v>
      </c>
      <c r="BK16" s="65">
        <f>BK15-BK14</f>
        <v>0.47479140617796201</v>
      </c>
      <c r="BO16" s="65">
        <f>BO15-BO14</f>
        <v>0.48396847087751638</v>
      </c>
      <c r="BW16" s="65">
        <f>BW15-BW14</f>
        <v>0.54578457123098201</v>
      </c>
      <c r="CA16" s="65">
        <f>CA15-CA14</f>
        <v>0.54347744044874746</v>
      </c>
      <c r="CI16" s="65">
        <f>CI15-CI14</f>
        <v>0.59307523897341319</v>
      </c>
      <c r="CV16" s="65">
        <f>CV15-CV14</f>
        <v>0.66207966651298589</v>
      </c>
      <c r="DA16" s="65">
        <f>DA15-DA14</f>
        <v>0.6218011764253879</v>
      </c>
    </row>
    <row r="18" spans="8:144" ht="13" thickBot="1"/>
    <row r="19" spans="8:144" ht="13" thickBot="1">
      <c r="H19" s="106" t="s">
        <v>407</v>
      </c>
      <c r="I19" s="109">
        <f>0.59+I14</f>
        <v>1.3201232034731829</v>
      </c>
      <c r="J19" s="109">
        <f t="shared" ref="J19:AW19" si="24">0.59+J14</f>
        <v>1.3101143341785768</v>
      </c>
      <c r="K19" s="109">
        <f t="shared" si="24"/>
        <v>1.2035890702320577</v>
      </c>
      <c r="L19" s="109">
        <f t="shared" si="24"/>
        <v>1.239837608729061</v>
      </c>
      <c r="M19" s="109">
        <f t="shared" si="24"/>
        <v>1.2288890556323959</v>
      </c>
      <c r="N19" s="109">
        <f t="shared" si="24"/>
        <v>1.2611453596127249</v>
      </c>
      <c r="O19" s="109">
        <f t="shared" si="24"/>
        <v>1.2720623098201935</v>
      </c>
      <c r="P19" s="109">
        <f t="shared" si="24"/>
        <v>1.2854744744121716</v>
      </c>
      <c r="Q19" s="109">
        <f t="shared" si="24"/>
        <v>1.3255189887813126</v>
      </c>
      <c r="R19" s="109">
        <f t="shared" si="24"/>
        <v>1.4253747848470879</v>
      </c>
      <c r="S19" s="109">
        <f t="shared" si="24"/>
        <v>1.4765867719379129</v>
      </c>
      <c r="T19" s="109">
        <f t="shared" si="24"/>
        <v>1.5894356654372213</v>
      </c>
      <c r="U19" s="109">
        <f t="shared" si="24"/>
        <v>1.6929089538189643</v>
      </c>
      <c r="V19" s="109">
        <f t="shared" si="24"/>
        <v>1.8836521822652528</v>
      </c>
      <c r="W19" s="109">
        <f t="shared" si="24"/>
        <v>1.9123493929614264</v>
      </c>
      <c r="X19" s="109">
        <f t="shared" si="24"/>
        <v>2.0642479637313662</v>
      </c>
      <c r="Y19" s="109">
        <f t="shared" si="24"/>
        <v>2.0373735208237282</v>
      </c>
      <c r="Z19" s="109">
        <f t="shared" si="24"/>
        <v>2.0160585331181804</v>
      </c>
      <c r="AA19" s="109">
        <f t="shared" si="24"/>
        <v>1.903008529276164</v>
      </c>
      <c r="AB19" s="109">
        <f t="shared" si="24"/>
        <v>1.8628161403104349</v>
      </c>
      <c r="AC19" s="109">
        <f t="shared" si="24"/>
        <v>2.1273171776548332</v>
      </c>
      <c r="AD19" s="109">
        <f t="shared" si="24"/>
        <v>2.1446484555094512</v>
      </c>
      <c r="AE19" s="109">
        <f t="shared" si="24"/>
        <v>2.0370479867834641</v>
      </c>
      <c r="AF19" s="109">
        <f t="shared" si="24"/>
        <v>1.901822047410481</v>
      </c>
      <c r="AG19" s="109">
        <f t="shared" si="24"/>
        <v>1.838515771476871</v>
      </c>
      <c r="AH19" s="109">
        <f t="shared" si="24"/>
        <v>1.6657542742431226</v>
      </c>
      <c r="AI19" s="109">
        <f t="shared" si="24"/>
        <v>1.7858911460734594</v>
      </c>
      <c r="AJ19" s="109">
        <f t="shared" si="24"/>
        <v>1.8786260181343168</v>
      </c>
      <c r="AK19" s="109">
        <f t="shared" si="24"/>
        <v>1.7731412325188258</v>
      </c>
      <c r="AL19" s="109">
        <f t="shared" si="24"/>
        <v>1.6100488512371292</v>
      </c>
      <c r="AM19" s="109">
        <f t="shared" si="24"/>
        <v>1.5192318057476561</v>
      </c>
      <c r="AN19" s="109">
        <f t="shared" si="24"/>
        <v>1.4946103357922238</v>
      </c>
      <c r="AO19" s="109">
        <f t="shared" si="24"/>
        <v>1.4775727186107268</v>
      </c>
      <c r="AP19" s="109">
        <f t="shared" si="24"/>
        <v>1.4312499469801754</v>
      </c>
      <c r="AQ19" s="109">
        <f t="shared" si="24"/>
        <v>1.409800017673275</v>
      </c>
      <c r="AR19" s="109">
        <f t="shared" si="24"/>
        <v>1.4165679099431383</v>
      </c>
      <c r="AS19" s="109">
        <f t="shared" si="24"/>
        <v>1.4284364230828337</v>
      </c>
      <c r="AT19" s="109">
        <f t="shared" si="24"/>
        <v>1.4357671914860919</v>
      </c>
      <c r="AU19" s="109">
        <f t="shared" si="24"/>
        <v>1.4195593530044568</v>
      </c>
      <c r="AV19" s="109">
        <f t="shared" si="24"/>
        <v>1.4355328246503767</v>
      </c>
      <c r="AW19" s="109">
        <f t="shared" si="24"/>
        <v>1.4079918541570617</v>
      </c>
      <c r="AX19" s="109">
        <f>0.56+AX14</f>
        <v>1.3659795865990474</v>
      </c>
      <c r="AY19" s="109">
        <f>0.55+AY14</f>
        <v>1.3352154095589366</v>
      </c>
      <c r="AZ19" s="109">
        <f t="shared" ref="AZ19:BJ19" si="25">0.55+AZ14</f>
        <v>1.3255206615952053</v>
      </c>
      <c r="BA19" s="109">
        <f t="shared" si="25"/>
        <v>1.3301349231596742</v>
      </c>
      <c r="BB19" s="109">
        <f t="shared" si="25"/>
        <v>1.3209064000307362</v>
      </c>
      <c r="BC19" s="109">
        <f t="shared" si="25"/>
        <v>1.318144076379284</v>
      </c>
      <c r="BD19" s="109">
        <f t="shared" si="25"/>
        <v>1.365085309666513</v>
      </c>
      <c r="BE19" s="109">
        <f t="shared" si="25"/>
        <v>1.3766209635776856</v>
      </c>
      <c r="BF19" s="109">
        <f t="shared" si="25"/>
        <v>1.3835423559243891</v>
      </c>
      <c r="BG19" s="109">
        <f t="shared" si="25"/>
        <v>1.3928557422775474</v>
      </c>
      <c r="BH19" s="109">
        <f t="shared" si="25"/>
        <v>1.3986235692331337</v>
      </c>
      <c r="BI19" s="109">
        <f t="shared" si="25"/>
        <v>1.470594332257569</v>
      </c>
      <c r="BJ19" s="109">
        <f t="shared" si="25"/>
        <v>1.484437116950976</v>
      </c>
      <c r="BK19" s="109">
        <f>0.47+BK14</f>
        <v>1.395208593822038</v>
      </c>
      <c r="BL19" s="109">
        <f t="shared" ref="BL19:DW19" si="26">0.47+BL14</f>
        <v>1.4235334255417245</v>
      </c>
      <c r="BM19" s="109">
        <f t="shared" si="26"/>
        <v>1.3986164130935916</v>
      </c>
      <c r="BN19" s="109">
        <f t="shared" si="26"/>
        <v>1.3824664976179499</v>
      </c>
      <c r="BO19" s="109">
        <f t="shared" si="26"/>
        <v>1.3110315291224834</v>
      </c>
      <c r="BP19" s="109">
        <f t="shared" si="26"/>
        <v>1.3018030059935455</v>
      </c>
      <c r="BQ19" s="109">
        <f t="shared" si="26"/>
        <v>1.3018030059935455</v>
      </c>
      <c r="BR19" s="109">
        <f t="shared" si="26"/>
        <v>1.3018030059935455</v>
      </c>
      <c r="BS19" s="109">
        <f t="shared" si="26"/>
        <v>1.277781622867681</v>
      </c>
      <c r="BT19" s="109">
        <f t="shared" si="26"/>
        <v>1.2985457999077916</v>
      </c>
      <c r="BU19" s="109">
        <f t="shared" si="26"/>
        <v>1.2847030152143846</v>
      </c>
      <c r="BV19" s="109">
        <f t="shared" si="26"/>
        <v>1.2858565806055018</v>
      </c>
      <c r="BW19" s="109">
        <f t="shared" si="26"/>
        <v>1.294215428769018</v>
      </c>
      <c r="BX19" s="109">
        <f t="shared" si="26"/>
        <v>1.2919082979867835</v>
      </c>
      <c r="BY19" s="109">
        <f t="shared" si="26"/>
        <v>1.2919082979867835</v>
      </c>
      <c r="BZ19" s="109">
        <f t="shared" si="26"/>
        <v>1.2965225595512526</v>
      </c>
      <c r="CA19" s="109">
        <f t="shared" si="26"/>
        <v>1.2965225595512526</v>
      </c>
      <c r="CB19" s="109">
        <f t="shared" si="26"/>
        <v>1.299752542646381</v>
      </c>
      <c r="CC19" s="109">
        <f t="shared" si="26"/>
        <v>1.2976761249423698</v>
      </c>
      <c r="CD19" s="109">
        <f t="shared" si="26"/>
        <v>1.3011368211157217</v>
      </c>
      <c r="CE19" s="109">
        <f t="shared" si="26"/>
        <v>1.2975620493314892</v>
      </c>
      <c r="CF19" s="109">
        <f t="shared" si="26"/>
        <v>1.2975620493314892</v>
      </c>
      <c r="CG19" s="109">
        <f t="shared" si="26"/>
        <v>1.2615398970339635</v>
      </c>
      <c r="CH19" s="109">
        <f t="shared" si="26"/>
        <v>1.2570620646995545</v>
      </c>
      <c r="CI19" s="109">
        <f t="shared" si="26"/>
        <v>1.2369247610265868</v>
      </c>
      <c r="CJ19" s="109">
        <f t="shared" si="26"/>
        <v>1.2392318918088214</v>
      </c>
      <c r="CK19" s="109">
        <f t="shared" si="26"/>
        <v>1.2392318918088214</v>
      </c>
      <c r="CL19" s="109">
        <f t="shared" si="26"/>
        <v>1.2363206193330261</v>
      </c>
      <c r="CM19" s="109">
        <f t="shared" si="26"/>
        <v>1.2363206193330261</v>
      </c>
      <c r="CN19" s="109">
        <f t="shared" si="26"/>
        <v>1.2293992269863225</v>
      </c>
      <c r="CO19" s="109">
        <f t="shared" si="26"/>
        <v>1.2293992269863225</v>
      </c>
      <c r="CP19" s="109">
        <f t="shared" si="26"/>
        <v>1.2293992269863225</v>
      </c>
      <c r="CQ19" s="109">
        <f t="shared" si="26"/>
        <v>1.2247849654218534</v>
      </c>
      <c r="CR19" s="109">
        <f t="shared" si="26"/>
        <v>1.2271358706008915</v>
      </c>
      <c r="CS19" s="109">
        <f t="shared" si="26"/>
        <v>1.2270801313969573</v>
      </c>
      <c r="CT19" s="109">
        <f t="shared" si="26"/>
        <v>1.2247730006147226</v>
      </c>
      <c r="CU19" s="109">
        <f t="shared" si="26"/>
        <v>1.2190738988781313</v>
      </c>
      <c r="CV19" s="109">
        <f t="shared" si="26"/>
        <v>1.2179203334870139</v>
      </c>
      <c r="CW19" s="109">
        <f t="shared" si="26"/>
        <v>1.2202628922698633</v>
      </c>
      <c r="CX19" s="109">
        <f t="shared" si="26"/>
        <v>1.2214164576609805</v>
      </c>
      <c r="CY19" s="109">
        <f t="shared" si="26"/>
        <v>1.228198823574612</v>
      </c>
      <c r="CZ19" s="109">
        <f t="shared" si="26"/>
        <v>1.228198823574612</v>
      </c>
      <c r="DA19" s="109">
        <f t="shared" si="26"/>
        <v>1.228198823574612</v>
      </c>
      <c r="DB19" s="109">
        <f t="shared" si="26"/>
        <v>1.2314288066697403</v>
      </c>
      <c r="DC19" s="109">
        <f t="shared" si="26"/>
        <v>1.2314288066697403</v>
      </c>
      <c r="DD19" s="109">
        <f t="shared" si="26"/>
        <v>1.2268145451052712</v>
      </c>
      <c r="DE19" s="109">
        <f t="shared" si="26"/>
        <v>1.2268145451052712</v>
      </c>
      <c r="DF19" s="109">
        <f t="shared" si="26"/>
        <v>1.2258916927923775</v>
      </c>
      <c r="DG19" s="109">
        <f t="shared" si="26"/>
        <v>1.2224309966190257</v>
      </c>
      <c r="DH19" s="109">
        <f t="shared" si="26"/>
        <v>1.1911517435069925</v>
      </c>
      <c r="DI19" s="109">
        <f t="shared" si="26"/>
        <v>1.1888446127247581</v>
      </c>
      <c r="DJ19" s="109">
        <f t="shared" si="26"/>
        <v>1.1876910473336406</v>
      </c>
      <c r="DK19" s="109">
        <f t="shared" si="26"/>
        <v>1.1853839165514062</v>
      </c>
      <c r="DL19" s="109">
        <f t="shared" si="26"/>
        <v>1.184230351160289</v>
      </c>
      <c r="DM19" s="109">
        <f t="shared" si="26"/>
        <v>1.2023766021207929</v>
      </c>
      <c r="DN19" s="109">
        <f t="shared" si="26"/>
        <v>1.1716202458890426</v>
      </c>
      <c r="DO19" s="109">
        <f t="shared" si="26"/>
        <v>1.1716202458890426</v>
      </c>
      <c r="DP19" s="109">
        <f t="shared" si="26"/>
        <v>1.1716202458890426</v>
      </c>
      <c r="DQ19" s="109">
        <f t="shared" si="26"/>
        <v>1.1560280121407716</v>
      </c>
      <c r="DR19" s="109">
        <f t="shared" si="26"/>
        <v>1.1548744467496541</v>
      </c>
      <c r="DS19" s="109">
        <f t="shared" si="26"/>
        <v>1.1548744467496541</v>
      </c>
      <c r="DT19" s="109">
        <f t="shared" si="26"/>
        <v>0.47</v>
      </c>
      <c r="DU19" s="109">
        <f t="shared" si="26"/>
        <v>0.47</v>
      </c>
      <c r="DV19" s="109">
        <f t="shared" si="26"/>
        <v>0.47</v>
      </c>
      <c r="DW19" s="109">
        <f t="shared" si="26"/>
        <v>0.47</v>
      </c>
      <c r="DX19" s="109">
        <f t="shared" ref="DX19:EN19" si="27">0.47+DX14</f>
        <v>0.47</v>
      </c>
      <c r="DY19" s="109">
        <f t="shared" si="27"/>
        <v>0.47</v>
      </c>
      <c r="DZ19" s="109">
        <f t="shared" si="27"/>
        <v>0.47</v>
      </c>
      <c r="EA19" s="109">
        <f t="shared" si="27"/>
        <v>0.47</v>
      </c>
      <c r="EB19" s="109">
        <f t="shared" si="27"/>
        <v>0.47</v>
      </c>
      <c r="EC19" s="109">
        <f t="shared" si="27"/>
        <v>0.47</v>
      </c>
      <c r="ED19" s="109">
        <f t="shared" si="27"/>
        <v>0.47</v>
      </c>
      <c r="EE19" s="109">
        <f t="shared" si="27"/>
        <v>0.47</v>
      </c>
      <c r="EF19" s="109">
        <f t="shared" si="27"/>
        <v>0.47</v>
      </c>
      <c r="EG19" s="109">
        <f t="shared" si="27"/>
        <v>0.47</v>
      </c>
      <c r="EH19" s="109">
        <f t="shared" si="27"/>
        <v>0.47</v>
      </c>
      <c r="EI19" s="109">
        <f t="shared" si="27"/>
        <v>0.47</v>
      </c>
      <c r="EJ19" s="109">
        <f t="shared" si="27"/>
        <v>0.47</v>
      </c>
      <c r="EK19" s="109">
        <f t="shared" si="27"/>
        <v>0.47</v>
      </c>
      <c r="EL19" s="109">
        <f t="shared" si="27"/>
        <v>0.47</v>
      </c>
      <c r="EM19" s="109">
        <f t="shared" si="27"/>
        <v>0.47</v>
      </c>
      <c r="EN19" s="109">
        <f t="shared" si="27"/>
        <v>0.47</v>
      </c>
    </row>
  </sheetData>
  <phoneticPr fontId="52" type="noConversion"/>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6"/>
  <dimension ref="A1:ER19"/>
  <sheetViews>
    <sheetView workbookViewId="0">
      <pane xSplit="9" ySplit="7" topLeftCell="DP11" activePane="bottomRight" state="frozen"/>
      <selection pane="topRight" activeCell="J1" sqref="J1"/>
      <selection pane="bottomLeft" activeCell="A8" sqref="A8"/>
      <selection pane="bottomRight" activeCell="DQ20" sqref="DQ20"/>
    </sheetView>
  </sheetViews>
  <sheetFormatPr baseColWidth="10" defaultColWidth="22.6640625" defaultRowHeight="12"/>
  <cols>
    <col min="1" max="2" width="13.33203125" style="60" bestFit="1" customWidth="1"/>
    <col min="3" max="3" width="4.83203125" style="60" bestFit="1" customWidth="1"/>
    <col min="4" max="4" width="6.1640625" style="60" bestFit="1" customWidth="1"/>
    <col min="5" max="5" width="17.5" style="60" bestFit="1" customWidth="1"/>
    <col min="6" max="6" width="6.5" style="60" bestFit="1" customWidth="1"/>
    <col min="7" max="7" width="4.1640625" style="60" bestFit="1" customWidth="1"/>
    <col min="8" max="8" width="22.83203125" style="60" bestFit="1" customWidth="1"/>
    <col min="9" max="9" width="5.1640625" style="60" bestFit="1" customWidth="1"/>
    <col min="10" max="10" width="5.5" style="60" bestFit="1" customWidth="1"/>
    <col min="11" max="11" width="5.6640625" style="60" bestFit="1" customWidth="1"/>
    <col min="12" max="12" width="5.5" style="60" bestFit="1" customWidth="1"/>
    <col min="13" max="13" width="5.83203125" style="60" bestFit="1" customWidth="1"/>
    <col min="14" max="18" width="5.5" style="60" bestFit="1" customWidth="1"/>
    <col min="19" max="19" width="5.6640625" style="60" bestFit="1" customWidth="1"/>
    <col min="20" max="20" width="6.1640625" style="60" bestFit="1" customWidth="1"/>
    <col min="21" max="21" width="5.5" style="60" bestFit="1" customWidth="1"/>
    <col min="22" max="26" width="6.1640625" style="60" bestFit="1" customWidth="1"/>
    <col min="27" max="30" width="5.5" style="60" bestFit="1" customWidth="1"/>
    <col min="31" max="31" width="5.6640625" style="60" bestFit="1" customWidth="1"/>
    <col min="32" max="34" width="5.5" style="60" bestFit="1" customWidth="1"/>
    <col min="35" max="35" width="5.6640625" style="60" bestFit="1" customWidth="1"/>
    <col min="36" max="36" width="5.5" style="60" bestFit="1" customWidth="1"/>
    <col min="37" max="37" width="5.83203125" style="60" bestFit="1" customWidth="1"/>
    <col min="38" max="42" width="5.5" style="60" bestFit="1" customWidth="1"/>
    <col min="43" max="43" width="5.6640625" style="60" bestFit="1" customWidth="1"/>
    <col min="44" max="46" width="5.5" style="60" bestFit="1" customWidth="1"/>
    <col min="47" max="47" width="5.6640625" style="60" bestFit="1" customWidth="1"/>
    <col min="48" max="48" width="5.5" style="60" bestFit="1" customWidth="1"/>
    <col min="49" max="49" width="5.83203125" style="60" bestFit="1" customWidth="1"/>
    <col min="50" max="51" width="5.5" style="60" bestFit="1" customWidth="1"/>
    <col min="52" max="54" width="7" style="60" bestFit="1" customWidth="1"/>
    <col min="55" max="58" width="5.5" style="60" bestFit="1" customWidth="1"/>
    <col min="59" max="62" width="6.1640625" style="60" bestFit="1" customWidth="1"/>
    <col min="63" max="66" width="5.5" style="60" bestFit="1" customWidth="1"/>
    <col min="67" max="70" width="5.6640625" style="60" bestFit="1" customWidth="1"/>
    <col min="71" max="80" width="5.5" style="60" bestFit="1" customWidth="1"/>
    <col min="81" max="90" width="6.1640625" style="60" bestFit="1" customWidth="1"/>
    <col min="91" max="95" width="6.33203125" style="60" bestFit="1" customWidth="1"/>
    <col min="96" max="107" width="6.1640625" style="60" bestFit="1" customWidth="1"/>
    <col min="108" max="115" width="5.6640625" style="60" bestFit="1" customWidth="1"/>
    <col min="116" max="119" width="6.1640625" style="60" bestFit="1" customWidth="1"/>
    <col min="120" max="123" width="5.83203125" style="60" bestFit="1" customWidth="1"/>
    <col min="124" max="138" width="5.1640625" style="60" bestFit="1" customWidth="1"/>
    <col min="139" max="142" width="3.6640625" style="60" bestFit="1" customWidth="1"/>
    <col min="143" max="148" width="3.33203125" style="60" bestFit="1" customWidth="1"/>
    <col min="149" max="16384" width="22.6640625" style="60"/>
  </cols>
  <sheetData>
    <row r="1" spans="1:148" ht="39">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c r="EM1" s="99">
        <v>141</v>
      </c>
      <c r="EN1" s="99">
        <v>142</v>
      </c>
      <c r="EO1" s="99">
        <v>143</v>
      </c>
      <c r="EP1" s="99">
        <v>144</v>
      </c>
      <c r="EQ1" s="99">
        <v>145</v>
      </c>
      <c r="ER1" s="99">
        <v>146</v>
      </c>
    </row>
    <row r="2" spans="1:148" ht="13">
      <c r="A2" s="100" t="s">
        <v>242</v>
      </c>
      <c r="B2" s="112" t="s">
        <v>672</v>
      </c>
      <c r="C2" s="101">
        <v>1</v>
      </c>
      <c r="D2" s="112">
        <v>100.117</v>
      </c>
      <c r="E2" s="60">
        <f>D2*C2</f>
        <v>100.117</v>
      </c>
      <c r="K2" s="102"/>
      <c r="M2" s="102"/>
    </row>
    <row r="3" spans="1:148">
      <c r="A3" s="36"/>
      <c r="B3" s="64"/>
      <c r="D3" s="100"/>
      <c r="E3" s="64"/>
      <c r="F3" s="103"/>
    </row>
    <row r="4" spans="1:148">
      <c r="A4" s="64"/>
      <c r="B4" s="64"/>
      <c r="D4" s="64"/>
      <c r="E4" s="64"/>
      <c r="H4" s="60" t="s">
        <v>387</v>
      </c>
    </row>
    <row r="5" spans="1:148">
      <c r="A5" s="74"/>
      <c r="B5" s="74"/>
    </row>
    <row r="6" spans="1:148" ht="30">
      <c r="A6" s="59"/>
      <c r="B6" s="59"/>
      <c r="C6" s="59"/>
      <c r="D6" s="98"/>
      <c r="E6" s="98"/>
      <c r="F6" s="59"/>
      <c r="H6" s="59" t="s">
        <v>416</v>
      </c>
      <c r="I6" s="59">
        <v>43831</v>
      </c>
      <c r="J6" s="59">
        <v>43862</v>
      </c>
      <c r="K6" s="59">
        <v>43891</v>
      </c>
      <c r="L6" s="59">
        <v>43922</v>
      </c>
      <c r="M6" s="59">
        <v>43952</v>
      </c>
      <c r="N6" s="59">
        <v>43983</v>
      </c>
      <c r="O6" s="59">
        <v>44013</v>
      </c>
      <c r="P6" s="59">
        <v>44044</v>
      </c>
      <c r="Q6" s="59">
        <v>44075</v>
      </c>
      <c r="R6" s="59">
        <v>44105</v>
      </c>
      <c r="S6" s="59">
        <v>44136</v>
      </c>
      <c r="T6" s="59">
        <v>44166</v>
      </c>
      <c r="U6" s="59">
        <v>44197</v>
      </c>
      <c r="V6" s="59">
        <v>44228</v>
      </c>
      <c r="W6" s="59">
        <v>44256</v>
      </c>
      <c r="X6" s="59">
        <v>44287</v>
      </c>
      <c r="Y6" s="59">
        <v>44317</v>
      </c>
      <c r="Z6" s="59">
        <v>44348</v>
      </c>
      <c r="AA6" s="59">
        <v>44378</v>
      </c>
      <c r="AB6" s="59">
        <v>44409</v>
      </c>
      <c r="AC6" s="59">
        <v>44440</v>
      </c>
      <c r="AD6" s="59">
        <v>44470</v>
      </c>
      <c r="AE6" s="59">
        <v>44501</v>
      </c>
      <c r="AF6" s="59">
        <v>44531</v>
      </c>
      <c r="AG6" s="59">
        <v>44562</v>
      </c>
      <c r="AH6" s="59">
        <v>44593</v>
      </c>
      <c r="AI6" s="59">
        <v>44621</v>
      </c>
      <c r="AJ6" s="59">
        <v>44652</v>
      </c>
      <c r="AK6" s="59">
        <v>44682</v>
      </c>
      <c r="AL6" s="59">
        <v>44713</v>
      </c>
      <c r="AM6" s="59">
        <v>44743</v>
      </c>
      <c r="AN6" s="59">
        <v>44774</v>
      </c>
      <c r="AO6" s="59">
        <v>44805</v>
      </c>
      <c r="AP6" s="59">
        <v>44835</v>
      </c>
      <c r="AQ6" s="59">
        <v>44866</v>
      </c>
      <c r="AR6" s="59">
        <v>44896</v>
      </c>
      <c r="AS6" s="59">
        <v>44927</v>
      </c>
      <c r="AT6" s="59">
        <v>44958</v>
      </c>
      <c r="AU6" s="59">
        <v>44986</v>
      </c>
      <c r="AV6" s="59">
        <v>45017</v>
      </c>
      <c r="AW6" s="59">
        <v>45047</v>
      </c>
      <c r="AX6" s="59">
        <v>45078</v>
      </c>
      <c r="AY6" s="59">
        <v>45108</v>
      </c>
      <c r="AZ6" s="59" t="s">
        <v>530</v>
      </c>
      <c r="BA6" s="59" t="s">
        <v>531</v>
      </c>
      <c r="BB6" s="59" t="s">
        <v>532</v>
      </c>
      <c r="BC6" s="59">
        <v>37104</v>
      </c>
      <c r="BD6" s="59">
        <v>37469</v>
      </c>
      <c r="BE6" s="34" t="s">
        <v>168</v>
      </c>
      <c r="BF6" s="34" t="s">
        <v>169</v>
      </c>
      <c r="BG6" s="59" t="s">
        <v>393</v>
      </c>
      <c r="BH6" s="59" t="s">
        <v>458</v>
      </c>
      <c r="BI6" s="59" t="s">
        <v>459</v>
      </c>
      <c r="BJ6" s="59" t="s">
        <v>460</v>
      </c>
      <c r="BK6" s="59">
        <v>37165</v>
      </c>
      <c r="BL6" s="59">
        <v>37530</v>
      </c>
      <c r="BM6" s="59">
        <v>37895</v>
      </c>
      <c r="BN6" s="59">
        <v>38261</v>
      </c>
      <c r="BO6" s="59">
        <v>37196</v>
      </c>
      <c r="BP6" s="59">
        <v>37561</v>
      </c>
      <c r="BQ6" s="59">
        <v>37926</v>
      </c>
      <c r="BR6" s="59">
        <v>38292</v>
      </c>
      <c r="BS6" s="59">
        <v>37226</v>
      </c>
      <c r="BT6" s="59">
        <v>37591</v>
      </c>
      <c r="BU6" s="59">
        <v>37956</v>
      </c>
      <c r="BV6" s="59">
        <v>38322</v>
      </c>
      <c r="BW6" s="59">
        <v>36892</v>
      </c>
      <c r="BX6" s="59">
        <v>37257</v>
      </c>
      <c r="BY6" s="59">
        <v>37622</v>
      </c>
      <c r="BZ6" s="59">
        <v>37987</v>
      </c>
      <c r="CA6" s="59">
        <v>36923</v>
      </c>
      <c r="CB6" s="59">
        <v>37288</v>
      </c>
      <c r="CC6" s="59">
        <v>37653</v>
      </c>
      <c r="CD6" s="59">
        <v>38018</v>
      </c>
      <c r="CE6" s="59" t="str">
        <f>Sheet8!A15</f>
        <v>Mar-w1</v>
      </c>
      <c r="CF6" s="59">
        <v>37316</v>
      </c>
      <c r="CG6" s="59">
        <v>37681</v>
      </c>
      <c r="CH6" s="59">
        <v>38047</v>
      </c>
      <c r="CI6" s="59" t="str">
        <f>Sheet8!E15</f>
        <v>Apr-w1</v>
      </c>
      <c r="CJ6" s="59" t="str">
        <f>Sheet8!F15</f>
        <v>Apr-w2</v>
      </c>
      <c r="CK6" s="59" t="str">
        <f>Sheet8!G15</f>
        <v>Apr-w3</v>
      </c>
      <c r="CL6" s="59" t="str">
        <f>Sheet8!H15</f>
        <v>Apr-w4</v>
      </c>
      <c r="CM6" s="59" t="str">
        <f>Sheet8!I15</f>
        <v>May-w1</v>
      </c>
      <c r="CN6" s="59" t="str">
        <f>Sheet8!J15</f>
        <v>May-w2</v>
      </c>
      <c r="CO6" s="59" t="str">
        <f>Sheet8!K15</f>
        <v>May-w3</v>
      </c>
      <c r="CP6" s="59" t="str">
        <f>Sheet8!L15</f>
        <v>May-w4</v>
      </c>
      <c r="CQ6" s="59" t="str">
        <f>Sheet8!M15</f>
        <v>May-w5</v>
      </c>
      <c r="CR6" s="59" t="str">
        <f>Sheet8!N15</f>
        <v>june-w1</v>
      </c>
      <c r="CS6" s="59" t="str">
        <f>Sheet8!O15</f>
        <v>june-w2</v>
      </c>
      <c r="CT6" s="59" t="str">
        <f>Sheet8!P15</f>
        <v>june-w3</v>
      </c>
      <c r="CU6" s="59" t="str">
        <f>Sheet8!Q15</f>
        <v>june-w4</v>
      </c>
      <c r="CV6" s="59" t="str">
        <f>Sheet8!R15</f>
        <v>Jul-w1</v>
      </c>
      <c r="CW6" s="59" t="str">
        <f>Sheet8!S15</f>
        <v>Jul-w2</v>
      </c>
      <c r="CX6" s="59" t="str">
        <f>Sheet8!T15</f>
        <v>Jul-w3</v>
      </c>
      <c r="CY6" s="59" t="str">
        <f>Sheet8!U15</f>
        <v>Jul-w4</v>
      </c>
      <c r="CZ6" s="59" t="str">
        <f>Sheet8!V15</f>
        <v>Aug-w1</v>
      </c>
      <c r="DA6" s="59" t="str">
        <f>Sheet8!W15</f>
        <v>Aug-w2</v>
      </c>
      <c r="DB6" s="59" t="str">
        <f>Sheet8!X15</f>
        <v>Aug-w3</v>
      </c>
      <c r="DC6" s="59" t="str">
        <f>Sheet8!Y15</f>
        <v>Aug-w4</v>
      </c>
      <c r="DD6" s="59" t="str">
        <f>Sheet8!Z15</f>
        <v>Sep-w1</v>
      </c>
      <c r="DE6" s="59" t="str">
        <f>Sheet8!AA15</f>
        <v>Sep-w2</v>
      </c>
      <c r="DF6" s="59" t="str">
        <f>Sheet8!AB15</f>
        <v>Sep-w3</v>
      </c>
      <c r="DG6" s="59" t="str">
        <f>Sheet8!AC15</f>
        <v>Sep-w4</v>
      </c>
      <c r="DH6" s="59" t="str">
        <f>Sheet8!AD15</f>
        <v>Oct-w1</v>
      </c>
      <c r="DI6" s="59" t="str">
        <f>Sheet8!AE15</f>
        <v>Oct-w2</v>
      </c>
      <c r="DJ6" s="59" t="str">
        <f>Sheet8!AF15</f>
        <v>Oct-w3</v>
      </c>
      <c r="DK6" s="59" t="str">
        <f>Sheet8!AG15</f>
        <v>Oct-w4</v>
      </c>
      <c r="DL6" s="59" t="str">
        <f>Sheet8!AH15</f>
        <v>Nov-w1</v>
      </c>
      <c r="DM6" s="59" t="str">
        <f>Sheet8!AI15</f>
        <v>Nov-w2</v>
      </c>
      <c r="DN6" s="59" t="str">
        <f>Sheet8!AJ15</f>
        <v>Nov-w3</v>
      </c>
      <c r="DO6" s="59" t="str">
        <f>Sheet8!AK15</f>
        <v>Nov-w4</v>
      </c>
      <c r="DP6" s="59" t="str">
        <f>Sheet8!AL15</f>
        <v>Dec-w1</v>
      </c>
      <c r="DQ6" s="59" t="str">
        <f>Sheet8!AM15</f>
        <v>Dec-w2</v>
      </c>
      <c r="DR6" s="59" t="str">
        <f>Sheet8!AN15</f>
        <v>Dec-w3</v>
      </c>
      <c r="DS6" s="59" t="str">
        <f>Sheet8!AO15</f>
        <v>Dec-w4</v>
      </c>
      <c r="DT6" s="59">
        <f>Sheet8!AP15</f>
        <v>0</v>
      </c>
      <c r="DU6" s="59">
        <f>Sheet8!AQ15</f>
        <v>0</v>
      </c>
      <c r="DV6" s="59">
        <f>Sheet8!AR15</f>
        <v>0</v>
      </c>
      <c r="DW6" s="59">
        <f>Sheet8!AS15</f>
        <v>0</v>
      </c>
      <c r="DX6" s="59">
        <f>Sheet8!AT15</f>
        <v>0</v>
      </c>
      <c r="DY6" s="59">
        <f>Sheet8!AU15</f>
        <v>0</v>
      </c>
      <c r="DZ6" s="59">
        <f>Sheet8!AV15</f>
        <v>0</v>
      </c>
      <c r="EA6" s="59">
        <f>Sheet8!AW15</f>
        <v>0</v>
      </c>
      <c r="EB6" s="59">
        <f>Sheet8!AX15</f>
        <v>0</v>
      </c>
      <c r="EC6" s="59">
        <f>Sheet8!AY15</f>
        <v>0</v>
      </c>
      <c r="ED6" s="59">
        <f>Sheet8!AZ15</f>
        <v>0</v>
      </c>
      <c r="EE6" s="59">
        <f>Sheet8!BA15</f>
        <v>0</v>
      </c>
      <c r="EF6" s="59">
        <f>Sheet8!BB15</f>
        <v>0</v>
      </c>
      <c r="EG6" s="59">
        <f>Sheet8!BC15</f>
        <v>0</v>
      </c>
      <c r="EH6" s="59">
        <f>Sheet8!BD15</f>
        <v>0</v>
      </c>
    </row>
    <row r="7" spans="1:148">
      <c r="F7" s="60" t="s">
        <v>651</v>
      </c>
      <c r="H7" s="30" t="s">
        <v>64</v>
      </c>
      <c r="I7" s="70">
        <f>VLOOKUP($H$7&amp;$F$1,'Input RM sheet'!$A:$BD,H1,0)</f>
        <v>684</v>
      </c>
      <c r="J7" s="74">
        <f>VLOOKUP($H$7&amp;$F$1,'Input RM sheet'!$A:$BD,I1,0)</f>
        <v>706.3</v>
      </c>
      <c r="K7" s="74">
        <f>VLOOKUP($H$7&amp;$F$1,'Input RM sheet'!$A:$BD,J1,0)</f>
        <v>643.79999999999995</v>
      </c>
      <c r="L7" s="74">
        <f>VLOOKUP($H$7&amp;$F$1,'Input RM sheet'!$A:$BD,K1,0)</f>
        <v>590</v>
      </c>
      <c r="M7" s="74">
        <f>VLOOKUP($H$7&amp;$F$1,'Input RM sheet'!$A:$BD,L1,0)</f>
        <v>784</v>
      </c>
      <c r="N7" s="74">
        <f>VLOOKUP($H$7&amp;$F$1,'Input RM sheet'!$A:$BD,M1,0)</f>
        <v>928.8</v>
      </c>
      <c r="O7" s="74">
        <f>VLOOKUP($H$7&amp;$F$1,'Input RM sheet'!$A:$BD,N1,0)</f>
        <v>953.5</v>
      </c>
      <c r="P7" s="74">
        <f>VLOOKUP($H$7&amp;$F$1,'Input RM sheet'!$A:$BD,O1,0)</f>
        <v>892.5</v>
      </c>
      <c r="Q7" s="74">
        <f>VLOOKUP($H$7&amp;$F$1,'Input RM sheet'!$A:$BD,P1,0)</f>
        <v>885</v>
      </c>
      <c r="R7" s="74">
        <f>VLOOKUP($H$7&amp;$F$1,'Input RM sheet'!$A:$BD,Q1,0)</f>
        <v>908</v>
      </c>
      <c r="S7" s="74">
        <f>VLOOKUP($H$7&amp;$F$1,'Input RM sheet'!$A:$BD,R1,0)</f>
        <v>963.8</v>
      </c>
      <c r="T7" s="74">
        <f>VLOOKUP($H$7&amp;$F$1,'Input RM sheet'!$A:$BD,S1,0)</f>
        <v>1053.8</v>
      </c>
      <c r="U7" s="74">
        <f>VLOOKUP($H$7&amp;$F$1,'Input RM sheet'!$A:$BD,T1,0)</f>
        <v>992.5</v>
      </c>
      <c r="V7" s="74">
        <f>VLOOKUP($H$7&amp;$F$1,'Input RM sheet'!$A:$BD,U1,0)</f>
        <v>1085</v>
      </c>
      <c r="W7" s="74">
        <f>VLOOKUP($H$7&amp;$F$1,'Input RM sheet'!$A:$BD,V1,0)</f>
        <v>1280</v>
      </c>
      <c r="X7" s="74">
        <f>VLOOKUP($H$7&amp;$F$1,'Input RM sheet'!$A:$BD,W1,0)</f>
        <v>1305</v>
      </c>
      <c r="Y7" s="74">
        <f>VLOOKUP($H$7&amp;$F$1,'Input RM sheet'!$A:$BD,X1,0)</f>
        <v>1237.5</v>
      </c>
      <c r="Z7" s="74">
        <f>VLOOKUP($H$7&amp;$F$1,'Input RM sheet'!$A:$BD,Y1,0)</f>
        <v>1028.8</v>
      </c>
      <c r="AA7" s="74">
        <f>VLOOKUP($H$7&amp;$F$1,'Input RM sheet'!$A:$BD,Z1,0)</f>
        <v>864</v>
      </c>
      <c r="AB7" s="74">
        <f>VLOOKUP($H$7&amp;$F$1,'Input RM sheet'!$A:$BD,AA1,0)</f>
        <v>822.5</v>
      </c>
      <c r="AC7" s="74">
        <f>VLOOKUP($H$7&amp;$F$1,'Input RM sheet'!$A:$BD,AB1,0)</f>
        <v>839</v>
      </c>
      <c r="AD7" s="74">
        <f>VLOOKUP($H$7&amp;$F$1,'Input RM sheet'!$A:$BD,AC1,0)</f>
        <v>902</v>
      </c>
      <c r="AE7" s="74">
        <f>VLOOKUP($H$7&amp;$F$1,'Input RM sheet'!$A:$BD,AD1,0)</f>
        <v>893.8</v>
      </c>
      <c r="AF7" s="74">
        <f>VLOOKUP($H$7&amp;$F$1,'Input RM sheet'!$A:$BD,AE1,0)</f>
        <v>835</v>
      </c>
      <c r="AG7" s="74">
        <f>VLOOKUP($H$7&amp;$F$1,'Input RM sheet'!$A:$BD,AF1,0)</f>
        <v>822.5</v>
      </c>
      <c r="AH7" s="74">
        <f>VLOOKUP($H$7&amp;$F$1,'Input RM sheet'!$A:$BD,AG1,0)</f>
        <v>875</v>
      </c>
      <c r="AI7" s="74">
        <f>VLOOKUP($H$7&amp;$F$1,'Input RM sheet'!$A:$BD,AH1,0)</f>
        <v>986.3</v>
      </c>
      <c r="AJ7" s="74">
        <f>VLOOKUP($H$7&amp;$F$1,'Input RM sheet'!$A:$BD,AI1,0)</f>
        <v>962</v>
      </c>
      <c r="AK7" s="74">
        <f>VLOOKUP($H$7&amp;$F$1,'Input RM sheet'!$A:$BD,AJ1,0)</f>
        <v>955</v>
      </c>
      <c r="AL7" s="74">
        <f>VLOOKUP($H$7&amp;$F$1,'Input RM sheet'!$A:$BD,AK1,0)</f>
        <v>960</v>
      </c>
      <c r="AM7" s="74">
        <f>VLOOKUP($H$7&amp;$F$1,'Input RM sheet'!$A:$BD,AL1,0)</f>
        <v>952</v>
      </c>
      <c r="AN7" s="74">
        <f>VLOOKUP($H$7&amp;$F$1,'Input RM sheet'!$A:$BD,AM1,0)</f>
        <v>875</v>
      </c>
      <c r="AO7" s="74">
        <f>VLOOKUP($H$7&amp;$F$1,'Input RM sheet'!$A:$BD,AN1,0)</f>
        <v>837.5</v>
      </c>
      <c r="AP7" s="74">
        <f>VLOOKUP($H$7&amp;$F$1,'Input RM sheet'!$A:$BD,AO1,0)</f>
        <v>818.8</v>
      </c>
      <c r="AQ7" s="74">
        <f>VLOOKUP($H$7&amp;$F$1,'Input RM sheet'!$A:$BD,AP1,0)</f>
        <v>785</v>
      </c>
      <c r="AR7" s="74">
        <f>VLOOKUP($H$7&amp;$F$1,'Input RM sheet'!$A:$BD,AQ1,0)</f>
        <v>790</v>
      </c>
      <c r="AS7" s="74">
        <f>VLOOKUP($H$7&amp;$F$1,'Input RM sheet'!$A:$BD,AR1,0)</f>
        <v>790</v>
      </c>
      <c r="AT7" s="74">
        <f>VLOOKUP($H$7&amp;$F$1,'Input RM sheet'!$A:$BD,AS1,0)</f>
        <v>833.8</v>
      </c>
      <c r="AU7" s="74">
        <f>VLOOKUP($H$7&amp;$F$1,'Input RM sheet'!$A:$BD,AT1,0)</f>
        <v>915</v>
      </c>
      <c r="AV7" s="74">
        <f>VLOOKUP($H$7&amp;$F$1,'Input RM sheet'!$A:$BD,AU1,0)</f>
        <v>915</v>
      </c>
      <c r="AW7" s="74">
        <f>VLOOKUP($H$7&amp;$F$1,'Input RM sheet'!$A:$BD,AV1,0)</f>
        <v>932.5</v>
      </c>
      <c r="AX7" s="74">
        <f>VLOOKUP($H$7&amp;$F$1,'Input RM sheet'!$A:$BD,AW1,0)</f>
        <v>922.5</v>
      </c>
      <c r="AY7" s="74">
        <f>VLOOKUP($H$7&amp;$F$1,'Input RM sheet'!$A:$BD,AX1,0)</f>
        <v>800</v>
      </c>
      <c r="AZ7" s="74">
        <f>VLOOKUP($H$7&amp;$F$1,'Input RM sheet'!$A:$BD,AY1,0)</f>
        <v>815</v>
      </c>
      <c r="BA7" s="74">
        <f>VLOOKUP($H$7&amp;$F$1,'Input RM sheet'!$A:$BD,AZ1,0)</f>
        <v>815</v>
      </c>
      <c r="BB7" s="74">
        <f>VLOOKUP($H$7&amp;$F$1,'Input RM sheet'!$A:$BD,BA1,0)</f>
        <v>825</v>
      </c>
      <c r="BC7" s="74">
        <f>VLOOKUP($H$7&amp;$F$1,'Input RM sheet'!$A:$BD,BB1,0)</f>
        <v>845</v>
      </c>
      <c r="BD7" s="74">
        <f>VLOOKUP($H$7&amp;$F$1,'Input RM sheet'!$A:$BD,BC1,0)</f>
        <v>860</v>
      </c>
      <c r="BE7" s="74">
        <f>VLOOKUP($H$7&amp;$F$1,'Input RM sheet'!$A:$BD,BD1,0)</f>
        <v>865</v>
      </c>
      <c r="BF7" s="74">
        <f>VLOOKUP($H$7&amp;$F$1,'Input RM sheet'!$A:$BD,BE1,0)</f>
        <v>865</v>
      </c>
      <c r="BG7" s="74">
        <f>VLOOKUP($H$7&amp;$F$1,'Input RM sheet'!$A:$DD,BF1,0)</f>
        <v>865</v>
      </c>
      <c r="BH7" s="74">
        <f>VLOOKUP($H$7&amp;$F$1,'Input RM sheet'!$A:$DD,BG1,0)</f>
        <v>875</v>
      </c>
      <c r="BI7" s="74">
        <f>VLOOKUP($H$7&amp;$F$1,'Input RM sheet'!$A:$DD,BH1,0)</f>
        <v>875</v>
      </c>
      <c r="BJ7" s="74">
        <f>VLOOKUP($H$7&amp;$F$1,'Input RM sheet'!$A:$DD,BI1,0)</f>
        <v>925</v>
      </c>
      <c r="BK7" s="74">
        <f>VLOOKUP($H$7&amp;$F$1,'Input RM sheet'!$A:$DD,BJ1,0)</f>
        <v>940</v>
      </c>
      <c r="BL7" s="74">
        <f>VLOOKUP($H$7&amp;$F$1,'Input RM sheet'!$A:$DD,BK1,0)</f>
        <v>950</v>
      </c>
      <c r="BM7" s="74">
        <f>VLOOKUP($H$7&amp;$F$1,'Input RM sheet'!$A:$DD,BL1,0)</f>
        <v>920</v>
      </c>
      <c r="BN7" s="74">
        <f>VLOOKUP($H$7&amp;$F$1,'Input RM sheet'!$A:$DD,BM1,0)</f>
        <v>920</v>
      </c>
      <c r="BO7" s="74">
        <f>VLOOKUP($H$7&amp;$F$1,'Input RM sheet'!$A:$DD,BN1,0)</f>
        <v>920</v>
      </c>
      <c r="BP7" s="74">
        <f>VLOOKUP($H$7&amp;$F$1,'Input RM sheet'!$A:$DD,BO1,0)</f>
        <v>930</v>
      </c>
      <c r="BQ7" s="74">
        <f>VLOOKUP($H$7&amp;$F$1,'Input RM sheet'!$A:$DD,BP1,0)</f>
        <v>930</v>
      </c>
      <c r="BR7" s="74">
        <f>VLOOKUP($H$7&amp;$F$1,'Input RM sheet'!$A:$DD,BQ1,0)</f>
        <v>930</v>
      </c>
      <c r="BS7" s="74">
        <f>VLOOKUP($H$7&amp;$F$1,'Input RM sheet'!$A:$DD,BR1,0)</f>
        <v>905</v>
      </c>
      <c r="BT7" s="74">
        <f>VLOOKUP($H$7&amp;$F$1,'Input RM sheet'!$A:$DD,BS1,0)</f>
        <v>905</v>
      </c>
      <c r="BU7" s="74">
        <f>VLOOKUP($H$7&amp;$F$1,'Input RM sheet'!$A:$DD,BT1,0)</f>
        <v>905</v>
      </c>
      <c r="BV7" s="74">
        <f>VLOOKUP($H$7&amp;$F$1,'Input RM sheet'!$A:$DD,BU1,0)</f>
        <v>905</v>
      </c>
      <c r="BW7" s="74">
        <f>VLOOKUP($H$7&amp;$F$1,'Input RM sheet'!$A:$DD,BV1,0)</f>
        <v>930</v>
      </c>
      <c r="BX7" s="74">
        <f>VLOOKUP($H$7&amp;$F$1,'Input RM sheet'!$A:$DD,BW1,0)</f>
        <v>925</v>
      </c>
      <c r="BY7" s="74">
        <f>VLOOKUP($H$7&amp;$F$1,'Input RM sheet'!$A:$DD,BX1,0)</f>
        <v>925</v>
      </c>
      <c r="BZ7" s="74">
        <f>VLOOKUP($H$7&amp;$F$1,'Input RM sheet'!$A:$DD,BY1,0)</f>
        <v>960</v>
      </c>
      <c r="CA7" s="74">
        <f>VLOOKUP($H$7&amp;$F$1,'Input RM sheet'!$A:$DD,BZ1,0)</f>
        <v>960</v>
      </c>
      <c r="CB7" s="74">
        <f>VLOOKUP($H$7&amp;$F$1,'Input RM sheet'!$A:$DD,CA1,0)</f>
        <v>980</v>
      </c>
      <c r="CC7" s="74">
        <f>VLOOKUP($H$7&amp;$F$1,'Input RM sheet'!$A:$DD,CB1,0)</f>
        <v>1030</v>
      </c>
      <c r="CD7" s="74">
        <f>VLOOKUP($H$7&amp;$F$1,'Input RM sheet'!$A:$DD,CC1,0)</f>
        <v>1030</v>
      </c>
      <c r="CE7" s="74">
        <f>VLOOKUP($H$7&amp;$F$1,'Input RM sheet'!$A:$DD,CD1,0)</f>
        <v>1030</v>
      </c>
      <c r="CF7" s="74">
        <f>VLOOKUP($H$7&amp;$F$1,'Input RM sheet'!$A:$DD,CE1,0)</f>
        <v>1030</v>
      </c>
      <c r="CG7" s="74">
        <f>VLOOKUP($H$7&amp;$F$1,'Input RM sheet'!$A:$DD,CF1,0)</f>
        <v>1040</v>
      </c>
      <c r="CH7" s="74">
        <f>VLOOKUP($H$7&amp;$F$1,'Input RM sheet'!$A:$DD,CG1,0)</f>
        <v>1040</v>
      </c>
      <c r="CI7" s="74">
        <f>VLOOKUP($H$7&amp;$F$1,'Input RM sheet'!$A:$DD,CH1,0)</f>
        <v>1040</v>
      </c>
      <c r="CJ7" s="74">
        <f>VLOOKUP($H$7&amp;$F$1,'Input RM sheet'!$A:$DD,CI1,0)</f>
        <v>1040</v>
      </c>
      <c r="CK7" s="74">
        <f>VLOOKUP($H$7&amp;$F$1,'Input RM sheet'!$A:$DD,CJ1,0)</f>
        <v>1040</v>
      </c>
      <c r="CL7" s="74">
        <f>VLOOKUP($H$7&amp;$F$1,'Input RM sheet'!$A:$DD,CK1,0)</f>
        <v>1060</v>
      </c>
      <c r="CM7" s="74">
        <f>VLOOKUP($H$7&amp;$F$1,'Input RM sheet'!$A:$DD,CL1,0)</f>
        <v>1060</v>
      </c>
      <c r="CN7" s="74">
        <f>VLOOKUP($H$7&amp;$F$1,'Input RM sheet'!$A:$DD,CM1,0)</f>
        <v>1070</v>
      </c>
      <c r="CO7" s="74">
        <f>VLOOKUP($H$7&amp;$F$1,'Input RM sheet'!$A:$DD,CN1,0)</f>
        <v>1070</v>
      </c>
      <c r="CP7" s="74">
        <f>VLOOKUP($H$7&amp;$F$1,'Input RM sheet'!$A:$DD,CO1,0)</f>
        <v>1070</v>
      </c>
      <c r="CQ7" s="74">
        <f>VLOOKUP($H$7&amp;$F$1,'Input RM sheet'!$A:$DD,CP1,0)</f>
        <v>1070</v>
      </c>
      <c r="CR7" s="74">
        <f>VLOOKUP($H$7&amp;$F$1,'Input RM sheet'!$A:$DD,CQ1,0)</f>
        <v>1070</v>
      </c>
      <c r="CS7" s="74">
        <f>VLOOKUP($H$7&amp;$F$1,'Input RM sheet'!$A:$DD,CR1,0)</f>
        <v>1065</v>
      </c>
      <c r="CT7" s="74">
        <f>VLOOKUP($H$7&amp;$F$1,'Input RM sheet'!$A:$DD,CS1,0)</f>
        <v>1075</v>
      </c>
      <c r="CU7" s="74">
        <f>VLOOKUP($H$7&amp;$F$1,'Input RM sheet'!$A:$ZZ,CT1,0)</f>
        <v>1070</v>
      </c>
      <c r="CV7" s="74">
        <f>VLOOKUP($H$7&amp;$F$1,'Input RM sheet'!$A:$ZZ,CU1,0)</f>
        <v>1070</v>
      </c>
      <c r="CW7" s="74">
        <f>VLOOKUP($H$7&amp;$F$1,'Input RM sheet'!$A:$ZZ,CV1,0)</f>
        <v>1070</v>
      </c>
      <c r="CX7" s="74">
        <f>VLOOKUP($H$7&amp;$F$1,'Input RM sheet'!$A:$ZZ,CW1,0)</f>
        <v>1040</v>
      </c>
      <c r="CY7" s="74">
        <f>VLOOKUP($H$7&amp;$F$1,'Input RM sheet'!$A:$ZZ,CX1,0)</f>
        <v>1020</v>
      </c>
      <c r="CZ7" s="74">
        <f>VLOOKUP($H$7&amp;$F$1,'Input RM sheet'!$A:$ZZ,CY1,0)</f>
        <v>1020</v>
      </c>
      <c r="DA7" s="74">
        <f>VLOOKUP($H$7&amp;$F$1,'Input RM sheet'!$A:$ZZ,CZ1,0)</f>
        <v>1020</v>
      </c>
      <c r="DB7" s="74">
        <f>VLOOKUP($H$7&amp;$F$1,'Input RM sheet'!$A:$ZZ,DA1,0)</f>
        <v>1020</v>
      </c>
      <c r="DC7" s="74">
        <f>VLOOKUP($H$7&amp;$F$1,'Input RM sheet'!$A:$ZZ,DB1,0)</f>
        <v>1012.5</v>
      </c>
      <c r="DD7" s="74">
        <f>VLOOKUP($H$7&amp;$F$1,'Input RM sheet'!$A:$ZZ,DC1,0)</f>
        <v>960</v>
      </c>
      <c r="DE7" s="74">
        <f>VLOOKUP($H$7&amp;$F$1,'Input RM sheet'!$A:$ZZ,DD1,0)</f>
        <v>955</v>
      </c>
      <c r="DF7" s="74">
        <f>VLOOKUP($H$7&amp;$F$1,'Input RM sheet'!$A:$ZZ,DE1,0)</f>
        <v>875</v>
      </c>
      <c r="DG7" s="74">
        <f>VLOOKUP($H$7&amp;$F$1,'Input RM sheet'!$A:$ZZ,DF1,0)</f>
        <v>850</v>
      </c>
      <c r="DH7" s="74">
        <f>VLOOKUP($H$7&amp;$F$1,'Input RM sheet'!$A:$ZZ,DG1,0)</f>
        <v>865</v>
      </c>
      <c r="DI7" s="74">
        <f>VLOOKUP($H$7&amp;$F$1,'Input RM sheet'!$A:$ZZ,DH1,0)</f>
        <v>855</v>
      </c>
      <c r="DJ7" s="74">
        <f>VLOOKUP($H$7&amp;$F$1,'Input RM sheet'!$A:$ZZ,DI1,0)</f>
        <v>840</v>
      </c>
      <c r="DK7" s="74">
        <f>VLOOKUP($H$7&amp;$F$1,'Input RM sheet'!$A:$ZZ,DJ1,0)</f>
        <v>840</v>
      </c>
      <c r="DL7" s="74">
        <f>VLOOKUP($H$7&amp;$F$1,'Input RM sheet'!$A:$ZZ,DK1,0)</f>
        <v>840</v>
      </c>
      <c r="DM7" s="74">
        <f>VLOOKUP($H$7&amp;$F$1,'Input RM sheet'!$A:$ZZ,DL1,0)</f>
        <v>820</v>
      </c>
      <c r="DN7" s="74">
        <f>VLOOKUP($H$7&amp;$F$1,'Input RM sheet'!$A:$ZZ,DM1,0)</f>
        <v>790</v>
      </c>
      <c r="DO7" s="74">
        <f>VLOOKUP($H$7&amp;$F$1,'Input RM sheet'!$A:$ZZ,DN1,0)</f>
        <v>780</v>
      </c>
      <c r="DP7" s="74">
        <f>VLOOKUP($H$7&amp;$F$1,'Input RM sheet'!$A:$ZZ,DO1,0)</f>
        <v>780</v>
      </c>
      <c r="DQ7" s="74">
        <f>VLOOKUP($H$7&amp;$F$1,'Input RM sheet'!$A:$ZZ,DP1,0)</f>
        <v>760</v>
      </c>
      <c r="DR7" s="74">
        <f>VLOOKUP($H$7&amp;$F$1,'Input RM sheet'!$A:$ZZ,DQ1,0)</f>
        <v>750</v>
      </c>
      <c r="DS7" s="74">
        <f>VLOOKUP($H$7&amp;$F$1,'Input RM sheet'!$A:$ZZ,DR1,0)</f>
        <v>745</v>
      </c>
      <c r="DT7" s="74">
        <f>VLOOKUP($H$7&amp;$F$1,'Input RM sheet'!$A:$ZZ,DS1,0)</f>
        <v>0</v>
      </c>
      <c r="DU7" s="74">
        <f>VLOOKUP($H$7&amp;$F$1,'Input RM sheet'!$A:$ZZ,DT1,0)</f>
        <v>0</v>
      </c>
      <c r="DV7" s="74">
        <f>VLOOKUP($H$7&amp;$F$1,'Input RM sheet'!$A:$ZZ,DU1,0)</f>
        <v>0</v>
      </c>
      <c r="DW7" s="74">
        <f>VLOOKUP($H$7&amp;$F$1,'Input RM sheet'!$A:$ZZ,DV1,0)</f>
        <v>0</v>
      </c>
      <c r="DX7" s="74">
        <f>VLOOKUP($H$7&amp;$F$1,'Input RM sheet'!$A:$ZZ,DW1,0)</f>
        <v>0</v>
      </c>
      <c r="DY7" s="74">
        <f>VLOOKUP($H$7&amp;$F$1,'Input RM sheet'!$A:$ZZ,DX1,0)</f>
        <v>0</v>
      </c>
      <c r="DZ7" s="74">
        <f>VLOOKUP($H$7&amp;$F$1,'Input RM sheet'!$A:$ZZ,DY1,0)</f>
        <v>0</v>
      </c>
      <c r="EA7" s="74">
        <f>VLOOKUP($H$7&amp;$F$1,'Input RM sheet'!$A:$ZZ,DZ1,0)</f>
        <v>0</v>
      </c>
      <c r="EB7" s="74">
        <f>VLOOKUP($H$7&amp;$F$1,'Input RM sheet'!$A:$ZZ,EA1,0)</f>
        <v>0</v>
      </c>
      <c r="EC7" s="74">
        <f>VLOOKUP($H$7&amp;$F$1,'Input RM sheet'!$A:$ZZ,EB1,0)</f>
        <v>0</v>
      </c>
      <c r="ED7" s="74">
        <f>VLOOKUP($H$7&amp;$F$1,'Input RM sheet'!$A:$ZZ,EC1,0)</f>
        <v>0</v>
      </c>
      <c r="EE7" s="74">
        <f>VLOOKUP($H$7&amp;$F$1,'Input RM sheet'!$A:$ZZ,ED1,0)</f>
        <v>0</v>
      </c>
      <c r="EF7" s="74">
        <f>VLOOKUP($H$7&amp;$F$1,'Input RM sheet'!$A:$ZZ,EE1,0)</f>
        <v>0</v>
      </c>
      <c r="EG7" s="74">
        <f>VLOOKUP($H$7&amp;$F$1,'Input RM sheet'!$A:$ZZ,EF1,0)</f>
        <v>0</v>
      </c>
      <c r="EH7" s="74">
        <f>VLOOKUP($H$7&amp;$F$1,'Input RM sheet'!$A:$ZZ,EG1,0)</f>
        <v>0</v>
      </c>
    </row>
    <row r="8" spans="1:148">
      <c r="E8" s="44" t="s">
        <v>80</v>
      </c>
      <c r="F8" s="60" t="s">
        <v>651</v>
      </c>
      <c r="H8" s="30" t="s">
        <v>674</v>
      </c>
      <c r="I8" s="70">
        <f>VLOOKUP($H$8&amp;$F$1,'Input RM sheet'!$A:$BD,H1,0)</f>
        <v>823.17</v>
      </c>
      <c r="J8" s="70">
        <f>VLOOKUP($H$8&amp;$F$1,'Input RM sheet'!$A:$BD,I1,0)</f>
        <v>807.62</v>
      </c>
      <c r="K8" s="70">
        <f>VLOOKUP($H$8&amp;$F$1,'Input RM sheet'!$A:$BD,J1,0)</f>
        <v>674.56</v>
      </c>
      <c r="L8" s="70">
        <f>VLOOKUP($H$8&amp;$F$1,'Input RM sheet'!$A:$BD,K1,0)</f>
        <v>745.99</v>
      </c>
      <c r="M8" s="70">
        <f>VLOOKUP($H$8&amp;$F$1,'Input RM sheet'!$A:$BD,L1,0)</f>
        <v>721.47</v>
      </c>
      <c r="N8" s="70">
        <f>VLOOKUP($H$8&amp;$F$1,'Input RM sheet'!$A:$BD,M1,0)</f>
        <v>776.61</v>
      </c>
      <c r="O8" s="70">
        <f>VLOOKUP($H$8&amp;$F$1,'Input RM sheet'!$A:$BD,N1,0)</f>
        <v>777.4</v>
      </c>
      <c r="P8" s="70">
        <f>VLOOKUP($H$8&amp;$F$1,'Input RM sheet'!$A:$BD,O1,0)</f>
        <v>797.21</v>
      </c>
      <c r="Q8" s="70">
        <f>VLOOKUP($H$8&amp;$F$1,'Input RM sheet'!$A:$BD,P1,0)</f>
        <v>840.17</v>
      </c>
      <c r="R8" s="70">
        <f>VLOOKUP($H$8&amp;$F$1,'Input RM sheet'!$A:$BD,Q1,0)</f>
        <v>970.45</v>
      </c>
      <c r="S8" s="70">
        <f>VLOOKUP($H$8&amp;$F$1,'Input RM sheet'!$A:$BD,R1,0)</f>
        <v>1019</v>
      </c>
      <c r="T8" s="70">
        <f>VLOOKUP($H$8&amp;$F$1,'Input RM sheet'!$A:$BD,S1,0)</f>
        <v>1017</v>
      </c>
      <c r="U8" s="70">
        <f>VLOOKUP($H$8&amp;$F$1,'Input RM sheet'!$A:$BD,T1,0)</f>
        <v>1189</v>
      </c>
      <c r="V8" s="70">
        <f>VLOOKUP($H$8&amp;$F$1,'Input RM sheet'!$A:$BD,U1,0)</f>
        <v>1357</v>
      </c>
      <c r="W8" s="70">
        <f>VLOOKUP($H$8&amp;$F$1,'Input RM sheet'!$A:$BD,V1,0)</f>
        <v>1290</v>
      </c>
      <c r="X8" s="70">
        <f>VLOOKUP($H$8&amp;$F$1,'Input RM sheet'!$A:$BD,W1,0)</f>
        <v>1498</v>
      </c>
      <c r="Y8" s="70">
        <f>VLOOKUP($H$8&amp;$F$1,'Input RM sheet'!$A:$BD,X1,0)</f>
        <v>1429</v>
      </c>
      <c r="Z8" s="70">
        <f>VLOOKUP($H$8&amp;$F$1,'Input RM sheet'!$A:$BD,Y1,0)</f>
        <v>1412</v>
      </c>
      <c r="AA8" s="70">
        <f>VLOOKUP($H$8&amp;$F$1,'Input RM sheet'!$A:$BD,Z1,0)</f>
        <v>1328</v>
      </c>
      <c r="AB8" s="70">
        <f>VLOOKUP($H$8&amp;$F$1,'Input RM sheet'!$A:$BD,AA1,0)</f>
        <v>1293</v>
      </c>
      <c r="AC8" s="70">
        <f>VLOOKUP($H$8&amp;$F$1,'Input RM sheet'!$A:$BD,AB1,0)</f>
        <v>1607</v>
      </c>
      <c r="AD8" s="70">
        <f>VLOOKUP($H$8&amp;$F$1,'Input RM sheet'!$A:$BD,AC1,0)</f>
        <v>1460</v>
      </c>
      <c r="AE8" s="70">
        <f>VLOOKUP($H$8&amp;$F$1,'Input RM sheet'!$A:$BD,AD1,0)</f>
        <v>1420</v>
      </c>
      <c r="AF8" s="70">
        <f>VLOOKUP($H$8&amp;$F$1,'Input RM sheet'!$A:$BD,AE1,0)</f>
        <v>1334</v>
      </c>
      <c r="AG8" s="70">
        <f>VLOOKUP($H$8&amp;$F$1,'Input RM sheet'!$A:$BD,AF1,0)</f>
        <v>1298</v>
      </c>
      <c r="AH8" s="70">
        <f>VLOOKUP($H$8&amp;$F$1,'Input RM sheet'!$A:$BD,AG1,0)</f>
        <v>1108</v>
      </c>
      <c r="AI8" s="70">
        <f>VLOOKUP($H$8&amp;$F$1,'Input RM sheet'!$A:$BD,AH1,0)</f>
        <v>1288</v>
      </c>
      <c r="AJ8" s="70">
        <f>VLOOKUP($H$8&amp;$F$1,'Input RM sheet'!$A:$BD,AI1,0)</f>
        <v>1369</v>
      </c>
      <c r="AK8" s="70">
        <f>VLOOKUP($H$8&amp;$F$1,'Input RM sheet'!$A:$BD,AJ1,0)</f>
        <v>1250</v>
      </c>
      <c r="AL8" s="70">
        <f>VLOOKUP($H$8&amp;$F$1,'Input RM sheet'!$A:$BD,AK1,0)</f>
        <v>1027</v>
      </c>
      <c r="AM8" s="70">
        <f>VLOOKUP($H$8&amp;$F$1,'Input RM sheet'!$A:$BD,AL1,0)</f>
        <v>976.52</v>
      </c>
      <c r="AN8" s="70">
        <f>VLOOKUP($H$8&amp;$F$1,'Input RM sheet'!$A:$BD,AM1,0)</f>
        <v>974.06</v>
      </c>
      <c r="AO8" s="70">
        <f>VLOOKUP($H$8&amp;$F$1,'Input RM sheet'!$A:$BD,AN1,0)</f>
        <v>973.26</v>
      </c>
      <c r="AP8" s="70">
        <f>VLOOKUP($H$8&amp;$F$1,'Input RM sheet'!$A:$BD,AO1,0)</f>
        <v>917.96</v>
      </c>
      <c r="AQ8" s="70">
        <f>VLOOKUP($H$8&amp;$F$1,'Input RM sheet'!$A:$BD,AP1,0)</f>
        <v>887.13</v>
      </c>
      <c r="AR8" s="70">
        <f>VLOOKUP($H$8&amp;$F$1,'Input RM sheet'!$A:$BD,AQ1,0)</f>
        <v>920.98</v>
      </c>
      <c r="AS8" s="70">
        <f>VLOOKUP($H$8&amp;$F$1,'Input RM sheet'!$A:$BD,AR1,0)</f>
        <v>938.51</v>
      </c>
      <c r="AT8" s="70">
        <f>VLOOKUP($H$8&amp;$F$1,'Input RM sheet'!$A:$BD,AS1,0)</f>
        <v>945.93</v>
      </c>
      <c r="AU8" s="70">
        <f>VLOOKUP($H$8&amp;$F$1,'Input RM sheet'!$A:$BD,AT1,0)</f>
        <v>917.22</v>
      </c>
      <c r="AV8" s="70">
        <f>VLOOKUP($H$8&amp;$F$1,'Input RM sheet'!$A:$BD,AU1,0)</f>
        <v>943.88</v>
      </c>
      <c r="AW8" s="70">
        <f>VLOOKUP($H$8&amp;$F$1,'Input RM sheet'!$A:$BD,AV1,0)</f>
        <v>898.09</v>
      </c>
      <c r="AX8" s="70">
        <f>VLOOKUP($H$8&amp;$F$1,'Input RM sheet'!$A:$BD,AW1,0)</f>
        <v>876.94</v>
      </c>
      <c r="AY8" s="70">
        <f>VLOOKUP($H$8&amp;$F$1,'Input RM sheet'!$A:$BD,AX1,0)</f>
        <v>876.94</v>
      </c>
      <c r="AZ8" s="70">
        <f>VLOOKUP($H$8&amp;$F$1,'Input RM sheet'!$A:$BD,AY1,0)</f>
        <v>848.99</v>
      </c>
      <c r="BA8" s="70">
        <f>VLOOKUP($H$8&amp;$F$1,'Input RM sheet'!$A:$BD,AZ1,0)</f>
        <v>848.99</v>
      </c>
      <c r="BB8" s="70">
        <f>VLOOKUP($H$8&amp;$F$1,'Input RM sheet'!$A:$BD,BA1,0)</f>
        <v>848.99</v>
      </c>
      <c r="BC8" s="70">
        <f>VLOOKUP($H$8&amp;$F$1,'Input RM sheet'!$A:$BD,BB1,0)</f>
        <v>844.91</v>
      </c>
      <c r="BD8" s="70">
        <f>VLOOKUP($H$8&amp;$F$1,'Input RM sheet'!$A:$BD,BC1,0)</f>
        <v>904.02</v>
      </c>
      <c r="BE8" s="70">
        <f>VLOOKUP($H$8&amp;$F$1,'Input RM sheet'!$A:$BD,BD1,0)</f>
        <v>904.02</v>
      </c>
      <c r="BF8" s="70">
        <f>VLOOKUP($H$8&amp;$F$1,'Input RM sheet'!$A:$BD,BE1,0)</f>
        <v>904.02</v>
      </c>
      <c r="BG8" s="70">
        <f>VLOOKUP($H$8&amp;$F$1,'Input RM sheet'!$A:$DD,BF1,0)</f>
        <v>897.33</v>
      </c>
      <c r="BH8" s="70">
        <f>VLOOKUP($H$8&amp;$F$1,'Input RM sheet'!$A:$DD,BG1,0)</f>
        <v>897.33</v>
      </c>
      <c r="BI8" s="70">
        <f>VLOOKUP($H$8&amp;$F$1,'Input RM sheet'!$A:$DD,BH1,0)</f>
        <v>962.74</v>
      </c>
      <c r="BJ8" s="70">
        <f>VLOOKUP($H$8&amp;$F$1,'Input RM sheet'!$A:$DD,BI1,0)</f>
        <v>962.74</v>
      </c>
      <c r="BK8" s="70">
        <f>VLOOKUP($H$8&amp;$F$1,'Input RM sheet'!$A:$DD,BJ1,0)</f>
        <v>962.74</v>
      </c>
      <c r="BL8" s="70">
        <f>VLOOKUP($H$8&amp;$F$1,'Input RM sheet'!$A:$DD,BK1,0)</f>
        <v>1024</v>
      </c>
      <c r="BM8" s="70">
        <f>VLOOKUP($H$8&amp;$F$1,'Input RM sheet'!$A:$DD,BL1,0)</f>
        <v>1024</v>
      </c>
      <c r="BN8" s="70">
        <f>VLOOKUP($H$8&amp;$F$1,'Input RM sheet'!$A:$DD,BM1,0)</f>
        <v>1024</v>
      </c>
      <c r="BO8" s="70">
        <f>VLOOKUP($H$8&amp;$F$1,'Input RM sheet'!$A:$DD,BN1,0)</f>
        <v>932.12</v>
      </c>
      <c r="BP8" s="70">
        <f>VLOOKUP($H$8&amp;$F$1,'Input RM sheet'!$A:$DD,BO1,0)</f>
        <v>932.12</v>
      </c>
      <c r="BQ8" s="70">
        <f>VLOOKUP($H$8&amp;$F$1,'Input RM sheet'!$A:$DD,BP1,0)</f>
        <v>932.12</v>
      </c>
      <c r="BR8" s="70">
        <f>VLOOKUP($H$8&amp;$F$1,'Input RM sheet'!$A:$DD,BQ1,0)</f>
        <v>932.12</v>
      </c>
      <c r="BS8" s="70">
        <f>VLOOKUP($H$8&amp;$F$1,'Input RM sheet'!$A:$DD,BR1,0)</f>
        <v>896.64</v>
      </c>
      <c r="BT8" s="70">
        <f>VLOOKUP($H$8&amp;$F$1,'Input RM sheet'!$A:$DD,BS1,0)</f>
        <v>896.64</v>
      </c>
      <c r="BU8" s="70">
        <f>VLOOKUP($H$8&amp;$F$1,'Input RM sheet'!$A:$DD,BT1,0)</f>
        <v>896.64</v>
      </c>
      <c r="BV8" s="70">
        <f>VLOOKUP($H$8&amp;$F$1,'Input RM sheet'!$A:$DD,BU1,0)</f>
        <v>896.64</v>
      </c>
      <c r="BW8" s="70">
        <f>VLOOKUP($H$8&amp;$F$1,'Input RM sheet'!$A:$DD,BV1,0)</f>
        <v>910.69</v>
      </c>
      <c r="BX8" s="70">
        <f>VLOOKUP($H$8&amp;$F$1,'Input RM sheet'!$A:$DD,BW1,0)</f>
        <v>910.69</v>
      </c>
      <c r="BY8" s="70">
        <f>VLOOKUP($H$8&amp;$F$1,'Input RM sheet'!$A:$DD,BX1,0)</f>
        <v>910.69</v>
      </c>
      <c r="BZ8" s="70">
        <f>VLOOKUP($H$8&amp;$F$1,'Input RM sheet'!$A:$DD,BY1,0)</f>
        <v>910.69</v>
      </c>
      <c r="CA8" s="70">
        <f>VLOOKUP($H$8&amp;$F$1,'Input RM sheet'!$A:$DD,BZ1,0)</f>
        <v>910.69</v>
      </c>
      <c r="CB8" s="70">
        <f>VLOOKUP($H$8&amp;$F$1,'Input RM sheet'!$A:$DD,CA1,0)</f>
        <v>910.69</v>
      </c>
      <c r="CC8" s="70">
        <f>VLOOKUP($H$8&amp;$F$1,'Input RM sheet'!$A:$DD,CB1,0)</f>
        <v>910.69</v>
      </c>
      <c r="CD8" s="70">
        <f>VLOOKUP($H$8&amp;$F$1,'Input RM sheet'!$A:$DD,CC1,0)</f>
        <v>910.69</v>
      </c>
      <c r="CE8" s="70">
        <f>VLOOKUP($H$8&amp;$F$1,'Input RM sheet'!$A:$DD,CD1,0)</f>
        <v>905.41</v>
      </c>
      <c r="CF8" s="70">
        <f>VLOOKUP($H$8&amp;$F$1,'Input RM sheet'!$A:$DD,CE1,0)</f>
        <v>905.41</v>
      </c>
      <c r="CG8" s="70">
        <f>VLOOKUP($H$8&amp;$F$1,'Input RM sheet'!$A:$DD,CF1,0)</f>
        <v>859.02</v>
      </c>
      <c r="CH8" s="70">
        <f>VLOOKUP($H$8&amp;$F$1,'Input RM sheet'!$A:$DD,CG1,0)</f>
        <v>854.11</v>
      </c>
      <c r="CI8" s="70">
        <f>VLOOKUP($H$8&amp;$F$1,'Input RM sheet'!$A:$DD,CH1,0)</f>
        <v>812.44</v>
      </c>
      <c r="CJ8" s="70">
        <f>VLOOKUP($H$8&amp;$F$1,'Input RM sheet'!$A:$DD,CI1,0)</f>
        <v>812.44</v>
      </c>
      <c r="CK8" s="70">
        <f>VLOOKUP($H$8&amp;$F$1,'Input RM sheet'!$A:$DD,CJ1,0)</f>
        <v>812.44</v>
      </c>
      <c r="CL8" s="70">
        <f>VLOOKUP($H$8&amp;$F$1,'Input RM sheet'!$A:$DD,CK1,0)</f>
        <v>808.14</v>
      </c>
      <c r="CM8" s="70">
        <f>VLOOKUP($H$8&amp;$F$1,'Input RM sheet'!$A:$DD,CL1,0)</f>
        <v>808.14</v>
      </c>
      <c r="CN8" s="70">
        <f>VLOOKUP($H$8&amp;$F$1,'Input RM sheet'!$A:$DD,CM1,0)</f>
        <v>808.14</v>
      </c>
      <c r="CO8" s="70">
        <f>VLOOKUP($H$8&amp;$F$1,'Input RM sheet'!$A:$DD,CN1,0)</f>
        <v>808.14</v>
      </c>
      <c r="CP8" s="70">
        <f>VLOOKUP($H$8&amp;$F$1,'Input RM sheet'!$A:$DD,CO1,0)</f>
        <v>808.14</v>
      </c>
      <c r="CQ8" s="70">
        <f>VLOOKUP($H$8&amp;$F$1,'Input RM sheet'!$A:$DD,CP1,0)</f>
        <v>808.14</v>
      </c>
      <c r="CR8" s="70">
        <f>VLOOKUP($H$8&amp;$F$1,'Input RM sheet'!$A:$DD,CQ1,0)</f>
        <v>815.02</v>
      </c>
      <c r="CS8" s="70">
        <f>VLOOKUP($H$8&amp;$F$1,'Input RM sheet'!$A:$DD,CR1,0)</f>
        <v>811.53</v>
      </c>
      <c r="CT8" s="70">
        <f>VLOOKUP($H$8&amp;$F$1,'Input RM sheet'!$A:$DD,CS1,0)</f>
        <v>811.53</v>
      </c>
      <c r="CU8" s="70">
        <f>VLOOKUP($H$8&amp;$F$1,'Input RM sheet'!$A:$ZZ,CT1,0)</f>
        <v>806.52</v>
      </c>
      <c r="CV8" s="70">
        <f>VLOOKUP($H$8&amp;$F$1,'Input RM sheet'!$A:$ZZ,CU1,0)</f>
        <v>806.52</v>
      </c>
      <c r="CW8" s="70">
        <f>VLOOKUP($H$8&amp;$F$1,'Input RM sheet'!$A:$ZZ,CV1,0)</f>
        <v>809.98</v>
      </c>
      <c r="CX8" s="70">
        <f>VLOOKUP($H$8&amp;$F$1,'Input RM sheet'!$A:$ZZ,CW1,0)</f>
        <v>809.98</v>
      </c>
      <c r="CY8" s="70">
        <f>VLOOKUP($H$8&amp;$F$1,'Input RM sheet'!$A:$ZZ,CX1,0)</f>
        <v>816.59</v>
      </c>
      <c r="CZ8" s="70">
        <f>VLOOKUP($H$8&amp;$F$1,'Input RM sheet'!$A:$ZZ,CY1,0)</f>
        <v>816.59</v>
      </c>
      <c r="DA8" s="70">
        <f>VLOOKUP($H$8&amp;$F$1,'Input RM sheet'!$A:$ZZ,CZ1,0)</f>
        <v>816.59</v>
      </c>
      <c r="DB8" s="70">
        <f>VLOOKUP($H$8&amp;$F$1,'Input RM sheet'!$A:$ZZ,DA1,0)</f>
        <v>816.59</v>
      </c>
      <c r="DC8" s="70">
        <f>VLOOKUP($H$8&amp;$F$1,'Input RM sheet'!$A:$ZZ,DB1,0)</f>
        <v>816.59</v>
      </c>
      <c r="DD8" s="70">
        <f>VLOOKUP($H$8&amp;$F$1,'Input RM sheet'!$A:$ZZ,DC1,0)</f>
        <v>816.59</v>
      </c>
      <c r="DE8" s="70">
        <f>VLOOKUP($H$8&amp;$F$1,'Input RM sheet'!$A:$ZZ,DD1,0)</f>
        <v>816.59</v>
      </c>
      <c r="DF8" s="70">
        <f>VLOOKUP($H$8&amp;$F$1,'Input RM sheet'!$A:$ZZ,DE1,0)</f>
        <v>816.59</v>
      </c>
      <c r="DG8" s="70">
        <f>VLOOKUP($H$8&amp;$F$1,'Input RM sheet'!$A:$ZZ,DF1,0)</f>
        <v>816.59</v>
      </c>
      <c r="DH8" s="70">
        <f>VLOOKUP($H$8&amp;$F$1,'Input RM sheet'!$A:$ZZ,DG1,0)</f>
        <v>770.39</v>
      </c>
      <c r="DI8" s="70">
        <f>VLOOKUP($H$8&amp;$F$1,'Input RM sheet'!$A:$ZZ,DH1,0)</f>
        <v>770.39</v>
      </c>
      <c r="DJ8" s="70">
        <f>VLOOKUP($H$8&amp;$F$1,'Input RM sheet'!$A:$ZZ,DI1,0)</f>
        <v>770.39</v>
      </c>
      <c r="DK8" s="70">
        <f>VLOOKUP($H$8&amp;$F$1,'Input RM sheet'!$A:$ZZ,DJ1,0)</f>
        <v>770.39</v>
      </c>
      <c r="DL8" s="70">
        <f>VLOOKUP($H$8&amp;$F$1,'Input RM sheet'!$A:$ZZ,DK1,0)</f>
        <v>770.39</v>
      </c>
      <c r="DM8" s="70">
        <f>VLOOKUP($H$8&amp;$F$1,'Input RM sheet'!$A:$ZZ,DL1,0)</f>
        <v>800.6</v>
      </c>
      <c r="DN8" s="70">
        <f>VLOOKUP($H$8&amp;$F$1,'Input RM sheet'!$A:$ZZ,DM1,0)</f>
        <v>758.58</v>
      </c>
      <c r="DO8" s="70">
        <f>VLOOKUP($H$8&amp;$F$1,'Input RM sheet'!$A:$ZZ,DN1,0)</f>
        <v>758.58</v>
      </c>
      <c r="DP8" s="70">
        <f>VLOOKUP($H$8&amp;$F$1,'Input RM sheet'!$A:$ZZ,DO1,0)</f>
        <v>758.58</v>
      </c>
      <c r="DQ8" s="70">
        <f>VLOOKUP($H$8&amp;$F$1,'Input RM sheet'!$A:$ZZ,DP1,0)</f>
        <v>735.55</v>
      </c>
      <c r="DR8" s="70">
        <f>VLOOKUP($H$8&amp;$F$1,'Input RM sheet'!$A:$ZZ,DQ1,0)</f>
        <v>735.55</v>
      </c>
      <c r="DS8" s="70">
        <f>VLOOKUP($H$8&amp;$F$1,'Input RM sheet'!$A:$ZZ,DR1,0)</f>
        <v>735.55</v>
      </c>
      <c r="DT8" s="70">
        <f>VLOOKUP($H$8&amp;$F$1,'Input RM sheet'!$A:$ZZ,DS1,0)</f>
        <v>0</v>
      </c>
      <c r="DU8" s="70">
        <f>VLOOKUP($H$8&amp;$F$1,'Input RM sheet'!$A:$ZZ,DT1,0)</f>
        <v>0</v>
      </c>
      <c r="DV8" s="70">
        <f>VLOOKUP($H$8&amp;$F$1,'Input RM sheet'!$A:$ZZ,DU1,0)</f>
        <v>0</v>
      </c>
      <c r="DW8" s="70">
        <f>VLOOKUP($H$8&amp;$F$1,'Input RM sheet'!$A:$ZZ,DV1,0)</f>
        <v>0</v>
      </c>
      <c r="DX8" s="70">
        <f>VLOOKUP($H$8&amp;$F$1,'Input RM sheet'!$A:$ZZ,DW1,0)</f>
        <v>0</v>
      </c>
      <c r="DY8" s="70">
        <f>VLOOKUP($H$8&amp;$F$1,'Input RM sheet'!$A:$ZZ,DX1,0)</f>
        <v>0</v>
      </c>
      <c r="DZ8" s="70">
        <f>VLOOKUP($H$8&amp;$F$1,'Input RM sheet'!$A:$ZZ,DY1,0)</f>
        <v>0</v>
      </c>
      <c r="EA8" s="70">
        <f>VLOOKUP($H$8&amp;$F$1,'Input RM sheet'!$A:$ZZ,DZ1,0)</f>
        <v>0</v>
      </c>
      <c r="EB8" s="70">
        <f>VLOOKUP($H$8&amp;$F$1,'Input RM sheet'!$A:$ZZ,EA1,0)</f>
        <v>0</v>
      </c>
      <c r="EC8" s="70">
        <f>VLOOKUP($H$8&amp;$F$1,'Input RM sheet'!$A:$ZZ,EB1,0)</f>
        <v>0</v>
      </c>
      <c r="ED8" s="70">
        <f>VLOOKUP($H$8&amp;$F$1,'Input RM sheet'!$A:$ZZ,EC1,0)</f>
        <v>0</v>
      </c>
      <c r="EE8" s="70">
        <f>VLOOKUP($H$8&amp;$F$1,'Input RM sheet'!$A:$ZZ,ED1,0)</f>
        <v>0</v>
      </c>
      <c r="EF8" s="70">
        <f>VLOOKUP($H$8&amp;$F$1,'Input RM sheet'!$A:$ZZ,EE1,0)</f>
        <v>0</v>
      </c>
      <c r="EG8" s="70">
        <f>VLOOKUP($H$8&amp;$F$1,'Input RM sheet'!$A:$ZZ,EF1,0)</f>
        <v>0</v>
      </c>
      <c r="EH8" s="70">
        <f>VLOOKUP($H$8&amp;$F$1,'Input RM sheet'!$A:$ZZ,EG1,0)</f>
        <v>0</v>
      </c>
    </row>
    <row r="9" spans="1:148">
      <c r="H9" s="60" t="s">
        <v>678</v>
      </c>
      <c r="I9" s="74"/>
      <c r="J9" s="74"/>
      <c r="K9" s="74"/>
      <c r="L9" s="74"/>
      <c r="M9" s="74"/>
      <c r="N9" s="74"/>
      <c r="O9" s="74"/>
      <c r="P9" s="74"/>
      <c r="Q9" s="74"/>
      <c r="R9" s="74"/>
      <c r="S9" s="74"/>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103"/>
      <c r="AW9" s="65"/>
    </row>
    <row r="10" spans="1:148" ht="39">
      <c r="A10" s="59" t="s">
        <v>395</v>
      </c>
      <c r="B10" s="59"/>
      <c r="C10" s="59" t="s">
        <v>379</v>
      </c>
      <c r="D10" s="98" t="s">
        <v>380</v>
      </c>
      <c r="E10" s="98" t="s">
        <v>381</v>
      </c>
      <c r="F10" s="59" t="s">
        <v>396</v>
      </c>
      <c r="H10" s="60" t="s">
        <v>399</v>
      </c>
      <c r="I10" s="84"/>
      <c r="J10" s="84"/>
      <c r="K10" s="84"/>
      <c r="L10" s="84"/>
      <c r="M10" s="84"/>
      <c r="N10" s="84"/>
      <c r="O10" s="84"/>
      <c r="P10" s="84"/>
      <c r="Q10" s="84"/>
      <c r="R10" s="84"/>
      <c r="S10" s="84"/>
      <c r="T10" s="84"/>
      <c r="U10" s="84"/>
      <c r="V10" s="84"/>
      <c r="W10" s="84"/>
      <c r="X10" s="84"/>
      <c r="Y10" s="84"/>
      <c r="Z10" s="84"/>
      <c r="AA10" s="84"/>
      <c r="AB10" s="84"/>
      <c r="AC10" s="84"/>
      <c r="AD10" s="84"/>
      <c r="AE10" s="84"/>
      <c r="AF10" s="84"/>
      <c r="AG10" s="84"/>
      <c r="AH10" s="84"/>
      <c r="AI10" s="84"/>
      <c r="AJ10" s="84"/>
      <c r="AK10" s="84"/>
      <c r="AL10" s="84"/>
      <c r="AM10" s="84"/>
      <c r="AN10" s="84"/>
      <c r="AO10" s="84"/>
      <c r="AP10" s="84"/>
      <c r="AQ10" s="84"/>
      <c r="AR10" s="84"/>
      <c r="AS10" s="84"/>
      <c r="AT10" s="84"/>
      <c r="AU10" s="84"/>
    </row>
    <row r="11" spans="1:148" ht="13">
      <c r="A11" s="107" t="s">
        <v>397</v>
      </c>
      <c r="B11" s="30" t="s">
        <v>64</v>
      </c>
      <c r="C11" s="60">
        <v>1</v>
      </c>
      <c r="D11" s="60">
        <v>58.08</v>
      </c>
      <c r="E11" s="60">
        <f>D11*C11</f>
        <v>58.08</v>
      </c>
      <c r="F11" s="65">
        <f>E11/E2</f>
        <v>0.5801212581279902</v>
      </c>
      <c r="I11" s="74">
        <f t="shared" ref="I11:AU11" si="0">$F$11*(I7/1000)</f>
        <v>0.39680294055954535</v>
      </c>
      <c r="J11" s="74">
        <f t="shared" si="0"/>
        <v>0.40973964461579943</v>
      </c>
      <c r="K11" s="74">
        <f t="shared" si="0"/>
        <v>0.37348206598280004</v>
      </c>
      <c r="L11" s="74">
        <f t="shared" si="0"/>
        <v>0.34227154229551421</v>
      </c>
      <c r="M11" s="74">
        <f t="shared" si="0"/>
        <v>0.45481506637234431</v>
      </c>
      <c r="N11" s="74">
        <f t="shared" si="0"/>
        <v>0.53881662454927726</v>
      </c>
      <c r="O11" s="74">
        <f t="shared" si="0"/>
        <v>0.55314561962503872</v>
      </c>
      <c r="P11" s="74">
        <f t="shared" si="0"/>
        <v>0.51775822287923123</v>
      </c>
      <c r="Q11" s="74">
        <f t="shared" si="0"/>
        <v>0.51340731344327128</v>
      </c>
      <c r="R11" s="74">
        <f t="shared" si="0"/>
        <v>0.52675010238021513</v>
      </c>
      <c r="S11" s="74">
        <f t="shared" si="0"/>
        <v>0.55912086858375698</v>
      </c>
      <c r="T11" s="74">
        <f t="shared" si="0"/>
        <v>0.61133178181527603</v>
      </c>
      <c r="U11" s="74">
        <f t="shared" si="0"/>
        <v>0.57577034869203025</v>
      </c>
      <c r="V11" s="74">
        <f t="shared" si="0"/>
        <v>0.62943156506886933</v>
      </c>
      <c r="W11" s="74">
        <f t="shared" si="0"/>
        <v>0.74255521040382744</v>
      </c>
      <c r="X11" s="74">
        <f t="shared" si="0"/>
        <v>0.75705824185702719</v>
      </c>
      <c r="Y11" s="74">
        <f t="shared" si="0"/>
        <v>0.71790005693338788</v>
      </c>
      <c r="Z11" s="74">
        <f t="shared" si="0"/>
        <v>0.59682875036207628</v>
      </c>
      <c r="AA11" s="74">
        <f t="shared" si="0"/>
        <v>0.50122476702258356</v>
      </c>
      <c r="AB11" s="74">
        <f t="shared" si="0"/>
        <v>0.47714973481027195</v>
      </c>
      <c r="AC11" s="74">
        <f t="shared" si="0"/>
        <v>0.48672173556938375</v>
      </c>
      <c r="AD11" s="74">
        <f t="shared" si="0"/>
        <v>0.5232693748314472</v>
      </c>
      <c r="AE11" s="74">
        <f t="shared" si="0"/>
        <v>0.51851238051479764</v>
      </c>
      <c r="AF11" s="74">
        <f t="shared" si="0"/>
        <v>0.48440125053687177</v>
      </c>
      <c r="AG11" s="74">
        <f t="shared" si="0"/>
        <v>0.47714973481027195</v>
      </c>
      <c r="AH11" s="74">
        <f t="shared" si="0"/>
        <v>0.50760610086199143</v>
      </c>
      <c r="AI11" s="74">
        <f t="shared" si="0"/>
        <v>0.57217359689163672</v>
      </c>
      <c r="AJ11" s="74">
        <f t="shared" si="0"/>
        <v>0.55807665031912657</v>
      </c>
      <c r="AK11" s="74">
        <f t="shared" si="0"/>
        <v>0.55401580151223062</v>
      </c>
      <c r="AL11" s="74">
        <f t="shared" si="0"/>
        <v>0.55691640780287055</v>
      </c>
      <c r="AM11" s="74">
        <f t="shared" si="0"/>
        <v>0.5522754377378466</v>
      </c>
      <c r="AN11" s="74">
        <f t="shared" si="0"/>
        <v>0.50760610086199143</v>
      </c>
      <c r="AO11" s="74">
        <f t="shared" si="0"/>
        <v>0.48585155368219179</v>
      </c>
      <c r="AP11" s="74">
        <f t="shared" si="0"/>
        <v>0.47500328615519838</v>
      </c>
      <c r="AQ11" s="74">
        <f t="shared" si="0"/>
        <v>0.45539518763047232</v>
      </c>
      <c r="AR11" s="74">
        <f t="shared" si="0"/>
        <v>0.4582957939211123</v>
      </c>
      <c r="AS11" s="74">
        <f t="shared" si="0"/>
        <v>0.4582957939211123</v>
      </c>
      <c r="AT11" s="74">
        <f t="shared" si="0"/>
        <v>0.48370510502711822</v>
      </c>
      <c r="AU11" s="74">
        <f t="shared" si="0"/>
        <v>0.53081095118711108</v>
      </c>
      <c r="AV11" s="74">
        <f t="shared" ref="AV11:BM11" si="1">$F$11*(AV7/1000)</f>
        <v>0.53081095118711108</v>
      </c>
      <c r="AW11" s="74">
        <f t="shared" si="1"/>
        <v>0.54096307320435089</v>
      </c>
      <c r="AX11" s="74">
        <f t="shared" si="1"/>
        <v>0.53516186062307092</v>
      </c>
      <c r="AY11" s="74">
        <f t="shared" si="1"/>
        <v>0.46409700650239216</v>
      </c>
      <c r="AZ11" s="74">
        <f t="shared" si="1"/>
        <v>0.472798825374312</v>
      </c>
      <c r="BA11" s="74">
        <f t="shared" si="1"/>
        <v>0.472798825374312</v>
      </c>
      <c r="BB11" s="74">
        <f t="shared" si="1"/>
        <v>0.47860003795559192</v>
      </c>
      <c r="BC11" s="74">
        <f t="shared" si="1"/>
        <v>0.49020246311815169</v>
      </c>
      <c r="BD11" s="74">
        <f t="shared" si="1"/>
        <v>0.49890428199007159</v>
      </c>
      <c r="BE11" s="74">
        <f t="shared" si="1"/>
        <v>0.50180488828071157</v>
      </c>
      <c r="BF11" s="74">
        <f t="shared" si="1"/>
        <v>0.50180488828071157</v>
      </c>
      <c r="BG11" s="74">
        <f t="shared" si="1"/>
        <v>0.50180488828071157</v>
      </c>
      <c r="BH11" s="74">
        <f t="shared" si="1"/>
        <v>0.50760610086199143</v>
      </c>
      <c r="BI11" s="74">
        <f t="shared" si="1"/>
        <v>0.50760610086199143</v>
      </c>
      <c r="BJ11" s="74">
        <f t="shared" si="1"/>
        <v>0.53661216376839094</v>
      </c>
      <c r="BK11" s="74">
        <f t="shared" si="1"/>
        <v>0.54531398264031072</v>
      </c>
      <c r="BL11" s="74">
        <f t="shared" si="1"/>
        <v>0.55111519522159069</v>
      </c>
      <c r="BM11" s="74">
        <f t="shared" si="1"/>
        <v>0.53371155747775101</v>
      </c>
      <c r="BN11" s="74">
        <f t="shared" ref="BN11:BV11" si="2">$F$11*(BN7/1000)</f>
        <v>0.53371155747775101</v>
      </c>
      <c r="BO11" s="74">
        <f t="shared" si="2"/>
        <v>0.53371155747775101</v>
      </c>
      <c r="BP11" s="74">
        <f t="shared" si="2"/>
        <v>0.53951277005903087</v>
      </c>
      <c r="BQ11" s="74">
        <f t="shared" si="2"/>
        <v>0.53951277005903087</v>
      </c>
      <c r="BR11" s="74">
        <f t="shared" si="2"/>
        <v>0.53951277005903087</v>
      </c>
      <c r="BS11" s="74">
        <f t="shared" si="2"/>
        <v>0.52500973860583111</v>
      </c>
      <c r="BT11" s="74">
        <f t="shared" si="2"/>
        <v>0.52500973860583111</v>
      </c>
      <c r="BU11" s="74">
        <f t="shared" si="2"/>
        <v>0.52500973860583111</v>
      </c>
      <c r="BV11" s="74">
        <f t="shared" si="2"/>
        <v>0.52500973860583111</v>
      </c>
      <c r="BW11" s="74">
        <f t="shared" ref="BW11:CK11" si="3">$F$11*(BW7/1000)</f>
        <v>0.53951277005903087</v>
      </c>
      <c r="BX11" s="74">
        <f t="shared" si="3"/>
        <v>0.53661216376839094</v>
      </c>
      <c r="BY11" s="74">
        <f t="shared" si="3"/>
        <v>0.53661216376839094</v>
      </c>
      <c r="BZ11" s="74">
        <f t="shared" si="3"/>
        <v>0.55691640780287055</v>
      </c>
      <c r="CA11" s="74">
        <f t="shared" si="3"/>
        <v>0.55691640780287055</v>
      </c>
      <c r="CB11" s="74">
        <f t="shared" si="3"/>
        <v>0.56851883296543038</v>
      </c>
      <c r="CC11" s="74">
        <f t="shared" si="3"/>
        <v>0.59752489587182989</v>
      </c>
      <c r="CD11" s="74">
        <f t="shared" si="3"/>
        <v>0.59752489587182989</v>
      </c>
      <c r="CE11" s="74">
        <f t="shared" si="3"/>
        <v>0.59752489587182989</v>
      </c>
      <c r="CF11" s="74">
        <f t="shared" si="3"/>
        <v>0.59752489587182989</v>
      </c>
      <c r="CG11" s="74">
        <f t="shared" si="3"/>
        <v>0.60332610845310986</v>
      </c>
      <c r="CH11" s="74">
        <f t="shared" si="3"/>
        <v>0.60332610845310986</v>
      </c>
      <c r="CI11" s="74">
        <f t="shared" si="3"/>
        <v>0.60332610845310986</v>
      </c>
      <c r="CJ11" s="74">
        <f t="shared" si="3"/>
        <v>0.60332610845310986</v>
      </c>
      <c r="CK11" s="74">
        <f t="shared" si="3"/>
        <v>0.60332610845310986</v>
      </c>
      <c r="CL11" s="74">
        <f t="shared" ref="CL11:CU11" si="4">$F$11*(CL7/1000)</f>
        <v>0.61492853361566968</v>
      </c>
      <c r="CM11" s="74">
        <f t="shared" si="4"/>
        <v>0.61492853361566968</v>
      </c>
      <c r="CN11" s="74">
        <f t="shared" si="4"/>
        <v>0.62072974619694954</v>
      </c>
      <c r="CO11" s="74">
        <f t="shared" si="4"/>
        <v>0.62072974619694954</v>
      </c>
      <c r="CP11" s="74">
        <f t="shared" si="4"/>
        <v>0.62072974619694954</v>
      </c>
      <c r="CQ11" s="74">
        <f t="shared" si="4"/>
        <v>0.62072974619694954</v>
      </c>
      <c r="CR11" s="74">
        <f t="shared" si="4"/>
        <v>0.62072974619694954</v>
      </c>
      <c r="CS11" s="74">
        <f t="shared" si="4"/>
        <v>0.6178291399063095</v>
      </c>
      <c r="CT11" s="74">
        <f t="shared" si="4"/>
        <v>0.62363035248758947</v>
      </c>
      <c r="CU11" s="74">
        <f t="shared" si="4"/>
        <v>0.62072974619694954</v>
      </c>
      <c r="CV11" s="74">
        <f t="shared" ref="CV11:EH11" si="5">$F$11*(CV7/1000)</f>
        <v>0.62072974619694954</v>
      </c>
      <c r="CW11" s="74">
        <f t="shared" si="5"/>
        <v>0.62072974619694954</v>
      </c>
      <c r="CX11" s="74">
        <f t="shared" si="5"/>
        <v>0.60332610845310986</v>
      </c>
      <c r="CY11" s="74">
        <f t="shared" si="5"/>
        <v>0.59172368329055003</v>
      </c>
      <c r="CZ11" s="74">
        <f t="shared" si="5"/>
        <v>0.59172368329055003</v>
      </c>
      <c r="DA11" s="74">
        <f t="shared" si="5"/>
        <v>0.59172368329055003</v>
      </c>
      <c r="DB11" s="74">
        <f t="shared" si="5"/>
        <v>0.59172368329055003</v>
      </c>
      <c r="DC11" s="74">
        <f t="shared" si="5"/>
        <v>0.58737277385459008</v>
      </c>
      <c r="DD11" s="74">
        <f t="shared" si="5"/>
        <v>0.55691640780287055</v>
      </c>
      <c r="DE11" s="74">
        <f t="shared" si="5"/>
        <v>0.55401580151223062</v>
      </c>
      <c r="DF11" s="74">
        <f t="shared" si="5"/>
        <v>0.50760610086199143</v>
      </c>
      <c r="DG11" s="74">
        <f t="shared" si="5"/>
        <v>0.49310306940879167</v>
      </c>
      <c r="DH11" s="74">
        <f t="shared" si="5"/>
        <v>0.50180488828071157</v>
      </c>
      <c r="DI11" s="74">
        <f t="shared" si="5"/>
        <v>0.4960036756994316</v>
      </c>
      <c r="DJ11" s="74">
        <f t="shared" si="5"/>
        <v>0.48730185682751176</v>
      </c>
      <c r="DK11" s="74">
        <f t="shared" si="5"/>
        <v>0.48730185682751176</v>
      </c>
      <c r="DL11" s="74">
        <f t="shared" si="5"/>
        <v>0.48730185682751176</v>
      </c>
      <c r="DM11" s="74">
        <f t="shared" si="5"/>
        <v>0.47569943166495193</v>
      </c>
      <c r="DN11" s="74">
        <f t="shared" si="5"/>
        <v>0.4582957939211123</v>
      </c>
      <c r="DO11" s="74">
        <f t="shared" si="5"/>
        <v>0.45249458133983239</v>
      </c>
      <c r="DP11" s="74">
        <f t="shared" si="5"/>
        <v>0.45249458133983239</v>
      </c>
      <c r="DQ11" s="74">
        <f t="shared" si="5"/>
        <v>0.44089215617727257</v>
      </c>
      <c r="DR11" s="74">
        <f t="shared" si="5"/>
        <v>0.43509094359599265</v>
      </c>
      <c r="DS11" s="74">
        <f t="shared" si="5"/>
        <v>0.43219033730535272</v>
      </c>
      <c r="DT11" s="74">
        <f t="shared" si="5"/>
        <v>0</v>
      </c>
      <c r="DU11" s="74">
        <f t="shared" si="5"/>
        <v>0</v>
      </c>
      <c r="DV11" s="74">
        <f t="shared" si="5"/>
        <v>0</v>
      </c>
      <c r="DW11" s="74">
        <f t="shared" si="5"/>
        <v>0</v>
      </c>
      <c r="DX11" s="74">
        <f t="shared" si="5"/>
        <v>0</v>
      </c>
      <c r="DY11" s="74">
        <f t="shared" si="5"/>
        <v>0</v>
      </c>
      <c r="DZ11" s="74">
        <f t="shared" si="5"/>
        <v>0</v>
      </c>
      <c r="EA11" s="74">
        <f t="shared" si="5"/>
        <v>0</v>
      </c>
      <c r="EB11" s="74">
        <f t="shared" si="5"/>
        <v>0</v>
      </c>
      <c r="EC11" s="74">
        <f t="shared" si="5"/>
        <v>0</v>
      </c>
      <c r="ED11" s="74">
        <f t="shared" si="5"/>
        <v>0</v>
      </c>
      <c r="EE11" s="74">
        <f t="shared" si="5"/>
        <v>0</v>
      </c>
      <c r="EF11" s="74">
        <f t="shared" si="5"/>
        <v>0</v>
      </c>
      <c r="EG11" s="74">
        <f t="shared" si="5"/>
        <v>0</v>
      </c>
      <c r="EH11" s="74">
        <f t="shared" si="5"/>
        <v>0</v>
      </c>
    </row>
    <row r="12" spans="1:148">
      <c r="A12" s="67"/>
      <c r="B12" s="30" t="s">
        <v>674</v>
      </c>
      <c r="C12" s="60">
        <v>1</v>
      </c>
      <c r="D12" s="60">
        <v>88.11</v>
      </c>
      <c r="E12" s="60">
        <f>D12*C12</f>
        <v>88.11</v>
      </c>
      <c r="F12" s="65">
        <f>E12/E2</f>
        <v>0.88007031772825794</v>
      </c>
      <c r="I12" s="74">
        <f>$F$12*(I8/1000)</f>
        <v>0.72444748344437004</v>
      </c>
      <c r="J12" s="74">
        <f t="shared" ref="J12:AU12" si="6">$F$12*(J8/1000)</f>
        <v>0.71076239000369568</v>
      </c>
      <c r="K12" s="74">
        <f t="shared" si="6"/>
        <v>0.59366023352677366</v>
      </c>
      <c r="L12" s="74">
        <f t="shared" si="6"/>
        <v>0.65652365632210319</v>
      </c>
      <c r="M12" s="74">
        <f t="shared" si="6"/>
        <v>0.63494433213140633</v>
      </c>
      <c r="N12" s="74">
        <f t="shared" si="6"/>
        <v>0.68347140945094242</v>
      </c>
      <c r="O12" s="74">
        <f t="shared" si="6"/>
        <v>0.68416666500194767</v>
      </c>
      <c r="P12" s="74">
        <f t="shared" si="6"/>
        <v>0.70160085799614458</v>
      </c>
      <c r="Q12" s="74">
        <f t="shared" si="6"/>
        <v>0.73940867884575046</v>
      </c>
      <c r="R12" s="74">
        <f t="shared" si="6"/>
        <v>0.85406423983938795</v>
      </c>
      <c r="S12" s="74">
        <f t="shared" si="6"/>
        <v>0.89679165376509473</v>
      </c>
      <c r="T12" s="74">
        <f t="shared" si="6"/>
        <v>0.89503151312963825</v>
      </c>
      <c r="U12" s="74">
        <f t="shared" si="6"/>
        <v>1.0464036077788987</v>
      </c>
      <c r="V12" s="74">
        <f t="shared" si="6"/>
        <v>1.194255421157246</v>
      </c>
      <c r="W12" s="74">
        <f t="shared" si="6"/>
        <v>1.1352907098694527</v>
      </c>
      <c r="X12" s="74">
        <f t="shared" si="6"/>
        <v>1.3183453359569304</v>
      </c>
      <c r="Y12" s="74">
        <f t="shared" si="6"/>
        <v>1.2576204840336807</v>
      </c>
      <c r="Z12" s="74">
        <f t="shared" si="6"/>
        <v>1.2426592886323002</v>
      </c>
      <c r="AA12" s="74">
        <f t="shared" si="6"/>
        <v>1.1687333819431267</v>
      </c>
      <c r="AB12" s="74">
        <f t="shared" si="6"/>
        <v>1.1379309208226374</v>
      </c>
      <c r="AC12" s="74">
        <f t="shared" si="6"/>
        <v>1.4142730005893105</v>
      </c>
      <c r="AD12" s="74">
        <f t="shared" si="6"/>
        <v>1.2849026638832566</v>
      </c>
      <c r="AE12" s="74">
        <f t="shared" si="6"/>
        <v>1.2496998511741262</v>
      </c>
      <c r="AF12" s="74">
        <f t="shared" si="6"/>
        <v>1.1740138038494963</v>
      </c>
      <c r="AG12" s="74">
        <f t="shared" si="6"/>
        <v>1.1423312724112789</v>
      </c>
      <c r="AH12" s="74">
        <f t="shared" si="6"/>
        <v>0.97511791204290987</v>
      </c>
      <c r="AI12" s="74">
        <f t="shared" si="6"/>
        <v>1.1335305692339963</v>
      </c>
      <c r="AJ12" s="74">
        <f t="shared" si="6"/>
        <v>1.2048162649699852</v>
      </c>
      <c r="AK12" s="74">
        <f t="shared" si="6"/>
        <v>1.1000878971603225</v>
      </c>
      <c r="AL12" s="74">
        <f t="shared" si="6"/>
        <v>0.90383221630692079</v>
      </c>
      <c r="AM12" s="74">
        <f t="shared" si="6"/>
        <v>0.85940626666799835</v>
      </c>
      <c r="AN12" s="74">
        <f t="shared" si="6"/>
        <v>0.85724129368638691</v>
      </c>
      <c r="AO12" s="74">
        <f t="shared" si="6"/>
        <v>0.85653723743220433</v>
      </c>
      <c r="AP12" s="74">
        <f t="shared" si="6"/>
        <v>0.8078693488618317</v>
      </c>
      <c r="AQ12" s="74">
        <f t="shared" si="6"/>
        <v>0.78073678096626942</v>
      </c>
      <c r="AR12" s="74">
        <f t="shared" si="6"/>
        <v>0.81052716122137103</v>
      </c>
      <c r="AS12" s="74">
        <f t="shared" si="6"/>
        <v>0.82595479389114734</v>
      </c>
      <c r="AT12" s="74">
        <f t="shared" si="6"/>
        <v>0.83248491564869098</v>
      </c>
      <c r="AU12" s="74">
        <f t="shared" si="6"/>
        <v>0.80721809682671275</v>
      </c>
      <c r="AV12" s="74">
        <f t="shared" ref="AV12:BM12" si="7">$F$12*(AV8/1000)</f>
        <v>0.83068077149734809</v>
      </c>
      <c r="AW12" s="74">
        <f t="shared" si="7"/>
        <v>0.79038235164857118</v>
      </c>
      <c r="AX12" s="74">
        <f t="shared" si="7"/>
        <v>0.77176886442861858</v>
      </c>
      <c r="AY12" s="74">
        <f t="shared" si="7"/>
        <v>0.77176886442861858</v>
      </c>
      <c r="AZ12" s="74">
        <f t="shared" si="7"/>
        <v>0.74717089904811373</v>
      </c>
      <c r="BA12" s="74">
        <f t="shared" si="7"/>
        <v>0.74717089904811373</v>
      </c>
      <c r="BB12" s="74">
        <f t="shared" si="7"/>
        <v>0.74717089904811373</v>
      </c>
      <c r="BC12" s="74">
        <f t="shared" si="7"/>
        <v>0.74358021215178238</v>
      </c>
      <c r="BD12" s="74">
        <f t="shared" si="7"/>
        <v>0.7956011686326997</v>
      </c>
      <c r="BE12" s="74">
        <f t="shared" si="7"/>
        <v>0.7956011686326997</v>
      </c>
      <c r="BF12" s="74">
        <f t="shared" si="7"/>
        <v>0.7956011686326997</v>
      </c>
      <c r="BG12" s="74">
        <f t="shared" si="7"/>
        <v>0.7897134982070978</v>
      </c>
      <c r="BH12" s="74">
        <f t="shared" si="7"/>
        <v>0.7897134982070978</v>
      </c>
      <c r="BI12" s="74">
        <f t="shared" si="7"/>
        <v>0.8472788976897031</v>
      </c>
      <c r="BJ12" s="74">
        <f t="shared" si="7"/>
        <v>0.8472788976897031</v>
      </c>
      <c r="BK12" s="74">
        <f t="shared" si="7"/>
        <v>0.8472788976897031</v>
      </c>
      <c r="BL12" s="74">
        <f t="shared" si="7"/>
        <v>0.90119200535373611</v>
      </c>
      <c r="BM12" s="74">
        <f t="shared" si="7"/>
        <v>0.90119200535373611</v>
      </c>
      <c r="BN12" s="74">
        <f t="shared" ref="BN12:BV12" si="8">$F$12*(BN8/1000)</f>
        <v>0.90119200535373611</v>
      </c>
      <c r="BO12" s="74">
        <f t="shared" si="8"/>
        <v>0.82033114456086387</v>
      </c>
      <c r="BP12" s="74">
        <f t="shared" si="8"/>
        <v>0.82033114456086387</v>
      </c>
      <c r="BQ12" s="74">
        <f t="shared" si="8"/>
        <v>0.82033114456086387</v>
      </c>
      <c r="BR12" s="74">
        <f t="shared" si="8"/>
        <v>0.82033114456086387</v>
      </c>
      <c r="BS12" s="74">
        <f t="shared" si="8"/>
        <v>0.78910624968786525</v>
      </c>
      <c r="BT12" s="74">
        <f t="shared" si="8"/>
        <v>0.78910624968786525</v>
      </c>
      <c r="BU12" s="74">
        <f t="shared" si="8"/>
        <v>0.78910624968786525</v>
      </c>
      <c r="BV12" s="74">
        <f t="shared" si="8"/>
        <v>0.78910624968786525</v>
      </c>
      <c r="BW12" s="74">
        <f t="shared" ref="BW12:CK12" si="9">$F$12*(BW8/1000)</f>
        <v>0.80147123765194728</v>
      </c>
      <c r="BX12" s="74">
        <f t="shared" si="9"/>
        <v>0.80147123765194728</v>
      </c>
      <c r="BY12" s="74">
        <f t="shared" si="9"/>
        <v>0.80147123765194728</v>
      </c>
      <c r="BZ12" s="74">
        <f t="shared" si="9"/>
        <v>0.80147123765194728</v>
      </c>
      <c r="CA12" s="74">
        <f t="shared" si="9"/>
        <v>0.80147123765194728</v>
      </c>
      <c r="CB12" s="74">
        <f t="shared" si="9"/>
        <v>0.80147123765194728</v>
      </c>
      <c r="CC12" s="74">
        <f t="shared" si="9"/>
        <v>0.80147123765194728</v>
      </c>
      <c r="CD12" s="74">
        <f t="shared" si="9"/>
        <v>0.80147123765194728</v>
      </c>
      <c r="CE12" s="74">
        <f t="shared" si="9"/>
        <v>0.79682446637434201</v>
      </c>
      <c r="CF12" s="74">
        <f t="shared" si="9"/>
        <v>0.79682446637434201</v>
      </c>
      <c r="CG12" s="74">
        <f t="shared" si="9"/>
        <v>0.75599800433492814</v>
      </c>
      <c r="CH12" s="74">
        <f t="shared" si="9"/>
        <v>0.75167685907488246</v>
      </c>
      <c r="CI12" s="74">
        <f t="shared" si="9"/>
        <v>0.71500432893514598</v>
      </c>
      <c r="CJ12" s="74">
        <f t="shared" si="9"/>
        <v>0.71500432893514598</v>
      </c>
      <c r="CK12" s="74">
        <f t="shared" si="9"/>
        <v>0.71500432893514598</v>
      </c>
      <c r="CL12" s="74">
        <f t="shared" ref="CL12:CU12" si="10">$F$12*(CL8/1000)</f>
        <v>0.71122002656891437</v>
      </c>
      <c r="CM12" s="74">
        <f t="shared" si="10"/>
        <v>0.71122002656891437</v>
      </c>
      <c r="CN12" s="74">
        <f t="shared" si="10"/>
        <v>0.71122002656891437</v>
      </c>
      <c r="CO12" s="74">
        <f t="shared" si="10"/>
        <v>0.71122002656891437</v>
      </c>
      <c r="CP12" s="74">
        <f t="shared" si="10"/>
        <v>0.71122002656891437</v>
      </c>
      <c r="CQ12" s="74">
        <f t="shared" si="10"/>
        <v>0.71122002656891437</v>
      </c>
      <c r="CR12" s="74">
        <f t="shared" si="10"/>
        <v>0.71727491035488478</v>
      </c>
      <c r="CS12" s="74">
        <f t="shared" si="10"/>
        <v>0.71420346494601317</v>
      </c>
      <c r="CT12" s="74">
        <f t="shared" si="10"/>
        <v>0.71420346494601317</v>
      </c>
      <c r="CU12" s="74">
        <f t="shared" si="10"/>
        <v>0.70979431265419457</v>
      </c>
      <c r="CV12" s="74">
        <f t="shared" ref="CV12:EH12" si="11">$F$12*(CV8/1000)</f>
        <v>0.70979431265419457</v>
      </c>
      <c r="CW12" s="74">
        <f t="shared" si="11"/>
        <v>0.71283935595353443</v>
      </c>
      <c r="CX12" s="74">
        <f t="shared" si="11"/>
        <v>0.71283935595353443</v>
      </c>
      <c r="CY12" s="74">
        <f t="shared" si="11"/>
        <v>0.71865662075371817</v>
      </c>
      <c r="CZ12" s="74">
        <f t="shared" si="11"/>
        <v>0.71865662075371817</v>
      </c>
      <c r="DA12" s="74">
        <f t="shared" si="11"/>
        <v>0.71865662075371817</v>
      </c>
      <c r="DB12" s="74">
        <f t="shared" si="11"/>
        <v>0.71865662075371817</v>
      </c>
      <c r="DC12" s="74">
        <f t="shared" si="11"/>
        <v>0.71865662075371817</v>
      </c>
      <c r="DD12" s="74">
        <f t="shared" si="11"/>
        <v>0.71865662075371817</v>
      </c>
      <c r="DE12" s="74">
        <f t="shared" si="11"/>
        <v>0.71865662075371817</v>
      </c>
      <c r="DF12" s="74">
        <f t="shared" si="11"/>
        <v>0.71865662075371817</v>
      </c>
      <c r="DG12" s="74">
        <f t="shared" si="11"/>
        <v>0.71865662075371817</v>
      </c>
      <c r="DH12" s="74">
        <f t="shared" si="11"/>
        <v>0.6779973720746727</v>
      </c>
      <c r="DI12" s="74">
        <f t="shared" si="11"/>
        <v>0.6779973720746727</v>
      </c>
      <c r="DJ12" s="74">
        <f t="shared" si="11"/>
        <v>0.6779973720746727</v>
      </c>
      <c r="DK12" s="74">
        <f t="shared" si="11"/>
        <v>0.6779973720746727</v>
      </c>
      <c r="DL12" s="74">
        <f t="shared" si="11"/>
        <v>0.6779973720746727</v>
      </c>
      <c r="DM12" s="74">
        <f t="shared" si="11"/>
        <v>0.70458429637324327</v>
      </c>
      <c r="DN12" s="74">
        <f t="shared" si="11"/>
        <v>0.66760374162230196</v>
      </c>
      <c r="DO12" s="74">
        <f t="shared" si="11"/>
        <v>0.66760374162230196</v>
      </c>
      <c r="DP12" s="74">
        <f t="shared" si="11"/>
        <v>0.66760374162230196</v>
      </c>
      <c r="DQ12" s="74">
        <f t="shared" si="11"/>
        <v>0.64733572220502011</v>
      </c>
      <c r="DR12" s="74">
        <f t="shared" si="11"/>
        <v>0.64733572220502011</v>
      </c>
      <c r="DS12" s="74">
        <f t="shared" si="11"/>
        <v>0.64733572220502011</v>
      </c>
      <c r="DT12" s="74">
        <f t="shared" si="11"/>
        <v>0</v>
      </c>
      <c r="DU12" s="74">
        <f t="shared" si="11"/>
        <v>0</v>
      </c>
      <c r="DV12" s="74">
        <f t="shared" si="11"/>
        <v>0</v>
      </c>
      <c r="DW12" s="74">
        <f t="shared" si="11"/>
        <v>0</v>
      </c>
      <c r="DX12" s="74">
        <f t="shared" si="11"/>
        <v>0</v>
      </c>
      <c r="DY12" s="74">
        <f t="shared" si="11"/>
        <v>0</v>
      </c>
      <c r="DZ12" s="74">
        <f t="shared" si="11"/>
        <v>0</v>
      </c>
      <c r="EA12" s="74">
        <f t="shared" si="11"/>
        <v>0</v>
      </c>
      <c r="EB12" s="74">
        <f t="shared" si="11"/>
        <v>0</v>
      </c>
      <c r="EC12" s="74">
        <f t="shared" si="11"/>
        <v>0</v>
      </c>
      <c r="ED12" s="74">
        <f t="shared" si="11"/>
        <v>0</v>
      </c>
      <c r="EE12" s="74">
        <f t="shared" si="11"/>
        <v>0</v>
      </c>
      <c r="EF12" s="74">
        <f t="shared" si="11"/>
        <v>0</v>
      </c>
      <c r="EG12" s="74">
        <f t="shared" si="11"/>
        <v>0</v>
      </c>
      <c r="EH12" s="74">
        <f t="shared" si="11"/>
        <v>0</v>
      </c>
    </row>
    <row r="13" spans="1:148">
      <c r="A13" s="67"/>
      <c r="B13" s="60" t="s">
        <v>678</v>
      </c>
      <c r="C13" s="60">
        <v>1</v>
      </c>
      <c r="D13" s="60">
        <v>54.03</v>
      </c>
      <c r="E13" s="60">
        <f>D13*C13</f>
        <v>54.03</v>
      </c>
      <c r="F13" s="65">
        <f>E13/E2</f>
        <v>0.53966858775232973</v>
      </c>
      <c r="I13" s="74">
        <f>$F$13*(I9/1000)</f>
        <v>0</v>
      </c>
      <c r="J13" s="74">
        <f t="shared" ref="J13:AU13" si="12">$F$13*(J9/1000)</f>
        <v>0</v>
      </c>
      <c r="K13" s="74">
        <f t="shared" si="12"/>
        <v>0</v>
      </c>
      <c r="L13" s="74">
        <f t="shared" si="12"/>
        <v>0</v>
      </c>
      <c r="M13" s="74">
        <f t="shared" si="12"/>
        <v>0</v>
      </c>
      <c r="N13" s="74">
        <f t="shared" si="12"/>
        <v>0</v>
      </c>
      <c r="O13" s="74">
        <f t="shared" si="12"/>
        <v>0</v>
      </c>
      <c r="P13" s="74">
        <f t="shared" si="12"/>
        <v>0</v>
      </c>
      <c r="Q13" s="74">
        <f t="shared" si="12"/>
        <v>0</v>
      </c>
      <c r="R13" s="74">
        <f t="shared" si="12"/>
        <v>0</v>
      </c>
      <c r="S13" s="74">
        <f t="shared" si="12"/>
        <v>0</v>
      </c>
      <c r="T13" s="74">
        <f t="shared" si="12"/>
        <v>0</v>
      </c>
      <c r="U13" s="74">
        <f t="shared" si="12"/>
        <v>0</v>
      </c>
      <c r="V13" s="74">
        <f t="shared" si="12"/>
        <v>0</v>
      </c>
      <c r="W13" s="74">
        <f t="shared" si="12"/>
        <v>0</v>
      </c>
      <c r="X13" s="74">
        <f t="shared" si="12"/>
        <v>0</v>
      </c>
      <c r="Y13" s="74">
        <f t="shared" si="12"/>
        <v>0</v>
      </c>
      <c r="Z13" s="74">
        <f t="shared" si="12"/>
        <v>0</v>
      </c>
      <c r="AA13" s="74">
        <f t="shared" si="12"/>
        <v>0</v>
      </c>
      <c r="AB13" s="74">
        <f t="shared" si="12"/>
        <v>0</v>
      </c>
      <c r="AC13" s="74">
        <f t="shared" si="12"/>
        <v>0</v>
      </c>
      <c r="AD13" s="74">
        <f t="shared" si="12"/>
        <v>0</v>
      </c>
      <c r="AE13" s="74">
        <f t="shared" si="12"/>
        <v>0</v>
      </c>
      <c r="AF13" s="74">
        <f t="shared" si="12"/>
        <v>0</v>
      </c>
      <c r="AG13" s="74">
        <f t="shared" si="12"/>
        <v>0</v>
      </c>
      <c r="AH13" s="74">
        <f t="shared" si="12"/>
        <v>0</v>
      </c>
      <c r="AI13" s="74">
        <f t="shared" si="12"/>
        <v>0</v>
      </c>
      <c r="AJ13" s="74">
        <f t="shared" si="12"/>
        <v>0</v>
      </c>
      <c r="AK13" s="74">
        <f t="shared" si="12"/>
        <v>0</v>
      </c>
      <c r="AL13" s="74">
        <f t="shared" si="12"/>
        <v>0</v>
      </c>
      <c r="AM13" s="74">
        <f t="shared" si="12"/>
        <v>0</v>
      </c>
      <c r="AN13" s="74">
        <f t="shared" si="12"/>
        <v>0</v>
      </c>
      <c r="AO13" s="74">
        <f t="shared" si="12"/>
        <v>0</v>
      </c>
      <c r="AP13" s="74">
        <f t="shared" si="12"/>
        <v>0</v>
      </c>
      <c r="AQ13" s="74">
        <f t="shared" si="12"/>
        <v>0</v>
      </c>
      <c r="AR13" s="74">
        <f t="shared" si="12"/>
        <v>0</v>
      </c>
      <c r="AS13" s="74">
        <f t="shared" si="12"/>
        <v>0</v>
      </c>
      <c r="AT13" s="74">
        <f t="shared" si="12"/>
        <v>0</v>
      </c>
      <c r="AU13" s="74">
        <f t="shared" si="12"/>
        <v>0</v>
      </c>
      <c r="AV13" s="74">
        <f t="shared" ref="AV13:BM13" si="13">$F$13*(AV9/1000)</f>
        <v>0</v>
      </c>
      <c r="AW13" s="74">
        <f t="shared" si="13"/>
        <v>0</v>
      </c>
      <c r="AX13" s="74">
        <f t="shared" si="13"/>
        <v>0</v>
      </c>
      <c r="AY13" s="74">
        <f t="shared" si="13"/>
        <v>0</v>
      </c>
      <c r="AZ13" s="74">
        <f t="shared" si="13"/>
        <v>0</v>
      </c>
      <c r="BA13" s="74">
        <f t="shared" si="13"/>
        <v>0</v>
      </c>
      <c r="BB13" s="74">
        <f t="shared" si="13"/>
        <v>0</v>
      </c>
      <c r="BC13" s="74">
        <f t="shared" si="13"/>
        <v>0</v>
      </c>
      <c r="BD13" s="74">
        <f t="shared" si="13"/>
        <v>0</v>
      </c>
      <c r="BE13" s="74">
        <f t="shared" si="13"/>
        <v>0</v>
      </c>
      <c r="BF13" s="74">
        <f t="shared" si="13"/>
        <v>0</v>
      </c>
      <c r="BG13" s="74">
        <f t="shared" si="13"/>
        <v>0</v>
      </c>
      <c r="BH13" s="74">
        <f t="shared" si="13"/>
        <v>0</v>
      </c>
      <c r="BI13" s="74">
        <f t="shared" si="13"/>
        <v>0</v>
      </c>
      <c r="BJ13" s="74">
        <f t="shared" si="13"/>
        <v>0</v>
      </c>
      <c r="BK13" s="74">
        <f t="shared" si="13"/>
        <v>0</v>
      </c>
      <c r="BL13" s="74">
        <f t="shared" si="13"/>
        <v>0</v>
      </c>
      <c r="BM13" s="74">
        <f t="shared" si="13"/>
        <v>0</v>
      </c>
      <c r="BN13" s="74">
        <f t="shared" ref="BN13:BV13" si="14">$F$13*(BN9/1000)</f>
        <v>0</v>
      </c>
      <c r="BO13" s="74">
        <f t="shared" si="14"/>
        <v>0</v>
      </c>
      <c r="BP13" s="74">
        <f t="shared" si="14"/>
        <v>0</v>
      </c>
      <c r="BQ13" s="74">
        <f t="shared" si="14"/>
        <v>0</v>
      </c>
      <c r="BR13" s="74">
        <f t="shared" si="14"/>
        <v>0</v>
      </c>
      <c r="BS13" s="74">
        <f t="shared" si="14"/>
        <v>0</v>
      </c>
      <c r="BT13" s="74">
        <f t="shared" si="14"/>
        <v>0</v>
      </c>
      <c r="BU13" s="74">
        <f t="shared" si="14"/>
        <v>0</v>
      </c>
      <c r="BV13" s="74">
        <f t="shared" si="14"/>
        <v>0</v>
      </c>
      <c r="BW13" s="74">
        <f t="shared" ref="BW13:CK13" si="15">$F$13*(BW9/1000)</f>
        <v>0</v>
      </c>
      <c r="BX13" s="74">
        <f t="shared" si="15"/>
        <v>0</v>
      </c>
      <c r="BY13" s="74">
        <f t="shared" si="15"/>
        <v>0</v>
      </c>
      <c r="BZ13" s="74">
        <f t="shared" si="15"/>
        <v>0</v>
      </c>
      <c r="CA13" s="74">
        <f t="shared" si="15"/>
        <v>0</v>
      </c>
      <c r="CB13" s="74">
        <f t="shared" si="15"/>
        <v>0</v>
      </c>
      <c r="CC13" s="74">
        <f t="shared" si="15"/>
        <v>0</v>
      </c>
      <c r="CD13" s="74">
        <f t="shared" si="15"/>
        <v>0</v>
      </c>
      <c r="CE13" s="74">
        <f t="shared" si="15"/>
        <v>0</v>
      </c>
      <c r="CF13" s="74">
        <f t="shared" si="15"/>
        <v>0</v>
      </c>
      <c r="CG13" s="74">
        <f t="shared" si="15"/>
        <v>0</v>
      </c>
      <c r="CH13" s="74">
        <f t="shared" si="15"/>
        <v>0</v>
      </c>
      <c r="CI13" s="74">
        <f t="shared" si="15"/>
        <v>0</v>
      </c>
      <c r="CJ13" s="74">
        <f t="shared" si="15"/>
        <v>0</v>
      </c>
      <c r="CK13" s="74">
        <f t="shared" si="15"/>
        <v>0</v>
      </c>
      <c r="CL13" s="74">
        <f t="shared" ref="CL13:CU13" si="16">$F$13*(CL9/1000)</f>
        <v>0</v>
      </c>
      <c r="CM13" s="74">
        <f t="shared" si="16"/>
        <v>0</v>
      </c>
      <c r="CN13" s="74">
        <f t="shared" si="16"/>
        <v>0</v>
      </c>
      <c r="CO13" s="74">
        <f t="shared" si="16"/>
        <v>0</v>
      </c>
      <c r="CP13" s="74">
        <f t="shared" si="16"/>
        <v>0</v>
      </c>
      <c r="CQ13" s="74">
        <f t="shared" si="16"/>
        <v>0</v>
      </c>
      <c r="CR13" s="74">
        <f t="shared" si="16"/>
        <v>0</v>
      </c>
      <c r="CS13" s="74">
        <f t="shared" si="16"/>
        <v>0</v>
      </c>
      <c r="CT13" s="74">
        <f t="shared" si="16"/>
        <v>0</v>
      </c>
      <c r="CU13" s="74">
        <f t="shared" si="16"/>
        <v>0</v>
      </c>
      <c r="CV13" s="74">
        <f t="shared" ref="CV13:EH13" si="17">$F$13*(CV9/1000)</f>
        <v>0</v>
      </c>
      <c r="CW13" s="74">
        <f t="shared" si="17"/>
        <v>0</v>
      </c>
      <c r="CX13" s="74">
        <f t="shared" si="17"/>
        <v>0</v>
      </c>
      <c r="CY13" s="74">
        <f t="shared" si="17"/>
        <v>0</v>
      </c>
      <c r="CZ13" s="74">
        <f t="shared" si="17"/>
        <v>0</v>
      </c>
      <c r="DA13" s="74">
        <f t="shared" si="17"/>
        <v>0</v>
      </c>
      <c r="DB13" s="74">
        <f t="shared" si="17"/>
        <v>0</v>
      </c>
      <c r="DC13" s="74">
        <f t="shared" si="17"/>
        <v>0</v>
      </c>
      <c r="DD13" s="74">
        <f t="shared" si="17"/>
        <v>0</v>
      </c>
      <c r="DE13" s="74">
        <f t="shared" si="17"/>
        <v>0</v>
      </c>
      <c r="DF13" s="74">
        <f t="shared" si="17"/>
        <v>0</v>
      </c>
      <c r="DG13" s="74">
        <f t="shared" si="17"/>
        <v>0</v>
      </c>
      <c r="DH13" s="74">
        <f t="shared" si="17"/>
        <v>0</v>
      </c>
      <c r="DI13" s="74">
        <f t="shared" si="17"/>
        <v>0</v>
      </c>
      <c r="DJ13" s="74">
        <f t="shared" si="17"/>
        <v>0</v>
      </c>
      <c r="DK13" s="74">
        <f t="shared" si="17"/>
        <v>0</v>
      </c>
      <c r="DL13" s="74">
        <f t="shared" si="17"/>
        <v>0</v>
      </c>
      <c r="DM13" s="74">
        <f t="shared" si="17"/>
        <v>0</v>
      </c>
      <c r="DN13" s="74">
        <f t="shared" si="17"/>
        <v>0</v>
      </c>
      <c r="DO13" s="74">
        <f t="shared" si="17"/>
        <v>0</v>
      </c>
      <c r="DP13" s="74">
        <f t="shared" si="17"/>
        <v>0</v>
      </c>
      <c r="DQ13" s="74">
        <f t="shared" si="17"/>
        <v>0</v>
      </c>
      <c r="DR13" s="74">
        <f t="shared" si="17"/>
        <v>0</v>
      </c>
      <c r="DS13" s="74">
        <f t="shared" si="17"/>
        <v>0</v>
      </c>
      <c r="DT13" s="74">
        <f t="shared" si="17"/>
        <v>0</v>
      </c>
      <c r="DU13" s="74">
        <f t="shared" si="17"/>
        <v>0</v>
      </c>
      <c r="DV13" s="74">
        <f t="shared" si="17"/>
        <v>0</v>
      </c>
      <c r="DW13" s="74">
        <f t="shared" si="17"/>
        <v>0</v>
      </c>
      <c r="DX13" s="74">
        <f t="shared" si="17"/>
        <v>0</v>
      </c>
      <c r="DY13" s="74">
        <f t="shared" si="17"/>
        <v>0</v>
      </c>
      <c r="DZ13" s="74">
        <f t="shared" si="17"/>
        <v>0</v>
      </c>
      <c r="EA13" s="74">
        <f t="shared" si="17"/>
        <v>0</v>
      </c>
      <c r="EB13" s="74">
        <f t="shared" si="17"/>
        <v>0</v>
      </c>
      <c r="EC13" s="74">
        <f t="shared" si="17"/>
        <v>0</v>
      </c>
      <c r="ED13" s="74">
        <f t="shared" si="17"/>
        <v>0</v>
      </c>
      <c r="EE13" s="74">
        <f t="shared" si="17"/>
        <v>0</v>
      </c>
      <c r="EF13" s="74">
        <f t="shared" si="17"/>
        <v>0</v>
      </c>
      <c r="EG13" s="74">
        <f t="shared" si="17"/>
        <v>0</v>
      </c>
      <c r="EH13" s="74">
        <f t="shared" si="17"/>
        <v>0</v>
      </c>
    </row>
    <row r="14" spans="1:148" s="104" customFormat="1">
      <c r="A14" s="104" t="s">
        <v>400</v>
      </c>
      <c r="H14" s="60"/>
      <c r="I14" s="105">
        <f>SUM(I11:I13)</f>
        <v>1.1212504240039154</v>
      </c>
      <c r="J14" s="105">
        <f t="shared" ref="J14:AU14" si="18">SUM(J11:J13)</f>
        <v>1.1205020346194952</v>
      </c>
      <c r="K14" s="105">
        <f t="shared" si="18"/>
        <v>0.96714229950957376</v>
      </c>
      <c r="L14" s="105">
        <f t="shared" si="18"/>
        <v>0.99879519861761734</v>
      </c>
      <c r="M14" s="105">
        <f t="shared" si="18"/>
        <v>1.0897593985037506</v>
      </c>
      <c r="N14" s="105">
        <f t="shared" si="18"/>
        <v>1.2222880340002198</v>
      </c>
      <c r="O14" s="105">
        <f t="shared" si="18"/>
        <v>1.2373122846269864</v>
      </c>
      <c r="P14" s="105">
        <f t="shared" si="18"/>
        <v>1.2193590808753758</v>
      </c>
      <c r="Q14" s="105">
        <f t="shared" si="18"/>
        <v>1.2528159922890216</v>
      </c>
      <c r="R14" s="105">
        <f t="shared" si="18"/>
        <v>1.3808143422196031</v>
      </c>
      <c r="S14" s="105">
        <f t="shared" si="18"/>
        <v>1.4559125223488518</v>
      </c>
      <c r="T14" s="105">
        <f t="shared" si="18"/>
        <v>1.5063632949449142</v>
      </c>
      <c r="U14" s="105">
        <f t="shared" si="18"/>
        <v>1.622173956470929</v>
      </c>
      <c r="V14" s="105">
        <f t="shared" si="18"/>
        <v>1.8236869862261154</v>
      </c>
      <c r="W14" s="105">
        <f t="shared" si="18"/>
        <v>1.87784592027328</v>
      </c>
      <c r="X14" s="105">
        <f t="shared" si="18"/>
        <v>2.0754035778139577</v>
      </c>
      <c r="Y14" s="105">
        <f t="shared" si="18"/>
        <v>1.9755205409670684</v>
      </c>
      <c r="Z14" s="105">
        <f t="shared" si="18"/>
        <v>1.8394880389943764</v>
      </c>
      <c r="AA14" s="105">
        <f t="shared" si="18"/>
        <v>1.6699581489657103</v>
      </c>
      <c r="AB14" s="105">
        <f t="shared" si="18"/>
        <v>1.6150806556329094</v>
      </c>
      <c r="AC14" s="105">
        <f t="shared" si="18"/>
        <v>1.9009947361586943</v>
      </c>
      <c r="AD14" s="105">
        <f t="shared" si="18"/>
        <v>1.8081720387147038</v>
      </c>
      <c r="AE14" s="105">
        <f t="shared" si="18"/>
        <v>1.7682122316889237</v>
      </c>
      <c r="AF14" s="105">
        <f t="shared" si="18"/>
        <v>1.658415054386368</v>
      </c>
      <c r="AG14" s="105">
        <f t="shared" si="18"/>
        <v>1.6194810072215509</v>
      </c>
      <c r="AH14" s="105">
        <f t="shared" si="18"/>
        <v>1.4827240129049013</v>
      </c>
      <c r="AI14" s="105">
        <f t="shared" si="18"/>
        <v>1.7057041661256331</v>
      </c>
      <c r="AJ14" s="105">
        <f t="shared" si="18"/>
        <v>1.7628929152891117</v>
      </c>
      <c r="AK14" s="105">
        <f t="shared" si="18"/>
        <v>1.6541036986725532</v>
      </c>
      <c r="AL14" s="105">
        <f t="shared" si="18"/>
        <v>1.4607486241097913</v>
      </c>
      <c r="AM14" s="105">
        <f t="shared" si="18"/>
        <v>1.411681704405845</v>
      </c>
      <c r="AN14" s="105">
        <f t="shared" si="18"/>
        <v>1.3648473945483783</v>
      </c>
      <c r="AO14" s="105">
        <f t="shared" si="18"/>
        <v>1.3423887911143961</v>
      </c>
      <c r="AP14" s="105">
        <f t="shared" si="18"/>
        <v>1.2828726350170301</v>
      </c>
      <c r="AQ14" s="105">
        <f t="shared" si="18"/>
        <v>1.2361319685967418</v>
      </c>
      <c r="AR14" s="105">
        <f t="shared" si="18"/>
        <v>1.2688229551424834</v>
      </c>
      <c r="AS14" s="105">
        <f t="shared" si="18"/>
        <v>1.2842505878122596</v>
      </c>
      <c r="AT14" s="105">
        <f t="shared" si="18"/>
        <v>1.3161900206758093</v>
      </c>
      <c r="AU14" s="105">
        <f t="shared" si="18"/>
        <v>1.3380290480138237</v>
      </c>
      <c r="AV14" s="105">
        <f t="shared" ref="AV14:BM14" si="19">SUM(AV11:AV13)</f>
        <v>1.3614917226844592</v>
      </c>
      <c r="AW14" s="105">
        <f t="shared" si="19"/>
        <v>1.331345424852922</v>
      </c>
      <c r="AX14" s="105">
        <f t="shared" si="19"/>
        <v>1.3069307250516895</v>
      </c>
      <c r="AY14" s="105">
        <f t="shared" si="19"/>
        <v>1.2358658709310109</v>
      </c>
      <c r="AZ14" s="105">
        <f t="shared" si="19"/>
        <v>1.2199697244224257</v>
      </c>
      <c r="BA14" s="105">
        <f t="shared" si="19"/>
        <v>1.2199697244224257</v>
      </c>
      <c r="BB14" s="105">
        <f t="shared" si="19"/>
        <v>1.2257709370037055</v>
      </c>
      <c r="BC14" s="105">
        <f t="shared" si="19"/>
        <v>1.2337826752699341</v>
      </c>
      <c r="BD14" s="105">
        <f t="shared" si="19"/>
        <v>1.2945054506227713</v>
      </c>
      <c r="BE14" s="105">
        <f t="shared" si="19"/>
        <v>1.2974060569134114</v>
      </c>
      <c r="BF14" s="105">
        <f t="shared" si="19"/>
        <v>1.2974060569134114</v>
      </c>
      <c r="BG14" s="105">
        <f t="shared" si="19"/>
        <v>1.2915183864878093</v>
      </c>
      <c r="BH14" s="105">
        <f t="shared" si="19"/>
        <v>1.2973195990690893</v>
      </c>
      <c r="BI14" s="105">
        <f t="shared" si="19"/>
        <v>1.3548849985516944</v>
      </c>
      <c r="BJ14" s="105">
        <f t="shared" si="19"/>
        <v>1.3838910614580939</v>
      </c>
      <c r="BK14" s="105">
        <f t="shared" si="19"/>
        <v>1.3925928803300138</v>
      </c>
      <c r="BL14" s="105">
        <f t="shared" si="19"/>
        <v>1.4523072005753268</v>
      </c>
      <c r="BM14" s="105">
        <f t="shared" si="19"/>
        <v>1.434903562831487</v>
      </c>
      <c r="BN14" s="105">
        <f t="shared" ref="BN14:BV14" si="20">SUM(BN11:BN13)</f>
        <v>1.434903562831487</v>
      </c>
      <c r="BO14" s="105">
        <f t="shared" si="20"/>
        <v>1.354042702038615</v>
      </c>
      <c r="BP14" s="105">
        <f t="shared" si="20"/>
        <v>1.3598439146198946</v>
      </c>
      <c r="BQ14" s="105">
        <f t="shared" si="20"/>
        <v>1.3598439146198946</v>
      </c>
      <c r="BR14" s="105">
        <f t="shared" si="20"/>
        <v>1.3598439146198946</v>
      </c>
      <c r="BS14" s="105">
        <f t="shared" si="20"/>
        <v>1.3141159882936964</v>
      </c>
      <c r="BT14" s="105">
        <f t="shared" si="20"/>
        <v>1.3141159882936964</v>
      </c>
      <c r="BU14" s="105">
        <f t="shared" si="20"/>
        <v>1.3141159882936964</v>
      </c>
      <c r="BV14" s="105">
        <f t="shared" si="20"/>
        <v>1.3141159882936964</v>
      </c>
      <c r="BW14" s="105">
        <f t="shared" ref="BW14:CK14" si="21">SUM(BW11:BW13)</f>
        <v>1.3409840077109783</v>
      </c>
      <c r="BX14" s="105">
        <f t="shared" si="21"/>
        <v>1.3380834014203382</v>
      </c>
      <c r="BY14" s="105">
        <f t="shared" si="21"/>
        <v>1.3380834014203382</v>
      </c>
      <c r="BZ14" s="105">
        <f t="shared" si="21"/>
        <v>1.3583876454548178</v>
      </c>
      <c r="CA14" s="105">
        <f t="shared" si="21"/>
        <v>1.3583876454548178</v>
      </c>
      <c r="CB14" s="105">
        <f t="shared" si="21"/>
        <v>1.3699900706173778</v>
      </c>
      <c r="CC14" s="105">
        <f t="shared" si="21"/>
        <v>1.3989961335237773</v>
      </c>
      <c r="CD14" s="105">
        <f t="shared" si="21"/>
        <v>1.3989961335237773</v>
      </c>
      <c r="CE14" s="105">
        <f t="shared" si="21"/>
        <v>1.3943493622461718</v>
      </c>
      <c r="CF14" s="105">
        <f t="shared" si="21"/>
        <v>1.3943493622461718</v>
      </c>
      <c r="CG14" s="105">
        <f t="shared" si="21"/>
        <v>1.359324112788038</v>
      </c>
      <c r="CH14" s="105">
        <f t="shared" si="21"/>
        <v>1.3550029675279922</v>
      </c>
      <c r="CI14" s="105">
        <f t="shared" si="21"/>
        <v>1.3183304373882558</v>
      </c>
      <c r="CJ14" s="105">
        <f t="shared" si="21"/>
        <v>1.3183304373882558</v>
      </c>
      <c r="CK14" s="105">
        <f t="shared" si="21"/>
        <v>1.3183304373882558</v>
      </c>
      <c r="CL14" s="105">
        <f t="shared" ref="CL14:CU14" si="22">SUM(CL11:CL13)</f>
        <v>1.3261485601845839</v>
      </c>
      <c r="CM14" s="105">
        <f t="shared" si="22"/>
        <v>1.3261485601845839</v>
      </c>
      <c r="CN14" s="105">
        <f t="shared" si="22"/>
        <v>1.331949772765864</v>
      </c>
      <c r="CO14" s="105">
        <f t="shared" si="22"/>
        <v>1.331949772765864</v>
      </c>
      <c r="CP14" s="105">
        <f t="shared" si="22"/>
        <v>1.331949772765864</v>
      </c>
      <c r="CQ14" s="105">
        <f t="shared" si="22"/>
        <v>1.331949772765864</v>
      </c>
      <c r="CR14" s="105">
        <f t="shared" si="22"/>
        <v>1.3380046565518344</v>
      </c>
      <c r="CS14" s="105">
        <f t="shared" si="22"/>
        <v>1.3320326048523228</v>
      </c>
      <c r="CT14" s="105">
        <f t="shared" si="22"/>
        <v>1.3378338174336026</v>
      </c>
      <c r="CU14" s="105">
        <f t="shared" si="22"/>
        <v>1.330524058851144</v>
      </c>
      <c r="CV14" s="105">
        <f t="shared" ref="CV14:EH14" si="23">SUM(CV11:CV13)</f>
        <v>1.330524058851144</v>
      </c>
      <c r="CW14" s="105">
        <f t="shared" si="23"/>
        <v>1.3335691021504839</v>
      </c>
      <c r="CX14" s="105">
        <f t="shared" si="23"/>
        <v>1.3161654644066443</v>
      </c>
      <c r="CY14" s="105">
        <f t="shared" si="23"/>
        <v>1.3103803040442683</v>
      </c>
      <c r="CZ14" s="105">
        <f t="shared" si="23"/>
        <v>1.3103803040442683</v>
      </c>
      <c r="DA14" s="105">
        <f t="shared" si="23"/>
        <v>1.3103803040442683</v>
      </c>
      <c r="DB14" s="105">
        <f t="shared" si="23"/>
        <v>1.3103803040442683</v>
      </c>
      <c r="DC14" s="105">
        <f t="shared" si="23"/>
        <v>1.3060293946083084</v>
      </c>
      <c r="DD14" s="105">
        <f t="shared" si="23"/>
        <v>1.2755730285565887</v>
      </c>
      <c r="DE14" s="105">
        <f t="shared" si="23"/>
        <v>1.2726724222659489</v>
      </c>
      <c r="DF14" s="105">
        <f t="shared" si="23"/>
        <v>1.2262627216157096</v>
      </c>
      <c r="DG14" s="105">
        <f t="shared" si="23"/>
        <v>1.2117596901625098</v>
      </c>
      <c r="DH14" s="105">
        <f t="shared" si="23"/>
        <v>1.1798022603553844</v>
      </c>
      <c r="DI14" s="105">
        <f t="shared" si="23"/>
        <v>1.1740010477741043</v>
      </c>
      <c r="DJ14" s="105">
        <f t="shared" si="23"/>
        <v>1.1652992289021844</v>
      </c>
      <c r="DK14" s="105">
        <f t="shared" si="23"/>
        <v>1.1652992289021844</v>
      </c>
      <c r="DL14" s="105">
        <f t="shared" si="23"/>
        <v>1.1652992289021844</v>
      </c>
      <c r="DM14" s="105">
        <f t="shared" si="23"/>
        <v>1.1802837280381953</v>
      </c>
      <c r="DN14" s="105">
        <f t="shared" si="23"/>
        <v>1.1258995355434143</v>
      </c>
      <c r="DO14" s="105">
        <f t="shared" si="23"/>
        <v>1.1200983229621344</v>
      </c>
      <c r="DP14" s="105">
        <f t="shared" si="23"/>
        <v>1.1200983229621344</v>
      </c>
      <c r="DQ14" s="105">
        <f t="shared" si="23"/>
        <v>1.0882278783822927</v>
      </c>
      <c r="DR14" s="105">
        <f t="shared" si="23"/>
        <v>1.0824266658010129</v>
      </c>
      <c r="DS14" s="105">
        <f t="shared" si="23"/>
        <v>1.0795260595103728</v>
      </c>
      <c r="DT14" s="105">
        <f t="shared" si="23"/>
        <v>0</v>
      </c>
      <c r="DU14" s="105">
        <f t="shared" si="23"/>
        <v>0</v>
      </c>
      <c r="DV14" s="105">
        <f t="shared" si="23"/>
        <v>0</v>
      </c>
      <c r="DW14" s="105">
        <f t="shared" si="23"/>
        <v>0</v>
      </c>
      <c r="DX14" s="105">
        <f t="shared" si="23"/>
        <v>0</v>
      </c>
      <c r="DY14" s="105">
        <f t="shared" si="23"/>
        <v>0</v>
      </c>
      <c r="DZ14" s="105">
        <f t="shared" si="23"/>
        <v>0</v>
      </c>
      <c r="EA14" s="105">
        <f t="shared" si="23"/>
        <v>0</v>
      </c>
      <c r="EB14" s="105">
        <f t="shared" si="23"/>
        <v>0</v>
      </c>
      <c r="EC14" s="105">
        <f t="shared" si="23"/>
        <v>0</v>
      </c>
      <c r="ED14" s="105">
        <f t="shared" si="23"/>
        <v>0</v>
      </c>
      <c r="EE14" s="105">
        <f t="shared" si="23"/>
        <v>0</v>
      </c>
      <c r="EF14" s="105">
        <f t="shared" si="23"/>
        <v>0</v>
      </c>
      <c r="EG14" s="105">
        <f t="shared" si="23"/>
        <v>0</v>
      </c>
      <c r="EH14" s="105">
        <f t="shared" si="23"/>
        <v>0</v>
      </c>
    </row>
    <row r="15" spans="1:148" s="137" customFormat="1">
      <c r="H15" s="137" t="s">
        <v>429</v>
      </c>
      <c r="I15" s="108">
        <v>2.4500000000000002</v>
      </c>
      <c r="J15" s="108">
        <v>2.4</v>
      </c>
      <c r="K15" s="108"/>
      <c r="L15" s="108">
        <v>2.2000000000000002</v>
      </c>
      <c r="M15" s="108"/>
      <c r="N15" s="108">
        <v>2.5</v>
      </c>
      <c r="O15" s="108">
        <v>2.48</v>
      </c>
      <c r="P15" s="108"/>
      <c r="Q15" s="108">
        <v>2.4500000000000002</v>
      </c>
      <c r="R15" s="108"/>
      <c r="S15" s="108"/>
      <c r="T15" s="108"/>
      <c r="U15" s="108"/>
      <c r="V15" s="108">
        <v>3.7</v>
      </c>
      <c r="W15" s="108"/>
      <c r="X15" s="108">
        <v>3.75</v>
      </c>
      <c r="Y15" s="108">
        <v>3.79</v>
      </c>
      <c r="Z15" s="108"/>
      <c r="AA15" s="108">
        <v>3.4</v>
      </c>
      <c r="AB15" s="108">
        <v>3.45</v>
      </c>
      <c r="AC15" s="108"/>
      <c r="AD15" s="108"/>
      <c r="AE15" s="108"/>
      <c r="AF15" s="108"/>
      <c r="AG15" s="108"/>
      <c r="AH15" s="108"/>
      <c r="AI15" s="108">
        <v>3.7354054054054053</v>
      </c>
      <c r="AJ15" s="108"/>
      <c r="AK15" s="108"/>
      <c r="AL15" s="108"/>
      <c r="AM15" s="108"/>
      <c r="AN15" s="108"/>
      <c r="AO15" s="108"/>
      <c r="AP15" s="108">
        <v>2.64</v>
      </c>
      <c r="AQ15" s="108"/>
      <c r="AR15" s="108">
        <v>2.75</v>
      </c>
      <c r="AS15" s="108">
        <v>2.8</v>
      </c>
      <c r="AT15" s="108"/>
      <c r="AU15" s="108">
        <v>2.78</v>
      </c>
      <c r="AV15" s="108"/>
      <c r="AW15" s="137">
        <v>2.48</v>
      </c>
      <c r="BV15" s="137">
        <v>2.33</v>
      </c>
      <c r="BW15" s="137">
        <v>2.35</v>
      </c>
      <c r="CI15" s="137">
        <v>2.2599999999999998</v>
      </c>
      <c r="CN15" s="137">
        <v>2.48</v>
      </c>
      <c r="CV15" s="137">
        <v>2.33</v>
      </c>
      <c r="DD15" s="137">
        <v>2.31</v>
      </c>
      <c r="DH15" s="137">
        <v>2.2400000000000002</v>
      </c>
    </row>
    <row r="16" spans="1:148" ht="13">
      <c r="A16" s="331" t="s">
        <v>679</v>
      </c>
      <c r="H16" s="60" t="s">
        <v>406</v>
      </c>
      <c r="I16" s="74">
        <f>I15-I14</f>
        <v>1.3287495759960848</v>
      </c>
      <c r="J16" s="74">
        <f>J15-J14</f>
        <v>1.2794979653805048</v>
      </c>
      <c r="K16" s="74"/>
      <c r="L16" s="74">
        <f t="shared" ref="L16:X16" si="24">L15-L14</f>
        <v>1.2012048013823828</v>
      </c>
      <c r="M16" s="74"/>
      <c r="N16" s="74">
        <f t="shared" si="24"/>
        <v>1.2777119659997802</v>
      </c>
      <c r="O16" s="74">
        <f t="shared" si="24"/>
        <v>1.2426877153730136</v>
      </c>
      <c r="P16" s="74"/>
      <c r="Q16" s="74">
        <f t="shared" si="24"/>
        <v>1.1971840077109785</v>
      </c>
      <c r="R16" s="74"/>
      <c r="S16" s="74"/>
      <c r="T16" s="74"/>
      <c r="U16" s="74"/>
      <c r="V16" s="74">
        <f t="shared" si="24"/>
        <v>1.8763130137738848</v>
      </c>
      <c r="W16" s="74"/>
      <c r="X16" s="74">
        <f t="shared" si="24"/>
        <v>1.6745964221860423</v>
      </c>
      <c r="Y16" s="74">
        <f>Y15-Y14</f>
        <v>1.8144794590329316</v>
      </c>
      <c r="Z16" s="74"/>
      <c r="AA16" s="74">
        <f>AA15-AA14</f>
        <v>1.7300418510342896</v>
      </c>
      <c r="AB16" s="74">
        <f>AB15-AB14</f>
        <v>1.8349193443670908</v>
      </c>
      <c r="AC16" s="74"/>
      <c r="AD16" s="74"/>
      <c r="AE16" s="74"/>
      <c r="AF16" s="74"/>
      <c r="AG16" s="74"/>
      <c r="AH16" s="74"/>
      <c r="AI16" s="74">
        <f>AI15-AI14</f>
        <v>2.0297012392797722</v>
      </c>
      <c r="AJ16" s="74"/>
      <c r="AK16" s="74"/>
      <c r="AL16" s="74"/>
      <c r="AM16" s="74"/>
      <c r="AN16" s="74"/>
      <c r="AO16" s="74"/>
      <c r="AP16" s="74">
        <f>AP15-AP14</f>
        <v>1.35712736498297</v>
      </c>
      <c r="AQ16" s="74"/>
      <c r="AR16" s="74">
        <f>AR15-AR14</f>
        <v>1.4811770448575166</v>
      </c>
      <c r="AS16" s="74">
        <f>AS15-AS14</f>
        <v>1.5157494121877402</v>
      </c>
      <c r="AT16" s="74"/>
      <c r="AU16" s="74">
        <f>AU15-AU14</f>
        <v>1.4419709519861761</v>
      </c>
      <c r="AW16" s="65">
        <f>AW15-AW14</f>
        <v>1.148654575147078</v>
      </c>
      <c r="BV16" s="65">
        <f>BV15-BV14</f>
        <v>1.0158840117063037</v>
      </c>
      <c r="BW16" s="65">
        <f>BW15-BW14</f>
        <v>1.0090159922890218</v>
      </c>
      <c r="CI16" s="65">
        <f>CI15-CI14</f>
        <v>0.94166956261174395</v>
      </c>
      <c r="CN16" s="65">
        <f>CN15-CN14</f>
        <v>1.148050227234136</v>
      </c>
      <c r="CV16" s="65">
        <f>CV15-CV14</f>
        <v>0.99947594114885607</v>
      </c>
      <c r="CZ16" s="65"/>
      <c r="DD16" s="65">
        <f>DD15-DD14</f>
        <v>1.0344269714434113</v>
      </c>
      <c r="DH16" s="65">
        <f>DH15-DH14</f>
        <v>1.0601977396446158</v>
      </c>
    </row>
    <row r="18" spans="8:142" ht="13" thickBot="1"/>
    <row r="19" spans="8:142" ht="13" thickBot="1">
      <c r="H19" s="106" t="s">
        <v>407</v>
      </c>
      <c r="I19" s="109">
        <f>1.2+I14</f>
        <v>2.3212504240039156</v>
      </c>
      <c r="J19" s="109">
        <f>1.2+J14</f>
        <v>2.3205020346194951</v>
      </c>
      <c r="K19" s="109">
        <f>1.2+K14</f>
        <v>2.1671422995095737</v>
      </c>
      <c r="L19" s="109">
        <f>1.2+L14</f>
        <v>2.1987951986176171</v>
      </c>
      <c r="M19" s="109">
        <f t="shared" ref="M19:AV19" si="25">1.2+M14</f>
        <v>2.2897593985037505</v>
      </c>
      <c r="N19" s="109">
        <f t="shared" si="25"/>
        <v>2.4222880340002195</v>
      </c>
      <c r="O19" s="109">
        <f t="shared" si="25"/>
        <v>2.4373122846269863</v>
      </c>
      <c r="P19" s="109">
        <f t="shared" si="25"/>
        <v>2.4193590808753758</v>
      </c>
      <c r="Q19" s="109">
        <f t="shared" si="25"/>
        <v>2.4528159922890218</v>
      </c>
      <c r="R19" s="109">
        <f t="shared" si="25"/>
        <v>2.580814342219603</v>
      </c>
      <c r="S19" s="109">
        <f t="shared" si="25"/>
        <v>2.655912522348852</v>
      </c>
      <c r="T19" s="109">
        <f t="shared" si="25"/>
        <v>2.7063632949449143</v>
      </c>
      <c r="U19" s="109">
        <f t="shared" si="25"/>
        <v>2.8221739564709289</v>
      </c>
      <c r="V19" s="109">
        <f t="shared" si="25"/>
        <v>3.0236869862261155</v>
      </c>
      <c r="W19" s="109">
        <f t="shared" si="25"/>
        <v>3.0778459202732797</v>
      </c>
      <c r="X19" s="109">
        <f t="shared" si="25"/>
        <v>3.2754035778139574</v>
      </c>
      <c r="Y19" s="109">
        <f t="shared" si="25"/>
        <v>3.1755205409670682</v>
      </c>
      <c r="Z19" s="109">
        <f t="shared" si="25"/>
        <v>3.0394880389943761</v>
      </c>
      <c r="AA19" s="109">
        <f t="shared" si="25"/>
        <v>2.8699581489657104</v>
      </c>
      <c r="AB19" s="109">
        <f t="shared" si="25"/>
        <v>2.8150806556329093</v>
      </c>
      <c r="AC19" s="109">
        <f t="shared" si="25"/>
        <v>3.100994736158694</v>
      </c>
      <c r="AD19" s="109">
        <f t="shared" si="25"/>
        <v>3.0081720387147035</v>
      </c>
      <c r="AE19" s="109">
        <f t="shared" si="25"/>
        <v>2.9682122316889235</v>
      </c>
      <c r="AF19" s="109">
        <f t="shared" si="25"/>
        <v>2.8584150543863682</v>
      </c>
      <c r="AG19" s="109">
        <f t="shared" si="25"/>
        <v>2.819481007221551</v>
      </c>
      <c r="AH19" s="109">
        <f t="shared" si="25"/>
        <v>2.6827240129049015</v>
      </c>
      <c r="AI19" s="109">
        <f t="shared" si="25"/>
        <v>2.9057041661256333</v>
      </c>
      <c r="AJ19" s="109">
        <f t="shared" si="25"/>
        <v>2.9628929152891117</v>
      </c>
      <c r="AK19" s="109">
        <f t="shared" si="25"/>
        <v>2.854103698672553</v>
      </c>
      <c r="AL19" s="109">
        <f t="shared" si="25"/>
        <v>2.6607486241097913</v>
      </c>
      <c r="AM19" s="109">
        <f t="shared" si="25"/>
        <v>2.6116817044058447</v>
      </c>
      <c r="AN19" s="109">
        <f t="shared" si="25"/>
        <v>2.5648473945483783</v>
      </c>
      <c r="AO19" s="109">
        <f t="shared" si="25"/>
        <v>2.5423887911143961</v>
      </c>
      <c r="AP19" s="109">
        <f t="shared" si="25"/>
        <v>2.48287263501703</v>
      </c>
      <c r="AQ19" s="109">
        <f t="shared" si="25"/>
        <v>2.436131968596742</v>
      </c>
      <c r="AR19" s="109">
        <f t="shared" si="25"/>
        <v>2.4688229551424836</v>
      </c>
      <c r="AS19" s="109">
        <f t="shared" si="25"/>
        <v>2.4842505878122596</v>
      </c>
      <c r="AT19" s="109">
        <f t="shared" si="25"/>
        <v>2.5161900206758094</v>
      </c>
      <c r="AU19" s="109">
        <f t="shared" si="25"/>
        <v>2.5380290480138239</v>
      </c>
      <c r="AV19" s="109">
        <f t="shared" si="25"/>
        <v>2.5614917226844591</v>
      </c>
      <c r="AW19" s="109">
        <f>1.15+AW14</f>
        <v>2.4813454248529219</v>
      </c>
      <c r="AX19" s="109">
        <f t="shared" ref="AX19:BU19" si="26">1.15+AX14</f>
        <v>2.4569307250516896</v>
      </c>
      <c r="AY19" s="109">
        <f t="shared" si="26"/>
        <v>2.3858658709310108</v>
      </c>
      <c r="AZ19" s="109">
        <f t="shared" si="26"/>
        <v>2.3699697244224254</v>
      </c>
      <c r="BA19" s="109">
        <f t="shared" si="26"/>
        <v>2.3699697244224254</v>
      </c>
      <c r="BB19" s="109">
        <f t="shared" si="26"/>
        <v>2.3757709370037055</v>
      </c>
      <c r="BC19" s="109">
        <f t="shared" si="26"/>
        <v>2.3837826752699343</v>
      </c>
      <c r="BD19" s="109">
        <f t="shared" si="26"/>
        <v>2.4445054506227715</v>
      </c>
      <c r="BE19" s="109">
        <f t="shared" si="26"/>
        <v>2.4474060569134113</v>
      </c>
      <c r="BF19" s="109">
        <f t="shared" si="26"/>
        <v>2.4474060569134113</v>
      </c>
      <c r="BG19" s="109">
        <f t="shared" si="26"/>
        <v>2.4415183864878092</v>
      </c>
      <c r="BH19" s="109">
        <f t="shared" si="26"/>
        <v>2.4473195990690892</v>
      </c>
      <c r="BI19" s="109">
        <f t="shared" si="26"/>
        <v>2.5048849985516943</v>
      </c>
      <c r="BJ19" s="109">
        <f t="shared" si="26"/>
        <v>2.5338910614580938</v>
      </c>
      <c r="BK19" s="109">
        <f t="shared" si="26"/>
        <v>2.5425928803300137</v>
      </c>
      <c r="BL19" s="109">
        <f t="shared" si="26"/>
        <v>2.6023072005753267</v>
      </c>
      <c r="BM19" s="109">
        <f t="shared" si="26"/>
        <v>2.5849035628314869</v>
      </c>
      <c r="BN19" s="109">
        <f t="shared" si="26"/>
        <v>2.5849035628314869</v>
      </c>
      <c r="BO19" s="109">
        <f t="shared" si="26"/>
        <v>2.5040427020386149</v>
      </c>
      <c r="BP19" s="109">
        <f t="shared" si="26"/>
        <v>2.5098439146198945</v>
      </c>
      <c r="BQ19" s="109">
        <f t="shared" si="26"/>
        <v>2.5098439146198945</v>
      </c>
      <c r="BR19" s="109">
        <f t="shared" si="26"/>
        <v>2.5098439146198945</v>
      </c>
      <c r="BS19" s="109">
        <f t="shared" si="26"/>
        <v>2.4641159882936963</v>
      </c>
      <c r="BT19" s="109">
        <f t="shared" si="26"/>
        <v>2.4641159882936963</v>
      </c>
      <c r="BU19" s="109">
        <f t="shared" si="26"/>
        <v>2.4641159882936963</v>
      </c>
      <c r="BV19" s="109">
        <f>1.02+BV14</f>
        <v>2.3341159882936964</v>
      </c>
      <c r="BW19" s="109">
        <f>1.01+BW14</f>
        <v>2.350984007710978</v>
      </c>
      <c r="BX19" s="109">
        <f t="shared" ref="BX19:CH19" si="27">1.01+BX14</f>
        <v>2.3480834014203382</v>
      </c>
      <c r="BY19" s="109">
        <f t="shared" si="27"/>
        <v>2.3480834014203382</v>
      </c>
      <c r="BZ19" s="109">
        <f t="shared" si="27"/>
        <v>2.3683876454548178</v>
      </c>
      <c r="CA19" s="109">
        <f t="shared" si="27"/>
        <v>2.3683876454548178</v>
      </c>
      <c r="CB19" s="109">
        <f t="shared" si="27"/>
        <v>2.379990070617378</v>
      </c>
      <c r="CC19" s="109">
        <f t="shared" si="27"/>
        <v>2.4089961335237771</v>
      </c>
      <c r="CD19" s="109">
        <f t="shared" si="27"/>
        <v>2.4089961335237771</v>
      </c>
      <c r="CE19" s="109">
        <f t="shared" si="27"/>
        <v>2.4043493622461716</v>
      </c>
      <c r="CF19" s="109">
        <f t="shared" si="27"/>
        <v>2.4043493622461716</v>
      </c>
      <c r="CG19" s="109">
        <f t="shared" si="27"/>
        <v>2.3693241127880382</v>
      </c>
      <c r="CH19" s="109">
        <f t="shared" si="27"/>
        <v>2.3650029675279924</v>
      </c>
      <c r="CI19" s="109">
        <f>0.94+CI14</f>
        <v>2.2583304373882558</v>
      </c>
      <c r="CJ19" s="109">
        <f t="shared" ref="CJ19:EL19" si="28">0.94+CJ14</f>
        <v>2.2583304373882558</v>
      </c>
      <c r="CK19" s="109">
        <f t="shared" si="28"/>
        <v>2.2583304373882558</v>
      </c>
      <c r="CL19" s="109">
        <f t="shared" si="28"/>
        <v>2.2661485601845839</v>
      </c>
      <c r="CM19" s="109">
        <f t="shared" si="28"/>
        <v>2.2661485601845839</v>
      </c>
      <c r="CN19" s="109">
        <f t="shared" si="28"/>
        <v>2.271949772765864</v>
      </c>
      <c r="CO19" s="109">
        <f t="shared" si="28"/>
        <v>2.271949772765864</v>
      </c>
      <c r="CP19" s="109">
        <f t="shared" si="28"/>
        <v>2.271949772765864</v>
      </c>
      <c r="CQ19" s="109">
        <f t="shared" si="28"/>
        <v>2.271949772765864</v>
      </c>
      <c r="CR19" s="109">
        <f t="shared" si="28"/>
        <v>2.2780046565518344</v>
      </c>
      <c r="CS19" s="109">
        <f t="shared" si="28"/>
        <v>2.2720326048523227</v>
      </c>
      <c r="CT19" s="109">
        <f t="shared" si="28"/>
        <v>2.2778338174336028</v>
      </c>
      <c r="CU19" s="109">
        <f t="shared" si="28"/>
        <v>2.2705240588511439</v>
      </c>
      <c r="CV19" s="109">
        <f t="shared" si="28"/>
        <v>2.2705240588511439</v>
      </c>
      <c r="CW19" s="109">
        <f t="shared" si="28"/>
        <v>2.2735691021504838</v>
      </c>
      <c r="CX19" s="109">
        <f t="shared" si="28"/>
        <v>2.256165464406644</v>
      </c>
      <c r="CY19" s="109">
        <f t="shared" si="28"/>
        <v>2.2503803040442683</v>
      </c>
      <c r="CZ19" s="109">
        <f t="shared" si="28"/>
        <v>2.2503803040442683</v>
      </c>
      <c r="DA19" s="109">
        <f t="shared" si="28"/>
        <v>2.2503803040442683</v>
      </c>
      <c r="DB19" s="109">
        <f t="shared" si="28"/>
        <v>2.2503803040442683</v>
      </c>
      <c r="DC19" s="109">
        <f t="shared" si="28"/>
        <v>2.2460293946083083</v>
      </c>
      <c r="DD19" s="109">
        <f t="shared" si="28"/>
        <v>2.2155730285565887</v>
      </c>
      <c r="DE19" s="109">
        <f t="shared" si="28"/>
        <v>2.2126724222659488</v>
      </c>
      <c r="DF19" s="109">
        <f t="shared" si="28"/>
        <v>2.1662627216157095</v>
      </c>
      <c r="DG19" s="109">
        <f t="shared" si="28"/>
        <v>2.1517596901625096</v>
      </c>
      <c r="DH19" s="109">
        <f t="shared" si="28"/>
        <v>2.1198022603553843</v>
      </c>
      <c r="DI19" s="109">
        <f t="shared" si="28"/>
        <v>2.1140010477741042</v>
      </c>
      <c r="DJ19" s="109">
        <f t="shared" si="28"/>
        <v>2.1052992289021843</v>
      </c>
      <c r="DK19" s="109">
        <f t="shared" si="28"/>
        <v>2.1052992289021843</v>
      </c>
      <c r="DL19" s="109">
        <f t="shared" si="28"/>
        <v>2.1052992289021843</v>
      </c>
      <c r="DM19" s="109">
        <f t="shared" si="28"/>
        <v>2.1202837280381952</v>
      </c>
      <c r="DN19" s="109">
        <f t="shared" si="28"/>
        <v>2.065899535543414</v>
      </c>
      <c r="DO19" s="109">
        <f t="shared" si="28"/>
        <v>2.0600983229621344</v>
      </c>
      <c r="DP19" s="109">
        <f t="shared" si="28"/>
        <v>2.0600983229621344</v>
      </c>
      <c r="DQ19" s="109">
        <f t="shared" si="28"/>
        <v>2.0282278783822925</v>
      </c>
      <c r="DR19" s="109">
        <f t="shared" si="28"/>
        <v>2.0224266658010128</v>
      </c>
      <c r="DS19" s="109">
        <f t="shared" si="28"/>
        <v>2.0195260595103726</v>
      </c>
      <c r="DT19" s="109">
        <f t="shared" si="28"/>
        <v>0.94</v>
      </c>
      <c r="DU19" s="109">
        <f t="shared" si="28"/>
        <v>0.94</v>
      </c>
      <c r="DV19" s="109">
        <f t="shared" si="28"/>
        <v>0.94</v>
      </c>
      <c r="DW19" s="109">
        <f t="shared" si="28"/>
        <v>0.94</v>
      </c>
      <c r="DX19" s="109">
        <f t="shared" si="28"/>
        <v>0.94</v>
      </c>
      <c r="DY19" s="109">
        <f t="shared" si="28"/>
        <v>0.94</v>
      </c>
      <c r="DZ19" s="109">
        <f t="shared" si="28"/>
        <v>0.94</v>
      </c>
      <c r="EA19" s="109">
        <f t="shared" si="28"/>
        <v>0.94</v>
      </c>
      <c r="EB19" s="109">
        <f t="shared" si="28"/>
        <v>0.94</v>
      </c>
      <c r="EC19" s="109">
        <f t="shared" si="28"/>
        <v>0.94</v>
      </c>
      <c r="ED19" s="109">
        <f t="shared" si="28"/>
        <v>0.94</v>
      </c>
      <c r="EE19" s="109">
        <f t="shared" si="28"/>
        <v>0.94</v>
      </c>
      <c r="EF19" s="109">
        <f t="shared" si="28"/>
        <v>0.94</v>
      </c>
      <c r="EG19" s="109">
        <f t="shared" si="28"/>
        <v>0.94</v>
      </c>
      <c r="EH19" s="109">
        <f t="shared" si="28"/>
        <v>0.94</v>
      </c>
      <c r="EI19" s="109">
        <f t="shared" si="28"/>
        <v>0.94</v>
      </c>
      <c r="EJ19" s="109">
        <f t="shared" si="28"/>
        <v>0.94</v>
      </c>
      <c r="EK19" s="109">
        <f t="shared" si="28"/>
        <v>0.94</v>
      </c>
      <c r="EL19" s="109">
        <f t="shared" si="28"/>
        <v>0.94</v>
      </c>
    </row>
  </sheetData>
  <phoneticPr fontId="52" type="noConversion"/>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7"/>
  <dimension ref="A1:FH17"/>
  <sheetViews>
    <sheetView workbookViewId="0">
      <pane xSplit="9" ySplit="6" topLeftCell="J7" activePane="bottomRight" state="frozen"/>
      <selection pane="topRight" activeCell="J1" sqref="J1"/>
      <selection pane="bottomLeft" activeCell="A7" sqref="A7"/>
      <selection pane="bottomRight" activeCell="I17" sqref="I17"/>
    </sheetView>
  </sheetViews>
  <sheetFormatPr baseColWidth="10" defaultColWidth="22.6640625" defaultRowHeight="12"/>
  <cols>
    <col min="1" max="1" width="21.1640625" style="60" bestFit="1" customWidth="1"/>
    <col min="2" max="2" width="11.33203125" style="60" bestFit="1" customWidth="1"/>
    <col min="3" max="3" width="4.83203125" style="60" bestFit="1" customWidth="1"/>
    <col min="4" max="4" width="12.33203125" style="60" bestFit="1" customWidth="1"/>
    <col min="5" max="5" width="7.5" style="60" bestFit="1" customWidth="1"/>
    <col min="6" max="6" width="6.5" style="60" bestFit="1" customWidth="1"/>
    <col min="7" max="7" width="4.1640625" style="60" bestFit="1" customWidth="1"/>
    <col min="8" max="8" width="22.83203125" style="60" bestFit="1" customWidth="1"/>
    <col min="9" max="9" width="5.1640625" style="60" bestFit="1" customWidth="1"/>
    <col min="10" max="10" width="5.5" style="60" bestFit="1" customWidth="1"/>
    <col min="11" max="11" width="5.6640625" style="60" bestFit="1" customWidth="1"/>
    <col min="12" max="12" width="5.33203125" style="60" bestFit="1" customWidth="1"/>
    <col min="13" max="13" width="5.83203125" style="60" bestFit="1" customWidth="1"/>
    <col min="14" max="14" width="5.1640625" style="60" bestFit="1" customWidth="1"/>
    <col min="15" max="15" width="4.6640625" style="60" bestFit="1" customWidth="1"/>
    <col min="16" max="18" width="5.5" style="60" bestFit="1" customWidth="1"/>
    <col min="19" max="19" width="5.6640625" style="60" bestFit="1" customWidth="1"/>
    <col min="20" max="20" width="5.5" style="60" bestFit="1" customWidth="1"/>
    <col min="21" max="21" width="5.1640625" style="60" bestFit="1" customWidth="1"/>
    <col min="22" max="22" width="5.5" style="60" bestFit="1" customWidth="1"/>
    <col min="23" max="23" width="5.6640625" style="60" bestFit="1" customWidth="1"/>
    <col min="24" max="24" width="5.33203125" style="60" bestFit="1" customWidth="1"/>
    <col min="25" max="25" width="5.83203125" style="60" bestFit="1" customWidth="1"/>
    <col min="26" max="26" width="5.1640625" style="60" bestFit="1" customWidth="1"/>
    <col min="27" max="27" width="4.6640625" style="60" bestFit="1" customWidth="1"/>
    <col min="28" max="30" width="5.5" style="60" bestFit="1" customWidth="1"/>
    <col min="31" max="31" width="5.6640625" style="60" bestFit="1" customWidth="1"/>
    <col min="32" max="32" width="5.5" style="60" bestFit="1" customWidth="1"/>
    <col min="33" max="33" width="5.1640625" style="60" bestFit="1" customWidth="1"/>
    <col min="34" max="34" width="5.5" style="60" bestFit="1" customWidth="1"/>
    <col min="35" max="35" width="5.6640625" style="60" bestFit="1" customWidth="1"/>
    <col min="36" max="36" width="5.33203125" style="60" bestFit="1" customWidth="1"/>
    <col min="37" max="37" width="5.83203125" style="60" bestFit="1" customWidth="1"/>
    <col min="38" max="38" width="5.1640625" style="60" bestFit="1" customWidth="1"/>
    <col min="39" max="39" width="4.6640625" style="60" bestFit="1" customWidth="1"/>
    <col min="40" max="42" width="5.5" style="60" bestFit="1" customWidth="1"/>
    <col min="43" max="43" width="5.6640625" style="60" bestFit="1" customWidth="1"/>
    <col min="44" max="44" width="5.5" style="60" bestFit="1" customWidth="1"/>
    <col min="45" max="45" width="5.1640625" style="60" bestFit="1" customWidth="1"/>
    <col min="46" max="46" width="5.5" style="60" bestFit="1" customWidth="1"/>
    <col min="47" max="47" width="5.6640625" style="60" bestFit="1" customWidth="1"/>
    <col min="48" max="48" width="5.33203125" style="60" bestFit="1" customWidth="1"/>
    <col min="49" max="49" width="5.83203125" style="60" bestFit="1" customWidth="1"/>
    <col min="50" max="50" width="5.1640625" style="60" bestFit="1" customWidth="1"/>
    <col min="51" max="51" width="4.6640625" style="60" bestFit="1" customWidth="1"/>
    <col min="52" max="54" width="5.5" style="60" bestFit="1" customWidth="1"/>
    <col min="55" max="55" width="5.6640625" style="60" bestFit="1" customWidth="1"/>
    <col min="56" max="56" width="5.5" style="60" bestFit="1" customWidth="1"/>
    <col min="57" max="57" width="5.1640625" style="60" bestFit="1" customWidth="1"/>
    <col min="58" max="58" width="5.5" style="60" bestFit="1" customWidth="1"/>
    <col min="59" max="59" width="5.6640625" style="60" bestFit="1" customWidth="1"/>
    <col min="60" max="60" width="5.33203125" style="60" bestFit="1" customWidth="1"/>
    <col min="61" max="61" width="5.83203125" style="60" bestFit="1" customWidth="1"/>
    <col min="62" max="62" width="5.1640625" style="60" bestFit="1" customWidth="1"/>
    <col min="63" max="63" width="4.6640625" style="60" bestFit="1" customWidth="1"/>
    <col min="64" max="66" width="5.5" style="60" bestFit="1" customWidth="1"/>
    <col min="67" max="67" width="5.6640625" style="60" bestFit="1" customWidth="1"/>
    <col min="68" max="68" width="5.5" style="60" bestFit="1" customWidth="1"/>
    <col min="69" max="16384" width="22.6640625" style="60"/>
  </cols>
  <sheetData>
    <row r="1" spans="1:164" ht="26">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c r="EM1" s="99">
        <v>141</v>
      </c>
      <c r="EN1" s="99">
        <v>142</v>
      </c>
      <c r="EO1" s="99">
        <v>143</v>
      </c>
      <c r="EP1" s="99">
        <v>144</v>
      </c>
      <c r="EQ1" s="99">
        <v>145</v>
      </c>
      <c r="ER1" s="99">
        <v>146</v>
      </c>
      <c r="ES1" s="99">
        <v>147</v>
      </c>
      <c r="ET1" s="99">
        <v>148</v>
      </c>
      <c r="EU1" s="99">
        <v>149</v>
      </c>
      <c r="EV1" s="99">
        <v>150</v>
      </c>
      <c r="EW1" s="99">
        <v>151</v>
      </c>
      <c r="EX1" s="99">
        <v>152</v>
      </c>
      <c r="EY1" s="99">
        <v>153</v>
      </c>
      <c r="EZ1" s="99">
        <v>154</v>
      </c>
      <c r="FA1" s="99">
        <v>155</v>
      </c>
      <c r="FB1" s="99">
        <v>156</v>
      </c>
      <c r="FC1" s="99">
        <v>157</v>
      </c>
      <c r="FD1" s="99">
        <v>158</v>
      </c>
      <c r="FE1" s="99">
        <v>159</v>
      </c>
      <c r="FF1" s="99">
        <v>160</v>
      </c>
      <c r="FG1" s="99">
        <v>161</v>
      </c>
      <c r="FH1" s="99">
        <v>162</v>
      </c>
    </row>
    <row r="2" spans="1:164" ht="13">
      <c r="A2" s="100" t="s">
        <v>680</v>
      </c>
      <c r="B2" s="112" t="s">
        <v>681</v>
      </c>
      <c r="C2" s="101">
        <v>1</v>
      </c>
      <c r="D2" s="112">
        <v>189.67</v>
      </c>
      <c r="E2" s="60">
        <f>D2*C2</f>
        <v>189.67</v>
      </c>
      <c r="K2" s="102"/>
      <c r="M2" s="102"/>
    </row>
    <row r="3" spans="1:164" ht="13">
      <c r="A3" s="100" t="s">
        <v>682</v>
      </c>
      <c r="B3" s="64"/>
      <c r="D3" s="100"/>
      <c r="E3" s="64"/>
      <c r="F3" s="103"/>
    </row>
    <row r="4" spans="1:164">
      <c r="A4" s="64"/>
      <c r="B4" s="64"/>
      <c r="D4" s="64"/>
      <c r="E4" s="64"/>
      <c r="H4" s="60" t="s">
        <v>387</v>
      </c>
    </row>
    <row r="5" spans="1:164">
      <c r="A5" s="74"/>
      <c r="B5" s="74"/>
    </row>
    <row r="6" spans="1:164">
      <c r="A6" s="59"/>
      <c r="B6" s="59"/>
      <c r="C6" s="59"/>
      <c r="D6" s="98"/>
      <c r="E6" s="98"/>
      <c r="F6" s="59"/>
      <c r="H6" s="59" t="s">
        <v>416</v>
      </c>
      <c r="I6" s="59">
        <v>43831</v>
      </c>
      <c r="J6" s="59">
        <v>43862</v>
      </c>
      <c r="K6" s="59">
        <v>43891</v>
      </c>
      <c r="L6" s="59">
        <v>43922</v>
      </c>
      <c r="M6" s="59">
        <v>43952</v>
      </c>
      <c r="N6" s="59">
        <v>43983</v>
      </c>
      <c r="O6" s="59">
        <v>44013</v>
      </c>
      <c r="P6" s="59">
        <v>44044</v>
      </c>
      <c r="Q6" s="59">
        <v>44075</v>
      </c>
      <c r="R6" s="59">
        <v>44105</v>
      </c>
      <c r="S6" s="59">
        <v>44136</v>
      </c>
      <c r="T6" s="59">
        <v>44166</v>
      </c>
      <c r="U6" s="59">
        <v>44197</v>
      </c>
      <c r="V6" s="59">
        <v>44228</v>
      </c>
      <c r="W6" s="59">
        <v>44256</v>
      </c>
      <c r="X6" s="59">
        <v>44287</v>
      </c>
      <c r="Y6" s="59">
        <v>44317</v>
      </c>
      <c r="Z6" s="59">
        <v>44348</v>
      </c>
      <c r="AA6" s="59">
        <v>44378</v>
      </c>
      <c r="AB6" s="59">
        <v>44409</v>
      </c>
      <c r="AC6" s="59">
        <v>44440</v>
      </c>
      <c r="AD6" s="59">
        <v>44470</v>
      </c>
      <c r="AE6" s="59">
        <v>44501</v>
      </c>
      <c r="AF6" s="59">
        <v>44531</v>
      </c>
      <c r="AG6" s="59">
        <v>44562</v>
      </c>
      <c r="AH6" s="59">
        <v>44593</v>
      </c>
      <c r="AI6" s="59">
        <v>44621</v>
      </c>
      <c r="AJ6" s="59">
        <v>44652</v>
      </c>
      <c r="AK6" s="59">
        <v>44682</v>
      </c>
      <c r="AL6" s="59">
        <v>44713</v>
      </c>
      <c r="AM6" s="59">
        <v>44743</v>
      </c>
      <c r="AN6" s="59">
        <v>44774</v>
      </c>
      <c r="AO6" s="59">
        <v>44805</v>
      </c>
      <c r="AP6" s="59">
        <v>44835</v>
      </c>
      <c r="AQ6" s="59">
        <v>44866</v>
      </c>
      <c r="AR6" s="59">
        <v>44896</v>
      </c>
      <c r="AS6" s="59">
        <v>44927</v>
      </c>
      <c r="AT6" s="59">
        <v>44958</v>
      </c>
      <c r="AU6" s="59">
        <v>44986</v>
      </c>
      <c r="AV6" s="59">
        <v>45017</v>
      </c>
      <c r="AW6" s="59">
        <v>45047</v>
      </c>
      <c r="AX6" s="59">
        <v>45078</v>
      </c>
      <c r="AY6" s="59">
        <v>45108</v>
      </c>
      <c r="AZ6" s="59">
        <v>45139</v>
      </c>
      <c r="BA6" s="59">
        <v>45170</v>
      </c>
      <c r="BB6" s="59">
        <v>45200</v>
      </c>
      <c r="BC6" s="59">
        <v>45231</v>
      </c>
      <c r="BD6" s="59">
        <v>45261</v>
      </c>
      <c r="BE6" s="59">
        <v>45292</v>
      </c>
      <c r="BF6" s="59">
        <v>45323</v>
      </c>
      <c r="BG6" s="59">
        <v>45352</v>
      </c>
      <c r="BH6" s="59">
        <v>45383</v>
      </c>
      <c r="BI6" s="59">
        <v>45413</v>
      </c>
      <c r="BJ6" s="59">
        <v>45444</v>
      </c>
      <c r="BK6" s="59">
        <v>45474</v>
      </c>
      <c r="BL6" s="59">
        <v>45505</v>
      </c>
      <c r="BM6" s="59">
        <v>45536</v>
      </c>
      <c r="BN6" s="59">
        <v>45566</v>
      </c>
      <c r="BO6" s="59">
        <v>45597</v>
      </c>
      <c r="BP6" s="59">
        <v>45627</v>
      </c>
      <c r="BQ6" s="59">
        <v>45658</v>
      </c>
      <c r="BR6" s="59">
        <v>45689</v>
      </c>
      <c r="BS6" s="59">
        <v>45717</v>
      </c>
      <c r="BT6" s="59">
        <v>45748</v>
      </c>
      <c r="BU6" s="59">
        <v>45778</v>
      </c>
      <c r="BV6" s="59">
        <v>45809</v>
      </c>
      <c r="BW6" s="59">
        <v>45839</v>
      </c>
      <c r="BX6" s="59">
        <v>45870</v>
      </c>
      <c r="BY6" s="59">
        <v>45901</v>
      </c>
      <c r="BZ6" s="59">
        <v>45931</v>
      </c>
      <c r="CA6" s="59">
        <v>45962</v>
      </c>
      <c r="CB6" s="59">
        <v>45992</v>
      </c>
      <c r="CC6" s="59">
        <v>46023</v>
      </c>
      <c r="CD6" s="59">
        <v>46054</v>
      </c>
      <c r="CE6" s="59">
        <v>46082</v>
      </c>
      <c r="CF6" s="59">
        <v>46113</v>
      </c>
      <c r="CG6" s="59">
        <v>46143</v>
      </c>
      <c r="CH6" s="59">
        <v>46174</v>
      </c>
      <c r="CI6" s="59">
        <v>46204</v>
      </c>
      <c r="CJ6" s="59">
        <v>46235</v>
      </c>
      <c r="CK6" s="59">
        <v>46266</v>
      </c>
      <c r="CL6" s="59">
        <v>46296</v>
      </c>
      <c r="CM6" s="59">
        <v>46327</v>
      </c>
      <c r="CN6" s="59">
        <v>46357</v>
      </c>
      <c r="CO6" s="59">
        <v>46388</v>
      </c>
      <c r="CP6" s="59">
        <v>46419</v>
      </c>
      <c r="CQ6" s="59">
        <v>46447</v>
      </c>
      <c r="CR6" s="59">
        <v>46478</v>
      </c>
      <c r="CS6" s="59">
        <v>46508</v>
      </c>
      <c r="CT6" s="59">
        <v>46539</v>
      </c>
      <c r="CU6" s="59">
        <v>46569</v>
      </c>
      <c r="CV6" s="59">
        <v>46600</v>
      </c>
      <c r="CW6" s="59">
        <v>46631</v>
      </c>
      <c r="CX6" s="59">
        <v>46661</v>
      </c>
      <c r="CY6" s="59">
        <v>46692</v>
      </c>
      <c r="CZ6" s="59">
        <v>46722</v>
      </c>
      <c r="DA6" s="59">
        <v>46753</v>
      </c>
      <c r="DB6" s="59">
        <v>46784</v>
      </c>
      <c r="DC6" s="59">
        <v>46813</v>
      </c>
      <c r="DD6" s="59">
        <v>46844</v>
      </c>
      <c r="DE6" s="59">
        <v>46874</v>
      </c>
      <c r="DF6" s="59">
        <v>46905</v>
      </c>
      <c r="DG6" s="59">
        <v>46935</v>
      </c>
      <c r="DH6" s="59">
        <v>46966</v>
      </c>
      <c r="DI6" s="59">
        <v>46997</v>
      </c>
      <c r="DJ6" s="59">
        <v>47027</v>
      </c>
    </row>
    <row r="7" spans="1:164">
      <c r="F7" s="60" t="s">
        <v>651</v>
      </c>
      <c r="H7" s="60" t="s">
        <v>79</v>
      </c>
      <c r="I7" s="74">
        <f>VLOOKUP($H$7&amp;$F$1,'Input RM sheet'!$A:$BD,H1,0)</f>
        <v>2.5230209867466553</v>
      </c>
      <c r="J7" s="74">
        <f>VLOOKUP($H$7&amp;$F$1,'Input RM sheet'!$A:$BD,I1,0)</f>
        <v>2.5111390914826441</v>
      </c>
      <c r="K7" s="74">
        <f>VLOOKUP($H$7&amp;$F$1,'Input RM sheet'!$A:$BD,J1,0)</f>
        <v>2.4063918941798477</v>
      </c>
      <c r="L7" s="74">
        <f>VLOOKUP($H$7&amp;$F$1,'Input RM sheet'!$A:$BD,K1,0)</f>
        <v>2.5219003272078249</v>
      </c>
      <c r="M7" s="74">
        <f>VLOOKUP($H$7&amp;$F$1,'Input RM sheet'!$A:$BD,L1,0)</f>
        <v>2.5126431676562762</v>
      </c>
      <c r="N7" s="74">
        <f>VLOOKUP($H$7&amp;$F$1,'Input RM sheet'!$A:$BD,M1,0)</f>
        <v>2.4238994741421087</v>
      </c>
      <c r="O7" s="74">
        <f>VLOOKUP($H$7&amp;$F$1,'Input RM sheet'!$A:$BD,N1,0)</f>
        <v>2.3824547647009697</v>
      </c>
      <c r="P7" s="74">
        <f>VLOOKUP($H$7&amp;$F$1,'Input RM sheet'!$A:$BD,O1,0)</f>
        <v>2.3486377773652305</v>
      </c>
      <c r="Q7" s="74">
        <f>VLOOKUP($H$7&amp;$F$1,'Input RM sheet'!$A:$BD,P1,0)</f>
        <v>2.2356267269606165</v>
      </c>
      <c r="R7" s="74">
        <f>VLOOKUP($H$7&amp;$F$1,'Input RM sheet'!$A:$BD,Q1,0)</f>
        <v>2.2918030191428396</v>
      </c>
      <c r="S7" s="74">
        <f>VLOOKUP($H$7&amp;$F$1,'Input RM sheet'!$A:$BD,R1,0)</f>
        <v>2.3702676931449913</v>
      </c>
      <c r="T7" s="74">
        <f>VLOOKUP($H$7&amp;$F$1,'Input RM sheet'!$A:$BD,S1,0)</f>
        <v>2.4283729903491791</v>
      </c>
      <c r="U7" s="74">
        <f>VLOOKUP($H$7&amp;$F$1,'Input RM sheet'!$A:$BD,T1,0)</f>
        <v>2.4597391082893587</v>
      </c>
      <c r="V7" s="74">
        <f>VLOOKUP($H$7&amp;$F$1,'Input RM sheet'!$A:$BD,U1,0)</f>
        <v>2.6209824250846956</v>
      </c>
      <c r="W7" s="74">
        <f>VLOOKUP($H$7&amp;$F$1,'Input RM sheet'!$A:$BD,V1,0)</f>
        <v>2.6957836424532506</v>
      </c>
      <c r="X7" s="74">
        <f>VLOOKUP($H$7&amp;$F$1,'Input RM sheet'!$A:$BD,W1,0)</f>
        <v>2.7636021202062349</v>
      </c>
      <c r="Y7" s="74">
        <f>VLOOKUP($H$7&amp;$F$1,'Input RM sheet'!$A:$BD,X1,0)</f>
        <v>2.9446454871114525</v>
      </c>
      <c r="Z7" s="74">
        <f>VLOOKUP($H$7&amp;$F$1,'Input RM sheet'!$A:$BD,Y1,0)</f>
        <v>3.0288350046782808</v>
      </c>
      <c r="AA7" s="74">
        <f>VLOOKUP($H$7&amp;$F$1,'Input RM sheet'!$A:$BD,Z1,0)</f>
        <v>3.0472665117791649</v>
      </c>
      <c r="AB7" s="74">
        <f>VLOOKUP($H$7&amp;$F$1,'Input RM sheet'!$A:$BD,AA1,0)</f>
        <v>3.1515692029023556</v>
      </c>
      <c r="AC7" s="74">
        <f>VLOOKUP($H$7&amp;$F$1,'Input RM sheet'!$A:$BD,AB1,0)</f>
        <v>3.1562004736049403</v>
      </c>
      <c r="AD7" s="74">
        <f>VLOOKUP($H$7&amp;$F$1,'Input RM sheet'!$A:$BD,AC1,0)</f>
        <v>3.1504628282651432</v>
      </c>
      <c r="AE7" s="74">
        <f>VLOOKUP($H$7&amp;$F$1,'Input RM sheet'!$A:$BD,AD1,0)</f>
        <v>3.2539809680155418</v>
      </c>
      <c r="AF7" s="74">
        <f>VLOOKUP($H$7&amp;$F$1,'Input RM sheet'!$A:$BD,AE1,0)</f>
        <v>3.3365735650041453</v>
      </c>
      <c r="AG7" s="74">
        <f>VLOOKUP($H$7&amp;$F$1,'Input RM sheet'!$A:$BD,AF1,0)</f>
        <v>3.4106098079369156</v>
      </c>
      <c r="AH7" s="74">
        <f>VLOOKUP($H$7&amp;$F$1,'Input RM sheet'!$A:$BD,AG1,0)</f>
        <v>3.4290156935463152</v>
      </c>
      <c r="AI7" s="74">
        <f>VLOOKUP($H$7&amp;$F$1,'Input RM sheet'!$A:$BD,AH1,0)</f>
        <v>3.4197688897508653</v>
      </c>
      <c r="AJ7" s="74">
        <f>VLOOKUP($H$7&amp;$F$1,'Input RM sheet'!$A:$BD,AI1,0)</f>
        <v>3.4138437643261761</v>
      </c>
      <c r="AK7" s="74">
        <f>VLOOKUP($H$7&amp;$F$1,'Input RM sheet'!$A:$BD,AJ1,0)</f>
        <v>3.5135786527027331</v>
      </c>
      <c r="AL7" s="74">
        <f>VLOOKUP($H$7&amp;$F$1,'Input RM sheet'!$A:$BD,AK1,0)</f>
        <v>3.5479052104425635</v>
      </c>
      <c r="AM7" s="74">
        <f>VLOOKUP($H$7&amp;$F$1,'Input RM sheet'!$A:$BD,AL1,0)</f>
        <v>3.3298494746592708</v>
      </c>
      <c r="AN7" s="74">
        <f>VLOOKUP($H$7&amp;$F$1,'Input RM sheet'!$A:$BD,AM1,0)</f>
        <v>3.2718088403908077</v>
      </c>
      <c r="AO7" s="74">
        <f>VLOOKUP($H$7&amp;$F$1,'Input RM sheet'!$A:$BD,AN1,0)</f>
        <v>3.1564311991291429</v>
      </c>
      <c r="AP7" s="74">
        <f>VLOOKUP($H$7&amp;$F$1,'Input RM sheet'!$A:$BD,AO1,0)</f>
        <v>2.8645432233292776</v>
      </c>
      <c r="AQ7" s="74">
        <f>VLOOKUP($H$7&amp;$F$1,'Input RM sheet'!$A:$BD,AP1,0)</f>
        <v>2.6326033717294304</v>
      </c>
      <c r="AR7" s="74">
        <f>VLOOKUP($H$7&amp;$F$1,'Input RM sheet'!$A:$BD,AQ1,0)</f>
        <v>2.6344553120334053</v>
      </c>
      <c r="AS7" s="74">
        <f>VLOOKUP($H$7&amp;$F$1,'Input RM sheet'!$A:$BD,AR1,0)</f>
        <v>2.5822031526607323</v>
      </c>
      <c r="AT7" s="74">
        <f>VLOOKUP($H$7&amp;$F$1,'Input RM sheet'!$A:$BD,AS1,0)</f>
        <v>2.4503540662046892</v>
      </c>
      <c r="AU7" s="74">
        <f>VLOOKUP($H$7&amp;$F$1,'Input RM sheet'!$A:$BD,AT1,0)</f>
        <v>2.4858139567904036</v>
      </c>
      <c r="AV7" s="74">
        <f>VLOOKUP($H$7&amp;$F$1,'Input RM sheet'!$A:$BD,AU1,0)</f>
        <v>2.81</v>
      </c>
      <c r="AW7" s="74">
        <f>VLOOKUP($H$7&amp;$F$1,'Input RM sheet'!$A:$BD,AV1,0)</f>
        <v>2.81</v>
      </c>
      <c r="AX7" s="74">
        <f>VLOOKUP($H$7&amp;$F$1,'Input RM sheet'!$A:$BD,AW1,0)</f>
        <v>2.81</v>
      </c>
      <c r="AY7" s="74">
        <f>VLOOKUP($H$7&amp;$F$1,'Input RM sheet'!$A:$ZZ,AX1,0)</f>
        <v>2.81</v>
      </c>
      <c r="AZ7" s="74">
        <f>VLOOKUP($H$7&amp;$F$1,'Input RM sheet'!$A:$ZZ,AY1,0)</f>
        <v>2.81</v>
      </c>
      <c r="BA7" s="74">
        <f>VLOOKUP($H$7&amp;$F$1,'Input RM sheet'!$A:$ZZ,AZ1,0)</f>
        <v>2.81</v>
      </c>
      <c r="BB7" s="74">
        <f>VLOOKUP($H$7&amp;$F$1,'Input RM sheet'!$A:$ZZ,BA1,0)</f>
        <v>2.81</v>
      </c>
      <c r="BC7" s="74">
        <f>VLOOKUP($H$7&amp;$F$1,'Input RM sheet'!$A:$ZZ,BB1,0)</f>
        <v>0</v>
      </c>
      <c r="BD7" s="74">
        <f>VLOOKUP($H$7&amp;$F$1,'Input RM sheet'!$A:$ZZ,BC1,0)</f>
        <v>0</v>
      </c>
      <c r="BE7" s="74">
        <f>VLOOKUP($H$7&amp;$F$1,'Input RM sheet'!$A:$ZZ,BD1,0)</f>
        <v>0</v>
      </c>
      <c r="BF7" s="74">
        <f>VLOOKUP($H$7&amp;$F$1,'Input RM sheet'!$A:$ZZ,BE1,0)</f>
        <v>0</v>
      </c>
      <c r="BG7" s="74">
        <f>VLOOKUP($H$7&amp;$F$1,'Input RM sheet'!$A:$ZZ,BF1,0)</f>
        <v>0</v>
      </c>
      <c r="BH7" s="74">
        <f>VLOOKUP($H$7&amp;$F$1,'Input RM sheet'!$A:$ZZ,BG1,0)</f>
        <v>0</v>
      </c>
      <c r="BI7" s="74">
        <f>VLOOKUP($H$7&amp;$F$1,'Input RM sheet'!$A:$ZZ,BH1,0)</f>
        <v>0</v>
      </c>
      <c r="BJ7" s="74">
        <f>VLOOKUP($H$7&amp;$F$1,'Input RM sheet'!$A:$ZZ,BI1,0)</f>
        <v>0</v>
      </c>
      <c r="BK7" s="74">
        <f>VLOOKUP($H$7&amp;$F$1,'Input RM sheet'!$A:$ZZ,BJ1,0)</f>
        <v>0</v>
      </c>
      <c r="BL7" s="74">
        <f>VLOOKUP($H$7&amp;$F$1,'Input RM sheet'!$A:$ZZ,BK1,0)</f>
        <v>0</v>
      </c>
      <c r="BM7" s="74">
        <f>VLOOKUP($H$7&amp;$F$1,'Input RM sheet'!$A:$ZZ,BL1,0)</f>
        <v>0</v>
      </c>
      <c r="BN7" s="74">
        <f>VLOOKUP($H$7&amp;$F$1,'Input RM sheet'!$A:$ZZ,BM1,0)</f>
        <v>0</v>
      </c>
      <c r="BO7" s="74">
        <f>VLOOKUP($H$7&amp;$F$1,'Input RM sheet'!$A:$ZZ,BN1,0)</f>
        <v>0</v>
      </c>
      <c r="BP7" s="74">
        <f>VLOOKUP($H$7&amp;$F$1,'Input RM sheet'!$A:$ZZ,BO1,0)</f>
        <v>0</v>
      </c>
      <c r="BQ7" s="74">
        <f>VLOOKUP($H$7&amp;$F$1,'Input RM sheet'!$A:$ZZ,BP1,0)</f>
        <v>0</v>
      </c>
      <c r="BR7" s="74">
        <f>VLOOKUP($H$7&amp;$F$1,'Input RM sheet'!$A:$ZZ,BQ1,0)</f>
        <v>0</v>
      </c>
      <c r="BS7" s="74">
        <f>VLOOKUP($H$7&amp;$F$1,'Input RM sheet'!$A:$ZZ,BR1,0)</f>
        <v>0</v>
      </c>
      <c r="BT7" s="74">
        <f>VLOOKUP($H$7&amp;$F$1,'Input RM sheet'!$A:$ZZ,BS1,0)</f>
        <v>0</v>
      </c>
      <c r="BU7" s="74">
        <f>VLOOKUP($H$7&amp;$F$1,'Input RM sheet'!$A:$ZZ,BT1,0)</f>
        <v>0</v>
      </c>
      <c r="BV7" s="74">
        <f>VLOOKUP($H$7&amp;$F$1,'Input RM sheet'!$A:$ZZ,BU1,0)</f>
        <v>0</v>
      </c>
      <c r="BW7" s="74">
        <f>VLOOKUP($H$7&amp;$F$1,'Input RM sheet'!$A:$ZZ,BV1,0)</f>
        <v>0</v>
      </c>
      <c r="BX7" s="74">
        <f>VLOOKUP($H$7&amp;$F$1,'Input RM sheet'!$A:$ZZ,BW1,0)</f>
        <v>0</v>
      </c>
      <c r="BY7" s="74">
        <f>VLOOKUP($H$7&amp;$F$1,'Input RM sheet'!$A:$ZZ,BX1,0)</f>
        <v>0</v>
      </c>
      <c r="BZ7" s="74">
        <f>VLOOKUP($H$7&amp;$F$1,'Input RM sheet'!$A:$ZZ,BY1,0)</f>
        <v>0</v>
      </c>
      <c r="CA7" s="74">
        <f>VLOOKUP($H$7&amp;$F$1,'Input RM sheet'!$A:$ZZ,BZ1,0)</f>
        <v>0</v>
      </c>
      <c r="CB7" s="74">
        <f>VLOOKUP($H$7&amp;$F$1,'Input RM sheet'!$A:$ZZ,CA1,0)</f>
        <v>0</v>
      </c>
      <c r="CC7" s="74">
        <f>VLOOKUP($H$7&amp;$F$1,'Input RM sheet'!$A:$ZZ,CB1,0)</f>
        <v>0</v>
      </c>
      <c r="CD7" s="74">
        <f>VLOOKUP($H$7&amp;$F$1,'Input RM sheet'!$A:$ZZ,CC1,0)</f>
        <v>0</v>
      </c>
      <c r="CE7" s="74">
        <f>VLOOKUP($H$7&amp;$F$1,'Input RM sheet'!$A:$ZZ,CD1,0)</f>
        <v>0</v>
      </c>
      <c r="CF7" s="74">
        <f>VLOOKUP($H$7&amp;$F$1,'Input RM sheet'!$A:$ZZ,CE1,0)</f>
        <v>0</v>
      </c>
      <c r="CG7" s="74">
        <f>VLOOKUP($H$7&amp;$F$1,'Input RM sheet'!$A:$ZZ,CF1,0)</f>
        <v>0</v>
      </c>
      <c r="CH7" s="74">
        <f>VLOOKUP($H$7&amp;$F$1,'Input RM sheet'!$A:$ZZ,CG1,0)</f>
        <v>0</v>
      </c>
      <c r="CI7" s="74">
        <f>VLOOKUP($H$7&amp;$F$1,'Input RM sheet'!$A:$ZZ,CH1,0)</f>
        <v>0</v>
      </c>
      <c r="CJ7" s="74">
        <f>VLOOKUP($H$7&amp;$F$1,'Input RM sheet'!$A:$ZZ,CI1,0)</f>
        <v>0</v>
      </c>
      <c r="CK7" s="74">
        <f>VLOOKUP($H$7&amp;$F$1,'Input RM sheet'!$A:$ZZ,CJ1,0)</f>
        <v>0</v>
      </c>
      <c r="CL7" s="74">
        <f>VLOOKUP($H$7&amp;$F$1,'Input RM sheet'!$A:$ZZ,CK1,0)</f>
        <v>0</v>
      </c>
      <c r="CM7" s="74">
        <f>VLOOKUP($H$7&amp;$F$1,'Input RM sheet'!$A:$ZZ,CL1,0)</f>
        <v>0</v>
      </c>
      <c r="CN7" s="74">
        <f>VLOOKUP($H$7&amp;$F$1,'Input RM sheet'!$A:$ZZ,CM1,0)</f>
        <v>0</v>
      </c>
      <c r="CO7" s="74">
        <f>VLOOKUP($H$7&amp;$F$1,'Input RM sheet'!$A:$ZZ,CN1,0)</f>
        <v>0</v>
      </c>
      <c r="CP7" s="74">
        <f>VLOOKUP($H$7&amp;$F$1,'Input RM sheet'!$A:$ZZ,CO1,0)</f>
        <v>0</v>
      </c>
      <c r="CQ7" s="74">
        <f>VLOOKUP($H$7&amp;$F$1,'Input RM sheet'!$A:$ZZ,CP1,0)</f>
        <v>0</v>
      </c>
      <c r="CR7" s="74">
        <f>VLOOKUP($H$7&amp;$F$1,'Input RM sheet'!$A:$ZZ,CQ1,0)</f>
        <v>0</v>
      </c>
      <c r="CS7" s="74">
        <f>VLOOKUP($H$7&amp;$F$1,'Input RM sheet'!$A:$ZZ,CR1,0)</f>
        <v>0</v>
      </c>
      <c r="CT7" s="74">
        <f>VLOOKUP($H$7&amp;$F$1,'Input RM sheet'!$A:$ZZ,CS1,0)</f>
        <v>0</v>
      </c>
      <c r="CU7" s="74">
        <f>VLOOKUP($H$7&amp;$F$1,'Input RM sheet'!$A:$ZZ,CT1,0)</f>
        <v>0</v>
      </c>
      <c r="CV7" s="74">
        <f>VLOOKUP($H$7&amp;$F$1,'Input RM sheet'!$A:$ZZ,CU1,0)</f>
        <v>0</v>
      </c>
      <c r="CW7" s="74">
        <f>VLOOKUP($H$7&amp;$F$1,'Input RM sheet'!$A:$ZZ,CV1,0)</f>
        <v>0</v>
      </c>
      <c r="CX7" s="74">
        <f>VLOOKUP($H$7&amp;$F$1,'Input RM sheet'!$A:$ZZ,CW1,0)</f>
        <v>0</v>
      </c>
      <c r="CY7" s="74">
        <f>VLOOKUP($H$7&amp;$F$1,'Input RM sheet'!$A:$ZZ,CX1,0)</f>
        <v>0</v>
      </c>
      <c r="CZ7" s="74">
        <f>VLOOKUP($H$7&amp;$F$1,'Input RM sheet'!$A:$ZZ,CY1,0)</f>
        <v>0</v>
      </c>
      <c r="DA7" s="74">
        <f>VLOOKUP($H$7&amp;$F$1,'Input RM sheet'!$A:$ZZ,CZ1,0)</f>
        <v>0</v>
      </c>
      <c r="DB7" s="74">
        <f>VLOOKUP($H$7&amp;$F$1,'Input RM sheet'!$A:$ZZ,DA1,0)</f>
        <v>0</v>
      </c>
      <c r="DC7" s="74">
        <f>VLOOKUP($H$7&amp;$F$1,'Input RM sheet'!$A:$ZZ,DB1,0)</f>
        <v>0</v>
      </c>
      <c r="DD7" s="74">
        <f>VLOOKUP($H$7&amp;$F$1,'Input RM sheet'!$A:$ZZ,DC1,0)</f>
        <v>0</v>
      </c>
      <c r="DE7" s="74">
        <f>VLOOKUP($H$7&amp;$F$1,'Input RM sheet'!$A:$ZZ,DD1,0)</f>
        <v>0</v>
      </c>
      <c r="DF7" s="74">
        <f>VLOOKUP($H$7&amp;$F$1,'Input RM sheet'!$A:$ZZ,DE1,0)</f>
        <v>0</v>
      </c>
      <c r="DG7" s="74">
        <f>VLOOKUP($H$7&amp;$F$1,'Input RM sheet'!$A:$ZZ,DF1,0)</f>
        <v>0</v>
      </c>
      <c r="DH7" s="74">
        <f>VLOOKUP($H$7&amp;$F$1,'Input RM sheet'!$A:$ZZ,DG1,0)</f>
        <v>0</v>
      </c>
      <c r="DI7" s="74">
        <f>VLOOKUP($H$7&amp;$F$1,'Input RM sheet'!$A:$ZZ,DH1,0)</f>
        <v>0</v>
      </c>
      <c r="DJ7" s="74">
        <f>VLOOKUP($H$7&amp;$F$1,'Input RM sheet'!$A:$ZZ,DI1,0)</f>
        <v>0</v>
      </c>
    </row>
    <row r="8" spans="1:164">
      <c r="H8" s="30" t="s">
        <v>42</v>
      </c>
      <c r="I8" s="74">
        <f>VLOOKUP($H$8&amp;$F$1,'Input RM sheet'!$A:$BD,H1,0)</f>
        <v>5.6109925135332389E-2</v>
      </c>
      <c r="J8" s="74">
        <f>VLOOKUP($H$8&amp;$F$1,'Input RM sheet'!$A:$BD,I1,0)</f>
        <v>5.5903821908158395E-2</v>
      </c>
      <c r="K8" s="74">
        <f>VLOOKUP($H$8&amp;$F$1,'Input RM sheet'!$A:$BD,J1,0)</f>
        <v>5.3725164243026279E-2</v>
      </c>
      <c r="L8" s="74">
        <f>VLOOKUP($H$8&amp;$F$1,'Input RM sheet'!$A:$BD,K1,0)</f>
        <v>5.2457901878019117E-2</v>
      </c>
      <c r="M8" s="74">
        <f>VLOOKUP($H$8&amp;$F$1,'Input RM sheet'!$A:$BD,L1,0)</f>
        <v>5.2891688868735076E-2</v>
      </c>
      <c r="N8" s="74">
        <f>VLOOKUP($H$8&amp;$F$1,'Input RM sheet'!$A:$BD,M1,0)</f>
        <v>5.280815273385165E-2</v>
      </c>
      <c r="O8" s="74">
        <f>VLOOKUP($H$8&amp;$F$1,'Input RM sheet'!$A:$BD,N1,0)</f>
        <v>5.3387262505255863E-2</v>
      </c>
      <c r="P8" s="74">
        <f>VLOOKUP($H$8&amp;$F$1,'Input RM sheet'!$A:$BD,O1,0)</f>
        <v>5.362872496365681E-2</v>
      </c>
      <c r="Q8" s="74">
        <f>VLOOKUP($H$8&amp;$F$1,'Input RM sheet'!$A:$BD,P1,0)</f>
        <v>5.4396709216679211E-2</v>
      </c>
      <c r="R8" s="74">
        <f>VLOOKUP($H$8&amp;$F$1,'Input RM sheet'!$A:$BD,Q1,0)</f>
        <v>5.4409064901238764E-2</v>
      </c>
      <c r="S8" s="74">
        <f>VLOOKUP($H$8&amp;$F$1,'Input RM sheet'!$A:$BD,R1,0)</f>
        <v>5.3884974170462174E-2</v>
      </c>
      <c r="T8" s="74">
        <f>VLOOKUP($H$8&amp;$F$1,'Input RM sheet'!$A:$BD,S1,0)</f>
        <v>5.4250702377062344E-2</v>
      </c>
      <c r="U8" s="74">
        <f>VLOOKUP($H$8&amp;$F$1,'Input RM sheet'!$A:$BD,T1,0)</f>
        <v>5.4697114727198147E-2</v>
      </c>
      <c r="V8" s="74">
        <f>VLOOKUP($H$8&amp;$F$1,'Input RM sheet'!$A:$BD,U1,0)</f>
        <v>5.4945054945054944E-2</v>
      </c>
      <c r="W8" s="74">
        <f>VLOOKUP($H$8&amp;$F$1,'Input RM sheet'!$A:$BD,V1,0)</f>
        <v>5.4945054945054944E-2</v>
      </c>
      <c r="X8" s="74">
        <f>VLOOKUP($H$8&amp;$F$1,'Input RM sheet'!$A:$BD,W1,0)</f>
        <v>5.3727333781061114E-2</v>
      </c>
      <c r="Y8" s="74">
        <f>VLOOKUP($H$8&amp;$F$1,'Input RM sheet'!$A:$BD,X1,0)</f>
        <v>5.4607508532423209E-2</v>
      </c>
      <c r="Z8" s="74">
        <f>VLOOKUP($H$8&amp;$F$1,'Input RM sheet'!$A:$BD,Y1,0)</f>
        <v>5.4392167527875984E-2</v>
      </c>
      <c r="AA8" s="74">
        <f>VLOOKUP($H$8&amp;$F$1,'Input RM sheet'!$A:$BD,Z1,0)</f>
        <v>5.3669663222863276E-2</v>
      </c>
      <c r="AB8" s="74">
        <f>VLOOKUP($H$8&amp;$F$1,'Input RM sheet'!$A:$BD,AA1,0)</f>
        <v>5.3937432578209279E-2</v>
      </c>
      <c r="AC8" s="74">
        <f>VLOOKUP($H$8&amp;$F$1,'Input RM sheet'!$A:$BD,AB1,0)</f>
        <v>5.4384772263766146E-2</v>
      </c>
      <c r="AD8" s="74">
        <f>VLOOKUP($H$8&amp;$F$1,'Input RM sheet'!$A:$BD,AC1,0)</f>
        <v>5.3397410225604063E-2</v>
      </c>
      <c r="AE8" s="74">
        <f>VLOOKUP($H$8&amp;$F$1,'Input RM sheet'!$A:$BD,AD1,0)</f>
        <v>5.3712904525312209E-2</v>
      </c>
      <c r="AF8" s="74">
        <f>VLOOKUP($H$8&amp;$F$1,'Input RM sheet'!$A:$BD,AE1,0)</f>
        <v>5.3036329885971886E-2</v>
      </c>
      <c r="AG8" s="74">
        <f>VLOOKUP($H$8&amp;$F$1,'Input RM sheet'!$A:$BD,AF1,0)</f>
        <v>5.3727333781061114E-2</v>
      </c>
      <c r="AH8" s="74">
        <f>VLOOKUP($H$8&amp;$F$1,'Input RM sheet'!$A:$BD,AG1,0)</f>
        <v>5.3361792956243333E-2</v>
      </c>
      <c r="AI8" s="74">
        <f>VLOOKUP($H$8&amp;$F$1,'Input RM sheet'!$A:$BD,AH1,0)</f>
        <v>5.2486550321480127E-2</v>
      </c>
      <c r="AJ8" s="74">
        <f>VLOOKUP($H$8&amp;$F$1,'Input RM sheet'!$A:$BD,AI1,0)</f>
        <v>5.2348809277255978E-2</v>
      </c>
      <c r="AK8" s="74">
        <f>VLOOKUP($H$8&amp;$F$1,'Input RM sheet'!$A:$BD,AJ1,0)</f>
        <v>5.1733542509290222E-2</v>
      </c>
      <c r="AL8" s="74">
        <f>VLOOKUP($H$8&amp;$F$1,'Input RM sheet'!$A:$BD,AK1,0)</f>
        <v>5.123306637994781E-2</v>
      </c>
      <c r="AM8" s="74">
        <f>VLOOKUP($H$8&amp;$F$1,'Input RM sheet'!$A:$BD,AL1,0)</f>
        <v>5.0250276286786945E-2</v>
      </c>
      <c r="AN8" s="74">
        <f>VLOOKUP($H$8&amp;$F$1,'Input RM sheet'!$A:$BD,AM1,0)</f>
        <v>5.0284779467718851E-2</v>
      </c>
      <c r="AO8" s="74">
        <f>VLOOKUP($H$8&amp;$F$1,'Input RM sheet'!$A:$BD,AN1,0)</f>
        <v>4.9855696086928386E-2</v>
      </c>
      <c r="AP8" s="74">
        <f>VLOOKUP($H$8&amp;$F$1,'Input RM sheet'!$A:$BD,AO1,0)</f>
        <v>4.8578993593037967E-2</v>
      </c>
      <c r="AQ8" s="74">
        <f>VLOOKUP($H$8&amp;$F$1,'Input RM sheet'!$A:$BD,AP1,0)</f>
        <v>4.889346805967261E-2</v>
      </c>
      <c r="AR8" s="74">
        <f>VLOOKUP($H$8&amp;$F$1,'Input RM sheet'!$A:$BD,AQ1,0)</f>
        <v>4.8505889083457529E-2</v>
      </c>
      <c r="AS8" s="74">
        <f>VLOOKUP($H$8&amp;$F$1,'Input RM sheet'!$A:$BD,AR1,0)</f>
        <v>4.8840293055712705E-2</v>
      </c>
      <c r="AT8" s="74">
        <f>VLOOKUP($H$8&amp;$F$1,'Input RM sheet'!$A:$BD,AS1,0)</f>
        <v>4.870822736756994E-2</v>
      </c>
      <c r="AU8" s="74">
        <f>VLOOKUP($H$8&amp;$F$1,'Input RM sheet'!$A:$BD,AT1,0)</f>
        <v>4.870822736756994E-2</v>
      </c>
      <c r="AV8" s="74">
        <f>VLOOKUP($H$8&amp;$F$1,'Input RM sheet'!$A:$BD,AU1,0)</f>
        <v>4.870822736756994E-2</v>
      </c>
      <c r="AW8" s="74">
        <f>VLOOKUP($H$8&amp;$F$1,'Input RM sheet'!$A:$BD,AV1,0)</f>
        <v>4.870822736756994E-2</v>
      </c>
      <c r="AX8" s="74">
        <f>VLOOKUP($H$8&amp;$F$1,'Input RM sheet'!$A:$BD,AW1,0)</f>
        <v>4.8484848484848485E-2</v>
      </c>
      <c r="AY8" s="74">
        <f>VLOOKUP($H$8&amp;$F$1,'Input RM sheet'!$A:$ZZ,AX1,0)</f>
        <v>4.8520135856380396E-2</v>
      </c>
      <c r="AZ8" s="74">
        <f>VLOOKUP($H$8&amp;$F$1,'Input RM sheet'!$A:$ZZ,AY1,0)</f>
        <v>4.8673643222195175E-2</v>
      </c>
      <c r="BA8" s="74">
        <f>VLOOKUP($H$8&amp;$F$1,'Input RM sheet'!$A:$ZZ,AZ1,0)</f>
        <v>4.8828125E-2</v>
      </c>
      <c r="BB8" s="74">
        <f>VLOOKUP($H$8&amp;$F$1,'Input RM sheet'!$A:$ZZ,BA1,0)</f>
        <v>4.8626306831996105E-2</v>
      </c>
      <c r="BC8" s="74">
        <f>VLOOKUP($H$8&amp;$F$1,'Input RM sheet'!$A:$ZZ,BB1,0)</f>
        <v>4.8291681757817215E-2</v>
      </c>
      <c r="BD8" s="74">
        <f>VLOOKUP($H$8&amp;$F$1,'Input RM sheet'!$A:$ZZ,BC1,0)</f>
        <v>4.8048048048048048E-2</v>
      </c>
      <c r="BE8" s="74">
        <f>VLOOKUP($H$8&amp;$F$1,'Input RM sheet'!$A:$ZZ,BD1,0)</f>
        <v>4.8048048048048048E-2</v>
      </c>
      <c r="BF8" s="74">
        <f>VLOOKUP($H$8&amp;$F$1,'Input RM sheet'!$A:$ZZ,BE1,0)</f>
        <v>4.8396854204476702E-2</v>
      </c>
      <c r="BG8" s="74">
        <f>VLOOKUP($H$8&amp;$F$1,'Input RM sheet'!$A:$ZZ,BF1,0)</f>
        <v>4.8163756773028296E-2</v>
      </c>
      <c r="BH8" s="74">
        <f>VLOOKUP($H$8&amp;$F$1,'Input RM sheet'!$A:$ZZ,BG1,0)</f>
        <v>4.8227634434530986E-2</v>
      </c>
      <c r="BI8" s="74">
        <f>VLOOKUP($H$8&amp;$F$1,'Input RM sheet'!$A:$ZZ,BH1,0)</f>
        <v>4.8233449897503916E-2</v>
      </c>
      <c r="BJ8" s="74">
        <f>VLOOKUP($H$8&amp;$F$1,'Input RM sheet'!$A:$ZZ,BI1,0)</f>
        <v>4.8042277203939464E-2</v>
      </c>
      <c r="BK8" s="74">
        <f>VLOOKUP($H$8&amp;$F$1,'Input RM sheet'!$A:$ZZ,BJ1,0)</f>
        <v>4.8065368901706318E-2</v>
      </c>
      <c r="BL8" s="74">
        <f>VLOOKUP($H$8&amp;$F$1,'Input RM sheet'!$A:$ZZ,BK1,0)</f>
        <v>4.8048048048048048E-2</v>
      </c>
      <c r="BM8" s="74">
        <f>VLOOKUP($H$8&amp;$F$1,'Input RM sheet'!$A:$ZZ,BL1,0)</f>
        <v>4.8123195380173241E-2</v>
      </c>
      <c r="BN8" s="74">
        <f>VLOOKUP($H$8&amp;$F$1,'Input RM sheet'!$A:$ZZ,BM1,0)</f>
        <v>4.8042277203939464E-2</v>
      </c>
      <c r="BO8" s="74">
        <f>VLOOKUP($H$8&amp;$F$1,'Input RM sheet'!$A:$ZZ,BN1,0)</f>
        <v>4.8065368901706318E-2</v>
      </c>
      <c r="BP8" s="74">
        <f>VLOOKUP($H$8&amp;$F$1,'Input RM sheet'!$A:$ZZ,BO1,0)</f>
        <v>4.808270224786633E-2</v>
      </c>
      <c r="BQ8" s="74">
        <f>VLOOKUP($H$8&amp;$F$1,'Input RM sheet'!$A:$ZZ,BP1,0)</f>
        <v>4.808270224786633E-2</v>
      </c>
      <c r="BR8" s="74">
        <f>VLOOKUP($H$8&amp;$F$1,'Input RM sheet'!$A:$ZZ,BQ1,0)</f>
        <v>4.8001920076803074E-2</v>
      </c>
      <c r="BS8" s="74">
        <f>VLOOKUP($H$8&amp;$F$1,'Input RM sheet'!$A:$ZZ,BR1,0)</f>
        <v>4.7961630695443645E-2</v>
      </c>
      <c r="BT8" s="74">
        <f>VLOOKUP($H$8&amp;$F$1,'Input RM sheet'!$A:$ZZ,BS1,0)</f>
        <v>4.7984644913627639E-2</v>
      </c>
      <c r="BU8" s="74">
        <f>VLOOKUP($H$8&amp;$F$1,'Input RM sheet'!$A:$ZZ,BT1,0)</f>
        <v>4.8053820278712162E-2</v>
      </c>
      <c r="BV8" s="74">
        <f>VLOOKUP($H$8&amp;$F$1,'Input RM sheet'!$A:$ZZ,BU1,0)</f>
        <v>4.8007681228996645E-2</v>
      </c>
      <c r="BW8" s="74">
        <f>VLOOKUP($H$8&amp;$F$1,'Input RM sheet'!$A:$ZZ,BV1,0)</f>
        <v>4.8111618955977868E-2</v>
      </c>
      <c r="BX8" s="74">
        <f>VLOOKUP($H$8&amp;$F$1,'Input RM sheet'!$A:$ZZ,BW1,0)</f>
        <v>4.8105832832230903E-2</v>
      </c>
      <c r="BY8" s="74">
        <f>VLOOKUP($H$8&amp;$F$1,'Input RM sheet'!$A:$ZZ,BX1,0)</f>
        <v>4.8048048048048048E-2</v>
      </c>
      <c r="BZ8" s="74">
        <f>VLOOKUP($H$8&amp;$F$1,'Input RM sheet'!$A:$ZZ,BY1,0)</f>
        <v>4.8157958102576448E-2</v>
      </c>
      <c r="CA8" s="74">
        <f>VLOOKUP($H$8&amp;$F$1,'Input RM sheet'!$A:$ZZ,BZ1,0)</f>
        <v>4.8192771084337352E-2</v>
      </c>
      <c r="CB8" s="74">
        <f>VLOOKUP($H$8&amp;$F$1,'Input RM sheet'!$A:$ZZ,CA1,0)</f>
        <v>4.8186965425852303E-2</v>
      </c>
      <c r="CC8" s="74">
        <f>VLOOKUP($H$8&amp;$F$1,'Input RM sheet'!$A:$ZZ,CB1,0)</f>
        <v>4.8250904704463207E-2</v>
      </c>
      <c r="CD8" s="74">
        <f>VLOOKUP($H$8&amp;$F$1,'Input RM sheet'!$A:$ZZ,CC1,0)</f>
        <v>4.8250904704463207E-2</v>
      </c>
      <c r="CE8" s="74">
        <f>VLOOKUP($H$8&amp;$F$1,'Input RM sheet'!$A:$ZZ,CD1,0)</f>
        <v>4.8367593712212817E-2</v>
      </c>
      <c r="CF8" s="74">
        <f>VLOOKUP($H$8&amp;$F$1,'Input RM sheet'!$A:$ZZ,CE1,0)</f>
        <v>4.8332527791203478E-2</v>
      </c>
      <c r="CG8" s="74">
        <f>VLOOKUP($H$8&amp;$F$1,'Input RM sheet'!$A:$ZZ,CF1,0)</f>
        <v>4.8042277203939464E-2</v>
      </c>
      <c r="CH8" s="74">
        <f>VLOOKUP($H$8&amp;$F$1,'Input RM sheet'!$A:$ZZ,CG1,0)</f>
        <v>4.7967382180117521E-2</v>
      </c>
      <c r="CI8" s="74">
        <f>VLOOKUP($H$8&amp;$F$1,'Input RM sheet'!$A:$ZZ,CH1,0)</f>
        <v>4.8071145295036657E-2</v>
      </c>
      <c r="CJ8" s="74">
        <f>VLOOKUP($H$8&amp;$F$1,'Input RM sheet'!$A:$ZZ,CI1,0)</f>
        <v>4.7961630695443645E-2</v>
      </c>
      <c r="CK8" s="74">
        <f>VLOOKUP($H$8&amp;$F$1,'Input RM sheet'!$A:$ZZ,CJ1,0)</f>
        <v>4.7841167324482715E-2</v>
      </c>
      <c r="CL8" s="74">
        <f>VLOOKUP($H$8&amp;$F$1,'Input RM sheet'!$A:$ZZ,CK1,0)</f>
        <v>4.7950131862862622E-2</v>
      </c>
      <c r="CM8" s="74">
        <f>VLOOKUP($H$8&amp;$F$1,'Input RM sheet'!$A:$ZZ,CL1,0)</f>
        <v>4.790419161676647E-2</v>
      </c>
      <c r="CN8" s="74">
        <f>VLOOKUP($H$8&amp;$F$1,'Input RM sheet'!$A:$ZZ,CM1,0)</f>
        <v>4.799040191961608E-2</v>
      </c>
      <c r="CO8" s="74">
        <f>VLOOKUP($H$8&amp;$F$1,'Input RM sheet'!$A:$ZZ,CN1,0)</f>
        <v>4.799040191961608E-2</v>
      </c>
      <c r="CP8" s="74">
        <f>VLOOKUP($H$8&amp;$F$1,'Input RM sheet'!$A:$ZZ,CO1,0)</f>
        <v>4.799040191961608E-2</v>
      </c>
      <c r="CQ8" s="74">
        <f>VLOOKUP($H$8&amp;$F$1,'Input RM sheet'!$A:$ZZ,CP1,0)</f>
        <v>4.799040191961608E-2</v>
      </c>
      <c r="CR8" s="74">
        <f>VLOOKUP($H$8&amp;$F$1,'Input RM sheet'!$A:$ZZ,CQ1,0)</f>
        <v>4.7681487662415069E-2</v>
      </c>
      <c r="CS8" s="74">
        <f>VLOOKUP($H$8&amp;$F$1,'Input RM sheet'!$A:$ZZ,CR1,0)</f>
        <v>4.7961630695443645E-2</v>
      </c>
      <c r="CT8" s="74">
        <f>VLOOKUP($H$8&amp;$F$1,'Input RM sheet'!$A:$ZZ,CS1,0)</f>
        <v>4.790419161676647E-2</v>
      </c>
      <c r="CU8" s="74">
        <f>VLOOKUP($H$8&amp;$F$1,'Input RM sheet'!$A:$ZZ,CT1,0)</f>
        <v>4.7932893948472138E-2</v>
      </c>
      <c r="CV8" s="74">
        <f>VLOOKUP($H$8&amp;$F$1,'Input RM sheet'!$A:$ZZ,CU1,0)</f>
        <v>4.7921408889421348E-2</v>
      </c>
      <c r="CW8" s="74">
        <f>VLOOKUP($H$8&amp;$F$1,'Input RM sheet'!$A:$ZZ,CV1,0)</f>
        <v>4.7875523638539801E-2</v>
      </c>
      <c r="CX8" s="74">
        <f>VLOOKUP($H$8&amp;$F$1,'Input RM sheet'!$A:$ZZ,CW1,0)</f>
        <v>4.7789725209080043E-2</v>
      </c>
      <c r="CY8" s="74">
        <f>VLOOKUP($H$8&amp;$F$1,'Input RM sheet'!$A:$ZZ,CX1,0)</f>
        <v>4.7772602412516421E-2</v>
      </c>
      <c r="CZ8" s="74">
        <f>VLOOKUP($H$8&amp;$F$1,'Input RM sheet'!$A:$ZZ,CY1,0)</f>
        <v>4.7647409172126266E-2</v>
      </c>
      <c r="DA8" s="74">
        <f>VLOOKUP($H$8&amp;$F$1,'Input RM sheet'!$A:$ZZ,CZ1,0)</f>
        <v>4.7641734159123393E-2</v>
      </c>
      <c r="DB8" s="74">
        <f>VLOOKUP($H$8&amp;$F$1,'Input RM sheet'!$A:$ZZ,DA1,0)</f>
        <v>4.7675804529201428E-2</v>
      </c>
      <c r="DC8" s="74">
        <f>VLOOKUP($H$8&amp;$F$1,'Input RM sheet'!$A:$ZZ,DB1,0)</f>
        <v>4.7681487662415069E-2</v>
      </c>
      <c r="DD8" s="74">
        <f>VLOOKUP($H$8&amp;$F$1,'Input RM sheet'!$A:$ZZ,DC1,0)</f>
        <v>4.7641734159123393E-2</v>
      </c>
      <c r="DE8" s="74">
        <f>VLOOKUP($H$8&amp;$F$1,'Input RM sheet'!$A:$ZZ,DD1,0)</f>
        <v>4.7641734159123393E-2</v>
      </c>
      <c r="DF8" s="74">
        <f>VLOOKUP($H$8&amp;$F$1,'Input RM sheet'!$A:$ZZ,DE1,0)</f>
        <v>4.7858339315625748E-2</v>
      </c>
      <c r="DG8" s="74">
        <f>VLOOKUP($H$8&amp;$F$1,'Input RM sheet'!$A:$ZZ,DF1,0)</f>
        <v>4.7812574707147983E-2</v>
      </c>
      <c r="DH8" s="74">
        <f>VLOOKUP($H$8&amp;$F$1,'Input RM sheet'!$A:$ZZ,DG1,0)</f>
        <v>4.7636060497796832E-2</v>
      </c>
      <c r="DI8" s="74">
        <f>VLOOKUP($H$8&amp;$F$1,'Input RM sheet'!$A:$ZZ,DH1,0)</f>
        <v>4.7579398120613778E-2</v>
      </c>
      <c r="DJ8" s="74">
        <f>VLOOKUP($H$8&amp;$F$1,'Input RM sheet'!$A:$ZZ,DI1,0)</f>
        <v>4.7579398120613778E-2</v>
      </c>
    </row>
    <row r="9" spans="1:164" ht="26">
      <c r="A9" s="59" t="s">
        <v>395</v>
      </c>
      <c r="B9" s="59"/>
      <c r="C9" s="59" t="s">
        <v>379</v>
      </c>
      <c r="D9" s="98" t="s">
        <v>380</v>
      </c>
      <c r="E9" s="98" t="s">
        <v>381</v>
      </c>
      <c r="F9" s="59" t="s">
        <v>396</v>
      </c>
      <c r="H9" s="60" t="s">
        <v>399</v>
      </c>
      <c r="I9" s="84"/>
      <c r="J9" s="84"/>
      <c r="K9" s="84"/>
      <c r="L9" s="84"/>
      <c r="M9" s="84"/>
      <c r="N9" s="84"/>
      <c r="O9" s="84"/>
      <c r="P9" s="84"/>
      <c r="Q9" s="84"/>
      <c r="R9" s="84"/>
      <c r="S9" s="84"/>
      <c r="T9" s="84"/>
      <c r="U9" s="84"/>
      <c r="V9" s="84"/>
      <c r="W9" s="84"/>
      <c r="X9" s="84"/>
      <c r="Y9" s="84"/>
      <c r="Z9" s="84"/>
      <c r="AA9" s="84"/>
      <c r="AB9" s="84"/>
      <c r="AC9" s="84"/>
      <c r="AD9" s="84"/>
      <c r="AE9" s="84"/>
      <c r="AF9" s="84"/>
      <c r="AG9" s="84"/>
      <c r="AH9" s="84"/>
      <c r="AI9" s="84"/>
      <c r="AJ9" s="84"/>
      <c r="AK9" s="84"/>
      <c r="AL9" s="84"/>
      <c r="AM9" s="84"/>
      <c r="AN9" s="84"/>
      <c r="AO9" s="84"/>
      <c r="AP9" s="84"/>
      <c r="AQ9" s="84"/>
      <c r="AR9" s="84"/>
      <c r="AS9" s="84"/>
      <c r="AT9" s="84"/>
      <c r="AU9" s="84"/>
    </row>
    <row r="10" spans="1:164" ht="13">
      <c r="A10" s="107" t="s">
        <v>397</v>
      </c>
      <c r="B10" s="100" t="s">
        <v>79</v>
      </c>
      <c r="C10" s="60">
        <v>1</v>
      </c>
      <c r="D10" s="60">
        <v>79.866</v>
      </c>
      <c r="E10" s="60">
        <f>D10*C10</f>
        <v>79.866</v>
      </c>
      <c r="F10" s="65">
        <f>E10/E2</f>
        <v>0.42107871566404809</v>
      </c>
      <c r="I10" s="74">
        <f>$F$10*I7</f>
        <v>1.0623904366927208</v>
      </c>
      <c r="J10" s="74">
        <f>$F$10*J7</f>
        <v>1.0573872234952963</v>
      </c>
      <c r="K10" s="74">
        <f>$F$10*K7</f>
        <v>1.0132804081856261</v>
      </c>
      <c r="L10" s="74">
        <f>$F$10*L7</f>
        <v>1.0619185508134135</v>
      </c>
      <c r="M10" s="74">
        <f t="shared" ref="M10:AU10" si="0">$F$10*M7</f>
        <v>1.0580205579587503</v>
      </c>
      <c r="N10" s="74">
        <f t="shared" si="0"/>
        <v>1.0206524774705206</v>
      </c>
      <c r="O10" s="74">
        <f t="shared" si="0"/>
        <v>1.0032009924479761</v>
      </c>
      <c r="P10" s="74">
        <f t="shared" si="0"/>
        <v>0.98896137885301572</v>
      </c>
      <c r="Q10" s="74">
        <f t="shared" si="0"/>
        <v>0.94137483089279594</v>
      </c>
      <c r="R10" s="74">
        <f t="shared" si="0"/>
        <v>0.96502947185565469</v>
      </c>
      <c r="S10" s="74">
        <f t="shared" si="0"/>
        <v>0.99806927600947892</v>
      </c>
      <c r="T10" s="74">
        <f t="shared" si="0"/>
        <v>1.0225361799294961</v>
      </c>
      <c r="U10" s="74">
        <f t="shared" si="0"/>
        <v>1.035743784587114</v>
      </c>
      <c r="V10" s="74">
        <f t="shared" si="0"/>
        <v>1.1036399133327057</v>
      </c>
      <c r="W10" s="74">
        <f t="shared" si="0"/>
        <v>1.1351371138723643</v>
      </c>
      <c r="X10" s="74">
        <f t="shared" si="0"/>
        <v>1.1636940313828816</v>
      </c>
      <c r="Y10" s="74">
        <f t="shared" si="0"/>
        <v>1.2399275397988256</v>
      </c>
      <c r="Z10" s="74">
        <f t="shared" si="0"/>
        <v>1.2753779537282415</v>
      </c>
      <c r="AA10" s="74">
        <f t="shared" si="0"/>
        <v>1.2831390690660347</v>
      </c>
      <c r="AB10" s="74">
        <f t="shared" si="0"/>
        <v>1.3270587122844917</v>
      </c>
      <c r="AC10" s="74">
        <f t="shared" si="0"/>
        <v>1.3290088418038286</v>
      </c>
      <c r="AD10" s="74">
        <f t="shared" si="0"/>
        <v>1.3265928414732111</v>
      </c>
      <c r="AE10" s="74">
        <f t="shared" si="0"/>
        <v>1.3701821268072403</v>
      </c>
      <c r="AF10" s="74">
        <f t="shared" si="0"/>
        <v>1.4049601114705597</v>
      </c>
      <c r="AG10" s="74">
        <f t="shared" si="0"/>
        <v>1.436135197557282</v>
      </c>
      <c r="AH10" s="74">
        <f t="shared" si="0"/>
        <v>1.4438855242303474</v>
      </c>
      <c r="AI10" s="74">
        <f t="shared" si="0"/>
        <v>1.4399918919641621</v>
      </c>
      <c r="AJ10" s="74">
        <f t="shared" si="0"/>
        <v>1.4374969477601856</v>
      </c>
      <c r="AK10" s="74">
        <f t="shared" si="0"/>
        <v>1.4794931864646832</v>
      </c>
      <c r="AL10" s="74">
        <f t="shared" si="0"/>
        <v>1.4939473693109389</v>
      </c>
      <c r="AM10" s="74">
        <f t="shared" si="0"/>
        <v>1.4021287401441309</v>
      </c>
      <c r="AN10" s="74">
        <f t="shared" si="0"/>
        <v>1.3776890644100397</v>
      </c>
      <c r="AO10" s="74">
        <f t="shared" si="0"/>
        <v>1.3291059954112308</v>
      </c>
      <c r="AP10" s="74">
        <f t="shared" si="0"/>
        <v>1.2061981814436447</v>
      </c>
      <c r="AQ10" s="74">
        <f t="shared" si="0"/>
        <v>1.1085332466206712</v>
      </c>
      <c r="AR10" s="74">
        <f t="shared" si="0"/>
        <v>1.1093130592653553</v>
      </c>
      <c r="AS10" s="74">
        <f t="shared" si="0"/>
        <v>1.087310787106037</v>
      </c>
      <c r="AT10" s="74">
        <f t="shared" si="0"/>
        <v>1.0317919431196483</v>
      </c>
      <c r="AU10" s="74">
        <f t="shared" si="0"/>
        <v>1.0467233483050686</v>
      </c>
      <c r="AV10" s="74">
        <f t="shared" ref="AV10:BC10" si="1">$F$10*AV7</f>
        <v>1.1832311910159752</v>
      </c>
      <c r="AW10" s="74">
        <f t="shared" si="1"/>
        <v>1.1832311910159752</v>
      </c>
      <c r="AX10" s="74">
        <f t="shared" si="1"/>
        <v>1.1832311910159752</v>
      </c>
      <c r="AY10" s="74">
        <f t="shared" si="1"/>
        <v>1.1832311910159752</v>
      </c>
      <c r="AZ10" s="74">
        <f t="shared" si="1"/>
        <v>1.1832311910159752</v>
      </c>
      <c r="BA10" s="74">
        <f t="shared" si="1"/>
        <v>1.1832311910159752</v>
      </c>
      <c r="BB10" s="74">
        <f t="shared" si="1"/>
        <v>1.1832311910159752</v>
      </c>
      <c r="BC10" s="74">
        <f t="shared" si="1"/>
        <v>0</v>
      </c>
      <c r="BD10" s="74">
        <f t="shared" ref="BD10:BK10" si="2">$F$10*BD7</f>
        <v>0</v>
      </c>
      <c r="BE10" s="74">
        <f t="shared" si="2"/>
        <v>0</v>
      </c>
      <c r="BF10" s="74">
        <f t="shared" si="2"/>
        <v>0</v>
      </c>
      <c r="BG10" s="74">
        <f t="shared" si="2"/>
        <v>0</v>
      </c>
      <c r="BH10" s="74">
        <f t="shared" si="2"/>
        <v>0</v>
      </c>
      <c r="BI10" s="74">
        <f t="shared" si="2"/>
        <v>0</v>
      </c>
      <c r="BJ10" s="74">
        <f t="shared" si="2"/>
        <v>0</v>
      </c>
      <c r="BK10" s="74">
        <f t="shared" si="2"/>
        <v>0</v>
      </c>
      <c r="BL10" s="74">
        <f>$F$10*BL7</f>
        <v>0</v>
      </c>
      <c r="BM10" s="74">
        <f>$F$10*BM7</f>
        <v>0</v>
      </c>
      <c r="BN10" s="74">
        <f>$F$10*BN7</f>
        <v>0</v>
      </c>
      <c r="BO10" s="74">
        <f>$F$10*BO7</f>
        <v>0</v>
      </c>
      <c r="BP10" s="74">
        <f>$F$10*BP7</f>
        <v>0</v>
      </c>
      <c r="BQ10" s="74">
        <f t="shared" ref="BQ10:DJ10" si="3">$F$10*BQ7</f>
        <v>0</v>
      </c>
      <c r="BR10" s="74">
        <f t="shared" si="3"/>
        <v>0</v>
      </c>
      <c r="BS10" s="74">
        <f t="shared" si="3"/>
        <v>0</v>
      </c>
      <c r="BT10" s="74">
        <f t="shared" si="3"/>
        <v>0</v>
      </c>
      <c r="BU10" s="74">
        <f t="shared" si="3"/>
        <v>0</v>
      </c>
      <c r="BV10" s="74">
        <f t="shared" si="3"/>
        <v>0</v>
      </c>
      <c r="BW10" s="74">
        <f t="shared" si="3"/>
        <v>0</v>
      </c>
      <c r="BX10" s="74">
        <f t="shared" si="3"/>
        <v>0</v>
      </c>
      <c r="BY10" s="74">
        <f t="shared" si="3"/>
        <v>0</v>
      </c>
      <c r="BZ10" s="74">
        <f t="shared" si="3"/>
        <v>0</v>
      </c>
      <c r="CA10" s="74">
        <f t="shared" si="3"/>
        <v>0</v>
      </c>
      <c r="CB10" s="74">
        <f t="shared" si="3"/>
        <v>0</v>
      </c>
      <c r="CC10" s="74">
        <f t="shared" si="3"/>
        <v>0</v>
      </c>
      <c r="CD10" s="74">
        <f t="shared" si="3"/>
        <v>0</v>
      </c>
      <c r="CE10" s="74">
        <f t="shared" si="3"/>
        <v>0</v>
      </c>
      <c r="CF10" s="74">
        <f t="shared" si="3"/>
        <v>0</v>
      </c>
      <c r="CG10" s="74">
        <f t="shared" si="3"/>
        <v>0</v>
      </c>
      <c r="CH10" s="74">
        <f t="shared" si="3"/>
        <v>0</v>
      </c>
      <c r="CI10" s="74">
        <f t="shared" si="3"/>
        <v>0</v>
      </c>
      <c r="CJ10" s="74">
        <f t="shared" si="3"/>
        <v>0</v>
      </c>
      <c r="CK10" s="74">
        <f t="shared" si="3"/>
        <v>0</v>
      </c>
      <c r="CL10" s="74">
        <f t="shared" si="3"/>
        <v>0</v>
      </c>
      <c r="CM10" s="74">
        <f t="shared" si="3"/>
        <v>0</v>
      </c>
      <c r="CN10" s="74">
        <f t="shared" si="3"/>
        <v>0</v>
      </c>
      <c r="CO10" s="74">
        <f t="shared" si="3"/>
        <v>0</v>
      </c>
      <c r="CP10" s="74">
        <f t="shared" si="3"/>
        <v>0</v>
      </c>
      <c r="CQ10" s="74">
        <f t="shared" si="3"/>
        <v>0</v>
      </c>
      <c r="CR10" s="74">
        <f t="shared" si="3"/>
        <v>0</v>
      </c>
      <c r="CS10" s="74">
        <f t="shared" si="3"/>
        <v>0</v>
      </c>
      <c r="CT10" s="74">
        <f t="shared" si="3"/>
        <v>0</v>
      </c>
      <c r="CU10" s="74">
        <f t="shared" si="3"/>
        <v>0</v>
      </c>
      <c r="CV10" s="74">
        <f t="shared" si="3"/>
        <v>0</v>
      </c>
      <c r="CW10" s="74">
        <f t="shared" si="3"/>
        <v>0</v>
      </c>
      <c r="CX10" s="74">
        <f t="shared" si="3"/>
        <v>0</v>
      </c>
      <c r="CY10" s="74">
        <f t="shared" si="3"/>
        <v>0</v>
      </c>
      <c r="CZ10" s="74">
        <f t="shared" si="3"/>
        <v>0</v>
      </c>
      <c r="DA10" s="74">
        <f t="shared" si="3"/>
        <v>0</v>
      </c>
      <c r="DB10" s="74">
        <f t="shared" si="3"/>
        <v>0</v>
      </c>
      <c r="DC10" s="74">
        <f t="shared" si="3"/>
        <v>0</v>
      </c>
      <c r="DD10" s="74">
        <f t="shared" si="3"/>
        <v>0</v>
      </c>
      <c r="DE10" s="74">
        <f t="shared" si="3"/>
        <v>0</v>
      </c>
      <c r="DF10" s="74">
        <f t="shared" si="3"/>
        <v>0</v>
      </c>
      <c r="DG10" s="74">
        <f t="shared" si="3"/>
        <v>0</v>
      </c>
      <c r="DH10" s="74">
        <f t="shared" si="3"/>
        <v>0</v>
      </c>
      <c r="DI10" s="74">
        <f t="shared" si="3"/>
        <v>0</v>
      </c>
      <c r="DJ10" s="74">
        <f t="shared" si="3"/>
        <v>0</v>
      </c>
    </row>
    <row r="11" spans="1:164" ht="13">
      <c r="A11" s="67"/>
      <c r="B11" s="100" t="s">
        <v>683</v>
      </c>
      <c r="C11" s="60">
        <v>1</v>
      </c>
      <c r="D11" s="64">
        <v>70.900000000000006</v>
      </c>
      <c r="E11" s="60">
        <f>D11*C11</f>
        <v>70.900000000000006</v>
      </c>
      <c r="F11" s="65">
        <f>E11/E2</f>
        <v>0.37380713871460963</v>
      </c>
      <c r="I11" s="74">
        <f>$F$11*I8</f>
        <v>2.0974290568329557E-2</v>
      </c>
      <c r="J11" s="74">
        <f>$F$11*J8</f>
        <v>2.0897247710699798E-2</v>
      </c>
      <c r="K11" s="74">
        <f>$F$11*K8</f>
        <v>2.0082849922658109E-2</v>
      </c>
      <c r="L11" s="74">
        <f>$F$11*L8</f>
        <v>1.9609138203994073E-2</v>
      </c>
      <c r="M11" s="74">
        <f t="shared" ref="M11:AU11" si="4">$F$11*M8</f>
        <v>1.9771290877805228E-2</v>
      </c>
      <c r="N11" s="74">
        <f t="shared" si="4"/>
        <v>1.9740064474245176E-2</v>
      </c>
      <c r="O11" s="74">
        <f t="shared" si="4"/>
        <v>1.9956539840895456E-2</v>
      </c>
      <c r="P11" s="74">
        <f t="shared" si="4"/>
        <v>2.0046800231577309E-2</v>
      </c>
      <c r="Q11" s="74">
        <f t="shared" si="4"/>
        <v>2.0333878227777491E-2</v>
      </c>
      <c r="R11" s="74">
        <f t="shared" si="4"/>
        <v>2.0338496870869558E-2</v>
      </c>
      <c r="S11" s="74">
        <f t="shared" si="4"/>
        <v>2.0142588014371111E-2</v>
      </c>
      <c r="T11" s="74">
        <f t="shared" si="4"/>
        <v>2.0279299828827545E-2</v>
      </c>
      <c r="U11" s="74">
        <f t="shared" si="4"/>
        <v>2.0446171952118675E-2</v>
      </c>
      <c r="V11" s="74">
        <f t="shared" si="4"/>
        <v>2.0538853775528002E-2</v>
      </c>
      <c r="W11" s="74">
        <f t="shared" si="4"/>
        <v>2.0538853775528002E-2</v>
      </c>
      <c r="X11" s="74">
        <f t="shared" si="4"/>
        <v>2.0083660911463245E-2</v>
      </c>
      <c r="Y11" s="74">
        <f t="shared" si="4"/>
        <v>2.041267651683875E-2</v>
      </c>
      <c r="Z11" s="74">
        <f t="shared" si="4"/>
        <v>2.0332180512081025E-2</v>
      </c>
      <c r="AA11" s="74">
        <f t="shared" si="4"/>
        <v>2.0062103245115235E-2</v>
      </c>
      <c r="AB11" s="74">
        <f t="shared" si="4"/>
        <v>2.0162197341672582E-2</v>
      </c>
      <c r="AC11" s="74">
        <f t="shared" si="4"/>
        <v>2.0329416109564086E-2</v>
      </c>
      <c r="AD11" s="74">
        <f t="shared" si="4"/>
        <v>1.9960333131203292E-2</v>
      </c>
      <c r="AE11" s="74">
        <f t="shared" si="4"/>
        <v>2.0078267152657963E-2</v>
      </c>
      <c r="AF11" s="74">
        <f t="shared" si="4"/>
        <v>1.9825358722599291E-2</v>
      </c>
      <c r="AG11" s="74">
        <f t="shared" si="4"/>
        <v>2.0083660911463245E-2</v>
      </c>
      <c r="AH11" s="74">
        <f t="shared" si="4"/>
        <v>1.9947019141654729E-2</v>
      </c>
      <c r="AI11" s="74">
        <f t="shared" si="4"/>
        <v>1.9619847196672861E-2</v>
      </c>
      <c r="AJ11" s="74">
        <f t="shared" si="4"/>
        <v>1.956835861104787E-2</v>
      </c>
      <c r="AK11" s="74">
        <f t="shared" si="4"/>
        <v>1.9338367500968404E-2</v>
      </c>
      <c r="AL11" s="74">
        <f t="shared" si="4"/>
        <v>1.9151285951063954E-2</v>
      </c>
      <c r="AM11" s="74">
        <f t="shared" si="4"/>
        <v>1.8783911998382426E-2</v>
      </c>
      <c r="AN11" s="74">
        <f t="shared" si="4"/>
        <v>1.8796809533723136E-2</v>
      </c>
      <c r="AO11" s="74">
        <f t="shared" si="4"/>
        <v>1.8636415102879861E-2</v>
      </c>
      <c r="AP11" s="74">
        <f t="shared" si="4"/>
        <v>1.8159174596648876E-2</v>
      </c>
      <c r="AQ11" s="74">
        <f t="shared" si="4"/>
        <v>1.8276727397220374E-2</v>
      </c>
      <c r="AR11" s="74">
        <f t="shared" si="4"/>
        <v>1.8131847609095478E-2</v>
      </c>
      <c r="AS11" s="74">
        <f t="shared" si="4"/>
        <v>1.8256850201138985E-2</v>
      </c>
      <c r="AT11" s="74">
        <f t="shared" si="4"/>
        <v>1.820748310413196E-2</v>
      </c>
      <c r="AU11" s="74">
        <f t="shared" si="4"/>
        <v>1.820748310413196E-2</v>
      </c>
      <c r="AV11" s="74">
        <f t="shared" ref="AV11:BC11" si="5">$F$11*AV8</f>
        <v>1.820748310413196E-2</v>
      </c>
      <c r="AW11" s="74">
        <f t="shared" si="5"/>
        <v>1.820748310413196E-2</v>
      </c>
      <c r="AX11" s="74">
        <f t="shared" si="5"/>
        <v>1.812398248313259E-2</v>
      </c>
      <c r="AY11" s="74">
        <f t="shared" si="5"/>
        <v>1.813717315451769E-2</v>
      </c>
      <c r="AZ11" s="74">
        <f t="shared" si="5"/>
        <v>1.8194555303704531E-2</v>
      </c>
      <c r="BA11" s="74">
        <f t="shared" si="5"/>
        <v>1.8252301695049298E-2</v>
      </c>
      <c r="BB11" s="74">
        <f t="shared" si="5"/>
        <v>1.817686062312714E-2</v>
      </c>
      <c r="BC11" s="74">
        <f t="shared" si="5"/>
        <v>1.8051775381606162E-2</v>
      </c>
      <c r="BD11" s="74">
        <f t="shared" ref="BD11:BK11" si="6">$F$11*BD8</f>
        <v>1.7960703361662927E-2</v>
      </c>
      <c r="BE11" s="74">
        <f t="shared" si="6"/>
        <v>1.7960703361662927E-2</v>
      </c>
      <c r="BF11" s="74">
        <f t="shared" si="6"/>
        <v>1.8091089592963561E-2</v>
      </c>
      <c r="BG11" s="74">
        <f t="shared" si="6"/>
        <v>1.8003956109072107E-2</v>
      </c>
      <c r="BH11" s="74">
        <f t="shared" si="6"/>
        <v>1.8027834034946209E-2</v>
      </c>
      <c r="BI11" s="74">
        <f t="shared" si="6"/>
        <v>1.8030007896520421E-2</v>
      </c>
      <c r="BJ11" s="74">
        <f t="shared" si="6"/>
        <v>1.7958546178938727E-2</v>
      </c>
      <c r="BK11" s="74">
        <f t="shared" si="6"/>
        <v>1.7967178020409019E-2</v>
      </c>
      <c r="BL11" s="74">
        <f>$F$11*BL8</f>
        <v>1.7960703361662927E-2</v>
      </c>
      <c r="BM11" s="74">
        <f>$F$11*BM8</f>
        <v>1.7988793970866682E-2</v>
      </c>
      <c r="BN11" s="74">
        <f>$F$11*BN8</f>
        <v>1.7958546178938727E-2</v>
      </c>
      <c r="BO11" s="74">
        <f>$F$11*BO8</f>
        <v>1.7967178020409019E-2</v>
      </c>
      <c r="BP11" s="74">
        <f>$F$11*BP8</f>
        <v>1.7973657348941442E-2</v>
      </c>
      <c r="BQ11" s="74">
        <f t="shared" ref="BQ11:DJ11" si="7">$F$11*BQ8</f>
        <v>1.7973657348941442E-2</v>
      </c>
      <c r="BR11" s="74">
        <f t="shared" si="7"/>
        <v>1.7943460396717133E-2</v>
      </c>
      <c r="BS11" s="74">
        <f t="shared" si="7"/>
        <v>1.7928399938350582E-2</v>
      </c>
      <c r="BT11" s="74">
        <f t="shared" si="7"/>
        <v>1.7937002817399694E-2</v>
      </c>
      <c r="BU11" s="74">
        <f t="shared" si="7"/>
        <v>1.7962861062691477E-2</v>
      </c>
      <c r="BV11" s="74">
        <f t="shared" si="7"/>
        <v>1.7945613956534309E-2</v>
      </c>
      <c r="BW11" s="74">
        <f t="shared" si="7"/>
        <v>1.7984466620861662E-2</v>
      </c>
      <c r="BX11" s="74">
        <f t="shared" si="7"/>
        <v>1.798230372649956E-2</v>
      </c>
      <c r="BY11" s="74">
        <f t="shared" si="7"/>
        <v>1.7960703361662927E-2</v>
      </c>
      <c r="BZ11" s="74">
        <f t="shared" si="7"/>
        <v>1.8001788524662152E-2</v>
      </c>
      <c r="CA11" s="74">
        <f t="shared" si="7"/>
        <v>1.8014801865764322E-2</v>
      </c>
      <c r="CB11" s="74">
        <f t="shared" si="7"/>
        <v>1.8012631669177669E-2</v>
      </c>
      <c r="CC11" s="74">
        <f t="shared" si="7"/>
        <v>1.803653262796669E-2</v>
      </c>
      <c r="CD11" s="74">
        <f t="shared" si="7"/>
        <v>1.803653262796669E-2</v>
      </c>
      <c r="CE11" s="74">
        <f t="shared" si="7"/>
        <v>1.8080151812073016E-2</v>
      </c>
      <c r="CF11" s="74">
        <f t="shared" si="7"/>
        <v>1.8067043920474122E-2</v>
      </c>
      <c r="CG11" s="74">
        <f t="shared" si="7"/>
        <v>1.7958546178938727E-2</v>
      </c>
      <c r="CH11" s="74">
        <f t="shared" si="7"/>
        <v>1.7930549884379886E-2</v>
      </c>
      <c r="CI11" s="74">
        <f t="shared" si="7"/>
        <v>1.7969337277471922E-2</v>
      </c>
      <c r="CJ11" s="74">
        <f t="shared" si="7"/>
        <v>1.7928399938350582E-2</v>
      </c>
      <c r="CK11" s="74">
        <f t="shared" si="7"/>
        <v>1.7883369870331761E-2</v>
      </c>
      <c r="CL11" s="74">
        <f t="shared" si="7"/>
        <v>1.792410159264491E-2</v>
      </c>
      <c r="CM11" s="74">
        <f t="shared" si="7"/>
        <v>1.7906928800699863E-2</v>
      </c>
      <c r="CN11" s="74">
        <f t="shared" si="7"/>
        <v>1.7939154827335796E-2</v>
      </c>
      <c r="CO11" s="74">
        <f t="shared" si="7"/>
        <v>1.7939154827335796E-2</v>
      </c>
      <c r="CP11" s="74">
        <f t="shared" si="7"/>
        <v>1.7939154827335796E-2</v>
      </c>
      <c r="CQ11" s="74">
        <f t="shared" si="7"/>
        <v>1.7939154827335796E-2</v>
      </c>
      <c r="CR11" s="74">
        <f t="shared" si="7"/>
        <v>1.7823680472743339E-2</v>
      </c>
      <c r="CS11" s="74">
        <f t="shared" si="7"/>
        <v>1.7928399938350582E-2</v>
      </c>
      <c r="CT11" s="74">
        <f t="shared" si="7"/>
        <v>1.7906928800699863E-2</v>
      </c>
      <c r="CU11" s="74">
        <f t="shared" si="7"/>
        <v>1.7917657937189198E-2</v>
      </c>
      <c r="CV11" s="74">
        <f t="shared" si="7"/>
        <v>1.7913364740127453E-2</v>
      </c>
      <c r="CW11" s="74">
        <f t="shared" si="7"/>
        <v>1.789621250578622E-2</v>
      </c>
      <c r="CX11" s="74">
        <f t="shared" si="7"/>
        <v>1.7864140440363659E-2</v>
      </c>
      <c r="CY11" s="74">
        <f t="shared" si="7"/>
        <v>1.7857739816773421E-2</v>
      </c>
      <c r="CZ11" s="74">
        <f t="shared" si="7"/>
        <v>1.7810941689796765E-2</v>
      </c>
      <c r="DA11" s="74">
        <f t="shared" si="7"/>
        <v>1.7808820329423995E-2</v>
      </c>
      <c r="DB11" s="74">
        <f t="shared" si="7"/>
        <v>1.7821556076977812E-2</v>
      </c>
      <c r="DC11" s="74">
        <f t="shared" si="7"/>
        <v>1.7823680472743339E-2</v>
      </c>
      <c r="DD11" s="74">
        <f t="shared" si="7"/>
        <v>1.7808820329423995E-2</v>
      </c>
      <c r="DE11" s="74">
        <f t="shared" si="7"/>
        <v>1.7808820329423995E-2</v>
      </c>
      <c r="DF11" s="74">
        <f t="shared" si="7"/>
        <v>1.788978888320697E-2</v>
      </c>
      <c r="DG11" s="74">
        <f t="shared" si="7"/>
        <v>1.7872681745857502E-2</v>
      </c>
      <c r="DH11" s="74">
        <f t="shared" si="7"/>
        <v>1.7806699474317476E-2</v>
      </c>
      <c r="DI11" s="74">
        <f t="shared" si="7"/>
        <v>1.7785518673229913E-2</v>
      </c>
      <c r="DJ11" s="74">
        <f t="shared" si="7"/>
        <v>1.7785518673229913E-2</v>
      </c>
    </row>
    <row r="12" spans="1:164" s="104" customFormat="1">
      <c r="A12" s="104" t="s">
        <v>400</v>
      </c>
      <c r="H12" s="60"/>
      <c r="I12" s="105">
        <f>SUM(I10:I11)</f>
        <v>1.0833647272610505</v>
      </c>
      <c r="J12" s="105">
        <f t="shared" ref="J12:AU12" si="8">SUM(J10:J11)</f>
        <v>1.0782844712059962</v>
      </c>
      <c r="K12" s="105">
        <f t="shared" si="8"/>
        <v>1.0333632581082843</v>
      </c>
      <c r="L12" s="105">
        <f t="shared" si="8"/>
        <v>1.0815276890174075</v>
      </c>
      <c r="M12" s="105">
        <f t="shared" si="8"/>
        <v>1.0777918488365554</v>
      </c>
      <c r="N12" s="105">
        <f t="shared" si="8"/>
        <v>1.0403925419447657</v>
      </c>
      <c r="O12" s="105">
        <f t="shared" si="8"/>
        <v>1.0231575322888715</v>
      </c>
      <c r="P12" s="105">
        <f t="shared" si="8"/>
        <v>1.0090081790845931</v>
      </c>
      <c r="Q12" s="105">
        <f t="shared" si="8"/>
        <v>0.96170870912057338</v>
      </c>
      <c r="R12" s="105">
        <f t="shared" si="8"/>
        <v>0.98536796872652421</v>
      </c>
      <c r="S12" s="105">
        <f t="shared" si="8"/>
        <v>1.01821186402385</v>
      </c>
      <c r="T12" s="105">
        <f t="shared" si="8"/>
        <v>1.0428154797583236</v>
      </c>
      <c r="U12" s="105">
        <f t="shared" si="8"/>
        <v>1.0561899565392328</v>
      </c>
      <c r="V12" s="105">
        <f t="shared" si="8"/>
        <v>1.1241787671082337</v>
      </c>
      <c r="W12" s="105">
        <f t="shared" si="8"/>
        <v>1.1556759676478923</v>
      </c>
      <c r="X12" s="105">
        <f t="shared" si="8"/>
        <v>1.1837776922943448</v>
      </c>
      <c r="Y12" s="105">
        <f t="shared" si="8"/>
        <v>1.2603402163156643</v>
      </c>
      <c r="Z12" s="105">
        <f t="shared" si="8"/>
        <v>1.2957101342403226</v>
      </c>
      <c r="AA12" s="105">
        <f t="shared" si="8"/>
        <v>1.3032011723111498</v>
      </c>
      <c r="AB12" s="105">
        <f t="shared" si="8"/>
        <v>1.3472209096261643</v>
      </c>
      <c r="AC12" s="105">
        <f t="shared" si="8"/>
        <v>1.3493382579133928</v>
      </c>
      <c r="AD12" s="105">
        <f t="shared" si="8"/>
        <v>1.3465531746044144</v>
      </c>
      <c r="AE12" s="105">
        <f t="shared" si="8"/>
        <v>1.3902603939598983</v>
      </c>
      <c r="AF12" s="105">
        <f t="shared" si="8"/>
        <v>1.424785470193159</v>
      </c>
      <c r="AG12" s="105">
        <f t="shared" si="8"/>
        <v>1.4562188584687452</v>
      </c>
      <c r="AH12" s="105">
        <f t="shared" si="8"/>
        <v>1.4638325433720021</v>
      </c>
      <c r="AI12" s="105">
        <f t="shared" si="8"/>
        <v>1.459611739160835</v>
      </c>
      <c r="AJ12" s="105">
        <f t="shared" si="8"/>
        <v>1.4570653063712333</v>
      </c>
      <c r="AK12" s="105">
        <f t="shared" si="8"/>
        <v>1.4988315539656516</v>
      </c>
      <c r="AL12" s="105">
        <f t="shared" si="8"/>
        <v>1.5130986552620027</v>
      </c>
      <c r="AM12" s="105">
        <f t="shared" si="8"/>
        <v>1.4209126521425133</v>
      </c>
      <c r="AN12" s="105">
        <f t="shared" si="8"/>
        <v>1.3964858739437629</v>
      </c>
      <c r="AO12" s="105">
        <f t="shared" si="8"/>
        <v>1.3477424105141107</v>
      </c>
      <c r="AP12" s="105">
        <f t="shared" si="8"/>
        <v>1.2243573560402936</v>
      </c>
      <c r="AQ12" s="105">
        <f t="shared" si="8"/>
        <v>1.1268099740178916</v>
      </c>
      <c r="AR12" s="105">
        <f t="shared" si="8"/>
        <v>1.1274449068744508</v>
      </c>
      <c r="AS12" s="105">
        <f t="shared" si="8"/>
        <v>1.1055676373071761</v>
      </c>
      <c r="AT12" s="105">
        <f t="shared" si="8"/>
        <v>1.0499994262237802</v>
      </c>
      <c r="AU12" s="105">
        <f t="shared" si="8"/>
        <v>1.0649308314092005</v>
      </c>
      <c r="AV12" s="105">
        <f t="shared" ref="AV12:CA12" si="9">SUM(AV10:AV11)</f>
        <v>1.2014386741201071</v>
      </c>
      <c r="AW12" s="105">
        <f t="shared" si="9"/>
        <v>1.2014386741201071</v>
      </c>
      <c r="AX12" s="105">
        <f t="shared" si="9"/>
        <v>1.2013551734991077</v>
      </c>
      <c r="AY12" s="105">
        <f t="shared" si="9"/>
        <v>1.2013683641704929</v>
      </c>
      <c r="AZ12" s="105">
        <f t="shared" si="9"/>
        <v>1.2014257463196798</v>
      </c>
      <c r="BA12" s="105">
        <f t="shared" si="9"/>
        <v>1.2014834927110245</v>
      </c>
      <c r="BB12" s="105">
        <f t="shared" si="9"/>
        <v>1.2014080516391024</v>
      </c>
      <c r="BC12" s="105">
        <f t="shared" si="9"/>
        <v>1.8051775381606162E-2</v>
      </c>
      <c r="BD12" s="105">
        <f t="shared" si="9"/>
        <v>1.7960703361662927E-2</v>
      </c>
      <c r="BE12" s="105">
        <f t="shared" si="9"/>
        <v>1.7960703361662927E-2</v>
      </c>
      <c r="BF12" s="105">
        <f t="shared" si="9"/>
        <v>1.8091089592963561E-2</v>
      </c>
      <c r="BG12" s="105">
        <f t="shared" si="9"/>
        <v>1.8003956109072107E-2</v>
      </c>
      <c r="BH12" s="105">
        <f t="shared" si="9"/>
        <v>1.8027834034946209E-2</v>
      </c>
      <c r="BI12" s="105">
        <f t="shared" si="9"/>
        <v>1.8030007896520421E-2</v>
      </c>
      <c r="BJ12" s="105">
        <f t="shared" si="9"/>
        <v>1.7958546178938727E-2</v>
      </c>
      <c r="BK12" s="105">
        <f t="shared" si="9"/>
        <v>1.7967178020409019E-2</v>
      </c>
      <c r="BL12" s="105">
        <f t="shared" si="9"/>
        <v>1.7960703361662927E-2</v>
      </c>
      <c r="BM12" s="105">
        <f t="shared" si="9"/>
        <v>1.7988793970866682E-2</v>
      </c>
      <c r="BN12" s="105">
        <f t="shared" si="9"/>
        <v>1.7958546178938727E-2</v>
      </c>
      <c r="BO12" s="105">
        <f t="shared" si="9"/>
        <v>1.7967178020409019E-2</v>
      </c>
      <c r="BP12" s="105">
        <f t="shared" si="9"/>
        <v>1.7973657348941442E-2</v>
      </c>
      <c r="BQ12" s="105">
        <f t="shared" si="9"/>
        <v>1.7973657348941442E-2</v>
      </c>
      <c r="BR12" s="105">
        <f t="shared" si="9"/>
        <v>1.7943460396717133E-2</v>
      </c>
      <c r="BS12" s="105">
        <f t="shared" si="9"/>
        <v>1.7928399938350582E-2</v>
      </c>
      <c r="BT12" s="105">
        <f t="shared" si="9"/>
        <v>1.7937002817399694E-2</v>
      </c>
      <c r="BU12" s="105">
        <f t="shared" si="9"/>
        <v>1.7962861062691477E-2</v>
      </c>
      <c r="BV12" s="105">
        <f t="shared" si="9"/>
        <v>1.7945613956534309E-2</v>
      </c>
      <c r="BW12" s="105">
        <f t="shared" si="9"/>
        <v>1.7984466620861662E-2</v>
      </c>
      <c r="BX12" s="105">
        <f t="shared" si="9"/>
        <v>1.798230372649956E-2</v>
      </c>
      <c r="BY12" s="105">
        <f t="shared" si="9"/>
        <v>1.7960703361662927E-2</v>
      </c>
      <c r="BZ12" s="105">
        <f t="shared" si="9"/>
        <v>1.8001788524662152E-2</v>
      </c>
      <c r="CA12" s="105">
        <f t="shared" si="9"/>
        <v>1.8014801865764322E-2</v>
      </c>
      <c r="CB12" s="105">
        <f t="shared" ref="CB12:DG12" si="10">SUM(CB10:CB11)</f>
        <v>1.8012631669177669E-2</v>
      </c>
      <c r="CC12" s="105">
        <f t="shared" si="10"/>
        <v>1.803653262796669E-2</v>
      </c>
      <c r="CD12" s="105">
        <f t="shared" si="10"/>
        <v>1.803653262796669E-2</v>
      </c>
      <c r="CE12" s="105">
        <f t="shared" si="10"/>
        <v>1.8080151812073016E-2</v>
      </c>
      <c r="CF12" s="105">
        <f t="shared" si="10"/>
        <v>1.8067043920474122E-2</v>
      </c>
      <c r="CG12" s="105">
        <f t="shared" si="10"/>
        <v>1.7958546178938727E-2</v>
      </c>
      <c r="CH12" s="105">
        <f t="shared" si="10"/>
        <v>1.7930549884379886E-2</v>
      </c>
      <c r="CI12" s="105">
        <f t="shared" si="10"/>
        <v>1.7969337277471922E-2</v>
      </c>
      <c r="CJ12" s="105">
        <f t="shared" si="10"/>
        <v>1.7928399938350582E-2</v>
      </c>
      <c r="CK12" s="105">
        <f t="shared" si="10"/>
        <v>1.7883369870331761E-2</v>
      </c>
      <c r="CL12" s="105">
        <f t="shared" si="10"/>
        <v>1.792410159264491E-2</v>
      </c>
      <c r="CM12" s="105">
        <f t="shared" si="10"/>
        <v>1.7906928800699863E-2</v>
      </c>
      <c r="CN12" s="105">
        <f t="shared" si="10"/>
        <v>1.7939154827335796E-2</v>
      </c>
      <c r="CO12" s="105">
        <f t="shared" si="10"/>
        <v>1.7939154827335796E-2</v>
      </c>
      <c r="CP12" s="105">
        <f t="shared" si="10"/>
        <v>1.7939154827335796E-2</v>
      </c>
      <c r="CQ12" s="105">
        <f t="shared" si="10"/>
        <v>1.7939154827335796E-2</v>
      </c>
      <c r="CR12" s="105">
        <f t="shared" si="10"/>
        <v>1.7823680472743339E-2</v>
      </c>
      <c r="CS12" s="105">
        <f t="shared" si="10"/>
        <v>1.7928399938350582E-2</v>
      </c>
      <c r="CT12" s="105">
        <f t="shared" si="10"/>
        <v>1.7906928800699863E-2</v>
      </c>
      <c r="CU12" s="105">
        <f t="shared" si="10"/>
        <v>1.7917657937189198E-2</v>
      </c>
      <c r="CV12" s="105">
        <f t="shared" si="10"/>
        <v>1.7913364740127453E-2</v>
      </c>
      <c r="CW12" s="105">
        <f t="shared" si="10"/>
        <v>1.789621250578622E-2</v>
      </c>
      <c r="CX12" s="105">
        <f t="shared" si="10"/>
        <v>1.7864140440363659E-2</v>
      </c>
      <c r="CY12" s="105">
        <f t="shared" si="10"/>
        <v>1.7857739816773421E-2</v>
      </c>
      <c r="CZ12" s="105">
        <f t="shared" si="10"/>
        <v>1.7810941689796765E-2</v>
      </c>
      <c r="DA12" s="105">
        <f t="shared" si="10"/>
        <v>1.7808820329423995E-2</v>
      </c>
      <c r="DB12" s="105">
        <f t="shared" si="10"/>
        <v>1.7821556076977812E-2</v>
      </c>
      <c r="DC12" s="105">
        <f t="shared" si="10"/>
        <v>1.7823680472743339E-2</v>
      </c>
      <c r="DD12" s="105">
        <f t="shared" si="10"/>
        <v>1.7808820329423995E-2</v>
      </c>
      <c r="DE12" s="105">
        <f t="shared" si="10"/>
        <v>1.7808820329423995E-2</v>
      </c>
      <c r="DF12" s="105">
        <f t="shared" si="10"/>
        <v>1.788978888320697E-2</v>
      </c>
      <c r="DG12" s="105">
        <f t="shared" si="10"/>
        <v>1.7872681745857502E-2</v>
      </c>
      <c r="DH12" s="105">
        <f t="shared" ref="DH12:DJ12" si="11">SUM(DH10:DH11)</f>
        <v>1.7806699474317476E-2</v>
      </c>
      <c r="DI12" s="105">
        <f t="shared" si="11"/>
        <v>1.7785518673229913E-2</v>
      </c>
      <c r="DJ12" s="105">
        <f t="shared" si="11"/>
        <v>1.7785518673229913E-2</v>
      </c>
    </row>
    <row r="13" spans="1:164">
      <c r="H13" s="60" t="s">
        <v>429</v>
      </c>
      <c r="I13" s="74">
        <v>1.4794290267593211</v>
      </c>
      <c r="J13" s="74">
        <v>1.4534993696121181</v>
      </c>
      <c r="K13" s="74">
        <v>1.4774420166832227</v>
      </c>
      <c r="L13" s="74">
        <v>1.4425923016455255</v>
      </c>
      <c r="M13" s="74">
        <v>1.4545214438902145</v>
      </c>
      <c r="N13" s="74">
        <v>1.4522242001809205</v>
      </c>
      <c r="O13" s="74">
        <v>1.4681497188945363</v>
      </c>
      <c r="P13" s="74">
        <v>1.4656730532567406</v>
      </c>
      <c r="Q13" s="74">
        <v>1.4415127942419992</v>
      </c>
      <c r="R13" s="74">
        <v>1.3874311549815885</v>
      </c>
      <c r="S13" s="74"/>
      <c r="T13" s="74">
        <v>1.3833929106150897</v>
      </c>
      <c r="U13" s="74">
        <v>1.270759606180774</v>
      </c>
      <c r="V13" s="74">
        <v>1.5384615384615385</v>
      </c>
      <c r="W13" s="74">
        <v>1.5778846153846156</v>
      </c>
      <c r="X13" s="74">
        <v>1.6095366017461383</v>
      </c>
      <c r="Y13" s="74">
        <v>1.6791808873720135</v>
      </c>
      <c r="Z13" s="74">
        <v>1.6441392439488711</v>
      </c>
      <c r="AA13" s="74">
        <v>1.6453777002549308</v>
      </c>
      <c r="AB13" s="74">
        <v>1.6819039913700109</v>
      </c>
      <c r="AC13" s="74">
        <v>1.7631543167912986</v>
      </c>
      <c r="AD13" s="74">
        <v>1.902118542250701</v>
      </c>
      <c r="AE13" s="74">
        <v>1.941990063112663</v>
      </c>
      <c r="AF13" s="74">
        <v>1.9423097321665339</v>
      </c>
      <c r="AG13" s="74">
        <v>1.3873875083948959</v>
      </c>
      <c r="AH13" s="74">
        <v>2.001067235859125</v>
      </c>
      <c r="AI13" s="74">
        <v>1.8080730875213227</v>
      </c>
      <c r="AJ13" s="74">
        <v>2.0273385112849307</v>
      </c>
      <c r="AK13" s="74">
        <v>2.0029934321034442</v>
      </c>
      <c r="AL13" s="74">
        <v>1.9831039169018301</v>
      </c>
      <c r="AM13" s="74">
        <v>1.9446856922986551</v>
      </c>
      <c r="AN13" s="74">
        <v>1.9463981012467275</v>
      </c>
      <c r="AO13" s="74">
        <v>1.931908223368475</v>
      </c>
      <c r="AP13" s="74">
        <v>1.8445443867276516</v>
      </c>
      <c r="AQ13" s="74">
        <v>1.8559960475451724</v>
      </c>
      <c r="AR13" s="74">
        <v>1.7947178960879286</v>
      </c>
      <c r="AS13" s="74">
        <v>1.7582505500056576</v>
      </c>
      <c r="AT13" s="74">
        <v>1.7534961852325177</v>
      </c>
      <c r="AU13" s="74">
        <v>1.6804338441811628</v>
      </c>
      <c r="AV13" s="74"/>
    </row>
    <row r="14" spans="1:164">
      <c r="H14" s="60" t="s">
        <v>406</v>
      </c>
      <c r="I14" s="74">
        <f>I13-I12</f>
        <v>0.3960642994982706</v>
      </c>
      <c r="J14" s="74">
        <f t="shared" ref="J14:AU14" si="12">J13-J12</f>
        <v>0.37521489840612188</v>
      </c>
      <c r="K14" s="74">
        <f t="shared" si="12"/>
        <v>0.44407875857493839</v>
      </c>
      <c r="L14" s="74">
        <f t="shared" si="12"/>
        <v>0.36106461262811806</v>
      </c>
      <c r="M14" s="74">
        <f t="shared" si="12"/>
        <v>0.37672959505365911</v>
      </c>
      <c r="N14" s="74">
        <f t="shared" si="12"/>
        <v>0.41183165823615475</v>
      </c>
      <c r="O14" s="74">
        <f t="shared" si="12"/>
        <v>0.44499218660566475</v>
      </c>
      <c r="P14" s="74">
        <f t="shared" si="12"/>
        <v>0.45666487417214752</v>
      </c>
      <c r="Q14" s="74">
        <f t="shared" si="12"/>
        <v>0.47980408512142581</v>
      </c>
      <c r="R14" s="74">
        <f t="shared" si="12"/>
        <v>0.40206318625506432</v>
      </c>
      <c r="S14" s="74"/>
      <c r="T14" s="74">
        <f t="shared" si="12"/>
        <v>0.34057743085676617</v>
      </c>
      <c r="U14" s="74">
        <f t="shared" si="12"/>
        <v>0.21456964964154124</v>
      </c>
      <c r="V14" s="74">
        <f t="shared" si="12"/>
        <v>0.41428277135330482</v>
      </c>
      <c r="W14" s="74">
        <f t="shared" si="12"/>
        <v>0.42220864773672329</v>
      </c>
      <c r="X14" s="74">
        <f t="shared" si="12"/>
        <v>0.42575890945179351</v>
      </c>
      <c r="Y14" s="74">
        <f t="shared" si="12"/>
        <v>0.41884067105634926</v>
      </c>
      <c r="Z14" s="74">
        <f t="shared" si="12"/>
        <v>0.34842910970854857</v>
      </c>
      <c r="AA14" s="74">
        <f t="shared" si="12"/>
        <v>0.34217652794378095</v>
      </c>
      <c r="AB14" s="74">
        <f t="shared" si="12"/>
        <v>0.33468308174384664</v>
      </c>
      <c r="AC14" s="74">
        <f t="shared" si="12"/>
        <v>0.41381605887790585</v>
      </c>
      <c r="AD14" s="74">
        <f t="shared" si="12"/>
        <v>0.55556536764628661</v>
      </c>
      <c r="AE14" s="74">
        <f t="shared" si="12"/>
        <v>0.55172966915276467</v>
      </c>
      <c r="AF14" s="74">
        <f t="shared" si="12"/>
        <v>0.51752426197337487</v>
      </c>
      <c r="AG14" s="74">
        <f>AG13-AG12</f>
        <v>-6.8831350073849329E-2</v>
      </c>
      <c r="AH14" s="74">
        <f t="shared" si="12"/>
        <v>0.53723469248712297</v>
      </c>
      <c r="AI14" s="74">
        <f t="shared" si="12"/>
        <v>0.3484613483604877</v>
      </c>
      <c r="AJ14" s="74">
        <f t="shared" si="12"/>
        <v>0.57027320491369737</v>
      </c>
      <c r="AK14" s="74">
        <f t="shared" si="12"/>
        <v>0.50416187813779256</v>
      </c>
      <c r="AL14" s="74">
        <f t="shared" si="12"/>
        <v>0.47000526163982737</v>
      </c>
      <c r="AM14" s="74">
        <f t="shared" si="12"/>
        <v>0.52377304015614179</v>
      </c>
      <c r="AN14" s="74">
        <f t="shared" si="12"/>
        <v>0.54991222730296463</v>
      </c>
      <c r="AO14" s="74">
        <f t="shared" si="12"/>
        <v>0.58416581285436431</v>
      </c>
      <c r="AP14" s="74">
        <f t="shared" si="12"/>
        <v>0.62018703068735803</v>
      </c>
      <c r="AQ14" s="74">
        <f t="shared" si="12"/>
        <v>0.72918607352728082</v>
      </c>
      <c r="AR14" s="74">
        <f t="shared" si="12"/>
        <v>0.66727298921347789</v>
      </c>
      <c r="AS14" s="74">
        <f t="shared" si="12"/>
        <v>0.65268291269848144</v>
      </c>
      <c r="AT14" s="74">
        <f t="shared" si="12"/>
        <v>0.70349675900873754</v>
      </c>
      <c r="AU14" s="74">
        <f t="shared" si="12"/>
        <v>0.61550301277196229</v>
      </c>
    </row>
    <row r="16" spans="1:164" ht="13" thickBot="1"/>
    <row r="17" spans="8:114" ht="13" thickBot="1">
      <c r="H17" s="106" t="s">
        <v>407</v>
      </c>
      <c r="I17" s="109">
        <f>0.21+I12</f>
        <v>1.2933647272610505</v>
      </c>
      <c r="J17" s="109">
        <f t="shared" ref="J17:AY17" si="13">0.21+J12</f>
        <v>1.2882844712059962</v>
      </c>
      <c r="K17" s="109">
        <f t="shared" si="13"/>
        <v>1.2433632581082843</v>
      </c>
      <c r="L17" s="109">
        <f t="shared" si="13"/>
        <v>1.2915276890174074</v>
      </c>
      <c r="M17" s="109">
        <f t="shared" si="13"/>
        <v>1.2877918488365554</v>
      </c>
      <c r="N17" s="109">
        <f t="shared" si="13"/>
        <v>1.2503925419447657</v>
      </c>
      <c r="O17" s="109">
        <f t="shared" si="13"/>
        <v>1.2331575322888715</v>
      </c>
      <c r="P17" s="109">
        <f t="shared" si="13"/>
        <v>1.219008179084593</v>
      </c>
      <c r="Q17" s="109">
        <f t="shared" si="13"/>
        <v>1.1717087091205733</v>
      </c>
      <c r="R17" s="109">
        <f t="shared" si="13"/>
        <v>1.1953679687265242</v>
      </c>
      <c r="S17" s="109">
        <f t="shared" si="13"/>
        <v>1.22821186402385</v>
      </c>
      <c r="T17" s="109">
        <f t="shared" si="13"/>
        <v>1.2528154797583235</v>
      </c>
      <c r="U17" s="109">
        <f t="shared" si="13"/>
        <v>1.2661899565392327</v>
      </c>
      <c r="V17" s="109">
        <f t="shared" si="13"/>
        <v>1.3341787671082337</v>
      </c>
      <c r="W17" s="109">
        <f t="shared" si="13"/>
        <v>1.3656759676478922</v>
      </c>
      <c r="X17" s="109">
        <f t="shared" si="13"/>
        <v>1.3937776922943448</v>
      </c>
      <c r="Y17" s="109">
        <f t="shared" si="13"/>
        <v>1.4703402163156643</v>
      </c>
      <c r="Z17" s="109">
        <f t="shared" si="13"/>
        <v>1.5057101342403225</v>
      </c>
      <c r="AA17" s="109">
        <f t="shared" si="13"/>
        <v>1.5132011723111498</v>
      </c>
      <c r="AB17" s="109">
        <f t="shared" si="13"/>
        <v>1.5572209096261642</v>
      </c>
      <c r="AC17" s="109">
        <f t="shared" si="13"/>
        <v>1.5593382579133928</v>
      </c>
      <c r="AD17" s="109">
        <f t="shared" si="13"/>
        <v>1.5565531746044143</v>
      </c>
      <c r="AE17" s="109">
        <f t="shared" si="13"/>
        <v>1.6002603939598983</v>
      </c>
      <c r="AF17" s="109">
        <f t="shared" si="13"/>
        <v>1.634785470193159</v>
      </c>
      <c r="AG17" s="109">
        <f t="shared" si="13"/>
        <v>1.6662188584687452</v>
      </c>
      <c r="AH17" s="109">
        <f t="shared" si="13"/>
        <v>1.673832543372002</v>
      </c>
      <c r="AI17" s="109">
        <f t="shared" si="13"/>
        <v>1.6696117391608349</v>
      </c>
      <c r="AJ17" s="109">
        <f t="shared" si="13"/>
        <v>1.6670653063712333</v>
      </c>
      <c r="AK17" s="109">
        <f t="shared" si="13"/>
        <v>1.7088315539656516</v>
      </c>
      <c r="AL17" s="109">
        <f t="shared" si="13"/>
        <v>1.7230986552620027</v>
      </c>
      <c r="AM17" s="109">
        <f t="shared" si="13"/>
        <v>1.6309126521425132</v>
      </c>
      <c r="AN17" s="109">
        <f t="shared" si="13"/>
        <v>1.6064858739437629</v>
      </c>
      <c r="AO17" s="109">
        <f t="shared" si="13"/>
        <v>1.5577424105141107</v>
      </c>
      <c r="AP17" s="109">
        <f t="shared" si="13"/>
        <v>1.4343573560402936</v>
      </c>
      <c r="AQ17" s="109">
        <f t="shared" si="13"/>
        <v>1.3368099740178916</v>
      </c>
      <c r="AR17" s="109">
        <f t="shared" si="13"/>
        <v>1.3374449068744507</v>
      </c>
      <c r="AS17" s="109">
        <f t="shared" si="13"/>
        <v>1.3155676373071761</v>
      </c>
      <c r="AT17" s="109">
        <f t="shared" si="13"/>
        <v>1.2599994262237801</v>
      </c>
      <c r="AU17" s="109">
        <f t="shared" si="13"/>
        <v>1.2749308314092005</v>
      </c>
      <c r="AV17" s="109">
        <f t="shared" si="13"/>
        <v>1.411438674120107</v>
      </c>
      <c r="AW17" s="109">
        <f t="shared" si="13"/>
        <v>1.411438674120107</v>
      </c>
      <c r="AX17" s="109">
        <f t="shared" si="13"/>
        <v>1.4113551734991077</v>
      </c>
      <c r="AY17" s="109">
        <f t="shared" si="13"/>
        <v>1.4113683641704928</v>
      </c>
      <c r="AZ17" s="109">
        <f>0.21+AZ12</f>
        <v>1.4114257463196798</v>
      </c>
      <c r="BA17" s="109">
        <f>0.21+BA12</f>
        <v>1.4114834927110245</v>
      </c>
      <c r="BB17" s="109">
        <f>0.21+BB12</f>
        <v>1.4114080516391023</v>
      </c>
      <c r="BC17" s="109">
        <f>0.21+BC12</f>
        <v>0.22805177538160615</v>
      </c>
      <c r="BD17" s="109">
        <f t="shared" ref="BD17:BK17" si="14">0.21+BD12</f>
        <v>0.22796070336166291</v>
      </c>
      <c r="BE17" s="109">
        <f t="shared" si="14"/>
        <v>0.22796070336166291</v>
      </c>
      <c r="BF17" s="109">
        <f t="shared" si="14"/>
        <v>0.22809108959296356</v>
      </c>
      <c r="BG17" s="109">
        <f t="shared" si="14"/>
        <v>0.22800395610907209</v>
      </c>
      <c r="BH17" s="109">
        <f t="shared" si="14"/>
        <v>0.2280278340349462</v>
      </c>
      <c r="BI17" s="109">
        <f t="shared" si="14"/>
        <v>0.22803000789652042</v>
      </c>
      <c r="BJ17" s="109">
        <f t="shared" si="14"/>
        <v>0.22795854617893871</v>
      </c>
      <c r="BK17" s="109">
        <f t="shared" si="14"/>
        <v>0.227967178020409</v>
      </c>
      <c r="BL17" s="109">
        <f>0.21+BL12</f>
        <v>0.22796070336166291</v>
      </c>
      <c r="BM17" s="109">
        <f>0.21+BM12</f>
        <v>0.22798879397086669</v>
      </c>
      <c r="BN17" s="109">
        <f>0.21+BN12</f>
        <v>0.22795854617893871</v>
      </c>
      <c r="BO17" s="109">
        <f>0.21+BO12</f>
        <v>0.227967178020409</v>
      </c>
      <c r="BP17" s="109">
        <f>0.21+BP12</f>
        <v>0.22797365734894143</v>
      </c>
      <c r="BQ17" s="109">
        <f t="shared" ref="BQ17:DJ17" si="15">0.21+BQ12</f>
        <v>0.22797365734894143</v>
      </c>
      <c r="BR17" s="109">
        <f t="shared" si="15"/>
        <v>0.22794346039671712</v>
      </c>
      <c r="BS17" s="109">
        <f t="shared" si="15"/>
        <v>0.22792839993835057</v>
      </c>
      <c r="BT17" s="109">
        <f t="shared" si="15"/>
        <v>0.22793700281739968</v>
      </c>
      <c r="BU17" s="109">
        <f t="shared" si="15"/>
        <v>0.22796286106269148</v>
      </c>
      <c r="BV17" s="109">
        <f t="shared" si="15"/>
        <v>0.22794561395653429</v>
      </c>
      <c r="BW17" s="109">
        <f t="shared" si="15"/>
        <v>0.22798446662086166</v>
      </c>
      <c r="BX17" s="109">
        <f t="shared" si="15"/>
        <v>0.22798230372649955</v>
      </c>
      <c r="BY17" s="109">
        <f t="shared" si="15"/>
        <v>0.22796070336166291</v>
      </c>
      <c r="BZ17" s="109">
        <f t="shared" si="15"/>
        <v>0.22800178852466213</v>
      </c>
      <c r="CA17" s="109">
        <f t="shared" si="15"/>
        <v>0.22801480186576431</v>
      </c>
      <c r="CB17" s="109">
        <f t="shared" si="15"/>
        <v>0.22801263166917765</v>
      </c>
      <c r="CC17" s="109">
        <f t="shared" si="15"/>
        <v>0.22803653262796669</v>
      </c>
      <c r="CD17" s="109">
        <f t="shared" si="15"/>
        <v>0.22803653262796669</v>
      </c>
      <c r="CE17" s="109">
        <f t="shared" si="15"/>
        <v>0.228080151812073</v>
      </c>
      <c r="CF17" s="109">
        <f t="shared" si="15"/>
        <v>0.22806704392047411</v>
      </c>
      <c r="CG17" s="109">
        <f t="shared" si="15"/>
        <v>0.22795854617893871</v>
      </c>
      <c r="CH17" s="109">
        <f t="shared" si="15"/>
        <v>0.22793054988437988</v>
      </c>
      <c r="CI17" s="109">
        <f t="shared" si="15"/>
        <v>0.22796933727747193</v>
      </c>
      <c r="CJ17" s="109">
        <f t="shared" si="15"/>
        <v>0.22792839993835057</v>
      </c>
      <c r="CK17" s="109">
        <f t="shared" si="15"/>
        <v>0.22788336987033175</v>
      </c>
      <c r="CL17" s="109">
        <f t="shared" si="15"/>
        <v>0.2279241015926449</v>
      </c>
      <c r="CM17" s="109">
        <f t="shared" si="15"/>
        <v>0.22790692880069985</v>
      </c>
      <c r="CN17" s="109">
        <f t="shared" si="15"/>
        <v>0.22793915482733579</v>
      </c>
      <c r="CO17" s="109">
        <f t="shared" si="15"/>
        <v>0.22793915482733579</v>
      </c>
      <c r="CP17" s="109">
        <f t="shared" si="15"/>
        <v>0.22793915482733579</v>
      </c>
      <c r="CQ17" s="109">
        <f t="shared" si="15"/>
        <v>0.22793915482733579</v>
      </c>
      <c r="CR17" s="109">
        <f t="shared" si="15"/>
        <v>0.22782368047274332</v>
      </c>
      <c r="CS17" s="109">
        <f t="shared" si="15"/>
        <v>0.22792839993835057</v>
      </c>
      <c r="CT17" s="109">
        <f t="shared" si="15"/>
        <v>0.22790692880069985</v>
      </c>
      <c r="CU17" s="109">
        <f t="shared" si="15"/>
        <v>0.22791765793718918</v>
      </c>
      <c r="CV17" s="109">
        <f t="shared" si="15"/>
        <v>0.22791336474012744</v>
      </c>
      <c r="CW17" s="109">
        <f t="shared" si="15"/>
        <v>0.22789621250578621</v>
      </c>
      <c r="CX17" s="109">
        <f t="shared" si="15"/>
        <v>0.22786414044036366</v>
      </c>
      <c r="CY17" s="109">
        <f t="shared" si="15"/>
        <v>0.2278577398167734</v>
      </c>
      <c r="CZ17" s="109">
        <f t="shared" si="15"/>
        <v>0.22781094168979676</v>
      </c>
      <c r="DA17" s="109">
        <f t="shared" si="15"/>
        <v>0.22780882032942398</v>
      </c>
      <c r="DB17" s="109">
        <f t="shared" si="15"/>
        <v>0.22782155607697779</v>
      </c>
      <c r="DC17" s="109">
        <f t="shared" si="15"/>
        <v>0.22782368047274332</v>
      </c>
      <c r="DD17" s="109">
        <f t="shared" si="15"/>
        <v>0.22780882032942398</v>
      </c>
      <c r="DE17" s="109">
        <f t="shared" si="15"/>
        <v>0.22780882032942398</v>
      </c>
      <c r="DF17" s="109">
        <f t="shared" si="15"/>
        <v>0.22788978888320696</v>
      </c>
      <c r="DG17" s="109">
        <f t="shared" si="15"/>
        <v>0.22787268174585751</v>
      </c>
      <c r="DH17" s="109">
        <f t="shared" si="15"/>
        <v>0.22780669947431748</v>
      </c>
      <c r="DI17" s="109">
        <f t="shared" si="15"/>
        <v>0.22778551867322991</v>
      </c>
      <c r="DJ17" s="109">
        <f t="shared" si="15"/>
        <v>0.22778551867322991</v>
      </c>
    </row>
  </sheetData>
  <conditionalFormatting sqref="I14:AU14">
    <cfRule type="top10" dxfId="26" priority="1" bottom="1" rank="1"/>
  </conditionalFormatting>
  <pageMargins left="0.7" right="0.7" top="0.75" bottom="0.75" header="0.3" footer="0.3"/>
  <pageSetup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8"/>
  <dimension ref="A1:EX20"/>
  <sheetViews>
    <sheetView workbookViewId="0">
      <pane xSplit="10" ySplit="6" topLeftCell="DK7" activePane="bottomRight" state="frozen"/>
      <selection pane="topRight" activeCell="K1" sqref="K1"/>
      <selection pane="bottomLeft" activeCell="A7" sqref="A7"/>
      <selection pane="bottomRight" activeCell="DP16" sqref="DP16"/>
    </sheetView>
  </sheetViews>
  <sheetFormatPr baseColWidth="10" defaultColWidth="16.1640625" defaultRowHeight="12"/>
  <cols>
    <col min="1" max="1" width="48.6640625" style="60" bestFit="1" customWidth="1"/>
    <col min="2" max="2" width="11.33203125" style="60" bestFit="1" customWidth="1"/>
    <col min="3" max="3" width="4.83203125" style="60" bestFit="1" customWidth="1"/>
    <col min="4" max="5" width="7.5" style="60" bestFit="1" customWidth="1"/>
    <col min="6" max="6" width="13.33203125" style="60" bestFit="1" customWidth="1"/>
    <col min="7" max="7" width="4.83203125" style="60" bestFit="1" customWidth="1"/>
    <col min="8" max="8" width="22.83203125" style="60" bestFit="1" customWidth="1"/>
    <col min="9" max="9" width="5.1640625" style="60" bestFit="1" customWidth="1"/>
    <col min="10" max="10" width="5.5" style="60" bestFit="1" customWidth="1"/>
    <col min="11" max="11" width="5.6640625" style="60" bestFit="1" customWidth="1"/>
    <col min="12" max="12" width="5.33203125" style="60" bestFit="1" customWidth="1"/>
    <col min="13" max="13" width="5.83203125" style="60" bestFit="1" customWidth="1"/>
    <col min="14" max="14" width="5.1640625" style="60" bestFit="1" customWidth="1"/>
    <col min="15" max="15" width="4.6640625" style="60" bestFit="1" customWidth="1"/>
    <col min="16" max="18" width="5.5" style="60" bestFit="1" customWidth="1"/>
    <col min="19" max="19" width="5.6640625" style="60" bestFit="1" customWidth="1"/>
    <col min="20" max="20" width="5.5" style="60" bestFit="1" customWidth="1"/>
    <col min="21" max="21" width="5.1640625" style="60" bestFit="1" customWidth="1"/>
    <col min="22" max="22" width="5.5" style="60" bestFit="1" customWidth="1"/>
    <col min="23" max="23" width="5.6640625" style="60" bestFit="1" customWidth="1"/>
    <col min="24" max="24" width="5.33203125" style="60" bestFit="1" customWidth="1"/>
    <col min="25" max="25" width="5.83203125" style="60" bestFit="1" customWidth="1"/>
    <col min="26" max="26" width="5.1640625" style="60" bestFit="1" customWidth="1"/>
    <col min="27" max="27" width="4.6640625" style="60" bestFit="1" customWidth="1"/>
    <col min="28" max="30" width="5.5" style="60" bestFit="1" customWidth="1"/>
    <col min="31" max="31" width="5.6640625" style="60" bestFit="1" customWidth="1"/>
    <col min="32" max="32" width="5.5" style="60" bestFit="1" customWidth="1"/>
    <col min="33" max="33" width="5.1640625" style="60" bestFit="1" customWidth="1"/>
    <col min="34" max="34" width="5.5" style="60" bestFit="1" customWidth="1"/>
    <col min="35" max="35" width="5.6640625" style="60" bestFit="1" customWidth="1"/>
    <col min="36" max="36" width="5.33203125" style="60" bestFit="1" customWidth="1"/>
    <col min="37" max="37" width="5.83203125" style="60" bestFit="1" customWidth="1"/>
    <col min="38" max="38" width="5.1640625" style="60" bestFit="1" customWidth="1"/>
    <col min="39" max="39" width="4.6640625" style="60" bestFit="1" customWidth="1"/>
    <col min="40" max="42" width="5.5" style="60" bestFit="1" customWidth="1"/>
    <col min="43" max="43" width="5.6640625" style="60" bestFit="1" customWidth="1"/>
    <col min="44" max="44" width="5.5" style="60" bestFit="1" customWidth="1"/>
    <col min="45" max="45" width="5.1640625" style="60" bestFit="1" customWidth="1"/>
    <col min="46" max="46" width="5.5" style="60" bestFit="1" customWidth="1"/>
    <col min="47" max="47" width="5.6640625" style="60" bestFit="1" customWidth="1"/>
    <col min="48" max="48" width="5.33203125" style="60" bestFit="1" customWidth="1"/>
    <col min="49" max="49" width="5.83203125" style="60" bestFit="1" customWidth="1"/>
    <col min="50" max="50" width="5.1640625" style="60" bestFit="1" customWidth="1"/>
    <col min="51" max="51" width="4.6640625" style="60" bestFit="1" customWidth="1"/>
    <col min="52" max="54" width="7" style="60" bestFit="1" customWidth="1"/>
    <col min="55" max="56" width="5.5" style="60" bestFit="1" customWidth="1"/>
    <col min="57" max="58" width="5.83203125" style="60" bestFit="1" customWidth="1"/>
    <col min="59" max="70" width="5.6640625" style="60" bestFit="1" customWidth="1"/>
    <col min="71" max="74" width="5.5" style="60" bestFit="1" customWidth="1"/>
    <col min="75" max="78" width="5.1640625" style="60" bestFit="1" customWidth="1"/>
    <col min="79" max="82" width="5.5" style="60" bestFit="1" customWidth="1"/>
    <col min="83" max="83" width="6.1640625" style="60" bestFit="1" customWidth="1"/>
    <col min="84" max="86" width="5.6640625" style="60" bestFit="1" customWidth="1"/>
    <col min="87" max="90" width="5.5" style="60" bestFit="1" customWidth="1"/>
    <col min="91" max="95" width="6.33203125" style="60" bestFit="1" customWidth="1"/>
    <col min="96" max="99" width="6.1640625" style="60" bestFit="1" customWidth="1"/>
    <col min="100" max="100" width="5.1640625" style="60" bestFit="1" customWidth="1"/>
    <col min="101" max="103" width="6" style="60" bestFit="1" customWidth="1"/>
    <col min="104" max="107" width="5.83203125" style="60" bestFit="1" customWidth="1"/>
    <col min="108" max="115" width="5.6640625" style="60" bestFit="1" customWidth="1"/>
    <col min="116" max="119" width="6.1640625" style="60" bestFit="1" customWidth="1"/>
    <col min="120" max="123" width="5.83203125" style="60" bestFit="1" customWidth="1"/>
    <col min="124" max="141" width="5.1640625" style="60" bestFit="1" customWidth="1"/>
    <col min="142" max="154" width="3.33203125" style="60" bestFit="1" customWidth="1"/>
    <col min="155" max="16384" width="16.1640625" style="60"/>
  </cols>
  <sheetData>
    <row r="1" spans="1:154" ht="26">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c r="EM1" s="99">
        <v>141</v>
      </c>
      <c r="EN1" s="99">
        <v>142</v>
      </c>
      <c r="EO1" s="99">
        <v>143</v>
      </c>
      <c r="EP1" s="99">
        <v>144</v>
      </c>
      <c r="EQ1" s="99">
        <v>145</v>
      </c>
      <c r="ER1" s="99">
        <v>146</v>
      </c>
      <c r="ES1" s="99">
        <v>147</v>
      </c>
      <c r="ET1" s="99">
        <v>148</v>
      </c>
      <c r="EU1" s="99">
        <v>149</v>
      </c>
      <c r="EV1" s="99">
        <v>150</v>
      </c>
      <c r="EW1" s="99">
        <v>151</v>
      </c>
      <c r="EX1" s="99">
        <v>152</v>
      </c>
    </row>
    <row r="2" spans="1:154">
      <c r="A2" s="37" t="s">
        <v>234</v>
      </c>
      <c r="B2" s="221" t="s">
        <v>684</v>
      </c>
      <c r="C2" s="101">
        <v>1</v>
      </c>
      <c r="D2" s="37">
        <v>106.124</v>
      </c>
      <c r="E2" s="37">
        <f>D2*C2</f>
        <v>106.124</v>
      </c>
      <c r="K2" s="102"/>
      <c r="M2" s="102"/>
    </row>
    <row r="3" spans="1:154">
      <c r="A3" s="37"/>
      <c r="B3" s="37"/>
      <c r="D3" s="100"/>
      <c r="E3" s="64"/>
      <c r="F3" s="103"/>
    </row>
    <row r="4" spans="1:154">
      <c r="A4" s="37"/>
      <c r="B4" s="64"/>
      <c r="D4" s="64"/>
      <c r="E4" s="64"/>
      <c r="H4" s="60" t="s">
        <v>387</v>
      </c>
    </row>
    <row r="5" spans="1:154">
      <c r="A5" s="74"/>
      <c r="B5" s="74"/>
    </row>
    <row r="6" spans="1:154">
      <c r="A6" s="59"/>
      <c r="B6" s="59"/>
      <c r="C6" s="59"/>
      <c r="D6" s="98"/>
      <c r="E6" s="98"/>
      <c r="F6" s="59"/>
      <c r="H6" s="59" t="s">
        <v>416</v>
      </c>
      <c r="I6" s="59">
        <v>43831</v>
      </c>
      <c r="J6" s="59">
        <v>43862</v>
      </c>
      <c r="K6" s="59">
        <v>43891</v>
      </c>
      <c r="L6" s="59">
        <v>43922</v>
      </c>
      <c r="M6" s="59">
        <v>43952</v>
      </c>
      <c r="N6" s="59">
        <v>43983</v>
      </c>
      <c r="O6" s="59">
        <v>44013</v>
      </c>
      <c r="P6" s="59">
        <v>44044</v>
      </c>
      <c r="Q6" s="59">
        <v>44075</v>
      </c>
      <c r="R6" s="59">
        <v>44105</v>
      </c>
      <c r="S6" s="59">
        <v>44136</v>
      </c>
      <c r="T6" s="59">
        <v>44166</v>
      </c>
      <c r="U6" s="59">
        <v>44197</v>
      </c>
      <c r="V6" s="59">
        <v>44228</v>
      </c>
      <c r="W6" s="59">
        <v>44256</v>
      </c>
      <c r="X6" s="59">
        <v>44287</v>
      </c>
      <c r="Y6" s="59">
        <v>44317</v>
      </c>
      <c r="Z6" s="59">
        <v>44348</v>
      </c>
      <c r="AA6" s="59">
        <v>44378</v>
      </c>
      <c r="AB6" s="59">
        <v>44409</v>
      </c>
      <c r="AC6" s="59">
        <v>44440</v>
      </c>
      <c r="AD6" s="59">
        <v>44470</v>
      </c>
      <c r="AE6" s="59">
        <v>44501</v>
      </c>
      <c r="AF6" s="59">
        <v>44531</v>
      </c>
      <c r="AG6" s="59">
        <v>44562</v>
      </c>
      <c r="AH6" s="59">
        <v>44593</v>
      </c>
      <c r="AI6" s="59">
        <v>44621</v>
      </c>
      <c r="AJ6" s="59">
        <v>44652</v>
      </c>
      <c r="AK6" s="59">
        <v>44682</v>
      </c>
      <c r="AL6" s="59">
        <v>44713</v>
      </c>
      <c r="AM6" s="59">
        <v>44743</v>
      </c>
      <c r="AN6" s="59">
        <v>44774</v>
      </c>
      <c r="AO6" s="59">
        <v>44805</v>
      </c>
      <c r="AP6" s="59">
        <v>44835</v>
      </c>
      <c r="AQ6" s="59">
        <v>44866</v>
      </c>
      <c r="AR6" s="59">
        <v>44896</v>
      </c>
      <c r="AS6" s="59">
        <v>44927</v>
      </c>
      <c r="AT6" s="59">
        <v>44958</v>
      </c>
      <c r="AU6" s="59">
        <v>44986</v>
      </c>
      <c r="AV6" s="59">
        <v>45017</v>
      </c>
      <c r="AW6" s="59">
        <v>45047</v>
      </c>
      <c r="AX6" s="59">
        <v>45078</v>
      </c>
      <c r="AY6" s="59">
        <v>45108</v>
      </c>
      <c r="AZ6" s="59" t="s">
        <v>530</v>
      </c>
      <c r="BA6" s="59" t="s">
        <v>531</v>
      </c>
      <c r="BB6" s="59" t="s">
        <v>532</v>
      </c>
      <c r="BC6" s="59">
        <v>37104</v>
      </c>
      <c r="BD6" s="59">
        <v>37469</v>
      </c>
      <c r="BE6" s="59" t="s">
        <v>168</v>
      </c>
      <c r="BF6" s="59" t="s">
        <v>169</v>
      </c>
      <c r="BG6" s="59" t="s">
        <v>421</v>
      </c>
      <c r="BH6" s="59" t="s">
        <v>422</v>
      </c>
      <c r="BI6" s="59" t="s">
        <v>423</v>
      </c>
      <c r="BJ6" s="59" t="s">
        <v>424</v>
      </c>
      <c r="BK6" s="59" t="s">
        <v>435</v>
      </c>
      <c r="BL6" s="59" t="s">
        <v>436</v>
      </c>
      <c r="BM6" s="59" t="s">
        <v>437</v>
      </c>
      <c r="BN6" s="59" t="s">
        <v>438</v>
      </c>
      <c r="BO6" s="59">
        <v>37196</v>
      </c>
      <c r="BP6" s="59">
        <v>37561</v>
      </c>
      <c r="BQ6" s="59">
        <v>37926</v>
      </c>
      <c r="BR6" s="59">
        <v>38292</v>
      </c>
      <c r="BS6" s="59">
        <v>37226</v>
      </c>
      <c r="BT6" s="59">
        <v>37591</v>
      </c>
      <c r="BU6" s="59">
        <v>37956</v>
      </c>
      <c r="BV6" s="59">
        <v>38322</v>
      </c>
      <c r="BW6" s="59">
        <v>36892</v>
      </c>
      <c r="BX6" s="59">
        <v>37257</v>
      </c>
      <c r="BY6" s="59">
        <v>37622</v>
      </c>
      <c r="BZ6" s="59">
        <v>37987</v>
      </c>
      <c r="CA6" s="59">
        <v>36923</v>
      </c>
      <c r="CB6" s="59">
        <v>37288</v>
      </c>
      <c r="CC6" s="59">
        <v>37653</v>
      </c>
      <c r="CD6" s="59">
        <v>38018</v>
      </c>
      <c r="CE6" s="59" t="str">
        <f>Sheet8!A15</f>
        <v>Mar-w1</v>
      </c>
      <c r="CF6" s="59">
        <v>37316</v>
      </c>
      <c r="CG6" s="59">
        <v>37681</v>
      </c>
      <c r="CH6" s="59">
        <v>38047</v>
      </c>
      <c r="CI6" s="59" t="str">
        <f>Sheet8!E15</f>
        <v>Apr-w1</v>
      </c>
      <c r="CJ6" s="59" t="str">
        <f>Sheet8!F15</f>
        <v>Apr-w2</v>
      </c>
      <c r="CK6" s="59" t="str">
        <f>Sheet8!G15</f>
        <v>Apr-w3</v>
      </c>
      <c r="CL6" s="59" t="str">
        <f>Sheet8!H15</f>
        <v>Apr-w4</v>
      </c>
      <c r="CM6" s="59" t="str">
        <f>Sheet8!I15</f>
        <v>May-w1</v>
      </c>
      <c r="CN6" s="59" t="str">
        <f>Sheet8!J15</f>
        <v>May-w2</v>
      </c>
      <c r="CO6" s="59" t="str">
        <f>Sheet8!K15</f>
        <v>May-w3</v>
      </c>
      <c r="CP6" s="59" t="str">
        <f>Sheet8!L15</f>
        <v>May-w4</v>
      </c>
      <c r="CQ6" s="59" t="str">
        <f>Sheet8!M15</f>
        <v>May-w5</v>
      </c>
      <c r="CR6" s="59" t="str">
        <f>Sheet8!N15</f>
        <v>june-w1</v>
      </c>
      <c r="CS6" s="59" t="str">
        <f>Sheet8!O15</f>
        <v>june-w2</v>
      </c>
      <c r="CT6" s="59" t="str">
        <f>Sheet8!P15</f>
        <v>june-w3</v>
      </c>
      <c r="CU6" s="59" t="str">
        <f>Sheet8!Q15</f>
        <v>june-w4</v>
      </c>
      <c r="CV6" s="59" t="str">
        <f>Sheet8!R15</f>
        <v>Jul-w1</v>
      </c>
      <c r="CW6" s="59" t="str">
        <f>Sheet8!S15</f>
        <v>Jul-w2</v>
      </c>
      <c r="CX6" s="59" t="str">
        <f>Sheet8!T15</f>
        <v>Jul-w3</v>
      </c>
      <c r="CY6" s="59" t="str">
        <f>Sheet8!U15</f>
        <v>Jul-w4</v>
      </c>
      <c r="CZ6" s="59" t="str">
        <f>Sheet8!V15</f>
        <v>Aug-w1</v>
      </c>
      <c r="DA6" s="59" t="str">
        <f>Sheet8!W15</f>
        <v>Aug-w2</v>
      </c>
      <c r="DB6" s="59" t="str">
        <f>Sheet8!X15</f>
        <v>Aug-w3</v>
      </c>
      <c r="DC6" s="59" t="str">
        <f>Sheet8!Y15</f>
        <v>Aug-w4</v>
      </c>
      <c r="DD6" s="59" t="str">
        <f>Sheet8!Z15</f>
        <v>Sep-w1</v>
      </c>
      <c r="DE6" s="59" t="str">
        <f>Sheet8!AA15</f>
        <v>Sep-w2</v>
      </c>
      <c r="DF6" s="59" t="str">
        <f>Sheet8!AB15</f>
        <v>Sep-w3</v>
      </c>
      <c r="DG6" s="59" t="str">
        <f>Sheet8!AC15</f>
        <v>Sep-w4</v>
      </c>
      <c r="DH6" s="59" t="str">
        <f>Sheet8!AD15</f>
        <v>Oct-w1</v>
      </c>
      <c r="DI6" s="59" t="str">
        <f>Sheet8!AE15</f>
        <v>Oct-w2</v>
      </c>
      <c r="DJ6" s="59" t="str">
        <f>Sheet8!AF15</f>
        <v>Oct-w3</v>
      </c>
      <c r="DK6" s="59" t="str">
        <f>Sheet8!AG15</f>
        <v>Oct-w4</v>
      </c>
      <c r="DL6" s="59" t="str">
        <f>Sheet8!AH15</f>
        <v>Nov-w1</v>
      </c>
      <c r="DM6" s="59" t="str">
        <f>Sheet8!AI15</f>
        <v>Nov-w2</v>
      </c>
      <c r="DN6" s="59" t="str">
        <f>Sheet8!AJ15</f>
        <v>Nov-w3</v>
      </c>
      <c r="DO6" s="59" t="str">
        <f>Sheet8!AK15</f>
        <v>Nov-w4</v>
      </c>
      <c r="DP6" s="59" t="str">
        <f>Sheet8!AL15</f>
        <v>Dec-w1</v>
      </c>
      <c r="DQ6" s="59" t="str">
        <f>Sheet8!AM15</f>
        <v>Dec-w2</v>
      </c>
      <c r="DR6" s="59" t="str">
        <f>Sheet8!AN15</f>
        <v>Dec-w3</v>
      </c>
      <c r="DS6" s="59" t="str">
        <f>Sheet8!AO15</f>
        <v>Dec-w4</v>
      </c>
      <c r="DT6" s="59">
        <f>Sheet8!AP15</f>
        <v>0</v>
      </c>
      <c r="DU6" s="59">
        <f>Sheet8!AQ15</f>
        <v>0</v>
      </c>
      <c r="DV6" s="59">
        <f>Sheet8!AR15</f>
        <v>0</v>
      </c>
      <c r="DW6" s="59">
        <f>Sheet8!AS15</f>
        <v>0</v>
      </c>
      <c r="DX6" s="59">
        <f>Sheet8!AT15</f>
        <v>0</v>
      </c>
      <c r="DY6" s="59">
        <f>Sheet8!AU15</f>
        <v>0</v>
      </c>
      <c r="DZ6" s="59">
        <f>Sheet8!AV15</f>
        <v>0</v>
      </c>
      <c r="EA6" s="59">
        <f>Sheet8!AW15</f>
        <v>0</v>
      </c>
      <c r="EB6" s="59">
        <f>Sheet8!AX15</f>
        <v>0</v>
      </c>
      <c r="EC6" s="59">
        <f>Sheet8!AY15</f>
        <v>0</v>
      </c>
      <c r="ED6" s="59">
        <f>Sheet8!AZ15</f>
        <v>0</v>
      </c>
      <c r="EE6" s="59">
        <f>Sheet8!BA15</f>
        <v>0</v>
      </c>
      <c r="EF6" s="59">
        <f>Sheet8!BB15</f>
        <v>0</v>
      </c>
      <c r="EG6" s="59">
        <f>Sheet8!BC15</f>
        <v>0</v>
      </c>
      <c r="EH6" s="59">
        <f>Sheet8!BD15</f>
        <v>0</v>
      </c>
      <c r="EI6" s="59">
        <f>Sheet8!BE15</f>
        <v>0</v>
      </c>
      <c r="EJ6" s="59">
        <f>Sheet8!BF15</f>
        <v>0</v>
      </c>
      <c r="EK6" s="59">
        <f>Sheet8!BG15</f>
        <v>0</v>
      </c>
    </row>
    <row r="7" spans="1:154">
      <c r="F7" s="44" t="s">
        <v>56</v>
      </c>
      <c r="G7" s="60" t="s">
        <v>685</v>
      </c>
      <c r="H7" s="112" t="s">
        <v>85</v>
      </c>
      <c r="I7" s="74">
        <f>VLOOKUP($H$7&amp;$F$1,'Input RM sheet'!$A:$BD,H1,0)</f>
        <v>0.73926447204193557</v>
      </c>
      <c r="J7" s="74">
        <f>VLOOKUP($H$7&amp;$F$1,'Input RM sheet'!$A:$BD,I1,0)</f>
        <v>0.73257958453993366</v>
      </c>
      <c r="K7" s="74">
        <f>VLOOKUP($H$7&amp;$F$1,'Input RM sheet'!$A:$BD,J1,0)</f>
        <v>0.66954397982009572</v>
      </c>
      <c r="L7" s="74">
        <f>VLOOKUP($H$7&amp;$F$1,'Input RM sheet'!$A:$BD,K1,0)</f>
        <v>0.53868738158688978</v>
      </c>
      <c r="M7" s="74">
        <f>VLOOKUP($H$7&amp;$F$1,'Input RM sheet'!$A:$BD,L1,0)</f>
        <v>0.44985920502596355</v>
      </c>
      <c r="N7" s="74">
        <f>VLOOKUP($H$7&amp;$F$1,'Input RM sheet'!$A:$BD,M1,0)</f>
        <v>0.46057684515600761</v>
      </c>
      <c r="O7" s="74">
        <f>VLOOKUP($H$7&amp;$F$1,'Input RM sheet'!$A:$BD,N1,0)</f>
        <v>0.47005029737607462</v>
      </c>
      <c r="P7" s="74">
        <f>VLOOKUP($H$7&amp;$F$1,'Input RM sheet'!$A:$BD,O1,0)</f>
        <v>0.48746923541239773</v>
      </c>
      <c r="Q7" s="74">
        <f>VLOOKUP($H$7&amp;$F$1,'Input RM sheet'!$A:$BD,P1,0)</f>
        <v>0.4800307164341554</v>
      </c>
      <c r="R7" s="74">
        <f>VLOOKUP($H$7&amp;$F$1,'Input RM sheet'!$A:$BD,Q1,0)</f>
        <v>0.48010908663308233</v>
      </c>
      <c r="S7" s="74">
        <f>VLOOKUP($H$7&amp;$F$1,'Input RM sheet'!$A:$BD,R1,0)</f>
        <v>0.4769385490946641</v>
      </c>
      <c r="T7" s="74">
        <f>VLOOKUP($H$7&amp;$F$1,'Input RM sheet'!$A:$BD,S1,0)</f>
        <v>0.51666339808275996</v>
      </c>
      <c r="U7" s="74">
        <f>VLOOKUP($H$7&amp;$F$1,'Input RM sheet'!$A:$BD,T1,0)</f>
        <v>0.5625311446201936</v>
      </c>
      <c r="V7" s="74">
        <f>VLOOKUP($H$7&amp;$F$1,'Input RM sheet'!$A:$BD,U1,0)</f>
        <v>0.62201794967262725</v>
      </c>
      <c r="W7" s="74">
        <f>VLOOKUP($H$7&amp;$F$1,'Input RM sheet'!$A:$BD,V1,0)</f>
        <v>0.72408483009557645</v>
      </c>
      <c r="X7" s="74">
        <f>VLOOKUP($H$7&amp;$F$1,'Input RM sheet'!$A:$BD,W1,0)</f>
        <v>0.75727693704973797</v>
      </c>
      <c r="Y7" s="74">
        <f>VLOOKUP($H$7&amp;$F$1,'Input RM sheet'!$A:$BD,X1,0)</f>
        <v>0.77862083962579187</v>
      </c>
      <c r="Z7" s="74">
        <f>VLOOKUP($H$7&amp;$F$1,'Input RM sheet'!$A:$BD,Y1,0)</f>
        <v>0.80406958435891696</v>
      </c>
      <c r="AA7" s="74">
        <f>VLOOKUP($H$7&amp;$F$1,'Input RM sheet'!$A:$BD,Z1,0)</f>
        <v>0.81103315941211229</v>
      </c>
      <c r="AB7" s="74">
        <f>VLOOKUP($H$7&amp;$F$1,'Input RM sheet'!$A:$BD,AA1,0)</f>
        <v>0.81745158576130617</v>
      </c>
      <c r="AC7" s="74">
        <f>VLOOKUP($H$7&amp;$F$1,'Input RM sheet'!$A:$BD,AB1,0)</f>
        <v>0.83497916516964132</v>
      </c>
      <c r="AD7" s="74">
        <f>VLOOKUP($H$7&amp;$F$1,'Input RM sheet'!$A:$BD,AC1,0)</f>
        <v>0.85324918027475305</v>
      </c>
      <c r="AE7" s="74">
        <f>VLOOKUP($H$7&amp;$F$1,'Input RM sheet'!$A:$BD,AD1,0)</f>
        <v>0.89349876797068284</v>
      </c>
      <c r="AF7" s="74">
        <f>VLOOKUP($H$7&amp;$F$1,'Input RM sheet'!$A:$BD,AE1,0)</f>
        <v>0.90130056498071764</v>
      </c>
      <c r="AG7" s="74">
        <f>VLOOKUP($H$7&amp;$F$1,'Input RM sheet'!$A:$BD,AF1,0)</f>
        <v>0.84232425107368802</v>
      </c>
      <c r="AH7" s="74">
        <f>VLOOKUP($H$7&amp;$F$1,'Input RM sheet'!$A:$BD,AG1,0)</f>
        <v>0.8458153333045445</v>
      </c>
      <c r="AI7" s="74">
        <f>VLOOKUP($H$7&amp;$F$1,'Input RM sheet'!$A:$BD,AH1,0)</f>
        <v>0.91770311827330309</v>
      </c>
      <c r="AJ7" s="74">
        <f>VLOOKUP($H$7&amp;$F$1,'Input RM sheet'!$A:$BD,AI1,0)</f>
        <v>1.1046654536902492</v>
      </c>
      <c r="AK7" s="74">
        <f>VLOOKUP($H$7&amp;$F$1,'Input RM sheet'!$A:$BD,AJ1,0)</f>
        <v>1.1279342214259058</v>
      </c>
      <c r="AL7" s="74">
        <f>VLOOKUP($H$7&amp;$F$1,'Input RM sheet'!$A:$BD,AK1,0)</f>
        <v>1.2064047548263157</v>
      </c>
      <c r="AM7" s="74">
        <f>VLOOKUP($H$7&amp;$F$1,'Input RM sheet'!$A:$BD,AL1,0)</f>
        <v>1.26656900626903</v>
      </c>
      <c r="AN7" s="74">
        <f>VLOOKUP($H$7&amp;$F$1,'Input RM sheet'!$A:$BD,AM1,0)</f>
        <v>1.21448634024517</v>
      </c>
      <c r="AO7" s="74">
        <f>VLOOKUP($H$7&amp;$F$1,'Input RM sheet'!$A:$BD,AN1,0)</f>
        <v>1.0975975399758016</v>
      </c>
      <c r="AP7" s="74">
        <f>VLOOKUP($H$7&amp;$F$1,'Input RM sheet'!$A:$BD,AO1,0)</f>
        <v>1.0780184537897088</v>
      </c>
      <c r="AQ7" s="74">
        <f>VLOOKUP($H$7&amp;$F$1,'Input RM sheet'!$A:$BD,AP1,0)</f>
        <v>1.0840225128740291</v>
      </c>
      <c r="AR7" s="74">
        <f>VLOOKUP($H$7&amp;$F$1,'Input RM sheet'!$A:$BD,AQ1,0)</f>
        <v>1.0509643861842928</v>
      </c>
      <c r="AS7" s="74">
        <f>VLOOKUP($H$7&amp;$F$1,'Input RM sheet'!$A:$BD,AR1,0)</f>
        <v>0.93720626739160129</v>
      </c>
      <c r="AT7" s="74">
        <f>VLOOKUP($H$7&amp;$F$1,'Input RM sheet'!$A:$BD,AS1,0)</f>
        <v>0.96781536534366197</v>
      </c>
      <c r="AU7" s="74">
        <f>VLOOKUP($H$7&amp;$F$1,'Input RM sheet'!$A:$BD,AT1,0)</f>
        <v>0.98864844558136955</v>
      </c>
      <c r="AV7" s="74">
        <f>VLOOKUP($H$7&amp;$F$1,'Input RM sheet'!$A:$BD,AU1,0)</f>
        <v>1.02</v>
      </c>
      <c r="AW7" s="74">
        <f>VLOOKUP($H$7&amp;$F$1,'Input RM sheet'!$A:$BD,AV1,0)</f>
        <v>1.03</v>
      </c>
      <c r="AX7" s="74">
        <f>VLOOKUP($H$7&amp;$F$1,'Input RM sheet'!$A:$BD,AW1,0)</f>
        <v>0.96</v>
      </c>
      <c r="AY7" s="74">
        <f>VLOOKUP($H$7&amp;$F$1,'Input RM sheet'!$A:$BD,AX1,0)</f>
        <v>0.96</v>
      </c>
      <c r="AZ7" s="74">
        <f>VLOOKUP($H$7&amp;$F$1,'Input RM sheet'!$A:$BD,AY1,0)</f>
        <v>0.96</v>
      </c>
      <c r="BA7" s="74">
        <f>VLOOKUP($H$7&amp;$F$1,'Input RM sheet'!$A:$BD,AZ1,0)</f>
        <v>0.96</v>
      </c>
      <c r="BB7" s="74">
        <f>VLOOKUP($H$7&amp;$F$1,'Input RM sheet'!$A:$BD,BA1,0)</f>
        <v>1.028</v>
      </c>
      <c r="BC7" s="74">
        <f>VLOOKUP($H$7&amp;$F$1,'Input RM sheet'!$A:$BD,BB1,0)</f>
        <v>1</v>
      </c>
      <c r="BD7" s="74">
        <f>VLOOKUP($H$7&amp;$F$1,'Input RM sheet'!$A:$BD,BC1,0)</f>
        <v>1</v>
      </c>
      <c r="BE7" s="74">
        <f>VLOOKUP($H$7&amp;$F$1,'Input RM sheet'!$A:$BD,BD1,0)</f>
        <v>1.02</v>
      </c>
      <c r="BF7" s="74">
        <f>VLOOKUP($H$7&amp;$F$1,'Input RM sheet'!$A:$BD,BE1,0)</f>
        <v>1.02</v>
      </c>
      <c r="BG7" s="74">
        <f>VLOOKUP($H$7&amp;$F$1,'Input RM sheet'!$A:$DD,BF1,0)</f>
        <v>0.99</v>
      </c>
      <c r="BH7" s="74">
        <f>VLOOKUP($H$7&amp;$F$1,'Input RM sheet'!$A:$DD,BG1,0)</f>
        <v>1.052</v>
      </c>
      <c r="BI7" s="74">
        <f>VLOOKUP($H$7&amp;$F$1,'Input RM sheet'!$A:$DD,BH1,0)</f>
        <v>1.093</v>
      </c>
      <c r="BJ7" s="74">
        <f>VLOOKUP($H$7&amp;$F$1,'Input RM sheet'!$A:$DD,BI1,0)</f>
        <v>1.05</v>
      </c>
      <c r="BK7" s="74">
        <f>VLOOKUP($H$7&amp;$F$1,'Input RM sheet'!$A:$DD,BJ1,0)</f>
        <v>0.91800000000000004</v>
      </c>
      <c r="BL7" s="74">
        <f>VLOOKUP($H$7&amp;$F$1,'Input RM sheet'!$A:$DD,BK1,0)</f>
        <v>0.94</v>
      </c>
      <c r="BM7" s="74">
        <f>VLOOKUP($H$7&amp;$F$1,'Input RM sheet'!$A:$DD,BL1,0)</f>
        <v>0.93400000000000005</v>
      </c>
      <c r="BN7" s="74">
        <f>VLOOKUP($H$7&amp;$F$1,'Input RM sheet'!$A:$DD,BM1,0)</f>
        <v>0.91800000000000004</v>
      </c>
      <c r="BO7" s="74">
        <f>VLOOKUP($H$7&amp;$F$1,'Input RM sheet'!$A:$DD,BN1,0)</f>
        <v>0.91800000000000004</v>
      </c>
      <c r="BP7" s="74">
        <f>VLOOKUP($H$7&amp;$F$1,'Input RM sheet'!$A:$DD,BO1,0)</f>
        <v>0.91800000000000004</v>
      </c>
      <c r="BQ7" s="74">
        <f>VLOOKUP($H$7&amp;$F$1,'Input RM sheet'!$A:$DD,BP1,0)</f>
        <v>0.91800000000000004</v>
      </c>
      <c r="BR7" s="74">
        <f>VLOOKUP($H$7&amp;$F$1,'Input RM sheet'!$A:$DD,BQ1,0)</f>
        <v>0.88200000000000001</v>
      </c>
      <c r="BS7" s="74">
        <f>VLOOKUP($H$7&amp;$F$1,'Input RM sheet'!$A:$DD,BR1,0)</f>
        <v>0.875</v>
      </c>
      <c r="BT7" s="74">
        <f>VLOOKUP($H$7&amp;$F$1,'Input RM sheet'!$A:$DD,BS1,0)</f>
        <v>0.89800000000000002</v>
      </c>
      <c r="BU7" s="74">
        <f>VLOOKUP($H$7&amp;$F$1,'Input RM sheet'!$A:$DD,BT1,0)</f>
        <v>0.84399999999999997</v>
      </c>
      <c r="BV7" s="74">
        <f>VLOOKUP($H$7&amp;$F$1,'Input RM sheet'!$A:$DD,BU1,0)</f>
        <v>0.91</v>
      </c>
      <c r="BW7" s="74">
        <f>VLOOKUP($H$7&amp;$F$1,'Input RM sheet'!$A:$DD,BV1,0)</f>
        <v>0.90500000000000003</v>
      </c>
      <c r="BX7" s="74">
        <f>VLOOKUP($H$7&amp;$F$1,'Input RM sheet'!$A:$DD,BW1,0)</f>
        <v>0.92</v>
      </c>
      <c r="BY7" s="74">
        <f>VLOOKUP($H$7&amp;$F$1,'Input RM sheet'!$A:$DD,BX1,0)</f>
        <v>0.92800000000000005</v>
      </c>
      <c r="BZ7" s="74">
        <f>VLOOKUP($H$7&amp;$F$1,'Input RM sheet'!$A:$DD,BY1,0)</f>
        <v>0.93799999999999994</v>
      </c>
      <c r="CA7" s="74">
        <f>VLOOKUP($H$7&amp;$F$1,'Input RM sheet'!$A:$DD,BZ1,0)</f>
        <v>0.93799999999999994</v>
      </c>
      <c r="CB7" s="74">
        <f>VLOOKUP($H$7&amp;$F$1,'Input RM sheet'!$A:$DD,CA1,0)</f>
        <v>0.94899999999999995</v>
      </c>
      <c r="CC7" s="74">
        <f>VLOOKUP($H$7&amp;$F$1,'Input RM sheet'!$A:$DD,CB1,0)</f>
        <v>0.95399999999999996</v>
      </c>
      <c r="CD7" s="74">
        <f>VLOOKUP($H$7&amp;$F$1,'Input RM sheet'!$A:$DD,CC1,0)</f>
        <v>0.95399999999999996</v>
      </c>
      <c r="CE7" s="74">
        <f>VLOOKUP($H$7&amp;$F$1,'Input RM sheet'!$A:$DD,CD1,0)</f>
        <v>0.91900000000000004</v>
      </c>
      <c r="CF7" s="74">
        <f>VLOOKUP($H$7&amp;$F$1,'Input RM sheet'!$A:$DD,CE1,0)</f>
        <v>0.91900000000000004</v>
      </c>
      <c r="CG7" s="74">
        <f>VLOOKUP($H$7&amp;$F$1,'Input RM sheet'!$A:$DD,CF1,0)</f>
        <v>0.97799999999999998</v>
      </c>
      <c r="CH7" s="74">
        <f>VLOOKUP($H$7&amp;$F$1,'Input RM sheet'!$A:$DD,CG1,0)</f>
        <v>0.99</v>
      </c>
      <c r="CI7" s="74">
        <f>VLOOKUP($H$7&amp;$F$1,'Input RM sheet'!$A:$DD,CH1,0)</f>
        <v>1.0229999999999999</v>
      </c>
      <c r="CJ7" s="74">
        <f>VLOOKUP($H$7&amp;$F$1,'Input RM sheet'!$A:$DD,CI1,0)</f>
        <v>1.02</v>
      </c>
      <c r="CK7" s="74">
        <f>VLOOKUP($H$7&amp;$F$1,'Input RM sheet'!$A:$DD,CJ1,0)</f>
        <v>1.02</v>
      </c>
      <c r="CL7" s="74">
        <f>VLOOKUP($H$7&amp;$F$1,'Input RM sheet'!$A:$DD,CK1,0)</f>
        <v>0.95499999999999996</v>
      </c>
      <c r="CM7" s="74">
        <f>VLOOKUP($H$7&amp;$F$1,'Input RM sheet'!$A:$DD,CL1,0)</f>
        <v>0.98799999999999999</v>
      </c>
      <c r="CN7" s="74">
        <f>VLOOKUP($H$7&amp;$F$1,'Input RM sheet'!$A:$DD,CM1,0)</f>
        <v>0.98399999999999999</v>
      </c>
      <c r="CO7" s="74">
        <f>VLOOKUP($H$7&amp;$F$1,'Input RM sheet'!$A:$DD,CN1,0)</f>
        <v>0.98199999999999998</v>
      </c>
      <c r="CP7" s="74">
        <f>VLOOKUP($H$7&amp;$F$1,'Input RM sheet'!$A:$DD,CO1,0)</f>
        <v>0.96</v>
      </c>
      <c r="CQ7" s="74">
        <f>VLOOKUP($H$7&amp;$F$1,'Input RM sheet'!$A:$DD,CP1,0)</f>
        <v>0.96</v>
      </c>
      <c r="CR7" s="74">
        <f>VLOOKUP($H$7&amp;$F$1,'Input RM sheet'!$A:$ZZ,CQ1,0)</f>
        <v>0.96899999999999997</v>
      </c>
      <c r="CS7" s="74">
        <f>VLOOKUP($H$7&amp;$F$1,'Input RM sheet'!$A:$ZZ,CR1,0)</f>
        <v>0.997</v>
      </c>
      <c r="CT7" s="74">
        <f>VLOOKUP($H$7&amp;$F$1,'Input RM sheet'!$A:$ZZ,CS1,0)</f>
        <v>0.98</v>
      </c>
      <c r="CU7" s="74">
        <f>VLOOKUP($H$7&amp;$F$1,'Input RM sheet'!$A:$ZZ,CT1,0)</f>
        <v>0.95199999999999996</v>
      </c>
      <c r="CV7" s="74">
        <f>VLOOKUP($H$7&amp;$F$1,'Input RM sheet'!$A:$ZZ,CU1,0)</f>
        <v>0.96699999999999997</v>
      </c>
      <c r="CW7" s="74">
        <f>VLOOKUP($H$7&amp;$F$1,'Input RM sheet'!$A:$ZZ,CV1,0)</f>
        <v>0.96199999999999997</v>
      </c>
      <c r="CX7" s="74">
        <f>VLOOKUP($H$7&amp;$F$1,'Input RM sheet'!$A:$ZZ,CW1,0)</f>
        <v>0.94799999999999995</v>
      </c>
      <c r="CY7" s="74">
        <f>VLOOKUP($H$7&amp;$F$1,'Input RM sheet'!$A:$ZZ,CX1,0)</f>
        <v>0.93500000000000005</v>
      </c>
      <c r="CZ7" s="74">
        <f>VLOOKUP($H$7&amp;$F$1,'Input RM sheet'!$A:$ZZ,CY1,0)</f>
        <v>0.93300000000000005</v>
      </c>
      <c r="DA7" s="74">
        <f>VLOOKUP($H$7&amp;$F$1,'Input RM sheet'!$A:$ZZ,CZ1,0)</f>
        <v>0.93300000000000005</v>
      </c>
      <c r="DB7" s="74">
        <f>VLOOKUP($H$7&amp;$F$1,'Input RM sheet'!$A:$ZZ,DA1,0)</f>
        <v>0.93899999999999995</v>
      </c>
      <c r="DC7" s="74">
        <f>VLOOKUP($H$7&amp;$F$1,'Input RM sheet'!$A:$ZZ,DB1,0)</f>
        <v>0.879</v>
      </c>
      <c r="DD7" s="74">
        <f>VLOOKUP($H$7&amp;$F$1,'Input RM sheet'!$A:$ZZ,DC1,0)</f>
        <v>0.86</v>
      </c>
      <c r="DE7" s="74">
        <f>VLOOKUP($H$7&amp;$F$1,'Input RM sheet'!$A:$ZZ,DD1,0)</f>
        <v>0.77600000000000002</v>
      </c>
      <c r="DF7" s="74">
        <f>VLOOKUP($H$7&amp;$F$1,'Input RM sheet'!$A:$ZZ,DE1,0)</f>
        <v>0.79200000000000004</v>
      </c>
      <c r="DG7" s="74">
        <f>VLOOKUP($H$7&amp;$F$1,'Input RM sheet'!$A:$ZZ,DF1,0)</f>
        <v>0.80400000000000005</v>
      </c>
      <c r="DH7" s="74">
        <f>VLOOKUP($H$7&amp;$F$1,'Input RM sheet'!$A:$ZZ,DG1,0)</f>
        <v>0.88</v>
      </c>
      <c r="DI7" s="74">
        <f>VLOOKUP($H$7&amp;$F$1,'Input RM sheet'!$A:$ZZ,DH1,0)</f>
        <v>0.88</v>
      </c>
      <c r="DJ7" s="74">
        <f>VLOOKUP($H$7&amp;$F$1,'Input RM sheet'!$A:$ZZ,DI1,0)</f>
        <v>0.88</v>
      </c>
      <c r="DK7" s="74">
        <f>VLOOKUP($H$7&amp;$F$1,'Input RM sheet'!$A:$ZZ,DJ1,0)</f>
        <v>0.879</v>
      </c>
      <c r="DL7" s="74">
        <f>VLOOKUP($H$7&amp;$F$1,'Input RM sheet'!$A:$ZZ,DK1,0)</f>
        <v>0.754</v>
      </c>
      <c r="DM7" s="74">
        <f>VLOOKUP($H$7&amp;$F$1,'Input RM sheet'!$A:$ZZ,DL1,0)</f>
        <v>0.754</v>
      </c>
      <c r="DN7" s="74">
        <f>VLOOKUP($H$7&amp;$F$1,'Input RM sheet'!$A:$ZZ,DM1,0)</f>
        <v>0.79700000000000004</v>
      </c>
      <c r="DO7" s="74">
        <f>VLOOKUP($H$7&amp;$F$1,'Input RM sheet'!$A:$ZZ,DN1,0)</f>
        <v>0.79700000000000004</v>
      </c>
      <c r="DP7" s="74">
        <f>VLOOKUP($H$7&amp;$F$1,'Input RM sheet'!$A:$ZZ,DO1,0)</f>
        <v>0.79700000000000004</v>
      </c>
      <c r="DQ7" s="74">
        <f>VLOOKUP($H$7&amp;$F$1,'Input RM sheet'!$A:$ZZ,DP1,0)</f>
        <v>0.80800000000000005</v>
      </c>
      <c r="DR7" s="74">
        <f>VLOOKUP($H$7&amp;$F$1,'Input RM sheet'!$A:$ZZ,DQ1,0)</f>
        <v>0.80800000000000005</v>
      </c>
      <c r="DS7" s="74">
        <f>VLOOKUP($H$7&amp;$F$1,'Input RM sheet'!$A:$ZZ,DR1,0)</f>
        <v>0.79900000000000004</v>
      </c>
      <c r="DT7" s="74">
        <f>VLOOKUP($H$7&amp;$F$1,'Input RM sheet'!$A:$ZZ,DS1,0)</f>
        <v>0</v>
      </c>
      <c r="DU7" s="74">
        <f>VLOOKUP($H$7&amp;$F$1,'Input RM sheet'!$A:$ZZ,DT1,0)</f>
        <v>0</v>
      </c>
      <c r="DV7" s="74">
        <f>VLOOKUP($H$7&amp;$F$1,'Input RM sheet'!$A:$ZZ,DU1,0)</f>
        <v>0</v>
      </c>
      <c r="DW7" s="74">
        <f>VLOOKUP($H$7&amp;$F$1,'Input RM sheet'!$A:$ZZ,DV1,0)</f>
        <v>0</v>
      </c>
      <c r="DX7" s="74">
        <f>VLOOKUP($H$7&amp;$F$1,'Input RM sheet'!$A:$ZZ,DW1,0)</f>
        <v>0</v>
      </c>
      <c r="DY7" s="74">
        <f>VLOOKUP($H$7&amp;$F$1,'Input RM sheet'!$A:$ZZ,DX1,0)</f>
        <v>0</v>
      </c>
      <c r="DZ7" s="74">
        <f>VLOOKUP($H$7&amp;$F$1,'Input RM sheet'!$A:$ZZ,DY1,0)</f>
        <v>0</v>
      </c>
      <c r="EA7" s="74">
        <f>VLOOKUP($H$7&amp;$F$1,'Input RM sheet'!$A:$ZZ,DZ1,0)</f>
        <v>0</v>
      </c>
      <c r="EB7" s="74">
        <f>VLOOKUP($H$7&amp;$F$1,'Input RM sheet'!$A:$ZZ,EA1,0)</f>
        <v>0</v>
      </c>
      <c r="EC7" s="74">
        <f>VLOOKUP($H$7&amp;$F$1,'Input RM sheet'!$A:$ZZ,EB1,0)</f>
        <v>0</v>
      </c>
      <c r="ED7" s="74">
        <f>VLOOKUP($H$7&amp;$F$1,'Input RM sheet'!$A:$ZZ,EC1,0)</f>
        <v>0</v>
      </c>
      <c r="EE7" s="74">
        <f>VLOOKUP($H$7&amp;$F$1,'Input RM sheet'!$A:$ZZ,ED1,0)</f>
        <v>0</v>
      </c>
      <c r="EF7" s="74">
        <f>VLOOKUP($H$7&amp;$F$1,'Input RM sheet'!$A:$ZZ,EE1,0)</f>
        <v>0</v>
      </c>
      <c r="EG7" s="74">
        <f>VLOOKUP($H$7&amp;$F$1,'Input RM sheet'!$A:$ZZ,EF1,0)</f>
        <v>0</v>
      </c>
      <c r="EH7" s="74">
        <f>VLOOKUP($H$7&amp;$F$1,'Input RM sheet'!$A:$ZZ,EG1,0)</f>
        <v>0</v>
      </c>
      <c r="EI7" s="74">
        <f>VLOOKUP($H$7&amp;$F$1,'Input RM sheet'!$A:$ZZ,EH1,0)</f>
        <v>0</v>
      </c>
      <c r="EJ7" s="74">
        <f>VLOOKUP($H$7&amp;$F$1,'Input RM sheet'!$A:$ZZ,EI1,0)</f>
        <v>0</v>
      </c>
      <c r="EK7" s="74">
        <f>VLOOKUP($H$7&amp;$F$1,'Input RM sheet'!$A:$ZZ,EJ1,0)</f>
        <v>0</v>
      </c>
    </row>
    <row r="8" spans="1:154">
      <c r="F8" s="60" t="s">
        <v>686</v>
      </c>
      <c r="G8" s="60" t="s">
        <v>685</v>
      </c>
      <c r="H8" s="112" t="s">
        <v>605</v>
      </c>
      <c r="I8" s="74">
        <f>VLOOKUP($H$8&amp;$F$1,'Input RM sheet'!$A:$BD,H1,0)</f>
        <v>5.6109925135332389E-2</v>
      </c>
      <c r="J8" s="74">
        <f>VLOOKUP($H$8&amp;$F$1,'Input RM sheet'!$A:$BD,I1,0)</f>
        <v>5.5903821908158395E-2</v>
      </c>
      <c r="K8" s="74">
        <f>VLOOKUP($H$8&amp;$F$1,'Input RM sheet'!$A:$BD,J1,0)</f>
        <v>5.3725164243026279E-2</v>
      </c>
      <c r="L8" s="74">
        <f>VLOOKUP($H$8&amp;$F$1,'Input RM sheet'!$A:$BD,K1,0)</f>
        <v>5.2457901878019117E-2</v>
      </c>
      <c r="M8" s="74">
        <f>VLOOKUP($H$8&amp;$F$1,'Input RM sheet'!$A:$BD,L1,0)</f>
        <v>5.2891688868735076E-2</v>
      </c>
      <c r="N8" s="74">
        <f>VLOOKUP($H$8&amp;$F$1,'Input RM sheet'!$A:$BD,M1,0)</f>
        <v>5.280815273385165E-2</v>
      </c>
      <c r="O8" s="74">
        <f>VLOOKUP($H$8&amp;$F$1,'Input RM sheet'!$A:$BD,N1,0)</f>
        <v>5.3387262505255863E-2</v>
      </c>
      <c r="P8" s="74">
        <f>VLOOKUP($H$8&amp;$F$1,'Input RM sheet'!$A:$BD,O1,0)</f>
        <v>5.362872496365681E-2</v>
      </c>
      <c r="Q8" s="74">
        <f>VLOOKUP($H$8&amp;$F$1,'Input RM sheet'!$A:$BD,P1,0)</f>
        <v>5.4396709216679211E-2</v>
      </c>
      <c r="R8" s="74">
        <f>VLOOKUP($H$8&amp;$F$1,'Input RM sheet'!$A:$BD,Q1,0)</f>
        <v>5.4409064901238764E-2</v>
      </c>
      <c r="S8" s="74">
        <f>VLOOKUP($H$8&amp;$F$1,'Input RM sheet'!$A:$BD,R1,0)</f>
        <v>5.3884974170462174E-2</v>
      </c>
      <c r="T8" s="74">
        <f>VLOOKUP($H$8&amp;$F$1,'Input RM sheet'!$A:$BD,S1,0)</f>
        <v>5.4250702377062344E-2</v>
      </c>
      <c r="U8" s="74">
        <f>VLOOKUP($H$8&amp;$F$1,'Input RM sheet'!$A:$BD,T1,0)</f>
        <v>5.4697114727198147E-2</v>
      </c>
      <c r="V8" s="74">
        <f>VLOOKUP($H$8&amp;$F$1,'Input RM sheet'!$A:$BD,U1,0)</f>
        <v>5.4945054945054944E-2</v>
      </c>
      <c r="W8" s="74">
        <f>VLOOKUP($H$8&amp;$F$1,'Input RM sheet'!$A:$BD,V1,0)</f>
        <v>5.4945054945054944E-2</v>
      </c>
      <c r="X8" s="74">
        <f>VLOOKUP($H$8&amp;$F$1,'Input RM sheet'!$A:$BD,W1,0)</f>
        <v>5.3727333781061114E-2</v>
      </c>
      <c r="Y8" s="74">
        <f>VLOOKUP($H$8&amp;$F$1,'Input RM sheet'!$A:$BD,X1,0)</f>
        <v>5.4607508532423209E-2</v>
      </c>
      <c r="Z8" s="74">
        <f>VLOOKUP($H$8&amp;$F$1,'Input RM sheet'!$A:$BD,Y1,0)</f>
        <v>5.4392167527875984E-2</v>
      </c>
      <c r="AA8" s="74">
        <f>VLOOKUP($H$8&amp;$F$1,'Input RM sheet'!$A:$BD,Z1,0)</f>
        <v>5.3669663222863276E-2</v>
      </c>
      <c r="AB8" s="74">
        <f>VLOOKUP($H$8&amp;$F$1,'Input RM sheet'!$A:$BD,AA1,0)</f>
        <v>5.3937432578209279E-2</v>
      </c>
      <c r="AC8" s="74">
        <f>VLOOKUP($H$8&amp;$F$1,'Input RM sheet'!$A:$BD,AB1,0)</f>
        <v>5.4384772263766146E-2</v>
      </c>
      <c r="AD8" s="74">
        <f>VLOOKUP($H$8&amp;$F$1,'Input RM sheet'!$A:$BD,AC1,0)</f>
        <v>5.3397410225604063E-2</v>
      </c>
      <c r="AE8" s="74">
        <f>VLOOKUP($H$8&amp;$F$1,'Input RM sheet'!$A:$BD,AD1,0)</f>
        <v>5.3712904525312209E-2</v>
      </c>
      <c r="AF8" s="74">
        <f>VLOOKUP($H$8&amp;$F$1,'Input RM sheet'!$A:$BD,AE1,0)</f>
        <v>5.3036329885971886E-2</v>
      </c>
      <c r="AG8" s="74">
        <f>VLOOKUP($H$8&amp;$F$1,'Input RM sheet'!$A:$BD,AF1,0)</f>
        <v>5.3727333781061114E-2</v>
      </c>
      <c r="AH8" s="74">
        <f>VLOOKUP($H$8&amp;$F$1,'Input RM sheet'!$A:$BD,AG1,0)</f>
        <v>5.3361792956243333E-2</v>
      </c>
      <c r="AI8" s="74">
        <f>VLOOKUP($H$8&amp;$F$1,'Input RM sheet'!$A:$BD,AH1,0)</f>
        <v>5.2486550321480127E-2</v>
      </c>
      <c r="AJ8" s="74">
        <f>VLOOKUP($H$8&amp;$F$1,'Input RM sheet'!$A:$BD,AI1,0)</f>
        <v>5.2348809277255978E-2</v>
      </c>
      <c r="AK8" s="74">
        <f>VLOOKUP($H$8&amp;$F$1,'Input RM sheet'!$A:$BD,AJ1,0)</f>
        <v>5.1733542509290222E-2</v>
      </c>
      <c r="AL8" s="74">
        <f>VLOOKUP($H$8&amp;$F$1,'Input RM sheet'!$A:$BD,AK1,0)</f>
        <v>5.123306637994781E-2</v>
      </c>
      <c r="AM8" s="74">
        <f>VLOOKUP($H$8&amp;$F$1,'Input RM sheet'!$A:$BD,AL1,0)</f>
        <v>5.0250276286786945E-2</v>
      </c>
      <c r="AN8" s="74">
        <f>VLOOKUP($H$8&amp;$F$1,'Input RM sheet'!$A:$BD,AM1,0)</f>
        <v>5.0284779467718851E-2</v>
      </c>
      <c r="AO8" s="74">
        <f>VLOOKUP($H$8&amp;$F$1,'Input RM sheet'!$A:$BD,AN1,0)</f>
        <v>4.9855696086928386E-2</v>
      </c>
      <c r="AP8" s="74">
        <f>VLOOKUP($H$8&amp;$F$1,'Input RM sheet'!$A:$BD,AO1,0)</f>
        <v>4.8578993593037967E-2</v>
      </c>
      <c r="AQ8" s="74">
        <f>VLOOKUP($H$8&amp;$F$1,'Input RM sheet'!$A:$BD,AP1,0)</f>
        <v>4.889346805967261E-2</v>
      </c>
      <c r="AR8" s="74">
        <f>VLOOKUP($H$8&amp;$F$1,'Input RM sheet'!$A:$BD,AQ1,0)</f>
        <v>4.8505889083457529E-2</v>
      </c>
      <c r="AS8" s="74">
        <f>VLOOKUP($H$8&amp;$F$1,'Input RM sheet'!$A:$BD,AR1,0)</f>
        <v>4.8840293055712705E-2</v>
      </c>
      <c r="AT8" s="74">
        <f>VLOOKUP($H$8&amp;$F$1,'Input RM sheet'!$A:$BD,AS1,0)</f>
        <v>4.870822736756994E-2</v>
      </c>
      <c r="AU8" s="74">
        <f>VLOOKUP($H$8&amp;$F$1,'Input RM sheet'!$A:$BD,AT1,0)</f>
        <v>4.870822736756994E-2</v>
      </c>
      <c r="AV8" s="74">
        <f>VLOOKUP($H$8&amp;$F$1,'Input RM sheet'!$A:$BD,AU1,0)</f>
        <v>4.870822736756994E-2</v>
      </c>
      <c r="AW8" s="74">
        <f>VLOOKUP($H$8&amp;$F$1,'Input RM sheet'!$A:$BD,AV1,0)</f>
        <v>4.870822736756994E-2</v>
      </c>
      <c r="AX8" s="74">
        <f>VLOOKUP($H$8&amp;$F$1,'Input RM sheet'!$A:$BD,AW1,0)</f>
        <v>4.8484848484848485E-2</v>
      </c>
      <c r="AY8" s="74">
        <f>VLOOKUP($H$8&amp;$F$1,'Input RM sheet'!$A:$BD,AX1,0)</f>
        <v>4.8520135856380396E-2</v>
      </c>
      <c r="AZ8" s="74">
        <f>VLOOKUP($H$8&amp;$F$1,'Input RM sheet'!$A:$BD,AY1,0)</f>
        <v>4.8673643222195175E-2</v>
      </c>
      <c r="BA8" s="74">
        <f>VLOOKUP($H$8&amp;$F$1,'Input RM sheet'!$A:$BD,AZ1,0)</f>
        <v>4.8828125E-2</v>
      </c>
      <c r="BB8" s="74">
        <f>VLOOKUP($H$8&amp;$F$1,'Input RM sheet'!$A:$BD,BA1,0)</f>
        <v>4.8626306831996105E-2</v>
      </c>
      <c r="BC8" s="74">
        <f>VLOOKUP($H$8&amp;$F$1,'Input RM sheet'!$A:$BD,BB1,0)</f>
        <v>4.8291681757817215E-2</v>
      </c>
      <c r="BD8" s="74">
        <f>VLOOKUP($H$8&amp;$F$1,'Input RM sheet'!$A:$BD,BC1,0)</f>
        <v>4.8048048048048048E-2</v>
      </c>
      <c r="BE8" s="74">
        <f>VLOOKUP($H$8&amp;$F$1,'Input RM sheet'!$A:$BD,BD1,0)</f>
        <v>4.8048048048048048E-2</v>
      </c>
      <c r="BF8" s="74">
        <f>VLOOKUP($H$8&amp;$F$1,'Input RM sheet'!$A:$BD,BE1,0)</f>
        <v>4.8396854204476702E-2</v>
      </c>
      <c r="BG8" s="74">
        <f>VLOOKUP($H$8&amp;$F$1,'Input RM sheet'!$A:$DD,BF1,0)</f>
        <v>4.8163756773028296E-2</v>
      </c>
      <c r="BH8" s="74">
        <f>VLOOKUP($H$8&amp;$F$1,'Input RM sheet'!$A:$DD,BG1,0)</f>
        <v>4.8227634434530986E-2</v>
      </c>
      <c r="BI8" s="74">
        <f>VLOOKUP($H$8&amp;$F$1,'Input RM sheet'!$A:$DD,BH1,0)</f>
        <v>4.8233449897503916E-2</v>
      </c>
      <c r="BJ8" s="74">
        <f>VLOOKUP($H$8&amp;$F$1,'Input RM sheet'!$A:$DD,BI1,0)</f>
        <v>4.8042277203939464E-2</v>
      </c>
      <c r="BK8" s="74">
        <f>VLOOKUP($H$8&amp;$F$1,'Input RM sheet'!$A:$DD,BJ1,0)</f>
        <v>4.8065368901706318E-2</v>
      </c>
      <c r="BL8" s="74">
        <f>VLOOKUP($H$8&amp;$F$1,'Input RM sheet'!$A:$DD,BK1,0)</f>
        <v>4.8048048048048048E-2</v>
      </c>
      <c r="BM8" s="74">
        <f>VLOOKUP($H$8&amp;$F$1,'Input RM sheet'!$A:$DD,BL1,0)</f>
        <v>4.8123195380173241E-2</v>
      </c>
      <c r="BN8" s="74">
        <f>VLOOKUP($H$8&amp;$F$1,'Input RM sheet'!$A:$DD,BM1,0)</f>
        <v>4.8042277203939464E-2</v>
      </c>
      <c r="BO8" s="74">
        <f>VLOOKUP($H$8&amp;$F$1,'Input RM sheet'!$A:$DD,BN1,0)</f>
        <v>4.8065368901706318E-2</v>
      </c>
      <c r="BP8" s="74">
        <f>VLOOKUP($H$8&amp;$F$1,'Input RM sheet'!$A:$DD,BO1,0)</f>
        <v>4.808270224786633E-2</v>
      </c>
      <c r="BQ8" s="74">
        <f>VLOOKUP($H$8&amp;$F$1,'Input RM sheet'!$A:$DD,BP1,0)</f>
        <v>4.808270224786633E-2</v>
      </c>
      <c r="BR8" s="74">
        <f>VLOOKUP($H$8&amp;$F$1,'Input RM sheet'!$A:$DD,BQ1,0)</f>
        <v>4.8001920076803074E-2</v>
      </c>
      <c r="BS8" s="74">
        <f>VLOOKUP($H$8&amp;$F$1,'Input RM sheet'!$A:$DD,BR1,0)</f>
        <v>4.7961630695443645E-2</v>
      </c>
      <c r="BT8" s="74">
        <f>VLOOKUP($H$8&amp;$F$1,'Input RM sheet'!$A:$DD,BS1,0)</f>
        <v>4.7984644913627639E-2</v>
      </c>
      <c r="BU8" s="74">
        <f>VLOOKUP($H$8&amp;$F$1,'Input RM sheet'!$A:$DD,BT1,0)</f>
        <v>4.8053820278712162E-2</v>
      </c>
      <c r="BV8" s="74">
        <f>VLOOKUP($H$8&amp;$F$1,'Input RM sheet'!$A:$DD,BU1,0)</f>
        <v>4.8007681228996645E-2</v>
      </c>
      <c r="BW8" s="74">
        <f>VLOOKUP($H$8&amp;$F$1,'Input RM sheet'!$A:$DD,BV1,0)</f>
        <v>4.8111618955977868E-2</v>
      </c>
      <c r="BX8" s="74">
        <f>VLOOKUP($H$8&amp;$F$1,'Input RM sheet'!$A:$DD,BW1,0)</f>
        <v>4.8105832832230903E-2</v>
      </c>
      <c r="BY8" s="74">
        <f>VLOOKUP($H$8&amp;$F$1,'Input RM sheet'!$A:$DD,BX1,0)</f>
        <v>4.8048048048048048E-2</v>
      </c>
      <c r="BZ8" s="74">
        <f>VLOOKUP($H$8&amp;$F$1,'Input RM sheet'!$A:$DD,BY1,0)</f>
        <v>4.8157958102576448E-2</v>
      </c>
      <c r="CA8" s="74">
        <f>VLOOKUP($H$8&amp;$F$1,'Input RM sheet'!$A:$DD,BZ1,0)</f>
        <v>4.8192771084337352E-2</v>
      </c>
      <c r="CB8" s="74">
        <f>VLOOKUP($H$8&amp;$F$1,'Input RM sheet'!$A:$DD,CA1,0)</f>
        <v>4.8186965425852303E-2</v>
      </c>
      <c r="CC8" s="74">
        <f>VLOOKUP($H$8&amp;$F$1,'Input RM sheet'!$A:$DD,CB1,0)</f>
        <v>4.8250904704463207E-2</v>
      </c>
      <c r="CD8" s="74">
        <f>VLOOKUP($H$8&amp;$F$1,'Input RM sheet'!$A:$DD,CC1,0)</f>
        <v>4.8250904704463207E-2</v>
      </c>
      <c r="CE8" s="74">
        <f>VLOOKUP($H$8&amp;$F$1,'Input RM sheet'!$A:$DD,CD1,0)</f>
        <v>4.8367593712212817E-2</v>
      </c>
      <c r="CF8" s="74">
        <f>VLOOKUP($H$8&amp;$F$1,'Input RM sheet'!$A:$DD,CE1,0)</f>
        <v>4.8332527791203478E-2</v>
      </c>
      <c r="CG8" s="74">
        <f>VLOOKUP($H$8&amp;$F$1,'Input RM sheet'!$A:$DD,CF1,0)</f>
        <v>4.8042277203939464E-2</v>
      </c>
      <c r="CH8" s="74">
        <f>VLOOKUP($H$8&amp;$F$1,'Input RM sheet'!$A:$DD,CG1,0)</f>
        <v>4.7967382180117521E-2</v>
      </c>
      <c r="CI8" s="74">
        <f>VLOOKUP($H$8&amp;$F$1,'Input RM sheet'!$A:$DD,CH1,0)</f>
        <v>4.8071145295036657E-2</v>
      </c>
      <c r="CJ8" s="74">
        <f>VLOOKUP($H$8&amp;$F$1,'Input RM sheet'!$A:$DD,CI1,0)</f>
        <v>4.7961630695443645E-2</v>
      </c>
      <c r="CK8" s="74">
        <f>VLOOKUP($H$8&amp;$F$1,'Input RM sheet'!$A:$DD,CJ1,0)</f>
        <v>4.7841167324482715E-2</v>
      </c>
      <c r="CL8" s="74">
        <f>VLOOKUP($H$8&amp;$F$1,'Input RM sheet'!$A:$DD,CK1,0)</f>
        <v>4.7950131862862622E-2</v>
      </c>
      <c r="CM8" s="74">
        <f>VLOOKUP($H$8&amp;$F$1,'Input RM sheet'!$A:$DD,CL1,0)</f>
        <v>4.790419161676647E-2</v>
      </c>
      <c r="CN8" s="74">
        <f>VLOOKUP($H$8&amp;$F$1,'Input RM sheet'!$A:$DD,CM1,0)</f>
        <v>4.799040191961608E-2</v>
      </c>
      <c r="CO8" s="74">
        <f>VLOOKUP($H$8&amp;$F$1,'Input RM sheet'!$A:$DD,CN1,0)</f>
        <v>4.799040191961608E-2</v>
      </c>
      <c r="CP8" s="74">
        <f>VLOOKUP($H$8&amp;$F$1,'Input RM sheet'!$A:$DD,CO1,0)</f>
        <v>4.799040191961608E-2</v>
      </c>
      <c r="CQ8" s="74">
        <f>VLOOKUP($H$8&amp;$F$1,'Input RM sheet'!$A:$DD,CP1,0)</f>
        <v>4.799040191961608E-2</v>
      </c>
      <c r="CR8" s="74">
        <f>VLOOKUP($H$8&amp;$F$1,'Input RM sheet'!$A:$ZZ,CQ1,0)</f>
        <v>4.7681487662415069E-2</v>
      </c>
      <c r="CS8" s="74">
        <f>VLOOKUP($H$8&amp;$F$1,'Input RM sheet'!$A:$ZZ,CR1,0)</f>
        <v>4.7961630695443645E-2</v>
      </c>
      <c r="CT8" s="74">
        <f>VLOOKUP($H$8&amp;$F$1,'Input RM sheet'!$A:$ZZ,CS1,0)</f>
        <v>4.790419161676647E-2</v>
      </c>
      <c r="CU8" s="74">
        <f>VLOOKUP($H$8&amp;$F$1,'Input RM sheet'!$A:$ZZ,CT1,0)</f>
        <v>4.7932893948472138E-2</v>
      </c>
      <c r="CV8" s="74">
        <f>VLOOKUP($H$8&amp;$F$1,'Input RM sheet'!$A:$ZZ,CU1,0)</f>
        <v>4.7921408889421348E-2</v>
      </c>
      <c r="CW8" s="74">
        <f>VLOOKUP($H$8&amp;$F$1,'Input RM sheet'!$A:$ZZ,CV1,0)</f>
        <v>4.7875523638539801E-2</v>
      </c>
      <c r="CX8" s="74">
        <f>VLOOKUP($H$8&amp;$F$1,'Input RM sheet'!$A:$ZZ,CW1,0)</f>
        <v>4.7789725209080043E-2</v>
      </c>
      <c r="CY8" s="74">
        <f>VLOOKUP($H$8&amp;$F$1,'Input RM sheet'!$A:$ZZ,CX1,0)</f>
        <v>4.7772602412516421E-2</v>
      </c>
      <c r="CZ8" s="74">
        <f>VLOOKUP($H$8&amp;$F$1,'Input RM sheet'!$A:$ZZ,CY1,0)</f>
        <v>4.7647409172126266E-2</v>
      </c>
      <c r="DA8" s="74">
        <f>VLOOKUP($H$8&amp;$F$1,'Input RM sheet'!$A:$ZZ,CZ1,0)</f>
        <v>4.7641734159123393E-2</v>
      </c>
      <c r="DB8" s="74">
        <f>VLOOKUP($H$8&amp;$F$1,'Input RM sheet'!$A:$ZZ,DA1,0)</f>
        <v>4.7675804529201428E-2</v>
      </c>
      <c r="DC8" s="74">
        <f>VLOOKUP($H$8&amp;$F$1,'Input RM sheet'!$A:$ZZ,DB1,0)</f>
        <v>4.7681487662415069E-2</v>
      </c>
      <c r="DD8" s="74">
        <f>VLOOKUP($H$8&amp;$F$1,'Input RM sheet'!$A:$ZZ,DC1,0)</f>
        <v>4.7641734159123393E-2</v>
      </c>
      <c r="DE8" s="74">
        <f>VLOOKUP($H$8&amp;$F$1,'Input RM sheet'!$A:$ZZ,DD1,0)</f>
        <v>4.7641734159123393E-2</v>
      </c>
      <c r="DF8" s="74">
        <f>VLOOKUP($H$8&amp;$F$1,'Input RM sheet'!$A:$ZZ,DE1,0)</f>
        <v>4.7858339315625748E-2</v>
      </c>
      <c r="DG8" s="74">
        <f>VLOOKUP($H$8&amp;$F$1,'Input RM sheet'!$A:$ZZ,DF1,0)</f>
        <v>4.7812574707147983E-2</v>
      </c>
      <c r="DH8" s="74">
        <f>VLOOKUP($H$8&amp;$F$1,'Input RM sheet'!$A:$ZZ,DG1,0)</f>
        <v>4.7636060497796832E-2</v>
      </c>
      <c r="DI8" s="74">
        <f>VLOOKUP($H$8&amp;$F$1,'Input RM sheet'!$A:$ZZ,DH1,0)</f>
        <v>4.7579398120613778E-2</v>
      </c>
      <c r="DJ8" s="74">
        <f>VLOOKUP($H$8&amp;$F$1,'Input RM sheet'!$A:$ZZ,DI1,0)</f>
        <v>4.7579398120613778E-2</v>
      </c>
      <c r="DK8" s="74">
        <f>VLOOKUP($H$8&amp;$F$1,'Input RM sheet'!$A:$ZZ,DJ1,0)</f>
        <v>4.7573739295908662E-2</v>
      </c>
      <c r="DL8" s="74">
        <f>VLOOKUP($H$8&amp;$F$1,'Input RM sheet'!$A:$ZZ,DK1,0)</f>
        <v>4.7551117451260103E-2</v>
      </c>
      <c r="DM8" s="74">
        <f>VLOOKUP($H$8&amp;$F$1,'Input RM sheet'!$A:$ZZ,DL1,0)</f>
        <v>4.7393364928909949E-2</v>
      </c>
      <c r="DN8" s="74">
        <f>VLOOKUP($H$8&amp;$F$1,'Input RM sheet'!$A:$ZZ,DM1,0)</f>
        <v>4.7466476800759466E-2</v>
      </c>
      <c r="DO8" s="74">
        <f>VLOOKUP($H$8&amp;$F$1,'Input RM sheet'!$A:$ZZ,DN1,0)</f>
        <v>4.7264563393595652E-2</v>
      </c>
      <c r="DP8" s="74">
        <f>VLOOKUP($H$8&amp;$F$1,'Input RM sheet'!$A:$ZZ,DO1,0)</f>
        <v>4.723107804935648E-2</v>
      </c>
      <c r="DQ8" s="74">
        <f>VLOOKUP($H$8&amp;$F$1,'Input RM sheet'!$A:$ZZ,DP1,0)</f>
        <v>4.7153129788989744E-2</v>
      </c>
      <c r="DR8" s="74">
        <f>VLOOKUP($H$8&amp;$F$1,'Input RM sheet'!$A:$ZZ,DQ1,0)</f>
        <v>4.7103155911446065E-2</v>
      </c>
      <c r="DS8" s="74">
        <f>VLOOKUP($H$8&amp;$F$1,'Input RM sheet'!$A:$ZZ,DR1,0)</f>
        <v>4.6959380136182199E-2</v>
      </c>
      <c r="DT8" s="74">
        <f>VLOOKUP($H$8&amp;$F$1,'Input RM sheet'!$A:$ZZ,DS1,0)</f>
        <v>0</v>
      </c>
      <c r="DU8" s="74">
        <f>VLOOKUP($H$8&amp;$F$1,'Input RM sheet'!$A:$ZZ,DT1,0)</f>
        <v>0</v>
      </c>
      <c r="DV8" s="74">
        <f>VLOOKUP($H$8&amp;$F$1,'Input RM sheet'!$A:$ZZ,DU1,0)</f>
        <v>0</v>
      </c>
      <c r="DW8" s="74">
        <f>VLOOKUP($H$8&amp;$F$1,'Input RM sheet'!$A:$ZZ,DV1,0)</f>
        <v>0</v>
      </c>
      <c r="DX8" s="74">
        <f>VLOOKUP($H$8&amp;$F$1,'Input RM sheet'!$A:$ZZ,DW1,0)</f>
        <v>0</v>
      </c>
      <c r="DY8" s="74">
        <f>VLOOKUP($H$8&amp;$F$1,'Input RM sheet'!$A:$ZZ,DX1,0)</f>
        <v>0</v>
      </c>
      <c r="DZ8" s="74">
        <f>VLOOKUP($H$8&amp;$F$1,'Input RM sheet'!$A:$ZZ,DY1,0)</f>
        <v>0</v>
      </c>
      <c r="EA8" s="74">
        <f>VLOOKUP($H$8&amp;$F$1,'Input RM sheet'!$A:$ZZ,DZ1,0)</f>
        <v>0</v>
      </c>
      <c r="EB8" s="74">
        <f>VLOOKUP($H$8&amp;$F$1,'Input RM sheet'!$A:$ZZ,EA1,0)</f>
        <v>0</v>
      </c>
      <c r="EC8" s="74">
        <f>VLOOKUP($H$8&amp;$F$1,'Input RM sheet'!$A:$ZZ,EB1,0)</f>
        <v>0</v>
      </c>
      <c r="ED8" s="74">
        <f>VLOOKUP($H$8&amp;$F$1,'Input RM sheet'!$A:$ZZ,EC1,0)</f>
        <v>0</v>
      </c>
      <c r="EE8" s="74">
        <f>VLOOKUP($H$8&amp;$F$1,'Input RM sheet'!$A:$ZZ,ED1,0)</f>
        <v>0</v>
      </c>
      <c r="EF8" s="74">
        <f>VLOOKUP($H$8&amp;$F$1,'Input RM sheet'!$A:$ZZ,EE1,0)</f>
        <v>0</v>
      </c>
      <c r="EG8" s="74">
        <f>VLOOKUP($H$8&amp;$F$1,'Input RM sheet'!$A:$ZZ,EF1,0)</f>
        <v>0</v>
      </c>
      <c r="EH8" s="74">
        <f>VLOOKUP($H$8&amp;$F$1,'Input RM sheet'!$A:$ZZ,EG1,0)</f>
        <v>0</v>
      </c>
      <c r="EI8" s="74">
        <f>VLOOKUP($H$8&amp;$F$1,'Input RM sheet'!$A:$ZZ,EH1,0)</f>
        <v>0</v>
      </c>
      <c r="EJ8" s="74">
        <f>VLOOKUP($H$8&amp;$F$1,'Input RM sheet'!$A:$ZZ,EI1,0)</f>
        <v>0</v>
      </c>
      <c r="EK8" s="74">
        <f>VLOOKUP($H$8&amp;$F$1,'Input RM sheet'!$A:$ZZ,EJ1,0)</f>
        <v>0</v>
      </c>
    </row>
    <row r="9" spans="1:154" ht="26">
      <c r="A9" s="59" t="s">
        <v>395</v>
      </c>
      <c r="B9" s="59"/>
      <c r="C9" s="59" t="s">
        <v>379</v>
      </c>
      <c r="D9" s="98" t="s">
        <v>380</v>
      </c>
      <c r="E9" s="98" t="s">
        <v>381</v>
      </c>
      <c r="F9" s="59" t="s">
        <v>396</v>
      </c>
      <c r="H9" s="60" t="s">
        <v>399</v>
      </c>
      <c r="I9" s="84"/>
      <c r="J9" s="84"/>
      <c r="K9" s="84"/>
      <c r="L9" s="84"/>
      <c r="M9" s="84"/>
      <c r="N9" s="84"/>
      <c r="O9" s="84"/>
      <c r="P9" s="84"/>
      <c r="Q9" s="84"/>
      <c r="R9" s="84"/>
      <c r="S9" s="84"/>
      <c r="T9" s="84"/>
      <c r="U9" s="84"/>
      <c r="V9" s="84"/>
      <c r="W9" s="84"/>
      <c r="X9" s="84"/>
      <c r="Y9" s="84"/>
      <c r="Z9" s="84"/>
      <c r="AA9" s="84"/>
      <c r="AB9" s="84"/>
      <c r="AC9" s="84"/>
      <c r="AD9" s="84"/>
      <c r="AE9" s="84"/>
      <c r="AF9" s="84"/>
      <c r="AG9" s="84"/>
      <c r="AH9" s="84"/>
      <c r="AI9" s="84"/>
      <c r="AJ9" s="84"/>
      <c r="AK9" s="84"/>
      <c r="AL9" s="84"/>
      <c r="AM9" s="84"/>
      <c r="AN9" s="84"/>
      <c r="AO9" s="84"/>
      <c r="AP9" s="84"/>
      <c r="AQ9" s="84"/>
      <c r="AR9" s="84"/>
      <c r="AS9" s="84"/>
      <c r="AT9" s="84"/>
      <c r="AU9" s="84"/>
      <c r="AV9" s="84"/>
      <c r="AW9" s="84"/>
      <c r="AX9" s="84"/>
      <c r="AY9" s="84"/>
      <c r="AZ9" s="84"/>
      <c r="BA9" s="84"/>
      <c r="BB9" s="84"/>
      <c r="BC9" s="84"/>
      <c r="BD9" s="84"/>
      <c r="BE9" s="84"/>
      <c r="BF9" s="84"/>
      <c r="BG9" s="84"/>
      <c r="BH9" s="84"/>
      <c r="BI9" s="84"/>
      <c r="BJ9" s="84"/>
      <c r="BK9" s="84"/>
      <c r="BL9" s="84"/>
      <c r="BM9" s="84"/>
      <c r="BN9" s="84"/>
      <c r="BO9" s="84"/>
      <c r="BP9" s="84"/>
      <c r="BQ9" s="84"/>
      <c r="BR9" s="84"/>
      <c r="BS9" s="84"/>
      <c r="BT9" s="84"/>
      <c r="BU9" s="84"/>
      <c r="BV9" s="84"/>
      <c r="BW9" s="84"/>
      <c r="BX9" s="84"/>
      <c r="BY9" s="84"/>
      <c r="BZ9" s="84"/>
      <c r="CA9" s="84"/>
      <c r="CB9" s="84"/>
      <c r="CC9" s="84"/>
      <c r="CD9" s="84"/>
      <c r="CE9" s="84"/>
      <c r="CF9" s="84"/>
      <c r="CG9" s="84"/>
      <c r="CH9" s="84"/>
      <c r="CI9" s="84"/>
      <c r="CJ9" s="84"/>
      <c r="CK9" s="84"/>
      <c r="CL9" s="84"/>
      <c r="CM9" s="84"/>
      <c r="CN9" s="84"/>
      <c r="CO9" s="84"/>
      <c r="CP9" s="84"/>
      <c r="CQ9" s="84"/>
      <c r="CR9" s="84"/>
      <c r="CS9" s="84"/>
      <c r="CT9" s="84"/>
      <c r="CU9" s="84"/>
      <c r="CV9" s="84"/>
      <c r="CW9" s="84"/>
      <c r="CX9" s="84"/>
      <c r="CY9" s="84"/>
      <c r="CZ9" s="84"/>
      <c r="DA9" s="84"/>
      <c r="DB9" s="84"/>
      <c r="DC9" s="84"/>
      <c r="DD9" s="84"/>
      <c r="DE9" s="84"/>
      <c r="DF9" s="84"/>
      <c r="DG9" s="84"/>
      <c r="DH9" s="84"/>
      <c r="DI9" s="84"/>
      <c r="DJ9" s="84"/>
      <c r="DK9" s="84"/>
      <c r="DL9" s="84"/>
      <c r="DM9" s="84"/>
      <c r="DN9" s="84"/>
      <c r="DO9" s="84"/>
      <c r="DP9" s="84"/>
      <c r="DQ9" s="84"/>
      <c r="DR9" s="84"/>
      <c r="DS9" s="84"/>
      <c r="DT9" s="84"/>
      <c r="DU9" s="84"/>
      <c r="DV9" s="84"/>
      <c r="DW9" s="84"/>
      <c r="DX9" s="84"/>
      <c r="DY9" s="84"/>
      <c r="DZ9" s="84"/>
      <c r="EA9" s="84"/>
      <c r="EB9" s="84"/>
      <c r="EC9" s="84"/>
      <c r="ED9" s="84"/>
      <c r="EE9" s="84"/>
      <c r="EF9" s="84"/>
      <c r="EG9" s="84"/>
      <c r="EH9" s="84"/>
      <c r="EI9" s="84"/>
      <c r="EJ9" s="84"/>
      <c r="EK9" s="84"/>
    </row>
    <row r="10" spans="1:154">
      <c r="A10" s="59"/>
      <c r="B10" s="59"/>
      <c r="C10" s="59"/>
      <c r="D10" s="98"/>
      <c r="E10" s="98"/>
      <c r="F10" s="59"/>
      <c r="I10" s="84"/>
      <c r="J10" s="84"/>
      <c r="K10" s="84"/>
      <c r="L10" s="84"/>
      <c r="M10" s="84"/>
      <c r="N10" s="84"/>
      <c r="O10" s="84"/>
      <c r="P10" s="84"/>
      <c r="Q10" s="84"/>
      <c r="R10" s="84"/>
      <c r="S10" s="84"/>
      <c r="T10" s="84"/>
      <c r="U10" s="84"/>
      <c r="V10" s="84"/>
      <c r="W10" s="84"/>
      <c r="X10" s="84"/>
      <c r="Y10" s="84"/>
      <c r="Z10" s="84"/>
      <c r="AA10" s="84"/>
      <c r="AB10" s="84"/>
      <c r="AC10" s="84"/>
      <c r="AD10" s="84"/>
      <c r="AE10" s="84"/>
      <c r="AF10" s="84"/>
      <c r="AG10" s="84"/>
      <c r="AH10" s="84"/>
      <c r="AI10" s="84"/>
      <c r="AJ10" s="84"/>
      <c r="AK10" s="84"/>
      <c r="AL10" s="84"/>
      <c r="AM10" s="84"/>
      <c r="AN10" s="84"/>
      <c r="AO10" s="84"/>
      <c r="AP10" s="84"/>
      <c r="AQ10" s="84"/>
      <c r="AR10" s="84"/>
      <c r="AS10" s="84"/>
      <c r="AT10" s="84"/>
      <c r="AU10" s="84"/>
      <c r="AV10" s="84"/>
      <c r="AW10" s="84"/>
      <c r="AX10" s="84"/>
      <c r="AY10" s="84"/>
      <c r="AZ10" s="84"/>
      <c r="BA10" s="84"/>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84"/>
      <c r="CE10" s="84"/>
      <c r="CF10" s="84"/>
      <c r="CG10" s="84"/>
      <c r="CH10" s="84"/>
      <c r="CI10" s="84"/>
      <c r="CJ10" s="84"/>
      <c r="CK10" s="84"/>
      <c r="CL10" s="84"/>
      <c r="CM10" s="84"/>
      <c r="CN10" s="84"/>
      <c r="CO10" s="84"/>
      <c r="CP10" s="84"/>
      <c r="CQ10" s="84"/>
      <c r="CR10" s="84"/>
      <c r="CS10" s="84"/>
      <c r="CT10" s="84"/>
      <c r="CU10" s="84"/>
      <c r="CV10" s="84"/>
      <c r="CW10" s="84"/>
      <c r="CX10" s="84"/>
      <c r="CY10" s="84"/>
      <c r="CZ10" s="84"/>
      <c r="DA10" s="84"/>
      <c r="DB10" s="84"/>
      <c r="DC10" s="84"/>
      <c r="DD10" s="84"/>
      <c r="DE10" s="84"/>
      <c r="DF10" s="84"/>
      <c r="DG10" s="84"/>
      <c r="DH10" s="84"/>
      <c r="DI10" s="84"/>
      <c r="DJ10" s="84"/>
      <c r="DK10" s="84"/>
      <c r="DL10" s="84"/>
      <c r="DM10" s="84"/>
      <c r="DN10" s="84"/>
      <c r="DO10" s="84"/>
      <c r="DP10" s="84"/>
      <c r="DQ10" s="84"/>
      <c r="DR10" s="84"/>
      <c r="DS10" s="84"/>
      <c r="DT10" s="84"/>
      <c r="DU10" s="84"/>
      <c r="DV10" s="84"/>
      <c r="DW10" s="84"/>
      <c r="DX10" s="84"/>
      <c r="DY10" s="84"/>
      <c r="DZ10" s="84"/>
      <c r="EA10" s="84"/>
      <c r="EB10" s="84"/>
      <c r="EC10" s="84"/>
      <c r="ED10" s="84"/>
      <c r="EE10" s="84"/>
      <c r="EF10" s="84"/>
      <c r="EG10" s="84"/>
      <c r="EH10" s="84"/>
      <c r="EI10" s="84"/>
      <c r="EJ10" s="84"/>
      <c r="EK10" s="84"/>
    </row>
    <row r="11" spans="1:154" ht="13">
      <c r="A11" s="107" t="s">
        <v>397</v>
      </c>
      <c r="B11" s="107" t="s">
        <v>85</v>
      </c>
      <c r="C11" s="60">
        <v>1</v>
      </c>
      <c r="D11" s="64">
        <v>92.14</v>
      </c>
      <c r="E11" s="60">
        <f>D11*C11</f>
        <v>92.14</v>
      </c>
      <c r="F11" s="328">
        <f>E11/E2</f>
        <v>0.86822961818250355</v>
      </c>
      <c r="I11" s="74">
        <f>$F$11*I7</f>
        <v>0.64185131029685982</v>
      </c>
      <c r="J11" s="74">
        <f>$F$11*J7</f>
        <v>0.63604729297340368</v>
      </c>
      <c r="K11" s="74">
        <f t="shared" ref="K11:BC11" si="0">$F$11*K7</f>
        <v>0.58131791395559562</v>
      </c>
      <c r="L11" s="74">
        <f t="shared" si="0"/>
        <v>0.46770433963491792</v>
      </c>
      <c r="M11" s="74">
        <f t="shared" si="0"/>
        <v>0.39058108581557693</v>
      </c>
      <c r="N11" s="74">
        <f t="shared" si="0"/>
        <v>0.39988645841350257</v>
      </c>
      <c r="O11" s="74">
        <f t="shared" si="0"/>
        <v>0.40811159021740151</v>
      </c>
      <c r="P11" s="74">
        <f t="shared" si="0"/>
        <v>0.42323522813782299</v>
      </c>
      <c r="Q11" s="74">
        <f t="shared" si="0"/>
        <v>0.41677688564550036</v>
      </c>
      <c r="R11" s="74">
        <f t="shared" si="0"/>
        <v>0.41684492897339159</v>
      </c>
      <c r="S11" s="74">
        <f t="shared" si="0"/>
        <v>0.41409217437697743</v>
      </c>
      <c r="T11" s="74">
        <f t="shared" si="0"/>
        <v>0.44858246484626951</v>
      </c>
      <c r="U11" s="74">
        <f t="shared" si="0"/>
        <v>0.48840620090935738</v>
      </c>
      <c r="V11" s="74">
        <f t="shared" si="0"/>
        <v>0.54005440694692886</v>
      </c>
      <c r="W11" s="74">
        <f t="shared" si="0"/>
        <v>0.6286718955656253</v>
      </c>
      <c r="X11" s="74">
        <f t="shared" si="0"/>
        <v>0.65749026591310977</v>
      </c>
      <c r="Y11" s="74">
        <f t="shared" si="0"/>
        <v>0.67602167429724158</v>
      </c>
      <c r="Z11" s="74">
        <f t="shared" si="0"/>
        <v>0.69811702822010679</v>
      </c>
      <c r="AA11" s="74">
        <f t="shared" si="0"/>
        <v>0.70416301032972783</v>
      </c>
      <c r="AB11" s="74">
        <f t="shared" si="0"/>
        <v>0.70973567818822092</v>
      </c>
      <c r="AC11" s="74">
        <f t="shared" si="0"/>
        <v>0.7249536417655833</v>
      </c>
      <c r="AD11" s="74">
        <f t="shared" si="0"/>
        <v>0.74081621000448294</v>
      </c>
      <c r="AE11" s="74">
        <f t="shared" si="0"/>
        <v>0.77576209416172326</v>
      </c>
      <c r="AF11" s="74">
        <f t="shared" si="0"/>
        <v>0.78253584540088317</v>
      </c>
      <c r="AG11" s="74">
        <f t="shared" si="0"/>
        <v>0.73133086289557137</v>
      </c>
      <c r="AH11" s="74">
        <f t="shared" si="0"/>
        <v>0.73436192388791166</v>
      </c>
      <c r="AI11" s="74">
        <f t="shared" si="0"/>
        <v>0.79677702798332284</v>
      </c>
      <c r="AJ11" s="74">
        <f t="shared" si="0"/>
        <v>0.95910326507688703</v>
      </c>
      <c r="AK11" s="74">
        <f t="shared" si="0"/>
        <v>0.97930589840359361</v>
      </c>
      <c r="AL11" s="74">
        <f t="shared" si="0"/>
        <v>1.0474363396564088</v>
      </c>
      <c r="AM11" s="74">
        <f t="shared" si="0"/>
        <v>1.0996727247147529</v>
      </c>
      <c r="AN11" s="74">
        <f t="shared" si="0"/>
        <v>1.0544530114789301</v>
      </c>
      <c r="AO11" s="74">
        <f t="shared" si="0"/>
        <v>0.95296669305124537</v>
      </c>
      <c r="AP11" s="74">
        <f t="shared" si="0"/>
        <v>0.93596755052753178</v>
      </c>
      <c r="AQ11" s="74">
        <f t="shared" si="0"/>
        <v>0.94118045245385629</v>
      </c>
      <c r="AR11" s="74">
        <f t="shared" si="0"/>
        <v>0.91247840774019773</v>
      </c>
      <c r="AS11" s="74">
        <f t="shared" si="0"/>
        <v>0.81371023969565937</v>
      </c>
      <c r="AT11" s="74">
        <f t="shared" si="0"/>
        <v>0.84028596512348785</v>
      </c>
      <c r="AU11" s="74">
        <f t="shared" si="0"/>
        <v>0.85837386242383817</v>
      </c>
      <c r="AV11" s="74">
        <f t="shared" si="0"/>
        <v>0.88559421054615362</v>
      </c>
      <c r="AW11" s="74">
        <f t="shared" si="0"/>
        <v>0.89427650672797865</v>
      </c>
      <c r="AX11" s="74">
        <f t="shared" si="0"/>
        <v>0.83350043345520342</v>
      </c>
      <c r="AY11" s="74">
        <f t="shared" si="0"/>
        <v>0.83350043345520342</v>
      </c>
      <c r="AZ11" s="74">
        <f t="shared" si="0"/>
        <v>0.83350043345520342</v>
      </c>
      <c r="BA11" s="74">
        <f t="shared" si="0"/>
        <v>0.83350043345520342</v>
      </c>
      <c r="BB11" s="74">
        <f t="shared" si="0"/>
        <v>0.89254004749161364</v>
      </c>
      <c r="BC11" s="74">
        <f t="shared" si="0"/>
        <v>0.86822961818250355</v>
      </c>
      <c r="BD11" s="74">
        <f t="shared" ref="BD11:BN11" si="1">$F$11*BD7</f>
        <v>0.86822961818250355</v>
      </c>
      <c r="BE11" s="74">
        <f t="shared" si="1"/>
        <v>0.88559421054615362</v>
      </c>
      <c r="BF11" s="74">
        <f t="shared" si="1"/>
        <v>0.88559421054615362</v>
      </c>
      <c r="BG11" s="74">
        <f t="shared" si="1"/>
        <v>0.85954732200067852</v>
      </c>
      <c r="BH11" s="74">
        <f t="shared" si="1"/>
        <v>0.91337755832799372</v>
      </c>
      <c r="BI11" s="74">
        <f t="shared" si="1"/>
        <v>0.9489749726734763</v>
      </c>
      <c r="BJ11" s="74">
        <f t="shared" si="1"/>
        <v>0.91164109909162871</v>
      </c>
      <c r="BK11" s="74">
        <f t="shared" si="1"/>
        <v>0.79703478949153828</v>
      </c>
      <c r="BL11" s="74">
        <f t="shared" si="1"/>
        <v>0.81613584109155324</v>
      </c>
      <c r="BM11" s="74">
        <f t="shared" si="1"/>
        <v>0.81092646338245833</v>
      </c>
      <c r="BN11" s="74">
        <f t="shared" si="1"/>
        <v>0.79703478949153828</v>
      </c>
      <c r="BO11" s="74">
        <f t="shared" ref="BO11:BV11" si="2">$F$11*BO7</f>
        <v>0.79703478949153828</v>
      </c>
      <c r="BP11" s="74">
        <f t="shared" si="2"/>
        <v>0.79703478949153828</v>
      </c>
      <c r="BQ11" s="74">
        <f t="shared" si="2"/>
        <v>0.79703478949153828</v>
      </c>
      <c r="BR11" s="74">
        <f t="shared" si="2"/>
        <v>0.76577852323696816</v>
      </c>
      <c r="BS11" s="74">
        <f t="shared" si="2"/>
        <v>0.75970091590969058</v>
      </c>
      <c r="BT11" s="74">
        <f t="shared" si="2"/>
        <v>0.77967019712788821</v>
      </c>
      <c r="BU11" s="74">
        <f t="shared" si="2"/>
        <v>0.73278579774603292</v>
      </c>
      <c r="BV11" s="74">
        <f t="shared" si="2"/>
        <v>0.79008895254607825</v>
      </c>
      <c r="BW11" s="74">
        <f>$F$11*BW7</f>
        <v>0.78574780445516579</v>
      </c>
      <c r="BX11" s="74">
        <f>$F$11*BX7</f>
        <v>0.79877124872790328</v>
      </c>
      <c r="BY11" s="74">
        <f>$F$11*BY7</f>
        <v>0.80571708567336331</v>
      </c>
      <c r="BZ11" s="74">
        <f t="shared" ref="BZ11:CH11" si="3">$F$11*BZ7</f>
        <v>0.81439938185518823</v>
      </c>
      <c r="CA11" s="74">
        <f t="shared" si="3"/>
        <v>0.81439938185518823</v>
      </c>
      <c r="CB11" s="74">
        <f t="shared" si="3"/>
        <v>0.82394990765519582</v>
      </c>
      <c r="CC11" s="74">
        <f t="shared" si="3"/>
        <v>0.8282910557461084</v>
      </c>
      <c r="CD11" s="74">
        <f t="shared" si="3"/>
        <v>0.8282910557461084</v>
      </c>
      <c r="CE11" s="74">
        <f t="shared" si="3"/>
        <v>0.79790301910972083</v>
      </c>
      <c r="CF11" s="74">
        <f t="shared" si="3"/>
        <v>0.79790301910972083</v>
      </c>
      <c r="CG11" s="74">
        <f t="shared" si="3"/>
        <v>0.84912856658248848</v>
      </c>
      <c r="CH11" s="74">
        <f t="shared" si="3"/>
        <v>0.85954732200067852</v>
      </c>
      <c r="CI11" s="74">
        <f>$F$11*CI7</f>
        <v>0.88819889940070107</v>
      </c>
      <c r="CJ11" s="74">
        <f>$F$11*CJ7</f>
        <v>0.88559421054615362</v>
      </c>
      <c r="CK11" s="74">
        <f>$F$11*CK7</f>
        <v>0.88559421054615362</v>
      </c>
      <c r="CL11" s="74">
        <f t="shared" ref="CL11:CQ11" si="4">$F$11*CL7</f>
        <v>0.82915928536429084</v>
      </c>
      <c r="CM11" s="74">
        <f t="shared" si="4"/>
        <v>0.85781086276431351</v>
      </c>
      <c r="CN11" s="74">
        <f t="shared" si="4"/>
        <v>0.8543379442915835</v>
      </c>
      <c r="CO11" s="74">
        <f t="shared" si="4"/>
        <v>0.85260148505521849</v>
      </c>
      <c r="CP11" s="74">
        <f t="shared" si="4"/>
        <v>0.83350043345520342</v>
      </c>
      <c r="CQ11" s="74">
        <f t="shared" si="4"/>
        <v>0.83350043345520342</v>
      </c>
      <c r="CR11" s="74">
        <f>$F$11*CR7</f>
        <v>0.84131450001884589</v>
      </c>
      <c r="CS11" s="74">
        <f t="shared" ref="CS11:EK11" si="5">$F$11*CS7</f>
        <v>0.86562492932795598</v>
      </c>
      <c r="CT11" s="74">
        <f t="shared" si="5"/>
        <v>0.85086502581885348</v>
      </c>
      <c r="CU11" s="74">
        <f t="shared" si="5"/>
        <v>0.82655459650974339</v>
      </c>
      <c r="CV11" s="74">
        <f t="shared" si="5"/>
        <v>0.83957804078248088</v>
      </c>
      <c r="CW11" s="74">
        <f t="shared" si="5"/>
        <v>0.83523689269156842</v>
      </c>
      <c r="CX11" s="74">
        <f t="shared" si="5"/>
        <v>0.82308167803701338</v>
      </c>
      <c r="CY11" s="74">
        <f t="shared" si="5"/>
        <v>0.81179469300064089</v>
      </c>
      <c r="CZ11" s="74">
        <f t="shared" si="5"/>
        <v>0.81005823376427588</v>
      </c>
      <c r="DA11" s="74">
        <f t="shared" si="5"/>
        <v>0.81005823376427588</v>
      </c>
      <c r="DB11" s="74">
        <f t="shared" si="5"/>
        <v>0.81526761147337079</v>
      </c>
      <c r="DC11" s="74">
        <f t="shared" si="5"/>
        <v>0.76317383438242059</v>
      </c>
      <c r="DD11" s="74">
        <f t="shared" si="5"/>
        <v>0.74667747163695308</v>
      </c>
      <c r="DE11" s="74">
        <f t="shared" si="5"/>
        <v>0.6737461837096228</v>
      </c>
      <c r="DF11" s="74">
        <f t="shared" si="5"/>
        <v>0.68763785760054286</v>
      </c>
      <c r="DG11" s="74">
        <f t="shared" si="5"/>
        <v>0.6980566130187329</v>
      </c>
      <c r="DH11" s="74">
        <f t="shared" si="5"/>
        <v>0.76404206400060315</v>
      </c>
      <c r="DI11" s="74">
        <f t="shared" si="5"/>
        <v>0.76404206400060315</v>
      </c>
      <c r="DJ11" s="74">
        <f t="shared" si="5"/>
        <v>0.76404206400060315</v>
      </c>
      <c r="DK11" s="74">
        <f t="shared" si="5"/>
        <v>0.76317383438242059</v>
      </c>
      <c r="DL11" s="74">
        <f t="shared" si="5"/>
        <v>0.65464513210960773</v>
      </c>
      <c r="DM11" s="74">
        <f t="shared" si="5"/>
        <v>0.65464513210960773</v>
      </c>
      <c r="DN11" s="74">
        <f t="shared" si="5"/>
        <v>0.69197900569145532</v>
      </c>
      <c r="DO11" s="74">
        <f t="shared" si="5"/>
        <v>0.69197900569145532</v>
      </c>
      <c r="DP11" s="74">
        <f t="shared" si="5"/>
        <v>0.69197900569145532</v>
      </c>
      <c r="DQ11" s="74">
        <f t="shared" si="5"/>
        <v>0.70152953149146291</v>
      </c>
      <c r="DR11" s="74">
        <f t="shared" si="5"/>
        <v>0.70152953149146291</v>
      </c>
      <c r="DS11" s="74">
        <f t="shared" si="5"/>
        <v>0.69371546492782032</v>
      </c>
      <c r="DT11" s="74">
        <f t="shared" si="5"/>
        <v>0</v>
      </c>
      <c r="DU11" s="74">
        <f t="shared" si="5"/>
        <v>0</v>
      </c>
      <c r="DV11" s="74">
        <f t="shared" si="5"/>
        <v>0</v>
      </c>
      <c r="DW11" s="74">
        <f t="shared" si="5"/>
        <v>0</v>
      </c>
      <c r="DX11" s="74">
        <f t="shared" si="5"/>
        <v>0</v>
      </c>
      <c r="DY11" s="74">
        <f t="shared" si="5"/>
        <v>0</v>
      </c>
      <c r="DZ11" s="74">
        <f t="shared" si="5"/>
        <v>0</v>
      </c>
      <c r="EA11" s="74">
        <f t="shared" si="5"/>
        <v>0</v>
      </c>
      <c r="EB11" s="74">
        <f t="shared" si="5"/>
        <v>0</v>
      </c>
      <c r="EC11" s="74">
        <f t="shared" si="5"/>
        <v>0</v>
      </c>
      <c r="ED11" s="74">
        <f t="shared" si="5"/>
        <v>0</v>
      </c>
      <c r="EE11" s="74">
        <f t="shared" si="5"/>
        <v>0</v>
      </c>
      <c r="EF11" s="74">
        <f t="shared" si="5"/>
        <v>0</v>
      </c>
      <c r="EG11" s="74">
        <f t="shared" si="5"/>
        <v>0</v>
      </c>
      <c r="EH11" s="74">
        <f t="shared" si="5"/>
        <v>0</v>
      </c>
      <c r="EI11" s="74">
        <f t="shared" si="5"/>
        <v>0</v>
      </c>
      <c r="EJ11" s="74">
        <f t="shared" si="5"/>
        <v>0</v>
      </c>
      <c r="EK11" s="74">
        <f t="shared" si="5"/>
        <v>0</v>
      </c>
    </row>
    <row r="12" spans="1:154" ht="13">
      <c r="A12" s="67"/>
      <c r="B12" s="107" t="s">
        <v>605</v>
      </c>
      <c r="C12" s="60">
        <v>1</v>
      </c>
      <c r="D12" s="64">
        <v>35.453000000000003</v>
      </c>
      <c r="E12" s="60">
        <f>D12*C12</f>
        <v>35.453000000000003</v>
      </c>
      <c r="F12" s="65">
        <f>E12/E2</f>
        <v>0.3340714635709171</v>
      </c>
      <c r="I12" s="74">
        <f>$F$12*I8</f>
        <v>1.8744724810815079E-2</v>
      </c>
      <c r="J12" s="74">
        <f>$F$12*J8</f>
        <v>1.8675871604066373E-2</v>
      </c>
      <c r="K12" s="74">
        <f t="shared" ref="K12:BC12" si="6">$F$12*K8</f>
        <v>1.7948044249255692E-2</v>
      </c>
      <c r="L12" s="74">
        <f t="shared" si="6"/>
        <v>1.7524688056249408E-2</v>
      </c>
      <c r="M12" s="74">
        <f t="shared" si="6"/>
        <v>1.7669603911115911E-2</v>
      </c>
      <c r="N12" s="74">
        <f t="shared" si="6"/>
        <v>1.7641696872274348E-2</v>
      </c>
      <c r="O12" s="74">
        <f t="shared" si="6"/>
        <v>1.7835160921175573E-2</v>
      </c>
      <c r="P12" s="74">
        <f t="shared" si="6"/>
        <v>1.7915826638051007E-2</v>
      </c>
      <c r="Q12" s="74">
        <f t="shared" si="6"/>
        <v>1.8172388261457621E-2</v>
      </c>
      <c r="R12" s="74">
        <f t="shared" si="6"/>
        <v>1.8176515943081849E-2</v>
      </c>
      <c r="S12" s="74">
        <f t="shared" si="6"/>
        <v>1.8001432185607364E-2</v>
      </c>
      <c r="T12" s="74">
        <f t="shared" si="6"/>
        <v>1.8123611542855449E-2</v>
      </c>
      <c r="U12" s="74">
        <f t="shared" si="6"/>
        <v>1.8272745170021448E-2</v>
      </c>
      <c r="V12" s="74">
        <f t="shared" si="6"/>
        <v>1.8355574921478962E-2</v>
      </c>
      <c r="W12" s="74">
        <f t="shared" si="6"/>
        <v>1.8355574921478962E-2</v>
      </c>
      <c r="X12" s="74">
        <f t="shared" si="6"/>
        <v>1.7948769030002261E-2</v>
      </c>
      <c r="Y12" s="74">
        <f t="shared" si="6"/>
        <v>1.8242810297387967E-2</v>
      </c>
      <c r="Z12" s="74">
        <f t="shared" si="6"/>
        <v>1.8170871012832043E-2</v>
      </c>
      <c r="AA12" s="74">
        <f t="shared" si="6"/>
        <v>1.7929502942220159E-2</v>
      </c>
      <c r="AB12" s="74">
        <f t="shared" si="6"/>
        <v>1.8018957042660037E-2</v>
      </c>
      <c r="AC12" s="74">
        <f t="shared" si="6"/>
        <v>1.8168400466127374E-2</v>
      </c>
      <c r="AD12" s="74">
        <f t="shared" si="6"/>
        <v>1.7838550984964206E-2</v>
      </c>
      <c r="AE12" s="74">
        <f t="shared" si="6"/>
        <v>1.7943948627415985E-2</v>
      </c>
      <c r="AF12" s="74">
        <f t="shared" si="6"/>
        <v>1.77179243474366E-2</v>
      </c>
      <c r="AG12" s="74">
        <f t="shared" si="6"/>
        <v>1.7948769030002261E-2</v>
      </c>
      <c r="AH12" s="74">
        <f t="shared" si="6"/>
        <v>1.7826652271660467E-2</v>
      </c>
      <c r="AI12" s="74">
        <f t="shared" si="6"/>
        <v>1.7534258683685456E-2</v>
      </c>
      <c r="AJ12" s="74">
        <f t="shared" si="6"/>
        <v>1.7488243331447707E-2</v>
      </c>
      <c r="AK12" s="74">
        <f t="shared" si="6"/>
        <v>1.728270026178684E-2</v>
      </c>
      <c r="AL12" s="74">
        <f t="shared" si="6"/>
        <v>1.7115505468775112E-2</v>
      </c>
      <c r="AM12" s="74">
        <f t="shared" si="6"/>
        <v>1.6787183343969864E-2</v>
      </c>
      <c r="AN12" s="74">
        <f t="shared" si="6"/>
        <v>1.6798709872121637E-2</v>
      </c>
      <c r="AO12" s="74">
        <f t="shared" si="6"/>
        <v>1.665536535910701E-2</v>
      </c>
      <c r="AP12" s="74">
        <f t="shared" si="6"/>
        <v>1.6228855488428399E-2</v>
      </c>
      <c r="AQ12" s="74">
        <f t="shared" si="6"/>
        <v>1.6333912433752717E-2</v>
      </c>
      <c r="AR12" s="74">
        <f t="shared" si="6"/>
        <v>1.6204433357919226E-2</v>
      </c>
      <c r="AS12" s="74">
        <f t="shared" si="6"/>
        <v>1.6316148182354443E-2</v>
      </c>
      <c r="AT12" s="74">
        <f t="shared" si="6"/>
        <v>1.627202880462909E-2</v>
      </c>
      <c r="AU12" s="74">
        <f t="shared" si="6"/>
        <v>1.627202880462909E-2</v>
      </c>
      <c r="AV12" s="74">
        <f t="shared" si="6"/>
        <v>1.627202880462909E-2</v>
      </c>
      <c r="AW12" s="74">
        <f t="shared" si="6"/>
        <v>1.627202880462909E-2</v>
      </c>
      <c r="AX12" s="74">
        <f t="shared" si="6"/>
        <v>1.6197404294347496E-2</v>
      </c>
      <c r="AY12" s="74">
        <f t="shared" si="6"/>
        <v>1.6209192798200732E-2</v>
      </c>
      <c r="AZ12" s="74">
        <f t="shared" si="6"/>
        <v>1.6260475228567391E-2</v>
      </c>
      <c r="BA12" s="74">
        <f t="shared" si="6"/>
        <v>1.6312083182173687E-2</v>
      </c>
      <c r="BB12" s="74">
        <f t="shared" si="6"/>
        <v>1.6244661491413424E-2</v>
      </c>
      <c r="BC12" s="74">
        <f t="shared" si="6"/>
        <v>1.6132872803134957E-2</v>
      </c>
      <c r="BD12" s="74">
        <f t="shared" ref="BD12:BN12" si="7">$F$12*BD8</f>
        <v>1.6051481733137158E-2</v>
      </c>
      <c r="BE12" s="74">
        <f t="shared" si="7"/>
        <v>1.6051481733137158E-2</v>
      </c>
      <c r="BF12" s="74">
        <f t="shared" si="7"/>
        <v>1.6168007916317825E-2</v>
      </c>
      <c r="BG12" s="74">
        <f t="shared" si="7"/>
        <v>1.6090136716239236E-2</v>
      </c>
      <c r="BH12" s="74">
        <f t="shared" si="7"/>
        <v>1.6111476420106925E-2</v>
      </c>
      <c r="BI12" s="74">
        <f t="shared" si="7"/>
        <v>1.6113419200333635E-2</v>
      </c>
      <c r="BJ12" s="74">
        <f t="shared" si="7"/>
        <v>1.6049553858799765E-2</v>
      </c>
      <c r="BK12" s="74">
        <f t="shared" si="7"/>
        <v>1.6057268136069076E-2</v>
      </c>
      <c r="BL12" s="74">
        <f t="shared" si="7"/>
        <v>1.6051481733137158E-2</v>
      </c>
      <c r="BM12" s="74">
        <f t="shared" si="7"/>
        <v>1.607658631236367E-2</v>
      </c>
      <c r="BN12" s="74">
        <f t="shared" si="7"/>
        <v>1.6049553858799765E-2</v>
      </c>
      <c r="BO12" s="74">
        <f t="shared" ref="BO12:BV12" si="8">$F$12*BO8</f>
        <v>1.6057268136069076E-2</v>
      </c>
      <c r="BP12" s="74">
        <f t="shared" si="8"/>
        <v>1.606305871238933E-2</v>
      </c>
      <c r="BQ12" s="74">
        <f t="shared" si="8"/>
        <v>1.606305871238933E-2</v>
      </c>
      <c r="BR12" s="74">
        <f t="shared" si="8"/>
        <v>1.6036071694271792E-2</v>
      </c>
      <c r="BS12" s="74">
        <f t="shared" si="8"/>
        <v>1.6022612161674683E-2</v>
      </c>
      <c r="BT12" s="74">
        <f t="shared" si="8"/>
        <v>1.6030300555226348E-2</v>
      </c>
      <c r="BU12" s="74">
        <f t="shared" si="8"/>
        <v>1.6053410070683189E-2</v>
      </c>
      <c r="BV12" s="74">
        <f t="shared" si="8"/>
        <v>1.6037996330816953E-2</v>
      </c>
      <c r="BW12" s="74">
        <f>$F$12*BW8</f>
        <v>1.6072718959389807E-2</v>
      </c>
      <c r="BX12" s="74">
        <f>$F$12*BX8</f>
        <v>1.6070785980561254E-2</v>
      </c>
      <c r="BY12" s="74">
        <f>$F$12*BY8</f>
        <v>1.6051481733137158E-2</v>
      </c>
      <c r="BZ12" s="74">
        <f t="shared" ref="BZ12:CH12" si="9">$F$12*BZ8</f>
        <v>1.608819954591462E-2</v>
      </c>
      <c r="CA12" s="74">
        <f t="shared" si="9"/>
        <v>1.6099829569682752E-2</v>
      </c>
      <c r="CB12" s="74">
        <f t="shared" si="9"/>
        <v>1.6097890064855659E-2</v>
      </c>
      <c r="CC12" s="74">
        <f t="shared" si="9"/>
        <v>1.6119250353240872E-2</v>
      </c>
      <c r="CD12" s="74">
        <f t="shared" si="9"/>
        <v>1.6119250353240872E-2</v>
      </c>
      <c r="CE12" s="74">
        <f t="shared" si="9"/>
        <v>1.6158232820842423E-2</v>
      </c>
      <c r="CF12" s="74">
        <f t="shared" si="9"/>
        <v>1.6146518297289372E-2</v>
      </c>
      <c r="CG12" s="74">
        <f t="shared" si="9"/>
        <v>1.6049553858799765E-2</v>
      </c>
      <c r="CH12" s="74">
        <f t="shared" si="9"/>
        <v>1.6024533568577387E-2</v>
      </c>
      <c r="CI12" s="74">
        <f>$F$12*CI8</f>
        <v>1.6059197864243101E-2</v>
      </c>
      <c r="CJ12" s="74">
        <f>$F$12*CJ8</f>
        <v>1.6022612161674683E-2</v>
      </c>
      <c r="CK12" s="74">
        <f>$F$12*CK8</f>
        <v>1.5982368787031076E-2</v>
      </c>
      <c r="CL12" s="74">
        <f t="shared" ref="CL12:CQ12" si="10">$F$12*CL8</f>
        <v>1.6018770729844981E-2</v>
      </c>
      <c r="CM12" s="74">
        <f t="shared" si="10"/>
        <v>1.6003423404594833E-2</v>
      </c>
      <c r="CN12" s="74">
        <f t="shared" si="10"/>
        <v>1.6032223806642692E-2</v>
      </c>
      <c r="CO12" s="74">
        <f t="shared" si="10"/>
        <v>1.6032223806642692E-2</v>
      </c>
      <c r="CP12" s="74">
        <f t="shared" si="10"/>
        <v>1.6032223806642692E-2</v>
      </c>
      <c r="CQ12" s="74">
        <f t="shared" si="10"/>
        <v>1.6032223806642692E-2</v>
      </c>
      <c r="CR12" s="74">
        <f>$F$12*CR8</f>
        <v>1.592902436862163E-2</v>
      </c>
      <c r="CS12" s="74">
        <f t="shared" ref="CS12:EK12" si="11">$F$12*CS8</f>
        <v>1.6022612161674683E-2</v>
      </c>
      <c r="CT12" s="74">
        <f t="shared" si="11"/>
        <v>1.6003423404594833E-2</v>
      </c>
      <c r="CU12" s="74">
        <f t="shared" si="11"/>
        <v>1.6013012034555643E-2</v>
      </c>
      <c r="CV12" s="74">
        <f t="shared" si="11"/>
        <v>1.6009175204069345E-2</v>
      </c>
      <c r="CW12" s="74">
        <f t="shared" si="11"/>
        <v>1.599384625115103E-2</v>
      </c>
      <c r="CX12" s="74">
        <f t="shared" si="11"/>
        <v>1.5965183444249322E-2</v>
      </c>
      <c r="CY12" s="74">
        <f t="shared" si="11"/>
        <v>1.5959463206540885E-2</v>
      </c>
      <c r="CZ12" s="74">
        <f t="shared" si="11"/>
        <v>1.5917639717494561E-2</v>
      </c>
      <c r="DA12" s="74">
        <f t="shared" si="11"/>
        <v>1.5915743857594908E-2</v>
      </c>
      <c r="DB12" s="74">
        <f t="shared" si="11"/>
        <v>1.592712579599128E-2</v>
      </c>
      <c r="DC12" s="74">
        <f t="shared" si="11"/>
        <v>1.592902436862163E-2</v>
      </c>
      <c r="DD12" s="74">
        <f t="shared" si="11"/>
        <v>1.5915743857594908E-2</v>
      </c>
      <c r="DE12" s="74">
        <f t="shared" si="11"/>
        <v>1.5915743857594908E-2</v>
      </c>
      <c r="DF12" s="74">
        <f t="shared" si="11"/>
        <v>1.5988105459244655E-2</v>
      </c>
      <c r="DG12" s="74">
        <f t="shared" si="11"/>
        <v>1.597281680951074E-2</v>
      </c>
      <c r="DH12" s="74">
        <f t="shared" si="11"/>
        <v>1.5913848449251738E-2</v>
      </c>
      <c r="DI12" s="74">
        <f t="shared" si="11"/>
        <v>1.5894919165976788E-2</v>
      </c>
      <c r="DJ12" s="74">
        <f t="shared" si="11"/>
        <v>1.5894919165976788E-2</v>
      </c>
      <c r="DK12" s="74">
        <f t="shared" si="11"/>
        <v>1.5893028714125457E-2</v>
      </c>
      <c r="DL12" s="74">
        <f t="shared" si="11"/>
        <v>1.5885471401375039E-2</v>
      </c>
      <c r="DM12" s="74">
        <f t="shared" si="11"/>
        <v>1.5832770785351519E-2</v>
      </c>
      <c r="DN12" s="74">
        <f t="shared" si="11"/>
        <v>1.5857195375384697E-2</v>
      </c>
      <c r="DO12" s="74">
        <f t="shared" si="11"/>
        <v>1.578974186793889E-2</v>
      </c>
      <c r="DP12" s="74">
        <f t="shared" si="11"/>
        <v>1.5778555369980737E-2</v>
      </c>
      <c r="DQ12" s="74">
        <f t="shared" si="11"/>
        <v>1.5752515080557212E-2</v>
      </c>
      <c r="DR12" s="74">
        <f t="shared" si="11"/>
        <v>1.5735820234145884E-2</v>
      </c>
      <c r="DS12" s="74">
        <f t="shared" si="11"/>
        <v>1.568778885047744E-2</v>
      </c>
      <c r="DT12" s="74">
        <f t="shared" si="11"/>
        <v>0</v>
      </c>
      <c r="DU12" s="74">
        <f t="shared" si="11"/>
        <v>0</v>
      </c>
      <c r="DV12" s="74">
        <f t="shared" si="11"/>
        <v>0</v>
      </c>
      <c r="DW12" s="74">
        <f t="shared" si="11"/>
        <v>0</v>
      </c>
      <c r="DX12" s="74">
        <f t="shared" si="11"/>
        <v>0</v>
      </c>
      <c r="DY12" s="74">
        <f t="shared" si="11"/>
        <v>0</v>
      </c>
      <c r="DZ12" s="74">
        <f t="shared" si="11"/>
        <v>0</v>
      </c>
      <c r="EA12" s="74">
        <f t="shared" si="11"/>
        <v>0</v>
      </c>
      <c r="EB12" s="74">
        <f t="shared" si="11"/>
        <v>0</v>
      </c>
      <c r="EC12" s="74">
        <f t="shared" si="11"/>
        <v>0</v>
      </c>
      <c r="ED12" s="74">
        <f t="shared" si="11"/>
        <v>0</v>
      </c>
      <c r="EE12" s="74">
        <f t="shared" si="11"/>
        <v>0</v>
      </c>
      <c r="EF12" s="74">
        <f t="shared" si="11"/>
        <v>0</v>
      </c>
      <c r="EG12" s="74">
        <f t="shared" si="11"/>
        <v>0</v>
      </c>
      <c r="EH12" s="74">
        <f t="shared" si="11"/>
        <v>0</v>
      </c>
      <c r="EI12" s="74">
        <f t="shared" si="11"/>
        <v>0</v>
      </c>
      <c r="EJ12" s="74">
        <f t="shared" si="11"/>
        <v>0</v>
      </c>
      <c r="EK12" s="74">
        <f t="shared" si="11"/>
        <v>0</v>
      </c>
    </row>
    <row r="13" spans="1:154" s="104" customFormat="1">
      <c r="A13" s="104" t="s">
        <v>400</v>
      </c>
      <c r="H13" s="60"/>
      <c r="I13" s="105">
        <f>SUM(I11:I12)</f>
        <v>0.66059603510767495</v>
      </c>
      <c r="J13" s="105">
        <f>SUM(J11:J12)</f>
        <v>0.65472316457747004</v>
      </c>
      <c r="K13" s="105">
        <f t="shared" ref="K13:BC13" si="12">SUM(K11:K12)</f>
        <v>0.59926595820485129</v>
      </c>
      <c r="L13" s="105">
        <f t="shared" si="12"/>
        <v>0.48522902769116733</v>
      </c>
      <c r="M13" s="105">
        <f t="shared" si="12"/>
        <v>0.40825068972669287</v>
      </c>
      <c r="N13" s="105">
        <f t="shared" si="12"/>
        <v>0.41752815528577691</v>
      </c>
      <c r="O13" s="105">
        <f t="shared" si="12"/>
        <v>0.42594675113857711</v>
      </c>
      <c r="P13" s="105">
        <f t="shared" si="12"/>
        <v>0.44115105477587402</v>
      </c>
      <c r="Q13" s="105">
        <f t="shared" si="12"/>
        <v>0.43494927390695798</v>
      </c>
      <c r="R13" s="105">
        <f t="shared" si="12"/>
        <v>0.43502144491647343</v>
      </c>
      <c r="S13" s="105">
        <f t="shared" si="12"/>
        <v>0.43209360656258478</v>
      </c>
      <c r="T13" s="105">
        <f t="shared" si="12"/>
        <v>0.46670607638912498</v>
      </c>
      <c r="U13" s="105">
        <f t="shared" si="12"/>
        <v>0.5066789460793788</v>
      </c>
      <c r="V13" s="105">
        <f t="shared" si="12"/>
        <v>0.55840998186840785</v>
      </c>
      <c r="W13" s="105">
        <f t="shared" si="12"/>
        <v>0.64702747048710429</v>
      </c>
      <c r="X13" s="105">
        <f t="shared" si="12"/>
        <v>0.67543903494311208</v>
      </c>
      <c r="Y13" s="105">
        <f t="shared" si="12"/>
        <v>0.69426448459462953</v>
      </c>
      <c r="Z13" s="105">
        <f t="shared" si="12"/>
        <v>0.71628789923293879</v>
      </c>
      <c r="AA13" s="105">
        <f t="shared" si="12"/>
        <v>0.72209251327194801</v>
      </c>
      <c r="AB13" s="105">
        <f t="shared" si="12"/>
        <v>0.72775463523088091</v>
      </c>
      <c r="AC13" s="105">
        <f t="shared" si="12"/>
        <v>0.74312204223171063</v>
      </c>
      <c r="AD13" s="105">
        <f t="shared" si="12"/>
        <v>0.75865476098944717</v>
      </c>
      <c r="AE13" s="105">
        <f t="shared" si="12"/>
        <v>0.79370604278913925</v>
      </c>
      <c r="AF13" s="105">
        <f t="shared" si="12"/>
        <v>0.80025376974831974</v>
      </c>
      <c r="AG13" s="105">
        <f t="shared" si="12"/>
        <v>0.74927963192557367</v>
      </c>
      <c r="AH13" s="105">
        <f t="shared" si="12"/>
        <v>0.75218857615957213</v>
      </c>
      <c r="AI13" s="105">
        <f t="shared" si="12"/>
        <v>0.81431128666700825</v>
      </c>
      <c r="AJ13" s="105">
        <f t="shared" si="12"/>
        <v>0.97659150840833475</v>
      </c>
      <c r="AK13" s="105">
        <f t="shared" si="12"/>
        <v>0.99658859866538041</v>
      </c>
      <c r="AL13" s="105">
        <f t="shared" si="12"/>
        <v>1.0645518451251839</v>
      </c>
      <c r="AM13" s="105">
        <f t="shared" si="12"/>
        <v>1.1164599080587227</v>
      </c>
      <c r="AN13" s="105">
        <f t="shared" si="12"/>
        <v>1.0712517213510517</v>
      </c>
      <c r="AO13" s="105">
        <f t="shared" si="12"/>
        <v>0.96962205841035243</v>
      </c>
      <c r="AP13" s="105">
        <f t="shared" si="12"/>
        <v>0.95219640601596023</v>
      </c>
      <c r="AQ13" s="105">
        <f t="shared" si="12"/>
        <v>0.95751436488760899</v>
      </c>
      <c r="AR13" s="105">
        <f t="shared" si="12"/>
        <v>0.92868284109811694</v>
      </c>
      <c r="AS13" s="105">
        <f t="shared" si="12"/>
        <v>0.83002638787801386</v>
      </c>
      <c r="AT13" s="105">
        <f t="shared" si="12"/>
        <v>0.85655799392811693</v>
      </c>
      <c r="AU13" s="105">
        <f t="shared" si="12"/>
        <v>0.87464589122846725</v>
      </c>
      <c r="AV13" s="105">
        <f t="shared" si="12"/>
        <v>0.90186623935078269</v>
      </c>
      <c r="AW13" s="105">
        <f t="shared" si="12"/>
        <v>0.91054853553260773</v>
      </c>
      <c r="AX13" s="105">
        <f t="shared" si="12"/>
        <v>0.84969783774955088</v>
      </c>
      <c r="AY13" s="105">
        <f t="shared" si="12"/>
        <v>0.84970962625340418</v>
      </c>
      <c r="AZ13" s="105">
        <f t="shared" si="12"/>
        <v>0.84976090868377085</v>
      </c>
      <c r="BA13" s="105">
        <f t="shared" si="12"/>
        <v>0.84981251663737711</v>
      </c>
      <c r="BB13" s="105">
        <f t="shared" si="12"/>
        <v>0.9087847089830271</v>
      </c>
      <c r="BC13" s="105">
        <f t="shared" si="12"/>
        <v>0.88436249098563846</v>
      </c>
      <c r="BD13" s="105">
        <f t="shared" ref="BD13:BN13" si="13">SUM(BD11:BD12)</f>
        <v>0.88428109991564074</v>
      </c>
      <c r="BE13" s="105">
        <f t="shared" si="13"/>
        <v>0.90164569227929081</v>
      </c>
      <c r="BF13" s="105">
        <f t="shared" si="13"/>
        <v>0.9017622184624714</v>
      </c>
      <c r="BG13" s="105">
        <f t="shared" si="13"/>
        <v>0.87563745871691778</v>
      </c>
      <c r="BH13" s="105">
        <f t="shared" si="13"/>
        <v>0.92948903474810063</v>
      </c>
      <c r="BI13" s="105">
        <f t="shared" si="13"/>
        <v>0.9650883918738099</v>
      </c>
      <c r="BJ13" s="105">
        <f t="shared" si="13"/>
        <v>0.92769065295042852</v>
      </c>
      <c r="BK13" s="105">
        <f t="shared" si="13"/>
        <v>0.81309205762760739</v>
      </c>
      <c r="BL13" s="105">
        <f t="shared" si="13"/>
        <v>0.83218732282469043</v>
      </c>
      <c r="BM13" s="105">
        <f t="shared" si="13"/>
        <v>0.82700304969482197</v>
      </c>
      <c r="BN13" s="105">
        <f t="shared" si="13"/>
        <v>0.81308434335033808</v>
      </c>
      <c r="BO13" s="105">
        <f t="shared" ref="BO13:BV13" si="14">SUM(BO11:BO12)</f>
        <v>0.81309205762760739</v>
      </c>
      <c r="BP13" s="105">
        <f t="shared" si="14"/>
        <v>0.81309784820392761</v>
      </c>
      <c r="BQ13" s="105">
        <f t="shared" si="14"/>
        <v>0.81309784820392761</v>
      </c>
      <c r="BR13" s="105">
        <f t="shared" si="14"/>
        <v>0.78181459493123995</v>
      </c>
      <c r="BS13" s="105">
        <f t="shared" si="14"/>
        <v>0.77572352807136524</v>
      </c>
      <c r="BT13" s="105">
        <f t="shared" si="14"/>
        <v>0.79570049768311457</v>
      </c>
      <c r="BU13" s="105">
        <f t="shared" si="14"/>
        <v>0.74883920781671609</v>
      </c>
      <c r="BV13" s="105">
        <f t="shared" si="14"/>
        <v>0.80612694887689518</v>
      </c>
      <c r="BW13" s="105">
        <f>SUM(BW11:BW12)</f>
        <v>0.80182052341455556</v>
      </c>
      <c r="BX13" s="105">
        <f>SUM(BX11:BX12)</f>
        <v>0.8148420347084645</v>
      </c>
      <c r="BY13" s="105">
        <f>SUM(BY11:BY12)</f>
        <v>0.82176856740650051</v>
      </c>
      <c r="BZ13" s="105">
        <f t="shared" ref="BZ13:CH13" si="15">SUM(BZ11:BZ12)</f>
        <v>0.8304875814011029</v>
      </c>
      <c r="CA13" s="105">
        <f t="shared" si="15"/>
        <v>0.83049921142487093</v>
      </c>
      <c r="CB13" s="105">
        <f t="shared" si="15"/>
        <v>0.84004779772005145</v>
      </c>
      <c r="CC13" s="105">
        <f t="shared" si="15"/>
        <v>0.84441030609934931</v>
      </c>
      <c r="CD13" s="105">
        <f t="shared" si="15"/>
        <v>0.84441030609934931</v>
      </c>
      <c r="CE13" s="105">
        <f t="shared" si="15"/>
        <v>0.81406125193056322</v>
      </c>
      <c r="CF13" s="105">
        <f t="shared" si="15"/>
        <v>0.81404953740701025</v>
      </c>
      <c r="CG13" s="105">
        <f t="shared" si="15"/>
        <v>0.86517812044128828</v>
      </c>
      <c r="CH13" s="105">
        <f t="shared" si="15"/>
        <v>0.87557185556925587</v>
      </c>
      <c r="CI13" s="105">
        <f>SUM(CI11:CI12)</f>
        <v>0.90425809726494422</v>
      </c>
      <c r="CJ13" s="105">
        <f>SUM(CJ11:CJ12)</f>
        <v>0.90161682270782828</v>
      </c>
      <c r="CK13" s="105">
        <f>SUM(CK11:CK12)</f>
        <v>0.90157657933318469</v>
      </c>
      <c r="CL13" s="105">
        <f t="shared" ref="CL13:CQ13" si="16">SUM(CL11:CL12)</f>
        <v>0.84517805609413588</v>
      </c>
      <c r="CM13" s="105">
        <f t="shared" si="16"/>
        <v>0.87381428616890833</v>
      </c>
      <c r="CN13" s="105">
        <f t="shared" si="16"/>
        <v>0.8703701680982262</v>
      </c>
      <c r="CO13" s="105">
        <f t="shared" si="16"/>
        <v>0.8686337088618612</v>
      </c>
      <c r="CP13" s="105">
        <f t="shared" si="16"/>
        <v>0.84953265726184612</v>
      </c>
      <c r="CQ13" s="105">
        <f t="shared" si="16"/>
        <v>0.84953265726184612</v>
      </c>
      <c r="CR13" s="105">
        <f>SUM(CR11:CR12)</f>
        <v>0.85724352438746754</v>
      </c>
      <c r="CS13" s="105">
        <f t="shared" ref="CS13:EK13" si="17">SUM(CS11:CS12)</f>
        <v>0.88164754148963065</v>
      </c>
      <c r="CT13" s="105">
        <f t="shared" si="17"/>
        <v>0.8668684492234483</v>
      </c>
      <c r="CU13" s="105">
        <f t="shared" si="17"/>
        <v>0.84256760854429902</v>
      </c>
      <c r="CV13" s="105">
        <f t="shared" si="17"/>
        <v>0.85558721598655019</v>
      </c>
      <c r="CW13" s="105">
        <f t="shared" si="17"/>
        <v>0.8512307389427195</v>
      </c>
      <c r="CX13" s="105">
        <f t="shared" si="17"/>
        <v>0.83904686148126273</v>
      </c>
      <c r="CY13" s="105">
        <f t="shared" si="17"/>
        <v>0.82775415620718173</v>
      </c>
      <c r="CZ13" s="105">
        <f t="shared" si="17"/>
        <v>0.82597587348177048</v>
      </c>
      <c r="DA13" s="105">
        <f t="shared" si="17"/>
        <v>0.82597397762187075</v>
      </c>
      <c r="DB13" s="105">
        <f t="shared" si="17"/>
        <v>0.83119473726936211</v>
      </c>
      <c r="DC13" s="105">
        <f t="shared" si="17"/>
        <v>0.77910285875104224</v>
      </c>
      <c r="DD13" s="105">
        <f t="shared" si="17"/>
        <v>0.76259321549454795</v>
      </c>
      <c r="DE13" s="105">
        <f t="shared" si="17"/>
        <v>0.68966192756721767</v>
      </c>
      <c r="DF13" s="105">
        <f t="shared" si="17"/>
        <v>0.70362596305978753</v>
      </c>
      <c r="DG13" s="105">
        <f t="shared" si="17"/>
        <v>0.71402942982824369</v>
      </c>
      <c r="DH13" s="105">
        <f t="shared" si="17"/>
        <v>0.77995591244985485</v>
      </c>
      <c r="DI13" s="105">
        <f t="shared" si="17"/>
        <v>0.77993698316657989</v>
      </c>
      <c r="DJ13" s="105">
        <f t="shared" si="17"/>
        <v>0.77993698316657989</v>
      </c>
      <c r="DK13" s="105">
        <f t="shared" si="17"/>
        <v>0.77906686309654605</v>
      </c>
      <c r="DL13" s="105">
        <f t="shared" si="17"/>
        <v>0.67053060351098281</v>
      </c>
      <c r="DM13" s="105">
        <f t="shared" si="17"/>
        <v>0.67047790289495923</v>
      </c>
      <c r="DN13" s="105">
        <f t="shared" si="17"/>
        <v>0.70783620106683998</v>
      </c>
      <c r="DO13" s="105">
        <f t="shared" si="17"/>
        <v>0.70776874755939423</v>
      </c>
      <c r="DP13" s="105">
        <f t="shared" si="17"/>
        <v>0.70775756106143606</v>
      </c>
      <c r="DQ13" s="105">
        <f t="shared" si="17"/>
        <v>0.7172820465720201</v>
      </c>
      <c r="DR13" s="105">
        <f t="shared" si="17"/>
        <v>0.71726535172560879</v>
      </c>
      <c r="DS13" s="105">
        <f t="shared" si="17"/>
        <v>0.70940325377829772</v>
      </c>
      <c r="DT13" s="105">
        <f t="shared" si="17"/>
        <v>0</v>
      </c>
      <c r="DU13" s="105">
        <f t="shared" si="17"/>
        <v>0</v>
      </c>
      <c r="DV13" s="105">
        <f t="shared" si="17"/>
        <v>0</v>
      </c>
      <c r="DW13" s="105">
        <f t="shared" si="17"/>
        <v>0</v>
      </c>
      <c r="DX13" s="105">
        <f t="shared" si="17"/>
        <v>0</v>
      </c>
      <c r="DY13" s="105">
        <f t="shared" si="17"/>
        <v>0</v>
      </c>
      <c r="DZ13" s="105">
        <f t="shared" si="17"/>
        <v>0</v>
      </c>
      <c r="EA13" s="105">
        <f t="shared" si="17"/>
        <v>0</v>
      </c>
      <c r="EB13" s="105">
        <f t="shared" si="17"/>
        <v>0</v>
      </c>
      <c r="EC13" s="105">
        <f t="shared" si="17"/>
        <v>0</v>
      </c>
      <c r="ED13" s="105">
        <f t="shared" si="17"/>
        <v>0</v>
      </c>
      <c r="EE13" s="105">
        <f t="shared" si="17"/>
        <v>0</v>
      </c>
      <c r="EF13" s="105">
        <f t="shared" si="17"/>
        <v>0</v>
      </c>
      <c r="EG13" s="105">
        <f t="shared" si="17"/>
        <v>0</v>
      </c>
      <c r="EH13" s="105">
        <f t="shared" si="17"/>
        <v>0</v>
      </c>
      <c r="EI13" s="105">
        <f t="shared" si="17"/>
        <v>0</v>
      </c>
      <c r="EJ13" s="105">
        <f t="shared" si="17"/>
        <v>0</v>
      </c>
      <c r="EK13" s="105">
        <f t="shared" si="17"/>
        <v>0</v>
      </c>
    </row>
    <row r="14" spans="1:154" ht="13">
      <c r="A14" s="331" t="s">
        <v>687</v>
      </c>
      <c r="H14" s="60" t="s">
        <v>429</v>
      </c>
      <c r="I14" s="74"/>
      <c r="J14" s="74">
        <v>1.4650000000000001</v>
      </c>
      <c r="K14" s="74">
        <f>145/73.45</f>
        <v>1.9741320626276377</v>
      </c>
      <c r="L14" s="74"/>
      <c r="M14" s="74"/>
      <c r="N14" s="74">
        <v>1.2749999999999999</v>
      </c>
      <c r="O14" s="74">
        <v>1.2250000000000001</v>
      </c>
      <c r="P14" s="74"/>
      <c r="Q14" s="74"/>
      <c r="R14" s="74">
        <f>92/74.5</f>
        <v>1.2348993288590604</v>
      </c>
      <c r="S14" s="74">
        <f>99/74.5</f>
        <v>1.3288590604026846</v>
      </c>
      <c r="T14" s="74"/>
      <c r="U14" s="74"/>
      <c r="V14" s="74"/>
      <c r="W14" s="74"/>
      <c r="X14" s="74"/>
      <c r="Y14" s="74"/>
      <c r="Z14" s="74">
        <v>1.9</v>
      </c>
      <c r="AA14" s="74"/>
      <c r="AB14" s="74">
        <v>1.84</v>
      </c>
      <c r="AC14" s="74">
        <f>155/74</f>
        <v>2.0945945945945947</v>
      </c>
      <c r="AD14" s="74"/>
      <c r="AE14" s="74"/>
      <c r="AF14" s="74"/>
      <c r="AG14" s="74"/>
      <c r="AH14" s="74"/>
      <c r="AI14" s="74"/>
      <c r="AJ14" s="74"/>
      <c r="AK14" s="74">
        <v>2.35</v>
      </c>
      <c r="AL14" s="74"/>
      <c r="AM14" s="74"/>
      <c r="AN14" s="74">
        <v>1.8</v>
      </c>
      <c r="AO14" s="74"/>
      <c r="AP14" s="74"/>
      <c r="AQ14" s="74"/>
      <c r="AR14" s="74"/>
      <c r="AS14" s="74">
        <f>133/81.76</f>
        <v>1.6267123287671232</v>
      </c>
      <c r="AT14" s="74"/>
      <c r="AU14" s="74"/>
      <c r="AV14" s="74">
        <v>1.62</v>
      </c>
      <c r="AW14" s="74">
        <v>1.6</v>
      </c>
      <c r="AX14" s="74"/>
      <c r="AY14" s="74"/>
      <c r="AZ14" s="74"/>
      <c r="BA14" s="74"/>
      <c r="BB14" s="74"/>
      <c r="BC14" s="74"/>
      <c r="BD14" s="74"/>
      <c r="BE14" s="74">
        <v>1.69</v>
      </c>
      <c r="BF14" s="74"/>
      <c r="BG14" s="74"/>
      <c r="BH14" s="74">
        <f>146/83</f>
        <v>1.7590361445783131</v>
      </c>
      <c r="BI14" s="74"/>
      <c r="BJ14" s="74"/>
      <c r="BK14" s="74">
        <f>130/83</f>
        <v>1.5662650602409638</v>
      </c>
      <c r="BL14" s="74"/>
      <c r="BM14" s="74"/>
      <c r="BN14" s="74"/>
      <c r="BO14" s="74">
        <f>130/83</f>
        <v>1.5662650602409638</v>
      </c>
      <c r="BP14" s="74"/>
      <c r="BQ14" s="74"/>
      <c r="BR14" s="74"/>
      <c r="BS14" s="74">
        <f>128/83</f>
        <v>1.5421686746987953</v>
      </c>
      <c r="BT14" s="74"/>
      <c r="BU14" s="74"/>
      <c r="BV14" s="74"/>
      <c r="BW14" s="74"/>
      <c r="BX14" s="74"/>
      <c r="BY14" s="74"/>
      <c r="BZ14" s="74"/>
      <c r="CA14" s="74"/>
      <c r="CB14" s="74"/>
      <c r="CC14" s="74"/>
      <c r="CD14" s="74"/>
      <c r="CE14" s="74"/>
      <c r="CF14" s="74"/>
      <c r="CG14" s="74"/>
      <c r="CH14" s="74"/>
      <c r="CI14" s="74"/>
      <c r="CJ14" s="74"/>
      <c r="CK14" s="74"/>
      <c r="CL14" s="74"/>
      <c r="CM14" s="74"/>
      <c r="CN14" s="74"/>
      <c r="CO14" s="74"/>
      <c r="CP14" s="74"/>
      <c r="CQ14" s="74"/>
      <c r="CR14" s="74"/>
      <c r="CS14" s="74"/>
      <c r="CT14" s="74"/>
      <c r="CU14" s="74"/>
      <c r="CV14" s="74">
        <v>2.12</v>
      </c>
      <c r="CW14" s="74"/>
      <c r="CX14" s="74"/>
      <c r="CY14" s="74"/>
      <c r="CZ14" s="74">
        <f>190/84</f>
        <v>2.2619047619047619</v>
      </c>
      <c r="DA14" s="74"/>
      <c r="DB14" s="74"/>
      <c r="DC14" s="74"/>
      <c r="DD14" s="74"/>
      <c r="DE14" s="74"/>
      <c r="DF14" s="74"/>
      <c r="DG14" s="74"/>
      <c r="DH14" s="74">
        <f>168/84</f>
        <v>2</v>
      </c>
      <c r="DI14" s="74"/>
      <c r="DJ14" s="74"/>
      <c r="DK14" s="74"/>
      <c r="DL14" s="74"/>
      <c r="DM14" s="74"/>
      <c r="DN14" s="74"/>
      <c r="DO14" s="74"/>
      <c r="DP14" s="74"/>
      <c r="DQ14" s="74"/>
      <c r="DR14" s="74"/>
      <c r="DS14" s="74"/>
      <c r="DT14" s="74"/>
      <c r="DU14" s="74"/>
      <c r="DV14" s="74"/>
      <c r="DW14" s="74"/>
      <c r="DX14" s="74"/>
      <c r="DY14" s="74"/>
      <c r="DZ14" s="74"/>
      <c r="EA14" s="74"/>
      <c r="EB14" s="74"/>
      <c r="EC14" s="74"/>
      <c r="ED14" s="74"/>
      <c r="EE14" s="74"/>
      <c r="EF14" s="74"/>
      <c r="EG14" s="74"/>
      <c r="EH14" s="74"/>
      <c r="EI14" s="74"/>
      <c r="EJ14" s="74"/>
      <c r="EK14" s="74"/>
    </row>
    <row r="15" spans="1:154">
      <c r="H15" s="60" t="s">
        <v>406</v>
      </c>
      <c r="I15" s="74"/>
      <c r="J15" s="74">
        <f>J14-J13</f>
        <v>0.81027683542253004</v>
      </c>
      <c r="K15" s="74">
        <f>K14-K13</f>
        <v>1.3748661044227863</v>
      </c>
      <c r="L15" s="74"/>
      <c r="M15" s="74"/>
      <c r="N15" s="74">
        <f>N14-N13</f>
        <v>0.857471844714223</v>
      </c>
      <c r="O15" s="74">
        <f>O14-O13</f>
        <v>0.79905324886142304</v>
      </c>
      <c r="P15" s="74"/>
      <c r="Q15" s="74"/>
      <c r="R15" s="74">
        <f>R14-R13</f>
        <v>0.79987788394258696</v>
      </c>
      <c r="S15" s="74">
        <f>S14-S13</f>
        <v>0.89676545384009987</v>
      </c>
      <c r="T15" s="74"/>
      <c r="U15" s="74"/>
      <c r="V15" s="74"/>
      <c r="W15" s="74"/>
      <c r="X15" s="74"/>
      <c r="Y15" s="74"/>
      <c r="Z15" s="74">
        <f>Z14-Z13</f>
        <v>1.1837121007670612</v>
      </c>
      <c r="AA15" s="74"/>
      <c r="AB15" s="74">
        <f>AB14-AB13</f>
        <v>1.1122453647691191</v>
      </c>
      <c r="AC15" s="74">
        <f>AC14-AC13</f>
        <v>1.3514725523628841</v>
      </c>
      <c r="AD15" s="74"/>
      <c r="AE15" s="74"/>
      <c r="AF15" s="74"/>
      <c r="AG15" s="74"/>
      <c r="AH15" s="74"/>
      <c r="AI15" s="74"/>
      <c r="AJ15" s="74"/>
      <c r="AK15" s="74">
        <f>AK14-AK13</f>
        <v>1.3534114013346197</v>
      </c>
      <c r="AL15" s="74"/>
      <c r="AM15" s="74"/>
      <c r="AN15" s="74">
        <f>AN14-AN13</f>
        <v>0.72874827864894831</v>
      </c>
      <c r="AO15" s="74"/>
      <c r="AP15" s="74"/>
      <c r="AQ15" s="74"/>
      <c r="AR15" s="74"/>
      <c r="AS15" s="74">
        <f>AS14-AS13</f>
        <v>0.79668594088910938</v>
      </c>
      <c r="AT15" s="74"/>
      <c r="AU15" s="74"/>
      <c r="AV15" s="74">
        <f>AV14-AV13</f>
        <v>0.71813376064921741</v>
      </c>
      <c r="AW15" s="74">
        <f>AW14-AW13</f>
        <v>0.68945146446739236</v>
      </c>
      <c r="AX15" s="74"/>
      <c r="AY15" s="74"/>
      <c r="AZ15" s="74"/>
      <c r="BA15" s="74"/>
      <c r="BB15" s="74"/>
      <c r="BC15" s="74"/>
      <c r="BD15" s="74"/>
      <c r="BE15" s="74">
        <f>BE14-BE13</f>
        <v>0.78835430772070914</v>
      </c>
      <c r="BF15" s="74"/>
      <c r="BG15" s="74"/>
      <c r="BH15" s="74">
        <f>BH14-BH13</f>
        <v>0.82954710983021251</v>
      </c>
      <c r="BI15" s="74"/>
      <c r="BJ15" s="74"/>
      <c r="BK15" s="74">
        <f>BK14-BK13</f>
        <v>0.7531730026133564</v>
      </c>
      <c r="BL15" s="74"/>
      <c r="BM15" s="74"/>
      <c r="BN15" s="74"/>
      <c r="BO15" s="74">
        <f>BO14-BO13</f>
        <v>0.7531730026133564</v>
      </c>
      <c r="BP15" s="74"/>
      <c r="BQ15" s="74"/>
      <c r="BR15" s="74"/>
      <c r="BS15" s="74">
        <f>BS14-BS13</f>
        <v>0.76644514662743002</v>
      </c>
      <c r="BT15" s="74"/>
      <c r="BU15" s="74"/>
      <c r="BV15" s="74"/>
      <c r="BW15" s="74"/>
      <c r="BX15" s="74"/>
      <c r="BY15" s="74"/>
      <c r="BZ15" s="74"/>
      <c r="CA15" s="74"/>
      <c r="CB15" s="74"/>
      <c r="CC15" s="74"/>
      <c r="CD15" s="74"/>
      <c r="CE15" s="74"/>
      <c r="CF15" s="74"/>
      <c r="CG15" s="74"/>
      <c r="CH15" s="74"/>
      <c r="CI15" s="74"/>
      <c r="CJ15" s="74"/>
      <c r="CK15" s="74"/>
      <c r="CL15" s="74"/>
      <c r="CM15" s="74"/>
      <c r="CN15" s="74"/>
      <c r="CO15" s="74"/>
      <c r="CP15" s="74"/>
      <c r="CQ15" s="74"/>
      <c r="CR15" s="74"/>
      <c r="CS15" s="74"/>
      <c r="CT15" s="74"/>
      <c r="CU15" s="74"/>
      <c r="CV15" s="74">
        <f>CV14-CV13</f>
        <v>1.2644127840134498</v>
      </c>
      <c r="CW15" s="74"/>
      <c r="CX15" s="74"/>
      <c r="CY15" s="74"/>
      <c r="CZ15" s="74">
        <f>CZ14-CZ13</f>
        <v>1.4359288884229913</v>
      </c>
      <c r="DA15" s="74"/>
      <c r="DB15" s="74"/>
      <c r="DC15" s="74"/>
      <c r="DD15" s="74"/>
      <c r="DE15" s="74"/>
      <c r="DF15" s="74"/>
      <c r="DG15" s="74"/>
      <c r="DH15" s="74">
        <f>DH14-DH13</f>
        <v>1.220044087550145</v>
      </c>
      <c r="DI15" s="74"/>
      <c r="DJ15" s="74"/>
      <c r="DK15" s="74"/>
      <c r="DL15" s="74"/>
      <c r="DM15" s="74"/>
      <c r="DN15" s="74"/>
      <c r="DO15" s="74"/>
      <c r="DP15" s="74"/>
      <c r="DQ15" s="74"/>
      <c r="DR15" s="74"/>
      <c r="DS15" s="74"/>
      <c r="DT15" s="74"/>
      <c r="DU15" s="74"/>
      <c r="DV15" s="74"/>
      <c r="DW15" s="74"/>
      <c r="DX15" s="74"/>
      <c r="DY15" s="74"/>
      <c r="DZ15" s="74"/>
      <c r="EA15" s="74"/>
      <c r="EB15" s="74"/>
      <c r="EC15" s="74"/>
      <c r="ED15" s="74"/>
      <c r="EE15" s="74"/>
      <c r="EF15" s="74"/>
      <c r="EG15" s="74"/>
      <c r="EH15" s="74"/>
      <c r="EI15" s="74"/>
      <c r="EJ15" s="74"/>
      <c r="EK15" s="74"/>
    </row>
    <row r="17" spans="1:141" ht="13" thickBot="1"/>
    <row r="18" spans="1:141" ht="13" thickBot="1">
      <c r="H18" s="106" t="s">
        <v>407</v>
      </c>
      <c r="I18" s="109">
        <f>0.72+I13</f>
        <v>1.3805960351076749</v>
      </c>
      <c r="J18" s="109">
        <f t="shared" ref="J18:BO18" si="18">0.72+J13</f>
        <v>1.37472316457747</v>
      </c>
      <c r="K18" s="109">
        <f t="shared" si="18"/>
        <v>1.3192659582048512</v>
      </c>
      <c r="L18" s="109">
        <f t="shared" si="18"/>
        <v>1.2052290276911672</v>
      </c>
      <c r="M18" s="109">
        <f t="shared" si="18"/>
        <v>1.1282506897266928</v>
      </c>
      <c r="N18" s="109">
        <f t="shared" si="18"/>
        <v>1.1375281552857768</v>
      </c>
      <c r="O18" s="109">
        <f t="shared" si="18"/>
        <v>1.145946751138577</v>
      </c>
      <c r="P18" s="109">
        <f t="shared" si="18"/>
        <v>1.1611510547758739</v>
      </c>
      <c r="Q18" s="109">
        <f t="shared" si="18"/>
        <v>1.154949273906958</v>
      </c>
      <c r="R18" s="109">
        <f t="shared" si="18"/>
        <v>1.1550214449164735</v>
      </c>
      <c r="S18" s="109">
        <f t="shared" si="18"/>
        <v>1.1520936065625849</v>
      </c>
      <c r="T18" s="109">
        <f t="shared" si="18"/>
        <v>1.1867060763891248</v>
      </c>
      <c r="U18" s="109">
        <f t="shared" si="18"/>
        <v>1.2266789460793788</v>
      </c>
      <c r="V18" s="109">
        <f t="shared" si="18"/>
        <v>1.2784099818684078</v>
      </c>
      <c r="W18" s="109">
        <f t="shared" si="18"/>
        <v>1.3670274704871042</v>
      </c>
      <c r="X18" s="109">
        <f t="shared" si="18"/>
        <v>1.3954390349431121</v>
      </c>
      <c r="Y18" s="109">
        <f t="shared" si="18"/>
        <v>1.4142644845946295</v>
      </c>
      <c r="Z18" s="109">
        <f t="shared" si="18"/>
        <v>1.4362878992329389</v>
      </c>
      <c r="AA18" s="109">
        <f t="shared" si="18"/>
        <v>1.442092513271948</v>
      </c>
      <c r="AB18" s="109">
        <f t="shared" si="18"/>
        <v>1.447754635230881</v>
      </c>
      <c r="AC18" s="109">
        <f t="shared" si="18"/>
        <v>1.4631220422317106</v>
      </c>
      <c r="AD18" s="109">
        <f t="shared" si="18"/>
        <v>1.4786547609894471</v>
      </c>
      <c r="AE18" s="109">
        <f t="shared" si="18"/>
        <v>1.5137060427891393</v>
      </c>
      <c r="AF18" s="109">
        <f t="shared" si="18"/>
        <v>1.5202537697483196</v>
      </c>
      <c r="AG18" s="109">
        <f t="shared" si="18"/>
        <v>1.4692796319255736</v>
      </c>
      <c r="AH18" s="109">
        <f t="shared" si="18"/>
        <v>1.4721885761595721</v>
      </c>
      <c r="AI18" s="109">
        <f t="shared" si="18"/>
        <v>1.5343112866670081</v>
      </c>
      <c r="AJ18" s="109">
        <f t="shared" si="18"/>
        <v>1.6965915084083347</v>
      </c>
      <c r="AK18" s="109">
        <f t="shared" si="18"/>
        <v>1.7165885986653804</v>
      </c>
      <c r="AL18" s="109">
        <f t="shared" si="18"/>
        <v>1.7845518451251838</v>
      </c>
      <c r="AM18" s="109">
        <f t="shared" si="18"/>
        <v>1.8364599080587227</v>
      </c>
      <c r="AN18" s="109">
        <f t="shared" si="18"/>
        <v>1.7912517213510517</v>
      </c>
      <c r="AO18" s="109">
        <f t="shared" si="18"/>
        <v>1.6896220584103525</v>
      </c>
      <c r="AP18" s="109">
        <f t="shared" si="18"/>
        <v>1.6721964060159602</v>
      </c>
      <c r="AQ18" s="109">
        <f t="shared" si="18"/>
        <v>1.677514364887609</v>
      </c>
      <c r="AR18" s="109">
        <f t="shared" si="18"/>
        <v>1.6486828410981169</v>
      </c>
      <c r="AS18" s="109">
        <f t="shared" si="18"/>
        <v>1.5500263878780138</v>
      </c>
      <c r="AT18" s="109">
        <f t="shared" si="18"/>
        <v>1.5765579939281169</v>
      </c>
      <c r="AU18" s="109">
        <f t="shared" si="18"/>
        <v>1.5946458912284673</v>
      </c>
      <c r="AV18" s="109">
        <f t="shared" si="18"/>
        <v>1.6218662393507826</v>
      </c>
      <c r="AW18" s="109">
        <f t="shared" si="18"/>
        <v>1.6305485355326077</v>
      </c>
      <c r="AX18" s="109">
        <f t="shared" si="18"/>
        <v>1.5696978377495507</v>
      </c>
      <c r="AY18" s="109">
        <f t="shared" si="18"/>
        <v>1.5697096262534043</v>
      </c>
      <c r="AZ18" s="109">
        <f t="shared" si="18"/>
        <v>1.5697609086837709</v>
      </c>
      <c r="BA18" s="109">
        <f t="shared" si="18"/>
        <v>1.5698125166373771</v>
      </c>
      <c r="BB18" s="109">
        <f t="shared" si="18"/>
        <v>1.628784708983027</v>
      </c>
      <c r="BC18" s="109">
        <f t="shared" si="18"/>
        <v>1.6043624909856384</v>
      </c>
      <c r="BD18" s="109">
        <f t="shared" si="18"/>
        <v>1.6042810999156407</v>
      </c>
      <c r="BE18" s="109">
        <f t="shared" si="18"/>
        <v>1.6216456922792908</v>
      </c>
      <c r="BF18" s="109">
        <f t="shared" si="18"/>
        <v>1.6217622184624714</v>
      </c>
      <c r="BG18" s="109">
        <f t="shared" si="18"/>
        <v>1.5956374587169178</v>
      </c>
      <c r="BH18" s="109">
        <f t="shared" si="18"/>
        <v>1.6494890347481006</v>
      </c>
      <c r="BI18" s="109">
        <f t="shared" si="18"/>
        <v>1.6850883918738098</v>
      </c>
      <c r="BJ18" s="109">
        <f t="shared" si="18"/>
        <v>1.6476906529504285</v>
      </c>
      <c r="BK18" s="109">
        <f t="shared" si="18"/>
        <v>1.5330920576276075</v>
      </c>
      <c r="BL18" s="109">
        <f t="shared" si="18"/>
        <v>1.5521873228246905</v>
      </c>
      <c r="BM18" s="109">
        <f t="shared" si="18"/>
        <v>1.5470030496948219</v>
      </c>
      <c r="BN18" s="109">
        <f t="shared" si="18"/>
        <v>1.5330843433503381</v>
      </c>
      <c r="BO18" s="109">
        <f t="shared" si="18"/>
        <v>1.5330920576276075</v>
      </c>
      <c r="BP18" s="109">
        <f t="shared" ref="BP18:BV18" si="19">0.72+BP13</f>
        <v>1.5330978482039277</v>
      </c>
      <c r="BQ18" s="109">
        <f t="shared" si="19"/>
        <v>1.5330978482039277</v>
      </c>
      <c r="BR18" s="109">
        <f t="shared" si="19"/>
        <v>1.5018145949312398</v>
      </c>
      <c r="BS18" s="109">
        <f t="shared" si="19"/>
        <v>1.4957235280713652</v>
      </c>
      <c r="BT18" s="109">
        <f t="shared" si="19"/>
        <v>1.5157004976831145</v>
      </c>
      <c r="BU18" s="109">
        <f t="shared" si="19"/>
        <v>1.4688392078167161</v>
      </c>
      <c r="BV18" s="109">
        <f t="shared" si="19"/>
        <v>1.5261269488768952</v>
      </c>
      <c r="BW18" s="109">
        <f>0.72+BW13</f>
        <v>1.5218205234145556</v>
      </c>
      <c r="BX18" s="109">
        <f>0.72+BX13</f>
        <v>1.5348420347084644</v>
      </c>
      <c r="BY18" s="109">
        <f>0.72+BY13</f>
        <v>1.5417685674065005</v>
      </c>
      <c r="BZ18" s="109">
        <f t="shared" ref="BZ18:CH18" si="20">0.72+BZ13</f>
        <v>1.5504875814011028</v>
      </c>
      <c r="CA18" s="109">
        <f t="shared" si="20"/>
        <v>1.5504992114248708</v>
      </c>
      <c r="CB18" s="109">
        <f t="shared" si="20"/>
        <v>1.5600477977200513</v>
      </c>
      <c r="CC18" s="109">
        <f t="shared" si="20"/>
        <v>1.5644103060993493</v>
      </c>
      <c r="CD18" s="109">
        <f t="shared" si="20"/>
        <v>1.5644103060993493</v>
      </c>
      <c r="CE18" s="109">
        <f t="shared" si="20"/>
        <v>1.5340612519305632</v>
      </c>
      <c r="CF18" s="109">
        <f t="shared" si="20"/>
        <v>1.5340495374070102</v>
      </c>
      <c r="CG18" s="109">
        <f t="shared" si="20"/>
        <v>1.5851781204412883</v>
      </c>
      <c r="CH18" s="109">
        <f t="shared" si="20"/>
        <v>1.595571855569256</v>
      </c>
      <c r="CI18" s="109">
        <f>0.72+CI13</f>
        <v>1.6242580972649443</v>
      </c>
      <c r="CJ18" s="109">
        <f>0.72+CJ13</f>
        <v>1.6216168227078283</v>
      </c>
      <c r="CK18" s="109">
        <f>0.72+CK13</f>
        <v>1.6215765793331847</v>
      </c>
      <c r="CL18" s="109">
        <f t="shared" ref="CL18:CQ18" si="21">0.72+CL13</f>
        <v>1.565178056094136</v>
      </c>
      <c r="CM18" s="109">
        <f t="shared" si="21"/>
        <v>1.5938142861689082</v>
      </c>
      <c r="CN18" s="109">
        <f t="shared" si="21"/>
        <v>1.5903701680982261</v>
      </c>
      <c r="CO18" s="109">
        <f t="shared" si="21"/>
        <v>1.5886337088618612</v>
      </c>
      <c r="CP18" s="109">
        <f t="shared" si="21"/>
        <v>1.569532657261846</v>
      </c>
      <c r="CQ18" s="109">
        <f t="shared" si="21"/>
        <v>1.569532657261846</v>
      </c>
      <c r="CR18" s="109">
        <f>0.72+CR13</f>
        <v>1.5772435243874674</v>
      </c>
      <c r="CS18" s="109">
        <f t="shared" ref="CS18:EK18" si="22">0.72+CS13</f>
        <v>1.6016475414896307</v>
      </c>
      <c r="CT18" s="109">
        <f t="shared" si="22"/>
        <v>1.5868684492234482</v>
      </c>
      <c r="CU18" s="109">
        <f t="shared" si="22"/>
        <v>1.562567608544299</v>
      </c>
      <c r="CV18" s="109">
        <f t="shared" si="22"/>
        <v>1.57558721598655</v>
      </c>
      <c r="CW18" s="109">
        <f t="shared" si="22"/>
        <v>1.5712307389427194</v>
      </c>
      <c r="CX18" s="109">
        <f t="shared" si="22"/>
        <v>1.5590468614812627</v>
      </c>
      <c r="CY18" s="109">
        <f t="shared" si="22"/>
        <v>1.5477541562071817</v>
      </c>
      <c r="CZ18" s="109">
        <f t="shared" si="22"/>
        <v>1.5459758734817703</v>
      </c>
      <c r="DA18" s="109">
        <f t="shared" si="22"/>
        <v>1.5459739776218706</v>
      </c>
      <c r="DB18" s="109">
        <f t="shared" si="22"/>
        <v>1.5511947372693622</v>
      </c>
      <c r="DC18" s="109">
        <f t="shared" si="22"/>
        <v>1.4991028587510422</v>
      </c>
      <c r="DD18" s="109">
        <f t="shared" si="22"/>
        <v>1.482593215494548</v>
      </c>
      <c r="DE18" s="109">
        <f t="shared" si="22"/>
        <v>1.4096619275672175</v>
      </c>
      <c r="DF18" s="109">
        <f t="shared" si="22"/>
        <v>1.4236259630597874</v>
      </c>
      <c r="DG18" s="109">
        <f t="shared" si="22"/>
        <v>1.4340294298282437</v>
      </c>
      <c r="DH18" s="109">
        <f t="shared" si="22"/>
        <v>1.4999559124498547</v>
      </c>
      <c r="DI18" s="109">
        <f t="shared" si="22"/>
        <v>1.4999369831665799</v>
      </c>
      <c r="DJ18" s="109">
        <f t="shared" si="22"/>
        <v>1.4999369831665799</v>
      </c>
      <c r="DK18" s="109">
        <f t="shared" si="22"/>
        <v>1.499066863096546</v>
      </c>
      <c r="DL18" s="109">
        <f t="shared" si="22"/>
        <v>1.3905306035109828</v>
      </c>
      <c r="DM18" s="109">
        <f t="shared" si="22"/>
        <v>1.3904779028949592</v>
      </c>
      <c r="DN18" s="109">
        <f t="shared" si="22"/>
        <v>1.4278362010668399</v>
      </c>
      <c r="DO18" s="109">
        <f t="shared" si="22"/>
        <v>1.4277687475593943</v>
      </c>
      <c r="DP18" s="109">
        <f t="shared" si="22"/>
        <v>1.4277575610614361</v>
      </c>
      <c r="DQ18" s="109">
        <f t="shared" si="22"/>
        <v>1.4372820465720202</v>
      </c>
      <c r="DR18" s="109">
        <f t="shared" si="22"/>
        <v>1.4372653517256087</v>
      </c>
      <c r="DS18" s="109">
        <f t="shared" si="22"/>
        <v>1.4294032537782977</v>
      </c>
      <c r="DT18" s="109">
        <f t="shared" si="22"/>
        <v>0.72</v>
      </c>
      <c r="DU18" s="109">
        <f t="shared" si="22"/>
        <v>0.72</v>
      </c>
      <c r="DV18" s="109">
        <f t="shared" si="22"/>
        <v>0.72</v>
      </c>
      <c r="DW18" s="109">
        <f t="shared" si="22"/>
        <v>0.72</v>
      </c>
      <c r="DX18" s="109">
        <f t="shared" si="22"/>
        <v>0.72</v>
      </c>
      <c r="DY18" s="109">
        <f t="shared" si="22"/>
        <v>0.72</v>
      </c>
      <c r="DZ18" s="109">
        <f t="shared" si="22"/>
        <v>0.72</v>
      </c>
      <c r="EA18" s="109">
        <f t="shared" si="22"/>
        <v>0.72</v>
      </c>
      <c r="EB18" s="109">
        <f t="shared" si="22"/>
        <v>0.72</v>
      </c>
      <c r="EC18" s="109">
        <f t="shared" si="22"/>
        <v>0.72</v>
      </c>
      <c r="ED18" s="109">
        <f t="shared" si="22"/>
        <v>0.72</v>
      </c>
      <c r="EE18" s="109">
        <f t="shared" si="22"/>
        <v>0.72</v>
      </c>
      <c r="EF18" s="109">
        <f t="shared" si="22"/>
        <v>0.72</v>
      </c>
      <c r="EG18" s="109">
        <f t="shared" si="22"/>
        <v>0.72</v>
      </c>
      <c r="EH18" s="109">
        <f t="shared" si="22"/>
        <v>0.72</v>
      </c>
      <c r="EI18" s="109">
        <f t="shared" si="22"/>
        <v>0.72</v>
      </c>
      <c r="EJ18" s="109">
        <f t="shared" si="22"/>
        <v>0.72</v>
      </c>
      <c r="EK18" s="109">
        <f t="shared" si="22"/>
        <v>0.72</v>
      </c>
    </row>
    <row r="20" spans="1:141">
      <c r="A20" s="60" t="s">
        <v>688</v>
      </c>
    </row>
  </sheetData>
  <phoneticPr fontId="52" type="noConversion"/>
  <conditionalFormatting sqref="J7:J17">
    <cfRule type="top10" dxfId="25" priority="1" percent="1" rank="10"/>
  </conditionalFormatting>
  <pageMargins left="0.7" right="0.7" top="0.75" bottom="0.75" header="0.3" footer="0.3"/>
  <pageSetup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AW21"/>
  <sheetViews>
    <sheetView workbookViewId="0">
      <selection activeCell="F10" sqref="F10"/>
    </sheetView>
  </sheetViews>
  <sheetFormatPr baseColWidth="10" defaultColWidth="8.83203125" defaultRowHeight="15"/>
  <sheetData>
    <row r="1" spans="1:49" ht="28" thickBot="1">
      <c r="A1" s="59" t="s">
        <v>377</v>
      </c>
      <c r="B1" s="59" t="s">
        <v>378</v>
      </c>
      <c r="C1" s="59" t="s">
        <v>379</v>
      </c>
      <c r="D1" s="98" t="s">
        <v>380</v>
      </c>
      <c r="E1" s="98" t="s">
        <v>381</v>
      </c>
      <c r="F1" s="59" t="s">
        <v>33</v>
      </c>
      <c r="G1" s="60"/>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row>
    <row r="2" spans="1:49" ht="41" thickBot="1">
      <c r="A2" s="100" t="s">
        <v>689</v>
      </c>
      <c r="B2" s="244" t="s">
        <v>690</v>
      </c>
      <c r="C2" s="101">
        <v>1</v>
      </c>
      <c r="D2" s="112">
        <v>233.04</v>
      </c>
      <c r="E2" s="60">
        <f>D2*C2</f>
        <v>233.04</v>
      </c>
      <c r="F2" s="60"/>
      <c r="G2" s="60"/>
      <c r="H2" s="60"/>
      <c r="I2" s="60"/>
      <c r="J2" s="60"/>
      <c r="K2" s="102"/>
      <c r="L2" s="60"/>
      <c r="M2" s="102"/>
      <c r="N2" s="60"/>
      <c r="O2" s="60"/>
      <c r="P2" s="60"/>
      <c r="Q2" s="60"/>
      <c r="R2" s="60"/>
      <c r="S2" s="60"/>
      <c r="T2" s="60"/>
      <c r="U2" s="60"/>
      <c r="V2" s="60"/>
      <c r="W2" s="60"/>
      <c r="X2" s="60"/>
      <c r="Y2" s="60"/>
      <c r="Z2" s="60"/>
      <c r="AA2" s="60"/>
      <c r="AB2" s="60"/>
      <c r="AC2" s="60"/>
      <c r="AD2" s="60"/>
      <c r="AE2" s="60"/>
      <c r="AF2" s="60"/>
      <c r="AG2" s="60"/>
      <c r="AH2" s="60"/>
      <c r="AI2" s="60"/>
      <c r="AJ2" s="60"/>
      <c r="AK2" s="60"/>
      <c r="AL2" s="60"/>
      <c r="AM2" s="60"/>
      <c r="AN2" s="60"/>
      <c r="AO2" s="60"/>
      <c r="AP2" s="60"/>
      <c r="AQ2" s="60"/>
      <c r="AR2" s="60"/>
      <c r="AS2" s="60"/>
      <c r="AT2" s="60"/>
      <c r="AU2" s="60"/>
      <c r="AV2" s="60"/>
      <c r="AW2" s="60"/>
    </row>
    <row r="3" spans="1:49" ht="27">
      <c r="A3" s="100" t="s">
        <v>691</v>
      </c>
      <c r="B3" s="64"/>
      <c r="C3" s="60"/>
      <c r="D3" s="100"/>
      <c r="E3" s="64"/>
      <c r="F3" s="103"/>
      <c r="G3" s="60"/>
      <c r="H3" s="60"/>
      <c r="I3" s="60"/>
      <c r="J3" s="60"/>
      <c r="K3" s="60"/>
      <c r="L3" s="60"/>
      <c r="M3" s="60"/>
      <c r="N3" s="60"/>
      <c r="O3" s="60"/>
      <c r="P3" s="60"/>
      <c r="Q3" s="60"/>
      <c r="R3" s="60"/>
      <c r="S3" s="60"/>
      <c r="T3" s="60"/>
      <c r="U3" s="60"/>
      <c r="V3" s="60"/>
      <c r="W3" s="60"/>
      <c r="X3" s="60"/>
      <c r="Y3" s="60"/>
      <c r="Z3" s="60"/>
      <c r="AA3" s="60"/>
      <c r="AB3" s="60"/>
      <c r="AC3" s="60"/>
      <c r="AD3" s="60"/>
      <c r="AE3" s="60"/>
      <c r="AF3" s="60"/>
      <c r="AG3" s="60"/>
      <c r="AH3" s="60"/>
      <c r="AI3" s="60"/>
      <c r="AJ3" s="60"/>
      <c r="AK3" s="60"/>
      <c r="AL3" s="60"/>
      <c r="AM3" s="60"/>
      <c r="AN3" s="60"/>
      <c r="AO3" s="60"/>
      <c r="AP3" s="60"/>
      <c r="AQ3" s="60"/>
      <c r="AR3" s="60"/>
      <c r="AS3" s="60"/>
      <c r="AT3" s="60"/>
      <c r="AU3" s="60"/>
      <c r="AV3" s="60"/>
      <c r="AW3" s="60"/>
    </row>
    <row r="4" spans="1:49">
      <c r="A4" s="37" t="s">
        <v>692</v>
      </c>
      <c r="B4" s="64"/>
      <c r="C4" s="60"/>
      <c r="D4" s="64"/>
      <c r="E4" s="64"/>
      <c r="F4" s="60"/>
      <c r="G4" s="60"/>
      <c r="H4" s="60" t="s">
        <v>387</v>
      </c>
      <c r="I4" s="60"/>
      <c r="J4" s="60"/>
      <c r="K4" s="60"/>
      <c r="L4" s="60"/>
      <c r="M4" s="60"/>
      <c r="N4" s="60"/>
      <c r="O4" s="60"/>
      <c r="P4" s="60"/>
      <c r="Q4" s="60"/>
      <c r="R4" s="60"/>
      <c r="S4" s="60"/>
      <c r="T4" s="60"/>
      <c r="U4" s="60"/>
      <c r="V4" s="60"/>
      <c r="W4" s="60"/>
      <c r="X4" s="60"/>
      <c r="Y4" s="60"/>
      <c r="Z4" s="60"/>
      <c r="AA4" s="60"/>
      <c r="AB4" s="60"/>
      <c r="AC4" s="60"/>
      <c r="AD4" s="60"/>
      <c r="AE4" s="60"/>
      <c r="AF4" s="60"/>
      <c r="AG4" s="60"/>
      <c r="AH4" s="60"/>
      <c r="AI4" s="60"/>
      <c r="AJ4" s="60"/>
      <c r="AK4" s="60"/>
      <c r="AL4" s="60"/>
      <c r="AM4" s="60"/>
      <c r="AN4" s="60"/>
      <c r="AO4" s="60"/>
      <c r="AP4" s="60"/>
      <c r="AQ4" s="60"/>
      <c r="AR4" s="60"/>
      <c r="AS4" s="60"/>
      <c r="AT4" s="60"/>
      <c r="AU4" s="60"/>
      <c r="AV4" s="60"/>
      <c r="AW4" s="60"/>
    </row>
    <row r="5" spans="1:49">
      <c r="A5" s="74"/>
      <c r="B5" s="74"/>
      <c r="C5" s="60"/>
      <c r="D5" s="60"/>
      <c r="E5" s="60"/>
      <c r="F5" s="60"/>
      <c r="G5" s="60"/>
      <c r="H5" s="60"/>
      <c r="I5" s="60"/>
      <c r="J5" s="60"/>
      <c r="K5" s="60"/>
      <c r="L5" s="60"/>
      <c r="M5" s="60"/>
      <c r="N5" s="60"/>
      <c r="O5" s="60"/>
      <c r="P5" s="60"/>
      <c r="Q5" s="60"/>
      <c r="R5" s="60"/>
      <c r="S5" s="60"/>
      <c r="T5" s="60"/>
      <c r="U5" s="60"/>
      <c r="V5" s="60"/>
      <c r="W5" s="60"/>
      <c r="X5" s="60"/>
      <c r="Y5" s="60"/>
      <c r="Z5" s="60"/>
      <c r="AA5" s="60"/>
      <c r="AB5" s="60"/>
      <c r="AC5" s="60"/>
      <c r="AD5" s="60"/>
      <c r="AE5" s="60"/>
      <c r="AF5" s="60"/>
      <c r="AG5" s="60"/>
      <c r="AH5" s="60"/>
      <c r="AI5" s="60"/>
      <c r="AJ5" s="60"/>
      <c r="AK5" s="60"/>
      <c r="AL5" s="60"/>
      <c r="AM5" s="60"/>
      <c r="AN5" s="60"/>
      <c r="AO5" s="60"/>
      <c r="AP5" s="60"/>
      <c r="AQ5" s="60"/>
      <c r="AR5" s="60"/>
      <c r="AS5" s="60"/>
      <c r="AT5" s="60"/>
      <c r="AU5" s="60"/>
      <c r="AV5" s="60"/>
      <c r="AW5" s="60"/>
    </row>
    <row r="6" spans="1:49">
      <c r="A6" s="59"/>
      <c r="B6" s="59"/>
      <c r="C6" s="59"/>
      <c r="D6" s="98"/>
      <c r="E6" s="98"/>
      <c r="F6" s="59"/>
      <c r="G6" s="60"/>
      <c r="H6" s="59" t="s">
        <v>416</v>
      </c>
      <c r="I6" s="59">
        <v>43831</v>
      </c>
      <c r="J6" s="59">
        <v>43862</v>
      </c>
      <c r="K6" s="59">
        <v>43891</v>
      </c>
      <c r="L6" s="59">
        <v>43922</v>
      </c>
      <c r="M6" s="59">
        <v>43952</v>
      </c>
      <c r="N6" s="59">
        <v>43983</v>
      </c>
      <c r="O6" s="59">
        <v>44013</v>
      </c>
      <c r="P6" s="59">
        <v>44044</v>
      </c>
      <c r="Q6" s="59">
        <v>44075</v>
      </c>
      <c r="R6" s="59">
        <v>44105</v>
      </c>
      <c r="S6" s="59">
        <v>44136</v>
      </c>
      <c r="T6" s="59">
        <v>44166</v>
      </c>
      <c r="U6" s="59">
        <v>44197</v>
      </c>
      <c r="V6" s="59">
        <v>44228</v>
      </c>
      <c r="W6" s="59">
        <v>44256</v>
      </c>
      <c r="X6" s="59">
        <v>44287</v>
      </c>
      <c r="Y6" s="59">
        <v>44317</v>
      </c>
      <c r="Z6" s="59">
        <v>44348</v>
      </c>
      <c r="AA6" s="59">
        <v>44378</v>
      </c>
      <c r="AB6" s="59">
        <v>44409</v>
      </c>
      <c r="AC6" s="59">
        <v>44440</v>
      </c>
      <c r="AD6" s="59">
        <v>44470</v>
      </c>
      <c r="AE6" s="59">
        <v>44501</v>
      </c>
      <c r="AF6" s="59">
        <v>44531</v>
      </c>
      <c r="AG6" s="59">
        <v>44562</v>
      </c>
      <c r="AH6" s="59">
        <v>44593</v>
      </c>
      <c r="AI6" s="59">
        <v>44621</v>
      </c>
      <c r="AJ6" s="59">
        <v>44652</v>
      </c>
      <c r="AK6" s="59">
        <v>44682</v>
      </c>
      <c r="AL6" s="59">
        <v>44713</v>
      </c>
      <c r="AM6" s="59">
        <v>44743</v>
      </c>
      <c r="AN6" s="59">
        <v>44774</v>
      </c>
      <c r="AO6" s="59">
        <v>44805</v>
      </c>
      <c r="AP6" s="59">
        <v>44835</v>
      </c>
      <c r="AQ6" s="59">
        <v>44866</v>
      </c>
      <c r="AR6" s="59">
        <v>44896</v>
      </c>
      <c r="AS6" s="59">
        <v>44927</v>
      </c>
      <c r="AT6" s="59">
        <v>44958</v>
      </c>
      <c r="AU6" s="59">
        <v>44986</v>
      </c>
      <c r="AV6" s="60"/>
      <c r="AW6" s="60"/>
    </row>
    <row r="7" spans="1:49">
      <c r="A7" s="60"/>
      <c r="B7" s="60"/>
      <c r="C7" s="60"/>
      <c r="D7" s="60"/>
      <c r="E7" s="60"/>
      <c r="F7" s="60" t="s">
        <v>651</v>
      </c>
      <c r="G7" s="60"/>
      <c r="H7" s="60"/>
      <c r="I7" s="74" t="e">
        <f>VLOOKUP($H$7&amp;$F$1,'Input RM sheet'!$A:$BD,H1,0)</f>
        <v>#N/A</v>
      </c>
      <c r="J7" s="74" t="e">
        <f>VLOOKUP($H$7&amp;$F$1,'Input RM sheet'!$A:$BD,I1,0)</f>
        <v>#N/A</v>
      </c>
      <c r="K7" s="74" t="e">
        <f>VLOOKUP($H$7&amp;$F$1,'Input RM sheet'!$A:$BD,J1,0)</f>
        <v>#N/A</v>
      </c>
      <c r="L7" s="74" t="e">
        <f>VLOOKUP($H$7&amp;$F$1,'Input RM sheet'!$A:$BD,K1,0)</f>
        <v>#N/A</v>
      </c>
      <c r="M7" s="74" t="e">
        <f>VLOOKUP($H$7&amp;$F$1,'Input RM sheet'!$A:$BD,L1,0)</f>
        <v>#N/A</v>
      </c>
      <c r="N7" s="74" t="e">
        <f>VLOOKUP($H$7&amp;$F$1,'Input RM sheet'!$A:$BD,M1,0)</f>
        <v>#N/A</v>
      </c>
      <c r="O7" s="74" t="e">
        <f>VLOOKUP($H$7&amp;$F$1,'Input RM sheet'!$A:$BD,N1,0)</f>
        <v>#N/A</v>
      </c>
      <c r="P7" s="74" t="e">
        <f>VLOOKUP($H$7&amp;$F$1,'Input RM sheet'!$A:$BD,O1,0)</f>
        <v>#N/A</v>
      </c>
      <c r="Q7" s="74" t="e">
        <f>VLOOKUP($H$7&amp;$F$1,'Input RM sheet'!$A:$BD,P1,0)</f>
        <v>#N/A</v>
      </c>
      <c r="R7" s="74" t="e">
        <f>VLOOKUP($H$7&amp;$F$1,'Input RM sheet'!$A:$BD,Q1,0)</f>
        <v>#N/A</v>
      </c>
      <c r="S7" s="74" t="e">
        <f>VLOOKUP($H$7&amp;$F$1,'Input RM sheet'!$A:$BD,R1,0)</f>
        <v>#N/A</v>
      </c>
      <c r="T7" s="74" t="e">
        <f>VLOOKUP($H$7&amp;$F$1,'Input RM sheet'!$A:$BD,S1,0)</f>
        <v>#N/A</v>
      </c>
      <c r="U7" s="74" t="e">
        <f>VLOOKUP($H$7&amp;$F$1,'Input RM sheet'!$A:$BD,T1,0)</f>
        <v>#N/A</v>
      </c>
      <c r="V7" s="74" t="e">
        <f>VLOOKUP($H$7&amp;$F$1,'Input RM sheet'!$A:$BD,U1,0)</f>
        <v>#N/A</v>
      </c>
      <c r="W7" s="74" t="e">
        <f>VLOOKUP($H$7&amp;$F$1,'Input RM sheet'!$A:$BD,V1,0)</f>
        <v>#N/A</v>
      </c>
      <c r="X7" s="74" t="e">
        <f>VLOOKUP($H$7&amp;$F$1,'Input RM sheet'!$A:$BD,W1,0)</f>
        <v>#N/A</v>
      </c>
      <c r="Y7" s="74" t="e">
        <f>VLOOKUP($H$7&amp;$F$1,'Input RM sheet'!$A:$BD,X1,0)</f>
        <v>#N/A</v>
      </c>
      <c r="Z7" s="74" t="e">
        <f>VLOOKUP($H$7&amp;$F$1,'Input RM sheet'!$A:$BD,Y1,0)</f>
        <v>#N/A</v>
      </c>
      <c r="AA7" s="74" t="e">
        <f>VLOOKUP($H$7&amp;$F$1,'Input RM sheet'!$A:$BD,Z1,0)</f>
        <v>#N/A</v>
      </c>
      <c r="AB7" s="74" t="e">
        <f>VLOOKUP($H$7&amp;$F$1,'Input RM sheet'!$A:$BD,AA1,0)</f>
        <v>#N/A</v>
      </c>
      <c r="AC7" s="74" t="e">
        <f>VLOOKUP($H$7&amp;$F$1,'Input RM sheet'!$A:$BD,AB1,0)</f>
        <v>#N/A</v>
      </c>
      <c r="AD7" s="74" t="e">
        <f>VLOOKUP($H$7&amp;$F$1,'Input RM sheet'!$A:$BD,AC1,0)</f>
        <v>#N/A</v>
      </c>
      <c r="AE7" s="74" t="e">
        <f>VLOOKUP($H$7&amp;$F$1,'Input RM sheet'!$A:$BD,AD1,0)</f>
        <v>#N/A</v>
      </c>
      <c r="AF7" s="74" t="e">
        <f>VLOOKUP($H$7&amp;$F$1,'Input RM sheet'!$A:$BD,AE1,0)</f>
        <v>#N/A</v>
      </c>
      <c r="AG7" s="74" t="e">
        <f>VLOOKUP($H$7&amp;$F$1,'Input RM sheet'!$A:$BD,AF1,0)</f>
        <v>#N/A</v>
      </c>
      <c r="AH7" s="74" t="e">
        <f>VLOOKUP($H$7&amp;$F$1,'Input RM sheet'!$A:$BD,AG1,0)</f>
        <v>#N/A</v>
      </c>
      <c r="AI7" s="74" t="e">
        <f>VLOOKUP($H$7&amp;$F$1,'Input RM sheet'!$A:$BD,AH1,0)</f>
        <v>#N/A</v>
      </c>
      <c r="AJ7" s="74" t="e">
        <f>VLOOKUP($H$7&amp;$F$1,'Input RM sheet'!$A:$BD,AI1,0)</f>
        <v>#N/A</v>
      </c>
      <c r="AK7" s="74" t="e">
        <f>VLOOKUP($H$7&amp;$F$1,'Input RM sheet'!$A:$BD,AJ1,0)</f>
        <v>#N/A</v>
      </c>
      <c r="AL7" s="74" t="e">
        <f>VLOOKUP($H$7&amp;$F$1,'Input RM sheet'!$A:$BD,AK1,0)</f>
        <v>#N/A</v>
      </c>
      <c r="AM7" s="74" t="e">
        <f>VLOOKUP($H$7&amp;$F$1,'Input RM sheet'!$A:$BD,AL1,0)</f>
        <v>#N/A</v>
      </c>
      <c r="AN7" s="74" t="e">
        <f>VLOOKUP($H$7&amp;$F$1,'Input RM sheet'!$A:$BD,AM1,0)</f>
        <v>#N/A</v>
      </c>
      <c r="AO7" s="74" t="e">
        <f>VLOOKUP($H$7&amp;$F$1,'Input RM sheet'!$A:$BD,AN1,0)</f>
        <v>#N/A</v>
      </c>
      <c r="AP7" s="74" t="e">
        <f>VLOOKUP($H$7&amp;$F$1,'Input RM sheet'!$A:$BD,AO1,0)</f>
        <v>#N/A</v>
      </c>
      <c r="AQ7" s="74" t="e">
        <f>VLOOKUP($H$7&amp;$F$1,'Input RM sheet'!$A:$BD,AP1,0)</f>
        <v>#N/A</v>
      </c>
      <c r="AR7" s="74" t="e">
        <f>VLOOKUP($H$7&amp;$F$1,'Input RM sheet'!$A:$BD,AQ1,0)</f>
        <v>#N/A</v>
      </c>
      <c r="AS7" s="74" t="e">
        <f>VLOOKUP($H$7&amp;$F$1,'Input RM sheet'!$A:$BD,AR1,0)</f>
        <v>#N/A</v>
      </c>
      <c r="AT7" s="74" t="e">
        <f>VLOOKUP($H$7&amp;$F$1,'Input RM sheet'!$A:$BD,AS1,0)</f>
        <v>#N/A</v>
      </c>
      <c r="AU7" s="74" t="e">
        <f>VLOOKUP($H$7&amp;$F$1,'Input RM sheet'!$A:$BD,AT1,0)</f>
        <v>#N/A</v>
      </c>
      <c r="AV7" s="103"/>
      <c r="AW7" s="65"/>
    </row>
    <row r="8" spans="1:49">
      <c r="A8" s="60"/>
      <c r="B8" s="60"/>
      <c r="C8" s="60"/>
      <c r="D8" s="60"/>
      <c r="E8" s="60"/>
      <c r="F8" s="60"/>
      <c r="G8" s="60"/>
      <c r="H8" s="30" t="s">
        <v>42</v>
      </c>
      <c r="I8" s="74">
        <f>VLOOKUP($H$8&amp;$F$1,'Input RM sheet'!$A:$BD,H1,0)</f>
        <v>5.6109925135332389E-2</v>
      </c>
      <c r="J8" s="74">
        <f>VLOOKUP($H$8&amp;$F$1,'Input RM sheet'!$A:$BD,I1,0)</f>
        <v>5.5903821908158395E-2</v>
      </c>
      <c r="K8" s="74">
        <f>VLOOKUP($H$8&amp;$F$1,'Input RM sheet'!$A:$BD,J1,0)</f>
        <v>5.3725164243026279E-2</v>
      </c>
      <c r="L8" s="74">
        <f>VLOOKUP($H$8&amp;$F$1,'Input RM sheet'!$A:$BD,K1,0)</f>
        <v>5.2457901878019117E-2</v>
      </c>
      <c r="M8" s="74">
        <f>VLOOKUP($H$8&amp;$F$1,'Input RM sheet'!$A:$BD,L1,0)</f>
        <v>5.2891688868735076E-2</v>
      </c>
      <c r="N8" s="74">
        <f>VLOOKUP($H$8&amp;$F$1,'Input RM sheet'!$A:$BD,M1,0)</f>
        <v>5.280815273385165E-2</v>
      </c>
      <c r="O8" s="74">
        <f>VLOOKUP($H$8&amp;$F$1,'Input RM sheet'!$A:$BD,N1,0)</f>
        <v>5.3387262505255863E-2</v>
      </c>
      <c r="P8" s="74">
        <f>VLOOKUP($H$8&amp;$F$1,'Input RM sheet'!$A:$BD,O1,0)</f>
        <v>5.362872496365681E-2</v>
      </c>
      <c r="Q8" s="74">
        <f>VLOOKUP($H$8&amp;$F$1,'Input RM sheet'!$A:$BD,P1,0)</f>
        <v>5.4396709216679211E-2</v>
      </c>
      <c r="R8" s="74">
        <f>VLOOKUP($H$8&amp;$F$1,'Input RM sheet'!$A:$BD,Q1,0)</f>
        <v>5.4409064901238764E-2</v>
      </c>
      <c r="S8" s="74">
        <f>VLOOKUP($H$8&amp;$F$1,'Input RM sheet'!$A:$BD,R1,0)</f>
        <v>5.3884974170462174E-2</v>
      </c>
      <c r="T8" s="74">
        <f>VLOOKUP($H$8&amp;$F$1,'Input RM sheet'!$A:$BD,S1,0)</f>
        <v>5.4250702377062344E-2</v>
      </c>
      <c r="U8" s="74">
        <f>VLOOKUP($H$8&amp;$F$1,'Input RM sheet'!$A:$BD,T1,0)</f>
        <v>5.4697114727198147E-2</v>
      </c>
      <c r="V8" s="74">
        <f>VLOOKUP($H$8&amp;$F$1,'Input RM sheet'!$A:$BD,U1,0)</f>
        <v>5.4945054945054944E-2</v>
      </c>
      <c r="W8" s="74">
        <f>VLOOKUP($H$8&amp;$F$1,'Input RM sheet'!$A:$BD,V1,0)</f>
        <v>5.4945054945054944E-2</v>
      </c>
      <c r="X8" s="74">
        <f>VLOOKUP($H$8&amp;$F$1,'Input RM sheet'!$A:$BD,W1,0)</f>
        <v>5.3727333781061114E-2</v>
      </c>
      <c r="Y8" s="74">
        <f>VLOOKUP($H$8&amp;$F$1,'Input RM sheet'!$A:$BD,X1,0)</f>
        <v>5.4607508532423209E-2</v>
      </c>
      <c r="Z8" s="74">
        <f>VLOOKUP($H$8&amp;$F$1,'Input RM sheet'!$A:$BD,Y1,0)</f>
        <v>5.4392167527875984E-2</v>
      </c>
      <c r="AA8" s="74">
        <f>VLOOKUP($H$8&amp;$F$1,'Input RM sheet'!$A:$BD,Z1,0)</f>
        <v>5.3669663222863276E-2</v>
      </c>
      <c r="AB8" s="74">
        <f>VLOOKUP($H$8&amp;$F$1,'Input RM sheet'!$A:$BD,AA1,0)</f>
        <v>5.3937432578209279E-2</v>
      </c>
      <c r="AC8" s="74">
        <f>VLOOKUP($H$8&amp;$F$1,'Input RM sheet'!$A:$BD,AB1,0)</f>
        <v>5.4384772263766146E-2</v>
      </c>
      <c r="AD8" s="74">
        <f>VLOOKUP($H$8&amp;$F$1,'Input RM sheet'!$A:$BD,AC1,0)</f>
        <v>5.3397410225604063E-2</v>
      </c>
      <c r="AE8" s="74">
        <f>VLOOKUP($H$8&amp;$F$1,'Input RM sheet'!$A:$BD,AD1,0)</f>
        <v>5.3712904525312209E-2</v>
      </c>
      <c r="AF8" s="74">
        <f>VLOOKUP($H$8&amp;$F$1,'Input RM sheet'!$A:$BD,AE1,0)</f>
        <v>5.3036329885971886E-2</v>
      </c>
      <c r="AG8" s="74">
        <f>VLOOKUP($H$8&amp;$F$1,'Input RM sheet'!$A:$BD,AF1,0)</f>
        <v>5.3727333781061114E-2</v>
      </c>
      <c r="AH8" s="74">
        <f>VLOOKUP($H$8&amp;$F$1,'Input RM sheet'!$A:$BD,AG1,0)</f>
        <v>5.3361792956243333E-2</v>
      </c>
      <c r="AI8" s="74">
        <f>VLOOKUP($H$8&amp;$F$1,'Input RM sheet'!$A:$BD,AH1,0)</f>
        <v>5.2486550321480127E-2</v>
      </c>
      <c r="AJ8" s="74">
        <f>VLOOKUP($H$8&amp;$F$1,'Input RM sheet'!$A:$BD,AI1,0)</f>
        <v>5.2348809277255978E-2</v>
      </c>
      <c r="AK8" s="74">
        <f>VLOOKUP($H$8&amp;$F$1,'Input RM sheet'!$A:$BD,AJ1,0)</f>
        <v>5.1733542509290222E-2</v>
      </c>
      <c r="AL8" s="74">
        <f>VLOOKUP($H$8&amp;$F$1,'Input RM sheet'!$A:$BD,AK1,0)</f>
        <v>5.123306637994781E-2</v>
      </c>
      <c r="AM8" s="74">
        <f>VLOOKUP($H$8&amp;$F$1,'Input RM sheet'!$A:$BD,AL1,0)</f>
        <v>5.0250276286786945E-2</v>
      </c>
      <c r="AN8" s="74">
        <f>VLOOKUP($H$8&amp;$F$1,'Input RM sheet'!$A:$BD,AM1,0)</f>
        <v>5.0284779467718851E-2</v>
      </c>
      <c r="AO8" s="74">
        <f>VLOOKUP($H$8&amp;$F$1,'Input RM sheet'!$A:$BD,AN1,0)</f>
        <v>4.9855696086928386E-2</v>
      </c>
      <c r="AP8" s="74">
        <f>VLOOKUP($H$8&amp;$F$1,'Input RM sheet'!$A:$BD,AO1,0)</f>
        <v>4.8578993593037967E-2</v>
      </c>
      <c r="AQ8" s="74">
        <f>VLOOKUP($H$8&amp;$F$1,'Input RM sheet'!$A:$BD,AP1,0)</f>
        <v>4.889346805967261E-2</v>
      </c>
      <c r="AR8" s="74">
        <f>VLOOKUP($H$8&amp;$F$1,'Input RM sheet'!$A:$BD,AQ1,0)</f>
        <v>4.8505889083457529E-2</v>
      </c>
      <c r="AS8" s="74">
        <f>VLOOKUP($H$8&amp;$F$1,'Input RM sheet'!$A:$BD,AR1,0)</f>
        <v>4.8840293055712705E-2</v>
      </c>
      <c r="AT8" s="74">
        <f>VLOOKUP($H$8&amp;$F$1,'Input RM sheet'!$A:$BD,AS1,0)</f>
        <v>4.870822736756994E-2</v>
      </c>
      <c r="AU8" s="74">
        <f>VLOOKUP($H$8&amp;$F$1,'Input RM sheet'!$A:$BD,AT1,0)</f>
        <v>4.870822736756994E-2</v>
      </c>
      <c r="AV8" s="103"/>
      <c r="AW8" s="65"/>
    </row>
    <row r="9" spans="1:49" ht="27">
      <c r="A9" s="59" t="s">
        <v>395</v>
      </c>
      <c r="B9" s="59"/>
      <c r="C9" s="59" t="s">
        <v>379</v>
      </c>
      <c r="D9" s="98" t="s">
        <v>380</v>
      </c>
      <c r="E9" s="98" t="s">
        <v>381</v>
      </c>
      <c r="F9" s="59" t="s">
        <v>396</v>
      </c>
      <c r="G9" s="60"/>
      <c r="H9" s="60" t="s">
        <v>399</v>
      </c>
      <c r="I9" s="84"/>
      <c r="J9" s="84"/>
      <c r="K9" s="84"/>
      <c r="L9" s="84"/>
      <c r="M9" s="84"/>
      <c r="N9" s="84"/>
      <c r="O9" s="84"/>
      <c r="P9" s="84"/>
      <c r="Q9" s="84"/>
      <c r="R9" s="84"/>
      <c r="S9" s="84"/>
      <c r="T9" s="84"/>
      <c r="U9" s="84"/>
      <c r="V9" s="84"/>
      <c r="W9" s="84"/>
      <c r="X9" s="84"/>
      <c r="Y9" s="84"/>
      <c r="Z9" s="84"/>
      <c r="AA9" s="84"/>
      <c r="AB9" s="84"/>
      <c r="AC9" s="84"/>
      <c r="AD9" s="84"/>
      <c r="AE9" s="84"/>
      <c r="AF9" s="84"/>
      <c r="AG9" s="84"/>
      <c r="AH9" s="84"/>
      <c r="AI9" s="84"/>
      <c r="AJ9" s="84"/>
      <c r="AK9" s="84"/>
      <c r="AL9" s="84"/>
      <c r="AM9" s="84"/>
      <c r="AN9" s="84"/>
      <c r="AO9" s="84"/>
      <c r="AP9" s="84"/>
      <c r="AQ9" s="84"/>
      <c r="AR9" s="84"/>
      <c r="AS9" s="84"/>
      <c r="AT9" s="84"/>
      <c r="AU9" s="84"/>
      <c r="AV9" s="60"/>
      <c r="AW9" s="60"/>
    </row>
    <row r="10" spans="1:49" ht="26">
      <c r="A10" s="107" t="s">
        <v>397</v>
      </c>
      <c r="B10" s="325" t="s">
        <v>693</v>
      </c>
      <c r="C10" s="60">
        <v>1</v>
      </c>
      <c r="D10" s="60">
        <v>123.218</v>
      </c>
      <c r="E10" s="60">
        <f>D10*C10</f>
        <v>123.218</v>
      </c>
      <c r="F10" s="65">
        <f>E10/E2</f>
        <v>0.52874184689323722</v>
      </c>
      <c r="G10" s="60"/>
      <c r="H10" s="60"/>
      <c r="I10" s="74" t="e">
        <f>$F$10*I7</f>
        <v>#N/A</v>
      </c>
      <c r="J10" s="74" t="e">
        <f t="shared" ref="J10:AU10" si="0">$F$10*J7</f>
        <v>#N/A</v>
      </c>
      <c r="K10" s="74" t="e">
        <f t="shared" si="0"/>
        <v>#N/A</v>
      </c>
      <c r="L10" s="74" t="e">
        <f t="shared" si="0"/>
        <v>#N/A</v>
      </c>
      <c r="M10" s="74" t="e">
        <f t="shared" si="0"/>
        <v>#N/A</v>
      </c>
      <c r="N10" s="74" t="e">
        <f t="shared" si="0"/>
        <v>#N/A</v>
      </c>
      <c r="O10" s="74" t="e">
        <f t="shared" si="0"/>
        <v>#N/A</v>
      </c>
      <c r="P10" s="74" t="e">
        <f t="shared" si="0"/>
        <v>#N/A</v>
      </c>
      <c r="Q10" s="74" t="e">
        <f t="shared" si="0"/>
        <v>#N/A</v>
      </c>
      <c r="R10" s="74" t="e">
        <f t="shared" si="0"/>
        <v>#N/A</v>
      </c>
      <c r="S10" s="74" t="e">
        <f t="shared" si="0"/>
        <v>#N/A</v>
      </c>
      <c r="T10" s="74" t="e">
        <f t="shared" si="0"/>
        <v>#N/A</v>
      </c>
      <c r="U10" s="74" t="e">
        <f t="shared" si="0"/>
        <v>#N/A</v>
      </c>
      <c r="V10" s="74" t="e">
        <f t="shared" si="0"/>
        <v>#N/A</v>
      </c>
      <c r="W10" s="74" t="e">
        <f t="shared" si="0"/>
        <v>#N/A</v>
      </c>
      <c r="X10" s="74" t="e">
        <f t="shared" si="0"/>
        <v>#N/A</v>
      </c>
      <c r="Y10" s="74" t="e">
        <f t="shared" si="0"/>
        <v>#N/A</v>
      </c>
      <c r="Z10" s="74" t="e">
        <f t="shared" si="0"/>
        <v>#N/A</v>
      </c>
      <c r="AA10" s="74" t="e">
        <f t="shared" si="0"/>
        <v>#N/A</v>
      </c>
      <c r="AB10" s="74" t="e">
        <f t="shared" si="0"/>
        <v>#N/A</v>
      </c>
      <c r="AC10" s="74" t="e">
        <f t="shared" si="0"/>
        <v>#N/A</v>
      </c>
      <c r="AD10" s="74" t="e">
        <f t="shared" si="0"/>
        <v>#N/A</v>
      </c>
      <c r="AE10" s="74" t="e">
        <f t="shared" si="0"/>
        <v>#N/A</v>
      </c>
      <c r="AF10" s="74" t="e">
        <f t="shared" si="0"/>
        <v>#N/A</v>
      </c>
      <c r="AG10" s="74" t="e">
        <f t="shared" si="0"/>
        <v>#N/A</v>
      </c>
      <c r="AH10" s="74" t="e">
        <f t="shared" si="0"/>
        <v>#N/A</v>
      </c>
      <c r="AI10" s="74" t="e">
        <f t="shared" si="0"/>
        <v>#N/A</v>
      </c>
      <c r="AJ10" s="74" t="e">
        <f t="shared" si="0"/>
        <v>#N/A</v>
      </c>
      <c r="AK10" s="74" t="e">
        <f t="shared" si="0"/>
        <v>#N/A</v>
      </c>
      <c r="AL10" s="74" t="e">
        <f t="shared" si="0"/>
        <v>#N/A</v>
      </c>
      <c r="AM10" s="74" t="e">
        <f t="shared" si="0"/>
        <v>#N/A</v>
      </c>
      <c r="AN10" s="74" t="e">
        <f t="shared" si="0"/>
        <v>#N/A</v>
      </c>
      <c r="AO10" s="74" t="e">
        <f t="shared" si="0"/>
        <v>#N/A</v>
      </c>
      <c r="AP10" s="74" t="e">
        <f t="shared" si="0"/>
        <v>#N/A</v>
      </c>
      <c r="AQ10" s="74" t="e">
        <f t="shared" si="0"/>
        <v>#N/A</v>
      </c>
      <c r="AR10" s="74" t="e">
        <f t="shared" si="0"/>
        <v>#N/A</v>
      </c>
      <c r="AS10" s="74" t="e">
        <f t="shared" si="0"/>
        <v>#N/A</v>
      </c>
      <c r="AT10" s="74" t="e">
        <f t="shared" si="0"/>
        <v>#N/A</v>
      </c>
      <c r="AU10" s="74" t="e">
        <f t="shared" si="0"/>
        <v>#N/A</v>
      </c>
      <c r="AV10" s="60"/>
      <c r="AW10" s="60"/>
    </row>
    <row r="11" spans="1:49">
      <c r="A11" s="67"/>
      <c r="B11" s="100" t="s">
        <v>683</v>
      </c>
      <c r="C11" s="60">
        <v>2</v>
      </c>
      <c r="D11" s="64">
        <v>70.900000000000006</v>
      </c>
      <c r="E11" s="60">
        <f>D11*C11</f>
        <v>141.80000000000001</v>
      </c>
      <c r="F11" s="65">
        <f>E11/E2</f>
        <v>0.60847923103329904</v>
      </c>
      <c r="G11" s="60"/>
      <c r="H11" s="60"/>
      <c r="I11" s="74">
        <f>$F$11*I8</f>
        <v>3.4141724099683031E-2</v>
      </c>
      <c r="J11" s="74">
        <f t="shared" ref="J11:AU11" si="1">$F$11*J8</f>
        <v>3.4016314566498715E-2</v>
      </c>
      <c r="K11" s="74">
        <f t="shared" si="1"/>
        <v>3.2690646625734322E-2</v>
      </c>
      <c r="L11" s="74">
        <f t="shared" si="1"/>
        <v>3.1919543796357329E-2</v>
      </c>
      <c r="M11" s="74">
        <f t="shared" si="1"/>
        <v>3.2183494170900419E-2</v>
      </c>
      <c r="N11" s="74">
        <f t="shared" si="1"/>
        <v>3.2132664167783064E-2</v>
      </c>
      <c r="O11" s="74">
        <f t="shared" si="1"/>
        <v>3.2485040436170967E-2</v>
      </c>
      <c r="P11" s="74">
        <f t="shared" si="1"/>
        <v>3.2631965327182183E-2</v>
      </c>
      <c r="Q11" s="74">
        <f t="shared" si="1"/>
        <v>3.3099267794906934E-2</v>
      </c>
      <c r="R11" s="74">
        <f t="shared" si="1"/>
        <v>3.3106785972346627E-2</v>
      </c>
      <c r="S11" s="74">
        <f t="shared" si="1"/>
        <v>3.2787887647492006E-2</v>
      </c>
      <c r="T11" s="74">
        <f t="shared" si="1"/>
        <v>3.3010425665411264E-2</v>
      </c>
      <c r="U11" s="74">
        <f t="shared" si="1"/>
        <v>3.3282058308945664E-2</v>
      </c>
      <c r="V11" s="74">
        <f t="shared" si="1"/>
        <v>3.34329247820494E-2</v>
      </c>
      <c r="W11" s="74">
        <f t="shared" si="1"/>
        <v>3.34329247820494E-2</v>
      </c>
      <c r="X11" s="74">
        <f t="shared" si="1"/>
        <v>3.2691966744569458E-2</v>
      </c>
      <c r="Y11" s="74">
        <f t="shared" si="1"/>
        <v>3.3227534800453193E-2</v>
      </c>
      <c r="Z11" s="74">
        <f t="shared" si="1"/>
        <v>3.3096504271596355E-2</v>
      </c>
      <c r="AA11" s="74">
        <f t="shared" si="1"/>
        <v>3.2656875407663974E-2</v>
      </c>
      <c r="AB11" s="74">
        <f t="shared" si="1"/>
        <v>3.2819807499099192E-2</v>
      </c>
      <c r="AC11" s="74">
        <f t="shared" si="1"/>
        <v>3.3092004406977515E-2</v>
      </c>
      <c r="AD11" s="74">
        <f t="shared" si="1"/>
        <v>3.2491215113245181E-2</v>
      </c>
      <c r="AE11" s="74">
        <f t="shared" si="1"/>
        <v>3.2683186842126982E-2</v>
      </c>
      <c r="AF11" s="74">
        <f t="shared" si="1"/>
        <v>3.227150522584455E-2</v>
      </c>
      <c r="AG11" s="74">
        <f t="shared" si="1"/>
        <v>3.2691966744569458E-2</v>
      </c>
      <c r="AH11" s="74">
        <f t="shared" si="1"/>
        <v>3.2469542744573053E-2</v>
      </c>
      <c r="AI11" s="74">
        <f t="shared" si="1"/>
        <v>3.1936975779204783E-2</v>
      </c>
      <c r="AJ11" s="74">
        <f t="shared" si="1"/>
        <v>3.1853163214533547E-2</v>
      </c>
      <c r="AK11" s="74">
        <f t="shared" si="1"/>
        <v>3.1478786164681402E-2</v>
      </c>
      <c r="AL11" s="74">
        <f t="shared" si="1"/>
        <v>3.1174256834348608E-2</v>
      </c>
      <c r="AM11" s="74">
        <f t="shared" si="1"/>
        <v>3.057624947419494E-2</v>
      </c>
      <c r="AN11" s="74">
        <f t="shared" si="1"/>
        <v>3.059724394319659E-2</v>
      </c>
      <c r="AO11" s="74">
        <f t="shared" si="1"/>
        <v>3.0336155617604041E-2</v>
      </c>
      <c r="AP11" s="74">
        <f t="shared" si="1"/>
        <v>2.9559308665863301E-2</v>
      </c>
      <c r="AQ11" s="74">
        <f t="shared" si="1"/>
        <v>2.9750659847500756E-2</v>
      </c>
      <c r="AR11" s="74">
        <f t="shared" si="1"/>
        <v>2.9514826090088733E-2</v>
      </c>
      <c r="AS11" s="74">
        <f t="shared" si="1"/>
        <v>2.9718303961981041E-2</v>
      </c>
      <c r="AT11" s="74">
        <f t="shared" si="1"/>
        <v>2.9637944733614047E-2</v>
      </c>
      <c r="AU11" s="74">
        <f t="shared" si="1"/>
        <v>2.9637944733614047E-2</v>
      </c>
      <c r="AV11" s="60"/>
      <c r="AW11" s="60"/>
    </row>
    <row r="12" spans="1:49">
      <c r="A12" s="104" t="s">
        <v>400</v>
      </c>
      <c r="B12" s="104"/>
      <c r="C12" s="104"/>
      <c r="D12" s="104"/>
      <c r="E12" s="104"/>
      <c r="F12" s="104"/>
      <c r="G12" s="104"/>
      <c r="H12" s="60"/>
      <c r="I12" s="105" t="e">
        <f>SUM(I10:I11)</f>
        <v>#N/A</v>
      </c>
      <c r="J12" s="105" t="e">
        <f t="shared" ref="J12:AU12" si="2">SUM(J10:J11)</f>
        <v>#N/A</v>
      </c>
      <c r="K12" s="105" t="e">
        <f t="shared" si="2"/>
        <v>#N/A</v>
      </c>
      <c r="L12" s="105" t="e">
        <f t="shared" si="2"/>
        <v>#N/A</v>
      </c>
      <c r="M12" s="105" t="e">
        <f t="shared" si="2"/>
        <v>#N/A</v>
      </c>
      <c r="N12" s="105" t="e">
        <f t="shared" si="2"/>
        <v>#N/A</v>
      </c>
      <c r="O12" s="105" t="e">
        <f t="shared" si="2"/>
        <v>#N/A</v>
      </c>
      <c r="P12" s="105" t="e">
        <f t="shared" si="2"/>
        <v>#N/A</v>
      </c>
      <c r="Q12" s="105" t="e">
        <f t="shared" si="2"/>
        <v>#N/A</v>
      </c>
      <c r="R12" s="105" t="e">
        <f t="shared" si="2"/>
        <v>#N/A</v>
      </c>
      <c r="S12" s="105" t="e">
        <f t="shared" si="2"/>
        <v>#N/A</v>
      </c>
      <c r="T12" s="105" t="e">
        <f t="shared" si="2"/>
        <v>#N/A</v>
      </c>
      <c r="U12" s="105" t="e">
        <f t="shared" si="2"/>
        <v>#N/A</v>
      </c>
      <c r="V12" s="105" t="e">
        <f t="shared" si="2"/>
        <v>#N/A</v>
      </c>
      <c r="W12" s="105" t="e">
        <f t="shared" si="2"/>
        <v>#N/A</v>
      </c>
      <c r="X12" s="105" t="e">
        <f t="shared" si="2"/>
        <v>#N/A</v>
      </c>
      <c r="Y12" s="105" t="e">
        <f t="shared" si="2"/>
        <v>#N/A</v>
      </c>
      <c r="Z12" s="105" t="e">
        <f t="shared" si="2"/>
        <v>#N/A</v>
      </c>
      <c r="AA12" s="105" t="e">
        <f t="shared" si="2"/>
        <v>#N/A</v>
      </c>
      <c r="AB12" s="105" t="e">
        <f t="shared" si="2"/>
        <v>#N/A</v>
      </c>
      <c r="AC12" s="105" t="e">
        <f t="shared" si="2"/>
        <v>#N/A</v>
      </c>
      <c r="AD12" s="105" t="e">
        <f t="shared" si="2"/>
        <v>#N/A</v>
      </c>
      <c r="AE12" s="105" t="e">
        <f t="shared" si="2"/>
        <v>#N/A</v>
      </c>
      <c r="AF12" s="105" t="e">
        <f t="shared" si="2"/>
        <v>#N/A</v>
      </c>
      <c r="AG12" s="105" t="e">
        <f t="shared" si="2"/>
        <v>#N/A</v>
      </c>
      <c r="AH12" s="105" t="e">
        <f t="shared" si="2"/>
        <v>#N/A</v>
      </c>
      <c r="AI12" s="105" t="e">
        <f t="shared" si="2"/>
        <v>#N/A</v>
      </c>
      <c r="AJ12" s="105" t="e">
        <f t="shared" si="2"/>
        <v>#N/A</v>
      </c>
      <c r="AK12" s="105" t="e">
        <f t="shared" si="2"/>
        <v>#N/A</v>
      </c>
      <c r="AL12" s="105" t="e">
        <f t="shared" si="2"/>
        <v>#N/A</v>
      </c>
      <c r="AM12" s="105" t="e">
        <f t="shared" si="2"/>
        <v>#N/A</v>
      </c>
      <c r="AN12" s="105" t="e">
        <f t="shared" si="2"/>
        <v>#N/A</v>
      </c>
      <c r="AO12" s="105" t="e">
        <f t="shared" si="2"/>
        <v>#N/A</v>
      </c>
      <c r="AP12" s="105" t="e">
        <f t="shared" si="2"/>
        <v>#N/A</v>
      </c>
      <c r="AQ12" s="105" t="e">
        <f t="shared" si="2"/>
        <v>#N/A</v>
      </c>
      <c r="AR12" s="105" t="e">
        <f t="shared" si="2"/>
        <v>#N/A</v>
      </c>
      <c r="AS12" s="105" t="e">
        <f t="shared" si="2"/>
        <v>#N/A</v>
      </c>
      <c r="AT12" s="105" t="e">
        <f t="shared" si="2"/>
        <v>#N/A</v>
      </c>
      <c r="AU12" s="105" t="e">
        <f t="shared" si="2"/>
        <v>#N/A</v>
      </c>
      <c r="AV12" s="104"/>
      <c r="AW12" s="104"/>
    </row>
    <row r="13" spans="1:49">
      <c r="A13" s="60"/>
      <c r="B13" s="60"/>
      <c r="C13" s="60"/>
      <c r="D13" s="60"/>
      <c r="E13" s="60"/>
      <c r="F13" s="60"/>
      <c r="G13" s="60"/>
      <c r="H13" s="60" t="s">
        <v>429</v>
      </c>
      <c r="I13" s="74">
        <v>1.4794290267593211</v>
      </c>
      <c r="J13" s="74">
        <v>1.4534993696121181</v>
      </c>
      <c r="K13" s="74">
        <v>1.4774420166832227</v>
      </c>
      <c r="L13" s="74">
        <v>1.4425923016455255</v>
      </c>
      <c r="M13" s="74">
        <v>1.4545214438902145</v>
      </c>
      <c r="N13" s="74">
        <v>1.4522242001809205</v>
      </c>
      <c r="O13" s="74">
        <v>1.4681497188945363</v>
      </c>
      <c r="P13" s="74">
        <v>1.4656730532567406</v>
      </c>
      <c r="Q13" s="74">
        <v>1.4415127942419992</v>
      </c>
      <c r="R13" s="74">
        <v>1.3874311549815885</v>
      </c>
      <c r="S13" s="74"/>
      <c r="T13" s="74">
        <v>1.3833929106150897</v>
      </c>
      <c r="U13" s="74">
        <v>1.270759606180774</v>
      </c>
      <c r="V13" s="74">
        <v>1.5384615384615385</v>
      </c>
      <c r="W13" s="74">
        <v>1.5778846153846156</v>
      </c>
      <c r="X13" s="74">
        <v>1.6095366017461383</v>
      </c>
      <c r="Y13" s="74">
        <v>1.6791808873720135</v>
      </c>
      <c r="Z13" s="74">
        <v>1.6441392439488711</v>
      </c>
      <c r="AA13" s="74">
        <v>1.6453777002549308</v>
      </c>
      <c r="AB13" s="74">
        <v>1.6819039913700109</v>
      </c>
      <c r="AC13" s="74">
        <v>1.7631543167912986</v>
      </c>
      <c r="AD13" s="74">
        <v>1.902118542250701</v>
      </c>
      <c r="AE13" s="74">
        <v>1.941990063112663</v>
      </c>
      <c r="AF13" s="74">
        <v>1.9423097321665339</v>
      </c>
      <c r="AG13" s="74">
        <v>1.3873875083948959</v>
      </c>
      <c r="AH13" s="74">
        <v>2.001067235859125</v>
      </c>
      <c r="AI13" s="74">
        <v>1.8080730875213227</v>
      </c>
      <c r="AJ13" s="74">
        <v>2.0273385112849307</v>
      </c>
      <c r="AK13" s="74">
        <v>2.0029934321034442</v>
      </c>
      <c r="AL13" s="74">
        <v>1.9831039169018301</v>
      </c>
      <c r="AM13" s="74">
        <v>1.9446856922986551</v>
      </c>
      <c r="AN13" s="74">
        <v>1.9463981012467275</v>
      </c>
      <c r="AO13" s="74">
        <v>1.931908223368475</v>
      </c>
      <c r="AP13" s="74">
        <v>1.8445443867276516</v>
      </c>
      <c r="AQ13" s="74">
        <v>1.8559960475451724</v>
      </c>
      <c r="AR13" s="74">
        <v>1.7947178960879286</v>
      </c>
      <c r="AS13" s="74">
        <v>1.7582505500056576</v>
      </c>
      <c r="AT13" s="74">
        <v>1.7534961852325177</v>
      </c>
      <c r="AU13" s="74">
        <v>1.6804338441811628</v>
      </c>
      <c r="AV13" s="74"/>
      <c r="AW13" s="60"/>
    </row>
    <row r="14" spans="1:49">
      <c r="A14" s="60"/>
      <c r="B14" s="60"/>
      <c r="C14" s="60"/>
      <c r="D14" s="60"/>
      <c r="E14" s="60"/>
      <c r="F14" s="60"/>
      <c r="G14" s="60"/>
      <c r="H14" s="60" t="s">
        <v>406</v>
      </c>
      <c r="I14" s="74" t="e">
        <f>I13-I12</f>
        <v>#N/A</v>
      </c>
      <c r="J14" s="74" t="e">
        <f t="shared" ref="J14:AU14" si="3">J13-J12</f>
        <v>#N/A</v>
      </c>
      <c r="K14" s="74" t="e">
        <f t="shared" si="3"/>
        <v>#N/A</v>
      </c>
      <c r="L14" s="74" t="e">
        <f t="shared" si="3"/>
        <v>#N/A</v>
      </c>
      <c r="M14" s="74" t="e">
        <f t="shared" si="3"/>
        <v>#N/A</v>
      </c>
      <c r="N14" s="74" t="e">
        <f t="shared" si="3"/>
        <v>#N/A</v>
      </c>
      <c r="O14" s="74" t="e">
        <f t="shared" si="3"/>
        <v>#N/A</v>
      </c>
      <c r="P14" s="74" t="e">
        <f t="shared" si="3"/>
        <v>#N/A</v>
      </c>
      <c r="Q14" s="74" t="e">
        <f t="shared" si="3"/>
        <v>#N/A</v>
      </c>
      <c r="R14" s="74" t="e">
        <f t="shared" si="3"/>
        <v>#N/A</v>
      </c>
      <c r="S14" s="74"/>
      <c r="T14" s="74" t="e">
        <f t="shared" si="3"/>
        <v>#N/A</v>
      </c>
      <c r="U14" s="74" t="e">
        <f t="shared" si="3"/>
        <v>#N/A</v>
      </c>
      <c r="V14" s="74" t="e">
        <f t="shared" si="3"/>
        <v>#N/A</v>
      </c>
      <c r="W14" s="74" t="e">
        <f t="shared" si="3"/>
        <v>#N/A</v>
      </c>
      <c r="X14" s="74" t="e">
        <f t="shared" si="3"/>
        <v>#N/A</v>
      </c>
      <c r="Y14" s="74" t="e">
        <f t="shared" si="3"/>
        <v>#N/A</v>
      </c>
      <c r="Z14" s="74" t="e">
        <f t="shared" si="3"/>
        <v>#N/A</v>
      </c>
      <c r="AA14" s="74" t="e">
        <f t="shared" si="3"/>
        <v>#N/A</v>
      </c>
      <c r="AB14" s="74" t="e">
        <f t="shared" si="3"/>
        <v>#N/A</v>
      </c>
      <c r="AC14" s="74" t="e">
        <f t="shared" si="3"/>
        <v>#N/A</v>
      </c>
      <c r="AD14" s="74" t="e">
        <f t="shared" si="3"/>
        <v>#N/A</v>
      </c>
      <c r="AE14" s="74" t="e">
        <f t="shared" si="3"/>
        <v>#N/A</v>
      </c>
      <c r="AF14" s="74" t="e">
        <f t="shared" si="3"/>
        <v>#N/A</v>
      </c>
      <c r="AG14" s="74" t="e">
        <f>AG13-AG12</f>
        <v>#N/A</v>
      </c>
      <c r="AH14" s="74" t="e">
        <f t="shared" si="3"/>
        <v>#N/A</v>
      </c>
      <c r="AI14" s="74" t="e">
        <f t="shared" si="3"/>
        <v>#N/A</v>
      </c>
      <c r="AJ14" s="74" t="e">
        <f t="shared" si="3"/>
        <v>#N/A</v>
      </c>
      <c r="AK14" s="74" t="e">
        <f t="shared" si="3"/>
        <v>#N/A</v>
      </c>
      <c r="AL14" s="74" t="e">
        <f t="shared" si="3"/>
        <v>#N/A</v>
      </c>
      <c r="AM14" s="74" t="e">
        <f t="shared" si="3"/>
        <v>#N/A</v>
      </c>
      <c r="AN14" s="74" t="e">
        <f t="shared" si="3"/>
        <v>#N/A</v>
      </c>
      <c r="AO14" s="74" t="e">
        <f t="shared" si="3"/>
        <v>#N/A</v>
      </c>
      <c r="AP14" s="74" t="e">
        <f t="shared" si="3"/>
        <v>#N/A</v>
      </c>
      <c r="AQ14" s="74" t="e">
        <f t="shared" si="3"/>
        <v>#N/A</v>
      </c>
      <c r="AR14" s="74" t="e">
        <f t="shared" si="3"/>
        <v>#N/A</v>
      </c>
      <c r="AS14" s="74" t="e">
        <f t="shared" si="3"/>
        <v>#N/A</v>
      </c>
      <c r="AT14" s="74" t="e">
        <f t="shared" si="3"/>
        <v>#N/A</v>
      </c>
      <c r="AU14" s="74" t="e">
        <f t="shared" si="3"/>
        <v>#N/A</v>
      </c>
      <c r="AV14" s="60"/>
      <c r="AW14" s="60"/>
    </row>
    <row r="15" spans="1:49">
      <c r="A15" s="60"/>
      <c r="B15" s="60"/>
      <c r="C15" s="60"/>
      <c r="D15" s="60"/>
      <c r="E15" s="60"/>
      <c r="F15" s="60"/>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60"/>
      <c r="AG15" s="60"/>
      <c r="AH15" s="60"/>
      <c r="AI15" s="60"/>
      <c r="AJ15" s="60"/>
      <c r="AK15" s="60"/>
      <c r="AL15" s="60"/>
      <c r="AM15" s="60"/>
      <c r="AN15" s="60"/>
      <c r="AO15" s="60"/>
      <c r="AP15" s="60"/>
      <c r="AQ15" s="60"/>
      <c r="AR15" s="60"/>
      <c r="AS15" s="60"/>
      <c r="AT15" s="60"/>
      <c r="AU15" s="60"/>
      <c r="AV15" s="60"/>
      <c r="AW15" s="60"/>
    </row>
    <row r="16" spans="1:49" ht="16" thickBot="1">
      <c r="A16" s="60"/>
      <c r="B16" s="60"/>
      <c r="C16" s="60"/>
      <c r="D16" s="60"/>
      <c r="E16" s="60"/>
      <c r="F16" s="60"/>
      <c r="G16" s="60"/>
      <c r="H16" s="60"/>
      <c r="I16" s="60"/>
      <c r="J16" s="60"/>
      <c r="K16" s="60"/>
      <c r="L16" s="60"/>
      <c r="M16" s="60"/>
      <c r="N16" s="60"/>
      <c r="O16" s="60"/>
      <c r="P16" s="60"/>
      <c r="Q16" s="60"/>
      <c r="R16" s="60"/>
      <c r="S16" s="60"/>
      <c r="T16" s="60"/>
      <c r="U16" s="60"/>
      <c r="V16" s="60"/>
      <c r="W16" s="60"/>
      <c r="X16" s="60"/>
      <c r="Y16" s="60"/>
      <c r="Z16" s="60"/>
      <c r="AA16" s="60"/>
      <c r="AB16" s="60"/>
      <c r="AC16" s="60"/>
      <c r="AD16" s="60"/>
      <c r="AE16" s="60"/>
      <c r="AF16" s="60"/>
      <c r="AG16" s="60"/>
      <c r="AH16" s="60"/>
      <c r="AI16" s="60"/>
      <c r="AJ16" s="60"/>
      <c r="AK16" s="60"/>
      <c r="AL16" s="60"/>
      <c r="AM16" s="60"/>
      <c r="AN16" s="60"/>
      <c r="AO16" s="60"/>
      <c r="AP16" s="60"/>
      <c r="AQ16" s="60"/>
      <c r="AR16" s="60"/>
      <c r="AS16" s="60"/>
      <c r="AT16" s="60"/>
      <c r="AU16" s="60"/>
      <c r="AV16" s="60"/>
      <c r="AW16" s="60"/>
    </row>
    <row r="17" spans="1:49" ht="16" thickBot="1">
      <c r="A17" s="60"/>
      <c r="B17" s="60"/>
      <c r="C17" s="60"/>
      <c r="D17" s="60"/>
      <c r="E17" s="60"/>
      <c r="F17" s="60"/>
      <c r="G17" s="60"/>
      <c r="H17" s="106" t="s">
        <v>407</v>
      </c>
      <c r="I17" s="109" t="e">
        <f>0.21+I12</f>
        <v>#N/A</v>
      </c>
      <c r="J17" s="109" t="e">
        <f t="shared" ref="J17:AU17" si="4">0.21+J12</f>
        <v>#N/A</v>
      </c>
      <c r="K17" s="109" t="e">
        <f t="shared" si="4"/>
        <v>#N/A</v>
      </c>
      <c r="L17" s="109" t="e">
        <f t="shared" si="4"/>
        <v>#N/A</v>
      </c>
      <c r="M17" s="109" t="e">
        <f t="shared" si="4"/>
        <v>#N/A</v>
      </c>
      <c r="N17" s="109" t="e">
        <f t="shared" si="4"/>
        <v>#N/A</v>
      </c>
      <c r="O17" s="109" t="e">
        <f t="shared" si="4"/>
        <v>#N/A</v>
      </c>
      <c r="P17" s="109" t="e">
        <f t="shared" si="4"/>
        <v>#N/A</v>
      </c>
      <c r="Q17" s="109" t="e">
        <f t="shared" si="4"/>
        <v>#N/A</v>
      </c>
      <c r="R17" s="109" t="e">
        <f t="shared" si="4"/>
        <v>#N/A</v>
      </c>
      <c r="S17" s="109" t="e">
        <f t="shared" si="4"/>
        <v>#N/A</v>
      </c>
      <c r="T17" s="109" t="e">
        <f t="shared" si="4"/>
        <v>#N/A</v>
      </c>
      <c r="U17" s="109" t="e">
        <f t="shared" si="4"/>
        <v>#N/A</v>
      </c>
      <c r="V17" s="109" t="e">
        <f t="shared" si="4"/>
        <v>#N/A</v>
      </c>
      <c r="W17" s="109" t="e">
        <f t="shared" si="4"/>
        <v>#N/A</v>
      </c>
      <c r="X17" s="109" t="e">
        <f t="shared" si="4"/>
        <v>#N/A</v>
      </c>
      <c r="Y17" s="109" t="e">
        <f t="shared" si="4"/>
        <v>#N/A</v>
      </c>
      <c r="Z17" s="109" t="e">
        <f t="shared" si="4"/>
        <v>#N/A</v>
      </c>
      <c r="AA17" s="109" t="e">
        <f t="shared" si="4"/>
        <v>#N/A</v>
      </c>
      <c r="AB17" s="109" t="e">
        <f t="shared" si="4"/>
        <v>#N/A</v>
      </c>
      <c r="AC17" s="109" t="e">
        <f t="shared" si="4"/>
        <v>#N/A</v>
      </c>
      <c r="AD17" s="109" t="e">
        <f t="shared" si="4"/>
        <v>#N/A</v>
      </c>
      <c r="AE17" s="109" t="e">
        <f t="shared" si="4"/>
        <v>#N/A</v>
      </c>
      <c r="AF17" s="109" t="e">
        <f t="shared" si="4"/>
        <v>#N/A</v>
      </c>
      <c r="AG17" s="109" t="e">
        <f t="shared" si="4"/>
        <v>#N/A</v>
      </c>
      <c r="AH17" s="109" t="e">
        <f t="shared" si="4"/>
        <v>#N/A</v>
      </c>
      <c r="AI17" s="109" t="e">
        <f t="shared" si="4"/>
        <v>#N/A</v>
      </c>
      <c r="AJ17" s="109" t="e">
        <f t="shared" si="4"/>
        <v>#N/A</v>
      </c>
      <c r="AK17" s="109" t="e">
        <f t="shared" si="4"/>
        <v>#N/A</v>
      </c>
      <c r="AL17" s="109" t="e">
        <f t="shared" si="4"/>
        <v>#N/A</v>
      </c>
      <c r="AM17" s="109" t="e">
        <f t="shared" si="4"/>
        <v>#N/A</v>
      </c>
      <c r="AN17" s="109" t="e">
        <f t="shared" si="4"/>
        <v>#N/A</v>
      </c>
      <c r="AO17" s="109" t="e">
        <f t="shared" si="4"/>
        <v>#N/A</v>
      </c>
      <c r="AP17" s="109" t="e">
        <f t="shared" si="4"/>
        <v>#N/A</v>
      </c>
      <c r="AQ17" s="109" t="e">
        <f t="shared" si="4"/>
        <v>#N/A</v>
      </c>
      <c r="AR17" s="109" t="e">
        <f t="shared" si="4"/>
        <v>#N/A</v>
      </c>
      <c r="AS17" s="109" t="e">
        <f t="shared" si="4"/>
        <v>#N/A</v>
      </c>
      <c r="AT17" s="109" t="e">
        <f t="shared" si="4"/>
        <v>#N/A</v>
      </c>
      <c r="AU17" s="109" t="e">
        <f t="shared" si="4"/>
        <v>#N/A</v>
      </c>
      <c r="AV17" s="60"/>
      <c r="AW17" s="60"/>
    </row>
    <row r="18" spans="1:49">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60"/>
      <c r="AH18" s="60"/>
      <c r="AI18" s="60"/>
      <c r="AJ18" s="60"/>
      <c r="AK18" s="60"/>
      <c r="AL18" s="60"/>
      <c r="AM18" s="60"/>
      <c r="AN18" s="60"/>
      <c r="AO18" s="60"/>
      <c r="AP18" s="60"/>
      <c r="AQ18" s="60"/>
      <c r="AR18" s="60"/>
      <c r="AS18" s="60"/>
      <c r="AT18" s="60"/>
      <c r="AU18" s="60"/>
      <c r="AV18" s="60"/>
      <c r="AW18" s="60"/>
    </row>
    <row r="19" spans="1:49">
      <c r="A19" s="60"/>
      <c r="B19" s="60"/>
      <c r="C19" s="60"/>
      <c r="D19" s="60"/>
      <c r="E19" s="60"/>
      <c r="F19" s="60"/>
      <c r="G19" s="60"/>
      <c r="H19" s="60"/>
      <c r="I19" s="60"/>
      <c r="J19" s="60"/>
      <c r="K19" s="60"/>
      <c r="L19" s="60"/>
      <c r="M19" s="60"/>
      <c r="N19" s="60"/>
      <c r="O19" s="60"/>
      <c r="P19" s="60"/>
      <c r="Q19" s="60"/>
      <c r="R19" s="60"/>
      <c r="S19" s="60"/>
      <c r="T19" s="60"/>
      <c r="U19" s="60"/>
      <c r="V19" s="60"/>
      <c r="W19" s="60"/>
      <c r="X19" s="60"/>
      <c r="Y19" s="60"/>
      <c r="Z19" s="60"/>
      <c r="AA19" s="60"/>
      <c r="AB19" s="60"/>
      <c r="AC19" s="60"/>
      <c r="AD19" s="60"/>
      <c r="AE19" s="60"/>
      <c r="AF19" s="60"/>
      <c r="AG19" s="60"/>
      <c r="AH19" s="60"/>
      <c r="AI19" s="60"/>
      <c r="AJ19" s="60"/>
      <c r="AK19" s="60"/>
      <c r="AL19" s="60"/>
      <c r="AM19" s="60"/>
      <c r="AN19" s="60"/>
      <c r="AO19" s="60"/>
      <c r="AP19" s="60"/>
      <c r="AQ19" s="60"/>
      <c r="AR19" s="60"/>
      <c r="AS19" s="60"/>
      <c r="AT19" s="60"/>
      <c r="AU19" s="60"/>
      <c r="AV19" s="60"/>
      <c r="AW19" s="60"/>
    </row>
    <row r="20" spans="1:49">
      <c r="A20" s="60"/>
      <c r="B20" s="60"/>
      <c r="C20" s="60"/>
      <c r="D20" s="60"/>
      <c r="E20" s="60"/>
      <c r="F20" s="60"/>
      <c r="G20" s="60"/>
      <c r="H20" s="60"/>
      <c r="I20" s="60"/>
      <c r="J20" s="60"/>
      <c r="K20" s="60"/>
      <c r="L20" s="60"/>
      <c r="M20" s="60"/>
      <c r="N20" s="60"/>
      <c r="O20" s="60"/>
      <c r="P20" s="60"/>
      <c r="Q20" s="60"/>
      <c r="R20" s="60"/>
      <c r="S20" s="60"/>
      <c r="T20" s="60"/>
      <c r="U20" s="60"/>
      <c r="V20" s="60"/>
      <c r="W20" s="60"/>
      <c r="X20" s="60"/>
      <c r="Y20" s="60"/>
      <c r="Z20" s="60"/>
      <c r="AA20" s="60"/>
      <c r="AB20" s="60"/>
      <c r="AC20" s="60"/>
      <c r="AD20" s="60"/>
      <c r="AE20" s="60"/>
      <c r="AF20" s="60"/>
      <c r="AG20" s="60"/>
      <c r="AH20" s="60"/>
      <c r="AI20" s="60"/>
      <c r="AJ20" s="60"/>
      <c r="AK20" s="60"/>
      <c r="AL20" s="60"/>
      <c r="AM20" s="60"/>
      <c r="AN20" s="60"/>
      <c r="AO20" s="60"/>
      <c r="AP20" s="60"/>
      <c r="AQ20" s="60"/>
      <c r="AR20" s="60"/>
      <c r="AS20" s="60"/>
      <c r="AT20" s="60"/>
      <c r="AU20" s="60"/>
      <c r="AV20" s="60"/>
      <c r="AW20" s="60"/>
    </row>
    <row r="21" spans="1:49">
      <c r="A21" s="60"/>
      <c r="B21" s="60"/>
      <c r="C21" s="60"/>
      <c r="D21" s="60"/>
      <c r="E21" s="60"/>
      <c r="F21" s="60"/>
      <c r="G21" s="60"/>
      <c r="H21" s="60"/>
      <c r="I21" s="60"/>
      <c r="J21" s="60"/>
      <c r="K21" s="60"/>
      <c r="L21" s="60"/>
      <c r="M21" s="60"/>
      <c r="N21" s="60"/>
      <c r="O21" s="60"/>
      <c r="P21" s="60"/>
      <c r="Q21" s="60"/>
      <c r="R21" s="60"/>
      <c r="S21" s="60"/>
      <c r="T21" s="60"/>
      <c r="U21" s="60"/>
      <c r="V21" s="60"/>
      <c r="W21" s="60"/>
      <c r="X21" s="60"/>
      <c r="Y21" s="60"/>
      <c r="Z21" s="60"/>
      <c r="AA21" s="60"/>
      <c r="AB21" s="60"/>
      <c r="AC21" s="60"/>
      <c r="AD21" s="60"/>
      <c r="AE21" s="60"/>
      <c r="AF21" s="60"/>
      <c r="AG21" s="60"/>
      <c r="AH21" s="60"/>
      <c r="AI21" s="60"/>
      <c r="AJ21" s="60"/>
      <c r="AK21" s="60"/>
      <c r="AL21" s="60"/>
      <c r="AM21" s="60"/>
      <c r="AN21" s="60"/>
      <c r="AO21" s="60"/>
      <c r="AP21" s="60"/>
      <c r="AQ21" s="60"/>
      <c r="AR21" s="60"/>
      <c r="AS21" s="60"/>
      <c r="AT21" s="60"/>
      <c r="AU21" s="60"/>
      <c r="AV21" s="60"/>
      <c r="AW21" s="60"/>
    </row>
  </sheetData>
  <conditionalFormatting sqref="I14:AU14">
    <cfRule type="top10" dxfId="24" priority="1" bottom="1" rank="1"/>
  </conditionalFormatting>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49"/>
  <dimension ref="A1:FG19"/>
  <sheetViews>
    <sheetView workbookViewId="0">
      <pane xSplit="11" ySplit="6" topLeftCell="AT8" activePane="bottomRight" state="frozen"/>
      <selection pane="topRight" activeCell="L1" sqref="L1"/>
      <selection pane="bottomLeft" activeCell="A7" sqref="A7"/>
      <selection pane="bottomRight" activeCell="BC19" sqref="BC19"/>
    </sheetView>
  </sheetViews>
  <sheetFormatPr baseColWidth="10" defaultColWidth="22.6640625" defaultRowHeight="12"/>
  <cols>
    <col min="1" max="1" width="13.33203125" style="60" bestFit="1" customWidth="1"/>
    <col min="2" max="2" width="11.33203125" style="60" bestFit="1" customWidth="1"/>
    <col min="3" max="3" width="4.83203125" style="60" bestFit="1" customWidth="1"/>
    <col min="4" max="4" width="12.33203125" style="60" bestFit="1" customWidth="1"/>
    <col min="5" max="5" width="7.5" style="60" bestFit="1" customWidth="1"/>
    <col min="6" max="6" width="11.83203125" style="60" bestFit="1" customWidth="1"/>
    <col min="7" max="7" width="4.1640625" style="60" bestFit="1" customWidth="1"/>
    <col min="8" max="8" width="22.83203125" style="60" bestFit="1" customWidth="1"/>
    <col min="9" max="10" width="5.5" style="60" bestFit="1" customWidth="1"/>
    <col min="11" max="11" width="5.6640625" style="60" bestFit="1" customWidth="1"/>
    <col min="12" max="12" width="5.5" style="60" bestFit="1" customWidth="1"/>
    <col min="13" max="13" width="5.83203125" style="60" bestFit="1" customWidth="1"/>
    <col min="14" max="18" width="5.5" style="60" bestFit="1" customWidth="1"/>
    <col min="19" max="19" width="5.6640625" style="60" bestFit="1" customWidth="1"/>
    <col min="20" max="22" width="5.5" style="60" bestFit="1" customWidth="1"/>
    <col min="23" max="23" width="5.6640625" style="60" bestFit="1" customWidth="1"/>
    <col min="24" max="24" width="5.5" style="60" bestFit="1" customWidth="1"/>
    <col min="25" max="25" width="5.83203125" style="60" bestFit="1" customWidth="1"/>
    <col min="26" max="30" width="5.5" style="60" bestFit="1" customWidth="1"/>
    <col min="31" max="31" width="5.6640625" style="60" bestFit="1" customWidth="1"/>
    <col min="32" max="34" width="5.5" style="60" bestFit="1" customWidth="1"/>
    <col min="35" max="35" width="6.1640625" style="60" bestFit="1" customWidth="1"/>
    <col min="36" max="36" width="5.5" style="60" bestFit="1" customWidth="1"/>
    <col min="37" max="37" width="5.83203125" style="60" bestFit="1" customWidth="1"/>
    <col min="38" max="42" width="5.5" style="60" bestFit="1" customWidth="1"/>
    <col min="43" max="43" width="5.6640625" style="60" bestFit="1" customWidth="1"/>
    <col min="44" max="46" width="5.5" style="60" bestFit="1" customWidth="1"/>
    <col min="47" max="47" width="5.6640625" style="60" bestFit="1" customWidth="1"/>
    <col min="48" max="48" width="5.5" style="60" bestFit="1" customWidth="1"/>
    <col min="49" max="49" width="5.83203125" style="60" bestFit="1" customWidth="1"/>
    <col min="50" max="51" width="5.5" style="60" bestFit="1" customWidth="1"/>
    <col min="52" max="54" width="7" style="60" bestFit="1" customWidth="1"/>
    <col min="55" max="56" width="5.5" style="60" bestFit="1" customWidth="1"/>
    <col min="57" max="58" width="5.83203125" style="60" bestFit="1" customWidth="1"/>
    <col min="59" max="66" width="6.1640625" style="60" bestFit="1" customWidth="1"/>
    <col min="67" max="70" width="5.6640625" style="60" bestFit="1" customWidth="1"/>
    <col min="71" max="82" width="5.5" style="60" bestFit="1" customWidth="1"/>
    <col min="83" max="83" width="6.1640625" style="60" bestFit="1" customWidth="1"/>
    <col min="84" max="86" width="5.6640625" style="60" bestFit="1" customWidth="1"/>
    <col min="87" max="90" width="5.5" style="60" bestFit="1" customWidth="1"/>
    <col min="91" max="95" width="6.33203125" style="60" bestFit="1" customWidth="1"/>
    <col min="96" max="99" width="6.1640625" style="60" bestFit="1" customWidth="1"/>
    <col min="100" max="100" width="5.5" style="60" bestFit="1" customWidth="1"/>
    <col min="101" max="103" width="5.1640625" style="60" bestFit="1" customWidth="1"/>
    <col min="104" max="107" width="5.83203125" style="60" bestFit="1" customWidth="1"/>
    <col min="108" max="115" width="5.6640625" style="60" bestFit="1" customWidth="1"/>
    <col min="116" max="119" width="6.1640625" style="60" bestFit="1" customWidth="1"/>
    <col min="120" max="123" width="5.83203125" style="60" bestFit="1" customWidth="1"/>
    <col min="124" max="157" width="5.1640625" style="60" bestFit="1" customWidth="1"/>
    <col min="158" max="163" width="3.33203125" style="60" bestFit="1" customWidth="1"/>
    <col min="164" max="16384" width="22.6640625" style="60"/>
  </cols>
  <sheetData>
    <row r="1" spans="1:163" ht="26">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c r="EM1" s="99">
        <v>141</v>
      </c>
      <c r="EN1" s="99">
        <v>142</v>
      </c>
      <c r="EO1" s="99">
        <v>143</v>
      </c>
      <c r="EP1" s="99">
        <v>144</v>
      </c>
      <c r="EQ1" s="99">
        <v>145</v>
      </c>
      <c r="ER1" s="99">
        <v>146</v>
      </c>
      <c r="ES1" s="99">
        <v>147</v>
      </c>
      <c r="ET1" s="99">
        <v>148</v>
      </c>
      <c r="EU1" s="99">
        <v>149</v>
      </c>
      <c r="EV1" s="99">
        <v>150</v>
      </c>
      <c r="EW1" s="99">
        <v>151</v>
      </c>
      <c r="EX1" s="99">
        <v>152</v>
      </c>
      <c r="EY1" s="99">
        <v>153</v>
      </c>
      <c r="EZ1" s="99">
        <v>154</v>
      </c>
      <c r="FA1" s="99">
        <v>155</v>
      </c>
      <c r="FB1" s="99">
        <v>156</v>
      </c>
      <c r="FC1" s="99">
        <v>157</v>
      </c>
      <c r="FD1" s="99">
        <v>158</v>
      </c>
      <c r="FE1" s="99">
        <v>159</v>
      </c>
      <c r="FF1" s="99">
        <v>160</v>
      </c>
      <c r="FG1" s="99">
        <v>161</v>
      </c>
    </row>
    <row r="2" spans="1:163" ht="13">
      <c r="A2" s="100" t="s">
        <v>694</v>
      </c>
      <c r="B2" s="100" t="s">
        <v>695</v>
      </c>
      <c r="C2" s="101">
        <v>1</v>
      </c>
      <c r="D2" s="112"/>
      <c r="E2" s="60">
        <f>D2*C2</f>
        <v>0</v>
      </c>
      <c r="K2" s="102"/>
      <c r="M2" s="102"/>
    </row>
    <row r="3" spans="1:163" ht="13">
      <c r="A3" s="100" t="s">
        <v>682</v>
      </c>
      <c r="B3" s="64"/>
      <c r="D3" s="100"/>
      <c r="E3" s="64"/>
      <c r="F3" s="103"/>
    </row>
    <row r="4" spans="1:163">
      <c r="A4" s="64"/>
      <c r="B4" s="64"/>
      <c r="D4" s="64"/>
      <c r="E4" s="64"/>
      <c r="H4" s="60" t="s">
        <v>387</v>
      </c>
    </row>
    <row r="5" spans="1:163">
      <c r="A5" s="74"/>
      <c r="B5" s="74"/>
    </row>
    <row r="6" spans="1:163">
      <c r="A6" s="59"/>
      <c r="B6" s="59"/>
      <c r="C6" s="59"/>
      <c r="D6" s="98"/>
      <c r="E6" s="98"/>
      <c r="F6" s="59"/>
      <c r="H6" s="59" t="s">
        <v>416</v>
      </c>
      <c r="I6" s="59">
        <v>43831</v>
      </c>
      <c r="J6" s="59">
        <v>43862</v>
      </c>
      <c r="K6" s="59">
        <v>43891</v>
      </c>
      <c r="L6" s="59">
        <v>43922</v>
      </c>
      <c r="M6" s="59">
        <v>43952</v>
      </c>
      <c r="N6" s="59">
        <v>43983</v>
      </c>
      <c r="O6" s="59">
        <v>44013</v>
      </c>
      <c r="P6" s="59">
        <v>44044</v>
      </c>
      <c r="Q6" s="59">
        <v>44075</v>
      </c>
      <c r="R6" s="59">
        <v>44105</v>
      </c>
      <c r="S6" s="59">
        <v>44136</v>
      </c>
      <c r="T6" s="59">
        <v>44166</v>
      </c>
      <c r="U6" s="59">
        <v>44197</v>
      </c>
      <c r="V6" s="59">
        <v>44228</v>
      </c>
      <c r="W6" s="59">
        <v>44256</v>
      </c>
      <c r="X6" s="59">
        <v>44287</v>
      </c>
      <c r="Y6" s="59">
        <v>44317</v>
      </c>
      <c r="Z6" s="59">
        <v>44348</v>
      </c>
      <c r="AA6" s="59">
        <v>44378</v>
      </c>
      <c r="AB6" s="59">
        <v>44409</v>
      </c>
      <c r="AC6" s="59">
        <v>44440</v>
      </c>
      <c r="AD6" s="59">
        <v>44470</v>
      </c>
      <c r="AE6" s="59">
        <v>44501</v>
      </c>
      <c r="AF6" s="59">
        <v>44531</v>
      </c>
      <c r="AG6" s="59">
        <v>44562</v>
      </c>
      <c r="AH6" s="59">
        <v>44593</v>
      </c>
      <c r="AI6" s="59">
        <v>44621</v>
      </c>
      <c r="AJ6" s="59">
        <v>44652</v>
      </c>
      <c r="AK6" s="59">
        <v>44682</v>
      </c>
      <c r="AL6" s="59">
        <v>44713</v>
      </c>
      <c r="AM6" s="59">
        <v>44743</v>
      </c>
      <c r="AN6" s="59">
        <v>44774</v>
      </c>
      <c r="AO6" s="59">
        <v>44805</v>
      </c>
      <c r="AP6" s="59">
        <v>44835</v>
      </c>
      <c r="AQ6" s="59">
        <v>44866</v>
      </c>
      <c r="AR6" s="59">
        <v>44896</v>
      </c>
      <c r="AS6" s="59">
        <v>44927</v>
      </c>
      <c r="AT6" s="59">
        <v>44958</v>
      </c>
      <c r="AU6" s="59">
        <v>44986</v>
      </c>
      <c r="AV6" s="59">
        <v>45017</v>
      </c>
      <c r="AW6" s="59">
        <v>45047</v>
      </c>
      <c r="AX6" s="59">
        <v>45078</v>
      </c>
      <c r="AY6" s="59">
        <v>45108</v>
      </c>
      <c r="AZ6" s="59" t="s">
        <v>530</v>
      </c>
      <c r="BA6" s="59" t="s">
        <v>531</v>
      </c>
      <c r="BB6" s="59" t="s">
        <v>532</v>
      </c>
      <c r="BC6" s="59">
        <v>37104</v>
      </c>
      <c r="BD6" s="59">
        <v>37469</v>
      </c>
      <c r="BE6" s="59" t="s">
        <v>168</v>
      </c>
      <c r="BF6" s="59" t="s">
        <v>169</v>
      </c>
      <c r="BG6" s="59" t="s">
        <v>393</v>
      </c>
      <c r="BH6" s="59" t="s">
        <v>458</v>
      </c>
      <c r="BI6" s="59" t="s">
        <v>459</v>
      </c>
      <c r="BJ6" s="59" t="s">
        <v>460</v>
      </c>
      <c r="BK6" s="59" t="s">
        <v>461</v>
      </c>
      <c r="BL6" s="59" t="s">
        <v>462</v>
      </c>
      <c r="BM6" s="59" t="s">
        <v>463</v>
      </c>
      <c r="BN6" s="59" t="s">
        <v>464</v>
      </c>
      <c r="BO6" s="59">
        <v>37196</v>
      </c>
      <c r="BP6" s="59">
        <v>37561</v>
      </c>
      <c r="BQ6" s="59">
        <v>37926</v>
      </c>
      <c r="BR6" s="59">
        <v>38292</v>
      </c>
      <c r="BS6" s="59">
        <v>37226</v>
      </c>
      <c r="BT6" s="59">
        <v>37591</v>
      </c>
      <c r="BU6" s="59">
        <v>37956</v>
      </c>
      <c r="BV6" s="59">
        <v>38322</v>
      </c>
      <c r="BW6" s="59">
        <v>36892</v>
      </c>
      <c r="BX6" s="59">
        <v>37257</v>
      </c>
      <c r="BY6" s="59">
        <v>37622</v>
      </c>
      <c r="BZ6" s="59">
        <v>37987</v>
      </c>
      <c r="CA6" s="59">
        <v>36923</v>
      </c>
      <c r="CB6" s="59">
        <v>37288</v>
      </c>
      <c r="CC6" s="59">
        <v>37653</v>
      </c>
      <c r="CD6" s="59">
        <v>38018</v>
      </c>
      <c r="CE6" s="59" t="str">
        <f>Sheet8!A15</f>
        <v>Mar-w1</v>
      </c>
      <c r="CF6" s="59">
        <v>37316</v>
      </c>
      <c r="CG6" s="59">
        <v>37681</v>
      </c>
      <c r="CH6" s="59">
        <v>38047</v>
      </c>
      <c r="CI6" s="59" t="str">
        <f>Sheet8!E15</f>
        <v>Apr-w1</v>
      </c>
      <c r="CJ6" s="59" t="str">
        <f>Sheet8!F15</f>
        <v>Apr-w2</v>
      </c>
      <c r="CK6" s="59" t="str">
        <f>Sheet8!G15</f>
        <v>Apr-w3</v>
      </c>
      <c r="CL6" s="59" t="str">
        <f>Sheet8!H15</f>
        <v>Apr-w4</v>
      </c>
      <c r="CM6" s="59" t="str">
        <f>Sheet8!I15</f>
        <v>May-w1</v>
      </c>
      <c r="CN6" s="59" t="str">
        <f>Sheet8!J15</f>
        <v>May-w2</v>
      </c>
      <c r="CO6" s="59" t="str">
        <f>Sheet8!K15</f>
        <v>May-w3</v>
      </c>
      <c r="CP6" s="59" t="str">
        <f>Sheet8!L15</f>
        <v>May-w4</v>
      </c>
      <c r="CQ6" s="59" t="str">
        <f>Sheet8!M15</f>
        <v>May-w5</v>
      </c>
      <c r="CR6" s="59" t="str">
        <f>Sheet8!N15</f>
        <v>june-w1</v>
      </c>
      <c r="CS6" s="59" t="str">
        <f>Sheet8!O15</f>
        <v>june-w2</v>
      </c>
      <c r="CT6" s="59" t="str">
        <f>Sheet8!P15</f>
        <v>june-w3</v>
      </c>
      <c r="CU6" s="59" t="str">
        <f>Sheet8!Q15</f>
        <v>june-w4</v>
      </c>
      <c r="CV6" s="59" t="str">
        <f>Sheet8!R15</f>
        <v>Jul-w1</v>
      </c>
      <c r="CW6" s="59" t="str">
        <f>Sheet8!S15</f>
        <v>Jul-w2</v>
      </c>
      <c r="CX6" s="59" t="str">
        <f>Sheet8!T15</f>
        <v>Jul-w3</v>
      </c>
      <c r="CY6" s="59" t="str">
        <f>Sheet8!U15</f>
        <v>Jul-w4</v>
      </c>
      <c r="CZ6" s="59" t="str">
        <f>Sheet8!V15</f>
        <v>Aug-w1</v>
      </c>
      <c r="DA6" s="59" t="str">
        <f>Sheet8!W15</f>
        <v>Aug-w2</v>
      </c>
      <c r="DB6" s="59" t="str">
        <f>Sheet8!X15</f>
        <v>Aug-w3</v>
      </c>
      <c r="DC6" s="59" t="str">
        <f>Sheet8!Y15</f>
        <v>Aug-w4</v>
      </c>
      <c r="DD6" s="59" t="str">
        <f>Sheet8!Z15</f>
        <v>Sep-w1</v>
      </c>
      <c r="DE6" s="59" t="str">
        <f>Sheet8!AA15</f>
        <v>Sep-w2</v>
      </c>
      <c r="DF6" s="59" t="str">
        <f>Sheet8!AB15</f>
        <v>Sep-w3</v>
      </c>
      <c r="DG6" s="59" t="str">
        <f>Sheet8!AC15</f>
        <v>Sep-w4</v>
      </c>
      <c r="DH6" s="59" t="str">
        <f>Sheet8!AD15</f>
        <v>Oct-w1</v>
      </c>
      <c r="DI6" s="59" t="str">
        <f>Sheet8!AE15</f>
        <v>Oct-w2</v>
      </c>
      <c r="DJ6" s="59" t="str">
        <f>Sheet8!AF15</f>
        <v>Oct-w3</v>
      </c>
      <c r="DK6" s="59" t="str">
        <f>Sheet8!AG15</f>
        <v>Oct-w4</v>
      </c>
      <c r="DL6" s="59" t="str">
        <f>Sheet8!AH15</f>
        <v>Nov-w1</v>
      </c>
      <c r="DM6" s="59" t="str">
        <f>Sheet8!AI15</f>
        <v>Nov-w2</v>
      </c>
      <c r="DN6" s="59" t="str">
        <f>Sheet8!AJ15</f>
        <v>Nov-w3</v>
      </c>
      <c r="DO6" s="59" t="str">
        <f>Sheet8!AK15</f>
        <v>Nov-w4</v>
      </c>
      <c r="DP6" s="59" t="str">
        <f>Sheet8!AL15</f>
        <v>Dec-w1</v>
      </c>
      <c r="DQ6" s="59" t="str">
        <f>Sheet8!AM15</f>
        <v>Dec-w2</v>
      </c>
      <c r="DR6" s="59" t="str">
        <f>Sheet8!AN15</f>
        <v>Dec-w3</v>
      </c>
      <c r="DS6" s="59" t="str">
        <f>Sheet8!AO15</f>
        <v>Dec-w4</v>
      </c>
      <c r="DT6" s="59">
        <f>Sheet8!AP15</f>
        <v>0</v>
      </c>
      <c r="DU6" s="59">
        <f>Sheet8!AQ15</f>
        <v>0</v>
      </c>
      <c r="DV6" s="59">
        <f>Sheet8!AR15</f>
        <v>0</v>
      </c>
      <c r="DW6" s="59">
        <f>Sheet8!AS15</f>
        <v>0</v>
      </c>
      <c r="DX6" s="59">
        <f>Sheet8!AT15</f>
        <v>0</v>
      </c>
      <c r="DY6" s="59">
        <f>Sheet8!AU15</f>
        <v>0</v>
      </c>
      <c r="DZ6" s="59">
        <f>Sheet8!AV15</f>
        <v>0</v>
      </c>
      <c r="EA6" s="59">
        <f>Sheet8!AW15</f>
        <v>0</v>
      </c>
      <c r="EB6" s="59">
        <f>Sheet8!AX15</f>
        <v>0</v>
      </c>
      <c r="EC6" s="59">
        <f>Sheet8!AY15</f>
        <v>0</v>
      </c>
      <c r="ED6" s="59">
        <f>Sheet8!AZ15</f>
        <v>0</v>
      </c>
      <c r="EE6" s="59">
        <f>Sheet8!BA15</f>
        <v>0</v>
      </c>
      <c r="EF6" s="59">
        <f>Sheet8!BB15</f>
        <v>0</v>
      </c>
      <c r="EG6" s="59">
        <f>Sheet8!BC15</f>
        <v>0</v>
      </c>
      <c r="EH6" s="59">
        <f>Sheet8!BD15</f>
        <v>0</v>
      </c>
      <c r="EI6" s="59">
        <f>Sheet8!BE15</f>
        <v>0</v>
      </c>
      <c r="EJ6" s="59">
        <f>Sheet8!BF15</f>
        <v>0</v>
      </c>
      <c r="EK6" s="59">
        <f>Sheet8!BG15</f>
        <v>0</v>
      </c>
      <c r="EL6" s="59">
        <f>Sheet8!BH15</f>
        <v>0</v>
      </c>
      <c r="EM6" s="59">
        <f>Sheet8!BI15</f>
        <v>0</v>
      </c>
      <c r="EN6" s="59">
        <f>Sheet8!BJ15</f>
        <v>0</v>
      </c>
      <c r="EO6" s="59">
        <f>Sheet8!BK15</f>
        <v>0</v>
      </c>
      <c r="EP6" s="59">
        <f>Sheet8!BL15</f>
        <v>0</v>
      </c>
      <c r="EQ6" s="59">
        <f>Sheet8!BM15</f>
        <v>0</v>
      </c>
      <c r="ER6" s="59">
        <f>Sheet8!BN15</f>
        <v>0</v>
      </c>
      <c r="ES6" s="59">
        <f>Sheet8!BO15</f>
        <v>0</v>
      </c>
      <c r="ET6" s="59">
        <f>Sheet8!BP15</f>
        <v>0</v>
      </c>
      <c r="EU6" s="59">
        <f>Sheet8!BQ15</f>
        <v>0</v>
      </c>
      <c r="EV6" s="59">
        <f>Sheet8!BR15</f>
        <v>0</v>
      </c>
      <c r="EW6" s="59">
        <f>Sheet8!BS15</f>
        <v>0</v>
      </c>
      <c r="EX6" s="59">
        <f>Sheet8!BT15</f>
        <v>0</v>
      </c>
      <c r="EY6" s="59">
        <f>Sheet8!BU15</f>
        <v>0</v>
      </c>
      <c r="EZ6" s="59">
        <f>Sheet8!BV15</f>
        <v>0</v>
      </c>
      <c r="FA6" s="59">
        <f>Sheet8!BW15</f>
        <v>0</v>
      </c>
    </row>
    <row r="7" spans="1:163" ht="13">
      <c r="F7" s="60" t="s">
        <v>651</v>
      </c>
      <c r="H7" s="100" t="s">
        <v>91</v>
      </c>
      <c r="I7" s="74">
        <f>VLOOKUP($H$7&amp;$F$1,'Input RM sheet'!$A:$BD,H1,0)</f>
        <v>551.47500000000002</v>
      </c>
      <c r="J7" s="74">
        <f>VLOOKUP($H$7&amp;$F$1,'Input RM sheet'!$A:$BD,I1,0)</f>
        <v>477.74342105263156</v>
      </c>
      <c r="K7" s="74">
        <f>VLOOKUP($H$7&amp;$F$1,'Input RM sheet'!$A:$BD,J1,0)</f>
        <v>290.25568181818181</v>
      </c>
      <c r="L7" s="74">
        <f>VLOOKUP($H$7&amp;$F$1,'Input RM sheet'!$A:$BD,K1,0)</f>
        <v>194.2202380952381</v>
      </c>
      <c r="M7" s="74">
        <f>VLOOKUP($H$7&amp;$F$1,'Input RM sheet'!$A:$BD,L1,0)</f>
        <v>267.16666666666669</v>
      </c>
      <c r="N7" s="74">
        <f>VLOOKUP($H$7&amp;$F$1,'Input RM sheet'!$A:$BD,M1,0)</f>
        <v>363</v>
      </c>
      <c r="O7" s="74">
        <f>VLOOKUP($H$7&amp;$F$1,'Input RM sheet'!$A:$BD,N1,0)</f>
        <v>391</v>
      </c>
      <c r="P7" s="74">
        <f>VLOOKUP($H$7&amp;$F$1,'Input RM sheet'!$A:$BD,O1,0)</f>
        <v>400</v>
      </c>
      <c r="Q7" s="74">
        <f>VLOOKUP($H$7&amp;$F$1,'Input RM sheet'!$A:$BD,P1,0)</f>
        <v>401</v>
      </c>
      <c r="R7" s="74">
        <f>VLOOKUP($H$7&amp;$F$1,'Input RM sheet'!$A:$BD,Q1,0)</f>
        <v>388</v>
      </c>
      <c r="S7" s="74">
        <f>VLOOKUP($H$7&amp;$F$1,'Input RM sheet'!$A:$BD,R1,0)</f>
        <v>382</v>
      </c>
      <c r="T7" s="74">
        <f>VLOOKUP($H$7&amp;$F$1,'Input RM sheet'!$A:$BD,S1,0)</f>
        <v>448.5</v>
      </c>
      <c r="U7" s="74">
        <f>VLOOKUP($H$7&amp;$F$1,'Input RM sheet'!$A:$BD,T1,0)</f>
        <v>515</v>
      </c>
      <c r="V7" s="74">
        <f>VLOOKUP($H$7&amp;$F$1,'Input RM sheet'!$A:$BD,U1,0)</f>
        <v>547</v>
      </c>
      <c r="W7" s="74">
        <f>VLOOKUP($H$7&amp;$F$1,'Input RM sheet'!$A:$BD,V1,0)</f>
        <v>560</v>
      </c>
      <c r="X7" s="74">
        <f>VLOOKUP($H$7&amp;$F$1,'Input RM sheet'!$A:$BD,W1,0)</f>
        <v>574</v>
      </c>
      <c r="Y7" s="74">
        <f>VLOOKUP($H$7&amp;$F$1,'Input RM sheet'!$A:$BD,X1,0)</f>
        <v>596</v>
      </c>
      <c r="Z7" s="74">
        <f>VLOOKUP($H$7&amp;$F$1,'Input RM sheet'!$A:$BD,Y1,0)</f>
        <v>644</v>
      </c>
      <c r="AA7" s="74">
        <f>VLOOKUP($H$7&amp;$F$1,'Input RM sheet'!$A:$BD,Z1,0)</f>
        <v>684.875</v>
      </c>
      <c r="AB7" s="74">
        <f>VLOOKUP($H$7&amp;$F$1,'Input RM sheet'!$A:$BD,AA1,0)</f>
        <v>674.5</v>
      </c>
      <c r="AC7" s="74">
        <f>VLOOKUP($H$7&amp;$F$1,'Input RM sheet'!$A:$BD,AB1,0)</f>
        <v>662.5</v>
      </c>
      <c r="AD7" s="74">
        <f>VLOOKUP($H$7&amp;$F$1,'Input RM sheet'!$A:$BD,AC1,0)</f>
        <v>767.55</v>
      </c>
      <c r="AE7" s="74">
        <f>VLOOKUP($H$7&amp;$F$1,'Input RM sheet'!$A:$BD,AD1,0)</f>
        <v>755.84</v>
      </c>
      <c r="AF7" s="74">
        <f>VLOOKUP($H$7&amp;$F$1,'Input RM sheet'!$A:$BD,AE1,0)</f>
        <v>693.2</v>
      </c>
      <c r="AG7" s="74">
        <f>VLOOKUP($H$7&amp;$F$1,'Input RM sheet'!$A:$BD,AF1,0)</f>
        <v>775.4</v>
      </c>
      <c r="AH7" s="74">
        <f>VLOOKUP($H$7&amp;$F$1,'Input RM sheet'!$A:$BD,AG1,0)</f>
        <v>860</v>
      </c>
      <c r="AI7" s="74">
        <f>VLOOKUP($H$7&amp;$F$1,'Input RM sheet'!$A:$BD,AH1,0)</f>
        <v>1011</v>
      </c>
      <c r="AJ7" s="74">
        <f>VLOOKUP($H$7&amp;$F$1,'Input RM sheet'!$A:$BD,AI1,0)</f>
        <v>903</v>
      </c>
      <c r="AK7" s="74">
        <f>VLOOKUP($H$7&amp;$F$1,'Input RM sheet'!$A:$BD,AJ1,0)</f>
        <v>904</v>
      </c>
      <c r="AL7" s="74">
        <f>VLOOKUP($H$7&amp;$F$1,'Input RM sheet'!$A:$BD,AK1,0)</f>
        <v>828</v>
      </c>
      <c r="AM7" s="74">
        <f>VLOOKUP($H$7&amp;$F$1,'Input RM sheet'!$A:$BD,AL1,0)</f>
        <v>791</v>
      </c>
      <c r="AN7" s="74">
        <f>VLOOKUP($H$7&amp;$F$1,'Input RM sheet'!$A:$BD,AM1,0)</f>
        <v>701</v>
      </c>
      <c r="AO7" s="74">
        <f>VLOOKUP($H$7&amp;$F$1,'Input RM sheet'!$A:$BD,AN1,0)</f>
        <v>661</v>
      </c>
      <c r="AP7" s="74">
        <f>VLOOKUP($H$7&amp;$F$1,'Input RM sheet'!$A:$BD,AO1,0)</f>
        <v>683</v>
      </c>
      <c r="AQ7" s="74">
        <f>VLOOKUP($H$7&amp;$F$1,'Input RM sheet'!$A:$BD,AP1,0)</f>
        <v>693</v>
      </c>
      <c r="AR7" s="74">
        <f>VLOOKUP($H$7&amp;$F$1,'Input RM sheet'!$A:$BD,AQ1,0)</f>
        <v>625.5</v>
      </c>
      <c r="AS7" s="74">
        <f>VLOOKUP($H$7&amp;$F$1,'Input RM sheet'!$A:$BD,AR1,0)</f>
        <v>710</v>
      </c>
      <c r="AT7" s="74">
        <f>VLOOKUP($H$7&amp;$F$1,'Input RM sheet'!$A:$BD,AS1,0)</f>
        <v>720</v>
      </c>
      <c r="AU7" s="74">
        <f>VLOOKUP($H$7&amp;$F$1,'Input RM sheet'!$A:$BD,AT1,0)</f>
        <v>590</v>
      </c>
      <c r="AV7" s="74">
        <f>VLOOKUP($H$7&amp;$F$1,'Input RM sheet'!$A:$BD,AU1,0)</f>
        <v>695</v>
      </c>
      <c r="AW7" s="74">
        <f>VLOOKUP($H$7&amp;$F$1,'Input RM sheet'!$A:$BD,AV1,0)</f>
        <v>583</v>
      </c>
      <c r="AX7" s="74">
        <f>VLOOKUP($H$7&amp;$F$1,'Input RM sheet'!$A:$BD,AW1,0)</f>
        <v>550</v>
      </c>
      <c r="AY7" s="74">
        <f>VLOOKUP($H$7&amp;$F$1,'Input RM sheet'!$A:$BD,AX1,0)</f>
        <v>529</v>
      </c>
      <c r="AZ7" s="74">
        <f>VLOOKUP($H$7&amp;$F$1,'Input RM sheet'!$A:$BD,AY1,0)</f>
        <v>625</v>
      </c>
      <c r="BA7" s="74">
        <f>VLOOKUP($H$7&amp;$F$1,'Input RM sheet'!$A:$BD,AZ1,0)</f>
        <v>627</v>
      </c>
      <c r="BB7" s="74">
        <f>VLOOKUP($H$7&amp;$F$1,'Input RM sheet'!$A:$BD,BA1,0)</f>
        <v>638</v>
      </c>
      <c r="BC7" s="74">
        <f>VLOOKUP($H$7&amp;$F$1,'Input RM sheet'!$A:$BD,BB1,0)</f>
        <v>677</v>
      </c>
      <c r="BD7" s="74">
        <f>VLOOKUP($H$7&amp;$F$1,'Input RM sheet'!$A:$BD,BC1,0)</f>
        <v>640</v>
      </c>
      <c r="BE7" s="74">
        <f>VLOOKUP($H$7&amp;$F$1,'Input RM sheet'!$A:$BD,BD1,0)</f>
        <v>645</v>
      </c>
      <c r="BF7" s="74">
        <f>VLOOKUP($H$7&amp;$F$1,'Input RM sheet'!$A:$BD,BE1,0)</f>
        <v>665</v>
      </c>
      <c r="BG7" s="74">
        <f>VLOOKUP($H$7&amp;$F$1,'Input RM sheet'!$A:$DD,BF1,0)</f>
        <v>665</v>
      </c>
      <c r="BH7" s="74">
        <f>VLOOKUP($H$7&amp;$F$1,'Input RM sheet'!$A:$DD,BG1,0)</f>
        <v>705</v>
      </c>
      <c r="BI7" s="74">
        <f>VLOOKUP($H$7&amp;$F$1,'Input RM sheet'!$A:$DD,BH1,0)</f>
        <v>705</v>
      </c>
      <c r="BJ7" s="74">
        <f>VLOOKUP($H$7&amp;$F$1,'Input RM sheet'!$A:$DD,BI1,0)</f>
        <v>700</v>
      </c>
      <c r="BK7" s="74">
        <f>VLOOKUP($H$7&amp;$F$1,'Input RM sheet'!$A:$DD,BJ1,0)</f>
        <v>645</v>
      </c>
      <c r="BL7" s="74">
        <f>VLOOKUP($H$7&amp;$F$1,'Input RM sheet'!$A:$DD,BK1,0)</f>
        <v>657</v>
      </c>
      <c r="BM7" s="74">
        <f>VLOOKUP($H$7&amp;$F$1,'Input RM sheet'!$A:$DD,BL1,0)</f>
        <v>679</v>
      </c>
      <c r="BN7" s="74">
        <f>VLOOKUP($H$7&amp;$F$1,'Input RM sheet'!$A:$DD,BM1,0)</f>
        <v>657</v>
      </c>
      <c r="BO7" s="74">
        <f>VLOOKUP($H$7&amp;$F$1,'Input RM sheet'!$A:$DD,BN1,0)</f>
        <v>657</v>
      </c>
      <c r="BP7" s="74">
        <f>VLOOKUP($H$7&amp;$F$1,'Input RM sheet'!$A:$DD,BO1,0)</f>
        <v>650</v>
      </c>
      <c r="BQ7" s="74">
        <f>VLOOKUP($H$7&amp;$F$1,'Input RM sheet'!$A:$DD,BP1,0)</f>
        <v>650</v>
      </c>
      <c r="BR7" s="74">
        <f>VLOOKUP($H$7&amp;$F$1,'Input RM sheet'!$A:$DD,BQ1,0)</f>
        <v>653</v>
      </c>
      <c r="BS7" s="74">
        <f>VLOOKUP($H$7&amp;$F$1,'Input RM sheet'!$A:$DD,BR1,0)</f>
        <v>650</v>
      </c>
      <c r="BT7" s="74">
        <f>VLOOKUP($H$7&amp;$F$1,'Input RM sheet'!$A:$DD,BS1,0)</f>
        <v>638.5</v>
      </c>
      <c r="BU7" s="74">
        <f>VLOOKUP($H$7&amp;$F$1,'Input RM sheet'!$A:$DD,BT1,0)</f>
        <v>691</v>
      </c>
      <c r="BV7" s="74">
        <f>VLOOKUP($H$7&amp;$F$1,'Input RM sheet'!$A:$DD,BU1,0)</f>
        <v>672</v>
      </c>
      <c r="BW7" s="74">
        <f>VLOOKUP($H$7&amp;$F$1,'Input RM sheet'!$A:$DD,BV1,0)</f>
        <v>640</v>
      </c>
      <c r="BX7" s="74">
        <f>VLOOKUP($H$7&amp;$F$1,'Input RM sheet'!$A:$DD,BW1,0)</f>
        <v>658</v>
      </c>
      <c r="BY7" s="74">
        <f>VLOOKUP($H$7&amp;$F$1,'Input RM sheet'!$A:$DD,BX1,0)</f>
        <v>664</v>
      </c>
      <c r="BZ7" s="74">
        <f>VLOOKUP($H$7&amp;$F$1,'Input RM sheet'!$A:$DD,BY1,0)</f>
        <v>690</v>
      </c>
      <c r="CA7" s="74">
        <f>VLOOKUP($H$7&amp;$F$1,'Input RM sheet'!$A:$DD,BZ1,0)</f>
        <v>650</v>
      </c>
      <c r="CB7" s="74">
        <f>VLOOKUP($H$7&amp;$F$1,'Input RM sheet'!$A:$DD,CA1,0)</f>
        <v>690</v>
      </c>
      <c r="CC7" s="74">
        <f>VLOOKUP($H$7&amp;$F$1,'Input RM sheet'!$A:$DD,CB1,0)</f>
        <v>676</v>
      </c>
      <c r="CD7" s="74">
        <f>VLOOKUP($H$7&amp;$F$1,'Input RM sheet'!$A:$DD,CC1,0)</f>
        <v>682.6</v>
      </c>
      <c r="CE7" s="74">
        <f>VLOOKUP($H$7&amp;$F$1,'Input RM sheet'!$A:$DD,CD1,0)</f>
        <v>695</v>
      </c>
      <c r="CF7" s="74">
        <f>VLOOKUP($H$7&amp;$F$1,'Input RM sheet'!$A:$DD,CE1,0)</f>
        <v>708</v>
      </c>
      <c r="CG7" s="74">
        <f>VLOOKUP($H$7&amp;$F$1,'Input RM sheet'!$A:$DD,CF1,0)</f>
        <v>718</v>
      </c>
      <c r="CH7" s="74">
        <f>VLOOKUP($H$7&amp;$F$1,'Input RM sheet'!$A:$DD,CG1,0)</f>
        <v>711</v>
      </c>
      <c r="CI7" s="74">
        <f>VLOOKUP($H$7&amp;$F$1,'Input RM sheet'!$A:$DD,CH1,0)</f>
        <v>707</v>
      </c>
      <c r="CJ7" s="74">
        <f>VLOOKUP($H$7&amp;$F$1,'Input RM sheet'!$A:$DD,CI1,0)</f>
        <v>705</v>
      </c>
      <c r="CK7" s="74">
        <f>VLOOKUP($H$7&amp;$F$1,'Input RM sheet'!$A:$DD,CJ1,0)</f>
        <v>697</v>
      </c>
      <c r="CL7" s="74">
        <f>VLOOKUP($H$7&amp;$F$1,'Input RM sheet'!$A:$DD,CK1,0)</f>
        <v>713</v>
      </c>
      <c r="CM7" s="74">
        <f>VLOOKUP($H$7&amp;$F$1,'Input RM sheet'!$A:$DD,CL1,0)</f>
        <v>681</v>
      </c>
      <c r="CN7" s="74">
        <f>VLOOKUP($H$7&amp;$F$1,'Input RM sheet'!$A:$DD,CM1,0)</f>
        <v>666</v>
      </c>
      <c r="CO7" s="74">
        <f>VLOOKUP($H$7&amp;$F$1,'Input RM sheet'!$A:$DD,CN1,0)</f>
        <v>678</v>
      </c>
      <c r="CP7" s="74">
        <f>VLOOKUP($H$7&amp;$F$1,'Input RM sheet'!$A:$DD,CO1,0)</f>
        <v>685</v>
      </c>
      <c r="CQ7" s="74">
        <f>VLOOKUP($H$7&amp;$F$1,'Input RM sheet'!$A:$DD,CP1,0)</f>
        <v>675</v>
      </c>
      <c r="CR7" s="74">
        <f>VLOOKUP($H$7&amp;$F$1,'Input RM sheet'!$A:$ZZ,CQ1,0)</f>
        <v>648</v>
      </c>
      <c r="CS7" s="74">
        <f>VLOOKUP($H$7&amp;$F$1,'Input RM sheet'!$A:$ZZ,CR1,0)</f>
        <v>680</v>
      </c>
      <c r="CT7" s="74">
        <f>VLOOKUP($H$7&amp;$F$1,'Input RM sheet'!$A:$ZZ,CS1,0)</f>
        <v>703</v>
      </c>
      <c r="CU7" s="74">
        <f>VLOOKUP($H$7&amp;$F$1,'Input RM sheet'!$A:$ZZ,CT1,0)</f>
        <v>718</v>
      </c>
      <c r="CV7" s="74">
        <f>VLOOKUP($H$7&amp;$F$1,'Input RM sheet'!$A:$ZZ,CU1,0)</f>
        <v>721</v>
      </c>
      <c r="CW7" s="74">
        <f>VLOOKUP($H$7&amp;$F$1,'Input RM sheet'!$A:$ZZ,CV1,0)</f>
        <v>695</v>
      </c>
      <c r="CX7" s="74">
        <f>VLOOKUP($H$7&amp;$F$1,'Input RM sheet'!$A:$ZZ,CW1,0)</f>
        <v>683</v>
      </c>
      <c r="CY7" s="74">
        <f>VLOOKUP($H$7&amp;$F$1,'Input RM sheet'!$A:$ZZ,CX1,0)</f>
        <v>661</v>
      </c>
      <c r="CZ7" s="74">
        <f>VLOOKUP($H$7&amp;$F$1,'Input RM sheet'!$A:$ZZ,CY1,0)</f>
        <v>664</v>
      </c>
      <c r="DA7" s="74">
        <f>VLOOKUP($H$7&amp;$F$1,'Input RM sheet'!$A:$ZZ,CZ1,0)</f>
        <v>672</v>
      </c>
      <c r="DB7" s="74">
        <f>VLOOKUP($H$7&amp;$F$1,'Input RM sheet'!$A:$ZZ,DA1,0)</f>
        <v>672</v>
      </c>
      <c r="DC7" s="74">
        <f>VLOOKUP($H$7&amp;$F$1,'Input RM sheet'!$A:$ZZ,DB1,0)</f>
        <v>671</v>
      </c>
      <c r="DD7" s="74">
        <f>VLOOKUP($H$7&amp;$F$1,'Input RM sheet'!$A:$ZZ,DC1,0)</f>
        <v>647</v>
      </c>
      <c r="DE7" s="74">
        <f>VLOOKUP($H$7&amp;$F$1,'Input RM sheet'!$A:$ZZ,DD1,0)</f>
        <v>628</v>
      </c>
      <c r="DF7" s="74">
        <f>VLOOKUP($H$7&amp;$F$1,'Input RM sheet'!$A:$ZZ,DE1,0)</f>
        <v>650</v>
      </c>
      <c r="DG7" s="74">
        <f>VLOOKUP($H$7&amp;$F$1,'Input RM sheet'!$A:$ZZ,DF1,0)</f>
        <v>659</v>
      </c>
      <c r="DH7" s="74">
        <f>VLOOKUP($H$7&amp;$F$1,'Input RM sheet'!$A:$ZZ,DG1,0)</f>
        <v>703</v>
      </c>
      <c r="DI7" s="74">
        <f>VLOOKUP($H$7&amp;$F$1,'Input RM sheet'!$A:$ZZ,DH1,0)</f>
        <v>662</v>
      </c>
      <c r="DJ7" s="74">
        <f>VLOOKUP($H$7&amp;$F$1,'Input RM sheet'!$A:$ZZ,DI1,0)</f>
        <v>658</v>
      </c>
      <c r="DK7" s="74">
        <f>VLOOKUP($H$7&amp;$F$1,'Input RM sheet'!$A:$ZZ,DJ1,0)</f>
        <v>669</v>
      </c>
      <c r="DL7" s="74">
        <f>VLOOKUP($H$7&amp;$F$1,'Input RM sheet'!$A:$ZZ,DK1,0)</f>
        <v>673</v>
      </c>
      <c r="DM7" s="74">
        <f>VLOOKUP($H$7&amp;$F$1,'Input RM sheet'!$A:$ZZ,DL1,0)</f>
        <v>657</v>
      </c>
      <c r="DN7" s="74">
        <f>VLOOKUP($H$7&amp;$F$1,'Input RM sheet'!$A:$ZZ,DM1,0)</f>
        <v>651</v>
      </c>
      <c r="DO7" s="74">
        <f>VLOOKUP($H$7&amp;$F$1,'Input RM sheet'!$A:$ZZ,DN1,0)</f>
        <v>634</v>
      </c>
      <c r="DP7" s="74">
        <f>VLOOKUP($H$7&amp;$F$1,'Input RM sheet'!$A:$ZZ,DO1,0)</f>
        <v>629</v>
      </c>
      <c r="DQ7" s="74">
        <f>VLOOKUP($H$7&amp;$F$1,'Input RM sheet'!$A:$ZZ,DP1,0)</f>
        <v>633</v>
      </c>
      <c r="DR7" s="74">
        <f>VLOOKUP($H$7&amp;$F$1,'Input RM sheet'!$A:$ZZ,DQ1,0)</f>
        <v>639</v>
      </c>
      <c r="DS7" s="74">
        <f>VLOOKUP($H$7&amp;$F$1,'Input RM sheet'!$A:$ZZ,DR1,0)</f>
        <v>635</v>
      </c>
      <c r="DT7" s="74">
        <f>VLOOKUP($H$7&amp;$F$1,'Input RM sheet'!$A:$ZZ,DS1,0)</f>
        <v>0</v>
      </c>
      <c r="DU7" s="74">
        <f>VLOOKUP($H$7&amp;$F$1,'Input RM sheet'!$A:$ZZ,DT1,0)</f>
        <v>0</v>
      </c>
      <c r="DV7" s="74">
        <f>VLOOKUP($H$7&amp;$F$1,'Input RM sheet'!$A:$ZZ,DU1,0)</f>
        <v>0</v>
      </c>
      <c r="DW7" s="74">
        <f>VLOOKUP($H$7&amp;$F$1,'Input RM sheet'!$A:$ZZ,DV1,0)</f>
        <v>0</v>
      </c>
      <c r="DX7" s="74">
        <f>VLOOKUP($H$7&amp;$F$1,'Input RM sheet'!$A:$ZZ,DW1,0)</f>
        <v>0</v>
      </c>
      <c r="DY7" s="74">
        <f>VLOOKUP($H$7&amp;$F$1,'Input RM sheet'!$A:$ZZ,DX1,0)</f>
        <v>0</v>
      </c>
      <c r="DZ7" s="74">
        <f>VLOOKUP($H$7&amp;$F$1,'Input RM sheet'!$A:$ZZ,DY1,0)</f>
        <v>0</v>
      </c>
      <c r="EA7" s="74">
        <f>VLOOKUP($H$7&amp;$F$1,'Input RM sheet'!$A:$ZZ,DZ1,0)</f>
        <v>0</v>
      </c>
      <c r="EB7" s="74">
        <f>VLOOKUP($H$7&amp;$F$1,'Input RM sheet'!$A:$ZZ,EA1,0)</f>
        <v>0</v>
      </c>
      <c r="EC7" s="74">
        <f>VLOOKUP($H$7&amp;$F$1,'Input RM sheet'!$A:$ZZ,EB1,0)</f>
        <v>0</v>
      </c>
      <c r="ED7" s="74">
        <f>VLOOKUP($H$7&amp;$F$1,'Input RM sheet'!$A:$ZZ,EC1,0)</f>
        <v>0</v>
      </c>
      <c r="EE7" s="74">
        <f>VLOOKUP($H$7&amp;$F$1,'Input RM sheet'!$A:$ZZ,ED1,0)</f>
        <v>0</v>
      </c>
      <c r="EF7" s="74">
        <f>VLOOKUP($H$7&amp;$F$1,'Input RM sheet'!$A:$ZZ,EE1,0)</f>
        <v>0</v>
      </c>
      <c r="EG7" s="74">
        <f>VLOOKUP($H$7&amp;$F$1,'Input RM sheet'!$A:$ZZ,EF1,0)</f>
        <v>0</v>
      </c>
      <c r="EH7" s="74">
        <f>VLOOKUP($H$7&amp;$F$1,'Input RM sheet'!$A:$ZZ,EG1,0)</f>
        <v>0</v>
      </c>
      <c r="EI7" s="74">
        <f>VLOOKUP($H$7&amp;$F$1,'Input RM sheet'!$A:$ZZ,EH1,0)</f>
        <v>0</v>
      </c>
      <c r="EJ7" s="74">
        <f>VLOOKUP($H$7&amp;$F$1,'Input RM sheet'!$A:$ZZ,EI1,0)</f>
        <v>0</v>
      </c>
      <c r="EK7" s="74">
        <f>VLOOKUP($H$7&amp;$F$1,'Input RM sheet'!$A:$ZZ,EJ1,0)</f>
        <v>0</v>
      </c>
      <c r="EL7" s="74">
        <f>VLOOKUP($H$7&amp;$F$1,'Input RM sheet'!$A:$ZZ,EK1,0)</f>
        <v>0</v>
      </c>
      <c r="EM7" s="74">
        <f>VLOOKUP($H$7&amp;$F$1,'Input RM sheet'!$A:$ZZ,EL1,0)</f>
        <v>0</v>
      </c>
      <c r="EN7" s="74">
        <f>VLOOKUP($H$7&amp;$F$1,'Input RM sheet'!$A:$ZZ,EM1,0)</f>
        <v>0</v>
      </c>
      <c r="EO7" s="74">
        <f>VLOOKUP($H$7&amp;$F$1,'Input RM sheet'!$A:$ZZ,EN1,0)</f>
        <v>0</v>
      </c>
      <c r="EP7" s="74">
        <f>VLOOKUP($H$7&amp;$F$1,'Input RM sheet'!$A:$ZZ,EO1,0)</f>
        <v>0</v>
      </c>
      <c r="EQ7" s="74">
        <f>VLOOKUP($H$7&amp;$F$1,'Input RM sheet'!$A:$ZZ,EP1,0)</f>
        <v>0</v>
      </c>
      <c r="ER7" s="74">
        <f>VLOOKUP($H$7&amp;$F$1,'Input RM sheet'!$A:$ZZ,EQ1,0)</f>
        <v>0</v>
      </c>
      <c r="ES7" s="74">
        <f>VLOOKUP($H$7&amp;$F$1,'Input RM sheet'!$A:$ZZ,ER1,0)</f>
        <v>0</v>
      </c>
      <c r="ET7" s="74">
        <f>VLOOKUP($H$7&amp;$F$1,'Input RM sheet'!$A:$ZZ,ES1,0)</f>
        <v>0</v>
      </c>
      <c r="EU7" s="74">
        <f>VLOOKUP($H$7&amp;$F$1,'Input RM sheet'!$A:$ZZ,ET1,0)</f>
        <v>0</v>
      </c>
      <c r="EV7" s="74">
        <f>VLOOKUP($H$7&amp;$F$1,'Input RM sheet'!$A:$ZZ,EU1,0)</f>
        <v>0</v>
      </c>
      <c r="EW7" s="74">
        <f>VLOOKUP($H$7&amp;$F$1,'Input RM sheet'!$A:$ZZ,EV1,0)</f>
        <v>0</v>
      </c>
      <c r="EX7" s="74">
        <f>VLOOKUP($H$7&amp;$F$1,'Input RM sheet'!$A:$ZZ,EW1,0)</f>
        <v>0</v>
      </c>
      <c r="EY7" s="74">
        <f>VLOOKUP($H$7&amp;$F$1,'Input RM sheet'!$A:$ZZ,EX1,0)</f>
        <v>0</v>
      </c>
      <c r="EZ7" s="74">
        <f>VLOOKUP($H$7&amp;$F$1,'Input RM sheet'!$A:$ZZ,EY1,0)</f>
        <v>0</v>
      </c>
      <c r="FA7" s="74">
        <f>VLOOKUP($H$7&amp;$F$1,'Input RM sheet'!$A:$ZZ,EZ1,0)</f>
        <v>0</v>
      </c>
    </row>
    <row r="8" spans="1:163" ht="26">
      <c r="A8" s="59" t="s">
        <v>395</v>
      </c>
      <c r="B8" s="59"/>
      <c r="C8" s="59" t="s">
        <v>379</v>
      </c>
      <c r="D8" s="98" t="s">
        <v>380</v>
      </c>
      <c r="E8" s="98" t="s">
        <v>381</v>
      </c>
      <c r="F8" s="59" t="s">
        <v>396</v>
      </c>
      <c r="H8" s="60" t="s">
        <v>399</v>
      </c>
      <c r="I8" s="84"/>
      <c r="J8" s="84"/>
      <c r="K8" s="84"/>
      <c r="L8" s="84"/>
      <c r="M8" s="84"/>
      <c r="N8" s="84"/>
      <c r="O8" s="84"/>
      <c r="P8" s="84"/>
      <c r="Q8" s="84"/>
      <c r="R8" s="84"/>
      <c r="S8" s="84"/>
      <c r="T8" s="84"/>
      <c r="U8" s="84"/>
      <c r="V8" s="84"/>
      <c r="W8" s="84"/>
      <c r="X8" s="84"/>
      <c r="Y8" s="84"/>
      <c r="Z8" s="84"/>
      <c r="AA8" s="84"/>
      <c r="AB8" s="84"/>
      <c r="AC8" s="84"/>
      <c r="AD8" s="84"/>
      <c r="AE8" s="84"/>
      <c r="AF8" s="84"/>
      <c r="AG8" s="84"/>
      <c r="AH8" s="84"/>
      <c r="AI8" s="84"/>
      <c r="AJ8" s="84"/>
      <c r="AK8" s="84"/>
      <c r="AL8" s="84"/>
      <c r="AM8" s="84"/>
      <c r="AN8" s="84"/>
      <c r="AO8" s="84"/>
      <c r="AP8" s="84"/>
      <c r="AQ8" s="84"/>
      <c r="AR8" s="84"/>
      <c r="AS8" s="84"/>
      <c r="AT8" s="84"/>
      <c r="AU8" s="84"/>
    </row>
    <row r="9" spans="1:163" ht="13">
      <c r="A9" s="107" t="s">
        <v>397</v>
      </c>
      <c r="B9" s="100" t="s">
        <v>91</v>
      </c>
      <c r="D9" s="74"/>
      <c r="E9" s="65">
        <f>D9*C9</f>
        <v>0</v>
      </c>
      <c r="F9" s="65">
        <v>1.3</v>
      </c>
      <c r="I9" s="74">
        <f>$F$9*(I7/1000)</f>
        <v>0.7169175000000001</v>
      </c>
      <c r="J9" s="74">
        <f t="shared" ref="J9:AU9" si="0">$F$9*(J7/1000)</f>
        <v>0.62106644736842109</v>
      </c>
      <c r="K9" s="74">
        <f t="shared" si="0"/>
        <v>0.37733238636363636</v>
      </c>
      <c r="L9" s="74">
        <f t="shared" si="0"/>
        <v>0.25248630952380957</v>
      </c>
      <c r="M9" s="74">
        <f t="shared" si="0"/>
        <v>0.34731666666666666</v>
      </c>
      <c r="N9" s="74">
        <f t="shared" si="0"/>
        <v>0.47189999999999999</v>
      </c>
      <c r="O9" s="74">
        <f t="shared" si="0"/>
        <v>0.50830000000000009</v>
      </c>
      <c r="P9" s="74">
        <f t="shared" si="0"/>
        <v>0.52</v>
      </c>
      <c r="Q9" s="74">
        <f t="shared" si="0"/>
        <v>0.5213000000000001</v>
      </c>
      <c r="R9" s="74">
        <f t="shared" si="0"/>
        <v>0.50440000000000007</v>
      </c>
      <c r="S9" s="74">
        <f t="shared" si="0"/>
        <v>0.49660000000000004</v>
      </c>
      <c r="T9" s="74">
        <f t="shared" si="0"/>
        <v>0.58305000000000007</v>
      </c>
      <c r="U9" s="74">
        <f t="shared" si="0"/>
        <v>0.6695000000000001</v>
      </c>
      <c r="V9" s="74">
        <f t="shared" si="0"/>
        <v>0.71110000000000007</v>
      </c>
      <c r="W9" s="74">
        <f t="shared" si="0"/>
        <v>0.72800000000000009</v>
      </c>
      <c r="X9" s="74">
        <f t="shared" si="0"/>
        <v>0.74619999999999997</v>
      </c>
      <c r="Y9" s="74">
        <f t="shared" si="0"/>
        <v>0.77480000000000004</v>
      </c>
      <c r="Z9" s="74">
        <f t="shared" si="0"/>
        <v>0.83720000000000006</v>
      </c>
      <c r="AA9" s="74">
        <f t="shared" si="0"/>
        <v>0.8903375</v>
      </c>
      <c r="AB9" s="74">
        <f t="shared" si="0"/>
        <v>0.87685000000000002</v>
      </c>
      <c r="AC9" s="74">
        <f t="shared" si="0"/>
        <v>0.86124999999999996</v>
      </c>
      <c r="AD9" s="74">
        <f t="shared" si="0"/>
        <v>0.99781500000000001</v>
      </c>
      <c r="AE9" s="74">
        <f t="shared" si="0"/>
        <v>0.98259200000000013</v>
      </c>
      <c r="AF9" s="74">
        <f t="shared" si="0"/>
        <v>0.90116000000000007</v>
      </c>
      <c r="AG9" s="74">
        <f t="shared" si="0"/>
        <v>1.0080199999999999</v>
      </c>
      <c r="AH9" s="74">
        <f t="shared" si="0"/>
        <v>1.1180000000000001</v>
      </c>
      <c r="AI9" s="74">
        <f t="shared" si="0"/>
        <v>1.3143</v>
      </c>
      <c r="AJ9" s="74">
        <f t="shared" si="0"/>
        <v>1.1739000000000002</v>
      </c>
      <c r="AK9" s="74">
        <f t="shared" si="0"/>
        <v>1.1752</v>
      </c>
      <c r="AL9" s="74">
        <f t="shared" si="0"/>
        <v>1.0764</v>
      </c>
      <c r="AM9" s="74">
        <f t="shared" si="0"/>
        <v>1.0283</v>
      </c>
      <c r="AN9" s="74">
        <f t="shared" si="0"/>
        <v>0.9113</v>
      </c>
      <c r="AO9" s="74">
        <f t="shared" si="0"/>
        <v>0.85930000000000006</v>
      </c>
      <c r="AP9" s="74">
        <f t="shared" si="0"/>
        <v>0.88790000000000013</v>
      </c>
      <c r="AQ9" s="74">
        <f t="shared" si="0"/>
        <v>0.90089999999999992</v>
      </c>
      <c r="AR9" s="74">
        <f t="shared" si="0"/>
        <v>0.81314999999999993</v>
      </c>
      <c r="AS9" s="74">
        <f t="shared" si="0"/>
        <v>0.92299999999999993</v>
      </c>
      <c r="AT9" s="74">
        <f t="shared" si="0"/>
        <v>0.93599999999999994</v>
      </c>
      <c r="AU9" s="74">
        <f t="shared" si="0"/>
        <v>0.76700000000000002</v>
      </c>
      <c r="AV9" s="74">
        <f t="shared" ref="AV9:BO9" si="1">$F$9*(AV7/1000)</f>
        <v>0.90349999999999997</v>
      </c>
      <c r="AW9" s="74">
        <f t="shared" si="1"/>
        <v>0.75790000000000002</v>
      </c>
      <c r="AX9" s="74">
        <f t="shared" si="1"/>
        <v>0.71500000000000008</v>
      </c>
      <c r="AY9" s="74">
        <f t="shared" si="1"/>
        <v>0.68770000000000009</v>
      </c>
      <c r="AZ9" s="74">
        <f t="shared" si="1"/>
        <v>0.8125</v>
      </c>
      <c r="BA9" s="74">
        <f t="shared" si="1"/>
        <v>0.81510000000000005</v>
      </c>
      <c r="BB9" s="74">
        <f t="shared" si="1"/>
        <v>0.82940000000000003</v>
      </c>
      <c r="BC9" s="74">
        <f t="shared" si="1"/>
        <v>0.8801000000000001</v>
      </c>
      <c r="BD9" s="74">
        <f t="shared" si="1"/>
        <v>0.83200000000000007</v>
      </c>
      <c r="BE9" s="74">
        <f t="shared" si="1"/>
        <v>0.83850000000000002</v>
      </c>
      <c r="BF9" s="74">
        <f t="shared" si="1"/>
        <v>0.86450000000000005</v>
      </c>
      <c r="BG9" s="74">
        <f t="shared" si="1"/>
        <v>0.86450000000000005</v>
      </c>
      <c r="BH9" s="74">
        <f t="shared" si="1"/>
        <v>0.91649999999999998</v>
      </c>
      <c r="BI9" s="74">
        <f t="shared" si="1"/>
        <v>0.91649999999999998</v>
      </c>
      <c r="BJ9" s="74">
        <f t="shared" si="1"/>
        <v>0.90999999999999992</v>
      </c>
      <c r="BK9" s="74">
        <f t="shared" si="1"/>
        <v>0.83850000000000002</v>
      </c>
      <c r="BL9" s="74">
        <f t="shared" si="1"/>
        <v>0.85410000000000008</v>
      </c>
      <c r="BM9" s="74">
        <f t="shared" si="1"/>
        <v>0.88270000000000004</v>
      </c>
      <c r="BN9" s="74">
        <f t="shared" si="1"/>
        <v>0.85410000000000008</v>
      </c>
      <c r="BO9" s="74">
        <f t="shared" si="1"/>
        <v>0.85410000000000008</v>
      </c>
      <c r="BP9" s="74">
        <f t="shared" ref="BP9:BV9" si="2">$F$9*(BP7/1000)</f>
        <v>0.84500000000000008</v>
      </c>
      <c r="BQ9" s="74">
        <f t="shared" si="2"/>
        <v>0.84500000000000008</v>
      </c>
      <c r="BR9" s="74">
        <f t="shared" si="2"/>
        <v>0.8489000000000001</v>
      </c>
      <c r="BS9" s="74">
        <f t="shared" si="2"/>
        <v>0.84500000000000008</v>
      </c>
      <c r="BT9" s="74">
        <f t="shared" si="2"/>
        <v>0.83004999999999995</v>
      </c>
      <c r="BU9" s="74">
        <f t="shared" si="2"/>
        <v>0.89829999999999999</v>
      </c>
      <c r="BV9" s="74">
        <f t="shared" si="2"/>
        <v>0.87360000000000004</v>
      </c>
      <c r="BW9" s="74">
        <f>$F$9*(BW7/1000)</f>
        <v>0.83200000000000007</v>
      </c>
      <c r="BX9" s="74">
        <f>$F$9*(BX7/1000)</f>
        <v>0.85540000000000005</v>
      </c>
      <c r="BY9" s="74">
        <f>$F$9*(BY7/1000)</f>
        <v>0.86320000000000008</v>
      </c>
      <c r="BZ9" s="74">
        <f t="shared" ref="BZ9:CH9" si="3">$F$9*(BZ7/1000)</f>
        <v>0.89699999999999991</v>
      </c>
      <c r="CA9" s="74">
        <f t="shared" si="3"/>
        <v>0.84500000000000008</v>
      </c>
      <c r="CB9" s="74">
        <f t="shared" si="3"/>
        <v>0.89699999999999991</v>
      </c>
      <c r="CC9" s="74">
        <f t="shared" si="3"/>
        <v>0.87880000000000014</v>
      </c>
      <c r="CD9" s="74">
        <f t="shared" si="3"/>
        <v>0.88738000000000006</v>
      </c>
      <c r="CE9" s="74">
        <f t="shared" si="3"/>
        <v>0.90349999999999997</v>
      </c>
      <c r="CF9" s="74">
        <f t="shared" si="3"/>
        <v>0.9204</v>
      </c>
      <c r="CG9" s="74">
        <f t="shared" si="3"/>
        <v>0.93340000000000001</v>
      </c>
      <c r="CH9" s="74">
        <f t="shared" si="3"/>
        <v>0.92430000000000001</v>
      </c>
      <c r="CI9" s="74">
        <f>$F$9*(CI7/1000)</f>
        <v>0.91910000000000003</v>
      </c>
      <c r="CJ9" s="74">
        <f>$F$9*(CJ7/1000)</f>
        <v>0.91649999999999998</v>
      </c>
      <c r="CK9" s="74">
        <f>$F$9*(CK7/1000)</f>
        <v>0.90610000000000002</v>
      </c>
      <c r="CL9" s="74">
        <f t="shared" ref="CL9:CQ9" si="4">$F$9*(CL7/1000)</f>
        <v>0.92689999999999995</v>
      </c>
      <c r="CM9" s="74">
        <f t="shared" si="4"/>
        <v>0.88530000000000009</v>
      </c>
      <c r="CN9" s="74">
        <f t="shared" si="4"/>
        <v>0.86580000000000013</v>
      </c>
      <c r="CO9" s="74">
        <f t="shared" si="4"/>
        <v>0.88140000000000007</v>
      </c>
      <c r="CP9" s="74">
        <f t="shared" si="4"/>
        <v>0.89050000000000007</v>
      </c>
      <c r="CQ9" s="74">
        <f t="shared" si="4"/>
        <v>0.87750000000000006</v>
      </c>
      <c r="CR9" s="74">
        <f t="shared" ref="CR9:CW9" si="5">$F$9*(CR7/1000)</f>
        <v>0.84240000000000004</v>
      </c>
      <c r="CS9" s="74">
        <f t="shared" si="5"/>
        <v>0.88400000000000012</v>
      </c>
      <c r="CT9" s="74">
        <f t="shared" si="5"/>
        <v>0.91389999999999993</v>
      </c>
      <c r="CU9" s="74">
        <f t="shared" si="5"/>
        <v>0.93340000000000001</v>
      </c>
      <c r="CV9" s="74">
        <f t="shared" si="5"/>
        <v>0.93730000000000002</v>
      </c>
      <c r="CW9" s="74">
        <f t="shared" si="5"/>
        <v>0.90349999999999997</v>
      </c>
      <c r="CX9" s="74">
        <f t="shared" ref="CX9:FA9" si="6">$F$9*(CX7/1000)</f>
        <v>0.88790000000000013</v>
      </c>
      <c r="CY9" s="74">
        <f t="shared" si="6"/>
        <v>0.85930000000000006</v>
      </c>
      <c r="CZ9" s="74">
        <f t="shared" si="6"/>
        <v>0.86320000000000008</v>
      </c>
      <c r="DA9" s="74">
        <f t="shared" si="6"/>
        <v>0.87360000000000004</v>
      </c>
      <c r="DB9" s="74">
        <f t="shared" si="6"/>
        <v>0.87360000000000004</v>
      </c>
      <c r="DC9" s="74">
        <f t="shared" si="6"/>
        <v>0.87230000000000008</v>
      </c>
      <c r="DD9" s="74">
        <f t="shared" si="6"/>
        <v>0.84110000000000007</v>
      </c>
      <c r="DE9" s="74">
        <f t="shared" si="6"/>
        <v>0.81640000000000001</v>
      </c>
      <c r="DF9" s="74">
        <f t="shared" si="6"/>
        <v>0.84500000000000008</v>
      </c>
      <c r="DG9" s="74">
        <f t="shared" si="6"/>
        <v>0.85670000000000002</v>
      </c>
      <c r="DH9" s="74">
        <f t="shared" si="6"/>
        <v>0.91389999999999993</v>
      </c>
      <c r="DI9" s="74">
        <f t="shared" si="6"/>
        <v>0.86060000000000003</v>
      </c>
      <c r="DJ9" s="74">
        <f t="shared" si="6"/>
        <v>0.85540000000000005</v>
      </c>
      <c r="DK9" s="74">
        <f t="shared" si="6"/>
        <v>0.86970000000000003</v>
      </c>
      <c r="DL9" s="74">
        <f t="shared" si="6"/>
        <v>0.87490000000000012</v>
      </c>
      <c r="DM9" s="74">
        <f t="shared" si="6"/>
        <v>0.85410000000000008</v>
      </c>
      <c r="DN9" s="74">
        <f t="shared" si="6"/>
        <v>0.84630000000000005</v>
      </c>
      <c r="DO9" s="74">
        <f t="shared" si="6"/>
        <v>0.82420000000000004</v>
      </c>
      <c r="DP9" s="74">
        <f t="shared" si="6"/>
        <v>0.81769999999999998</v>
      </c>
      <c r="DQ9" s="74">
        <f t="shared" si="6"/>
        <v>0.82290000000000008</v>
      </c>
      <c r="DR9" s="74">
        <f t="shared" si="6"/>
        <v>0.83069999999999999</v>
      </c>
      <c r="DS9" s="74">
        <f t="shared" si="6"/>
        <v>0.82550000000000001</v>
      </c>
      <c r="DT9" s="74">
        <f t="shared" si="6"/>
        <v>0</v>
      </c>
      <c r="DU9" s="74">
        <f t="shared" si="6"/>
        <v>0</v>
      </c>
      <c r="DV9" s="74">
        <f t="shared" si="6"/>
        <v>0</v>
      </c>
      <c r="DW9" s="74">
        <f t="shared" si="6"/>
        <v>0</v>
      </c>
      <c r="DX9" s="74">
        <f t="shared" si="6"/>
        <v>0</v>
      </c>
      <c r="DY9" s="74">
        <f t="shared" si="6"/>
        <v>0</v>
      </c>
      <c r="DZ9" s="74">
        <f t="shared" si="6"/>
        <v>0</v>
      </c>
      <c r="EA9" s="74">
        <f t="shared" si="6"/>
        <v>0</v>
      </c>
      <c r="EB9" s="74">
        <f t="shared" si="6"/>
        <v>0</v>
      </c>
      <c r="EC9" s="74">
        <f t="shared" si="6"/>
        <v>0</v>
      </c>
      <c r="ED9" s="74">
        <f t="shared" si="6"/>
        <v>0</v>
      </c>
      <c r="EE9" s="74">
        <f t="shared" si="6"/>
        <v>0</v>
      </c>
      <c r="EF9" s="74">
        <f t="shared" si="6"/>
        <v>0</v>
      </c>
      <c r="EG9" s="74">
        <f t="shared" si="6"/>
        <v>0</v>
      </c>
      <c r="EH9" s="74">
        <f t="shared" si="6"/>
        <v>0</v>
      </c>
      <c r="EI9" s="74">
        <f t="shared" si="6"/>
        <v>0</v>
      </c>
      <c r="EJ9" s="74">
        <f t="shared" si="6"/>
        <v>0</v>
      </c>
      <c r="EK9" s="74">
        <f t="shared" si="6"/>
        <v>0</v>
      </c>
      <c r="EL9" s="74">
        <f t="shared" si="6"/>
        <v>0</v>
      </c>
      <c r="EM9" s="74">
        <f t="shared" si="6"/>
        <v>0</v>
      </c>
      <c r="EN9" s="74">
        <f t="shared" si="6"/>
        <v>0</v>
      </c>
      <c r="EO9" s="74">
        <f t="shared" si="6"/>
        <v>0</v>
      </c>
      <c r="EP9" s="74">
        <f t="shared" si="6"/>
        <v>0</v>
      </c>
      <c r="EQ9" s="74">
        <f t="shared" si="6"/>
        <v>0</v>
      </c>
      <c r="ER9" s="74">
        <f t="shared" si="6"/>
        <v>0</v>
      </c>
      <c r="ES9" s="74">
        <f t="shared" si="6"/>
        <v>0</v>
      </c>
      <c r="ET9" s="74">
        <f t="shared" si="6"/>
        <v>0</v>
      </c>
      <c r="EU9" s="74">
        <f t="shared" si="6"/>
        <v>0</v>
      </c>
      <c r="EV9" s="74">
        <f t="shared" si="6"/>
        <v>0</v>
      </c>
      <c r="EW9" s="74">
        <f t="shared" si="6"/>
        <v>0</v>
      </c>
      <c r="EX9" s="74">
        <f t="shared" si="6"/>
        <v>0</v>
      </c>
      <c r="EY9" s="74">
        <f t="shared" si="6"/>
        <v>0</v>
      </c>
      <c r="EZ9" s="74">
        <f t="shared" si="6"/>
        <v>0</v>
      </c>
      <c r="FA9" s="74">
        <f t="shared" si="6"/>
        <v>0</v>
      </c>
    </row>
    <row r="10" spans="1:163">
      <c r="A10" s="67"/>
      <c r="B10" s="100"/>
      <c r="D10" s="74"/>
      <c r="E10" s="65"/>
      <c r="F10" s="65"/>
      <c r="I10" s="74">
        <f>520/1000</f>
        <v>0.52</v>
      </c>
      <c r="J10" s="74">
        <f t="shared" ref="J10:T10" si="7">520/1000</f>
        <v>0.52</v>
      </c>
      <c r="K10" s="74">
        <f t="shared" si="7"/>
        <v>0.52</v>
      </c>
      <c r="L10" s="74">
        <f t="shared" si="7"/>
        <v>0.52</v>
      </c>
      <c r="M10" s="74">
        <f t="shared" si="7"/>
        <v>0.52</v>
      </c>
      <c r="N10" s="74">
        <f t="shared" si="7"/>
        <v>0.52</v>
      </c>
      <c r="O10" s="74">
        <f t="shared" si="7"/>
        <v>0.52</v>
      </c>
      <c r="P10" s="74">
        <f t="shared" si="7"/>
        <v>0.52</v>
      </c>
      <c r="Q10" s="74">
        <f t="shared" si="7"/>
        <v>0.52</v>
      </c>
      <c r="R10" s="74">
        <f t="shared" si="7"/>
        <v>0.52</v>
      </c>
      <c r="S10" s="74">
        <f t="shared" si="7"/>
        <v>0.52</v>
      </c>
      <c r="T10" s="74">
        <f t="shared" si="7"/>
        <v>0.52</v>
      </c>
      <c r="U10" s="74">
        <f>520/1000</f>
        <v>0.52</v>
      </c>
      <c r="V10" s="74">
        <f t="shared" ref="V10:AG10" si="8">520/1000</f>
        <v>0.52</v>
      </c>
      <c r="W10" s="74">
        <f t="shared" si="8"/>
        <v>0.52</v>
      </c>
      <c r="X10" s="74">
        <f t="shared" si="8"/>
        <v>0.52</v>
      </c>
      <c r="Y10" s="74">
        <f t="shared" si="8"/>
        <v>0.52</v>
      </c>
      <c r="Z10" s="74">
        <f t="shared" si="8"/>
        <v>0.52</v>
      </c>
      <c r="AA10" s="74">
        <f t="shared" si="8"/>
        <v>0.52</v>
      </c>
      <c r="AB10" s="74">
        <f t="shared" si="8"/>
        <v>0.52</v>
      </c>
      <c r="AC10" s="74">
        <f t="shared" si="8"/>
        <v>0.52</v>
      </c>
      <c r="AD10" s="74">
        <f t="shared" si="8"/>
        <v>0.52</v>
      </c>
      <c r="AE10" s="74">
        <f t="shared" si="8"/>
        <v>0.52</v>
      </c>
      <c r="AF10" s="74">
        <f t="shared" si="8"/>
        <v>0.52</v>
      </c>
      <c r="AG10" s="74">
        <f t="shared" si="8"/>
        <v>0.52</v>
      </c>
      <c r="AH10" s="74">
        <f>650/1000</f>
        <v>0.65</v>
      </c>
      <c r="AI10" s="74">
        <f t="shared" ref="AI10:AS10" si="9">650/1000</f>
        <v>0.65</v>
      </c>
      <c r="AJ10" s="74">
        <f t="shared" si="9"/>
        <v>0.65</v>
      </c>
      <c r="AK10" s="74">
        <f t="shared" si="9"/>
        <v>0.65</v>
      </c>
      <c r="AL10" s="74">
        <f t="shared" si="9"/>
        <v>0.65</v>
      </c>
      <c r="AM10" s="74">
        <f t="shared" si="9"/>
        <v>0.65</v>
      </c>
      <c r="AN10" s="74">
        <f t="shared" si="9"/>
        <v>0.65</v>
      </c>
      <c r="AO10" s="74">
        <f t="shared" si="9"/>
        <v>0.65</v>
      </c>
      <c r="AP10" s="74">
        <f t="shared" si="9"/>
        <v>0.65</v>
      </c>
      <c r="AQ10" s="74">
        <f t="shared" si="9"/>
        <v>0.65</v>
      </c>
      <c r="AR10" s="74">
        <f t="shared" si="9"/>
        <v>0.65</v>
      </c>
      <c r="AS10" s="74">
        <f t="shared" si="9"/>
        <v>0.65</v>
      </c>
      <c r="AT10" s="74">
        <f>750/1000</f>
        <v>0.75</v>
      </c>
      <c r="AU10" s="74">
        <f>750/1000</f>
        <v>0.75</v>
      </c>
      <c r="AV10" s="74">
        <f t="shared" ref="AV10:DG10" si="10">750/1000</f>
        <v>0.75</v>
      </c>
      <c r="AW10" s="74">
        <f t="shared" si="10"/>
        <v>0.75</v>
      </c>
      <c r="AX10" s="74">
        <f t="shared" si="10"/>
        <v>0.75</v>
      </c>
      <c r="AY10" s="74">
        <f t="shared" si="10"/>
        <v>0.75</v>
      </c>
      <c r="AZ10" s="74">
        <f t="shared" si="10"/>
        <v>0.75</v>
      </c>
      <c r="BA10" s="74">
        <f t="shared" si="10"/>
        <v>0.75</v>
      </c>
      <c r="BB10" s="74">
        <f t="shared" si="10"/>
        <v>0.75</v>
      </c>
      <c r="BC10" s="74">
        <f t="shared" si="10"/>
        <v>0.75</v>
      </c>
      <c r="BD10" s="74">
        <f t="shared" si="10"/>
        <v>0.75</v>
      </c>
      <c r="BE10" s="74">
        <f t="shared" si="10"/>
        <v>0.75</v>
      </c>
      <c r="BF10" s="74">
        <f t="shared" si="10"/>
        <v>0.75</v>
      </c>
      <c r="BG10" s="74">
        <f t="shared" si="10"/>
        <v>0.75</v>
      </c>
      <c r="BH10" s="74">
        <f t="shared" si="10"/>
        <v>0.75</v>
      </c>
      <c r="BI10" s="74">
        <f t="shared" si="10"/>
        <v>0.75</v>
      </c>
      <c r="BJ10" s="74">
        <f t="shared" si="10"/>
        <v>0.75</v>
      </c>
      <c r="BK10" s="74">
        <f t="shared" si="10"/>
        <v>0.75</v>
      </c>
      <c r="BL10" s="74">
        <f t="shared" si="10"/>
        <v>0.75</v>
      </c>
      <c r="BM10" s="74">
        <f t="shared" si="10"/>
        <v>0.75</v>
      </c>
      <c r="BN10" s="74">
        <f t="shared" si="10"/>
        <v>0.75</v>
      </c>
      <c r="BO10" s="74">
        <f t="shared" si="10"/>
        <v>0.75</v>
      </c>
      <c r="BP10" s="74">
        <f t="shared" si="10"/>
        <v>0.75</v>
      </c>
      <c r="BQ10" s="74">
        <f t="shared" si="10"/>
        <v>0.75</v>
      </c>
      <c r="BR10" s="74">
        <f t="shared" si="10"/>
        <v>0.75</v>
      </c>
      <c r="BS10" s="74">
        <f t="shared" si="10"/>
        <v>0.75</v>
      </c>
      <c r="BT10" s="74">
        <f t="shared" si="10"/>
        <v>0.75</v>
      </c>
      <c r="BU10" s="74">
        <f t="shared" si="10"/>
        <v>0.75</v>
      </c>
      <c r="BV10" s="74">
        <f t="shared" si="10"/>
        <v>0.75</v>
      </c>
      <c r="BW10" s="74">
        <f t="shared" si="10"/>
        <v>0.75</v>
      </c>
      <c r="BX10" s="74">
        <f t="shared" si="10"/>
        <v>0.75</v>
      </c>
      <c r="BY10" s="74">
        <f t="shared" si="10"/>
        <v>0.75</v>
      </c>
      <c r="BZ10" s="74">
        <f t="shared" si="10"/>
        <v>0.75</v>
      </c>
      <c r="CA10" s="74">
        <f t="shared" si="10"/>
        <v>0.75</v>
      </c>
      <c r="CB10" s="74">
        <f t="shared" si="10"/>
        <v>0.75</v>
      </c>
      <c r="CC10" s="74">
        <f t="shared" si="10"/>
        <v>0.75</v>
      </c>
      <c r="CD10" s="74">
        <f t="shared" si="10"/>
        <v>0.75</v>
      </c>
      <c r="CE10" s="74">
        <f t="shared" si="10"/>
        <v>0.75</v>
      </c>
      <c r="CF10" s="74">
        <f t="shared" si="10"/>
        <v>0.75</v>
      </c>
      <c r="CG10" s="74">
        <f t="shared" si="10"/>
        <v>0.75</v>
      </c>
      <c r="CH10" s="74">
        <f t="shared" si="10"/>
        <v>0.75</v>
      </c>
      <c r="CI10" s="74">
        <f t="shared" si="10"/>
        <v>0.75</v>
      </c>
      <c r="CJ10" s="74">
        <f t="shared" si="10"/>
        <v>0.75</v>
      </c>
      <c r="CK10" s="74">
        <f t="shared" si="10"/>
        <v>0.75</v>
      </c>
      <c r="CL10" s="74">
        <f t="shared" si="10"/>
        <v>0.75</v>
      </c>
      <c r="CM10" s="74">
        <f t="shared" si="10"/>
        <v>0.75</v>
      </c>
      <c r="CN10" s="74">
        <f t="shared" si="10"/>
        <v>0.75</v>
      </c>
      <c r="CO10" s="74">
        <f t="shared" si="10"/>
        <v>0.75</v>
      </c>
      <c r="CP10" s="74">
        <f t="shared" si="10"/>
        <v>0.75</v>
      </c>
      <c r="CQ10" s="74">
        <f t="shared" si="10"/>
        <v>0.75</v>
      </c>
      <c r="CR10" s="74">
        <f t="shared" si="10"/>
        <v>0.75</v>
      </c>
      <c r="CS10" s="74">
        <f t="shared" si="10"/>
        <v>0.75</v>
      </c>
      <c r="CT10" s="74">
        <f t="shared" si="10"/>
        <v>0.75</v>
      </c>
      <c r="CU10" s="74">
        <f t="shared" si="10"/>
        <v>0.75</v>
      </c>
      <c r="CV10" s="74">
        <f t="shared" si="10"/>
        <v>0.75</v>
      </c>
      <c r="CW10" s="74">
        <f t="shared" si="10"/>
        <v>0.75</v>
      </c>
      <c r="CX10" s="74">
        <f t="shared" si="10"/>
        <v>0.75</v>
      </c>
      <c r="CY10" s="74">
        <f t="shared" si="10"/>
        <v>0.75</v>
      </c>
      <c r="CZ10" s="74">
        <f t="shared" si="10"/>
        <v>0.75</v>
      </c>
      <c r="DA10" s="74">
        <f t="shared" si="10"/>
        <v>0.75</v>
      </c>
      <c r="DB10" s="74">
        <f t="shared" si="10"/>
        <v>0.75</v>
      </c>
      <c r="DC10" s="74">
        <f t="shared" si="10"/>
        <v>0.75</v>
      </c>
      <c r="DD10" s="74">
        <f t="shared" si="10"/>
        <v>0.75</v>
      </c>
      <c r="DE10" s="74">
        <f t="shared" si="10"/>
        <v>0.75</v>
      </c>
      <c r="DF10" s="74">
        <f t="shared" si="10"/>
        <v>0.75</v>
      </c>
      <c r="DG10" s="74">
        <f t="shared" si="10"/>
        <v>0.75</v>
      </c>
      <c r="DH10" s="74">
        <f t="shared" ref="DH10:FA10" si="11">750/1000</f>
        <v>0.75</v>
      </c>
      <c r="DI10" s="74">
        <f t="shared" si="11"/>
        <v>0.75</v>
      </c>
      <c r="DJ10" s="74">
        <f t="shared" si="11"/>
        <v>0.75</v>
      </c>
      <c r="DK10" s="74">
        <f t="shared" si="11"/>
        <v>0.75</v>
      </c>
      <c r="DL10" s="74">
        <f t="shared" si="11"/>
        <v>0.75</v>
      </c>
      <c r="DM10" s="74">
        <f t="shared" si="11"/>
        <v>0.75</v>
      </c>
      <c r="DN10" s="74">
        <f t="shared" si="11"/>
        <v>0.75</v>
      </c>
      <c r="DO10" s="74">
        <f t="shared" si="11"/>
        <v>0.75</v>
      </c>
      <c r="DP10" s="74">
        <f t="shared" si="11"/>
        <v>0.75</v>
      </c>
      <c r="DQ10" s="74">
        <f t="shared" si="11"/>
        <v>0.75</v>
      </c>
      <c r="DR10" s="74">
        <f t="shared" si="11"/>
        <v>0.75</v>
      </c>
      <c r="DS10" s="74">
        <f t="shared" si="11"/>
        <v>0.75</v>
      </c>
      <c r="DT10" s="74">
        <f t="shared" si="11"/>
        <v>0.75</v>
      </c>
      <c r="DU10" s="74">
        <f t="shared" si="11"/>
        <v>0.75</v>
      </c>
      <c r="DV10" s="74">
        <f t="shared" si="11"/>
        <v>0.75</v>
      </c>
      <c r="DW10" s="74">
        <f t="shared" si="11"/>
        <v>0.75</v>
      </c>
      <c r="DX10" s="74">
        <f t="shared" si="11"/>
        <v>0.75</v>
      </c>
      <c r="DY10" s="74">
        <f t="shared" si="11"/>
        <v>0.75</v>
      </c>
      <c r="DZ10" s="74">
        <f t="shared" si="11"/>
        <v>0.75</v>
      </c>
      <c r="EA10" s="74">
        <f t="shared" si="11"/>
        <v>0.75</v>
      </c>
      <c r="EB10" s="74">
        <f t="shared" si="11"/>
        <v>0.75</v>
      </c>
      <c r="EC10" s="74">
        <f t="shared" si="11"/>
        <v>0.75</v>
      </c>
      <c r="ED10" s="74">
        <f t="shared" si="11"/>
        <v>0.75</v>
      </c>
      <c r="EE10" s="74">
        <f t="shared" si="11"/>
        <v>0.75</v>
      </c>
      <c r="EF10" s="74">
        <f t="shared" si="11"/>
        <v>0.75</v>
      </c>
      <c r="EG10" s="74">
        <f t="shared" si="11"/>
        <v>0.75</v>
      </c>
      <c r="EH10" s="74">
        <f t="shared" si="11"/>
        <v>0.75</v>
      </c>
      <c r="EI10" s="74">
        <f t="shared" si="11"/>
        <v>0.75</v>
      </c>
      <c r="EJ10" s="74">
        <f t="shared" si="11"/>
        <v>0.75</v>
      </c>
      <c r="EK10" s="74">
        <f t="shared" si="11"/>
        <v>0.75</v>
      </c>
      <c r="EL10" s="74">
        <f t="shared" si="11"/>
        <v>0.75</v>
      </c>
      <c r="EM10" s="74">
        <f t="shared" si="11"/>
        <v>0.75</v>
      </c>
      <c r="EN10" s="74">
        <f t="shared" si="11"/>
        <v>0.75</v>
      </c>
      <c r="EO10" s="74">
        <f t="shared" si="11"/>
        <v>0.75</v>
      </c>
      <c r="EP10" s="74">
        <f t="shared" si="11"/>
        <v>0.75</v>
      </c>
      <c r="EQ10" s="74">
        <f t="shared" si="11"/>
        <v>0.75</v>
      </c>
      <c r="ER10" s="74">
        <f t="shared" si="11"/>
        <v>0.75</v>
      </c>
      <c r="ES10" s="74">
        <f t="shared" si="11"/>
        <v>0.75</v>
      </c>
      <c r="ET10" s="74">
        <f t="shared" si="11"/>
        <v>0.75</v>
      </c>
      <c r="EU10" s="74">
        <f t="shared" si="11"/>
        <v>0.75</v>
      </c>
      <c r="EV10" s="74">
        <f t="shared" si="11"/>
        <v>0.75</v>
      </c>
      <c r="EW10" s="74">
        <f t="shared" si="11"/>
        <v>0.75</v>
      </c>
      <c r="EX10" s="74">
        <f t="shared" si="11"/>
        <v>0.75</v>
      </c>
      <c r="EY10" s="74">
        <f t="shared" si="11"/>
        <v>0.75</v>
      </c>
      <c r="EZ10" s="74">
        <f t="shared" si="11"/>
        <v>0.75</v>
      </c>
      <c r="FA10" s="74">
        <f t="shared" si="11"/>
        <v>0.75</v>
      </c>
    </row>
    <row r="11" spans="1:163" s="104" customFormat="1">
      <c r="A11" s="104" t="s">
        <v>400</v>
      </c>
      <c r="H11" s="60"/>
      <c r="I11" s="105">
        <f>SUM(I9:I9)</f>
        <v>0.7169175000000001</v>
      </c>
      <c r="J11" s="105">
        <f t="shared" ref="J11:AU11" si="12">SUM(J9:J9)</f>
        <v>0.62106644736842109</v>
      </c>
      <c r="K11" s="105">
        <f t="shared" si="12"/>
        <v>0.37733238636363636</v>
      </c>
      <c r="L11" s="105">
        <f t="shared" si="12"/>
        <v>0.25248630952380957</v>
      </c>
      <c r="M11" s="105">
        <f t="shared" si="12"/>
        <v>0.34731666666666666</v>
      </c>
      <c r="N11" s="105">
        <f t="shared" si="12"/>
        <v>0.47189999999999999</v>
      </c>
      <c r="O11" s="105">
        <f t="shared" si="12"/>
        <v>0.50830000000000009</v>
      </c>
      <c r="P11" s="105">
        <f t="shared" si="12"/>
        <v>0.52</v>
      </c>
      <c r="Q11" s="105">
        <f t="shared" si="12"/>
        <v>0.5213000000000001</v>
      </c>
      <c r="R11" s="105">
        <f t="shared" si="12"/>
        <v>0.50440000000000007</v>
      </c>
      <c r="S11" s="105">
        <f t="shared" si="12"/>
        <v>0.49660000000000004</v>
      </c>
      <c r="T11" s="105">
        <f t="shared" si="12"/>
        <v>0.58305000000000007</v>
      </c>
      <c r="U11" s="105">
        <f t="shared" si="12"/>
        <v>0.6695000000000001</v>
      </c>
      <c r="V11" s="105">
        <f t="shared" si="12"/>
        <v>0.71110000000000007</v>
      </c>
      <c r="W11" s="105">
        <f t="shared" si="12"/>
        <v>0.72800000000000009</v>
      </c>
      <c r="X11" s="105">
        <f t="shared" si="12"/>
        <v>0.74619999999999997</v>
      </c>
      <c r="Y11" s="105">
        <f t="shared" si="12"/>
        <v>0.77480000000000004</v>
      </c>
      <c r="Z11" s="105">
        <f t="shared" si="12"/>
        <v>0.83720000000000006</v>
      </c>
      <c r="AA11" s="105">
        <f t="shared" si="12"/>
        <v>0.8903375</v>
      </c>
      <c r="AB11" s="105">
        <f t="shared" si="12"/>
        <v>0.87685000000000002</v>
      </c>
      <c r="AC11" s="105">
        <f t="shared" si="12"/>
        <v>0.86124999999999996</v>
      </c>
      <c r="AD11" s="105">
        <f t="shared" si="12"/>
        <v>0.99781500000000001</v>
      </c>
      <c r="AE11" s="105">
        <f t="shared" si="12"/>
        <v>0.98259200000000013</v>
      </c>
      <c r="AF11" s="105">
        <f t="shared" si="12"/>
        <v>0.90116000000000007</v>
      </c>
      <c r="AG11" s="105">
        <f t="shared" si="12"/>
        <v>1.0080199999999999</v>
      </c>
      <c r="AH11" s="105">
        <f t="shared" si="12"/>
        <v>1.1180000000000001</v>
      </c>
      <c r="AI11" s="105">
        <f t="shared" si="12"/>
        <v>1.3143</v>
      </c>
      <c r="AJ11" s="105">
        <f t="shared" si="12"/>
        <v>1.1739000000000002</v>
      </c>
      <c r="AK11" s="105">
        <f t="shared" si="12"/>
        <v>1.1752</v>
      </c>
      <c r="AL11" s="105">
        <f t="shared" si="12"/>
        <v>1.0764</v>
      </c>
      <c r="AM11" s="105">
        <f t="shared" si="12"/>
        <v>1.0283</v>
      </c>
      <c r="AN11" s="105">
        <f t="shared" si="12"/>
        <v>0.9113</v>
      </c>
      <c r="AO11" s="105">
        <f t="shared" si="12"/>
        <v>0.85930000000000006</v>
      </c>
      <c r="AP11" s="105">
        <f t="shared" si="12"/>
        <v>0.88790000000000013</v>
      </c>
      <c r="AQ11" s="105">
        <f t="shared" si="12"/>
        <v>0.90089999999999992</v>
      </c>
      <c r="AR11" s="105">
        <f t="shared" si="12"/>
        <v>0.81314999999999993</v>
      </c>
      <c r="AS11" s="105">
        <f t="shared" si="12"/>
        <v>0.92299999999999993</v>
      </c>
      <c r="AT11" s="105">
        <f t="shared" si="12"/>
        <v>0.93599999999999994</v>
      </c>
      <c r="AU11" s="105">
        <f t="shared" si="12"/>
        <v>0.76700000000000002</v>
      </c>
      <c r="AV11" s="105">
        <f t="shared" ref="AV11:BO11" si="13">SUM(AV9:AV9)</f>
        <v>0.90349999999999997</v>
      </c>
      <c r="AW11" s="105">
        <f t="shared" si="13"/>
        <v>0.75790000000000002</v>
      </c>
      <c r="AX11" s="105">
        <f t="shared" si="13"/>
        <v>0.71500000000000008</v>
      </c>
      <c r="AY11" s="105">
        <f t="shared" si="13"/>
        <v>0.68770000000000009</v>
      </c>
      <c r="AZ11" s="105">
        <f t="shared" si="13"/>
        <v>0.8125</v>
      </c>
      <c r="BA11" s="105">
        <f t="shared" si="13"/>
        <v>0.81510000000000005</v>
      </c>
      <c r="BB11" s="105">
        <f t="shared" si="13"/>
        <v>0.82940000000000003</v>
      </c>
      <c r="BC11" s="105">
        <f t="shared" si="13"/>
        <v>0.8801000000000001</v>
      </c>
      <c r="BD11" s="105">
        <f t="shared" si="13"/>
        <v>0.83200000000000007</v>
      </c>
      <c r="BE11" s="105">
        <f t="shared" si="13"/>
        <v>0.83850000000000002</v>
      </c>
      <c r="BF11" s="105">
        <f t="shared" si="13"/>
        <v>0.86450000000000005</v>
      </c>
      <c r="BG11" s="105">
        <f t="shared" si="13"/>
        <v>0.86450000000000005</v>
      </c>
      <c r="BH11" s="105">
        <f t="shared" si="13"/>
        <v>0.91649999999999998</v>
      </c>
      <c r="BI11" s="105">
        <f t="shared" si="13"/>
        <v>0.91649999999999998</v>
      </c>
      <c r="BJ11" s="105">
        <f t="shared" si="13"/>
        <v>0.90999999999999992</v>
      </c>
      <c r="BK11" s="105">
        <f t="shared" si="13"/>
        <v>0.83850000000000002</v>
      </c>
      <c r="BL11" s="105">
        <f t="shared" si="13"/>
        <v>0.85410000000000008</v>
      </c>
      <c r="BM11" s="105">
        <f t="shared" si="13"/>
        <v>0.88270000000000004</v>
      </c>
      <c r="BN11" s="105">
        <f t="shared" si="13"/>
        <v>0.85410000000000008</v>
      </c>
      <c r="BO11" s="105">
        <f t="shared" si="13"/>
        <v>0.85410000000000008</v>
      </c>
      <c r="BP11" s="105">
        <f t="shared" ref="BP11:BV11" si="14">SUM(BP9:BP9)</f>
        <v>0.84500000000000008</v>
      </c>
      <c r="BQ11" s="105">
        <f t="shared" si="14"/>
        <v>0.84500000000000008</v>
      </c>
      <c r="BR11" s="105">
        <f t="shared" si="14"/>
        <v>0.8489000000000001</v>
      </c>
      <c r="BS11" s="105">
        <f t="shared" si="14"/>
        <v>0.84500000000000008</v>
      </c>
      <c r="BT11" s="105">
        <f t="shared" si="14"/>
        <v>0.83004999999999995</v>
      </c>
      <c r="BU11" s="105">
        <f t="shared" si="14"/>
        <v>0.89829999999999999</v>
      </c>
      <c r="BV11" s="105">
        <f t="shared" si="14"/>
        <v>0.87360000000000004</v>
      </c>
      <c r="BW11" s="105">
        <f>SUM(BW9:BW9)</f>
        <v>0.83200000000000007</v>
      </c>
      <c r="BX11" s="105">
        <f>SUM(BX9:BX9)</f>
        <v>0.85540000000000005</v>
      </c>
      <c r="BY11" s="105">
        <f>SUM(BY9:BY9)</f>
        <v>0.86320000000000008</v>
      </c>
      <c r="BZ11" s="105">
        <f t="shared" ref="BZ11:CH11" si="15">SUM(BZ9:BZ9)</f>
        <v>0.89699999999999991</v>
      </c>
      <c r="CA11" s="105">
        <f t="shared" si="15"/>
        <v>0.84500000000000008</v>
      </c>
      <c r="CB11" s="105">
        <f t="shared" si="15"/>
        <v>0.89699999999999991</v>
      </c>
      <c r="CC11" s="105">
        <f t="shared" si="15"/>
        <v>0.87880000000000014</v>
      </c>
      <c r="CD11" s="105">
        <f t="shared" si="15"/>
        <v>0.88738000000000006</v>
      </c>
      <c r="CE11" s="105">
        <f t="shared" si="15"/>
        <v>0.90349999999999997</v>
      </c>
      <c r="CF11" s="105">
        <f t="shared" si="15"/>
        <v>0.9204</v>
      </c>
      <c r="CG11" s="105">
        <f t="shared" si="15"/>
        <v>0.93340000000000001</v>
      </c>
      <c r="CH11" s="105">
        <f t="shared" si="15"/>
        <v>0.92430000000000001</v>
      </c>
      <c r="CI11" s="105">
        <f>SUM(CI9:CI9)</f>
        <v>0.91910000000000003</v>
      </c>
      <c r="CJ11" s="105">
        <f>SUM(CJ9:CJ9)</f>
        <v>0.91649999999999998</v>
      </c>
      <c r="CK11" s="105">
        <f>SUM(CK9:CK9)</f>
        <v>0.90610000000000002</v>
      </c>
      <c r="CL11" s="105">
        <f t="shared" ref="CL11:CQ11" si="16">SUM(CL9:CL9)</f>
        <v>0.92689999999999995</v>
      </c>
      <c r="CM11" s="105">
        <f t="shared" si="16"/>
        <v>0.88530000000000009</v>
      </c>
      <c r="CN11" s="105">
        <f t="shared" si="16"/>
        <v>0.86580000000000013</v>
      </c>
      <c r="CO11" s="105">
        <f t="shared" si="16"/>
        <v>0.88140000000000007</v>
      </c>
      <c r="CP11" s="105">
        <f t="shared" si="16"/>
        <v>0.89050000000000007</v>
      </c>
      <c r="CQ11" s="105">
        <f t="shared" si="16"/>
        <v>0.87750000000000006</v>
      </c>
      <c r="CR11" s="105">
        <f t="shared" ref="CR11:CW11" si="17">SUM(CR9:CR9)</f>
        <v>0.84240000000000004</v>
      </c>
      <c r="CS11" s="105">
        <f t="shared" si="17"/>
        <v>0.88400000000000012</v>
      </c>
      <c r="CT11" s="105">
        <f t="shared" si="17"/>
        <v>0.91389999999999993</v>
      </c>
      <c r="CU11" s="105">
        <f t="shared" si="17"/>
        <v>0.93340000000000001</v>
      </c>
      <c r="CV11" s="105">
        <f t="shared" si="17"/>
        <v>0.93730000000000002</v>
      </c>
      <c r="CW11" s="105">
        <f t="shared" si="17"/>
        <v>0.90349999999999997</v>
      </c>
      <c r="CX11" s="105">
        <f t="shared" ref="CX11:FA11" si="18">SUM(CX9:CX9)</f>
        <v>0.88790000000000013</v>
      </c>
      <c r="CY11" s="105">
        <f t="shared" si="18"/>
        <v>0.85930000000000006</v>
      </c>
      <c r="CZ11" s="105">
        <f t="shared" si="18"/>
        <v>0.86320000000000008</v>
      </c>
      <c r="DA11" s="105">
        <f t="shared" si="18"/>
        <v>0.87360000000000004</v>
      </c>
      <c r="DB11" s="105">
        <f t="shared" si="18"/>
        <v>0.87360000000000004</v>
      </c>
      <c r="DC11" s="105">
        <f t="shared" si="18"/>
        <v>0.87230000000000008</v>
      </c>
      <c r="DD11" s="105">
        <f t="shared" si="18"/>
        <v>0.84110000000000007</v>
      </c>
      <c r="DE11" s="105">
        <f t="shared" si="18"/>
        <v>0.81640000000000001</v>
      </c>
      <c r="DF11" s="105">
        <f t="shared" si="18"/>
        <v>0.84500000000000008</v>
      </c>
      <c r="DG11" s="105">
        <f t="shared" si="18"/>
        <v>0.85670000000000002</v>
      </c>
      <c r="DH11" s="105">
        <f t="shared" si="18"/>
        <v>0.91389999999999993</v>
      </c>
      <c r="DI11" s="105">
        <f t="shared" si="18"/>
        <v>0.86060000000000003</v>
      </c>
      <c r="DJ11" s="105">
        <f t="shared" si="18"/>
        <v>0.85540000000000005</v>
      </c>
      <c r="DK11" s="105">
        <f t="shared" si="18"/>
        <v>0.86970000000000003</v>
      </c>
      <c r="DL11" s="105">
        <f t="shared" si="18"/>
        <v>0.87490000000000012</v>
      </c>
      <c r="DM11" s="105">
        <f t="shared" si="18"/>
        <v>0.85410000000000008</v>
      </c>
      <c r="DN11" s="105">
        <f t="shared" si="18"/>
        <v>0.84630000000000005</v>
      </c>
      <c r="DO11" s="105">
        <f t="shared" si="18"/>
        <v>0.82420000000000004</v>
      </c>
      <c r="DP11" s="105">
        <f t="shared" si="18"/>
        <v>0.81769999999999998</v>
      </c>
      <c r="DQ11" s="105">
        <f t="shared" si="18"/>
        <v>0.82290000000000008</v>
      </c>
      <c r="DR11" s="105">
        <f t="shared" si="18"/>
        <v>0.83069999999999999</v>
      </c>
      <c r="DS11" s="105">
        <f t="shared" si="18"/>
        <v>0.82550000000000001</v>
      </c>
      <c r="DT11" s="105">
        <f t="shared" si="18"/>
        <v>0</v>
      </c>
      <c r="DU11" s="105">
        <f t="shared" si="18"/>
        <v>0</v>
      </c>
      <c r="DV11" s="105">
        <f t="shared" si="18"/>
        <v>0</v>
      </c>
      <c r="DW11" s="105">
        <f t="shared" si="18"/>
        <v>0</v>
      </c>
      <c r="DX11" s="105">
        <f t="shared" si="18"/>
        <v>0</v>
      </c>
      <c r="DY11" s="105">
        <f t="shared" si="18"/>
        <v>0</v>
      </c>
      <c r="DZ11" s="105">
        <f t="shared" si="18"/>
        <v>0</v>
      </c>
      <c r="EA11" s="105">
        <f t="shared" si="18"/>
        <v>0</v>
      </c>
      <c r="EB11" s="105">
        <f t="shared" si="18"/>
        <v>0</v>
      </c>
      <c r="EC11" s="105">
        <f t="shared" si="18"/>
        <v>0</v>
      </c>
      <c r="ED11" s="105">
        <f t="shared" si="18"/>
        <v>0</v>
      </c>
      <c r="EE11" s="105">
        <f t="shared" si="18"/>
        <v>0</v>
      </c>
      <c r="EF11" s="105">
        <f t="shared" si="18"/>
        <v>0</v>
      </c>
      <c r="EG11" s="105">
        <f t="shared" si="18"/>
        <v>0</v>
      </c>
      <c r="EH11" s="105">
        <f t="shared" si="18"/>
        <v>0</v>
      </c>
      <c r="EI11" s="105">
        <f t="shared" si="18"/>
        <v>0</v>
      </c>
      <c r="EJ11" s="105">
        <f t="shared" si="18"/>
        <v>0</v>
      </c>
      <c r="EK11" s="105">
        <f t="shared" si="18"/>
        <v>0</v>
      </c>
      <c r="EL11" s="105">
        <f t="shared" si="18"/>
        <v>0</v>
      </c>
      <c r="EM11" s="105">
        <f t="shared" si="18"/>
        <v>0</v>
      </c>
      <c r="EN11" s="105">
        <f t="shared" si="18"/>
        <v>0</v>
      </c>
      <c r="EO11" s="105">
        <f t="shared" si="18"/>
        <v>0</v>
      </c>
      <c r="EP11" s="105">
        <f t="shared" si="18"/>
        <v>0</v>
      </c>
      <c r="EQ11" s="105">
        <f t="shared" si="18"/>
        <v>0</v>
      </c>
      <c r="ER11" s="105">
        <f t="shared" si="18"/>
        <v>0</v>
      </c>
      <c r="ES11" s="105">
        <f t="shared" si="18"/>
        <v>0</v>
      </c>
      <c r="ET11" s="105">
        <f t="shared" si="18"/>
        <v>0</v>
      </c>
      <c r="EU11" s="105">
        <f t="shared" si="18"/>
        <v>0</v>
      </c>
      <c r="EV11" s="105">
        <f t="shared" si="18"/>
        <v>0</v>
      </c>
      <c r="EW11" s="105">
        <f t="shared" si="18"/>
        <v>0</v>
      </c>
      <c r="EX11" s="105">
        <f t="shared" si="18"/>
        <v>0</v>
      </c>
      <c r="EY11" s="105">
        <f t="shared" si="18"/>
        <v>0</v>
      </c>
      <c r="EZ11" s="105">
        <f t="shared" si="18"/>
        <v>0</v>
      </c>
      <c r="FA11" s="105">
        <f t="shared" si="18"/>
        <v>0</v>
      </c>
    </row>
    <row r="12" spans="1:163">
      <c r="A12" s="222" t="s">
        <v>696</v>
      </c>
      <c r="H12" s="60" t="s">
        <v>429</v>
      </c>
      <c r="I12" s="74">
        <v>1.21</v>
      </c>
      <c r="J12" s="74"/>
      <c r="K12" s="74"/>
      <c r="L12" s="74"/>
      <c r="M12" s="74"/>
      <c r="N12" s="74"/>
      <c r="O12" s="74"/>
      <c r="P12" s="74"/>
      <c r="Q12" s="74"/>
      <c r="R12" s="74"/>
      <c r="S12" s="74"/>
      <c r="T12" s="74"/>
      <c r="U12" s="74">
        <v>1.56</v>
      </c>
      <c r="V12" s="74"/>
      <c r="W12" s="74"/>
      <c r="X12" s="74"/>
      <c r="Y12" s="74"/>
      <c r="Z12" s="74"/>
      <c r="AA12" s="74"/>
      <c r="AB12" s="74"/>
      <c r="AC12" s="74"/>
      <c r="AD12" s="74"/>
      <c r="AE12" s="74"/>
      <c r="AF12" s="74"/>
      <c r="AG12" s="74">
        <v>1.86</v>
      </c>
      <c r="AH12" s="74">
        <v>2.17</v>
      </c>
      <c r="AI12" s="74"/>
      <c r="AJ12" s="74"/>
      <c r="AK12" s="74"/>
      <c r="AL12" s="74"/>
      <c r="AM12" s="74"/>
      <c r="AN12" s="74"/>
      <c r="AO12" s="74"/>
      <c r="AP12" s="74"/>
      <c r="AQ12" s="74">
        <v>1.52</v>
      </c>
      <c r="AR12" s="74"/>
      <c r="AS12" s="74">
        <v>1.6</v>
      </c>
      <c r="AT12" s="74"/>
      <c r="AU12" s="74"/>
      <c r="AV12" s="74"/>
    </row>
    <row r="13" spans="1:163">
      <c r="H13" s="60" t="s">
        <v>406</v>
      </c>
      <c r="I13" s="65">
        <f>I12-I11</f>
        <v>0.49308249999999987</v>
      </c>
      <c r="J13" s="74"/>
      <c r="K13" s="74"/>
      <c r="L13" s="74"/>
      <c r="M13" s="74"/>
      <c r="N13" s="74"/>
      <c r="O13" s="74"/>
      <c r="P13" s="74"/>
      <c r="Q13" s="74"/>
      <c r="R13" s="74"/>
      <c r="S13" s="74"/>
      <c r="T13" s="74"/>
      <c r="U13" s="65">
        <f>U12-U11</f>
        <v>0.89049999999999996</v>
      </c>
      <c r="V13" s="74"/>
      <c r="W13" s="74"/>
      <c r="X13" s="74"/>
      <c r="Y13" s="74"/>
      <c r="Z13" s="74"/>
      <c r="AA13" s="74"/>
      <c r="AB13" s="74"/>
      <c r="AC13" s="74"/>
      <c r="AD13" s="74"/>
      <c r="AE13" s="74"/>
      <c r="AF13" s="74"/>
      <c r="AG13" s="65">
        <f>AG12-AG11</f>
        <v>0.85198000000000018</v>
      </c>
      <c r="AH13" s="65">
        <f>AH12-AH11</f>
        <v>1.0519999999999998</v>
      </c>
      <c r="AI13" s="74"/>
      <c r="AJ13" s="74"/>
      <c r="AK13" s="74"/>
      <c r="AL13" s="74"/>
      <c r="AM13" s="74"/>
      <c r="AN13" s="74"/>
      <c r="AO13" s="74"/>
      <c r="AQ13" s="65">
        <f>AQ12-AQ11</f>
        <v>0.61910000000000009</v>
      </c>
      <c r="AR13" s="74"/>
      <c r="AS13" s="65">
        <f>AS12-AS11</f>
        <v>0.67700000000000016</v>
      </c>
      <c r="AT13" s="74"/>
      <c r="AU13" s="74"/>
    </row>
    <row r="15" spans="1:163" ht="13" thickBot="1"/>
    <row r="16" spans="1:163" ht="13" thickBot="1">
      <c r="H16" s="106" t="s">
        <v>407</v>
      </c>
      <c r="I16" s="109">
        <f>0.49+I11</f>
        <v>1.2069175000000001</v>
      </c>
      <c r="J16" s="109">
        <f t="shared" ref="J16:AY16" si="19">0.49+J11</f>
        <v>1.1110664473684211</v>
      </c>
      <c r="K16" s="109">
        <f t="shared" si="19"/>
        <v>0.86733238636363641</v>
      </c>
      <c r="L16" s="109">
        <f t="shared" si="19"/>
        <v>0.74248630952380956</v>
      </c>
      <c r="M16" s="109">
        <f t="shared" si="19"/>
        <v>0.83731666666666671</v>
      </c>
      <c r="N16" s="109">
        <f t="shared" si="19"/>
        <v>0.96189999999999998</v>
      </c>
      <c r="O16" s="109">
        <f t="shared" si="19"/>
        <v>0.99830000000000008</v>
      </c>
      <c r="P16" s="109">
        <f t="shared" si="19"/>
        <v>1.01</v>
      </c>
      <c r="Q16" s="109">
        <f t="shared" si="19"/>
        <v>1.0113000000000001</v>
      </c>
      <c r="R16" s="109">
        <f t="shared" si="19"/>
        <v>0.99440000000000006</v>
      </c>
      <c r="S16" s="109">
        <f t="shared" si="19"/>
        <v>0.98660000000000003</v>
      </c>
      <c r="T16" s="109">
        <f t="shared" si="19"/>
        <v>1.0730500000000001</v>
      </c>
      <c r="U16" s="109">
        <f t="shared" si="19"/>
        <v>1.1595</v>
      </c>
      <c r="V16" s="109">
        <f t="shared" si="19"/>
        <v>1.2011000000000001</v>
      </c>
      <c r="W16" s="109">
        <f t="shared" si="19"/>
        <v>1.218</v>
      </c>
      <c r="X16" s="109">
        <f t="shared" si="19"/>
        <v>1.2362</v>
      </c>
      <c r="Y16" s="109">
        <f t="shared" si="19"/>
        <v>1.2648000000000001</v>
      </c>
      <c r="Z16" s="109">
        <f t="shared" si="19"/>
        <v>1.3271999999999999</v>
      </c>
      <c r="AA16" s="109">
        <f t="shared" si="19"/>
        <v>1.3803375</v>
      </c>
      <c r="AB16" s="109">
        <f t="shared" si="19"/>
        <v>1.3668499999999999</v>
      </c>
      <c r="AC16" s="109">
        <f t="shared" si="19"/>
        <v>1.3512499999999998</v>
      </c>
      <c r="AD16" s="109">
        <f t="shared" si="19"/>
        <v>1.4878149999999999</v>
      </c>
      <c r="AE16" s="109">
        <f t="shared" si="19"/>
        <v>1.4725920000000001</v>
      </c>
      <c r="AF16" s="109">
        <f t="shared" si="19"/>
        <v>1.3911600000000002</v>
      </c>
      <c r="AG16" s="109">
        <f t="shared" si="19"/>
        <v>1.4980199999999999</v>
      </c>
      <c r="AH16" s="109">
        <f t="shared" si="19"/>
        <v>1.6080000000000001</v>
      </c>
      <c r="AI16" s="109">
        <f t="shared" si="19"/>
        <v>1.8043</v>
      </c>
      <c r="AJ16" s="109">
        <f t="shared" si="19"/>
        <v>1.6639000000000002</v>
      </c>
      <c r="AK16" s="109">
        <f t="shared" si="19"/>
        <v>1.6652</v>
      </c>
      <c r="AL16" s="109">
        <f t="shared" si="19"/>
        <v>1.5664</v>
      </c>
      <c r="AM16" s="109">
        <f t="shared" si="19"/>
        <v>1.5183</v>
      </c>
      <c r="AN16" s="109">
        <f t="shared" si="19"/>
        <v>1.4013</v>
      </c>
      <c r="AO16" s="109">
        <f t="shared" si="19"/>
        <v>1.3492999999999999</v>
      </c>
      <c r="AP16" s="109">
        <f t="shared" si="19"/>
        <v>1.3779000000000001</v>
      </c>
      <c r="AQ16" s="109">
        <f t="shared" si="19"/>
        <v>1.3908999999999998</v>
      </c>
      <c r="AR16" s="109">
        <f t="shared" si="19"/>
        <v>1.30315</v>
      </c>
      <c r="AS16" s="109">
        <f t="shared" si="19"/>
        <v>1.4129999999999998</v>
      </c>
      <c r="AT16" s="109">
        <f t="shared" si="19"/>
        <v>1.4259999999999999</v>
      </c>
      <c r="AU16" s="109">
        <f t="shared" si="19"/>
        <v>1.2570000000000001</v>
      </c>
      <c r="AV16" s="109">
        <f t="shared" si="19"/>
        <v>1.3935</v>
      </c>
      <c r="AW16" s="109">
        <f t="shared" si="19"/>
        <v>1.2479</v>
      </c>
      <c r="AX16" s="109">
        <f t="shared" si="19"/>
        <v>1.2050000000000001</v>
      </c>
      <c r="AY16" s="109">
        <f t="shared" si="19"/>
        <v>1.1777000000000002</v>
      </c>
      <c r="AZ16" s="109">
        <f t="shared" ref="AZ16:BL16" si="20">0.49+AZ11</f>
        <v>1.3025</v>
      </c>
      <c r="BA16" s="109">
        <f t="shared" si="20"/>
        <v>1.3050999999999999</v>
      </c>
      <c r="BB16" s="109">
        <f t="shared" si="20"/>
        <v>1.3193999999999999</v>
      </c>
      <c r="BC16" s="109">
        <f t="shared" si="20"/>
        <v>1.3701000000000001</v>
      </c>
      <c r="BD16" s="109">
        <f t="shared" si="20"/>
        <v>1.3220000000000001</v>
      </c>
      <c r="BE16" s="109">
        <f t="shared" si="20"/>
        <v>1.3285</v>
      </c>
      <c r="BF16" s="109">
        <f t="shared" si="20"/>
        <v>1.3545</v>
      </c>
      <c r="BG16" s="109">
        <f t="shared" si="20"/>
        <v>1.3545</v>
      </c>
      <c r="BH16" s="109">
        <f t="shared" si="20"/>
        <v>1.4064999999999999</v>
      </c>
      <c r="BI16" s="109">
        <f t="shared" si="20"/>
        <v>1.4064999999999999</v>
      </c>
      <c r="BJ16" s="109">
        <f t="shared" si="20"/>
        <v>1.4</v>
      </c>
      <c r="BK16" s="109">
        <f t="shared" si="20"/>
        <v>1.3285</v>
      </c>
      <c r="BL16" s="109">
        <f t="shared" si="20"/>
        <v>1.3441000000000001</v>
      </c>
      <c r="BM16" s="109">
        <f t="shared" ref="BM16:BV16" si="21">0.49+BM11</f>
        <v>1.3727</v>
      </c>
      <c r="BN16" s="109">
        <f t="shared" si="21"/>
        <v>1.3441000000000001</v>
      </c>
      <c r="BO16" s="109">
        <f t="shared" si="21"/>
        <v>1.3441000000000001</v>
      </c>
      <c r="BP16" s="109">
        <f t="shared" si="21"/>
        <v>1.335</v>
      </c>
      <c r="BQ16" s="109">
        <f t="shared" si="21"/>
        <v>1.335</v>
      </c>
      <c r="BR16" s="109">
        <f t="shared" si="21"/>
        <v>1.3389000000000002</v>
      </c>
      <c r="BS16" s="109">
        <f t="shared" si="21"/>
        <v>1.335</v>
      </c>
      <c r="BT16" s="109">
        <f t="shared" si="21"/>
        <v>1.3200499999999999</v>
      </c>
      <c r="BU16" s="109">
        <f t="shared" si="21"/>
        <v>1.3883000000000001</v>
      </c>
      <c r="BV16" s="109">
        <f t="shared" si="21"/>
        <v>1.3635999999999999</v>
      </c>
      <c r="BW16" s="109">
        <f>0.49+BW11</f>
        <v>1.3220000000000001</v>
      </c>
      <c r="BX16" s="109">
        <f>0.49+BX11</f>
        <v>1.3454000000000002</v>
      </c>
      <c r="BY16" s="109">
        <f>0.49+BY11</f>
        <v>1.3532000000000002</v>
      </c>
      <c r="BZ16" s="109">
        <f t="shared" ref="BZ16:CH16" si="22">0.49+BZ11</f>
        <v>1.387</v>
      </c>
      <c r="CA16" s="109">
        <f t="shared" si="22"/>
        <v>1.335</v>
      </c>
      <c r="CB16" s="109">
        <f t="shared" si="22"/>
        <v>1.387</v>
      </c>
      <c r="CC16" s="109">
        <f t="shared" si="22"/>
        <v>1.3688000000000002</v>
      </c>
      <c r="CD16" s="109">
        <f t="shared" si="22"/>
        <v>1.37738</v>
      </c>
      <c r="CE16" s="109">
        <f t="shared" si="22"/>
        <v>1.3935</v>
      </c>
      <c r="CF16" s="109">
        <f t="shared" si="22"/>
        <v>1.4104000000000001</v>
      </c>
      <c r="CG16" s="109">
        <f t="shared" si="22"/>
        <v>1.4234</v>
      </c>
      <c r="CH16" s="109">
        <f t="shared" si="22"/>
        <v>1.4142999999999999</v>
      </c>
      <c r="CI16" s="109">
        <f>0.49+CI11</f>
        <v>1.4091</v>
      </c>
      <c r="CJ16" s="109">
        <f>0.49+CJ11</f>
        <v>1.4064999999999999</v>
      </c>
      <c r="CK16" s="109">
        <f>0.49+CK11</f>
        <v>1.3961000000000001</v>
      </c>
      <c r="CL16" s="109">
        <f t="shared" ref="CL16:CQ16" si="23">0.49+CL11</f>
        <v>1.4169</v>
      </c>
      <c r="CM16" s="109">
        <f t="shared" si="23"/>
        <v>1.3753000000000002</v>
      </c>
      <c r="CN16" s="109">
        <f t="shared" si="23"/>
        <v>1.3558000000000001</v>
      </c>
      <c r="CO16" s="109">
        <f t="shared" si="23"/>
        <v>1.3714</v>
      </c>
      <c r="CP16" s="109">
        <f t="shared" si="23"/>
        <v>1.3805000000000001</v>
      </c>
      <c r="CQ16" s="109">
        <f t="shared" si="23"/>
        <v>1.3675000000000002</v>
      </c>
      <c r="CR16" s="109">
        <f t="shared" ref="CR16:CW16" si="24">0.49+CR11</f>
        <v>1.3324</v>
      </c>
      <c r="CS16" s="109">
        <f t="shared" si="24"/>
        <v>1.3740000000000001</v>
      </c>
      <c r="CT16" s="109">
        <f t="shared" si="24"/>
        <v>1.4038999999999999</v>
      </c>
      <c r="CU16" s="109">
        <f t="shared" si="24"/>
        <v>1.4234</v>
      </c>
      <c r="CV16" s="109">
        <f t="shared" si="24"/>
        <v>1.4273</v>
      </c>
      <c r="CW16" s="109">
        <f t="shared" si="24"/>
        <v>1.3935</v>
      </c>
      <c r="CX16" s="109">
        <f t="shared" ref="CX16:FA16" si="25">0.49+CX11</f>
        <v>1.3779000000000001</v>
      </c>
      <c r="CY16" s="109">
        <f t="shared" si="25"/>
        <v>1.3492999999999999</v>
      </c>
      <c r="CZ16" s="109">
        <f t="shared" si="25"/>
        <v>1.3532000000000002</v>
      </c>
      <c r="DA16" s="109">
        <f t="shared" si="25"/>
        <v>1.3635999999999999</v>
      </c>
      <c r="DB16" s="109">
        <f t="shared" si="25"/>
        <v>1.3635999999999999</v>
      </c>
      <c r="DC16" s="109">
        <f t="shared" si="25"/>
        <v>1.3623000000000001</v>
      </c>
      <c r="DD16" s="109">
        <f t="shared" si="25"/>
        <v>1.3311000000000002</v>
      </c>
      <c r="DE16" s="109">
        <f t="shared" si="25"/>
        <v>1.3064</v>
      </c>
      <c r="DF16" s="109">
        <f t="shared" si="25"/>
        <v>1.335</v>
      </c>
      <c r="DG16" s="109">
        <f t="shared" si="25"/>
        <v>1.3467</v>
      </c>
      <c r="DH16" s="109">
        <f t="shared" si="25"/>
        <v>1.4038999999999999</v>
      </c>
      <c r="DI16" s="109">
        <f t="shared" si="25"/>
        <v>1.3506</v>
      </c>
      <c r="DJ16" s="109">
        <f t="shared" si="25"/>
        <v>1.3454000000000002</v>
      </c>
      <c r="DK16" s="109">
        <f t="shared" si="25"/>
        <v>1.3597000000000001</v>
      </c>
      <c r="DL16" s="109">
        <f t="shared" si="25"/>
        <v>1.3649</v>
      </c>
      <c r="DM16" s="109">
        <f t="shared" si="25"/>
        <v>1.3441000000000001</v>
      </c>
      <c r="DN16" s="109">
        <f t="shared" si="25"/>
        <v>1.3363</v>
      </c>
      <c r="DO16" s="109">
        <f t="shared" si="25"/>
        <v>1.3142</v>
      </c>
      <c r="DP16" s="109">
        <f t="shared" si="25"/>
        <v>1.3077000000000001</v>
      </c>
      <c r="DQ16" s="109">
        <f t="shared" si="25"/>
        <v>1.3129</v>
      </c>
      <c r="DR16" s="109">
        <f t="shared" si="25"/>
        <v>1.3207</v>
      </c>
      <c r="DS16" s="109">
        <f t="shared" si="25"/>
        <v>1.3155000000000001</v>
      </c>
      <c r="DT16" s="109">
        <f t="shared" si="25"/>
        <v>0.49</v>
      </c>
      <c r="DU16" s="109">
        <f t="shared" si="25"/>
        <v>0.49</v>
      </c>
      <c r="DV16" s="109">
        <f t="shared" si="25"/>
        <v>0.49</v>
      </c>
      <c r="DW16" s="109">
        <f t="shared" si="25"/>
        <v>0.49</v>
      </c>
      <c r="DX16" s="109">
        <f t="shared" si="25"/>
        <v>0.49</v>
      </c>
      <c r="DY16" s="109">
        <f t="shared" si="25"/>
        <v>0.49</v>
      </c>
      <c r="DZ16" s="109">
        <f t="shared" si="25"/>
        <v>0.49</v>
      </c>
      <c r="EA16" s="109">
        <f t="shared" si="25"/>
        <v>0.49</v>
      </c>
      <c r="EB16" s="109">
        <f t="shared" si="25"/>
        <v>0.49</v>
      </c>
      <c r="EC16" s="109">
        <f t="shared" si="25"/>
        <v>0.49</v>
      </c>
      <c r="ED16" s="109">
        <f t="shared" si="25"/>
        <v>0.49</v>
      </c>
      <c r="EE16" s="109">
        <f t="shared" si="25"/>
        <v>0.49</v>
      </c>
      <c r="EF16" s="109">
        <f t="shared" si="25"/>
        <v>0.49</v>
      </c>
      <c r="EG16" s="109">
        <f t="shared" si="25"/>
        <v>0.49</v>
      </c>
      <c r="EH16" s="109">
        <f t="shared" si="25"/>
        <v>0.49</v>
      </c>
      <c r="EI16" s="109">
        <f t="shared" si="25"/>
        <v>0.49</v>
      </c>
      <c r="EJ16" s="109">
        <f t="shared" si="25"/>
        <v>0.49</v>
      </c>
      <c r="EK16" s="109">
        <f t="shared" si="25"/>
        <v>0.49</v>
      </c>
      <c r="EL16" s="109">
        <f t="shared" si="25"/>
        <v>0.49</v>
      </c>
      <c r="EM16" s="109">
        <f t="shared" si="25"/>
        <v>0.49</v>
      </c>
      <c r="EN16" s="109">
        <f t="shared" si="25"/>
        <v>0.49</v>
      </c>
      <c r="EO16" s="109">
        <f t="shared" si="25"/>
        <v>0.49</v>
      </c>
      <c r="EP16" s="109">
        <f t="shared" si="25"/>
        <v>0.49</v>
      </c>
      <c r="EQ16" s="109">
        <f t="shared" si="25"/>
        <v>0.49</v>
      </c>
      <c r="ER16" s="109">
        <f t="shared" si="25"/>
        <v>0.49</v>
      </c>
      <c r="ES16" s="109">
        <f t="shared" si="25"/>
        <v>0.49</v>
      </c>
      <c r="ET16" s="109">
        <f t="shared" si="25"/>
        <v>0.49</v>
      </c>
      <c r="EU16" s="109">
        <f t="shared" si="25"/>
        <v>0.49</v>
      </c>
      <c r="EV16" s="109">
        <f t="shared" si="25"/>
        <v>0.49</v>
      </c>
      <c r="EW16" s="109">
        <f t="shared" si="25"/>
        <v>0.49</v>
      </c>
      <c r="EX16" s="109">
        <f t="shared" si="25"/>
        <v>0.49</v>
      </c>
      <c r="EY16" s="109">
        <f t="shared" si="25"/>
        <v>0.49</v>
      </c>
      <c r="EZ16" s="109">
        <f t="shared" si="25"/>
        <v>0.49</v>
      </c>
      <c r="FA16" s="109">
        <f t="shared" si="25"/>
        <v>0.49</v>
      </c>
    </row>
    <row r="17" spans="6:157" ht="13" thickBot="1"/>
    <row r="18" spans="6:157" ht="17" thickBot="1">
      <c r="F18" s="265" t="s">
        <v>697</v>
      </c>
      <c r="H18" s="106" t="s">
        <v>407</v>
      </c>
      <c r="I18" s="65">
        <f>I9+0.75</f>
        <v>1.4669175000000001</v>
      </c>
      <c r="J18" s="65">
        <f t="shared" ref="J18:AZ18" si="26">J9+0.75</f>
        <v>1.3710664473684211</v>
      </c>
      <c r="K18" s="65">
        <f t="shared" si="26"/>
        <v>1.1273323863636364</v>
      </c>
      <c r="L18" s="65">
        <f t="shared" si="26"/>
        <v>1.0024863095238095</v>
      </c>
      <c r="M18" s="65">
        <f t="shared" si="26"/>
        <v>1.0973166666666667</v>
      </c>
      <c r="N18" s="65">
        <f t="shared" si="26"/>
        <v>1.2219</v>
      </c>
      <c r="O18" s="65">
        <f t="shared" si="26"/>
        <v>1.2583000000000002</v>
      </c>
      <c r="P18" s="65">
        <f t="shared" si="26"/>
        <v>1.27</v>
      </c>
      <c r="Q18" s="65">
        <f t="shared" si="26"/>
        <v>1.2713000000000001</v>
      </c>
      <c r="R18" s="65">
        <f t="shared" si="26"/>
        <v>1.2544</v>
      </c>
      <c r="S18" s="65">
        <f t="shared" si="26"/>
        <v>1.2465999999999999</v>
      </c>
      <c r="T18" s="65">
        <f t="shared" si="26"/>
        <v>1.3330500000000001</v>
      </c>
      <c r="U18" s="65">
        <f t="shared" si="26"/>
        <v>1.4195000000000002</v>
      </c>
      <c r="V18" s="65">
        <f t="shared" si="26"/>
        <v>1.4611000000000001</v>
      </c>
      <c r="W18" s="65">
        <f t="shared" si="26"/>
        <v>1.4780000000000002</v>
      </c>
      <c r="X18" s="65">
        <f t="shared" si="26"/>
        <v>1.4962</v>
      </c>
      <c r="Y18" s="65">
        <f t="shared" si="26"/>
        <v>1.5247999999999999</v>
      </c>
      <c r="Z18" s="65">
        <f t="shared" si="26"/>
        <v>1.5872000000000002</v>
      </c>
      <c r="AA18" s="65">
        <f t="shared" si="26"/>
        <v>1.6403375</v>
      </c>
      <c r="AB18" s="65">
        <f t="shared" si="26"/>
        <v>1.6268500000000001</v>
      </c>
      <c r="AC18" s="65">
        <f t="shared" si="26"/>
        <v>1.6112500000000001</v>
      </c>
      <c r="AD18" s="65">
        <f t="shared" si="26"/>
        <v>1.7478150000000001</v>
      </c>
      <c r="AE18" s="65">
        <f t="shared" si="26"/>
        <v>1.7325920000000001</v>
      </c>
      <c r="AF18" s="65">
        <f t="shared" si="26"/>
        <v>1.65116</v>
      </c>
      <c r="AG18" s="65">
        <f t="shared" si="26"/>
        <v>1.7580199999999999</v>
      </c>
      <c r="AH18" s="65">
        <f t="shared" si="26"/>
        <v>1.8680000000000001</v>
      </c>
      <c r="AI18" s="65">
        <f t="shared" si="26"/>
        <v>2.0643000000000002</v>
      </c>
      <c r="AJ18" s="65">
        <f t="shared" si="26"/>
        <v>1.9239000000000002</v>
      </c>
      <c r="AK18" s="65">
        <f t="shared" si="26"/>
        <v>1.9252</v>
      </c>
      <c r="AL18" s="65">
        <f t="shared" si="26"/>
        <v>1.8264</v>
      </c>
      <c r="AM18" s="65">
        <f t="shared" si="26"/>
        <v>1.7783</v>
      </c>
      <c r="AN18" s="65">
        <f t="shared" si="26"/>
        <v>1.6613</v>
      </c>
      <c r="AO18" s="65">
        <f t="shared" si="26"/>
        <v>1.6093000000000002</v>
      </c>
      <c r="AP18" s="65">
        <f t="shared" si="26"/>
        <v>1.6379000000000001</v>
      </c>
      <c r="AQ18" s="65">
        <f t="shared" si="26"/>
        <v>1.6509</v>
      </c>
      <c r="AR18" s="65">
        <f t="shared" si="26"/>
        <v>1.5631499999999998</v>
      </c>
      <c r="AS18" s="65">
        <f t="shared" si="26"/>
        <v>1.673</v>
      </c>
      <c r="AT18" s="65">
        <f t="shared" si="26"/>
        <v>1.6859999999999999</v>
      </c>
      <c r="AU18" s="65">
        <f t="shared" si="26"/>
        <v>1.5169999999999999</v>
      </c>
      <c r="AV18" s="65">
        <f t="shared" si="26"/>
        <v>1.6535</v>
      </c>
      <c r="AW18" s="65">
        <f t="shared" si="26"/>
        <v>1.5079</v>
      </c>
      <c r="AX18" s="65">
        <f t="shared" si="26"/>
        <v>1.4650000000000001</v>
      </c>
      <c r="AY18" s="65">
        <f t="shared" si="26"/>
        <v>1.4377</v>
      </c>
      <c r="AZ18" s="65">
        <f t="shared" si="26"/>
        <v>1.5625</v>
      </c>
      <c r="BA18" s="65">
        <f t="shared" ref="BA18:BO18" si="27">BA9+0.75</f>
        <v>1.5651000000000002</v>
      </c>
      <c r="BB18" s="65">
        <f t="shared" si="27"/>
        <v>1.5794000000000001</v>
      </c>
      <c r="BC18" s="65">
        <f t="shared" si="27"/>
        <v>1.6301000000000001</v>
      </c>
      <c r="BD18" s="65">
        <f t="shared" si="27"/>
        <v>1.5820000000000001</v>
      </c>
      <c r="BE18" s="65">
        <f t="shared" si="27"/>
        <v>1.5885</v>
      </c>
      <c r="BF18" s="65">
        <f t="shared" si="27"/>
        <v>1.6145</v>
      </c>
      <c r="BG18" s="65">
        <f t="shared" si="27"/>
        <v>1.6145</v>
      </c>
      <c r="BH18" s="65">
        <f t="shared" si="27"/>
        <v>1.6665000000000001</v>
      </c>
      <c r="BI18" s="65">
        <f t="shared" si="27"/>
        <v>1.6665000000000001</v>
      </c>
      <c r="BJ18" s="65">
        <f t="shared" si="27"/>
        <v>1.66</v>
      </c>
      <c r="BK18" s="65">
        <f t="shared" si="27"/>
        <v>1.5885</v>
      </c>
      <c r="BL18" s="65">
        <f t="shared" si="27"/>
        <v>1.6041000000000001</v>
      </c>
      <c r="BM18" s="65">
        <f t="shared" si="27"/>
        <v>1.6327</v>
      </c>
      <c r="BN18" s="65">
        <f t="shared" si="27"/>
        <v>1.6041000000000001</v>
      </c>
      <c r="BO18" s="65">
        <f t="shared" si="27"/>
        <v>1.6041000000000001</v>
      </c>
      <c r="BP18" s="65">
        <f t="shared" ref="BP18:BV18" si="28">BP9+0.75</f>
        <v>1.5950000000000002</v>
      </c>
      <c r="BQ18" s="65">
        <f t="shared" si="28"/>
        <v>1.5950000000000002</v>
      </c>
      <c r="BR18" s="65">
        <f t="shared" si="28"/>
        <v>1.5989</v>
      </c>
      <c r="BS18" s="65">
        <f t="shared" si="28"/>
        <v>1.5950000000000002</v>
      </c>
      <c r="BT18" s="65">
        <f t="shared" si="28"/>
        <v>1.58005</v>
      </c>
      <c r="BU18" s="65">
        <f t="shared" si="28"/>
        <v>1.6482999999999999</v>
      </c>
      <c r="BV18" s="65">
        <f t="shared" si="28"/>
        <v>1.6236000000000002</v>
      </c>
      <c r="BW18" s="65">
        <f>BW9+0.75</f>
        <v>1.5820000000000001</v>
      </c>
      <c r="BX18" s="65">
        <f>BX9+0.75</f>
        <v>1.6053999999999999</v>
      </c>
      <c r="BY18" s="65">
        <f>BY9+0.75</f>
        <v>1.6132</v>
      </c>
      <c r="BZ18" s="65">
        <f t="shared" ref="BZ18:CH18" si="29">BZ9+0.75</f>
        <v>1.6469999999999998</v>
      </c>
      <c r="CA18" s="65">
        <f t="shared" si="29"/>
        <v>1.5950000000000002</v>
      </c>
      <c r="CB18" s="65">
        <f t="shared" si="29"/>
        <v>1.6469999999999998</v>
      </c>
      <c r="CC18" s="65">
        <f t="shared" si="29"/>
        <v>1.6288</v>
      </c>
      <c r="CD18" s="65">
        <f t="shared" si="29"/>
        <v>1.6373800000000001</v>
      </c>
      <c r="CE18" s="65">
        <f t="shared" si="29"/>
        <v>1.6535</v>
      </c>
      <c r="CF18" s="65">
        <f t="shared" si="29"/>
        <v>1.6703999999999999</v>
      </c>
      <c r="CG18" s="65">
        <f t="shared" si="29"/>
        <v>1.6834</v>
      </c>
      <c r="CH18" s="65">
        <f t="shared" si="29"/>
        <v>1.6743000000000001</v>
      </c>
      <c r="CI18" s="65">
        <f>CI9+0.75</f>
        <v>1.6691</v>
      </c>
      <c r="CJ18" s="65">
        <f>CJ9+0.75</f>
        <v>1.6665000000000001</v>
      </c>
      <c r="CK18" s="65">
        <f>CK9+0.75</f>
        <v>1.6560999999999999</v>
      </c>
      <c r="CL18" s="65">
        <f t="shared" ref="CL18:CQ18" si="30">CL9+0.75</f>
        <v>1.6768999999999998</v>
      </c>
      <c r="CM18" s="65">
        <f t="shared" si="30"/>
        <v>1.6353</v>
      </c>
      <c r="CN18" s="65">
        <f t="shared" si="30"/>
        <v>1.6158000000000001</v>
      </c>
      <c r="CO18" s="65">
        <f t="shared" si="30"/>
        <v>1.6314000000000002</v>
      </c>
      <c r="CP18" s="65">
        <f t="shared" si="30"/>
        <v>1.6405000000000001</v>
      </c>
      <c r="CQ18" s="65">
        <f t="shared" si="30"/>
        <v>1.6274999999999999</v>
      </c>
      <c r="CR18" s="65">
        <f t="shared" ref="CR18:CW18" si="31">CR9+0.75</f>
        <v>1.5924</v>
      </c>
      <c r="CS18" s="65">
        <f t="shared" si="31"/>
        <v>1.6340000000000001</v>
      </c>
      <c r="CT18" s="65">
        <f t="shared" si="31"/>
        <v>1.6638999999999999</v>
      </c>
      <c r="CU18" s="65">
        <f t="shared" si="31"/>
        <v>1.6834</v>
      </c>
      <c r="CV18" s="65">
        <f t="shared" si="31"/>
        <v>1.6873</v>
      </c>
      <c r="CW18" s="65">
        <f t="shared" si="31"/>
        <v>1.6535</v>
      </c>
      <c r="CX18" s="65">
        <f t="shared" ref="CX18:FA18" si="32">CX9+0.75</f>
        <v>1.6379000000000001</v>
      </c>
      <c r="CY18" s="65">
        <f t="shared" si="32"/>
        <v>1.6093000000000002</v>
      </c>
      <c r="CZ18" s="65">
        <f t="shared" si="32"/>
        <v>1.6132</v>
      </c>
      <c r="DA18" s="65">
        <f t="shared" si="32"/>
        <v>1.6236000000000002</v>
      </c>
      <c r="DB18" s="65">
        <f t="shared" si="32"/>
        <v>1.6236000000000002</v>
      </c>
      <c r="DC18" s="65">
        <f t="shared" si="32"/>
        <v>1.6223000000000001</v>
      </c>
      <c r="DD18" s="65">
        <f t="shared" si="32"/>
        <v>1.5911</v>
      </c>
      <c r="DE18" s="65">
        <f t="shared" si="32"/>
        <v>1.5664</v>
      </c>
      <c r="DF18" s="65">
        <f t="shared" si="32"/>
        <v>1.5950000000000002</v>
      </c>
      <c r="DG18" s="65">
        <f t="shared" si="32"/>
        <v>1.6067</v>
      </c>
      <c r="DH18" s="65">
        <f t="shared" si="32"/>
        <v>1.6638999999999999</v>
      </c>
      <c r="DI18" s="65">
        <f t="shared" si="32"/>
        <v>1.6106</v>
      </c>
      <c r="DJ18" s="65">
        <f t="shared" si="32"/>
        <v>1.6053999999999999</v>
      </c>
      <c r="DK18" s="65">
        <f t="shared" si="32"/>
        <v>1.6196999999999999</v>
      </c>
      <c r="DL18" s="65">
        <f t="shared" si="32"/>
        <v>1.6249000000000002</v>
      </c>
      <c r="DM18" s="65">
        <f t="shared" si="32"/>
        <v>1.6041000000000001</v>
      </c>
      <c r="DN18" s="65">
        <f t="shared" si="32"/>
        <v>1.5963000000000001</v>
      </c>
      <c r="DO18" s="65">
        <f t="shared" si="32"/>
        <v>1.5742</v>
      </c>
      <c r="DP18" s="65">
        <f t="shared" si="32"/>
        <v>1.5676999999999999</v>
      </c>
      <c r="DQ18" s="65">
        <f t="shared" si="32"/>
        <v>1.5729000000000002</v>
      </c>
      <c r="DR18" s="65">
        <f t="shared" si="32"/>
        <v>1.5807</v>
      </c>
      <c r="DS18" s="65">
        <f t="shared" si="32"/>
        <v>1.5754999999999999</v>
      </c>
      <c r="DT18" s="65">
        <f t="shared" si="32"/>
        <v>0.75</v>
      </c>
      <c r="DU18" s="65">
        <f t="shared" si="32"/>
        <v>0.75</v>
      </c>
      <c r="DV18" s="65">
        <f t="shared" si="32"/>
        <v>0.75</v>
      </c>
      <c r="DW18" s="65">
        <f t="shared" si="32"/>
        <v>0.75</v>
      </c>
      <c r="DX18" s="65">
        <f t="shared" si="32"/>
        <v>0.75</v>
      </c>
      <c r="DY18" s="65">
        <f t="shared" si="32"/>
        <v>0.75</v>
      </c>
      <c r="DZ18" s="65">
        <f t="shared" si="32"/>
        <v>0.75</v>
      </c>
      <c r="EA18" s="65">
        <f t="shared" si="32"/>
        <v>0.75</v>
      </c>
      <c r="EB18" s="65">
        <f t="shared" si="32"/>
        <v>0.75</v>
      </c>
      <c r="EC18" s="65">
        <f t="shared" si="32"/>
        <v>0.75</v>
      </c>
      <c r="ED18" s="65">
        <f t="shared" si="32"/>
        <v>0.75</v>
      </c>
      <c r="EE18" s="65">
        <f t="shared" si="32"/>
        <v>0.75</v>
      </c>
      <c r="EF18" s="65">
        <f t="shared" si="32"/>
        <v>0.75</v>
      </c>
      <c r="EG18" s="65">
        <f t="shared" si="32"/>
        <v>0.75</v>
      </c>
      <c r="EH18" s="65">
        <f t="shared" si="32"/>
        <v>0.75</v>
      </c>
      <c r="EI18" s="65">
        <f t="shared" si="32"/>
        <v>0.75</v>
      </c>
      <c r="EJ18" s="65">
        <f t="shared" si="32"/>
        <v>0.75</v>
      </c>
      <c r="EK18" s="65">
        <f t="shared" si="32"/>
        <v>0.75</v>
      </c>
      <c r="EL18" s="65">
        <f t="shared" si="32"/>
        <v>0.75</v>
      </c>
      <c r="EM18" s="65">
        <f t="shared" si="32"/>
        <v>0.75</v>
      </c>
      <c r="EN18" s="65">
        <f t="shared" si="32"/>
        <v>0.75</v>
      </c>
      <c r="EO18" s="65">
        <f t="shared" si="32"/>
        <v>0.75</v>
      </c>
      <c r="EP18" s="65">
        <f t="shared" si="32"/>
        <v>0.75</v>
      </c>
      <c r="EQ18" s="65">
        <f t="shared" si="32"/>
        <v>0.75</v>
      </c>
      <c r="ER18" s="65">
        <f t="shared" si="32"/>
        <v>0.75</v>
      </c>
      <c r="ES18" s="65">
        <f t="shared" si="32"/>
        <v>0.75</v>
      </c>
      <c r="ET18" s="65">
        <f t="shared" si="32"/>
        <v>0.75</v>
      </c>
      <c r="EU18" s="65">
        <f t="shared" si="32"/>
        <v>0.75</v>
      </c>
      <c r="EV18" s="65">
        <f t="shared" si="32"/>
        <v>0.75</v>
      </c>
      <c r="EW18" s="65">
        <f t="shared" si="32"/>
        <v>0.75</v>
      </c>
      <c r="EX18" s="65">
        <f t="shared" si="32"/>
        <v>0.75</v>
      </c>
      <c r="EY18" s="65">
        <f t="shared" si="32"/>
        <v>0.75</v>
      </c>
      <c r="EZ18" s="65">
        <f t="shared" si="32"/>
        <v>0.75</v>
      </c>
      <c r="FA18" s="65">
        <f t="shared" si="32"/>
        <v>0.75</v>
      </c>
    </row>
    <row r="19" spans="6:157" ht="17" thickBot="1">
      <c r="F19" s="265" t="s">
        <v>698</v>
      </c>
      <c r="H19" s="106" t="s">
        <v>407</v>
      </c>
      <c r="I19" s="65">
        <f>I9+0.87</f>
        <v>1.5869175000000002</v>
      </c>
      <c r="J19" s="65">
        <f t="shared" ref="J19:AZ19" si="33">J9+0.87</f>
        <v>1.491066447368421</v>
      </c>
      <c r="K19" s="65">
        <f t="shared" si="33"/>
        <v>1.2473323863636363</v>
      </c>
      <c r="L19" s="65">
        <f t="shared" si="33"/>
        <v>1.1224863095238096</v>
      </c>
      <c r="M19" s="65">
        <f t="shared" si="33"/>
        <v>1.2173166666666666</v>
      </c>
      <c r="N19" s="65">
        <f t="shared" si="33"/>
        <v>1.3418999999999999</v>
      </c>
      <c r="O19" s="65">
        <f t="shared" si="33"/>
        <v>1.3783000000000001</v>
      </c>
      <c r="P19" s="65">
        <f t="shared" si="33"/>
        <v>1.3900000000000001</v>
      </c>
      <c r="Q19" s="65">
        <f t="shared" si="33"/>
        <v>1.3913000000000002</v>
      </c>
      <c r="R19" s="65">
        <f t="shared" si="33"/>
        <v>1.3744000000000001</v>
      </c>
      <c r="S19" s="65">
        <f t="shared" si="33"/>
        <v>1.3666</v>
      </c>
      <c r="T19" s="65">
        <f t="shared" si="33"/>
        <v>1.4530500000000002</v>
      </c>
      <c r="U19" s="65">
        <f t="shared" si="33"/>
        <v>1.5395000000000001</v>
      </c>
      <c r="V19" s="65">
        <f t="shared" si="33"/>
        <v>1.5811000000000002</v>
      </c>
      <c r="W19" s="65">
        <f t="shared" si="33"/>
        <v>1.5980000000000001</v>
      </c>
      <c r="X19" s="65">
        <f t="shared" si="33"/>
        <v>1.6162000000000001</v>
      </c>
      <c r="Y19" s="65">
        <f t="shared" si="33"/>
        <v>1.6448</v>
      </c>
      <c r="Z19" s="65">
        <f t="shared" si="33"/>
        <v>1.7072000000000001</v>
      </c>
      <c r="AA19" s="65">
        <f t="shared" si="33"/>
        <v>1.7603374999999999</v>
      </c>
      <c r="AB19" s="65">
        <f t="shared" si="33"/>
        <v>1.74685</v>
      </c>
      <c r="AC19" s="65">
        <f t="shared" si="33"/>
        <v>1.73125</v>
      </c>
      <c r="AD19" s="65">
        <f t="shared" si="33"/>
        <v>1.867815</v>
      </c>
      <c r="AE19" s="65">
        <f t="shared" si="33"/>
        <v>1.852592</v>
      </c>
      <c r="AF19" s="65">
        <f t="shared" si="33"/>
        <v>1.7711600000000001</v>
      </c>
      <c r="AG19" s="65">
        <f t="shared" si="33"/>
        <v>1.8780199999999998</v>
      </c>
      <c r="AH19" s="65">
        <f t="shared" si="33"/>
        <v>1.988</v>
      </c>
      <c r="AI19" s="65">
        <f t="shared" si="33"/>
        <v>2.1842999999999999</v>
      </c>
      <c r="AJ19" s="65">
        <f t="shared" si="33"/>
        <v>2.0439000000000003</v>
      </c>
      <c r="AK19" s="65">
        <f t="shared" si="33"/>
        <v>2.0451999999999999</v>
      </c>
      <c r="AL19" s="65">
        <f t="shared" si="33"/>
        <v>1.9464000000000001</v>
      </c>
      <c r="AM19" s="65">
        <f t="shared" si="33"/>
        <v>1.8982999999999999</v>
      </c>
      <c r="AN19" s="65">
        <f t="shared" si="33"/>
        <v>1.7812999999999999</v>
      </c>
      <c r="AO19" s="65">
        <f t="shared" si="33"/>
        <v>1.7293000000000001</v>
      </c>
      <c r="AP19" s="65">
        <f t="shared" si="33"/>
        <v>1.7579000000000002</v>
      </c>
      <c r="AQ19" s="65">
        <f t="shared" si="33"/>
        <v>1.7708999999999999</v>
      </c>
      <c r="AR19" s="65">
        <f t="shared" si="33"/>
        <v>1.6831499999999999</v>
      </c>
      <c r="AS19" s="65">
        <f t="shared" si="33"/>
        <v>1.7929999999999999</v>
      </c>
      <c r="AT19" s="65">
        <f t="shared" si="33"/>
        <v>1.806</v>
      </c>
      <c r="AU19" s="65">
        <f t="shared" si="33"/>
        <v>1.637</v>
      </c>
      <c r="AV19" s="65">
        <f t="shared" si="33"/>
        <v>1.7734999999999999</v>
      </c>
      <c r="AW19" s="65">
        <f t="shared" si="33"/>
        <v>1.6278999999999999</v>
      </c>
      <c r="AX19" s="65">
        <f t="shared" si="33"/>
        <v>1.585</v>
      </c>
      <c r="AY19" s="65">
        <f t="shared" si="33"/>
        <v>1.5577000000000001</v>
      </c>
      <c r="AZ19" s="65">
        <f t="shared" si="33"/>
        <v>1.6825000000000001</v>
      </c>
      <c r="BA19" s="65">
        <f t="shared" ref="BA19:BO19" si="34">BA9+0.87</f>
        <v>1.6851</v>
      </c>
      <c r="BB19" s="65">
        <f t="shared" si="34"/>
        <v>1.6994</v>
      </c>
      <c r="BC19" s="65">
        <f t="shared" si="34"/>
        <v>1.7501000000000002</v>
      </c>
      <c r="BD19" s="65">
        <f t="shared" si="34"/>
        <v>1.702</v>
      </c>
      <c r="BE19" s="65">
        <f t="shared" si="34"/>
        <v>1.7084999999999999</v>
      </c>
      <c r="BF19" s="65">
        <f t="shared" si="34"/>
        <v>1.7345000000000002</v>
      </c>
      <c r="BG19" s="65">
        <f t="shared" si="34"/>
        <v>1.7345000000000002</v>
      </c>
      <c r="BH19" s="65">
        <f t="shared" si="34"/>
        <v>1.7865</v>
      </c>
      <c r="BI19" s="65">
        <f t="shared" si="34"/>
        <v>1.7865</v>
      </c>
      <c r="BJ19" s="65">
        <f t="shared" si="34"/>
        <v>1.7799999999999998</v>
      </c>
      <c r="BK19" s="65">
        <f t="shared" si="34"/>
        <v>1.7084999999999999</v>
      </c>
      <c r="BL19" s="65">
        <f t="shared" si="34"/>
        <v>1.7241</v>
      </c>
      <c r="BM19" s="65">
        <f t="shared" si="34"/>
        <v>1.7526999999999999</v>
      </c>
      <c r="BN19" s="65">
        <f t="shared" si="34"/>
        <v>1.7241</v>
      </c>
      <c r="BO19" s="65">
        <f t="shared" si="34"/>
        <v>1.7241</v>
      </c>
      <c r="BP19" s="65">
        <f t="shared" ref="BP19:BV19" si="35">BP9+0.87</f>
        <v>1.7150000000000001</v>
      </c>
      <c r="BQ19" s="65">
        <f t="shared" si="35"/>
        <v>1.7150000000000001</v>
      </c>
      <c r="BR19" s="65">
        <f t="shared" si="35"/>
        <v>1.7189000000000001</v>
      </c>
      <c r="BS19" s="65">
        <f t="shared" si="35"/>
        <v>1.7150000000000001</v>
      </c>
      <c r="BT19" s="65">
        <f t="shared" si="35"/>
        <v>1.7000500000000001</v>
      </c>
      <c r="BU19" s="65">
        <f t="shared" si="35"/>
        <v>1.7683</v>
      </c>
      <c r="BV19" s="65">
        <f t="shared" si="35"/>
        <v>1.7436</v>
      </c>
      <c r="BW19" s="65">
        <f>BW9+0.87</f>
        <v>1.702</v>
      </c>
      <c r="BX19" s="65">
        <f>BX9+0.87</f>
        <v>1.7254</v>
      </c>
      <c r="BY19" s="65">
        <f>BY9+0.87</f>
        <v>1.7332000000000001</v>
      </c>
      <c r="BZ19" s="65">
        <f t="shared" ref="BZ19:CH19" si="36">BZ9+0.87</f>
        <v>1.7669999999999999</v>
      </c>
      <c r="CA19" s="65">
        <f t="shared" si="36"/>
        <v>1.7150000000000001</v>
      </c>
      <c r="CB19" s="65">
        <f t="shared" si="36"/>
        <v>1.7669999999999999</v>
      </c>
      <c r="CC19" s="65">
        <f t="shared" si="36"/>
        <v>1.7488000000000001</v>
      </c>
      <c r="CD19" s="65">
        <f t="shared" si="36"/>
        <v>1.7573799999999999</v>
      </c>
      <c r="CE19" s="65">
        <f t="shared" si="36"/>
        <v>1.7734999999999999</v>
      </c>
      <c r="CF19" s="65">
        <f t="shared" si="36"/>
        <v>1.7904</v>
      </c>
      <c r="CG19" s="65">
        <f t="shared" si="36"/>
        <v>1.8033999999999999</v>
      </c>
      <c r="CH19" s="65">
        <f t="shared" si="36"/>
        <v>1.7943</v>
      </c>
      <c r="CI19" s="65">
        <f>CI9+0.87</f>
        <v>1.7890999999999999</v>
      </c>
      <c r="CJ19" s="65">
        <f>CJ9+0.87</f>
        <v>1.7865</v>
      </c>
      <c r="CK19" s="65">
        <f>CK9+0.87</f>
        <v>1.7761</v>
      </c>
      <c r="CL19" s="65">
        <f t="shared" ref="CL19:CQ19" si="37">CL9+0.87</f>
        <v>1.7968999999999999</v>
      </c>
      <c r="CM19" s="65">
        <f t="shared" si="37"/>
        <v>1.7553000000000001</v>
      </c>
      <c r="CN19" s="65">
        <f t="shared" si="37"/>
        <v>1.7358000000000002</v>
      </c>
      <c r="CO19" s="65">
        <f t="shared" si="37"/>
        <v>1.7514000000000001</v>
      </c>
      <c r="CP19" s="65">
        <f t="shared" si="37"/>
        <v>1.7605</v>
      </c>
      <c r="CQ19" s="65">
        <f t="shared" si="37"/>
        <v>1.7475000000000001</v>
      </c>
      <c r="CR19" s="65">
        <f t="shared" ref="CR19:CW19" si="38">CR9+0.87</f>
        <v>1.7124000000000001</v>
      </c>
      <c r="CS19" s="65">
        <f t="shared" si="38"/>
        <v>1.754</v>
      </c>
      <c r="CT19" s="65">
        <f t="shared" si="38"/>
        <v>1.7839</v>
      </c>
      <c r="CU19" s="65">
        <f t="shared" si="38"/>
        <v>1.8033999999999999</v>
      </c>
      <c r="CV19" s="65">
        <f t="shared" si="38"/>
        <v>1.8073000000000001</v>
      </c>
      <c r="CW19" s="65">
        <f t="shared" si="38"/>
        <v>1.7734999999999999</v>
      </c>
      <c r="CX19" s="65">
        <f t="shared" ref="CX19:FA19" si="39">CX9+0.87</f>
        <v>1.7579000000000002</v>
      </c>
      <c r="CY19" s="65">
        <f t="shared" si="39"/>
        <v>1.7293000000000001</v>
      </c>
      <c r="CZ19" s="65">
        <f t="shared" si="39"/>
        <v>1.7332000000000001</v>
      </c>
      <c r="DA19" s="65">
        <f t="shared" si="39"/>
        <v>1.7436</v>
      </c>
      <c r="DB19" s="65">
        <f t="shared" si="39"/>
        <v>1.7436</v>
      </c>
      <c r="DC19" s="65">
        <f t="shared" si="39"/>
        <v>1.7423000000000002</v>
      </c>
      <c r="DD19" s="65">
        <f t="shared" si="39"/>
        <v>1.7111000000000001</v>
      </c>
      <c r="DE19" s="65">
        <f t="shared" si="39"/>
        <v>1.6863999999999999</v>
      </c>
      <c r="DF19" s="65">
        <f t="shared" si="39"/>
        <v>1.7150000000000001</v>
      </c>
      <c r="DG19" s="65">
        <f t="shared" si="39"/>
        <v>1.7267000000000001</v>
      </c>
      <c r="DH19" s="65">
        <f t="shared" si="39"/>
        <v>1.7839</v>
      </c>
      <c r="DI19" s="65">
        <f t="shared" si="39"/>
        <v>1.7305999999999999</v>
      </c>
      <c r="DJ19" s="65">
        <f t="shared" si="39"/>
        <v>1.7254</v>
      </c>
      <c r="DK19" s="65">
        <f t="shared" si="39"/>
        <v>1.7397</v>
      </c>
      <c r="DL19" s="65">
        <f t="shared" si="39"/>
        <v>1.7449000000000001</v>
      </c>
      <c r="DM19" s="65">
        <f t="shared" si="39"/>
        <v>1.7241</v>
      </c>
      <c r="DN19" s="65">
        <f t="shared" si="39"/>
        <v>1.7162999999999999</v>
      </c>
      <c r="DO19" s="65">
        <f t="shared" si="39"/>
        <v>1.6941999999999999</v>
      </c>
      <c r="DP19" s="65">
        <f t="shared" si="39"/>
        <v>1.6877</v>
      </c>
      <c r="DQ19" s="65">
        <f t="shared" si="39"/>
        <v>1.6929000000000001</v>
      </c>
      <c r="DR19" s="65">
        <f t="shared" si="39"/>
        <v>1.7006999999999999</v>
      </c>
      <c r="DS19" s="65">
        <f t="shared" si="39"/>
        <v>1.6955</v>
      </c>
      <c r="DT19" s="65">
        <f t="shared" si="39"/>
        <v>0.87</v>
      </c>
      <c r="DU19" s="65">
        <f t="shared" si="39"/>
        <v>0.87</v>
      </c>
      <c r="DV19" s="65">
        <f t="shared" si="39"/>
        <v>0.87</v>
      </c>
      <c r="DW19" s="65">
        <f t="shared" si="39"/>
        <v>0.87</v>
      </c>
      <c r="DX19" s="65">
        <f t="shared" si="39"/>
        <v>0.87</v>
      </c>
      <c r="DY19" s="65">
        <f t="shared" si="39"/>
        <v>0.87</v>
      </c>
      <c r="DZ19" s="65">
        <f t="shared" si="39"/>
        <v>0.87</v>
      </c>
      <c r="EA19" s="65">
        <f t="shared" si="39"/>
        <v>0.87</v>
      </c>
      <c r="EB19" s="65">
        <f t="shared" si="39"/>
        <v>0.87</v>
      </c>
      <c r="EC19" s="65">
        <f t="shared" si="39"/>
        <v>0.87</v>
      </c>
      <c r="ED19" s="65">
        <f t="shared" si="39"/>
        <v>0.87</v>
      </c>
      <c r="EE19" s="65">
        <f t="shared" si="39"/>
        <v>0.87</v>
      </c>
      <c r="EF19" s="65">
        <f t="shared" si="39"/>
        <v>0.87</v>
      </c>
      <c r="EG19" s="65">
        <f t="shared" si="39"/>
        <v>0.87</v>
      </c>
      <c r="EH19" s="65">
        <f t="shared" si="39"/>
        <v>0.87</v>
      </c>
      <c r="EI19" s="65">
        <f t="shared" si="39"/>
        <v>0.87</v>
      </c>
      <c r="EJ19" s="65">
        <f t="shared" si="39"/>
        <v>0.87</v>
      </c>
      <c r="EK19" s="65">
        <f t="shared" si="39"/>
        <v>0.87</v>
      </c>
      <c r="EL19" s="65">
        <f t="shared" si="39"/>
        <v>0.87</v>
      </c>
      <c r="EM19" s="65">
        <f t="shared" si="39"/>
        <v>0.87</v>
      </c>
      <c r="EN19" s="65">
        <f t="shared" si="39"/>
        <v>0.87</v>
      </c>
      <c r="EO19" s="65">
        <f t="shared" si="39"/>
        <v>0.87</v>
      </c>
      <c r="EP19" s="65">
        <f t="shared" si="39"/>
        <v>0.87</v>
      </c>
      <c r="EQ19" s="65">
        <f t="shared" si="39"/>
        <v>0.87</v>
      </c>
      <c r="ER19" s="65">
        <f t="shared" si="39"/>
        <v>0.87</v>
      </c>
      <c r="ES19" s="65">
        <f t="shared" si="39"/>
        <v>0.87</v>
      </c>
      <c r="ET19" s="65">
        <f t="shared" si="39"/>
        <v>0.87</v>
      </c>
      <c r="EU19" s="65">
        <f t="shared" si="39"/>
        <v>0.87</v>
      </c>
      <c r="EV19" s="65">
        <f t="shared" si="39"/>
        <v>0.87</v>
      </c>
      <c r="EW19" s="65">
        <f t="shared" si="39"/>
        <v>0.87</v>
      </c>
      <c r="EX19" s="65">
        <f t="shared" si="39"/>
        <v>0.87</v>
      </c>
      <c r="EY19" s="65">
        <f t="shared" si="39"/>
        <v>0.87</v>
      </c>
      <c r="EZ19" s="65">
        <f t="shared" si="39"/>
        <v>0.87</v>
      </c>
      <c r="FA19" s="65">
        <f t="shared" si="39"/>
        <v>0.87</v>
      </c>
    </row>
  </sheetData>
  <phoneticPr fontId="52" type="noConversion"/>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1"/>
  <dimension ref="A1:GC23"/>
  <sheetViews>
    <sheetView workbookViewId="0">
      <pane xSplit="11" ySplit="6" topLeftCell="DF10" activePane="bottomRight" state="frozen"/>
      <selection pane="topRight" activeCell="L1" sqref="L1"/>
      <selection pane="bottomLeft" activeCell="A7" sqref="A7"/>
      <selection pane="bottomRight" activeCell="I17" sqref="I17"/>
    </sheetView>
  </sheetViews>
  <sheetFormatPr baseColWidth="10" defaultColWidth="22.6640625" defaultRowHeight="12"/>
  <cols>
    <col min="1" max="1" width="13.33203125" style="60" bestFit="1" customWidth="1"/>
    <col min="2" max="2" width="12.1640625" style="60" bestFit="1" customWidth="1"/>
    <col min="3" max="3" width="4.83203125" style="60" bestFit="1" customWidth="1"/>
    <col min="4" max="4" width="18.1640625" style="60" bestFit="1" customWidth="1"/>
    <col min="5" max="5" width="7.5" style="60" bestFit="1" customWidth="1"/>
    <col min="6" max="6" width="6.5" style="60" bestFit="1" customWidth="1"/>
    <col min="7" max="7" width="4.1640625" style="60" bestFit="1" customWidth="1"/>
    <col min="8" max="8" width="22.83203125" style="60" bestFit="1" customWidth="1"/>
    <col min="9" max="10" width="5.5" style="60" bestFit="1" customWidth="1"/>
    <col min="11" max="11" width="5.6640625" style="60" bestFit="1" customWidth="1"/>
    <col min="12" max="12" width="5.5" style="60" bestFit="1" customWidth="1"/>
    <col min="13" max="13" width="5.83203125" style="60" bestFit="1" customWidth="1"/>
    <col min="14" max="18" width="5.5" style="60" bestFit="1" customWidth="1"/>
    <col min="19" max="47" width="6.1640625" style="60" bestFit="1" customWidth="1"/>
    <col min="48" max="48" width="5.5" style="60" bestFit="1" customWidth="1"/>
    <col min="49" max="49" width="5.83203125" style="60" bestFit="1" customWidth="1"/>
    <col min="50" max="51" width="5.5" style="60" bestFit="1" customWidth="1"/>
    <col min="52" max="54" width="7" style="60" bestFit="1" customWidth="1"/>
    <col min="55" max="58" width="5.5" style="60" bestFit="1" customWidth="1"/>
    <col min="59" max="62" width="6.1640625" style="60" bestFit="1" customWidth="1"/>
    <col min="63" max="63" width="5.6640625" style="60" bestFit="1" customWidth="1"/>
    <col min="64" max="66" width="6.1640625" style="60" bestFit="1" customWidth="1"/>
    <col min="67" max="70" width="5.6640625" style="60" bestFit="1" customWidth="1"/>
    <col min="71" max="75" width="5.5" style="60" bestFit="1" customWidth="1"/>
    <col min="76" max="89" width="6.1640625" style="60" bestFit="1" customWidth="1"/>
    <col min="90" max="90" width="5.5" style="60" bestFit="1" customWidth="1"/>
    <col min="91" max="95" width="6.33203125" style="60" bestFit="1" customWidth="1"/>
    <col min="96" max="99" width="6.1640625" style="60" bestFit="1" customWidth="1"/>
    <col min="100" max="100" width="5.5" style="60" bestFit="1" customWidth="1"/>
    <col min="101" max="103" width="5.1640625" style="60" bestFit="1" customWidth="1"/>
    <col min="104" max="107" width="5.83203125" style="60" bestFit="1" customWidth="1"/>
    <col min="108" max="115" width="5.6640625" style="60" bestFit="1" customWidth="1"/>
    <col min="116" max="119" width="6.1640625" style="60" bestFit="1" customWidth="1"/>
    <col min="120" max="123" width="5.83203125" style="60" bestFit="1" customWidth="1"/>
    <col min="124" max="137" width="5.1640625" style="60" bestFit="1" customWidth="1"/>
    <col min="138" max="185" width="3.33203125" style="60" bestFit="1" customWidth="1"/>
    <col min="186" max="16384" width="22.6640625" style="60"/>
  </cols>
  <sheetData>
    <row r="1" spans="1:185" ht="26">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c r="EM1" s="99">
        <v>141</v>
      </c>
      <c r="EN1" s="99">
        <v>142</v>
      </c>
      <c r="EO1" s="99">
        <v>143</v>
      </c>
      <c r="EP1" s="99">
        <v>144</v>
      </c>
      <c r="EQ1" s="99">
        <v>145</v>
      </c>
      <c r="ER1" s="99">
        <v>146</v>
      </c>
      <c r="ES1" s="99">
        <v>147</v>
      </c>
      <c r="ET1" s="99">
        <v>148</v>
      </c>
      <c r="EU1" s="99">
        <v>149</v>
      </c>
      <c r="EV1" s="99">
        <v>150</v>
      </c>
      <c r="EW1" s="99">
        <v>151</v>
      </c>
      <c r="EX1" s="99">
        <v>152</v>
      </c>
      <c r="EY1" s="99">
        <v>153</v>
      </c>
      <c r="EZ1" s="99">
        <v>154</v>
      </c>
      <c r="FA1" s="99">
        <v>155</v>
      </c>
      <c r="FB1" s="99">
        <v>156</v>
      </c>
      <c r="FC1" s="99">
        <v>157</v>
      </c>
      <c r="FD1" s="99">
        <v>158</v>
      </c>
      <c r="FE1" s="99">
        <v>159</v>
      </c>
      <c r="FF1" s="99">
        <v>160</v>
      </c>
      <c r="FG1" s="99">
        <v>161</v>
      </c>
      <c r="FH1" s="99">
        <v>162</v>
      </c>
      <c r="FI1" s="99">
        <v>163</v>
      </c>
      <c r="FJ1" s="99">
        <v>164</v>
      </c>
      <c r="FK1" s="99">
        <v>165</v>
      </c>
      <c r="FL1" s="99">
        <v>166</v>
      </c>
      <c r="FM1" s="99">
        <v>167</v>
      </c>
      <c r="FN1" s="99">
        <v>168</v>
      </c>
      <c r="FO1" s="99">
        <v>169</v>
      </c>
      <c r="FP1" s="99">
        <v>170</v>
      </c>
      <c r="FQ1" s="99">
        <v>171</v>
      </c>
      <c r="FR1" s="99">
        <v>172</v>
      </c>
      <c r="FS1" s="99">
        <v>173</v>
      </c>
      <c r="FT1" s="99">
        <v>174</v>
      </c>
      <c r="FU1" s="99">
        <v>175</v>
      </c>
      <c r="FV1" s="99">
        <v>176</v>
      </c>
      <c r="FW1" s="99">
        <v>177</v>
      </c>
      <c r="FX1" s="99">
        <v>178</v>
      </c>
      <c r="FY1" s="99">
        <v>179</v>
      </c>
      <c r="FZ1" s="99">
        <v>180</v>
      </c>
      <c r="GA1" s="99">
        <v>181</v>
      </c>
      <c r="GB1" s="99">
        <v>182</v>
      </c>
      <c r="GC1" s="99">
        <v>183</v>
      </c>
    </row>
    <row r="2" spans="1:185" ht="13">
      <c r="A2" s="100" t="s">
        <v>699</v>
      </c>
      <c r="B2" s="112"/>
      <c r="C2" s="101">
        <v>1</v>
      </c>
      <c r="D2" s="112">
        <v>44.052999999999997</v>
      </c>
      <c r="E2" s="60">
        <f>D2*C2</f>
        <v>44.052999999999997</v>
      </c>
      <c r="K2" s="102"/>
      <c r="M2" s="102"/>
    </row>
    <row r="3" spans="1:185">
      <c r="A3" s="100"/>
      <c r="B3" s="64"/>
      <c r="D3" s="100"/>
      <c r="E3" s="64"/>
      <c r="F3" s="103"/>
    </row>
    <row r="4" spans="1:185">
      <c r="A4" s="64"/>
      <c r="B4" s="64"/>
      <c r="D4" s="64"/>
      <c r="E4" s="64"/>
      <c r="H4" s="60" t="s">
        <v>387</v>
      </c>
    </row>
    <row r="5" spans="1:185">
      <c r="A5" s="74"/>
      <c r="B5" s="74"/>
    </row>
    <row r="6" spans="1:185" ht="30">
      <c r="A6" s="59"/>
      <c r="B6" s="59"/>
      <c r="C6" s="59"/>
      <c r="D6" s="98"/>
      <c r="E6" s="98"/>
      <c r="F6" s="59"/>
      <c r="H6" s="59" t="s">
        <v>416</v>
      </c>
      <c r="I6" s="59">
        <v>43831</v>
      </c>
      <c r="J6" s="59">
        <v>43862</v>
      </c>
      <c r="K6" s="59">
        <v>43891</v>
      </c>
      <c r="L6" s="59">
        <v>43922</v>
      </c>
      <c r="M6" s="59">
        <v>43952</v>
      </c>
      <c r="N6" s="59">
        <v>43983</v>
      </c>
      <c r="O6" s="59">
        <v>44013</v>
      </c>
      <c r="P6" s="59">
        <v>44044</v>
      </c>
      <c r="Q6" s="59">
        <v>44075</v>
      </c>
      <c r="R6" s="59">
        <v>44105</v>
      </c>
      <c r="S6" s="59">
        <v>44136</v>
      </c>
      <c r="T6" s="59">
        <v>44166</v>
      </c>
      <c r="U6" s="59">
        <v>44197</v>
      </c>
      <c r="V6" s="59">
        <v>44228</v>
      </c>
      <c r="W6" s="59">
        <v>44256</v>
      </c>
      <c r="X6" s="59">
        <v>44287</v>
      </c>
      <c r="Y6" s="59">
        <v>44317</v>
      </c>
      <c r="Z6" s="59">
        <v>44348</v>
      </c>
      <c r="AA6" s="59">
        <v>44378</v>
      </c>
      <c r="AB6" s="59">
        <v>44409</v>
      </c>
      <c r="AC6" s="59">
        <v>44440</v>
      </c>
      <c r="AD6" s="59">
        <v>44470</v>
      </c>
      <c r="AE6" s="59">
        <v>44501</v>
      </c>
      <c r="AF6" s="59">
        <v>44531</v>
      </c>
      <c r="AG6" s="59">
        <v>44562</v>
      </c>
      <c r="AH6" s="59">
        <v>44593</v>
      </c>
      <c r="AI6" s="59">
        <v>44621</v>
      </c>
      <c r="AJ6" s="59">
        <v>44652</v>
      </c>
      <c r="AK6" s="59">
        <v>44682</v>
      </c>
      <c r="AL6" s="59">
        <v>44713</v>
      </c>
      <c r="AM6" s="59">
        <v>44743</v>
      </c>
      <c r="AN6" s="59">
        <v>44774</v>
      </c>
      <c r="AO6" s="59">
        <v>44805</v>
      </c>
      <c r="AP6" s="59">
        <v>44835</v>
      </c>
      <c r="AQ6" s="59">
        <v>44866</v>
      </c>
      <c r="AR6" s="59">
        <v>44896</v>
      </c>
      <c r="AS6" s="59">
        <v>44927</v>
      </c>
      <c r="AT6" s="59">
        <v>44958</v>
      </c>
      <c r="AU6" s="59">
        <v>44986</v>
      </c>
      <c r="AV6" s="59">
        <v>45017</v>
      </c>
      <c r="AW6" s="59">
        <v>45047</v>
      </c>
      <c r="AX6" s="59">
        <v>45078</v>
      </c>
      <c r="AY6" s="59">
        <v>45108</v>
      </c>
      <c r="AZ6" s="59" t="s">
        <v>530</v>
      </c>
      <c r="BA6" s="59" t="s">
        <v>531</v>
      </c>
      <c r="BB6" s="59" t="s">
        <v>532</v>
      </c>
      <c r="BC6" s="59">
        <v>37104</v>
      </c>
      <c r="BD6" s="59">
        <v>37469</v>
      </c>
      <c r="BE6" s="34" t="s">
        <v>168</v>
      </c>
      <c r="BF6" s="34" t="s">
        <v>169</v>
      </c>
      <c r="BG6" s="59" t="s">
        <v>393</v>
      </c>
      <c r="BH6" s="59" t="s">
        <v>458</v>
      </c>
      <c r="BI6" s="59" t="s">
        <v>459</v>
      </c>
      <c r="BJ6" s="59" t="s">
        <v>460</v>
      </c>
      <c r="BK6" s="59" t="s">
        <v>435</v>
      </c>
      <c r="BL6" s="59" t="s">
        <v>436</v>
      </c>
      <c r="BM6" s="59" t="s">
        <v>437</v>
      </c>
      <c r="BN6" s="59" t="s">
        <v>438</v>
      </c>
      <c r="BO6" s="59">
        <v>37196</v>
      </c>
      <c r="BP6" s="59">
        <v>37561</v>
      </c>
      <c r="BQ6" s="59">
        <v>37926</v>
      </c>
      <c r="BR6" s="59">
        <v>38292</v>
      </c>
      <c r="BS6" s="59">
        <v>37226</v>
      </c>
      <c r="BT6" s="59">
        <v>37591</v>
      </c>
      <c r="BU6" s="59">
        <v>37956</v>
      </c>
      <c r="BV6" s="59">
        <v>38322</v>
      </c>
      <c r="BW6" s="59">
        <v>36892</v>
      </c>
      <c r="BX6" s="59">
        <v>37257</v>
      </c>
      <c r="BY6" s="59">
        <v>37622</v>
      </c>
      <c r="BZ6" s="59">
        <v>37987</v>
      </c>
      <c r="CA6" s="59">
        <v>36923</v>
      </c>
      <c r="CB6" s="59">
        <v>37288</v>
      </c>
      <c r="CC6" s="59">
        <v>37653</v>
      </c>
      <c r="CD6" s="59">
        <v>38018</v>
      </c>
      <c r="CE6" s="59" t="str">
        <f>Sheet8!A15</f>
        <v>Mar-w1</v>
      </c>
      <c r="CF6" s="59">
        <v>37316</v>
      </c>
      <c r="CG6" s="59">
        <v>37681</v>
      </c>
      <c r="CH6" s="59">
        <v>38047</v>
      </c>
      <c r="CI6" s="59" t="str">
        <f>Sheet8!E15</f>
        <v>Apr-w1</v>
      </c>
      <c r="CJ6" s="59" t="str">
        <f>Sheet8!F15</f>
        <v>Apr-w2</v>
      </c>
      <c r="CK6" s="59" t="str">
        <f>Sheet8!G15</f>
        <v>Apr-w3</v>
      </c>
      <c r="CL6" s="59" t="str">
        <f>Sheet8!H15</f>
        <v>Apr-w4</v>
      </c>
      <c r="CM6" s="59" t="str">
        <f>Sheet8!I15</f>
        <v>May-w1</v>
      </c>
      <c r="CN6" s="59" t="str">
        <f>Sheet8!J15</f>
        <v>May-w2</v>
      </c>
      <c r="CO6" s="59" t="str">
        <f>Sheet8!K15</f>
        <v>May-w3</v>
      </c>
      <c r="CP6" s="59" t="str">
        <f>Sheet8!L15</f>
        <v>May-w4</v>
      </c>
      <c r="CQ6" s="59" t="str">
        <f>Sheet8!M15</f>
        <v>May-w5</v>
      </c>
      <c r="CR6" s="59" t="str">
        <f>Sheet8!N15</f>
        <v>june-w1</v>
      </c>
      <c r="CS6" s="59" t="str">
        <f>Sheet8!O15</f>
        <v>june-w2</v>
      </c>
      <c r="CT6" s="59" t="str">
        <f>Sheet8!P15</f>
        <v>june-w3</v>
      </c>
      <c r="CU6" s="59" t="str">
        <f>Sheet8!Q15</f>
        <v>june-w4</v>
      </c>
      <c r="CV6" s="59" t="str">
        <f>Sheet8!R15</f>
        <v>Jul-w1</v>
      </c>
      <c r="CW6" s="59" t="str">
        <f>Sheet8!S15</f>
        <v>Jul-w2</v>
      </c>
      <c r="CX6" s="59" t="str">
        <f>Sheet8!T15</f>
        <v>Jul-w3</v>
      </c>
      <c r="CY6" s="59" t="str">
        <f>Sheet8!U15</f>
        <v>Jul-w4</v>
      </c>
      <c r="CZ6" s="59" t="str">
        <f>Sheet8!V15</f>
        <v>Aug-w1</v>
      </c>
      <c r="DA6" s="59" t="str">
        <f>Sheet8!W15</f>
        <v>Aug-w2</v>
      </c>
      <c r="DB6" s="59" t="str">
        <f>Sheet8!X15</f>
        <v>Aug-w3</v>
      </c>
      <c r="DC6" s="59" t="str">
        <f>Sheet8!Y15</f>
        <v>Aug-w4</v>
      </c>
      <c r="DD6" s="59" t="str">
        <f>Sheet8!Z15</f>
        <v>Sep-w1</v>
      </c>
      <c r="DE6" s="59" t="str">
        <f>Sheet8!AA15</f>
        <v>Sep-w2</v>
      </c>
      <c r="DF6" s="59" t="str">
        <f>Sheet8!AB15</f>
        <v>Sep-w3</v>
      </c>
      <c r="DG6" s="59" t="str">
        <f>Sheet8!AC15</f>
        <v>Sep-w4</v>
      </c>
      <c r="DH6" s="59" t="str">
        <f>Sheet8!AD15</f>
        <v>Oct-w1</v>
      </c>
      <c r="DI6" s="59" t="str">
        <f>Sheet8!AE15</f>
        <v>Oct-w2</v>
      </c>
      <c r="DJ6" s="59" t="str">
        <f>Sheet8!AF15</f>
        <v>Oct-w3</v>
      </c>
      <c r="DK6" s="59" t="str">
        <f>Sheet8!AG15</f>
        <v>Oct-w4</v>
      </c>
      <c r="DL6" s="59" t="str">
        <f>Sheet8!AH15</f>
        <v>Nov-w1</v>
      </c>
      <c r="DM6" s="59" t="str">
        <f>Sheet8!AI15</f>
        <v>Nov-w2</v>
      </c>
      <c r="DN6" s="59" t="str">
        <f>Sheet8!AJ15</f>
        <v>Nov-w3</v>
      </c>
      <c r="DO6" s="59" t="str">
        <f>Sheet8!AK15</f>
        <v>Nov-w4</v>
      </c>
      <c r="DP6" s="59" t="str">
        <f>Sheet8!AL15</f>
        <v>Dec-w1</v>
      </c>
      <c r="DQ6" s="59" t="str">
        <f>Sheet8!AM15</f>
        <v>Dec-w2</v>
      </c>
      <c r="DR6" s="59" t="str">
        <f>Sheet8!AN15</f>
        <v>Dec-w3</v>
      </c>
      <c r="DS6" s="59" t="str">
        <f>Sheet8!AO15</f>
        <v>Dec-w4</v>
      </c>
      <c r="DT6" s="59">
        <f>Sheet8!AP15</f>
        <v>0</v>
      </c>
      <c r="DU6" s="59">
        <f>Sheet8!AQ15</f>
        <v>0</v>
      </c>
      <c r="DV6" s="59">
        <f>Sheet8!AR15</f>
        <v>0</v>
      </c>
      <c r="DW6" s="59">
        <f>Sheet8!AS15</f>
        <v>0</v>
      </c>
      <c r="DX6" s="59">
        <f>Sheet8!AT15</f>
        <v>0</v>
      </c>
      <c r="DY6" s="59">
        <f>Sheet8!AU15</f>
        <v>0</v>
      </c>
      <c r="DZ6" s="59">
        <f>Sheet8!AV15</f>
        <v>0</v>
      </c>
      <c r="EA6" s="59">
        <f>Sheet8!AW15</f>
        <v>0</v>
      </c>
      <c r="EB6" s="59">
        <f>Sheet8!AX15</f>
        <v>0</v>
      </c>
      <c r="EC6" s="59">
        <f>Sheet8!AY15</f>
        <v>0</v>
      </c>
      <c r="ED6" s="59">
        <f>Sheet8!AZ15</f>
        <v>0</v>
      </c>
      <c r="EE6" s="59">
        <f>Sheet8!BA15</f>
        <v>0</v>
      </c>
      <c r="EF6" s="59">
        <f>Sheet8!BB15</f>
        <v>0</v>
      </c>
      <c r="EG6" s="59">
        <f>Sheet8!BC15</f>
        <v>0</v>
      </c>
    </row>
    <row r="7" spans="1:185">
      <c r="D7" s="60" t="s">
        <v>700</v>
      </c>
      <c r="F7" s="60" t="s">
        <v>651</v>
      </c>
      <c r="H7" s="60" t="s">
        <v>93</v>
      </c>
      <c r="I7" s="74">
        <f>VLOOKUP($H$7&amp;$F$1,'Input RM sheet'!$A:$BD,H1,0)</f>
        <v>862.89</v>
      </c>
      <c r="J7" s="74">
        <f>VLOOKUP($H$7&amp;$F$1,'Input RM sheet'!$A:$BD,I1,0)</f>
        <v>854.07</v>
      </c>
      <c r="K7" s="74">
        <f>VLOOKUP($H$7&amp;$F$1,'Input RM sheet'!$A:$BD,J1,0)</f>
        <v>740.02</v>
      </c>
      <c r="L7" s="74">
        <f>VLOOKUP($H$7&amp;$F$1,'Input RM sheet'!$A:$BD,K1,0)</f>
        <v>700.03</v>
      </c>
      <c r="M7" s="74">
        <f>VLOOKUP($H$7&amp;$F$1,'Input RM sheet'!$A:$BD,L1,0)</f>
        <v>707.39</v>
      </c>
      <c r="N7" s="74">
        <f>VLOOKUP($H$7&amp;$F$1,'Input RM sheet'!$A:$BD,M1,0)</f>
        <v>755.43</v>
      </c>
      <c r="O7" s="74">
        <f>VLOOKUP($H$7&amp;$F$1,'Input RM sheet'!$A:$BD,N1,0)</f>
        <v>784.53</v>
      </c>
      <c r="P7" s="74">
        <f>VLOOKUP($H$7&amp;$F$1,'Input RM sheet'!$A:$BD,O1,0)</f>
        <v>786.39</v>
      </c>
      <c r="Q7" s="74">
        <f>VLOOKUP($H$7&amp;$F$1,'Input RM sheet'!$A:$BD,P1,0)</f>
        <v>847.51</v>
      </c>
      <c r="R7" s="74">
        <f>VLOOKUP($H$7&amp;$F$1,'Input RM sheet'!$A:$BD,Q1,0)</f>
        <v>855.18</v>
      </c>
      <c r="S7" s="74">
        <f>VLOOKUP($H$7&amp;$F$1,'Input RM sheet'!$A:$BD,R1,0)</f>
        <v>1060</v>
      </c>
      <c r="T7" s="74">
        <f>VLOOKUP($H$7&amp;$F$1,'Input RM sheet'!$A:$BD,S1,0)</f>
        <v>1437</v>
      </c>
      <c r="U7" s="74">
        <f>VLOOKUP($H$7&amp;$F$1,'Input RM sheet'!$A:$BD,T1,0)</f>
        <v>1398</v>
      </c>
      <c r="V7" s="74">
        <f>VLOOKUP($H$7&amp;$F$1,'Input RM sheet'!$A:$BD,U1,0)</f>
        <v>1771</v>
      </c>
      <c r="W7" s="74">
        <f>VLOOKUP($H$7&amp;$F$1,'Input RM sheet'!$A:$BD,V1,0)</f>
        <v>2019</v>
      </c>
      <c r="X7" s="74">
        <f>VLOOKUP($H$7&amp;$F$1,'Input RM sheet'!$A:$BD,W1,0)</f>
        <v>2062</v>
      </c>
      <c r="Y7" s="74">
        <f>VLOOKUP($H$7&amp;$F$1,'Input RM sheet'!$A:$BD,X1,0)</f>
        <v>2022</v>
      </c>
      <c r="Z7" s="74">
        <f>VLOOKUP($H$7&amp;$F$1,'Input RM sheet'!$A:$BD,Y1,0)</f>
        <v>1891</v>
      </c>
      <c r="AA7" s="74">
        <f>VLOOKUP($H$7&amp;$F$1,'Input RM sheet'!$A:$BD,Z1,0)</f>
        <v>1629</v>
      </c>
      <c r="AB7" s="74">
        <f>VLOOKUP($H$7&amp;$F$1,'Input RM sheet'!$A:$BD,AA1,0)</f>
        <v>1899</v>
      </c>
      <c r="AC7" s="74">
        <f>VLOOKUP($H$7&amp;$F$1,'Input RM sheet'!$A:$BD,AB1,0)</f>
        <v>2168</v>
      </c>
      <c r="AD7" s="74">
        <f>VLOOKUP($H$7&amp;$F$1,'Input RM sheet'!$A:$BD,AC1,0)</f>
        <v>2764</v>
      </c>
      <c r="AE7" s="74">
        <f>VLOOKUP($H$7&amp;$F$1,'Input RM sheet'!$A:$BD,AD1,0)</f>
        <v>2645</v>
      </c>
      <c r="AF7" s="74">
        <f>VLOOKUP($H$7&amp;$F$1,'Input RM sheet'!$A:$BD,AE1,0)</f>
        <v>1954</v>
      </c>
      <c r="AG7" s="74">
        <f>VLOOKUP($H$7&amp;$F$1,'Input RM sheet'!$A:$BD,AF1,0)</f>
        <v>1983</v>
      </c>
      <c r="AH7" s="74">
        <f>VLOOKUP($H$7&amp;$F$1,'Input RM sheet'!$A:$BD,AG1,0)</f>
        <v>2247</v>
      </c>
      <c r="AI7" s="74">
        <f>VLOOKUP($H$7&amp;$F$1,'Input RM sheet'!$A:$BD,AH1,0)</f>
        <v>2388</v>
      </c>
      <c r="AJ7" s="74">
        <f>VLOOKUP($H$7&amp;$F$1,'Input RM sheet'!$A:$BD,AI1,0)</f>
        <v>2356</v>
      </c>
      <c r="AK7" s="74">
        <f>VLOOKUP($H$7&amp;$F$1,'Input RM sheet'!$A:$BD,AJ1,0)</f>
        <v>2359</v>
      </c>
      <c r="AL7" s="74">
        <f>VLOOKUP($H$7&amp;$F$1,'Input RM sheet'!$A:$BD,AK1,0)</f>
        <v>2352</v>
      </c>
      <c r="AM7" s="74">
        <f>VLOOKUP($H$7&amp;$F$1,'Input RM sheet'!$A:$BD,AL1,0)</f>
        <v>1782</v>
      </c>
      <c r="AN7" s="74">
        <f>VLOOKUP($H$7&amp;$F$1,'Input RM sheet'!$A:$BD,AM1,0)</f>
        <v>1404</v>
      </c>
      <c r="AO7" s="74">
        <f>VLOOKUP($H$7&amp;$F$1,'Input RM sheet'!$A:$BD,AN1,0)</f>
        <v>1141</v>
      </c>
      <c r="AP7" s="74">
        <f>VLOOKUP($H$7&amp;$F$1,'Input RM sheet'!$A:$BD,AO1,0)</f>
        <v>1140</v>
      </c>
      <c r="AQ7" s="74">
        <f>VLOOKUP($H$7&amp;$F$1,'Input RM sheet'!$A:$BD,AP1,0)</f>
        <v>1088</v>
      </c>
      <c r="AR7" s="74">
        <f>VLOOKUP($H$7&amp;$F$1,'Input RM sheet'!$A:$BD,AQ1,0)</f>
        <v>1089</v>
      </c>
      <c r="AS7" s="74">
        <f>VLOOKUP($H$7&amp;$F$1,'Input RM sheet'!$A:$BD,AR1,0)</f>
        <v>1119</v>
      </c>
      <c r="AT7" s="74">
        <f>VLOOKUP($H$7&amp;$F$1,'Input RM sheet'!$A:$BD,AS1,0)</f>
        <v>1129</v>
      </c>
      <c r="AU7" s="74">
        <f>VLOOKUP($H$7&amp;$F$1,'Input RM sheet'!$A:$BD,AT1,0)</f>
        <v>1117</v>
      </c>
      <c r="AV7" s="74">
        <f>VLOOKUP($H$7&amp;$F$1,'Input RM sheet'!$A:$BD,AU1,0)</f>
        <v>915</v>
      </c>
      <c r="AW7" s="74">
        <f>VLOOKUP($H$7&amp;$F$1,'Input RM sheet'!$A:$BD,AV1,0)</f>
        <v>880.2</v>
      </c>
      <c r="AX7" s="74">
        <f>VLOOKUP($H$7&amp;$F$1,'Input RM sheet'!$A:$BD,AW1,0)</f>
        <v>859.47</v>
      </c>
      <c r="AY7" s="74">
        <f>VLOOKUP($H$7&amp;$F$1,'Input RM sheet'!$A:$BD,AX1,0)</f>
        <v>859.47</v>
      </c>
      <c r="AZ7" s="74">
        <f>VLOOKUP($H$7&amp;$F$1,'Input RM sheet'!$A:$BD,AY1,0)</f>
        <v>803.57</v>
      </c>
      <c r="BA7" s="74">
        <f>VLOOKUP($H$7&amp;$F$1,'Input RM sheet'!$A:$BD,AZ1,0)</f>
        <v>803.57</v>
      </c>
      <c r="BB7" s="74">
        <f>VLOOKUP($H$7&amp;$F$1,'Input RM sheet'!$A:$BD,BA1,0)</f>
        <v>803.57</v>
      </c>
      <c r="BC7" s="74">
        <f>VLOOKUP($H$7&amp;$F$1,'Input RM sheet'!$A:$BD,BB1,0)</f>
        <v>799.71</v>
      </c>
      <c r="BD7" s="74">
        <f>VLOOKUP($H$7&amp;$F$1,'Input RM sheet'!$A:$BD,BC1,0)</f>
        <v>910.98</v>
      </c>
      <c r="BE7" s="74">
        <f>VLOOKUP($H$7&amp;$F$1,'Input RM sheet'!$A:$BD,BD1,0)</f>
        <v>910.98</v>
      </c>
      <c r="BF7" s="74">
        <f>VLOOKUP($H$7&amp;$F$1,'Input RM sheet'!$A:$BD,BE1,0)</f>
        <v>910.98</v>
      </c>
      <c r="BG7" s="74">
        <f>VLOOKUP($H$7&amp;$F$1,'Input RM sheet'!$A:$DD,BF1,0)</f>
        <v>904.23</v>
      </c>
      <c r="BH7" s="74">
        <f>VLOOKUP($H$7&amp;$F$1,'Input RM sheet'!$A:$DD,BG1,0)</f>
        <v>904.23</v>
      </c>
      <c r="BI7" s="74">
        <f>VLOOKUP($H$7&amp;$F$1,'Input RM sheet'!$A:$DD,BH1,0)</f>
        <v>904.23</v>
      </c>
      <c r="BJ7" s="74">
        <f>VLOOKUP($H$7&amp;$F$1,'Input RM sheet'!$A:$DD,BI1,0)</f>
        <v>904.23</v>
      </c>
      <c r="BK7" s="74">
        <f>VLOOKUP($H$7&amp;$F$1,'Input RM sheet'!$A:$DD,BJ1,0)</f>
        <v>904.5</v>
      </c>
      <c r="BL7" s="74">
        <f>VLOOKUP($H$7&amp;$F$1,'Input RM sheet'!$A:$DD,BK1,0)</f>
        <v>1042</v>
      </c>
      <c r="BM7" s="74">
        <f>VLOOKUP($H$7&amp;$F$1,'Input RM sheet'!$A:$DD,BL1,0)</f>
        <v>1042</v>
      </c>
      <c r="BN7" s="74">
        <f>VLOOKUP($H$7&amp;$F$1,'Input RM sheet'!$A:$DD,BM1,0)</f>
        <v>1075</v>
      </c>
      <c r="BO7" s="74">
        <f>VLOOKUP($H$7&amp;$F$1,'Input RM sheet'!$A:$DD,BN1,0)</f>
        <v>879.1</v>
      </c>
      <c r="BP7" s="74">
        <f>VLOOKUP($H$7&amp;$F$1,'Input RM sheet'!$A:$DD,BO1,0)</f>
        <v>810.42</v>
      </c>
      <c r="BQ7" s="74">
        <f>VLOOKUP($H$7&amp;$F$1,'Input RM sheet'!$A:$DD,BP1,0)</f>
        <v>810.42</v>
      </c>
      <c r="BR7" s="74">
        <f>VLOOKUP($H$7&amp;$F$1,'Input RM sheet'!$A:$DD,BQ1,0)</f>
        <v>810.42</v>
      </c>
      <c r="BS7" s="74">
        <f>VLOOKUP($H$7&amp;$F$1,'Input RM sheet'!$A:$DD,BR1,0)</f>
        <v>817.77</v>
      </c>
      <c r="BT7" s="74">
        <f>VLOOKUP($H$7&amp;$F$1,'Input RM sheet'!$A:$DD,BS1,0)</f>
        <v>824.7</v>
      </c>
      <c r="BU7" s="74">
        <f>VLOOKUP($H$7&amp;$F$1,'Input RM sheet'!$A:$DD,BT1,0)</f>
        <v>824.7</v>
      </c>
      <c r="BV7" s="74">
        <f>VLOOKUP($H$7&amp;$F$1,'Input RM sheet'!$A:$DD,BU1,0)</f>
        <v>824.7</v>
      </c>
      <c r="BW7" s="74">
        <f>VLOOKUP($H$7&amp;$F$1,'Input RM sheet'!$A:$DD,BV1,0)</f>
        <v>907.19</v>
      </c>
      <c r="BX7" s="74">
        <f>VLOOKUP($H$7&amp;$F$1,'Input RM sheet'!$A:$DD,BW1,0)</f>
        <v>1006</v>
      </c>
      <c r="BY7" s="74">
        <f>VLOOKUP($H$7&amp;$F$1,'Input RM sheet'!$A:$DD,BX1,0)</f>
        <v>1006</v>
      </c>
      <c r="BZ7" s="74">
        <f>VLOOKUP($H$7&amp;$F$1,'Input RM sheet'!$A:$DD,BY1,0)</f>
        <v>1013</v>
      </c>
      <c r="CA7" s="74">
        <f>VLOOKUP($H$7&amp;$F$1,'Input RM sheet'!$A:$DD,BZ1,0)</f>
        <v>1013</v>
      </c>
      <c r="CB7" s="74">
        <f>VLOOKUP($H$7&amp;$F$1,'Input RM sheet'!$A:$DD,CA1,0)</f>
        <v>1013</v>
      </c>
      <c r="CC7" s="74">
        <f>VLOOKUP($H$7&amp;$F$1,'Input RM sheet'!$A:$DD,CB1,0)</f>
        <v>1013</v>
      </c>
      <c r="CD7" s="74">
        <f>VLOOKUP($H$7&amp;$F$1,'Input RM sheet'!$A:$DD,CC1,0)</f>
        <v>1013</v>
      </c>
      <c r="CE7" s="74">
        <f>VLOOKUP($H$7&amp;$F$1,'Input RM sheet'!$A:$DD,CD1,0)</f>
        <v>1051</v>
      </c>
      <c r="CF7" s="74">
        <f>VLOOKUP($H$7&amp;$F$1,'Input RM sheet'!$A:$DD,CE1,0)</f>
        <v>1051</v>
      </c>
      <c r="CG7" s="74">
        <f>VLOOKUP($H$7&amp;$F$1,'Input RM sheet'!$A:$DD,CF1,0)</f>
        <v>1051</v>
      </c>
      <c r="CH7" s="74">
        <f>VLOOKUP($H$7&amp;$F$1,'Input RM sheet'!$A:$DD,CG1,0)</f>
        <v>1045</v>
      </c>
      <c r="CI7" s="74">
        <f>VLOOKUP($H$7&amp;$F$1,'Input RM sheet'!$A:$DD,CH1,0)</f>
        <v>1038</v>
      </c>
      <c r="CJ7" s="74">
        <f>VLOOKUP($H$7&amp;$F$1,'Input RM sheet'!$A:$DD,CI1,0)</f>
        <v>1038</v>
      </c>
      <c r="CK7" s="74">
        <f>VLOOKUP($H$7&amp;$F$1,'Input RM sheet'!$A:$DD,CJ1,0)</f>
        <v>1038</v>
      </c>
      <c r="CL7" s="74">
        <f>VLOOKUP($H$7&amp;$F$1,'Input RM sheet'!$A:$DD,CK1,0)</f>
        <v>849.58</v>
      </c>
      <c r="CM7" s="74">
        <f>VLOOKUP($H$7&amp;$F$1,'Input RM sheet'!$A:$DD,CL1,0)</f>
        <v>849.58</v>
      </c>
      <c r="CN7" s="74">
        <f>VLOOKUP($H$7&amp;$F$1,'Input RM sheet'!$A:$DD,CM1,0)</f>
        <v>849.58</v>
      </c>
      <c r="CO7" s="74">
        <f>VLOOKUP($H$7&amp;$F$1,'Input RM sheet'!$A:$DD,CN1,0)</f>
        <v>849.58</v>
      </c>
      <c r="CP7" s="74">
        <f>VLOOKUP($H$7&amp;$F$1,'Input RM sheet'!$A:$DD,CO1,0)</f>
        <v>849.58</v>
      </c>
      <c r="CQ7" s="74">
        <f>VLOOKUP($H$7&amp;$F$1,'Input RM sheet'!$A:$DD,CP1,0)</f>
        <v>849.58</v>
      </c>
      <c r="CR7" s="74">
        <f>VLOOKUP($H$7&amp;$F$1,'Input RM sheet'!$A:$DD,CQ1,0)</f>
        <v>856.81</v>
      </c>
      <c r="CS7" s="74">
        <f>VLOOKUP($H$7&amp;$F$1,'Input RM sheet'!$A:$DD,CR1,0)</f>
        <v>794.12</v>
      </c>
      <c r="CT7" s="74">
        <f>VLOOKUP($H$7&amp;$F$1,'Input RM sheet'!$A:$DD,CS1,0)</f>
        <v>794.12</v>
      </c>
      <c r="CU7" s="74">
        <f>VLOOKUP($H$7&amp;$F$1,'Input RM sheet'!$A:$ZZ,CT1,0)</f>
        <v>789.21</v>
      </c>
      <c r="CV7" s="74">
        <f>VLOOKUP($H$7&amp;$F$1,'Input RM sheet'!$A:$ZZ,CU1,0)</f>
        <v>789.21</v>
      </c>
      <c r="CW7" s="74">
        <f>VLOOKUP($H$7&amp;$F$1,'Input RM sheet'!$A:$ZZ,CV1,0)</f>
        <v>796.14</v>
      </c>
      <c r="CX7" s="74">
        <f>VLOOKUP($H$7&amp;$F$1,'Input RM sheet'!$A:$ZZ,CW1,0)</f>
        <v>796.14</v>
      </c>
      <c r="CY7" s="74">
        <f>VLOOKUP($H$7&amp;$F$1,'Input RM sheet'!$A:$ZZ,CX1,0)</f>
        <v>795.25</v>
      </c>
      <c r="CZ7" s="74">
        <f>VLOOKUP($H$7&amp;$F$1,'Input RM sheet'!$A:$ZZ,CY1,0)</f>
        <v>795.25</v>
      </c>
      <c r="DA7" s="74">
        <f>VLOOKUP($H$7&amp;$F$1,'Input RM sheet'!$A:$ZZ,CZ1,0)</f>
        <v>795.25</v>
      </c>
      <c r="DB7" s="74">
        <f>VLOOKUP($H$7&amp;$F$1,'Input RM sheet'!$A:$ZZ,DA1,0)</f>
        <v>795.25</v>
      </c>
      <c r="DC7" s="74">
        <f>VLOOKUP($H$7&amp;$F$1,'Input RM sheet'!$A:$ZZ,DB1,0)</f>
        <v>795.25</v>
      </c>
      <c r="DD7" s="74">
        <f>VLOOKUP($H$7&amp;$F$1,'Input RM sheet'!$A:$ZZ,DC1,0)</f>
        <v>758.85</v>
      </c>
      <c r="DE7" s="74">
        <f>VLOOKUP($H$7&amp;$F$1,'Input RM sheet'!$A:$ZZ,DD1,0)</f>
        <v>758.85</v>
      </c>
      <c r="DF7" s="74">
        <f>VLOOKUP($H$7&amp;$F$1,'Input RM sheet'!$A:$ZZ,DE1,0)</f>
        <v>758.85</v>
      </c>
      <c r="DG7" s="74">
        <f>VLOOKUP($H$7&amp;$F$1,'Input RM sheet'!$A:$ZZ,DF1,0)</f>
        <v>705</v>
      </c>
      <c r="DH7" s="74">
        <f>VLOOKUP($H$7&amp;$F$1,'Input RM sheet'!$A:$ZZ,DG1,0)</f>
        <v>715</v>
      </c>
      <c r="DI7" s="74">
        <f>VLOOKUP($H$7&amp;$F$1,'Input RM sheet'!$A:$ZZ,DH1,0)</f>
        <v>715</v>
      </c>
      <c r="DJ7" s="74">
        <f>VLOOKUP($H$7&amp;$F$1,'Input RM sheet'!$A:$ZZ,DI1,0)</f>
        <v>715</v>
      </c>
      <c r="DK7" s="74">
        <f>VLOOKUP($H$7&amp;$F$1,'Input RM sheet'!$A:$ZZ,DJ1,0)</f>
        <v>712.5</v>
      </c>
      <c r="DL7" s="74">
        <f>VLOOKUP($H$7&amp;$F$1,'Input RM sheet'!$A:$ZZ,DK1,0)</f>
        <v>710</v>
      </c>
      <c r="DM7" s="74">
        <f>VLOOKUP($H$7&amp;$F$1,'Input RM sheet'!$A:$ZZ,DL1,0)</f>
        <v>705</v>
      </c>
      <c r="DN7" s="74">
        <f>VLOOKUP($H$7&amp;$F$1,'Input RM sheet'!$A:$ZZ,DM1,0)</f>
        <v>720</v>
      </c>
      <c r="DO7" s="74">
        <f>VLOOKUP($H$7&amp;$F$1,'Input RM sheet'!$A:$ZZ,DN1,0)</f>
        <v>720</v>
      </c>
      <c r="DP7" s="74">
        <f>VLOOKUP($H$7&amp;$F$1,'Input RM sheet'!$A:$ZZ,DO1,0)</f>
        <v>720</v>
      </c>
      <c r="DQ7" s="74">
        <f>VLOOKUP($H$7&amp;$F$1,'Input RM sheet'!$A:$ZZ,DP1,0)</f>
        <v>740</v>
      </c>
      <c r="DR7" s="74">
        <f>VLOOKUP($H$7&amp;$F$1,'Input RM sheet'!$A:$ZZ,DQ1,0)</f>
        <v>740</v>
      </c>
      <c r="DS7" s="74">
        <f>VLOOKUP($H$7&amp;$F$1,'Input RM sheet'!$A:$ZZ,DR1,0)</f>
        <v>730</v>
      </c>
      <c r="DT7" s="74">
        <f>VLOOKUP($H$7&amp;$F$1,'Input RM sheet'!$A:$ZZ,DS1,0)</f>
        <v>0</v>
      </c>
      <c r="DU7" s="74">
        <f>VLOOKUP($H$7&amp;$F$1,'Input RM sheet'!$A:$ZZ,DT1,0)</f>
        <v>0</v>
      </c>
      <c r="DV7" s="74">
        <f>VLOOKUP($H$7&amp;$F$1,'Input RM sheet'!$A:$ZZ,DU1,0)</f>
        <v>0</v>
      </c>
      <c r="DW7" s="74">
        <f>VLOOKUP($H$7&amp;$F$1,'Input RM sheet'!$A:$ZZ,DV1,0)</f>
        <v>0</v>
      </c>
      <c r="DX7" s="74">
        <f>VLOOKUP($H$7&amp;$F$1,'Input RM sheet'!$A:$ZZ,DW1,0)</f>
        <v>0</v>
      </c>
      <c r="DY7" s="74">
        <f>VLOOKUP($H$7&amp;$F$1,'Input RM sheet'!$A:$ZZ,DX1,0)</f>
        <v>0</v>
      </c>
      <c r="DZ7" s="74">
        <f>VLOOKUP($H$7&amp;$F$1,'Input RM sheet'!$A:$ZZ,DY1,0)</f>
        <v>0</v>
      </c>
      <c r="EA7" s="74">
        <f>VLOOKUP($H$7&amp;$F$1,'Input RM sheet'!$A:$ZZ,DZ1,0)</f>
        <v>0</v>
      </c>
      <c r="EB7" s="74">
        <f>VLOOKUP($H$7&amp;$F$1,'Input RM sheet'!$A:$ZZ,EA1,0)</f>
        <v>0</v>
      </c>
      <c r="EC7" s="74">
        <f>VLOOKUP($H$7&amp;$F$1,'Input RM sheet'!$A:$ZZ,EB1,0)</f>
        <v>0</v>
      </c>
      <c r="ED7" s="74">
        <f>VLOOKUP($H$7&amp;$F$1,'Input RM sheet'!$A:$ZZ,EC1,0)</f>
        <v>0</v>
      </c>
      <c r="EE7" s="74">
        <f>VLOOKUP($H$7&amp;$F$1,'Input RM sheet'!$A:$ZZ,ED1,0)</f>
        <v>0</v>
      </c>
      <c r="EF7" s="74">
        <f>VLOOKUP($H$7&amp;$F$1,'Input RM sheet'!$A:$ZZ,EE1,0)</f>
        <v>0</v>
      </c>
      <c r="EG7" s="74">
        <f>VLOOKUP($H$7&amp;$F$1,'Input RM sheet'!$A:$ZZ,EF1,0)</f>
        <v>0</v>
      </c>
    </row>
    <row r="8" spans="1:185">
      <c r="D8" s="44" t="s">
        <v>701</v>
      </c>
      <c r="F8" s="60" t="s">
        <v>651</v>
      </c>
      <c r="H8" s="60" t="s">
        <v>86</v>
      </c>
      <c r="I8" s="74">
        <f>VLOOKUP($H$8&amp;$F$1,'Input RM sheet'!$A:$BD,H1,0)</f>
        <v>374.5</v>
      </c>
      <c r="J8" s="74">
        <f>VLOOKUP($H$8&amp;$F$1,'Input RM sheet'!$A:$BD,I1,0)</f>
        <v>375.625</v>
      </c>
      <c r="K8" s="74">
        <f>VLOOKUP($H$8&amp;$F$1,'Input RM sheet'!$A:$BD,J1,0)</f>
        <v>340</v>
      </c>
      <c r="L8" s="74">
        <f>VLOOKUP($H$8&amp;$F$1,'Input RM sheet'!$A:$BD,K1,0)</f>
        <v>313.75</v>
      </c>
      <c r="M8" s="74">
        <f>VLOOKUP($H$8&amp;$F$1,'Input RM sheet'!$A:$BD,L1,0)</f>
        <v>326</v>
      </c>
      <c r="N8" s="74">
        <f>VLOOKUP($H$8&amp;$F$1,'Input RM sheet'!$A:$BD,M1,0)</f>
        <v>315</v>
      </c>
      <c r="O8" s="74">
        <f>VLOOKUP($H$8&amp;$F$1,'Input RM sheet'!$A:$BD,N1,0)</f>
        <v>337.5</v>
      </c>
      <c r="P8" s="74">
        <f>VLOOKUP($H$8&amp;$F$1,'Input RM sheet'!$A:$BD,O1,0)</f>
        <v>337.5</v>
      </c>
      <c r="Q8" s="74">
        <f>VLOOKUP($H$8&amp;$F$1,'Input RM sheet'!$A:$BD,P1,0)</f>
        <v>361.25</v>
      </c>
      <c r="R8" s="74">
        <f>VLOOKUP($H$8&amp;$F$1,'Input RM sheet'!$A:$BD,Q1,0)</f>
        <v>386.5</v>
      </c>
      <c r="S8" s="74">
        <f>VLOOKUP($H$8&amp;$F$1,'Input RM sheet'!$A:$BD,R1,0)</f>
        <v>426.25</v>
      </c>
      <c r="T8" s="74">
        <f>VLOOKUP($H$8&amp;$F$1,'Input RM sheet'!$A:$BD,S1,0)</f>
        <v>673.75</v>
      </c>
      <c r="U8" s="74">
        <f>VLOOKUP($H$8&amp;$F$1,'Input RM sheet'!$A:$BD,T1,0)</f>
        <v>645.625</v>
      </c>
      <c r="V8" s="74">
        <f>VLOOKUP($H$8&amp;$F$1,'Input RM sheet'!$A:$BD,U1,0)</f>
        <v>812.5</v>
      </c>
      <c r="W8" s="74">
        <f>VLOOKUP($H$8&amp;$F$1,'Input RM sheet'!$A:$BD,V1,0)</f>
        <v>973</v>
      </c>
      <c r="X8" s="74">
        <f>VLOOKUP($H$8&amp;$F$1,'Input RM sheet'!$A:$BD,W1,0)</f>
        <v>997</v>
      </c>
      <c r="Y8" s="74">
        <f>VLOOKUP($H$8&amp;$F$1,'Input RM sheet'!$A:$BD,X1,0)</f>
        <v>1040</v>
      </c>
      <c r="Z8" s="74">
        <f>VLOOKUP($H$8&amp;$F$1,'Input RM sheet'!$A:$BD,Y1,0)</f>
        <v>1018.75</v>
      </c>
      <c r="AA8" s="74">
        <f>VLOOKUP($H$8&amp;$F$1,'Input RM sheet'!$A:$BD,Z1,0)</f>
        <v>897</v>
      </c>
      <c r="AB8" s="74">
        <f>VLOOKUP($H$8&amp;$F$1,'Input RM sheet'!$A:$BD,AA1,0)</f>
        <v>861.25</v>
      </c>
      <c r="AC8" s="74">
        <f>VLOOKUP($H$8&amp;$F$1,'Input RM sheet'!$A:$BD,AB1,0)</f>
        <v>973.75</v>
      </c>
      <c r="AD8" s="74">
        <f>VLOOKUP($H$8&amp;$F$1,'Input RM sheet'!$A:$BD,AC1,0)</f>
        <v>1227</v>
      </c>
      <c r="AE8" s="74">
        <f>VLOOKUP($H$8&amp;$F$1,'Input RM sheet'!$A:$BD,AD1,0)</f>
        <v>1052.5</v>
      </c>
      <c r="AF8" s="74">
        <f>VLOOKUP($H$8&amp;$F$1,'Input RM sheet'!$A:$BD,AE1,0)</f>
        <v>885.625</v>
      </c>
      <c r="AG8" s="74">
        <f>VLOOKUP($H$8&amp;$F$1,'Input RM sheet'!$A:$BD,AF1,0)</f>
        <v>801.25</v>
      </c>
      <c r="AH8" s="74">
        <f>VLOOKUP($H$8&amp;$F$1,'Input RM sheet'!$A:$BD,AG1,0)</f>
        <v>705.625</v>
      </c>
      <c r="AI8" s="74">
        <f>VLOOKUP($H$8&amp;$F$1,'Input RM sheet'!$A:$BD,AH1,0)</f>
        <v>701.875</v>
      </c>
      <c r="AJ8" s="74">
        <f>VLOOKUP($H$8&amp;$F$1,'Input RM sheet'!$A:$BD,AI1,0)</f>
        <v>784</v>
      </c>
      <c r="AK8" s="74">
        <f>VLOOKUP($H$8&amp;$F$1,'Input RM sheet'!$A:$BD,AJ1,0)</f>
        <v>730</v>
      </c>
      <c r="AL8" s="74">
        <f>VLOOKUP($H$8&amp;$F$1,'Input RM sheet'!$A:$BD,AK1,0)</f>
        <v>703.75</v>
      </c>
      <c r="AM8" s="74">
        <f>VLOOKUP($H$8&amp;$F$1,'Input RM sheet'!$A:$BD,AL1,0)</f>
        <v>581</v>
      </c>
      <c r="AN8" s="74">
        <f>VLOOKUP($H$8&amp;$F$1,'Input RM sheet'!$A:$BD,AM1,0)</f>
        <v>531.25</v>
      </c>
      <c r="AO8" s="74">
        <f>VLOOKUP($H$8&amp;$F$1,'Input RM sheet'!$A:$BD,AN1,0)</f>
        <v>495.5</v>
      </c>
      <c r="AP8" s="74">
        <f>VLOOKUP($H$8&amp;$F$1,'Input RM sheet'!$A:$BD,AO1,0)</f>
        <v>476.25</v>
      </c>
      <c r="AQ8" s="74">
        <f>VLOOKUP($H$8&amp;$F$1,'Input RM sheet'!$A:$BD,AP1,0)</f>
        <v>475</v>
      </c>
      <c r="AR8" s="74">
        <f>VLOOKUP($H$8&amp;$F$1,'Input RM sheet'!$A:$BD,AQ1,0)</f>
        <v>440</v>
      </c>
      <c r="AS8" s="74">
        <f>VLOOKUP($H$8&amp;$F$1,'Input RM sheet'!$A:$BD,AR1,0)</f>
        <v>440</v>
      </c>
      <c r="AT8" s="74">
        <f>VLOOKUP($H$8&amp;$F$1,'Input RM sheet'!$A:$BD,AS1,0)</f>
        <v>445</v>
      </c>
      <c r="AU8" s="74">
        <f>VLOOKUP($H$8&amp;$F$1,'Input RM sheet'!$A:$BD,AT1,0)</f>
        <v>452</v>
      </c>
      <c r="AV8" s="74">
        <f>VLOOKUP($H$8&amp;$F$1,'Input RM sheet'!$A:$BD,AU1,0)</f>
        <v>447.5</v>
      </c>
      <c r="AW8" s="74">
        <f>VLOOKUP($H$8&amp;$F$1,'Input RM sheet'!$A:$BD,AV1,0)</f>
        <v>455</v>
      </c>
      <c r="AX8" s="74">
        <f>VLOOKUP($H$8&amp;$F$1,'Input RM sheet'!$A:$BD,AW1,0)</f>
        <v>460</v>
      </c>
      <c r="AY8" s="74">
        <f>VLOOKUP($H$8&amp;$F$1,'Input RM sheet'!$A:$BD,AX1,0)</f>
        <v>415</v>
      </c>
      <c r="AZ8" s="74">
        <f>VLOOKUP($H$8&amp;$F$1,'Input RM sheet'!$A:$BD,AY1,0)</f>
        <v>435</v>
      </c>
      <c r="BA8" s="74">
        <f>VLOOKUP($H$8&amp;$F$1,'Input RM sheet'!$A:$BD,AZ1,0)</f>
        <v>445</v>
      </c>
      <c r="BB8" s="74">
        <f>VLOOKUP($H$8&amp;$F$1,'Input RM sheet'!$A:$BD,BA1,0)</f>
        <v>425</v>
      </c>
      <c r="BC8" s="74">
        <f>VLOOKUP($H$8&amp;$F$1,'Input RM sheet'!$A:$BD,BB1,0)</f>
        <v>425</v>
      </c>
      <c r="BD8" s="74">
        <f>VLOOKUP($H$8&amp;$F$1,'Input RM sheet'!$A:$BD,BC1,0)</f>
        <v>440</v>
      </c>
      <c r="BE8" s="74">
        <f>VLOOKUP($H$8&amp;$F$1,'Input RM sheet'!$A:$BD,BD1,0)</f>
        <v>465</v>
      </c>
      <c r="BF8" s="74">
        <f>VLOOKUP($H$8&amp;$F$1,'Input RM sheet'!$A:$BD,BE1,0)</f>
        <v>480</v>
      </c>
      <c r="BG8" s="74">
        <f>VLOOKUP($H$8&amp;$F$1,'Input RM sheet'!$A:$DD,BF1,0)</f>
        <v>510</v>
      </c>
      <c r="BH8" s="74">
        <f>VLOOKUP($H$8&amp;$F$1,'Input RM sheet'!$A:$DD,BG1,0)</f>
        <v>522.5</v>
      </c>
      <c r="BI8" s="74">
        <f>VLOOKUP($H$8&amp;$F$1,'Input RM sheet'!$A:$DD,BH1,0)</f>
        <v>582.5</v>
      </c>
      <c r="BJ8" s="74">
        <f>VLOOKUP($H$8&amp;$F$1,'Input RM sheet'!$A:$DD,BI1,0)</f>
        <v>612.5</v>
      </c>
      <c r="BK8" s="74">
        <f>VLOOKUP($H$8&amp;$F$1,'Input RM sheet'!$A:$DD,BJ1,0)</f>
        <v>592.5</v>
      </c>
      <c r="BL8" s="74">
        <f>VLOOKUP($H$8&amp;$F$1,'Input RM sheet'!$A:$DD,BK1,0)</f>
        <v>564</v>
      </c>
      <c r="BM8" s="74">
        <f>VLOOKUP($H$8&amp;$F$1,'Input RM sheet'!$A:$DD,BL1,0)</f>
        <v>510</v>
      </c>
      <c r="BN8" s="74">
        <f>VLOOKUP($H$8&amp;$F$1,'Input RM sheet'!$A:$DD,BM1,0)</f>
        <v>475</v>
      </c>
      <c r="BO8" s="74">
        <f>VLOOKUP($H$8&amp;$F$1,'Input RM sheet'!$A:$DD,BN1,0)</f>
        <v>455</v>
      </c>
      <c r="BP8" s="74">
        <f>VLOOKUP($H$8&amp;$F$1,'Input RM sheet'!$A:$DD,BO1,0)</f>
        <v>435</v>
      </c>
      <c r="BQ8" s="74">
        <f>VLOOKUP($H$8&amp;$F$1,'Input RM sheet'!$A:$DD,BP1,0)</f>
        <v>435</v>
      </c>
      <c r="BR8" s="74">
        <f>VLOOKUP($H$8&amp;$F$1,'Input RM sheet'!$A:$DD,BQ1,0)</f>
        <v>435</v>
      </c>
      <c r="BS8" s="74">
        <f>VLOOKUP($H$8&amp;$F$1,'Input RM sheet'!$A:$DD,BR1,0)</f>
        <v>435</v>
      </c>
      <c r="BT8" s="74">
        <f>VLOOKUP($H$8&amp;$F$1,'Input RM sheet'!$A:$DD,BS1,0)</f>
        <v>480</v>
      </c>
      <c r="BU8" s="74">
        <f>VLOOKUP($H$8&amp;$F$1,'Input RM sheet'!$A:$DD,BT1,0)</f>
        <v>450</v>
      </c>
      <c r="BV8" s="74">
        <f>VLOOKUP($H$8&amp;$F$1,'Input RM sheet'!$A:$DD,BU1,0)</f>
        <v>452.5</v>
      </c>
      <c r="BW8" s="74">
        <f>VLOOKUP($H$8&amp;$F$1,'Input RM sheet'!$A:$DD,BV1,0)</f>
        <v>450</v>
      </c>
      <c r="BX8" s="74">
        <f>VLOOKUP($H$8&amp;$F$1,'Input RM sheet'!$A:$DD,BW1,0)</f>
        <v>445</v>
      </c>
      <c r="BY8" s="74">
        <f>VLOOKUP($H$8&amp;$F$1,'Input RM sheet'!$A:$DD,BX1,0)</f>
        <v>445</v>
      </c>
      <c r="BZ8" s="74">
        <f>VLOOKUP($H$8&amp;$F$1,'Input RM sheet'!$A:$DD,BY1,0)</f>
        <v>455</v>
      </c>
      <c r="CA8" s="74">
        <f>VLOOKUP($H$8&amp;$F$1,'Input RM sheet'!$A:$DD,BZ1,0)</f>
        <v>455</v>
      </c>
      <c r="CB8" s="74">
        <f>VLOOKUP($H$8&amp;$F$1,'Input RM sheet'!$A:$DD,CA1,0)</f>
        <v>462</v>
      </c>
      <c r="CC8" s="74">
        <f>VLOOKUP($H$8&amp;$F$1,'Input RM sheet'!$A:$DD,CB1,0)</f>
        <v>457.5</v>
      </c>
      <c r="CD8" s="74">
        <f>VLOOKUP($H$8&amp;$F$1,'Input RM sheet'!$A:$DD,CC1,0)</f>
        <v>465</v>
      </c>
      <c r="CE8" s="74">
        <f>VLOOKUP($H$8&amp;$F$1,'Input RM sheet'!$A:$DD,CD1,0)</f>
        <v>465</v>
      </c>
      <c r="CF8" s="74">
        <f>VLOOKUP($H$8&amp;$F$1,'Input RM sheet'!$A:$DD,CE1,0)</f>
        <v>465</v>
      </c>
      <c r="CG8" s="74">
        <f>VLOOKUP($H$8&amp;$F$1,'Input RM sheet'!$A:$DD,CF1,0)</f>
        <v>455</v>
      </c>
      <c r="CH8" s="74">
        <f>VLOOKUP($H$8&amp;$F$1,'Input RM sheet'!$A:$DD,CG1,0)</f>
        <v>452.5</v>
      </c>
      <c r="CI8" s="74">
        <f>VLOOKUP($H$8&amp;$F$1,'Input RM sheet'!$A:$DD,CH1,0)</f>
        <v>470</v>
      </c>
      <c r="CJ8" s="74">
        <f>VLOOKUP($H$8&amp;$F$1,'Input RM sheet'!$A:$DD,CI1,0)</f>
        <v>475</v>
      </c>
      <c r="CK8" s="74">
        <f>VLOOKUP($H$8&amp;$F$1,'Input RM sheet'!$A:$DD,CJ1,0)</f>
        <v>475</v>
      </c>
      <c r="CL8" s="74">
        <f>VLOOKUP($H$8&amp;$F$1,'Input RM sheet'!$A:$DD,CK1,0)</f>
        <v>475</v>
      </c>
      <c r="CM8" s="74">
        <f>VLOOKUP($H$8&amp;$F$1,'Input RM sheet'!$A:$DD,CL1,0)</f>
        <v>475</v>
      </c>
      <c r="CN8" s="74">
        <f>VLOOKUP($H$8&amp;$F$1,'Input RM sheet'!$A:$DD,CM1,0)</f>
        <v>460</v>
      </c>
      <c r="CO8" s="74">
        <f>VLOOKUP($H$8&amp;$F$1,'Input RM sheet'!$A:$DD,CN1,0)</f>
        <v>460</v>
      </c>
      <c r="CP8" s="74">
        <f>VLOOKUP($H$8&amp;$F$1,'Input RM sheet'!$A:$DD,CO1,0)</f>
        <v>460</v>
      </c>
      <c r="CQ8" s="74">
        <f>VLOOKUP($H$8&amp;$F$1,'Input RM sheet'!$A:$DD,CP1,0)</f>
        <v>450</v>
      </c>
      <c r="CR8" s="74">
        <f>VLOOKUP($H$8&amp;$F$1,'Input RM sheet'!$A:$DD,CQ1,0)</f>
        <v>445</v>
      </c>
      <c r="CS8" s="74">
        <f>VLOOKUP($H$8&amp;$F$1,'Input RM sheet'!$A:$DD,CR1,0)</f>
        <v>450</v>
      </c>
      <c r="CT8" s="74">
        <f>VLOOKUP($H$8&amp;$F$1,'Input RM sheet'!$A:$DD,CS1,0)</f>
        <v>445</v>
      </c>
      <c r="CU8" s="74">
        <f>VLOOKUP($H$8&amp;$F$1,'Input RM sheet'!$A:$ZZ,CT1,0)</f>
        <v>440</v>
      </c>
      <c r="CV8" s="74">
        <f>VLOOKUP($H$8&amp;$F$1,'Input RM sheet'!$A:$ZZ,CU1,0)</f>
        <v>437.5</v>
      </c>
      <c r="CW8" s="74">
        <f>VLOOKUP($H$8&amp;$F$1,'Input RM sheet'!$A:$ZZ,CV1,0)</f>
        <v>437.5</v>
      </c>
      <c r="CX8" s="74">
        <f>VLOOKUP($H$8&amp;$F$1,'Input RM sheet'!$A:$ZZ,CW1,0)</f>
        <v>440</v>
      </c>
      <c r="CY8" s="74">
        <f>VLOOKUP($H$8&amp;$F$1,'Input RM sheet'!$A:$ZZ,CX1,0)</f>
        <v>445</v>
      </c>
      <c r="CZ8" s="74">
        <f>VLOOKUP($H$8&amp;$F$1,'Input RM sheet'!$A:$ZZ,CY1,0)</f>
        <v>445</v>
      </c>
      <c r="DA8" s="74">
        <f>VLOOKUP($H$8&amp;$F$1,'Input RM sheet'!$A:$ZZ,CZ1,0)</f>
        <v>445</v>
      </c>
      <c r="DB8" s="74">
        <f>VLOOKUP($H$8&amp;$F$1,'Input RM sheet'!$A:$ZZ,DA1,0)</f>
        <v>452</v>
      </c>
      <c r="DC8" s="74">
        <f>VLOOKUP($H$8&amp;$F$1,'Input RM sheet'!$A:$ZZ,DB1,0)</f>
        <v>452</v>
      </c>
      <c r="DD8" s="74">
        <f>VLOOKUP($H$8&amp;$F$1,'Input RM sheet'!$A:$ZZ,DC1,0)</f>
        <v>442</v>
      </c>
      <c r="DE8" s="74">
        <f>VLOOKUP($H$8&amp;$F$1,'Input RM sheet'!$A:$ZZ,DD1,0)</f>
        <v>442</v>
      </c>
      <c r="DF8" s="74">
        <f>VLOOKUP($H$8&amp;$F$1,'Input RM sheet'!$A:$ZZ,DE1,0)</f>
        <v>440</v>
      </c>
      <c r="DG8" s="74">
        <f>VLOOKUP($H$8&amp;$F$1,'Input RM sheet'!$A:$ZZ,DF1,0)</f>
        <v>432.5</v>
      </c>
      <c r="DH8" s="74">
        <f>VLOOKUP($H$8&amp;$F$1,'Input RM sheet'!$A:$ZZ,DG1,0)</f>
        <v>432.5</v>
      </c>
      <c r="DI8" s="74">
        <f>VLOOKUP($H$8&amp;$F$1,'Input RM sheet'!$A:$ZZ,DH1,0)</f>
        <v>427.5</v>
      </c>
      <c r="DJ8" s="74">
        <f>VLOOKUP($H$8&amp;$F$1,'Input RM sheet'!$A:$ZZ,DI1,0)</f>
        <v>425</v>
      </c>
      <c r="DK8" s="74">
        <f>VLOOKUP($H$8&amp;$F$1,'Input RM sheet'!$A:$ZZ,DJ1,0)</f>
        <v>420</v>
      </c>
      <c r="DL8" s="74">
        <f>VLOOKUP($H$8&amp;$F$1,'Input RM sheet'!$A:$ZZ,DK1,0)</f>
        <v>417.5</v>
      </c>
      <c r="DM8" s="74">
        <f>VLOOKUP($H$8&amp;$F$1,'Input RM sheet'!$A:$ZZ,DL1,0)</f>
        <v>412.5</v>
      </c>
      <c r="DN8" s="74">
        <f>VLOOKUP($H$8&amp;$F$1,'Input RM sheet'!$A:$ZZ,DM1,0)</f>
        <v>407.5</v>
      </c>
      <c r="DO8" s="74">
        <f>VLOOKUP($H$8&amp;$F$1,'Input RM sheet'!$A:$ZZ,DN1,0)</f>
        <v>407.5</v>
      </c>
      <c r="DP8" s="74">
        <f>VLOOKUP($H$8&amp;$F$1,'Input RM sheet'!$A:$ZZ,DO1,0)</f>
        <v>407.5</v>
      </c>
      <c r="DQ8" s="74">
        <f>VLOOKUP($H$8&amp;$F$1,'Input RM sheet'!$A:$ZZ,DP1,0)</f>
        <v>407.5</v>
      </c>
      <c r="DR8" s="74">
        <f>VLOOKUP($H$8&amp;$F$1,'Input RM sheet'!$A:$ZZ,DQ1,0)</f>
        <v>405</v>
      </c>
      <c r="DS8" s="74">
        <f>VLOOKUP($H$8&amp;$F$1,'Input RM sheet'!$A:$ZZ,DR1,0)</f>
        <v>405</v>
      </c>
      <c r="DT8" s="74">
        <f>VLOOKUP($H$8&amp;$F$1,'Input RM sheet'!$A:$ZZ,DS1,0)</f>
        <v>0</v>
      </c>
      <c r="DU8" s="74">
        <f>VLOOKUP($H$8&amp;$F$1,'Input RM sheet'!$A:$ZZ,DT1,0)</f>
        <v>0</v>
      </c>
      <c r="DV8" s="74">
        <f>VLOOKUP($H$8&amp;$F$1,'Input RM sheet'!$A:$ZZ,DU1,0)</f>
        <v>0</v>
      </c>
      <c r="DW8" s="74">
        <f>VLOOKUP($H$8&amp;$F$1,'Input RM sheet'!$A:$ZZ,DV1,0)</f>
        <v>0</v>
      </c>
      <c r="DX8" s="74">
        <f>VLOOKUP($H$8&amp;$F$1,'Input RM sheet'!$A:$ZZ,DW1,0)</f>
        <v>0</v>
      </c>
      <c r="DY8" s="74">
        <f>VLOOKUP($H$8&amp;$F$1,'Input RM sheet'!$A:$ZZ,DX1,0)</f>
        <v>0</v>
      </c>
      <c r="DZ8" s="74">
        <f>VLOOKUP($H$8&amp;$F$1,'Input RM sheet'!$A:$ZZ,DY1,0)</f>
        <v>0</v>
      </c>
      <c r="EA8" s="74">
        <f>VLOOKUP($H$8&amp;$F$1,'Input RM sheet'!$A:$ZZ,DZ1,0)</f>
        <v>0</v>
      </c>
      <c r="EB8" s="74">
        <f>VLOOKUP($H$8&amp;$F$1,'Input RM sheet'!$A:$ZZ,EA1,0)</f>
        <v>0</v>
      </c>
      <c r="EC8" s="74">
        <f>VLOOKUP($H$8&amp;$F$1,'Input RM sheet'!$A:$ZZ,EB1,0)</f>
        <v>0</v>
      </c>
      <c r="ED8" s="74">
        <f>VLOOKUP($H$8&amp;$F$1,'Input RM sheet'!$A:$ZZ,EC1,0)</f>
        <v>0</v>
      </c>
      <c r="EE8" s="74">
        <f>VLOOKUP($H$8&amp;$F$1,'Input RM sheet'!$A:$ZZ,ED1,0)</f>
        <v>0</v>
      </c>
      <c r="EF8" s="74">
        <f>VLOOKUP($H$8&amp;$F$1,'Input RM sheet'!$A:$ZZ,EE1,0)</f>
        <v>0</v>
      </c>
      <c r="EG8" s="74">
        <f>VLOOKUP($H$8&amp;$F$1,'Input RM sheet'!$A:$ZZ,EF1,0)</f>
        <v>0</v>
      </c>
    </row>
    <row r="9" spans="1:185">
      <c r="H9" s="60" t="s">
        <v>59</v>
      </c>
      <c r="I9" s="74"/>
      <c r="J9" s="74"/>
      <c r="K9" s="74"/>
      <c r="L9" s="74"/>
      <c r="M9" s="74"/>
      <c r="N9" s="74"/>
      <c r="O9" s="74"/>
      <c r="P9" s="74"/>
      <c r="Q9" s="74"/>
      <c r="R9" s="74"/>
      <c r="S9" s="74"/>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103"/>
      <c r="AW9" s="65"/>
    </row>
    <row r="10" spans="1:185" ht="13">
      <c r="H10" s="100" t="s">
        <v>702</v>
      </c>
      <c r="I10" s="74"/>
      <c r="J10" s="74"/>
      <c r="K10" s="74"/>
      <c r="L10" s="74"/>
      <c r="M10" s="74"/>
      <c r="N10" s="74"/>
      <c r="O10" s="7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103"/>
      <c r="AW10" s="65"/>
    </row>
    <row r="11" spans="1:185" ht="26">
      <c r="A11" s="59" t="s">
        <v>395</v>
      </c>
      <c r="B11" s="59"/>
      <c r="C11" s="59" t="s">
        <v>379</v>
      </c>
      <c r="D11" s="98" t="s">
        <v>380</v>
      </c>
      <c r="E11" s="98" t="s">
        <v>381</v>
      </c>
      <c r="F11" s="59" t="s">
        <v>396</v>
      </c>
      <c r="H11" s="60" t="s">
        <v>399</v>
      </c>
      <c r="I11" s="84"/>
      <c r="J11" s="84"/>
      <c r="K11" s="84"/>
      <c r="L11" s="84"/>
      <c r="M11" s="84"/>
      <c r="N11" s="84"/>
      <c r="O11" s="84"/>
      <c r="P11" s="84"/>
      <c r="Q11" s="84"/>
      <c r="R11" s="84"/>
      <c r="S11" s="84"/>
      <c r="T11" s="84"/>
      <c r="U11" s="84"/>
      <c r="V11" s="84"/>
      <c r="W11" s="84"/>
      <c r="X11" s="84"/>
      <c r="Y11" s="84"/>
      <c r="Z11" s="84"/>
      <c r="AA11" s="84"/>
      <c r="AB11" s="84"/>
      <c r="AC11" s="84"/>
      <c r="AD11" s="84"/>
      <c r="AE11" s="84"/>
      <c r="AF11" s="84"/>
      <c r="AG11" s="84"/>
      <c r="AH11" s="84"/>
      <c r="AI11" s="84"/>
      <c r="AJ11" s="84"/>
      <c r="AK11" s="84"/>
      <c r="AL11" s="84"/>
      <c r="AM11" s="84"/>
      <c r="AN11" s="84"/>
      <c r="AO11" s="84"/>
      <c r="AP11" s="84"/>
      <c r="AQ11" s="84"/>
      <c r="AR11" s="84"/>
      <c r="AS11" s="84"/>
      <c r="AT11" s="84"/>
      <c r="AU11" s="84"/>
    </row>
    <row r="12" spans="1:185" ht="13">
      <c r="A12" s="107" t="s">
        <v>397</v>
      </c>
      <c r="B12" s="100" t="s">
        <v>93</v>
      </c>
      <c r="D12" s="60">
        <v>86.09</v>
      </c>
      <c r="F12" s="65">
        <v>1.9</v>
      </c>
      <c r="I12" s="74">
        <f>$F$12*(I7/1000)</f>
        <v>1.6394909999999998</v>
      </c>
      <c r="J12" s="74">
        <f t="shared" ref="J12:AV12" si="0">$F$12*(J7/1000)</f>
        <v>1.622733</v>
      </c>
      <c r="K12" s="74">
        <f t="shared" si="0"/>
        <v>1.4060379999999999</v>
      </c>
      <c r="L12" s="74">
        <f t="shared" si="0"/>
        <v>1.3300569999999998</v>
      </c>
      <c r="M12" s="74">
        <f t="shared" si="0"/>
        <v>1.3440409999999998</v>
      </c>
      <c r="N12" s="74">
        <f t="shared" si="0"/>
        <v>1.4353169999999997</v>
      </c>
      <c r="O12" s="74">
        <f t="shared" si="0"/>
        <v>1.4906069999999998</v>
      </c>
      <c r="P12" s="74">
        <f t="shared" si="0"/>
        <v>1.4941409999999999</v>
      </c>
      <c r="Q12" s="74">
        <f t="shared" si="0"/>
        <v>1.610269</v>
      </c>
      <c r="R12" s="74">
        <f t="shared" si="0"/>
        <v>1.6248419999999999</v>
      </c>
      <c r="S12" s="74">
        <f t="shared" si="0"/>
        <v>2.0139999999999998</v>
      </c>
      <c r="T12" s="74">
        <f t="shared" si="0"/>
        <v>2.7303000000000002</v>
      </c>
      <c r="U12" s="74">
        <f t="shared" si="0"/>
        <v>2.6561999999999997</v>
      </c>
      <c r="V12" s="74">
        <f t="shared" si="0"/>
        <v>3.3648999999999996</v>
      </c>
      <c r="W12" s="74">
        <f t="shared" si="0"/>
        <v>3.8361000000000001</v>
      </c>
      <c r="X12" s="74">
        <f t="shared" si="0"/>
        <v>3.9177999999999993</v>
      </c>
      <c r="Y12" s="74">
        <f t="shared" si="0"/>
        <v>3.8417999999999992</v>
      </c>
      <c r="Z12" s="74">
        <f t="shared" si="0"/>
        <v>3.5928999999999998</v>
      </c>
      <c r="AA12" s="74">
        <f t="shared" si="0"/>
        <v>3.0951</v>
      </c>
      <c r="AB12" s="74">
        <f t="shared" si="0"/>
        <v>3.6080999999999999</v>
      </c>
      <c r="AC12" s="74">
        <f t="shared" si="0"/>
        <v>4.1192000000000002</v>
      </c>
      <c r="AD12" s="74">
        <f t="shared" si="0"/>
        <v>5.2515999999999989</v>
      </c>
      <c r="AE12" s="74">
        <f t="shared" si="0"/>
        <v>5.0255000000000001</v>
      </c>
      <c r="AF12" s="74">
        <f t="shared" si="0"/>
        <v>3.7125999999999997</v>
      </c>
      <c r="AG12" s="74">
        <f t="shared" si="0"/>
        <v>3.7677</v>
      </c>
      <c r="AH12" s="74">
        <f t="shared" si="0"/>
        <v>4.2692999999999994</v>
      </c>
      <c r="AI12" s="74">
        <f t="shared" si="0"/>
        <v>4.5371999999999995</v>
      </c>
      <c r="AJ12" s="74">
        <f t="shared" si="0"/>
        <v>4.4763999999999999</v>
      </c>
      <c r="AK12" s="74">
        <f t="shared" si="0"/>
        <v>4.4821</v>
      </c>
      <c r="AL12" s="74">
        <f t="shared" si="0"/>
        <v>4.4687999999999999</v>
      </c>
      <c r="AM12" s="74">
        <f t="shared" si="0"/>
        <v>3.3857999999999997</v>
      </c>
      <c r="AN12" s="74">
        <f t="shared" si="0"/>
        <v>2.6675999999999997</v>
      </c>
      <c r="AO12" s="74">
        <f t="shared" si="0"/>
        <v>2.1678999999999999</v>
      </c>
      <c r="AP12" s="74">
        <f t="shared" si="0"/>
        <v>2.1659999999999999</v>
      </c>
      <c r="AQ12" s="74">
        <f t="shared" si="0"/>
        <v>2.0672000000000001</v>
      </c>
      <c r="AR12" s="74">
        <f t="shared" si="0"/>
        <v>2.0690999999999997</v>
      </c>
      <c r="AS12" s="74">
        <f t="shared" si="0"/>
        <v>2.1261000000000001</v>
      </c>
      <c r="AT12" s="74">
        <f t="shared" si="0"/>
        <v>2.1450999999999998</v>
      </c>
      <c r="AU12" s="74">
        <f t="shared" si="0"/>
        <v>2.1223000000000001</v>
      </c>
      <c r="AV12" s="74">
        <f t="shared" si="0"/>
        <v>1.7384999999999999</v>
      </c>
      <c r="AW12" s="74">
        <f t="shared" ref="AW12:BO12" si="1">$F$12*(AW7/1000)</f>
        <v>1.6723800000000002</v>
      </c>
      <c r="AX12" s="74">
        <f t="shared" si="1"/>
        <v>1.6329930000000001</v>
      </c>
      <c r="AY12" s="74">
        <f t="shared" si="1"/>
        <v>1.6329930000000001</v>
      </c>
      <c r="AZ12" s="74">
        <f t="shared" si="1"/>
        <v>1.526783</v>
      </c>
      <c r="BA12" s="74">
        <f t="shared" si="1"/>
        <v>1.526783</v>
      </c>
      <c r="BB12" s="74">
        <f t="shared" si="1"/>
        <v>1.526783</v>
      </c>
      <c r="BC12" s="74">
        <f t="shared" si="1"/>
        <v>1.519449</v>
      </c>
      <c r="BD12" s="74">
        <f t="shared" si="1"/>
        <v>1.7308619999999999</v>
      </c>
      <c r="BE12" s="74">
        <f t="shared" si="1"/>
        <v>1.7308619999999999</v>
      </c>
      <c r="BF12" s="74">
        <f t="shared" si="1"/>
        <v>1.7308619999999999</v>
      </c>
      <c r="BG12" s="74">
        <f t="shared" si="1"/>
        <v>1.7180369999999998</v>
      </c>
      <c r="BH12" s="74">
        <f t="shared" si="1"/>
        <v>1.7180369999999998</v>
      </c>
      <c r="BI12" s="74">
        <f t="shared" si="1"/>
        <v>1.7180369999999998</v>
      </c>
      <c r="BJ12" s="74">
        <f t="shared" si="1"/>
        <v>1.7180369999999998</v>
      </c>
      <c r="BK12" s="74">
        <f t="shared" si="1"/>
        <v>1.7185499999999998</v>
      </c>
      <c r="BL12" s="74">
        <f t="shared" si="1"/>
        <v>1.9798</v>
      </c>
      <c r="BM12" s="74">
        <f t="shared" si="1"/>
        <v>1.9798</v>
      </c>
      <c r="BN12" s="74">
        <f t="shared" si="1"/>
        <v>2.0425</v>
      </c>
      <c r="BO12" s="74">
        <f t="shared" si="1"/>
        <v>1.6702899999999998</v>
      </c>
      <c r="BP12" s="74">
        <f t="shared" ref="BP12:BV12" si="2">$F$12*(BP7/1000)</f>
        <v>1.5397979999999998</v>
      </c>
      <c r="BQ12" s="74">
        <f t="shared" si="2"/>
        <v>1.5397979999999998</v>
      </c>
      <c r="BR12" s="74">
        <f t="shared" si="2"/>
        <v>1.5397979999999998</v>
      </c>
      <c r="BS12" s="74">
        <f t="shared" si="2"/>
        <v>1.553763</v>
      </c>
      <c r="BT12" s="74">
        <f t="shared" si="2"/>
        <v>1.5669300000000002</v>
      </c>
      <c r="BU12" s="74">
        <f t="shared" si="2"/>
        <v>1.5669300000000002</v>
      </c>
      <c r="BV12" s="74">
        <f t="shared" si="2"/>
        <v>1.5669300000000002</v>
      </c>
      <c r="BW12" s="74">
        <f>$F$12*(BW7/1000)</f>
        <v>1.7236610000000001</v>
      </c>
      <c r="BX12" s="74">
        <f>$F$12*(BX7/1000)</f>
        <v>1.9114</v>
      </c>
      <c r="BY12" s="74">
        <f>$F$12*(BY7/1000)</f>
        <v>1.9114</v>
      </c>
      <c r="BZ12" s="74">
        <f t="shared" ref="BZ12:CH12" si="3">$F$12*(BZ7/1000)</f>
        <v>1.9246999999999996</v>
      </c>
      <c r="CA12" s="74">
        <f t="shared" si="3"/>
        <v>1.9246999999999996</v>
      </c>
      <c r="CB12" s="74">
        <f t="shared" si="3"/>
        <v>1.9246999999999996</v>
      </c>
      <c r="CC12" s="74">
        <f t="shared" si="3"/>
        <v>1.9246999999999996</v>
      </c>
      <c r="CD12" s="74">
        <f t="shared" si="3"/>
        <v>1.9246999999999996</v>
      </c>
      <c r="CE12" s="74">
        <f t="shared" si="3"/>
        <v>1.9968999999999997</v>
      </c>
      <c r="CF12" s="74">
        <f t="shared" si="3"/>
        <v>1.9968999999999997</v>
      </c>
      <c r="CG12" s="74">
        <f t="shared" si="3"/>
        <v>1.9968999999999997</v>
      </c>
      <c r="CH12" s="74">
        <f t="shared" si="3"/>
        <v>1.9854999999999998</v>
      </c>
      <c r="CI12" s="74">
        <f>$F$12*(CI7/1000)</f>
        <v>1.9722</v>
      </c>
      <c r="CJ12" s="74">
        <f>$F$12*(CJ7/1000)</f>
        <v>1.9722</v>
      </c>
      <c r="CK12" s="74">
        <f>$F$12*(CK7/1000)</f>
        <v>1.9722</v>
      </c>
      <c r="CL12" s="74">
        <f t="shared" ref="CL12:CU12" si="4">$F$12*(CL7/1000)</f>
        <v>1.6142019999999999</v>
      </c>
      <c r="CM12" s="74">
        <f t="shared" si="4"/>
        <v>1.6142019999999999</v>
      </c>
      <c r="CN12" s="74">
        <f t="shared" si="4"/>
        <v>1.6142019999999999</v>
      </c>
      <c r="CO12" s="74">
        <f t="shared" si="4"/>
        <v>1.6142019999999999</v>
      </c>
      <c r="CP12" s="74">
        <f t="shared" si="4"/>
        <v>1.6142019999999999</v>
      </c>
      <c r="CQ12" s="74">
        <f t="shared" si="4"/>
        <v>1.6142019999999999</v>
      </c>
      <c r="CR12" s="74">
        <f t="shared" si="4"/>
        <v>1.6279389999999998</v>
      </c>
      <c r="CS12" s="74">
        <f t="shared" si="4"/>
        <v>1.5088280000000001</v>
      </c>
      <c r="CT12" s="74">
        <f t="shared" si="4"/>
        <v>1.5088280000000001</v>
      </c>
      <c r="CU12" s="74">
        <f t="shared" si="4"/>
        <v>1.4994990000000001</v>
      </c>
      <c r="CV12" s="74">
        <f>$F$12*(CV7/1000)</f>
        <v>1.4994990000000001</v>
      </c>
      <c r="CW12" s="74">
        <f>$F$12*(CW7/1000)</f>
        <v>1.5126659999999998</v>
      </c>
      <c r="CX12" s="74">
        <f>$F$12*(CX7/1000)</f>
        <v>1.5126659999999998</v>
      </c>
      <c r="CY12" s="74">
        <f t="shared" ref="CY12:EG12" si="5">$F$12*(CY7/1000)</f>
        <v>1.510975</v>
      </c>
      <c r="CZ12" s="74">
        <f t="shared" si="5"/>
        <v>1.510975</v>
      </c>
      <c r="DA12" s="74">
        <f t="shared" si="5"/>
        <v>1.510975</v>
      </c>
      <c r="DB12" s="74">
        <f t="shared" si="5"/>
        <v>1.510975</v>
      </c>
      <c r="DC12" s="74">
        <f t="shared" si="5"/>
        <v>1.510975</v>
      </c>
      <c r="DD12" s="74">
        <f t="shared" si="5"/>
        <v>1.4418150000000001</v>
      </c>
      <c r="DE12" s="74">
        <f t="shared" si="5"/>
        <v>1.4418150000000001</v>
      </c>
      <c r="DF12" s="74">
        <f t="shared" si="5"/>
        <v>1.4418150000000001</v>
      </c>
      <c r="DG12" s="74">
        <f t="shared" si="5"/>
        <v>1.3394999999999999</v>
      </c>
      <c r="DH12" s="74">
        <f t="shared" si="5"/>
        <v>1.3584999999999998</v>
      </c>
      <c r="DI12" s="74">
        <f t="shared" si="5"/>
        <v>1.3584999999999998</v>
      </c>
      <c r="DJ12" s="74">
        <f t="shared" si="5"/>
        <v>1.3584999999999998</v>
      </c>
      <c r="DK12" s="74">
        <f t="shared" si="5"/>
        <v>1.35375</v>
      </c>
      <c r="DL12" s="74">
        <f t="shared" si="5"/>
        <v>1.349</v>
      </c>
      <c r="DM12" s="74">
        <f t="shared" si="5"/>
        <v>1.3394999999999999</v>
      </c>
      <c r="DN12" s="74">
        <f t="shared" si="5"/>
        <v>1.3679999999999999</v>
      </c>
      <c r="DO12" s="74">
        <f t="shared" si="5"/>
        <v>1.3679999999999999</v>
      </c>
      <c r="DP12" s="74">
        <f t="shared" si="5"/>
        <v>1.3679999999999999</v>
      </c>
      <c r="DQ12" s="74">
        <f t="shared" si="5"/>
        <v>1.4059999999999999</v>
      </c>
      <c r="DR12" s="74">
        <f t="shared" si="5"/>
        <v>1.4059999999999999</v>
      </c>
      <c r="DS12" s="74">
        <f t="shared" si="5"/>
        <v>1.387</v>
      </c>
      <c r="DT12" s="74">
        <f t="shared" si="5"/>
        <v>0</v>
      </c>
      <c r="DU12" s="74">
        <f t="shared" si="5"/>
        <v>0</v>
      </c>
      <c r="DV12" s="74">
        <f t="shared" si="5"/>
        <v>0</v>
      </c>
      <c r="DW12" s="74">
        <f t="shared" si="5"/>
        <v>0</v>
      </c>
      <c r="DX12" s="74">
        <f t="shared" si="5"/>
        <v>0</v>
      </c>
      <c r="DY12" s="74">
        <f t="shared" si="5"/>
        <v>0</v>
      </c>
      <c r="DZ12" s="74">
        <f t="shared" si="5"/>
        <v>0</v>
      </c>
      <c r="EA12" s="74">
        <f t="shared" si="5"/>
        <v>0</v>
      </c>
      <c r="EB12" s="74">
        <f t="shared" si="5"/>
        <v>0</v>
      </c>
      <c r="EC12" s="74">
        <f t="shared" si="5"/>
        <v>0</v>
      </c>
      <c r="ED12" s="74">
        <f t="shared" si="5"/>
        <v>0</v>
      </c>
      <c r="EE12" s="74">
        <f t="shared" si="5"/>
        <v>0</v>
      </c>
      <c r="EF12" s="74">
        <f t="shared" si="5"/>
        <v>0</v>
      </c>
      <c r="EG12" s="74">
        <f t="shared" si="5"/>
        <v>0</v>
      </c>
    </row>
    <row r="13" spans="1:185" ht="13">
      <c r="A13" s="67"/>
      <c r="B13" s="100" t="s">
        <v>86</v>
      </c>
      <c r="D13" s="60">
        <v>60.05</v>
      </c>
      <c r="F13" s="65">
        <v>2.33</v>
      </c>
      <c r="I13" s="74">
        <f>$F$13*(I8/1000)</f>
        <v>0.87258500000000006</v>
      </c>
      <c r="J13" s="74">
        <f t="shared" ref="J13:AV13" si="6">$F$13*(J8/1000)</f>
        <v>0.87520624999999996</v>
      </c>
      <c r="K13" s="74">
        <f t="shared" si="6"/>
        <v>0.79220000000000013</v>
      </c>
      <c r="L13" s="74">
        <f t="shared" si="6"/>
        <v>0.73103750000000001</v>
      </c>
      <c r="M13" s="74">
        <f t="shared" si="6"/>
        <v>0.75958000000000003</v>
      </c>
      <c r="N13" s="74">
        <f t="shared" si="6"/>
        <v>0.73394999999999999</v>
      </c>
      <c r="O13" s="74">
        <f t="shared" si="6"/>
        <v>0.78637500000000005</v>
      </c>
      <c r="P13" s="74">
        <f t="shared" si="6"/>
        <v>0.78637500000000005</v>
      </c>
      <c r="Q13" s="74">
        <f t="shared" si="6"/>
        <v>0.84171250000000009</v>
      </c>
      <c r="R13" s="74">
        <f t="shared" si="6"/>
        <v>0.90054500000000004</v>
      </c>
      <c r="S13" s="74">
        <f t="shared" si="6"/>
        <v>0.99316250000000006</v>
      </c>
      <c r="T13" s="74">
        <f t="shared" si="6"/>
        <v>1.5698375</v>
      </c>
      <c r="U13" s="74">
        <f t="shared" si="6"/>
        <v>1.50430625</v>
      </c>
      <c r="V13" s="74">
        <f t="shared" si="6"/>
        <v>1.8931249999999999</v>
      </c>
      <c r="W13" s="74">
        <f t="shared" si="6"/>
        <v>2.26709</v>
      </c>
      <c r="X13" s="74">
        <f t="shared" si="6"/>
        <v>2.32301</v>
      </c>
      <c r="Y13" s="74">
        <f t="shared" si="6"/>
        <v>2.4232</v>
      </c>
      <c r="Z13" s="74">
        <f t="shared" si="6"/>
        <v>2.3736875000000004</v>
      </c>
      <c r="AA13" s="74">
        <f t="shared" si="6"/>
        <v>2.0900099999999999</v>
      </c>
      <c r="AB13" s="74">
        <f t="shared" si="6"/>
        <v>2.0067124999999999</v>
      </c>
      <c r="AC13" s="74">
        <f t="shared" si="6"/>
        <v>2.2688375000000001</v>
      </c>
      <c r="AD13" s="74">
        <f t="shared" si="6"/>
        <v>2.8589100000000003</v>
      </c>
      <c r="AE13" s="74">
        <f t="shared" si="6"/>
        <v>2.4523250000000001</v>
      </c>
      <c r="AF13" s="74">
        <f t="shared" si="6"/>
        <v>2.0635062500000001</v>
      </c>
      <c r="AG13" s="74">
        <f t="shared" si="6"/>
        <v>1.8669125000000002</v>
      </c>
      <c r="AH13" s="74">
        <f t="shared" si="6"/>
        <v>1.6441062499999999</v>
      </c>
      <c r="AI13" s="74">
        <f t="shared" si="6"/>
        <v>1.63536875</v>
      </c>
      <c r="AJ13" s="74">
        <f t="shared" si="6"/>
        <v>1.8267200000000001</v>
      </c>
      <c r="AK13" s="74">
        <f t="shared" si="6"/>
        <v>1.7009000000000001</v>
      </c>
      <c r="AL13" s="74">
        <f t="shared" si="6"/>
        <v>1.6397375000000001</v>
      </c>
      <c r="AM13" s="74">
        <f t="shared" si="6"/>
        <v>1.3537299999999999</v>
      </c>
      <c r="AN13" s="74">
        <f t="shared" si="6"/>
        <v>1.2378125</v>
      </c>
      <c r="AO13" s="74">
        <f t="shared" si="6"/>
        <v>1.154515</v>
      </c>
      <c r="AP13" s="74">
        <f t="shared" si="6"/>
        <v>1.1096625</v>
      </c>
      <c r="AQ13" s="74">
        <f t="shared" si="6"/>
        <v>1.1067499999999999</v>
      </c>
      <c r="AR13" s="74">
        <f t="shared" si="6"/>
        <v>1.0252000000000001</v>
      </c>
      <c r="AS13" s="74">
        <f t="shared" si="6"/>
        <v>1.0252000000000001</v>
      </c>
      <c r="AT13" s="74">
        <f t="shared" si="6"/>
        <v>1.03685</v>
      </c>
      <c r="AU13" s="74">
        <f t="shared" si="6"/>
        <v>1.0531600000000001</v>
      </c>
      <c r="AV13" s="74">
        <f t="shared" si="6"/>
        <v>1.042675</v>
      </c>
      <c r="AW13" s="74">
        <f t="shared" ref="AW13:BO13" si="7">$F$13*(AW8/1000)</f>
        <v>1.0601500000000001</v>
      </c>
      <c r="AX13" s="74">
        <f t="shared" si="7"/>
        <v>1.0718000000000001</v>
      </c>
      <c r="AY13" s="74">
        <f t="shared" si="7"/>
        <v>0.96694999999999998</v>
      </c>
      <c r="AZ13" s="74">
        <f t="shared" si="7"/>
        <v>1.01355</v>
      </c>
      <c r="BA13" s="74">
        <f t="shared" si="7"/>
        <v>1.03685</v>
      </c>
      <c r="BB13" s="74">
        <f t="shared" si="7"/>
        <v>0.99024999999999996</v>
      </c>
      <c r="BC13" s="74">
        <f t="shared" si="7"/>
        <v>0.99024999999999996</v>
      </c>
      <c r="BD13" s="74">
        <f t="shared" si="7"/>
        <v>1.0252000000000001</v>
      </c>
      <c r="BE13" s="74">
        <f t="shared" si="7"/>
        <v>1.08345</v>
      </c>
      <c r="BF13" s="74">
        <f t="shared" si="7"/>
        <v>1.1184000000000001</v>
      </c>
      <c r="BG13" s="74">
        <f t="shared" si="7"/>
        <v>1.1883000000000001</v>
      </c>
      <c r="BH13" s="74">
        <f t="shared" si="7"/>
        <v>1.217425</v>
      </c>
      <c r="BI13" s="74">
        <f t="shared" si="7"/>
        <v>1.3572250000000001</v>
      </c>
      <c r="BJ13" s="74">
        <f t="shared" si="7"/>
        <v>1.4271250000000002</v>
      </c>
      <c r="BK13" s="74">
        <f t="shared" si="7"/>
        <v>1.380525</v>
      </c>
      <c r="BL13" s="74">
        <f t="shared" si="7"/>
        <v>1.31412</v>
      </c>
      <c r="BM13" s="74">
        <f t="shared" si="7"/>
        <v>1.1883000000000001</v>
      </c>
      <c r="BN13" s="74">
        <f t="shared" si="7"/>
        <v>1.1067499999999999</v>
      </c>
      <c r="BO13" s="74">
        <f t="shared" si="7"/>
        <v>1.0601500000000001</v>
      </c>
      <c r="BP13" s="74">
        <f t="shared" ref="BP13:BV13" si="8">$F$13*(BP8/1000)</f>
        <v>1.01355</v>
      </c>
      <c r="BQ13" s="74">
        <f t="shared" si="8"/>
        <v>1.01355</v>
      </c>
      <c r="BR13" s="74">
        <f t="shared" si="8"/>
        <v>1.01355</v>
      </c>
      <c r="BS13" s="74">
        <f t="shared" si="8"/>
        <v>1.01355</v>
      </c>
      <c r="BT13" s="74">
        <f t="shared" si="8"/>
        <v>1.1184000000000001</v>
      </c>
      <c r="BU13" s="74">
        <f t="shared" si="8"/>
        <v>1.0485</v>
      </c>
      <c r="BV13" s="74">
        <f t="shared" si="8"/>
        <v>1.054325</v>
      </c>
      <c r="BW13" s="74">
        <f>$F$13*(BW8/1000)</f>
        <v>1.0485</v>
      </c>
      <c r="BX13" s="74">
        <f>$F$13*(BX8/1000)</f>
        <v>1.03685</v>
      </c>
      <c r="BY13" s="74">
        <f>$F$13*(BY8/1000)</f>
        <v>1.03685</v>
      </c>
      <c r="BZ13" s="74">
        <f t="shared" ref="BZ13:CH13" si="9">$F$13*(BZ8/1000)</f>
        <v>1.0601500000000001</v>
      </c>
      <c r="CA13" s="74">
        <f t="shared" si="9"/>
        <v>1.0601500000000001</v>
      </c>
      <c r="CB13" s="74">
        <f t="shared" si="9"/>
        <v>1.0764600000000002</v>
      </c>
      <c r="CC13" s="74">
        <f t="shared" si="9"/>
        <v>1.0659750000000001</v>
      </c>
      <c r="CD13" s="74">
        <f t="shared" si="9"/>
        <v>1.08345</v>
      </c>
      <c r="CE13" s="74">
        <f t="shared" si="9"/>
        <v>1.08345</v>
      </c>
      <c r="CF13" s="74">
        <f t="shared" si="9"/>
        <v>1.08345</v>
      </c>
      <c r="CG13" s="74">
        <f t="shared" si="9"/>
        <v>1.0601500000000001</v>
      </c>
      <c r="CH13" s="74">
        <f t="shared" si="9"/>
        <v>1.054325</v>
      </c>
      <c r="CI13" s="74">
        <f>$F$13*(CI8/1000)</f>
        <v>1.0951</v>
      </c>
      <c r="CJ13" s="74">
        <f>$F$13*(CJ8/1000)</f>
        <v>1.1067499999999999</v>
      </c>
      <c r="CK13" s="74">
        <f>$F$13*(CK8/1000)</f>
        <v>1.1067499999999999</v>
      </c>
      <c r="CL13" s="74">
        <f t="shared" ref="CL13:CU13" si="10">$F$13*(CL8/1000)</f>
        <v>1.1067499999999999</v>
      </c>
      <c r="CM13" s="74">
        <f t="shared" si="10"/>
        <v>1.1067499999999999</v>
      </c>
      <c r="CN13" s="74">
        <f t="shared" si="10"/>
        <v>1.0718000000000001</v>
      </c>
      <c r="CO13" s="74">
        <f t="shared" si="10"/>
        <v>1.0718000000000001</v>
      </c>
      <c r="CP13" s="74">
        <f t="shared" si="10"/>
        <v>1.0718000000000001</v>
      </c>
      <c r="CQ13" s="74">
        <f t="shared" si="10"/>
        <v>1.0485</v>
      </c>
      <c r="CR13" s="74">
        <f t="shared" si="10"/>
        <v>1.03685</v>
      </c>
      <c r="CS13" s="74">
        <f t="shared" si="10"/>
        <v>1.0485</v>
      </c>
      <c r="CT13" s="74">
        <f t="shared" si="10"/>
        <v>1.03685</v>
      </c>
      <c r="CU13" s="74">
        <f t="shared" si="10"/>
        <v>1.0252000000000001</v>
      </c>
      <c r="CV13" s="74">
        <f>$F$13*(CV8/1000)</f>
        <v>1.0193750000000001</v>
      </c>
      <c r="CW13" s="74">
        <f>$F$13*(CW8/1000)</f>
        <v>1.0193750000000001</v>
      </c>
      <c r="CX13" s="74">
        <f>$F$13*(CX8/1000)</f>
        <v>1.0252000000000001</v>
      </c>
      <c r="CY13" s="74">
        <f t="shared" ref="CY13:EG13" si="11">$F$13*(CY8/1000)</f>
        <v>1.03685</v>
      </c>
      <c r="CZ13" s="74">
        <f t="shared" si="11"/>
        <v>1.03685</v>
      </c>
      <c r="DA13" s="74">
        <f t="shared" si="11"/>
        <v>1.03685</v>
      </c>
      <c r="DB13" s="74">
        <f t="shared" si="11"/>
        <v>1.0531600000000001</v>
      </c>
      <c r="DC13" s="74">
        <f t="shared" si="11"/>
        <v>1.0531600000000001</v>
      </c>
      <c r="DD13" s="74">
        <f t="shared" si="11"/>
        <v>1.02986</v>
      </c>
      <c r="DE13" s="74">
        <f t="shared" si="11"/>
        <v>1.02986</v>
      </c>
      <c r="DF13" s="74">
        <f t="shared" si="11"/>
        <v>1.0252000000000001</v>
      </c>
      <c r="DG13" s="74">
        <f t="shared" si="11"/>
        <v>1.007725</v>
      </c>
      <c r="DH13" s="74">
        <f t="shared" si="11"/>
        <v>1.007725</v>
      </c>
      <c r="DI13" s="74">
        <f t="shared" si="11"/>
        <v>0.99607500000000004</v>
      </c>
      <c r="DJ13" s="74">
        <f t="shared" si="11"/>
        <v>0.99024999999999996</v>
      </c>
      <c r="DK13" s="74">
        <f t="shared" si="11"/>
        <v>0.97860000000000003</v>
      </c>
      <c r="DL13" s="74">
        <f t="shared" si="11"/>
        <v>0.97277499999999995</v>
      </c>
      <c r="DM13" s="74">
        <f t="shared" si="11"/>
        <v>0.96112500000000001</v>
      </c>
      <c r="DN13" s="74">
        <f t="shared" si="11"/>
        <v>0.94947499999999996</v>
      </c>
      <c r="DO13" s="74">
        <f t="shared" si="11"/>
        <v>0.94947499999999996</v>
      </c>
      <c r="DP13" s="74">
        <f t="shared" si="11"/>
        <v>0.94947499999999996</v>
      </c>
      <c r="DQ13" s="74">
        <f t="shared" si="11"/>
        <v>0.94947499999999996</v>
      </c>
      <c r="DR13" s="74">
        <f t="shared" si="11"/>
        <v>0.9436500000000001</v>
      </c>
      <c r="DS13" s="74">
        <f t="shared" si="11"/>
        <v>0.9436500000000001</v>
      </c>
      <c r="DT13" s="74">
        <f t="shared" si="11"/>
        <v>0</v>
      </c>
      <c r="DU13" s="74">
        <f t="shared" si="11"/>
        <v>0</v>
      </c>
      <c r="DV13" s="74">
        <f t="shared" si="11"/>
        <v>0</v>
      </c>
      <c r="DW13" s="74">
        <f t="shared" si="11"/>
        <v>0</v>
      </c>
      <c r="DX13" s="74">
        <f t="shared" si="11"/>
        <v>0</v>
      </c>
      <c r="DY13" s="74">
        <f t="shared" si="11"/>
        <v>0</v>
      </c>
      <c r="DZ13" s="74">
        <f t="shared" si="11"/>
        <v>0</v>
      </c>
      <c r="EA13" s="74">
        <f t="shared" si="11"/>
        <v>0</v>
      </c>
      <c r="EB13" s="74">
        <f t="shared" si="11"/>
        <v>0</v>
      </c>
      <c r="EC13" s="74">
        <f t="shared" si="11"/>
        <v>0</v>
      </c>
      <c r="ED13" s="74">
        <f t="shared" si="11"/>
        <v>0</v>
      </c>
      <c r="EE13" s="74">
        <f t="shared" si="11"/>
        <v>0</v>
      </c>
      <c r="EF13" s="74">
        <f t="shared" si="11"/>
        <v>0</v>
      </c>
      <c r="EG13" s="74">
        <f t="shared" si="11"/>
        <v>0</v>
      </c>
    </row>
    <row r="14" spans="1:185" ht="13">
      <c r="A14" s="67"/>
      <c r="B14" s="100" t="s">
        <v>59</v>
      </c>
      <c r="D14" s="60">
        <v>30.03</v>
      </c>
      <c r="F14" s="65">
        <v>1</v>
      </c>
      <c r="I14" s="74">
        <f>$F$14*(I9/1000)</f>
        <v>0</v>
      </c>
      <c r="J14" s="74">
        <f t="shared" ref="J14:AV14" si="12">$F$14*(J9/1000)</f>
        <v>0</v>
      </c>
      <c r="K14" s="74">
        <f t="shared" si="12"/>
        <v>0</v>
      </c>
      <c r="L14" s="74">
        <f t="shared" si="12"/>
        <v>0</v>
      </c>
      <c r="M14" s="74">
        <f t="shared" si="12"/>
        <v>0</v>
      </c>
      <c r="N14" s="74">
        <f t="shared" si="12"/>
        <v>0</v>
      </c>
      <c r="O14" s="74">
        <f t="shared" si="12"/>
        <v>0</v>
      </c>
      <c r="P14" s="74">
        <f t="shared" si="12"/>
        <v>0</v>
      </c>
      <c r="Q14" s="74">
        <f t="shared" si="12"/>
        <v>0</v>
      </c>
      <c r="R14" s="74">
        <f t="shared" si="12"/>
        <v>0</v>
      </c>
      <c r="S14" s="74">
        <f t="shared" si="12"/>
        <v>0</v>
      </c>
      <c r="T14" s="74">
        <f t="shared" si="12"/>
        <v>0</v>
      </c>
      <c r="U14" s="74">
        <f t="shared" si="12"/>
        <v>0</v>
      </c>
      <c r="V14" s="74">
        <f t="shared" si="12"/>
        <v>0</v>
      </c>
      <c r="W14" s="74">
        <f t="shared" si="12"/>
        <v>0</v>
      </c>
      <c r="X14" s="74">
        <f t="shared" si="12"/>
        <v>0</v>
      </c>
      <c r="Y14" s="74">
        <f t="shared" si="12"/>
        <v>0</v>
      </c>
      <c r="Z14" s="74">
        <f t="shared" si="12"/>
        <v>0</v>
      </c>
      <c r="AA14" s="74">
        <f t="shared" si="12"/>
        <v>0</v>
      </c>
      <c r="AB14" s="74">
        <f t="shared" si="12"/>
        <v>0</v>
      </c>
      <c r="AC14" s="74">
        <f t="shared" si="12"/>
        <v>0</v>
      </c>
      <c r="AD14" s="74">
        <f t="shared" si="12"/>
        <v>0</v>
      </c>
      <c r="AE14" s="74">
        <f t="shared" si="12"/>
        <v>0</v>
      </c>
      <c r="AF14" s="74">
        <f t="shared" si="12"/>
        <v>0</v>
      </c>
      <c r="AG14" s="74">
        <f t="shared" si="12"/>
        <v>0</v>
      </c>
      <c r="AH14" s="74">
        <f t="shared" si="12"/>
        <v>0</v>
      </c>
      <c r="AI14" s="74">
        <f t="shared" si="12"/>
        <v>0</v>
      </c>
      <c r="AJ14" s="74">
        <f t="shared" si="12"/>
        <v>0</v>
      </c>
      <c r="AK14" s="74">
        <f t="shared" si="12"/>
        <v>0</v>
      </c>
      <c r="AL14" s="74">
        <f t="shared" si="12"/>
        <v>0</v>
      </c>
      <c r="AM14" s="74">
        <f t="shared" si="12"/>
        <v>0</v>
      </c>
      <c r="AN14" s="74">
        <f t="shared" si="12"/>
        <v>0</v>
      </c>
      <c r="AO14" s="74">
        <f t="shared" si="12"/>
        <v>0</v>
      </c>
      <c r="AP14" s="74">
        <f t="shared" si="12"/>
        <v>0</v>
      </c>
      <c r="AQ14" s="74">
        <f t="shared" si="12"/>
        <v>0</v>
      </c>
      <c r="AR14" s="74">
        <f t="shared" si="12"/>
        <v>0</v>
      </c>
      <c r="AS14" s="74">
        <f t="shared" si="12"/>
        <v>0</v>
      </c>
      <c r="AT14" s="74">
        <f t="shared" si="12"/>
        <v>0</v>
      </c>
      <c r="AU14" s="74">
        <f t="shared" si="12"/>
        <v>0</v>
      </c>
      <c r="AV14" s="74">
        <f t="shared" si="12"/>
        <v>0</v>
      </c>
      <c r="AW14" s="74">
        <f t="shared" ref="AW14:BO14" si="13">$F$14*(AW9/1000)</f>
        <v>0</v>
      </c>
      <c r="AX14" s="74">
        <f t="shared" si="13"/>
        <v>0</v>
      </c>
      <c r="AY14" s="74">
        <f t="shared" si="13"/>
        <v>0</v>
      </c>
      <c r="AZ14" s="74">
        <f t="shared" si="13"/>
        <v>0</v>
      </c>
      <c r="BA14" s="74">
        <f t="shared" si="13"/>
        <v>0</v>
      </c>
      <c r="BB14" s="74">
        <f t="shared" si="13"/>
        <v>0</v>
      </c>
      <c r="BC14" s="74">
        <f t="shared" si="13"/>
        <v>0</v>
      </c>
      <c r="BD14" s="74">
        <f t="shared" si="13"/>
        <v>0</v>
      </c>
      <c r="BE14" s="74">
        <f t="shared" si="13"/>
        <v>0</v>
      </c>
      <c r="BF14" s="74">
        <f t="shared" si="13"/>
        <v>0</v>
      </c>
      <c r="BG14" s="74">
        <f t="shared" si="13"/>
        <v>0</v>
      </c>
      <c r="BH14" s="74">
        <f t="shared" si="13"/>
        <v>0</v>
      </c>
      <c r="BI14" s="74">
        <f t="shared" si="13"/>
        <v>0</v>
      </c>
      <c r="BJ14" s="74">
        <f t="shared" si="13"/>
        <v>0</v>
      </c>
      <c r="BK14" s="74">
        <f t="shared" si="13"/>
        <v>0</v>
      </c>
      <c r="BL14" s="74">
        <f t="shared" si="13"/>
        <v>0</v>
      </c>
      <c r="BM14" s="74">
        <f t="shared" si="13"/>
        <v>0</v>
      </c>
      <c r="BN14" s="74">
        <f t="shared" si="13"/>
        <v>0</v>
      </c>
      <c r="BO14" s="74">
        <f t="shared" si="13"/>
        <v>0</v>
      </c>
      <c r="BP14" s="74">
        <f t="shared" ref="BP14:BV14" si="14">$F$14*(BP9/1000)</f>
        <v>0</v>
      </c>
      <c r="BQ14" s="74">
        <f t="shared" si="14"/>
        <v>0</v>
      </c>
      <c r="BR14" s="74">
        <f t="shared" si="14"/>
        <v>0</v>
      </c>
      <c r="BS14" s="74">
        <f t="shared" si="14"/>
        <v>0</v>
      </c>
      <c r="BT14" s="74">
        <f t="shared" si="14"/>
        <v>0</v>
      </c>
      <c r="BU14" s="74">
        <f t="shared" si="14"/>
        <v>0</v>
      </c>
      <c r="BV14" s="74">
        <f t="shared" si="14"/>
        <v>0</v>
      </c>
      <c r="BW14" s="74">
        <f>$F$14*(BW9/1000)</f>
        <v>0</v>
      </c>
      <c r="BX14" s="74">
        <f>$F$14*(BX9/1000)</f>
        <v>0</v>
      </c>
      <c r="BY14" s="74">
        <f>$F$14*(BY9/1000)</f>
        <v>0</v>
      </c>
      <c r="BZ14" s="74">
        <f t="shared" ref="BZ14:CH14" si="15">$F$14*(BZ9/1000)</f>
        <v>0</v>
      </c>
      <c r="CA14" s="74">
        <f t="shared" si="15"/>
        <v>0</v>
      </c>
      <c r="CB14" s="74">
        <f t="shared" si="15"/>
        <v>0</v>
      </c>
      <c r="CC14" s="74">
        <f t="shared" si="15"/>
        <v>0</v>
      </c>
      <c r="CD14" s="74">
        <f t="shared" si="15"/>
        <v>0</v>
      </c>
      <c r="CE14" s="74">
        <f t="shared" si="15"/>
        <v>0</v>
      </c>
      <c r="CF14" s="74">
        <f t="shared" si="15"/>
        <v>0</v>
      </c>
      <c r="CG14" s="74">
        <f t="shared" si="15"/>
        <v>0</v>
      </c>
      <c r="CH14" s="74">
        <f t="shared" si="15"/>
        <v>0</v>
      </c>
      <c r="CI14" s="74">
        <f>$F$14*(CI9/1000)</f>
        <v>0</v>
      </c>
      <c r="CJ14" s="74">
        <f>$F$14*(CJ9/1000)</f>
        <v>0</v>
      </c>
      <c r="CK14" s="74">
        <f>$F$14*(CK9/1000)</f>
        <v>0</v>
      </c>
      <c r="CL14" s="74">
        <f t="shared" ref="CL14:CU14" si="16">$F$14*(CL9/1000)</f>
        <v>0</v>
      </c>
      <c r="CM14" s="74">
        <f t="shared" si="16"/>
        <v>0</v>
      </c>
      <c r="CN14" s="74">
        <f t="shared" si="16"/>
        <v>0</v>
      </c>
      <c r="CO14" s="74">
        <f t="shared" si="16"/>
        <v>0</v>
      </c>
      <c r="CP14" s="74">
        <f t="shared" si="16"/>
        <v>0</v>
      </c>
      <c r="CQ14" s="74">
        <f t="shared" si="16"/>
        <v>0</v>
      </c>
      <c r="CR14" s="74">
        <f t="shared" si="16"/>
        <v>0</v>
      </c>
      <c r="CS14" s="74">
        <f t="shared" si="16"/>
        <v>0</v>
      </c>
      <c r="CT14" s="74">
        <f t="shared" si="16"/>
        <v>0</v>
      </c>
      <c r="CU14" s="74">
        <f t="shared" si="16"/>
        <v>0</v>
      </c>
      <c r="CV14" s="74">
        <f>$F$14*(CV9/1000)</f>
        <v>0</v>
      </c>
      <c r="CW14" s="74">
        <f>$F$14*(CW9/1000)</f>
        <v>0</v>
      </c>
      <c r="CX14" s="74">
        <f>$F$14*(CX9/1000)</f>
        <v>0</v>
      </c>
      <c r="CY14" s="74">
        <f t="shared" ref="CY14:EG14" si="17">$F$14*(CY9/1000)</f>
        <v>0</v>
      </c>
      <c r="CZ14" s="74">
        <f t="shared" si="17"/>
        <v>0</v>
      </c>
      <c r="DA14" s="74">
        <f t="shared" si="17"/>
        <v>0</v>
      </c>
      <c r="DB14" s="74">
        <f t="shared" si="17"/>
        <v>0</v>
      </c>
      <c r="DC14" s="74">
        <f t="shared" si="17"/>
        <v>0</v>
      </c>
      <c r="DD14" s="74">
        <f t="shared" si="17"/>
        <v>0</v>
      </c>
      <c r="DE14" s="74">
        <f t="shared" si="17"/>
        <v>0</v>
      </c>
      <c r="DF14" s="74">
        <f t="shared" si="17"/>
        <v>0</v>
      </c>
      <c r="DG14" s="74">
        <f t="shared" si="17"/>
        <v>0</v>
      </c>
      <c r="DH14" s="74">
        <f t="shared" si="17"/>
        <v>0</v>
      </c>
      <c r="DI14" s="74">
        <f t="shared" si="17"/>
        <v>0</v>
      </c>
      <c r="DJ14" s="74">
        <f t="shared" si="17"/>
        <v>0</v>
      </c>
      <c r="DK14" s="74">
        <f t="shared" si="17"/>
        <v>0</v>
      </c>
      <c r="DL14" s="74">
        <f t="shared" si="17"/>
        <v>0</v>
      </c>
      <c r="DM14" s="74">
        <f t="shared" si="17"/>
        <v>0</v>
      </c>
      <c r="DN14" s="74">
        <f t="shared" si="17"/>
        <v>0</v>
      </c>
      <c r="DO14" s="74">
        <f t="shared" si="17"/>
        <v>0</v>
      </c>
      <c r="DP14" s="74">
        <f t="shared" si="17"/>
        <v>0</v>
      </c>
      <c r="DQ14" s="74">
        <f t="shared" si="17"/>
        <v>0</v>
      </c>
      <c r="DR14" s="74">
        <f t="shared" si="17"/>
        <v>0</v>
      </c>
      <c r="DS14" s="74">
        <f t="shared" si="17"/>
        <v>0</v>
      </c>
      <c r="DT14" s="74">
        <f t="shared" si="17"/>
        <v>0</v>
      </c>
      <c r="DU14" s="74">
        <f t="shared" si="17"/>
        <v>0</v>
      </c>
      <c r="DV14" s="74">
        <f t="shared" si="17"/>
        <v>0</v>
      </c>
      <c r="DW14" s="74">
        <f t="shared" si="17"/>
        <v>0</v>
      </c>
      <c r="DX14" s="74">
        <f t="shared" si="17"/>
        <v>0</v>
      </c>
      <c r="DY14" s="74">
        <f t="shared" si="17"/>
        <v>0</v>
      </c>
      <c r="DZ14" s="74">
        <f t="shared" si="17"/>
        <v>0</v>
      </c>
      <c r="EA14" s="74">
        <f t="shared" si="17"/>
        <v>0</v>
      </c>
      <c r="EB14" s="74">
        <f t="shared" si="17"/>
        <v>0</v>
      </c>
      <c r="EC14" s="74">
        <f t="shared" si="17"/>
        <v>0</v>
      </c>
      <c r="ED14" s="74">
        <f t="shared" si="17"/>
        <v>0</v>
      </c>
      <c r="EE14" s="74">
        <f t="shared" si="17"/>
        <v>0</v>
      </c>
      <c r="EF14" s="74">
        <f t="shared" si="17"/>
        <v>0</v>
      </c>
      <c r="EG14" s="74">
        <f t="shared" si="17"/>
        <v>0</v>
      </c>
    </row>
    <row r="15" spans="1:185" ht="16" customHeight="1">
      <c r="A15" s="67"/>
      <c r="B15" s="100" t="s">
        <v>702</v>
      </c>
      <c r="D15" s="60">
        <v>242.23</v>
      </c>
      <c r="F15" s="65">
        <v>0.03</v>
      </c>
      <c r="I15" s="74">
        <f>$F$15*(I10/1000)</f>
        <v>0</v>
      </c>
      <c r="J15" s="74">
        <f t="shared" ref="J15:AV15" si="18">$F$15*(J10/1000)</f>
        <v>0</v>
      </c>
      <c r="K15" s="74">
        <f t="shared" si="18"/>
        <v>0</v>
      </c>
      <c r="L15" s="74">
        <f t="shared" si="18"/>
        <v>0</v>
      </c>
      <c r="M15" s="74">
        <f t="shared" si="18"/>
        <v>0</v>
      </c>
      <c r="N15" s="74">
        <f t="shared" si="18"/>
        <v>0</v>
      </c>
      <c r="O15" s="74">
        <f t="shared" si="18"/>
        <v>0</v>
      </c>
      <c r="P15" s="74">
        <f t="shared" si="18"/>
        <v>0</v>
      </c>
      <c r="Q15" s="74">
        <f t="shared" si="18"/>
        <v>0</v>
      </c>
      <c r="R15" s="74">
        <f t="shared" si="18"/>
        <v>0</v>
      </c>
      <c r="S15" s="74">
        <f t="shared" si="18"/>
        <v>0</v>
      </c>
      <c r="T15" s="74">
        <f t="shared" si="18"/>
        <v>0</v>
      </c>
      <c r="U15" s="74">
        <f t="shared" si="18"/>
        <v>0</v>
      </c>
      <c r="V15" s="74">
        <f t="shared" si="18"/>
        <v>0</v>
      </c>
      <c r="W15" s="74">
        <f t="shared" si="18"/>
        <v>0</v>
      </c>
      <c r="X15" s="74">
        <f t="shared" si="18"/>
        <v>0</v>
      </c>
      <c r="Y15" s="74">
        <f t="shared" si="18"/>
        <v>0</v>
      </c>
      <c r="Z15" s="74">
        <f t="shared" si="18"/>
        <v>0</v>
      </c>
      <c r="AA15" s="74">
        <f t="shared" si="18"/>
        <v>0</v>
      </c>
      <c r="AB15" s="74">
        <f t="shared" si="18"/>
        <v>0</v>
      </c>
      <c r="AC15" s="74">
        <f t="shared" si="18"/>
        <v>0</v>
      </c>
      <c r="AD15" s="74">
        <f t="shared" si="18"/>
        <v>0</v>
      </c>
      <c r="AE15" s="74">
        <f t="shared" si="18"/>
        <v>0</v>
      </c>
      <c r="AF15" s="74">
        <f t="shared" si="18"/>
        <v>0</v>
      </c>
      <c r="AG15" s="74">
        <f t="shared" si="18"/>
        <v>0</v>
      </c>
      <c r="AH15" s="74">
        <f t="shared" si="18"/>
        <v>0</v>
      </c>
      <c r="AI15" s="74">
        <f t="shared" si="18"/>
        <v>0</v>
      </c>
      <c r="AJ15" s="74">
        <f t="shared" si="18"/>
        <v>0</v>
      </c>
      <c r="AK15" s="74">
        <f t="shared" si="18"/>
        <v>0</v>
      </c>
      <c r="AL15" s="74">
        <f t="shared" si="18"/>
        <v>0</v>
      </c>
      <c r="AM15" s="74">
        <f t="shared" si="18"/>
        <v>0</v>
      </c>
      <c r="AN15" s="74">
        <f t="shared" si="18"/>
        <v>0</v>
      </c>
      <c r="AO15" s="74">
        <f t="shared" si="18"/>
        <v>0</v>
      </c>
      <c r="AP15" s="74">
        <f t="shared" si="18"/>
        <v>0</v>
      </c>
      <c r="AQ15" s="74">
        <f t="shared" si="18"/>
        <v>0</v>
      </c>
      <c r="AR15" s="74">
        <f t="shared" si="18"/>
        <v>0</v>
      </c>
      <c r="AS15" s="74">
        <f t="shared" si="18"/>
        <v>0</v>
      </c>
      <c r="AT15" s="74">
        <f t="shared" si="18"/>
        <v>0</v>
      </c>
      <c r="AU15" s="74">
        <f t="shared" si="18"/>
        <v>0</v>
      </c>
      <c r="AV15" s="74">
        <f t="shared" si="18"/>
        <v>0</v>
      </c>
      <c r="AW15" s="74">
        <f t="shared" ref="AW15:BO15" si="19">$F$15*(AW10/1000)</f>
        <v>0</v>
      </c>
      <c r="AX15" s="74">
        <f t="shared" si="19"/>
        <v>0</v>
      </c>
      <c r="AY15" s="74">
        <f t="shared" si="19"/>
        <v>0</v>
      </c>
      <c r="AZ15" s="74">
        <f t="shared" si="19"/>
        <v>0</v>
      </c>
      <c r="BA15" s="74">
        <f t="shared" si="19"/>
        <v>0</v>
      </c>
      <c r="BB15" s="74">
        <f t="shared" si="19"/>
        <v>0</v>
      </c>
      <c r="BC15" s="74">
        <f t="shared" si="19"/>
        <v>0</v>
      </c>
      <c r="BD15" s="74">
        <f t="shared" si="19"/>
        <v>0</v>
      </c>
      <c r="BE15" s="74">
        <f t="shared" si="19"/>
        <v>0</v>
      </c>
      <c r="BF15" s="74">
        <f t="shared" si="19"/>
        <v>0</v>
      </c>
      <c r="BG15" s="74">
        <f t="shared" si="19"/>
        <v>0</v>
      </c>
      <c r="BH15" s="74">
        <f t="shared" si="19"/>
        <v>0</v>
      </c>
      <c r="BI15" s="74">
        <f t="shared" si="19"/>
        <v>0</v>
      </c>
      <c r="BJ15" s="74">
        <f t="shared" si="19"/>
        <v>0</v>
      </c>
      <c r="BK15" s="74">
        <f t="shared" si="19"/>
        <v>0</v>
      </c>
      <c r="BL15" s="74">
        <f t="shared" si="19"/>
        <v>0</v>
      </c>
      <c r="BM15" s="74">
        <f t="shared" si="19"/>
        <v>0</v>
      </c>
      <c r="BN15" s="74">
        <f t="shared" si="19"/>
        <v>0</v>
      </c>
      <c r="BO15" s="74">
        <f t="shared" si="19"/>
        <v>0</v>
      </c>
      <c r="BP15" s="74">
        <f t="shared" ref="BP15:BV15" si="20">$F$15*(BP10/1000)</f>
        <v>0</v>
      </c>
      <c r="BQ15" s="74">
        <f t="shared" si="20"/>
        <v>0</v>
      </c>
      <c r="BR15" s="74">
        <f t="shared" si="20"/>
        <v>0</v>
      </c>
      <c r="BS15" s="74">
        <f t="shared" si="20"/>
        <v>0</v>
      </c>
      <c r="BT15" s="74">
        <f t="shared" si="20"/>
        <v>0</v>
      </c>
      <c r="BU15" s="74">
        <f t="shared" si="20"/>
        <v>0</v>
      </c>
      <c r="BV15" s="74">
        <f t="shared" si="20"/>
        <v>0</v>
      </c>
      <c r="BW15" s="74">
        <f>$F$15*(BW10/1000)</f>
        <v>0</v>
      </c>
      <c r="BX15" s="74">
        <f>$F$15*(BX10/1000)</f>
        <v>0</v>
      </c>
      <c r="BY15" s="74">
        <f>$F$15*(BY10/1000)</f>
        <v>0</v>
      </c>
      <c r="BZ15" s="74">
        <f t="shared" ref="BZ15:CH15" si="21">$F$15*(BZ10/1000)</f>
        <v>0</v>
      </c>
      <c r="CA15" s="74">
        <f t="shared" si="21"/>
        <v>0</v>
      </c>
      <c r="CB15" s="74">
        <f t="shared" si="21"/>
        <v>0</v>
      </c>
      <c r="CC15" s="74">
        <f t="shared" si="21"/>
        <v>0</v>
      </c>
      <c r="CD15" s="74">
        <f t="shared" si="21"/>
        <v>0</v>
      </c>
      <c r="CE15" s="74">
        <f t="shared" si="21"/>
        <v>0</v>
      </c>
      <c r="CF15" s="74">
        <f t="shared" si="21"/>
        <v>0</v>
      </c>
      <c r="CG15" s="74">
        <f t="shared" si="21"/>
        <v>0</v>
      </c>
      <c r="CH15" s="74">
        <f t="shared" si="21"/>
        <v>0</v>
      </c>
      <c r="CI15" s="74">
        <f>$F$15*(CI10/1000)</f>
        <v>0</v>
      </c>
      <c r="CJ15" s="74">
        <f>$F$15*(CJ10/1000)</f>
        <v>0</v>
      </c>
      <c r="CK15" s="74">
        <f>$F$15*(CK10/1000)</f>
        <v>0</v>
      </c>
      <c r="CL15" s="74">
        <f t="shared" ref="CL15:CU15" si="22">$F$15*(CL10/1000)</f>
        <v>0</v>
      </c>
      <c r="CM15" s="74">
        <f t="shared" si="22"/>
        <v>0</v>
      </c>
      <c r="CN15" s="74">
        <f t="shared" si="22"/>
        <v>0</v>
      </c>
      <c r="CO15" s="74">
        <f t="shared" si="22"/>
        <v>0</v>
      </c>
      <c r="CP15" s="74">
        <f t="shared" si="22"/>
        <v>0</v>
      </c>
      <c r="CQ15" s="74">
        <f t="shared" si="22"/>
        <v>0</v>
      </c>
      <c r="CR15" s="74">
        <f t="shared" si="22"/>
        <v>0</v>
      </c>
      <c r="CS15" s="74">
        <f t="shared" si="22"/>
        <v>0</v>
      </c>
      <c r="CT15" s="74">
        <f t="shared" si="22"/>
        <v>0</v>
      </c>
      <c r="CU15" s="74">
        <f t="shared" si="22"/>
        <v>0</v>
      </c>
      <c r="CV15" s="74">
        <f>$F$15*(CV10/1000)</f>
        <v>0</v>
      </c>
      <c r="CW15" s="74">
        <f>$F$15*(CW10/1000)</f>
        <v>0</v>
      </c>
      <c r="CX15" s="74">
        <f>$F$15*(CX10/1000)</f>
        <v>0</v>
      </c>
      <c r="CY15" s="74">
        <f t="shared" ref="CY15:EG15" si="23">$F$15*(CY10/1000)</f>
        <v>0</v>
      </c>
      <c r="CZ15" s="74">
        <f t="shared" si="23"/>
        <v>0</v>
      </c>
      <c r="DA15" s="74">
        <f t="shared" si="23"/>
        <v>0</v>
      </c>
      <c r="DB15" s="74">
        <f t="shared" si="23"/>
        <v>0</v>
      </c>
      <c r="DC15" s="74">
        <f t="shared" si="23"/>
        <v>0</v>
      </c>
      <c r="DD15" s="74">
        <f t="shared" si="23"/>
        <v>0</v>
      </c>
      <c r="DE15" s="74">
        <f t="shared" si="23"/>
        <v>0</v>
      </c>
      <c r="DF15" s="74">
        <f t="shared" si="23"/>
        <v>0</v>
      </c>
      <c r="DG15" s="74">
        <f t="shared" si="23"/>
        <v>0</v>
      </c>
      <c r="DH15" s="74">
        <f t="shared" si="23"/>
        <v>0</v>
      </c>
      <c r="DI15" s="74">
        <f t="shared" si="23"/>
        <v>0</v>
      </c>
      <c r="DJ15" s="74">
        <f t="shared" si="23"/>
        <v>0</v>
      </c>
      <c r="DK15" s="74">
        <f t="shared" si="23"/>
        <v>0</v>
      </c>
      <c r="DL15" s="74">
        <f t="shared" si="23"/>
        <v>0</v>
      </c>
      <c r="DM15" s="74">
        <f t="shared" si="23"/>
        <v>0</v>
      </c>
      <c r="DN15" s="74">
        <f t="shared" si="23"/>
        <v>0</v>
      </c>
      <c r="DO15" s="74">
        <f t="shared" si="23"/>
        <v>0</v>
      </c>
      <c r="DP15" s="74">
        <f t="shared" si="23"/>
        <v>0</v>
      </c>
      <c r="DQ15" s="74">
        <f t="shared" si="23"/>
        <v>0</v>
      </c>
      <c r="DR15" s="74">
        <f t="shared" si="23"/>
        <v>0</v>
      </c>
      <c r="DS15" s="74">
        <f t="shared" si="23"/>
        <v>0</v>
      </c>
      <c r="DT15" s="74">
        <f t="shared" si="23"/>
        <v>0</v>
      </c>
      <c r="DU15" s="74">
        <f t="shared" si="23"/>
        <v>0</v>
      </c>
      <c r="DV15" s="74">
        <f t="shared" si="23"/>
        <v>0</v>
      </c>
      <c r="DW15" s="74">
        <f t="shared" si="23"/>
        <v>0</v>
      </c>
      <c r="DX15" s="74">
        <f t="shared" si="23"/>
        <v>0</v>
      </c>
      <c r="DY15" s="74">
        <f t="shared" si="23"/>
        <v>0</v>
      </c>
      <c r="DZ15" s="74">
        <f t="shared" si="23"/>
        <v>0</v>
      </c>
      <c r="EA15" s="74">
        <f t="shared" si="23"/>
        <v>0</v>
      </c>
      <c r="EB15" s="74">
        <f t="shared" si="23"/>
        <v>0</v>
      </c>
      <c r="EC15" s="74">
        <f t="shared" si="23"/>
        <v>0</v>
      </c>
      <c r="ED15" s="74">
        <f t="shared" si="23"/>
        <v>0</v>
      </c>
      <c r="EE15" s="74">
        <f t="shared" si="23"/>
        <v>0</v>
      </c>
      <c r="EF15" s="74">
        <f t="shared" si="23"/>
        <v>0</v>
      </c>
      <c r="EG15" s="74">
        <f t="shared" si="23"/>
        <v>0</v>
      </c>
    </row>
    <row r="16" spans="1:185" s="104" customFormat="1">
      <c r="A16" s="104" t="s">
        <v>400</v>
      </c>
      <c r="H16" s="60"/>
      <c r="I16" s="105">
        <f>SUM(I12:I15)</f>
        <v>2.512076</v>
      </c>
      <c r="J16" s="105">
        <f t="shared" ref="J16:AV16" si="24">SUM(J12:J15)</f>
        <v>2.4979392499999999</v>
      </c>
      <c r="K16" s="105">
        <f t="shared" si="24"/>
        <v>2.1982379999999999</v>
      </c>
      <c r="L16" s="105">
        <f t="shared" si="24"/>
        <v>2.0610944999999998</v>
      </c>
      <c r="M16" s="105">
        <f t="shared" si="24"/>
        <v>2.103621</v>
      </c>
      <c r="N16" s="105">
        <f t="shared" si="24"/>
        <v>2.1692669999999996</v>
      </c>
      <c r="O16" s="105">
        <f t="shared" si="24"/>
        <v>2.2769819999999998</v>
      </c>
      <c r="P16" s="105">
        <f t="shared" si="24"/>
        <v>2.280516</v>
      </c>
      <c r="Q16" s="105">
        <f t="shared" si="24"/>
        <v>2.4519815</v>
      </c>
      <c r="R16" s="105">
        <f t="shared" si="24"/>
        <v>2.5253869999999998</v>
      </c>
      <c r="S16" s="105">
        <f t="shared" si="24"/>
        <v>3.0071624999999997</v>
      </c>
      <c r="T16" s="105">
        <f t="shared" si="24"/>
        <v>4.3001374999999999</v>
      </c>
      <c r="U16" s="105">
        <f t="shared" si="24"/>
        <v>4.1605062499999992</v>
      </c>
      <c r="V16" s="105">
        <f t="shared" si="24"/>
        <v>5.2580249999999999</v>
      </c>
      <c r="W16" s="105">
        <f t="shared" si="24"/>
        <v>6.1031899999999997</v>
      </c>
      <c r="X16" s="105">
        <f t="shared" si="24"/>
        <v>6.2408099999999997</v>
      </c>
      <c r="Y16" s="105">
        <f t="shared" si="24"/>
        <v>6.2649999999999988</v>
      </c>
      <c r="Z16" s="105">
        <f t="shared" si="24"/>
        <v>5.9665875000000002</v>
      </c>
      <c r="AA16" s="105">
        <f t="shared" si="24"/>
        <v>5.1851099999999999</v>
      </c>
      <c r="AB16" s="105">
        <f t="shared" si="24"/>
        <v>5.6148124999999993</v>
      </c>
      <c r="AC16" s="105">
        <f t="shared" si="24"/>
        <v>6.3880375000000003</v>
      </c>
      <c r="AD16" s="105">
        <f t="shared" si="24"/>
        <v>8.1105099999999997</v>
      </c>
      <c r="AE16" s="105">
        <f t="shared" si="24"/>
        <v>7.4778250000000002</v>
      </c>
      <c r="AF16" s="105">
        <f t="shared" si="24"/>
        <v>5.7761062499999998</v>
      </c>
      <c r="AG16" s="105">
        <f t="shared" si="24"/>
        <v>5.6346125000000002</v>
      </c>
      <c r="AH16" s="105">
        <f t="shared" si="24"/>
        <v>5.9134062499999995</v>
      </c>
      <c r="AI16" s="105">
        <f t="shared" si="24"/>
        <v>6.1725687499999999</v>
      </c>
      <c r="AJ16" s="105">
        <f t="shared" si="24"/>
        <v>6.3031199999999998</v>
      </c>
      <c r="AK16" s="105">
        <f t="shared" si="24"/>
        <v>6.1829999999999998</v>
      </c>
      <c r="AL16" s="105">
        <f t="shared" si="24"/>
        <v>6.1085374999999997</v>
      </c>
      <c r="AM16" s="105">
        <f t="shared" si="24"/>
        <v>4.7395299999999994</v>
      </c>
      <c r="AN16" s="105">
        <f t="shared" si="24"/>
        <v>3.9054124999999997</v>
      </c>
      <c r="AO16" s="105">
        <f t="shared" si="24"/>
        <v>3.3224149999999999</v>
      </c>
      <c r="AP16" s="105">
        <f t="shared" si="24"/>
        <v>3.2756625000000001</v>
      </c>
      <c r="AQ16" s="105">
        <f t="shared" si="24"/>
        <v>3.17395</v>
      </c>
      <c r="AR16" s="105">
        <f t="shared" si="24"/>
        <v>3.0942999999999996</v>
      </c>
      <c r="AS16" s="105">
        <f t="shared" si="24"/>
        <v>3.1513</v>
      </c>
      <c r="AT16" s="105">
        <f t="shared" si="24"/>
        <v>3.1819499999999996</v>
      </c>
      <c r="AU16" s="105">
        <f t="shared" si="24"/>
        <v>3.1754600000000002</v>
      </c>
      <c r="AV16" s="105">
        <f t="shared" si="24"/>
        <v>2.7811750000000002</v>
      </c>
      <c r="AW16" s="105">
        <f t="shared" ref="AW16:BO16" si="25">SUM(AW12:AW15)</f>
        <v>2.7325300000000006</v>
      </c>
      <c r="AX16" s="105">
        <f t="shared" si="25"/>
        <v>2.7047930000000004</v>
      </c>
      <c r="AY16" s="105">
        <f t="shared" si="25"/>
        <v>2.5999430000000001</v>
      </c>
      <c r="AZ16" s="105">
        <f t="shared" si="25"/>
        <v>2.540333</v>
      </c>
      <c r="BA16" s="105">
        <f t="shared" si="25"/>
        <v>2.5636330000000003</v>
      </c>
      <c r="BB16" s="105">
        <f t="shared" si="25"/>
        <v>2.5170330000000001</v>
      </c>
      <c r="BC16" s="105">
        <f t="shared" si="25"/>
        <v>2.5096989999999999</v>
      </c>
      <c r="BD16" s="105">
        <f t="shared" si="25"/>
        <v>2.756062</v>
      </c>
      <c r="BE16" s="105">
        <f t="shared" si="25"/>
        <v>2.8143120000000001</v>
      </c>
      <c r="BF16" s="105">
        <f t="shared" si="25"/>
        <v>2.849262</v>
      </c>
      <c r="BG16" s="105">
        <f t="shared" si="25"/>
        <v>2.9063369999999997</v>
      </c>
      <c r="BH16" s="105">
        <f t="shared" si="25"/>
        <v>2.9354619999999998</v>
      </c>
      <c r="BI16" s="105">
        <f t="shared" si="25"/>
        <v>3.0752619999999999</v>
      </c>
      <c r="BJ16" s="105">
        <f t="shared" si="25"/>
        <v>3.145162</v>
      </c>
      <c r="BK16" s="105">
        <f t="shared" si="25"/>
        <v>3.099075</v>
      </c>
      <c r="BL16" s="105">
        <f t="shared" si="25"/>
        <v>3.29392</v>
      </c>
      <c r="BM16" s="105">
        <f t="shared" si="25"/>
        <v>3.1680999999999999</v>
      </c>
      <c r="BN16" s="105">
        <f t="shared" si="25"/>
        <v>3.1492499999999999</v>
      </c>
      <c r="BO16" s="105">
        <f t="shared" si="25"/>
        <v>2.7304399999999998</v>
      </c>
      <c r="BP16" s="105">
        <f t="shared" ref="BP16:BV16" si="26">SUM(BP12:BP15)</f>
        <v>2.5533479999999997</v>
      </c>
      <c r="BQ16" s="105">
        <f t="shared" si="26"/>
        <v>2.5533479999999997</v>
      </c>
      <c r="BR16" s="105">
        <f t="shared" si="26"/>
        <v>2.5533479999999997</v>
      </c>
      <c r="BS16" s="105">
        <f t="shared" si="26"/>
        <v>2.567313</v>
      </c>
      <c r="BT16" s="105">
        <f t="shared" si="26"/>
        <v>2.6853300000000004</v>
      </c>
      <c r="BU16" s="105">
        <f t="shared" si="26"/>
        <v>2.6154299999999999</v>
      </c>
      <c r="BV16" s="105">
        <f t="shared" si="26"/>
        <v>2.6212550000000001</v>
      </c>
      <c r="BW16" s="105">
        <f>SUM(BW12:BW15)</f>
        <v>2.7721610000000001</v>
      </c>
      <c r="BX16" s="105">
        <f>SUM(BX12:BX15)</f>
        <v>2.9482499999999998</v>
      </c>
      <c r="BY16" s="105">
        <f>SUM(BY12:BY15)</f>
        <v>2.9482499999999998</v>
      </c>
      <c r="BZ16" s="105">
        <f t="shared" ref="BZ16:CH16" si="27">SUM(BZ12:BZ15)</f>
        <v>2.9848499999999998</v>
      </c>
      <c r="CA16" s="105">
        <f t="shared" si="27"/>
        <v>2.9848499999999998</v>
      </c>
      <c r="CB16" s="105">
        <f t="shared" si="27"/>
        <v>3.0011599999999996</v>
      </c>
      <c r="CC16" s="105">
        <f t="shared" si="27"/>
        <v>2.9906749999999995</v>
      </c>
      <c r="CD16" s="105">
        <f t="shared" si="27"/>
        <v>3.0081499999999997</v>
      </c>
      <c r="CE16" s="105">
        <f t="shared" si="27"/>
        <v>3.0803499999999997</v>
      </c>
      <c r="CF16" s="105">
        <f t="shared" si="27"/>
        <v>3.0803499999999997</v>
      </c>
      <c r="CG16" s="105">
        <f t="shared" si="27"/>
        <v>3.0570499999999998</v>
      </c>
      <c r="CH16" s="105">
        <f t="shared" si="27"/>
        <v>3.0398249999999996</v>
      </c>
      <c r="CI16" s="105">
        <f>SUM(CI12:CI15)</f>
        <v>3.0672999999999999</v>
      </c>
      <c r="CJ16" s="105">
        <f>SUM(CJ12:CJ15)</f>
        <v>3.0789499999999999</v>
      </c>
      <c r="CK16" s="105">
        <f>SUM(CK12:CK15)</f>
        <v>3.0789499999999999</v>
      </c>
      <c r="CL16" s="105">
        <f t="shared" ref="CL16:CU16" si="28">SUM(CL12:CL15)</f>
        <v>2.7209519999999996</v>
      </c>
      <c r="CM16" s="105">
        <f t="shared" si="28"/>
        <v>2.7209519999999996</v>
      </c>
      <c r="CN16" s="105">
        <f t="shared" si="28"/>
        <v>2.6860020000000002</v>
      </c>
      <c r="CO16" s="105">
        <f t="shared" si="28"/>
        <v>2.6860020000000002</v>
      </c>
      <c r="CP16" s="105">
        <f t="shared" si="28"/>
        <v>2.6860020000000002</v>
      </c>
      <c r="CQ16" s="105">
        <f t="shared" si="28"/>
        <v>2.6627019999999999</v>
      </c>
      <c r="CR16" s="105">
        <f t="shared" si="28"/>
        <v>2.6647889999999999</v>
      </c>
      <c r="CS16" s="105">
        <f t="shared" si="28"/>
        <v>2.557328</v>
      </c>
      <c r="CT16" s="105">
        <f t="shared" si="28"/>
        <v>2.5456780000000001</v>
      </c>
      <c r="CU16" s="105">
        <f t="shared" si="28"/>
        <v>2.524699</v>
      </c>
      <c r="CV16" s="105">
        <f>SUM(CV12:CV15)</f>
        <v>2.5188740000000003</v>
      </c>
      <c r="CW16" s="105">
        <f>SUM(CW12:CW15)</f>
        <v>2.532041</v>
      </c>
      <c r="CX16" s="105">
        <f>SUM(CX12:CX15)</f>
        <v>2.5378660000000002</v>
      </c>
      <c r="CY16" s="105">
        <f t="shared" ref="CY16:EG16" si="29">SUM(CY12:CY15)</f>
        <v>2.547825</v>
      </c>
      <c r="CZ16" s="105">
        <f t="shared" si="29"/>
        <v>2.547825</v>
      </c>
      <c r="DA16" s="105">
        <f t="shared" si="29"/>
        <v>2.547825</v>
      </c>
      <c r="DB16" s="105">
        <f t="shared" si="29"/>
        <v>2.5641350000000003</v>
      </c>
      <c r="DC16" s="105">
        <f t="shared" si="29"/>
        <v>2.5641350000000003</v>
      </c>
      <c r="DD16" s="105">
        <f t="shared" si="29"/>
        <v>2.4716750000000003</v>
      </c>
      <c r="DE16" s="105">
        <f t="shared" si="29"/>
        <v>2.4716750000000003</v>
      </c>
      <c r="DF16" s="105">
        <f t="shared" si="29"/>
        <v>2.467015</v>
      </c>
      <c r="DG16" s="105">
        <f t="shared" si="29"/>
        <v>2.3472249999999999</v>
      </c>
      <c r="DH16" s="105">
        <f t="shared" si="29"/>
        <v>2.366225</v>
      </c>
      <c r="DI16" s="105">
        <f t="shared" si="29"/>
        <v>2.3545749999999996</v>
      </c>
      <c r="DJ16" s="105">
        <f t="shared" si="29"/>
        <v>2.3487499999999999</v>
      </c>
      <c r="DK16" s="105">
        <f t="shared" si="29"/>
        <v>2.3323499999999999</v>
      </c>
      <c r="DL16" s="105">
        <f t="shared" si="29"/>
        <v>2.3217749999999997</v>
      </c>
      <c r="DM16" s="105">
        <f t="shared" si="29"/>
        <v>2.3006250000000001</v>
      </c>
      <c r="DN16" s="105">
        <f t="shared" si="29"/>
        <v>2.317475</v>
      </c>
      <c r="DO16" s="105">
        <f t="shared" si="29"/>
        <v>2.317475</v>
      </c>
      <c r="DP16" s="105">
        <f t="shared" si="29"/>
        <v>2.317475</v>
      </c>
      <c r="DQ16" s="105">
        <f t="shared" si="29"/>
        <v>2.3554749999999998</v>
      </c>
      <c r="DR16" s="105">
        <f t="shared" si="29"/>
        <v>2.34965</v>
      </c>
      <c r="DS16" s="105">
        <f t="shared" si="29"/>
        <v>2.3306500000000003</v>
      </c>
      <c r="DT16" s="105">
        <f t="shared" si="29"/>
        <v>0</v>
      </c>
      <c r="DU16" s="105">
        <f t="shared" si="29"/>
        <v>0</v>
      </c>
      <c r="DV16" s="105">
        <f t="shared" si="29"/>
        <v>0</v>
      </c>
      <c r="DW16" s="105">
        <f t="shared" si="29"/>
        <v>0</v>
      </c>
      <c r="DX16" s="105">
        <f t="shared" si="29"/>
        <v>0</v>
      </c>
      <c r="DY16" s="105">
        <f t="shared" si="29"/>
        <v>0</v>
      </c>
      <c r="DZ16" s="105">
        <f t="shared" si="29"/>
        <v>0</v>
      </c>
      <c r="EA16" s="105">
        <f t="shared" si="29"/>
        <v>0</v>
      </c>
      <c r="EB16" s="105">
        <f t="shared" si="29"/>
        <v>0</v>
      </c>
      <c r="EC16" s="105">
        <f t="shared" si="29"/>
        <v>0</v>
      </c>
      <c r="ED16" s="105">
        <f t="shared" si="29"/>
        <v>0</v>
      </c>
      <c r="EE16" s="105">
        <f t="shared" si="29"/>
        <v>0</v>
      </c>
      <c r="EF16" s="105">
        <f t="shared" si="29"/>
        <v>0</v>
      </c>
      <c r="EG16" s="105">
        <f t="shared" si="29"/>
        <v>0</v>
      </c>
    </row>
    <row r="17" spans="2:48">
      <c r="H17" s="60" t="s">
        <v>429</v>
      </c>
      <c r="I17" s="74"/>
      <c r="J17" s="74"/>
      <c r="K17" s="74"/>
      <c r="L17" s="74"/>
      <c r="M17" s="74"/>
      <c r="N17" s="74"/>
      <c r="O17" s="74"/>
      <c r="P17" s="74"/>
      <c r="Q17" s="74"/>
      <c r="R17" s="74"/>
      <c r="S17" s="74"/>
      <c r="T17" s="74"/>
      <c r="U17" s="74"/>
      <c r="V17" s="74"/>
      <c r="W17" s="74"/>
      <c r="X17" s="74"/>
      <c r="Y17" s="74"/>
      <c r="Z17" s="74"/>
      <c r="AA17" s="74"/>
      <c r="AB17" s="74"/>
      <c r="AC17" s="74"/>
      <c r="AD17" s="74"/>
      <c r="AE17" s="74"/>
      <c r="AF17" s="74"/>
      <c r="AG17" s="74"/>
      <c r="AH17" s="74"/>
      <c r="AI17" s="74"/>
      <c r="AJ17" s="74"/>
      <c r="AK17" s="74"/>
      <c r="AL17" s="74"/>
      <c r="AM17" s="74"/>
      <c r="AN17" s="74"/>
      <c r="AO17" s="74"/>
      <c r="AP17" s="74"/>
      <c r="AQ17" s="74"/>
      <c r="AR17" s="74"/>
      <c r="AS17" s="74"/>
      <c r="AT17" s="74"/>
      <c r="AU17" s="74"/>
      <c r="AV17" s="74"/>
    </row>
    <row r="18" spans="2:48">
      <c r="H18" s="60" t="s">
        <v>406</v>
      </c>
      <c r="I18" s="74"/>
      <c r="J18" s="74"/>
      <c r="K18" s="74"/>
      <c r="L18" s="74"/>
      <c r="M18" s="74"/>
      <c r="N18" s="74"/>
      <c r="O18" s="74"/>
      <c r="P18" s="74"/>
      <c r="Q18" s="74"/>
      <c r="R18" s="74"/>
      <c r="S18" s="74"/>
      <c r="T18" s="74"/>
      <c r="U18" s="74"/>
      <c r="V18" s="74"/>
      <c r="W18" s="74"/>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row>
    <row r="20" spans="2:48" ht="13" thickBot="1"/>
    <row r="21" spans="2:48" ht="13" thickBot="1">
      <c r="H21" s="106" t="s">
        <v>407</v>
      </c>
      <c r="I21" s="109"/>
      <c r="J21" s="109"/>
      <c r="K21" s="109"/>
      <c r="L21" s="109"/>
      <c r="M21" s="109"/>
      <c r="N21" s="109"/>
      <c r="O21" s="109"/>
      <c r="P21" s="109"/>
      <c r="Q21" s="109"/>
      <c r="R21" s="109"/>
      <c r="S21" s="109"/>
      <c r="T21" s="109"/>
      <c r="U21" s="109"/>
      <c r="V21" s="109"/>
      <c r="W21" s="109"/>
      <c r="X21" s="109"/>
      <c r="Y21" s="109"/>
      <c r="Z21" s="109"/>
      <c r="AA21" s="109"/>
      <c r="AB21" s="109"/>
      <c r="AC21" s="109"/>
      <c r="AD21" s="109"/>
      <c r="AE21" s="109"/>
      <c r="AF21" s="109"/>
      <c r="AG21" s="109"/>
      <c r="AH21" s="109"/>
      <c r="AI21" s="109"/>
      <c r="AJ21" s="109"/>
      <c r="AK21" s="109"/>
      <c r="AL21" s="109"/>
      <c r="AM21" s="109"/>
      <c r="AN21" s="109"/>
      <c r="AO21" s="109"/>
      <c r="AP21" s="109"/>
      <c r="AQ21" s="109"/>
      <c r="AR21" s="109"/>
      <c r="AS21" s="109"/>
      <c r="AT21" s="109"/>
      <c r="AU21" s="109"/>
    </row>
    <row r="23" spans="2:48">
      <c r="B23" s="65"/>
    </row>
  </sheetData>
  <phoneticPr fontId="52" type="noConversion"/>
  <conditionalFormatting sqref="I18:AU18">
    <cfRule type="top10" dxfId="23" priority="1" bottom="1" rank="1"/>
  </conditionalFormatting>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2"/>
  <dimension ref="A1:EF17"/>
  <sheetViews>
    <sheetView workbookViewId="0">
      <pane xSplit="11" ySplit="6" topLeftCell="BP7" activePane="bottomRight" state="frozen"/>
      <selection pane="topRight" activeCell="L1" sqref="L1"/>
      <selection pane="bottomLeft" activeCell="A7" sqref="A7"/>
      <selection pane="bottomRight" activeCell="B3" sqref="B3"/>
    </sheetView>
  </sheetViews>
  <sheetFormatPr baseColWidth="10" defaultColWidth="5.5" defaultRowHeight="12"/>
  <cols>
    <col min="1" max="1" width="13.33203125" style="60" bestFit="1" customWidth="1"/>
    <col min="2" max="2" width="11.33203125" style="60" bestFit="1" customWidth="1"/>
    <col min="3" max="3" width="4.83203125" style="60" bestFit="1" customWidth="1"/>
    <col min="4" max="4" width="6.83203125" style="60" bestFit="1" customWidth="1"/>
    <col min="5" max="5" width="7.5" style="60" bestFit="1" customWidth="1"/>
    <col min="6" max="6" width="6" style="60" bestFit="1" customWidth="1"/>
    <col min="7" max="7" width="5.5" style="60"/>
    <col min="8" max="8" width="22.83203125" style="60" bestFit="1" customWidth="1"/>
    <col min="9" max="11" width="6.1640625" style="60" bestFit="1" customWidth="1"/>
    <col min="12" max="12" width="5.5" style="60"/>
    <col min="13" max="13" width="5.83203125" style="60" bestFit="1" customWidth="1"/>
    <col min="14" max="15" width="6.1640625" style="60" bestFit="1" customWidth="1"/>
    <col min="16" max="16" width="5.5" style="60" bestFit="1" customWidth="1"/>
    <col min="17" max="38" width="6.1640625" style="60" bestFit="1" customWidth="1"/>
    <col min="39" max="39" width="5.5" style="60"/>
    <col min="40" max="40" width="5.5" style="60" bestFit="1" customWidth="1"/>
    <col min="41" max="42" width="6.1640625" style="60" bestFit="1" customWidth="1"/>
    <col min="43" max="43" width="5.6640625" style="60" bestFit="1" customWidth="1"/>
    <col min="44" max="44" width="5.5" style="60" bestFit="1" customWidth="1"/>
    <col min="45" max="46" width="5.5" style="60"/>
    <col min="47" max="48" width="6.1640625" style="60" bestFit="1" customWidth="1"/>
    <col min="49" max="49" width="5.83203125" style="60" bestFit="1" customWidth="1"/>
    <col min="50" max="51" width="5.5" style="60"/>
    <col min="52" max="54" width="7" style="60" bestFit="1" customWidth="1"/>
    <col min="55" max="56" width="5.5" style="60" bestFit="1" customWidth="1"/>
    <col min="57" max="58" width="5.83203125" style="60" bestFit="1" customWidth="1"/>
    <col min="59" max="62" width="6.1640625" style="60" bestFit="1" customWidth="1"/>
    <col min="63" max="66" width="5.83203125" style="60" bestFit="1" customWidth="1"/>
    <col min="67" max="70" width="5.6640625" style="60" bestFit="1" customWidth="1"/>
    <col min="71" max="74" width="5.5" style="60" bestFit="1" customWidth="1"/>
    <col min="75" max="82" width="5.5" style="60"/>
    <col min="83" max="83" width="6.1640625" style="60" bestFit="1" customWidth="1"/>
    <col min="84" max="86" width="5.6640625" style="60" bestFit="1" customWidth="1"/>
    <col min="87" max="90" width="5.5" style="60" bestFit="1" customWidth="1"/>
    <col min="91" max="95" width="6.33203125" style="60" bestFit="1" customWidth="1"/>
    <col min="96" max="98" width="5.1640625" style="60" bestFit="1" customWidth="1"/>
    <col min="99" max="99" width="5.5" style="60" bestFit="1" customWidth="1"/>
    <col min="100" max="101" width="5.1640625" style="60" bestFit="1" customWidth="1"/>
    <col min="102" max="105" width="3.33203125" style="60" bestFit="1" customWidth="1"/>
    <col min="106" max="16384" width="5.5" style="60"/>
  </cols>
  <sheetData>
    <row r="1" spans="1:136" ht="26">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row>
    <row r="2" spans="1:136" ht="26">
      <c r="A2" s="100" t="s">
        <v>703</v>
      </c>
      <c r="B2" s="100" t="s">
        <v>704</v>
      </c>
      <c r="C2" s="101">
        <v>1</v>
      </c>
      <c r="D2" s="112">
        <v>62.06</v>
      </c>
      <c r="E2" s="60">
        <f>D2*C2</f>
        <v>62.06</v>
      </c>
      <c r="K2" s="102"/>
      <c r="M2" s="102"/>
    </row>
    <row r="3" spans="1:136" ht="13">
      <c r="A3" s="100" t="s">
        <v>705</v>
      </c>
      <c r="B3" s="112" t="s">
        <v>706</v>
      </c>
      <c r="D3" s="100"/>
      <c r="E3" s="64"/>
      <c r="F3" s="103"/>
    </row>
    <row r="4" spans="1:136">
      <c r="A4" s="64"/>
      <c r="B4" s="64"/>
      <c r="D4" s="64"/>
      <c r="E4" s="64"/>
      <c r="H4" s="60" t="s">
        <v>387</v>
      </c>
    </row>
    <row r="5" spans="1:136">
      <c r="A5" s="74"/>
      <c r="B5" s="74"/>
    </row>
    <row r="6" spans="1:136">
      <c r="A6" s="59"/>
      <c r="B6" s="59"/>
      <c r="C6" s="59"/>
      <c r="D6" s="98"/>
      <c r="E6" s="98"/>
      <c r="F6" s="59"/>
      <c r="H6" s="59" t="s">
        <v>416</v>
      </c>
      <c r="I6" s="59">
        <v>43831</v>
      </c>
      <c r="J6" s="59">
        <v>43862</v>
      </c>
      <c r="K6" s="59">
        <v>43891</v>
      </c>
      <c r="L6" s="59">
        <v>43922</v>
      </c>
      <c r="M6" s="59">
        <v>43952</v>
      </c>
      <c r="N6" s="59">
        <v>43983</v>
      </c>
      <c r="O6" s="59">
        <v>44013</v>
      </c>
      <c r="P6" s="59">
        <v>44044</v>
      </c>
      <c r="Q6" s="59">
        <v>44075</v>
      </c>
      <c r="R6" s="59">
        <v>44105</v>
      </c>
      <c r="S6" s="59">
        <v>44136</v>
      </c>
      <c r="T6" s="59">
        <v>44166</v>
      </c>
      <c r="U6" s="59">
        <v>44197</v>
      </c>
      <c r="V6" s="59">
        <v>44228</v>
      </c>
      <c r="W6" s="59">
        <v>44256</v>
      </c>
      <c r="X6" s="59">
        <v>44287</v>
      </c>
      <c r="Y6" s="59">
        <v>44317</v>
      </c>
      <c r="Z6" s="59">
        <v>44348</v>
      </c>
      <c r="AA6" s="59">
        <v>44378</v>
      </c>
      <c r="AB6" s="59">
        <v>44409</v>
      </c>
      <c r="AC6" s="59">
        <v>44440</v>
      </c>
      <c r="AD6" s="59">
        <v>44470</v>
      </c>
      <c r="AE6" s="59">
        <v>44501</v>
      </c>
      <c r="AF6" s="59">
        <v>44531</v>
      </c>
      <c r="AG6" s="59">
        <v>44562</v>
      </c>
      <c r="AH6" s="59">
        <v>44593</v>
      </c>
      <c r="AI6" s="59">
        <v>44621</v>
      </c>
      <c r="AJ6" s="59">
        <v>44652</v>
      </c>
      <c r="AK6" s="59">
        <v>44682</v>
      </c>
      <c r="AL6" s="59">
        <v>44713</v>
      </c>
      <c r="AM6" s="59">
        <v>44743</v>
      </c>
      <c r="AN6" s="59">
        <v>44774</v>
      </c>
      <c r="AO6" s="59">
        <v>44805</v>
      </c>
      <c r="AP6" s="59">
        <v>44835</v>
      </c>
      <c r="AQ6" s="59">
        <v>44866</v>
      </c>
      <c r="AR6" s="59">
        <v>44896</v>
      </c>
      <c r="AS6" s="59">
        <v>44927</v>
      </c>
      <c r="AT6" s="59">
        <v>44958</v>
      </c>
      <c r="AU6" s="59">
        <v>44986</v>
      </c>
      <c r="AV6" s="59">
        <v>45017</v>
      </c>
      <c r="AW6" s="59">
        <v>45047</v>
      </c>
      <c r="AX6" s="59">
        <v>45078</v>
      </c>
      <c r="AY6" s="59">
        <v>45108</v>
      </c>
      <c r="AZ6" s="59" t="s">
        <v>530</v>
      </c>
      <c r="BA6" s="59" t="s">
        <v>531</v>
      </c>
      <c r="BB6" s="59" t="s">
        <v>532</v>
      </c>
      <c r="BC6" s="59">
        <v>37104</v>
      </c>
      <c r="BD6" s="59">
        <v>37469</v>
      </c>
      <c r="BE6" s="59" t="s">
        <v>168</v>
      </c>
      <c r="BF6" s="59" t="s">
        <v>169</v>
      </c>
      <c r="BG6" s="59" t="s">
        <v>393</v>
      </c>
      <c r="BH6" s="59" t="s">
        <v>458</v>
      </c>
      <c r="BI6" s="59" t="s">
        <v>459</v>
      </c>
      <c r="BJ6" s="59" t="s">
        <v>460</v>
      </c>
      <c r="BK6" s="59" t="s">
        <v>596</v>
      </c>
      <c r="BL6" s="59" t="s">
        <v>597</v>
      </c>
      <c r="BM6" s="59" t="s">
        <v>598</v>
      </c>
      <c r="BN6" s="59" t="s">
        <v>599</v>
      </c>
      <c r="BO6" s="59">
        <v>37196</v>
      </c>
      <c r="BP6" s="59">
        <v>37561</v>
      </c>
      <c r="BQ6" s="59">
        <v>37926</v>
      </c>
      <c r="BR6" s="59">
        <v>38292</v>
      </c>
      <c r="BS6" s="59">
        <v>37226</v>
      </c>
      <c r="BT6" s="59">
        <v>37591</v>
      </c>
      <c r="BU6" s="59">
        <v>37956</v>
      </c>
      <c r="BV6" s="59">
        <v>38322</v>
      </c>
      <c r="BW6" s="59">
        <v>36892</v>
      </c>
      <c r="BX6" s="59">
        <v>37257</v>
      </c>
      <c r="BY6" s="59">
        <v>37622</v>
      </c>
      <c r="BZ6" s="59">
        <v>37987</v>
      </c>
      <c r="CA6" s="59">
        <v>36923</v>
      </c>
      <c r="CB6" s="59">
        <v>37288</v>
      </c>
      <c r="CC6" s="59">
        <v>37653</v>
      </c>
      <c r="CD6" s="59">
        <v>38018</v>
      </c>
      <c r="CE6" s="59" t="str">
        <f>Sheet8!A15</f>
        <v>Mar-w1</v>
      </c>
      <c r="CF6" s="59">
        <v>37316</v>
      </c>
      <c r="CG6" s="59">
        <v>37681</v>
      </c>
      <c r="CH6" s="59">
        <v>38047</v>
      </c>
      <c r="CI6" s="59" t="str">
        <f>Sheet8!E15</f>
        <v>Apr-w1</v>
      </c>
      <c r="CJ6" s="59" t="str">
        <f>Sheet8!F15</f>
        <v>Apr-w2</v>
      </c>
      <c r="CK6" s="59" t="str">
        <f>Sheet8!G15</f>
        <v>Apr-w3</v>
      </c>
      <c r="CL6" s="59" t="str">
        <f>Sheet8!H15</f>
        <v>Apr-w4</v>
      </c>
      <c r="CM6" s="59" t="str">
        <f>Sheet8!I15</f>
        <v>May-w1</v>
      </c>
      <c r="CN6" s="59" t="str">
        <f>Sheet8!J15</f>
        <v>May-w2</v>
      </c>
      <c r="CO6" s="59" t="str">
        <f>Sheet8!K15</f>
        <v>May-w3</v>
      </c>
      <c r="CP6" s="59" t="str">
        <f>Sheet8!L15</f>
        <v>May-w4</v>
      </c>
      <c r="CQ6" s="59" t="str">
        <f>Sheet8!M15</f>
        <v>May-w5</v>
      </c>
      <c r="CR6" s="59" t="str">
        <f>Sheet8!N15</f>
        <v>june-w1</v>
      </c>
      <c r="CS6" s="59" t="str">
        <f>Sheet8!O15</f>
        <v>june-w2</v>
      </c>
      <c r="CT6" s="59" t="str">
        <f>Sheet8!P15</f>
        <v>june-w3</v>
      </c>
      <c r="CU6" s="59" t="str">
        <f>Sheet8!Q15</f>
        <v>june-w4</v>
      </c>
      <c r="CV6" s="59" t="str">
        <f>Sheet8!R15</f>
        <v>Jul-w1</v>
      </c>
      <c r="CW6" s="59" t="str">
        <f>Sheet8!S15</f>
        <v>Jul-w2</v>
      </c>
      <c r="CX6" s="59" t="str">
        <f>Sheet8!T15</f>
        <v>Jul-w3</v>
      </c>
      <c r="CY6" s="59" t="str">
        <f>Sheet8!U15</f>
        <v>Jul-w4</v>
      </c>
      <c r="CZ6" s="59" t="str">
        <f>Sheet8!V15</f>
        <v>Aug-w1</v>
      </c>
      <c r="DA6" s="59" t="str">
        <f>Sheet8!W15</f>
        <v>Aug-w2</v>
      </c>
      <c r="DB6" s="59" t="str">
        <f>Sheet8!X15</f>
        <v>Aug-w3</v>
      </c>
      <c r="DC6" s="59" t="str">
        <f>Sheet8!Y15</f>
        <v>Aug-w4</v>
      </c>
      <c r="DD6" s="59" t="str">
        <f>Sheet8!Z15</f>
        <v>Sep-w1</v>
      </c>
      <c r="DE6" s="59" t="str">
        <f>Sheet8!AA15</f>
        <v>Sep-w2</v>
      </c>
      <c r="DF6" s="59" t="str">
        <f>Sheet8!AB15</f>
        <v>Sep-w3</v>
      </c>
      <c r="DG6" s="59" t="str">
        <f>Sheet8!AC15</f>
        <v>Sep-w4</v>
      </c>
      <c r="DH6" s="59" t="str">
        <f>Sheet8!AD15</f>
        <v>Oct-w1</v>
      </c>
      <c r="DI6" s="59" t="str">
        <f>Sheet8!AE15</f>
        <v>Oct-w2</v>
      </c>
      <c r="DJ6" s="59" t="str">
        <f>Sheet8!AF15</f>
        <v>Oct-w3</v>
      </c>
      <c r="DK6" s="59" t="str">
        <f>Sheet8!AG15</f>
        <v>Oct-w4</v>
      </c>
      <c r="DL6" s="59" t="str">
        <f>Sheet8!AH15</f>
        <v>Nov-w1</v>
      </c>
      <c r="DM6" s="59" t="str">
        <f>Sheet8!AI15</f>
        <v>Nov-w2</v>
      </c>
      <c r="DN6" s="59" t="str">
        <f>Sheet8!AJ15</f>
        <v>Nov-w3</v>
      </c>
      <c r="DO6" s="59" t="str">
        <f>Sheet8!AK15</f>
        <v>Nov-w4</v>
      </c>
      <c r="DP6" s="59" t="str">
        <f>Sheet8!AL15</f>
        <v>Dec-w1</v>
      </c>
      <c r="DQ6" s="59" t="str">
        <f>Sheet8!AM15</f>
        <v>Dec-w2</v>
      </c>
      <c r="DR6" s="59" t="str">
        <f>Sheet8!AN15</f>
        <v>Dec-w3</v>
      </c>
      <c r="DS6" s="59" t="str">
        <f>Sheet8!AO15</f>
        <v>Dec-w4</v>
      </c>
      <c r="DT6" s="59">
        <f>Sheet8!AP15</f>
        <v>0</v>
      </c>
      <c r="DU6" s="59">
        <f>Sheet8!AQ15</f>
        <v>0</v>
      </c>
      <c r="DV6" s="59">
        <f>Sheet8!AR15</f>
        <v>0</v>
      </c>
      <c r="DW6" s="59">
        <f>Sheet8!AS15</f>
        <v>0</v>
      </c>
      <c r="DX6" s="59">
        <f>Sheet8!AT15</f>
        <v>0</v>
      </c>
      <c r="DY6" s="59">
        <f>Sheet8!AU15</f>
        <v>0</v>
      </c>
      <c r="DZ6" s="59">
        <f>Sheet8!AV15</f>
        <v>0</v>
      </c>
      <c r="EA6" s="59">
        <f>Sheet8!AW15</f>
        <v>0</v>
      </c>
      <c r="EB6" s="59">
        <f>Sheet8!AX15</f>
        <v>0</v>
      </c>
      <c r="EC6" s="59">
        <f>Sheet8!AY15</f>
        <v>0</v>
      </c>
      <c r="ED6" s="59">
        <f>Sheet8!AZ15</f>
        <v>0</v>
      </c>
      <c r="EE6" s="59">
        <f>Sheet8!BA15</f>
        <v>0</v>
      </c>
      <c r="EF6" s="59">
        <f>Sheet8!BB15</f>
        <v>0</v>
      </c>
    </row>
    <row r="7" spans="1:136">
      <c r="A7" s="84"/>
      <c r="B7" s="84"/>
      <c r="C7" s="84"/>
      <c r="D7" s="246"/>
      <c r="E7" s="246"/>
      <c r="F7" s="84"/>
      <c r="H7" s="44"/>
      <c r="I7" s="247"/>
      <c r="J7" s="247"/>
      <c r="K7" s="247"/>
      <c r="L7" s="247"/>
      <c r="M7" s="247"/>
      <c r="N7" s="247"/>
      <c r="O7" s="247"/>
      <c r="P7" s="247"/>
      <c r="Q7" s="247"/>
      <c r="R7" s="247"/>
      <c r="S7" s="247"/>
      <c r="T7" s="247"/>
      <c r="U7" s="247"/>
      <c r="V7" s="247"/>
      <c r="W7" s="247"/>
      <c r="X7" s="247"/>
      <c r="Y7" s="247"/>
      <c r="Z7" s="247"/>
      <c r="AA7" s="247"/>
      <c r="AB7" s="247"/>
      <c r="AC7" s="247"/>
      <c r="AD7" s="247"/>
      <c r="AE7" s="247"/>
      <c r="AF7" s="247"/>
      <c r="AG7" s="247"/>
      <c r="AH7" s="247"/>
      <c r="AI7" s="247"/>
      <c r="AJ7" s="247"/>
      <c r="AK7" s="247"/>
      <c r="AL7" s="247"/>
      <c r="AM7" s="247"/>
      <c r="AN7" s="247"/>
      <c r="AO7" s="247"/>
      <c r="AP7" s="247"/>
      <c r="AQ7" s="247"/>
      <c r="AR7" s="247"/>
      <c r="AS7" s="247"/>
      <c r="AT7" s="247"/>
      <c r="AU7" s="247"/>
      <c r="AV7" s="247"/>
      <c r="AW7" s="247"/>
      <c r="AX7" s="247"/>
      <c r="AY7" s="247"/>
      <c r="AZ7" s="247"/>
      <c r="BA7" s="247"/>
      <c r="BB7" s="247"/>
      <c r="BC7" s="247"/>
      <c r="BD7" s="247"/>
      <c r="BE7" s="247"/>
      <c r="BF7" s="247"/>
      <c r="BG7" s="247"/>
      <c r="BH7" s="247"/>
      <c r="BI7" s="247"/>
      <c r="BJ7" s="247"/>
      <c r="BK7" s="247"/>
      <c r="BL7" s="247"/>
      <c r="BM7" s="247"/>
      <c r="BN7" s="247"/>
      <c r="BO7" s="247"/>
      <c r="BP7" s="247"/>
      <c r="BQ7" s="247"/>
      <c r="BR7" s="247"/>
      <c r="BS7" s="247"/>
      <c r="BT7" s="247"/>
      <c r="BU7" s="247"/>
      <c r="BV7" s="247"/>
      <c r="BW7" s="247"/>
      <c r="BX7" s="247"/>
      <c r="BY7" s="247"/>
      <c r="BZ7" s="247"/>
      <c r="CA7" s="247"/>
      <c r="CB7" s="247"/>
      <c r="CC7" s="247"/>
      <c r="CD7" s="247"/>
      <c r="CE7" s="247"/>
      <c r="CF7" s="247"/>
      <c r="CG7" s="247"/>
      <c r="CH7" s="247"/>
      <c r="CI7" s="247"/>
      <c r="CJ7" s="247"/>
      <c r="CK7" s="247"/>
      <c r="CL7" s="247"/>
      <c r="CM7" s="247"/>
      <c r="CN7" s="247"/>
      <c r="CO7" s="247"/>
      <c r="CP7" s="247"/>
      <c r="CQ7" s="247"/>
      <c r="CR7" s="247"/>
      <c r="CS7" s="247"/>
      <c r="CT7" s="247"/>
      <c r="CU7" s="247"/>
      <c r="CV7" s="247"/>
      <c r="CW7" s="247"/>
      <c r="CX7" s="247"/>
      <c r="CY7" s="247"/>
      <c r="CZ7" s="247"/>
      <c r="DA7" s="247"/>
      <c r="DB7" s="247"/>
      <c r="DC7" s="247"/>
      <c r="DD7" s="247"/>
      <c r="DE7" s="247"/>
      <c r="DF7" s="247"/>
      <c r="DG7" s="247"/>
      <c r="DH7" s="247"/>
      <c r="DI7" s="247"/>
      <c r="DJ7" s="247"/>
      <c r="DK7" s="247"/>
      <c r="DL7" s="247"/>
      <c r="DM7" s="247"/>
      <c r="DN7" s="247"/>
      <c r="DO7" s="247"/>
      <c r="DP7" s="247"/>
      <c r="DQ7" s="247"/>
      <c r="DR7" s="247"/>
      <c r="DS7" s="247"/>
      <c r="DT7" s="247"/>
      <c r="DU7" s="247"/>
      <c r="DV7" s="247"/>
      <c r="DW7" s="247"/>
      <c r="DX7" s="247"/>
      <c r="DY7" s="247"/>
      <c r="DZ7" s="247"/>
      <c r="EA7" s="247"/>
      <c r="EB7" s="247"/>
      <c r="EC7" s="247"/>
      <c r="ED7" s="247"/>
      <c r="EE7" s="247"/>
      <c r="EF7" s="247"/>
    </row>
    <row r="8" spans="1:136">
      <c r="H8" s="178" t="s">
        <v>55</v>
      </c>
      <c r="I8" s="74">
        <f>VLOOKUP($H$8&amp;$F$1,'Input RM sheet'!$A:$BD,H1,0)</f>
        <v>1119</v>
      </c>
      <c r="J8" s="74">
        <f>VLOOKUP($H$8&amp;$F$1,'Input RM sheet'!$A:$BD,I1,0)</f>
        <v>1101</v>
      </c>
      <c r="K8" s="74">
        <f>VLOOKUP($H$8&amp;$F$1,'Input RM sheet'!$A:$BD,J1,0)</f>
        <v>1096</v>
      </c>
      <c r="L8" s="74">
        <f>VLOOKUP($H$8&amp;$F$1,'Input RM sheet'!$A:$BD,K1,0)</f>
        <v>848.53</v>
      </c>
      <c r="M8" s="74">
        <f>VLOOKUP($H$8&amp;$F$1,'Input RM sheet'!$A:$BD,L1,0)</f>
        <v>953.75</v>
      </c>
      <c r="N8" s="74">
        <f>VLOOKUP($H$8&amp;$F$1,'Input RM sheet'!$A:$BD,M1,0)</f>
        <v>1059</v>
      </c>
      <c r="O8" s="74">
        <f>VLOOKUP($H$8&amp;$F$1,'Input RM sheet'!$A:$BD,N1,0)</f>
        <v>1013</v>
      </c>
      <c r="P8" s="74">
        <f>VLOOKUP($H$8&amp;$F$1,'Input RM sheet'!$A:$BD,O1,0)</f>
        <v>995.61</v>
      </c>
      <c r="Q8" s="74">
        <f>VLOOKUP($H$8&amp;$F$1,'Input RM sheet'!$A:$BD,P1,0)</f>
        <v>1071</v>
      </c>
      <c r="R8" s="74">
        <f>VLOOKUP($H$8&amp;$F$1,'Input RM sheet'!$A:$BD,Q1,0)</f>
        <v>1086</v>
      </c>
      <c r="S8" s="74">
        <f>VLOOKUP($H$8&amp;$F$1,'Input RM sheet'!$A:$BD,R1,0)</f>
        <v>1121</v>
      </c>
      <c r="T8" s="74">
        <f>VLOOKUP($H$8&amp;$F$1,'Input RM sheet'!$A:$BD,S1,0)</f>
        <v>1154</v>
      </c>
      <c r="U8" s="74">
        <f>VLOOKUP($H$8&amp;$F$1,'Input RM sheet'!$A:$BD,T1,0)</f>
        <v>1154</v>
      </c>
      <c r="V8" s="74">
        <f>VLOOKUP($H$8&amp;$F$1,'Input RM sheet'!$A:$BD,U1,0)</f>
        <v>1106</v>
      </c>
      <c r="W8" s="74">
        <f>VLOOKUP($H$8&amp;$F$1,'Input RM sheet'!$A:$BD,V1,0)</f>
        <v>1305</v>
      </c>
      <c r="X8" s="74">
        <f>VLOOKUP($H$8&amp;$F$1,'Input RM sheet'!$A:$BD,W1,0)</f>
        <v>1295</v>
      </c>
      <c r="Y8" s="74">
        <f>VLOOKUP($H$8&amp;$F$1,'Input RM sheet'!$A:$BD,X1,0)</f>
        <v>1198</v>
      </c>
      <c r="Z8" s="74">
        <f>VLOOKUP($H$8&amp;$F$1,'Input RM sheet'!$A:$BD,Y1,0)</f>
        <v>1074</v>
      </c>
      <c r="AA8" s="74">
        <f>VLOOKUP($H$8&amp;$F$1,'Input RM sheet'!$A:$BD,Z1,0)</f>
        <v>1112</v>
      </c>
      <c r="AB8" s="74">
        <f>VLOOKUP($H$8&amp;$F$1,'Input RM sheet'!$A:$BD,AA1,0)</f>
        <v>1189</v>
      </c>
      <c r="AC8" s="74">
        <f>VLOOKUP($H$8&amp;$F$1,'Input RM sheet'!$A:$BD,AB1,0)</f>
        <v>1200</v>
      </c>
      <c r="AD8" s="74">
        <f>VLOOKUP($H$8&amp;$F$1,'Input RM sheet'!$A:$BD,AC1,0)</f>
        <v>1534</v>
      </c>
      <c r="AE8" s="74">
        <f>VLOOKUP($H$8&amp;$F$1,'Input RM sheet'!$A:$BD,AD1,0)</f>
        <v>1189</v>
      </c>
      <c r="AF8" s="74">
        <f>VLOOKUP($H$8&amp;$F$1,'Input RM sheet'!$A:$BD,AE1,0)</f>
        <v>1177</v>
      </c>
      <c r="AG8" s="74">
        <f>VLOOKUP($H$8&amp;$F$1,'Input RM sheet'!$A:$BD,AF1,0)</f>
        <v>1094</v>
      </c>
      <c r="AH8" s="74">
        <f>VLOOKUP($H$8&amp;$F$1,'Input RM sheet'!$A:$BD,AG1,0)</f>
        <v>1317</v>
      </c>
      <c r="AI8" s="74">
        <f>VLOOKUP($H$8&amp;$F$1,'Input RM sheet'!$A:$BD,AH1,0)</f>
        <v>1292</v>
      </c>
      <c r="AJ8" s="74">
        <f>VLOOKUP($H$8&amp;$F$1,'Input RM sheet'!$A:$BD,AI1,0)</f>
        <v>1291</v>
      </c>
      <c r="AK8" s="74">
        <f>VLOOKUP($H$8&amp;$F$1,'Input RM sheet'!$A:$BD,AJ1,0)</f>
        <v>1239</v>
      </c>
      <c r="AL8" s="74">
        <f>VLOOKUP($H$8&amp;$F$1,'Input RM sheet'!$A:$BD,AK1,0)</f>
        <v>1128</v>
      </c>
      <c r="AM8" s="74">
        <f>VLOOKUP($H$8&amp;$F$1,'Input RM sheet'!$A:$BD,AL1,0)</f>
        <v>972.8</v>
      </c>
      <c r="AN8" s="74">
        <f>VLOOKUP($H$8&amp;$F$1,'Input RM sheet'!$A:$BD,AM1,0)</f>
        <v>955.68</v>
      </c>
      <c r="AO8" s="74">
        <f>VLOOKUP($H$8&amp;$F$1,'Input RM sheet'!$A:$BD,AN1,0)</f>
        <v>1070</v>
      </c>
      <c r="AP8" s="74">
        <f>VLOOKUP($H$8&amp;$F$1,'Input RM sheet'!$A:$BD,AO1,0)</f>
        <v>1015</v>
      </c>
      <c r="AQ8" s="74">
        <f>VLOOKUP($H$8&amp;$F$1,'Input RM sheet'!$A:$BD,AP1,0)</f>
        <v>941.53</v>
      </c>
      <c r="AR8" s="74">
        <f>VLOOKUP($H$8&amp;$F$1,'Input RM sheet'!$A:$BD,AQ1,0)</f>
        <v>960.4</v>
      </c>
      <c r="AS8" s="74">
        <f>VLOOKUP($H$8&amp;$F$1,'Input RM sheet'!$A:$BD,AR1,0)</f>
        <v>898.02</v>
      </c>
      <c r="AT8" s="74">
        <f>VLOOKUP($H$8&amp;$F$1,'Input RM sheet'!$A:$BD,AS1,0)</f>
        <v>993.41</v>
      </c>
      <c r="AU8" s="74">
        <f>VLOOKUP($H$8&amp;$F$1,'Input RM sheet'!$A:$BD,AT1,0)</f>
        <v>1044</v>
      </c>
      <c r="AV8" s="74">
        <f>VLOOKUP($H$8&amp;$F$1,'Input RM sheet'!$A:$BD,AU1,0)</f>
        <v>1016</v>
      </c>
      <c r="AW8" s="74">
        <f>VLOOKUP($H$8&amp;$F$1,'Input RM sheet'!$A:$BD,AV1,0)</f>
        <v>905.25</v>
      </c>
      <c r="AX8" s="74">
        <f>VLOOKUP($H$8&amp;$F$1,'Input RM sheet'!$A:$BD,AW1,0)</f>
        <v>838.5</v>
      </c>
      <c r="AY8" s="74">
        <f>VLOOKUP($H$8&amp;$F$1,'Input RM sheet'!$A:$BD,AX1,0)</f>
        <v>838.5</v>
      </c>
      <c r="AZ8" s="74">
        <f>VLOOKUP($H$8&amp;$F$1,'Input RM sheet'!$A:$BD,AY1,0)</f>
        <v>838.5</v>
      </c>
      <c r="BA8" s="74">
        <f>VLOOKUP($H$8&amp;$F$1,'Input RM sheet'!$A:$BD,AZ1,0)</f>
        <v>838.5</v>
      </c>
      <c r="BB8" s="74">
        <f>VLOOKUP($H$8&amp;$F$1,'Input RM sheet'!$A:$BD,BA1,0)</f>
        <v>848.21</v>
      </c>
      <c r="BC8" s="74">
        <f>VLOOKUP($H$8&amp;$F$1,'Input RM sheet'!$A:$BD,BB1,0)</f>
        <v>848.39</v>
      </c>
      <c r="BD8" s="74">
        <f>VLOOKUP($H$8&amp;$F$1,'Input RM sheet'!$A:$BD,BC1,0)</f>
        <v>848.39</v>
      </c>
      <c r="BE8" s="74">
        <f>VLOOKUP($H$8&amp;$F$1,'Input RM sheet'!$A:$BD,BD1,0)</f>
        <v>848.39</v>
      </c>
      <c r="BF8" s="74">
        <f>VLOOKUP($H$8&amp;$F$1,'Input RM sheet'!$A:$BD,BE1,0)</f>
        <v>848.39</v>
      </c>
      <c r="BG8" s="74">
        <f>VLOOKUP($H$8&amp;$F$1,'Input RM sheet'!$A:$DD,BF1,0)</f>
        <v>890.42</v>
      </c>
      <c r="BH8" s="74">
        <f>VLOOKUP($H$8&amp;$F$1,'Input RM sheet'!$A:$DD,BG1,0)</f>
        <v>890.42</v>
      </c>
      <c r="BI8" s="74">
        <f>VLOOKUP($H$8&amp;$F$1,'Input RM sheet'!$A:$DD,BH1,0)</f>
        <v>911.35</v>
      </c>
      <c r="BJ8" s="74">
        <f>VLOOKUP($H$8&amp;$F$1,'Input RM sheet'!$A:$DD,BI1,0)</f>
        <v>911.35</v>
      </c>
      <c r="BK8" s="74">
        <f>VLOOKUP($H$8&amp;$F$1,'Input RM sheet'!$A:$DD,BJ1,0)</f>
        <v>911.35</v>
      </c>
      <c r="BL8" s="74">
        <f>VLOOKUP($H$8&amp;$F$1,'Input RM sheet'!$A:$DD,BK1,0)</f>
        <v>911.35</v>
      </c>
      <c r="BM8" s="74">
        <f>VLOOKUP($H$8&amp;$F$1,'Input RM sheet'!$A:$DD,BL1,0)</f>
        <v>911.35</v>
      </c>
      <c r="BN8" s="74">
        <f>VLOOKUP($H$8&amp;$F$1,'Input RM sheet'!$A:$DD,BM1,0)</f>
        <v>947.5</v>
      </c>
      <c r="BO8" s="74">
        <f>VLOOKUP($H$8&amp;$F$1,'Input RM sheet'!$A:$DD,BN1,0)</f>
        <v>920.31</v>
      </c>
      <c r="BP8" s="74">
        <f>VLOOKUP($H$8&amp;$F$1,'Input RM sheet'!$A:$DD,BO1,0)</f>
        <v>920.31</v>
      </c>
      <c r="BQ8" s="74">
        <f>VLOOKUP($H$8&amp;$F$1,'Input RM sheet'!$A:$DD,BP1,0)</f>
        <v>920.31</v>
      </c>
      <c r="BR8" s="74">
        <f>VLOOKUP($H$8&amp;$F$1,'Input RM sheet'!$A:$DD,BQ1,0)</f>
        <v>920.31</v>
      </c>
      <c r="BS8" s="74">
        <f>VLOOKUP($H$8&amp;$F$1,'Input RM sheet'!$A:$DD,BR1,0)</f>
        <v>883.61</v>
      </c>
      <c r="BT8" s="74">
        <f>VLOOKUP($H$8&amp;$F$1,'Input RM sheet'!$A:$DD,BS1,0)</f>
        <v>883.61</v>
      </c>
      <c r="BU8" s="74">
        <f>VLOOKUP($H$8&amp;$F$1,'Input RM sheet'!$A:$DD,BT1,0)</f>
        <v>907.02</v>
      </c>
      <c r="BV8" s="74">
        <f>VLOOKUP($H$8&amp;$F$1,'Input RM sheet'!$A:$DD,BU1,0)</f>
        <v>907.19</v>
      </c>
      <c r="BW8" s="74">
        <f>VLOOKUP($H$8&amp;$F$1,'Input RM sheet'!$A:$DD,BV1,0)</f>
        <v>907.19</v>
      </c>
      <c r="BX8" s="74">
        <f>VLOOKUP($H$8&amp;$F$1,'Input RM sheet'!$A:$DD,BW1,0)</f>
        <v>907.19</v>
      </c>
      <c r="BY8" s="74">
        <f>VLOOKUP($H$8&amp;$F$1,'Input RM sheet'!$A:$DD,BX1,0)</f>
        <v>907.19</v>
      </c>
      <c r="BZ8" s="74">
        <f>VLOOKUP($H$8&amp;$F$1,'Input RM sheet'!$A:$DD,BY1,0)</f>
        <v>917.02</v>
      </c>
      <c r="CA8" s="74">
        <f>VLOOKUP($H$8&amp;$F$1,'Input RM sheet'!$A:$DD,BZ1,0)</f>
        <v>917.02</v>
      </c>
      <c r="CB8" s="74">
        <f>VLOOKUP($H$8&amp;$F$1,'Input RM sheet'!$A:$DD,CA1,0)</f>
        <v>917.02</v>
      </c>
      <c r="CC8" s="74">
        <f>VLOOKUP($H$8&amp;$F$1,'Input RM sheet'!$A:$DD,CB1,0)</f>
        <v>917.02</v>
      </c>
      <c r="CD8" s="74">
        <f>VLOOKUP($H$8&amp;$F$1,'Input RM sheet'!$A:$DD,CC1,0)</f>
        <v>917.02</v>
      </c>
      <c r="CE8" s="74">
        <f>VLOOKUP($H$8&amp;$F$1,'Input RM sheet'!$A:$DD,CD1,0)</f>
        <v>925.36</v>
      </c>
      <c r="CF8" s="74">
        <f>VLOOKUP($H$8&amp;$F$1,'Input RM sheet'!$A:$DD,CE1,0)</f>
        <v>925.36</v>
      </c>
      <c r="CG8" s="74">
        <f>VLOOKUP($H$8&amp;$F$1,'Input RM sheet'!$A:$DD,CF1,0)</f>
        <v>925.36</v>
      </c>
      <c r="CH8" s="74">
        <f>VLOOKUP($H$8&amp;$F$1,'Input RM sheet'!$A:$DD,CG1,0)</f>
        <v>937.44</v>
      </c>
      <c r="CI8" s="74">
        <f>VLOOKUP($H$8&amp;$F$1,'Input RM sheet'!$A:$DD,CH1,0)</f>
        <v>937.44</v>
      </c>
      <c r="CJ8" s="74">
        <f>VLOOKUP($H$8&amp;$F$1,'Input RM sheet'!$A:$DD,CI1,0)</f>
        <v>937.44</v>
      </c>
      <c r="CK8" s="74">
        <f>VLOOKUP($H$8&amp;$F$1,'Input RM sheet'!$A:$DD,CJ1,0)</f>
        <v>937.44</v>
      </c>
      <c r="CL8" s="74">
        <f>VLOOKUP($H$8&amp;$F$1,'Input RM sheet'!$A:$DD,CK1,0)</f>
        <v>953.19</v>
      </c>
      <c r="CM8" s="74">
        <f>VLOOKUP($H$8&amp;$F$1,'Input RM sheet'!$A:$DD,CL1,0)</f>
        <v>982.52</v>
      </c>
      <c r="CN8" s="74">
        <f>VLOOKUP($H$8&amp;$F$1,'Input RM sheet'!$A:$DD,CM1,0)</f>
        <v>953.19</v>
      </c>
      <c r="CO8" s="74">
        <f>VLOOKUP($H$8&amp;$F$1,'Input RM sheet'!$A:$DD,CN1,0)</f>
        <v>953.19</v>
      </c>
      <c r="CP8" s="74">
        <f>VLOOKUP($H$8&amp;$F$1,'Input RM sheet'!$A:$DD,CO1,0)</f>
        <v>953.19</v>
      </c>
      <c r="CQ8" s="74">
        <f>VLOOKUP($H$8&amp;$F$1,'Input RM sheet'!$A:$DD,CP1,0)</f>
        <v>953.19</v>
      </c>
      <c r="CR8" s="74">
        <f>VLOOKUP($H$8&amp;$F$1,'Input RM sheet'!$A:$DD,CQ1,0)</f>
        <v>940.41</v>
      </c>
      <c r="CS8" s="74">
        <f>VLOOKUP($H$8&amp;$F$1,'Input RM sheet'!$A:$DD,CR1,0)</f>
        <v>940.41</v>
      </c>
      <c r="CT8" s="74">
        <f>VLOOKUP($H$8&amp;$F$1,'Input RM sheet'!$A:$DD,CS1,0)</f>
        <v>940.41</v>
      </c>
      <c r="CU8" s="74">
        <f>VLOOKUP($H$8&amp;$F$1,'Input RM sheet'!$A:$ZZ,CT1,0)</f>
        <v>917.29</v>
      </c>
      <c r="CV8" s="74">
        <f>VLOOKUP($H$8&amp;$F$1,'Input RM sheet'!$A:$ZZ,CU1,0)</f>
        <v>917.29</v>
      </c>
      <c r="CW8" s="74">
        <f>VLOOKUP($H$8&amp;$F$1,'Input RM sheet'!$A:$ZZ,CV1,0)</f>
        <v>917.29</v>
      </c>
      <c r="CX8" s="74">
        <f>VLOOKUP($H$8&amp;$F$1,'Input RM sheet'!$A:$ZZ,CW1,0)</f>
        <v>917.29</v>
      </c>
      <c r="CY8" s="74">
        <f>VLOOKUP($H$8&amp;$F$1,'Input RM sheet'!$A:$ZZ,CX1,0)</f>
        <v>946.62</v>
      </c>
      <c r="CZ8" s="74">
        <f>VLOOKUP($H$8&amp;$F$1,'Input RM sheet'!$A:$ZZ,CY1,0)</f>
        <v>946.62</v>
      </c>
      <c r="DA8" s="74">
        <f>VLOOKUP($H$8&amp;$F$1,'Input RM sheet'!$A:$ZZ,CZ1,0)</f>
        <v>946.62</v>
      </c>
      <c r="DB8" s="74">
        <f>VLOOKUP($H$8&amp;$F$1,'Input RM sheet'!$A:$ZZ,DA1,0)</f>
        <v>946.62</v>
      </c>
      <c r="DC8" s="74">
        <f>VLOOKUP($H$8&amp;$F$1,'Input RM sheet'!$A:$ZZ,DB1,0)</f>
        <v>946.72</v>
      </c>
      <c r="DD8" s="74">
        <f>VLOOKUP($H$8&amp;$F$1,'Input RM sheet'!$A:$ZZ,DC1,0)</f>
        <v>965.17</v>
      </c>
      <c r="DE8" s="74">
        <f>VLOOKUP($H$8&amp;$F$1,'Input RM sheet'!$A:$ZZ,DD1,0)</f>
        <v>965.17</v>
      </c>
      <c r="DF8" s="74">
        <f>VLOOKUP($H$8&amp;$F$1,'Input RM sheet'!$A:$ZZ,DE1,0)</f>
        <v>965.17</v>
      </c>
      <c r="DG8" s="74">
        <f>VLOOKUP($H$8&amp;$F$1,'Input RM sheet'!$A:$ZZ,DF1,0)</f>
        <v>965.17</v>
      </c>
      <c r="DH8" s="74">
        <f>VLOOKUP($H$8&amp;$F$1,'Input RM sheet'!$A:$ZZ,DG1,0)</f>
        <v>975.36</v>
      </c>
      <c r="DI8" s="74">
        <f>VLOOKUP($H$8&amp;$F$1,'Input RM sheet'!$A:$ZZ,DH1,0)</f>
        <v>975.36</v>
      </c>
      <c r="DJ8" s="74">
        <f>VLOOKUP($H$8&amp;$F$1,'Input RM sheet'!$A:$ZZ,DI1,0)</f>
        <v>981.04</v>
      </c>
      <c r="DK8" s="74">
        <f>VLOOKUP($H$8&amp;$F$1,'Input RM sheet'!$A:$ZZ,DJ1,0)</f>
        <v>981.04</v>
      </c>
      <c r="DL8" s="74">
        <f>VLOOKUP($H$8&amp;$F$1,'Input RM sheet'!$A:$ZZ,DK1,0)</f>
        <v>981.04</v>
      </c>
      <c r="DM8" s="74">
        <f>VLOOKUP($H$8&amp;$F$1,'Input RM sheet'!$A:$ZZ,DL1,0)</f>
        <v>980.47</v>
      </c>
      <c r="DN8" s="74">
        <f>VLOOKUP($H$8&amp;$F$1,'Input RM sheet'!$A:$ZZ,DM1,0)</f>
        <v>980.47</v>
      </c>
      <c r="DO8" s="74">
        <f>VLOOKUP($H$8&amp;$F$1,'Input RM sheet'!$A:$ZZ,DN1,0)</f>
        <v>954.14</v>
      </c>
      <c r="DP8" s="74">
        <f>VLOOKUP($H$8&amp;$F$1,'Input RM sheet'!$A:$ZZ,DO1,0)</f>
        <v>954.14</v>
      </c>
      <c r="DQ8" s="74">
        <f>VLOOKUP($H$8&amp;$F$1,'Input RM sheet'!$A:$ZZ,DP1,0)</f>
        <v>954.14</v>
      </c>
      <c r="DR8" s="74">
        <f>VLOOKUP($H$8&amp;$F$1,'Input RM sheet'!$A:$ZZ,DQ1,0)</f>
        <v>954.14</v>
      </c>
      <c r="DS8" s="74">
        <f>VLOOKUP($H$8&amp;$F$1,'Input RM sheet'!$A:$ZZ,DR1,0)</f>
        <v>955.04</v>
      </c>
      <c r="DT8" s="74">
        <f>VLOOKUP($H$8&amp;$F$1,'Input RM sheet'!$A:$ZZ,DS1,0)</f>
        <v>0</v>
      </c>
      <c r="DU8" s="74">
        <f>VLOOKUP($H$8&amp;$F$1,'Input RM sheet'!$A:$ZZ,DT1,0)</f>
        <v>0</v>
      </c>
      <c r="DV8" s="74">
        <f>VLOOKUP($H$8&amp;$F$1,'Input RM sheet'!$A:$ZZ,DU1,0)</f>
        <v>0</v>
      </c>
      <c r="DW8" s="74">
        <f>VLOOKUP($H$8&amp;$F$1,'Input RM sheet'!$A:$ZZ,DV1,0)</f>
        <v>0</v>
      </c>
      <c r="DX8" s="74">
        <f>VLOOKUP($H$8&amp;$F$1,'Input RM sheet'!$A:$ZZ,DW1,0)</f>
        <v>0</v>
      </c>
      <c r="DY8" s="74">
        <f>VLOOKUP($H$8&amp;$F$1,'Input RM sheet'!$A:$ZZ,DX1,0)</f>
        <v>0</v>
      </c>
      <c r="DZ8" s="74">
        <f>VLOOKUP($H$8&amp;$F$1,'Input RM sheet'!$A:$ZZ,DY1,0)</f>
        <v>0</v>
      </c>
      <c r="EA8" s="74">
        <f>VLOOKUP($H$8&amp;$F$1,'Input RM sheet'!$A:$ZZ,DZ1,0)</f>
        <v>0</v>
      </c>
      <c r="EB8" s="74">
        <f>VLOOKUP($H$8&amp;$F$1,'Input RM sheet'!$A:$ZZ,EA1,0)</f>
        <v>0</v>
      </c>
      <c r="EC8" s="74">
        <f>VLOOKUP($H$8&amp;$F$1,'Input RM sheet'!$A:$ZZ,EB1,0)</f>
        <v>0</v>
      </c>
      <c r="ED8" s="74">
        <f>VLOOKUP($H$8&amp;$F$1,'Input RM sheet'!$A:$ZZ,EC1,0)</f>
        <v>0</v>
      </c>
      <c r="EE8" s="74">
        <f>VLOOKUP($H$8&amp;$F$1,'Input RM sheet'!$A:$ZZ,ED1,0)</f>
        <v>0</v>
      </c>
      <c r="EF8" s="74">
        <f>VLOOKUP($H$8&amp;$F$1,'Input RM sheet'!$A:$ZZ,EE1,0)</f>
        <v>0</v>
      </c>
    </row>
    <row r="9" spans="1:136" ht="26">
      <c r="A9" s="59" t="s">
        <v>395</v>
      </c>
      <c r="B9" s="59"/>
      <c r="C9" s="59" t="s">
        <v>379</v>
      </c>
      <c r="D9" s="98" t="s">
        <v>380</v>
      </c>
      <c r="E9" s="98" t="s">
        <v>381</v>
      </c>
      <c r="F9" s="59" t="s">
        <v>396</v>
      </c>
      <c r="H9" s="60" t="s">
        <v>399</v>
      </c>
      <c r="I9" s="84"/>
      <c r="J9" s="84"/>
      <c r="K9" s="84"/>
      <c r="L9" s="84"/>
      <c r="M9" s="84"/>
      <c r="N9" s="84"/>
      <c r="O9" s="84"/>
      <c r="P9" s="84"/>
      <c r="Q9" s="84"/>
      <c r="R9" s="84"/>
      <c r="S9" s="84"/>
      <c r="T9" s="84"/>
      <c r="U9" s="84"/>
      <c r="V9" s="84"/>
      <c r="W9" s="84"/>
      <c r="X9" s="84"/>
      <c r="Y9" s="84"/>
      <c r="Z9" s="84"/>
      <c r="AA9" s="84"/>
      <c r="AB9" s="84"/>
      <c r="AC9" s="84"/>
      <c r="AD9" s="84"/>
      <c r="AE9" s="84"/>
      <c r="AF9" s="84"/>
      <c r="AG9" s="84"/>
      <c r="AH9" s="84"/>
      <c r="AI9" s="84"/>
      <c r="AJ9" s="84"/>
      <c r="AK9" s="84"/>
      <c r="AL9" s="84"/>
      <c r="AM9" s="84"/>
      <c r="AN9" s="84"/>
      <c r="AO9" s="84"/>
      <c r="AP9" s="84"/>
      <c r="AQ9" s="84"/>
      <c r="AR9" s="84"/>
      <c r="AS9" s="84"/>
      <c r="AT9" s="84"/>
      <c r="AU9" s="84"/>
    </row>
    <row r="10" spans="1:136" ht="13">
      <c r="A10" s="107" t="s">
        <v>397</v>
      </c>
      <c r="B10" s="100" t="s">
        <v>548</v>
      </c>
      <c r="C10" s="60">
        <v>1</v>
      </c>
      <c r="D10" s="74">
        <v>44.05</v>
      </c>
      <c r="E10" s="65">
        <f>D10*C10</f>
        <v>44.05</v>
      </c>
      <c r="F10" s="65">
        <f>E10/E2</f>
        <v>0.70979697067354164</v>
      </c>
      <c r="I10" s="74">
        <f>$F$10*(I8/1000)</f>
        <v>0.79426281018369305</v>
      </c>
      <c r="J10" s="74">
        <f t="shared" ref="J10:AU10" si="0">$F$10*(J8/1000)</f>
        <v>0.78148646471156935</v>
      </c>
      <c r="K10" s="74">
        <f t="shared" si="0"/>
        <v>0.77793747985820172</v>
      </c>
      <c r="L10" s="74">
        <f t="shared" si="0"/>
        <v>0.60228402352562027</v>
      </c>
      <c r="M10" s="74">
        <f t="shared" si="0"/>
        <v>0.67696886077989038</v>
      </c>
      <c r="N10" s="74">
        <f t="shared" si="0"/>
        <v>0.75167499194328058</v>
      </c>
      <c r="O10" s="74">
        <f t="shared" si="0"/>
        <v>0.71902433129229759</v>
      </c>
      <c r="P10" s="74">
        <f t="shared" si="0"/>
        <v>0.7066809619722848</v>
      </c>
      <c r="Q10" s="74">
        <f t="shared" si="0"/>
        <v>0.76019255559136301</v>
      </c>
      <c r="R10" s="74">
        <f t="shared" si="0"/>
        <v>0.77083951015146623</v>
      </c>
      <c r="S10" s="74">
        <f t="shared" si="0"/>
        <v>0.79568240412504021</v>
      </c>
      <c r="T10" s="74">
        <f t="shared" si="0"/>
        <v>0.81910570415726702</v>
      </c>
      <c r="U10" s="74">
        <f t="shared" si="0"/>
        <v>0.81910570415726702</v>
      </c>
      <c r="V10" s="74">
        <f t="shared" si="0"/>
        <v>0.78503544956493709</v>
      </c>
      <c r="W10" s="74">
        <f t="shared" si="0"/>
        <v>0.92628504672897183</v>
      </c>
      <c r="X10" s="74">
        <f t="shared" si="0"/>
        <v>0.91918707702223634</v>
      </c>
      <c r="Y10" s="74">
        <f t="shared" si="0"/>
        <v>0.85033677086690285</v>
      </c>
      <c r="Z10" s="74">
        <f t="shared" si="0"/>
        <v>0.76232194650338381</v>
      </c>
      <c r="AA10" s="74">
        <f t="shared" si="0"/>
        <v>0.78929423138897836</v>
      </c>
      <c r="AB10" s="74">
        <f t="shared" si="0"/>
        <v>0.843948598130841</v>
      </c>
      <c r="AC10" s="74">
        <f t="shared" si="0"/>
        <v>0.8517563648082499</v>
      </c>
      <c r="AD10" s="74">
        <f t="shared" si="0"/>
        <v>1.0888285530132129</v>
      </c>
      <c r="AE10" s="74">
        <f t="shared" si="0"/>
        <v>0.843948598130841</v>
      </c>
      <c r="AF10" s="74">
        <f t="shared" si="0"/>
        <v>0.83543103448275857</v>
      </c>
      <c r="AG10" s="74">
        <f t="shared" si="0"/>
        <v>0.77651788591685467</v>
      </c>
      <c r="AH10" s="74">
        <f t="shared" si="0"/>
        <v>0.93480261037705425</v>
      </c>
      <c r="AI10" s="74">
        <f t="shared" si="0"/>
        <v>0.91705768611021587</v>
      </c>
      <c r="AJ10" s="74">
        <f t="shared" si="0"/>
        <v>0.91634788913954224</v>
      </c>
      <c r="AK10" s="74">
        <f t="shared" si="0"/>
        <v>0.8794384466645182</v>
      </c>
      <c r="AL10" s="74">
        <f t="shared" si="0"/>
        <v>0.80065098291975489</v>
      </c>
      <c r="AM10" s="74">
        <f t="shared" si="0"/>
        <v>0.69049049307122135</v>
      </c>
      <c r="AN10" s="74">
        <f t="shared" si="0"/>
        <v>0.67833876893329026</v>
      </c>
      <c r="AO10" s="74">
        <f t="shared" si="0"/>
        <v>0.75948275862068959</v>
      </c>
      <c r="AP10" s="74">
        <f t="shared" si="0"/>
        <v>0.72044392523364464</v>
      </c>
      <c r="AQ10" s="74">
        <f t="shared" si="0"/>
        <v>0.66829514179825966</v>
      </c>
      <c r="AR10" s="74">
        <f t="shared" si="0"/>
        <v>0.68168901063486942</v>
      </c>
      <c r="AS10" s="74">
        <f t="shared" si="0"/>
        <v>0.63741187560425383</v>
      </c>
      <c r="AT10" s="74">
        <f t="shared" si="0"/>
        <v>0.705119408636803</v>
      </c>
      <c r="AU10" s="74">
        <f t="shared" si="0"/>
        <v>0.74102803738317746</v>
      </c>
      <c r="AV10" s="74">
        <f t="shared" ref="AV10:BM10" si="1">$F$10*(AV8/1000)</f>
        <v>0.72115372220431828</v>
      </c>
      <c r="AW10" s="74">
        <f t="shared" si="1"/>
        <v>0.64254370770222358</v>
      </c>
      <c r="AX10" s="74">
        <f t="shared" si="1"/>
        <v>0.5951647599097647</v>
      </c>
      <c r="AY10" s="74">
        <f t="shared" si="1"/>
        <v>0.5951647599097647</v>
      </c>
      <c r="AZ10" s="74">
        <f t="shared" si="1"/>
        <v>0.5951647599097647</v>
      </c>
      <c r="BA10" s="74">
        <f t="shared" si="1"/>
        <v>0.5951647599097647</v>
      </c>
      <c r="BB10" s="74">
        <f t="shared" si="1"/>
        <v>0.60205688849500472</v>
      </c>
      <c r="BC10" s="74">
        <f t="shared" si="1"/>
        <v>0.60218465194972592</v>
      </c>
      <c r="BD10" s="74">
        <f t="shared" si="1"/>
        <v>0.60218465194972592</v>
      </c>
      <c r="BE10" s="74">
        <f t="shared" si="1"/>
        <v>0.60218465194972592</v>
      </c>
      <c r="BF10" s="74">
        <f t="shared" si="1"/>
        <v>0.60218465194972592</v>
      </c>
      <c r="BG10" s="74">
        <f t="shared" si="1"/>
        <v>0.6320174186271349</v>
      </c>
      <c r="BH10" s="74">
        <f t="shared" si="1"/>
        <v>0.6320174186271349</v>
      </c>
      <c r="BI10" s="74">
        <f t="shared" si="1"/>
        <v>0.64687346922333222</v>
      </c>
      <c r="BJ10" s="74">
        <f t="shared" si="1"/>
        <v>0.64687346922333222</v>
      </c>
      <c r="BK10" s="74">
        <f t="shared" si="1"/>
        <v>0.64687346922333222</v>
      </c>
      <c r="BL10" s="74">
        <f t="shared" si="1"/>
        <v>0.64687346922333222</v>
      </c>
      <c r="BM10" s="74">
        <f t="shared" si="1"/>
        <v>0.64687346922333222</v>
      </c>
      <c r="BN10" s="74">
        <f t="shared" ref="BN10:BV10" si="2">$F$10*(BN8/1000)</f>
        <v>0.67253262971318073</v>
      </c>
      <c r="BO10" s="74">
        <f t="shared" si="2"/>
        <v>0.6532332500805671</v>
      </c>
      <c r="BP10" s="74">
        <f t="shared" si="2"/>
        <v>0.6532332500805671</v>
      </c>
      <c r="BQ10" s="74">
        <f t="shared" si="2"/>
        <v>0.6532332500805671</v>
      </c>
      <c r="BR10" s="74">
        <f t="shared" si="2"/>
        <v>0.6532332500805671</v>
      </c>
      <c r="BS10" s="74">
        <f t="shared" si="2"/>
        <v>0.62718370125684808</v>
      </c>
      <c r="BT10" s="74">
        <f t="shared" si="2"/>
        <v>0.62718370125684808</v>
      </c>
      <c r="BU10" s="74">
        <f t="shared" si="2"/>
        <v>0.64380004834031568</v>
      </c>
      <c r="BV10" s="74">
        <f t="shared" si="2"/>
        <v>0.64392071382533023</v>
      </c>
      <c r="BW10" s="74">
        <f>$F$10*(BW8/1000)</f>
        <v>0.64392071382533023</v>
      </c>
      <c r="BX10" s="74">
        <f>$F$10*(BX8/1000)</f>
        <v>0.64392071382533023</v>
      </c>
      <c r="BY10" s="74">
        <f>$F$10*(BY8/1000)</f>
        <v>0.64392071382533023</v>
      </c>
      <c r="BZ10" s="74">
        <f t="shared" ref="BZ10:CH10" si="3">$F$10*(BZ8/1000)</f>
        <v>0.65089801804705116</v>
      </c>
      <c r="CA10" s="74">
        <f t="shared" si="3"/>
        <v>0.65089801804705116</v>
      </c>
      <c r="CB10" s="74">
        <f t="shared" si="3"/>
        <v>0.65089801804705116</v>
      </c>
      <c r="CC10" s="74">
        <f t="shared" si="3"/>
        <v>0.65089801804705116</v>
      </c>
      <c r="CD10" s="74">
        <f t="shared" si="3"/>
        <v>0.65089801804705116</v>
      </c>
      <c r="CE10" s="74">
        <f t="shared" si="3"/>
        <v>0.65681772478246847</v>
      </c>
      <c r="CF10" s="74">
        <f t="shared" si="3"/>
        <v>0.65681772478246847</v>
      </c>
      <c r="CG10" s="74">
        <f t="shared" si="3"/>
        <v>0.65681772478246847</v>
      </c>
      <c r="CH10" s="74">
        <f t="shared" si="3"/>
        <v>0.66539207218820495</v>
      </c>
      <c r="CI10" s="74">
        <f>$F$10*(CI8/1000)</f>
        <v>0.66539207218820495</v>
      </c>
      <c r="CJ10" s="74">
        <f>$F$10*(CJ8/1000)</f>
        <v>0.66539207218820495</v>
      </c>
      <c r="CK10" s="74">
        <f>$F$10*(CK8/1000)</f>
        <v>0.66539207218820495</v>
      </c>
      <c r="CL10" s="74">
        <f>$F$10*(CL8/1000)</f>
        <v>0.67657137447631321</v>
      </c>
      <c r="CM10" s="74">
        <f t="shared" ref="CM10:CU10" si="4">$F$10*(CM8/1000)</f>
        <v>0.69738971962616814</v>
      </c>
      <c r="CN10" s="74">
        <f t="shared" si="4"/>
        <v>0.67657137447631321</v>
      </c>
      <c r="CO10" s="74">
        <f t="shared" si="4"/>
        <v>0.67657137447631321</v>
      </c>
      <c r="CP10" s="74">
        <f t="shared" si="4"/>
        <v>0.67657137447631321</v>
      </c>
      <c r="CQ10" s="74">
        <f t="shared" si="4"/>
        <v>0.67657137447631321</v>
      </c>
      <c r="CR10" s="74">
        <f t="shared" si="4"/>
        <v>0.66750016919110522</v>
      </c>
      <c r="CS10" s="74">
        <f t="shared" si="4"/>
        <v>0.66750016919110522</v>
      </c>
      <c r="CT10" s="74">
        <f t="shared" si="4"/>
        <v>0.66750016919110522</v>
      </c>
      <c r="CU10" s="74">
        <f t="shared" si="4"/>
        <v>0.65108966322913298</v>
      </c>
      <c r="CV10" s="74">
        <f t="shared" ref="CV10:DJ10" si="5">$F$10*(CV8/1000)</f>
        <v>0.65108966322913298</v>
      </c>
      <c r="CW10" s="74">
        <f t="shared" si="5"/>
        <v>0.65108966322913298</v>
      </c>
      <c r="CX10" s="74">
        <f t="shared" si="5"/>
        <v>0.65108966322913298</v>
      </c>
      <c r="CY10" s="74">
        <f t="shared" si="5"/>
        <v>0.67190800837898801</v>
      </c>
      <c r="CZ10" s="74">
        <f t="shared" si="5"/>
        <v>0.67190800837898801</v>
      </c>
      <c r="DA10" s="74">
        <f t="shared" si="5"/>
        <v>0.67190800837898801</v>
      </c>
      <c r="DB10" s="74">
        <f t="shared" si="5"/>
        <v>0.67190800837898801</v>
      </c>
      <c r="DC10" s="74">
        <f t="shared" si="5"/>
        <v>0.67197898807605538</v>
      </c>
      <c r="DD10" s="74">
        <f t="shared" si="5"/>
        <v>0.68507474218498221</v>
      </c>
      <c r="DE10" s="74">
        <f t="shared" si="5"/>
        <v>0.68507474218498221</v>
      </c>
      <c r="DF10" s="74">
        <f t="shared" si="5"/>
        <v>0.68507474218498221</v>
      </c>
      <c r="DG10" s="74">
        <f t="shared" si="5"/>
        <v>0.68507474218498221</v>
      </c>
      <c r="DH10" s="74">
        <f t="shared" si="5"/>
        <v>0.69230757331614556</v>
      </c>
      <c r="DI10" s="74">
        <f t="shared" si="5"/>
        <v>0.69230757331614556</v>
      </c>
      <c r="DJ10" s="74">
        <f t="shared" si="5"/>
        <v>0.69633922010957128</v>
      </c>
      <c r="DK10" s="74">
        <f t="shared" ref="DK10:EF10" si="6">$F$10*(DK8/1000)</f>
        <v>0.69633922010957128</v>
      </c>
      <c r="DL10" s="74">
        <f t="shared" si="6"/>
        <v>0.69633922010957128</v>
      </c>
      <c r="DM10" s="74">
        <f t="shared" si="6"/>
        <v>0.69593463583628745</v>
      </c>
      <c r="DN10" s="74">
        <f t="shared" si="6"/>
        <v>0.69593463583628745</v>
      </c>
      <c r="DO10" s="74">
        <f t="shared" si="6"/>
        <v>0.677245681598453</v>
      </c>
      <c r="DP10" s="74">
        <f t="shared" si="6"/>
        <v>0.677245681598453</v>
      </c>
      <c r="DQ10" s="74">
        <f t="shared" si="6"/>
        <v>0.677245681598453</v>
      </c>
      <c r="DR10" s="74">
        <f t="shared" si="6"/>
        <v>0.677245681598453</v>
      </c>
      <c r="DS10" s="74">
        <f t="shared" si="6"/>
        <v>0.67788449887205926</v>
      </c>
      <c r="DT10" s="74">
        <f t="shared" si="6"/>
        <v>0</v>
      </c>
      <c r="DU10" s="74">
        <f t="shared" si="6"/>
        <v>0</v>
      </c>
      <c r="DV10" s="74">
        <f t="shared" si="6"/>
        <v>0</v>
      </c>
      <c r="DW10" s="74">
        <f t="shared" si="6"/>
        <v>0</v>
      </c>
      <c r="DX10" s="74">
        <f t="shared" si="6"/>
        <v>0</v>
      </c>
      <c r="DY10" s="74">
        <f t="shared" si="6"/>
        <v>0</v>
      </c>
      <c r="DZ10" s="74">
        <f t="shared" si="6"/>
        <v>0</v>
      </c>
      <c r="EA10" s="74">
        <f t="shared" si="6"/>
        <v>0</v>
      </c>
      <c r="EB10" s="74">
        <f t="shared" si="6"/>
        <v>0</v>
      </c>
      <c r="EC10" s="74">
        <f t="shared" si="6"/>
        <v>0</v>
      </c>
      <c r="ED10" s="74">
        <f t="shared" si="6"/>
        <v>0</v>
      </c>
      <c r="EE10" s="74">
        <f t="shared" si="6"/>
        <v>0</v>
      </c>
      <c r="EF10" s="74">
        <f t="shared" si="6"/>
        <v>0</v>
      </c>
    </row>
    <row r="11" spans="1:136">
      <c r="A11" s="67"/>
      <c r="B11" s="100"/>
      <c r="D11" s="74"/>
      <c r="E11" s="65"/>
      <c r="F11" s="65"/>
      <c r="I11" s="74"/>
      <c r="J11" s="74"/>
      <c r="K11" s="74"/>
      <c r="L11" s="74"/>
      <c r="M11" s="74"/>
      <c r="N11" s="74"/>
      <c r="O11" s="74"/>
      <c r="P11" s="74"/>
      <c r="Q11" s="74"/>
      <c r="R11" s="74"/>
      <c r="S11" s="74"/>
      <c r="T11" s="74"/>
      <c r="U11" s="74"/>
      <c r="V11" s="74"/>
      <c r="W11" s="74"/>
      <c r="X11" s="74"/>
      <c r="Y11" s="74"/>
      <c r="Z11" s="74"/>
      <c r="AA11" s="74"/>
      <c r="AB11" s="74"/>
      <c r="AC11" s="74"/>
      <c r="AD11" s="74"/>
      <c r="AE11" s="74"/>
      <c r="AF11" s="74"/>
      <c r="AG11" s="74"/>
      <c r="AH11" s="74"/>
      <c r="AI11" s="74"/>
      <c r="AJ11" s="74"/>
      <c r="AK11" s="74"/>
      <c r="AL11" s="74"/>
      <c r="AM11" s="74"/>
      <c r="AN11" s="74"/>
      <c r="AO11" s="74"/>
      <c r="AP11" s="74"/>
      <c r="AQ11" s="74"/>
      <c r="AR11" s="74"/>
      <c r="AS11" s="74"/>
      <c r="AT11" s="74"/>
      <c r="AU11" s="74"/>
      <c r="AV11" s="74"/>
      <c r="AW11" s="74"/>
      <c r="AX11" s="74"/>
      <c r="AY11" s="74"/>
      <c r="AZ11" s="74"/>
      <c r="BA11" s="74"/>
      <c r="BB11" s="74"/>
      <c r="BC11" s="74"/>
      <c r="BD11" s="74"/>
      <c r="BE11" s="74"/>
      <c r="BF11" s="74"/>
      <c r="BG11" s="74"/>
      <c r="BH11" s="74"/>
      <c r="BI11" s="74"/>
      <c r="BJ11" s="74"/>
      <c r="BK11" s="74"/>
      <c r="BL11" s="74"/>
      <c r="BM11" s="74"/>
      <c r="BN11" s="74"/>
      <c r="BO11" s="74"/>
      <c r="BP11" s="74"/>
      <c r="BQ11" s="74"/>
      <c r="BR11" s="74"/>
      <c r="BS11" s="74"/>
      <c r="BT11" s="74"/>
      <c r="BU11" s="74"/>
      <c r="BV11" s="74"/>
      <c r="BW11" s="74"/>
      <c r="BX11" s="74"/>
      <c r="BY11" s="74"/>
      <c r="BZ11" s="74"/>
      <c r="CA11" s="74"/>
      <c r="CB11" s="74"/>
      <c r="CC11" s="74"/>
      <c r="CD11" s="74"/>
      <c r="CE11" s="74"/>
      <c r="CF11" s="74"/>
      <c r="CG11" s="74"/>
      <c r="CH11" s="74"/>
      <c r="CI11" s="74"/>
      <c r="CJ11" s="74"/>
      <c r="CK11" s="74"/>
      <c r="CL11" s="74"/>
      <c r="CM11" s="74"/>
      <c r="CN11" s="74"/>
      <c r="CO11" s="74"/>
      <c r="CP11" s="74"/>
      <c r="CQ11" s="74"/>
      <c r="CR11" s="74"/>
      <c r="CS11" s="74"/>
      <c r="CT11" s="74"/>
      <c r="CU11" s="74"/>
      <c r="CV11" s="74"/>
      <c r="CW11" s="74"/>
      <c r="CX11" s="74"/>
      <c r="CY11" s="74"/>
      <c r="CZ11" s="74"/>
      <c r="DA11" s="74"/>
      <c r="DB11" s="74"/>
      <c r="DC11" s="74"/>
      <c r="DD11" s="74"/>
      <c r="DE11" s="74"/>
      <c r="DF11" s="74"/>
      <c r="DG11" s="74"/>
      <c r="DH11" s="74"/>
      <c r="DI11" s="74"/>
      <c r="DJ11" s="74"/>
      <c r="DK11" s="74"/>
      <c r="DL11" s="74"/>
      <c r="DM11" s="74"/>
      <c r="DN11" s="74"/>
      <c r="DO11" s="74"/>
      <c r="DP11" s="74"/>
      <c r="DQ11" s="74"/>
      <c r="DR11" s="74"/>
      <c r="DS11" s="74"/>
      <c r="DT11" s="74"/>
      <c r="DU11" s="74"/>
      <c r="DV11" s="74"/>
      <c r="DW11" s="74"/>
      <c r="DX11" s="74"/>
      <c r="DY11" s="74"/>
      <c r="DZ11" s="74"/>
      <c r="EA11" s="74"/>
      <c r="EB11" s="74"/>
      <c r="EC11" s="74"/>
      <c r="ED11" s="74"/>
      <c r="EE11" s="74"/>
      <c r="EF11" s="74"/>
    </row>
    <row r="12" spans="1:136" s="104" customFormat="1">
      <c r="A12" s="104" t="s">
        <v>400</v>
      </c>
      <c r="H12" s="60"/>
      <c r="I12" s="105">
        <f>SUM(I10:I11)</f>
        <v>0.79426281018369305</v>
      </c>
      <c r="J12" s="105">
        <f t="shared" ref="J12:AU12" si="7">SUM(J10:J11)</f>
        <v>0.78148646471156935</v>
      </c>
      <c r="K12" s="105">
        <f t="shared" si="7"/>
        <v>0.77793747985820172</v>
      </c>
      <c r="L12" s="105">
        <f t="shared" si="7"/>
        <v>0.60228402352562027</v>
      </c>
      <c r="M12" s="105">
        <f t="shared" si="7"/>
        <v>0.67696886077989038</v>
      </c>
      <c r="N12" s="105">
        <f t="shared" si="7"/>
        <v>0.75167499194328058</v>
      </c>
      <c r="O12" s="105">
        <f t="shared" si="7"/>
        <v>0.71902433129229759</v>
      </c>
      <c r="P12" s="105">
        <f t="shared" si="7"/>
        <v>0.7066809619722848</v>
      </c>
      <c r="Q12" s="105">
        <f t="shared" si="7"/>
        <v>0.76019255559136301</v>
      </c>
      <c r="R12" s="105">
        <f t="shared" si="7"/>
        <v>0.77083951015146623</v>
      </c>
      <c r="S12" s="105">
        <f t="shared" si="7"/>
        <v>0.79568240412504021</v>
      </c>
      <c r="T12" s="105">
        <f t="shared" si="7"/>
        <v>0.81910570415726702</v>
      </c>
      <c r="U12" s="105">
        <f t="shared" si="7"/>
        <v>0.81910570415726702</v>
      </c>
      <c r="V12" s="105">
        <f t="shared" si="7"/>
        <v>0.78503544956493709</v>
      </c>
      <c r="W12" s="105">
        <f t="shared" si="7"/>
        <v>0.92628504672897183</v>
      </c>
      <c r="X12" s="105">
        <f t="shared" si="7"/>
        <v>0.91918707702223634</v>
      </c>
      <c r="Y12" s="105">
        <f t="shared" si="7"/>
        <v>0.85033677086690285</v>
      </c>
      <c r="Z12" s="105">
        <f t="shared" si="7"/>
        <v>0.76232194650338381</v>
      </c>
      <c r="AA12" s="105">
        <f t="shared" si="7"/>
        <v>0.78929423138897836</v>
      </c>
      <c r="AB12" s="105">
        <f t="shared" si="7"/>
        <v>0.843948598130841</v>
      </c>
      <c r="AC12" s="105">
        <f t="shared" si="7"/>
        <v>0.8517563648082499</v>
      </c>
      <c r="AD12" s="105">
        <f t="shared" si="7"/>
        <v>1.0888285530132129</v>
      </c>
      <c r="AE12" s="105">
        <f t="shared" si="7"/>
        <v>0.843948598130841</v>
      </c>
      <c r="AF12" s="105">
        <f t="shared" si="7"/>
        <v>0.83543103448275857</v>
      </c>
      <c r="AG12" s="105">
        <f t="shared" si="7"/>
        <v>0.77651788591685467</v>
      </c>
      <c r="AH12" s="105">
        <f t="shared" si="7"/>
        <v>0.93480261037705425</v>
      </c>
      <c r="AI12" s="105">
        <f t="shared" si="7"/>
        <v>0.91705768611021587</v>
      </c>
      <c r="AJ12" s="105">
        <f t="shared" si="7"/>
        <v>0.91634788913954224</v>
      </c>
      <c r="AK12" s="105">
        <f t="shared" si="7"/>
        <v>0.8794384466645182</v>
      </c>
      <c r="AL12" s="105">
        <f t="shared" si="7"/>
        <v>0.80065098291975489</v>
      </c>
      <c r="AM12" s="105">
        <f t="shared" si="7"/>
        <v>0.69049049307122135</v>
      </c>
      <c r="AN12" s="105">
        <f t="shared" si="7"/>
        <v>0.67833876893329026</v>
      </c>
      <c r="AO12" s="105">
        <f t="shared" si="7"/>
        <v>0.75948275862068959</v>
      </c>
      <c r="AP12" s="105">
        <f t="shared" si="7"/>
        <v>0.72044392523364464</v>
      </c>
      <c r="AQ12" s="105">
        <f t="shared" si="7"/>
        <v>0.66829514179825966</v>
      </c>
      <c r="AR12" s="105">
        <f t="shared" si="7"/>
        <v>0.68168901063486942</v>
      </c>
      <c r="AS12" s="105">
        <f t="shared" si="7"/>
        <v>0.63741187560425383</v>
      </c>
      <c r="AT12" s="105">
        <f t="shared" si="7"/>
        <v>0.705119408636803</v>
      </c>
      <c r="AU12" s="105">
        <f t="shared" si="7"/>
        <v>0.74102803738317746</v>
      </c>
      <c r="AV12" s="105">
        <f t="shared" ref="AV12:BM12" si="8">SUM(AV10:AV11)</f>
        <v>0.72115372220431828</v>
      </c>
      <c r="AW12" s="105">
        <f t="shared" si="8"/>
        <v>0.64254370770222358</v>
      </c>
      <c r="AX12" s="105">
        <f t="shared" si="8"/>
        <v>0.5951647599097647</v>
      </c>
      <c r="AY12" s="105">
        <f t="shared" si="8"/>
        <v>0.5951647599097647</v>
      </c>
      <c r="AZ12" s="105">
        <f t="shared" si="8"/>
        <v>0.5951647599097647</v>
      </c>
      <c r="BA12" s="105">
        <f t="shared" si="8"/>
        <v>0.5951647599097647</v>
      </c>
      <c r="BB12" s="105">
        <f t="shared" si="8"/>
        <v>0.60205688849500472</v>
      </c>
      <c r="BC12" s="105">
        <f t="shared" si="8"/>
        <v>0.60218465194972592</v>
      </c>
      <c r="BD12" s="105">
        <f t="shared" si="8"/>
        <v>0.60218465194972592</v>
      </c>
      <c r="BE12" s="105">
        <f t="shared" si="8"/>
        <v>0.60218465194972592</v>
      </c>
      <c r="BF12" s="105">
        <f t="shared" si="8"/>
        <v>0.60218465194972592</v>
      </c>
      <c r="BG12" s="105">
        <f t="shared" si="8"/>
        <v>0.6320174186271349</v>
      </c>
      <c r="BH12" s="105">
        <f t="shared" si="8"/>
        <v>0.6320174186271349</v>
      </c>
      <c r="BI12" s="105">
        <f t="shared" si="8"/>
        <v>0.64687346922333222</v>
      </c>
      <c r="BJ12" s="105">
        <f t="shared" si="8"/>
        <v>0.64687346922333222</v>
      </c>
      <c r="BK12" s="105">
        <f t="shared" si="8"/>
        <v>0.64687346922333222</v>
      </c>
      <c r="BL12" s="105">
        <f t="shared" si="8"/>
        <v>0.64687346922333222</v>
      </c>
      <c r="BM12" s="105">
        <f t="shared" si="8"/>
        <v>0.64687346922333222</v>
      </c>
      <c r="BN12" s="105">
        <f t="shared" ref="BN12:BV12" si="9">SUM(BN10:BN11)</f>
        <v>0.67253262971318073</v>
      </c>
      <c r="BO12" s="105">
        <f t="shared" si="9"/>
        <v>0.6532332500805671</v>
      </c>
      <c r="BP12" s="105">
        <f t="shared" si="9"/>
        <v>0.6532332500805671</v>
      </c>
      <c r="BQ12" s="105">
        <f t="shared" si="9"/>
        <v>0.6532332500805671</v>
      </c>
      <c r="BR12" s="105">
        <f t="shared" si="9"/>
        <v>0.6532332500805671</v>
      </c>
      <c r="BS12" s="105">
        <f t="shared" si="9"/>
        <v>0.62718370125684808</v>
      </c>
      <c r="BT12" s="105">
        <f t="shared" si="9"/>
        <v>0.62718370125684808</v>
      </c>
      <c r="BU12" s="105">
        <f t="shared" si="9"/>
        <v>0.64380004834031568</v>
      </c>
      <c r="BV12" s="105">
        <f t="shared" si="9"/>
        <v>0.64392071382533023</v>
      </c>
      <c r="BW12" s="105">
        <f>SUM(BW10:BW11)</f>
        <v>0.64392071382533023</v>
      </c>
      <c r="BX12" s="105">
        <f>SUM(BX10:BX11)</f>
        <v>0.64392071382533023</v>
      </c>
      <c r="BY12" s="105">
        <f>SUM(BY10:BY11)</f>
        <v>0.64392071382533023</v>
      </c>
      <c r="BZ12" s="105">
        <f t="shared" ref="BZ12:CH12" si="10">SUM(BZ10:BZ11)</f>
        <v>0.65089801804705116</v>
      </c>
      <c r="CA12" s="105">
        <f t="shared" si="10"/>
        <v>0.65089801804705116</v>
      </c>
      <c r="CB12" s="105">
        <f t="shared" si="10"/>
        <v>0.65089801804705116</v>
      </c>
      <c r="CC12" s="105">
        <f t="shared" si="10"/>
        <v>0.65089801804705116</v>
      </c>
      <c r="CD12" s="105">
        <f t="shared" si="10"/>
        <v>0.65089801804705116</v>
      </c>
      <c r="CE12" s="105">
        <f t="shared" si="10"/>
        <v>0.65681772478246847</v>
      </c>
      <c r="CF12" s="105">
        <f t="shared" si="10"/>
        <v>0.65681772478246847</v>
      </c>
      <c r="CG12" s="105">
        <f t="shared" si="10"/>
        <v>0.65681772478246847</v>
      </c>
      <c r="CH12" s="105">
        <f t="shared" si="10"/>
        <v>0.66539207218820495</v>
      </c>
      <c r="CI12" s="105">
        <f>SUM(CI10:CI11)</f>
        <v>0.66539207218820495</v>
      </c>
      <c r="CJ12" s="105">
        <f>SUM(CJ10:CJ11)</f>
        <v>0.66539207218820495</v>
      </c>
      <c r="CK12" s="105">
        <f>SUM(CK10:CK11)</f>
        <v>0.66539207218820495</v>
      </c>
      <c r="CL12" s="105">
        <f>SUM(CL10:CL11)</f>
        <v>0.67657137447631321</v>
      </c>
      <c r="CM12" s="105">
        <f t="shared" ref="CM12:CU12" si="11">SUM(CM10:CM11)</f>
        <v>0.69738971962616814</v>
      </c>
      <c r="CN12" s="105">
        <f t="shared" si="11"/>
        <v>0.67657137447631321</v>
      </c>
      <c r="CO12" s="105">
        <f t="shared" si="11"/>
        <v>0.67657137447631321</v>
      </c>
      <c r="CP12" s="105">
        <f t="shared" si="11"/>
        <v>0.67657137447631321</v>
      </c>
      <c r="CQ12" s="105">
        <f t="shared" si="11"/>
        <v>0.67657137447631321</v>
      </c>
      <c r="CR12" s="105">
        <f t="shared" si="11"/>
        <v>0.66750016919110522</v>
      </c>
      <c r="CS12" s="105">
        <f t="shared" si="11"/>
        <v>0.66750016919110522</v>
      </c>
      <c r="CT12" s="105">
        <f t="shared" si="11"/>
        <v>0.66750016919110522</v>
      </c>
      <c r="CU12" s="105">
        <f t="shared" si="11"/>
        <v>0.65108966322913298</v>
      </c>
      <c r="CV12" s="105">
        <f t="shared" ref="CV12:DJ12" si="12">SUM(CV10:CV11)</f>
        <v>0.65108966322913298</v>
      </c>
      <c r="CW12" s="105">
        <f t="shared" si="12"/>
        <v>0.65108966322913298</v>
      </c>
      <c r="CX12" s="105">
        <f t="shared" si="12"/>
        <v>0.65108966322913298</v>
      </c>
      <c r="CY12" s="105">
        <f t="shared" si="12"/>
        <v>0.67190800837898801</v>
      </c>
      <c r="CZ12" s="105">
        <f t="shared" si="12"/>
        <v>0.67190800837898801</v>
      </c>
      <c r="DA12" s="105">
        <f t="shared" si="12"/>
        <v>0.67190800837898801</v>
      </c>
      <c r="DB12" s="105">
        <f t="shared" si="12"/>
        <v>0.67190800837898801</v>
      </c>
      <c r="DC12" s="105">
        <f t="shared" si="12"/>
        <v>0.67197898807605538</v>
      </c>
      <c r="DD12" s="105">
        <f t="shared" si="12"/>
        <v>0.68507474218498221</v>
      </c>
      <c r="DE12" s="105">
        <f t="shared" si="12"/>
        <v>0.68507474218498221</v>
      </c>
      <c r="DF12" s="105">
        <f t="shared" si="12"/>
        <v>0.68507474218498221</v>
      </c>
      <c r="DG12" s="105">
        <f t="shared" si="12"/>
        <v>0.68507474218498221</v>
      </c>
      <c r="DH12" s="105">
        <f t="shared" si="12"/>
        <v>0.69230757331614556</v>
      </c>
      <c r="DI12" s="105">
        <f t="shared" si="12"/>
        <v>0.69230757331614556</v>
      </c>
      <c r="DJ12" s="105">
        <f t="shared" si="12"/>
        <v>0.69633922010957128</v>
      </c>
      <c r="DK12" s="105">
        <f t="shared" ref="DK12:EF12" si="13">SUM(DK10:DK11)</f>
        <v>0.69633922010957128</v>
      </c>
      <c r="DL12" s="105">
        <f t="shared" si="13"/>
        <v>0.69633922010957128</v>
      </c>
      <c r="DM12" s="105">
        <f t="shared" si="13"/>
        <v>0.69593463583628745</v>
      </c>
      <c r="DN12" s="105">
        <f t="shared" si="13"/>
        <v>0.69593463583628745</v>
      </c>
      <c r="DO12" s="105">
        <f t="shared" si="13"/>
        <v>0.677245681598453</v>
      </c>
      <c r="DP12" s="105">
        <f t="shared" si="13"/>
        <v>0.677245681598453</v>
      </c>
      <c r="DQ12" s="105">
        <f t="shared" si="13"/>
        <v>0.677245681598453</v>
      </c>
      <c r="DR12" s="105">
        <f t="shared" si="13"/>
        <v>0.677245681598453</v>
      </c>
      <c r="DS12" s="105">
        <f t="shared" si="13"/>
        <v>0.67788449887205926</v>
      </c>
      <c r="DT12" s="105">
        <f t="shared" si="13"/>
        <v>0</v>
      </c>
      <c r="DU12" s="105">
        <f t="shared" si="13"/>
        <v>0</v>
      </c>
      <c r="DV12" s="105">
        <f t="shared" si="13"/>
        <v>0</v>
      </c>
      <c r="DW12" s="105">
        <f t="shared" si="13"/>
        <v>0</v>
      </c>
      <c r="DX12" s="105">
        <f t="shared" si="13"/>
        <v>0</v>
      </c>
      <c r="DY12" s="105">
        <f t="shared" si="13"/>
        <v>0</v>
      </c>
      <c r="DZ12" s="105">
        <f t="shared" si="13"/>
        <v>0</v>
      </c>
      <c r="EA12" s="105">
        <f t="shared" si="13"/>
        <v>0</v>
      </c>
      <c r="EB12" s="105">
        <f t="shared" si="13"/>
        <v>0</v>
      </c>
      <c r="EC12" s="105">
        <f t="shared" si="13"/>
        <v>0</v>
      </c>
      <c r="ED12" s="105">
        <f t="shared" si="13"/>
        <v>0</v>
      </c>
      <c r="EE12" s="105">
        <f t="shared" si="13"/>
        <v>0</v>
      </c>
      <c r="EF12" s="105">
        <f t="shared" si="13"/>
        <v>0</v>
      </c>
    </row>
    <row r="13" spans="1:136">
      <c r="A13" s="222" t="s">
        <v>696</v>
      </c>
      <c r="H13" s="60" t="s">
        <v>429</v>
      </c>
      <c r="I13" s="74">
        <v>1.2</v>
      </c>
      <c r="J13" s="74"/>
      <c r="K13" s="74"/>
      <c r="L13" s="74"/>
      <c r="M13" s="74"/>
      <c r="N13" s="74"/>
      <c r="O13" s="74"/>
      <c r="P13" s="74"/>
      <c r="Q13" s="74"/>
      <c r="R13" s="74"/>
      <c r="S13" s="74"/>
      <c r="T13" s="74"/>
      <c r="U13" s="74">
        <v>1.55</v>
      </c>
      <c r="V13" s="74"/>
      <c r="W13" s="74"/>
      <c r="X13" s="74"/>
      <c r="Y13" s="74"/>
      <c r="Z13" s="74"/>
      <c r="AA13" s="74"/>
      <c r="AB13" s="74"/>
      <c r="AC13" s="74"/>
      <c r="AD13" s="74"/>
      <c r="AE13" s="74"/>
      <c r="AF13" s="74"/>
      <c r="AG13" s="74">
        <v>1.85</v>
      </c>
      <c r="AH13" s="74">
        <v>2.17</v>
      </c>
      <c r="AI13" s="74"/>
      <c r="AJ13" s="74"/>
      <c r="AK13" s="74"/>
      <c r="AL13" s="74"/>
      <c r="AM13" s="74"/>
      <c r="AN13" s="74"/>
      <c r="AO13" s="74"/>
      <c r="AP13" s="74"/>
      <c r="AQ13" s="74">
        <v>1.52</v>
      </c>
      <c r="AR13" s="74"/>
      <c r="AS13" s="74">
        <v>1.59</v>
      </c>
      <c r="AT13" s="74"/>
      <c r="AU13" s="74">
        <v>1.81</v>
      </c>
      <c r="AV13" s="74"/>
      <c r="CA13" s="74">
        <v>1.7</v>
      </c>
    </row>
    <row r="14" spans="1:136">
      <c r="H14" s="60" t="s">
        <v>406</v>
      </c>
      <c r="I14" s="65">
        <f>I13-I12</f>
        <v>0.40573718981630691</v>
      </c>
      <c r="J14" s="74"/>
      <c r="K14" s="74"/>
      <c r="L14" s="74"/>
      <c r="M14" s="74"/>
      <c r="N14" s="74"/>
      <c r="O14" s="74"/>
      <c r="P14" s="74"/>
      <c r="Q14" s="74"/>
      <c r="R14" s="74"/>
      <c r="S14" s="74"/>
      <c r="T14" s="74"/>
      <c r="U14" s="65">
        <f>U13-U12</f>
        <v>0.73089429584273302</v>
      </c>
      <c r="V14" s="74"/>
      <c r="W14" s="74"/>
      <c r="X14" s="74"/>
      <c r="Y14" s="74"/>
      <c r="Z14" s="74"/>
      <c r="AA14" s="74"/>
      <c r="AB14" s="74"/>
      <c r="AC14" s="74"/>
      <c r="AD14" s="74"/>
      <c r="AE14" s="74"/>
      <c r="AF14" s="74"/>
      <c r="AG14" s="65">
        <f>AG13-AG12</f>
        <v>1.0734821140831454</v>
      </c>
      <c r="AH14" s="65">
        <f>AH13-AH12</f>
        <v>1.2351973896229458</v>
      </c>
      <c r="AI14" s="74"/>
      <c r="AJ14" s="74"/>
      <c r="AK14" s="74"/>
      <c r="AL14" s="74"/>
      <c r="AM14" s="74"/>
      <c r="AN14" s="74"/>
      <c r="AO14" s="74"/>
      <c r="AQ14" s="65">
        <f>AQ13-AQ12</f>
        <v>0.85170485820174036</v>
      </c>
      <c r="AR14" s="74"/>
      <c r="AS14" s="65">
        <f>AS13-AS12</f>
        <v>0.95258812439574625</v>
      </c>
      <c r="AT14" s="74"/>
      <c r="AU14" s="65">
        <f>AU13-AU12</f>
        <v>1.0689719626168226</v>
      </c>
      <c r="CA14" s="65">
        <f>CA13-CA12</f>
        <v>1.0491019819529488</v>
      </c>
    </row>
    <row r="16" spans="1:136" ht="13" thickBot="1"/>
    <row r="17" spans="8:136" ht="13" thickBot="1">
      <c r="H17" s="106" t="s">
        <v>407</v>
      </c>
      <c r="I17" s="109">
        <f>0.41+I12</f>
        <v>1.204262810183693</v>
      </c>
      <c r="J17" s="109">
        <f t="shared" ref="J17:BU17" si="14">0.41+J12</f>
        <v>1.1914864647115693</v>
      </c>
      <c r="K17" s="109">
        <f t="shared" si="14"/>
        <v>1.1879374798582016</v>
      </c>
      <c r="L17" s="109">
        <f t="shared" si="14"/>
        <v>1.0122840235256203</v>
      </c>
      <c r="M17" s="109">
        <f t="shared" si="14"/>
        <v>1.0869688607798904</v>
      </c>
      <c r="N17" s="109">
        <f t="shared" si="14"/>
        <v>1.1616749919432805</v>
      </c>
      <c r="O17" s="109">
        <f t="shared" si="14"/>
        <v>1.1290243312922976</v>
      </c>
      <c r="P17" s="109">
        <f t="shared" si="14"/>
        <v>1.1166809619722848</v>
      </c>
      <c r="Q17" s="109">
        <f t="shared" si="14"/>
        <v>1.170192555591363</v>
      </c>
      <c r="R17" s="109">
        <f t="shared" si="14"/>
        <v>1.1808395101514662</v>
      </c>
      <c r="S17" s="109">
        <f t="shared" si="14"/>
        <v>1.2056824041250402</v>
      </c>
      <c r="T17" s="109">
        <f t="shared" si="14"/>
        <v>1.2291057041572671</v>
      </c>
      <c r="U17" s="109">
        <f t="shared" si="14"/>
        <v>1.2291057041572671</v>
      </c>
      <c r="V17" s="109">
        <f t="shared" si="14"/>
        <v>1.1950354495649371</v>
      </c>
      <c r="W17" s="109">
        <f t="shared" si="14"/>
        <v>1.3362850467289717</v>
      </c>
      <c r="X17" s="109">
        <f t="shared" si="14"/>
        <v>1.3291870770222363</v>
      </c>
      <c r="Y17" s="109">
        <f t="shared" si="14"/>
        <v>1.2603367708669029</v>
      </c>
      <c r="Z17" s="109">
        <f t="shared" si="14"/>
        <v>1.1723219465033838</v>
      </c>
      <c r="AA17" s="109">
        <f t="shared" si="14"/>
        <v>1.1992942313889783</v>
      </c>
      <c r="AB17" s="109">
        <f t="shared" si="14"/>
        <v>1.2539485981308409</v>
      </c>
      <c r="AC17" s="109">
        <f t="shared" si="14"/>
        <v>1.2617563648082499</v>
      </c>
      <c r="AD17" s="109">
        <f t="shared" si="14"/>
        <v>1.4988285530132128</v>
      </c>
      <c r="AE17" s="109">
        <f t="shared" si="14"/>
        <v>1.2539485981308409</v>
      </c>
      <c r="AF17" s="109">
        <f t="shared" si="14"/>
        <v>1.2454310344827586</v>
      </c>
      <c r="AG17" s="109">
        <f t="shared" si="14"/>
        <v>1.1865178859168546</v>
      </c>
      <c r="AH17" s="109">
        <f t="shared" si="14"/>
        <v>1.3448026103770543</v>
      </c>
      <c r="AI17" s="109">
        <f t="shared" si="14"/>
        <v>1.3270576861102159</v>
      </c>
      <c r="AJ17" s="109">
        <f t="shared" si="14"/>
        <v>1.3263478891395422</v>
      </c>
      <c r="AK17" s="109">
        <f t="shared" si="14"/>
        <v>1.2894384466645181</v>
      </c>
      <c r="AL17" s="109">
        <f t="shared" si="14"/>
        <v>1.2106509829197549</v>
      </c>
      <c r="AM17" s="109">
        <f t="shared" si="14"/>
        <v>1.1004904930712214</v>
      </c>
      <c r="AN17" s="109">
        <f t="shared" si="14"/>
        <v>1.0883387689332902</v>
      </c>
      <c r="AO17" s="109">
        <f t="shared" si="14"/>
        <v>1.1694827586206895</v>
      </c>
      <c r="AP17" s="109">
        <f t="shared" si="14"/>
        <v>1.1304439252336447</v>
      </c>
      <c r="AQ17" s="109">
        <f t="shared" si="14"/>
        <v>1.0782951417982596</v>
      </c>
      <c r="AR17" s="109">
        <f t="shared" si="14"/>
        <v>1.0916890106348693</v>
      </c>
      <c r="AS17" s="109">
        <f t="shared" si="14"/>
        <v>1.0474118756042539</v>
      </c>
      <c r="AT17" s="109">
        <f t="shared" si="14"/>
        <v>1.115119408636803</v>
      </c>
      <c r="AU17" s="109">
        <f t="shared" si="14"/>
        <v>1.1510280373831774</v>
      </c>
      <c r="AV17" s="109">
        <f t="shared" si="14"/>
        <v>1.1311537222043182</v>
      </c>
      <c r="AW17" s="109">
        <f t="shared" si="14"/>
        <v>1.0525437077022235</v>
      </c>
      <c r="AX17" s="109">
        <f t="shared" si="14"/>
        <v>1.0051647599097646</v>
      </c>
      <c r="AY17" s="109">
        <f t="shared" si="14"/>
        <v>1.0051647599097646</v>
      </c>
      <c r="AZ17" s="109">
        <f t="shared" si="14"/>
        <v>1.0051647599097646</v>
      </c>
      <c r="BA17" s="109">
        <f t="shared" si="14"/>
        <v>1.0051647599097646</v>
      </c>
      <c r="BB17" s="109">
        <f t="shared" si="14"/>
        <v>1.0120568884950047</v>
      </c>
      <c r="BC17" s="109">
        <f t="shared" si="14"/>
        <v>1.012184651949726</v>
      </c>
      <c r="BD17" s="109">
        <f t="shared" si="14"/>
        <v>1.012184651949726</v>
      </c>
      <c r="BE17" s="109">
        <f t="shared" si="14"/>
        <v>1.012184651949726</v>
      </c>
      <c r="BF17" s="109">
        <f t="shared" si="14"/>
        <v>1.012184651949726</v>
      </c>
      <c r="BG17" s="109">
        <f t="shared" si="14"/>
        <v>1.0420174186271349</v>
      </c>
      <c r="BH17" s="109">
        <f t="shared" si="14"/>
        <v>1.0420174186271349</v>
      </c>
      <c r="BI17" s="109">
        <f t="shared" si="14"/>
        <v>1.0568734692233321</v>
      </c>
      <c r="BJ17" s="109">
        <f t="shared" si="14"/>
        <v>1.0568734692233321</v>
      </c>
      <c r="BK17" s="109">
        <f t="shared" si="14"/>
        <v>1.0568734692233321</v>
      </c>
      <c r="BL17" s="109">
        <f t="shared" si="14"/>
        <v>1.0568734692233321</v>
      </c>
      <c r="BM17" s="109">
        <f t="shared" si="14"/>
        <v>1.0568734692233321</v>
      </c>
      <c r="BN17" s="109">
        <f t="shared" si="14"/>
        <v>1.0825326297131808</v>
      </c>
      <c r="BO17" s="109">
        <f t="shared" si="14"/>
        <v>1.063233250080567</v>
      </c>
      <c r="BP17" s="109">
        <f t="shared" si="14"/>
        <v>1.063233250080567</v>
      </c>
      <c r="BQ17" s="109">
        <f t="shared" si="14"/>
        <v>1.063233250080567</v>
      </c>
      <c r="BR17" s="109">
        <f t="shared" si="14"/>
        <v>1.063233250080567</v>
      </c>
      <c r="BS17" s="109">
        <f t="shared" si="14"/>
        <v>1.0371837012568481</v>
      </c>
      <c r="BT17" s="109">
        <f t="shared" si="14"/>
        <v>1.0371837012568481</v>
      </c>
      <c r="BU17" s="109">
        <f t="shared" si="14"/>
        <v>1.0538000483403156</v>
      </c>
      <c r="BV17" s="109">
        <f t="shared" ref="BV17:EF17" si="15">0.41+BV12</f>
        <v>1.0539207138253301</v>
      </c>
      <c r="BW17" s="109">
        <f t="shared" si="15"/>
        <v>1.0539207138253301</v>
      </c>
      <c r="BX17" s="109">
        <f t="shared" si="15"/>
        <v>1.0539207138253301</v>
      </c>
      <c r="BY17" s="109">
        <f t="shared" si="15"/>
        <v>1.0539207138253301</v>
      </c>
      <c r="BZ17" s="109">
        <f t="shared" si="15"/>
        <v>1.0608980180470511</v>
      </c>
      <c r="CA17" s="109">
        <f t="shared" si="15"/>
        <v>1.0608980180470511</v>
      </c>
      <c r="CB17" s="109">
        <f t="shared" si="15"/>
        <v>1.0608980180470511</v>
      </c>
      <c r="CC17" s="109">
        <f t="shared" si="15"/>
        <v>1.0608980180470511</v>
      </c>
      <c r="CD17" s="109">
        <f t="shared" si="15"/>
        <v>1.0608980180470511</v>
      </c>
      <c r="CE17" s="109">
        <f t="shared" si="15"/>
        <v>1.0668177247824684</v>
      </c>
      <c r="CF17" s="109">
        <f t="shared" si="15"/>
        <v>1.0668177247824684</v>
      </c>
      <c r="CG17" s="109">
        <f t="shared" si="15"/>
        <v>1.0668177247824684</v>
      </c>
      <c r="CH17" s="109">
        <f t="shared" si="15"/>
        <v>1.0753920721882049</v>
      </c>
      <c r="CI17" s="109">
        <f t="shared" si="15"/>
        <v>1.0753920721882049</v>
      </c>
      <c r="CJ17" s="109">
        <f t="shared" si="15"/>
        <v>1.0753920721882049</v>
      </c>
      <c r="CK17" s="109">
        <f t="shared" si="15"/>
        <v>1.0753920721882049</v>
      </c>
      <c r="CL17" s="109">
        <f t="shared" si="15"/>
        <v>1.0865713744763132</v>
      </c>
      <c r="CM17" s="109">
        <f t="shared" si="15"/>
        <v>1.1073897196261682</v>
      </c>
      <c r="CN17" s="109">
        <f t="shared" si="15"/>
        <v>1.0865713744763132</v>
      </c>
      <c r="CO17" s="109">
        <f t="shared" si="15"/>
        <v>1.0865713744763132</v>
      </c>
      <c r="CP17" s="109">
        <f t="shared" si="15"/>
        <v>1.0865713744763132</v>
      </c>
      <c r="CQ17" s="109">
        <f t="shared" si="15"/>
        <v>1.0865713744763132</v>
      </c>
      <c r="CR17" s="109">
        <f t="shared" si="15"/>
        <v>1.0775001691911053</v>
      </c>
      <c r="CS17" s="109">
        <f t="shared" si="15"/>
        <v>1.0775001691911053</v>
      </c>
      <c r="CT17" s="109">
        <f t="shared" si="15"/>
        <v>1.0775001691911053</v>
      </c>
      <c r="CU17" s="109">
        <f t="shared" si="15"/>
        <v>1.0610896632291329</v>
      </c>
      <c r="CV17" s="109">
        <f t="shared" si="15"/>
        <v>1.0610896632291329</v>
      </c>
      <c r="CW17" s="109">
        <f t="shared" si="15"/>
        <v>1.0610896632291329</v>
      </c>
      <c r="CX17" s="109">
        <f t="shared" si="15"/>
        <v>1.0610896632291329</v>
      </c>
      <c r="CY17" s="109">
        <f t="shared" si="15"/>
        <v>1.081908008378988</v>
      </c>
      <c r="CZ17" s="109">
        <f t="shared" si="15"/>
        <v>1.081908008378988</v>
      </c>
      <c r="DA17" s="109">
        <f t="shared" si="15"/>
        <v>1.081908008378988</v>
      </c>
      <c r="DB17" s="109">
        <f t="shared" si="15"/>
        <v>1.081908008378988</v>
      </c>
      <c r="DC17" s="109">
        <f t="shared" si="15"/>
        <v>1.0819789880760553</v>
      </c>
      <c r="DD17" s="109">
        <f t="shared" si="15"/>
        <v>1.0950747421849822</v>
      </c>
      <c r="DE17" s="109">
        <f t="shared" si="15"/>
        <v>1.0950747421849822</v>
      </c>
      <c r="DF17" s="109">
        <f t="shared" si="15"/>
        <v>1.0950747421849822</v>
      </c>
      <c r="DG17" s="109">
        <f t="shared" si="15"/>
        <v>1.0950747421849822</v>
      </c>
      <c r="DH17" s="109">
        <f t="shared" si="15"/>
        <v>1.1023075733161456</v>
      </c>
      <c r="DI17" s="109">
        <f t="shared" si="15"/>
        <v>1.1023075733161456</v>
      </c>
      <c r="DJ17" s="109">
        <f t="shared" si="15"/>
        <v>1.1063392201095712</v>
      </c>
      <c r="DK17" s="109">
        <f t="shared" si="15"/>
        <v>1.1063392201095712</v>
      </c>
      <c r="DL17" s="109">
        <f t="shared" si="15"/>
        <v>1.1063392201095712</v>
      </c>
      <c r="DM17" s="109">
        <f t="shared" si="15"/>
        <v>1.1059346358362874</v>
      </c>
      <c r="DN17" s="109">
        <f t="shared" si="15"/>
        <v>1.1059346358362874</v>
      </c>
      <c r="DO17" s="109">
        <f t="shared" si="15"/>
        <v>1.087245681598453</v>
      </c>
      <c r="DP17" s="109">
        <f t="shared" si="15"/>
        <v>1.087245681598453</v>
      </c>
      <c r="DQ17" s="109">
        <f t="shared" si="15"/>
        <v>1.087245681598453</v>
      </c>
      <c r="DR17" s="109">
        <f t="shared" si="15"/>
        <v>1.087245681598453</v>
      </c>
      <c r="DS17" s="109">
        <f t="shared" si="15"/>
        <v>1.0878844988720593</v>
      </c>
      <c r="DT17" s="109">
        <f t="shared" si="15"/>
        <v>0.41</v>
      </c>
      <c r="DU17" s="109">
        <f t="shared" si="15"/>
        <v>0.41</v>
      </c>
      <c r="DV17" s="109">
        <f t="shared" si="15"/>
        <v>0.41</v>
      </c>
      <c r="DW17" s="109">
        <f t="shared" si="15"/>
        <v>0.41</v>
      </c>
      <c r="DX17" s="109">
        <f t="shared" si="15"/>
        <v>0.41</v>
      </c>
      <c r="DY17" s="109">
        <f t="shared" si="15"/>
        <v>0.41</v>
      </c>
      <c r="DZ17" s="109">
        <f t="shared" si="15"/>
        <v>0.41</v>
      </c>
      <c r="EA17" s="109">
        <f t="shared" si="15"/>
        <v>0.41</v>
      </c>
      <c r="EB17" s="109">
        <f t="shared" si="15"/>
        <v>0.41</v>
      </c>
      <c r="EC17" s="109">
        <f t="shared" si="15"/>
        <v>0.41</v>
      </c>
      <c r="ED17" s="109">
        <f t="shared" si="15"/>
        <v>0.41</v>
      </c>
      <c r="EE17" s="109">
        <f t="shared" si="15"/>
        <v>0.41</v>
      </c>
      <c r="EF17" s="109">
        <f t="shared" si="15"/>
        <v>0.41</v>
      </c>
    </row>
  </sheetData>
  <phoneticPr fontId="52" type="noConversion"/>
  <pageMargins left="0.7" right="0.7" top="0.75" bottom="0.75" header="0.3" footer="0.3"/>
  <pageSetup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EZ20"/>
  <sheetViews>
    <sheetView topLeftCell="A2" workbookViewId="0">
      <pane xSplit="11" ySplit="4" topLeftCell="CX6" activePane="bottomRight" state="frozen"/>
      <selection pane="topRight" activeCell="L2" sqref="L2"/>
      <selection pane="bottomLeft" activeCell="A6" sqref="A6"/>
      <selection pane="bottomRight" activeCell="CX11" sqref="CX11"/>
    </sheetView>
  </sheetViews>
  <sheetFormatPr baseColWidth="10" defaultColWidth="22.6640625" defaultRowHeight="12"/>
  <cols>
    <col min="1" max="1" width="13.33203125" style="60" bestFit="1" customWidth="1"/>
    <col min="2" max="2" width="11.33203125" style="60" bestFit="1" customWidth="1"/>
    <col min="3" max="3" width="4.83203125" style="60" bestFit="1" customWidth="1"/>
    <col min="4" max="4" width="12.33203125" style="60" bestFit="1" customWidth="1"/>
    <col min="5" max="5" width="7.6640625" style="60" bestFit="1" customWidth="1"/>
    <col min="6" max="6" width="6" style="60" bestFit="1" customWidth="1"/>
    <col min="7" max="7" width="4.1640625" style="60" bestFit="1" customWidth="1"/>
    <col min="8" max="8" width="26.1640625" style="60" bestFit="1" customWidth="1"/>
    <col min="9" max="100" width="7.83203125" style="60" bestFit="1" customWidth="1"/>
    <col min="101" max="143" width="7" style="60" bestFit="1" customWidth="1"/>
    <col min="144" max="156" width="3.33203125" style="60" bestFit="1" customWidth="1"/>
    <col min="157" max="16384" width="22.6640625" style="60"/>
  </cols>
  <sheetData>
    <row r="1" spans="1:156" ht="26">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c r="EM1" s="99">
        <v>141</v>
      </c>
      <c r="EN1" s="99">
        <v>142</v>
      </c>
      <c r="EO1" s="99">
        <v>143</v>
      </c>
      <c r="EP1" s="99">
        <v>144</v>
      </c>
      <c r="EQ1" s="99">
        <v>145</v>
      </c>
      <c r="ER1" s="99">
        <v>146</v>
      </c>
      <c r="ES1" s="99">
        <v>147</v>
      </c>
      <c r="ET1" s="99">
        <v>148</v>
      </c>
      <c r="EU1" s="99">
        <v>149</v>
      </c>
      <c r="EV1" s="99">
        <v>150</v>
      </c>
      <c r="EW1" s="99">
        <v>151</v>
      </c>
      <c r="EX1" s="99">
        <v>152</v>
      </c>
      <c r="EY1" s="99">
        <v>153</v>
      </c>
      <c r="EZ1" s="99">
        <v>154</v>
      </c>
    </row>
    <row r="2" spans="1:156" ht="26">
      <c r="A2" s="100" t="s">
        <v>707</v>
      </c>
      <c r="B2" s="100"/>
      <c r="C2" s="101">
        <v>1</v>
      </c>
      <c r="D2" s="112"/>
      <c r="K2" s="102"/>
      <c r="M2" s="102"/>
    </row>
    <row r="3" spans="1:156">
      <c r="A3" s="100"/>
      <c r="B3" s="100"/>
      <c r="D3" s="100"/>
      <c r="E3" s="64"/>
      <c r="F3" s="103"/>
    </row>
    <row r="4" spans="1:156">
      <c r="A4" s="64"/>
      <c r="B4" s="64"/>
      <c r="D4" s="64"/>
      <c r="E4" s="64"/>
      <c r="H4" s="60" t="s">
        <v>387</v>
      </c>
    </row>
    <row r="5" spans="1:156">
      <c r="A5" s="74"/>
      <c r="B5" s="74"/>
    </row>
    <row r="6" spans="1:156">
      <c r="A6" s="59"/>
      <c r="B6" s="59"/>
      <c r="C6" s="59"/>
      <c r="D6" s="98"/>
      <c r="E6" s="98"/>
      <c r="F6" s="59"/>
      <c r="H6" s="59" t="s">
        <v>416</v>
      </c>
      <c r="I6" s="59">
        <v>43831</v>
      </c>
      <c r="J6" s="59">
        <v>43862</v>
      </c>
      <c r="K6" s="59">
        <v>43891</v>
      </c>
      <c r="L6" s="59">
        <v>43922</v>
      </c>
      <c r="M6" s="59">
        <v>43952</v>
      </c>
      <c r="N6" s="59">
        <v>43983</v>
      </c>
      <c r="O6" s="59">
        <v>44013</v>
      </c>
      <c r="P6" s="59">
        <v>44044</v>
      </c>
      <c r="Q6" s="59">
        <v>44075</v>
      </c>
      <c r="R6" s="59">
        <v>44105</v>
      </c>
      <c r="S6" s="59">
        <v>44136</v>
      </c>
      <c r="T6" s="59">
        <v>44166</v>
      </c>
      <c r="U6" s="59">
        <v>44197</v>
      </c>
      <c r="V6" s="59">
        <v>44228</v>
      </c>
      <c r="W6" s="59">
        <v>44256</v>
      </c>
      <c r="X6" s="59">
        <v>44287</v>
      </c>
      <c r="Y6" s="59">
        <v>44317</v>
      </c>
      <c r="Z6" s="59">
        <v>44348</v>
      </c>
      <c r="AA6" s="59">
        <v>44378</v>
      </c>
      <c r="AB6" s="59">
        <v>44409</v>
      </c>
      <c r="AC6" s="59">
        <v>44440</v>
      </c>
      <c r="AD6" s="59">
        <v>44470</v>
      </c>
      <c r="AE6" s="59">
        <v>44501</v>
      </c>
      <c r="AF6" s="59">
        <v>44531</v>
      </c>
      <c r="AG6" s="59">
        <v>44562</v>
      </c>
      <c r="AH6" s="59">
        <v>44593</v>
      </c>
      <c r="AI6" s="59">
        <v>44621</v>
      </c>
      <c r="AJ6" s="59">
        <v>44652</v>
      </c>
      <c r="AK6" s="59">
        <v>44682</v>
      </c>
      <c r="AL6" s="59">
        <v>44713</v>
      </c>
      <c r="AM6" s="59">
        <v>44743</v>
      </c>
      <c r="AN6" s="59">
        <v>44774</v>
      </c>
      <c r="AO6" s="59">
        <v>44805</v>
      </c>
      <c r="AP6" s="59">
        <v>44835</v>
      </c>
      <c r="AQ6" s="59">
        <v>44866</v>
      </c>
      <c r="AR6" s="59">
        <v>44896</v>
      </c>
      <c r="AS6" s="59">
        <v>44927</v>
      </c>
      <c r="AT6" s="59">
        <v>44958</v>
      </c>
      <c r="AU6" s="59">
        <v>44986</v>
      </c>
      <c r="AV6" s="59">
        <v>45017</v>
      </c>
      <c r="AW6" s="59">
        <v>45047</v>
      </c>
      <c r="AX6" s="59">
        <v>45078</v>
      </c>
      <c r="AY6" s="59">
        <v>45108</v>
      </c>
      <c r="AZ6" s="59" t="s">
        <v>530</v>
      </c>
      <c r="BA6" s="59" t="s">
        <v>531</v>
      </c>
      <c r="BB6" s="59" t="s">
        <v>532</v>
      </c>
      <c r="BC6" s="59">
        <v>37104</v>
      </c>
      <c r="BD6" s="59">
        <v>37469</v>
      </c>
      <c r="BE6" s="59" t="s">
        <v>168</v>
      </c>
      <c r="BF6" s="59" t="s">
        <v>169</v>
      </c>
      <c r="BG6" s="59" t="s">
        <v>393</v>
      </c>
      <c r="BH6" s="59" t="s">
        <v>458</v>
      </c>
      <c r="BI6" s="59" t="s">
        <v>459</v>
      </c>
      <c r="BJ6" s="59" t="s">
        <v>460</v>
      </c>
      <c r="BK6" s="59" t="s">
        <v>461</v>
      </c>
      <c r="BL6" s="59" t="s">
        <v>462</v>
      </c>
      <c r="BM6" s="59" t="s">
        <v>463</v>
      </c>
      <c r="BN6" s="59" t="s">
        <v>464</v>
      </c>
      <c r="BO6" s="59">
        <v>37196</v>
      </c>
      <c r="BP6" s="59">
        <v>37561</v>
      </c>
      <c r="BQ6" s="59">
        <v>37926</v>
      </c>
      <c r="BR6" s="59">
        <v>38292</v>
      </c>
      <c r="BS6" s="59">
        <v>37226</v>
      </c>
      <c r="BT6" s="59">
        <v>37591</v>
      </c>
      <c r="BU6" s="59">
        <v>37956</v>
      </c>
      <c r="BV6" s="59">
        <v>38322</v>
      </c>
      <c r="BW6" s="59">
        <v>36892</v>
      </c>
      <c r="BX6" s="59">
        <v>37257</v>
      </c>
      <c r="BY6" s="59">
        <v>37622</v>
      </c>
      <c r="BZ6" s="59">
        <v>37987</v>
      </c>
      <c r="CA6" s="59">
        <v>36923</v>
      </c>
      <c r="CB6" s="59">
        <v>37288</v>
      </c>
      <c r="CC6" s="59">
        <v>37653</v>
      </c>
      <c r="CD6" s="59">
        <v>38018</v>
      </c>
      <c r="CE6" s="59" t="str">
        <f>Sheet8!A15</f>
        <v>Mar-w1</v>
      </c>
      <c r="CF6" s="59">
        <v>37316</v>
      </c>
      <c r="CG6" s="59">
        <v>37681</v>
      </c>
      <c r="CH6" s="59">
        <v>38047</v>
      </c>
      <c r="CI6" s="59" t="str">
        <f>Sheet8!E15</f>
        <v>Apr-w1</v>
      </c>
      <c r="CJ6" s="59" t="str">
        <f>Sheet8!F15</f>
        <v>Apr-w2</v>
      </c>
      <c r="CK6" s="59" t="str">
        <f>Sheet8!G15</f>
        <v>Apr-w3</v>
      </c>
      <c r="CL6" s="59" t="str">
        <f>Sheet8!H15</f>
        <v>Apr-w4</v>
      </c>
      <c r="CM6" s="59" t="str">
        <f>Sheet8!I15</f>
        <v>May-w1</v>
      </c>
      <c r="CN6" s="59" t="str">
        <f>Sheet8!J15</f>
        <v>May-w2</v>
      </c>
      <c r="CO6" s="59" t="str">
        <f>Sheet8!K15</f>
        <v>May-w3</v>
      </c>
      <c r="CP6" s="59" t="str">
        <f>Sheet8!L15</f>
        <v>May-w4</v>
      </c>
      <c r="CQ6" s="59" t="str">
        <f>Sheet8!M15</f>
        <v>May-w5</v>
      </c>
      <c r="CR6" s="59" t="str">
        <f>Sheet8!N15</f>
        <v>june-w1</v>
      </c>
      <c r="CS6" s="59" t="str">
        <f>Sheet8!O15</f>
        <v>june-w2</v>
      </c>
      <c r="CT6" s="59" t="str">
        <f>Sheet8!P15</f>
        <v>june-w3</v>
      </c>
      <c r="CU6" s="59" t="str">
        <f>Sheet8!Q15</f>
        <v>june-w4</v>
      </c>
      <c r="CV6" s="59" t="str">
        <f>Sheet8!R15</f>
        <v>Jul-w1</v>
      </c>
      <c r="CW6" s="59" t="str">
        <f>Sheet8!S15</f>
        <v>Jul-w2</v>
      </c>
      <c r="CX6" s="59" t="str">
        <f>Sheet8!T15</f>
        <v>Jul-w3</v>
      </c>
      <c r="CY6" s="59" t="str">
        <f>Sheet8!U15</f>
        <v>Jul-w4</v>
      </c>
      <c r="CZ6" s="59" t="str">
        <f>Sheet8!V15</f>
        <v>Aug-w1</v>
      </c>
      <c r="DA6" s="59" t="str">
        <f>Sheet8!W15</f>
        <v>Aug-w2</v>
      </c>
      <c r="DB6" s="59" t="str">
        <f>Sheet8!X15</f>
        <v>Aug-w3</v>
      </c>
      <c r="DC6" s="59" t="str">
        <f>Sheet8!Y15</f>
        <v>Aug-w4</v>
      </c>
      <c r="DD6" s="59" t="str">
        <f>Sheet8!Z15</f>
        <v>Sep-w1</v>
      </c>
      <c r="DE6" s="59" t="str">
        <f>Sheet8!AA15</f>
        <v>Sep-w2</v>
      </c>
      <c r="DF6" s="59" t="str">
        <f>Sheet8!AB15</f>
        <v>Sep-w3</v>
      </c>
      <c r="DG6" s="59" t="str">
        <f>Sheet8!AC15</f>
        <v>Sep-w4</v>
      </c>
      <c r="DH6" s="59" t="str">
        <f>Sheet8!AD15</f>
        <v>Oct-w1</v>
      </c>
      <c r="DI6" s="59" t="str">
        <f>Sheet8!AE15</f>
        <v>Oct-w2</v>
      </c>
      <c r="DJ6" s="59" t="str">
        <f>Sheet8!AF15</f>
        <v>Oct-w3</v>
      </c>
      <c r="DK6" s="59" t="str">
        <f>Sheet8!AG15</f>
        <v>Oct-w4</v>
      </c>
      <c r="DL6" s="59" t="str">
        <f>Sheet8!AH15</f>
        <v>Nov-w1</v>
      </c>
      <c r="DM6" s="59" t="str">
        <f>Sheet8!AI15</f>
        <v>Nov-w2</v>
      </c>
      <c r="DN6" s="59" t="str">
        <f>Sheet8!AJ15</f>
        <v>Nov-w3</v>
      </c>
      <c r="DO6" s="59" t="str">
        <f>Sheet8!AK15</f>
        <v>Nov-w4</v>
      </c>
      <c r="DP6" s="59" t="str">
        <f>Sheet8!AL15</f>
        <v>Dec-w1</v>
      </c>
      <c r="DQ6" s="59" t="str">
        <f>Sheet8!AM15</f>
        <v>Dec-w2</v>
      </c>
      <c r="DR6" s="59" t="str">
        <f>Sheet8!AN15</f>
        <v>Dec-w3</v>
      </c>
      <c r="DS6" s="59" t="str">
        <f>Sheet8!AO15</f>
        <v>Dec-w4</v>
      </c>
      <c r="DT6" s="59">
        <f>Sheet8!AP15</f>
        <v>0</v>
      </c>
      <c r="DU6" s="59">
        <f>Sheet8!AQ15</f>
        <v>0</v>
      </c>
      <c r="DV6" s="59">
        <f>Sheet8!AR15</f>
        <v>0</v>
      </c>
      <c r="DW6" s="59">
        <f>Sheet8!AS15</f>
        <v>0</v>
      </c>
      <c r="DX6" s="59">
        <f>Sheet8!AT15</f>
        <v>0</v>
      </c>
      <c r="DY6" s="59">
        <f>Sheet8!AU15</f>
        <v>0</v>
      </c>
      <c r="DZ6" s="59">
        <f>Sheet8!AV15</f>
        <v>0</v>
      </c>
      <c r="EA6" s="59">
        <f>Sheet8!AW15</f>
        <v>0</v>
      </c>
      <c r="EB6" s="59">
        <f>Sheet8!AX15</f>
        <v>0</v>
      </c>
      <c r="EC6" s="59">
        <f>Sheet8!AY15</f>
        <v>0</v>
      </c>
      <c r="ED6" s="59">
        <f>Sheet8!AZ15</f>
        <v>0</v>
      </c>
      <c r="EE6" s="59">
        <f>Sheet8!BA15</f>
        <v>0</v>
      </c>
      <c r="EF6" s="59">
        <f>Sheet8!BB15</f>
        <v>0</v>
      </c>
      <c r="EG6" s="59">
        <f>Sheet8!BC15</f>
        <v>0</v>
      </c>
      <c r="EH6" s="59">
        <f>Sheet8!BD15</f>
        <v>0</v>
      </c>
      <c r="EI6" s="59">
        <f>Sheet8!BE15</f>
        <v>0</v>
      </c>
      <c r="EJ6" s="59">
        <f>Sheet8!BF15</f>
        <v>0</v>
      </c>
      <c r="EK6" s="59">
        <f>Sheet8!BG15</f>
        <v>0</v>
      </c>
      <c r="EL6" s="59">
        <f>Sheet8!BH15</f>
        <v>0</v>
      </c>
      <c r="EM6" s="59">
        <f>Sheet8!BI15</f>
        <v>0</v>
      </c>
    </row>
    <row r="7" spans="1:156" ht="26">
      <c r="A7" s="84"/>
      <c r="B7" s="84"/>
      <c r="C7" s="84"/>
      <c r="D7" s="246"/>
      <c r="E7" s="246" t="s">
        <v>708</v>
      </c>
      <c r="F7" s="84"/>
      <c r="H7" s="44" t="s">
        <v>97</v>
      </c>
      <c r="I7" s="247">
        <f>VLOOKUP($H$7&amp;$F$1,'Input RM sheet'!$A:$BD,H1,0)</f>
        <v>2357.27</v>
      </c>
      <c r="J7" s="247">
        <f>VLOOKUP($H$7&amp;$F$1,'Input RM sheet'!$A:$BD,I1,0)</f>
        <v>2120.48</v>
      </c>
      <c r="K7" s="247">
        <f>VLOOKUP($H$7&amp;$F$1,'Input RM sheet'!$A:$BD,J1,0)</f>
        <v>1905.61</v>
      </c>
      <c r="L7" s="247">
        <f>VLOOKUP($H$7&amp;$F$1,'Input RM sheet'!$A:$BD,K1,0)</f>
        <v>1894.08</v>
      </c>
      <c r="M7" s="247">
        <f>VLOOKUP($H$7&amp;$F$1,'Input RM sheet'!$A:$BD,L1,0)</f>
        <v>1963.39</v>
      </c>
      <c r="N7" s="247">
        <f>VLOOKUP($H$7&amp;$F$1,'Input RM sheet'!$A:$BD,M1,0)</f>
        <v>2020.61</v>
      </c>
      <c r="O7" s="247">
        <f>VLOOKUP($H$7&amp;$F$1,'Input RM sheet'!$A:$BD,N1,0)</f>
        <v>2162.2399999999998</v>
      </c>
      <c r="P7" s="247">
        <f>VLOOKUP($H$7&amp;$F$1,'Input RM sheet'!$A:$BD,O1,0)</f>
        <v>2406.83</v>
      </c>
      <c r="Q7" s="247">
        <f>VLOOKUP($H$7&amp;$F$1,'Input RM sheet'!$A:$BD,P1,0)</f>
        <v>2450.5</v>
      </c>
      <c r="R7" s="247">
        <f>VLOOKUP($H$7&amp;$F$1,'Input RM sheet'!$A:$BD,Q1,0)</f>
        <v>2441.5500000000002</v>
      </c>
      <c r="S7" s="247">
        <f>VLOOKUP($H$7&amp;$F$1,'Input RM sheet'!$A:$BD,R1,0)</f>
        <v>2669.69</v>
      </c>
      <c r="T7" s="247">
        <f>VLOOKUP($H$7&amp;$F$1,'Input RM sheet'!$A:$BD,S1,0)</f>
        <v>2782.36</v>
      </c>
      <c r="U7" s="247">
        <f>VLOOKUP($H$7&amp;$F$1,'Input RM sheet'!$A:$BD,T1,0)</f>
        <v>2707.7</v>
      </c>
      <c r="V7" s="247">
        <f>VLOOKUP($H$7&amp;$F$1,'Input RM sheet'!$A:$BD,U1,0)</f>
        <v>2730.47</v>
      </c>
      <c r="W7" s="247">
        <f>VLOOKUP($H$7&amp;$F$1,'Input RM sheet'!$A:$BD,V1,0)</f>
        <v>2791.65</v>
      </c>
      <c r="X7" s="247">
        <f>VLOOKUP($H$7&amp;$F$1,'Input RM sheet'!$A:$BD,W1,0)</f>
        <v>2827.35</v>
      </c>
      <c r="Y7" s="247">
        <f>VLOOKUP($H$7&amp;$F$1,'Input RM sheet'!$A:$BD,X1,0)</f>
        <v>2970.29</v>
      </c>
      <c r="Z7" s="247">
        <f>VLOOKUP($H$7&amp;$F$1,'Input RM sheet'!$A:$BD,Y1,0)</f>
        <v>2950.07</v>
      </c>
      <c r="AA7" s="247">
        <f>VLOOKUP($H$7&amp;$F$1,'Input RM sheet'!$A:$BD,Z1,0)</f>
        <v>2950.07</v>
      </c>
      <c r="AB7" s="247">
        <f>VLOOKUP($H$7&amp;$F$1,'Input RM sheet'!$A:$BD,AA1,0)</f>
        <v>2950.07</v>
      </c>
      <c r="AC7" s="247">
        <f>VLOOKUP($H$7&amp;$F$1,'Input RM sheet'!$A:$BD,AB1,0)</f>
        <v>2950.07</v>
      </c>
      <c r="AD7" s="247">
        <f>VLOOKUP($H$7&amp;$F$1,'Input RM sheet'!$A:$BD,AC1,0)</f>
        <v>2950.07</v>
      </c>
      <c r="AE7" s="247">
        <f>VLOOKUP($H$7&amp;$F$1,'Input RM sheet'!$A:$BD,AD1,0)</f>
        <v>2950.07</v>
      </c>
      <c r="AF7" s="247">
        <f>VLOOKUP($H$7&amp;$F$1,'Input RM sheet'!$A:$BD,AE1,0)</f>
        <v>3153</v>
      </c>
      <c r="AG7" s="247">
        <f>VLOOKUP($H$7&amp;$F$1,'Input RM sheet'!$A:$BD,AF1,0)</f>
        <v>3609.95</v>
      </c>
      <c r="AH7" s="247">
        <f>VLOOKUP($H$7&amp;$F$1,'Input RM sheet'!$A:$BD,AG1,0)</f>
        <v>3643</v>
      </c>
      <c r="AI7" s="247">
        <f>VLOOKUP($H$7&amp;$F$1,'Input RM sheet'!$A:$BD,AH1,0)</f>
        <v>3974.3</v>
      </c>
      <c r="AJ7" s="247">
        <f>VLOOKUP($H$7&amp;$F$1,'Input RM sheet'!$A:$BD,AI1,0)</f>
        <v>4371.03</v>
      </c>
      <c r="AK7" s="247">
        <f>VLOOKUP($H$7&amp;$F$1,'Input RM sheet'!$A:$BD,AJ1,0)</f>
        <v>3759.45</v>
      </c>
      <c r="AL7" s="247">
        <f>VLOOKUP($H$7&amp;$F$1,'Input RM sheet'!$A:$BD,AK1,0)</f>
        <v>3543.95</v>
      </c>
      <c r="AM7" s="247">
        <f>VLOOKUP($H$7&amp;$F$1,'Input RM sheet'!$A:$BD,AL1,0)</f>
        <v>3097.21</v>
      </c>
      <c r="AN7" s="247">
        <f>VLOOKUP($H$7&amp;$F$1,'Input RM sheet'!$A:$BD,AM1,0)</f>
        <v>3572.91</v>
      </c>
      <c r="AO7" s="247">
        <f>VLOOKUP($H$7&amp;$F$1,'Input RM sheet'!$A:$BD,AN1,0)</f>
        <v>3136.43</v>
      </c>
      <c r="AP7" s="247">
        <f>VLOOKUP($H$7&amp;$F$1,'Input RM sheet'!$A:$BD,AO1,0)</f>
        <v>2959.05</v>
      </c>
      <c r="AQ7" s="247">
        <f>VLOOKUP($H$7&amp;$F$1,'Input RM sheet'!$A:$BD,AP1,0)</f>
        <v>3144</v>
      </c>
      <c r="AR7" s="247">
        <f>VLOOKUP($H$7&amp;$F$1,'Input RM sheet'!$A:$BD,AQ1,0)</f>
        <v>2685</v>
      </c>
      <c r="AS7" s="247">
        <f>VLOOKUP($H$7&amp;$F$1,'Input RM sheet'!$A:$BD,AR1,0)</f>
        <v>3287</v>
      </c>
      <c r="AT7" s="247">
        <f>VLOOKUP($H$7&amp;$F$1,'Input RM sheet'!$A:$BD,AS1,0)</f>
        <v>3142</v>
      </c>
      <c r="AU7" s="247">
        <f>VLOOKUP($H$7&amp;$F$1,'Input RM sheet'!$A:$BD,AT1,0)</f>
        <v>2924</v>
      </c>
      <c r="AV7" s="247">
        <f>VLOOKUP($H$7&amp;$F$1,'Input RM sheet'!$A:$BD,AU1,0)</f>
        <v>2771.31</v>
      </c>
      <c r="AW7" s="247">
        <f>VLOOKUP($H$7&amp;$F$1,'Input RM sheet'!$A:$BD,AV1,0)</f>
        <v>2230</v>
      </c>
      <c r="AX7" s="247">
        <f>VLOOKUP($H$7&amp;$F$1,'Input RM sheet'!$A:$BD,AW1,0)</f>
        <v>2346</v>
      </c>
      <c r="AY7" s="247">
        <f>VLOOKUP($H$7&amp;$F$1,'Input RM sheet'!$A:$BD,AX1,0)</f>
        <v>2355</v>
      </c>
      <c r="AZ7" s="247">
        <f>VLOOKUP($H$7&amp;$F$1,'Input RM sheet'!$A:$BD,AY1,0)</f>
        <v>2412</v>
      </c>
      <c r="BA7" s="247">
        <f>VLOOKUP($H$7&amp;$F$1,'Input RM sheet'!$A:$BD,AZ1,0)</f>
        <v>2366</v>
      </c>
      <c r="BB7" s="247">
        <f>VLOOKUP($H$7&amp;$F$1,'Input RM sheet'!$A:$BD,BA1,0)</f>
        <v>2484.5</v>
      </c>
      <c r="BC7" s="247">
        <f>VLOOKUP($H$7&amp;$F$1,'Input RM sheet'!$A:$BD,BB1,0)</f>
        <v>2498</v>
      </c>
      <c r="BD7" s="247">
        <f>VLOOKUP($H$7&amp;$F$1,'Input RM sheet'!$A:$BD,BC1,0)</f>
        <v>2311</v>
      </c>
      <c r="BE7" s="247">
        <f>VLOOKUP($H$7&amp;$F$1,'Input RM sheet'!$A:$BD,BD1,0)</f>
        <v>2394</v>
      </c>
      <c r="BF7" s="247">
        <f>VLOOKUP($H$7&amp;$F$1,'Input RM sheet'!$A:$BD,BE1,0)</f>
        <v>2394</v>
      </c>
      <c r="BG7" s="247">
        <f>VLOOKUP($H$7&amp;$F$1,'Input RM sheet'!$A:$DD,BF1,0)</f>
        <v>2472.5</v>
      </c>
      <c r="BH7" s="247">
        <f>VLOOKUP($H$7&amp;$F$1,'Input RM sheet'!$A:$DD,BG1,0)</f>
        <v>2511.5</v>
      </c>
      <c r="BI7" s="247">
        <f>VLOOKUP($H$7&amp;$F$1,'Input RM sheet'!$A:$DD,BH1,0)</f>
        <v>2508</v>
      </c>
      <c r="BJ7" s="247">
        <f>VLOOKUP($H$7&amp;$F$1,'Input RM sheet'!$A:$DD,BI1,0)</f>
        <v>2640</v>
      </c>
      <c r="BK7" s="247">
        <f>VLOOKUP($H$7&amp;$F$1,'Input RM sheet'!$A:$DD,BJ1,0)</f>
        <v>2509</v>
      </c>
      <c r="BL7" s="247">
        <f>VLOOKUP($H$7&amp;$F$1,'Input RM sheet'!$A:$DD,BK1,0)</f>
        <v>2446</v>
      </c>
      <c r="BM7" s="247">
        <f>VLOOKUP($H$7&amp;$F$1,'Input RM sheet'!$A:$DD,BL1,0)</f>
        <v>2442.5</v>
      </c>
      <c r="BN7" s="247">
        <f>VLOOKUP($H$7&amp;$F$1,'Input RM sheet'!$A:$DD,BM1,0)</f>
        <v>2465.5</v>
      </c>
      <c r="BO7" s="247">
        <f>VLOOKUP($H$7&amp;$F$1,'Input RM sheet'!$A:$DD,BN1,0)</f>
        <v>2524.5</v>
      </c>
      <c r="BP7" s="247">
        <f>VLOOKUP($H$7&amp;$F$1,'Input RM sheet'!$A:$DD,BO1,0)</f>
        <v>2600</v>
      </c>
      <c r="BQ7" s="247">
        <f>VLOOKUP($H$7&amp;$F$1,'Input RM sheet'!$A:$DD,BP1,0)</f>
        <v>2600</v>
      </c>
      <c r="BR7" s="247">
        <f>VLOOKUP($H$7&amp;$F$1,'Input RM sheet'!$A:$DD,BQ1,0)</f>
        <v>2537.5</v>
      </c>
      <c r="BS7" s="247">
        <f>VLOOKUP($H$7&amp;$F$1,'Input RM sheet'!$A:$DD,BR1,0)</f>
        <v>2421.5</v>
      </c>
      <c r="BT7" s="247">
        <f>VLOOKUP($H$7&amp;$F$1,'Input RM sheet'!$A:$DD,BS1,0)</f>
        <v>2426.5</v>
      </c>
      <c r="BU7" s="247">
        <f>VLOOKUP($H$7&amp;$F$1,'Input RM sheet'!$A:$DD,BT1,0)</f>
        <v>2547</v>
      </c>
      <c r="BV7" s="247">
        <f>VLOOKUP($H$7&amp;$F$1,'Input RM sheet'!$A:$DD,BU1,0)</f>
        <v>2658</v>
      </c>
      <c r="BW7" s="247">
        <f>VLOOKUP($H$7&amp;$F$1,'Input RM sheet'!$A:$DD,BV1,0)</f>
        <v>2562.5</v>
      </c>
      <c r="BX7" s="247">
        <f>VLOOKUP($H$7&amp;$F$1,'Input RM sheet'!$A:$DD,BW1,0)</f>
        <v>2462</v>
      </c>
      <c r="BY7" s="247">
        <f>VLOOKUP($H$7&amp;$F$1,'Input RM sheet'!$A:$DD,BX1,0)</f>
        <v>2462</v>
      </c>
      <c r="BZ7" s="247">
        <f>VLOOKUP($H$7&amp;$F$1,'Input RM sheet'!$A:$DD,BY1,0)</f>
        <v>2451</v>
      </c>
      <c r="CA7" s="247">
        <f>VLOOKUP($H$7&amp;$F$1,'Input RM sheet'!$A:$DD,BZ1,0)</f>
        <v>2320</v>
      </c>
      <c r="CB7" s="247">
        <f>VLOOKUP($H$7&amp;$F$1,'Input RM sheet'!$A:$DD,CA1,0)</f>
        <v>2320</v>
      </c>
      <c r="CC7" s="247">
        <f>VLOOKUP($H$7&amp;$F$1,'Input RM sheet'!$A:$DD,CB1,0)</f>
        <v>2378</v>
      </c>
      <c r="CD7" s="247">
        <f>VLOOKUP($H$7&amp;$F$1,'Input RM sheet'!$A:$DD,CC1,0)</f>
        <v>2422</v>
      </c>
      <c r="CE7" s="247">
        <f>VLOOKUP($H$7&amp;$F$1,'Input RM sheet'!$A:$DD,CD1,0)</f>
        <v>2567</v>
      </c>
      <c r="CF7" s="247">
        <f>VLOOKUP($H$7&amp;$F$1,'Input RM sheet'!$A:$DD,CE1,0)</f>
        <v>2567</v>
      </c>
      <c r="CG7" s="247">
        <f>VLOOKUP($H$7&amp;$F$1,'Input RM sheet'!$A:$DD,CF1,0)</f>
        <v>2508</v>
      </c>
      <c r="CH7" s="247">
        <f>VLOOKUP($H$7&amp;$F$1,'Input RM sheet'!$A:$DD,CG1,0)</f>
        <v>2439</v>
      </c>
      <c r="CI7" s="247">
        <f>VLOOKUP($H$7&amp;$F$1,'Input RM sheet'!$A:$DD,CH1,0)</f>
        <v>2731</v>
      </c>
      <c r="CJ7" s="247">
        <f>VLOOKUP($H$7&amp;$F$1,'Input RM sheet'!$A:$DD,CI1,0)</f>
        <v>2847</v>
      </c>
      <c r="CK7" s="247">
        <f>VLOOKUP($H$7&amp;$F$1,'Input RM sheet'!$A:$DD,CJ1,0)</f>
        <v>2788</v>
      </c>
      <c r="CL7" s="247">
        <f>VLOOKUP($H$7&amp;$F$1,'Input RM sheet'!$A:$DD,CK1,0)</f>
        <v>2882</v>
      </c>
      <c r="CM7" s="247">
        <f>VLOOKUP($H$7&amp;$F$1,'Input RM sheet'!$A:$DD,CL1,0)</f>
        <v>2889</v>
      </c>
      <c r="CN7" s="247">
        <f>VLOOKUP($H$7&amp;$F$1,'Input RM sheet'!$A:$DD,CM1,0)</f>
        <v>2960</v>
      </c>
      <c r="CO7" s="247">
        <f>VLOOKUP($H$7&amp;$F$1,'Input RM sheet'!$A:$DD,CN1,0)</f>
        <v>3093</v>
      </c>
      <c r="CP7" s="247">
        <f>VLOOKUP($H$7&amp;$F$1,'Input RM sheet'!$A:$DD,CO1,0)</f>
        <v>3012</v>
      </c>
      <c r="CQ7" s="247">
        <f>VLOOKUP($H$7&amp;$F$1,'Input RM sheet'!$A:$DD,CP1,0)</f>
        <v>2985</v>
      </c>
      <c r="CR7" s="247">
        <f>VLOOKUP($H$7&amp;$F$1,'Input RM sheet'!$A:$ZZ,CQ1,0)</f>
        <v>2889</v>
      </c>
      <c r="CS7" s="247">
        <f>VLOOKUP($H$7&amp;$F$1,'Input RM sheet'!$A:$ZZ,CR1,0)</f>
        <v>2817</v>
      </c>
      <c r="CT7" s="247">
        <f>VLOOKUP($H$7&amp;$F$1,'Input RM sheet'!$A:$ZZ,CS1,0)</f>
        <v>2846</v>
      </c>
      <c r="CU7" s="247">
        <f>VLOOKUP($H$7&amp;$F$1,'Input RM sheet'!$A:$ZZ,CT1,0)</f>
        <v>2861</v>
      </c>
      <c r="CV7" s="247">
        <f>VLOOKUP($H$7&amp;$F$1,'Input RM sheet'!$A:$ZZ,CU1,0)</f>
        <v>3001</v>
      </c>
      <c r="CW7" s="247">
        <f>VLOOKUP($H$7&amp;$F$1,'Input RM sheet'!$A:$ZZ,CV1,0)</f>
        <v>2885</v>
      </c>
      <c r="CX7" s="247">
        <f>VLOOKUP($H$7&amp;$F$1,'Input RM sheet'!$A:$ZZ,CW1,0)</f>
        <v>2688.5</v>
      </c>
      <c r="CY7" s="247">
        <f>VLOOKUP($H$7&amp;$F$1,'Input RM sheet'!$A:$ZZ,CX1,0)</f>
        <v>2707</v>
      </c>
      <c r="CZ7" s="247">
        <f>VLOOKUP($H$7&amp;$F$1,'Input RM sheet'!$A:$ZZ,CY1,0)</f>
        <v>2697</v>
      </c>
      <c r="DA7" s="247">
        <f>VLOOKUP($H$7&amp;$F$1,'Input RM sheet'!$A:$ZZ,CZ1,0)</f>
        <v>2714</v>
      </c>
      <c r="DB7" s="247">
        <f>VLOOKUP($H$7&amp;$F$1,'Input RM sheet'!$A:$ZZ,DA1,0)</f>
        <v>2694</v>
      </c>
      <c r="DC7" s="247">
        <f>VLOOKUP($H$7&amp;$F$1,'Input RM sheet'!$A:$ZZ,DB1,0)</f>
        <v>2813</v>
      </c>
      <c r="DD7" s="247">
        <f>VLOOKUP($H$7&amp;$F$1,'Input RM sheet'!$A:$ZZ,DC1,0)</f>
        <v>2714</v>
      </c>
      <c r="DE7" s="247">
        <f>VLOOKUP($H$7&amp;$F$1,'Input RM sheet'!$A:$ZZ,DD1,0)</f>
        <v>2726</v>
      </c>
      <c r="DF7" s="247">
        <f>VLOOKUP($H$7&amp;$F$1,'Input RM sheet'!$A:$ZZ,DE1,0)</f>
        <v>2888</v>
      </c>
      <c r="DG7" s="247">
        <f>VLOOKUP($H$7&amp;$F$1,'Input RM sheet'!$A:$ZZ,DF1,0)</f>
        <v>3130</v>
      </c>
      <c r="DH7" s="247">
        <f>VLOOKUP($H$7&amp;$F$1,'Input RM sheet'!$A:$ZZ,DG1,0)</f>
        <v>3082</v>
      </c>
      <c r="DI7" s="247">
        <f>VLOOKUP($H$7&amp;$F$1,'Input RM sheet'!$A:$ZZ,DH1,0)</f>
        <v>3046</v>
      </c>
      <c r="DJ7" s="247">
        <f>VLOOKUP($H$7&amp;$F$1,'Input RM sheet'!$A:$ZZ,DI1,0)</f>
        <v>3237</v>
      </c>
      <c r="DK7" s="247">
        <f>VLOOKUP($H$7&amp;$F$1,'Input RM sheet'!$A:$ZZ,DJ1,0)</f>
        <v>3105</v>
      </c>
      <c r="DL7" s="247">
        <f>VLOOKUP($H$7&amp;$F$1,'Input RM sheet'!$A:$ZZ,DK1,0)</f>
        <v>3028</v>
      </c>
      <c r="DM7" s="247">
        <f>VLOOKUP($H$7&amp;$F$1,'Input RM sheet'!$A:$ZZ,DL1,0)</f>
        <v>2980</v>
      </c>
      <c r="DN7" s="247">
        <f>VLOOKUP($H$7&amp;$F$1,'Input RM sheet'!$A:$ZZ,DM1,0)</f>
        <v>2964</v>
      </c>
      <c r="DO7" s="247">
        <f>VLOOKUP($H$7&amp;$F$1,'Input RM sheet'!$A:$ZZ,DN1,0)</f>
        <v>3090</v>
      </c>
      <c r="DP7" s="247">
        <f>VLOOKUP($H$7&amp;$F$1,'Input RM sheet'!$A:$ZZ,DO1,0)</f>
        <v>3079</v>
      </c>
      <c r="DQ7" s="247">
        <f>VLOOKUP($H$7&amp;$F$1,'Input RM sheet'!$A:$ZZ,DP1,0)</f>
        <v>3060</v>
      </c>
      <c r="DR7" s="247">
        <f>VLOOKUP($H$7&amp;$F$1,'Input RM sheet'!$A:$ZZ,DQ1,0)</f>
        <v>3035</v>
      </c>
      <c r="DS7" s="247">
        <f>VLOOKUP($H$7&amp;$F$1,'Input RM sheet'!$A:$ZZ,DR1,0)</f>
        <v>2984</v>
      </c>
      <c r="DT7" s="247">
        <f>VLOOKUP($H$7&amp;$F$1,'Input RM sheet'!$A:$ZZ,DS1,0)</f>
        <v>0</v>
      </c>
      <c r="DU7" s="247">
        <f>VLOOKUP($H$7&amp;$F$1,'Input RM sheet'!$A:$ZZ,DT1,0)</f>
        <v>0</v>
      </c>
      <c r="DV7" s="247">
        <f>VLOOKUP($H$7&amp;$F$1,'Input RM sheet'!$A:$ZZ,DU1,0)</f>
        <v>0</v>
      </c>
      <c r="DW7" s="247">
        <f>VLOOKUP($H$7&amp;$F$1,'Input RM sheet'!$A:$ZZ,DV1,0)</f>
        <v>0</v>
      </c>
      <c r="DX7" s="247">
        <f>VLOOKUP($H$7&amp;$F$1,'Input RM sheet'!$A:$ZZ,DW1,0)</f>
        <v>0</v>
      </c>
      <c r="DY7" s="247">
        <f>VLOOKUP($H$7&amp;$F$1,'Input RM sheet'!$A:$ZZ,DX1,0)</f>
        <v>0</v>
      </c>
      <c r="DZ7" s="247">
        <f>VLOOKUP($H$7&amp;$F$1,'Input RM sheet'!$A:$ZZ,DY1,0)</f>
        <v>0</v>
      </c>
      <c r="EA7" s="247">
        <f>VLOOKUP($H$7&amp;$F$1,'Input RM sheet'!$A:$ZZ,DZ1,0)</f>
        <v>0</v>
      </c>
      <c r="EB7" s="247">
        <f>VLOOKUP($H$7&amp;$F$1,'Input RM sheet'!$A:$ZZ,EA1,0)</f>
        <v>0</v>
      </c>
      <c r="EC7" s="247">
        <f>VLOOKUP($H$7&amp;$F$1,'Input RM sheet'!$A:$ZZ,EB1,0)</f>
        <v>0</v>
      </c>
      <c r="ED7" s="247">
        <f>VLOOKUP($H$7&amp;$F$1,'Input RM sheet'!$A:$ZZ,EC1,0)</f>
        <v>0</v>
      </c>
      <c r="EE7" s="247">
        <f>VLOOKUP($H$7&amp;$F$1,'Input RM sheet'!$A:$ZZ,ED1,0)</f>
        <v>0</v>
      </c>
      <c r="EF7" s="247">
        <f>VLOOKUP($H$7&amp;$F$1,'Input RM sheet'!$A:$ZZ,EE1,0)</f>
        <v>0</v>
      </c>
      <c r="EG7" s="247">
        <f>VLOOKUP($H$7&amp;$F$1,'Input RM sheet'!$A:$ZZ,EF1,0)</f>
        <v>0</v>
      </c>
      <c r="EH7" s="247">
        <f>VLOOKUP($H$7&amp;$F$1,'Input RM sheet'!$A:$ZZ,EG1,0)</f>
        <v>0</v>
      </c>
      <c r="EI7" s="247">
        <f>VLOOKUP($H$7&amp;$F$1,'Input RM sheet'!$A:$ZZ,EH1,0)</f>
        <v>0</v>
      </c>
      <c r="EJ7" s="247">
        <f>VLOOKUP($H$7&amp;$F$1,'Input RM sheet'!$A:$ZZ,EI1,0)</f>
        <v>0</v>
      </c>
      <c r="EK7" s="247">
        <f>VLOOKUP($H$7&amp;$F$1,'Input RM sheet'!$A:$ZZ,EJ1,0)</f>
        <v>0</v>
      </c>
      <c r="EL7" s="247">
        <f>VLOOKUP($H$7&amp;$F$1,'Input RM sheet'!$A:$ZZ,EK1,0)</f>
        <v>0</v>
      </c>
      <c r="EM7" s="247">
        <f>VLOOKUP($H$7&amp;$F$1,'Input RM sheet'!$A:$ZZ,EL1,0)</f>
        <v>0</v>
      </c>
    </row>
    <row r="8" spans="1:156">
      <c r="H8" s="178"/>
      <c r="I8" s="74"/>
      <c r="J8" s="74"/>
      <c r="K8" s="74"/>
      <c r="L8" s="74"/>
      <c r="M8" s="74"/>
      <c r="N8" s="74"/>
      <c r="O8" s="74"/>
      <c r="P8" s="74"/>
      <c r="Q8" s="74"/>
      <c r="R8" s="74"/>
      <c r="S8" s="74"/>
      <c r="T8" s="74"/>
      <c r="U8" s="74"/>
      <c r="V8" s="74"/>
      <c r="W8" s="74"/>
      <c r="X8" s="74"/>
      <c r="Y8" s="74"/>
      <c r="Z8" s="74"/>
      <c r="AA8" s="74"/>
      <c r="AB8" s="74"/>
      <c r="AC8" s="74"/>
      <c r="AD8" s="74"/>
      <c r="AE8" s="74"/>
      <c r="AF8" s="74"/>
      <c r="AG8" s="74"/>
      <c r="AH8" s="74"/>
      <c r="AI8" s="74"/>
      <c r="AJ8" s="74"/>
      <c r="AK8" s="74"/>
      <c r="AL8" s="74"/>
      <c r="AM8" s="74"/>
      <c r="AN8" s="74"/>
      <c r="AO8" s="74"/>
      <c r="AP8" s="74"/>
      <c r="AQ8" s="74"/>
      <c r="AR8" s="74"/>
      <c r="AS8" s="74"/>
      <c r="AT8" s="74"/>
      <c r="AU8" s="74"/>
      <c r="AV8" s="103"/>
      <c r="AW8" s="65"/>
    </row>
    <row r="9" spans="1:156" ht="26">
      <c r="A9" s="59" t="s">
        <v>395</v>
      </c>
      <c r="B9" s="59"/>
      <c r="C9" s="59" t="s">
        <v>379</v>
      </c>
      <c r="D9" s="98" t="s">
        <v>380</v>
      </c>
      <c r="E9" s="98" t="s">
        <v>381</v>
      </c>
      <c r="F9" s="59" t="s">
        <v>396</v>
      </c>
      <c r="H9" s="60" t="s">
        <v>399</v>
      </c>
      <c r="I9" s="84"/>
      <c r="J9" s="84"/>
      <c r="K9" s="84"/>
      <c r="L9" s="84"/>
      <c r="M9" s="84"/>
      <c r="N9" s="84"/>
      <c r="O9" s="84"/>
      <c r="P9" s="84"/>
      <c r="Q9" s="84"/>
      <c r="R9" s="84"/>
      <c r="S9" s="84"/>
      <c r="T9" s="84"/>
      <c r="U9" s="84"/>
      <c r="V9" s="84"/>
      <c r="W9" s="84"/>
      <c r="X9" s="84"/>
      <c r="Y9" s="84"/>
      <c r="Z9" s="84"/>
      <c r="AA9" s="84"/>
      <c r="AB9" s="84"/>
      <c r="AC9" s="84"/>
      <c r="AD9" s="84"/>
      <c r="AE9" s="84"/>
      <c r="AF9" s="84"/>
      <c r="AG9" s="84"/>
      <c r="AH9" s="84"/>
      <c r="AI9" s="84"/>
      <c r="AJ9" s="84"/>
      <c r="AK9" s="84"/>
      <c r="AL9" s="84"/>
      <c r="AM9" s="84"/>
      <c r="AN9" s="84"/>
      <c r="AO9" s="84"/>
      <c r="AP9" s="84"/>
      <c r="AQ9" s="84"/>
      <c r="AR9" s="84"/>
      <c r="AS9" s="84"/>
      <c r="AT9" s="84"/>
      <c r="AU9" s="84"/>
    </row>
    <row r="10" spans="1:156" ht="13">
      <c r="A10" s="107" t="s">
        <v>397</v>
      </c>
      <c r="B10" s="44" t="s">
        <v>97</v>
      </c>
      <c r="C10" s="60">
        <v>1</v>
      </c>
      <c r="D10" s="74">
        <v>44.05</v>
      </c>
      <c r="E10" s="65">
        <f>D10*C10</f>
        <v>44.05</v>
      </c>
      <c r="F10" s="65" t="e">
        <f>E10/E2</f>
        <v>#DIV/0!</v>
      </c>
      <c r="H10" s="60" t="s">
        <v>709</v>
      </c>
      <c r="I10" s="74">
        <f>I7</f>
        <v>2357.27</v>
      </c>
      <c r="J10" s="74">
        <f t="shared" ref="J10:AU10" si="0">J7</f>
        <v>2120.48</v>
      </c>
      <c r="K10" s="74">
        <f t="shared" si="0"/>
        <v>1905.61</v>
      </c>
      <c r="L10" s="74">
        <f t="shared" si="0"/>
        <v>1894.08</v>
      </c>
      <c r="M10" s="74">
        <f t="shared" si="0"/>
        <v>1963.39</v>
      </c>
      <c r="N10" s="74">
        <f t="shared" si="0"/>
        <v>2020.61</v>
      </c>
      <c r="O10" s="74">
        <f t="shared" si="0"/>
        <v>2162.2399999999998</v>
      </c>
      <c r="P10" s="74">
        <f t="shared" si="0"/>
        <v>2406.83</v>
      </c>
      <c r="Q10" s="74">
        <f t="shared" si="0"/>
        <v>2450.5</v>
      </c>
      <c r="R10" s="74">
        <f t="shared" si="0"/>
        <v>2441.5500000000002</v>
      </c>
      <c r="S10" s="74">
        <f t="shared" si="0"/>
        <v>2669.69</v>
      </c>
      <c r="T10" s="74">
        <f t="shared" si="0"/>
        <v>2782.36</v>
      </c>
      <c r="U10" s="74">
        <f t="shared" si="0"/>
        <v>2707.7</v>
      </c>
      <c r="V10" s="74">
        <f t="shared" si="0"/>
        <v>2730.47</v>
      </c>
      <c r="W10" s="74">
        <f t="shared" si="0"/>
        <v>2791.65</v>
      </c>
      <c r="X10" s="74">
        <f t="shared" si="0"/>
        <v>2827.35</v>
      </c>
      <c r="Y10" s="74">
        <f t="shared" si="0"/>
        <v>2970.29</v>
      </c>
      <c r="Z10" s="74">
        <f t="shared" si="0"/>
        <v>2950.07</v>
      </c>
      <c r="AA10" s="74">
        <f t="shared" si="0"/>
        <v>2950.07</v>
      </c>
      <c r="AB10" s="74">
        <f t="shared" si="0"/>
        <v>2950.07</v>
      </c>
      <c r="AC10" s="74">
        <f t="shared" si="0"/>
        <v>2950.07</v>
      </c>
      <c r="AD10" s="74">
        <f t="shared" si="0"/>
        <v>2950.07</v>
      </c>
      <c r="AE10" s="74">
        <f t="shared" si="0"/>
        <v>2950.07</v>
      </c>
      <c r="AF10" s="74">
        <f t="shared" si="0"/>
        <v>3153</v>
      </c>
      <c r="AG10" s="74">
        <f t="shared" si="0"/>
        <v>3609.95</v>
      </c>
      <c r="AH10" s="74">
        <f t="shared" si="0"/>
        <v>3643</v>
      </c>
      <c r="AI10" s="74">
        <f t="shared" si="0"/>
        <v>3974.3</v>
      </c>
      <c r="AJ10" s="74">
        <f t="shared" si="0"/>
        <v>4371.03</v>
      </c>
      <c r="AK10" s="74">
        <f t="shared" si="0"/>
        <v>3759.45</v>
      </c>
      <c r="AL10" s="74">
        <f t="shared" si="0"/>
        <v>3543.95</v>
      </c>
      <c r="AM10" s="74">
        <f t="shared" si="0"/>
        <v>3097.21</v>
      </c>
      <c r="AN10" s="74">
        <f t="shared" si="0"/>
        <v>3572.91</v>
      </c>
      <c r="AO10" s="74">
        <f t="shared" si="0"/>
        <v>3136.43</v>
      </c>
      <c r="AP10" s="74">
        <f t="shared" si="0"/>
        <v>2959.05</v>
      </c>
      <c r="AQ10" s="74">
        <f t="shared" si="0"/>
        <v>3144</v>
      </c>
      <c r="AR10" s="74">
        <f t="shared" si="0"/>
        <v>2685</v>
      </c>
      <c r="AS10" s="74">
        <f t="shared" si="0"/>
        <v>3287</v>
      </c>
      <c r="AT10" s="74">
        <f t="shared" si="0"/>
        <v>3142</v>
      </c>
      <c r="AU10" s="74">
        <f t="shared" si="0"/>
        <v>2924</v>
      </c>
      <c r="AV10" s="74">
        <f t="shared" ref="AV10:BN10" si="1">AV7</f>
        <v>2771.31</v>
      </c>
      <c r="AW10" s="74">
        <f t="shared" si="1"/>
        <v>2230</v>
      </c>
      <c r="AX10" s="74">
        <f t="shared" si="1"/>
        <v>2346</v>
      </c>
      <c r="AY10" s="74">
        <f t="shared" si="1"/>
        <v>2355</v>
      </c>
      <c r="AZ10" s="74">
        <f t="shared" si="1"/>
        <v>2412</v>
      </c>
      <c r="BA10" s="74">
        <f t="shared" si="1"/>
        <v>2366</v>
      </c>
      <c r="BB10" s="74">
        <f t="shared" si="1"/>
        <v>2484.5</v>
      </c>
      <c r="BC10" s="74">
        <f t="shared" si="1"/>
        <v>2498</v>
      </c>
      <c r="BD10" s="74">
        <f t="shared" si="1"/>
        <v>2311</v>
      </c>
      <c r="BE10" s="74">
        <f t="shared" si="1"/>
        <v>2394</v>
      </c>
      <c r="BF10" s="74">
        <f t="shared" si="1"/>
        <v>2394</v>
      </c>
      <c r="BG10" s="74">
        <f t="shared" si="1"/>
        <v>2472.5</v>
      </c>
      <c r="BH10" s="74">
        <f t="shared" si="1"/>
        <v>2511.5</v>
      </c>
      <c r="BI10" s="74">
        <f t="shared" si="1"/>
        <v>2508</v>
      </c>
      <c r="BJ10" s="74">
        <f t="shared" si="1"/>
        <v>2640</v>
      </c>
      <c r="BK10" s="74">
        <f t="shared" si="1"/>
        <v>2509</v>
      </c>
      <c r="BL10" s="74">
        <f t="shared" si="1"/>
        <v>2446</v>
      </c>
      <c r="BM10" s="74">
        <f t="shared" si="1"/>
        <v>2442.5</v>
      </c>
      <c r="BN10" s="74">
        <f t="shared" si="1"/>
        <v>2465.5</v>
      </c>
      <c r="BO10" s="74">
        <f t="shared" ref="BO10:BV10" si="2">BO7</f>
        <v>2524.5</v>
      </c>
      <c r="BP10" s="74">
        <f t="shared" si="2"/>
        <v>2600</v>
      </c>
      <c r="BQ10" s="74">
        <f t="shared" si="2"/>
        <v>2600</v>
      </c>
      <c r="BR10" s="74">
        <f t="shared" si="2"/>
        <v>2537.5</v>
      </c>
      <c r="BS10" s="74">
        <f t="shared" si="2"/>
        <v>2421.5</v>
      </c>
      <c r="BT10" s="74">
        <f t="shared" si="2"/>
        <v>2426.5</v>
      </c>
      <c r="BU10" s="74">
        <f t="shared" si="2"/>
        <v>2547</v>
      </c>
      <c r="BV10" s="74">
        <f t="shared" si="2"/>
        <v>2658</v>
      </c>
      <c r="BW10" s="74">
        <f t="shared" ref="BW10:CB10" si="3">BW7</f>
        <v>2562.5</v>
      </c>
      <c r="BX10" s="74">
        <f t="shared" si="3"/>
        <v>2462</v>
      </c>
      <c r="BY10" s="74">
        <f t="shared" si="3"/>
        <v>2462</v>
      </c>
      <c r="BZ10" s="74">
        <f t="shared" si="3"/>
        <v>2451</v>
      </c>
      <c r="CA10" s="74">
        <f t="shared" si="3"/>
        <v>2320</v>
      </c>
      <c r="CB10" s="74">
        <f t="shared" si="3"/>
        <v>2320</v>
      </c>
      <c r="CC10" s="74">
        <f t="shared" ref="CC10:CH10" si="4">CC7</f>
        <v>2378</v>
      </c>
      <c r="CD10" s="74">
        <f t="shared" si="4"/>
        <v>2422</v>
      </c>
      <c r="CE10" s="74">
        <f t="shared" si="4"/>
        <v>2567</v>
      </c>
      <c r="CF10" s="74">
        <f t="shared" si="4"/>
        <v>2567</v>
      </c>
      <c r="CG10" s="74">
        <f t="shared" si="4"/>
        <v>2508</v>
      </c>
      <c r="CH10" s="74">
        <f t="shared" si="4"/>
        <v>2439</v>
      </c>
      <c r="CI10" s="74">
        <f>CI7</f>
        <v>2731</v>
      </c>
      <c r="CJ10" s="74">
        <f>CJ7</f>
        <v>2847</v>
      </c>
      <c r="CK10" s="74">
        <f>CK7</f>
        <v>2788</v>
      </c>
      <c r="CL10" s="74">
        <f t="shared" ref="CL10:CQ10" si="5">CL7</f>
        <v>2882</v>
      </c>
      <c r="CM10" s="74">
        <f t="shared" si="5"/>
        <v>2889</v>
      </c>
      <c r="CN10" s="74">
        <f t="shared" si="5"/>
        <v>2960</v>
      </c>
      <c r="CO10" s="74">
        <f t="shared" si="5"/>
        <v>3093</v>
      </c>
      <c r="CP10" s="74">
        <f t="shared" si="5"/>
        <v>3012</v>
      </c>
      <c r="CQ10" s="74">
        <f t="shared" si="5"/>
        <v>2985</v>
      </c>
      <c r="CR10" s="74">
        <f>CR7</f>
        <v>2889</v>
      </c>
      <c r="CS10" s="74">
        <f>CS7</f>
        <v>2817</v>
      </c>
      <c r="CT10" s="74">
        <f>CT7</f>
        <v>2846</v>
      </c>
      <c r="CU10" s="74">
        <f>CU7</f>
        <v>2861</v>
      </c>
      <c r="CV10" s="74">
        <f>CV7</f>
        <v>3001</v>
      </c>
      <c r="CW10" s="74">
        <f t="shared" ref="CW10:DB10" si="6">CW7</f>
        <v>2885</v>
      </c>
      <c r="CX10" s="74">
        <f t="shared" si="6"/>
        <v>2688.5</v>
      </c>
      <c r="CY10" s="74">
        <f t="shared" si="6"/>
        <v>2707</v>
      </c>
      <c r="CZ10" s="74">
        <f t="shared" si="6"/>
        <v>2697</v>
      </c>
      <c r="DA10" s="74">
        <f t="shared" si="6"/>
        <v>2714</v>
      </c>
      <c r="DB10" s="74">
        <f t="shared" si="6"/>
        <v>2694</v>
      </c>
      <c r="DC10" s="74">
        <f t="shared" ref="DC10:EM10" si="7">DC7</f>
        <v>2813</v>
      </c>
      <c r="DD10" s="74">
        <f t="shared" si="7"/>
        <v>2714</v>
      </c>
      <c r="DE10" s="74">
        <f t="shared" si="7"/>
        <v>2726</v>
      </c>
      <c r="DF10" s="74">
        <f t="shared" si="7"/>
        <v>2888</v>
      </c>
      <c r="DG10" s="74">
        <f t="shared" si="7"/>
        <v>3130</v>
      </c>
      <c r="DH10" s="74">
        <f t="shared" si="7"/>
        <v>3082</v>
      </c>
      <c r="DI10" s="74">
        <f t="shared" si="7"/>
        <v>3046</v>
      </c>
      <c r="DJ10" s="74">
        <f t="shared" si="7"/>
        <v>3237</v>
      </c>
      <c r="DK10" s="74">
        <f t="shared" si="7"/>
        <v>3105</v>
      </c>
      <c r="DL10" s="74">
        <f t="shared" si="7"/>
        <v>3028</v>
      </c>
      <c r="DM10" s="74">
        <f t="shared" si="7"/>
        <v>2980</v>
      </c>
      <c r="DN10" s="74">
        <f t="shared" si="7"/>
        <v>2964</v>
      </c>
      <c r="DO10" s="74">
        <f t="shared" si="7"/>
        <v>3090</v>
      </c>
      <c r="DP10" s="74">
        <f t="shared" si="7"/>
        <v>3079</v>
      </c>
      <c r="DQ10" s="74">
        <f t="shared" si="7"/>
        <v>3060</v>
      </c>
      <c r="DR10" s="74">
        <f t="shared" si="7"/>
        <v>3035</v>
      </c>
      <c r="DS10" s="74">
        <f t="shared" si="7"/>
        <v>2984</v>
      </c>
      <c r="DT10" s="74">
        <f t="shared" si="7"/>
        <v>0</v>
      </c>
      <c r="DU10" s="74">
        <f t="shared" si="7"/>
        <v>0</v>
      </c>
      <c r="DV10" s="74">
        <f t="shared" si="7"/>
        <v>0</v>
      </c>
      <c r="DW10" s="74">
        <f t="shared" si="7"/>
        <v>0</v>
      </c>
      <c r="DX10" s="74">
        <f t="shared" si="7"/>
        <v>0</v>
      </c>
      <c r="DY10" s="74">
        <f t="shared" si="7"/>
        <v>0</v>
      </c>
      <c r="DZ10" s="74">
        <f t="shared" si="7"/>
        <v>0</v>
      </c>
      <c r="EA10" s="74">
        <f t="shared" si="7"/>
        <v>0</v>
      </c>
      <c r="EB10" s="74">
        <f t="shared" si="7"/>
        <v>0</v>
      </c>
      <c r="EC10" s="74">
        <f t="shared" si="7"/>
        <v>0</v>
      </c>
      <c r="ED10" s="74">
        <f t="shared" si="7"/>
        <v>0</v>
      </c>
      <c r="EE10" s="74">
        <f t="shared" si="7"/>
        <v>0</v>
      </c>
      <c r="EF10" s="74">
        <f t="shared" si="7"/>
        <v>0</v>
      </c>
      <c r="EG10" s="74">
        <f t="shared" si="7"/>
        <v>0</v>
      </c>
      <c r="EH10" s="74">
        <f t="shared" si="7"/>
        <v>0</v>
      </c>
      <c r="EI10" s="74">
        <f t="shared" si="7"/>
        <v>0</v>
      </c>
      <c r="EJ10" s="74">
        <f t="shared" si="7"/>
        <v>0</v>
      </c>
      <c r="EK10" s="74">
        <f t="shared" si="7"/>
        <v>0</v>
      </c>
      <c r="EL10" s="74">
        <f t="shared" si="7"/>
        <v>0</v>
      </c>
      <c r="EM10" s="74">
        <f t="shared" si="7"/>
        <v>0</v>
      </c>
    </row>
    <row r="11" spans="1:156">
      <c r="A11" s="67"/>
      <c r="B11" s="100"/>
      <c r="D11" s="74"/>
      <c r="E11" s="65"/>
      <c r="F11" s="65"/>
      <c r="H11" s="60" t="s">
        <v>710</v>
      </c>
      <c r="I11" s="74">
        <v>100</v>
      </c>
      <c r="J11" s="74">
        <v>100</v>
      </c>
      <c r="K11" s="74">
        <v>100</v>
      </c>
      <c r="L11" s="74">
        <v>100</v>
      </c>
      <c r="M11" s="74">
        <v>100</v>
      </c>
      <c r="N11" s="74">
        <v>100</v>
      </c>
      <c r="O11" s="74">
        <v>100</v>
      </c>
      <c r="P11" s="74">
        <v>100</v>
      </c>
      <c r="Q11" s="74">
        <v>100</v>
      </c>
      <c r="R11" s="74">
        <v>100</v>
      </c>
      <c r="S11" s="74">
        <v>100</v>
      </c>
      <c r="T11" s="74">
        <v>100</v>
      </c>
      <c r="U11" s="74">
        <v>100</v>
      </c>
      <c r="V11" s="74">
        <v>100</v>
      </c>
      <c r="W11" s="74">
        <v>100</v>
      </c>
      <c r="X11" s="74">
        <v>100</v>
      </c>
      <c r="Y11" s="74">
        <v>100</v>
      </c>
      <c r="Z11" s="74">
        <v>100</v>
      </c>
      <c r="AA11" s="74">
        <v>100</v>
      </c>
      <c r="AB11" s="74">
        <v>100</v>
      </c>
      <c r="AC11" s="74">
        <v>100</v>
      </c>
      <c r="AD11" s="74">
        <v>100</v>
      </c>
      <c r="AE11" s="74">
        <v>100</v>
      </c>
      <c r="AF11" s="74">
        <v>100</v>
      </c>
      <c r="AG11" s="74">
        <v>100</v>
      </c>
      <c r="AH11" s="74">
        <v>100</v>
      </c>
      <c r="AI11" s="74">
        <v>100</v>
      </c>
      <c r="AJ11" s="74">
        <v>100</v>
      </c>
      <c r="AK11" s="74">
        <v>100</v>
      </c>
      <c r="AL11" s="74">
        <v>100</v>
      </c>
      <c r="AM11" s="74">
        <v>100</v>
      </c>
      <c r="AN11" s="74">
        <v>100</v>
      </c>
      <c r="AO11" s="74">
        <v>100</v>
      </c>
      <c r="AP11" s="74">
        <v>100</v>
      </c>
      <c r="AQ11" s="74">
        <v>100</v>
      </c>
      <c r="AR11" s="74">
        <v>100</v>
      </c>
      <c r="AS11" s="74">
        <v>100</v>
      </c>
      <c r="AT11" s="74">
        <v>100</v>
      </c>
      <c r="AU11" s="74">
        <v>100</v>
      </c>
      <c r="AV11" s="74">
        <v>100</v>
      </c>
      <c r="AW11" s="74">
        <v>100</v>
      </c>
      <c r="AX11" s="74">
        <v>100</v>
      </c>
      <c r="AY11" s="74">
        <v>100</v>
      </c>
      <c r="AZ11" s="74">
        <v>100</v>
      </c>
      <c r="BA11" s="74">
        <v>100</v>
      </c>
      <c r="BB11" s="74">
        <v>100</v>
      </c>
      <c r="BC11" s="74">
        <v>100</v>
      </c>
      <c r="BD11" s="74">
        <v>100</v>
      </c>
      <c r="BE11" s="74">
        <v>100</v>
      </c>
      <c r="BF11" s="74">
        <v>100</v>
      </c>
      <c r="BG11" s="74">
        <v>100</v>
      </c>
      <c r="BH11" s="74">
        <v>100</v>
      </c>
      <c r="BI11" s="74">
        <v>100</v>
      </c>
      <c r="BJ11" s="74">
        <v>100</v>
      </c>
      <c r="BK11" s="74">
        <v>100</v>
      </c>
      <c r="BL11" s="74">
        <v>100</v>
      </c>
      <c r="BM11" s="74">
        <v>100</v>
      </c>
      <c r="BN11" s="74">
        <v>100</v>
      </c>
      <c r="BO11" s="74">
        <v>100</v>
      </c>
      <c r="BP11" s="74">
        <v>100</v>
      </c>
      <c r="BQ11" s="74">
        <v>100</v>
      </c>
      <c r="BR11" s="74">
        <v>100</v>
      </c>
      <c r="BS11" s="74">
        <v>100</v>
      </c>
      <c r="BT11" s="74">
        <v>100</v>
      </c>
      <c r="BU11" s="74">
        <v>100</v>
      </c>
      <c r="BV11" s="74">
        <v>100</v>
      </c>
      <c r="BW11" s="74">
        <v>100</v>
      </c>
      <c r="BX11" s="74">
        <v>100</v>
      </c>
      <c r="BY11" s="74">
        <v>100</v>
      </c>
      <c r="BZ11" s="74">
        <v>100</v>
      </c>
      <c r="CA11" s="74">
        <v>100</v>
      </c>
      <c r="CB11" s="74">
        <v>100</v>
      </c>
      <c r="CC11" s="74">
        <v>100</v>
      </c>
      <c r="CD11" s="74">
        <v>100</v>
      </c>
      <c r="CE11" s="74">
        <v>100</v>
      </c>
      <c r="CF11" s="74">
        <v>100</v>
      </c>
      <c r="CG11" s="74">
        <v>100</v>
      </c>
      <c r="CH11" s="74">
        <v>100</v>
      </c>
      <c r="CI11" s="74">
        <v>100</v>
      </c>
      <c r="CJ11" s="74">
        <v>100</v>
      </c>
      <c r="CK11" s="74">
        <v>100</v>
      </c>
      <c r="CL11" s="74">
        <v>100</v>
      </c>
      <c r="CM11" s="74">
        <v>100</v>
      </c>
      <c r="CN11" s="74">
        <v>100</v>
      </c>
      <c r="CO11" s="74">
        <v>100</v>
      </c>
      <c r="CP11" s="74">
        <v>100</v>
      </c>
      <c r="CQ11" s="74">
        <v>100</v>
      </c>
      <c r="CR11" s="74">
        <v>100</v>
      </c>
      <c r="CS11" s="74">
        <v>100</v>
      </c>
      <c r="CT11" s="74">
        <v>100</v>
      </c>
      <c r="CU11" s="74">
        <v>100</v>
      </c>
      <c r="CV11" s="74">
        <v>100</v>
      </c>
      <c r="CW11" s="74">
        <v>100</v>
      </c>
      <c r="CX11" s="74">
        <v>100</v>
      </c>
      <c r="CY11" s="74">
        <v>100</v>
      </c>
      <c r="CZ11" s="74">
        <v>100</v>
      </c>
      <c r="DA11" s="74">
        <v>100</v>
      </c>
      <c r="DB11" s="74">
        <v>100</v>
      </c>
      <c r="DC11" s="74">
        <v>100</v>
      </c>
      <c r="DD11" s="74">
        <v>100</v>
      </c>
      <c r="DE11" s="74">
        <v>100</v>
      </c>
      <c r="DF11" s="74">
        <v>100</v>
      </c>
      <c r="DG11" s="74">
        <v>100</v>
      </c>
      <c r="DH11" s="74">
        <v>100</v>
      </c>
      <c r="DI11" s="74">
        <v>100</v>
      </c>
      <c r="DJ11" s="74">
        <v>100</v>
      </c>
      <c r="DK11" s="74">
        <v>100</v>
      </c>
      <c r="DL11" s="74">
        <v>100</v>
      </c>
      <c r="DM11" s="74">
        <v>100</v>
      </c>
      <c r="DN11" s="74">
        <v>100</v>
      </c>
      <c r="DO11" s="74">
        <v>100</v>
      </c>
      <c r="DP11" s="74">
        <v>100</v>
      </c>
      <c r="DQ11" s="74">
        <v>100</v>
      </c>
      <c r="DR11" s="74">
        <v>100</v>
      </c>
      <c r="DS11" s="74">
        <v>100</v>
      </c>
      <c r="DT11" s="74">
        <v>100</v>
      </c>
      <c r="DU11" s="74">
        <v>100</v>
      </c>
      <c r="DV11" s="74">
        <v>100</v>
      </c>
      <c r="DW11" s="74">
        <v>100</v>
      </c>
      <c r="DX11" s="74">
        <v>100</v>
      </c>
      <c r="DY11" s="74">
        <v>100</v>
      </c>
      <c r="DZ11" s="74">
        <v>100</v>
      </c>
      <c r="EA11" s="74">
        <v>100</v>
      </c>
      <c r="EB11" s="74">
        <v>100</v>
      </c>
      <c r="EC11" s="74">
        <v>100</v>
      </c>
      <c r="ED11" s="74">
        <v>100</v>
      </c>
      <c r="EE11" s="74">
        <v>100</v>
      </c>
      <c r="EF11" s="74">
        <v>100</v>
      </c>
      <c r="EG11" s="74">
        <v>100</v>
      </c>
      <c r="EH11" s="74">
        <v>100</v>
      </c>
      <c r="EI11" s="74">
        <v>100</v>
      </c>
      <c r="EJ11" s="74">
        <v>100</v>
      </c>
      <c r="EK11" s="74">
        <v>100</v>
      </c>
      <c r="EL11" s="74">
        <v>100</v>
      </c>
      <c r="EM11" s="74">
        <v>100</v>
      </c>
    </row>
    <row r="12" spans="1:156">
      <c r="A12" s="67"/>
      <c r="B12" s="100"/>
      <c r="D12" s="74"/>
      <c r="E12" s="65"/>
      <c r="F12" s="65"/>
      <c r="H12" s="60" t="s">
        <v>711</v>
      </c>
      <c r="I12" s="70">
        <f>(I10+I11)*'Input RM sheet'!F1</f>
        <v>175175.4253154516</v>
      </c>
      <c r="J12" s="70">
        <f>(J10+J11)*'Input RM sheet'!G1</f>
        <v>158878.58283806901</v>
      </c>
      <c r="K12" s="70">
        <f>(K10+K11)*'Input RM sheet'!H1</f>
        <v>149323.69426941941</v>
      </c>
      <c r="L12" s="70">
        <f>(L10+L11)*'Input RM sheet'!I1</f>
        <v>152051.83040959999</v>
      </c>
      <c r="M12" s="70">
        <f>(M10+M11)*'Input RM sheet'!J1</f>
        <v>156046.44465945163</v>
      </c>
      <c r="N12" s="70">
        <f>(N10+N11)*'Input RM sheet'!K1</f>
        <v>160627.47058680002</v>
      </c>
      <c r="O12" s="70">
        <f>(O10+O11)*'Input RM sheet'!L1</f>
        <v>169496.60977858058</v>
      </c>
      <c r="P12" s="70">
        <f>(P10+P11)*'Input RM sheet'!M1</f>
        <v>186976.66235390323</v>
      </c>
      <c r="Q12" s="70">
        <f>(Q10+Q11)*'Input RM sheet'!N1</f>
        <v>187548.10993000004</v>
      </c>
      <c r="R12" s="70">
        <f>(R10+R11)*'Input RM sheet'!O1</f>
        <v>186847.5412774194</v>
      </c>
      <c r="S12" s="70">
        <f>(S10+S11)*'Input RM sheet'!P1</f>
        <v>205600.17278569992</v>
      </c>
      <c r="T12" s="70">
        <f>(T10+T11)*'Input RM sheet'!Q1</f>
        <v>212521.4881065714</v>
      </c>
      <c r="U12" s="70">
        <f>(U10+U11)*'Input RM sheet'!R1</f>
        <v>205327.10099999997</v>
      </c>
      <c r="V12" s="70">
        <f>(V10+V11)*'Input RM sheet'!S1</f>
        <v>206058.21599999999</v>
      </c>
      <c r="W12" s="70">
        <f>(W10+W11)*'Input RM sheet'!T1</f>
        <v>210512.12</v>
      </c>
      <c r="X12" s="70">
        <f>(X10+X11)*'Input RM sheet'!U1</f>
        <v>217941.20749999999</v>
      </c>
      <c r="Y12" s="70">
        <f>(Y10+Y11)*'Input RM sheet'!V1</f>
        <v>224898.74249999999</v>
      </c>
      <c r="Z12" s="70">
        <f>(Z10+Z11)*'Input RM sheet'!W1</f>
        <v>224302.14780000004</v>
      </c>
      <c r="AA12" s="70">
        <f>(AA10+AA11)*'Input RM sheet'!X1</f>
        <v>227321.71710000001</v>
      </c>
      <c r="AB12" s="70">
        <f>(AB10+AB11)*'Input RM sheet'!Y1</f>
        <v>226193.1912</v>
      </c>
      <c r="AC12" s="70">
        <f>(AC10+AC11)*'Input RM sheet'!Z1</f>
        <v>224332.64850000001</v>
      </c>
      <c r="AD12" s="70">
        <f>(AD10+AD11)*'Input RM sheet'!AA1</f>
        <v>228480.74369999999</v>
      </c>
      <c r="AE12" s="70">
        <f>(AE10+AE11)*'Input RM sheet'!AB1</f>
        <v>227138.71290000001</v>
      </c>
      <c r="AF12" s="70">
        <f>(AF10+AF11)*'Input RM sheet'!AC1</f>
        <v>245341.26</v>
      </c>
      <c r="AG12" s="70">
        <f>(AG10+AG11)*'Input RM sheet'!AD1</f>
        <v>276205.77750000003</v>
      </c>
      <c r="AH12" s="70">
        <f>(AH10+AH11)*'Input RM sheet'!AE1</f>
        <v>280575.27999999997</v>
      </c>
      <c r="AI12" s="70">
        <f>(AI10+AI11)*'Input RM sheet'!AF1</f>
        <v>310502.40299999999</v>
      </c>
      <c r="AJ12" s="70">
        <f>(AJ10+AJ11)*'Input RM sheet'!AG1</f>
        <v>341633.74959075003</v>
      </c>
      <c r="AK12" s="70">
        <f>(AK10+AK11)*'Input RM sheet'!AH1</f>
        <v>298409.87589874998</v>
      </c>
      <c r="AL12" s="70">
        <f>(AL10+AL11)*'Input RM sheet'!AI1</f>
        <v>284499.85585295444</v>
      </c>
      <c r="AM12" s="70">
        <f>(AM10+AM11)*'Input RM sheet'!AJ1</f>
        <v>254502.87928790474</v>
      </c>
      <c r="AN12" s="70">
        <f>(AN10+AN11)*'Input RM sheet'!AK1</f>
        <v>292168.72690933332</v>
      </c>
      <c r="AO12" s="70">
        <f>(AO10+AO11)*'Input RM sheet'!AL1</f>
        <v>259663.81007754547</v>
      </c>
      <c r="AP12" s="70">
        <f>(AP10+AP11)*'Input RM sheet'!AM1</f>
        <v>251882.53388916675</v>
      </c>
      <c r="AQ12" s="70">
        <f>(AQ10+AQ11)*'Input RM sheet'!AN1</f>
        <v>265393.32379047619</v>
      </c>
      <c r="AR12" s="70">
        <f>(AR10+AR11)*'Input RM sheet'!AO1</f>
        <v>229662.83497727269</v>
      </c>
      <c r="AS12" s="70">
        <f>(AS10+AS11)*'Input RM sheet'!AP1</f>
        <v>277393.91294285713</v>
      </c>
      <c r="AT12" s="70">
        <f>(AT10+AT11)*'Input RM sheet'!AQ1</f>
        <v>266238.38929999998</v>
      </c>
      <c r="AU12" s="70">
        <f>(AU10+AU11)*'Input RM sheet'!AR1</f>
        <v>248335.86960000001</v>
      </c>
      <c r="AV12" s="70">
        <f>(AV10+AV11)*'Input RM sheet'!AS1</f>
        <v>235796.71486149999</v>
      </c>
      <c r="AW12" s="70">
        <f>(AW10+AW11)*'Input RM sheet'!AT1</f>
        <v>191343.44450000001</v>
      </c>
      <c r="AX12" s="70">
        <f>(AX10+AX11)*'Input RM sheet'!AU1</f>
        <v>201795</v>
      </c>
      <c r="AY12" s="70">
        <f>(AY10+AY11)*'Input RM sheet'!AV1</f>
        <v>202390.19999999998</v>
      </c>
      <c r="AZ12" s="70">
        <f>(AZ10+AZ11)*'Input RM sheet'!AW1</f>
        <v>206436.16</v>
      </c>
      <c r="BA12" s="70">
        <f>(BA10+BA11)*'Input RM sheet'!AX1</f>
        <v>202014.72</v>
      </c>
      <c r="BB12" s="70">
        <f>(BB10+BB11)*'Input RM sheet'!AY1</f>
        <v>212600.97</v>
      </c>
      <c r="BC12" s="70">
        <f>(BC10+BC11)*'Input RM sheet'!AZ1</f>
        <v>215192.34</v>
      </c>
      <c r="BD12" s="70">
        <f>(BD10+BD11)*'Input RM sheet'!BA1</f>
        <v>200715.75</v>
      </c>
      <c r="BE12" s="70">
        <f>(BE10+BE11)*'Input RM sheet'!BB1</f>
        <v>207625.5</v>
      </c>
      <c r="BF12" s="70">
        <f>(BF10+BF11)*'Input RM sheet'!BC1</f>
        <v>206129.1</v>
      </c>
      <c r="BG12" s="70">
        <f>(BG10+BG11)*'Input RM sheet'!BD1</f>
        <v>213646.125</v>
      </c>
      <c r="BH12" s="70">
        <f>(BH10+BH11)*'Input RM sheet'!BE1</f>
        <v>216597.81</v>
      </c>
      <c r="BI12" s="70">
        <f>(BI10+BI11)*'Input RM sheet'!BF1</f>
        <v>216281.44000000003</v>
      </c>
      <c r="BJ12" s="70">
        <f>(BJ10+BJ11)*'Input RM sheet'!BG1</f>
        <v>228132.40000000002</v>
      </c>
      <c r="BK12" s="70">
        <f>(BK10+BK11)*'Input RM sheet'!BH1</f>
        <v>217120.98</v>
      </c>
      <c r="BL12" s="70">
        <f>(BL10+BL11)*'Input RM sheet'!BI1</f>
        <v>211954.5</v>
      </c>
      <c r="BM12" s="70">
        <f>(BM10+BM11)*'Input RM sheet'!BJ1</f>
        <v>211332.6</v>
      </c>
      <c r="BN12" s="70">
        <f>(BN10+BN11)*'Input RM sheet'!BK1</f>
        <v>213603.53</v>
      </c>
      <c r="BO12" s="70">
        <f>(BO10+BO11)*'Input RM sheet'!BL1</f>
        <v>218410.88999999998</v>
      </c>
      <c r="BP12" s="70">
        <f>(BP10+BP11)*'Input RM sheet'!BM1</f>
        <v>224613</v>
      </c>
      <c r="BQ12" s="70">
        <f>(BQ10+BQ11)*'Input RM sheet'!BN1</f>
        <v>224613</v>
      </c>
      <c r="BR12" s="70">
        <f>(BR10+BR11)*'Input RM sheet'!BO1</f>
        <v>219782.875</v>
      </c>
      <c r="BS12" s="70">
        <f>(BS10+BS11)*'Input RM sheet'!BP1</f>
        <v>210293.1</v>
      </c>
      <c r="BT12" s="70">
        <f>(BT10+BT11)*'Input RM sheet'!BQ1</f>
        <v>210609.04</v>
      </c>
      <c r="BU12" s="70">
        <f>(BU10+BU11)*'Input RM sheet'!BR1</f>
        <v>220336.28</v>
      </c>
      <c r="BV12" s="70">
        <f>(BV10+BV11)*'Input RM sheet'!BS1</f>
        <v>229796.55999999997</v>
      </c>
      <c r="BW12" s="70">
        <f>(BW10+BW11)*'Input RM sheet'!BT1</f>
        <v>221360.25</v>
      </c>
      <c r="BX12" s="70">
        <f>(BX10+BX11)*'Input RM sheet'!BU1</f>
        <v>213030.30000000002</v>
      </c>
      <c r="BY12" s="70">
        <f>(BY10+BY11)*'Input RM sheet'!BV1</f>
        <v>213286.5</v>
      </c>
      <c r="BZ12" s="70">
        <f>(BZ10+BZ11)*'Input RM sheet'!BW1</f>
        <v>211886.06</v>
      </c>
      <c r="CA12" s="70">
        <f>(CA10+CA11)*'Input RM sheet'!BX1</f>
        <v>200860</v>
      </c>
      <c r="CB12" s="70">
        <f>(CB10+CB11)*'Input RM sheet'!BY1</f>
        <v>200884.2</v>
      </c>
      <c r="CC12" s="70">
        <f>(CC10+CC11)*'Input RM sheet'!BZ1</f>
        <v>205426.2</v>
      </c>
      <c r="CD12" s="70">
        <f>(CD10+CD11)*'Input RM sheet'!CA1</f>
        <v>209073.80000000002</v>
      </c>
      <c r="CE12" s="70">
        <f>(CE10+CE11)*'Input RM sheet'!CB1</f>
        <v>220560.9</v>
      </c>
      <c r="CF12" s="70">
        <f>(CF10+CF11)*'Input RM sheet'!CC1</f>
        <v>220720.92</v>
      </c>
      <c r="CG12" s="70">
        <f>(CG10+CG11)*'Input RM sheet'!CD1</f>
        <v>217142.08000000002</v>
      </c>
      <c r="CH12" s="70">
        <f>(CH10+CH11)*'Input RM sheet'!CE1</f>
        <v>211727.21</v>
      </c>
      <c r="CI12" s="70">
        <f>(CI10+CI11)*'Input RM sheet'!CF1</f>
        <v>235567.50999999998</v>
      </c>
      <c r="CJ12" s="70">
        <f>(CJ10+CJ11)*'Input RM sheet'!CG1</f>
        <v>245779.80000000002</v>
      </c>
      <c r="CK12" s="70">
        <f>(CK10+CK11)*'Input RM sheet'!CH1</f>
        <v>241465.68</v>
      </c>
      <c r="CL12" s="70">
        <f>(CL10+CL11)*'Input RM sheet'!CI1</f>
        <v>248758.44</v>
      </c>
      <c r="CM12" s="70">
        <f>(CM10+CM11)*'Input RM sheet'!CJ1</f>
        <v>249581.5</v>
      </c>
      <c r="CN12" s="70">
        <f>(CN10+CN11)*'Input RM sheet'!CK1</f>
        <v>255050.99999999997</v>
      </c>
      <c r="CO12" s="70">
        <f>(CO10+CO11)*'Input RM sheet'!CL1</f>
        <v>266136.55</v>
      </c>
      <c r="CP12" s="70">
        <f>(CP10+CP11)*'Input RM sheet'!CM1</f>
        <v>259385.19999999998</v>
      </c>
      <c r="CQ12" s="70">
        <f>(CQ10+CQ11)*'Input RM sheet'!CN1</f>
        <v>257134.74999999997</v>
      </c>
      <c r="CR12" s="70">
        <f>(CR10+CR11)*'Input RM sheet'!CO1</f>
        <v>250747.21</v>
      </c>
      <c r="CS12" s="70">
        <f>(CS10+CS11)*'Input RM sheet'!CP1</f>
        <v>243277.80000000002</v>
      </c>
      <c r="CT12" s="70">
        <f>(CT10+CT11)*'Input RM sheet'!CQ1</f>
        <v>245991</v>
      </c>
      <c r="CU12" s="70">
        <f>(CU10+CU11)*'Input RM sheet'!CR1</f>
        <v>247095.45</v>
      </c>
      <c r="CV12" s="70">
        <f>(CV10+CV11)*'Input RM sheet'!CS1</f>
        <v>258840.47</v>
      </c>
      <c r="CW12" s="70">
        <f>(CW10+CW11)*'Input RM sheet'!CT1</f>
        <v>249396.75</v>
      </c>
      <c r="CX12" s="70">
        <f>(CX10+CX11)*'Input RM sheet'!CU1</f>
        <v>233397.45</v>
      </c>
      <c r="CY12" s="70">
        <f>(CY10+CY11)*'Input RM sheet'!CV1</f>
        <v>235030.11000000002</v>
      </c>
      <c r="CZ12" s="70">
        <f>(CZ10+CZ11)*'Input RM sheet'!CW1</f>
        <v>234808.15</v>
      </c>
      <c r="DA12" s="70">
        <f>(DA10+DA11)*'Input RM sheet'!CX1</f>
        <v>236263.43999999997</v>
      </c>
      <c r="DB12" s="70">
        <f>(DB10+DB11)*'Input RM sheet'!CY1</f>
        <v>234416.6</v>
      </c>
      <c r="DC12" s="70">
        <f>(DC10+DC11)*'Input RM sheet'!CZ1</f>
        <v>244371.57</v>
      </c>
      <c r="DD12" s="70">
        <f>(DD10+DD11)*'Input RM sheet'!DA1</f>
        <v>236263.43999999997</v>
      </c>
      <c r="DE12" s="70">
        <f>(DE10+DE11)*'Input RM sheet'!DB1</f>
        <v>237270.96</v>
      </c>
      <c r="DF12" s="70">
        <f>(DF10+DF11)*'Input RM sheet'!DC1</f>
        <v>249737.04</v>
      </c>
      <c r="DG12" s="70">
        <f>(DG10+DG11)*'Input RM sheet'!DD1</f>
        <v>270221.8</v>
      </c>
      <c r="DH12" s="70">
        <f>(DH10+DH11)*'Input RM sheet'!DE1</f>
        <v>267192.53999999998</v>
      </c>
      <c r="DI12" s="70">
        <f>(DI10+DI11)*'Input RM sheet'!DF1</f>
        <v>264484.21999999997</v>
      </c>
      <c r="DJ12" s="70">
        <f>(DJ10+DJ11)*'Input RM sheet'!DG1</f>
        <v>280541.58999999997</v>
      </c>
      <c r="DK12" s="70">
        <f>(DK10+DK11)*'Input RM sheet'!DH1</f>
        <v>269476.40000000002</v>
      </c>
      <c r="DL12" s="70">
        <f>(DL10+DL11)*'Input RM sheet'!DI1</f>
        <v>263127.36</v>
      </c>
      <c r="DM12" s="70">
        <f>(DM10+DM11)*'Input RM sheet'!DJ1</f>
        <v>259952.00000000003</v>
      </c>
      <c r="DN12" s="70">
        <f>(DN10+DN11)*'Input RM sheet'!DK1</f>
        <v>258203.28</v>
      </c>
      <c r="DO12" s="70">
        <f>(DO10+DO11)*'Input RM sheet'!DL1</f>
        <v>269969.7</v>
      </c>
      <c r="DP12" s="70">
        <f>(DP10+DP11)*'Input RM sheet'!DM1</f>
        <v>269229.51</v>
      </c>
      <c r="DQ12" s="70">
        <f>(DQ10+DQ11)*'Input RM sheet'!DN1</f>
        <v>268062.8</v>
      </c>
      <c r="DR12" s="70">
        <f>(DR10+DR11)*'Input RM sheet'!DO1</f>
        <v>266224.2</v>
      </c>
      <c r="DS12" s="70">
        <f>(DS10+DS11)*'Input RM sheet'!DP1</f>
        <v>262695.12</v>
      </c>
      <c r="DT12" s="70">
        <f>(DT10+DT11)*'Input RM sheet'!DQ1</f>
        <v>0</v>
      </c>
      <c r="DU12" s="70">
        <f>(DU10+DU11)*'Input RM sheet'!DR1</f>
        <v>0</v>
      </c>
      <c r="DV12" s="70">
        <f>(DV10+DV11)*'Input RM sheet'!DS1</f>
        <v>0</v>
      </c>
      <c r="DW12" s="70">
        <f>(DW10+DW11)*'Input RM sheet'!DT1</f>
        <v>0</v>
      </c>
      <c r="DX12" s="70">
        <f>(DX10+DX11)*'Input RM sheet'!DU1</f>
        <v>0</v>
      </c>
      <c r="DY12" s="70">
        <f>(DY10+DY11)*'Input RM sheet'!DV1</f>
        <v>0</v>
      </c>
      <c r="DZ12" s="70">
        <f>(DZ10+DZ11)*'Input RM sheet'!DW1</f>
        <v>0</v>
      </c>
      <c r="EA12" s="70">
        <f>(EA10+EA11)*'Input RM sheet'!DX1</f>
        <v>0</v>
      </c>
      <c r="EB12" s="70">
        <f>(EB10+EB11)*'Input RM sheet'!DY1</f>
        <v>0</v>
      </c>
      <c r="EC12" s="70">
        <f>(EC10+EC11)*'Input RM sheet'!DZ1</f>
        <v>0</v>
      </c>
      <c r="ED12" s="70">
        <f>(ED10+ED11)*'Input RM sheet'!EA1</f>
        <v>0</v>
      </c>
      <c r="EE12" s="70">
        <f>(EE10+EE11)*'Input RM sheet'!EB1</f>
        <v>0</v>
      </c>
      <c r="EF12" s="70">
        <f>(EF10+EF11)*'Input RM sheet'!EC1</f>
        <v>0</v>
      </c>
      <c r="EG12" s="70">
        <f>(EG10+EG11)*'Input RM sheet'!ED1</f>
        <v>0</v>
      </c>
      <c r="EH12" s="70">
        <f>(EH10+EH11)*'Input RM sheet'!EE1</f>
        <v>0</v>
      </c>
      <c r="EI12" s="70">
        <f>(EI10+EI11)*'Input RM sheet'!EF1</f>
        <v>0</v>
      </c>
      <c r="EJ12" s="70">
        <f>(EJ10+EJ11)*'Input RM sheet'!EG1</f>
        <v>0</v>
      </c>
      <c r="EK12" s="70">
        <f>(EK10+EK11)*'Input RM sheet'!EH1</f>
        <v>0</v>
      </c>
      <c r="EL12" s="70">
        <f>(EL10+EL11)*'Input RM sheet'!EI1</f>
        <v>0</v>
      </c>
      <c r="EM12" s="70">
        <f>(EM10+EM11)*'Input RM sheet'!EJ1</f>
        <v>0</v>
      </c>
    </row>
    <row r="13" spans="1:156">
      <c r="A13" s="67"/>
      <c r="B13" s="100"/>
      <c r="D13" s="74"/>
      <c r="E13" s="65"/>
      <c r="F13" s="65"/>
      <c r="H13" s="60" t="s">
        <v>712</v>
      </c>
      <c r="I13" s="70">
        <f t="shared" ref="I13:AN13" si="8">I12*105%</f>
        <v>183934.19658122418</v>
      </c>
      <c r="J13" s="70">
        <f t="shared" si="8"/>
        <v>166822.51197997248</v>
      </c>
      <c r="K13" s="70">
        <f t="shared" si="8"/>
        <v>156789.8789828904</v>
      </c>
      <c r="L13" s="70">
        <f t="shared" si="8"/>
        <v>159654.42193007999</v>
      </c>
      <c r="M13" s="70">
        <f t="shared" si="8"/>
        <v>163848.76689242423</v>
      </c>
      <c r="N13" s="70">
        <f t="shared" si="8"/>
        <v>168658.84411614001</v>
      </c>
      <c r="O13" s="70">
        <f t="shared" si="8"/>
        <v>177971.44026750961</v>
      </c>
      <c r="P13" s="70">
        <f t="shared" si="8"/>
        <v>196325.49547159841</v>
      </c>
      <c r="Q13" s="70">
        <f t="shared" si="8"/>
        <v>196925.51542650003</v>
      </c>
      <c r="R13" s="70">
        <f t="shared" si="8"/>
        <v>196189.91834129038</v>
      </c>
      <c r="S13" s="70">
        <f t="shared" si="8"/>
        <v>215880.18142498491</v>
      </c>
      <c r="T13" s="70">
        <f t="shared" si="8"/>
        <v>223147.56251189997</v>
      </c>
      <c r="U13" s="70">
        <f t="shared" si="8"/>
        <v>215593.45604999998</v>
      </c>
      <c r="V13" s="70">
        <f t="shared" si="8"/>
        <v>216361.1268</v>
      </c>
      <c r="W13" s="70">
        <f t="shared" si="8"/>
        <v>221037.726</v>
      </c>
      <c r="X13" s="70">
        <f t="shared" si="8"/>
        <v>228838.26787499999</v>
      </c>
      <c r="Y13" s="70">
        <f t="shared" si="8"/>
        <v>236143.67962499999</v>
      </c>
      <c r="Z13" s="70">
        <f t="shared" si="8"/>
        <v>235517.25519000005</v>
      </c>
      <c r="AA13" s="70">
        <f t="shared" si="8"/>
        <v>238687.80295500002</v>
      </c>
      <c r="AB13" s="70">
        <f t="shared" si="8"/>
        <v>237502.85076</v>
      </c>
      <c r="AC13" s="70">
        <f t="shared" si="8"/>
        <v>235549.28092500003</v>
      </c>
      <c r="AD13" s="70">
        <f t="shared" si="8"/>
        <v>239904.78088500001</v>
      </c>
      <c r="AE13" s="70">
        <f t="shared" si="8"/>
        <v>238495.64854500003</v>
      </c>
      <c r="AF13" s="70">
        <f t="shared" si="8"/>
        <v>257608.32300000003</v>
      </c>
      <c r="AG13" s="70">
        <f t="shared" si="8"/>
        <v>290016.06637500005</v>
      </c>
      <c r="AH13" s="70">
        <f t="shared" si="8"/>
        <v>294604.04399999999</v>
      </c>
      <c r="AI13" s="70">
        <f t="shared" si="8"/>
        <v>326027.52315000002</v>
      </c>
      <c r="AJ13" s="70">
        <f t="shared" si="8"/>
        <v>358715.43707028753</v>
      </c>
      <c r="AK13" s="70">
        <f t="shared" si="8"/>
        <v>313330.36969368748</v>
      </c>
      <c r="AL13" s="70">
        <f t="shared" si="8"/>
        <v>298724.84864560218</v>
      </c>
      <c r="AM13" s="70">
        <f t="shared" si="8"/>
        <v>267228.02325229999</v>
      </c>
      <c r="AN13" s="70">
        <f t="shared" si="8"/>
        <v>306777.16325480002</v>
      </c>
      <c r="AO13" s="70">
        <f t="shared" ref="AO13:BN13" si="9">AO12*105%</f>
        <v>272647.00058142276</v>
      </c>
      <c r="AP13" s="70">
        <f t="shared" si="9"/>
        <v>264476.66058362508</v>
      </c>
      <c r="AQ13" s="70">
        <f t="shared" si="9"/>
        <v>278662.98998000001</v>
      </c>
      <c r="AR13" s="70">
        <f t="shared" si="9"/>
        <v>241145.97672613634</v>
      </c>
      <c r="AS13" s="70">
        <f t="shared" si="9"/>
        <v>291263.60859000002</v>
      </c>
      <c r="AT13" s="70">
        <f t="shared" si="9"/>
        <v>279550.30876499997</v>
      </c>
      <c r="AU13" s="70">
        <f t="shared" si="9"/>
        <v>260752.66308000003</v>
      </c>
      <c r="AV13" s="70">
        <f t="shared" si="9"/>
        <v>247586.55060457499</v>
      </c>
      <c r="AW13" s="70">
        <f t="shared" si="9"/>
        <v>200910.61672500003</v>
      </c>
      <c r="AX13" s="70">
        <f t="shared" si="9"/>
        <v>211884.75</v>
      </c>
      <c r="AY13" s="70">
        <f t="shared" si="9"/>
        <v>212509.71</v>
      </c>
      <c r="AZ13" s="70">
        <f t="shared" si="9"/>
        <v>216757.96800000002</v>
      </c>
      <c r="BA13" s="70">
        <f t="shared" si="9"/>
        <v>212115.45600000001</v>
      </c>
      <c r="BB13" s="70">
        <f t="shared" si="9"/>
        <v>223231.01850000001</v>
      </c>
      <c r="BC13" s="70">
        <f t="shared" si="9"/>
        <v>225951.95699999999</v>
      </c>
      <c r="BD13" s="70">
        <f t="shared" si="9"/>
        <v>210751.53750000001</v>
      </c>
      <c r="BE13" s="70">
        <f t="shared" si="9"/>
        <v>218006.77500000002</v>
      </c>
      <c r="BF13" s="70">
        <f t="shared" si="9"/>
        <v>216435.55500000002</v>
      </c>
      <c r="BG13" s="70">
        <f t="shared" si="9"/>
        <v>224328.43125000002</v>
      </c>
      <c r="BH13" s="70">
        <f t="shared" si="9"/>
        <v>227427.70050000001</v>
      </c>
      <c r="BI13" s="70">
        <f t="shared" si="9"/>
        <v>227095.51200000005</v>
      </c>
      <c r="BJ13" s="70">
        <f t="shared" si="9"/>
        <v>239539.02000000005</v>
      </c>
      <c r="BK13" s="70">
        <f t="shared" si="9"/>
        <v>227977.02900000001</v>
      </c>
      <c r="BL13" s="70">
        <f t="shared" si="9"/>
        <v>222552.22500000001</v>
      </c>
      <c r="BM13" s="70">
        <f t="shared" si="9"/>
        <v>221899.23</v>
      </c>
      <c r="BN13" s="70">
        <f t="shared" si="9"/>
        <v>224283.7065</v>
      </c>
      <c r="BO13" s="70">
        <f t="shared" ref="BO13:BV13" si="10">BO12*105%</f>
        <v>229331.4345</v>
      </c>
      <c r="BP13" s="70">
        <f t="shared" si="10"/>
        <v>235843.65000000002</v>
      </c>
      <c r="BQ13" s="70">
        <f t="shared" si="10"/>
        <v>235843.65000000002</v>
      </c>
      <c r="BR13" s="70">
        <f t="shared" si="10"/>
        <v>230772.01875000002</v>
      </c>
      <c r="BS13" s="70">
        <f t="shared" si="10"/>
        <v>220807.755</v>
      </c>
      <c r="BT13" s="70">
        <f t="shared" si="10"/>
        <v>221139.49200000003</v>
      </c>
      <c r="BU13" s="70">
        <f t="shared" si="10"/>
        <v>231353.09400000001</v>
      </c>
      <c r="BV13" s="70">
        <f t="shared" si="10"/>
        <v>241286.38799999998</v>
      </c>
      <c r="BW13" s="70">
        <f t="shared" ref="BW13:CB13" si="11">BW12*105%</f>
        <v>232428.26250000001</v>
      </c>
      <c r="BX13" s="70">
        <f t="shared" si="11"/>
        <v>223681.81500000003</v>
      </c>
      <c r="BY13" s="70">
        <f t="shared" si="11"/>
        <v>223950.82500000001</v>
      </c>
      <c r="BZ13" s="70">
        <f t="shared" si="11"/>
        <v>222480.36300000001</v>
      </c>
      <c r="CA13" s="70">
        <f t="shared" si="11"/>
        <v>210903</v>
      </c>
      <c r="CB13" s="70">
        <f t="shared" si="11"/>
        <v>210928.41000000003</v>
      </c>
      <c r="CC13" s="70">
        <f t="shared" ref="CC13:CH13" si="12">CC12*105%</f>
        <v>215697.51</v>
      </c>
      <c r="CD13" s="70">
        <f t="shared" si="12"/>
        <v>219527.49000000002</v>
      </c>
      <c r="CE13" s="70">
        <f t="shared" si="12"/>
        <v>231588.94500000001</v>
      </c>
      <c r="CF13" s="70">
        <f t="shared" si="12"/>
        <v>231756.96600000001</v>
      </c>
      <c r="CG13" s="70">
        <f t="shared" si="12"/>
        <v>227999.18400000004</v>
      </c>
      <c r="CH13" s="70">
        <f t="shared" si="12"/>
        <v>222313.5705</v>
      </c>
      <c r="CI13" s="70">
        <f>CI12*105%</f>
        <v>247345.8855</v>
      </c>
      <c r="CJ13" s="70">
        <f>CJ12*105%</f>
        <v>258068.79000000004</v>
      </c>
      <c r="CK13" s="70">
        <f>CK12*105%</f>
        <v>253538.96400000001</v>
      </c>
      <c r="CL13" s="70">
        <f t="shared" ref="CL13:CQ13" si="13">CL12*105%</f>
        <v>261196.36200000002</v>
      </c>
      <c r="CM13" s="70">
        <f t="shared" si="13"/>
        <v>262060.57500000001</v>
      </c>
      <c r="CN13" s="70">
        <f t="shared" si="13"/>
        <v>267803.55</v>
      </c>
      <c r="CO13" s="70">
        <f t="shared" si="13"/>
        <v>279443.3775</v>
      </c>
      <c r="CP13" s="70">
        <f t="shared" si="13"/>
        <v>272354.46000000002</v>
      </c>
      <c r="CQ13" s="70">
        <f t="shared" si="13"/>
        <v>269991.48749999999</v>
      </c>
      <c r="CR13" s="70">
        <f t="shared" ref="CR13:EM13" si="14">CR12*105%</f>
        <v>263284.57050000003</v>
      </c>
      <c r="CS13" s="70">
        <f t="shared" si="14"/>
        <v>255441.69000000003</v>
      </c>
      <c r="CT13" s="70">
        <f t="shared" si="14"/>
        <v>258290.55000000002</v>
      </c>
      <c r="CU13" s="70">
        <f t="shared" si="14"/>
        <v>259450.22250000003</v>
      </c>
      <c r="CV13" s="70">
        <f t="shared" si="14"/>
        <v>271782.49350000004</v>
      </c>
      <c r="CW13" s="70">
        <f t="shared" si="14"/>
        <v>261866.58750000002</v>
      </c>
      <c r="CX13" s="70">
        <f t="shared" si="14"/>
        <v>245067.32250000001</v>
      </c>
      <c r="CY13" s="70">
        <f t="shared" si="14"/>
        <v>246781.61550000001</v>
      </c>
      <c r="CZ13" s="70">
        <f t="shared" si="14"/>
        <v>246548.5575</v>
      </c>
      <c r="DA13" s="70">
        <f t="shared" si="14"/>
        <v>248076.61199999999</v>
      </c>
      <c r="DB13" s="70">
        <f t="shared" si="14"/>
        <v>246137.43000000002</v>
      </c>
      <c r="DC13" s="70">
        <f t="shared" si="14"/>
        <v>256590.14850000001</v>
      </c>
      <c r="DD13" s="70">
        <f t="shared" si="14"/>
        <v>248076.61199999999</v>
      </c>
      <c r="DE13" s="70">
        <f t="shared" si="14"/>
        <v>249134.508</v>
      </c>
      <c r="DF13" s="70">
        <f t="shared" si="14"/>
        <v>262223.89199999999</v>
      </c>
      <c r="DG13" s="70">
        <f t="shared" si="14"/>
        <v>283732.89</v>
      </c>
      <c r="DH13" s="70">
        <f t="shared" si="14"/>
        <v>280552.16700000002</v>
      </c>
      <c r="DI13" s="70">
        <f t="shared" si="14"/>
        <v>277708.43099999998</v>
      </c>
      <c r="DJ13" s="70">
        <f t="shared" si="14"/>
        <v>294568.66949999996</v>
      </c>
      <c r="DK13" s="70">
        <f t="shared" si="14"/>
        <v>282950.22000000003</v>
      </c>
      <c r="DL13" s="70">
        <f t="shared" si="14"/>
        <v>276283.728</v>
      </c>
      <c r="DM13" s="70">
        <f t="shared" si="14"/>
        <v>272949.60000000003</v>
      </c>
      <c r="DN13" s="70">
        <f t="shared" si="14"/>
        <v>271113.44400000002</v>
      </c>
      <c r="DO13" s="70">
        <f t="shared" si="14"/>
        <v>283468.185</v>
      </c>
      <c r="DP13" s="70">
        <f t="shared" si="14"/>
        <v>282690.98550000001</v>
      </c>
      <c r="DQ13" s="70">
        <f t="shared" si="14"/>
        <v>281465.94</v>
      </c>
      <c r="DR13" s="70">
        <f t="shared" si="14"/>
        <v>279535.41000000003</v>
      </c>
      <c r="DS13" s="70">
        <f t="shared" si="14"/>
        <v>275829.87599999999</v>
      </c>
      <c r="DT13" s="70">
        <f t="shared" si="14"/>
        <v>0</v>
      </c>
      <c r="DU13" s="70">
        <f t="shared" si="14"/>
        <v>0</v>
      </c>
      <c r="DV13" s="70">
        <f t="shared" si="14"/>
        <v>0</v>
      </c>
      <c r="DW13" s="70">
        <f t="shared" si="14"/>
        <v>0</v>
      </c>
      <c r="DX13" s="70">
        <f t="shared" si="14"/>
        <v>0</v>
      </c>
      <c r="DY13" s="70">
        <f t="shared" si="14"/>
        <v>0</v>
      </c>
      <c r="DZ13" s="70">
        <f t="shared" si="14"/>
        <v>0</v>
      </c>
      <c r="EA13" s="70">
        <f t="shared" si="14"/>
        <v>0</v>
      </c>
      <c r="EB13" s="70">
        <f t="shared" si="14"/>
        <v>0</v>
      </c>
      <c r="EC13" s="70">
        <f t="shared" si="14"/>
        <v>0</v>
      </c>
      <c r="ED13" s="70">
        <f t="shared" si="14"/>
        <v>0</v>
      </c>
      <c r="EE13" s="70">
        <f t="shared" si="14"/>
        <v>0</v>
      </c>
      <c r="EF13" s="70">
        <f t="shared" si="14"/>
        <v>0</v>
      </c>
      <c r="EG13" s="70">
        <f t="shared" si="14"/>
        <v>0</v>
      </c>
      <c r="EH13" s="70">
        <f t="shared" si="14"/>
        <v>0</v>
      </c>
      <c r="EI13" s="70">
        <f t="shared" si="14"/>
        <v>0</v>
      </c>
      <c r="EJ13" s="70">
        <f t="shared" si="14"/>
        <v>0</v>
      </c>
      <c r="EK13" s="70">
        <f t="shared" si="14"/>
        <v>0</v>
      </c>
      <c r="EL13" s="70">
        <f t="shared" si="14"/>
        <v>0</v>
      </c>
      <c r="EM13" s="70">
        <f t="shared" si="14"/>
        <v>0</v>
      </c>
    </row>
    <row r="14" spans="1:156">
      <c r="A14" s="67"/>
      <c r="B14" s="100"/>
      <c r="D14" s="74"/>
      <c r="E14" s="65"/>
      <c r="F14" s="65"/>
      <c r="H14" s="60" t="s">
        <v>713</v>
      </c>
      <c r="I14" s="70">
        <f>I13*101%</f>
        <v>185773.53854703641</v>
      </c>
      <c r="J14" s="70">
        <f t="shared" ref="J14:AW14" si="15">J13*101%</f>
        <v>168490.7370997722</v>
      </c>
      <c r="K14" s="70">
        <f t="shared" si="15"/>
        <v>158357.7777727193</v>
      </c>
      <c r="L14" s="70">
        <f t="shared" si="15"/>
        <v>161250.96614938078</v>
      </c>
      <c r="M14" s="70">
        <f t="shared" si="15"/>
        <v>165487.25456134847</v>
      </c>
      <c r="N14" s="70">
        <f t="shared" si="15"/>
        <v>170345.43255730142</v>
      </c>
      <c r="O14" s="70">
        <f t="shared" si="15"/>
        <v>179751.15467018471</v>
      </c>
      <c r="P14" s="70">
        <f t="shared" si="15"/>
        <v>198288.75042631439</v>
      </c>
      <c r="Q14" s="70">
        <f t="shared" si="15"/>
        <v>198894.77058076503</v>
      </c>
      <c r="R14" s="70">
        <f t="shared" si="15"/>
        <v>198151.81752470328</v>
      </c>
      <c r="S14" s="70">
        <f t="shared" si="15"/>
        <v>218038.98323923477</v>
      </c>
      <c r="T14" s="70">
        <f t="shared" si="15"/>
        <v>225379.03813701897</v>
      </c>
      <c r="U14" s="70">
        <f t="shared" si="15"/>
        <v>217749.39061049998</v>
      </c>
      <c r="V14" s="70">
        <f t="shared" si="15"/>
        <v>218524.73806800001</v>
      </c>
      <c r="W14" s="70">
        <f t="shared" si="15"/>
        <v>223248.10326</v>
      </c>
      <c r="X14" s="70">
        <f t="shared" si="15"/>
        <v>231126.65055374999</v>
      </c>
      <c r="Y14" s="70">
        <f t="shared" si="15"/>
        <v>238505.11642124999</v>
      </c>
      <c r="Z14" s="70">
        <f t="shared" si="15"/>
        <v>237872.42774190006</v>
      </c>
      <c r="AA14" s="70">
        <f t="shared" si="15"/>
        <v>241074.68098455001</v>
      </c>
      <c r="AB14" s="70">
        <f t="shared" si="15"/>
        <v>239877.87926760002</v>
      </c>
      <c r="AC14" s="70">
        <f t="shared" si="15"/>
        <v>237904.77373425002</v>
      </c>
      <c r="AD14" s="70">
        <f t="shared" si="15"/>
        <v>242303.82869385002</v>
      </c>
      <c r="AE14" s="70">
        <f t="shared" si="15"/>
        <v>240880.60503045004</v>
      </c>
      <c r="AF14" s="70">
        <f t="shared" si="15"/>
        <v>260184.40623000002</v>
      </c>
      <c r="AG14" s="70">
        <f t="shared" si="15"/>
        <v>292916.22703875008</v>
      </c>
      <c r="AH14" s="70">
        <f t="shared" si="15"/>
        <v>297550.08444000001</v>
      </c>
      <c r="AI14" s="70">
        <f t="shared" si="15"/>
        <v>329287.7983815</v>
      </c>
      <c r="AJ14" s="70">
        <f t="shared" si="15"/>
        <v>362302.59144099039</v>
      </c>
      <c r="AK14" s="70">
        <f t="shared" si="15"/>
        <v>316463.67339062435</v>
      </c>
      <c r="AL14" s="70">
        <f t="shared" si="15"/>
        <v>301712.09713205817</v>
      </c>
      <c r="AM14" s="70">
        <f t="shared" si="15"/>
        <v>269900.30348482297</v>
      </c>
      <c r="AN14" s="70">
        <f t="shared" si="15"/>
        <v>309844.93488734803</v>
      </c>
      <c r="AO14" s="70">
        <f t="shared" si="15"/>
        <v>275373.47058723698</v>
      </c>
      <c r="AP14" s="70">
        <f t="shared" si="15"/>
        <v>267121.42718946136</v>
      </c>
      <c r="AQ14" s="70">
        <f t="shared" si="15"/>
        <v>281449.61987980001</v>
      </c>
      <c r="AR14" s="70">
        <f t="shared" si="15"/>
        <v>243557.43649339772</v>
      </c>
      <c r="AS14" s="70">
        <f t="shared" si="15"/>
        <v>294176.24467590003</v>
      </c>
      <c r="AT14" s="70">
        <f t="shared" si="15"/>
        <v>282345.81185264996</v>
      </c>
      <c r="AU14" s="70">
        <f t="shared" si="15"/>
        <v>263360.18971080001</v>
      </c>
      <c r="AV14" s="70">
        <f t="shared" si="15"/>
        <v>250062.41611062075</v>
      </c>
      <c r="AW14" s="70">
        <f t="shared" si="15"/>
        <v>202919.72289225002</v>
      </c>
      <c r="AX14" s="70">
        <f t="shared" ref="AX14:BN14" si="16">AX13*101%</f>
        <v>214003.5975</v>
      </c>
      <c r="AY14" s="70">
        <f t="shared" si="16"/>
        <v>214634.80710000001</v>
      </c>
      <c r="AZ14" s="70">
        <f t="shared" si="16"/>
        <v>218925.54768000002</v>
      </c>
      <c r="BA14" s="70">
        <f t="shared" si="16"/>
        <v>214236.61056</v>
      </c>
      <c r="BB14" s="70">
        <f t="shared" si="16"/>
        <v>225463.32868500001</v>
      </c>
      <c r="BC14" s="70">
        <f t="shared" si="16"/>
        <v>228211.47657</v>
      </c>
      <c r="BD14" s="70">
        <f t="shared" si="16"/>
        <v>212859.05287499999</v>
      </c>
      <c r="BE14" s="70">
        <f t="shared" si="16"/>
        <v>220186.84275000004</v>
      </c>
      <c r="BF14" s="70">
        <f t="shared" si="16"/>
        <v>218599.91055000003</v>
      </c>
      <c r="BG14" s="70">
        <f t="shared" si="16"/>
        <v>226571.71556250003</v>
      </c>
      <c r="BH14" s="70">
        <f t="shared" si="16"/>
        <v>229701.97750500002</v>
      </c>
      <c r="BI14" s="70">
        <f t="shared" si="16"/>
        <v>229366.46712000004</v>
      </c>
      <c r="BJ14" s="70">
        <f t="shared" si="16"/>
        <v>241934.41020000004</v>
      </c>
      <c r="BK14" s="70">
        <f t="shared" si="16"/>
        <v>230256.79929000002</v>
      </c>
      <c r="BL14" s="70">
        <f t="shared" si="16"/>
        <v>224777.74725000001</v>
      </c>
      <c r="BM14" s="70">
        <f t="shared" si="16"/>
        <v>224118.22230000002</v>
      </c>
      <c r="BN14" s="70">
        <f t="shared" si="16"/>
        <v>226526.543565</v>
      </c>
      <c r="BO14" s="70">
        <f t="shared" ref="BO14:BV14" si="17">BO13*101%</f>
        <v>231624.74884499999</v>
      </c>
      <c r="BP14" s="70">
        <f t="shared" si="17"/>
        <v>238202.08650000003</v>
      </c>
      <c r="BQ14" s="70">
        <f t="shared" si="17"/>
        <v>238202.08650000003</v>
      </c>
      <c r="BR14" s="70">
        <f t="shared" si="17"/>
        <v>233079.73893750002</v>
      </c>
      <c r="BS14" s="70">
        <f t="shared" si="17"/>
        <v>223015.83255000002</v>
      </c>
      <c r="BT14" s="70">
        <f t="shared" si="17"/>
        <v>223350.88692000002</v>
      </c>
      <c r="BU14" s="70">
        <f t="shared" si="17"/>
        <v>233666.62494000001</v>
      </c>
      <c r="BV14" s="70">
        <f t="shared" si="17"/>
        <v>243699.25187999997</v>
      </c>
      <c r="BW14" s="70">
        <f t="shared" ref="BW14:CB14" si="18">BW13*101%</f>
        <v>234752.545125</v>
      </c>
      <c r="BX14" s="70">
        <f t="shared" si="18"/>
        <v>225918.63315000004</v>
      </c>
      <c r="BY14" s="70">
        <f t="shared" si="18"/>
        <v>226190.33325000003</v>
      </c>
      <c r="BZ14" s="70">
        <f t="shared" si="18"/>
        <v>224705.16663000002</v>
      </c>
      <c r="CA14" s="70">
        <f t="shared" si="18"/>
        <v>213012.03</v>
      </c>
      <c r="CB14" s="70">
        <f t="shared" si="18"/>
        <v>213037.69410000002</v>
      </c>
      <c r="CC14" s="70">
        <f t="shared" ref="CC14:CH14" si="19">CC13*101%</f>
        <v>217854.48510000002</v>
      </c>
      <c r="CD14" s="70">
        <f t="shared" si="19"/>
        <v>221722.76490000001</v>
      </c>
      <c r="CE14" s="70">
        <f t="shared" si="19"/>
        <v>233904.83444999999</v>
      </c>
      <c r="CF14" s="70">
        <f t="shared" si="19"/>
        <v>234074.53566000002</v>
      </c>
      <c r="CG14" s="70">
        <f t="shared" si="19"/>
        <v>230279.17584000004</v>
      </c>
      <c r="CH14" s="70">
        <f t="shared" si="19"/>
        <v>224536.70620499999</v>
      </c>
      <c r="CI14" s="70">
        <f>CI13*101%</f>
        <v>249819.34435500001</v>
      </c>
      <c r="CJ14" s="70">
        <f>CJ13*101%</f>
        <v>260649.47790000003</v>
      </c>
      <c r="CK14" s="70">
        <f>CK13*101%</f>
        <v>256074.35364000002</v>
      </c>
      <c r="CL14" s="70">
        <f t="shared" ref="CL14:CQ14" si="20">CL13*101%</f>
        <v>263808.32562000002</v>
      </c>
      <c r="CM14" s="70">
        <f t="shared" si="20"/>
        <v>264681.18075</v>
      </c>
      <c r="CN14" s="70">
        <f t="shared" si="20"/>
        <v>270481.58549999999</v>
      </c>
      <c r="CO14" s="70">
        <f t="shared" si="20"/>
        <v>282237.81127499999</v>
      </c>
      <c r="CP14" s="70">
        <f t="shared" si="20"/>
        <v>275078.00460000004</v>
      </c>
      <c r="CQ14" s="70">
        <f t="shared" si="20"/>
        <v>272691.40237500001</v>
      </c>
      <c r="CR14" s="70">
        <f t="shared" ref="CR14:EM14" si="21">CR13*101%</f>
        <v>265917.41620500002</v>
      </c>
      <c r="CS14" s="70">
        <f t="shared" si="21"/>
        <v>257996.10690000004</v>
      </c>
      <c r="CT14" s="70">
        <f t="shared" si="21"/>
        <v>260873.45550000001</v>
      </c>
      <c r="CU14" s="70">
        <f t="shared" si="21"/>
        <v>262044.72472500004</v>
      </c>
      <c r="CV14" s="70">
        <f t="shared" si="21"/>
        <v>274500.31843500002</v>
      </c>
      <c r="CW14" s="70">
        <f t="shared" si="21"/>
        <v>264485.25337500003</v>
      </c>
      <c r="CX14" s="70">
        <f t="shared" si="21"/>
        <v>247517.99572500002</v>
      </c>
      <c r="CY14" s="70">
        <f t="shared" si="21"/>
        <v>249249.43165500002</v>
      </c>
      <c r="CZ14" s="70">
        <f t="shared" si="21"/>
        <v>249014.04307499999</v>
      </c>
      <c r="DA14" s="70">
        <f t="shared" si="21"/>
        <v>250557.37812000001</v>
      </c>
      <c r="DB14" s="70">
        <f t="shared" si="21"/>
        <v>248598.80430000002</v>
      </c>
      <c r="DC14" s="70">
        <f t="shared" si="21"/>
        <v>259156.04998500002</v>
      </c>
      <c r="DD14" s="70">
        <f t="shared" si="21"/>
        <v>250557.37812000001</v>
      </c>
      <c r="DE14" s="70">
        <f t="shared" si="21"/>
        <v>251625.85308</v>
      </c>
      <c r="DF14" s="70">
        <f t="shared" si="21"/>
        <v>264846.13091999997</v>
      </c>
      <c r="DG14" s="70">
        <f t="shared" si="21"/>
        <v>286570.21890000004</v>
      </c>
      <c r="DH14" s="70">
        <f t="shared" si="21"/>
        <v>283357.68867</v>
      </c>
      <c r="DI14" s="70">
        <f t="shared" si="21"/>
        <v>280485.51530999999</v>
      </c>
      <c r="DJ14" s="70">
        <f t="shared" si="21"/>
        <v>297514.35619499994</v>
      </c>
      <c r="DK14" s="70">
        <f t="shared" si="21"/>
        <v>285779.72220000002</v>
      </c>
      <c r="DL14" s="70">
        <f t="shared" si="21"/>
        <v>279046.56527999998</v>
      </c>
      <c r="DM14" s="70">
        <f t="shared" si="21"/>
        <v>275679.09600000002</v>
      </c>
      <c r="DN14" s="70">
        <f t="shared" si="21"/>
        <v>273824.57844000001</v>
      </c>
      <c r="DO14" s="70">
        <f t="shared" si="21"/>
        <v>286302.86684999999</v>
      </c>
      <c r="DP14" s="70">
        <f t="shared" si="21"/>
        <v>285517.89535499999</v>
      </c>
      <c r="DQ14" s="70">
        <f t="shared" si="21"/>
        <v>284280.59940000001</v>
      </c>
      <c r="DR14" s="70">
        <f t="shared" si="21"/>
        <v>282330.76410000003</v>
      </c>
      <c r="DS14" s="70">
        <f t="shared" si="21"/>
        <v>278588.17475999997</v>
      </c>
      <c r="DT14" s="70">
        <f t="shared" si="21"/>
        <v>0</v>
      </c>
      <c r="DU14" s="70">
        <f t="shared" si="21"/>
        <v>0</v>
      </c>
      <c r="DV14" s="70">
        <f t="shared" si="21"/>
        <v>0</v>
      </c>
      <c r="DW14" s="70">
        <f t="shared" si="21"/>
        <v>0</v>
      </c>
      <c r="DX14" s="70">
        <f t="shared" si="21"/>
        <v>0</v>
      </c>
      <c r="DY14" s="70">
        <f t="shared" si="21"/>
        <v>0</v>
      </c>
      <c r="DZ14" s="70">
        <f t="shared" si="21"/>
        <v>0</v>
      </c>
      <c r="EA14" s="70">
        <f t="shared" si="21"/>
        <v>0</v>
      </c>
      <c r="EB14" s="70">
        <f t="shared" si="21"/>
        <v>0</v>
      </c>
      <c r="EC14" s="70">
        <f t="shared" si="21"/>
        <v>0</v>
      </c>
      <c r="ED14" s="70">
        <f t="shared" si="21"/>
        <v>0</v>
      </c>
      <c r="EE14" s="70">
        <f t="shared" si="21"/>
        <v>0</v>
      </c>
      <c r="EF14" s="70">
        <f t="shared" si="21"/>
        <v>0</v>
      </c>
      <c r="EG14" s="70">
        <f t="shared" si="21"/>
        <v>0</v>
      </c>
      <c r="EH14" s="70">
        <f t="shared" si="21"/>
        <v>0</v>
      </c>
      <c r="EI14" s="70">
        <f t="shared" si="21"/>
        <v>0</v>
      </c>
      <c r="EJ14" s="70">
        <f t="shared" si="21"/>
        <v>0</v>
      </c>
      <c r="EK14" s="70">
        <f t="shared" si="21"/>
        <v>0</v>
      </c>
      <c r="EL14" s="70">
        <f t="shared" si="21"/>
        <v>0</v>
      </c>
      <c r="EM14" s="70">
        <f t="shared" si="21"/>
        <v>0</v>
      </c>
    </row>
    <row r="15" spans="1:156">
      <c r="A15" s="67"/>
      <c r="B15" s="100"/>
      <c r="D15" s="74"/>
      <c r="E15" s="65"/>
      <c r="F15" s="65"/>
      <c r="H15" s="60" t="s">
        <v>714</v>
      </c>
      <c r="I15" s="70">
        <f>I14*78%</f>
        <v>144903.36006668842</v>
      </c>
      <c r="J15" s="70">
        <f t="shared" ref="J15:AW15" si="22">J14*78%</f>
        <v>131422.77493782231</v>
      </c>
      <c r="K15" s="70">
        <f t="shared" si="22"/>
        <v>123519.06666272106</v>
      </c>
      <c r="L15" s="70">
        <f t="shared" si="22"/>
        <v>125775.75359651701</v>
      </c>
      <c r="M15" s="70">
        <f t="shared" si="22"/>
        <v>129080.05855785181</v>
      </c>
      <c r="N15" s="70">
        <f t="shared" si="22"/>
        <v>132869.43739469512</v>
      </c>
      <c r="O15" s="70">
        <f t="shared" si="22"/>
        <v>140205.90064274409</v>
      </c>
      <c r="P15" s="70">
        <f t="shared" si="22"/>
        <v>154665.22533252524</v>
      </c>
      <c r="Q15" s="70">
        <f t="shared" si="22"/>
        <v>155137.92105299674</v>
      </c>
      <c r="R15" s="70">
        <f t="shared" si="22"/>
        <v>154558.41766926856</v>
      </c>
      <c r="S15" s="70">
        <f t="shared" si="22"/>
        <v>170070.40692660314</v>
      </c>
      <c r="T15" s="70">
        <f t="shared" si="22"/>
        <v>175795.64974687481</v>
      </c>
      <c r="U15" s="70">
        <f t="shared" si="22"/>
        <v>169844.52467618999</v>
      </c>
      <c r="V15" s="70">
        <f t="shared" si="22"/>
        <v>170449.29569304001</v>
      </c>
      <c r="W15" s="70">
        <f t="shared" si="22"/>
        <v>174133.52054280002</v>
      </c>
      <c r="X15" s="70">
        <f t="shared" si="22"/>
        <v>180278.78743192501</v>
      </c>
      <c r="Y15" s="70">
        <f t="shared" si="22"/>
        <v>186033.99080857501</v>
      </c>
      <c r="Z15" s="70">
        <f t="shared" si="22"/>
        <v>185540.49363868206</v>
      </c>
      <c r="AA15" s="70">
        <f t="shared" si="22"/>
        <v>188038.25116794903</v>
      </c>
      <c r="AB15" s="70">
        <f t="shared" si="22"/>
        <v>187104.74582872802</v>
      </c>
      <c r="AC15" s="70">
        <f t="shared" si="22"/>
        <v>185565.72351271502</v>
      </c>
      <c r="AD15" s="70">
        <f t="shared" si="22"/>
        <v>188996.98638120302</v>
      </c>
      <c r="AE15" s="70">
        <f t="shared" si="22"/>
        <v>187886.87192375102</v>
      </c>
      <c r="AF15" s="70">
        <f t="shared" si="22"/>
        <v>202943.83685940003</v>
      </c>
      <c r="AG15" s="70">
        <f t="shared" si="22"/>
        <v>228474.65709022505</v>
      </c>
      <c r="AH15" s="70">
        <f t="shared" si="22"/>
        <v>232089.06586320003</v>
      </c>
      <c r="AI15" s="70">
        <f t="shared" si="22"/>
        <v>256844.48273757001</v>
      </c>
      <c r="AJ15" s="70">
        <f t="shared" si="22"/>
        <v>282596.0213239725</v>
      </c>
      <c r="AK15" s="70">
        <f t="shared" si="22"/>
        <v>246841.665244687</v>
      </c>
      <c r="AL15" s="70">
        <f t="shared" si="22"/>
        <v>235335.43576300537</v>
      </c>
      <c r="AM15" s="70">
        <f t="shared" si="22"/>
        <v>210522.23671816193</v>
      </c>
      <c r="AN15" s="70">
        <f t="shared" si="22"/>
        <v>241679.04921213147</v>
      </c>
      <c r="AO15" s="70">
        <f t="shared" si="22"/>
        <v>214791.30705804485</v>
      </c>
      <c r="AP15" s="70">
        <f t="shared" si="22"/>
        <v>208354.71320777986</v>
      </c>
      <c r="AQ15" s="70">
        <f t="shared" si="22"/>
        <v>219530.70350624403</v>
      </c>
      <c r="AR15" s="70">
        <f t="shared" si="22"/>
        <v>189974.80046485024</v>
      </c>
      <c r="AS15" s="70">
        <f t="shared" si="22"/>
        <v>229457.47084720203</v>
      </c>
      <c r="AT15" s="70">
        <f t="shared" si="22"/>
        <v>220229.73324506698</v>
      </c>
      <c r="AU15" s="70">
        <f t="shared" si="22"/>
        <v>205420.94797442402</v>
      </c>
      <c r="AV15" s="70">
        <f t="shared" si="22"/>
        <v>195048.68456628418</v>
      </c>
      <c r="AW15" s="70">
        <f t="shared" si="22"/>
        <v>158277.38385595503</v>
      </c>
      <c r="AX15" s="70">
        <f t="shared" ref="AX15:BN15" si="23">AX14*78%</f>
        <v>166922.80605000001</v>
      </c>
      <c r="AY15" s="70">
        <f t="shared" si="23"/>
        <v>167415.149538</v>
      </c>
      <c r="AZ15" s="70">
        <f t="shared" si="23"/>
        <v>170761.92719040002</v>
      </c>
      <c r="BA15" s="70">
        <f t="shared" si="23"/>
        <v>167104.55623680001</v>
      </c>
      <c r="BB15" s="70">
        <f t="shared" si="23"/>
        <v>175861.39637430001</v>
      </c>
      <c r="BC15" s="70">
        <f t="shared" si="23"/>
        <v>178004.95172460002</v>
      </c>
      <c r="BD15" s="70">
        <f t="shared" si="23"/>
        <v>166030.0612425</v>
      </c>
      <c r="BE15" s="70">
        <f t="shared" si="23"/>
        <v>171745.73734500003</v>
      </c>
      <c r="BF15" s="70">
        <f t="shared" si="23"/>
        <v>170507.93022900002</v>
      </c>
      <c r="BG15" s="70">
        <f t="shared" si="23"/>
        <v>176725.93813875003</v>
      </c>
      <c r="BH15" s="70">
        <f t="shared" si="23"/>
        <v>179167.54245390001</v>
      </c>
      <c r="BI15" s="70">
        <f t="shared" si="23"/>
        <v>178905.84435360003</v>
      </c>
      <c r="BJ15" s="70">
        <f t="shared" si="23"/>
        <v>188708.83995600004</v>
      </c>
      <c r="BK15" s="70">
        <f t="shared" si="23"/>
        <v>179600.30344620004</v>
      </c>
      <c r="BL15" s="70">
        <f t="shared" si="23"/>
        <v>175326.64285500001</v>
      </c>
      <c r="BM15" s="70">
        <f t="shared" si="23"/>
        <v>174812.21339400002</v>
      </c>
      <c r="BN15" s="70">
        <f t="shared" si="23"/>
        <v>176690.7039807</v>
      </c>
      <c r="BO15" s="70">
        <f t="shared" ref="BO15:BV15" si="24">BO14*78%</f>
        <v>180667.3040991</v>
      </c>
      <c r="BP15" s="70">
        <f t="shared" si="24"/>
        <v>185797.62747000004</v>
      </c>
      <c r="BQ15" s="70">
        <f t="shared" si="24"/>
        <v>185797.62747000004</v>
      </c>
      <c r="BR15" s="70">
        <f t="shared" si="24"/>
        <v>181802.19637125003</v>
      </c>
      <c r="BS15" s="70">
        <f t="shared" si="24"/>
        <v>173952.34938900001</v>
      </c>
      <c r="BT15" s="70">
        <f t="shared" si="24"/>
        <v>174213.69179760001</v>
      </c>
      <c r="BU15" s="70">
        <f t="shared" si="24"/>
        <v>182259.96745320002</v>
      </c>
      <c r="BV15" s="70">
        <f t="shared" si="24"/>
        <v>190085.41646639997</v>
      </c>
      <c r="BW15" s="70">
        <f t="shared" ref="BW15:CB15" si="25">BW14*78%</f>
        <v>183106.98519750001</v>
      </c>
      <c r="BX15" s="70">
        <f t="shared" si="25"/>
        <v>176216.53385700003</v>
      </c>
      <c r="BY15" s="70">
        <f t="shared" si="25"/>
        <v>176428.45993500002</v>
      </c>
      <c r="BZ15" s="70">
        <f t="shared" si="25"/>
        <v>175270.02997140001</v>
      </c>
      <c r="CA15" s="70">
        <f t="shared" si="25"/>
        <v>166149.38339999999</v>
      </c>
      <c r="CB15" s="70">
        <f t="shared" si="25"/>
        <v>166169.40139800002</v>
      </c>
      <c r="CC15" s="70">
        <f t="shared" ref="CC15:CH15" si="26">CC14*78%</f>
        <v>169926.49837800002</v>
      </c>
      <c r="CD15" s="70">
        <f t="shared" si="26"/>
        <v>172943.75662200002</v>
      </c>
      <c r="CE15" s="70">
        <f t="shared" si="26"/>
        <v>182445.77087100002</v>
      </c>
      <c r="CF15" s="70">
        <f t="shared" si="26"/>
        <v>182578.13781480002</v>
      </c>
      <c r="CG15" s="70">
        <f t="shared" si="26"/>
        <v>179617.75715520003</v>
      </c>
      <c r="CH15" s="70">
        <f t="shared" si="26"/>
        <v>175138.6308399</v>
      </c>
      <c r="CI15" s="70">
        <f>CI14*78%</f>
        <v>194859.08859690002</v>
      </c>
      <c r="CJ15" s="70">
        <f>CJ14*78%</f>
        <v>203306.59276200001</v>
      </c>
      <c r="CK15" s="70">
        <f>CK14*78%</f>
        <v>199737.99583920001</v>
      </c>
      <c r="CL15" s="70">
        <f t="shared" ref="CL15:CQ15" si="27">CL14*78%</f>
        <v>205770.49398360003</v>
      </c>
      <c r="CM15" s="70">
        <f t="shared" si="27"/>
        <v>206451.320985</v>
      </c>
      <c r="CN15" s="70">
        <f t="shared" si="27"/>
        <v>210975.63668999998</v>
      </c>
      <c r="CO15" s="70">
        <f t="shared" si="27"/>
        <v>220145.49279449999</v>
      </c>
      <c r="CP15" s="70">
        <f t="shared" si="27"/>
        <v>214560.84358800005</v>
      </c>
      <c r="CQ15" s="70">
        <f t="shared" si="27"/>
        <v>212699.29385250001</v>
      </c>
      <c r="CR15" s="70">
        <f t="shared" ref="CR15:EM15" si="28">CR14*78%</f>
        <v>207415.58463990001</v>
      </c>
      <c r="CS15" s="70">
        <f t="shared" si="28"/>
        <v>201236.96338200005</v>
      </c>
      <c r="CT15" s="70">
        <f t="shared" si="28"/>
        <v>203481.29529000001</v>
      </c>
      <c r="CU15" s="70">
        <f t="shared" si="28"/>
        <v>204394.88528550003</v>
      </c>
      <c r="CV15" s="70">
        <f t="shared" si="28"/>
        <v>214110.24837930003</v>
      </c>
      <c r="CW15" s="70">
        <f t="shared" si="28"/>
        <v>206298.49763250002</v>
      </c>
      <c r="CX15" s="70">
        <f t="shared" si="28"/>
        <v>193064.03666550003</v>
      </c>
      <c r="CY15" s="70">
        <f t="shared" si="28"/>
        <v>194414.55669090003</v>
      </c>
      <c r="CZ15" s="70">
        <f t="shared" si="28"/>
        <v>194230.9535985</v>
      </c>
      <c r="DA15" s="70">
        <f t="shared" si="28"/>
        <v>195434.75493360002</v>
      </c>
      <c r="DB15" s="70">
        <f t="shared" si="28"/>
        <v>193907.06735400003</v>
      </c>
      <c r="DC15" s="70">
        <f t="shared" si="28"/>
        <v>202141.71898830001</v>
      </c>
      <c r="DD15" s="70">
        <f t="shared" si="28"/>
        <v>195434.75493360002</v>
      </c>
      <c r="DE15" s="70">
        <f t="shared" si="28"/>
        <v>196268.16540240002</v>
      </c>
      <c r="DF15" s="70">
        <f t="shared" si="28"/>
        <v>206579.98211759998</v>
      </c>
      <c r="DG15" s="70">
        <f t="shared" si="28"/>
        <v>223524.77074200002</v>
      </c>
      <c r="DH15" s="70">
        <f t="shared" si="28"/>
        <v>221018.99716260002</v>
      </c>
      <c r="DI15" s="70">
        <f t="shared" si="28"/>
        <v>218778.70194179998</v>
      </c>
      <c r="DJ15" s="70">
        <f t="shared" si="28"/>
        <v>232061.19783209998</v>
      </c>
      <c r="DK15" s="70">
        <f t="shared" si="28"/>
        <v>222908.18331600001</v>
      </c>
      <c r="DL15" s="70">
        <f t="shared" si="28"/>
        <v>217656.32091839999</v>
      </c>
      <c r="DM15" s="70">
        <f t="shared" si="28"/>
        <v>215029.69488000002</v>
      </c>
      <c r="DN15" s="70">
        <f t="shared" si="28"/>
        <v>213583.17118320003</v>
      </c>
      <c r="DO15" s="70">
        <f t="shared" si="28"/>
        <v>223316.23614299999</v>
      </c>
      <c r="DP15" s="70">
        <f t="shared" si="28"/>
        <v>222703.9583769</v>
      </c>
      <c r="DQ15" s="70">
        <f t="shared" si="28"/>
        <v>221738.867532</v>
      </c>
      <c r="DR15" s="70">
        <f t="shared" si="28"/>
        <v>220217.99599800003</v>
      </c>
      <c r="DS15" s="70">
        <f t="shared" si="28"/>
        <v>217298.77631279998</v>
      </c>
      <c r="DT15" s="70">
        <f t="shared" si="28"/>
        <v>0</v>
      </c>
      <c r="DU15" s="70">
        <f t="shared" si="28"/>
        <v>0</v>
      </c>
      <c r="DV15" s="70">
        <f t="shared" si="28"/>
        <v>0</v>
      </c>
      <c r="DW15" s="70">
        <f t="shared" si="28"/>
        <v>0</v>
      </c>
      <c r="DX15" s="70">
        <f t="shared" si="28"/>
        <v>0</v>
      </c>
      <c r="DY15" s="70">
        <f t="shared" si="28"/>
        <v>0</v>
      </c>
      <c r="DZ15" s="70">
        <f t="shared" si="28"/>
        <v>0</v>
      </c>
      <c r="EA15" s="70">
        <f t="shared" si="28"/>
        <v>0</v>
      </c>
      <c r="EB15" s="70">
        <f t="shared" si="28"/>
        <v>0</v>
      </c>
      <c r="EC15" s="70">
        <f t="shared" si="28"/>
        <v>0</v>
      </c>
      <c r="ED15" s="70">
        <f t="shared" si="28"/>
        <v>0</v>
      </c>
      <c r="EE15" s="70">
        <f t="shared" si="28"/>
        <v>0</v>
      </c>
      <c r="EF15" s="70">
        <f t="shared" si="28"/>
        <v>0</v>
      </c>
      <c r="EG15" s="70">
        <f t="shared" si="28"/>
        <v>0</v>
      </c>
      <c r="EH15" s="70">
        <f t="shared" si="28"/>
        <v>0</v>
      </c>
      <c r="EI15" s="70">
        <f t="shared" si="28"/>
        <v>0</v>
      </c>
      <c r="EJ15" s="70">
        <f t="shared" si="28"/>
        <v>0</v>
      </c>
      <c r="EK15" s="70">
        <f t="shared" si="28"/>
        <v>0</v>
      </c>
      <c r="EL15" s="70">
        <f t="shared" si="28"/>
        <v>0</v>
      </c>
      <c r="EM15" s="70">
        <f t="shared" si="28"/>
        <v>0</v>
      </c>
    </row>
    <row r="16" spans="1:156">
      <c r="A16" s="67"/>
      <c r="B16" s="100"/>
      <c r="D16" s="74"/>
      <c r="E16" s="65"/>
      <c r="F16" s="65"/>
      <c r="H16" s="60" t="s">
        <v>715</v>
      </c>
      <c r="I16" s="70">
        <v>30000</v>
      </c>
      <c r="J16" s="70">
        <v>30000</v>
      </c>
      <c r="K16" s="70">
        <v>30000</v>
      </c>
      <c r="L16" s="70">
        <v>30000</v>
      </c>
      <c r="M16" s="70">
        <v>30000</v>
      </c>
      <c r="N16" s="70">
        <v>30000</v>
      </c>
      <c r="O16" s="70">
        <v>30000</v>
      </c>
      <c r="P16" s="70">
        <v>30000</v>
      </c>
      <c r="Q16" s="70">
        <v>30000</v>
      </c>
      <c r="R16" s="70">
        <v>30000</v>
      </c>
      <c r="S16" s="70">
        <v>30000</v>
      </c>
      <c r="T16" s="70">
        <v>30000</v>
      </c>
      <c r="U16" s="70">
        <v>30000</v>
      </c>
      <c r="V16" s="70">
        <v>30000</v>
      </c>
      <c r="W16" s="70">
        <v>30000</v>
      </c>
      <c r="X16" s="70">
        <v>30000</v>
      </c>
      <c r="Y16" s="70">
        <v>30000</v>
      </c>
      <c r="Z16" s="70">
        <v>30000</v>
      </c>
      <c r="AA16" s="70">
        <v>30000</v>
      </c>
      <c r="AB16" s="70">
        <v>30000</v>
      </c>
      <c r="AC16" s="70">
        <v>30000</v>
      </c>
      <c r="AD16" s="70">
        <v>30000</v>
      </c>
      <c r="AE16" s="70">
        <v>30000</v>
      </c>
      <c r="AF16" s="70">
        <v>30000</v>
      </c>
      <c r="AG16" s="70">
        <v>30000</v>
      </c>
      <c r="AH16" s="70">
        <v>30000</v>
      </c>
      <c r="AI16" s="70">
        <v>30000</v>
      </c>
      <c r="AJ16" s="70">
        <v>30000</v>
      </c>
      <c r="AK16" s="70">
        <v>30000</v>
      </c>
      <c r="AL16" s="70">
        <v>30000</v>
      </c>
      <c r="AM16" s="70">
        <v>30000</v>
      </c>
      <c r="AN16" s="70">
        <v>30000</v>
      </c>
      <c r="AO16" s="70">
        <v>30000</v>
      </c>
      <c r="AP16" s="70">
        <v>30000</v>
      </c>
      <c r="AQ16" s="70">
        <v>30000</v>
      </c>
      <c r="AR16" s="70">
        <v>30000</v>
      </c>
      <c r="AS16" s="70">
        <v>30000</v>
      </c>
      <c r="AT16" s="70">
        <v>30000</v>
      </c>
      <c r="AU16" s="70">
        <v>30000</v>
      </c>
      <c r="AV16" s="70">
        <v>30000</v>
      </c>
      <c r="AW16" s="70">
        <v>30000</v>
      </c>
      <c r="AX16" s="70">
        <v>30000</v>
      </c>
      <c r="AY16" s="70">
        <v>30000</v>
      </c>
      <c r="AZ16" s="70">
        <v>30000</v>
      </c>
      <c r="BA16" s="70">
        <v>30000</v>
      </c>
      <c r="BB16" s="70">
        <v>30000</v>
      </c>
      <c r="BC16" s="70">
        <v>30000</v>
      </c>
      <c r="BD16" s="70">
        <v>30000</v>
      </c>
      <c r="BE16" s="70">
        <v>30000</v>
      </c>
      <c r="BF16" s="70">
        <v>30000</v>
      </c>
      <c r="BG16" s="70">
        <v>30000</v>
      </c>
      <c r="BH16" s="70">
        <v>30000</v>
      </c>
      <c r="BI16" s="70">
        <v>30000</v>
      </c>
      <c r="BJ16" s="70">
        <v>30000</v>
      </c>
      <c r="BK16" s="70">
        <v>30000</v>
      </c>
      <c r="BL16" s="70">
        <v>30000</v>
      </c>
      <c r="BM16" s="70">
        <v>30000</v>
      </c>
      <c r="BN16" s="70">
        <v>30000</v>
      </c>
      <c r="BO16" s="70">
        <v>30000</v>
      </c>
      <c r="BP16" s="70">
        <v>30000</v>
      </c>
      <c r="BQ16" s="70">
        <v>30000</v>
      </c>
      <c r="BR16" s="70">
        <v>30000</v>
      </c>
      <c r="BS16" s="70">
        <v>30000</v>
      </c>
      <c r="BT16" s="70">
        <v>30000</v>
      </c>
      <c r="BU16" s="70">
        <v>30000</v>
      </c>
      <c r="BV16" s="70">
        <v>30000</v>
      </c>
      <c r="BW16" s="70">
        <v>30000</v>
      </c>
      <c r="BX16" s="70">
        <v>30000</v>
      </c>
      <c r="BY16" s="70">
        <v>30000</v>
      </c>
      <c r="BZ16" s="70">
        <v>30000</v>
      </c>
      <c r="CA16" s="70">
        <v>30000</v>
      </c>
      <c r="CB16" s="70">
        <v>30000</v>
      </c>
      <c r="CC16" s="70">
        <v>30000</v>
      </c>
      <c r="CD16" s="70">
        <v>30000</v>
      </c>
      <c r="CE16" s="70">
        <v>30000</v>
      </c>
      <c r="CF16" s="70">
        <v>30000</v>
      </c>
      <c r="CG16" s="70">
        <v>30000</v>
      </c>
      <c r="CH16" s="70">
        <v>30000</v>
      </c>
      <c r="CI16" s="70">
        <v>30000</v>
      </c>
      <c r="CJ16" s="70">
        <v>30000</v>
      </c>
      <c r="CK16" s="70">
        <v>30000</v>
      </c>
      <c r="CL16" s="70">
        <v>30000</v>
      </c>
      <c r="CM16" s="70">
        <v>30000</v>
      </c>
      <c r="CN16" s="70">
        <v>30000</v>
      </c>
      <c r="CO16" s="70">
        <v>30000</v>
      </c>
      <c r="CP16" s="70">
        <v>30000</v>
      </c>
      <c r="CQ16" s="70">
        <v>30000</v>
      </c>
      <c r="CR16" s="70">
        <v>30000</v>
      </c>
      <c r="CS16" s="70">
        <v>30000</v>
      </c>
      <c r="CT16" s="70">
        <v>30000</v>
      </c>
      <c r="CU16" s="70">
        <v>30000</v>
      </c>
      <c r="CV16" s="70">
        <v>30000</v>
      </c>
      <c r="CW16" s="70">
        <v>30000</v>
      </c>
      <c r="CX16" s="70">
        <v>30000</v>
      </c>
      <c r="CY16" s="70">
        <v>30000</v>
      </c>
      <c r="CZ16" s="70">
        <v>30000</v>
      </c>
      <c r="DA16" s="70">
        <v>30000</v>
      </c>
      <c r="DB16" s="70">
        <v>30000</v>
      </c>
      <c r="DC16" s="70">
        <v>30000</v>
      </c>
      <c r="DD16" s="70">
        <v>30000</v>
      </c>
      <c r="DE16" s="70">
        <v>30000</v>
      </c>
      <c r="DF16" s="70">
        <v>30000</v>
      </c>
      <c r="DG16" s="70">
        <v>30000</v>
      </c>
      <c r="DH16" s="70">
        <v>30000</v>
      </c>
      <c r="DI16" s="70">
        <v>30000</v>
      </c>
      <c r="DJ16" s="70">
        <v>30000</v>
      </c>
      <c r="DK16" s="70">
        <v>30000</v>
      </c>
      <c r="DL16" s="70">
        <v>30000</v>
      </c>
      <c r="DM16" s="70">
        <v>30000</v>
      </c>
      <c r="DN16" s="70">
        <v>30000</v>
      </c>
      <c r="DO16" s="70">
        <v>30000</v>
      </c>
      <c r="DP16" s="70">
        <v>30000</v>
      </c>
      <c r="DQ16" s="70">
        <v>30000</v>
      </c>
      <c r="DR16" s="70">
        <v>30000</v>
      </c>
      <c r="DS16" s="70">
        <v>30000</v>
      </c>
      <c r="DT16" s="70">
        <v>30000</v>
      </c>
      <c r="DU16" s="70">
        <v>30000</v>
      </c>
      <c r="DV16" s="70">
        <v>30000</v>
      </c>
      <c r="DW16" s="70">
        <v>30000</v>
      </c>
      <c r="DX16" s="70">
        <v>30000</v>
      </c>
      <c r="DY16" s="70">
        <v>30000</v>
      </c>
      <c r="DZ16" s="70">
        <v>30000</v>
      </c>
      <c r="EA16" s="70">
        <v>30000</v>
      </c>
      <c r="EB16" s="70">
        <v>30000</v>
      </c>
      <c r="EC16" s="70">
        <v>30000</v>
      </c>
      <c r="ED16" s="70">
        <v>30000</v>
      </c>
      <c r="EE16" s="70">
        <v>30000</v>
      </c>
      <c r="EF16" s="70">
        <v>30000</v>
      </c>
      <c r="EG16" s="70">
        <v>30000</v>
      </c>
      <c r="EH16" s="70">
        <v>30000</v>
      </c>
      <c r="EI16" s="70">
        <v>30000</v>
      </c>
      <c r="EJ16" s="70">
        <v>30000</v>
      </c>
      <c r="EK16" s="70">
        <v>30000</v>
      </c>
      <c r="EL16" s="70">
        <v>30000</v>
      </c>
      <c r="EM16" s="70">
        <v>30000</v>
      </c>
    </row>
    <row r="17" spans="1:143">
      <c r="A17" s="67"/>
      <c r="B17" s="100"/>
      <c r="D17" s="74"/>
      <c r="E17" s="65"/>
      <c r="F17" s="65"/>
      <c r="H17" s="60" t="s">
        <v>716</v>
      </c>
      <c r="I17" s="70">
        <v>2500</v>
      </c>
      <c r="J17" s="70">
        <v>2500</v>
      </c>
      <c r="K17" s="70">
        <v>2500</v>
      </c>
      <c r="L17" s="70">
        <v>2500</v>
      </c>
      <c r="M17" s="70">
        <v>2500</v>
      </c>
      <c r="N17" s="70">
        <v>2500</v>
      </c>
      <c r="O17" s="70">
        <v>2500</v>
      </c>
      <c r="P17" s="70">
        <v>2500</v>
      </c>
      <c r="Q17" s="70">
        <v>2500</v>
      </c>
      <c r="R17" s="70">
        <v>2500</v>
      </c>
      <c r="S17" s="70">
        <v>2500</v>
      </c>
      <c r="T17" s="70">
        <v>2500</v>
      </c>
      <c r="U17" s="70">
        <v>2500</v>
      </c>
      <c r="V17" s="70">
        <v>2500</v>
      </c>
      <c r="W17" s="70">
        <v>2500</v>
      </c>
      <c r="X17" s="70">
        <v>2500</v>
      </c>
      <c r="Y17" s="70">
        <v>2500</v>
      </c>
      <c r="Z17" s="70">
        <v>2500</v>
      </c>
      <c r="AA17" s="70">
        <v>2500</v>
      </c>
      <c r="AB17" s="70">
        <v>2500</v>
      </c>
      <c r="AC17" s="70">
        <v>2500</v>
      </c>
      <c r="AD17" s="70">
        <v>2500</v>
      </c>
      <c r="AE17" s="70">
        <v>2500</v>
      </c>
      <c r="AF17" s="70">
        <v>2500</v>
      </c>
      <c r="AG17" s="70">
        <v>2500</v>
      </c>
      <c r="AH17" s="70">
        <v>2500</v>
      </c>
      <c r="AI17" s="70">
        <v>2500</v>
      </c>
      <c r="AJ17" s="70">
        <v>2500</v>
      </c>
      <c r="AK17" s="70">
        <v>2500</v>
      </c>
      <c r="AL17" s="70">
        <v>2500</v>
      </c>
      <c r="AM17" s="70">
        <v>2500</v>
      </c>
      <c r="AN17" s="70">
        <v>2500</v>
      </c>
      <c r="AO17" s="70">
        <v>2500</v>
      </c>
      <c r="AP17" s="70">
        <v>2500</v>
      </c>
      <c r="AQ17" s="70">
        <v>2500</v>
      </c>
      <c r="AR17" s="70">
        <v>2500</v>
      </c>
      <c r="AS17" s="70">
        <v>2500</v>
      </c>
      <c r="AT17" s="70">
        <v>2500</v>
      </c>
      <c r="AU17" s="70">
        <v>2500</v>
      </c>
      <c r="AV17" s="70">
        <v>2500</v>
      </c>
      <c r="AW17" s="70">
        <v>2500</v>
      </c>
      <c r="AX17" s="70">
        <v>2500</v>
      </c>
      <c r="AY17" s="70">
        <v>2500</v>
      </c>
      <c r="AZ17" s="70">
        <v>2500</v>
      </c>
      <c r="BA17" s="70">
        <v>2500</v>
      </c>
      <c r="BB17" s="70">
        <v>2500</v>
      </c>
      <c r="BC17" s="70">
        <v>2500</v>
      </c>
      <c r="BD17" s="70">
        <v>2500</v>
      </c>
      <c r="BE17" s="70">
        <v>2500</v>
      </c>
      <c r="BF17" s="70">
        <v>2500</v>
      </c>
      <c r="BG17" s="70">
        <v>2500</v>
      </c>
      <c r="BH17" s="70">
        <v>2500</v>
      </c>
      <c r="BI17" s="70">
        <v>2500</v>
      </c>
      <c r="BJ17" s="70">
        <v>2500</v>
      </c>
      <c r="BK17" s="70">
        <v>2500</v>
      </c>
      <c r="BL17" s="70">
        <v>2500</v>
      </c>
      <c r="BM17" s="70">
        <v>2500</v>
      </c>
      <c r="BN17" s="70">
        <v>2500</v>
      </c>
      <c r="BO17" s="70">
        <v>2500</v>
      </c>
      <c r="BP17" s="70">
        <v>2500</v>
      </c>
      <c r="BQ17" s="70">
        <v>2500</v>
      </c>
      <c r="BR17" s="70">
        <v>2500</v>
      </c>
      <c r="BS17" s="70">
        <v>2500</v>
      </c>
      <c r="BT17" s="70">
        <v>2500</v>
      </c>
      <c r="BU17" s="70">
        <v>2500</v>
      </c>
      <c r="BV17" s="70">
        <v>2500</v>
      </c>
      <c r="BW17" s="70">
        <v>2500</v>
      </c>
      <c r="BX17" s="70">
        <v>2500</v>
      </c>
      <c r="BY17" s="70">
        <v>2500</v>
      </c>
      <c r="BZ17" s="70">
        <v>2500</v>
      </c>
      <c r="CA17" s="70">
        <v>2500</v>
      </c>
      <c r="CB17" s="70">
        <v>2500</v>
      </c>
      <c r="CC17" s="70">
        <v>2500</v>
      </c>
      <c r="CD17" s="70">
        <v>2500</v>
      </c>
      <c r="CE17" s="70">
        <v>2500</v>
      </c>
      <c r="CF17" s="70">
        <v>2500</v>
      </c>
      <c r="CG17" s="70">
        <v>2500</v>
      </c>
      <c r="CH17" s="70">
        <v>2500</v>
      </c>
      <c r="CI17" s="70">
        <v>2500</v>
      </c>
      <c r="CJ17" s="70">
        <v>2500</v>
      </c>
      <c r="CK17" s="70">
        <v>2500</v>
      </c>
      <c r="CL17" s="70">
        <v>2500</v>
      </c>
      <c r="CM17" s="70">
        <v>2500</v>
      </c>
      <c r="CN17" s="70">
        <v>2500</v>
      </c>
      <c r="CO17" s="70">
        <v>2500</v>
      </c>
      <c r="CP17" s="70">
        <v>2500</v>
      </c>
      <c r="CQ17" s="70">
        <v>2500</v>
      </c>
      <c r="CR17" s="70">
        <v>2500</v>
      </c>
      <c r="CS17" s="70">
        <v>2500</v>
      </c>
      <c r="CT17" s="70">
        <v>2500</v>
      </c>
      <c r="CU17" s="70">
        <v>2500</v>
      </c>
      <c r="CV17" s="70">
        <v>2500</v>
      </c>
      <c r="CW17" s="70">
        <v>2500</v>
      </c>
      <c r="CX17" s="70">
        <v>2500</v>
      </c>
      <c r="CY17" s="70">
        <v>2500</v>
      </c>
      <c r="CZ17" s="70">
        <v>2500</v>
      </c>
      <c r="DA17" s="70">
        <v>2500</v>
      </c>
      <c r="DB17" s="70">
        <v>2500</v>
      </c>
      <c r="DC17" s="70">
        <v>2500</v>
      </c>
      <c r="DD17" s="70">
        <v>2500</v>
      </c>
      <c r="DE17" s="70">
        <v>2500</v>
      </c>
      <c r="DF17" s="70">
        <v>2500</v>
      </c>
      <c r="DG17" s="70">
        <v>2500</v>
      </c>
      <c r="DH17" s="70">
        <v>2500</v>
      </c>
      <c r="DI17" s="70">
        <v>2500</v>
      </c>
      <c r="DJ17" s="70">
        <v>2500</v>
      </c>
      <c r="DK17" s="70">
        <v>2500</v>
      </c>
      <c r="DL17" s="70">
        <v>2500</v>
      </c>
      <c r="DM17" s="70">
        <v>2500</v>
      </c>
      <c r="DN17" s="70">
        <v>2500</v>
      </c>
      <c r="DO17" s="70">
        <v>2500</v>
      </c>
      <c r="DP17" s="70">
        <v>2500</v>
      </c>
      <c r="DQ17" s="70">
        <v>2500</v>
      </c>
      <c r="DR17" s="70">
        <v>2500</v>
      </c>
      <c r="DS17" s="70">
        <v>2500</v>
      </c>
      <c r="DT17" s="70">
        <v>2500</v>
      </c>
      <c r="DU17" s="70">
        <v>2500</v>
      </c>
      <c r="DV17" s="70">
        <v>2500</v>
      </c>
      <c r="DW17" s="70">
        <v>2500</v>
      </c>
      <c r="DX17" s="70">
        <v>2500</v>
      </c>
      <c r="DY17" s="70">
        <v>2500</v>
      </c>
      <c r="DZ17" s="70">
        <v>2500</v>
      </c>
      <c r="EA17" s="70">
        <v>2500</v>
      </c>
      <c r="EB17" s="70">
        <v>2500</v>
      </c>
      <c r="EC17" s="70">
        <v>2500</v>
      </c>
      <c r="ED17" s="70">
        <v>2500</v>
      </c>
      <c r="EE17" s="70">
        <v>2500</v>
      </c>
      <c r="EF17" s="70">
        <v>2500</v>
      </c>
      <c r="EG17" s="70">
        <v>2500</v>
      </c>
      <c r="EH17" s="70">
        <v>2500</v>
      </c>
      <c r="EI17" s="70">
        <v>2500</v>
      </c>
      <c r="EJ17" s="70">
        <v>2500</v>
      </c>
      <c r="EK17" s="70">
        <v>2500</v>
      </c>
      <c r="EL17" s="70">
        <v>2500</v>
      </c>
      <c r="EM17" s="70">
        <v>2500</v>
      </c>
    </row>
    <row r="18" spans="1:143" s="104" customFormat="1">
      <c r="A18" s="104" t="s">
        <v>400</v>
      </c>
      <c r="H18" s="104" t="s">
        <v>717</v>
      </c>
      <c r="I18" s="105">
        <f>SUM(I15:I17)</f>
        <v>177403.36006668842</v>
      </c>
      <c r="J18" s="105">
        <f t="shared" ref="J18:AW18" si="29">SUM(J15:J17)</f>
        <v>163922.77493782231</v>
      </c>
      <c r="K18" s="105">
        <f t="shared" si="29"/>
        <v>156019.06666272104</v>
      </c>
      <c r="L18" s="105">
        <f t="shared" si="29"/>
        <v>158275.75359651702</v>
      </c>
      <c r="M18" s="105">
        <f t="shared" si="29"/>
        <v>161580.05855785182</v>
      </c>
      <c r="N18" s="105">
        <f t="shared" si="29"/>
        <v>165369.43739469512</v>
      </c>
      <c r="O18" s="105">
        <f t="shared" si="29"/>
        <v>172705.90064274409</v>
      </c>
      <c r="P18" s="105">
        <f t="shared" si="29"/>
        <v>187165.22533252524</v>
      </c>
      <c r="Q18" s="105">
        <f t="shared" si="29"/>
        <v>187637.92105299674</v>
      </c>
      <c r="R18" s="105">
        <f t="shared" si="29"/>
        <v>187058.41766926856</v>
      </c>
      <c r="S18" s="105">
        <f t="shared" si="29"/>
        <v>202570.40692660314</v>
      </c>
      <c r="T18" s="105">
        <f t="shared" si="29"/>
        <v>208295.64974687481</v>
      </c>
      <c r="U18" s="105">
        <f t="shared" si="29"/>
        <v>202344.52467618999</v>
      </c>
      <c r="V18" s="105">
        <f t="shared" si="29"/>
        <v>202949.29569304001</v>
      </c>
      <c r="W18" s="105">
        <f t="shared" si="29"/>
        <v>206633.52054280002</v>
      </c>
      <c r="X18" s="105">
        <f t="shared" si="29"/>
        <v>212778.78743192501</v>
      </c>
      <c r="Y18" s="105">
        <f t="shared" si="29"/>
        <v>218533.99080857501</v>
      </c>
      <c r="Z18" s="105">
        <f t="shared" si="29"/>
        <v>218040.49363868206</v>
      </c>
      <c r="AA18" s="105">
        <f t="shared" si="29"/>
        <v>220538.25116794903</v>
      </c>
      <c r="AB18" s="105">
        <f t="shared" si="29"/>
        <v>219604.74582872802</v>
      </c>
      <c r="AC18" s="105">
        <f t="shared" si="29"/>
        <v>218065.72351271502</v>
      </c>
      <c r="AD18" s="105">
        <f>SUM(AD15:AD17)</f>
        <v>221496.98638120302</v>
      </c>
      <c r="AE18" s="105">
        <f t="shared" si="29"/>
        <v>220386.87192375102</v>
      </c>
      <c r="AF18" s="105">
        <f t="shared" si="29"/>
        <v>235443.83685940003</v>
      </c>
      <c r="AG18" s="105">
        <f t="shared" si="29"/>
        <v>260974.65709022505</v>
      </c>
      <c r="AH18" s="105">
        <f t="shared" si="29"/>
        <v>264589.0658632</v>
      </c>
      <c r="AI18" s="105">
        <f t="shared" si="29"/>
        <v>289344.48273757001</v>
      </c>
      <c r="AJ18" s="105">
        <f t="shared" si="29"/>
        <v>315096.0213239725</v>
      </c>
      <c r="AK18" s="105">
        <f t="shared" si="29"/>
        <v>279341.665244687</v>
      </c>
      <c r="AL18" s="105">
        <f t="shared" si="29"/>
        <v>267835.4357630054</v>
      </c>
      <c r="AM18" s="105">
        <f t="shared" si="29"/>
        <v>243022.23671816193</v>
      </c>
      <c r="AN18" s="105">
        <f t="shared" si="29"/>
        <v>274179.04921213147</v>
      </c>
      <c r="AO18" s="105">
        <f t="shared" si="29"/>
        <v>247291.30705804485</v>
      </c>
      <c r="AP18" s="105">
        <f t="shared" si="29"/>
        <v>240854.71320777986</v>
      </c>
      <c r="AQ18" s="105">
        <f t="shared" si="29"/>
        <v>252030.70350624403</v>
      </c>
      <c r="AR18" s="105">
        <f t="shared" si="29"/>
        <v>222474.80046485024</v>
      </c>
      <c r="AS18" s="105">
        <f t="shared" si="29"/>
        <v>261957.47084720203</v>
      </c>
      <c r="AT18" s="105">
        <f t="shared" si="29"/>
        <v>252729.73324506698</v>
      </c>
      <c r="AU18" s="105">
        <f t="shared" si="29"/>
        <v>237920.94797442402</v>
      </c>
      <c r="AV18" s="105">
        <f t="shared" si="29"/>
        <v>227548.68456628418</v>
      </c>
      <c r="AW18" s="105">
        <f t="shared" si="29"/>
        <v>190777.38385595503</v>
      </c>
      <c r="AX18" s="105">
        <f t="shared" ref="AX18:BN18" si="30">SUM(AX15:AX17)</f>
        <v>199422.80605000001</v>
      </c>
      <c r="AY18" s="105">
        <f t="shared" si="30"/>
        <v>199915.149538</v>
      </c>
      <c r="AZ18" s="105">
        <f t="shared" si="30"/>
        <v>203261.92719040002</v>
      </c>
      <c r="BA18" s="105">
        <f t="shared" si="30"/>
        <v>199604.55623680001</v>
      </c>
      <c r="BB18" s="105">
        <f t="shared" si="30"/>
        <v>208361.39637430001</v>
      </c>
      <c r="BC18" s="105">
        <f t="shared" si="30"/>
        <v>210504.95172460002</v>
      </c>
      <c r="BD18" s="105">
        <f t="shared" si="30"/>
        <v>198530.0612425</v>
      </c>
      <c r="BE18" s="105">
        <f t="shared" si="30"/>
        <v>204245.73734500003</v>
      </c>
      <c r="BF18" s="105">
        <f t="shared" si="30"/>
        <v>203007.93022900002</v>
      </c>
      <c r="BG18" s="105">
        <f t="shared" si="30"/>
        <v>209225.93813875003</v>
      </c>
      <c r="BH18" s="105">
        <f t="shared" si="30"/>
        <v>211667.54245390001</v>
      </c>
      <c r="BI18" s="105">
        <f t="shared" si="30"/>
        <v>211405.84435360003</v>
      </c>
      <c r="BJ18" s="105">
        <f t="shared" si="30"/>
        <v>221208.83995600004</v>
      </c>
      <c r="BK18" s="105">
        <f t="shared" si="30"/>
        <v>212100.30344620004</v>
      </c>
      <c r="BL18" s="105">
        <f t="shared" si="30"/>
        <v>207826.64285500001</v>
      </c>
      <c r="BM18" s="105">
        <f t="shared" si="30"/>
        <v>207312.21339400002</v>
      </c>
      <c r="BN18" s="105">
        <f t="shared" si="30"/>
        <v>209190.7039807</v>
      </c>
      <c r="BO18" s="105">
        <f t="shared" ref="BO18:BV18" si="31">SUM(BO15:BO17)</f>
        <v>213167.3040991</v>
      </c>
      <c r="BP18" s="105">
        <f t="shared" si="31"/>
        <v>218297.62747000004</v>
      </c>
      <c r="BQ18" s="105">
        <f t="shared" si="31"/>
        <v>218297.62747000004</v>
      </c>
      <c r="BR18" s="105">
        <f t="shared" si="31"/>
        <v>214302.19637125003</v>
      </c>
      <c r="BS18" s="105">
        <f t="shared" si="31"/>
        <v>206452.34938900001</v>
      </c>
      <c r="BT18" s="105">
        <f t="shared" si="31"/>
        <v>206713.69179760001</v>
      </c>
      <c r="BU18" s="105">
        <f t="shared" si="31"/>
        <v>214759.96745320002</v>
      </c>
      <c r="BV18" s="105">
        <f t="shared" si="31"/>
        <v>222585.41646639997</v>
      </c>
      <c r="BW18" s="105">
        <f t="shared" ref="BW18:CB18" si="32">SUM(BW15:BW17)</f>
        <v>215606.98519750001</v>
      </c>
      <c r="BX18" s="105">
        <f t="shared" si="32"/>
        <v>208716.53385700003</v>
      </c>
      <c r="BY18" s="105">
        <f t="shared" si="32"/>
        <v>208928.45993500002</v>
      </c>
      <c r="BZ18" s="105">
        <f t="shared" si="32"/>
        <v>207770.02997140001</v>
      </c>
      <c r="CA18" s="105">
        <f t="shared" si="32"/>
        <v>198649.38339999999</v>
      </c>
      <c r="CB18" s="105">
        <f t="shared" si="32"/>
        <v>198669.40139800002</v>
      </c>
      <c r="CC18" s="105">
        <f t="shared" ref="CC18:CH18" si="33">SUM(CC15:CC17)</f>
        <v>202426.49837800002</v>
      </c>
      <c r="CD18" s="105">
        <f t="shared" si="33"/>
        <v>205443.75662200002</v>
      </c>
      <c r="CE18" s="105">
        <f t="shared" si="33"/>
        <v>214945.77087100002</v>
      </c>
      <c r="CF18" s="105">
        <f t="shared" si="33"/>
        <v>215078.13781480002</v>
      </c>
      <c r="CG18" s="105">
        <f t="shared" si="33"/>
        <v>212117.75715520003</v>
      </c>
      <c r="CH18" s="105">
        <f t="shared" si="33"/>
        <v>207638.6308399</v>
      </c>
      <c r="CI18" s="105">
        <f>SUM(CI15:CI17)</f>
        <v>227359.08859690002</v>
      </c>
      <c r="CJ18" s="105">
        <f>SUM(CJ15:CJ17)</f>
        <v>235806.59276200001</v>
      </c>
      <c r="CK18" s="105">
        <f>SUM(CK15:CK17)</f>
        <v>232237.99583920001</v>
      </c>
      <c r="CL18" s="105">
        <f t="shared" ref="CL18:CQ18" si="34">SUM(CL15:CL17)</f>
        <v>238270.49398360003</v>
      </c>
      <c r="CM18" s="105">
        <f t="shared" si="34"/>
        <v>238951.320985</v>
      </c>
      <c r="CN18" s="105">
        <f t="shared" si="34"/>
        <v>243475.63668999998</v>
      </c>
      <c r="CO18" s="105">
        <f t="shared" si="34"/>
        <v>252645.49279449999</v>
      </c>
      <c r="CP18" s="105">
        <f t="shared" si="34"/>
        <v>247060.84358800005</v>
      </c>
      <c r="CQ18" s="105">
        <f t="shared" si="34"/>
        <v>245199.29385250001</v>
      </c>
      <c r="CR18" s="105">
        <f t="shared" ref="CR18:EM18" si="35">SUM(CR15:CR17)</f>
        <v>239915.58463990001</v>
      </c>
      <c r="CS18" s="105">
        <f t="shared" si="35"/>
        <v>233736.96338200005</v>
      </c>
      <c r="CT18" s="105">
        <f t="shared" si="35"/>
        <v>235981.29529000001</v>
      </c>
      <c r="CU18" s="105">
        <f t="shared" si="35"/>
        <v>236894.88528550003</v>
      </c>
      <c r="CV18" s="105">
        <f t="shared" si="35"/>
        <v>246610.24837930003</v>
      </c>
      <c r="CW18" s="105">
        <f t="shared" si="35"/>
        <v>238798.49763250002</v>
      </c>
      <c r="CX18" s="105">
        <f t="shared" si="35"/>
        <v>225564.03666550003</v>
      </c>
      <c r="CY18" s="105">
        <f t="shared" si="35"/>
        <v>226914.55669090003</v>
      </c>
      <c r="CZ18" s="105">
        <f t="shared" si="35"/>
        <v>226730.9535985</v>
      </c>
      <c r="DA18" s="105">
        <f t="shared" si="35"/>
        <v>227934.75493360002</v>
      </c>
      <c r="DB18" s="105">
        <f t="shared" si="35"/>
        <v>226407.06735400003</v>
      </c>
      <c r="DC18" s="105">
        <f t="shared" si="35"/>
        <v>234641.71898830001</v>
      </c>
      <c r="DD18" s="105">
        <f t="shared" si="35"/>
        <v>227934.75493360002</v>
      </c>
      <c r="DE18" s="105">
        <f t="shared" si="35"/>
        <v>228768.16540240002</v>
      </c>
      <c r="DF18" s="105">
        <f t="shared" si="35"/>
        <v>239079.98211759998</v>
      </c>
      <c r="DG18" s="105">
        <f t="shared" si="35"/>
        <v>256024.77074200002</v>
      </c>
      <c r="DH18" s="105">
        <f t="shared" si="35"/>
        <v>253518.99716260002</v>
      </c>
      <c r="DI18" s="105">
        <f t="shared" si="35"/>
        <v>251278.70194179998</v>
      </c>
      <c r="DJ18" s="105">
        <f t="shared" si="35"/>
        <v>264561.19783209998</v>
      </c>
      <c r="DK18" s="105">
        <f t="shared" si="35"/>
        <v>255408.18331600001</v>
      </c>
      <c r="DL18" s="105">
        <f t="shared" si="35"/>
        <v>250156.32091839999</v>
      </c>
      <c r="DM18" s="105">
        <f t="shared" si="35"/>
        <v>247529.69488000002</v>
      </c>
      <c r="DN18" s="105">
        <f t="shared" si="35"/>
        <v>246083.17118320003</v>
      </c>
      <c r="DO18" s="105">
        <f t="shared" si="35"/>
        <v>255816.23614299999</v>
      </c>
      <c r="DP18" s="105">
        <f t="shared" si="35"/>
        <v>255203.9583769</v>
      </c>
      <c r="DQ18" s="105">
        <f t="shared" si="35"/>
        <v>254238.867532</v>
      </c>
      <c r="DR18" s="105">
        <f t="shared" si="35"/>
        <v>252717.99599800003</v>
      </c>
      <c r="DS18" s="105">
        <f t="shared" si="35"/>
        <v>249798.77631279998</v>
      </c>
      <c r="DT18" s="105">
        <f t="shared" si="35"/>
        <v>32500</v>
      </c>
      <c r="DU18" s="105">
        <f t="shared" si="35"/>
        <v>32500</v>
      </c>
      <c r="DV18" s="105">
        <f t="shared" si="35"/>
        <v>32500</v>
      </c>
      <c r="DW18" s="105">
        <f t="shared" si="35"/>
        <v>32500</v>
      </c>
      <c r="DX18" s="105">
        <f t="shared" si="35"/>
        <v>32500</v>
      </c>
      <c r="DY18" s="105">
        <f t="shared" si="35"/>
        <v>32500</v>
      </c>
      <c r="DZ18" s="105">
        <f t="shared" si="35"/>
        <v>32500</v>
      </c>
      <c r="EA18" s="105">
        <f t="shared" si="35"/>
        <v>32500</v>
      </c>
      <c r="EB18" s="105">
        <f t="shared" si="35"/>
        <v>32500</v>
      </c>
      <c r="EC18" s="105">
        <f t="shared" si="35"/>
        <v>32500</v>
      </c>
      <c r="ED18" s="105">
        <f t="shared" si="35"/>
        <v>32500</v>
      </c>
      <c r="EE18" s="105">
        <f t="shared" si="35"/>
        <v>32500</v>
      </c>
      <c r="EF18" s="105">
        <f t="shared" si="35"/>
        <v>32500</v>
      </c>
      <c r="EG18" s="105">
        <f t="shared" si="35"/>
        <v>32500</v>
      </c>
      <c r="EH18" s="105">
        <f t="shared" si="35"/>
        <v>32500</v>
      </c>
      <c r="EI18" s="105">
        <f t="shared" si="35"/>
        <v>32500</v>
      </c>
      <c r="EJ18" s="105">
        <f t="shared" si="35"/>
        <v>32500</v>
      </c>
      <c r="EK18" s="105">
        <f t="shared" si="35"/>
        <v>32500</v>
      </c>
      <c r="EL18" s="105">
        <f t="shared" si="35"/>
        <v>32500</v>
      </c>
      <c r="EM18" s="105">
        <f t="shared" si="35"/>
        <v>32500</v>
      </c>
    </row>
    <row r="19" spans="1:143" ht="13" thickBot="1"/>
    <row r="20" spans="1:143" ht="13" thickBot="1">
      <c r="H20" s="106" t="s">
        <v>407</v>
      </c>
      <c r="I20" s="109">
        <f>I18/1000</f>
        <v>177.40336006668841</v>
      </c>
      <c r="J20" s="109">
        <f t="shared" ref="J20:AY20" si="36">J18/1000</f>
        <v>163.92277493782231</v>
      </c>
      <c r="K20" s="109">
        <f t="shared" si="36"/>
        <v>156.01906666272106</v>
      </c>
      <c r="L20" s="109">
        <f t="shared" si="36"/>
        <v>158.27575359651703</v>
      </c>
      <c r="M20" s="109">
        <f t="shared" si="36"/>
        <v>161.58005855785183</v>
      </c>
      <c r="N20" s="109">
        <f t="shared" si="36"/>
        <v>165.36943739469513</v>
      </c>
      <c r="O20" s="109">
        <f t="shared" si="36"/>
        <v>172.7059006427441</v>
      </c>
      <c r="P20" s="109">
        <f t="shared" si="36"/>
        <v>187.16522533252524</v>
      </c>
      <c r="Q20" s="109">
        <f t="shared" si="36"/>
        <v>187.63792105299675</v>
      </c>
      <c r="R20" s="109">
        <f t="shared" si="36"/>
        <v>187.05841766926855</v>
      </c>
      <c r="S20" s="109">
        <f t="shared" si="36"/>
        <v>202.57040692660314</v>
      </c>
      <c r="T20" s="109">
        <f t="shared" si="36"/>
        <v>208.2956497468748</v>
      </c>
      <c r="U20" s="109">
        <f t="shared" si="36"/>
        <v>202.34452467618999</v>
      </c>
      <c r="V20" s="109">
        <f t="shared" si="36"/>
        <v>202.94929569304</v>
      </c>
      <c r="W20" s="109">
        <f t="shared" si="36"/>
        <v>206.63352054280003</v>
      </c>
      <c r="X20" s="109">
        <f t="shared" si="36"/>
        <v>212.77878743192502</v>
      </c>
      <c r="Y20" s="109">
        <f t="shared" si="36"/>
        <v>218.533990808575</v>
      </c>
      <c r="Z20" s="109">
        <f t="shared" si="36"/>
        <v>218.04049363868205</v>
      </c>
      <c r="AA20" s="109">
        <f t="shared" si="36"/>
        <v>220.53825116794903</v>
      </c>
      <c r="AB20" s="109">
        <f t="shared" si="36"/>
        <v>219.60474582872803</v>
      </c>
      <c r="AC20" s="109">
        <f t="shared" si="36"/>
        <v>218.06572351271501</v>
      </c>
      <c r="AD20" s="109">
        <f t="shared" si="36"/>
        <v>221.49698638120302</v>
      </c>
      <c r="AE20" s="109">
        <f t="shared" si="36"/>
        <v>220.38687192375102</v>
      </c>
      <c r="AF20" s="109">
        <f t="shared" si="36"/>
        <v>235.44383685940002</v>
      </c>
      <c r="AG20" s="109">
        <f t="shared" si="36"/>
        <v>260.97465709022504</v>
      </c>
      <c r="AH20" s="109">
        <f t="shared" si="36"/>
        <v>264.58906586320001</v>
      </c>
      <c r="AI20" s="109">
        <f t="shared" si="36"/>
        <v>289.34448273756999</v>
      </c>
      <c r="AJ20" s="109">
        <f t="shared" si="36"/>
        <v>315.09602132397248</v>
      </c>
      <c r="AK20" s="109">
        <f t="shared" si="36"/>
        <v>279.34166524468702</v>
      </c>
      <c r="AL20" s="109">
        <f t="shared" si="36"/>
        <v>267.83543576300542</v>
      </c>
      <c r="AM20" s="109">
        <f t="shared" si="36"/>
        <v>243.02223671816193</v>
      </c>
      <c r="AN20" s="109">
        <f t="shared" si="36"/>
        <v>274.17904921213147</v>
      </c>
      <c r="AO20" s="109">
        <f t="shared" si="36"/>
        <v>247.29130705804485</v>
      </c>
      <c r="AP20" s="109">
        <f t="shared" si="36"/>
        <v>240.85471320777987</v>
      </c>
      <c r="AQ20" s="109">
        <f t="shared" si="36"/>
        <v>252.03070350624404</v>
      </c>
      <c r="AR20" s="109">
        <f t="shared" si="36"/>
        <v>222.47480046485023</v>
      </c>
      <c r="AS20" s="109">
        <f t="shared" si="36"/>
        <v>261.95747084720205</v>
      </c>
      <c r="AT20" s="109">
        <f t="shared" si="36"/>
        <v>252.72973324506697</v>
      </c>
      <c r="AU20" s="109">
        <f t="shared" si="36"/>
        <v>237.92094797442402</v>
      </c>
      <c r="AV20" s="109">
        <f t="shared" si="36"/>
        <v>227.54868456628418</v>
      </c>
      <c r="AW20" s="109">
        <f t="shared" si="36"/>
        <v>190.77738385595504</v>
      </c>
      <c r="AX20" s="109">
        <f t="shared" si="36"/>
        <v>199.42280605000002</v>
      </c>
      <c r="AY20" s="109">
        <f t="shared" si="36"/>
        <v>199.91514953800001</v>
      </c>
      <c r="AZ20" s="109">
        <f t="shared" ref="AZ20:BJ20" si="37">AZ18/1000</f>
        <v>203.26192719040003</v>
      </c>
      <c r="BA20" s="109">
        <f t="shared" si="37"/>
        <v>199.60455623680002</v>
      </c>
      <c r="BB20" s="109">
        <f t="shared" si="37"/>
        <v>208.3613963743</v>
      </c>
      <c r="BC20" s="109">
        <f t="shared" si="37"/>
        <v>210.50495172460001</v>
      </c>
      <c r="BD20" s="109">
        <f t="shared" si="37"/>
        <v>198.53006124250001</v>
      </c>
      <c r="BE20" s="109">
        <f t="shared" si="37"/>
        <v>204.24573734500004</v>
      </c>
      <c r="BF20" s="109">
        <f t="shared" si="37"/>
        <v>203.00793022900001</v>
      </c>
      <c r="BG20" s="109">
        <f t="shared" si="37"/>
        <v>209.22593813875002</v>
      </c>
      <c r="BH20" s="109">
        <f t="shared" si="37"/>
        <v>211.66754245390001</v>
      </c>
      <c r="BI20" s="109">
        <f t="shared" si="37"/>
        <v>211.40584435360003</v>
      </c>
      <c r="BJ20" s="109">
        <f t="shared" si="37"/>
        <v>221.20883995600005</v>
      </c>
      <c r="BK20" s="109">
        <f t="shared" ref="BK20:BV20" si="38">BK18/1000</f>
        <v>212.10030344620003</v>
      </c>
      <c r="BL20" s="109">
        <f t="shared" si="38"/>
        <v>207.82664285500002</v>
      </c>
      <c r="BM20" s="109">
        <f t="shared" si="38"/>
        <v>207.31221339400003</v>
      </c>
      <c r="BN20" s="109">
        <f t="shared" si="38"/>
        <v>209.19070398069999</v>
      </c>
      <c r="BO20" s="109">
        <f t="shared" si="38"/>
        <v>213.16730409909999</v>
      </c>
      <c r="BP20" s="109">
        <f t="shared" si="38"/>
        <v>218.29762747000004</v>
      </c>
      <c r="BQ20" s="109">
        <f t="shared" si="38"/>
        <v>218.29762747000004</v>
      </c>
      <c r="BR20" s="109">
        <f t="shared" si="38"/>
        <v>214.30219637125003</v>
      </c>
      <c r="BS20" s="109">
        <f t="shared" si="38"/>
        <v>206.45234938900001</v>
      </c>
      <c r="BT20" s="109">
        <f t="shared" si="38"/>
        <v>206.71369179760001</v>
      </c>
      <c r="BU20" s="109">
        <f t="shared" si="38"/>
        <v>214.75996745320003</v>
      </c>
      <c r="BV20" s="109">
        <f t="shared" si="38"/>
        <v>222.58541646639998</v>
      </c>
      <c r="BW20" s="109">
        <f>BW18/1000</f>
        <v>215.60698519749999</v>
      </c>
      <c r="BX20" s="109">
        <f>BX18/1000</f>
        <v>208.71653385700003</v>
      </c>
      <c r="BY20" s="109">
        <f>BY18/1000</f>
        <v>208.92845993500003</v>
      </c>
      <c r="BZ20" s="109">
        <f t="shared" ref="BZ20:CH20" si="39">BZ18/1000</f>
        <v>207.77002997140002</v>
      </c>
      <c r="CA20" s="109">
        <f t="shared" si="39"/>
        <v>198.6493834</v>
      </c>
      <c r="CB20" s="109">
        <f t="shared" si="39"/>
        <v>198.66940139800002</v>
      </c>
      <c r="CC20" s="109">
        <f t="shared" si="39"/>
        <v>202.42649837800002</v>
      </c>
      <c r="CD20" s="109">
        <f t="shared" si="39"/>
        <v>205.44375662200002</v>
      </c>
      <c r="CE20" s="109">
        <f t="shared" si="39"/>
        <v>214.94577087100001</v>
      </c>
      <c r="CF20" s="109">
        <f t="shared" si="39"/>
        <v>215.07813781480002</v>
      </c>
      <c r="CG20" s="109">
        <f t="shared" si="39"/>
        <v>212.11775715520002</v>
      </c>
      <c r="CH20" s="109">
        <f t="shared" si="39"/>
        <v>207.6386308399</v>
      </c>
      <c r="CI20" s="109">
        <f>CI18/1000</f>
        <v>227.35908859690002</v>
      </c>
      <c r="CJ20" s="109">
        <f>CJ18/1000</f>
        <v>235.80659276200001</v>
      </c>
      <c r="CK20" s="109">
        <f>CK18/1000</f>
        <v>232.23799583920001</v>
      </c>
      <c r="CL20" s="109">
        <f t="shared" ref="CL20:CQ20" si="40">CL18/1000</f>
        <v>238.27049398360003</v>
      </c>
      <c r="CM20" s="109">
        <f t="shared" si="40"/>
        <v>238.951320985</v>
      </c>
      <c r="CN20" s="109">
        <f t="shared" si="40"/>
        <v>243.47563668999999</v>
      </c>
      <c r="CO20" s="109">
        <f t="shared" si="40"/>
        <v>252.6454927945</v>
      </c>
      <c r="CP20" s="109">
        <f t="shared" si="40"/>
        <v>247.06084358800004</v>
      </c>
      <c r="CQ20" s="109">
        <f t="shared" si="40"/>
        <v>245.19929385250001</v>
      </c>
      <c r="CR20" s="109">
        <f>CR18/1000</f>
        <v>239.9155846399</v>
      </c>
      <c r="CS20" s="109">
        <f>CS18/1000</f>
        <v>233.73696338200006</v>
      </c>
      <c r="CT20" s="109">
        <f>CT18/1000</f>
        <v>235.98129529000002</v>
      </c>
      <c r="CU20" s="109">
        <f>CU18/1000</f>
        <v>236.89488528550004</v>
      </c>
      <c r="CV20" s="109">
        <f>CV18/1000</f>
        <v>246.61024837930003</v>
      </c>
      <c r="CW20" s="109">
        <f t="shared" ref="CW20:DB20" si="41">CW18/1000</f>
        <v>238.79849763250002</v>
      </c>
      <c r="CX20" s="109">
        <f t="shared" si="41"/>
        <v>225.56403666550003</v>
      </c>
      <c r="CY20" s="109">
        <f t="shared" si="41"/>
        <v>226.91455669090004</v>
      </c>
      <c r="CZ20" s="109">
        <f t="shared" si="41"/>
        <v>226.73095359850001</v>
      </c>
      <c r="DA20" s="109">
        <f t="shared" si="41"/>
        <v>227.93475493360003</v>
      </c>
      <c r="DB20" s="109">
        <f t="shared" si="41"/>
        <v>226.40706735400002</v>
      </c>
      <c r="DC20" s="109">
        <f t="shared" ref="DC20:EM20" si="42">DC18/1000</f>
        <v>234.6417189883</v>
      </c>
      <c r="DD20" s="109">
        <f t="shared" si="42"/>
        <v>227.93475493360003</v>
      </c>
      <c r="DE20" s="109">
        <f t="shared" si="42"/>
        <v>228.76816540240003</v>
      </c>
      <c r="DF20" s="109">
        <f t="shared" si="42"/>
        <v>239.07998211759997</v>
      </c>
      <c r="DG20" s="109">
        <f t="shared" si="42"/>
        <v>256.02477074200004</v>
      </c>
      <c r="DH20" s="109">
        <f t="shared" si="42"/>
        <v>253.51899716260002</v>
      </c>
      <c r="DI20" s="109">
        <f t="shared" si="42"/>
        <v>251.27870194179999</v>
      </c>
      <c r="DJ20" s="109">
        <f t="shared" si="42"/>
        <v>264.56119783209999</v>
      </c>
      <c r="DK20" s="109">
        <f t="shared" si="42"/>
        <v>255.40818331600002</v>
      </c>
      <c r="DL20" s="109">
        <f t="shared" si="42"/>
        <v>250.15632091839998</v>
      </c>
      <c r="DM20" s="109">
        <f t="shared" si="42"/>
        <v>247.52969488000002</v>
      </c>
      <c r="DN20" s="109">
        <f t="shared" si="42"/>
        <v>246.08317118320002</v>
      </c>
      <c r="DO20" s="109">
        <f t="shared" si="42"/>
        <v>255.816236143</v>
      </c>
      <c r="DP20" s="109">
        <f t="shared" si="42"/>
        <v>255.2039583769</v>
      </c>
      <c r="DQ20" s="109">
        <f t="shared" si="42"/>
        <v>254.238867532</v>
      </c>
      <c r="DR20" s="109">
        <f t="shared" si="42"/>
        <v>252.71799599800002</v>
      </c>
      <c r="DS20" s="109">
        <f t="shared" si="42"/>
        <v>249.79877631279999</v>
      </c>
      <c r="DT20" s="109">
        <f t="shared" si="42"/>
        <v>32.5</v>
      </c>
      <c r="DU20" s="109">
        <f t="shared" si="42"/>
        <v>32.5</v>
      </c>
      <c r="DV20" s="109">
        <f t="shared" si="42"/>
        <v>32.5</v>
      </c>
      <c r="DW20" s="109">
        <f t="shared" si="42"/>
        <v>32.5</v>
      </c>
      <c r="DX20" s="109">
        <f t="shared" si="42"/>
        <v>32.5</v>
      </c>
      <c r="DY20" s="109">
        <f t="shared" si="42"/>
        <v>32.5</v>
      </c>
      <c r="DZ20" s="109">
        <f t="shared" si="42"/>
        <v>32.5</v>
      </c>
      <c r="EA20" s="109">
        <f t="shared" si="42"/>
        <v>32.5</v>
      </c>
      <c r="EB20" s="109">
        <f t="shared" si="42"/>
        <v>32.5</v>
      </c>
      <c r="EC20" s="109">
        <f t="shared" si="42"/>
        <v>32.5</v>
      </c>
      <c r="ED20" s="109">
        <f t="shared" si="42"/>
        <v>32.5</v>
      </c>
      <c r="EE20" s="109">
        <f t="shared" si="42"/>
        <v>32.5</v>
      </c>
      <c r="EF20" s="109">
        <f t="shared" si="42"/>
        <v>32.5</v>
      </c>
      <c r="EG20" s="109">
        <f t="shared" si="42"/>
        <v>32.5</v>
      </c>
      <c r="EH20" s="109">
        <f t="shared" si="42"/>
        <v>32.5</v>
      </c>
      <c r="EI20" s="109">
        <f t="shared" si="42"/>
        <v>32.5</v>
      </c>
      <c r="EJ20" s="109">
        <f t="shared" si="42"/>
        <v>32.5</v>
      </c>
      <c r="EK20" s="109">
        <f t="shared" si="42"/>
        <v>32.5</v>
      </c>
      <c r="EL20" s="109">
        <f t="shared" si="42"/>
        <v>32.5</v>
      </c>
      <c r="EM20" s="109">
        <f t="shared" si="42"/>
        <v>32.5</v>
      </c>
    </row>
  </sheetData>
  <phoneticPr fontId="52" type="noConversion"/>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ET20"/>
  <sheetViews>
    <sheetView workbookViewId="0">
      <pane xSplit="11" ySplit="6" topLeftCell="EM7" activePane="bottomRight" state="frozen"/>
      <selection pane="topRight" activeCell="L1" sqref="L1"/>
      <selection pane="bottomLeft" activeCell="A7" sqref="A7"/>
      <selection pane="bottomRight" activeCell="AD18" sqref="AD18:ET18"/>
    </sheetView>
  </sheetViews>
  <sheetFormatPr baseColWidth="10" defaultColWidth="22.6640625" defaultRowHeight="12"/>
  <cols>
    <col min="1" max="1" width="13.33203125" style="60" bestFit="1" customWidth="1"/>
    <col min="2" max="2" width="15" style="60" bestFit="1" customWidth="1"/>
    <col min="3" max="3" width="4.83203125" style="60" bestFit="1" customWidth="1"/>
    <col min="4" max="4" width="13.33203125" style="60" bestFit="1" customWidth="1"/>
    <col min="5" max="5" width="7.5" style="60" bestFit="1" customWidth="1"/>
    <col min="6" max="6" width="6.5" style="60" bestFit="1" customWidth="1"/>
    <col min="7" max="7" width="4.1640625" style="60" bestFit="1" customWidth="1"/>
    <col min="8" max="8" width="22.83203125" style="60" bestFit="1" customWidth="1"/>
    <col min="9" max="9" width="5.1640625" style="60" hidden="1" customWidth="1"/>
    <col min="10" max="10" width="5.5" style="60" hidden="1" customWidth="1"/>
    <col min="11" max="11" width="5.6640625" style="60" hidden="1" customWidth="1"/>
    <col min="12" max="12" width="5.33203125" style="60" hidden="1" customWidth="1"/>
    <col min="13" max="13" width="5.83203125" style="60" hidden="1" customWidth="1"/>
    <col min="14" max="14" width="5.1640625" style="60" hidden="1" customWidth="1"/>
    <col min="15" max="15" width="4.6640625" style="60" hidden="1" customWidth="1"/>
    <col min="16" max="18" width="5.5" style="60" hidden="1" customWidth="1"/>
    <col min="19" max="19" width="5.6640625" style="60" hidden="1" customWidth="1"/>
    <col min="20" max="20" width="5.5" style="60" bestFit="1" customWidth="1"/>
    <col min="21" max="21" width="5.1640625" style="60" bestFit="1" customWidth="1"/>
    <col min="22" max="22" width="5.5" style="60" bestFit="1" customWidth="1"/>
    <col min="23" max="23" width="5.6640625" style="60" bestFit="1" customWidth="1"/>
    <col min="24" max="24" width="5.33203125" style="60" bestFit="1" customWidth="1"/>
    <col min="25" max="25" width="5.83203125" style="60" bestFit="1" customWidth="1"/>
    <col min="26" max="42" width="6.1640625" style="60" bestFit="1" customWidth="1"/>
    <col min="43" max="43" width="5.6640625" style="60" bestFit="1" customWidth="1"/>
    <col min="44" max="45" width="5.5" style="60" bestFit="1" customWidth="1"/>
    <col min="46" max="46" width="6.1640625" style="60" bestFit="1" customWidth="1"/>
    <col min="47" max="47" width="5.6640625" style="60" bestFit="1" customWidth="1"/>
    <col min="48" max="48" width="6.1640625" style="60" bestFit="1" customWidth="1"/>
    <col min="49" max="49" width="5.83203125" style="60" bestFit="1" customWidth="1"/>
    <col min="50" max="51" width="5.5" style="60" bestFit="1" customWidth="1"/>
    <col min="52" max="54" width="7" style="60" bestFit="1" customWidth="1"/>
    <col min="55" max="56" width="5.5" style="60" bestFit="1" customWidth="1"/>
    <col min="57" max="58" width="5.83203125" style="60" bestFit="1" customWidth="1"/>
    <col min="59" max="70" width="6.1640625" style="60" bestFit="1" customWidth="1"/>
    <col min="71" max="71" width="5.5" style="60" bestFit="1" customWidth="1"/>
    <col min="72" max="72" width="6.1640625" style="60" bestFit="1" customWidth="1"/>
    <col min="73" max="73" width="5.5" style="60" bestFit="1" customWidth="1"/>
    <col min="74" max="77" width="6.1640625" style="60" bestFit="1" customWidth="1"/>
    <col min="78" max="82" width="5.5" style="60" bestFit="1" customWidth="1"/>
    <col min="83" max="83" width="6.1640625" style="60" bestFit="1" customWidth="1"/>
    <col min="84" max="86" width="5.6640625" style="60" bestFit="1" customWidth="1"/>
    <col min="87" max="90" width="5.5" style="60" bestFit="1" customWidth="1"/>
    <col min="91" max="95" width="6.33203125" style="60" bestFit="1" customWidth="1"/>
    <col min="96" max="100" width="6.1640625" style="60" bestFit="1" customWidth="1"/>
    <col min="101" max="103" width="5.1640625" style="60" bestFit="1" customWidth="1"/>
    <col min="104" max="107" width="5.83203125" style="60" bestFit="1" customWidth="1"/>
    <col min="108" max="115" width="5.6640625" style="60" bestFit="1" customWidth="1"/>
    <col min="116" max="117" width="6.1640625" style="60" bestFit="1" customWidth="1"/>
    <col min="118" max="150" width="6.5" style="60" bestFit="1" customWidth="1"/>
    <col min="151" max="16384" width="22.6640625" style="60"/>
  </cols>
  <sheetData>
    <row r="1" spans="1:150" ht="26">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c r="EM1" s="99">
        <v>141</v>
      </c>
      <c r="EN1" s="99">
        <v>142</v>
      </c>
      <c r="EO1" s="99">
        <v>143</v>
      </c>
      <c r="EP1" s="99">
        <v>144</v>
      </c>
      <c r="EQ1" s="99">
        <v>145</v>
      </c>
      <c r="ER1" s="99">
        <v>146</v>
      </c>
      <c r="ES1" s="99">
        <v>147</v>
      </c>
      <c r="ET1" s="99">
        <v>148</v>
      </c>
    </row>
    <row r="2" spans="1:150" ht="13">
      <c r="A2" s="100" t="s">
        <v>245</v>
      </c>
      <c r="B2" s="112"/>
      <c r="C2" s="101">
        <v>1</v>
      </c>
      <c r="D2" s="112">
        <v>44.052999999999997</v>
      </c>
      <c r="E2" s="60">
        <f>D2*C2</f>
        <v>44.052999999999997</v>
      </c>
      <c r="K2" s="102"/>
      <c r="M2" s="102"/>
    </row>
    <row r="3" spans="1:150">
      <c r="A3" s="100"/>
      <c r="B3" s="64"/>
      <c r="D3" s="100"/>
      <c r="E3" s="64"/>
      <c r="F3" s="103"/>
    </row>
    <row r="4" spans="1:150">
      <c r="A4" s="64"/>
      <c r="B4" s="64"/>
      <c r="D4" s="64"/>
      <c r="E4" s="64"/>
      <c r="H4" s="60" t="s">
        <v>387</v>
      </c>
    </row>
    <row r="5" spans="1:150">
      <c r="A5" s="74"/>
      <c r="B5" s="74"/>
    </row>
    <row r="6" spans="1:150">
      <c r="A6" s="59"/>
      <c r="B6" s="59"/>
      <c r="C6" s="59"/>
      <c r="D6" s="98"/>
      <c r="E6" s="98"/>
      <c r="F6" s="59"/>
      <c r="H6" s="59" t="s">
        <v>416</v>
      </c>
      <c r="I6" s="59">
        <v>43831</v>
      </c>
      <c r="J6" s="59">
        <v>43862</v>
      </c>
      <c r="K6" s="59">
        <v>43891</v>
      </c>
      <c r="L6" s="59">
        <v>43922</v>
      </c>
      <c r="M6" s="59">
        <v>43952</v>
      </c>
      <c r="N6" s="59">
        <v>43983</v>
      </c>
      <c r="O6" s="59">
        <v>44013</v>
      </c>
      <c r="P6" s="59">
        <v>44044</v>
      </c>
      <c r="Q6" s="59">
        <v>44075</v>
      </c>
      <c r="R6" s="59">
        <v>44105</v>
      </c>
      <c r="S6" s="59">
        <v>44136</v>
      </c>
      <c r="T6" s="59">
        <v>44166</v>
      </c>
      <c r="U6" s="59">
        <v>44197</v>
      </c>
      <c r="V6" s="59">
        <v>44228</v>
      </c>
      <c r="W6" s="59">
        <v>44256</v>
      </c>
      <c r="X6" s="59">
        <v>44287</v>
      </c>
      <c r="Y6" s="59">
        <v>44317</v>
      </c>
      <c r="Z6" s="59">
        <v>44348</v>
      </c>
      <c r="AA6" s="59">
        <v>44378</v>
      </c>
      <c r="AB6" s="59">
        <v>44409</v>
      </c>
      <c r="AC6" s="59">
        <v>44440</v>
      </c>
      <c r="AD6" s="59">
        <v>44470</v>
      </c>
      <c r="AE6" s="59">
        <v>44501</v>
      </c>
      <c r="AF6" s="59">
        <v>44531</v>
      </c>
      <c r="AG6" s="59">
        <v>44562</v>
      </c>
      <c r="AH6" s="59">
        <v>44593</v>
      </c>
      <c r="AI6" s="59">
        <v>44621</v>
      </c>
      <c r="AJ6" s="59">
        <v>44652</v>
      </c>
      <c r="AK6" s="59">
        <v>44682</v>
      </c>
      <c r="AL6" s="59">
        <v>44713</v>
      </c>
      <c r="AM6" s="59">
        <v>44743</v>
      </c>
      <c r="AN6" s="59">
        <v>44774</v>
      </c>
      <c r="AO6" s="59">
        <v>44805</v>
      </c>
      <c r="AP6" s="59">
        <v>44835</v>
      </c>
      <c r="AQ6" s="59">
        <v>44866</v>
      </c>
      <c r="AR6" s="59">
        <v>44896</v>
      </c>
      <c r="AS6" s="59">
        <v>44927</v>
      </c>
      <c r="AT6" s="59">
        <v>44958</v>
      </c>
      <c r="AU6" s="59">
        <v>44986</v>
      </c>
      <c r="AV6" s="59">
        <v>45017</v>
      </c>
      <c r="AW6" s="59">
        <v>45047</v>
      </c>
      <c r="AX6" s="59">
        <v>45078</v>
      </c>
      <c r="AY6" s="59">
        <v>45108</v>
      </c>
      <c r="AZ6" s="59" t="s">
        <v>530</v>
      </c>
      <c r="BA6" s="59" t="s">
        <v>531</v>
      </c>
      <c r="BB6" s="59" t="s">
        <v>532</v>
      </c>
      <c r="BC6" s="59">
        <v>37104</v>
      </c>
      <c r="BD6" s="59">
        <v>37469</v>
      </c>
      <c r="BE6" s="59" t="s">
        <v>168</v>
      </c>
      <c r="BF6" s="59" t="s">
        <v>169</v>
      </c>
      <c r="BG6" s="59" t="s">
        <v>393</v>
      </c>
      <c r="BH6" s="59" t="s">
        <v>458</v>
      </c>
      <c r="BI6" s="59" t="s">
        <v>459</v>
      </c>
      <c r="BJ6" s="59" t="s">
        <v>460</v>
      </c>
      <c r="BK6" s="59" t="s">
        <v>461</v>
      </c>
      <c r="BL6" s="59" t="s">
        <v>462</v>
      </c>
      <c r="BM6" s="59" t="s">
        <v>463</v>
      </c>
      <c r="BN6" s="59" t="s">
        <v>464</v>
      </c>
      <c r="BO6" s="59">
        <v>37196</v>
      </c>
      <c r="BP6" s="59">
        <v>37561</v>
      </c>
      <c r="BQ6" s="59">
        <v>37926</v>
      </c>
      <c r="BR6" s="59">
        <v>38292</v>
      </c>
      <c r="BS6" s="59">
        <v>37226</v>
      </c>
      <c r="BT6" s="59">
        <v>37591</v>
      </c>
      <c r="BU6" s="59">
        <v>37956</v>
      </c>
      <c r="BV6" s="59">
        <v>38322</v>
      </c>
      <c r="BW6" s="59">
        <v>36892</v>
      </c>
      <c r="BX6" s="59">
        <v>37257</v>
      </c>
      <c r="BY6" s="59">
        <v>37622</v>
      </c>
      <c r="BZ6" s="59">
        <v>37987</v>
      </c>
      <c r="CA6" s="59">
        <v>36923</v>
      </c>
      <c r="CB6" s="59">
        <v>37288</v>
      </c>
      <c r="CC6" s="59">
        <v>37653</v>
      </c>
      <c r="CD6" s="59">
        <v>38018</v>
      </c>
      <c r="CE6" s="59" t="str">
        <f>Sheet8!A15</f>
        <v>Mar-w1</v>
      </c>
      <c r="CF6" s="59">
        <v>37316</v>
      </c>
      <c r="CG6" s="59">
        <v>37681</v>
      </c>
      <c r="CH6" s="59">
        <v>38047</v>
      </c>
      <c r="CI6" s="59" t="str">
        <f>Sheet8!E15</f>
        <v>Apr-w1</v>
      </c>
      <c r="CJ6" s="59" t="str">
        <f>Sheet8!F15</f>
        <v>Apr-w2</v>
      </c>
      <c r="CK6" s="59" t="str">
        <f>Sheet8!G15</f>
        <v>Apr-w3</v>
      </c>
      <c r="CL6" s="59" t="str">
        <f>Sheet8!H15</f>
        <v>Apr-w4</v>
      </c>
      <c r="CM6" s="59" t="str">
        <f>Sheet8!I15</f>
        <v>May-w1</v>
      </c>
      <c r="CN6" s="59" t="str">
        <f>Sheet8!J15</f>
        <v>May-w2</v>
      </c>
      <c r="CO6" s="59" t="str">
        <f>Sheet8!K15</f>
        <v>May-w3</v>
      </c>
      <c r="CP6" s="59" t="str">
        <f>Sheet8!L15</f>
        <v>May-w4</v>
      </c>
      <c r="CQ6" s="59" t="str">
        <f>Sheet8!M15</f>
        <v>May-w5</v>
      </c>
      <c r="CR6" s="59" t="str">
        <f>Sheet8!N15</f>
        <v>june-w1</v>
      </c>
      <c r="CS6" s="59" t="str">
        <f>Sheet8!O15</f>
        <v>june-w2</v>
      </c>
      <c r="CT6" s="59" t="str">
        <f>Sheet8!P15</f>
        <v>june-w3</v>
      </c>
      <c r="CU6" s="59" t="str">
        <f>Sheet8!Q15</f>
        <v>june-w4</v>
      </c>
      <c r="CV6" s="59" t="str">
        <f>Sheet8!R15</f>
        <v>Jul-w1</v>
      </c>
      <c r="CW6" s="59" t="str">
        <f>Sheet8!S15</f>
        <v>Jul-w2</v>
      </c>
      <c r="CX6" s="59" t="str">
        <f>Sheet8!T15</f>
        <v>Jul-w3</v>
      </c>
      <c r="CY6" s="59" t="str">
        <f>Sheet8!U15</f>
        <v>Jul-w4</v>
      </c>
      <c r="CZ6" s="59" t="str">
        <f>Sheet8!V15</f>
        <v>Aug-w1</v>
      </c>
      <c r="DA6" s="59" t="str">
        <f>Sheet8!W15</f>
        <v>Aug-w2</v>
      </c>
      <c r="DB6" s="59" t="str">
        <f>Sheet8!X15</f>
        <v>Aug-w3</v>
      </c>
      <c r="DC6" s="59" t="str">
        <f>Sheet8!Y15</f>
        <v>Aug-w4</v>
      </c>
      <c r="DD6" s="59" t="str">
        <f>Sheet8!Z15</f>
        <v>Sep-w1</v>
      </c>
      <c r="DE6" s="59" t="str">
        <f>Sheet8!AA15</f>
        <v>Sep-w2</v>
      </c>
      <c r="DF6" s="59" t="str">
        <f>Sheet8!AB15</f>
        <v>Sep-w3</v>
      </c>
      <c r="DG6" s="59" t="str">
        <f>Sheet8!AC15</f>
        <v>Sep-w4</v>
      </c>
      <c r="DH6" s="59" t="str">
        <f>Sheet8!AD15</f>
        <v>Oct-w1</v>
      </c>
      <c r="DI6" s="59" t="str">
        <f>Sheet8!AE15</f>
        <v>Oct-w2</v>
      </c>
      <c r="DJ6" s="59" t="str">
        <f>Sheet8!AF15</f>
        <v>Oct-w3</v>
      </c>
      <c r="DK6" s="59" t="str">
        <f>Sheet8!AG15</f>
        <v>Oct-w4</v>
      </c>
      <c r="DL6" s="59" t="str">
        <f>Sheet8!AH15</f>
        <v>Nov-w1</v>
      </c>
      <c r="DM6" s="59" t="str">
        <f>Sheet8!AI15</f>
        <v>Nov-w2</v>
      </c>
      <c r="DN6" s="59" t="str">
        <f>Sheet8!AJ15</f>
        <v>Nov-w3</v>
      </c>
      <c r="DO6" s="59" t="str">
        <f>Sheet8!AK15</f>
        <v>Nov-w4</v>
      </c>
      <c r="DP6" s="59" t="str">
        <f>Sheet8!AL15</f>
        <v>Dec-w1</v>
      </c>
      <c r="DQ6" s="59" t="str">
        <f>Sheet8!AM15</f>
        <v>Dec-w2</v>
      </c>
      <c r="DR6" s="59" t="str">
        <f>Sheet8!AN15</f>
        <v>Dec-w3</v>
      </c>
      <c r="DS6" s="59" t="str">
        <f>Sheet8!AO15</f>
        <v>Dec-w4</v>
      </c>
      <c r="DT6" s="59">
        <f>Sheet8!AP15</f>
        <v>0</v>
      </c>
      <c r="DU6" s="59">
        <f>Sheet8!AQ15</f>
        <v>0</v>
      </c>
      <c r="DV6" s="59">
        <f>Sheet8!AR15</f>
        <v>0</v>
      </c>
      <c r="DW6" s="59">
        <f>Sheet8!AS15</f>
        <v>0</v>
      </c>
      <c r="DX6" s="59">
        <f>Sheet8!AT15</f>
        <v>0</v>
      </c>
      <c r="DY6" s="59">
        <f>Sheet8!AU15</f>
        <v>0</v>
      </c>
      <c r="DZ6" s="59">
        <f>Sheet8!AV15</f>
        <v>0</v>
      </c>
      <c r="EA6" s="59">
        <f>Sheet8!AW15</f>
        <v>0</v>
      </c>
      <c r="EB6" s="59">
        <f>Sheet8!AX15</f>
        <v>0</v>
      </c>
      <c r="EC6" s="59">
        <f>Sheet8!AY15</f>
        <v>0</v>
      </c>
      <c r="ED6" s="59">
        <f>Sheet8!AZ15</f>
        <v>0</v>
      </c>
      <c r="EE6" s="59">
        <f>Sheet8!BA15</f>
        <v>0</v>
      </c>
      <c r="EF6" s="59">
        <f>Sheet8!BB15</f>
        <v>0</v>
      </c>
      <c r="EG6" s="59">
        <f>Sheet8!BC15</f>
        <v>0</v>
      </c>
      <c r="EH6" s="59">
        <f>Sheet8!BD15</f>
        <v>0</v>
      </c>
      <c r="EI6" s="59">
        <f>Sheet8!BE15</f>
        <v>0</v>
      </c>
      <c r="EJ6" s="59">
        <f>Sheet8!BF15</f>
        <v>0</v>
      </c>
      <c r="EK6" s="59">
        <f>Sheet8!BG15</f>
        <v>0</v>
      </c>
      <c r="EL6" s="59">
        <f>Sheet8!BH15</f>
        <v>0</v>
      </c>
      <c r="EM6" s="59">
        <f>Sheet8!BI15</f>
        <v>0</v>
      </c>
      <c r="EN6" s="59">
        <f>Sheet8!BJ15</f>
        <v>0</v>
      </c>
      <c r="EO6" s="59">
        <f>Sheet8!BK15</f>
        <v>0</v>
      </c>
      <c r="EP6" s="59">
        <f>Sheet8!BL15</f>
        <v>0</v>
      </c>
      <c r="EQ6" s="59">
        <f>Sheet8!BM15</f>
        <v>0</v>
      </c>
      <c r="ER6" s="59">
        <f>Sheet8!BN15</f>
        <v>0</v>
      </c>
      <c r="ES6" s="59">
        <f>Sheet8!BO15</f>
        <v>0</v>
      </c>
      <c r="ET6" s="59">
        <f>Sheet8!BP15</f>
        <v>0</v>
      </c>
    </row>
    <row r="7" spans="1:150">
      <c r="B7" s="44"/>
      <c r="D7" s="44" t="s">
        <v>56</v>
      </c>
      <c r="F7" s="60" t="s">
        <v>651</v>
      </c>
      <c r="H7" s="44" t="s">
        <v>98</v>
      </c>
      <c r="I7" s="74">
        <f>VLOOKUP($H$7&amp;$F$1,'Input RM sheet'!$A:$BD,H1,0)</f>
        <v>0</v>
      </c>
      <c r="J7" s="74">
        <f>VLOOKUP($H$7&amp;$F$1,'Input RM sheet'!$A:$BD,I1,0)</f>
        <v>0</v>
      </c>
      <c r="K7" s="74">
        <f>VLOOKUP($H$7&amp;$F$1,'Input RM sheet'!$A:$BD,J1,0)</f>
        <v>0</v>
      </c>
      <c r="L7" s="74">
        <f>VLOOKUP($H$7&amp;$F$1,'Input RM sheet'!$A:$BD,K1,0)</f>
        <v>0</v>
      </c>
      <c r="M7" s="74">
        <f>VLOOKUP($H$7&amp;$F$1,'Input RM sheet'!$A:$BD,L1,0)</f>
        <v>1.0920000025601984</v>
      </c>
      <c r="N7" s="74">
        <f>VLOOKUP($H$7&amp;$F$1,'Input RM sheet'!$A:$BD,M1,0)</f>
        <v>1.0905842954971925</v>
      </c>
      <c r="O7" s="74">
        <f>VLOOKUP($H$7&amp;$F$1,'Input RM sheet'!$A:$BD,N1,0)</f>
        <v>0</v>
      </c>
      <c r="P7" s="74">
        <f>VLOOKUP($H$7&amp;$F$1,'Input RM sheet'!$A:$BD,O1,0)</f>
        <v>0</v>
      </c>
      <c r="Q7" s="74">
        <f>VLOOKUP($H$7&amp;$F$1,'Input RM sheet'!$A:$BD,P1,0)</f>
        <v>0</v>
      </c>
      <c r="R7" s="74">
        <f>VLOOKUP($H$7&amp;$F$1,'Input RM sheet'!$A:$BD,Q1,0)</f>
        <v>0</v>
      </c>
      <c r="S7" s="74">
        <f>VLOOKUP($H$7&amp;$F$1,'Input RM sheet'!$A:$BD,R1,0)</f>
        <v>0</v>
      </c>
      <c r="T7" s="74">
        <f>VLOOKUP($H$7&amp;$F$1,'Input RM sheet'!$A:$BD,S1,0)</f>
        <v>1.0905842954971925</v>
      </c>
      <c r="U7" s="74">
        <f>VLOOKUP($H$7&amp;$F$1,'Input RM sheet'!$A:$BD,T1,0)</f>
        <v>1.0905842954971925</v>
      </c>
      <c r="V7" s="74">
        <f>VLOOKUP($H$7&amp;$F$1,'Input RM sheet'!$A:$BD,U1,0)</f>
        <v>1.1381409405829821</v>
      </c>
      <c r="W7" s="74">
        <f>VLOOKUP($H$7&amp;$F$1,'Input RM sheet'!$A:$BD,V1,0)</f>
        <v>14.694181326116373</v>
      </c>
      <c r="X7" s="74">
        <f>VLOOKUP($H$7&amp;$F$1,'Input RM sheet'!$A:$BD,W1,0)</f>
        <v>1.836960791412461</v>
      </c>
      <c r="Y7" s="74">
        <f>VLOOKUP($H$7&amp;$F$1,'Input RM sheet'!$A:$BD,X1,0)</f>
        <v>2.0940000032547395</v>
      </c>
      <c r="Z7" s="74">
        <f>VLOOKUP($H$7&amp;$F$1,'Input RM sheet'!$A:$BD,Y1,0)</f>
        <v>1.9290002492063254</v>
      </c>
      <c r="AA7" s="74">
        <f>VLOOKUP($H$7&amp;$F$1,'Input RM sheet'!$A:$BD,Z1,0)</f>
        <v>1.9998310058375999</v>
      </c>
      <c r="AB7" s="74">
        <f>VLOOKUP($H$7&amp;$F$1,'Input RM sheet'!$A:$BD,AA1,0)</f>
        <v>1.9998310058375999</v>
      </c>
      <c r="AC7" s="74">
        <f>VLOOKUP($H$7&amp;$F$1,'Input RM sheet'!$A:$BD,AB1,0)</f>
        <v>1.9998310058375999</v>
      </c>
      <c r="AD7" s="74">
        <f>VLOOKUP($H$7&amp;$F$1,'Input RM sheet'!$A:$BD,AC1,0)</f>
        <v>1.4830000038286875</v>
      </c>
      <c r="AE7" s="74">
        <f>VLOOKUP($H$7&amp;$F$1,'Input RM sheet'!$A:$BD,AD1,0)</f>
        <v>1.8180000005110908</v>
      </c>
      <c r="AF7" s="74">
        <f>VLOOKUP($H$7&amp;$F$1,'Input RM sheet'!$A:$BD,AE1,0)</f>
        <v>1.7682882426876838</v>
      </c>
      <c r="AG7" s="74">
        <f>VLOOKUP($H$7&amp;$F$1,'Input RM sheet'!$A:$BD,AF1,0)</f>
        <v>1.7990906822034507</v>
      </c>
      <c r="AH7" s="74">
        <f>VLOOKUP($H$7&amp;$F$1,'Input RM sheet'!$A:$BD,AG1,0)</f>
        <v>1.7016247596976968</v>
      </c>
      <c r="AI7" s="74">
        <f>VLOOKUP($H$7&amp;$F$1,'Input RM sheet'!$A:$BD,AH1,0)</f>
        <v>1.8179272530753936</v>
      </c>
      <c r="AJ7" s="74">
        <f>VLOOKUP($H$7&amp;$F$1,'Input RM sheet'!$A:$BD,AI1,0)</f>
        <v>1.8286988186271556</v>
      </c>
      <c r="AK7" s="74">
        <f>VLOOKUP($H$7&amp;$F$1,'Input RM sheet'!$A:$BD,AJ1,0)</f>
        <v>1.6631252965480365</v>
      </c>
      <c r="AL7" s="74">
        <f>VLOOKUP($H$7&amp;$F$1,'Input RM sheet'!$A:$BD,AK1,0)</f>
        <v>1.8787364330844873</v>
      </c>
      <c r="AM7" s="74">
        <f>VLOOKUP($H$7&amp;$F$1,'Input RM sheet'!$A:$BD,AL1,0)</f>
        <v>2.2113383828400139</v>
      </c>
      <c r="AN7" s="74">
        <f>VLOOKUP($H$7&amp;$F$1,'Input RM sheet'!$A:$BD,AM1,0)</f>
        <v>0</v>
      </c>
      <c r="AO7" s="74">
        <f>VLOOKUP($H$7&amp;$F$1,'Input RM sheet'!$A:$BD,AN1,0)</f>
        <v>2.2098986587183309</v>
      </c>
      <c r="AP7" s="74">
        <f>VLOOKUP($H$7&amp;$F$1,'Input RM sheet'!$A:$BD,AO1,0)</f>
        <v>1.9939996661404074</v>
      </c>
      <c r="AQ7" s="74">
        <f>VLOOKUP($H$7&amp;$F$1,'Input RM sheet'!$A:$BD,AP1,0)</f>
        <v>1.9655205456110783</v>
      </c>
      <c r="AR7" s="74">
        <f>VLOOKUP($H$7&amp;$F$1,'Input RM sheet'!$A:$BD,AQ1,0)</f>
        <v>1.9002081868604017</v>
      </c>
      <c r="AS7" s="74">
        <f>VLOOKUP($H$7&amp;$F$1,'Input RM sheet'!$A:$BD,AR1,0)</f>
        <v>1.9900114165868426</v>
      </c>
      <c r="AT7" s="74">
        <f>VLOOKUP($H$7&amp;$F$1,'Input RM sheet'!$A:$BD,AS1,0)</f>
        <v>1.9900115388724593</v>
      </c>
      <c r="AU7" s="74">
        <f>VLOOKUP($H$7&amp;$F$1,'Input RM sheet'!$A:$BD,AT1,0)</f>
        <v>1.9900115201473325</v>
      </c>
      <c r="AV7" s="74">
        <f>VLOOKUP($H$7&amp;$F$1,'Input RM sheet'!$A:$BD,AU1,0)</f>
        <v>1.9900111530872486</v>
      </c>
      <c r="AW7" s="74">
        <f>VLOOKUP($H$7&amp;$F$1,'Input RM sheet'!$A:$BD,AV1,0)</f>
        <v>2.1875999999999998</v>
      </c>
      <c r="AX7" s="74">
        <f>VLOOKUP($H$7&amp;$F$1,'Input RM sheet'!$A:$BD,AW1,0)</f>
        <v>1.99</v>
      </c>
      <c r="AY7" s="74">
        <f>VLOOKUP($H$7&amp;$F$1,'Input RM sheet'!$A:$BD,AX1,0)</f>
        <v>1.99</v>
      </c>
      <c r="AZ7" s="74">
        <f>VLOOKUP($H$7&amp;$F$1,'Input RM sheet'!$A:$BD,AY1,0)</f>
        <v>1.99</v>
      </c>
      <c r="BA7" s="74">
        <f>VLOOKUP($H$7&amp;$F$1,'Input RM sheet'!$A:$BD,AZ1,0)</f>
        <v>1.99</v>
      </c>
      <c r="BB7" s="74">
        <f>VLOOKUP($H$7&amp;$F$1,'Input RM sheet'!$A:$BD,BA1,0)</f>
        <v>1.99</v>
      </c>
      <c r="BC7" s="74">
        <f>VLOOKUP($H$7&amp;$F$1,'Input RM sheet'!$A:$BD,BB1,0)</f>
        <v>1.99</v>
      </c>
      <c r="BD7" s="74">
        <f>VLOOKUP($H$7&amp;$F$1,'Input RM sheet'!$A:$BD,BC1,0)</f>
        <v>1.99</v>
      </c>
      <c r="BE7" s="74">
        <f>VLOOKUP($H$7&amp;$F$1,'Input RM sheet'!$A:$BD,BD1,0)</f>
        <v>1.99</v>
      </c>
      <c r="BF7" s="74">
        <f>VLOOKUP($H$7&amp;$F$1,'Input RM sheet'!$A:$BD,BE1,0)</f>
        <v>1.99</v>
      </c>
      <c r="BG7" s="74">
        <f>VLOOKUP($H$7&amp;$F$1,'Input RM sheet'!$A:$DD,BF1,0)</f>
        <v>1.99</v>
      </c>
      <c r="BH7" s="74">
        <f>VLOOKUP($H$7&amp;$F$1,'Input RM sheet'!$A:$DD,BG1,0)</f>
        <v>1.99</v>
      </c>
      <c r="BI7" s="74">
        <f>VLOOKUP($H$7&amp;$F$1,'Input RM sheet'!$A:$DD,BH1,0)</f>
        <v>1.99</v>
      </c>
      <c r="BJ7" s="74">
        <f>VLOOKUP($H$7&amp;$F$1,'Input RM sheet'!$A:$DD,BI1,0)</f>
        <v>1.99</v>
      </c>
      <c r="BK7" s="74">
        <f>VLOOKUP($H$7&amp;$F$1,'Input RM sheet'!$A:$DD,BJ1,0)</f>
        <v>1.99</v>
      </c>
      <c r="BL7" s="74">
        <f>VLOOKUP($H$7&amp;$F$1,'Input RM sheet'!$A:$DD,BK1,0)</f>
        <v>1.99</v>
      </c>
      <c r="BM7" s="74">
        <f>VLOOKUP($H$7&amp;$F$1,'Input RM sheet'!$A:$DD,BL1,0)</f>
        <v>1.99</v>
      </c>
      <c r="BN7" s="74">
        <f>VLOOKUP($H$7&amp;$F$1,'Input RM sheet'!$A:$DD,BM1,0)</f>
        <v>1.99</v>
      </c>
      <c r="BO7" s="74">
        <f>VLOOKUP($H$7&amp;$F$1,'Input RM sheet'!$A:$DD,BN1,0)</f>
        <v>1.99</v>
      </c>
      <c r="BP7" s="74">
        <f>VLOOKUP($H$7&amp;$F$1,'Input RM sheet'!$A:$DD,BO1,0)</f>
        <v>1.99</v>
      </c>
      <c r="BQ7" s="74">
        <f>VLOOKUP($H$7&amp;$F$1,'Input RM sheet'!$A:$DD,BP1,0)</f>
        <v>1.99</v>
      </c>
      <c r="BR7" s="74">
        <f>VLOOKUP($H$7&amp;$F$1,'Input RM sheet'!$A:$DD,BQ1,0)</f>
        <v>1.99</v>
      </c>
      <c r="BS7" s="74">
        <f>VLOOKUP($H$7&amp;$F$1,'Input RM sheet'!$A:$DD,BR1,0)</f>
        <v>1.99</v>
      </c>
      <c r="BT7" s="74">
        <f>VLOOKUP($H$7&amp;$F$1,'Input RM sheet'!$A:$DD,BS1,0)</f>
        <v>1.99</v>
      </c>
      <c r="BU7" s="74">
        <f>VLOOKUP($H$7&amp;$F$1,'Input RM sheet'!$A:$DD,BT1,0)</f>
        <v>1.99</v>
      </c>
      <c r="BV7" s="74">
        <f>VLOOKUP($H$7&amp;$F$1,'Input RM sheet'!$A:$DD,BU1,0)</f>
        <v>1.99</v>
      </c>
      <c r="BW7" s="74">
        <f>VLOOKUP($H$7&amp;$F$1,'Input RM sheet'!$A:$DD,BV1,0)</f>
        <v>1.99</v>
      </c>
      <c r="BX7" s="74">
        <f>VLOOKUP($H$7&amp;$F$1,'Input RM sheet'!$A:$DD,BW1,0)</f>
        <v>1.99</v>
      </c>
      <c r="BY7" s="74">
        <f>VLOOKUP($H$7&amp;$F$1,'Input RM sheet'!$A:$DD,BX1,0)</f>
        <v>1.99</v>
      </c>
      <c r="BZ7" s="74">
        <f>VLOOKUP($H$7&amp;$F$1,'Input RM sheet'!$A:$DD,BY1,0)</f>
        <v>1.99</v>
      </c>
      <c r="CA7" s="74">
        <f>VLOOKUP($H$7&amp;$F$1,'Input RM sheet'!$A:$DD,BZ1,0)</f>
        <v>1.99</v>
      </c>
      <c r="CB7" s="74">
        <f>VLOOKUP($H$7&amp;$F$1,'Input RM sheet'!$A:$DD,CA1,0)</f>
        <v>1.99</v>
      </c>
      <c r="CC7" s="74">
        <f>VLOOKUP($H$7&amp;$F$1,'Input RM sheet'!$A:$DD,CB1,0)</f>
        <v>1.99</v>
      </c>
      <c r="CD7" s="74">
        <f>VLOOKUP($H$7&amp;$F$1,'Input RM sheet'!$A:$DD,CC1,0)</f>
        <v>1.99</v>
      </c>
      <c r="CE7" s="74">
        <f>VLOOKUP($H$7&amp;$F$1,'Input RM sheet'!$A:$DD,CD1,0)</f>
        <v>2.5499999999999998</v>
      </c>
      <c r="CF7" s="74">
        <f>VLOOKUP($H$7&amp;$F$1,'Input RM sheet'!$A:$DD,CE1,0)</f>
        <v>2.5499999999999998</v>
      </c>
      <c r="CG7" s="74">
        <f>VLOOKUP($H$7&amp;$F$1,'Input RM sheet'!$A:$DD,CF1,0)</f>
        <v>2.5499999999999998</v>
      </c>
      <c r="CH7" s="74">
        <f>VLOOKUP($H$7&amp;$F$1,'Input RM sheet'!$A:$DD,CG1,0)</f>
        <v>2.5499999999999998</v>
      </c>
      <c r="CI7" s="74">
        <f>VLOOKUP($H$7&amp;$F$1,'Input RM sheet'!$A:$DD,CH1,0)</f>
        <v>2.5499999999999998</v>
      </c>
      <c r="CJ7" s="74">
        <f>VLOOKUP($H$7&amp;$F$1,'Input RM sheet'!$A:$DD,CI1,0)</f>
        <v>2.5499999999999998</v>
      </c>
      <c r="CK7" s="74">
        <f>VLOOKUP($H$7&amp;$F$1,'Input RM sheet'!$A:$DD,CJ1,0)</f>
        <v>2.5499999999999998</v>
      </c>
      <c r="CL7" s="74">
        <f>VLOOKUP($H$7&amp;$F$1,'Input RM sheet'!$A:$DD,CK1,0)</f>
        <v>2.5499999999999998</v>
      </c>
      <c r="CM7" s="74">
        <f>VLOOKUP($H$7&amp;$F$1,'Input RM sheet'!$A:$DD,CL1,0)</f>
        <v>2.5499999999999998</v>
      </c>
      <c r="CN7" s="74">
        <f>VLOOKUP($H$7&amp;$F$1,'Input RM sheet'!$A:$DD,CM1,0)</f>
        <v>2.5499999999999998</v>
      </c>
      <c r="CO7" s="74">
        <f>VLOOKUP($H$7&amp;$F$1,'Input RM sheet'!$A:$DD,CN1,0)</f>
        <v>2.5499999999999998</v>
      </c>
      <c r="CP7" s="74">
        <f>VLOOKUP($H$7&amp;$F$1,'Input RM sheet'!$A:$DD,CO1,0)</f>
        <v>2.5499999999999998</v>
      </c>
      <c r="CQ7" s="74">
        <f>VLOOKUP($H$7&amp;$F$1,'Input RM sheet'!$A:$DD,CP1,0)</f>
        <v>2.5499999999999998</v>
      </c>
      <c r="CR7" s="74">
        <f>VLOOKUP($H$7&amp;$F$1,'Input RM sheet'!$A:$DD,CQ1,0)</f>
        <v>2.5499999999999998</v>
      </c>
      <c r="CS7" s="74">
        <f>VLOOKUP($H$7&amp;$F$1,'Input RM sheet'!$A:$DD,CR1,0)</f>
        <v>2.5499999999999998</v>
      </c>
      <c r="CT7" s="74">
        <f>VLOOKUP($H$7&amp;$F$1,'Input RM sheet'!$A:$DD,CS1,0)</f>
        <v>2.5499999999999998</v>
      </c>
      <c r="CU7" s="74">
        <f>VLOOKUP($H$7&amp;$F$1,'Input RM sheet'!$A:$DD,CT1,0)</f>
        <v>2.5499999999999998</v>
      </c>
      <c r="CV7" s="74">
        <f>VLOOKUP($H$7&amp;$F$1,'Input RM sheet'!$A:$ZZ,CU1,0)</f>
        <v>2.5499999999999998</v>
      </c>
      <c r="CW7" s="74">
        <f>VLOOKUP($H$7&amp;$F$1,'Input RM sheet'!$A:$ZZ,CV1,0)</f>
        <v>2.56</v>
      </c>
      <c r="CX7" s="74">
        <f>VLOOKUP($H$7&amp;$F$1,'Input RM sheet'!$A:$ZZ,CW1,0)</f>
        <v>2.56</v>
      </c>
      <c r="CY7" s="74">
        <f>VLOOKUP($H$7&amp;$F$1,'Input RM sheet'!$A:$ZZ,CX1,0)</f>
        <v>2.56</v>
      </c>
      <c r="CZ7" s="74">
        <f>VLOOKUP($H$7&amp;$F$1,'Input RM sheet'!$A:$ZZ,CY1,0)</f>
        <v>1.1299999999999999</v>
      </c>
      <c r="DA7" s="74">
        <f>VLOOKUP($H$7&amp;$F$1,'Input RM sheet'!$A:$ZZ,CZ1,0)</f>
        <v>1.1299999999999999</v>
      </c>
      <c r="DB7" s="74">
        <f>VLOOKUP($H$7&amp;$F$1,'Input RM sheet'!$A:$ZZ,DA1,0)</f>
        <v>1.1299999999999999</v>
      </c>
      <c r="DC7" s="74">
        <f>VLOOKUP($H$7&amp;$F$1,'Input RM sheet'!$A:$ZZ,DB1,0)</f>
        <v>1.23</v>
      </c>
      <c r="DD7" s="74">
        <f>VLOOKUP($H$7&amp;$F$1,'Input RM sheet'!$A:$ZZ,DC1,0)</f>
        <v>1.58</v>
      </c>
      <c r="DE7" s="74">
        <f>VLOOKUP($H$7&amp;$F$1,'Input RM sheet'!$A:$ZZ,DD1,0)</f>
        <v>1.58</v>
      </c>
      <c r="DF7" s="74">
        <f>VLOOKUP($H$7&amp;$F$1,'Input RM sheet'!$A:$ZZ,DE1,0)</f>
        <v>1.58</v>
      </c>
      <c r="DG7" s="74">
        <f>VLOOKUP($H$7&amp;$F$1,'Input RM sheet'!$A:$ZZ,DF1,0)</f>
        <v>1.58</v>
      </c>
      <c r="DH7" s="74">
        <f>VLOOKUP($H$7&amp;$F$1,'Input RM sheet'!$A:$ZZ,DG1,0)</f>
        <v>1.54</v>
      </c>
      <c r="DI7" s="74">
        <f>VLOOKUP($H$7&amp;$F$1,'Input RM sheet'!$A:$ZZ,DH1,0)</f>
        <v>1.54</v>
      </c>
      <c r="DJ7" s="74">
        <f>VLOOKUP($H$7&amp;$F$1,'Input RM sheet'!$A:$ZZ,DI1,0)</f>
        <v>1.54</v>
      </c>
      <c r="DK7" s="74">
        <f>VLOOKUP($H$7&amp;$F$1,'Input RM sheet'!$A:$ZZ,DJ1,0)</f>
        <v>1.54</v>
      </c>
      <c r="DL7" s="74">
        <f>VLOOKUP($H$7&amp;$F$1,'Input RM sheet'!$A:$ZZ,DK1,0)</f>
        <v>1.54</v>
      </c>
      <c r="DM7" s="74">
        <f>VLOOKUP($H$7&amp;$F$1,'Input RM sheet'!$A:$ZZ,DL1,0)</f>
        <v>1.54</v>
      </c>
      <c r="DN7" s="74">
        <f>VLOOKUP($H$7&amp;$F$1,'Input RM sheet'!$A:$ZZ,DM1,0)</f>
        <v>1.54</v>
      </c>
      <c r="DO7" s="74">
        <f>VLOOKUP($H$7&amp;$F$1,'Input RM sheet'!$A:$ZZ,DN1,0)</f>
        <v>1.54</v>
      </c>
      <c r="DP7" s="74">
        <f>VLOOKUP($H$7&amp;$F$1,'Input RM sheet'!$A:$ZZ,DO1,0)</f>
        <v>1.54</v>
      </c>
      <c r="DQ7" s="74">
        <f>VLOOKUP($H$7&amp;$F$1,'Input RM sheet'!$A:$ZZ,DP1,0)</f>
        <v>1.7</v>
      </c>
      <c r="DR7" s="74">
        <f>VLOOKUP($H$7&amp;$F$1,'Input RM sheet'!$A:$ZZ,DQ1,0)</f>
        <v>1.7</v>
      </c>
      <c r="DS7" s="74">
        <f>VLOOKUP($H$7&amp;$F$1,'Input RM sheet'!$A:$ZZ,DR1,0)</f>
        <v>1.7</v>
      </c>
      <c r="DT7" s="74">
        <f>VLOOKUP($H$7&amp;$F$1,'Input RM sheet'!$A:$ZZ,DS1,0)</f>
        <v>0</v>
      </c>
      <c r="DU7" s="74">
        <f>VLOOKUP($H$7&amp;$F$1,'Input RM sheet'!$A:$ZZ,DT1,0)</f>
        <v>0</v>
      </c>
      <c r="DV7" s="74">
        <f>VLOOKUP($H$7&amp;$F$1,'Input RM sheet'!$A:$ZZ,DU1,0)</f>
        <v>0</v>
      </c>
      <c r="DW7" s="74">
        <f>VLOOKUP($H$7&amp;$F$1,'Input RM sheet'!$A:$ZZ,DV1,0)</f>
        <v>0</v>
      </c>
      <c r="DX7" s="74">
        <f>VLOOKUP($H$7&amp;$F$1,'Input RM sheet'!$A:$ZZ,DW1,0)</f>
        <v>0</v>
      </c>
      <c r="DY7" s="74">
        <f>VLOOKUP($H$7&amp;$F$1,'Input RM sheet'!$A:$ZZ,DX1,0)</f>
        <v>0</v>
      </c>
      <c r="DZ7" s="74">
        <f>VLOOKUP($H$7&amp;$F$1,'Input RM sheet'!$A:$ZZ,DY1,0)</f>
        <v>0</v>
      </c>
      <c r="EA7" s="74">
        <f>VLOOKUP($H$7&amp;$F$1,'Input RM sheet'!$A:$ZZ,DZ1,0)</f>
        <v>0</v>
      </c>
      <c r="EB7" s="74">
        <f>VLOOKUP($H$7&amp;$F$1,'Input RM sheet'!$A:$ZZ,EA1,0)</f>
        <v>0</v>
      </c>
      <c r="EC7" s="74">
        <f>VLOOKUP($H$7&amp;$F$1,'Input RM sheet'!$A:$ZZ,EB1,0)</f>
        <v>0</v>
      </c>
      <c r="ED7" s="74">
        <f>VLOOKUP($H$7&amp;$F$1,'Input RM sheet'!$A:$ZZ,EC1,0)</f>
        <v>0</v>
      </c>
      <c r="EE7" s="74">
        <f>VLOOKUP($H$7&amp;$F$1,'Input RM sheet'!$A:$ZZ,ED1,0)</f>
        <v>0</v>
      </c>
      <c r="EF7" s="74">
        <f>VLOOKUP($H$7&amp;$F$1,'Input RM sheet'!$A:$ZZ,EE1,0)</f>
        <v>0</v>
      </c>
      <c r="EG7" s="74">
        <f>VLOOKUP($H$7&amp;$F$1,'Input RM sheet'!$A:$ZZ,EF1,0)</f>
        <v>0</v>
      </c>
      <c r="EH7" s="74">
        <f>VLOOKUP($H$7&amp;$F$1,'Input RM sheet'!$A:$ZZ,EG1,0)</f>
        <v>0</v>
      </c>
      <c r="EI7" s="74">
        <f>VLOOKUP($H$7&amp;$F$1,'Input RM sheet'!$A:$ZZ,EH1,0)</f>
        <v>0</v>
      </c>
      <c r="EJ7" s="74">
        <f>VLOOKUP($H$7&amp;$F$1,'Input RM sheet'!$A:$ZZ,EI1,0)</f>
        <v>0</v>
      </c>
      <c r="EK7" s="74">
        <f>VLOOKUP($H$7&amp;$F$1,'Input RM sheet'!$A:$ZZ,EJ1,0)</f>
        <v>0</v>
      </c>
      <c r="EL7" s="74">
        <f>VLOOKUP($H$7&amp;$F$1,'Input RM sheet'!$A:$ZZ,EK1,0)</f>
        <v>0</v>
      </c>
      <c r="EM7" s="74">
        <f>VLOOKUP($H$7&amp;$F$1,'Input RM sheet'!$A:$ZZ,EL1,0)</f>
        <v>0</v>
      </c>
      <c r="EN7" s="74">
        <f>VLOOKUP($H$7&amp;$F$1,'Input RM sheet'!$A:$ZZ,EM1,0)</f>
        <v>0</v>
      </c>
      <c r="EO7" s="74">
        <f>VLOOKUP($H$7&amp;$F$1,'Input RM sheet'!$A:$ZZ,EN1,0)</f>
        <v>0</v>
      </c>
      <c r="EP7" s="74">
        <f>VLOOKUP($H$7&amp;$F$1,'Input RM sheet'!$A:$ZZ,EO1,0)</f>
        <v>0</v>
      </c>
      <c r="EQ7" s="74">
        <f>VLOOKUP($H$7&amp;$F$1,'Input RM sheet'!$A:$ZZ,EP1,0)</f>
        <v>0</v>
      </c>
      <c r="ER7" s="74">
        <f>VLOOKUP($H$7&amp;$F$1,'Input RM sheet'!$A:$ZZ,EQ1,0)</f>
        <v>0</v>
      </c>
      <c r="ES7" s="74">
        <f>VLOOKUP($H$7&amp;$F$1,'Input RM sheet'!$A:$ZZ,ER1,0)</f>
        <v>0</v>
      </c>
      <c r="ET7" s="74">
        <f>VLOOKUP($H$7&amp;$F$1,'Input RM sheet'!$A:$ZZ,ES1,0)</f>
        <v>0</v>
      </c>
    </row>
    <row r="8" spans="1:150">
      <c r="B8" s="44"/>
      <c r="D8" s="44" t="s">
        <v>56</v>
      </c>
      <c r="F8" s="60" t="s">
        <v>651</v>
      </c>
      <c r="H8" s="44" t="s">
        <v>100</v>
      </c>
      <c r="I8" s="74">
        <f>VLOOKUP($H$8&amp;$F$1,'Input RM sheet'!$A:$BD,H1,0)</f>
        <v>0</v>
      </c>
      <c r="J8" s="74">
        <f>VLOOKUP($H$8&amp;$F$1,'Input RM sheet'!$A:$BD,I1,0)</f>
        <v>0</v>
      </c>
      <c r="K8" s="74">
        <f>VLOOKUP($H$8&amp;$F$1,'Input RM sheet'!$A:$BD,J1,0)</f>
        <v>0</v>
      </c>
      <c r="L8" s="74">
        <f>VLOOKUP($H$8&amp;$F$1,'Input RM sheet'!$A:$BD,K1,0)</f>
        <v>0</v>
      </c>
      <c r="M8" s="74">
        <f>VLOOKUP($H$8&amp;$F$1,'Input RM sheet'!$A:$BD,L1,0)</f>
        <v>0</v>
      </c>
      <c r="N8" s="74">
        <f>VLOOKUP($H$8&amp;$F$1,'Input RM sheet'!$A:$BD,M1,0)</f>
        <v>0</v>
      </c>
      <c r="O8" s="74">
        <f>VLOOKUP($H$8&amp;$F$1,'Input RM sheet'!$A:$BD,N1,0)</f>
        <v>0</v>
      </c>
      <c r="P8" s="74">
        <f>VLOOKUP($H$8&amp;$F$1,'Input RM sheet'!$A:$BD,O1,0)</f>
        <v>0</v>
      </c>
      <c r="Q8" s="74">
        <f>VLOOKUP($H$8&amp;$F$1,'Input RM sheet'!$A:$BD,P1,0)</f>
        <v>0</v>
      </c>
      <c r="R8" s="74">
        <f>VLOOKUP($H$8&amp;$F$1,'Input RM sheet'!$A:$BD,Q1,0)</f>
        <v>0</v>
      </c>
      <c r="S8" s="74">
        <f>VLOOKUP($H$8&amp;$F$1,'Input RM sheet'!$A:$BD,R1,0)</f>
        <v>0</v>
      </c>
      <c r="T8" s="74">
        <f>VLOOKUP($H$8&amp;$F$1,'Input RM sheet'!$A:$BD,S1,0)</f>
        <v>0</v>
      </c>
      <c r="U8" s="74">
        <f>VLOOKUP($H$8&amp;$F$1,'Input RM sheet'!$A:$BD,T1,0)</f>
        <v>0</v>
      </c>
      <c r="V8" s="74">
        <f>VLOOKUP($H$8&amp;$F$1,'Input RM sheet'!$A:$BD,U1,0)</f>
        <v>0</v>
      </c>
      <c r="W8" s="74">
        <f>VLOOKUP($H$8&amp;$F$1,'Input RM sheet'!$A:$BD,V1,0)</f>
        <v>0</v>
      </c>
      <c r="X8" s="74">
        <f>VLOOKUP($H$8&amp;$F$1,'Input RM sheet'!$A:$BD,W1,0)</f>
        <v>0</v>
      </c>
      <c r="Y8" s="74">
        <f>VLOOKUP($H$8&amp;$F$1,'Input RM sheet'!$A:$BD,X1,0)</f>
        <v>0</v>
      </c>
      <c r="Z8" s="74">
        <f>VLOOKUP($H$8&amp;$F$1,'Input RM sheet'!$A:$BD,Y1,0)</f>
        <v>1575</v>
      </c>
      <c r="AA8" s="74">
        <f>VLOOKUP($H$8&amp;$F$1,'Input RM sheet'!$A:$BD,Z1,0)</f>
        <v>1650</v>
      </c>
      <c r="AB8" s="74">
        <f>VLOOKUP($H$8&amp;$F$1,'Input RM sheet'!$A:$BD,AA1,0)</f>
        <v>1730</v>
      </c>
      <c r="AC8" s="74">
        <f>VLOOKUP($H$8&amp;$F$1,'Input RM sheet'!$A:$BD,AB1,0)</f>
        <v>1975</v>
      </c>
      <c r="AD8" s="74">
        <f>VLOOKUP($H$8&amp;$F$1,'Input RM sheet'!$A:$BD,AC1,0)</f>
        <v>2550</v>
      </c>
      <c r="AE8" s="74">
        <f>VLOOKUP($H$8&amp;$F$1,'Input RM sheet'!$A:$BD,AD1,0)</f>
        <v>2875</v>
      </c>
      <c r="AF8" s="74">
        <f>VLOOKUP($H$8&amp;$F$1,'Input RM sheet'!$A:$BD,AE1,0)</f>
        <v>2425</v>
      </c>
      <c r="AG8" s="74">
        <f>VLOOKUP($H$8&amp;$F$1,'Input RM sheet'!$A:$BD,AF1,0)</f>
        <v>2100</v>
      </c>
      <c r="AH8" s="74">
        <f>VLOOKUP($H$8&amp;$F$1,'Input RM sheet'!$A:$BD,AG1,0)</f>
        <v>2425</v>
      </c>
      <c r="AI8" s="74">
        <f>VLOOKUP($H$8&amp;$F$1,'Input RM sheet'!$A:$BD,AH1,0)</f>
        <v>2300</v>
      </c>
      <c r="AJ8" s="74">
        <f>VLOOKUP($H$8&amp;$F$1,'Input RM sheet'!$A:$BD,AI1,0)</f>
        <v>1925</v>
      </c>
      <c r="AK8" s="74">
        <f>VLOOKUP($H$8&amp;$F$1,'Input RM sheet'!$A:$BD,AJ1,0)</f>
        <v>1600</v>
      </c>
      <c r="AL8" s="74">
        <f>VLOOKUP($H$8&amp;$F$1,'Input RM sheet'!$A:$BD,AK1,0)</f>
        <v>1575</v>
      </c>
      <c r="AM8" s="74">
        <f>VLOOKUP($H$8&amp;$F$1,'Input RM sheet'!$A:$BD,AL1,0)</f>
        <v>1425</v>
      </c>
      <c r="AN8" s="74">
        <f>VLOOKUP($H$8&amp;$F$1,'Input RM sheet'!$A:$BD,AM1,0)</f>
        <v>1100</v>
      </c>
      <c r="AO8" s="74">
        <f>VLOOKUP($H$8&amp;$F$1,'Input RM sheet'!$A:$BD,AN1,0)</f>
        <v>1167.5</v>
      </c>
      <c r="AP8" s="74">
        <f>VLOOKUP($H$8&amp;$F$1,'Input RM sheet'!$A:$BD,AO1,0)</f>
        <v>1025</v>
      </c>
      <c r="AQ8" s="74">
        <f>VLOOKUP($H$8&amp;$F$1,'Input RM sheet'!$A:$BD,AP1,0)</f>
        <v>995</v>
      </c>
      <c r="AR8" s="74">
        <f>VLOOKUP($H$8&amp;$F$1,'Input RM sheet'!$A:$BD,AQ1,0)</f>
        <v>955</v>
      </c>
      <c r="AS8" s="74">
        <f>VLOOKUP($H$8&amp;$F$1,'Input RM sheet'!$A:$BD,AR1,0)</f>
        <v>970</v>
      </c>
      <c r="AT8" s="74">
        <f>VLOOKUP($H$8&amp;$F$1,'Input RM sheet'!$A:$BD,AS1,0)</f>
        <v>1060</v>
      </c>
      <c r="AU8" s="74">
        <f>VLOOKUP($H$8&amp;$F$1,'Input RM sheet'!$A:$BD,AT1,0)</f>
        <v>995</v>
      </c>
      <c r="AV8" s="74">
        <f>VLOOKUP($H$8&amp;$F$1,'Input RM sheet'!$A:$BD,AU1,0)</f>
        <v>1005</v>
      </c>
      <c r="AW8" s="74">
        <f>VLOOKUP($H$8&amp;$F$1,'Input RM sheet'!$A:$BD,AV1,0)</f>
        <v>915</v>
      </c>
      <c r="AX8" s="74">
        <f>VLOOKUP($H$8&amp;$F$1,'Input RM sheet'!$A:$BD,AW1,0)</f>
        <v>855</v>
      </c>
      <c r="AY8" s="74">
        <f>VLOOKUP($H$8&amp;$F$1,'Input RM sheet'!$A:$BD,AX1,0)</f>
        <v>855</v>
      </c>
      <c r="AZ8" s="74">
        <f>VLOOKUP($H$8&amp;$F$1,'Input RM sheet'!$A:$BD,AY1,0)</f>
        <v>855</v>
      </c>
      <c r="BA8" s="74">
        <f>VLOOKUP($H$8&amp;$F$1,'Input RM sheet'!$A:$BD,AZ1,0)</f>
        <v>855</v>
      </c>
      <c r="BB8" s="74">
        <f>VLOOKUP($H$8&amp;$F$1,'Input RM sheet'!$A:$BD,BA1,0)</f>
        <v>855</v>
      </c>
      <c r="BC8" s="74">
        <f>VLOOKUP($H$8&amp;$F$1,'Input RM sheet'!$A:$BD,BB1,0)</f>
        <v>825</v>
      </c>
      <c r="BD8" s="74">
        <f>VLOOKUP($H$8&amp;$F$1,'Input RM sheet'!$A:$BD,BC1,0)</f>
        <v>825</v>
      </c>
      <c r="BE8" s="74">
        <f>VLOOKUP($H$8&amp;$F$1,'Input RM sheet'!$A:$BD,BD1,0)</f>
        <v>825</v>
      </c>
      <c r="BF8" s="74">
        <f>VLOOKUP($H$8&amp;$F$1,'Input RM sheet'!$A:$BD,BE1,0)</f>
        <v>825</v>
      </c>
      <c r="BG8" s="74">
        <f>VLOOKUP($H$8&amp;$F$1,'Input RM sheet'!$A:$DD,BF1,0)</f>
        <v>825</v>
      </c>
      <c r="BH8" s="74">
        <f>VLOOKUP($H$8&amp;$F$1,'Input RM sheet'!$A:$DD,BG1,0)</f>
        <v>1030</v>
      </c>
      <c r="BI8" s="74">
        <f>VLOOKUP($H$8&amp;$F$1,'Input RM sheet'!$A:$DD,BH1,0)</f>
        <v>1030</v>
      </c>
      <c r="BJ8" s="74">
        <f>VLOOKUP($H$8&amp;$F$1,'Input RM sheet'!$A:$DD,BI1,0)</f>
        <v>1030</v>
      </c>
      <c r="BK8" s="74">
        <f>VLOOKUP($H$8&amp;$F$1,'Input RM sheet'!$A:$DD,BJ1,0)</f>
        <v>1030</v>
      </c>
      <c r="BL8" s="74">
        <f>VLOOKUP($H$8&amp;$F$1,'Input RM sheet'!$A:$DD,BK1,0)</f>
        <v>1030</v>
      </c>
      <c r="BM8" s="74">
        <f>VLOOKUP($H$8&amp;$F$1,'Input RM sheet'!$A:$DD,BL1,0)</f>
        <v>1030</v>
      </c>
      <c r="BN8" s="74">
        <f>VLOOKUP($H$8&amp;$F$1,'Input RM sheet'!$A:$DD,BM1,0)</f>
        <v>1030</v>
      </c>
      <c r="BO8" s="74">
        <f>VLOOKUP($H$8&amp;$F$1,'Input RM sheet'!$A:$DD,BN1,0)</f>
        <v>1030</v>
      </c>
      <c r="BP8" s="74">
        <f>VLOOKUP($H$8&amp;$F$1,'Input RM sheet'!$A:$DD,BO1,0)</f>
        <v>1030</v>
      </c>
      <c r="BQ8" s="74">
        <f>VLOOKUP($H$8&amp;$F$1,'Input RM sheet'!$A:$DD,BP1,0)</f>
        <v>1030</v>
      </c>
      <c r="BR8" s="74">
        <f>VLOOKUP($H$8&amp;$F$1,'Input RM sheet'!$A:$DD,BQ1,0)</f>
        <v>1030</v>
      </c>
      <c r="BS8" s="74">
        <f>VLOOKUP($H$8&amp;$F$1,'Input RM sheet'!$A:$DD,BR1,0)</f>
        <v>970</v>
      </c>
      <c r="BT8" s="74">
        <f>VLOOKUP($H$8&amp;$F$1,'Input RM sheet'!$A:$DD,BS1,0)</f>
        <v>1040</v>
      </c>
      <c r="BU8" s="74">
        <f>VLOOKUP($H$8&amp;$F$1,'Input RM sheet'!$A:$DD,BT1,0)</f>
        <v>970</v>
      </c>
      <c r="BV8" s="74">
        <f>VLOOKUP($H$8&amp;$F$1,'Input RM sheet'!$A:$DD,BU1,0)</f>
        <v>1000</v>
      </c>
      <c r="BW8" s="74">
        <f>VLOOKUP($H$8&amp;$F$1,'Input RM sheet'!$A:$DD,BV1,0)</f>
        <v>1000</v>
      </c>
      <c r="BX8" s="74">
        <f>VLOOKUP($H$8&amp;$F$1,'Input RM sheet'!$A:$DD,BW1,0)</f>
        <v>1000</v>
      </c>
      <c r="BY8" s="74">
        <f>VLOOKUP($H$8&amp;$F$1,'Input RM sheet'!$A:$DD,BX1,0)</f>
        <v>1000</v>
      </c>
      <c r="BZ8" s="74">
        <f>VLOOKUP($H$8&amp;$F$1,'Input RM sheet'!$A:$DD,BY1,0)</f>
        <v>925</v>
      </c>
      <c r="CA8" s="74">
        <f>VLOOKUP($H$8&amp;$F$1,'Input RM sheet'!$A:$DD,BZ1,0)</f>
        <v>925</v>
      </c>
      <c r="CB8" s="74">
        <f>VLOOKUP($H$8&amp;$F$1,'Input RM sheet'!$A:$DD,CA1,0)</f>
        <v>925</v>
      </c>
      <c r="CC8" s="74">
        <f>VLOOKUP($H$8&amp;$F$1,'Input RM sheet'!$A:$DD,CB1,0)</f>
        <v>925</v>
      </c>
      <c r="CD8" s="74">
        <f>VLOOKUP($H$8&amp;$F$1,'Input RM sheet'!$A:$DD,CC1,0)</f>
        <v>925</v>
      </c>
      <c r="CE8" s="74">
        <f>VLOOKUP($H$8&amp;$F$1,'Input RM sheet'!$A:$DD,CD1,0)</f>
        <v>945</v>
      </c>
      <c r="CF8" s="74">
        <f>VLOOKUP($H$8&amp;$F$1,'Input RM sheet'!$A:$DD,CE1,0)</f>
        <v>945</v>
      </c>
      <c r="CG8" s="74">
        <f>VLOOKUP($H$8&amp;$F$1,'Input RM sheet'!$A:$DD,CF1,0)</f>
        <v>945</v>
      </c>
      <c r="CH8" s="74">
        <f>VLOOKUP($H$8&amp;$F$1,'Input RM sheet'!$A:$DD,CG1,0)</f>
        <v>925</v>
      </c>
      <c r="CI8" s="74">
        <f>VLOOKUP($H$8&amp;$F$1,'Input RM sheet'!$A:$DD,CH1,0)</f>
        <v>925</v>
      </c>
      <c r="CJ8" s="74">
        <f>VLOOKUP($H$8&amp;$F$1,'Input RM sheet'!$A:$DD,CI1,0)</f>
        <v>925</v>
      </c>
      <c r="CK8" s="74">
        <f>VLOOKUP($H$8&amp;$F$1,'Input RM sheet'!$A:$DD,CJ1,0)</f>
        <v>925</v>
      </c>
      <c r="CL8" s="74">
        <f>VLOOKUP($H$8&amp;$F$1,'Input RM sheet'!$A:$DD,CK1,0)</f>
        <v>940</v>
      </c>
      <c r="CM8" s="74">
        <f>VLOOKUP($H$8&amp;$F$1,'Input RM sheet'!$A:$DD,CL1,0)</f>
        <v>940</v>
      </c>
      <c r="CN8" s="74">
        <f>VLOOKUP($H$8&amp;$F$1,'Input RM sheet'!$A:$DD,CM1,0)</f>
        <v>940</v>
      </c>
      <c r="CO8" s="74">
        <f>VLOOKUP($H$8&amp;$F$1,'Input RM sheet'!$A:$DD,CN1,0)</f>
        <v>940</v>
      </c>
      <c r="CP8" s="74">
        <f>VLOOKUP($H$8&amp;$F$1,'Input RM sheet'!$A:$DD,CO1,0)</f>
        <v>940</v>
      </c>
      <c r="CQ8" s="74">
        <f>VLOOKUP($H$8&amp;$F$1,'Input RM sheet'!$A:$DD,CP1,0)</f>
        <v>940</v>
      </c>
      <c r="CR8" s="74">
        <f>VLOOKUP($H$8&amp;$F$1,'Input RM sheet'!$A:$DD,CQ1,0)</f>
        <v>940</v>
      </c>
      <c r="CS8" s="74">
        <f>VLOOKUP($H$8&amp;$F$1,'Input RM sheet'!$A:$DD,CR1,0)</f>
        <v>965</v>
      </c>
      <c r="CT8" s="74">
        <f>VLOOKUP($H$8&amp;$F$1,'Input RM sheet'!$A:$DD,CS1,0)</f>
        <v>965</v>
      </c>
      <c r="CU8" s="74">
        <f>VLOOKUP($H$8&amp;$F$1,'Input RM sheet'!$A:$DD,CT1,0)</f>
        <v>1200</v>
      </c>
      <c r="CV8" s="74">
        <f>VLOOKUP($H$8&amp;$F$1,'Input RM sheet'!$A:$ZZ,CU1,0)</f>
        <v>1200</v>
      </c>
      <c r="CW8" s="74">
        <f>VLOOKUP($H$8&amp;$F$1,'Input RM sheet'!$A:$ZZ,CV1,0)</f>
        <v>1200</v>
      </c>
      <c r="CX8" s="74">
        <f>VLOOKUP($H$8&amp;$F$1,'Input RM sheet'!$A:$ZZ,CW1,0)</f>
        <v>1200</v>
      </c>
      <c r="CY8" s="74">
        <f>VLOOKUP($H$8&amp;$F$1,'Input RM sheet'!$A:$ZZ,CX1,0)</f>
        <v>1025</v>
      </c>
      <c r="CZ8" s="74">
        <f>VLOOKUP($H$8&amp;$F$1,'Input RM sheet'!$A:$ZZ,CY1,0)</f>
        <v>1025</v>
      </c>
      <c r="DA8" s="74">
        <f>VLOOKUP($H$8&amp;$F$1,'Input RM sheet'!$A:$ZZ,CZ1,0)</f>
        <v>1025</v>
      </c>
      <c r="DB8" s="74">
        <f>VLOOKUP($H$8&amp;$F$1,'Input RM sheet'!$A:$ZZ,DA1,0)</f>
        <v>1025</v>
      </c>
      <c r="DC8" s="74">
        <f>VLOOKUP($H$8&amp;$F$1,'Input RM sheet'!$A:$ZZ,DB1,0)</f>
        <v>1025</v>
      </c>
      <c r="DD8" s="74">
        <f>VLOOKUP($H$8&amp;$F$1,'Input RM sheet'!$A:$ZZ,DC1,0)</f>
        <v>970</v>
      </c>
      <c r="DE8" s="74">
        <f>VLOOKUP($H$8&amp;$F$1,'Input RM sheet'!$A:$ZZ,DD1,0)</f>
        <v>970</v>
      </c>
      <c r="DF8" s="74">
        <f>VLOOKUP($H$8&amp;$F$1,'Input RM sheet'!$A:$ZZ,DE1,0)</f>
        <v>970</v>
      </c>
      <c r="DG8" s="74">
        <f>VLOOKUP($H$8&amp;$F$1,'Input RM sheet'!$A:$ZZ,DF1,0)</f>
        <v>970</v>
      </c>
      <c r="DH8" s="74">
        <f>VLOOKUP($H$8&amp;$F$1,'Input RM sheet'!$A:$ZZ,DG1,0)</f>
        <v>945</v>
      </c>
      <c r="DI8" s="74">
        <f>VLOOKUP($H$8&amp;$F$1,'Input RM sheet'!$A:$ZZ,DH1,0)</f>
        <v>945</v>
      </c>
      <c r="DJ8" s="74">
        <f>VLOOKUP($H$8&amp;$F$1,'Input RM sheet'!$A:$ZZ,DI1,0)</f>
        <v>945</v>
      </c>
      <c r="DK8" s="74">
        <f>VLOOKUP($H$8&amp;$F$1,'Input RM sheet'!$A:$ZZ,DJ1,0)</f>
        <v>945</v>
      </c>
      <c r="DL8" s="74">
        <f>VLOOKUP($H$8&amp;$F$1,'Input RM sheet'!$A:$ZZ,DK1,0)</f>
        <v>1050</v>
      </c>
      <c r="DM8" s="74">
        <f>VLOOKUP($H$8&amp;$F$1,'Input RM sheet'!$A:$ZZ,DL1,0)</f>
        <v>1050</v>
      </c>
      <c r="DN8" s="74">
        <f>VLOOKUP($H$8&amp;$F$1,'Input RM sheet'!$A:$ZZ,DM1,0)</f>
        <v>1050</v>
      </c>
      <c r="DO8" s="74">
        <f>VLOOKUP($H$8&amp;$F$1,'Input RM sheet'!$A:$ZZ,DN1,0)</f>
        <v>925</v>
      </c>
      <c r="DP8" s="74">
        <f>VLOOKUP($H$8&amp;$F$1,'Input RM sheet'!$A:$ZZ,DO1,0)</f>
        <v>925</v>
      </c>
      <c r="DQ8" s="74">
        <f>VLOOKUP($H$8&amp;$F$1,'Input RM sheet'!$A:$ZZ,DP1,0)</f>
        <v>925</v>
      </c>
      <c r="DR8" s="74">
        <f>VLOOKUP($H$8&amp;$F$1,'Input RM sheet'!$A:$ZZ,DQ1,0)</f>
        <v>910</v>
      </c>
      <c r="DS8" s="74">
        <f>VLOOKUP($H$8&amp;$F$1,'Input RM sheet'!$A:$ZZ,DR1,0)</f>
        <v>910</v>
      </c>
      <c r="DT8" s="74">
        <f>VLOOKUP($H$8&amp;$F$1,'Input RM sheet'!$A:$ZZ,DS1,0)</f>
        <v>0</v>
      </c>
      <c r="DU8" s="74">
        <f>VLOOKUP($H$8&amp;$F$1,'Input RM sheet'!$A:$ZZ,DT1,0)</f>
        <v>0</v>
      </c>
      <c r="DV8" s="74">
        <f>VLOOKUP($H$8&amp;$F$1,'Input RM sheet'!$A:$ZZ,DU1,0)</f>
        <v>0</v>
      </c>
      <c r="DW8" s="74">
        <f>VLOOKUP($H$8&amp;$F$1,'Input RM sheet'!$A:$ZZ,DV1,0)</f>
        <v>0</v>
      </c>
      <c r="DX8" s="74">
        <f>VLOOKUP($H$8&amp;$F$1,'Input RM sheet'!$A:$ZZ,DW1,0)</f>
        <v>0</v>
      </c>
      <c r="DY8" s="74">
        <f>VLOOKUP($H$8&amp;$F$1,'Input RM sheet'!$A:$ZZ,DX1,0)</f>
        <v>0</v>
      </c>
      <c r="DZ8" s="74">
        <f>VLOOKUP($H$8&amp;$F$1,'Input RM sheet'!$A:$ZZ,DY1,0)</f>
        <v>0</v>
      </c>
      <c r="EA8" s="74">
        <f>VLOOKUP($H$8&amp;$F$1,'Input RM sheet'!$A:$ZZ,DZ1,0)</f>
        <v>0</v>
      </c>
      <c r="EB8" s="74">
        <f>VLOOKUP($H$8&amp;$F$1,'Input RM sheet'!$A:$ZZ,EA1,0)</f>
        <v>0</v>
      </c>
      <c r="EC8" s="74">
        <f>VLOOKUP($H$8&amp;$F$1,'Input RM sheet'!$A:$ZZ,EB1,0)</f>
        <v>0</v>
      </c>
      <c r="ED8" s="74">
        <f>VLOOKUP($H$8&amp;$F$1,'Input RM sheet'!$A:$ZZ,EC1,0)</f>
        <v>0</v>
      </c>
      <c r="EE8" s="74">
        <f>VLOOKUP($H$8&amp;$F$1,'Input RM sheet'!$A:$ZZ,ED1,0)</f>
        <v>0</v>
      </c>
      <c r="EF8" s="74">
        <f>VLOOKUP($H$8&amp;$F$1,'Input RM sheet'!$A:$ZZ,EE1,0)</f>
        <v>0</v>
      </c>
      <c r="EG8" s="74">
        <f>VLOOKUP($H$8&amp;$F$1,'Input RM sheet'!$A:$ZZ,EF1,0)</f>
        <v>0</v>
      </c>
      <c r="EH8" s="74">
        <f>VLOOKUP($H$8&amp;$F$1,'Input RM sheet'!$A:$ZZ,EG1,0)</f>
        <v>0</v>
      </c>
      <c r="EI8" s="74">
        <f>VLOOKUP($H$8&amp;$F$1,'Input RM sheet'!$A:$ZZ,EH1,0)</f>
        <v>0</v>
      </c>
      <c r="EJ8" s="74">
        <f>VLOOKUP($H$8&amp;$F$1,'Input RM sheet'!$A:$ZZ,EI1,0)</f>
        <v>0</v>
      </c>
      <c r="EK8" s="74">
        <f>VLOOKUP($H$8&amp;$F$1,'Input RM sheet'!$A:$ZZ,EJ1,0)</f>
        <v>0</v>
      </c>
      <c r="EL8" s="74">
        <f>VLOOKUP($H$8&amp;$F$1,'Input RM sheet'!$A:$ZZ,EK1,0)</f>
        <v>0</v>
      </c>
      <c r="EM8" s="74">
        <f>VLOOKUP($H$8&amp;$F$1,'Input RM sheet'!$A:$ZZ,EL1,0)</f>
        <v>0</v>
      </c>
      <c r="EN8" s="74">
        <f>VLOOKUP($H$8&amp;$F$1,'Input RM sheet'!$A:$ZZ,EM1,0)</f>
        <v>0</v>
      </c>
      <c r="EO8" s="74">
        <f>VLOOKUP($H$8&amp;$F$1,'Input RM sheet'!$A:$ZZ,EN1,0)</f>
        <v>0</v>
      </c>
      <c r="EP8" s="74">
        <f>VLOOKUP($H$8&amp;$F$1,'Input RM sheet'!$A:$ZZ,EO1,0)</f>
        <v>0</v>
      </c>
      <c r="EQ8" s="74">
        <f>VLOOKUP($H$8&amp;$F$1,'Input RM sheet'!$A:$ZZ,EP1,0)</f>
        <v>0</v>
      </c>
      <c r="ER8" s="74">
        <f>VLOOKUP($H$8&amp;$F$1,'Input RM sheet'!$A:$ZZ,EQ1,0)</f>
        <v>0</v>
      </c>
      <c r="ES8" s="74">
        <f>VLOOKUP($H$8&amp;$F$1,'Input RM sheet'!$A:$ZZ,ER1,0)</f>
        <v>0</v>
      </c>
      <c r="ET8" s="74">
        <f>VLOOKUP($H$8&amp;$F$1,'Input RM sheet'!$A:$ZZ,ES1,0)</f>
        <v>0</v>
      </c>
    </row>
    <row r="9" spans="1:150" ht="26">
      <c r="A9" s="59" t="s">
        <v>395</v>
      </c>
      <c r="B9" s="59"/>
      <c r="C9" s="59" t="s">
        <v>379</v>
      </c>
      <c r="D9" s="98" t="s">
        <v>380</v>
      </c>
      <c r="E9" s="98" t="s">
        <v>381</v>
      </c>
      <c r="F9" s="59" t="s">
        <v>396</v>
      </c>
      <c r="H9" s="60" t="s">
        <v>399</v>
      </c>
      <c r="I9" s="84"/>
      <c r="J9" s="84"/>
      <c r="K9" s="84"/>
      <c r="L9" s="84"/>
      <c r="M9" s="84"/>
      <c r="N9" s="84"/>
      <c r="O9" s="84"/>
      <c r="P9" s="84"/>
      <c r="Q9" s="84"/>
      <c r="R9" s="84"/>
      <c r="S9" s="84"/>
      <c r="T9" s="84"/>
      <c r="U9" s="84"/>
      <c r="V9" s="84"/>
      <c r="W9" s="84"/>
      <c r="X9" s="84"/>
      <c r="Y9" s="84"/>
      <c r="Z9" s="84"/>
      <c r="AA9" s="84"/>
      <c r="AB9" s="84"/>
      <c r="AC9" s="84"/>
      <c r="AD9" s="84"/>
      <c r="AE9" s="84"/>
      <c r="AF9" s="84"/>
      <c r="AG9" s="84"/>
      <c r="AH9" s="84"/>
      <c r="AI9" s="84"/>
      <c r="AJ9" s="84"/>
      <c r="AK9" s="84"/>
      <c r="AL9" s="84"/>
      <c r="AM9" s="84"/>
      <c r="AN9" s="84"/>
      <c r="AO9" s="84"/>
      <c r="AP9" s="84"/>
      <c r="AQ9" s="84"/>
      <c r="AR9" s="84"/>
      <c r="AS9" s="84"/>
      <c r="AT9" s="84"/>
      <c r="AU9" s="84"/>
    </row>
    <row r="10" spans="1:150" ht="13">
      <c r="A10" s="107" t="s">
        <v>397</v>
      </c>
      <c r="B10" s="44" t="s">
        <v>98</v>
      </c>
      <c r="D10" s="60">
        <v>168.32</v>
      </c>
      <c r="F10" s="65">
        <v>0.45</v>
      </c>
      <c r="I10" s="74">
        <f>$F$10*I7</f>
        <v>0</v>
      </c>
      <c r="J10" s="74">
        <f t="shared" ref="J10:AW10" si="0">$F$10*J7</f>
        <v>0</v>
      </c>
      <c r="K10" s="74">
        <f t="shared" si="0"/>
        <v>0</v>
      </c>
      <c r="L10" s="74">
        <f t="shared" si="0"/>
        <v>0</v>
      </c>
      <c r="M10" s="74">
        <f t="shared" si="0"/>
        <v>0.49140000115208926</v>
      </c>
      <c r="N10" s="74">
        <f t="shared" si="0"/>
        <v>0.49076293297373663</v>
      </c>
      <c r="O10" s="74">
        <f t="shared" si="0"/>
        <v>0</v>
      </c>
      <c r="P10" s="74">
        <f t="shared" si="0"/>
        <v>0</v>
      </c>
      <c r="Q10" s="74">
        <f t="shared" si="0"/>
        <v>0</v>
      </c>
      <c r="R10" s="74">
        <f t="shared" si="0"/>
        <v>0</v>
      </c>
      <c r="S10" s="74">
        <f t="shared" si="0"/>
        <v>0</v>
      </c>
      <c r="T10" s="74">
        <f t="shared" si="0"/>
        <v>0.49076293297373663</v>
      </c>
      <c r="U10" s="74">
        <f t="shared" si="0"/>
        <v>0.49076293297373663</v>
      </c>
      <c r="V10" s="74">
        <f t="shared" si="0"/>
        <v>0.51216342326234199</v>
      </c>
      <c r="W10" s="74">
        <f t="shared" si="0"/>
        <v>6.6123815967523685</v>
      </c>
      <c r="X10" s="74">
        <f t="shared" si="0"/>
        <v>0.82663235613560748</v>
      </c>
      <c r="Y10" s="74">
        <f t="shared" si="0"/>
        <v>0.94230000146463277</v>
      </c>
      <c r="Z10" s="74">
        <f t="shared" si="0"/>
        <v>0.86805011214284644</v>
      </c>
      <c r="AA10" s="74">
        <f t="shared" si="0"/>
        <v>0.89992395262691993</v>
      </c>
      <c r="AB10" s="74">
        <f t="shared" si="0"/>
        <v>0.89992395262691993</v>
      </c>
      <c r="AC10" s="74">
        <f t="shared" si="0"/>
        <v>0.89992395262691993</v>
      </c>
      <c r="AD10" s="74">
        <f t="shared" si="0"/>
        <v>0.66735000172290937</v>
      </c>
      <c r="AE10" s="74">
        <f t="shared" si="0"/>
        <v>0.81810000022999085</v>
      </c>
      <c r="AF10" s="74">
        <f t="shared" si="0"/>
        <v>0.79572970920945774</v>
      </c>
      <c r="AG10" s="74">
        <f t="shared" si="0"/>
        <v>0.80959080699155284</v>
      </c>
      <c r="AH10" s="74">
        <f t="shared" si="0"/>
        <v>0.76573114186396352</v>
      </c>
      <c r="AI10" s="74">
        <f t="shared" si="0"/>
        <v>0.81806726388392714</v>
      </c>
      <c r="AJ10" s="74">
        <f t="shared" si="0"/>
        <v>0.82291446838222004</v>
      </c>
      <c r="AK10" s="74">
        <f t="shared" si="0"/>
        <v>0.74840638344661647</v>
      </c>
      <c r="AL10" s="74">
        <f t="shared" si="0"/>
        <v>0.84543139488801933</v>
      </c>
      <c r="AM10" s="74">
        <f t="shared" si="0"/>
        <v>0.99510227227800629</v>
      </c>
      <c r="AN10" s="74">
        <f t="shared" si="0"/>
        <v>0</v>
      </c>
      <c r="AO10" s="74">
        <f t="shared" si="0"/>
        <v>0.99445439642324895</v>
      </c>
      <c r="AP10" s="74">
        <f t="shared" si="0"/>
        <v>0.89729984976318333</v>
      </c>
      <c r="AQ10" s="74">
        <f>$F$10*AQ7</f>
        <v>0.88448424552498528</v>
      </c>
      <c r="AR10" s="74">
        <f t="shared" si="0"/>
        <v>0.85509368408718078</v>
      </c>
      <c r="AS10" s="74">
        <f t="shared" si="0"/>
        <v>0.89550513746407912</v>
      </c>
      <c r="AT10" s="74">
        <f t="shared" si="0"/>
        <v>0.89550519249260674</v>
      </c>
      <c r="AU10" s="74">
        <f t="shared" si="0"/>
        <v>0.89550518406629964</v>
      </c>
      <c r="AV10" s="74">
        <f t="shared" si="0"/>
        <v>0.89550501888926193</v>
      </c>
      <c r="AW10" s="74">
        <f t="shared" si="0"/>
        <v>0.98441999999999996</v>
      </c>
      <c r="AX10" s="74">
        <f t="shared" ref="AX10:BO10" si="1">$F$10*AX7</f>
        <v>0.89549999999999996</v>
      </c>
      <c r="AY10" s="74">
        <f t="shared" si="1"/>
        <v>0.89549999999999996</v>
      </c>
      <c r="AZ10" s="74">
        <f t="shared" si="1"/>
        <v>0.89549999999999996</v>
      </c>
      <c r="BA10" s="74">
        <f t="shared" si="1"/>
        <v>0.89549999999999996</v>
      </c>
      <c r="BB10" s="74">
        <f t="shared" si="1"/>
        <v>0.89549999999999996</v>
      </c>
      <c r="BC10" s="74">
        <f t="shared" si="1"/>
        <v>0.89549999999999996</v>
      </c>
      <c r="BD10" s="74">
        <f t="shared" si="1"/>
        <v>0.89549999999999996</v>
      </c>
      <c r="BE10" s="74">
        <f t="shared" si="1"/>
        <v>0.89549999999999996</v>
      </c>
      <c r="BF10" s="74">
        <f t="shared" si="1"/>
        <v>0.89549999999999996</v>
      </c>
      <c r="BG10" s="74">
        <f t="shared" si="1"/>
        <v>0.89549999999999996</v>
      </c>
      <c r="BH10" s="74">
        <f t="shared" si="1"/>
        <v>0.89549999999999996</v>
      </c>
      <c r="BI10" s="74">
        <f t="shared" si="1"/>
        <v>0.89549999999999996</v>
      </c>
      <c r="BJ10" s="74">
        <f t="shared" si="1"/>
        <v>0.89549999999999996</v>
      </c>
      <c r="BK10" s="74">
        <f t="shared" si="1"/>
        <v>0.89549999999999996</v>
      </c>
      <c r="BL10" s="74">
        <f t="shared" si="1"/>
        <v>0.89549999999999996</v>
      </c>
      <c r="BM10" s="74">
        <f t="shared" si="1"/>
        <v>0.89549999999999996</v>
      </c>
      <c r="BN10" s="74">
        <f t="shared" si="1"/>
        <v>0.89549999999999996</v>
      </c>
      <c r="BO10" s="74">
        <f t="shared" si="1"/>
        <v>0.89549999999999996</v>
      </c>
      <c r="BP10" s="74">
        <f t="shared" ref="BP10:BV10" si="2">$F$10*BP7</f>
        <v>0.89549999999999996</v>
      </c>
      <c r="BQ10" s="74">
        <f t="shared" si="2"/>
        <v>0.89549999999999996</v>
      </c>
      <c r="BR10" s="74">
        <f t="shared" si="2"/>
        <v>0.89549999999999996</v>
      </c>
      <c r="BS10" s="74">
        <f t="shared" si="2"/>
        <v>0.89549999999999996</v>
      </c>
      <c r="BT10" s="74">
        <f t="shared" si="2"/>
        <v>0.89549999999999996</v>
      </c>
      <c r="BU10" s="74">
        <f t="shared" si="2"/>
        <v>0.89549999999999996</v>
      </c>
      <c r="BV10" s="74">
        <f t="shared" si="2"/>
        <v>0.89549999999999996</v>
      </c>
      <c r="BW10" s="74">
        <f>$F$10*BW7</f>
        <v>0.89549999999999996</v>
      </c>
      <c r="BX10" s="74">
        <f>$F$10*BX7</f>
        <v>0.89549999999999996</v>
      </c>
      <c r="BY10" s="74">
        <f>$F$10*BY7</f>
        <v>0.89549999999999996</v>
      </c>
      <c r="BZ10" s="74">
        <f t="shared" ref="BZ10:CH10" si="3">$F$10*BZ7</f>
        <v>0.89549999999999996</v>
      </c>
      <c r="CA10" s="74">
        <f t="shared" si="3"/>
        <v>0.89549999999999996</v>
      </c>
      <c r="CB10" s="74">
        <f t="shared" si="3"/>
        <v>0.89549999999999996</v>
      </c>
      <c r="CC10" s="74">
        <f t="shared" si="3"/>
        <v>0.89549999999999996</v>
      </c>
      <c r="CD10" s="74">
        <f t="shared" si="3"/>
        <v>0.89549999999999996</v>
      </c>
      <c r="CE10" s="74">
        <f t="shared" si="3"/>
        <v>1.1475</v>
      </c>
      <c r="CF10" s="74">
        <f t="shared" si="3"/>
        <v>1.1475</v>
      </c>
      <c r="CG10" s="74">
        <f t="shared" si="3"/>
        <v>1.1475</v>
      </c>
      <c r="CH10" s="74">
        <f t="shared" si="3"/>
        <v>1.1475</v>
      </c>
      <c r="CI10" s="74">
        <f>$F$10*CI7</f>
        <v>1.1475</v>
      </c>
      <c r="CJ10" s="74">
        <f>$F$10*CJ7</f>
        <v>1.1475</v>
      </c>
      <c r="CK10" s="74">
        <f>$F$10*CK7</f>
        <v>1.1475</v>
      </c>
      <c r="CL10" s="74">
        <f t="shared" ref="CL10:CV10" si="4">$F$10*CL7</f>
        <v>1.1475</v>
      </c>
      <c r="CM10" s="74">
        <f t="shared" si="4"/>
        <v>1.1475</v>
      </c>
      <c r="CN10" s="74">
        <f t="shared" si="4"/>
        <v>1.1475</v>
      </c>
      <c r="CO10" s="74">
        <f t="shared" si="4"/>
        <v>1.1475</v>
      </c>
      <c r="CP10" s="74">
        <f t="shared" si="4"/>
        <v>1.1475</v>
      </c>
      <c r="CQ10" s="74">
        <f t="shared" si="4"/>
        <v>1.1475</v>
      </c>
      <c r="CR10" s="74">
        <f t="shared" si="4"/>
        <v>1.1475</v>
      </c>
      <c r="CS10" s="74">
        <f t="shared" si="4"/>
        <v>1.1475</v>
      </c>
      <c r="CT10" s="74">
        <f t="shared" si="4"/>
        <v>1.1475</v>
      </c>
      <c r="CU10" s="74">
        <f t="shared" si="4"/>
        <v>1.1475</v>
      </c>
      <c r="CV10" s="74">
        <f t="shared" si="4"/>
        <v>1.1475</v>
      </c>
      <c r="CW10" s="74">
        <f t="shared" ref="CW10:DM10" si="5">$F$10*CW7</f>
        <v>1.1520000000000001</v>
      </c>
      <c r="CX10" s="74">
        <f t="shared" si="5"/>
        <v>1.1520000000000001</v>
      </c>
      <c r="CY10" s="74">
        <f t="shared" si="5"/>
        <v>1.1520000000000001</v>
      </c>
      <c r="CZ10" s="74">
        <f t="shared" si="5"/>
        <v>0.50849999999999995</v>
      </c>
      <c r="DA10" s="74">
        <f t="shared" si="5"/>
        <v>0.50849999999999995</v>
      </c>
      <c r="DB10" s="74">
        <f t="shared" si="5"/>
        <v>0.50849999999999995</v>
      </c>
      <c r="DC10" s="74">
        <f t="shared" si="5"/>
        <v>0.55349999999999999</v>
      </c>
      <c r="DD10" s="74">
        <f t="shared" si="5"/>
        <v>0.71100000000000008</v>
      </c>
      <c r="DE10" s="74">
        <f t="shared" si="5"/>
        <v>0.71100000000000008</v>
      </c>
      <c r="DF10" s="74">
        <f t="shared" si="5"/>
        <v>0.71100000000000008</v>
      </c>
      <c r="DG10" s="74">
        <f t="shared" si="5"/>
        <v>0.71100000000000008</v>
      </c>
      <c r="DH10" s="74">
        <f t="shared" si="5"/>
        <v>0.69300000000000006</v>
      </c>
      <c r="DI10" s="74">
        <f t="shared" si="5"/>
        <v>0.69300000000000006</v>
      </c>
      <c r="DJ10" s="74">
        <f t="shared" si="5"/>
        <v>0.69300000000000006</v>
      </c>
      <c r="DK10" s="74">
        <f t="shared" si="5"/>
        <v>0.69300000000000006</v>
      </c>
      <c r="DL10" s="74">
        <f t="shared" si="5"/>
        <v>0.69300000000000006</v>
      </c>
      <c r="DM10" s="74">
        <f t="shared" si="5"/>
        <v>0.69300000000000006</v>
      </c>
      <c r="DN10" s="74">
        <f t="shared" ref="DN10:ET10" si="6">$F$10*DN7</f>
        <v>0.69300000000000006</v>
      </c>
      <c r="DO10" s="74">
        <f t="shared" si="6"/>
        <v>0.69300000000000006</v>
      </c>
      <c r="DP10" s="74">
        <f t="shared" si="6"/>
        <v>0.69300000000000006</v>
      </c>
      <c r="DQ10" s="74">
        <f t="shared" si="6"/>
        <v>0.76500000000000001</v>
      </c>
      <c r="DR10" s="74">
        <f t="shared" si="6"/>
        <v>0.76500000000000001</v>
      </c>
      <c r="DS10" s="74">
        <f t="shared" si="6"/>
        <v>0.76500000000000001</v>
      </c>
      <c r="DT10" s="74">
        <f t="shared" si="6"/>
        <v>0</v>
      </c>
      <c r="DU10" s="74">
        <f t="shared" si="6"/>
        <v>0</v>
      </c>
      <c r="DV10" s="74">
        <f t="shared" si="6"/>
        <v>0</v>
      </c>
      <c r="DW10" s="74">
        <f t="shared" si="6"/>
        <v>0</v>
      </c>
      <c r="DX10" s="74">
        <f t="shared" si="6"/>
        <v>0</v>
      </c>
      <c r="DY10" s="74">
        <f t="shared" si="6"/>
        <v>0</v>
      </c>
      <c r="DZ10" s="74">
        <f t="shared" si="6"/>
        <v>0</v>
      </c>
      <c r="EA10" s="74">
        <f t="shared" si="6"/>
        <v>0</v>
      </c>
      <c r="EB10" s="74">
        <f t="shared" si="6"/>
        <v>0</v>
      </c>
      <c r="EC10" s="74">
        <f t="shared" si="6"/>
        <v>0</v>
      </c>
      <c r="ED10" s="74">
        <f t="shared" si="6"/>
        <v>0</v>
      </c>
      <c r="EE10" s="74">
        <f t="shared" si="6"/>
        <v>0</v>
      </c>
      <c r="EF10" s="74">
        <f t="shared" si="6"/>
        <v>0</v>
      </c>
      <c r="EG10" s="74">
        <f t="shared" si="6"/>
        <v>0</v>
      </c>
      <c r="EH10" s="74">
        <f t="shared" si="6"/>
        <v>0</v>
      </c>
      <c r="EI10" s="74">
        <f t="shared" si="6"/>
        <v>0</v>
      </c>
      <c r="EJ10" s="74">
        <f t="shared" si="6"/>
        <v>0</v>
      </c>
      <c r="EK10" s="74">
        <f t="shared" si="6"/>
        <v>0</v>
      </c>
      <c r="EL10" s="74">
        <f t="shared" si="6"/>
        <v>0</v>
      </c>
      <c r="EM10" s="74">
        <f t="shared" si="6"/>
        <v>0</v>
      </c>
      <c r="EN10" s="74">
        <f t="shared" si="6"/>
        <v>0</v>
      </c>
      <c r="EO10" s="74">
        <f t="shared" si="6"/>
        <v>0</v>
      </c>
      <c r="EP10" s="74">
        <f t="shared" si="6"/>
        <v>0</v>
      </c>
      <c r="EQ10" s="74">
        <f t="shared" si="6"/>
        <v>0</v>
      </c>
      <c r="ER10" s="74">
        <f t="shared" si="6"/>
        <v>0</v>
      </c>
      <c r="ES10" s="74">
        <f t="shared" si="6"/>
        <v>0</v>
      </c>
      <c r="ET10" s="74">
        <f t="shared" si="6"/>
        <v>0</v>
      </c>
    </row>
    <row r="11" spans="1:150">
      <c r="A11" s="67"/>
      <c r="B11" s="44" t="s">
        <v>100</v>
      </c>
      <c r="D11" s="60">
        <v>98.06</v>
      </c>
      <c r="F11" s="65">
        <v>0.55000000000000004</v>
      </c>
      <c r="I11" s="74">
        <f t="shared" ref="I11:AW11" si="7">$F$11*(I8/1000)</f>
        <v>0</v>
      </c>
      <c r="J11" s="74">
        <f t="shared" si="7"/>
        <v>0</v>
      </c>
      <c r="K11" s="74">
        <f t="shared" si="7"/>
        <v>0</v>
      </c>
      <c r="L11" s="74">
        <f t="shared" si="7"/>
        <v>0</v>
      </c>
      <c r="M11" s="74">
        <f t="shared" si="7"/>
        <v>0</v>
      </c>
      <c r="N11" s="74">
        <f t="shared" si="7"/>
        <v>0</v>
      </c>
      <c r="O11" s="74">
        <f t="shared" si="7"/>
        <v>0</v>
      </c>
      <c r="P11" s="74">
        <f t="shared" si="7"/>
        <v>0</v>
      </c>
      <c r="Q11" s="74">
        <f t="shared" si="7"/>
        <v>0</v>
      </c>
      <c r="R11" s="74">
        <f t="shared" si="7"/>
        <v>0</v>
      </c>
      <c r="S11" s="74">
        <f t="shared" si="7"/>
        <v>0</v>
      </c>
      <c r="T11" s="74">
        <f t="shared" si="7"/>
        <v>0</v>
      </c>
      <c r="U11" s="74">
        <f t="shared" si="7"/>
        <v>0</v>
      </c>
      <c r="V11" s="74">
        <f t="shared" si="7"/>
        <v>0</v>
      </c>
      <c r="W11" s="74">
        <f t="shared" si="7"/>
        <v>0</v>
      </c>
      <c r="X11" s="74">
        <f t="shared" si="7"/>
        <v>0</v>
      </c>
      <c r="Y11" s="74">
        <f t="shared" si="7"/>
        <v>0</v>
      </c>
      <c r="Z11" s="74">
        <f t="shared" si="7"/>
        <v>0.86625000000000008</v>
      </c>
      <c r="AA11" s="74">
        <f t="shared" si="7"/>
        <v>0.90749999999999997</v>
      </c>
      <c r="AB11" s="74">
        <f t="shared" si="7"/>
        <v>0.95150000000000001</v>
      </c>
      <c r="AC11" s="74">
        <f t="shared" si="7"/>
        <v>1.0862500000000002</v>
      </c>
      <c r="AD11" s="74">
        <f t="shared" si="7"/>
        <v>1.4025000000000001</v>
      </c>
      <c r="AE11" s="74">
        <f t="shared" si="7"/>
        <v>1.58125</v>
      </c>
      <c r="AF11" s="74">
        <f t="shared" si="7"/>
        <v>1.33375</v>
      </c>
      <c r="AG11" s="74">
        <f t="shared" si="7"/>
        <v>1.1550000000000002</v>
      </c>
      <c r="AH11" s="74">
        <f t="shared" si="7"/>
        <v>1.33375</v>
      </c>
      <c r="AI11" s="74">
        <f t="shared" si="7"/>
        <v>1.2649999999999999</v>
      </c>
      <c r="AJ11" s="74">
        <f t="shared" si="7"/>
        <v>1.0587500000000001</v>
      </c>
      <c r="AK11" s="74">
        <f t="shared" si="7"/>
        <v>0.88000000000000012</v>
      </c>
      <c r="AL11" s="74">
        <f t="shared" si="7"/>
        <v>0.86625000000000008</v>
      </c>
      <c r="AM11" s="74">
        <f t="shared" si="7"/>
        <v>0.78375000000000006</v>
      </c>
      <c r="AN11" s="74">
        <f t="shared" si="7"/>
        <v>0.60500000000000009</v>
      </c>
      <c r="AO11" s="74">
        <f t="shared" si="7"/>
        <v>0.64212500000000006</v>
      </c>
      <c r="AP11" s="74">
        <f t="shared" si="7"/>
        <v>0.56374999999999997</v>
      </c>
      <c r="AQ11" s="74">
        <f t="shared" si="7"/>
        <v>0.54725000000000001</v>
      </c>
      <c r="AR11" s="74">
        <f t="shared" si="7"/>
        <v>0.52524999999999999</v>
      </c>
      <c r="AS11" s="74">
        <f t="shared" si="7"/>
        <v>0.53349999999999997</v>
      </c>
      <c r="AT11" s="74">
        <f t="shared" si="7"/>
        <v>0.58300000000000007</v>
      </c>
      <c r="AU11" s="74">
        <f t="shared" si="7"/>
        <v>0.54725000000000001</v>
      </c>
      <c r="AV11" s="74">
        <f t="shared" si="7"/>
        <v>0.55274999999999996</v>
      </c>
      <c r="AW11" s="74">
        <f t="shared" si="7"/>
        <v>0.50325000000000009</v>
      </c>
      <c r="AX11" s="74">
        <f t="shared" ref="AX11:BO11" si="8">$F$11*(AX8/1000)</f>
        <v>0.47025</v>
      </c>
      <c r="AY11" s="74">
        <f t="shared" si="8"/>
        <v>0.47025</v>
      </c>
      <c r="AZ11" s="74">
        <f t="shared" si="8"/>
        <v>0.47025</v>
      </c>
      <c r="BA11" s="74">
        <f t="shared" si="8"/>
        <v>0.47025</v>
      </c>
      <c r="BB11" s="74">
        <f t="shared" si="8"/>
        <v>0.47025</v>
      </c>
      <c r="BC11" s="74">
        <f t="shared" si="8"/>
        <v>0.45374999999999999</v>
      </c>
      <c r="BD11" s="74">
        <f t="shared" si="8"/>
        <v>0.45374999999999999</v>
      </c>
      <c r="BE11" s="74">
        <f t="shared" si="8"/>
        <v>0.45374999999999999</v>
      </c>
      <c r="BF11" s="74">
        <f t="shared" si="8"/>
        <v>0.45374999999999999</v>
      </c>
      <c r="BG11" s="74">
        <f t="shared" si="8"/>
        <v>0.45374999999999999</v>
      </c>
      <c r="BH11" s="74">
        <f t="shared" si="8"/>
        <v>0.56650000000000011</v>
      </c>
      <c r="BI11" s="74">
        <f t="shared" si="8"/>
        <v>0.56650000000000011</v>
      </c>
      <c r="BJ11" s="74">
        <f t="shared" si="8"/>
        <v>0.56650000000000011</v>
      </c>
      <c r="BK11" s="74">
        <f t="shared" si="8"/>
        <v>0.56650000000000011</v>
      </c>
      <c r="BL11" s="74">
        <f t="shared" si="8"/>
        <v>0.56650000000000011</v>
      </c>
      <c r="BM11" s="74">
        <f t="shared" si="8"/>
        <v>0.56650000000000011</v>
      </c>
      <c r="BN11" s="74">
        <f t="shared" si="8"/>
        <v>0.56650000000000011</v>
      </c>
      <c r="BO11" s="74">
        <f t="shared" si="8"/>
        <v>0.56650000000000011</v>
      </c>
      <c r="BP11" s="74">
        <f t="shared" ref="BP11:BV11" si="9">$F$11*(BP8/1000)</f>
        <v>0.56650000000000011</v>
      </c>
      <c r="BQ11" s="74">
        <f t="shared" si="9"/>
        <v>0.56650000000000011</v>
      </c>
      <c r="BR11" s="74">
        <f t="shared" si="9"/>
        <v>0.56650000000000011</v>
      </c>
      <c r="BS11" s="74">
        <f t="shared" si="9"/>
        <v>0.53349999999999997</v>
      </c>
      <c r="BT11" s="74">
        <f t="shared" si="9"/>
        <v>0.57200000000000006</v>
      </c>
      <c r="BU11" s="74">
        <f t="shared" si="9"/>
        <v>0.53349999999999997</v>
      </c>
      <c r="BV11" s="74">
        <f t="shared" si="9"/>
        <v>0.55000000000000004</v>
      </c>
      <c r="BW11" s="74">
        <f>$F$11*(BW8/1000)</f>
        <v>0.55000000000000004</v>
      </c>
      <c r="BX11" s="74">
        <f>$F$11*(BX8/1000)</f>
        <v>0.55000000000000004</v>
      </c>
      <c r="BY11" s="74">
        <f>$F$11*(BY8/1000)</f>
        <v>0.55000000000000004</v>
      </c>
      <c r="BZ11" s="74">
        <f t="shared" ref="BZ11:CH11" si="10">$F$11*(BZ8/1000)</f>
        <v>0.50875000000000004</v>
      </c>
      <c r="CA11" s="74">
        <f t="shared" si="10"/>
        <v>0.50875000000000004</v>
      </c>
      <c r="CB11" s="74">
        <f t="shared" si="10"/>
        <v>0.50875000000000004</v>
      </c>
      <c r="CC11" s="74">
        <f t="shared" si="10"/>
        <v>0.50875000000000004</v>
      </c>
      <c r="CD11" s="74">
        <f t="shared" si="10"/>
        <v>0.50875000000000004</v>
      </c>
      <c r="CE11" s="74">
        <f t="shared" si="10"/>
        <v>0.51975000000000005</v>
      </c>
      <c r="CF11" s="74">
        <f t="shared" si="10"/>
        <v>0.51975000000000005</v>
      </c>
      <c r="CG11" s="74">
        <f t="shared" si="10"/>
        <v>0.51975000000000005</v>
      </c>
      <c r="CH11" s="74">
        <f t="shared" si="10"/>
        <v>0.50875000000000004</v>
      </c>
      <c r="CI11" s="74">
        <f>$F$11*(CI8/1000)</f>
        <v>0.50875000000000004</v>
      </c>
      <c r="CJ11" s="74">
        <f>$F$11*(CJ8/1000)</f>
        <v>0.50875000000000004</v>
      </c>
      <c r="CK11" s="74">
        <f>$F$11*(CK8/1000)</f>
        <v>0.50875000000000004</v>
      </c>
      <c r="CL11" s="74">
        <f t="shared" ref="CL11:CV11" si="11">$F$11*(CL8/1000)</f>
        <v>0.51700000000000002</v>
      </c>
      <c r="CM11" s="74">
        <f t="shared" si="11"/>
        <v>0.51700000000000002</v>
      </c>
      <c r="CN11" s="74">
        <f t="shared" si="11"/>
        <v>0.51700000000000002</v>
      </c>
      <c r="CO11" s="74">
        <f t="shared" si="11"/>
        <v>0.51700000000000002</v>
      </c>
      <c r="CP11" s="74">
        <f t="shared" si="11"/>
        <v>0.51700000000000002</v>
      </c>
      <c r="CQ11" s="74">
        <f t="shared" si="11"/>
        <v>0.51700000000000002</v>
      </c>
      <c r="CR11" s="74">
        <f t="shared" si="11"/>
        <v>0.51700000000000002</v>
      </c>
      <c r="CS11" s="74">
        <f t="shared" si="11"/>
        <v>0.53075000000000006</v>
      </c>
      <c r="CT11" s="74">
        <f t="shared" si="11"/>
        <v>0.53075000000000006</v>
      </c>
      <c r="CU11" s="74">
        <f t="shared" si="11"/>
        <v>0.66</v>
      </c>
      <c r="CV11" s="74">
        <f t="shared" si="11"/>
        <v>0.66</v>
      </c>
      <c r="CW11" s="74">
        <f t="shared" ref="CW11:DM11" si="12">$F$11*(CW8/1000)</f>
        <v>0.66</v>
      </c>
      <c r="CX11" s="74">
        <f t="shared" si="12"/>
        <v>0.66</v>
      </c>
      <c r="CY11" s="74">
        <f t="shared" si="12"/>
        <v>0.56374999999999997</v>
      </c>
      <c r="CZ11" s="74">
        <f t="shared" si="12"/>
        <v>0.56374999999999997</v>
      </c>
      <c r="DA11" s="74">
        <f t="shared" si="12"/>
        <v>0.56374999999999997</v>
      </c>
      <c r="DB11" s="74">
        <f t="shared" si="12"/>
        <v>0.56374999999999997</v>
      </c>
      <c r="DC11" s="74">
        <f t="shared" si="12"/>
        <v>0.56374999999999997</v>
      </c>
      <c r="DD11" s="74">
        <f t="shared" si="12"/>
        <v>0.53349999999999997</v>
      </c>
      <c r="DE11" s="74">
        <f t="shared" si="12"/>
        <v>0.53349999999999997</v>
      </c>
      <c r="DF11" s="74">
        <f t="shared" si="12"/>
        <v>0.53349999999999997</v>
      </c>
      <c r="DG11" s="74">
        <f t="shared" si="12"/>
        <v>0.53349999999999997</v>
      </c>
      <c r="DH11" s="74">
        <f t="shared" si="12"/>
        <v>0.51975000000000005</v>
      </c>
      <c r="DI11" s="74">
        <f t="shared" si="12"/>
        <v>0.51975000000000005</v>
      </c>
      <c r="DJ11" s="74">
        <f t="shared" si="12"/>
        <v>0.51975000000000005</v>
      </c>
      <c r="DK11" s="74">
        <f t="shared" si="12"/>
        <v>0.51975000000000005</v>
      </c>
      <c r="DL11" s="74">
        <f t="shared" si="12"/>
        <v>0.57750000000000012</v>
      </c>
      <c r="DM11" s="74">
        <f t="shared" si="12"/>
        <v>0.57750000000000012</v>
      </c>
      <c r="DN11" s="74">
        <f t="shared" ref="DN11:ET11" si="13">$F$11*(DN8/1000)</f>
        <v>0.57750000000000012</v>
      </c>
      <c r="DO11" s="74">
        <f t="shared" si="13"/>
        <v>0.50875000000000004</v>
      </c>
      <c r="DP11" s="74">
        <f t="shared" si="13"/>
        <v>0.50875000000000004</v>
      </c>
      <c r="DQ11" s="74">
        <f t="shared" si="13"/>
        <v>0.50875000000000004</v>
      </c>
      <c r="DR11" s="74">
        <f t="shared" si="13"/>
        <v>0.50050000000000006</v>
      </c>
      <c r="DS11" s="74">
        <f t="shared" si="13"/>
        <v>0.50050000000000006</v>
      </c>
      <c r="DT11" s="74">
        <f t="shared" si="13"/>
        <v>0</v>
      </c>
      <c r="DU11" s="74">
        <f t="shared" si="13"/>
        <v>0</v>
      </c>
      <c r="DV11" s="74">
        <f t="shared" si="13"/>
        <v>0</v>
      </c>
      <c r="DW11" s="74">
        <f t="shared" si="13"/>
        <v>0</v>
      </c>
      <c r="DX11" s="74">
        <f t="shared" si="13"/>
        <v>0</v>
      </c>
      <c r="DY11" s="74">
        <f t="shared" si="13"/>
        <v>0</v>
      </c>
      <c r="DZ11" s="74">
        <f t="shared" si="13"/>
        <v>0</v>
      </c>
      <c r="EA11" s="74">
        <f t="shared" si="13"/>
        <v>0</v>
      </c>
      <c r="EB11" s="74">
        <f t="shared" si="13"/>
        <v>0</v>
      </c>
      <c r="EC11" s="74">
        <f t="shared" si="13"/>
        <v>0</v>
      </c>
      <c r="ED11" s="74">
        <f t="shared" si="13"/>
        <v>0</v>
      </c>
      <c r="EE11" s="74">
        <f t="shared" si="13"/>
        <v>0</v>
      </c>
      <c r="EF11" s="74">
        <f t="shared" si="13"/>
        <v>0</v>
      </c>
      <c r="EG11" s="74">
        <f t="shared" si="13"/>
        <v>0</v>
      </c>
      <c r="EH11" s="74">
        <f t="shared" si="13"/>
        <v>0</v>
      </c>
      <c r="EI11" s="74">
        <f t="shared" si="13"/>
        <v>0</v>
      </c>
      <c r="EJ11" s="74">
        <f t="shared" si="13"/>
        <v>0</v>
      </c>
      <c r="EK11" s="74">
        <f t="shared" si="13"/>
        <v>0</v>
      </c>
      <c r="EL11" s="74">
        <f t="shared" si="13"/>
        <v>0</v>
      </c>
      <c r="EM11" s="74">
        <f t="shared" si="13"/>
        <v>0</v>
      </c>
      <c r="EN11" s="74">
        <f t="shared" si="13"/>
        <v>0</v>
      </c>
      <c r="EO11" s="74">
        <f t="shared" si="13"/>
        <v>0</v>
      </c>
      <c r="EP11" s="74">
        <f t="shared" si="13"/>
        <v>0</v>
      </c>
      <c r="EQ11" s="74">
        <f t="shared" si="13"/>
        <v>0</v>
      </c>
      <c r="ER11" s="74">
        <f t="shared" si="13"/>
        <v>0</v>
      </c>
      <c r="ES11" s="74">
        <f t="shared" si="13"/>
        <v>0</v>
      </c>
      <c r="ET11" s="74">
        <f t="shared" si="13"/>
        <v>0</v>
      </c>
    </row>
    <row r="12" spans="1:150" ht="16" customHeight="1">
      <c r="A12" s="67"/>
      <c r="B12" s="100"/>
      <c r="F12" s="65"/>
      <c r="H12" s="60" t="s">
        <v>718</v>
      </c>
      <c r="I12" s="74">
        <f>300/1000</f>
        <v>0.3</v>
      </c>
      <c r="J12" s="74">
        <f t="shared" ref="J12:BU12" si="14">300/1000</f>
        <v>0.3</v>
      </c>
      <c r="K12" s="74">
        <f t="shared" si="14"/>
        <v>0.3</v>
      </c>
      <c r="L12" s="74">
        <f t="shared" si="14"/>
        <v>0.3</v>
      </c>
      <c r="M12" s="74">
        <f t="shared" si="14"/>
        <v>0.3</v>
      </c>
      <c r="N12" s="74">
        <f t="shared" si="14"/>
        <v>0.3</v>
      </c>
      <c r="O12" s="74">
        <f t="shared" si="14"/>
        <v>0.3</v>
      </c>
      <c r="P12" s="74">
        <f t="shared" si="14"/>
        <v>0.3</v>
      </c>
      <c r="Q12" s="74">
        <f t="shared" si="14"/>
        <v>0.3</v>
      </c>
      <c r="R12" s="74">
        <f t="shared" si="14"/>
        <v>0.3</v>
      </c>
      <c r="S12" s="74">
        <f t="shared" si="14"/>
        <v>0.3</v>
      </c>
      <c r="T12" s="74">
        <f t="shared" si="14"/>
        <v>0.3</v>
      </c>
      <c r="U12" s="74">
        <f t="shared" si="14"/>
        <v>0.3</v>
      </c>
      <c r="V12" s="74">
        <f t="shared" si="14"/>
        <v>0.3</v>
      </c>
      <c r="W12" s="74">
        <f t="shared" si="14"/>
        <v>0.3</v>
      </c>
      <c r="X12" s="74">
        <f t="shared" si="14"/>
        <v>0.3</v>
      </c>
      <c r="Y12" s="74">
        <f t="shared" si="14"/>
        <v>0.3</v>
      </c>
      <c r="Z12" s="74">
        <f t="shared" si="14"/>
        <v>0.3</v>
      </c>
      <c r="AA12" s="74">
        <f t="shared" si="14"/>
        <v>0.3</v>
      </c>
      <c r="AB12" s="74">
        <f t="shared" si="14"/>
        <v>0.3</v>
      </c>
      <c r="AC12" s="74">
        <f t="shared" si="14"/>
        <v>0.3</v>
      </c>
      <c r="AD12" s="74">
        <f t="shared" si="14"/>
        <v>0.3</v>
      </c>
      <c r="AE12" s="74">
        <f t="shared" si="14"/>
        <v>0.3</v>
      </c>
      <c r="AF12" s="74">
        <f t="shared" si="14"/>
        <v>0.3</v>
      </c>
      <c r="AG12" s="74">
        <f t="shared" si="14"/>
        <v>0.3</v>
      </c>
      <c r="AH12" s="74">
        <f t="shared" si="14"/>
        <v>0.3</v>
      </c>
      <c r="AI12" s="74">
        <f t="shared" si="14"/>
        <v>0.3</v>
      </c>
      <c r="AJ12" s="74">
        <f t="shared" si="14"/>
        <v>0.3</v>
      </c>
      <c r="AK12" s="74">
        <f t="shared" si="14"/>
        <v>0.3</v>
      </c>
      <c r="AL12" s="74">
        <f t="shared" si="14"/>
        <v>0.3</v>
      </c>
      <c r="AM12" s="74">
        <f t="shared" si="14"/>
        <v>0.3</v>
      </c>
      <c r="AN12" s="74">
        <f t="shared" si="14"/>
        <v>0.3</v>
      </c>
      <c r="AO12" s="74">
        <f t="shared" si="14"/>
        <v>0.3</v>
      </c>
      <c r="AP12" s="74">
        <f t="shared" si="14"/>
        <v>0.3</v>
      </c>
      <c r="AQ12" s="74">
        <f t="shared" si="14"/>
        <v>0.3</v>
      </c>
      <c r="AR12" s="74">
        <f t="shared" si="14"/>
        <v>0.3</v>
      </c>
      <c r="AS12" s="74">
        <f t="shared" si="14"/>
        <v>0.3</v>
      </c>
      <c r="AT12" s="74">
        <f t="shared" si="14"/>
        <v>0.3</v>
      </c>
      <c r="AU12" s="74">
        <f t="shared" si="14"/>
        <v>0.3</v>
      </c>
      <c r="AV12" s="74">
        <f t="shared" si="14"/>
        <v>0.3</v>
      </c>
      <c r="AW12" s="74">
        <f t="shared" si="14"/>
        <v>0.3</v>
      </c>
      <c r="AX12" s="74">
        <f t="shared" si="14"/>
        <v>0.3</v>
      </c>
      <c r="AY12" s="74">
        <f t="shared" si="14"/>
        <v>0.3</v>
      </c>
      <c r="AZ12" s="74">
        <f t="shared" si="14"/>
        <v>0.3</v>
      </c>
      <c r="BA12" s="74">
        <f t="shared" si="14"/>
        <v>0.3</v>
      </c>
      <c r="BB12" s="74">
        <f t="shared" si="14"/>
        <v>0.3</v>
      </c>
      <c r="BC12" s="74">
        <f t="shared" si="14"/>
        <v>0.3</v>
      </c>
      <c r="BD12" s="74">
        <f t="shared" si="14"/>
        <v>0.3</v>
      </c>
      <c r="BE12" s="74">
        <f t="shared" si="14"/>
        <v>0.3</v>
      </c>
      <c r="BF12" s="74">
        <f t="shared" si="14"/>
        <v>0.3</v>
      </c>
      <c r="BG12" s="74">
        <f t="shared" si="14"/>
        <v>0.3</v>
      </c>
      <c r="BH12" s="74">
        <f t="shared" si="14"/>
        <v>0.3</v>
      </c>
      <c r="BI12" s="74">
        <f t="shared" si="14"/>
        <v>0.3</v>
      </c>
      <c r="BJ12" s="74">
        <f t="shared" si="14"/>
        <v>0.3</v>
      </c>
      <c r="BK12" s="74">
        <f t="shared" si="14"/>
        <v>0.3</v>
      </c>
      <c r="BL12" s="74">
        <f t="shared" si="14"/>
        <v>0.3</v>
      </c>
      <c r="BM12" s="74">
        <f t="shared" si="14"/>
        <v>0.3</v>
      </c>
      <c r="BN12" s="74">
        <f t="shared" si="14"/>
        <v>0.3</v>
      </c>
      <c r="BO12" s="74">
        <f t="shared" si="14"/>
        <v>0.3</v>
      </c>
      <c r="BP12" s="74">
        <f t="shared" si="14"/>
        <v>0.3</v>
      </c>
      <c r="BQ12" s="74">
        <f t="shared" si="14"/>
        <v>0.3</v>
      </c>
      <c r="BR12" s="74">
        <f t="shared" si="14"/>
        <v>0.3</v>
      </c>
      <c r="BS12" s="74">
        <f t="shared" si="14"/>
        <v>0.3</v>
      </c>
      <c r="BT12" s="74">
        <f t="shared" si="14"/>
        <v>0.3</v>
      </c>
      <c r="BU12" s="74">
        <f t="shared" si="14"/>
        <v>0.3</v>
      </c>
      <c r="BV12" s="74">
        <f t="shared" ref="BV12:EG12" si="15">300/1000</f>
        <v>0.3</v>
      </c>
      <c r="BW12" s="74">
        <f t="shared" si="15"/>
        <v>0.3</v>
      </c>
      <c r="BX12" s="74">
        <f t="shared" si="15"/>
        <v>0.3</v>
      </c>
      <c r="BY12" s="74">
        <f t="shared" si="15"/>
        <v>0.3</v>
      </c>
      <c r="BZ12" s="74">
        <f t="shared" si="15"/>
        <v>0.3</v>
      </c>
      <c r="CA12" s="74">
        <f t="shared" si="15"/>
        <v>0.3</v>
      </c>
      <c r="CB12" s="74">
        <f t="shared" si="15"/>
        <v>0.3</v>
      </c>
      <c r="CC12" s="74">
        <f t="shared" si="15"/>
        <v>0.3</v>
      </c>
      <c r="CD12" s="74">
        <f t="shared" si="15"/>
        <v>0.3</v>
      </c>
      <c r="CE12" s="74">
        <f t="shared" si="15"/>
        <v>0.3</v>
      </c>
      <c r="CF12" s="74">
        <f t="shared" si="15"/>
        <v>0.3</v>
      </c>
      <c r="CG12" s="74">
        <f t="shared" si="15"/>
        <v>0.3</v>
      </c>
      <c r="CH12" s="74">
        <f t="shared" si="15"/>
        <v>0.3</v>
      </c>
      <c r="CI12" s="74">
        <f t="shared" si="15"/>
        <v>0.3</v>
      </c>
      <c r="CJ12" s="74">
        <f t="shared" si="15"/>
        <v>0.3</v>
      </c>
      <c r="CK12" s="74">
        <f t="shared" si="15"/>
        <v>0.3</v>
      </c>
      <c r="CL12" s="74">
        <f t="shared" si="15"/>
        <v>0.3</v>
      </c>
      <c r="CM12" s="74">
        <f t="shared" si="15"/>
        <v>0.3</v>
      </c>
      <c r="CN12" s="74">
        <f t="shared" si="15"/>
        <v>0.3</v>
      </c>
      <c r="CO12" s="74">
        <f t="shared" si="15"/>
        <v>0.3</v>
      </c>
      <c r="CP12" s="74">
        <f t="shared" si="15"/>
        <v>0.3</v>
      </c>
      <c r="CQ12" s="74">
        <f t="shared" si="15"/>
        <v>0.3</v>
      </c>
      <c r="CR12" s="74">
        <f t="shared" si="15"/>
        <v>0.3</v>
      </c>
      <c r="CS12" s="74">
        <f t="shared" si="15"/>
        <v>0.3</v>
      </c>
      <c r="CT12" s="74">
        <f t="shared" si="15"/>
        <v>0.3</v>
      </c>
      <c r="CU12" s="74">
        <f t="shared" si="15"/>
        <v>0.3</v>
      </c>
      <c r="CV12" s="74">
        <f t="shared" si="15"/>
        <v>0.3</v>
      </c>
      <c r="CW12" s="74">
        <f t="shared" si="15"/>
        <v>0.3</v>
      </c>
      <c r="CX12" s="74">
        <f t="shared" si="15"/>
        <v>0.3</v>
      </c>
      <c r="CY12" s="74">
        <f t="shared" si="15"/>
        <v>0.3</v>
      </c>
      <c r="CZ12" s="74">
        <f t="shared" si="15"/>
        <v>0.3</v>
      </c>
      <c r="DA12" s="74">
        <f t="shared" si="15"/>
        <v>0.3</v>
      </c>
      <c r="DB12" s="74">
        <f t="shared" si="15"/>
        <v>0.3</v>
      </c>
      <c r="DC12" s="74">
        <f t="shared" si="15"/>
        <v>0.3</v>
      </c>
      <c r="DD12" s="74">
        <f t="shared" si="15"/>
        <v>0.3</v>
      </c>
      <c r="DE12" s="74">
        <f t="shared" si="15"/>
        <v>0.3</v>
      </c>
      <c r="DF12" s="74">
        <f t="shared" si="15"/>
        <v>0.3</v>
      </c>
      <c r="DG12" s="74">
        <f t="shared" si="15"/>
        <v>0.3</v>
      </c>
      <c r="DH12" s="74">
        <f t="shared" si="15"/>
        <v>0.3</v>
      </c>
      <c r="DI12" s="74">
        <f t="shared" si="15"/>
        <v>0.3</v>
      </c>
      <c r="DJ12" s="74">
        <f t="shared" si="15"/>
        <v>0.3</v>
      </c>
      <c r="DK12" s="74">
        <f t="shared" si="15"/>
        <v>0.3</v>
      </c>
      <c r="DL12" s="74">
        <f t="shared" si="15"/>
        <v>0.3</v>
      </c>
      <c r="DM12" s="74">
        <f t="shared" si="15"/>
        <v>0.3</v>
      </c>
      <c r="DN12" s="74">
        <f t="shared" si="15"/>
        <v>0.3</v>
      </c>
      <c r="DO12" s="74">
        <f t="shared" si="15"/>
        <v>0.3</v>
      </c>
      <c r="DP12" s="74">
        <f t="shared" si="15"/>
        <v>0.3</v>
      </c>
      <c r="DQ12" s="74">
        <f t="shared" si="15"/>
        <v>0.3</v>
      </c>
      <c r="DR12" s="74">
        <f t="shared" si="15"/>
        <v>0.3</v>
      </c>
      <c r="DS12" s="74">
        <f t="shared" si="15"/>
        <v>0.3</v>
      </c>
      <c r="DT12" s="74">
        <f t="shared" si="15"/>
        <v>0.3</v>
      </c>
      <c r="DU12" s="74">
        <f t="shared" si="15"/>
        <v>0.3</v>
      </c>
      <c r="DV12" s="74">
        <f t="shared" si="15"/>
        <v>0.3</v>
      </c>
      <c r="DW12" s="74">
        <f t="shared" si="15"/>
        <v>0.3</v>
      </c>
      <c r="DX12" s="74">
        <f t="shared" si="15"/>
        <v>0.3</v>
      </c>
      <c r="DY12" s="74">
        <f t="shared" si="15"/>
        <v>0.3</v>
      </c>
      <c r="DZ12" s="74">
        <f t="shared" si="15"/>
        <v>0.3</v>
      </c>
      <c r="EA12" s="74">
        <f t="shared" si="15"/>
        <v>0.3</v>
      </c>
      <c r="EB12" s="74">
        <f t="shared" si="15"/>
        <v>0.3</v>
      </c>
      <c r="EC12" s="74">
        <f t="shared" si="15"/>
        <v>0.3</v>
      </c>
      <c r="ED12" s="74">
        <f t="shared" si="15"/>
        <v>0.3</v>
      </c>
      <c r="EE12" s="74">
        <f t="shared" si="15"/>
        <v>0.3</v>
      </c>
      <c r="EF12" s="74">
        <f t="shared" si="15"/>
        <v>0.3</v>
      </c>
      <c r="EG12" s="74">
        <f t="shared" si="15"/>
        <v>0.3</v>
      </c>
      <c r="EH12" s="74">
        <f t="shared" ref="EH12:ET12" si="16">300/1000</f>
        <v>0.3</v>
      </c>
      <c r="EI12" s="74">
        <f t="shared" si="16"/>
        <v>0.3</v>
      </c>
      <c r="EJ12" s="74">
        <f t="shared" si="16"/>
        <v>0.3</v>
      </c>
      <c r="EK12" s="74">
        <f t="shared" si="16"/>
        <v>0.3</v>
      </c>
      <c r="EL12" s="74">
        <f t="shared" si="16"/>
        <v>0.3</v>
      </c>
      <c r="EM12" s="74">
        <f t="shared" si="16"/>
        <v>0.3</v>
      </c>
      <c r="EN12" s="74">
        <f t="shared" si="16"/>
        <v>0.3</v>
      </c>
      <c r="EO12" s="74">
        <f t="shared" si="16"/>
        <v>0.3</v>
      </c>
      <c r="EP12" s="74">
        <f t="shared" si="16"/>
        <v>0.3</v>
      </c>
      <c r="EQ12" s="74">
        <f t="shared" si="16"/>
        <v>0.3</v>
      </c>
      <c r="ER12" s="74">
        <f t="shared" si="16"/>
        <v>0.3</v>
      </c>
      <c r="ES12" s="74">
        <f t="shared" si="16"/>
        <v>0.3</v>
      </c>
      <c r="ET12" s="74">
        <f t="shared" si="16"/>
        <v>0.3</v>
      </c>
    </row>
    <row r="13" spans="1:150" s="104" customFormat="1">
      <c r="A13" s="104" t="s">
        <v>400</v>
      </c>
      <c r="H13" s="60"/>
      <c r="I13" s="105">
        <f>SUM(I10:I12)</f>
        <v>0.3</v>
      </c>
      <c r="J13" s="105">
        <f t="shared" ref="J13:AV13" si="17">SUM(J10:J12)</f>
        <v>0.3</v>
      </c>
      <c r="K13" s="105">
        <f t="shared" si="17"/>
        <v>0.3</v>
      </c>
      <c r="L13" s="105">
        <f t="shared" si="17"/>
        <v>0.3</v>
      </c>
      <c r="M13" s="105">
        <f t="shared" si="17"/>
        <v>0.79140000115208919</v>
      </c>
      <c r="N13" s="105">
        <f t="shared" si="17"/>
        <v>0.79076293297373668</v>
      </c>
      <c r="O13" s="105">
        <f t="shared" si="17"/>
        <v>0.3</v>
      </c>
      <c r="P13" s="105">
        <f t="shared" si="17"/>
        <v>0.3</v>
      </c>
      <c r="Q13" s="105">
        <f t="shared" si="17"/>
        <v>0.3</v>
      </c>
      <c r="R13" s="105">
        <f t="shared" si="17"/>
        <v>0.3</v>
      </c>
      <c r="S13" s="105">
        <f t="shared" si="17"/>
        <v>0.3</v>
      </c>
      <c r="T13" s="105">
        <f t="shared" si="17"/>
        <v>0.79076293297373668</v>
      </c>
      <c r="U13" s="105">
        <f t="shared" si="17"/>
        <v>0.79076293297373668</v>
      </c>
      <c r="V13" s="105">
        <f t="shared" si="17"/>
        <v>0.81216342326234203</v>
      </c>
      <c r="W13" s="105">
        <f t="shared" si="17"/>
        <v>6.9123815967523683</v>
      </c>
      <c r="X13" s="105">
        <f t="shared" si="17"/>
        <v>1.1266323561356075</v>
      </c>
      <c r="Y13" s="105">
        <f t="shared" si="17"/>
        <v>1.2423000014646328</v>
      </c>
      <c r="Z13" s="105">
        <f t="shared" si="17"/>
        <v>2.0343001121428466</v>
      </c>
      <c r="AA13" s="105">
        <f t="shared" si="17"/>
        <v>2.1074239526269198</v>
      </c>
      <c r="AB13" s="105">
        <f t="shared" si="17"/>
        <v>2.1514239526269199</v>
      </c>
      <c r="AC13" s="105">
        <f t="shared" si="17"/>
        <v>2.2861739526269198</v>
      </c>
      <c r="AD13" s="105">
        <f t="shared" si="17"/>
        <v>2.3698500017229094</v>
      </c>
      <c r="AE13" s="105">
        <f t="shared" si="17"/>
        <v>2.6993500002299906</v>
      </c>
      <c r="AF13" s="105">
        <f t="shared" si="17"/>
        <v>2.4294797092094575</v>
      </c>
      <c r="AG13" s="105">
        <f t="shared" si="17"/>
        <v>2.2645908069915528</v>
      </c>
      <c r="AH13" s="105">
        <f t="shared" si="17"/>
        <v>2.3994811418639634</v>
      </c>
      <c r="AI13" s="105">
        <f t="shared" si="17"/>
        <v>2.3830672638839268</v>
      </c>
      <c r="AJ13" s="105">
        <f t="shared" si="17"/>
        <v>2.1816644683822202</v>
      </c>
      <c r="AK13" s="105">
        <f t="shared" si="17"/>
        <v>1.9284063834466167</v>
      </c>
      <c r="AL13" s="105">
        <f t="shared" si="17"/>
        <v>2.0116813948880194</v>
      </c>
      <c r="AM13" s="105">
        <f t="shared" si="17"/>
        <v>2.0788522722780063</v>
      </c>
      <c r="AN13" s="105">
        <f t="shared" si="17"/>
        <v>0.90500000000000003</v>
      </c>
      <c r="AO13" s="105">
        <f t="shared" si="17"/>
        <v>1.9365793964232492</v>
      </c>
      <c r="AP13" s="105">
        <f t="shared" si="17"/>
        <v>1.7610498497631835</v>
      </c>
      <c r="AQ13" s="105">
        <f t="shared" si="17"/>
        <v>1.7317342455249853</v>
      </c>
      <c r="AR13" s="105">
        <f t="shared" si="17"/>
        <v>1.6803436840871808</v>
      </c>
      <c r="AS13" s="105">
        <f t="shared" si="17"/>
        <v>1.7290051374640791</v>
      </c>
      <c r="AT13" s="105">
        <f t="shared" si="17"/>
        <v>1.778505192492607</v>
      </c>
      <c r="AU13" s="105">
        <f t="shared" si="17"/>
        <v>1.7427551840662996</v>
      </c>
      <c r="AV13" s="105">
        <f t="shared" si="17"/>
        <v>1.7482550188892618</v>
      </c>
      <c r="AW13" s="105">
        <f t="shared" ref="AW13:BB13" si="18">SUM(AW10:AW12)</f>
        <v>1.7876700000000001</v>
      </c>
      <c r="AX13" s="105">
        <f t="shared" si="18"/>
        <v>1.6657500000000001</v>
      </c>
      <c r="AY13" s="105">
        <f t="shared" si="18"/>
        <v>1.6657500000000001</v>
      </c>
      <c r="AZ13" s="105">
        <f t="shared" si="18"/>
        <v>1.6657500000000001</v>
      </c>
      <c r="BA13" s="105">
        <f t="shared" si="18"/>
        <v>1.6657500000000001</v>
      </c>
      <c r="BB13" s="105">
        <f t="shared" si="18"/>
        <v>1.6657500000000001</v>
      </c>
      <c r="BC13" s="105">
        <f t="shared" ref="BC13:BO13" si="19">SUM(BC10:BC12)</f>
        <v>1.6492500000000001</v>
      </c>
      <c r="BD13" s="105">
        <f t="shared" si="19"/>
        <v>1.6492500000000001</v>
      </c>
      <c r="BE13" s="105">
        <f t="shared" si="19"/>
        <v>1.6492500000000001</v>
      </c>
      <c r="BF13" s="105">
        <f t="shared" si="19"/>
        <v>1.6492500000000001</v>
      </c>
      <c r="BG13" s="105">
        <f t="shared" si="19"/>
        <v>1.6492500000000001</v>
      </c>
      <c r="BH13" s="105">
        <f t="shared" si="19"/>
        <v>1.7620000000000002</v>
      </c>
      <c r="BI13" s="105">
        <f t="shared" si="19"/>
        <v>1.7620000000000002</v>
      </c>
      <c r="BJ13" s="105">
        <f t="shared" si="19"/>
        <v>1.7620000000000002</v>
      </c>
      <c r="BK13" s="105">
        <f t="shared" si="19"/>
        <v>1.7620000000000002</v>
      </c>
      <c r="BL13" s="105">
        <f t="shared" si="19"/>
        <v>1.7620000000000002</v>
      </c>
      <c r="BM13" s="105">
        <f t="shared" si="19"/>
        <v>1.7620000000000002</v>
      </c>
      <c r="BN13" s="105">
        <f t="shared" si="19"/>
        <v>1.7620000000000002</v>
      </c>
      <c r="BO13" s="105">
        <f t="shared" si="19"/>
        <v>1.7620000000000002</v>
      </c>
      <c r="BP13" s="105">
        <f t="shared" ref="BP13:BV13" si="20">SUM(BP10:BP12)</f>
        <v>1.7620000000000002</v>
      </c>
      <c r="BQ13" s="105">
        <f t="shared" si="20"/>
        <v>1.7620000000000002</v>
      </c>
      <c r="BR13" s="105">
        <f t="shared" si="20"/>
        <v>1.7620000000000002</v>
      </c>
      <c r="BS13" s="105">
        <f t="shared" si="20"/>
        <v>1.7289999999999999</v>
      </c>
      <c r="BT13" s="105">
        <f t="shared" si="20"/>
        <v>1.7675000000000001</v>
      </c>
      <c r="BU13" s="105">
        <f t="shared" si="20"/>
        <v>1.7289999999999999</v>
      </c>
      <c r="BV13" s="105">
        <f t="shared" si="20"/>
        <v>1.7455000000000001</v>
      </c>
      <c r="BW13" s="105">
        <f>SUM(BW10:BW12)</f>
        <v>1.7455000000000001</v>
      </c>
      <c r="BX13" s="105">
        <f>SUM(BX10:BX12)</f>
        <v>1.7455000000000001</v>
      </c>
      <c r="BY13" s="105">
        <f>SUM(BY10:BY12)</f>
        <v>1.7455000000000001</v>
      </c>
      <c r="BZ13" s="105">
        <f t="shared" ref="BZ13:CH13" si="21">SUM(BZ10:BZ12)</f>
        <v>1.70425</v>
      </c>
      <c r="CA13" s="105">
        <f t="shared" si="21"/>
        <v>1.70425</v>
      </c>
      <c r="CB13" s="105">
        <f t="shared" si="21"/>
        <v>1.70425</v>
      </c>
      <c r="CC13" s="105">
        <f t="shared" si="21"/>
        <v>1.70425</v>
      </c>
      <c r="CD13" s="105">
        <f t="shared" si="21"/>
        <v>1.70425</v>
      </c>
      <c r="CE13" s="105">
        <f t="shared" si="21"/>
        <v>1.9672500000000002</v>
      </c>
      <c r="CF13" s="105">
        <f t="shared" si="21"/>
        <v>1.9672500000000002</v>
      </c>
      <c r="CG13" s="105">
        <f t="shared" si="21"/>
        <v>1.9672500000000002</v>
      </c>
      <c r="CH13" s="105">
        <f t="shared" si="21"/>
        <v>1.95625</v>
      </c>
      <c r="CI13" s="105">
        <f>SUM(CI10:CI12)</f>
        <v>1.95625</v>
      </c>
      <c r="CJ13" s="105">
        <f>SUM(CJ10:CJ12)</f>
        <v>1.95625</v>
      </c>
      <c r="CK13" s="105">
        <f>SUM(CK10:CK12)</f>
        <v>1.95625</v>
      </c>
      <c r="CL13" s="105">
        <f t="shared" ref="CL13:CV13" si="22">SUM(CL10:CL12)</f>
        <v>1.9644999999999999</v>
      </c>
      <c r="CM13" s="105">
        <f t="shared" si="22"/>
        <v>1.9644999999999999</v>
      </c>
      <c r="CN13" s="105">
        <f t="shared" si="22"/>
        <v>1.9644999999999999</v>
      </c>
      <c r="CO13" s="105">
        <f t="shared" si="22"/>
        <v>1.9644999999999999</v>
      </c>
      <c r="CP13" s="105">
        <f t="shared" si="22"/>
        <v>1.9644999999999999</v>
      </c>
      <c r="CQ13" s="105">
        <f t="shared" si="22"/>
        <v>1.9644999999999999</v>
      </c>
      <c r="CR13" s="105">
        <f t="shared" si="22"/>
        <v>1.9644999999999999</v>
      </c>
      <c r="CS13" s="105">
        <f t="shared" si="22"/>
        <v>1.9782500000000001</v>
      </c>
      <c r="CT13" s="105">
        <f t="shared" si="22"/>
        <v>1.9782500000000001</v>
      </c>
      <c r="CU13" s="105">
        <f t="shared" si="22"/>
        <v>2.1074999999999999</v>
      </c>
      <c r="CV13" s="105">
        <f t="shared" si="22"/>
        <v>2.1074999999999999</v>
      </c>
      <c r="CW13" s="105">
        <f t="shared" ref="CW13:DM13" si="23">SUM(CW10:CW12)</f>
        <v>2.1120000000000001</v>
      </c>
      <c r="CX13" s="105">
        <f t="shared" si="23"/>
        <v>2.1120000000000001</v>
      </c>
      <c r="CY13" s="105">
        <f t="shared" si="23"/>
        <v>2.0157500000000002</v>
      </c>
      <c r="CZ13" s="105">
        <f t="shared" si="23"/>
        <v>1.37225</v>
      </c>
      <c r="DA13" s="105">
        <f t="shared" si="23"/>
        <v>1.37225</v>
      </c>
      <c r="DB13" s="105">
        <f t="shared" si="23"/>
        <v>1.37225</v>
      </c>
      <c r="DC13" s="105">
        <f t="shared" si="23"/>
        <v>1.4172499999999999</v>
      </c>
      <c r="DD13" s="105">
        <f t="shared" si="23"/>
        <v>1.5445</v>
      </c>
      <c r="DE13" s="105">
        <f t="shared" si="23"/>
        <v>1.5445</v>
      </c>
      <c r="DF13" s="105">
        <f t="shared" si="23"/>
        <v>1.5445</v>
      </c>
      <c r="DG13" s="105">
        <f t="shared" si="23"/>
        <v>1.5445</v>
      </c>
      <c r="DH13" s="105">
        <f t="shared" si="23"/>
        <v>1.5127500000000003</v>
      </c>
      <c r="DI13" s="105">
        <f t="shared" si="23"/>
        <v>1.5127500000000003</v>
      </c>
      <c r="DJ13" s="105">
        <f t="shared" si="23"/>
        <v>1.5127500000000003</v>
      </c>
      <c r="DK13" s="105">
        <f t="shared" si="23"/>
        <v>1.5127500000000003</v>
      </c>
      <c r="DL13" s="105">
        <f t="shared" si="23"/>
        <v>1.5705000000000002</v>
      </c>
      <c r="DM13" s="105">
        <f t="shared" si="23"/>
        <v>1.5705000000000002</v>
      </c>
      <c r="DN13" s="105">
        <f t="shared" ref="DN13:ET13" si="24">SUM(DN10:DN12)</f>
        <v>1.5705000000000002</v>
      </c>
      <c r="DO13" s="105">
        <f t="shared" si="24"/>
        <v>1.5017500000000001</v>
      </c>
      <c r="DP13" s="105">
        <f t="shared" si="24"/>
        <v>1.5017500000000001</v>
      </c>
      <c r="DQ13" s="105">
        <f t="shared" si="24"/>
        <v>1.5737500000000002</v>
      </c>
      <c r="DR13" s="105">
        <f t="shared" si="24"/>
        <v>1.5655000000000001</v>
      </c>
      <c r="DS13" s="105">
        <f t="shared" si="24"/>
        <v>1.5655000000000001</v>
      </c>
      <c r="DT13" s="105">
        <f t="shared" si="24"/>
        <v>0.3</v>
      </c>
      <c r="DU13" s="105">
        <f t="shared" si="24"/>
        <v>0.3</v>
      </c>
      <c r="DV13" s="105">
        <f t="shared" si="24"/>
        <v>0.3</v>
      </c>
      <c r="DW13" s="105">
        <f t="shared" si="24"/>
        <v>0.3</v>
      </c>
      <c r="DX13" s="105">
        <f t="shared" si="24"/>
        <v>0.3</v>
      </c>
      <c r="DY13" s="105">
        <f t="shared" si="24"/>
        <v>0.3</v>
      </c>
      <c r="DZ13" s="105">
        <f t="shared" si="24"/>
        <v>0.3</v>
      </c>
      <c r="EA13" s="105">
        <f t="shared" si="24"/>
        <v>0.3</v>
      </c>
      <c r="EB13" s="105">
        <f t="shared" si="24"/>
        <v>0.3</v>
      </c>
      <c r="EC13" s="105">
        <f t="shared" si="24"/>
        <v>0.3</v>
      </c>
      <c r="ED13" s="105">
        <f t="shared" si="24"/>
        <v>0.3</v>
      </c>
      <c r="EE13" s="105">
        <f t="shared" si="24"/>
        <v>0.3</v>
      </c>
      <c r="EF13" s="105">
        <f t="shared" si="24"/>
        <v>0.3</v>
      </c>
      <c r="EG13" s="105">
        <f t="shared" si="24"/>
        <v>0.3</v>
      </c>
      <c r="EH13" s="105">
        <f t="shared" si="24"/>
        <v>0.3</v>
      </c>
      <c r="EI13" s="105">
        <f t="shared" si="24"/>
        <v>0.3</v>
      </c>
      <c r="EJ13" s="105">
        <f t="shared" si="24"/>
        <v>0.3</v>
      </c>
      <c r="EK13" s="105">
        <f t="shared" si="24"/>
        <v>0.3</v>
      </c>
      <c r="EL13" s="105">
        <f t="shared" si="24"/>
        <v>0.3</v>
      </c>
      <c r="EM13" s="105">
        <f t="shared" si="24"/>
        <v>0.3</v>
      </c>
      <c r="EN13" s="105">
        <f t="shared" si="24"/>
        <v>0.3</v>
      </c>
      <c r="EO13" s="105">
        <f t="shared" si="24"/>
        <v>0.3</v>
      </c>
      <c r="EP13" s="105">
        <f t="shared" si="24"/>
        <v>0.3</v>
      </c>
      <c r="EQ13" s="105">
        <f t="shared" si="24"/>
        <v>0.3</v>
      </c>
      <c r="ER13" s="105">
        <f t="shared" si="24"/>
        <v>0.3</v>
      </c>
      <c r="ES13" s="105">
        <f t="shared" si="24"/>
        <v>0.3</v>
      </c>
      <c r="ET13" s="105">
        <f t="shared" si="24"/>
        <v>0.3</v>
      </c>
    </row>
    <row r="14" spans="1:150">
      <c r="H14" s="60" t="s">
        <v>429</v>
      </c>
      <c r="I14" s="74"/>
      <c r="J14" s="74"/>
      <c r="K14" s="74"/>
      <c r="L14" s="74"/>
      <c r="M14" s="74"/>
      <c r="N14" s="74"/>
      <c r="O14" s="74"/>
      <c r="P14" s="74"/>
      <c r="Q14" s="74"/>
      <c r="R14" s="74"/>
      <c r="S14" s="74"/>
      <c r="T14" s="74"/>
      <c r="U14" s="74"/>
      <c r="V14" s="74"/>
      <c r="W14" s="74"/>
      <c r="X14" s="74"/>
      <c r="Y14" s="74">
        <v>4.37</v>
      </c>
      <c r="Z14" s="74">
        <v>4.3499999999999996</v>
      </c>
      <c r="AA14" s="74"/>
      <c r="AB14" s="74"/>
      <c r="AC14" s="74">
        <v>4.4800000000000004</v>
      </c>
      <c r="AD14" s="74">
        <v>5.37</v>
      </c>
      <c r="AE14" s="74"/>
      <c r="AF14" s="74"/>
      <c r="AG14" s="74">
        <v>5.89</v>
      </c>
      <c r="AH14" s="74"/>
      <c r="AI14" s="74"/>
      <c r="AJ14" s="74"/>
      <c r="AK14" s="74">
        <v>7.95</v>
      </c>
      <c r="AL14" s="74"/>
      <c r="AM14" s="74">
        <v>8.6</v>
      </c>
      <c r="AN14" s="74">
        <v>7.24</v>
      </c>
      <c r="AO14" s="74">
        <v>7.02</v>
      </c>
      <c r="AP14" s="74"/>
      <c r="AQ14" s="74">
        <v>4.95</v>
      </c>
      <c r="AR14" s="74"/>
      <c r="AS14" s="74">
        <v>5.0999999999999996</v>
      </c>
      <c r="AT14" s="74">
        <v>5.0999999999999996</v>
      </c>
      <c r="AU14" s="74"/>
      <c r="AV14" s="74"/>
      <c r="BC14" s="74">
        <v>5.0999999999999996</v>
      </c>
      <c r="CB14" s="74">
        <v>4.29</v>
      </c>
    </row>
    <row r="15" spans="1:150">
      <c r="H15" s="60" t="s">
        <v>406</v>
      </c>
      <c r="I15" s="74"/>
      <c r="J15" s="74"/>
      <c r="K15" s="74"/>
      <c r="L15" s="74"/>
      <c r="M15" s="74"/>
      <c r="N15" s="74"/>
      <c r="O15" s="74"/>
      <c r="P15" s="74"/>
      <c r="Q15" s="74"/>
      <c r="R15" s="74"/>
      <c r="S15" s="74"/>
      <c r="T15" s="74"/>
      <c r="U15" s="74"/>
      <c r="V15" s="74"/>
      <c r="W15" s="74"/>
      <c r="X15" s="74"/>
      <c r="Y15" s="74">
        <f>Y14-(Y10+Y11)</f>
        <v>3.4276999985353673</v>
      </c>
      <c r="Z15" s="74">
        <f>Z14-(Z10+Z11)</f>
        <v>2.6156998878571533</v>
      </c>
      <c r="AA15" s="74"/>
      <c r="AB15" s="74"/>
      <c r="AC15" s="74">
        <f>AC14-(AC10+AC11)</f>
        <v>2.4938260473730804</v>
      </c>
      <c r="AD15" s="74">
        <f>AD14-(AD10+AD11)</f>
        <v>3.3001499982770905</v>
      </c>
      <c r="AE15" s="74"/>
      <c r="AF15" s="74"/>
      <c r="AG15" s="74">
        <f>AG14-(AG10+AG11)</f>
        <v>3.9254091930084467</v>
      </c>
      <c r="AH15" s="74"/>
      <c r="AI15" s="74"/>
      <c r="AJ15" s="74"/>
      <c r="AK15" s="74">
        <f>AK14-(AK10+AK11)</f>
        <v>6.3215936165533835</v>
      </c>
      <c r="AL15" s="74"/>
      <c r="AM15" s="74">
        <f>AM14-(AM10+AM11)</f>
        <v>6.8211477277219927</v>
      </c>
      <c r="AN15" s="74">
        <f>AN14-(AN10+AN11)</f>
        <v>6.6349999999999998</v>
      </c>
      <c r="AO15" s="74">
        <f>AO14-(AO10+AO11)</f>
        <v>5.3834206035767505</v>
      </c>
      <c r="AP15" s="74"/>
      <c r="AQ15" s="74">
        <f>AQ14-(AQ10+AQ11)</f>
        <v>3.5182657544750149</v>
      </c>
      <c r="AR15" s="74"/>
      <c r="AS15" s="74">
        <f>AS14-(AS10+AS11)</f>
        <v>3.6709948625359203</v>
      </c>
      <c r="AT15" s="74">
        <f>AT14-(AT10+AT11)</f>
        <v>3.6214948075073927</v>
      </c>
      <c r="AU15" s="74"/>
      <c r="AW15" s="74"/>
      <c r="BC15" s="74">
        <f>BC14-(BC10+BC11)</f>
        <v>3.7507499999999996</v>
      </c>
      <c r="CB15" s="74">
        <f>CB14-(CB10+CB11)</f>
        <v>2.8857499999999998</v>
      </c>
    </row>
    <row r="17" spans="2:150" ht="13" thickBot="1"/>
    <row r="18" spans="2:150" ht="13" thickBot="1">
      <c r="H18" s="106" t="s">
        <v>407</v>
      </c>
      <c r="I18" s="109"/>
      <c r="J18" s="109"/>
      <c r="K18" s="109"/>
      <c r="L18" s="109"/>
      <c r="M18" s="109"/>
      <c r="N18" s="109"/>
      <c r="O18" s="109"/>
      <c r="P18" s="109"/>
      <c r="Q18" s="109"/>
      <c r="R18" s="109"/>
      <c r="S18" s="109"/>
      <c r="T18" s="109"/>
      <c r="U18" s="109"/>
      <c r="V18" s="109"/>
      <c r="W18" s="248"/>
      <c r="X18" s="249"/>
      <c r="Y18" s="250">
        <f>2.49+(Y10+Y11)</f>
        <v>3.432300001464633</v>
      </c>
      <c r="Z18" s="250">
        <f>2.49+(Z10+Z11)</f>
        <v>4.2243001121428465</v>
      </c>
      <c r="AA18" s="250">
        <f t="shared" ref="AA18:AC18" si="25">2.49+(AA10+AA11)</f>
        <v>4.2974239526269198</v>
      </c>
      <c r="AB18" s="250">
        <f t="shared" si="25"/>
        <v>4.3414239526269203</v>
      </c>
      <c r="AC18" s="250">
        <f t="shared" si="25"/>
        <v>4.4761739526269206</v>
      </c>
      <c r="AD18" s="250">
        <f>2.49+(AD10+AD11)</f>
        <v>4.5598500017229098</v>
      </c>
      <c r="AE18" s="250">
        <f t="shared" ref="AE18:CP18" si="26">2.49+(AE10+AE11)</f>
        <v>4.8893500002299906</v>
      </c>
      <c r="AF18" s="250">
        <f t="shared" si="26"/>
        <v>4.6194797092094575</v>
      </c>
      <c r="AG18" s="250">
        <f t="shared" si="26"/>
        <v>4.4545908069915532</v>
      </c>
      <c r="AH18" s="250">
        <f t="shared" si="26"/>
        <v>4.5894811418639634</v>
      </c>
      <c r="AI18" s="250">
        <f t="shared" si="26"/>
        <v>4.5730672638839271</v>
      </c>
      <c r="AJ18" s="250">
        <f t="shared" si="26"/>
        <v>4.3716644683822201</v>
      </c>
      <c r="AK18" s="250">
        <f t="shared" si="26"/>
        <v>4.1184063834466169</v>
      </c>
      <c r="AL18" s="250">
        <f t="shared" si="26"/>
        <v>4.2016813948880198</v>
      </c>
      <c r="AM18" s="250">
        <f t="shared" si="26"/>
        <v>4.2688522722780071</v>
      </c>
      <c r="AN18" s="250">
        <f t="shared" si="26"/>
        <v>3.0950000000000002</v>
      </c>
      <c r="AO18" s="250">
        <f t="shared" si="26"/>
        <v>4.1265793964232493</v>
      </c>
      <c r="AP18" s="250">
        <f t="shared" si="26"/>
        <v>3.9510498497631836</v>
      </c>
      <c r="AQ18" s="250">
        <f t="shared" si="26"/>
        <v>3.9217342455249855</v>
      </c>
      <c r="AR18" s="250">
        <f t="shared" si="26"/>
        <v>3.8703436840871808</v>
      </c>
      <c r="AS18" s="250">
        <f t="shared" si="26"/>
        <v>3.9190051374640795</v>
      </c>
      <c r="AT18" s="250">
        <f t="shared" si="26"/>
        <v>3.9685051924926071</v>
      </c>
      <c r="AU18" s="250">
        <f t="shared" si="26"/>
        <v>3.9327551840662998</v>
      </c>
      <c r="AV18" s="250">
        <f t="shared" si="26"/>
        <v>3.938255018889262</v>
      </c>
      <c r="AW18" s="250">
        <f t="shared" si="26"/>
        <v>3.9776700000000003</v>
      </c>
      <c r="AX18" s="250">
        <f t="shared" si="26"/>
        <v>3.8557500000000005</v>
      </c>
      <c r="AY18" s="250">
        <f t="shared" si="26"/>
        <v>3.8557500000000005</v>
      </c>
      <c r="AZ18" s="250">
        <f t="shared" si="26"/>
        <v>3.8557500000000005</v>
      </c>
      <c r="BA18" s="250">
        <f t="shared" si="26"/>
        <v>3.8557500000000005</v>
      </c>
      <c r="BB18" s="250">
        <f t="shared" si="26"/>
        <v>3.8557500000000005</v>
      </c>
      <c r="BC18" s="250">
        <f t="shared" si="26"/>
        <v>3.8392500000000003</v>
      </c>
      <c r="BD18" s="250">
        <f t="shared" si="26"/>
        <v>3.8392500000000003</v>
      </c>
      <c r="BE18" s="250">
        <f t="shared" si="26"/>
        <v>3.8392500000000003</v>
      </c>
      <c r="BF18" s="250">
        <f t="shared" si="26"/>
        <v>3.8392500000000003</v>
      </c>
      <c r="BG18" s="250">
        <f t="shared" si="26"/>
        <v>3.8392500000000003</v>
      </c>
      <c r="BH18" s="250">
        <f t="shared" si="26"/>
        <v>3.9520000000000004</v>
      </c>
      <c r="BI18" s="250">
        <f t="shared" si="26"/>
        <v>3.9520000000000004</v>
      </c>
      <c r="BJ18" s="250">
        <f t="shared" si="26"/>
        <v>3.9520000000000004</v>
      </c>
      <c r="BK18" s="250">
        <f t="shared" si="26"/>
        <v>3.9520000000000004</v>
      </c>
      <c r="BL18" s="250">
        <f t="shared" si="26"/>
        <v>3.9520000000000004</v>
      </c>
      <c r="BM18" s="250">
        <f t="shared" si="26"/>
        <v>3.9520000000000004</v>
      </c>
      <c r="BN18" s="250">
        <f t="shared" si="26"/>
        <v>3.9520000000000004</v>
      </c>
      <c r="BO18" s="250">
        <f t="shared" si="26"/>
        <v>3.9520000000000004</v>
      </c>
      <c r="BP18" s="250">
        <f t="shared" si="26"/>
        <v>3.9520000000000004</v>
      </c>
      <c r="BQ18" s="250">
        <f t="shared" si="26"/>
        <v>3.9520000000000004</v>
      </c>
      <c r="BR18" s="250">
        <f t="shared" si="26"/>
        <v>3.9520000000000004</v>
      </c>
      <c r="BS18" s="250">
        <f t="shared" si="26"/>
        <v>3.919</v>
      </c>
      <c r="BT18" s="250">
        <f t="shared" si="26"/>
        <v>3.9575000000000005</v>
      </c>
      <c r="BU18" s="250">
        <f t="shared" si="26"/>
        <v>3.919</v>
      </c>
      <c r="BV18" s="250">
        <f t="shared" si="26"/>
        <v>3.9355000000000002</v>
      </c>
      <c r="BW18" s="250">
        <f t="shared" si="26"/>
        <v>3.9355000000000002</v>
      </c>
      <c r="BX18" s="250">
        <f t="shared" si="26"/>
        <v>3.9355000000000002</v>
      </c>
      <c r="BY18" s="250">
        <f t="shared" si="26"/>
        <v>3.9355000000000002</v>
      </c>
      <c r="BZ18" s="250">
        <f t="shared" si="26"/>
        <v>3.8942500000000004</v>
      </c>
      <c r="CA18" s="250">
        <f t="shared" si="26"/>
        <v>3.8942500000000004</v>
      </c>
      <c r="CB18" s="250">
        <f t="shared" si="26"/>
        <v>3.8942500000000004</v>
      </c>
      <c r="CC18" s="250">
        <f t="shared" si="26"/>
        <v>3.8942500000000004</v>
      </c>
      <c r="CD18" s="250">
        <f t="shared" si="26"/>
        <v>3.8942500000000004</v>
      </c>
      <c r="CE18" s="250">
        <f t="shared" si="26"/>
        <v>4.1572500000000003</v>
      </c>
      <c r="CF18" s="250">
        <f t="shared" si="26"/>
        <v>4.1572500000000003</v>
      </c>
      <c r="CG18" s="250">
        <f t="shared" si="26"/>
        <v>4.1572500000000003</v>
      </c>
      <c r="CH18" s="250">
        <f t="shared" si="26"/>
        <v>4.1462500000000002</v>
      </c>
      <c r="CI18" s="250">
        <f t="shared" si="26"/>
        <v>4.1462500000000002</v>
      </c>
      <c r="CJ18" s="250">
        <f t="shared" si="26"/>
        <v>4.1462500000000002</v>
      </c>
      <c r="CK18" s="250">
        <f t="shared" si="26"/>
        <v>4.1462500000000002</v>
      </c>
      <c r="CL18" s="250">
        <f t="shared" si="26"/>
        <v>4.1545000000000005</v>
      </c>
      <c r="CM18" s="250">
        <f t="shared" si="26"/>
        <v>4.1545000000000005</v>
      </c>
      <c r="CN18" s="250">
        <f t="shared" si="26"/>
        <v>4.1545000000000005</v>
      </c>
      <c r="CO18" s="250">
        <f t="shared" si="26"/>
        <v>4.1545000000000005</v>
      </c>
      <c r="CP18" s="250">
        <f t="shared" si="26"/>
        <v>4.1545000000000005</v>
      </c>
      <c r="CQ18" s="250">
        <f t="shared" ref="CQ18:ET18" si="27">2.49+(CQ10+CQ11)</f>
        <v>4.1545000000000005</v>
      </c>
      <c r="CR18" s="250">
        <f t="shared" si="27"/>
        <v>4.1545000000000005</v>
      </c>
      <c r="CS18" s="250">
        <f t="shared" si="27"/>
        <v>4.1682500000000005</v>
      </c>
      <c r="CT18" s="250">
        <f t="shared" si="27"/>
        <v>4.1682500000000005</v>
      </c>
      <c r="CU18" s="250">
        <f t="shared" si="27"/>
        <v>4.2975000000000003</v>
      </c>
      <c r="CV18" s="250">
        <f t="shared" si="27"/>
        <v>4.2975000000000003</v>
      </c>
      <c r="CW18" s="250">
        <f t="shared" si="27"/>
        <v>4.3020000000000005</v>
      </c>
      <c r="CX18" s="250">
        <f t="shared" si="27"/>
        <v>4.3020000000000005</v>
      </c>
      <c r="CY18" s="250">
        <f t="shared" si="27"/>
        <v>4.2057500000000001</v>
      </c>
      <c r="CZ18" s="250">
        <f t="shared" si="27"/>
        <v>3.5622500000000001</v>
      </c>
      <c r="DA18" s="250">
        <f t="shared" si="27"/>
        <v>3.5622500000000001</v>
      </c>
      <c r="DB18" s="250">
        <f t="shared" si="27"/>
        <v>3.5622500000000001</v>
      </c>
      <c r="DC18" s="250">
        <f t="shared" si="27"/>
        <v>3.6072500000000001</v>
      </c>
      <c r="DD18" s="250">
        <f t="shared" si="27"/>
        <v>3.7345000000000002</v>
      </c>
      <c r="DE18" s="250">
        <f t="shared" si="27"/>
        <v>3.7345000000000002</v>
      </c>
      <c r="DF18" s="250">
        <f t="shared" si="27"/>
        <v>3.7345000000000002</v>
      </c>
      <c r="DG18" s="250">
        <f t="shared" si="27"/>
        <v>3.7345000000000002</v>
      </c>
      <c r="DH18" s="250">
        <f t="shared" si="27"/>
        <v>3.7027500000000004</v>
      </c>
      <c r="DI18" s="250">
        <f t="shared" si="27"/>
        <v>3.7027500000000004</v>
      </c>
      <c r="DJ18" s="250">
        <f t="shared" si="27"/>
        <v>3.7027500000000004</v>
      </c>
      <c r="DK18" s="250">
        <f t="shared" si="27"/>
        <v>3.7027500000000004</v>
      </c>
      <c r="DL18" s="250">
        <f t="shared" si="27"/>
        <v>3.7605000000000004</v>
      </c>
      <c r="DM18" s="250">
        <f t="shared" si="27"/>
        <v>3.7605000000000004</v>
      </c>
      <c r="DN18" s="250">
        <f t="shared" si="27"/>
        <v>3.7605000000000004</v>
      </c>
      <c r="DO18" s="250">
        <f t="shared" si="27"/>
        <v>3.6917500000000003</v>
      </c>
      <c r="DP18" s="250">
        <f t="shared" si="27"/>
        <v>3.6917500000000003</v>
      </c>
      <c r="DQ18" s="250">
        <f t="shared" si="27"/>
        <v>3.7637500000000004</v>
      </c>
      <c r="DR18" s="250">
        <f t="shared" si="27"/>
        <v>3.7555000000000005</v>
      </c>
      <c r="DS18" s="250">
        <f t="shared" si="27"/>
        <v>3.7555000000000005</v>
      </c>
      <c r="DT18" s="250">
        <f t="shared" si="27"/>
        <v>2.4900000000000002</v>
      </c>
      <c r="DU18" s="250">
        <f t="shared" si="27"/>
        <v>2.4900000000000002</v>
      </c>
      <c r="DV18" s="250">
        <f t="shared" si="27"/>
        <v>2.4900000000000002</v>
      </c>
      <c r="DW18" s="250">
        <f t="shared" si="27"/>
        <v>2.4900000000000002</v>
      </c>
      <c r="DX18" s="250">
        <f t="shared" si="27"/>
        <v>2.4900000000000002</v>
      </c>
      <c r="DY18" s="250">
        <f t="shared" si="27"/>
        <v>2.4900000000000002</v>
      </c>
      <c r="DZ18" s="250">
        <f t="shared" si="27"/>
        <v>2.4900000000000002</v>
      </c>
      <c r="EA18" s="250">
        <f t="shared" si="27"/>
        <v>2.4900000000000002</v>
      </c>
      <c r="EB18" s="250">
        <f t="shared" si="27"/>
        <v>2.4900000000000002</v>
      </c>
      <c r="EC18" s="250">
        <f t="shared" si="27"/>
        <v>2.4900000000000002</v>
      </c>
      <c r="ED18" s="250">
        <f t="shared" si="27"/>
        <v>2.4900000000000002</v>
      </c>
      <c r="EE18" s="250">
        <f t="shared" si="27"/>
        <v>2.4900000000000002</v>
      </c>
      <c r="EF18" s="250">
        <f t="shared" si="27"/>
        <v>2.4900000000000002</v>
      </c>
      <c r="EG18" s="250">
        <f t="shared" si="27"/>
        <v>2.4900000000000002</v>
      </c>
      <c r="EH18" s="250">
        <f t="shared" si="27"/>
        <v>2.4900000000000002</v>
      </c>
      <c r="EI18" s="250">
        <f t="shared" si="27"/>
        <v>2.4900000000000002</v>
      </c>
      <c r="EJ18" s="250">
        <f t="shared" si="27"/>
        <v>2.4900000000000002</v>
      </c>
      <c r="EK18" s="250">
        <f t="shared" si="27"/>
        <v>2.4900000000000002</v>
      </c>
      <c r="EL18" s="250">
        <f t="shared" si="27"/>
        <v>2.4900000000000002</v>
      </c>
      <c r="EM18" s="250">
        <f t="shared" si="27"/>
        <v>2.4900000000000002</v>
      </c>
      <c r="EN18" s="250">
        <f t="shared" si="27"/>
        <v>2.4900000000000002</v>
      </c>
      <c r="EO18" s="250">
        <f t="shared" si="27"/>
        <v>2.4900000000000002</v>
      </c>
      <c r="EP18" s="250">
        <f t="shared" si="27"/>
        <v>2.4900000000000002</v>
      </c>
      <c r="EQ18" s="250">
        <f t="shared" si="27"/>
        <v>2.4900000000000002</v>
      </c>
      <c r="ER18" s="250">
        <f t="shared" si="27"/>
        <v>2.4900000000000002</v>
      </c>
      <c r="ES18" s="250">
        <f t="shared" si="27"/>
        <v>2.4900000000000002</v>
      </c>
      <c r="ET18" s="250">
        <f t="shared" si="27"/>
        <v>2.4900000000000002</v>
      </c>
    </row>
    <row r="20" spans="2:150">
      <c r="B20" s="65"/>
    </row>
  </sheetData>
  <phoneticPr fontId="52" type="noConversion"/>
  <conditionalFormatting sqref="I15:X15 AA15:AB15 AE15:AF15 AH15:AJ15 AL15 AP15 AR15 AU15">
    <cfRule type="top10" dxfId="22" priority="1" bottom="1" rank="1"/>
  </conditionalFormatting>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FF20"/>
  <sheetViews>
    <sheetView workbookViewId="0">
      <pane xSplit="9" ySplit="6" topLeftCell="DK7" activePane="bottomRight" state="frozen"/>
      <selection pane="topRight" activeCell="J1" sqref="J1"/>
      <selection pane="bottomLeft" activeCell="A7" sqref="A7"/>
      <selection pane="bottomRight" activeCell="F19" sqref="F19"/>
    </sheetView>
  </sheetViews>
  <sheetFormatPr baseColWidth="10" defaultColWidth="22.6640625" defaultRowHeight="12"/>
  <cols>
    <col min="1" max="1" width="13.33203125" style="60" bestFit="1" customWidth="1"/>
    <col min="2" max="2" width="11.33203125" style="60" bestFit="1" customWidth="1"/>
    <col min="3" max="3" width="4.83203125" style="60" bestFit="1" customWidth="1"/>
    <col min="4" max="4" width="12.33203125" style="60" bestFit="1" customWidth="1"/>
    <col min="5" max="5" width="7.5" style="60" bestFit="1" customWidth="1"/>
    <col min="6" max="6" width="6.5" style="60" bestFit="1" customWidth="1"/>
    <col min="7" max="7" width="4.1640625" style="60" bestFit="1" customWidth="1"/>
    <col min="8" max="8" width="22.83203125" style="60" bestFit="1" customWidth="1"/>
    <col min="9" max="24" width="6.1640625" style="60" bestFit="1" customWidth="1"/>
    <col min="25" max="25" width="7" style="60" bestFit="1" customWidth="1"/>
    <col min="26" max="34" width="6.1640625" style="60" bestFit="1" customWidth="1"/>
    <col min="35" max="36" width="7" style="60" bestFit="1" customWidth="1"/>
    <col min="37" max="49" width="6.1640625" style="60" bestFit="1" customWidth="1"/>
    <col min="50" max="50" width="9" style="60" bestFit="1" customWidth="1"/>
    <col min="51" max="51" width="6.1640625" style="60" bestFit="1" customWidth="1"/>
    <col min="52" max="54" width="7" style="60" bestFit="1" customWidth="1"/>
    <col min="55" max="90" width="6.1640625" style="60" bestFit="1" customWidth="1"/>
    <col min="91" max="91" width="6.33203125" style="60" bestFit="1" customWidth="1"/>
    <col min="92" max="95" width="7" style="60" bestFit="1" customWidth="1"/>
    <col min="96" max="100" width="6.1640625" style="60" bestFit="1" customWidth="1"/>
    <col min="101" max="103" width="5.1640625" style="60" bestFit="1" customWidth="1"/>
    <col min="104" max="107" width="5.83203125" style="60" bestFit="1" customWidth="1"/>
    <col min="108" max="115" width="5.6640625" style="60" bestFit="1" customWidth="1"/>
    <col min="116" max="119" width="6.1640625" style="60" bestFit="1" customWidth="1"/>
    <col min="120" max="123" width="5.83203125" style="60" bestFit="1" customWidth="1"/>
    <col min="124" max="126" width="5.1640625" style="60" bestFit="1" customWidth="1"/>
    <col min="127" max="162" width="3.33203125" style="60" bestFit="1" customWidth="1"/>
    <col min="163" max="16384" width="22.6640625" style="60"/>
  </cols>
  <sheetData>
    <row r="1" spans="1:162" ht="26">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c r="EM1" s="99">
        <v>141</v>
      </c>
      <c r="EN1" s="99">
        <v>142</v>
      </c>
      <c r="EO1" s="99">
        <v>143</v>
      </c>
      <c r="EP1" s="99">
        <v>144</v>
      </c>
      <c r="EQ1" s="99">
        <v>145</v>
      </c>
      <c r="ER1" s="99">
        <v>146</v>
      </c>
      <c r="ES1" s="99">
        <v>147</v>
      </c>
      <c r="ET1" s="99">
        <v>148</v>
      </c>
      <c r="EU1" s="99">
        <v>149</v>
      </c>
      <c r="EV1" s="99">
        <v>150</v>
      </c>
      <c r="EW1" s="99">
        <v>151</v>
      </c>
      <c r="EX1" s="99">
        <v>152</v>
      </c>
      <c r="EY1" s="99">
        <v>153</v>
      </c>
      <c r="EZ1" s="99">
        <v>154</v>
      </c>
      <c r="FA1" s="99">
        <v>155</v>
      </c>
      <c r="FB1" s="99">
        <v>156</v>
      </c>
      <c r="FC1" s="99">
        <v>157</v>
      </c>
      <c r="FD1" s="99">
        <v>158</v>
      </c>
      <c r="FE1" s="99">
        <v>159</v>
      </c>
      <c r="FF1" s="99">
        <v>160</v>
      </c>
    </row>
    <row r="2" spans="1:162" ht="13">
      <c r="A2" s="100" t="s">
        <v>719</v>
      </c>
      <c r="B2" s="112"/>
      <c r="C2" s="101">
        <v>1</v>
      </c>
      <c r="D2" s="112">
        <v>156.06</v>
      </c>
      <c r="E2" s="60">
        <f>D2*C2</f>
        <v>156.06</v>
      </c>
      <c r="K2" s="102"/>
      <c r="M2" s="102"/>
    </row>
    <row r="3" spans="1:162">
      <c r="A3" s="100"/>
      <c r="B3" s="64"/>
      <c r="D3" s="100"/>
      <c r="E3" s="64"/>
      <c r="F3" s="103"/>
    </row>
    <row r="4" spans="1:162">
      <c r="A4" s="64"/>
      <c r="B4" s="64"/>
      <c r="D4" s="64"/>
      <c r="E4" s="64"/>
      <c r="H4" s="60" t="s">
        <v>387</v>
      </c>
    </row>
    <row r="5" spans="1:162">
      <c r="A5" s="74"/>
      <c r="B5" s="74"/>
    </row>
    <row r="6" spans="1:162">
      <c r="A6" s="59"/>
      <c r="B6" s="59"/>
      <c r="C6" s="59"/>
      <c r="D6" s="98"/>
      <c r="E6" s="98"/>
      <c r="F6" s="59"/>
      <c r="H6" s="59" t="s">
        <v>416</v>
      </c>
      <c r="I6" s="59">
        <v>43831</v>
      </c>
      <c r="J6" s="59">
        <v>43862</v>
      </c>
      <c r="K6" s="59">
        <v>43891</v>
      </c>
      <c r="L6" s="59">
        <v>43922</v>
      </c>
      <c r="M6" s="59">
        <v>43952</v>
      </c>
      <c r="N6" s="59">
        <v>43983</v>
      </c>
      <c r="O6" s="59">
        <v>44013</v>
      </c>
      <c r="P6" s="59">
        <v>44044</v>
      </c>
      <c r="Q6" s="59">
        <v>44075</v>
      </c>
      <c r="R6" s="59">
        <v>44105</v>
      </c>
      <c r="S6" s="59">
        <v>44136</v>
      </c>
      <c r="T6" s="59">
        <v>44166</v>
      </c>
      <c r="U6" s="59">
        <v>44197</v>
      </c>
      <c r="V6" s="59">
        <v>44228</v>
      </c>
      <c r="W6" s="59">
        <v>44256</v>
      </c>
      <c r="X6" s="59">
        <v>44287</v>
      </c>
      <c r="Y6" s="59">
        <v>44317</v>
      </c>
      <c r="Z6" s="59">
        <v>44348</v>
      </c>
      <c r="AA6" s="59">
        <v>44378</v>
      </c>
      <c r="AB6" s="59">
        <v>44409</v>
      </c>
      <c r="AC6" s="59">
        <v>44440</v>
      </c>
      <c r="AD6" s="59">
        <v>44470</v>
      </c>
      <c r="AE6" s="59">
        <v>44501</v>
      </c>
      <c r="AF6" s="59">
        <v>44531</v>
      </c>
      <c r="AG6" s="59">
        <v>44562</v>
      </c>
      <c r="AH6" s="59">
        <v>44593</v>
      </c>
      <c r="AI6" s="59">
        <v>44621</v>
      </c>
      <c r="AJ6" s="59">
        <v>44652</v>
      </c>
      <c r="AK6" s="59">
        <v>44682</v>
      </c>
      <c r="AL6" s="59">
        <v>44713</v>
      </c>
      <c r="AM6" s="59">
        <v>44743</v>
      </c>
      <c r="AN6" s="59">
        <v>44774</v>
      </c>
      <c r="AO6" s="59">
        <v>44805</v>
      </c>
      <c r="AP6" s="59">
        <v>44835</v>
      </c>
      <c r="AQ6" s="59">
        <v>44866</v>
      </c>
      <c r="AR6" s="59">
        <v>44896</v>
      </c>
      <c r="AS6" s="59">
        <v>44927</v>
      </c>
      <c r="AT6" s="59">
        <v>44958</v>
      </c>
      <c r="AU6" s="59">
        <v>44986</v>
      </c>
      <c r="AV6" s="59">
        <v>45017</v>
      </c>
      <c r="AW6" s="59">
        <v>45047</v>
      </c>
      <c r="AX6" s="59">
        <v>45078</v>
      </c>
      <c r="AY6" s="59">
        <v>45108</v>
      </c>
      <c r="AZ6" s="59" t="s">
        <v>530</v>
      </c>
      <c r="BA6" s="59" t="s">
        <v>531</v>
      </c>
      <c r="BB6" s="59" t="s">
        <v>532</v>
      </c>
      <c r="BC6" s="59">
        <v>37104</v>
      </c>
      <c r="BD6" s="59">
        <v>37469</v>
      </c>
      <c r="BE6" s="59" t="s">
        <v>168</v>
      </c>
      <c r="BF6" s="59" t="s">
        <v>169</v>
      </c>
      <c r="BG6" s="59" t="s">
        <v>393</v>
      </c>
      <c r="BH6" s="59" t="s">
        <v>458</v>
      </c>
      <c r="BI6" s="59" t="s">
        <v>459</v>
      </c>
      <c r="BJ6" s="59" t="s">
        <v>460</v>
      </c>
      <c r="BK6" s="59" t="s">
        <v>596</v>
      </c>
      <c r="BL6" s="59" t="s">
        <v>597</v>
      </c>
      <c r="BM6" s="59" t="s">
        <v>598</v>
      </c>
      <c r="BN6" s="59" t="s">
        <v>599</v>
      </c>
      <c r="BO6" s="59">
        <v>37196</v>
      </c>
      <c r="BP6" s="59">
        <v>37561</v>
      </c>
      <c r="BQ6" s="59">
        <v>37926</v>
      </c>
      <c r="BR6" s="59">
        <v>38292</v>
      </c>
      <c r="BS6" s="59">
        <v>37226</v>
      </c>
      <c r="BT6" s="59">
        <v>37591</v>
      </c>
      <c r="BU6" s="59">
        <v>37956</v>
      </c>
      <c r="BV6" s="59">
        <v>38322</v>
      </c>
      <c r="BW6" s="59">
        <v>36892</v>
      </c>
      <c r="BX6" s="59">
        <v>37257</v>
      </c>
      <c r="BY6" s="59">
        <v>37622</v>
      </c>
      <c r="BZ6" s="59">
        <v>37987</v>
      </c>
      <c r="CA6" s="59">
        <v>36923</v>
      </c>
      <c r="CB6" s="59">
        <v>37288</v>
      </c>
      <c r="CC6" s="59">
        <v>37653</v>
      </c>
      <c r="CD6" s="59">
        <v>38018</v>
      </c>
      <c r="CE6" s="59" t="str">
        <f>Sheet8!A15</f>
        <v>Mar-w1</v>
      </c>
      <c r="CF6" s="59">
        <v>37316</v>
      </c>
      <c r="CG6" s="59">
        <v>37681</v>
      </c>
      <c r="CH6" s="59">
        <v>38047</v>
      </c>
      <c r="CI6" s="59" t="str">
        <f>Sheet8!E15</f>
        <v>Apr-w1</v>
      </c>
      <c r="CJ6" s="59" t="str">
        <f>Sheet8!F15</f>
        <v>Apr-w2</v>
      </c>
      <c r="CK6" s="59" t="str">
        <f>Sheet8!G15</f>
        <v>Apr-w3</v>
      </c>
      <c r="CL6" s="59" t="str">
        <f>Sheet8!H15</f>
        <v>Apr-w4</v>
      </c>
      <c r="CM6" s="59" t="str">
        <f>Sheet8!I15</f>
        <v>May-w1</v>
      </c>
      <c r="CN6" s="59" t="str">
        <f>Sheet8!J15</f>
        <v>May-w2</v>
      </c>
      <c r="CO6" s="59" t="str">
        <f>Sheet8!K15</f>
        <v>May-w3</v>
      </c>
      <c r="CP6" s="59" t="str">
        <f>Sheet8!L15</f>
        <v>May-w4</v>
      </c>
      <c r="CQ6" s="59" t="str">
        <f>Sheet8!M15</f>
        <v>May-w5</v>
      </c>
      <c r="CR6" s="59" t="str">
        <f>Sheet8!N15</f>
        <v>june-w1</v>
      </c>
      <c r="CS6" s="59" t="str">
        <f>Sheet8!O15</f>
        <v>june-w2</v>
      </c>
      <c r="CT6" s="59" t="str">
        <f>Sheet8!P15</f>
        <v>june-w3</v>
      </c>
      <c r="CU6" s="59" t="str">
        <f>Sheet8!Q15</f>
        <v>june-w4</v>
      </c>
      <c r="CV6" s="59" t="str">
        <f>Sheet8!R15</f>
        <v>Jul-w1</v>
      </c>
      <c r="CW6" s="59" t="str">
        <f>Sheet8!S15</f>
        <v>Jul-w2</v>
      </c>
      <c r="CX6" s="59" t="str">
        <f>Sheet8!T15</f>
        <v>Jul-w3</v>
      </c>
      <c r="CY6" s="59" t="str">
        <f>Sheet8!U15</f>
        <v>Jul-w4</v>
      </c>
      <c r="CZ6" s="59" t="str">
        <f>Sheet8!V15</f>
        <v>Aug-w1</v>
      </c>
      <c r="DA6" s="59" t="str">
        <f>Sheet8!W15</f>
        <v>Aug-w2</v>
      </c>
      <c r="DB6" s="59" t="str">
        <f>Sheet8!X15</f>
        <v>Aug-w3</v>
      </c>
      <c r="DC6" s="59" t="str">
        <f>Sheet8!Y15</f>
        <v>Aug-w4</v>
      </c>
      <c r="DD6" s="59" t="str">
        <f>Sheet8!Z15</f>
        <v>Sep-w1</v>
      </c>
      <c r="DE6" s="59" t="str">
        <f>Sheet8!AA15</f>
        <v>Sep-w2</v>
      </c>
      <c r="DF6" s="59" t="str">
        <f>Sheet8!AB15</f>
        <v>Sep-w3</v>
      </c>
      <c r="DG6" s="59" t="str">
        <f>Sheet8!AC15</f>
        <v>Sep-w4</v>
      </c>
      <c r="DH6" s="59" t="str">
        <f>Sheet8!AD15</f>
        <v>Oct-w1</v>
      </c>
      <c r="DI6" s="59" t="str">
        <f>Sheet8!AE15</f>
        <v>Oct-w2</v>
      </c>
      <c r="DJ6" s="59" t="str">
        <f>Sheet8!AF15</f>
        <v>Oct-w3</v>
      </c>
      <c r="DK6" s="59" t="str">
        <f>Sheet8!AG15</f>
        <v>Oct-w4</v>
      </c>
      <c r="DL6" s="59" t="str">
        <f>Sheet8!AH15</f>
        <v>Nov-w1</v>
      </c>
      <c r="DM6" s="59" t="str">
        <f>Sheet8!AI15</f>
        <v>Nov-w2</v>
      </c>
      <c r="DN6" s="59" t="str">
        <f>Sheet8!AJ15</f>
        <v>Nov-w3</v>
      </c>
      <c r="DO6" s="59" t="str">
        <f>Sheet8!AK15</f>
        <v>Nov-w4</v>
      </c>
      <c r="DP6" s="59" t="str">
        <f>Sheet8!AL15</f>
        <v>Dec-w1</v>
      </c>
      <c r="DQ6" s="59" t="str">
        <f>Sheet8!AM15</f>
        <v>Dec-w2</v>
      </c>
      <c r="DR6" s="59" t="str">
        <f>Sheet8!AN15</f>
        <v>Dec-w3</v>
      </c>
      <c r="DS6" s="59" t="str">
        <f>Sheet8!AO15</f>
        <v>Dec-w4</v>
      </c>
      <c r="DT6" s="59">
        <f>Sheet8!AP15</f>
        <v>0</v>
      </c>
      <c r="DU6" s="59">
        <f>Sheet8!AQ15</f>
        <v>0</v>
      </c>
      <c r="DV6" s="59">
        <f>Sheet8!AR15</f>
        <v>0</v>
      </c>
    </row>
    <row r="7" spans="1:162">
      <c r="B7" s="44"/>
      <c r="D7" s="44" t="s">
        <v>720</v>
      </c>
      <c r="F7" s="60" t="s">
        <v>651</v>
      </c>
      <c r="H7" s="178" t="s">
        <v>62</v>
      </c>
      <c r="I7" s="74">
        <f>VLOOKUP($H$7&amp;$F$1,'Input RM sheet'!$A:$BD,H1,0)</f>
        <v>6031.21</v>
      </c>
      <c r="J7" s="74">
        <f>VLOOKUP($H$7&amp;$F$1,'Input RM sheet'!$A:$BD,I1,0)</f>
        <v>5687.75</v>
      </c>
      <c r="K7" s="74">
        <f>VLOOKUP($H$7&amp;$F$1,'Input RM sheet'!$A:$BD,J1,0)</f>
        <v>5182.63</v>
      </c>
      <c r="L7" s="74">
        <f>VLOOKUP($H$7&amp;$F$1,'Input RM sheet'!$A:$BD,K1,0)</f>
        <v>5057.97</v>
      </c>
      <c r="M7" s="74">
        <f>VLOOKUP($H$7&amp;$F$1,'Input RM sheet'!$A:$BD,L1,0)</f>
        <v>5239.83</v>
      </c>
      <c r="N7" s="74">
        <f>VLOOKUP($H$7&amp;$F$1,'Input RM sheet'!$A:$BD,M1,0)</f>
        <v>5754.6</v>
      </c>
      <c r="O7" s="74">
        <f>VLOOKUP($H$7&amp;$F$1,'Input RM sheet'!$A:$BD,N1,0)</f>
        <v>6372.46</v>
      </c>
      <c r="P7" s="74">
        <f>VLOOKUP($H$7&amp;$F$1,'Input RM sheet'!$A:$BD,O1,0)</f>
        <v>6498.94</v>
      </c>
      <c r="Q7" s="74">
        <f>VLOOKUP($H$7&amp;$F$1,'Input RM sheet'!$A:$BD,P1,0)</f>
        <v>6704.9</v>
      </c>
      <c r="R7" s="74">
        <f>VLOOKUP($H$7&amp;$F$1,'Input RM sheet'!$A:$BD,Q1,0)</f>
        <v>6713.81</v>
      </c>
      <c r="S7" s="74">
        <f>VLOOKUP($H$7&amp;$F$1,'Input RM sheet'!$A:$BD,R1,0)</f>
        <v>7068.91</v>
      </c>
      <c r="T7" s="74">
        <f>VLOOKUP($H$7&amp;$F$1,'Input RM sheet'!$A:$BD,S1,0)</f>
        <v>7772.24</v>
      </c>
      <c r="U7" s="74">
        <f>VLOOKUP($H$7&amp;$F$1,'Input RM sheet'!$A:$BD,T1,0)</f>
        <v>7972.15</v>
      </c>
      <c r="V7" s="74">
        <f>VLOOKUP($H$7&amp;$F$1,'Input RM sheet'!$A:$BD,U1,0)</f>
        <v>8470.94</v>
      </c>
      <c r="W7" s="74">
        <f>VLOOKUP($H$7&amp;$F$1,'Input RM sheet'!$A:$BD,V1,0)</f>
        <v>8988.25</v>
      </c>
      <c r="X7" s="74">
        <f>VLOOKUP($H$7&amp;$F$1,'Input RM sheet'!$A:$BD,W1,0)</f>
        <v>9324.82</v>
      </c>
      <c r="Y7" s="74">
        <f>VLOOKUP($H$7&amp;$F$1,'Input RM sheet'!$A:$BD,X1,0)</f>
        <v>10161.969999999999</v>
      </c>
      <c r="Z7" s="74">
        <f>VLOOKUP($H$7&amp;$F$1,'Input RM sheet'!$A:$BD,Y1,0)</f>
        <v>9631.5</v>
      </c>
      <c r="AA7" s="74">
        <f>VLOOKUP($H$7&amp;$F$1,'Input RM sheet'!$A:$BD,Z1,0)</f>
        <v>9450.82</v>
      </c>
      <c r="AB7" s="74">
        <f>VLOOKUP($H$7&amp;$F$1,'Input RM sheet'!$A:$BD,AA1,0)</f>
        <v>9370.14</v>
      </c>
      <c r="AC7" s="74">
        <f>VLOOKUP($H$7&amp;$F$1,'Input RM sheet'!$A:$BD,AB1,0)</f>
        <v>9324.7099999999991</v>
      </c>
      <c r="AD7" s="74">
        <f>VLOOKUP($H$7&amp;$F$1,'Input RM sheet'!$A:$BD,AC1,0)</f>
        <v>9829.2199999999993</v>
      </c>
      <c r="AE7" s="74">
        <f>VLOOKUP($H$7&amp;$F$1,'Input RM sheet'!$A:$BD,AD1,0)</f>
        <v>9728.9</v>
      </c>
      <c r="AF7" s="74">
        <f>VLOOKUP($H$7&amp;$F$1,'Input RM sheet'!$A:$BD,AE1,0)</f>
        <v>9551.18</v>
      </c>
      <c r="AG7" s="74">
        <f>VLOOKUP($H$7&amp;$F$1,'Input RM sheet'!$A:$BD,AF1,0)</f>
        <v>9782.34</v>
      </c>
      <c r="AH7" s="74">
        <f>VLOOKUP($H$7&amp;$F$1,'Input RM sheet'!$A:$BD,AG1,0)</f>
        <v>9943.17</v>
      </c>
      <c r="AI7" s="74">
        <f>VLOOKUP($H$7&amp;$F$1,'Input RM sheet'!$A:$BD,AH1,0)</f>
        <v>10230.89</v>
      </c>
      <c r="AJ7" s="74">
        <f>VLOOKUP($H$7&amp;$F$1,'Input RM sheet'!$A:$BD,AI1,0)</f>
        <v>10181</v>
      </c>
      <c r="AK7" s="74">
        <f>VLOOKUP($H$7&amp;$F$1,'Input RM sheet'!$A:$BD,AJ1,0)</f>
        <v>9377.15</v>
      </c>
      <c r="AL7" s="74">
        <f>VLOOKUP($H$7&amp;$F$1,'Input RM sheet'!$A:$BD,AK1,0)</f>
        <v>9024.4599999999991</v>
      </c>
      <c r="AM7" s="74">
        <f>VLOOKUP($H$7&amp;$F$1,'Input RM sheet'!$A:$BD,AL1,0)</f>
        <v>7544.81</v>
      </c>
      <c r="AN7" s="74">
        <f>VLOOKUP($H$7&amp;$F$1,'Input RM sheet'!$A:$BD,AM1,0)</f>
        <v>7981.84</v>
      </c>
      <c r="AO7" s="74">
        <f>VLOOKUP($H$7&amp;$F$1,'Input RM sheet'!$A:$BD,AN1,0)</f>
        <v>7746.01</v>
      </c>
      <c r="AP7" s="74">
        <f>VLOOKUP($H$7&amp;$F$1,'Input RM sheet'!$A:$BD,AO1,0)</f>
        <v>7651.08</v>
      </c>
      <c r="AQ7" s="74">
        <f>VLOOKUP($H$7&amp;$F$1,'Input RM sheet'!$A:$BD,AP1,0)</f>
        <v>8049.86</v>
      </c>
      <c r="AR7" s="74">
        <f>VLOOKUP($H$7&amp;$F$1,'Input RM sheet'!$A:$BD,AQ1,0)</f>
        <v>8375.4</v>
      </c>
      <c r="AS7" s="74">
        <f>VLOOKUP($H$7&amp;$F$1,'Input RM sheet'!$A:$BD,AR1,0)</f>
        <v>8999</v>
      </c>
      <c r="AT7" s="74">
        <f>VLOOKUP($H$7&amp;$F$1,'Input RM sheet'!$A:$BD,AS1,0)</f>
        <v>8954</v>
      </c>
      <c r="AU7" s="74">
        <f>VLOOKUP($H$7&amp;$F$1,'Input RM sheet'!$A:$BD,AT1,0)</f>
        <v>8834</v>
      </c>
      <c r="AV7" s="74">
        <f>VLOOKUP($H$7&amp;$F$1,'Input RM sheet'!$A:$BD,AU1,0)</f>
        <v>8812</v>
      </c>
      <c r="AW7" s="74">
        <f>VLOOKUP($H$7&amp;$F$1,'Input RM sheet'!$A:$BD,AV1,0)</f>
        <v>8493.5</v>
      </c>
      <c r="AX7" s="74">
        <f>VLOOKUP($H$7&amp;$F$1,'Input RM sheet'!$A:$BD,AW1,0)</f>
        <v>8367</v>
      </c>
      <c r="AY7" s="74">
        <f>VLOOKUP($H$7&amp;$F$1,'Input RM sheet'!$A:$BD,AX1,0)</f>
        <v>8251</v>
      </c>
      <c r="AZ7" s="74">
        <f>VLOOKUP($H$7&amp;$F$1,'Input RM sheet'!$A:$BD,AY1,0)</f>
        <v>8651</v>
      </c>
      <c r="BA7" s="74">
        <f>VLOOKUP($H$7&amp;$F$1,'Input RM sheet'!$A:$BD,AZ1,0)</f>
        <v>8429</v>
      </c>
      <c r="BB7" s="74">
        <f>VLOOKUP($H$7&amp;$F$1,'Input RM sheet'!$A:$BD,BA1,0)</f>
        <v>8591</v>
      </c>
      <c r="BC7" s="74">
        <f>VLOOKUP($H$7&amp;$F$1,'Input RM sheet'!$A:$BD,BB1,0)</f>
        <v>8423</v>
      </c>
      <c r="BD7" s="74">
        <f>VLOOKUP($H$7&amp;$F$1,'Input RM sheet'!$A:$BD,BC1,0)</f>
        <v>8126</v>
      </c>
      <c r="BE7" s="74">
        <f>VLOOKUP($H$7&amp;$F$1,'Input RM sheet'!$A:$BD,BD1,0)</f>
        <v>8359</v>
      </c>
      <c r="BF7" s="74">
        <f>VLOOKUP($H$7&amp;$F$1,'Input RM sheet'!$A:$DD,BE1,0)</f>
        <v>8359</v>
      </c>
      <c r="BG7" s="74">
        <f>VLOOKUP($H$7&amp;$F$1,'Input RM sheet'!$A:$DD,BF1,0)</f>
        <v>8487</v>
      </c>
      <c r="BH7" s="74">
        <f>VLOOKUP($H$7&amp;$F$1,'Input RM sheet'!$A:$DD,BG1,0)</f>
        <v>8275</v>
      </c>
      <c r="BI7" s="74">
        <f>VLOOKUP($H$7&amp;$F$1,'Input RM sheet'!$A:$DD,BH1,0)</f>
        <v>8187</v>
      </c>
      <c r="BJ7" s="74">
        <f>VLOOKUP($H$7&amp;$F$1,'Input RM sheet'!$A:$DD,BI1,0)</f>
        <v>8111</v>
      </c>
      <c r="BK7" s="74">
        <f>VLOOKUP($H$7&amp;$F$1,'Input RM sheet'!$A:$DD,BJ1,0)</f>
        <v>8046</v>
      </c>
      <c r="BL7" s="74">
        <f>VLOOKUP($H$7&amp;$F$1,'Input RM sheet'!$A:$DD,BK1,0)</f>
        <v>7991</v>
      </c>
      <c r="BM7" s="74">
        <f>VLOOKUP($H$7&amp;$F$1,'Input RM sheet'!$A:$DD,BL1,0)</f>
        <v>8051.5</v>
      </c>
      <c r="BN7" s="74">
        <f>VLOOKUP($H$7&amp;$F$1,'Input RM sheet'!$A:$DD,BM1,0)</f>
        <v>8099</v>
      </c>
      <c r="BO7" s="74">
        <f>VLOOKUP($H$7&amp;$F$1,'Input RM sheet'!$A:$DD,BN1,0)</f>
        <v>8175.5</v>
      </c>
      <c r="BP7" s="74">
        <f>VLOOKUP($H$7&amp;$F$1,'Input RM sheet'!$A:$DD,BO1,0)</f>
        <v>8235</v>
      </c>
      <c r="BQ7" s="74">
        <f>VLOOKUP($H$7&amp;$F$1,'Input RM sheet'!$A:$DD,BP1,0)</f>
        <v>8235</v>
      </c>
      <c r="BR7" s="74">
        <f>VLOOKUP($H$7&amp;$F$1,'Input RM sheet'!$A:$DD,BQ1,0)</f>
        <v>8409.5</v>
      </c>
      <c r="BS7" s="74">
        <f>VLOOKUP($H$7&amp;$F$1,'Input RM sheet'!$A:$DD,BR1,0)</f>
        <v>8334</v>
      </c>
      <c r="BT7" s="74">
        <f>VLOOKUP($H$7&amp;$F$1,'Input RM sheet'!$A:$DD,BS1,0)</f>
        <v>8330</v>
      </c>
      <c r="BU7" s="74">
        <f>VLOOKUP($H$7&amp;$F$1,'Input RM sheet'!$A:$DD,BT1,0)</f>
        <v>8595.5</v>
      </c>
      <c r="BV7" s="74">
        <f>VLOOKUP($H$7&amp;$F$1,'Input RM sheet'!$A:$DD,BU1,0)</f>
        <v>8559</v>
      </c>
      <c r="BW7" s="74">
        <f>VLOOKUP($H$7&amp;$F$1,'Input RM sheet'!$A:$DD,BV1,0)</f>
        <v>8463</v>
      </c>
      <c r="BX7" s="74">
        <f>VLOOKUP($H$7&amp;$F$1,'Input RM sheet'!$A:$DD,BW1,0)</f>
        <v>8351</v>
      </c>
      <c r="BY7" s="74">
        <f>VLOOKUP($H$7&amp;$F$1,'Input RM sheet'!$A:$DD,BX1,0)</f>
        <v>8351</v>
      </c>
      <c r="BZ7" s="74">
        <f>VLOOKUP($H$7&amp;$F$1,'Input RM sheet'!$A:$DD,BY1,0)</f>
        <v>8482</v>
      </c>
      <c r="CA7" s="74">
        <f>VLOOKUP($H$7&amp;$F$1,'Input RM sheet'!$A:$DD,BZ1,0)</f>
        <v>8325</v>
      </c>
      <c r="CB7" s="74">
        <f>VLOOKUP($H$7&amp;$F$1,'Input RM sheet'!$A:$DD,CA1,0)</f>
        <v>8325</v>
      </c>
      <c r="CC7" s="74">
        <f>VLOOKUP($H$7&amp;$F$1,'Input RM sheet'!$A:$DD,CB1,0)</f>
        <v>8442</v>
      </c>
      <c r="CD7" s="74">
        <f>VLOOKUP($H$7&amp;$F$1,'Input RM sheet'!$A:$DD,CC1,0)</f>
        <v>8474</v>
      </c>
      <c r="CE7" s="74">
        <f>VLOOKUP($H$7&amp;$F$1,'Input RM sheet'!$A:$DD,CD1,0)</f>
        <v>8600</v>
      </c>
      <c r="CF7" s="74">
        <f>VLOOKUP($H$7&amp;$F$1,'Input RM sheet'!$A:$DD,CE1,0)</f>
        <v>8653</v>
      </c>
      <c r="CG7" s="74">
        <f>VLOOKUP($H$7&amp;$F$1,'Input RM sheet'!$A:$DD,CF1,0)</f>
        <v>8928</v>
      </c>
      <c r="CH7" s="74">
        <f>VLOOKUP($H$7&amp;$F$1,'Input RM sheet'!$A:$DD,CG1,0)</f>
        <v>8867</v>
      </c>
      <c r="CI7" s="74">
        <f>VLOOKUP($H$7&amp;$F$1,'Input RM sheet'!$A:$DD,CH1,0)</f>
        <v>9299</v>
      </c>
      <c r="CJ7" s="74">
        <f>VLOOKUP($H$7&amp;$F$1,'Input RM sheet'!$A:$DD,CI1,0)</f>
        <v>9239</v>
      </c>
      <c r="CK7" s="74">
        <f>VLOOKUP($H$7&amp;$F$1,'Input RM sheet'!$A:$DD,CJ1,0)</f>
        <v>9432</v>
      </c>
      <c r="CL7" s="74">
        <f>VLOOKUP($H$7&amp;$F$1,'Input RM sheet'!$A:$DD,CK1,0)</f>
        <v>9930</v>
      </c>
      <c r="CM7" s="74">
        <f>VLOOKUP($H$7&amp;$F$1,'Input RM sheet'!$A:$DD,CL1,0)</f>
        <v>9910</v>
      </c>
      <c r="CN7" s="74">
        <f>VLOOKUP($H$7&amp;$F$1,'Input RM sheet'!$A:$DD,CM1,0)</f>
        <v>10424</v>
      </c>
      <c r="CO7" s="74">
        <f>VLOOKUP($H$7&amp;$F$1,'Input RM sheet'!$A:$DD,CN1,0)</f>
        <v>10221</v>
      </c>
      <c r="CP7" s="74">
        <f>VLOOKUP($H$7&amp;$F$1,'Input RM sheet'!$A:$DD,CO1,0)</f>
        <v>10775</v>
      </c>
      <c r="CQ7" s="74">
        <f>VLOOKUP($H$7&amp;$F$1,'Input RM sheet'!$A:$DD,CP1,0)</f>
        <v>10256</v>
      </c>
      <c r="CR7" s="74">
        <f>VLOOKUP($H$7&amp;$F$1,'Input RM sheet'!$A:$ZZ,CQ1,0)</f>
        <v>9945</v>
      </c>
      <c r="CS7" s="74">
        <f>VLOOKUP($H$7&amp;$F$1,'Input RM sheet'!$A:$ZZ,CR1,0)</f>
        <v>9651</v>
      </c>
      <c r="CT7" s="74">
        <f>VLOOKUP($H$7&amp;$F$1,'Input RM sheet'!$A:$ZZ,CS1,0)</f>
        <v>9661</v>
      </c>
      <c r="CU7" s="74">
        <f>VLOOKUP($H$7&amp;$F$1,'Input RM sheet'!$A:$ZZ,CT1,0)</f>
        <v>9452</v>
      </c>
      <c r="CV7" s="74">
        <f>VLOOKUP($H$7&amp;$F$1,'Input RM sheet'!$A:$ZZ,CU1,0)</f>
        <v>9944</v>
      </c>
      <c r="CW7" s="74">
        <f>VLOOKUP($H$7&amp;$F$1,'Input RM sheet'!$A:$ZZ,CV1,0)</f>
        <v>9663</v>
      </c>
      <c r="CX7" s="74">
        <f>VLOOKUP($H$7&amp;$F$1,'Input RM sheet'!$A:$ZZ,CW1,0)</f>
        <v>9166</v>
      </c>
      <c r="CY7" s="74">
        <f>VLOOKUP($H$7&amp;$F$1,'Input RM sheet'!$A:$ZZ,CX1,0)</f>
        <v>9052</v>
      </c>
      <c r="CZ7" s="74">
        <f>VLOOKUP($H$7&amp;$F$1,'Input RM sheet'!$A:$ZZ,CY1,0)</f>
        <v>8684</v>
      </c>
      <c r="DA7" s="74">
        <f>VLOOKUP($H$7&amp;$F$1,'Input RM sheet'!$A:$ZZ,CZ1,0)</f>
        <v>8850</v>
      </c>
      <c r="DB7" s="74">
        <f>VLOOKUP($H$7&amp;$F$1,'Input RM sheet'!$A:$ZZ,DA1,0)</f>
        <v>8938</v>
      </c>
      <c r="DC7" s="74">
        <f>VLOOKUP($H$7&amp;$F$1,'Input RM sheet'!$A:$ZZ,DB1,0)</f>
        <v>9135</v>
      </c>
      <c r="DD7" s="74">
        <f>VLOOKUP($H$7&amp;$F$1,'Input RM sheet'!$A:$ZZ,DC1,0)</f>
        <v>9013</v>
      </c>
      <c r="DE7" s="74">
        <f>VLOOKUP($H$7&amp;$F$1,'Input RM sheet'!$A:$ZZ,DD1,0)</f>
        <v>9007</v>
      </c>
      <c r="DF7" s="74">
        <f>VLOOKUP($H$7&amp;$F$1,'Input RM sheet'!$A:$ZZ,DE1,0)</f>
        <v>9289</v>
      </c>
      <c r="DG7" s="74">
        <f>VLOOKUP($H$7&amp;$F$1,'Input RM sheet'!$A:$ZZ,DF1,0)</f>
        <v>9882</v>
      </c>
      <c r="DH7" s="74">
        <f>VLOOKUP($H$7&amp;$F$1,'Input RM sheet'!$A:$ZZ,DG1,0)</f>
        <v>9618</v>
      </c>
      <c r="DI7" s="74">
        <f>VLOOKUP($H$7&amp;$F$1,'Input RM sheet'!$A:$ZZ,DH1,0)</f>
        <v>9515</v>
      </c>
      <c r="DJ7" s="74">
        <f>VLOOKUP($H$7&amp;$F$1,'Input RM sheet'!$A:$ZZ,DI1,0)</f>
        <v>9413</v>
      </c>
      <c r="DK7" s="74">
        <f>VLOOKUP($H$7&amp;$F$1,'Input RM sheet'!$A:$ZZ,DJ1,0)</f>
        <v>9400</v>
      </c>
      <c r="DL7" s="74">
        <f>VLOOKUP($H$7&amp;$F$1,'Input RM sheet'!$A:$ZZ,DK1,0)</f>
        <v>9504</v>
      </c>
      <c r="DM7" s="74">
        <f>VLOOKUP($H$7&amp;$F$1,'Input RM sheet'!$A:$ZZ,DL1,0)</f>
        <v>9251</v>
      </c>
      <c r="DN7" s="74">
        <f>VLOOKUP($H$7&amp;$F$1,'Input RM sheet'!$A:$ZZ,DM1,0)</f>
        <v>8828</v>
      </c>
      <c r="DO7" s="74">
        <f>VLOOKUP($H$7&amp;$F$1,'Input RM sheet'!$A:$ZZ,DN1,0)</f>
        <v>8878</v>
      </c>
      <c r="DP7" s="74">
        <f>VLOOKUP($H$7&amp;$F$1,'Input RM sheet'!$A:$ZZ,DO1,0)</f>
        <v>8940</v>
      </c>
      <c r="DQ7" s="74">
        <f>VLOOKUP($H$7&amp;$F$1,'Input RM sheet'!$A:$ZZ,DP1,0)</f>
        <v>9038</v>
      </c>
      <c r="DR7" s="74">
        <f>VLOOKUP($H$7&amp;$F$1,'Input RM sheet'!$A:$ZZ,DQ1,0)</f>
        <v>8989</v>
      </c>
      <c r="DS7" s="74">
        <f>VLOOKUP($H$7&amp;$F$1,'Input RM sheet'!$A:$ZZ,DR1,0)</f>
        <v>8912</v>
      </c>
      <c r="DT7" s="74">
        <f>VLOOKUP($H$7&amp;$F$1,'Input RM sheet'!$A:$ZZ,DS1,0)</f>
        <v>0</v>
      </c>
      <c r="DU7" s="74">
        <f>VLOOKUP($H$7&amp;$F$1,'Input RM sheet'!$A:$ZZ,DT1,0)</f>
        <v>0</v>
      </c>
      <c r="DV7" s="74">
        <f>VLOOKUP($H$7&amp;$F$1,'Input RM sheet'!$A:$ZZ,DU1,0)</f>
        <v>0</v>
      </c>
    </row>
    <row r="8" spans="1:162">
      <c r="B8" s="44"/>
      <c r="D8" s="44" t="s">
        <v>41</v>
      </c>
      <c r="F8" s="60" t="s">
        <v>651</v>
      </c>
      <c r="H8" s="44" t="s">
        <v>72</v>
      </c>
      <c r="I8" s="74">
        <f>VLOOKUP($H$8&amp;$F$1,'Input RM sheet'!$A:$BD,H1,0)</f>
        <v>0</v>
      </c>
      <c r="J8" s="74">
        <f>VLOOKUP($H$8&amp;$F$1,'Input RM sheet'!$A:$BD,I1,0)</f>
        <v>0</v>
      </c>
      <c r="K8" s="74">
        <f>VLOOKUP($H$8&amp;$F$1,'Input RM sheet'!$A:$BD,J1,0)</f>
        <v>0</v>
      </c>
      <c r="L8" s="74">
        <f>VLOOKUP($H$8&amp;$F$1,'Input RM sheet'!$A:$BD,K1,0)</f>
        <v>0</v>
      </c>
      <c r="M8" s="74">
        <f>VLOOKUP($H$8&amp;$F$1,'Input RM sheet'!$A:$BD,L1,0)</f>
        <v>0</v>
      </c>
      <c r="N8" s="74">
        <f>VLOOKUP($H$8&amp;$F$1,'Input RM sheet'!$A:$BD,M1,0)</f>
        <v>0</v>
      </c>
      <c r="O8" s="74">
        <f>VLOOKUP($H$8&amp;$F$1,'Input RM sheet'!$A:$BD,N1,0)</f>
        <v>0</v>
      </c>
      <c r="P8" s="74">
        <f>VLOOKUP($H$8&amp;$F$1,'Input RM sheet'!$A:$BD,O1,0)</f>
        <v>0</v>
      </c>
      <c r="Q8" s="74">
        <f>VLOOKUP($H$8&amp;$F$1,'Input RM sheet'!$A:$BD,P1,0)</f>
        <v>0</v>
      </c>
      <c r="R8" s="74">
        <f>VLOOKUP($H$8&amp;$F$1,'Input RM sheet'!$A:$BD,Q1,0)</f>
        <v>0</v>
      </c>
      <c r="S8" s="74">
        <f>VLOOKUP($H$8&amp;$F$1,'Input RM sheet'!$A:$BD,R1,0)</f>
        <v>0</v>
      </c>
      <c r="T8" s="74">
        <f>VLOOKUP($H$8&amp;$F$1,'Input RM sheet'!$A:$BD,S1,0)</f>
        <v>0</v>
      </c>
      <c r="U8" s="74">
        <f>VLOOKUP($H$8&amp;$F$1,'Input RM sheet'!$A:$BD,T1,0)</f>
        <v>0</v>
      </c>
      <c r="V8" s="74">
        <f>VLOOKUP($H$8&amp;$F$1,'Input RM sheet'!$A:$BD,U1,0)</f>
        <v>0</v>
      </c>
      <c r="W8" s="74">
        <f>VLOOKUP($H$8&amp;$F$1,'Input RM sheet'!$A:$BD,V1,0)</f>
        <v>0</v>
      </c>
      <c r="X8" s="74">
        <f>VLOOKUP($H$8&amp;$F$1,'Input RM sheet'!$A:$BD,W1,0)</f>
        <v>0</v>
      </c>
      <c r="Y8" s="74">
        <f>VLOOKUP($H$8&amp;$F$1,'Input RM sheet'!$A:$BD,X1,0)</f>
        <v>0</v>
      </c>
      <c r="Z8" s="74">
        <f>VLOOKUP($H$8&amp;$F$1,'Input RM sheet'!$A:$BD,Y1,0)</f>
        <v>0</v>
      </c>
      <c r="AA8" s="74">
        <f>VLOOKUP($H$8&amp;$F$1,'Input RM sheet'!$A:$BD,Z1,0)</f>
        <v>0</v>
      </c>
      <c r="AB8" s="74">
        <f>VLOOKUP($H$8&amp;$F$1,'Input RM sheet'!$A:$BD,AA1,0)</f>
        <v>0</v>
      </c>
      <c r="AC8" s="74">
        <f>VLOOKUP($H$8&amp;$F$1,'Input RM sheet'!$A:$BD,AB1,0)</f>
        <v>0</v>
      </c>
      <c r="AD8" s="74">
        <f>VLOOKUP($H$8&amp;$F$1,'Input RM sheet'!$A:$BD,AC1,0)</f>
        <v>0</v>
      </c>
      <c r="AE8" s="74">
        <f>VLOOKUP($H$8&amp;$F$1,'Input RM sheet'!$A:$BD,AD1,0)</f>
        <v>0</v>
      </c>
      <c r="AF8" s="74">
        <f>VLOOKUP($H$8&amp;$F$1,'Input RM sheet'!$A:$BD,AE1,0)</f>
        <v>0</v>
      </c>
      <c r="AG8" s="74">
        <f>VLOOKUP($H$8&amp;$F$1,'Input RM sheet'!$A:$BD,AF1,0)</f>
        <v>0.11</v>
      </c>
      <c r="AH8" s="74">
        <f>VLOOKUP($H$8&amp;$F$1,'Input RM sheet'!$A:$BD,AG1,0)</f>
        <v>0.12</v>
      </c>
      <c r="AI8" s="74">
        <f>VLOOKUP($H$8&amp;$F$1,'Input RM sheet'!$A:$BD,AH1,0)</f>
        <v>0.15</v>
      </c>
      <c r="AJ8" s="74">
        <f>VLOOKUP($H$8&amp;$F$1,'Input RM sheet'!$A:$BD,AI1,0)</f>
        <v>0.17</v>
      </c>
      <c r="AK8" s="74">
        <f>VLOOKUP($H$8&amp;$F$1,'Input RM sheet'!$A:$BD,AJ1,0)</f>
        <v>0.16</v>
      </c>
      <c r="AL8" s="74">
        <f>VLOOKUP($H$8&amp;$F$1,'Input RM sheet'!$A:$BD,AK1,0)</f>
        <v>0.14000000000000001</v>
      </c>
      <c r="AM8" s="74">
        <f>VLOOKUP($H$8&amp;$F$1,'Input RM sheet'!$A:$BD,AL1,0)</f>
        <v>0.12</v>
      </c>
      <c r="AN8" s="74">
        <f>VLOOKUP($H$8&amp;$F$1,'Input RM sheet'!$A:$BD,AM1,0)</f>
        <v>0.08</v>
      </c>
      <c r="AO8" s="74">
        <f>VLOOKUP($H$8&amp;$F$1,'Input RM sheet'!$A:$BD,AN1,0)</f>
        <v>0.04</v>
      </c>
      <c r="AP8" s="74">
        <f>VLOOKUP($H$8&amp;$F$1,'Input RM sheet'!$A:$BD,AO1,0)</f>
        <v>0.05</v>
      </c>
      <c r="AQ8" s="74">
        <f>VLOOKUP($H$8&amp;$F$1,'Input RM sheet'!$A:$BD,AP1,0)</f>
        <v>0.05</v>
      </c>
      <c r="AR8" s="74">
        <f>VLOOKUP($H$8&amp;$F$1,'Input RM sheet'!$A:$BD,AQ1,0)</f>
        <v>0.05</v>
      </c>
      <c r="AS8" s="74">
        <f>VLOOKUP($H$8&amp;$F$1,'Input RM sheet'!$A:$BD,AR1,0)</f>
        <v>0.04</v>
      </c>
      <c r="AT8" s="74">
        <f>VLOOKUP($H$8&amp;$F$1,'Input RM sheet'!$A:$BD,AS1,0)</f>
        <v>0.04</v>
      </c>
      <c r="AU8" s="74">
        <f>VLOOKUP($H$8&amp;$F$1,'Input RM sheet'!$A:$BD,AT1,0)</f>
        <v>0.04</v>
      </c>
      <c r="AV8" s="74">
        <f>VLOOKUP($H$8&amp;$F$1,'Input RM sheet'!$A:$BD,AU1,0)</f>
        <v>0.04</v>
      </c>
      <c r="AW8" s="74">
        <f t="shared" ref="AW8:BB8" si="0">AV8</f>
        <v>0.04</v>
      </c>
      <c r="AX8" s="74">
        <f t="shared" si="0"/>
        <v>0.04</v>
      </c>
      <c r="AY8" s="74">
        <f t="shared" si="0"/>
        <v>0.04</v>
      </c>
      <c r="AZ8" s="74">
        <f t="shared" si="0"/>
        <v>0.04</v>
      </c>
      <c r="BA8" s="74">
        <f t="shared" si="0"/>
        <v>0.04</v>
      </c>
      <c r="BB8" s="74">
        <f t="shared" si="0"/>
        <v>0.04</v>
      </c>
      <c r="BC8" s="74">
        <f t="shared" ref="BC8:CR8" si="1">BB8</f>
        <v>0.04</v>
      </c>
      <c r="BD8" s="74">
        <f t="shared" si="1"/>
        <v>0.04</v>
      </c>
      <c r="BE8" s="74">
        <f t="shared" si="1"/>
        <v>0.04</v>
      </c>
      <c r="BF8" s="74">
        <f t="shared" si="1"/>
        <v>0.04</v>
      </c>
      <c r="BG8" s="74">
        <f t="shared" si="1"/>
        <v>0.04</v>
      </c>
      <c r="BH8" s="74">
        <f t="shared" si="1"/>
        <v>0.04</v>
      </c>
      <c r="BI8" s="74">
        <f t="shared" si="1"/>
        <v>0.04</v>
      </c>
      <c r="BJ8" s="74">
        <f t="shared" si="1"/>
        <v>0.04</v>
      </c>
      <c r="BK8" s="74">
        <f t="shared" si="1"/>
        <v>0.04</v>
      </c>
      <c r="BL8" s="74">
        <f t="shared" si="1"/>
        <v>0.04</v>
      </c>
      <c r="BM8" s="74">
        <f t="shared" si="1"/>
        <v>0.04</v>
      </c>
      <c r="BN8" s="74">
        <f t="shared" si="1"/>
        <v>0.04</v>
      </c>
      <c r="BO8" s="74">
        <f t="shared" si="1"/>
        <v>0.04</v>
      </c>
      <c r="BP8" s="74">
        <f t="shared" si="1"/>
        <v>0.04</v>
      </c>
      <c r="BQ8" s="74">
        <f t="shared" si="1"/>
        <v>0.04</v>
      </c>
      <c r="BR8" s="74">
        <f t="shared" si="1"/>
        <v>0.04</v>
      </c>
      <c r="BS8" s="74">
        <f t="shared" si="1"/>
        <v>0.04</v>
      </c>
      <c r="BT8" s="74">
        <f t="shared" si="1"/>
        <v>0.04</v>
      </c>
      <c r="BU8" s="74">
        <f t="shared" si="1"/>
        <v>0.04</v>
      </c>
      <c r="BV8" s="74">
        <f t="shared" si="1"/>
        <v>0.04</v>
      </c>
      <c r="BW8" s="74">
        <f t="shared" si="1"/>
        <v>0.04</v>
      </c>
      <c r="BX8" s="74">
        <f t="shared" si="1"/>
        <v>0.04</v>
      </c>
      <c r="BY8" s="74">
        <f t="shared" si="1"/>
        <v>0.04</v>
      </c>
      <c r="BZ8" s="74">
        <f t="shared" si="1"/>
        <v>0.04</v>
      </c>
      <c r="CA8" s="74">
        <f t="shared" si="1"/>
        <v>0.04</v>
      </c>
      <c r="CB8" s="74">
        <f t="shared" si="1"/>
        <v>0.04</v>
      </c>
      <c r="CC8" s="74">
        <f t="shared" si="1"/>
        <v>0.04</v>
      </c>
      <c r="CD8" s="74">
        <f t="shared" si="1"/>
        <v>0.04</v>
      </c>
      <c r="CE8" s="74">
        <f t="shared" si="1"/>
        <v>0.04</v>
      </c>
      <c r="CF8" s="74">
        <f t="shared" si="1"/>
        <v>0.04</v>
      </c>
      <c r="CG8" s="74">
        <f t="shared" si="1"/>
        <v>0.04</v>
      </c>
      <c r="CH8" s="74">
        <f t="shared" si="1"/>
        <v>0.04</v>
      </c>
      <c r="CI8" s="74">
        <f t="shared" si="1"/>
        <v>0.04</v>
      </c>
      <c r="CJ8" s="74">
        <f t="shared" si="1"/>
        <v>0.04</v>
      </c>
      <c r="CK8" s="74">
        <f t="shared" si="1"/>
        <v>0.04</v>
      </c>
      <c r="CL8" s="74">
        <f t="shared" si="1"/>
        <v>0.04</v>
      </c>
      <c r="CM8" s="74">
        <f t="shared" si="1"/>
        <v>0.04</v>
      </c>
      <c r="CN8" s="74">
        <f t="shared" si="1"/>
        <v>0.04</v>
      </c>
      <c r="CO8" s="74">
        <f t="shared" si="1"/>
        <v>0.04</v>
      </c>
      <c r="CP8" s="74">
        <f t="shared" si="1"/>
        <v>0.04</v>
      </c>
      <c r="CQ8" s="74">
        <f t="shared" si="1"/>
        <v>0.04</v>
      </c>
      <c r="CR8" s="74">
        <f t="shared" si="1"/>
        <v>0.04</v>
      </c>
      <c r="CS8" s="74">
        <f t="shared" ref="CS8:DV8" si="2">CR8</f>
        <v>0.04</v>
      </c>
      <c r="CT8" s="74">
        <f t="shared" si="2"/>
        <v>0.04</v>
      </c>
      <c r="CU8" s="74">
        <f t="shared" si="2"/>
        <v>0.04</v>
      </c>
      <c r="CV8" s="74">
        <f t="shared" si="2"/>
        <v>0.04</v>
      </c>
      <c r="CW8" s="74">
        <f t="shared" si="2"/>
        <v>0.04</v>
      </c>
      <c r="CX8" s="74">
        <f t="shared" si="2"/>
        <v>0.04</v>
      </c>
      <c r="CY8" s="74">
        <f t="shared" si="2"/>
        <v>0.04</v>
      </c>
      <c r="CZ8" s="74">
        <f t="shared" si="2"/>
        <v>0.04</v>
      </c>
      <c r="DA8" s="74">
        <f t="shared" si="2"/>
        <v>0.04</v>
      </c>
      <c r="DB8" s="74">
        <f t="shared" si="2"/>
        <v>0.04</v>
      </c>
      <c r="DC8" s="74">
        <f t="shared" si="2"/>
        <v>0.04</v>
      </c>
      <c r="DD8" s="74">
        <f t="shared" si="2"/>
        <v>0.04</v>
      </c>
      <c r="DE8" s="74">
        <f t="shared" si="2"/>
        <v>0.04</v>
      </c>
      <c r="DF8" s="74">
        <f t="shared" si="2"/>
        <v>0.04</v>
      </c>
      <c r="DG8" s="74">
        <f t="shared" si="2"/>
        <v>0.04</v>
      </c>
      <c r="DH8" s="74">
        <f t="shared" si="2"/>
        <v>0.04</v>
      </c>
      <c r="DI8" s="74">
        <f t="shared" si="2"/>
        <v>0.04</v>
      </c>
      <c r="DJ8" s="74">
        <f t="shared" si="2"/>
        <v>0.04</v>
      </c>
      <c r="DK8" s="74">
        <f t="shared" si="2"/>
        <v>0.04</v>
      </c>
      <c r="DL8" s="74">
        <f t="shared" si="2"/>
        <v>0.04</v>
      </c>
      <c r="DM8" s="74">
        <f t="shared" si="2"/>
        <v>0.04</v>
      </c>
      <c r="DN8" s="74">
        <f t="shared" si="2"/>
        <v>0.04</v>
      </c>
      <c r="DO8" s="74">
        <f t="shared" si="2"/>
        <v>0.04</v>
      </c>
      <c r="DP8" s="74">
        <f t="shared" si="2"/>
        <v>0.04</v>
      </c>
      <c r="DQ8" s="74">
        <f t="shared" si="2"/>
        <v>0.04</v>
      </c>
      <c r="DR8" s="74">
        <f t="shared" si="2"/>
        <v>0.04</v>
      </c>
      <c r="DS8" s="74">
        <f t="shared" si="2"/>
        <v>0.04</v>
      </c>
      <c r="DT8" s="74">
        <f t="shared" si="2"/>
        <v>0.04</v>
      </c>
      <c r="DU8" s="74">
        <f t="shared" si="2"/>
        <v>0.04</v>
      </c>
      <c r="DV8" s="74">
        <f t="shared" si="2"/>
        <v>0.04</v>
      </c>
    </row>
    <row r="9" spans="1:162" ht="26">
      <c r="A9" s="59" t="s">
        <v>395</v>
      </c>
      <c r="B9" s="59"/>
      <c r="C9" s="59" t="s">
        <v>379</v>
      </c>
      <c r="D9" s="98" t="s">
        <v>380</v>
      </c>
      <c r="E9" s="98" t="s">
        <v>381</v>
      </c>
      <c r="F9" s="59" t="s">
        <v>396</v>
      </c>
      <c r="H9" s="60" t="s">
        <v>399</v>
      </c>
      <c r="I9" s="84"/>
      <c r="J9" s="84"/>
      <c r="K9" s="84"/>
      <c r="L9" s="84"/>
      <c r="M9" s="84"/>
      <c r="N9" s="84"/>
      <c r="O9" s="84"/>
      <c r="P9" s="84"/>
      <c r="Q9" s="84"/>
      <c r="R9" s="84"/>
      <c r="S9" s="84"/>
      <c r="T9" s="84"/>
      <c r="U9" s="84"/>
      <c r="V9" s="84"/>
      <c r="W9" s="84"/>
      <c r="X9" s="84"/>
      <c r="Y9" s="84"/>
      <c r="Z9" s="84"/>
      <c r="AA9" s="84"/>
      <c r="AB9" s="84"/>
      <c r="AC9" s="84"/>
      <c r="AD9" s="84"/>
      <c r="AE9" s="84"/>
      <c r="AF9" s="84"/>
      <c r="AG9" s="84"/>
      <c r="AH9" s="84"/>
      <c r="AI9" s="84"/>
      <c r="AJ9" s="84"/>
      <c r="AK9" s="84"/>
      <c r="AL9" s="84"/>
      <c r="AM9" s="84"/>
      <c r="AN9" s="84"/>
      <c r="AO9" s="84"/>
      <c r="AP9" s="84"/>
      <c r="AQ9" s="84"/>
      <c r="AR9" s="84"/>
      <c r="AS9" s="84"/>
      <c r="AT9" s="84"/>
      <c r="AU9" s="84"/>
    </row>
    <row r="10" spans="1:162" ht="13">
      <c r="A10" s="107" t="s">
        <v>397</v>
      </c>
      <c r="B10" s="44" t="s">
        <v>721</v>
      </c>
      <c r="D10" s="60">
        <v>63.54</v>
      </c>
      <c r="F10" s="65">
        <v>0.255</v>
      </c>
      <c r="I10" s="74">
        <f>$F$10*(I7/1000)</f>
        <v>1.5379585499999999</v>
      </c>
      <c r="J10" s="74">
        <f>$F$10*(J7/1000)</f>
        <v>1.4503762500000001</v>
      </c>
      <c r="K10" s="74">
        <f t="shared" ref="K10:AX10" si="3">$F$10*(K7/1000)</f>
        <v>1.3215706500000002</v>
      </c>
      <c r="L10" s="74">
        <f t="shared" si="3"/>
        <v>1.2897823500000001</v>
      </c>
      <c r="M10" s="74">
        <f t="shared" si="3"/>
        <v>1.3361566499999999</v>
      </c>
      <c r="N10" s="74">
        <f t="shared" si="3"/>
        <v>1.4674229999999999</v>
      </c>
      <c r="O10" s="74">
        <f t="shared" si="3"/>
        <v>1.6249773000000001</v>
      </c>
      <c r="P10" s="74">
        <f t="shared" si="3"/>
        <v>1.6572296999999998</v>
      </c>
      <c r="Q10" s="74">
        <f t="shared" si="3"/>
        <v>1.7097494999999998</v>
      </c>
      <c r="R10" s="74">
        <f t="shared" si="3"/>
        <v>1.7120215500000002</v>
      </c>
      <c r="S10" s="74">
        <f t="shared" si="3"/>
        <v>1.80257205</v>
      </c>
      <c r="T10" s="74">
        <f t="shared" si="3"/>
        <v>1.9819211999999999</v>
      </c>
      <c r="U10" s="74">
        <f t="shared" si="3"/>
        <v>2.0328982500000001</v>
      </c>
      <c r="V10" s="74">
        <f t="shared" si="3"/>
        <v>2.1600897000000003</v>
      </c>
      <c r="W10" s="74">
        <f t="shared" si="3"/>
        <v>2.2920037500000001</v>
      </c>
      <c r="X10" s="74">
        <f t="shared" si="3"/>
        <v>2.3778290999999996</v>
      </c>
      <c r="Y10" s="74">
        <f t="shared" si="3"/>
        <v>2.5913023500000003</v>
      </c>
      <c r="Z10" s="74">
        <f t="shared" si="3"/>
        <v>2.4560325000000001</v>
      </c>
      <c r="AA10" s="74">
        <f t="shared" si="3"/>
        <v>2.4099591</v>
      </c>
      <c r="AB10" s="74">
        <f t="shared" si="3"/>
        <v>2.3893857000000001</v>
      </c>
      <c r="AC10" s="74">
        <f t="shared" si="3"/>
        <v>2.37780105</v>
      </c>
      <c r="AD10" s="74">
        <f t="shared" si="3"/>
        <v>2.5064511</v>
      </c>
      <c r="AE10" s="74">
        <f t="shared" si="3"/>
        <v>2.4808694999999998</v>
      </c>
      <c r="AF10" s="74">
        <f t="shared" si="3"/>
        <v>2.4355509</v>
      </c>
      <c r="AG10" s="74">
        <f t="shared" si="3"/>
        <v>2.4944967</v>
      </c>
      <c r="AH10" s="74">
        <f t="shared" si="3"/>
        <v>2.5355083500000002</v>
      </c>
      <c r="AI10" s="74">
        <f t="shared" si="3"/>
        <v>2.6088769499999995</v>
      </c>
      <c r="AJ10" s="74">
        <f t="shared" si="3"/>
        <v>2.596155</v>
      </c>
      <c r="AK10" s="74">
        <f t="shared" si="3"/>
        <v>2.39117325</v>
      </c>
      <c r="AL10" s="74">
        <f t="shared" si="3"/>
        <v>2.3012372999999999</v>
      </c>
      <c r="AM10" s="74">
        <f t="shared" si="3"/>
        <v>1.92392655</v>
      </c>
      <c r="AN10" s="74">
        <f t="shared" si="3"/>
        <v>2.0353691999999999</v>
      </c>
      <c r="AO10" s="74">
        <f t="shared" si="3"/>
        <v>1.9752325500000001</v>
      </c>
      <c r="AP10" s="74">
        <f t="shared" si="3"/>
        <v>1.9510254</v>
      </c>
      <c r="AQ10" s="74">
        <f t="shared" si="3"/>
        <v>2.0527142999999999</v>
      </c>
      <c r="AR10" s="74">
        <f t="shared" si="3"/>
        <v>2.1357269999999997</v>
      </c>
      <c r="AS10" s="74">
        <f t="shared" si="3"/>
        <v>2.2947450000000003</v>
      </c>
      <c r="AT10" s="74">
        <f t="shared" si="3"/>
        <v>2.2832700000000004</v>
      </c>
      <c r="AU10" s="74">
        <f t="shared" si="3"/>
        <v>2.2526699999999997</v>
      </c>
      <c r="AV10" s="74">
        <f t="shared" si="3"/>
        <v>2.2470599999999998</v>
      </c>
      <c r="AW10" s="74">
        <f t="shared" si="3"/>
        <v>2.1658424999999997</v>
      </c>
      <c r="AX10" s="74">
        <f t="shared" si="3"/>
        <v>2.1335850000000001</v>
      </c>
      <c r="AY10" s="74">
        <f t="shared" ref="AY10:BN10" si="4">$F$10*(AY7/1000)</f>
        <v>2.1040049999999999</v>
      </c>
      <c r="AZ10" s="74">
        <f t="shared" si="4"/>
        <v>2.2060049999999998</v>
      </c>
      <c r="BA10" s="74">
        <f t="shared" si="4"/>
        <v>2.1493950000000002</v>
      </c>
      <c r="BB10" s="74">
        <f t="shared" si="4"/>
        <v>2.1907049999999999</v>
      </c>
      <c r="BC10" s="74">
        <f t="shared" si="4"/>
        <v>2.1478649999999999</v>
      </c>
      <c r="BD10" s="74">
        <f t="shared" si="4"/>
        <v>2.07213</v>
      </c>
      <c r="BE10" s="74">
        <f t="shared" si="4"/>
        <v>2.131545</v>
      </c>
      <c r="BF10" s="74">
        <f t="shared" si="4"/>
        <v>2.131545</v>
      </c>
      <c r="BG10" s="74">
        <f t="shared" si="4"/>
        <v>2.1641850000000002</v>
      </c>
      <c r="BH10" s="74">
        <f t="shared" si="4"/>
        <v>2.110125</v>
      </c>
      <c r="BI10" s="74">
        <f t="shared" si="4"/>
        <v>2.087685</v>
      </c>
      <c r="BJ10" s="74">
        <f t="shared" si="4"/>
        <v>2.0683050000000001</v>
      </c>
      <c r="BK10" s="74">
        <f t="shared" si="4"/>
        <v>2.0517300000000001</v>
      </c>
      <c r="BL10" s="74">
        <f t="shared" si="4"/>
        <v>2.0377049999999999</v>
      </c>
      <c r="BM10" s="74">
        <f t="shared" si="4"/>
        <v>2.0531325000000002</v>
      </c>
      <c r="BN10" s="74">
        <f t="shared" si="4"/>
        <v>2.065245</v>
      </c>
      <c r="BO10" s="74">
        <f t="shared" ref="BO10:BV10" si="5">$F$10*(BO7/1000)</f>
        <v>2.0847525</v>
      </c>
      <c r="BP10" s="74">
        <f t="shared" si="5"/>
        <v>2.0999249999999998</v>
      </c>
      <c r="BQ10" s="74">
        <f t="shared" si="5"/>
        <v>2.0999249999999998</v>
      </c>
      <c r="BR10" s="74">
        <f t="shared" si="5"/>
        <v>2.1444225000000001</v>
      </c>
      <c r="BS10" s="74">
        <f t="shared" si="5"/>
        <v>2.1251699999999998</v>
      </c>
      <c r="BT10" s="74">
        <f t="shared" si="5"/>
        <v>2.1241500000000002</v>
      </c>
      <c r="BU10" s="74">
        <f t="shared" si="5"/>
        <v>2.1918525</v>
      </c>
      <c r="BV10" s="74">
        <f t="shared" si="5"/>
        <v>2.1825449999999997</v>
      </c>
      <c r="BW10" s="74">
        <f>$F$10*(BW7/1000)</f>
        <v>2.1580649999999997</v>
      </c>
      <c r="BX10" s="74">
        <f>$F$10*(BX7/1000)</f>
        <v>2.1295050000000004</v>
      </c>
      <c r="BY10" s="74">
        <f>$F$10*(BY7/1000)</f>
        <v>2.1295050000000004</v>
      </c>
      <c r="BZ10" s="74">
        <f>$F$10*(BZ7/1000)</f>
        <v>2.1629099999999997</v>
      </c>
      <c r="CA10" s="74">
        <f t="shared" ref="CA10:CH10" si="6">$F$10*(CA7/1000)</f>
        <v>2.1228750000000001</v>
      </c>
      <c r="CB10" s="74">
        <f t="shared" si="6"/>
        <v>2.1228750000000001</v>
      </c>
      <c r="CC10" s="74">
        <f t="shared" si="6"/>
        <v>2.1527099999999999</v>
      </c>
      <c r="CD10" s="74">
        <f t="shared" si="6"/>
        <v>2.1608700000000001</v>
      </c>
      <c r="CE10" s="74">
        <f t="shared" si="6"/>
        <v>2.1930000000000001</v>
      </c>
      <c r="CF10" s="74">
        <f t="shared" si="6"/>
        <v>2.206515</v>
      </c>
      <c r="CG10" s="74">
        <f t="shared" si="6"/>
        <v>2.2766400000000004</v>
      </c>
      <c r="CH10" s="74">
        <f t="shared" si="6"/>
        <v>2.2610850000000005</v>
      </c>
      <c r="CI10" s="74">
        <f t="shared" ref="CI10:CR10" si="7">$F$10*(CI7/1000)</f>
        <v>2.371245</v>
      </c>
      <c r="CJ10" s="74">
        <f t="shared" si="7"/>
        <v>2.3559450000000002</v>
      </c>
      <c r="CK10" s="74">
        <f t="shared" si="7"/>
        <v>2.40516</v>
      </c>
      <c r="CL10" s="74">
        <f t="shared" si="7"/>
        <v>2.5321500000000001</v>
      </c>
      <c r="CM10" s="74">
        <f t="shared" si="7"/>
        <v>2.52705</v>
      </c>
      <c r="CN10" s="74">
        <f t="shared" si="7"/>
        <v>2.6581199999999998</v>
      </c>
      <c r="CO10" s="74">
        <f t="shared" si="7"/>
        <v>2.6063550000000002</v>
      </c>
      <c r="CP10" s="74">
        <f t="shared" si="7"/>
        <v>2.7476250000000002</v>
      </c>
      <c r="CQ10" s="74">
        <f t="shared" si="7"/>
        <v>2.6152800000000003</v>
      </c>
      <c r="CR10" s="74">
        <f t="shared" si="7"/>
        <v>2.5359750000000001</v>
      </c>
      <c r="CS10" s="74">
        <f t="shared" ref="CS10:DV10" si="8">$F$10*(CS7/1000)</f>
        <v>2.4610050000000001</v>
      </c>
      <c r="CT10" s="74">
        <f t="shared" si="8"/>
        <v>2.4635549999999999</v>
      </c>
      <c r="CU10" s="74">
        <f t="shared" si="8"/>
        <v>2.4102600000000001</v>
      </c>
      <c r="CV10" s="74">
        <f t="shared" si="8"/>
        <v>2.5357200000000004</v>
      </c>
      <c r="CW10" s="74">
        <f t="shared" si="8"/>
        <v>2.4640650000000002</v>
      </c>
      <c r="CX10" s="74">
        <f t="shared" si="8"/>
        <v>2.3373300000000001</v>
      </c>
      <c r="CY10" s="74">
        <f t="shared" si="8"/>
        <v>2.3082599999999998</v>
      </c>
      <c r="CZ10" s="74">
        <f t="shared" si="8"/>
        <v>2.2144200000000001</v>
      </c>
      <c r="DA10" s="74">
        <f t="shared" si="8"/>
        <v>2.2567499999999998</v>
      </c>
      <c r="DB10" s="74">
        <f t="shared" si="8"/>
        <v>2.2791900000000003</v>
      </c>
      <c r="DC10" s="74">
        <f t="shared" si="8"/>
        <v>2.3294250000000001</v>
      </c>
      <c r="DD10" s="74">
        <f t="shared" si="8"/>
        <v>2.2983150000000001</v>
      </c>
      <c r="DE10" s="74">
        <f t="shared" si="8"/>
        <v>2.2967849999999999</v>
      </c>
      <c r="DF10" s="74">
        <f t="shared" si="8"/>
        <v>2.3686949999999998</v>
      </c>
      <c r="DG10" s="74">
        <f t="shared" si="8"/>
        <v>2.5199099999999999</v>
      </c>
      <c r="DH10" s="74">
        <f t="shared" si="8"/>
        <v>2.4525900000000003</v>
      </c>
      <c r="DI10" s="74">
        <f t="shared" si="8"/>
        <v>2.4263250000000003</v>
      </c>
      <c r="DJ10" s="74">
        <f t="shared" si="8"/>
        <v>2.400315</v>
      </c>
      <c r="DK10" s="74">
        <f t="shared" si="8"/>
        <v>2.3970000000000002</v>
      </c>
      <c r="DL10" s="74">
        <f t="shared" si="8"/>
        <v>2.4235199999999999</v>
      </c>
      <c r="DM10" s="74">
        <f t="shared" si="8"/>
        <v>2.3590049999999998</v>
      </c>
      <c r="DN10" s="74">
        <f t="shared" si="8"/>
        <v>2.2511399999999999</v>
      </c>
      <c r="DO10" s="74">
        <f t="shared" si="8"/>
        <v>2.26389</v>
      </c>
      <c r="DP10" s="74">
        <f t="shared" si="8"/>
        <v>2.2797000000000001</v>
      </c>
      <c r="DQ10" s="74">
        <f t="shared" si="8"/>
        <v>2.3046899999999999</v>
      </c>
      <c r="DR10" s="74">
        <f t="shared" si="8"/>
        <v>2.2921950000000004</v>
      </c>
      <c r="DS10" s="74">
        <f t="shared" si="8"/>
        <v>2.2725600000000004</v>
      </c>
      <c r="DT10" s="74">
        <f t="shared" si="8"/>
        <v>0</v>
      </c>
      <c r="DU10" s="74">
        <f t="shared" si="8"/>
        <v>0</v>
      </c>
      <c r="DV10" s="74">
        <f t="shared" si="8"/>
        <v>0</v>
      </c>
    </row>
    <row r="11" spans="1:162">
      <c r="A11" s="67"/>
      <c r="B11" s="44" t="s">
        <v>722</v>
      </c>
      <c r="D11" s="60">
        <v>98.06</v>
      </c>
      <c r="F11" s="65">
        <v>0.75</v>
      </c>
      <c r="I11" s="74">
        <f t="shared" ref="I11:AX11" si="9">$F$11*(I8/1000)</f>
        <v>0</v>
      </c>
      <c r="J11" s="74">
        <f t="shared" si="9"/>
        <v>0</v>
      </c>
      <c r="K11" s="74">
        <f t="shared" si="9"/>
        <v>0</v>
      </c>
      <c r="L11" s="74">
        <f t="shared" si="9"/>
        <v>0</v>
      </c>
      <c r="M11" s="74">
        <f t="shared" si="9"/>
        <v>0</v>
      </c>
      <c r="N11" s="74">
        <f t="shared" si="9"/>
        <v>0</v>
      </c>
      <c r="O11" s="74">
        <f t="shared" si="9"/>
        <v>0</v>
      </c>
      <c r="P11" s="74">
        <f t="shared" si="9"/>
        <v>0</v>
      </c>
      <c r="Q11" s="74">
        <f t="shared" si="9"/>
        <v>0</v>
      </c>
      <c r="R11" s="74">
        <f t="shared" si="9"/>
        <v>0</v>
      </c>
      <c r="S11" s="74">
        <f t="shared" si="9"/>
        <v>0</v>
      </c>
      <c r="T11" s="74">
        <f t="shared" si="9"/>
        <v>0</v>
      </c>
      <c r="U11" s="74">
        <f t="shared" si="9"/>
        <v>0</v>
      </c>
      <c r="V11" s="74">
        <f t="shared" si="9"/>
        <v>0</v>
      </c>
      <c r="W11" s="74">
        <f t="shared" si="9"/>
        <v>0</v>
      </c>
      <c r="X11" s="74">
        <f t="shared" si="9"/>
        <v>0</v>
      </c>
      <c r="Y11" s="74">
        <f t="shared" si="9"/>
        <v>0</v>
      </c>
      <c r="Z11" s="74">
        <f t="shared" si="9"/>
        <v>0</v>
      </c>
      <c r="AA11" s="74">
        <f t="shared" si="9"/>
        <v>0</v>
      </c>
      <c r="AB11" s="74">
        <f t="shared" si="9"/>
        <v>0</v>
      </c>
      <c r="AC11" s="74">
        <f t="shared" si="9"/>
        <v>0</v>
      </c>
      <c r="AD11" s="74">
        <f t="shared" si="9"/>
        <v>0</v>
      </c>
      <c r="AE11" s="74">
        <f t="shared" si="9"/>
        <v>0</v>
      </c>
      <c r="AF11" s="74">
        <f t="shared" si="9"/>
        <v>0</v>
      </c>
      <c r="AG11" s="74">
        <f t="shared" si="9"/>
        <v>8.25E-5</v>
      </c>
      <c r="AH11" s="74">
        <f t="shared" si="9"/>
        <v>8.9999999999999992E-5</v>
      </c>
      <c r="AI11" s="74">
        <f t="shared" si="9"/>
        <v>1.125E-4</v>
      </c>
      <c r="AJ11" s="74">
        <f t="shared" si="9"/>
        <v>1.2750000000000001E-4</v>
      </c>
      <c r="AK11" s="74">
        <f t="shared" si="9"/>
        <v>1.2000000000000002E-4</v>
      </c>
      <c r="AL11" s="74">
        <f t="shared" si="9"/>
        <v>1.05E-4</v>
      </c>
      <c r="AM11" s="74">
        <f t="shared" si="9"/>
        <v>8.9999999999999992E-5</v>
      </c>
      <c r="AN11" s="74">
        <f t="shared" si="9"/>
        <v>6.0000000000000008E-5</v>
      </c>
      <c r="AO11" s="74">
        <f t="shared" si="9"/>
        <v>3.0000000000000004E-5</v>
      </c>
      <c r="AP11" s="74">
        <f t="shared" si="9"/>
        <v>3.7500000000000003E-5</v>
      </c>
      <c r="AQ11" s="74">
        <f t="shared" si="9"/>
        <v>3.7500000000000003E-5</v>
      </c>
      <c r="AR11" s="74">
        <f t="shared" si="9"/>
        <v>3.7500000000000003E-5</v>
      </c>
      <c r="AS11" s="74">
        <f t="shared" si="9"/>
        <v>3.0000000000000004E-5</v>
      </c>
      <c r="AT11" s="74">
        <f t="shared" si="9"/>
        <v>3.0000000000000004E-5</v>
      </c>
      <c r="AU11" s="74">
        <f t="shared" si="9"/>
        <v>3.0000000000000004E-5</v>
      </c>
      <c r="AV11" s="74">
        <f t="shared" si="9"/>
        <v>3.0000000000000004E-5</v>
      </c>
      <c r="AW11" s="74">
        <f t="shared" si="9"/>
        <v>3.0000000000000004E-5</v>
      </c>
      <c r="AX11" s="74">
        <f t="shared" si="9"/>
        <v>3.0000000000000004E-5</v>
      </c>
      <c r="AY11" s="74">
        <f t="shared" ref="AY11:BN11" si="10">$F$11*(AY8/1000)</f>
        <v>3.0000000000000004E-5</v>
      </c>
      <c r="AZ11" s="74">
        <f t="shared" si="10"/>
        <v>3.0000000000000004E-5</v>
      </c>
      <c r="BA11" s="74">
        <f t="shared" si="10"/>
        <v>3.0000000000000004E-5</v>
      </c>
      <c r="BB11" s="74">
        <f t="shared" si="10"/>
        <v>3.0000000000000004E-5</v>
      </c>
      <c r="BC11" s="74">
        <f t="shared" si="10"/>
        <v>3.0000000000000004E-5</v>
      </c>
      <c r="BD11" s="74">
        <f t="shared" si="10"/>
        <v>3.0000000000000004E-5</v>
      </c>
      <c r="BE11" s="74">
        <f t="shared" si="10"/>
        <v>3.0000000000000004E-5</v>
      </c>
      <c r="BF11" s="74">
        <f t="shared" si="10"/>
        <v>3.0000000000000004E-5</v>
      </c>
      <c r="BG11" s="74">
        <f t="shared" si="10"/>
        <v>3.0000000000000004E-5</v>
      </c>
      <c r="BH11" s="74">
        <f t="shared" si="10"/>
        <v>3.0000000000000004E-5</v>
      </c>
      <c r="BI11" s="74">
        <f t="shared" si="10"/>
        <v>3.0000000000000004E-5</v>
      </c>
      <c r="BJ11" s="74">
        <f t="shared" si="10"/>
        <v>3.0000000000000004E-5</v>
      </c>
      <c r="BK11" s="74">
        <f t="shared" si="10"/>
        <v>3.0000000000000004E-5</v>
      </c>
      <c r="BL11" s="74">
        <f t="shared" si="10"/>
        <v>3.0000000000000004E-5</v>
      </c>
      <c r="BM11" s="74">
        <f t="shared" si="10"/>
        <v>3.0000000000000004E-5</v>
      </c>
      <c r="BN11" s="74">
        <f t="shared" si="10"/>
        <v>3.0000000000000004E-5</v>
      </c>
      <c r="BO11" s="74">
        <f t="shared" ref="BO11:BV11" si="11">$F$11*(BO8/1000)</f>
        <v>3.0000000000000004E-5</v>
      </c>
      <c r="BP11" s="74">
        <f t="shared" si="11"/>
        <v>3.0000000000000004E-5</v>
      </c>
      <c r="BQ11" s="74">
        <f t="shared" si="11"/>
        <v>3.0000000000000004E-5</v>
      </c>
      <c r="BR11" s="74">
        <f t="shared" si="11"/>
        <v>3.0000000000000004E-5</v>
      </c>
      <c r="BS11" s="74">
        <f t="shared" si="11"/>
        <v>3.0000000000000004E-5</v>
      </c>
      <c r="BT11" s="74">
        <f t="shared" si="11"/>
        <v>3.0000000000000004E-5</v>
      </c>
      <c r="BU11" s="74">
        <f t="shared" si="11"/>
        <v>3.0000000000000004E-5</v>
      </c>
      <c r="BV11" s="74">
        <f t="shared" si="11"/>
        <v>3.0000000000000004E-5</v>
      </c>
      <c r="BW11" s="74">
        <f>$F$11*(BW8/1000)</f>
        <v>3.0000000000000004E-5</v>
      </c>
      <c r="BX11" s="74">
        <f>$F$11*(BX8/1000)</f>
        <v>3.0000000000000004E-5</v>
      </c>
      <c r="BY11" s="74">
        <f>$F$11*(BY8/1000)</f>
        <v>3.0000000000000004E-5</v>
      </c>
      <c r="BZ11" s="74">
        <f>$F$11*(BZ8/1000)</f>
        <v>3.0000000000000004E-5</v>
      </c>
      <c r="CA11" s="74">
        <f t="shared" ref="CA11:CH11" si="12">$F$11*(CA8/1000)</f>
        <v>3.0000000000000004E-5</v>
      </c>
      <c r="CB11" s="74">
        <f t="shared" si="12"/>
        <v>3.0000000000000004E-5</v>
      </c>
      <c r="CC11" s="74">
        <f t="shared" si="12"/>
        <v>3.0000000000000004E-5</v>
      </c>
      <c r="CD11" s="74">
        <f t="shared" si="12"/>
        <v>3.0000000000000004E-5</v>
      </c>
      <c r="CE11" s="74">
        <f t="shared" si="12"/>
        <v>3.0000000000000004E-5</v>
      </c>
      <c r="CF11" s="74">
        <f t="shared" si="12"/>
        <v>3.0000000000000004E-5</v>
      </c>
      <c r="CG11" s="74">
        <f t="shared" si="12"/>
        <v>3.0000000000000004E-5</v>
      </c>
      <c r="CH11" s="74">
        <f t="shared" si="12"/>
        <v>3.0000000000000004E-5</v>
      </c>
      <c r="CI11" s="74">
        <f t="shared" ref="CI11:CR11" si="13">$F$11*(CI8/1000)</f>
        <v>3.0000000000000004E-5</v>
      </c>
      <c r="CJ11" s="74">
        <f t="shared" si="13"/>
        <v>3.0000000000000004E-5</v>
      </c>
      <c r="CK11" s="74">
        <f t="shared" si="13"/>
        <v>3.0000000000000004E-5</v>
      </c>
      <c r="CL11" s="74">
        <f t="shared" si="13"/>
        <v>3.0000000000000004E-5</v>
      </c>
      <c r="CM11" s="74">
        <f t="shared" si="13"/>
        <v>3.0000000000000004E-5</v>
      </c>
      <c r="CN11" s="74">
        <f t="shared" si="13"/>
        <v>3.0000000000000004E-5</v>
      </c>
      <c r="CO11" s="74">
        <f t="shared" si="13"/>
        <v>3.0000000000000004E-5</v>
      </c>
      <c r="CP11" s="74">
        <f t="shared" si="13"/>
        <v>3.0000000000000004E-5</v>
      </c>
      <c r="CQ11" s="74">
        <f t="shared" si="13"/>
        <v>3.0000000000000004E-5</v>
      </c>
      <c r="CR11" s="74">
        <f t="shared" si="13"/>
        <v>3.0000000000000004E-5</v>
      </c>
      <c r="CS11" s="74">
        <f t="shared" ref="CS11:DV11" si="14">$F$11*(CS8/1000)</f>
        <v>3.0000000000000004E-5</v>
      </c>
      <c r="CT11" s="74">
        <f t="shared" si="14"/>
        <v>3.0000000000000004E-5</v>
      </c>
      <c r="CU11" s="74">
        <f t="shared" si="14"/>
        <v>3.0000000000000004E-5</v>
      </c>
      <c r="CV11" s="74">
        <f t="shared" si="14"/>
        <v>3.0000000000000004E-5</v>
      </c>
      <c r="CW11" s="74">
        <f t="shared" si="14"/>
        <v>3.0000000000000004E-5</v>
      </c>
      <c r="CX11" s="74">
        <f t="shared" si="14"/>
        <v>3.0000000000000004E-5</v>
      </c>
      <c r="CY11" s="74">
        <f t="shared" si="14"/>
        <v>3.0000000000000004E-5</v>
      </c>
      <c r="CZ11" s="74">
        <f t="shared" si="14"/>
        <v>3.0000000000000004E-5</v>
      </c>
      <c r="DA11" s="74">
        <f t="shared" si="14"/>
        <v>3.0000000000000004E-5</v>
      </c>
      <c r="DB11" s="74">
        <f t="shared" si="14"/>
        <v>3.0000000000000004E-5</v>
      </c>
      <c r="DC11" s="74">
        <f t="shared" si="14"/>
        <v>3.0000000000000004E-5</v>
      </c>
      <c r="DD11" s="74">
        <f t="shared" si="14"/>
        <v>3.0000000000000004E-5</v>
      </c>
      <c r="DE11" s="74">
        <f t="shared" si="14"/>
        <v>3.0000000000000004E-5</v>
      </c>
      <c r="DF11" s="74">
        <f t="shared" si="14"/>
        <v>3.0000000000000004E-5</v>
      </c>
      <c r="DG11" s="74">
        <f t="shared" si="14"/>
        <v>3.0000000000000004E-5</v>
      </c>
      <c r="DH11" s="74">
        <f t="shared" si="14"/>
        <v>3.0000000000000004E-5</v>
      </c>
      <c r="DI11" s="74">
        <f t="shared" si="14"/>
        <v>3.0000000000000004E-5</v>
      </c>
      <c r="DJ11" s="74">
        <f t="shared" si="14"/>
        <v>3.0000000000000004E-5</v>
      </c>
      <c r="DK11" s="74">
        <f t="shared" si="14"/>
        <v>3.0000000000000004E-5</v>
      </c>
      <c r="DL11" s="74">
        <f t="shared" si="14"/>
        <v>3.0000000000000004E-5</v>
      </c>
      <c r="DM11" s="74">
        <f t="shared" si="14"/>
        <v>3.0000000000000004E-5</v>
      </c>
      <c r="DN11" s="74">
        <f t="shared" si="14"/>
        <v>3.0000000000000004E-5</v>
      </c>
      <c r="DO11" s="74">
        <f t="shared" si="14"/>
        <v>3.0000000000000004E-5</v>
      </c>
      <c r="DP11" s="74">
        <f t="shared" si="14"/>
        <v>3.0000000000000004E-5</v>
      </c>
      <c r="DQ11" s="74">
        <f t="shared" si="14"/>
        <v>3.0000000000000004E-5</v>
      </c>
      <c r="DR11" s="74">
        <f t="shared" si="14"/>
        <v>3.0000000000000004E-5</v>
      </c>
      <c r="DS11" s="74">
        <f t="shared" si="14"/>
        <v>3.0000000000000004E-5</v>
      </c>
      <c r="DT11" s="74">
        <f t="shared" si="14"/>
        <v>3.0000000000000004E-5</v>
      </c>
      <c r="DU11" s="74">
        <f t="shared" si="14"/>
        <v>3.0000000000000004E-5</v>
      </c>
      <c r="DV11" s="74">
        <f t="shared" si="14"/>
        <v>3.0000000000000004E-5</v>
      </c>
    </row>
    <row r="12" spans="1:162" ht="16" customHeight="1">
      <c r="A12" s="67"/>
      <c r="B12" s="100"/>
      <c r="F12" s="65"/>
      <c r="H12" s="60" t="s">
        <v>718</v>
      </c>
      <c r="I12" s="74">
        <v>0.24390000000000001</v>
      </c>
      <c r="J12" s="74">
        <v>0.24390000000000001</v>
      </c>
      <c r="K12" s="74">
        <v>0.24390000000000001</v>
      </c>
      <c r="L12" s="74">
        <v>0.24390000000000001</v>
      </c>
      <c r="M12" s="74">
        <v>0.24390000000000001</v>
      </c>
      <c r="N12" s="74">
        <v>0.24390000000000001</v>
      </c>
      <c r="O12" s="74">
        <v>0.24390000000000001</v>
      </c>
      <c r="P12" s="74">
        <v>0.24390000000000001</v>
      </c>
      <c r="Q12" s="74">
        <v>0.24390000000000001</v>
      </c>
      <c r="R12" s="74">
        <v>0.24390000000000001</v>
      </c>
      <c r="S12" s="74">
        <v>0.24390000000000001</v>
      </c>
      <c r="T12" s="74">
        <v>0.24390000000000001</v>
      </c>
      <c r="U12" s="74">
        <v>0.24390000000000001</v>
      </c>
      <c r="V12" s="74">
        <v>0.24390000000000001</v>
      </c>
      <c r="W12" s="74">
        <v>0.24390000000000001</v>
      </c>
      <c r="X12" s="74">
        <v>0.24390000000000001</v>
      </c>
      <c r="Y12" s="74">
        <v>0.24390000000000001</v>
      </c>
      <c r="Z12" s="74">
        <v>0.24390000000000001</v>
      </c>
      <c r="AA12" s="74">
        <v>0.24390000000000001</v>
      </c>
      <c r="AB12" s="74">
        <v>0.24390000000000001</v>
      </c>
      <c r="AC12" s="74">
        <v>0.24390000000000001</v>
      </c>
      <c r="AD12" s="74">
        <v>0.24390000000000001</v>
      </c>
      <c r="AE12" s="74">
        <v>0.24390000000000001</v>
      </c>
      <c r="AF12" s="74">
        <v>0.24390000000000001</v>
      </c>
      <c r="AG12" s="74">
        <v>0.24390000000000001</v>
      </c>
      <c r="AH12" s="74">
        <v>0.24390000000000001</v>
      </c>
      <c r="AI12" s="74">
        <v>0.24390000000000001</v>
      </c>
      <c r="AJ12" s="74">
        <v>0.24390000000000001</v>
      </c>
      <c r="AK12" s="74">
        <v>0.24390000000000001</v>
      </c>
      <c r="AL12" s="74">
        <v>0.24390000000000001</v>
      </c>
      <c r="AM12" s="74">
        <v>0.24390000000000001</v>
      </c>
      <c r="AN12" s="74">
        <v>0.24390000000000001</v>
      </c>
      <c r="AO12" s="74">
        <v>0.24390000000000001</v>
      </c>
      <c r="AP12" s="74">
        <v>0.24390000000000001</v>
      </c>
      <c r="AQ12" s="74">
        <v>0.24390000000000001</v>
      </c>
      <c r="AR12" s="74">
        <v>0.24390000000000001</v>
      </c>
      <c r="AS12" s="74">
        <v>0.24390000000000001</v>
      </c>
      <c r="AT12" s="74">
        <v>0.24390000000000001</v>
      </c>
      <c r="AU12" s="74">
        <v>0.24390000000000001</v>
      </c>
      <c r="AV12" s="74">
        <v>0.24390000000000001</v>
      </c>
      <c r="AW12" s="74">
        <v>0.24390000000000001</v>
      </c>
      <c r="AX12" s="74">
        <v>0.24390000000000001</v>
      </c>
      <c r="AY12" s="74">
        <v>0.24390000000000001</v>
      </c>
      <c r="AZ12" s="74">
        <v>0.24390000000000001</v>
      </c>
      <c r="BA12" s="74">
        <v>0.24390000000000001</v>
      </c>
      <c r="BB12" s="74">
        <v>0.24390000000000001</v>
      </c>
      <c r="BC12" s="74">
        <v>0.24390000000000001</v>
      </c>
      <c r="BD12" s="74">
        <v>0.24390000000000001</v>
      </c>
      <c r="BE12" s="74">
        <v>0.24390000000000001</v>
      </c>
      <c r="BF12" s="74">
        <v>0.24390000000000001</v>
      </c>
      <c r="BG12" s="74">
        <v>0.24390000000000001</v>
      </c>
      <c r="BH12" s="74">
        <v>0.24390000000000001</v>
      </c>
      <c r="BI12" s="74">
        <v>0.24390000000000001</v>
      </c>
      <c r="BJ12" s="74">
        <v>0.24390000000000001</v>
      </c>
      <c r="BK12" s="74">
        <v>0.24390000000000001</v>
      </c>
      <c r="BL12" s="74">
        <v>0.24390000000000001</v>
      </c>
      <c r="BM12" s="74">
        <v>0.24390000000000001</v>
      </c>
      <c r="BN12" s="74">
        <v>0.24390000000000001</v>
      </c>
      <c r="BO12" s="74">
        <v>0.24390000000000001</v>
      </c>
      <c r="BP12" s="74">
        <v>0.24390000000000001</v>
      </c>
      <c r="BQ12" s="74">
        <v>0.24390000000000001</v>
      </c>
      <c r="BR12" s="74">
        <v>0.24390000000000001</v>
      </c>
      <c r="BS12" s="74">
        <v>0.24390000000000001</v>
      </c>
      <c r="BT12" s="74">
        <v>0.24390000000000001</v>
      </c>
      <c r="BU12" s="74">
        <v>0.24390000000000001</v>
      </c>
      <c r="BV12" s="74">
        <v>0.24390000000000001</v>
      </c>
      <c r="BW12" s="74">
        <v>0.24390000000000001</v>
      </c>
      <c r="BX12" s="74">
        <v>0.24390000000000001</v>
      </c>
      <c r="BY12" s="74">
        <v>0.24390000000000001</v>
      </c>
      <c r="BZ12" s="74">
        <v>0.24390000000000001</v>
      </c>
      <c r="CA12" s="74">
        <v>0.24390000000000001</v>
      </c>
      <c r="CB12" s="74">
        <v>0.24390000000000001</v>
      </c>
      <c r="CC12" s="74">
        <v>0.24390000000000001</v>
      </c>
      <c r="CD12" s="74">
        <v>0.24390000000000001</v>
      </c>
      <c r="CE12" s="74">
        <v>0.24390000000000001</v>
      </c>
      <c r="CF12" s="74">
        <v>0.24390000000000001</v>
      </c>
      <c r="CG12" s="74">
        <v>0.24390000000000001</v>
      </c>
      <c r="CH12" s="74">
        <v>0.24390000000000001</v>
      </c>
      <c r="CI12" s="74">
        <v>0.24390000000000001</v>
      </c>
      <c r="CJ12" s="74">
        <v>0.24390000000000001</v>
      </c>
      <c r="CK12" s="74">
        <v>0.24390000000000001</v>
      </c>
      <c r="CL12" s="74">
        <v>0.24390000000000001</v>
      </c>
      <c r="CM12" s="74">
        <v>0.24390000000000001</v>
      </c>
      <c r="CN12" s="74">
        <v>0.24390000000000001</v>
      </c>
      <c r="CO12" s="74">
        <v>0.24390000000000001</v>
      </c>
      <c r="CP12" s="74">
        <v>0.24390000000000001</v>
      </c>
      <c r="CQ12" s="74">
        <v>0.24390000000000001</v>
      </c>
      <c r="CR12" s="74">
        <v>0.24390000000000001</v>
      </c>
      <c r="CS12" s="74">
        <v>0.24390000000000001</v>
      </c>
      <c r="CT12" s="74">
        <v>0.24390000000000001</v>
      </c>
      <c r="CU12" s="74">
        <v>0.24390000000000001</v>
      </c>
      <c r="CV12" s="74">
        <v>0.24390000000000001</v>
      </c>
      <c r="CW12" s="74">
        <v>0.24390000000000001</v>
      </c>
      <c r="CX12" s="74">
        <v>0.24390000000000001</v>
      </c>
      <c r="CY12" s="74">
        <v>0.24390000000000001</v>
      </c>
      <c r="CZ12" s="74">
        <v>0.24390000000000001</v>
      </c>
      <c r="DA12" s="74">
        <v>0.24390000000000001</v>
      </c>
      <c r="DB12" s="74">
        <v>0.24390000000000001</v>
      </c>
      <c r="DC12" s="74">
        <v>0.24390000000000001</v>
      </c>
      <c r="DD12" s="74">
        <v>0.24390000000000001</v>
      </c>
      <c r="DE12" s="74">
        <v>0.24390000000000001</v>
      </c>
      <c r="DF12" s="74">
        <v>0.24390000000000001</v>
      </c>
      <c r="DG12" s="74">
        <v>0.24390000000000001</v>
      </c>
      <c r="DH12" s="74">
        <v>0.24390000000000001</v>
      </c>
      <c r="DI12" s="74">
        <v>0.24390000000000001</v>
      </c>
      <c r="DJ12" s="74">
        <v>0.24390000000000001</v>
      </c>
      <c r="DK12" s="74">
        <v>0.24390000000000001</v>
      </c>
      <c r="DL12" s="74">
        <v>0.24390000000000001</v>
      </c>
      <c r="DM12" s="74">
        <v>0.24390000000000001</v>
      </c>
      <c r="DN12" s="74">
        <v>0.24390000000000001</v>
      </c>
      <c r="DO12" s="74">
        <v>0.24390000000000001</v>
      </c>
      <c r="DP12" s="74">
        <v>0.24390000000000001</v>
      </c>
      <c r="DQ12" s="74">
        <v>0.24390000000000001</v>
      </c>
      <c r="DR12" s="74">
        <v>0.24390000000000001</v>
      </c>
      <c r="DS12" s="74">
        <v>0.24390000000000001</v>
      </c>
      <c r="DT12" s="74">
        <v>0.24390000000000001</v>
      </c>
      <c r="DU12" s="74">
        <v>0.24390000000000001</v>
      </c>
      <c r="DV12" s="74">
        <v>0.24390000000000001</v>
      </c>
    </row>
    <row r="13" spans="1:162" s="104" customFormat="1">
      <c r="A13" s="104" t="s">
        <v>400</v>
      </c>
      <c r="H13" s="60"/>
      <c r="I13" s="105">
        <f>SUM(I10:I12)</f>
        <v>1.7818585499999999</v>
      </c>
      <c r="J13" s="105">
        <f t="shared" ref="J13:AV13" si="15">SUM(J10:J12)</f>
        <v>1.6942762500000002</v>
      </c>
      <c r="K13" s="105">
        <f t="shared" si="15"/>
        <v>1.5654706500000002</v>
      </c>
      <c r="L13" s="105">
        <f t="shared" si="15"/>
        <v>1.5336823500000001</v>
      </c>
      <c r="M13" s="105">
        <f t="shared" si="15"/>
        <v>1.58005665</v>
      </c>
      <c r="N13" s="105">
        <f t="shared" si="15"/>
        <v>1.7113229999999999</v>
      </c>
      <c r="O13" s="105">
        <f t="shared" si="15"/>
        <v>1.8688773000000001</v>
      </c>
      <c r="P13" s="105">
        <f t="shared" si="15"/>
        <v>1.9011296999999998</v>
      </c>
      <c r="Q13" s="105">
        <f t="shared" si="15"/>
        <v>1.9536494999999998</v>
      </c>
      <c r="R13" s="105">
        <f t="shared" si="15"/>
        <v>1.9559215500000002</v>
      </c>
      <c r="S13" s="105">
        <f t="shared" si="15"/>
        <v>2.0464720500000002</v>
      </c>
      <c r="T13" s="105">
        <f t="shared" si="15"/>
        <v>2.2258211999999999</v>
      </c>
      <c r="U13" s="105">
        <f t="shared" si="15"/>
        <v>2.2767982500000001</v>
      </c>
      <c r="V13" s="105">
        <f t="shared" si="15"/>
        <v>2.4039897000000003</v>
      </c>
      <c r="W13" s="105">
        <f t="shared" si="15"/>
        <v>2.5359037500000001</v>
      </c>
      <c r="X13" s="105">
        <f t="shared" si="15"/>
        <v>2.6217290999999996</v>
      </c>
      <c r="Y13" s="105">
        <f t="shared" si="15"/>
        <v>2.8352023500000003</v>
      </c>
      <c r="Z13" s="105">
        <f t="shared" si="15"/>
        <v>2.6999325000000001</v>
      </c>
      <c r="AA13" s="105">
        <f t="shared" si="15"/>
        <v>2.6538591</v>
      </c>
      <c r="AB13" s="105">
        <f t="shared" si="15"/>
        <v>2.6332857000000001</v>
      </c>
      <c r="AC13" s="105">
        <f t="shared" si="15"/>
        <v>2.62170105</v>
      </c>
      <c r="AD13" s="105">
        <f t="shared" si="15"/>
        <v>2.7503511</v>
      </c>
      <c r="AE13" s="105">
        <f t="shared" si="15"/>
        <v>2.7247694999999998</v>
      </c>
      <c r="AF13" s="105">
        <f t="shared" si="15"/>
        <v>2.6794509</v>
      </c>
      <c r="AG13" s="105">
        <f t="shared" si="15"/>
        <v>2.7384792</v>
      </c>
      <c r="AH13" s="105">
        <f t="shared" si="15"/>
        <v>2.7794983500000003</v>
      </c>
      <c r="AI13" s="105">
        <f t="shared" si="15"/>
        <v>2.8528894499999997</v>
      </c>
      <c r="AJ13" s="105">
        <f t="shared" si="15"/>
        <v>2.8401825000000001</v>
      </c>
      <c r="AK13" s="105">
        <f t="shared" si="15"/>
        <v>2.6351932499999999</v>
      </c>
      <c r="AL13" s="105">
        <f t="shared" si="15"/>
        <v>2.5452423</v>
      </c>
      <c r="AM13" s="105">
        <f t="shared" si="15"/>
        <v>2.1679165500000002</v>
      </c>
      <c r="AN13" s="105">
        <f t="shared" si="15"/>
        <v>2.2793291999999998</v>
      </c>
      <c r="AO13" s="105">
        <f t="shared" si="15"/>
        <v>2.2191625500000001</v>
      </c>
      <c r="AP13" s="105">
        <f t="shared" si="15"/>
        <v>2.1949629000000002</v>
      </c>
      <c r="AQ13" s="105">
        <f t="shared" si="15"/>
        <v>2.2966517999999998</v>
      </c>
      <c r="AR13" s="105">
        <f t="shared" si="15"/>
        <v>2.3796644999999996</v>
      </c>
      <c r="AS13" s="105">
        <f t="shared" si="15"/>
        <v>2.5386750000000005</v>
      </c>
      <c r="AT13" s="105">
        <f t="shared" si="15"/>
        <v>2.5272000000000006</v>
      </c>
      <c r="AU13" s="105">
        <f t="shared" si="15"/>
        <v>2.4965999999999999</v>
      </c>
      <c r="AV13" s="105">
        <f t="shared" si="15"/>
        <v>2.49099</v>
      </c>
      <c r="AW13" s="105">
        <f t="shared" ref="AW13:BB13" si="16">SUM(AW10:AW12)</f>
        <v>2.4097724999999999</v>
      </c>
      <c r="AX13" s="105">
        <f t="shared" si="16"/>
        <v>2.3775150000000003</v>
      </c>
      <c r="AY13" s="105">
        <f t="shared" si="16"/>
        <v>2.3479350000000001</v>
      </c>
      <c r="AZ13" s="105">
        <f t="shared" si="16"/>
        <v>2.449935</v>
      </c>
      <c r="BA13" s="105">
        <f t="shared" si="16"/>
        <v>2.3933250000000004</v>
      </c>
      <c r="BB13" s="105">
        <f t="shared" si="16"/>
        <v>2.4346350000000001</v>
      </c>
      <c r="BC13" s="105">
        <f t="shared" ref="BC13:BP13" si="17">SUM(BC10:BC12)</f>
        <v>2.3917950000000001</v>
      </c>
      <c r="BD13" s="105">
        <f t="shared" si="17"/>
        <v>2.3160600000000002</v>
      </c>
      <c r="BE13" s="105">
        <f t="shared" si="17"/>
        <v>2.3754750000000002</v>
      </c>
      <c r="BF13" s="105">
        <f t="shared" si="17"/>
        <v>2.3754750000000002</v>
      </c>
      <c r="BG13" s="105">
        <f t="shared" si="17"/>
        <v>2.4081150000000004</v>
      </c>
      <c r="BH13" s="105">
        <f t="shared" si="17"/>
        <v>2.3540550000000002</v>
      </c>
      <c r="BI13" s="105">
        <f t="shared" si="17"/>
        <v>2.3316150000000002</v>
      </c>
      <c r="BJ13" s="105">
        <f t="shared" si="17"/>
        <v>2.3122350000000003</v>
      </c>
      <c r="BK13" s="105">
        <f t="shared" si="17"/>
        <v>2.2956600000000003</v>
      </c>
      <c r="BL13" s="105">
        <f t="shared" si="17"/>
        <v>2.2816350000000001</v>
      </c>
      <c r="BM13" s="105">
        <f t="shared" si="17"/>
        <v>2.2970625000000005</v>
      </c>
      <c r="BN13" s="105">
        <f t="shared" si="17"/>
        <v>2.3091750000000002</v>
      </c>
      <c r="BO13" s="105">
        <f t="shared" si="17"/>
        <v>2.3286825000000002</v>
      </c>
      <c r="BP13" s="105">
        <f t="shared" si="17"/>
        <v>2.343855</v>
      </c>
      <c r="BQ13" s="105">
        <f t="shared" ref="BQ13:BV13" si="18">SUM(BQ10:BQ12)</f>
        <v>2.343855</v>
      </c>
      <c r="BR13" s="105">
        <f t="shared" si="18"/>
        <v>2.3883525000000003</v>
      </c>
      <c r="BS13" s="105">
        <f t="shared" si="18"/>
        <v>2.3691</v>
      </c>
      <c r="BT13" s="105">
        <f t="shared" si="18"/>
        <v>2.3680800000000004</v>
      </c>
      <c r="BU13" s="105">
        <f t="shared" si="18"/>
        <v>2.4357825000000002</v>
      </c>
      <c r="BV13" s="105">
        <f t="shared" si="18"/>
        <v>2.4264749999999999</v>
      </c>
      <c r="BW13" s="105">
        <f>SUM(BW10:BW12)</f>
        <v>2.4019949999999999</v>
      </c>
      <c r="BX13" s="105">
        <f>SUM(BX10:BX12)</f>
        <v>2.3734350000000006</v>
      </c>
      <c r="BY13" s="105">
        <f>SUM(BY10:BY12)</f>
        <v>2.3734350000000006</v>
      </c>
      <c r="BZ13" s="105">
        <f>SUM(BZ10:BZ12)</f>
        <v>2.4068399999999999</v>
      </c>
      <c r="CA13" s="105">
        <f t="shared" ref="CA13:CH13" si="19">SUM(CA10:CA12)</f>
        <v>2.3668050000000003</v>
      </c>
      <c r="CB13" s="105">
        <f t="shared" si="19"/>
        <v>2.3668050000000003</v>
      </c>
      <c r="CC13" s="105">
        <f t="shared" si="19"/>
        <v>2.3966400000000001</v>
      </c>
      <c r="CD13" s="105">
        <f t="shared" si="19"/>
        <v>2.4048000000000003</v>
      </c>
      <c r="CE13" s="105">
        <f t="shared" si="19"/>
        <v>2.4369300000000003</v>
      </c>
      <c r="CF13" s="105">
        <f t="shared" si="19"/>
        <v>2.4504450000000002</v>
      </c>
      <c r="CG13" s="105">
        <f t="shared" si="19"/>
        <v>2.5205700000000006</v>
      </c>
      <c r="CH13" s="105">
        <f t="shared" si="19"/>
        <v>2.5050150000000007</v>
      </c>
      <c r="CI13" s="105">
        <f t="shared" ref="CI13:CR13" si="20">SUM(CI10:CI12)</f>
        <v>2.6151750000000002</v>
      </c>
      <c r="CJ13" s="105">
        <f t="shared" si="20"/>
        <v>2.5998750000000004</v>
      </c>
      <c r="CK13" s="105">
        <f t="shared" si="20"/>
        <v>2.6490900000000002</v>
      </c>
      <c r="CL13" s="105">
        <f t="shared" si="20"/>
        <v>2.7760800000000003</v>
      </c>
      <c r="CM13" s="105">
        <f t="shared" si="20"/>
        <v>2.7709800000000002</v>
      </c>
      <c r="CN13" s="105">
        <f t="shared" si="20"/>
        <v>2.90205</v>
      </c>
      <c r="CO13" s="105">
        <f t="shared" si="20"/>
        <v>2.8502850000000004</v>
      </c>
      <c r="CP13" s="105">
        <f t="shared" si="20"/>
        <v>2.9915550000000004</v>
      </c>
      <c r="CQ13" s="105">
        <f t="shared" si="20"/>
        <v>2.8592100000000005</v>
      </c>
      <c r="CR13" s="105">
        <f t="shared" si="20"/>
        <v>2.7799050000000003</v>
      </c>
      <c r="CS13" s="105">
        <f t="shared" ref="CS13:DV13" si="21">SUM(CS10:CS12)</f>
        <v>2.7049350000000003</v>
      </c>
      <c r="CT13" s="105">
        <f t="shared" si="21"/>
        <v>2.7074850000000001</v>
      </c>
      <c r="CU13" s="105">
        <f t="shared" si="21"/>
        <v>2.6541900000000003</v>
      </c>
      <c r="CV13" s="105">
        <f t="shared" si="21"/>
        <v>2.7796500000000006</v>
      </c>
      <c r="CW13" s="105">
        <f t="shared" si="21"/>
        <v>2.7079950000000004</v>
      </c>
      <c r="CX13" s="105">
        <f t="shared" si="21"/>
        <v>2.5812600000000003</v>
      </c>
      <c r="CY13" s="105">
        <f t="shared" si="21"/>
        <v>2.55219</v>
      </c>
      <c r="CZ13" s="105">
        <f t="shared" si="21"/>
        <v>2.4583500000000003</v>
      </c>
      <c r="DA13" s="105">
        <f t="shared" si="21"/>
        <v>2.50068</v>
      </c>
      <c r="DB13" s="105">
        <f t="shared" si="21"/>
        <v>2.5231200000000005</v>
      </c>
      <c r="DC13" s="105">
        <f t="shared" si="21"/>
        <v>2.5733550000000003</v>
      </c>
      <c r="DD13" s="105">
        <f t="shared" si="21"/>
        <v>2.5422450000000003</v>
      </c>
      <c r="DE13" s="105">
        <f t="shared" si="21"/>
        <v>2.5407150000000001</v>
      </c>
      <c r="DF13" s="105">
        <f t="shared" si="21"/>
        <v>2.612625</v>
      </c>
      <c r="DG13" s="105">
        <f t="shared" si="21"/>
        <v>2.7638400000000001</v>
      </c>
      <c r="DH13" s="105">
        <f t="shared" si="21"/>
        <v>2.6965200000000005</v>
      </c>
      <c r="DI13" s="105">
        <f t="shared" si="21"/>
        <v>2.6702550000000005</v>
      </c>
      <c r="DJ13" s="105">
        <f t="shared" si="21"/>
        <v>2.6442450000000002</v>
      </c>
      <c r="DK13" s="105">
        <f t="shared" si="21"/>
        <v>2.6409300000000004</v>
      </c>
      <c r="DL13" s="105">
        <f t="shared" si="21"/>
        <v>2.6674500000000001</v>
      </c>
      <c r="DM13" s="105">
        <f t="shared" si="21"/>
        <v>2.602935</v>
      </c>
      <c r="DN13" s="105">
        <f t="shared" si="21"/>
        <v>2.4950700000000001</v>
      </c>
      <c r="DO13" s="105">
        <f t="shared" si="21"/>
        <v>2.5078200000000002</v>
      </c>
      <c r="DP13" s="105">
        <f t="shared" si="21"/>
        <v>2.5236300000000003</v>
      </c>
      <c r="DQ13" s="105">
        <f t="shared" si="21"/>
        <v>2.5486200000000001</v>
      </c>
      <c r="DR13" s="105">
        <f t="shared" si="21"/>
        <v>2.5361250000000006</v>
      </c>
      <c r="DS13" s="105">
        <f t="shared" si="21"/>
        <v>2.5164900000000006</v>
      </c>
      <c r="DT13" s="105">
        <f t="shared" si="21"/>
        <v>0.24393000000000001</v>
      </c>
      <c r="DU13" s="105">
        <f t="shared" si="21"/>
        <v>0.24393000000000001</v>
      </c>
      <c r="DV13" s="105">
        <f t="shared" si="21"/>
        <v>0.24393000000000001</v>
      </c>
    </row>
    <row r="14" spans="1:162">
      <c r="H14" s="60" t="s">
        <v>429</v>
      </c>
      <c r="I14" s="74"/>
      <c r="J14" s="74"/>
      <c r="K14" s="74"/>
      <c r="L14" s="74"/>
      <c r="M14" s="74"/>
      <c r="N14" s="74"/>
      <c r="O14" s="74"/>
      <c r="P14" s="74">
        <v>1.98</v>
      </c>
      <c r="Q14" s="74"/>
      <c r="R14" s="74"/>
      <c r="S14" s="74"/>
      <c r="T14" s="74"/>
      <c r="U14" s="74"/>
      <c r="V14" s="74"/>
      <c r="W14" s="74"/>
      <c r="X14" s="74"/>
      <c r="Y14" s="74"/>
      <c r="Z14" s="74"/>
      <c r="AA14" s="74"/>
      <c r="AB14" s="74"/>
      <c r="AC14" s="74">
        <f>222/82</f>
        <v>2.7073170731707319</v>
      </c>
      <c r="AD14" s="74"/>
      <c r="AE14" s="74"/>
      <c r="AF14" s="74"/>
      <c r="AG14" s="74"/>
      <c r="AH14" s="74"/>
      <c r="AI14" s="74"/>
      <c r="AJ14" s="74"/>
      <c r="AK14" s="74"/>
      <c r="AL14" s="74"/>
      <c r="AM14" s="74"/>
      <c r="AN14" s="74"/>
      <c r="AO14" s="74"/>
      <c r="AP14" s="74"/>
      <c r="AQ14" s="74"/>
      <c r="AR14" s="74"/>
      <c r="AS14" s="74"/>
      <c r="AT14" s="74"/>
      <c r="AU14" s="74"/>
      <c r="AV14" s="74"/>
      <c r="AX14" s="60">
        <f>215/82</f>
        <v>2.6219512195121952</v>
      </c>
    </row>
    <row r="15" spans="1:162">
      <c r="D15" s="60">
        <f>20/82</f>
        <v>0.24390243902439024</v>
      </c>
      <c r="H15" s="60" t="s">
        <v>406</v>
      </c>
      <c r="I15" s="74"/>
      <c r="J15" s="74"/>
      <c r="K15" s="74"/>
      <c r="L15" s="74"/>
      <c r="M15" s="74"/>
      <c r="N15" s="74"/>
      <c r="O15" s="74"/>
      <c r="P15" s="65">
        <f>P14-P13</f>
        <v>7.8870300000000171E-2</v>
      </c>
      <c r="Q15" s="74"/>
      <c r="R15" s="74"/>
      <c r="S15" s="74"/>
      <c r="T15" s="74"/>
      <c r="U15" s="74"/>
      <c r="V15" s="74"/>
      <c r="W15" s="74"/>
      <c r="X15" s="74"/>
      <c r="Y15" s="74"/>
      <c r="Z15" s="74"/>
      <c r="AA15" s="74"/>
      <c r="AB15" s="74"/>
      <c r="AC15" s="65">
        <f>AC14-AC13</f>
        <v>8.5616023170731914E-2</v>
      </c>
      <c r="AD15" s="74"/>
      <c r="AE15" s="74"/>
      <c r="AF15" s="74"/>
      <c r="AG15" s="74"/>
      <c r="AH15" s="74"/>
      <c r="AI15" s="74"/>
      <c r="AJ15" s="74"/>
      <c r="AK15" s="74"/>
      <c r="AL15" s="74"/>
      <c r="AM15" s="74"/>
      <c r="AN15" s="74"/>
      <c r="AO15" s="74"/>
      <c r="AP15" s="74"/>
      <c r="AQ15" s="74"/>
      <c r="AR15" s="74"/>
      <c r="AS15" s="74"/>
      <c r="AT15" s="74"/>
      <c r="AU15" s="74"/>
      <c r="AW15" s="74"/>
      <c r="AX15" s="65">
        <f>AX14-AX13</f>
        <v>0.24443621951219496</v>
      </c>
    </row>
    <row r="17" spans="2:126" ht="13" thickBot="1"/>
    <row r="18" spans="2:126" ht="13" thickBot="1">
      <c r="D18" s="259"/>
      <c r="H18" s="106" t="s">
        <v>407</v>
      </c>
      <c r="I18" s="109">
        <f>I13+0.08</f>
        <v>1.86185855</v>
      </c>
      <c r="J18" s="109">
        <f>J13+0.08</f>
        <v>1.7742762500000002</v>
      </c>
      <c r="K18" s="109">
        <f t="shared" ref="K18:AW18" si="22">K13+0.08</f>
        <v>1.6454706500000003</v>
      </c>
      <c r="L18" s="109">
        <f t="shared" si="22"/>
        <v>1.6136823500000002</v>
      </c>
      <c r="M18" s="109">
        <f t="shared" si="22"/>
        <v>1.66005665</v>
      </c>
      <c r="N18" s="109">
        <f t="shared" si="22"/>
        <v>1.791323</v>
      </c>
      <c r="O18" s="109">
        <f t="shared" si="22"/>
        <v>1.9488773000000001</v>
      </c>
      <c r="P18" s="109">
        <f t="shared" si="22"/>
        <v>1.9811296999999999</v>
      </c>
      <c r="Q18" s="109">
        <f t="shared" si="22"/>
        <v>2.0336494999999997</v>
      </c>
      <c r="R18" s="109">
        <f t="shared" si="22"/>
        <v>2.0359215500000003</v>
      </c>
      <c r="S18" s="109">
        <f t="shared" si="22"/>
        <v>2.1264720500000003</v>
      </c>
      <c r="T18" s="109">
        <f t="shared" si="22"/>
        <v>2.3058212</v>
      </c>
      <c r="U18" s="109">
        <f t="shared" si="22"/>
        <v>2.3567982500000002</v>
      </c>
      <c r="V18" s="109">
        <f t="shared" si="22"/>
        <v>2.4839897000000004</v>
      </c>
      <c r="W18" s="109">
        <f t="shared" si="22"/>
        <v>2.6159037500000002</v>
      </c>
      <c r="X18" s="109">
        <f t="shared" si="22"/>
        <v>2.7017290999999997</v>
      </c>
      <c r="Y18" s="109">
        <f t="shared" si="22"/>
        <v>2.9152023500000004</v>
      </c>
      <c r="Z18" s="109">
        <f t="shared" si="22"/>
        <v>2.7799325000000001</v>
      </c>
      <c r="AA18" s="109">
        <f t="shared" si="22"/>
        <v>2.7338591000000001</v>
      </c>
      <c r="AB18" s="109">
        <f t="shared" si="22"/>
        <v>2.7132857000000001</v>
      </c>
      <c r="AC18" s="109">
        <f t="shared" si="22"/>
        <v>2.70170105</v>
      </c>
      <c r="AD18" s="109">
        <f t="shared" si="22"/>
        <v>2.8303511000000001</v>
      </c>
      <c r="AE18" s="109">
        <f t="shared" si="22"/>
        <v>2.8047694999999999</v>
      </c>
      <c r="AF18" s="109">
        <f t="shared" si="22"/>
        <v>2.7594509</v>
      </c>
      <c r="AG18" s="109">
        <f t="shared" si="22"/>
        <v>2.8184792000000001</v>
      </c>
      <c r="AH18" s="109">
        <f t="shared" si="22"/>
        <v>2.8594983500000004</v>
      </c>
      <c r="AI18" s="109">
        <f t="shared" si="22"/>
        <v>2.9328894499999998</v>
      </c>
      <c r="AJ18" s="109">
        <f t="shared" si="22"/>
        <v>2.9201825000000001</v>
      </c>
      <c r="AK18" s="109">
        <f t="shared" si="22"/>
        <v>2.71519325</v>
      </c>
      <c r="AL18" s="109">
        <f t="shared" si="22"/>
        <v>2.6252423</v>
      </c>
      <c r="AM18" s="109">
        <f t="shared" si="22"/>
        <v>2.2479165500000002</v>
      </c>
      <c r="AN18" s="109">
        <f t="shared" si="22"/>
        <v>2.3593291999999999</v>
      </c>
      <c r="AO18" s="109">
        <f t="shared" si="22"/>
        <v>2.2991625500000001</v>
      </c>
      <c r="AP18" s="109">
        <f t="shared" si="22"/>
        <v>2.2749629000000002</v>
      </c>
      <c r="AQ18" s="109">
        <f t="shared" si="22"/>
        <v>2.3766517999999999</v>
      </c>
      <c r="AR18" s="109">
        <f t="shared" si="22"/>
        <v>2.4596644999999997</v>
      </c>
      <c r="AS18" s="109">
        <f t="shared" si="22"/>
        <v>2.6186750000000005</v>
      </c>
      <c r="AT18" s="109">
        <f t="shared" si="22"/>
        <v>2.6072000000000006</v>
      </c>
      <c r="AU18" s="109">
        <f t="shared" si="22"/>
        <v>2.5766</v>
      </c>
      <c r="AV18" s="109">
        <f t="shared" si="22"/>
        <v>2.5709900000000001</v>
      </c>
      <c r="AW18" s="109">
        <f t="shared" si="22"/>
        <v>2.4897724999999999</v>
      </c>
      <c r="AX18" s="109">
        <f t="shared" ref="AX18:BD18" si="23">AX13+0.08</f>
        <v>2.4575150000000003</v>
      </c>
      <c r="AY18" s="109">
        <f t="shared" si="23"/>
        <v>2.4279350000000002</v>
      </c>
      <c r="AZ18" s="109">
        <f t="shared" si="23"/>
        <v>2.529935</v>
      </c>
      <c r="BA18" s="109">
        <f t="shared" si="23"/>
        <v>2.4733250000000004</v>
      </c>
      <c r="BB18" s="109">
        <f t="shared" si="23"/>
        <v>2.5146350000000002</v>
      </c>
      <c r="BC18" s="109">
        <f t="shared" si="23"/>
        <v>2.4717950000000002</v>
      </c>
      <c r="BD18" s="109">
        <f t="shared" si="23"/>
        <v>2.3960600000000003</v>
      </c>
      <c r="BE18" s="109">
        <f t="shared" ref="BE18:BN18" si="24">BE13+0.08</f>
        <v>2.4554750000000003</v>
      </c>
      <c r="BF18" s="109">
        <f t="shared" si="24"/>
        <v>2.4554750000000003</v>
      </c>
      <c r="BG18" s="109">
        <f t="shared" si="24"/>
        <v>2.4881150000000005</v>
      </c>
      <c r="BH18" s="109">
        <f t="shared" si="24"/>
        <v>2.4340550000000003</v>
      </c>
      <c r="BI18" s="109">
        <f t="shared" si="24"/>
        <v>2.4116150000000003</v>
      </c>
      <c r="BJ18" s="109">
        <f t="shared" si="24"/>
        <v>2.3922350000000003</v>
      </c>
      <c r="BK18" s="109">
        <f t="shared" si="24"/>
        <v>2.3756600000000003</v>
      </c>
      <c r="BL18" s="109">
        <f t="shared" si="24"/>
        <v>2.3616350000000002</v>
      </c>
      <c r="BM18" s="109">
        <f t="shared" si="24"/>
        <v>2.3770625000000005</v>
      </c>
      <c r="BN18" s="109">
        <f t="shared" si="24"/>
        <v>2.3891750000000003</v>
      </c>
      <c r="BO18" s="109">
        <f t="shared" ref="BO18:BZ18" si="25">BO13+0.08</f>
        <v>2.4086825000000003</v>
      </c>
      <c r="BP18" s="109">
        <f t="shared" si="25"/>
        <v>2.4238550000000001</v>
      </c>
      <c r="BQ18" s="109">
        <f t="shared" si="25"/>
        <v>2.4238550000000001</v>
      </c>
      <c r="BR18" s="109">
        <f t="shared" si="25"/>
        <v>2.4683525000000004</v>
      </c>
      <c r="BS18" s="109">
        <f t="shared" si="25"/>
        <v>2.4491000000000001</v>
      </c>
      <c r="BT18" s="109">
        <f t="shared" si="25"/>
        <v>2.4480800000000005</v>
      </c>
      <c r="BU18" s="109">
        <f t="shared" si="25"/>
        <v>2.5157825000000003</v>
      </c>
      <c r="BV18" s="109">
        <f t="shared" si="25"/>
        <v>2.506475</v>
      </c>
      <c r="BW18" s="109">
        <f t="shared" si="25"/>
        <v>2.481995</v>
      </c>
      <c r="BX18" s="109">
        <f t="shared" si="25"/>
        <v>2.4534350000000007</v>
      </c>
      <c r="BY18" s="109">
        <f t="shared" si="25"/>
        <v>2.4534350000000007</v>
      </c>
      <c r="BZ18" s="109">
        <f t="shared" si="25"/>
        <v>2.4868399999999999</v>
      </c>
      <c r="CA18" s="109">
        <f t="shared" ref="CA18:CH18" si="26">CA13+0.08</f>
        <v>2.4468050000000003</v>
      </c>
      <c r="CB18" s="109">
        <f t="shared" si="26"/>
        <v>2.4468050000000003</v>
      </c>
      <c r="CC18" s="109">
        <f t="shared" si="26"/>
        <v>2.4766400000000002</v>
      </c>
      <c r="CD18" s="109">
        <f t="shared" si="26"/>
        <v>2.4848000000000003</v>
      </c>
      <c r="CE18" s="109">
        <f t="shared" si="26"/>
        <v>2.5169300000000003</v>
      </c>
      <c r="CF18" s="109">
        <f t="shared" si="26"/>
        <v>2.5304450000000003</v>
      </c>
      <c r="CG18" s="109">
        <f t="shared" si="26"/>
        <v>2.6005700000000007</v>
      </c>
      <c r="CH18" s="109">
        <f t="shared" si="26"/>
        <v>2.5850150000000007</v>
      </c>
      <c r="CI18" s="109">
        <f t="shared" ref="CI18:CR18" si="27">CI13+0.08</f>
        <v>2.6951750000000003</v>
      </c>
      <c r="CJ18" s="109">
        <f t="shared" si="27"/>
        <v>2.6798750000000005</v>
      </c>
      <c r="CK18" s="109">
        <f t="shared" si="27"/>
        <v>2.7290900000000002</v>
      </c>
      <c r="CL18" s="109">
        <f t="shared" si="27"/>
        <v>2.8560800000000004</v>
      </c>
      <c r="CM18" s="109">
        <f t="shared" si="27"/>
        <v>2.8509800000000003</v>
      </c>
      <c r="CN18" s="109">
        <f t="shared" si="27"/>
        <v>2.9820500000000001</v>
      </c>
      <c r="CO18" s="109">
        <f t="shared" si="27"/>
        <v>2.9302850000000005</v>
      </c>
      <c r="CP18" s="109">
        <f t="shared" si="27"/>
        <v>3.0715550000000005</v>
      </c>
      <c r="CQ18" s="109">
        <f t="shared" si="27"/>
        <v>2.9392100000000005</v>
      </c>
      <c r="CR18" s="109">
        <f t="shared" si="27"/>
        <v>2.8599050000000004</v>
      </c>
      <c r="CS18" s="109">
        <f t="shared" ref="CS18:DV18" si="28">CS13+0.08</f>
        <v>2.7849350000000004</v>
      </c>
      <c r="CT18" s="109">
        <f t="shared" si="28"/>
        <v>2.7874850000000002</v>
      </c>
      <c r="CU18" s="109">
        <f t="shared" si="28"/>
        <v>2.7341900000000003</v>
      </c>
      <c r="CV18" s="109">
        <f t="shared" si="28"/>
        <v>2.8596500000000007</v>
      </c>
      <c r="CW18" s="109">
        <f t="shared" si="28"/>
        <v>2.7879950000000004</v>
      </c>
      <c r="CX18" s="109">
        <f t="shared" si="28"/>
        <v>2.6612600000000004</v>
      </c>
      <c r="CY18" s="109">
        <f t="shared" si="28"/>
        <v>2.63219</v>
      </c>
      <c r="CZ18" s="109">
        <f t="shared" si="28"/>
        <v>2.5383500000000003</v>
      </c>
      <c r="DA18" s="109">
        <f t="shared" si="28"/>
        <v>2.5806800000000001</v>
      </c>
      <c r="DB18" s="109">
        <f t="shared" si="28"/>
        <v>2.6031200000000005</v>
      </c>
      <c r="DC18" s="109">
        <f t="shared" si="28"/>
        <v>2.6533550000000004</v>
      </c>
      <c r="DD18" s="109">
        <f t="shared" si="28"/>
        <v>2.6222450000000004</v>
      </c>
      <c r="DE18" s="109">
        <f t="shared" si="28"/>
        <v>2.6207150000000001</v>
      </c>
      <c r="DF18" s="109">
        <f t="shared" si="28"/>
        <v>2.692625</v>
      </c>
      <c r="DG18" s="109">
        <f t="shared" si="28"/>
        <v>2.8438400000000001</v>
      </c>
      <c r="DH18" s="109">
        <f t="shared" si="28"/>
        <v>2.7765200000000005</v>
      </c>
      <c r="DI18" s="109">
        <f t="shared" si="28"/>
        <v>2.7502550000000006</v>
      </c>
      <c r="DJ18" s="109">
        <f t="shared" si="28"/>
        <v>2.7242450000000002</v>
      </c>
      <c r="DK18" s="109">
        <f t="shared" si="28"/>
        <v>2.7209300000000005</v>
      </c>
      <c r="DL18" s="109">
        <f t="shared" si="28"/>
        <v>2.7474500000000002</v>
      </c>
      <c r="DM18" s="109">
        <f t="shared" si="28"/>
        <v>2.6829350000000001</v>
      </c>
      <c r="DN18" s="109">
        <f t="shared" si="28"/>
        <v>2.5750700000000002</v>
      </c>
      <c r="DO18" s="109">
        <f t="shared" si="28"/>
        <v>2.5878200000000002</v>
      </c>
      <c r="DP18" s="109">
        <f t="shared" si="28"/>
        <v>2.6036300000000003</v>
      </c>
      <c r="DQ18" s="109">
        <f t="shared" si="28"/>
        <v>2.6286200000000002</v>
      </c>
      <c r="DR18" s="109">
        <f t="shared" si="28"/>
        <v>2.6161250000000007</v>
      </c>
      <c r="DS18" s="109">
        <f t="shared" si="28"/>
        <v>2.5964900000000006</v>
      </c>
      <c r="DT18" s="109">
        <f t="shared" si="28"/>
        <v>0.32393</v>
      </c>
      <c r="DU18" s="109">
        <f t="shared" si="28"/>
        <v>0.32393</v>
      </c>
      <c r="DV18" s="109">
        <f t="shared" si="28"/>
        <v>0.32393</v>
      </c>
    </row>
    <row r="20" spans="2:126">
      <c r="B20" s="65"/>
    </row>
  </sheetData>
  <phoneticPr fontId="52" type="noConversion"/>
  <conditionalFormatting sqref="I15:O15 Z15:AB15 AE15:AF15 AH15:AJ15 AL15 AP15 AR15:AS15 AU15 Q15:X15">
    <cfRule type="top10" dxfId="21" priority="1" bottom="1" rank="1"/>
  </conditionalFormatting>
  <pageMargins left="0.7" right="0.7" top="0.75" bottom="0.75" header="0.3" footer="0.3"/>
  <pageSetup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FH27"/>
  <sheetViews>
    <sheetView workbookViewId="0">
      <pane xSplit="10" ySplit="6" topLeftCell="CY7" activePane="bottomRight" state="frozen"/>
      <selection pane="topRight" activeCell="K1" sqref="K1"/>
      <selection pane="bottomLeft" activeCell="A7" sqref="A7"/>
      <selection pane="bottomRight" activeCell="I18" sqref="I18"/>
    </sheetView>
  </sheetViews>
  <sheetFormatPr baseColWidth="10" defaultColWidth="22.6640625" defaultRowHeight="12"/>
  <cols>
    <col min="1" max="1" width="13.83203125" style="60" bestFit="1" customWidth="1"/>
    <col min="2" max="2" width="11.33203125" style="60" bestFit="1" customWidth="1"/>
    <col min="3" max="3" width="4.83203125" style="60" bestFit="1" customWidth="1"/>
    <col min="4" max="4" width="12.33203125" style="60" bestFit="1" customWidth="1"/>
    <col min="5" max="5" width="7.5" style="60" bestFit="1" customWidth="1"/>
    <col min="6" max="6" width="6.5" style="60" bestFit="1" customWidth="1"/>
    <col min="7" max="7" width="4.1640625" style="60" bestFit="1" customWidth="1"/>
    <col min="8" max="8" width="15.5" style="60" bestFit="1" customWidth="1"/>
    <col min="9" max="12" width="6.1640625" style="60" bestFit="1" customWidth="1"/>
    <col min="13" max="13" width="5.83203125" style="60" bestFit="1" customWidth="1"/>
    <col min="14" max="17" width="5.5" style="60" bestFit="1" customWidth="1"/>
    <col min="18" max="51" width="6.1640625" style="60" bestFit="1" customWidth="1"/>
    <col min="52" max="54" width="7" style="60" bestFit="1" customWidth="1"/>
    <col min="55" max="90" width="6.1640625" style="60" bestFit="1" customWidth="1"/>
    <col min="91" max="95" width="6.33203125" style="60" bestFit="1" customWidth="1"/>
    <col min="96" max="99" width="6.1640625" style="60" bestFit="1" customWidth="1"/>
    <col min="100" max="103" width="5.1640625" style="60" bestFit="1" customWidth="1"/>
    <col min="104" max="107" width="5.83203125" style="60" bestFit="1" customWidth="1"/>
    <col min="108" max="115" width="5.6640625" style="60" bestFit="1" customWidth="1"/>
    <col min="116" max="119" width="6.1640625" style="60" bestFit="1" customWidth="1"/>
    <col min="120" max="123" width="5.83203125" style="60" bestFit="1" customWidth="1"/>
    <col min="124" max="131" width="5.1640625" style="60" bestFit="1" customWidth="1"/>
    <col min="132" max="164" width="3.33203125" style="60" bestFit="1" customWidth="1"/>
    <col min="165" max="16384" width="22.6640625" style="60"/>
  </cols>
  <sheetData>
    <row r="1" spans="1:164" ht="26">
      <c r="A1" s="59" t="s">
        <v>377</v>
      </c>
      <c r="B1" s="59" t="s">
        <v>378</v>
      </c>
      <c r="C1" s="59" t="s">
        <v>379</v>
      </c>
      <c r="D1" s="98" t="s">
        <v>380</v>
      </c>
      <c r="E1" s="98" t="s">
        <v>381</v>
      </c>
      <c r="F1" s="59" t="s">
        <v>345</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c r="EM1" s="99">
        <v>141</v>
      </c>
      <c r="EN1" s="99">
        <v>142</v>
      </c>
      <c r="EO1" s="99">
        <v>143</v>
      </c>
      <c r="EP1" s="99">
        <v>144</v>
      </c>
      <c r="EQ1" s="99">
        <v>145</v>
      </c>
      <c r="ER1" s="99">
        <v>146</v>
      </c>
      <c r="ES1" s="99">
        <v>147</v>
      </c>
      <c r="ET1" s="99">
        <v>148</v>
      </c>
      <c r="EU1" s="99">
        <v>149</v>
      </c>
      <c r="EV1" s="99">
        <v>150</v>
      </c>
      <c r="EW1" s="99">
        <v>151</v>
      </c>
      <c r="EX1" s="99">
        <v>152</v>
      </c>
      <c r="EY1" s="99">
        <v>153</v>
      </c>
      <c r="EZ1" s="99">
        <v>154</v>
      </c>
      <c r="FA1" s="99">
        <v>155</v>
      </c>
      <c r="FB1" s="99">
        <v>156</v>
      </c>
      <c r="FC1" s="99">
        <v>157</v>
      </c>
      <c r="FD1" s="99">
        <v>158</v>
      </c>
      <c r="FE1" s="99">
        <v>159</v>
      </c>
      <c r="FF1" s="99">
        <v>160</v>
      </c>
      <c r="FG1" s="99">
        <v>161</v>
      </c>
      <c r="FH1" s="99">
        <v>162</v>
      </c>
    </row>
    <row r="2" spans="1:164" ht="15">
      <c r="A2" s="45" t="s">
        <v>247</v>
      </c>
      <c r="B2" s="112"/>
      <c r="C2" s="101">
        <v>1</v>
      </c>
      <c r="D2" s="112"/>
      <c r="E2" s="60">
        <f>D2*C2</f>
        <v>0</v>
      </c>
      <c r="K2" s="102"/>
      <c r="M2" s="102"/>
    </row>
    <row r="3" spans="1:164">
      <c r="A3" s="100"/>
      <c r="B3" s="64"/>
      <c r="D3" s="100"/>
      <c r="E3" s="64"/>
      <c r="F3" s="103"/>
    </row>
    <row r="4" spans="1:164">
      <c r="A4" s="64"/>
      <c r="B4" s="64"/>
      <c r="D4" s="64"/>
      <c r="E4" s="64"/>
      <c r="H4" s="60" t="s">
        <v>387</v>
      </c>
    </row>
    <row r="5" spans="1:164">
      <c r="A5" s="74"/>
      <c r="B5" s="74"/>
    </row>
    <row r="6" spans="1:164">
      <c r="A6" s="59"/>
      <c r="B6" s="59"/>
      <c r="C6" s="59"/>
      <c r="D6" s="98"/>
      <c r="E6" s="98"/>
      <c r="F6" s="59"/>
      <c r="H6" s="59" t="s">
        <v>416</v>
      </c>
      <c r="I6" s="59">
        <v>43831</v>
      </c>
      <c r="J6" s="59">
        <v>43862</v>
      </c>
      <c r="K6" s="59">
        <v>43891</v>
      </c>
      <c r="L6" s="59">
        <v>43922</v>
      </c>
      <c r="M6" s="59">
        <v>43952</v>
      </c>
      <c r="N6" s="59">
        <v>43983</v>
      </c>
      <c r="O6" s="59">
        <v>44013</v>
      </c>
      <c r="P6" s="59">
        <v>44044</v>
      </c>
      <c r="Q6" s="59">
        <v>44075</v>
      </c>
      <c r="R6" s="59">
        <v>44105</v>
      </c>
      <c r="S6" s="59">
        <v>44136</v>
      </c>
      <c r="T6" s="59">
        <v>44166</v>
      </c>
      <c r="U6" s="59">
        <v>44197</v>
      </c>
      <c r="V6" s="59">
        <v>44228</v>
      </c>
      <c r="W6" s="59">
        <v>44256</v>
      </c>
      <c r="X6" s="59">
        <v>44287</v>
      </c>
      <c r="Y6" s="59">
        <v>44317</v>
      </c>
      <c r="Z6" s="59">
        <v>44348</v>
      </c>
      <c r="AA6" s="59">
        <v>44378</v>
      </c>
      <c r="AB6" s="59">
        <v>44409</v>
      </c>
      <c r="AC6" s="59">
        <v>44440</v>
      </c>
      <c r="AD6" s="59">
        <v>44470</v>
      </c>
      <c r="AE6" s="59">
        <v>44501</v>
      </c>
      <c r="AF6" s="59">
        <v>44531</v>
      </c>
      <c r="AG6" s="59">
        <v>44562</v>
      </c>
      <c r="AH6" s="59">
        <v>44593</v>
      </c>
      <c r="AI6" s="59">
        <v>44621</v>
      </c>
      <c r="AJ6" s="59">
        <v>44652</v>
      </c>
      <c r="AK6" s="59">
        <v>44682</v>
      </c>
      <c r="AL6" s="59">
        <v>44713</v>
      </c>
      <c r="AM6" s="59">
        <v>44743</v>
      </c>
      <c r="AN6" s="59">
        <v>44774</v>
      </c>
      <c r="AO6" s="59">
        <v>44805</v>
      </c>
      <c r="AP6" s="59">
        <v>44835</v>
      </c>
      <c r="AQ6" s="59">
        <v>44866</v>
      </c>
      <c r="AR6" s="59">
        <v>44896</v>
      </c>
      <c r="AS6" s="59">
        <v>44927</v>
      </c>
      <c r="AT6" s="59">
        <v>44958</v>
      </c>
      <c r="AU6" s="59">
        <v>44986</v>
      </c>
      <c r="AV6" s="59">
        <v>45017</v>
      </c>
      <c r="AW6" s="59">
        <v>45047</v>
      </c>
      <c r="AX6" s="59">
        <v>45078</v>
      </c>
      <c r="AY6" s="59">
        <v>45108</v>
      </c>
      <c r="AZ6" s="59" t="s">
        <v>530</v>
      </c>
      <c r="BA6" s="59" t="s">
        <v>531</v>
      </c>
      <c r="BB6" s="59" t="s">
        <v>532</v>
      </c>
      <c r="BC6" s="59">
        <v>37104</v>
      </c>
      <c r="BD6" s="59">
        <v>37469</v>
      </c>
      <c r="BE6" s="59" t="s">
        <v>168</v>
      </c>
      <c r="BF6" s="59" t="s">
        <v>169</v>
      </c>
      <c r="BG6" s="59" t="s">
        <v>421</v>
      </c>
      <c r="BH6" s="59" t="s">
        <v>422</v>
      </c>
      <c r="BI6" s="59" t="s">
        <v>423</v>
      </c>
      <c r="BJ6" s="59" t="s">
        <v>424</v>
      </c>
      <c r="BK6" s="59" t="s">
        <v>435</v>
      </c>
      <c r="BL6" s="59" t="s">
        <v>436</v>
      </c>
      <c r="BM6" s="59" t="s">
        <v>437</v>
      </c>
      <c r="BN6" s="59" t="s">
        <v>438</v>
      </c>
      <c r="BO6" s="59">
        <v>37196</v>
      </c>
      <c r="BP6" s="59">
        <v>37561</v>
      </c>
      <c r="BQ6" s="59">
        <v>37926</v>
      </c>
      <c r="BR6" s="59">
        <v>38292</v>
      </c>
      <c r="BS6" s="59">
        <v>37226</v>
      </c>
      <c r="BT6" s="59">
        <v>37591</v>
      </c>
      <c r="BU6" s="59">
        <v>37956</v>
      </c>
      <c r="BV6" s="59">
        <v>38322</v>
      </c>
      <c r="BW6" s="59">
        <v>36892</v>
      </c>
      <c r="BX6" s="59">
        <v>37257</v>
      </c>
      <c r="BY6" s="59">
        <v>37622</v>
      </c>
      <c r="BZ6" s="59">
        <v>37987</v>
      </c>
      <c r="CA6" s="59">
        <v>36923</v>
      </c>
      <c r="CB6" s="59">
        <v>37288</v>
      </c>
      <c r="CC6" s="59">
        <v>37653</v>
      </c>
      <c r="CD6" s="59">
        <v>38018</v>
      </c>
      <c r="CE6" s="59" t="str">
        <f>Sheet8!A15</f>
        <v>Mar-w1</v>
      </c>
      <c r="CF6" s="59">
        <v>37316</v>
      </c>
      <c r="CG6" s="59">
        <v>37681</v>
      </c>
      <c r="CH6" s="59">
        <v>38047</v>
      </c>
      <c r="CI6" s="59" t="str">
        <f>Sheet8!E15</f>
        <v>Apr-w1</v>
      </c>
      <c r="CJ6" s="59" t="str">
        <f>Sheet8!F15</f>
        <v>Apr-w2</v>
      </c>
      <c r="CK6" s="59" t="str">
        <f>Sheet8!G15</f>
        <v>Apr-w3</v>
      </c>
      <c r="CL6" s="59" t="str">
        <f>Sheet8!H15</f>
        <v>Apr-w4</v>
      </c>
      <c r="CM6" s="59" t="str">
        <f>Sheet8!I15</f>
        <v>May-w1</v>
      </c>
      <c r="CN6" s="59" t="str">
        <f>Sheet8!J15</f>
        <v>May-w2</v>
      </c>
      <c r="CO6" s="59" t="str">
        <f>Sheet8!K15</f>
        <v>May-w3</v>
      </c>
      <c r="CP6" s="59" t="str">
        <f>Sheet8!L15</f>
        <v>May-w4</v>
      </c>
      <c r="CQ6" s="59" t="str">
        <f>Sheet8!M15</f>
        <v>May-w5</v>
      </c>
      <c r="CR6" s="59" t="str">
        <f>Sheet8!N15</f>
        <v>june-w1</v>
      </c>
      <c r="CS6" s="59" t="str">
        <f>Sheet8!O15</f>
        <v>june-w2</v>
      </c>
      <c r="CT6" s="59" t="str">
        <f>Sheet8!P15</f>
        <v>june-w3</v>
      </c>
      <c r="CU6" s="59" t="str">
        <f>Sheet8!Q15</f>
        <v>june-w4</v>
      </c>
      <c r="CV6" s="59" t="str">
        <f>Sheet8!R15</f>
        <v>Jul-w1</v>
      </c>
      <c r="CW6" s="59" t="str">
        <f>Sheet8!S15</f>
        <v>Jul-w2</v>
      </c>
      <c r="CX6" s="59" t="str">
        <f>Sheet8!T15</f>
        <v>Jul-w3</v>
      </c>
      <c r="CY6" s="59" t="str">
        <f>Sheet8!U15</f>
        <v>Jul-w4</v>
      </c>
      <c r="CZ6" s="59" t="str">
        <f>Sheet8!V15</f>
        <v>Aug-w1</v>
      </c>
      <c r="DA6" s="59" t="str">
        <f>Sheet8!W15</f>
        <v>Aug-w2</v>
      </c>
      <c r="DB6" s="59" t="str">
        <f>Sheet8!X15</f>
        <v>Aug-w3</v>
      </c>
      <c r="DC6" s="59" t="str">
        <f>Sheet8!Y15</f>
        <v>Aug-w4</v>
      </c>
      <c r="DD6" s="59" t="str">
        <f>Sheet8!Z15</f>
        <v>Sep-w1</v>
      </c>
      <c r="DE6" s="59" t="str">
        <f>Sheet8!AA15</f>
        <v>Sep-w2</v>
      </c>
      <c r="DF6" s="59" t="str">
        <f>Sheet8!AB15</f>
        <v>Sep-w3</v>
      </c>
      <c r="DG6" s="59" t="str">
        <f>Sheet8!AC15</f>
        <v>Sep-w4</v>
      </c>
      <c r="DH6" s="59" t="str">
        <f>Sheet8!AD15</f>
        <v>Oct-w1</v>
      </c>
      <c r="DI6" s="59" t="str">
        <f>Sheet8!AE15</f>
        <v>Oct-w2</v>
      </c>
      <c r="DJ6" s="59" t="str">
        <f>Sheet8!AF15</f>
        <v>Oct-w3</v>
      </c>
      <c r="DK6" s="59" t="str">
        <f>Sheet8!AG15</f>
        <v>Oct-w4</v>
      </c>
      <c r="DL6" s="59" t="str">
        <f>Sheet8!AH15</f>
        <v>Nov-w1</v>
      </c>
      <c r="DM6" s="59" t="str">
        <f>Sheet8!AI15</f>
        <v>Nov-w2</v>
      </c>
      <c r="DN6" s="59" t="str">
        <f>Sheet8!AJ15</f>
        <v>Nov-w3</v>
      </c>
      <c r="DO6" s="59" t="str">
        <f>Sheet8!AK15</f>
        <v>Nov-w4</v>
      </c>
      <c r="DP6" s="59" t="str">
        <f>Sheet8!AL15</f>
        <v>Dec-w1</v>
      </c>
      <c r="DQ6" s="59" t="str">
        <f>Sheet8!AM15</f>
        <v>Dec-w2</v>
      </c>
      <c r="DR6" s="59" t="str">
        <f>Sheet8!AN15</f>
        <v>Dec-w3</v>
      </c>
      <c r="DS6" s="59" t="str">
        <f>Sheet8!AO15</f>
        <v>Dec-w4</v>
      </c>
      <c r="DT6" s="59">
        <f>Sheet8!AP15</f>
        <v>0</v>
      </c>
      <c r="DU6" s="59">
        <f>Sheet8!AQ15</f>
        <v>0</v>
      </c>
      <c r="DV6" s="59">
        <f>Sheet8!AR15</f>
        <v>0</v>
      </c>
      <c r="DW6" s="59">
        <f>Sheet8!AS15</f>
        <v>0</v>
      </c>
      <c r="DX6" s="59">
        <f>Sheet8!AT15</f>
        <v>0</v>
      </c>
      <c r="DY6" s="59">
        <f>Sheet8!AU15</f>
        <v>0</v>
      </c>
      <c r="DZ6" s="59">
        <f>Sheet8!AV15</f>
        <v>0</v>
      </c>
      <c r="EA6" s="59">
        <f>Sheet8!AW15</f>
        <v>0</v>
      </c>
    </row>
    <row r="7" spans="1:164">
      <c r="B7" s="44"/>
      <c r="D7" s="44" t="s">
        <v>720</v>
      </c>
      <c r="F7" s="60" t="s">
        <v>651</v>
      </c>
      <c r="H7" s="178" t="s">
        <v>121</v>
      </c>
      <c r="I7" s="74">
        <f>VLOOKUP($H$7&amp;$F$1,'Input RM sheet'!$A:$BD,H1,0)</f>
        <v>970</v>
      </c>
      <c r="J7" s="74">
        <f>VLOOKUP($H$7&amp;$F$1,'Input RM sheet'!$A:$BD,I1,0)</f>
        <v>970</v>
      </c>
      <c r="K7" s="74">
        <f>VLOOKUP($H$7&amp;$F$1,'Input RM sheet'!$A:$BD,J1,0)</f>
        <v>920</v>
      </c>
      <c r="L7" s="74">
        <f>VLOOKUP($H$7&amp;$F$1,'Input RM sheet'!$A:$BD,K1,0)</f>
        <v>720</v>
      </c>
      <c r="M7" s="74">
        <f>VLOOKUP($H$7&amp;$F$1,'Input RM sheet'!$A:$BD,L1,0)</f>
        <v>620</v>
      </c>
      <c r="N7" s="74">
        <f>VLOOKUP($H$7&amp;$F$1,'Input RM sheet'!$A:$BD,M1,0)</f>
        <v>680</v>
      </c>
      <c r="O7" s="74">
        <f>VLOOKUP($H$7&amp;$F$1,'Input RM sheet'!$A:$BD,N1,0)</f>
        <v>764</v>
      </c>
      <c r="P7" s="74">
        <f>VLOOKUP($H$7&amp;$F$1,'Input RM sheet'!$A:$BD,O1,0)</f>
        <v>785</v>
      </c>
      <c r="Q7" s="74">
        <f>VLOOKUP($H$7&amp;$F$1,'Input RM sheet'!$A:$BD,P1,0)</f>
        <v>785</v>
      </c>
      <c r="R7" s="74">
        <f>VLOOKUP($H$7&amp;$F$1,'Input RM sheet'!$A:$BD,Q1,0)</f>
        <v>775</v>
      </c>
      <c r="S7" s="74">
        <f>VLOOKUP($H$7&amp;$F$1,'Input RM sheet'!$A:$BD,R1,0)</f>
        <v>775</v>
      </c>
      <c r="T7" s="74">
        <f>VLOOKUP($H$7&amp;$F$1,'Input RM sheet'!$A:$BD,S1,0)</f>
        <v>795</v>
      </c>
      <c r="U7" s="74">
        <f>VLOOKUP($H$7&amp;$F$1,'Input RM sheet'!$A:$BD,T1,0)</f>
        <v>860</v>
      </c>
      <c r="V7" s="74">
        <f>VLOOKUP($H$7&amp;$F$1,'Input RM sheet'!$A:$BD,U1,0)</f>
        <v>930</v>
      </c>
      <c r="W7" s="74">
        <f>VLOOKUP($H$7&amp;$F$1,'Input RM sheet'!$A:$BD,V1,0)</f>
        <v>1005</v>
      </c>
      <c r="X7" s="74">
        <f>VLOOKUP($H$7&amp;$F$1,'Input RM sheet'!$A:$BD,W1,0)</f>
        <v>1045</v>
      </c>
      <c r="Y7" s="74">
        <f>VLOOKUP($H$7&amp;$F$1,'Input RM sheet'!$A:$BD,X1,0)</f>
        <v>1050</v>
      </c>
      <c r="Z7" s="74">
        <f>VLOOKUP($H$7&amp;$F$1,'Input RM sheet'!$A:$BD,Y1,0)</f>
        <v>1080</v>
      </c>
      <c r="AA7" s="74">
        <f>VLOOKUP($H$7&amp;$F$1,'Input RM sheet'!$A:$BD,Z1,0)</f>
        <v>1120</v>
      </c>
      <c r="AB7" s="74">
        <f>VLOOKUP($H$7&amp;$F$1,'Input RM sheet'!$A:$BD,AA1,0)</f>
        <v>1173</v>
      </c>
      <c r="AC7" s="74">
        <f>VLOOKUP($H$7&amp;$F$1,'Input RM sheet'!$A:$BD,AB1,0)</f>
        <v>1165</v>
      </c>
      <c r="AD7" s="74">
        <f>VLOOKUP($H$7&amp;$F$1,'Input RM sheet'!$A:$BD,AC1,0)</f>
        <v>1190</v>
      </c>
      <c r="AE7" s="74">
        <f>VLOOKUP($H$7&amp;$F$1,'Input RM sheet'!$A:$BD,AD1,0)</f>
        <v>1282.5</v>
      </c>
      <c r="AF7" s="74">
        <f>VLOOKUP($H$7&amp;$F$1,'Input RM sheet'!$A:$BD,AE1,0)</f>
        <v>1272.5</v>
      </c>
      <c r="AG7" s="74">
        <f>VLOOKUP($H$7&amp;$F$1,'Input RM sheet'!$A:$BD,AF1,0)</f>
        <v>1272.5</v>
      </c>
      <c r="AH7" s="74">
        <f>VLOOKUP($H$7&amp;$F$1,'Input RM sheet'!$A:$BD,AG1,0)</f>
        <v>1340</v>
      </c>
      <c r="AI7" s="74">
        <f>VLOOKUP($H$7&amp;$F$1,'Input RM sheet'!$A:$BD,AH1,0)</f>
        <v>1435</v>
      </c>
      <c r="AJ7" s="74">
        <f>VLOOKUP($H$7&amp;$F$1,'Input RM sheet'!$A:$BD,AI1,0)</f>
        <v>1665</v>
      </c>
      <c r="AK7" s="74">
        <f>VLOOKUP($H$7&amp;$F$1,'Input RM sheet'!$A:$BD,AJ1,0)</f>
        <v>1595</v>
      </c>
      <c r="AL7" s="74">
        <f>VLOOKUP($H$7&amp;$F$1,'Input RM sheet'!$A:$BD,AK1,0)</f>
        <v>1595</v>
      </c>
      <c r="AM7" s="74">
        <f>VLOOKUP($H$7&amp;$F$1,'Input RM sheet'!$A:$BD,AL1,0)</f>
        <v>1495</v>
      </c>
      <c r="AN7" s="74">
        <f>VLOOKUP($H$7&amp;$F$1,'Input RM sheet'!$A:$BD,AM1,0)</f>
        <v>1425</v>
      </c>
      <c r="AO7" s="74">
        <f>VLOOKUP($H$7&amp;$F$1,'Input RM sheet'!$A:$BD,AN1,0)</f>
        <v>1305</v>
      </c>
      <c r="AP7" s="74">
        <f>VLOOKUP($H$7&amp;$F$1,'Input RM sheet'!$A:$BD,AO1,0)</f>
        <v>1260</v>
      </c>
      <c r="AQ7" s="74">
        <f>VLOOKUP($H$7&amp;$F$1,'Input RM sheet'!$A:$BD,AP1,0)</f>
        <v>1295</v>
      </c>
      <c r="AR7" s="74">
        <f>VLOOKUP($H$7&amp;$F$1,'Input RM sheet'!$A:$BD,AQ1,0)</f>
        <v>1270</v>
      </c>
      <c r="AS7" s="74">
        <f>VLOOKUP($H$7&amp;$F$1,'Input RM sheet'!$A:$BD,AR1,0)</f>
        <v>1175</v>
      </c>
      <c r="AT7" s="74">
        <f>VLOOKUP($H$7&amp;$F$1,'Input RM sheet'!$A:$BD,AS1,0)</f>
        <v>1260</v>
      </c>
      <c r="AU7" s="74">
        <f>VLOOKUP($H$7&amp;$F$1,'Input RM sheet'!$A:$BD,AT1,0)</f>
        <v>1290</v>
      </c>
      <c r="AV7" s="74">
        <f>VLOOKUP($H$7&amp;$F$1,'Input RM sheet'!$A:$BD,AU1,0)</f>
        <v>1250</v>
      </c>
      <c r="AW7" s="74">
        <f>VLOOKUP($H$7&amp;$F$1,'Input RM sheet'!$A:$BD,AV1,0)</f>
        <v>1240</v>
      </c>
      <c r="AX7" s="74">
        <f>VLOOKUP($H$7&amp;$F$1,'Input RM sheet'!$A:$BD,AW1,0)</f>
        <v>1160</v>
      </c>
      <c r="AY7" s="74">
        <f>VLOOKUP($H$7&amp;$F$1,'Input RM sheet'!$A:$BD,AX1,0)</f>
        <v>1120</v>
      </c>
      <c r="AZ7" s="74">
        <f>VLOOKUP($H$7&amp;$F$1,'Input RM sheet'!$A:$BD,AY1,0)</f>
        <v>1120</v>
      </c>
      <c r="BA7" s="74">
        <f>VLOOKUP($H$7&amp;$F$1,'Input RM sheet'!$A:$BD,AZ1,0)</f>
        <v>1120</v>
      </c>
      <c r="BB7" s="74">
        <f>VLOOKUP($H$7&amp;$F$1,'Input RM sheet'!$A:$BD,BA1,0)</f>
        <v>1120</v>
      </c>
      <c r="BC7" s="74">
        <f>VLOOKUP($H$7&amp;$F$1,'Input RM sheet'!$A:$BD,BB1,0)</f>
        <v>1120</v>
      </c>
      <c r="BD7" s="74">
        <f>VLOOKUP($H$7&amp;$F$1,'Input RM sheet'!$A:$BD,BC1,0)</f>
        <v>1120</v>
      </c>
      <c r="BE7" s="74">
        <f>VLOOKUP($H$7&amp;$F$1,'Input RM sheet'!$A:$BD,BD1,0)</f>
        <v>1120</v>
      </c>
      <c r="BF7" s="74">
        <f>VLOOKUP($H$7&amp;$F$1,'Input RM sheet'!$A:$BD,BE1,0)</f>
        <v>1120</v>
      </c>
      <c r="BG7" s="74">
        <f>VLOOKUP($H$7&amp;$F$1,'Input RM sheet'!$A:$DD,BF1,0)</f>
        <v>1195</v>
      </c>
      <c r="BH7" s="74">
        <f>VLOOKUP($H$7&amp;$F$1,'Input RM sheet'!$A:$DD,BG1,0)</f>
        <v>1195</v>
      </c>
      <c r="BI7" s="74">
        <f>VLOOKUP($H$7&amp;$F$1,'Input RM sheet'!$A:$DD,BH1,0)</f>
        <v>1195</v>
      </c>
      <c r="BJ7" s="74">
        <f>VLOOKUP($H$7&amp;$F$1,'Input RM sheet'!$A:$DD,BI1,0)</f>
        <v>1195</v>
      </c>
      <c r="BK7" s="74">
        <f>VLOOKUP($H$7&amp;$F$1,'Input RM sheet'!$A:$DD,BJ1,0)</f>
        <v>1260</v>
      </c>
      <c r="BL7" s="74">
        <f>VLOOKUP($H$7&amp;$F$1,'Input RM sheet'!$A:$DD,BK1,0)</f>
        <v>1260</v>
      </c>
      <c r="BM7" s="74">
        <f>VLOOKUP($H$7&amp;$F$1,'Input RM sheet'!$A:$DD,BL1,0)</f>
        <v>1260</v>
      </c>
      <c r="BN7" s="74">
        <f>VLOOKUP($H$7&amp;$F$1,'Input RM sheet'!$A:$DD,BM1,0)</f>
        <v>1260</v>
      </c>
      <c r="BO7" s="74">
        <f>VLOOKUP($H$7&amp;$F$1,'Input RM sheet'!$A:$DD,BN1,0)</f>
        <v>1215</v>
      </c>
      <c r="BP7" s="74">
        <f>VLOOKUP($H$7&amp;$F$1,'Input RM sheet'!$A:$DD,BO1,0)</f>
        <v>1215</v>
      </c>
      <c r="BQ7" s="74">
        <f>VLOOKUP($H$7&amp;$F$1,'Input RM sheet'!$A:$DD,BP1,0)</f>
        <v>1215</v>
      </c>
      <c r="BR7" s="74">
        <f>VLOOKUP($H$7&amp;$F$1,'Input RM sheet'!$A:$DD,BQ1,0)</f>
        <v>1215</v>
      </c>
      <c r="BS7" s="74">
        <f>VLOOKUP($H$7&amp;$F$1,'Input RM sheet'!$A:$DD,BR1,0)</f>
        <v>1215</v>
      </c>
      <c r="BT7" s="74">
        <f>VLOOKUP($H$7&amp;$F$1,'Input RM sheet'!$A:$DD,BS1,0)</f>
        <v>1185</v>
      </c>
      <c r="BU7" s="74">
        <f>VLOOKUP($H$7&amp;$F$1,'Input RM sheet'!$A:$DD,BT1,0)</f>
        <v>1185</v>
      </c>
      <c r="BV7" s="74">
        <f>VLOOKUP($H$7&amp;$F$1,'Input RM sheet'!$A:$DD,BU1,0)</f>
        <v>1185</v>
      </c>
      <c r="BW7" s="74">
        <f>VLOOKUP($H$7&amp;$F$1,'Input RM sheet'!$A:$DD,BV1,0)</f>
        <v>1185</v>
      </c>
      <c r="BX7" s="74">
        <f>VLOOKUP($H$7&amp;$F$1,'Input RM sheet'!$A:$DD,BW1,0)</f>
        <v>1185</v>
      </c>
      <c r="BY7" s="74">
        <f>VLOOKUP($H$7&amp;$F$1,'Input RM sheet'!$A:$DD,BX1,0)</f>
        <v>1185</v>
      </c>
      <c r="BZ7" s="74">
        <f>VLOOKUP($H$7&amp;$F$1,'Input RM sheet'!$A:$DD,BY1,0)</f>
        <v>1185</v>
      </c>
      <c r="CA7" s="74">
        <f>VLOOKUP($H$7&amp;$F$1,'Input RM sheet'!$A:$DD,BZ1,0)</f>
        <v>1185</v>
      </c>
      <c r="CB7" s="74">
        <f>VLOOKUP($H$7&amp;$F$1,'Input RM sheet'!$A:$DD,CA1,0)</f>
        <v>1185</v>
      </c>
      <c r="CC7" s="74">
        <f>VLOOKUP($H$7&amp;$F$1,'Input RM sheet'!$A:$DD,CB1,0)</f>
        <v>1185</v>
      </c>
      <c r="CD7" s="74">
        <f>VLOOKUP($H$7&amp;$F$1,'Input RM sheet'!$A:$DD,CC1,0)</f>
        <v>1185</v>
      </c>
      <c r="CE7" s="74">
        <f>VLOOKUP($H$7&amp;$F$1,'Input RM sheet'!$A:$DD,CD1,0)</f>
        <v>1210</v>
      </c>
      <c r="CF7" s="74">
        <f>VLOOKUP($H$7&amp;$F$1,'Input RM sheet'!$A:$DD,CE1,0)</f>
        <v>1210</v>
      </c>
      <c r="CG7" s="74">
        <f>VLOOKUP($H$7&amp;$F$1,'Input RM sheet'!$A:$DD,CF1,0)</f>
        <v>1210</v>
      </c>
      <c r="CH7" s="74">
        <f>VLOOKUP($H$7&amp;$F$1,'Input RM sheet'!$A:$DD,CG1,0)</f>
        <v>1210</v>
      </c>
      <c r="CI7" s="74">
        <f>VLOOKUP($H$7&amp;$F$1,'Input RM sheet'!$A:$DD,CH1,0)</f>
        <v>1260</v>
      </c>
      <c r="CJ7" s="74">
        <f>VLOOKUP($H$7&amp;$F$1,'Input RM sheet'!$A:$DD,CI1,0)</f>
        <v>1260</v>
      </c>
      <c r="CK7" s="74">
        <f>VLOOKUP($H$7&amp;$F$1,'Input RM sheet'!$A:$DD,CJ1,0)</f>
        <v>1260</v>
      </c>
      <c r="CL7" s="74">
        <f>VLOOKUP($H$7&amp;$F$1,'Input RM sheet'!$A:$DD,CK1,0)</f>
        <v>1260</v>
      </c>
      <c r="CM7" s="74">
        <f>VLOOKUP($H$7&amp;$F$1,'Input RM sheet'!$A:$DD,CL1,0)</f>
        <v>1250</v>
      </c>
      <c r="CN7" s="74">
        <f>VLOOKUP($H$7&amp;$F$1,'Input RM sheet'!$A:$DD,CM1,0)</f>
        <v>1250</v>
      </c>
      <c r="CO7" s="74">
        <f>VLOOKUP($H$7&amp;$F$1,'Input RM sheet'!$A:$DD,CN1,0)</f>
        <v>1250</v>
      </c>
      <c r="CP7" s="74">
        <f>VLOOKUP($H$7&amp;$F$1,'Input RM sheet'!$A:$DD,CO1,0)</f>
        <v>1250</v>
      </c>
      <c r="CQ7" s="74">
        <f>VLOOKUP($H$7&amp;$F$1,'Input RM sheet'!$A:$DD,CP1,0)</f>
        <v>1250</v>
      </c>
      <c r="CR7" s="74">
        <f>VLOOKUP($H$7&amp;$F$1,'Input RM sheet'!$A:$ZZ,CQ1,0)</f>
        <v>1220</v>
      </c>
      <c r="CS7" s="74">
        <f>VLOOKUP($H$7&amp;$F$1,'Input RM sheet'!$A:$ZZ,CR1,0)</f>
        <v>1220</v>
      </c>
      <c r="CT7" s="74">
        <f>VLOOKUP($H$7&amp;$F$1,'Input RM sheet'!$A:$ZZ,CS1,0)</f>
        <v>1220</v>
      </c>
      <c r="CU7" s="74">
        <f>VLOOKUP($H$7&amp;$F$1,'Input RM sheet'!$A:$ZZ,CT1,0)</f>
        <v>1220</v>
      </c>
      <c r="CV7" s="74">
        <f>VLOOKUP($H$7&amp;$F$1,'Input RM sheet'!$A:$ZZ,CU1,0)</f>
        <v>1220</v>
      </c>
      <c r="CW7" s="74">
        <f>VLOOKUP($H$7&amp;$F$1,'Input RM sheet'!$A:$ZZ,CV1,0)</f>
        <v>1220</v>
      </c>
      <c r="CX7" s="74">
        <f>VLOOKUP($H$7&amp;$F$1,'Input RM sheet'!$A:$ZZ,CW1,0)</f>
        <v>1220</v>
      </c>
      <c r="CY7" s="74">
        <f>VLOOKUP($H$7&amp;$F$1,'Input RM sheet'!$A:$ZZ,CX1,0)</f>
        <v>1220</v>
      </c>
      <c r="CZ7" s="74">
        <f>VLOOKUP($H$7&amp;$F$1,'Input RM sheet'!$A:$ZZ,CY1,0)</f>
        <v>1220</v>
      </c>
      <c r="DA7" s="74">
        <f>VLOOKUP($H$7&amp;$F$1,'Input RM sheet'!$A:$ZZ,CZ1,0)</f>
        <v>1220</v>
      </c>
      <c r="DB7" s="74">
        <f>VLOOKUP($H$7&amp;$F$1,'Input RM sheet'!$A:$ZZ,DA1,0)</f>
        <v>1220</v>
      </c>
      <c r="DC7" s="74">
        <f>VLOOKUP($H$7&amp;$F$1,'Input RM sheet'!$A:$ZZ,DB1,0)</f>
        <v>1220</v>
      </c>
      <c r="DD7" s="74">
        <f>VLOOKUP($H$7&amp;$F$1,'Input RM sheet'!$A:$ZZ,DC1,0)</f>
        <v>1215</v>
      </c>
      <c r="DE7" s="74">
        <f>VLOOKUP($H$7&amp;$F$1,'Input RM sheet'!$A:$ZZ,DD1,0)</f>
        <v>1215</v>
      </c>
      <c r="DF7" s="74">
        <f>VLOOKUP($H$7&amp;$F$1,'Input RM sheet'!$A:$ZZ,DE1,0)</f>
        <v>1215</v>
      </c>
      <c r="DG7" s="74">
        <f>VLOOKUP($H$7&amp;$F$1,'Input RM sheet'!$A:$ZZ,DF1,0)</f>
        <v>1215</v>
      </c>
      <c r="DH7" s="74">
        <f>VLOOKUP($H$7&amp;$F$1,'Input RM sheet'!$A:$ZZ,DG1,0)</f>
        <v>1182</v>
      </c>
      <c r="DI7" s="74">
        <f>VLOOKUP($H$7&amp;$F$1,'Input RM sheet'!$A:$ZZ,DH1,0)</f>
        <v>1182</v>
      </c>
      <c r="DJ7" s="74">
        <f>VLOOKUP($H$7&amp;$F$1,'Input RM sheet'!$A:$ZZ,DI1,0)</f>
        <v>1182</v>
      </c>
      <c r="DK7" s="74">
        <f>VLOOKUP($H$7&amp;$F$1,'Input RM sheet'!$A:$ZZ,DJ1,0)</f>
        <v>1182</v>
      </c>
      <c r="DL7" s="74">
        <f>VLOOKUP($H$7&amp;$F$1,'Input RM sheet'!$A:$ZZ,DK1,0)</f>
        <v>0</v>
      </c>
      <c r="DM7" s="74">
        <f>VLOOKUP($H$7&amp;$F$1,'Input RM sheet'!$A:$ZZ,DL1,0)</f>
        <v>0</v>
      </c>
      <c r="DN7" s="74">
        <f>VLOOKUP($H$7&amp;$F$1,'Input RM sheet'!$A:$ZZ,DM1,0)</f>
        <v>0</v>
      </c>
      <c r="DO7" s="74">
        <f>VLOOKUP($H$7&amp;$F$1,'Input RM sheet'!$A:$ZZ,DN1,0)</f>
        <v>0</v>
      </c>
      <c r="DP7" s="74">
        <f>VLOOKUP($H$7&amp;$F$1,'Input RM sheet'!$A:$ZZ,DO1,0)</f>
        <v>0</v>
      </c>
      <c r="DQ7" s="74">
        <f>VLOOKUP($H$7&amp;$F$1,'Input RM sheet'!$A:$ZZ,DP1,0)</f>
        <v>0</v>
      </c>
      <c r="DR7" s="74">
        <f>VLOOKUP($H$7&amp;$F$1,'Input RM sheet'!$A:$ZZ,DQ1,0)</f>
        <v>0</v>
      </c>
      <c r="DS7" s="74">
        <f>VLOOKUP($H$7&amp;$F$1,'Input RM sheet'!$A:$ZZ,DR1,0)</f>
        <v>0</v>
      </c>
      <c r="DT7" s="74">
        <f>VLOOKUP($H$7&amp;$F$1,'Input RM sheet'!$A:$ZZ,DS1,0)</f>
        <v>0</v>
      </c>
      <c r="DU7" s="74">
        <f>VLOOKUP($H$7&amp;$F$1,'Input RM sheet'!$A:$ZZ,DT1,0)</f>
        <v>0</v>
      </c>
      <c r="DV7" s="74">
        <f>VLOOKUP($H$7&amp;$F$1,'Input RM sheet'!$A:$ZZ,DU1,0)</f>
        <v>0</v>
      </c>
      <c r="DW7" s="74">
        <f>VLOOKUP($H$7&amp;$F$1,'Input RM sheet'!$A:$ZZ,DV1,0)</f>
        <v>0</v>
      </c>
      <c r="DX7" s="74">
        <f>VLOOKUP($H$7&amp;$F$1,'Input RM sheet'!$A:$ZZ,DW1,0)</f>
        <v>0</v>
      </c>
      <c r="DY7" s="74">
        <f>VLOOKUP($H$7&amp;$F$1,'Input RM sheet'!$A:$ZZ,DX1,0)</f>
        <v>0</v>
      </c>
      <c r="DZ7" s="74">
        <f>VLOOKUP($H$7&amp;$F$1,'Input RM sheet'!$A:$ZZ,DY1,0)</f>
        <v>0</v>
      </c>
      <c r="EA7" s="74">
        <f>VLOOKUP($H$7&amp;$F$1,'Input RM sheet'!$A:$ZZ,DZ1,0)</f>
        <v>0</v>
      </c>
    </row>
    <row r="8" spans="1:164">
      <c r="B8" s="44"/>
      <c r="D8" s="44" t="s">
        <v>41</v>
      </c>
      <c r="F8" s="60" t="s">
        <v>651</v>
      </c>
      <c r="H8" s="44" t="s">
        <v>122</v>
      </c>
      <c r="I8" s="74">
        <f>VLOOKUP($H$8&amp;$F$1,'Input RM sheet'!$A:$BD,H1,0)</f>
        <v>1130</v>
      </c>
      <c r="J8" s="74">
        <f>VLOOKUP($H$8&amp;$F$1,'Input RM sheet'!$A:$BD,I1,0)</f>
        <v>1110</v>
      </c>
      <c r="K8" s="74">
        <f>VLOOKUP($H$8&amp;$F$1,'Input RM sheet'!$A:$BD,J1,0)</f>
        <v>1090</v>
      </c>
      <c r="L8" s="74">
        <f>VLOOKUP($H$8&amp;$F$1,'Input RM sheet'!$A:$BD,K1,0)</f>
        <v>1040</v>
      </c>
      <c r="M8" s="74">
        <f>VLOOKUP($H$8&amp;$F$1,'Input RM sheet'!$A:$BD,L1,0)</f>
        <v>975</v>
      </c>
      <c r="N8" s="74">
        <f>VLOOKUP($H$8&amp;$F$1,'Input RM sheet'!$A:$BD,M1,0)</f>
        <v>925</v>
      </c>
      <c r="O8" s="74">
        <f>VLOOKUP($H$8&amp;$F$1,'Input RM sheet'!$A:$BD,N1,0)</f>
        <v>905</v>
      </c>
      <c r="P8" s="74">
        <f>VLOOKUP($H$8&amp;$F$1,'Input RM sheet'!$A:$BD,O1,0)</f>
        <v>935</v>
      </c>
      <c r="Q8" s="74">
        <f>VLOOKUP($H$8&amp;$F$1,'Input RM sheet'!$A:$BD,P1,0)</f>
        <v>960</v>
      </c>
      <c r="R8" s="74">
        <f>VLOOKUP($H$8&amp;$F$1,'Input RM sheet'!$A:$BD,Q1,0)</f>
        <v>1030</v>
      </c>
      <c r="S8" s="74">
        <f>VLOOKUP($H$8&amp;$F$1,'Input RM sheet'!$A:$BD,R1,0)</f>
        <v>1060</v>
      </c>
      <c r="T8" s="74">
        <f>VLOOKUP($H$8&amp;$F$1,'Input RM sheet'!$A:$BD,S1,0)</f>
        <v>1070</v>
      </c>
      <c r="U8" s="74">
        <f>VLOOKUP($H$8&amp;$F$1,'Input RM sheet'!$A:$BD,T1,0)</f>
        <v>1165</v>
      </c>
      <c r="V8" s="74">
        <f>VLOOKUP($H$8&amp;$F$1,'Input RM sheet'!$A:$BD,U1,0)</f>
        <v>1265</v>
      </c>
      <c r="W8" s="74">
        <f>VLOOKUP($H$8&amp;$F$1,'Input RM sheet'!$A:$BD,V1,0)</f>
        <v>1855</v>
      </c>
      <c r="X8" s="74">
        <f>VLOOKUP($H$8&amp;$F$1,'Input RM sheet'!$A:$BD,W1,0)</f>
        <v>2525</v>
      </c>
      <c r="Y8" s="74">
        <f>VLOOKUP($H$8&amp;$F$1,'Input RM sheet'!$A:$BD,X1,0)</f>
        <v>2700</v>
      </c>
      <c r="Z8" s="74">
        <f>VLOOKUP($H$8&amp;$F$1,'Input RM sheet'!$A:$BD,Y1,0)</f>
        <v>2700</v>
      </c>
      <c r="AA8" s="74">
        <f>VLOOKUP($H$8&amp;$F$1,'Input RM sheet'!$A:$BD,Z1,0)</f>
        <v>2550</v>
      </c>
      <c r="AB8" s="74">
        <f>VLOOKUP($H$8&amp;$F$1,'Input RM sheet'!$A:$BD,AA1,0)</f>
        <v>2360</v>
      </c>
      <c r="AC8" s="74">
        <f>VLOOKUP($H$8&amp;$F$1,'Input RM sheet'!$A:$BD,AB1,0)</f>
        <v>2360</v>
      </c>
      <c r="AD8" s="74">
        <f>VLOOKUP($H$8&amp;$F$1,'Input RM sheet'!$A:$BD,AC1,0)</f>
        <v>2370</v>
      </c>
      <c r="AE8" s="74">
        <f>VLOOKUP($H$8&amp;$F$1,'Input RM sheet'!$A:$BD,AD1,0)</f>
        <v>2420</v>
      </c>
      <c r="AF8" s="74">
        <f>VLOOKUP($H$8&amp;$F$1,'Input RM sheet'!$A:$BD,AE1,0)</f>
        <v>2485</v>
      </c>
      <c r="AG8" s="74">
        <f>VLOOKUP($H$8&amp;$F$1,'Input RM sheet'!$A:$BD,AF1,0)</f>
        <v>2495</v>
      </c>
      <c r="AH8" s="74">
        <f>VLOOKUP($H$8&amp;$F$1,'Input RM sheet'!$A:$BD,AG1,0)</f>
        <v>2470</v>
      </c>
      <c r="AI8" s="74">
        <f>VLOOKUP($H$8&amp;$F$1,'Input RM sheet'!$A:$BD,AH1,0)</f>
        <v>2570</v>
      </c>
      <c r="AJ8" s="74">
        <f>VLOOKUP($H$8&amp;$F$1,'Input RM sheet'!$A:$BD,AI1,0)</f>
        <v>2790</v>
      </c>
      <c r="AK8" s="74">
        <f>VLOOKUP($H$8&amp;$F$1,'Input RM sheet'!$A:$BD,AJ1,0)</f>
        <v>2940</v>
      </c>
      <c r="AL8" s="74">
        <f>VLOOKUP($H$8&amp;$F$1,'Input RM sheet'!$A:$BD,AK1,0)</f>
        <v>3030</v>
      </c>
      <c r="AM8" s="74">
        <f>VLOOKUP($H$8&amp;$F$1,'Input RM sheet'!$A:$BD,AL1,0)</f>
        <v>3075</v>
      </c>
      <c r="AN8" s="74">
        <f>VLOOKUP($H$8&amp;$F$1,'Input RM sheet'!$A:$BD,AM1,0)</f>
        <v>2900</v>
      </c>
      <c r="AO8" s="74">
        <f>VLOOKUP($H$8&amp;$F$1,'Input RM sheet'!$A:$BD,AN1,0)</f>
        <v>2450</v>
      </c>
      <c r="AP8" s="74">
        <f>VLOOKUP($H$8&amp;$F$1,'Input RM sheet'!$A:$BD,AO1,0)</f>
        <v>2300</v>
      </c>
      <c r="AQ8" s="74">
        <f>VLOOKUP($H$8&amp;$F$1,'Input RM sheet'!$A:$BD,AP1,0)</f>
        <v>2180</v>
      </c>
      <c r="AR8" s="74">
        <f>VLOOKUP($H$8&amp;$F$1,'Input RM sheet'!$A:$BD,AQ1,0)</f>
        <v>2060</v>
      </c>
      <c r="AS8" s="74">
        <f>VLOOKUP($H$8&amp;$F$1,'Input RM sheet'!$A:$BD,AR1,0)</f>
        <v>1970</v>
      </c>
      <c r="AT8" s="74">
        <f>VLOOKUP($H$8&amp;$F$1,'Input RM sheet'!$A:$BD,AS1,0)</f>
        <v>1920</v>
      </c>
      <c r="AU8" s="74">
        <f>VLOOKUP($H$8&amp;$F$1,'Input RM sheet'!$A:$BD,AT1,0)</f>
        <v>1920</v>
      </c>
      <c r="AV8" s="74">
        <f>VLOOKUP($H$8&amp;$F$1,'Input RM sheet'!$A:$BD,AU1,0)</f>
        <v>1920</v>
      </c>
      <c r="AW8" s="74">
        <f>VLOOKUP($H$8&amp;$F$1,'Input RM sheet'!$A:$BD,AV1,0)</f>
        <v>1920</v>
      </c>
      <c r="AX8" s="74">
        <f>VLOOKUP($H$8&amp;$F$1,'Input RM sheet'!$A:$BD,AW1,0)</f>
        <v>1860</v>
      </c>
      <c r="AY8" s="74">
        <f>VLOOKUP($H$8&amp;$F$1,'Input RM sheet'!$A:$BD,AX1,0)</f>
        <v>1780</v>
      </c>
      <c r="AZ8" s="74">
        <f>VLOOKUP($H$8&amp;$F$1,'Input RM sheet'!$A:$BD,AY1,0)</f>
        <v>1780</v>
      </c>
      <c r="BA8" s="74">
        <f>VLOOKUP($H$8&amp;$F$1,'Input RM sheet'!$A:$BD,AZ1,0)</f>
        <v>1780</v>
      </c>
      <c r="BB8" s="74">
        <f>VLOOKUP($H$8&amp;$F$1,'Input RM sheet'!$A:$BD,BA1,0)</f>
        <v>1780</v>
      </c>
      <c r="BC8" s="74">
        <f>VLOOKUP($H$8&amp;$F$1,'Input RM sheet'!$A:$BD,BB1,0)</f>
        <v>1586</v>
      </c>
      <c r="BD8" s="74">
        <f>VLOOKUP($H$8&amp;$F$1,'Input RM sheet'!$A:$BD,BC1,0)</f>
        <v>1586</v>
      </c>
      <c r="BE8" s="74">
        <f>VLOOKUP($H$8&amp;$F$1,'Input RM sheet'!$A:$BD,BD1,0)</f>
        <v>1586</v>
      </c>
      <c r="BF8" s="74">
        <f>VLOOKUP($H$8&amp;$F$1,'Input RM sheet'!$A:$BD,BE1,0)</f>
        <v>1586</v>
      </c>
      <c r="BG8" s="74">
        <f>VLOOKUP($H$8&amp;$F$1,'Input RM sheet'!$A:$DD,BF1,0)</f>
        <v>1580</v>
      </c>
      <c r="BH8" s="74">
        <f>VLOOKUP($H$8&amp;$F$1,'Input RM sheet'!$A:$DD,BG1,0)</f>
        <v>1580</v>
      </c>
      <c r="BI8" s="74">
        <f>VLOOKUP($H$8&amp;$F$1,'Input RM sheet'!$A:$DD,BH1,0)</f>
        <v>1580</v>
      </c>
      <c r="BJ8" s="74">
        <f>VLOOKUP($H$8&amp;$F$1,'Input RM sheet'!$A:$DD,BI1,0)</f>
        <v>1580</v>
      </c>
      <c r="BK8" s="74">
        <f>VLOOKUP($H$8&amp;$F$1,'Input RM sheet'!$A:$DD,BJ1,0)</f>
        <v>1791</v>
      </c>
      <c r="BL8" s="74">
        <f>VLOOKUP($H$8&amp;$F$1,'Input RM sheet'!$A:$DD,BK1,0)</f>
        <v>1791</v>
      </c>
      <c r="BM8" s="74">
        <f>VLOOKUP($H$8&amp;$F$1,'Input RM sheet'!$A:$DD,BL1,0)</f>
        <v>1791</v>
      </c>
      <c r="BN8" s="74">
        <f>VLOOKUP($H$8&amp;$F$1,'Input RM sheet'!$A:$DD,BM1,0)</f>
        <v>1791</v>
      </c>
      <c r="BO8" s="74">
        <f>VLOOKUP($H$8&amp;$F$1,'Input RM sheet'!$A:$DD,BN1,0)</f>
        <v>1570</v>
      </c>
      <c r="BP8" s="74">
        <f>VLOOKUP($H$8&amp;$F$1,'Input RM sheet'!$A:$DD,BO1,0)</f>
        <v>1570</v>
      </c>
      <c r="BQ8" s="74">
        <f>VLOOKUP($H$8&amp;$F$1,'Input RM sheet'!$A:$DD,BP1,0)</f>
        <v>1570</v>
      </c>
      <c r="BR8" s="74">
        <f>VLOOKUP($H$8&amp;$F$1,'Input RM sheet'!$A:$DD,BQ1,0)</f>
        <v>1570</v>
      </c>
      <c r="BS8" s="74">
        <f>VLOOKUP($H$8&amp;$F$1,'Input RM sheet'!$A:$DD,BR1,0)</f>
        <v>1570</v>
      </c>
      <c r="BT8" s="74">
        <f>VLOOKUP($H$8&amp;$F$1,'Input RM sheet'!$A:$DD,BS1,0)</f>
        <v>1570</v>
      </c>
      <c r="BU8" s="74">
        <f>VLOOKUP($H$8&amp;$F$1,'Input RM sheet'!$A:$DD,BT1,0)</f>
        <v>1570</v>
      </c>
      <c r="BV8" s="74">
        <f>VLOOKUP($H$8&amp;$F$1,'Input RM sheet'!$A:$DD,BU1,0)</f>
        <v>1570</v>
      </c>
      <c r="BW8" s="74">
        <f>VLOOKUP($H$8&amp;$F$1,'Input RM sheet'!$A:$DD,BV1,0)</f>
        <v>1560</v>
      </c>
      <c r="BX8" s="74">
        <f>VLOOKUP($H$8&amp;$F$1,'Input RM sheet'!$A:$DD,BW1,0)</f>
        <v>1560</v>
      </c>
      <c r="BY8" s="74">
        <f>VLOOKUP($H$8&amp;$F$1,'Input RM sheet'!$A:$DD,BX1,0)</f>
        <v>1560</v>
      </c>
      <c r="BZ8" s="74">
        <f>VLOOKUP($H$8&amp;$F$1,'Input RM sheet'!$A:$DD,BY1,0)</f>
        <v>1560</v>
      </c>
      <c r="CA8" s="74">
        <f>VLOOKUP($H$8&amp;$F$1,'Input RM sheet'!$A:$DD,BZ1,0)</f>
        <v>1560</v>
      </c>
      <c r="CB8" s="74">
        <f>VLOOKUP($H$8&amp;$F$1,'Input RM sheet'!$A:$DD,CA1,0)</f>
        <v>1560</v>
      </c>
      <c r="CC8" s="74">
        <f>VLOOKUP($H$8&amp;$F$1,'Input RM sheet'!$A:$DD,CB1,0)</f>
        <v>1560</v>
      </c>
      <c r="CD8" s="74">
        <f>VLOOKUP($H$8&amp;$F$1,'Input RM sheet'!$A:$DD,CC1,0)</f>
        <v>1560</v>
      </c>
      <c r="CE8" s="74">
        <f>VLOOKUP($H$8&amp;$F$1,'Input RM sheet'!$A:$DD,CD1,0)</f>
        <v>1630</v>
      </c>
      <c r="CF8" s="74">
        <f>VLOOKUP($H$8&amp;$F$1,'Input RM sheet'!$A:$DD,CE1,0)</f>
        <v>1630</v>
      </c>
      <c r="CG8" s="74">
        <f>VLOOKUP($H$8&amp;$F$1,'Input RM sheet'!$A:$DD,CF1,0)</f>
        <v>1630</v>
      </c>
      <c r="CH8" s="74">
        <f>VLOOKUP($H$8&amp;$F$1,'Input RM sheet'!$A:$DD,CG1,0)</f>
        <v>1630</v>
      </c>
      <c r="CI8" s="74">
        <f>VLOOKUP($H$8&amp;$F$1,'Input RM sheet'!$A:$DD,CH1,0)</f>
        <v>1660</v>
      </c>
      <c r="CJ8" s="74">
        <f>VLOOKUP($H$8&amp;$F$1,'Input RM sheet'!$A:$DD,CI1,0)</f>
        <v>1660</v>
      </c>
      <c r="CK8" s="74">
        <f>VLOOKUP($H$8&amp;$F$1,'Input RM sheet'!$A:$DD,CJ1,0)</f>
        <v>1660</v>
      </c>
      <c r="CL8" s="74">
        <f>VLOOKUP($H$8&amp;$F$1,'Input RM sheet'!$A:$DD,CK1,0)</f>
        <v>1660</v>
      </c>
      <c r="CM8" s="74">
        <f>VLOOKUP($H$8&amp;$F$1,'Input RM sheet'!$A:$DD,CL1,0)</f>
        <v>1690</v>
      </c>
      <c r="CN8" s="74">
        <f>VLOOKUP($H$8&amp;$F$1,'Input RM sheet'!$A:$DD,CM1,0)</f>
        <v>1690</v>
      </c>
      <c r="CO8" s="74">
        <f>VLOOKUP($H$8&amp;$F$1,'Input RM sheet'!$A:$DD,CN1,0)</f>
        <v>1690</v>
      </c>
      <c r="CP8" s="74">
        <f>VLOOKUP($H$8&amp;$F$1,'Input RM sheet'!$A:$DD,CO1,0)</f>
        <v>1690</v>
      </c>
      <c r="CQ8" s="74">
        <f>VLOOKUP($H$8&amp;$F$1,'Input RM sheet'!$A:$DD,CP1,0)</f>
        <v>1690</v>
      </c>
      <c r="CR8" s="74">
        <f>VLOOKUP($H$8&amp;$F$1,'Input RM sheet'!$A:$ZZ,CQ1,0)</f>
        <v>1670</v>
      </c>
      <c r="CS8" s="74">
        <f>VLOOKUP($H$8&amp;$F$1,'Input RM sheet'!$A:$ZZ,CR1,0)</f>
        <v>1670</v>
      </c>
      <c r="CT8" s="74">
        <f>VLOOKUP($H$8&amp;$F$1,'Input RM sheet'!$A:$ZZ,CS1,0)</f>
        <v>1670</v>
      </c>
      <c r="CU8" s="74">
        <f>VLOOKUP($H$8&amp;$F$1,'Input RM sheet'!$A:$ZZ,CT1,0)</f>
        <v>1670</v>
      </c>
      <c r="CV8" s="74">
        <f>VLOOKUP($H$8&amp;$F$1,'Input RM sheet'!$A:$ZZ,CU1,0)</f>
        <v>1670</v>
      </c>
      <c r="CW8" s="74">
        <f>VLOOKUP($H$8&amp;$F$1,'Input RM sheet'!$A:$ZZ,CV1,0)</f>
        <v>1670</v>
      </c>
      <c r="CX8" s="74">
        <f>VLOOKUP($H$8&amp;$F$1,'Input RM sheet'!$A:$ZZ,CW1,0)</f>
        <v>1670</v>
      </c>
      <c r="CY8" s="74">
        <f>VLOOKUP($H$8&amp;$F$1,'Input RM sheet'!$A:$ZZ,CX1,0)</f>
        <v>1670</v>
      </c>
      <c r="CZ8" s="74">
        <f>VLOOKUP($H$8&amp;$F$1,'Input RM sheet'!$A:$ZZ,CY1,0)</f>
        <v>1660</v>
      </c>
      <c r="DA8" s="74">
        <f>VLOOKUP($H$8&amp;$F$1,'Input RM sheet'!$A:$ZZ,CZ1,0)</f>
        <v>1660</v>
      </c>
      <c r="DB8" s="74">
        <f>VLOOKUP($H$8&amp;$F$1,'Input RM sheet'!$A:$ZZ,DA1,0)</f>
        <v>1660</v>
      </c>
      <c r="DC8" s="74">
        <f>VLOOKUP($H$8&amp;$F$1,'Input RM sheet'!$A:$ZZ,DB1,0)</f>
        <v>1660</v>
      </c>
      <c r="DD8" s="74">
        <f>VLOOKUP($H$8&amp;$F$1,'Input RM sheet'!$A:$ZZ,DC1,0)</f>
        <v>1610</v>
      </c>
      <c r="DE8" s="74">
        <f>VLOOKUP($H$8&amp;$F$1,'Input RM sheet'!$A:$ZZ,DD1,0)</f>
        <v>1610</v>
      </c>
      <c r="DF8" s="74">
        <f>VLOOKUP($H$8&amp;$F$1,'Input RM sheet'!$A:$ZZ,DE1,0)</f>
        <v>1610</v>
      </c>
      <c r="DG8" s="74">
        <f>VLOOKUP($H$8&amp;$F$1,'Input RM sheet'!$A:$ZZ,DF1,0)</f>
        <v>1610</v>
      </c>
      <c r="DH8" s="74">
        <f>VLOOKUP($H$8&amp;$F$1,'Input RM sheet'!$A:$ZZ,DG1,0)</f>
        <v>1570</v>
      </c>
      <c r="DI8" s="74">
        <f>VLOOKUP($H$8&amp;$F$1,'Input RM sheet'!$A:$ZZ,DH1,0)</f>
        <v>1570</v>
      </c>
      <c r="DJ8" s="74">
        <f>VLOOKUP($H$8&amp;$F$1,'Input RM sheet'!$A:$ZZ,DI1,0)</f>
        <v>1570</v>
      </c>
      <c r="DK8" s="74">
        <f>VLOOKUP($H$8&amp;$F$1,'Input RM sheet'!$A:$ZZ,DJ1,0)</f>
        <v>1570</v>
      </c>
      <c r="DL8" s="74">
        <f>VLOOKUP($H$8&amp;$F$1,'Input RM sheet'!$A:$ZZ,DK1,0)</f>
        <v>0</v>
      </c>
      <c r="DM8" s="74">
        <f>VLOOKUP($H$8&amp;$F$1,'Input RM sheet'!$A:$ZZ,DL1,0)</f>
        <v>0</v>
      </c>
      <c r="DN8" s="74">
        <f>VLOOKUP($H$8&amp;$F$1,'Input RM sheet'!$A:$ZZ,DM1,0)</f>
        <v>0</v>
      </c>
      <c r="DO8" s="74">
        <f>VLOOKUP($H$8&amp;$F$1,'Input RM sheet'!$A:$ZZ,DN1,0)</f>
        <v>0</v>
      </c>
      <c r="DP8" s="74">
        <f>VLOOKUP($H$8&amp;$F$1,'Input RM sheet'!$A:$ZZ,DO1,0)</f>
        <v>0</v>
      </c>
      <c r="DQ8" s="74">
        <f>VLOOKUP($H$8&amp;$F$1,'Input RM sheet'!$A:$ZZ,DP1,0)</f>
        <v>0</v>
      </c>
      <c r="DR8" s="74">
        <f>VLOOKUP($H$8&amp;$F$1,'Input RM sheet'!$A:$ZZ,DQ1,0)</f>
        <v>0</v>
      </c>
      <c r="DS8" s="74">
        <f>VLOOKUP($H$8&amp;$F$1,'Input RM sheet'!$A:$ZZ,DR1,0)</f>
        <v>0</v>
      </c>
      <c r="DT8" s="74">
        <f>VLOOKUP($H$8&amp;$F$1,'Input RM sheet'!$A:$ZZ,DS1,0)</f>
        <v>0</v>
      </c>
      <c r="DU8" s="74">
        <f>VLOOKUP($H$8&amp;$F$1,'Input RM sheet'!$A:$ZZ,DT1,0)</f>
        <v>0</v>
      </c>
      <c r="DV8" s="74">
        <f>VLOOKUP($H$8&amp;$F$1,'Input RM sheet'!$A:$ZZ,DU1,0)</f>
        <v>0</v>
      </c>
      <c r="DW8" s="74">
        <f>VLOOKUP($H$8&amp;$F$1,'Input RM sheet'!$A:$ZZ,DV1,0)</f>
        <v>0</v>
      </c>
      <c r="DX8" s="74">
        <f>VLOOKUP($H$8&amp;$F$1,'Input RM sheet'!$A:$ZZ,DW1,0)</f>
        <v>0</v>
      </c>
      <c r="DY8" s="74">
        <f>VLOOKUP($H$8&amp;$F$1,'Input RM sheet'!$A:$ZZ,DX1,0)</f>
        <v>0</v>
      </c>
      <c r="DZ8" s="74">
        <f>VLOOKUP($H$8&amp;$F$1,'Input RM sheet'!$A:$ZZ,DY1,0)</f>
        <v>0</v>
      </c>
      <c r="EA8" s="74">
        <f>VLOOKUP($H$8&amp;$F$1,'Input RM sheet'!$A:$ZZ,DZ1,0)</f>
        <v>0</v>
      </c>
    </row>
    <row r="9" spans="1:164" ht="26">
      <c r="A9" s="59" t="s">
        <v>395</v>
      </c>
      <c r="B9" s="59"/>
      <c r="C9" s="59" t="s">
        <v>379</v>
      </c>
      <c r="D9" s="98" t="s">
        <v>380</v>
      </c>
      <c r="E9" s="98" t="s">
        <v>381</v>
      </c>
      <c r="F9" s="59" t="s">
        <v>396</v>
      </c>
      <c r="H9" s="60" t="s">
        <v>399</v>
      </c>
      <c r="I9" s="84"/>
      <c r="J9" s="84"/>
      <c r="K9" s="84"/>
      <c r="L9" s="84"/>
      <c r="M9" s="84"/>
      <c r="N9" s="84"/>
      <c r="O9" s="84"/>
      <c r="P9" s="84"/>
      <c r="Q9" s="84"/>
      <c r="R9" s="84"/>
      <c r="S9" s="84"/>
      <c r="T9" s="84"/>
      <c r="U9" s="84"/>
      <c r="V9" s="84"/>
      <c r="W9" s="84"/>
      <c r="X9" s="84"/>
      <c r="Y9" s="84"/>
      <c r="Z9" s="84"/>
      <c r="AA9" s="84"/>
      <c r="AB9" s="84"/>
      <c r="AC9" s="84"/>
      <c r="AD9" s="84"/>
      <c r="AE9" s="84"/>
      <c r="AF9" s="84"/>
      <c r="AG9" s="84"/>
      <c r="AH9" s="84"/>
      <c r="AI9" s="84"/>
      <c r="AJ9" s="84"/>
      <c r="AK9" s="84"/>
      <c r="AL9" s="84"/>
      <c r="AM9" s="84"/>
      <c r="AN9" s="84"/>
      <c r="AO9" s="84"/>
      <c r="AP9" s="84"/>
      <c r="AQ9" s="84"/>
      <c r="AR9" s="84"/>
      <c r="AS9" s="84"/>
      <c r="AT9" s="84"/>
      <c r="AU9" s="84"/>
    </row>
    <row r="10" spans="1:164" ht="13">
      <c r="A10" s="107" t="s">
        <v>397</v>
      </c>
      <c r="B10" s="178" t="s">
        <v>40</v>
      </c>
      <c r="F10" s="65">
        <v>0.65</v>
      </c>
      <c r="I10" s="74">
        <f>$F$10*(I7/1000)</f>
        <v>0.63049999999999995</v>
      </c>
      <c r="J10" s="74">
        <f>$F$10*(J7/1000)</f>
        <v>0.63049999999999995</v>
      </c>
      <c r="K10" s="74">
        <f t="shared" ref="K10:AZ10" si="0">$F$10*(K7/1000)</f>
        <v>0.59800000000000009</v>
      </c>
      <c r="L10" s="74">
        <f t="shared" si="0"/>
        <v>0.46799999999999997</v>
      </c>
      <c r="M10" s="74">
        <f t="shared" si="0"/>
        <v>0.40300000000000002</v>
      </c>
      <c r="N10" s="74">
        <f t="shared" si="0"/>
        <v>0.44200000000000006</v>
      </c>
      <c r="O10" s="74">
        <f t="shared" si="0"/>
        <v>0.49660000000000004</v>
      </c>
      <c r="P10" s="74">
        <f t="shared" si="0"/>
        <v>0.51025000000000009</v>
      </c>
      <c r="Q10" s="74">
        <f t="shared" si="0"/>
        <v>0.51025000000000009</v>
      </c>
      <c r="R10" s="74">
        <f t="shared" si="0"/>
        <v>0.50375000000000003</v>
      </c>
      <c r="S10" s="74">
        <f t="shared" si="0"/>
        <v>0.50375000000000003</v>
      </c>
      <c r="T10" s="74">
        <f t="shared" si="0"/>
        <v>0.51675000000000004</v>
      </c>
      <c r="U10" s="74">
        <f t="shared" si="0"/>
        <v>0.55900000000000005</v>
      </c>
      <c r="V10" s="74">
        <f t="shared" si="0"/>
        <v>0.60450000000000004</v>
      </c>
      <c r="W10" s="74">
        <f t="shared" si="0"/>
        <v>0.65325</v>
      </c>
      <c r="X10" s="74">
        <f t="shared" si="0"/>
        <v>0.67925000000000002</v>
      </c>
      <c r="Y10" s="74">
        <f t="shared" si="0"/>
        <v>0.68250000000000011</v>
      </c>
      <c r="Z10" s="74">
        <f t="shared" si="0"/>
        <v>0.70200000000000007</v>
      </c>
      <c r="AA10" s="74">
        <f t="shared" si="0"/>
        <v>0.72800000000000009</v>
      </c>
      <c r="AB10" s="74">
        <f t="shared" si="0"/>
        <v>0.76245000000000007</v>
      </c>
      <c r="AC10" s="74">
        <f t="shared" si="0"/>
        <v>0.75725000000000009</v>
      </c>
      <c r="AD10" s="74">
        <f t="shared" si="0"/>
        <v>0.77349999999999997</v>
      </c>
      <c r="AE10" s="74">
        <f t="shared" si="0"/>
        <v>0.83362500000000006</v>
      </c>
      <c r="AF10" s="74">
        <f t="shared" si="0"/>
        <v>0.827125</v>
      </c>
      <c r="AG10" s="74">
        <f t="shared" si="0"/>
        <v>0.827125</v>
      </c>
      <c r="AH10" s="74">
        <f t="shared" si="0"/>
        <v>0.87100000000000011</v>
      </c>
      <c r="AI10" s="74">
        <f t="shared" si="0"/>
        <v>0.93275000000000008</v>
      </c>
      <c r="AJ10" s="74">
        <f t="shared" si="0"/>
        <v>1.0822500000000002</v>
      </c>
      <c r="AK10" s="74">
        <f t="shared" si="0"/>
        <v>1.0367500000000001</v>
      </c>
      <c r="AL10" s="74">
        <f t="shared" si="0"/>
        <v>1.0367500000000001</v>
      </c>
      <c r="AM10" s="74">
        <f t="shared" si="0"/>
        <v>0.97175000000000011</v>
      </c>
      <c r="AN10" s="74">
        <f t="shared" si="0"/>
        <v>0.92625000000000002</v>
      </c>
      <c r="AO10" s="74">
        <f t="shared" si="0"/>
        <v>0.84824999999999995</v>
      </c>
      <c r="AP10" s="74">
        <f t="shared" si="0"/>
        <v>0.81900000000000006</v>
      </c>
      <c r="AQ10" s="74">
        <f t="shared" si="0"/>
        <v>0.84175</v>
      </c>
      <c r="AR10" s="74">
        <f t="shared" si="0"/>
        <v>0.82550000000000001</v>
      </c>
      <c r="AS10" s="74">
        <f t="shared" si="0"/>
        <v>0.76375000000000004</v>
      </c>
      <c r="AT10" s="74">
        <f t="shared" si="0"/>
        <v>0.81900000000000006</v>
      </c>
      <c r="AU10" s="74">
        <f t="shared" si="0"/>
        <v>0.83850000000000002</v>
      </c>
      <c r="AV10" s="74">
        <f t="shared" si="0"/>
        <v>0.8125</v>
      </c>
      <c r="AW10" s="74">
        <f t="shared" si="0"/>
        <v>0.80600000000000005</v>
      </c>
      <c r="AX10" s="74">
        <f t="shared" si="0"/>
        <v>0.754</v>
      </c>
      <c r="AY10" s="74">
        <f t="shared" si="0"/>
        <v>0.72800000000000009</v>
      </c>
      <c r="AZ10" s="74">
        <f t="shared" si="0"/>
        <v>0.72800000000000009</v>
      </c>
      <c r="BA10" s="74">
        <f t="shared" ref="BA10:BO10" si="1">$F$10*(BA7/1000)</f>
        <v>0.72800000000000009</v>
      </c>
      <c r="BB10" s="74">
        <f t="shared" si="1"/>
        <v>0.72800000000000009</v>
      </c>
      <c r="BC10" s="74">
        <f t="shared" si="1"/>
        <v>0.72800000000000009</v>
      </c>
      <c r="BD10" s="74">
        <f t="shared" si="1"/>
        <v>0.72800000000000009</v>
      </c>
      <c r="BE10" s="74">
        <f t="shared" si="1"/>
        <v>0.72800000000000009</v>
      </c>
      <c r="BF10" s="74">
        <f t="shared" si="1"/>
        <v>0.72800000000000009</v>
      </c>
      <c r="BG10" s="74">
        <f t="shared" si="1"/>
        <v>0.77675000000000005</v>
      </c>
      <c r="BH10" s="74">
        <f t="shared" si="1"/>
        <v>0.77675000000000005</v>
      </c>
      <c r="BI10" s="74">
        <f t="shared" si="1"/>
        <v>0.77675000000000005</v>
      </c>
      <c r="BJ10" s="74">
        <f t="shared" si="1"/>
        <v>0.77675000000000005</v>
      </c>
      <c r="BK10" s="74">
        <f t="shared" si="1"/>
        <v>0.81900000000000006</v>
      </c>
      <c r="BL10" s="74">
        <f t="shared" si="1"/>
        <v>0.81900000000000006</v>
      </c>
      <c r="BM10" s="74">
        <f t="shared" si="1"/>
        <v>0.81900000000000006</v>
      </c>
      <c r="BN10" s="74">
        <f t="shared" si="1"/>
        <v>0.81900000000000006</v>
      </c>
      <c r="BO10" s="74">
        <f t="shared" si="1"/>
        <v>0.78975000000000006</v>
      </c>
      <c r="BP10" s="74">
        <f t="shared" ref="BP10:BV10" si="2">$F$10*(BP7/1000)</f>
        <v>0.78975000000000006</v>
      </c>
      <c r="BQ10" s="74">
        <f t="shared" si="2"/>
        <v>0.78975000000000006</v>
      </c>
      <c r="BR10" s="74">
        <f t="shared" si="2"/>
        <v>0.78975000000000006</v>
      </c>
      <c r="BS10" s="74">
        <f t="shared" si="2"/>
        <v>0.78975000000000006</v>
      </c>
      <c r="BT10" s="74">
        <f t="shared" si="2"/>
        <v>0.7702500000000001</v>
      </c>
      <c r="BU10" s="74">
        <f t="shared" si="2"/>
        <v>0.7702500000000001</v>
      </c>
      <c r="BV10" s="74">
        <f t="shared" si="2"/>
        <v>0.7702500000000001</v>
      </c>
      <c r="BW10" s="74">
        <f>$F$10*(BW7/1000)</f>
        <v>0.7702500000000001</v>
      </c>
      <c r="BX10" s="74">
        <f>$F$10*(BX7/1000)</f>
        <v>0.7702500000000001</v>
      </c>
      <c r="BY10" s="74">
        <f>$F$10*(BY7/1000)</f>
        <v>0.7702500000000001</v>
      </c>
      <c r="BZ10" s="74">
        <f t="shared" ref="BZ10:CE10" si="3">$F$10*(BZ7/1000)</f>
        <v>0.7702500000000001</v>
      </c>
      <c r="CA10" s="74">
        <f t="shared" si="3"/>
        <v>0.7702500000000001</v>
      </c>
      <c r="CB10" s="74">
        <f t="shared" si="3"/>
        <v>0.7702500000000001</v>
      </c>
      <c r="CC10" s="74">
        <f t="shared" si="3"/>
        <v>0.7702500000000001</v>
      </c>
      <c r="CD10" s="74">
        <f t="shared" si="3"/>
        <v>0.7702500000000001</v>
      </c>
      <c r="CE10" s="74">
        <f t="shared" si="3"/>
        <v>0.78649999999999998</v>
      </c>
      <c r="CF10" s="74">
        <f t="shared" ref="CF10:CR10" si="4">$F$10*(CF7/1000)</f>
        <v>0.78649999999999998</v>
      </c>
      <c r="CG10" s="74">
        <f t="shared" si="4"/>
        <v>0.78649999999999998</v>
      </c>
      <c r="CH10" s="74">
        <f t="shared" si="4"/>
        <v>0.78649999999999998</v>
      </c>
      <c r="CI10" s="74">
        <f t="shared" si="4"/>
        <v>0.81900000000000006</v>
      </c>
      <c r="CJ10" s="74">
        <f t="shared" si="4"/>
        <v>0.81900000000000006</v>
      </c>
      <c r="CK10" s="74">
        <f t="shared" si="4"/>
        <v>0.81900000000000006</v>
      </c>
      <c r="CL10" s="74">
        <f t="shared" si="4"/>
        <v>0.81900000000000006</v>
      </c>
      <c r="CM10" s="74">
        <f t="shared" si="4"/>
        <v>0.8125</v>
      </c>
      <c r="CN10" s="74">
        <f t="shared" si="4"/>
        <v>0.8125</v>
      </c>
      <c r="CO10" s="74">
        <f t="shared" si="4"/>
        <v>0.8125</v>
      </c>
      <c r="CP10" s="74">
        <f t="shared" si="4"/>
        <v>0.8125</v>
      </c>
      <c r="CQ10" s="74">
        <f t="shared" si="4"/>
        <v>0.8125</v>
      </c>
      <c r="CR10" s="74">
        <f t="shared" si="4"/>
        <v>0.79300000000000004</v>
      </c>
      <c r="CS10" s="74">
        <f t="shared" ref="CS10:CZ10" si="5">$F$10*(CS7/1000)</f>
        <v>0.79300000000000004</v>
      </c>
      <c r="CT10" s="74">
        <f t="shared" si="5"/>
        <v>0.79300000000000004</v>
      </c>
      <c r="CU10" s="74">
        <f t="shared" si="5"/>
        <v>0.79300000000000004</v>
      </c>
      <c r="CV10" s="74">
        <f t="shared" si="5"/>
        <v>0.79300000000000004</v>
      </c>
      <c r="CW10" s="74">
        <f t="shared" si="5"/>
        <v>0.79300000000000004</v>
      </c>
      <c r="CX10" s="74">
        <f t="shared" si="5"/>
        <v>0.79300000000000004</v>
      </c>
      <c r="CY10" s="74">
        <f t="shared" si="5"/>
        <v>0.79300000000000004</v>
      </c>
      <c r="CZ10" s="74">
        <f t="shared" si="5"/>
        <v>0.79300000000000004</v>
      </c>
      <c r="DA10" s="74">
        <f t="shared" ref="DA10:EA10" si="6">$F$10*(DA7/1000)</f>
        <v>0.79300000000000004</v>
      </c>
      <c r="DB10" s="74">
        <f t="shared" si="6"/>
        <v>0.79300000000000004</v>
      </c>
      <c r="DC10" s="74">
        <f t="shared" si="6"/>
        <v>0.79300000000000004</v>
      </c>
      <c r="DD10" s="74">
        <f t="shared" si="6"/>
        <v>0.78975000000000006</v>
      </c>
      <c r="DE10" s="74">
        <f t="shared" si="6"/>
        <v>0.78975000000000006</v>
      </c>
      <c r="DF10" s="74">
        <f t="shared" si="6"/>
        <v>0.78975000000000006</v>
      </c>
      <c r="DG10" s="74">
        <f t="shared" si="6"/>
        <v>0.78975000000000006</v>
      </c>
      <c r="DH10" s="74">
        <f t="shared" si="6"/>
        <v>0.76829999999999998</v>
      </c>
      <c r="DI10" s="74">
        <f t="shared" si="6"/>
        <v>0.76829999999999998</v>
      </c>
      <c r="DJ10" s="74">
        <f t="shared" si="6"/>
        <v>0.76829999999999998</v>
      </c>
      <c r="DK10" s="74">
        <f t="shared" si="6"/>
        <v>0.76829999999999998</v>
      </c>
      <c r="DL10" s="74">
        <f t="shared" si="6"/>
        <v>0</v>
      </c>
      <c r="DM10" s="74">
        <f t="shared" si="6"/>
        <v>0</v>
      </c>
      <c r="DN10" s="74">
        <f t="shared" si="6"/>
        <v>0</v>
      </c>
      <c r="DO10" s="74">
        <f t="shared" si="6"/>
        <v>0</v>
      </c>
      <c r="DP10" s="74">
        <f t="shared" si="6"/>
        <v>0</v>
      </c>
      <c r="DQ10" s="74">
        <f t="shared" si="6"/>
        <v>0</v>
      </c>
      <c r="DR10" s="74">
        <f t="shared" si="6"/>
        <v>0</v>
      </c>
      <c r="DS10" s="74">
        <f t="shared" si="6"/>
        <v>0</v>
      </c>
      <c r="DT10" s="74">
        <f t="shared" si="6"/>
        <v>0</v>
      </c>
      <c r="DU10" s="74">
        <f t="shared" si="6"/>
        <v>0</v>
      </c>
      <c r="DV10" s="74">
        <f t="shared" si="6"/>
        <v>0</v>
      </c>
      <c r="DW10" s="74">
        <f t="shared" si="6"/>
        <v>0</v>
      </c>
      <c r="DX10" s="74">
        <f t="shared" si="6"/>
        <v>0</v>
      </c>
      <c r="DY10" s="74">
        <f t="shared" si="6"/>
        <v>0</v>
      </c>
      <c r="DZ10" s="74">
        <f t="shared" si="6"/>
        <v>0</v>
      </c>
      <c r="EA10" s="74">
        <f t="shared" si="6"/>
        <v>0</v>
      </c>
    </row>
    <row r="11" spans="1:164">
      <c r="A11" s="67"/>
      <c r="B11" s="44" t="s">
        <v>723</v>
      </c>
      <c r="F11" s="65">
        <v>0.35</v>
      </c>
      <c r="I11" s="74">
        <f>$F$11*(I8/1000)</f>
        <v>0.39549999999999996</v>
      </c>
      <c r="J11" s="74">
        <f t="shared" ref="J11:AZ11" si="7">$F$11*(J8/1000)</f>
        <v>0.38850000000000001</v>
      </c>
      <c r="K11" s="74">
        <f t="shared" si="7"/>
        <v>0.38150000000000001</v>
      </c>
      <c r="L11" s="74">
        <f t="shared" si="7"/>
        <v>0.36399999999999999</v>
      </c>
      <c r="M11" s="74">
        <f t="shared" si="7"/>
        <v>0.34125</v>
      </c>
      <c r="N11" s="74">
        <f t="shared" si="7"/>
        <v>0.32374999999999998</v>
      </c>
      <c r="O11" s="74">
        <f t="shared" si="7"/>
        <v>0.31674999999999998</v>
      </c>
      <c r="P11" s="74">
        <f t="shared" si="7"/>
        <v>0.32724999999999999</v>
      </c>
      <c r="Q11" s="74">
        <f t="shared" si="7"/>
        <v>0.33599999999999997</v>
      </c>
      <c r="R11" s="74">
        <f t="shared" si="7"/>
        <v>0.36049999999999999</v>
      </c>
      <c r="S11" s="74">
        <f t="shared" si="7"/>
        <v>0.371</v>
      </c>
      <c r="T11" s="74">
        <f t="shared" si="7"/>
        <v>0.3745</v>
      </c>
      <c r="U11" s="74">
        <f t="shared" si="7"/>
        <v>0.40775</v>
      </c>
      <c r="V11" s="74">
        <f t="shared" si="7"/>
        <v>0.44274999999999992</v>
      </c>
      <c r="W11" s="74">
        <f t="shared" si="7"/>
        <v>0.64924999999999999</v>
      </c>
      <c r="X11" s="74">
        <f t="shared" si="7"/>
        <v>0.88374999999999992</v>
      </c>
      <c r="Y11" s="74">
        <f t="shared" si="7"/>
        <v>0.94499999999999995</v>
      </c>
      <c r="Z11" s="74">
        <f t="shared" si="7"/>
        <v>0.94499999999999995</v>
      </c>
      <c r="AA11" s="74">
        <f t="shared" si="7"/>
        <v>0.89249999999999985</v>
      </c>
      <c r="AB11" s="74">
        <f t="shared" si="7"/>
        <v>0.82599999999999996</v>
      </c>
      <c r="AC11" s="74">
        <f t="shared" si="7"/>
        <v>0.82599999999999996</v>
      </c>
      <c r="AD11" s="74">
        <f t="shared" si="7"/>
        <v>0.82950000000000002</v>
      </c>
      <c r="AE11" s="74">
        <f t="shared" si="7"/>
        <v>0.84699999999999998</v>
      </c>
      <c r="AF11" s="74">
        <f t="shared" si="7"/>
        <v>0.86974999999999991</v>
      </c>
      <c r="AG11" s="74">
        <f t="shared" si="7"/>
        <v>0.87324999999999997</v>
      </c>
      <c r="AH11" s="74">
        <f t="shared" si="7"/>
        <v>0.86450000000000005</v>
      </c>
      <c r="AI11" s="74">
        <f t="shared" si="7"/>
        <v>0.89949999999999986</v>
      </c>
      <c r="AJ11" s="74">
        <f t="shared" si="7"/>
        <v>0.97649999999999992</v>
      </c>
      <c r="AK11" s="74">
        <f t="shared" si="7"/>
        <v>1.0289999999999999</v>
      </c>
      <c r="AL11" s="74">
        <f t="shared" si="7"/>
        <v>1.0604999999999998</v>
      </c>
      <c r="AM11" s="74">
        <f t="shared" si="7"/>
        <v>1.0762499999999999</v>
      </c>
      <c r="AN11" s="74">
        <f t="shared" si="7"/>
        <v>1.0149999999999999</v>
      </c>
      <c r="AO11" s="74">
        <f t="shared" si="7"/>
        <v>0.85750000000000004</v>
      </c>
      <c r="AP11" s="74">
        <f t="shared" si="7"/>
        <v>0.80499999999999994</v>
      </c>
      <c r="AQ11" s="74">
        <f t="shared" si="7"/>
        <v>0.76300000000000001</v>
      </c>
      <c r="AR11" s="74">
        <f t="shared" si="7"/>
        <v>0.72099999999999997</v>
      </c>
      <c r="AS11" s="74">
        <f t="shared" si="7"/>
        <v>0.6895</v>
      </c>
      <c r="AT11" s="74">
        <f t="shared" si="7"/>
        <v>0.67199999999999993</v>
      </c>
      <c r="AU11" s="74">
        <f t="shared" si="7"/>
        <v>0.67199999999999993</v>
      </c>
      <c r="AV11" s="74">
        <f t="shared" si="7"/>
        <v>0.67199999999999993</v>
      </c>
      <c r="AW11" s="74">
        <f t="shared" si="7"/>
        <v>0.67199999999999993</v>
      </c>
      <c r="AX11" s="74">
        <f t="shared" si="7"/>
        <v>0.65100000000000002</v>
      </c>
      <c r="AY11" s="74">
        <f t="shared" si="7"/>
        <v>0.623</v>
      </c>
      <c r="AZ11" s="74">
        <f t="shared" si="7"/>
        <v>0.623</v>
      </c>
      <c r="BA11" s="74">
        <f t="shared" ref="BA11:BO11" si="8">$F$11*(BA8/1000)</f>
        <v>0.623</v>
      </c>
      <c r="BB11" s="74">
        <f t="shared" si="8"/>
        <v>0.623</v>
      </c>
      <c r="BC11" s="74">
        <f t="shared" si="8"/>
        <v>0.55510000000000004</v>
      </c>
      <c r="BD11" s="74">
        <f t="shared" si="8"/>
        <v>0.55510000000000004</v>
      </c>
      <c r="BE11" s="74">
        <f t="shared" si="8"/>
        <v>0.55510000000000004</v>
      </c>
      <c r="BF11" s="74">
        <f t="shared" si="8"/>
        <v>0.55510000000000004</v>
      </c>
      <c r="BG11" s="74">
        <f t="shared" si="8"/>
        <v>0.55299999999999994</v>
      </c>
      <c r="BH11" s="74">
        <f t="shared" si="8"/>
        <v>0.55299999999999994</v>
      </c>
      <c r="BI11" s="74">
        <f t="shared" si="8"/>
        <v>0.55299999999999994</v>
      </c>
      <c r="BJ11" s="74">
        <f t="shared" si="8"/>
        <v>0.55299999999999994</v>
      </c>
      <c r="BK11" s="74">
        <f t="shared" si="8"/>
        <v>0.62684999999999991</v>
      </c>
      <c r="BL11" s="74">
        <f t="shared" si="8"/>
        <v>0.62684999999999991</v>
      </c>
      <c r="BM11" s="74">
        <f t="shared" si="8"/>
        <v>0.62684999999999991</v>
      </c>
      <c r="BN11" s="74">
        <f t="shared" si="8"/>
        <v>0.62684999999999991</v>
      </c>
      <c r="BO11" s="74">
        <f t="shared" si="8"/>
        <v>0.54949999999999999</v>
      </c>
      <c r="BP11" s="74">
        <f t="shared" ref="BP11:BV11" si="9">$F$11*(BP8/1000)</f>
        <v>0.54949999999999999</v>
      </c>
      <c r="BQ11" s="74">
        <f t="shared" si="9"/>
        <v>0.54949999999999999</v>
      </c>
      <c r="BR11" s="74">
        <f t="shared" si="9"/>
        <v>0.54949999999999999</v>
      </c>
      <c r="BS11" s="74">
        <f t="shared" si="9"/>
        <v>0.54949999999999999</v>
      </c>
      <c r="BT11" s="74">
        <f t="shared" si="9"/>
        <v>0.54949999999999999</v>
      </c>
      <c r="BU11" s="74">
        <f t="shared" si="9"/>
        <v>0.54949999999999999</v>
      </c>
      <c r="BV11" s="74">
        <f t="shared" si="9"/>
        <v>0.54949999999999999</v>
      </c>
      <c r="BW11" s="74">
        <f>$F$11*(BW8/1000)</f>
        <v>0.54599999999999993</v>
      </c>
      <c r="BX11" s="74">
        <f>$F$11*(BX8/1000)</f>
        <v>0.54599999999999993</v>
      </c>
      <c r="BY11" s="74">
        <f>$F$11*(BY8/1000)</f>
        <v>0.54599999999999993</v>
      </c>
      <c r="BZ11" s="74">
        <f t="shared" ref="BZ11:CE11" si="10">$F$11*(BZ8/1000)</f>
        <v>0.54599999999999993</v>
      </c>
      <c r="CA11" s="74">
        <f t="shared" si="10"/>
        <v>0.54599999999999993</v>
      </c>
      <c r="CB11" s="74">
        <f t="shared" si="10"/>
        <v>0.54599999999999993</v>
      </c>
      <c r="CC11" s="74">
        <f t="shared" si="10"/>
        <v>0.54599999999999993</v>
      </c>
      <c r="CD11" s="74">
        <f t="shared" si="10"/>
        <v>0.54599999999999993</v>
      </c>
      <c r="CE11" s="74">
        <f t="shared" si="10"/>
        <v>0.5704999999999999</v>
      </c>
      <c r="CF11" s="74">
        <f t="shared" ref="CF11:CR11" si="11">$F$11*(CF8/1000)</f>
        <v>0.5704999999999999</v>
      </c>
      <c r="CG11" s="74">
        <f t="shared" si="11"/>
        <v>0.5704999999999999</v>
      </c>
      <c r="CH11" s="74">
        <f t="shared" si="11"/>
        <v>0.5704999999999999</v>
      </c>
      <c r="CI11" s="74">
        <f t="shared" si="11"/>
        <v>0.58099999999999996</v>
      </c>
      <c r="CJ11" s="74">
        <f t="shared" si="11"/>
        <v>0.58099999999999996</v>
      </c>
      <c r="CK11" s="74">
        <f t="shared" si="11"/>
        <v>0.58099999999999996</v>
      </c>
      <c r="CL11" s="74">
        <f t="shared" si="11"/>
        <v>0.58099999999999996</v>
      </c>
      <c r="CM11" s="74">
        <f t="shared" si="11"/>
        <v>0.59149999999999991</v>
      </c>
      <c r="CN11" s="74">
        <f t="shared" si="11"/>
        <v>0.59149999999999991</v>
      </c>
      <c r="CO11" s="74">
        <f t="shared" si="11"/>
        <v>0.59149999999999991</v>
      </c>
      <c r="CP11" s="74">
        <f t="shared" si="11"/>
        <v>0.59149999999999991</v>
      </c>
      <c r="CQ11" s="74">
        <f t="shared" si="11"/>
        <v>0.59149999999999991</v>
      </c>
      <c r="CR11" s="74">
        <f t="shared" si="11"/>
        <v>0.58449999999999991</v>
      </c>
      <c r="CS11" s="74">
        <f t="shared" ref="CS11:CZ11" si="12">$F$11*(CS8/1000)</f>
        <v>0.58449999999999991</v>
      </c>
      <c r="CT11" s="74">
        <f t="shared" si="12"/>
        <v>0.58449999999999991</v>
      </c>
      <c r="CU11" s="74">
        <f t="shared" si="12"/>
        <v>0.58449999999999991</v>
      </c>
      <c r="CV11" s="74">
        <f t="shared" si="12"/>
        <v>0.58449999999999991</v>
      </c>
      <c r="CW11" s="74">
        <f t="shared" si="12"/>
        <v>0.58449999999999991</v>
      </c>
      <c r="CX11" s="74">
        <f t="shared" si="12"/>
        <v>0.58449999999999991</v>
      </c>
      <c r="CY11" s="74">
        <f t="shared" si="12"/>
        <v>0.58449999999999991</v>
      </c>
      <c r="CZ11" s="74">
        <f t="shared" si="12"/>
        <v>0.58099999999999996</v>
      </c>
      <c r="DA11" s="74">
        <f t="shared" ref="DA11:EA11" si="13">$F$11*(DA8/1000)</f>
        <v>0.58099999999999996</v>
      </c>
      <c r="DB11" s="74">
        <f t="shared" si="13"/>
        <v>0.58099999999999996</v>
      </c>
      <c r="DC11" s="74">
        <f t="shared" si="13"/>
        <v>0.58099999999999996</v>
      </c>
      <c r="DD11" s="74">
        <f t="shared" si="13"/>
        <v>0.5635</v>
      </c>
      <c r="DE11" s="74">
        <f t="shared" si="13"/>
        <v>0.5635</v>
      </c>
      <c r="DF11" s="74">
        <f t="shared" si="13"/>
        <v>0.5635</v>
      </c>
      <c r="DG11" s="74">
        <f t="shared" si="13"/>
        <v>0.5635</v>
      </c>
      <c r="DH11" s="74">
        <f t="shared" si="13"/>
        <v>0.54949999999999999</v>
      </c>
      <c r="DI11" s="74">
        <f t="shared" si="13"/>
        <v>0.54949999999999999</v>
      </c>
      <c r="DJ11" s="74">
        <f t="shared" si="13"/>
        <v>0.54949999999999999</v>
      </c>
      <c r="DK11" s="74">
        <f t="shared" si="13"/>
        <v>0.54949999999999999</v>
      </c>
      <c r="DL11" s="74">
        <f t="shared" si="13"/>
        <v>0</v>
      </c>
      <c r="DM11" s="74">
        <f t="shared" si="13"/>
        <v>0</v>
      </c>
      <c r="DN11" s="74">
        <f t="shared" si="13"/>
        <v>0</v>
      </c>
      <c r="DO11" s="74">
        <f t="shared" si="13"/>
        <v>0</v>
      </c>
      <c r="DP11" s="74">
        <f t="shared" si="13"/>
        <v>0</v>
      </c>
      <c r="DQ11" s="74">
        <f t="shared" si="13"/>
        <v>0</v>
      </c>
      <c r="DR11" s="74">
        <f t="shared" si="13"/>
        <v>0</v>
      </c>
      <c r="DS11" s="74">
        <f t="shared" si="13"/>
        <v>0</v>
      </c>
      <c r="DT11" s="74">
        <f t="shared" si="13"/>
        <v>0</v>
      </c>
      <c r="DU11" s="74">
        <f t="shared" si="13"/>
        <v>0</v>
      </c>
      <c r="DV11" s="74">
        <f t="shared" si="13"/>
        <v>0</v>
      </c>
      <c r="DW11" s="74">
        <f t="shared" si="13"/>
        <v>0</v>
      </c>
      <c r="DX11" s="74">
        <f t="shared" si="13"/>
        <v>0</v>
      </c>
      <c r="DY11" s="74">
        <f t="shared" si="13"/>
        <v>0</v>
      </c>
      <c r="DZ11" s="74">
        <f t="shared" si="13"/>
        <v>0</v>
      </c>
      <c r="EA11" s="74">
        <f t="shared" si="13"/>
        <v>0</v>
      </c>
    </row>
    <row r="12" spans="1:164" ht="16" customHeight="1">
      <c r="A12" s="67"/>
      <c r="B12" s="100"/>
      <c r="F12" s="65"/>
      <c r="H12" s="60" t="s">
        <v>718</v>
      </c>
      <c r="I12" s="74">
        <v>0.95</v>
      </c>
      <c r="J12" s="74">
        <v>0.95</v>
      </c>
      <c r="K12" s="74">
        <v>0.95</v>
      </c>
      <c r="L12" s="74">
        <v>0.95</v>
      </c>
      <c r="M12" s="74">
        <v>0.95</v>
      </c>
      <c r="N12" s="74">
        <v>0.95</v>
      </c>
      <c r="O12" s="74">
        <v>0.95</v>
      </c>
      <c r="P12" s="74">
        <v>0.95</v>
      </c>
      <c r="Q12" s="74">
        <v>0.95</v>
      </c>
      <c r="R12" s="74">
        <v>0.95</v>
      </c>
      <c r="S12" s="74">
        <v>0.95</v>
      </c>
      <c r="T12" s="74">
        <v>0.95</v>
      </c>
      <c r="U12" s="74">
        <v>0.95</v>
      </c>
      <c r="V12" s="74">
        <v>0.95</v>
      </c>
      <c r="W12" s="74">
        <v>1.038</v>
      </c>
      <c r="X12" s="74">
        <v>1.038</v>
      </c>
      <c r="Y12" s="74">
        <v>1.038</v>
      </c>
      <c r="Z12" s="74">
        <v>1.038</v>
      </c>
      <c r="AA12" s="74">
        <v>1.1499999999999999</v>
      </c>
      <c r="AB12" s="74">
        <v>1.1499999999999999</v>
      </c>
      <c r="AC12" s="74">
        <v>1.1499999999999999</v>
      </c>
      <c r="AD12" s="74">
        <v>1.038</v>
      </c>
      <c r="AE12" s="74">
        <v>1.038</v>
      </c>
      <c r="AF12" s="74">
        <v>1.038</v>
      </c>
      <c r="AG12" s="74">
        <v>1.038</v>
      </c>
      <c r="AH12" s="74">
        <v>1.038</v>
      </c>
      <c r="AI12" s="74">
        <v>1.038</v>
      </c>
      <c r="AJ12" s="74">
        <v>1.038</v>
      </c>
      <c r="AK12" s="74">
        <v>1.038</v>
      </c>
      <c r="AL12" s="74">
        <v>1.038</v>
      </c>
      <c r="AM12" s="74">
        <v>1.2230000000000001</v>
      </c>
      <c r="AN12" s="74">
        <v>1.2230000000000001</v>
      </c>
      <c r="AO12" s="74">
        <v>1.2230000000000001</v>
      </c>
      <c r="AP12" s="74">
        <v>1.5960000000000001</v>
      </c>
      <c r="AQ12" s="74">
        <v>1.3979999999999999</v>
      </c>
      <c r="AR12" s="74">
        <v>1.3979999999999999</v>
      </c>
      <c r="AS12" s="74">
        <v>1.3979999999999999</v>
      </c>
      <c r="AT12" s="74">
        <v>1.3979999999999999</v>
      </c>
      <c r="AU12" s="74">
        <v>1.3979999999999999</v>
      </c>
      <c r="AV12" s="74">
        <v>0.95</v>
      </c>
      <c r="AW12" s="74">
        <v>0.95</v>
      </c>
      <c r="AX12" s="74">
        <v>0.95</v>
      </c>
      <c r="AY12" s="74">
        <v>0.95</v>
      </c>
      <c r="AZ12" s="74">
        <f t="shared" ref="AZ12:BF12" si="14">(1586-60)/1000</f>
        <v>1.526</v>
      </c>
      <c r="BA12" s="74">
        <f t="shared" si="14"/>
        <v>1.526</v>
      </c>
      <c r="BB12" s="74">
        <f t="shared" si="14"/>
        <v>1.526</v>
      </c>
      <c r="BC12" s="74">
        <f t="shared" si="14"/>
        <v>1.526</v>
      </c>
      <c r="BD12" s="74">
        <f t="shared" si="14"/>
        <v>1.526</v>
      </c>
      <c r="BE12" s="74">
        <f t="shared" si="14"/>
        <v>1.526</v>
      </c>
      <c r="BF12" s="74">
        <f t="shared" si="14"/>
        <v>1.526</v>
      </c>
      <c r="BG12" s="74">
        <v>1.7909999999999999</v>
      </c>
      <c r="BH12" s="74">
        <v>1.7909999999999999</v>
      </c>
      <c r="BI12" s="74">
        <v>1.7909999999999999</v>
      </c>
      <c r="BJ12" s="74">
        <v>1.7909999999999999</v>
      </c>
      <c r="BK12" s="74">
        <v>1.7909999999999999</v>
      </c>
      <c r="BL12" s="74">
        <v>1.7909999999999999</v>
      </c>
      <c r="BM12" s="74">
        <v>1.7909999999999999</v>
      </c>
      <c r="BN12" s="74">
        <v>1.7909999999999999</v>
      </c>
      <c r="BO12" s="74">
        <v>1.7909999999999999</v>
      </c>
      <c r="BP12" s="74">
        <v>1.7909999999999999</v>
      </c>
      <c r="BQ12" s="74">
        <v>1.7909999999999999</v>
      </c>
      <c r="BR12" s="74">
        <v>1.7909999999999999</v>
      </c>
      <c r="BS12" s="74">
        <v>1.7909999999999999</v>
      </c>
      <c r="BT12" s="74">
        <v>1.7909999999999999</v>
      </c>
      <c r="BU12" s="74">
        <v>1.7909999999999999</v>
      </c>
      <c r="BV12" s="74">
        <v>1.7909999999999999</v>
      </c>
      <c r="BW12" s="74">
        <v>1.7909999999999999</v>
      </c>
      <c r="BX12" s="74">
        <v>1.7909999999999999</v>
      </c>
      <c r="BY12" s="74">
        <v>1.7909999999999999</v>
      </c>
      <c r="BZ12" s="74">
        <v>1.7909999999999999</v>
      </c>
      <c r="CA12" s="74">
        <v>1.7909999999999999</v>
      </c>
      <c r="CB12" s="74">
        <v>1.7909999999999999</v>
      </c>
      <c r="CC12" s="74">
        <v>1.7909999999999999</v>
      </c>
      <c r="CD12" s="74">
        <v>1.7909999999999999</v>
      </c>
      <c r="CE12" s="74">
        <v>1.7909999999999999</v>
      </c>
      <c r="CF12" s="74">
        <v>1.7909999999999999</v>
      </c>
      <c r="CG12" s="74">
        <v>1.7909999999999999</v>
      </c>
      <c r="CH12" s="74">
        <v>1.7909999999999999</v>
      </c>
      <c r="CI12" s="74">
        <v>1.7909999999999999</v>
      </c>
      <c r="CJ12" s="74">
        <v>1.7909999999999999</v>
      </c>
      <c r="CK12" s="74">
        <v>1.7909999999999999</v>
      </c>
      <c r="CL12" s="74">
        <v>1.7909999999999999</v>
      </c>
      <c r="CM12" s="74">
        <v>1.7909999999999999</v>
      </c>
      <c r="CN12" s="74">
        <v>1.7909999999999999</v>
      </c>
      <c r="CO12" s="74">
        <v>1.7909999999999999</v>
      </c>
      <c r="CP12" s="74">
        <v>1.7909999999999999</v>
      </c>
      <c r="CQ12" s="74">
        <v>1.7909999999999999</v>
      </c>
      <c r="CR12" s="74">
        <v>2.7909999999999999</v>
      </c>
      <c r="CS12" s="74">
        <v>1.7909999999999999</v>
      </c>
      <c r="CT12" s="74">
        <v>1.7909999999999999</v>
      </c>
      <c r="CU12" s="74">
        <v>1.7909999999999999</v>
      </c>
      <c r="CV12" s="74">
        <v>1.7909999999999999</v>
      </c>
      <c r="CW12" s="74">
        <v>1.7909999999999999</v>
      </c>
      <c r="CX12" s="74">
        <v>1.7909999999999999</v>
      </c>
      <c r="CY12" s="74">
        <v>1.7909999999999999</v>
      </c>
      <c r="CZ12" s="74">
        <v>1.7909999999999999</v>
      </c>
      <c r="DA12" s="74">
        <v>1.7909999999999999</v>
      </c>
      <c r="DB12" s="74">
        <v>1.7909999999999999</v>
      </c>
      <c r="DC12" s="74">
        <v>1.7909999999999999</v>
      </c>
      <c r="DD12" s="74">
        <v>1.7909999999999999</v>
      </c>
      <c r="DE12" s="74">
        <v>1.7909999999999999</v>
      </c>
      <c r="DF12" s="74">
        <v>1.7909999999999999</v>
      </c>
      <c r="DG12" s="74">
        <v>1.7909999999999999</v>
      </c>
      <c r="DH12" s="74">
        <v>1.7909999999999999</v>
      </c>
      <c r="DI12" s="74">
        <v>1.7909999999999999</v>
      </c>
      <c r="DJ12" s="74">
        <v>1.7909999999999999</v>
      </c>
      <c r="DK12" s="74">
        <v>1.7909999999999999</v>
      </c>
      <c r="DL12" s="74">
        <v>1.7909999999999999</v>
      </c>
      <c r="DM12" s="74">
        <v>1.7909999999999999</v>
      </c>
      <c r="DN12" s="74">
        <v>1.7909999999999999</v>
      </c>
      <c r="DO12" s="74">
        <v>1.7909999999999999</v>
      </c>
      <c r="DP12" s="74">
        <v>1.7909999999999999</v>
      </c>
      <c r="DQ12" s="74">
        <v>1.7909999999999999</v>
      </c>
      <c r="DR12" s="74">
        <v>1.7909999999999999</v>
      </c>
      <c r="DS12" s="74">
        <v>1.7909999999999999</v>
      </c>
      <c r="DT12" s="74">
        <v>1.7909999999999999</v>
      </c>
      <c r="DU12" s="74">
        <v>1.7909999999999999</v>
      </c>
      <c r="DV12" s="74">
        <v>1.7909999999999999</v>
      </c>
      <c r="DW12" s="74">
        <v>1.7909999999999999</v>
      </c>
      <c r="DX12" s="74">
        <v>1.7909999999999999</v>
      </c>
      <c r="DY12" s="74">
        <v>1.7909999999999999</v>
      </c>
      <c r="DZ12" s="74">
        <v>1.7909999999999999</v>
      </c>
      <c r="EA12" s="74">
        <v>1.7909999999999999</v>
      </c>
    </row>
    <row r="13" spans="1:164" s="104" customFormat="1">
      <c r="A13" s="104" t="s">
        <v>400</v>
      </c>
      <c r="H13" s="60"/>
      <c r="I13" s="105">
        <f>SUM(I10:I12)</f>
        <v>1.9759999999999998</v>
      </c>
      <c r="J13" s="105">
        <f t="shared" ref="J13:AV13" si="15">SUM(J10:J12)</f>
        <v>1.9689999999999999</v>
      </c>
      <c r="K13" s="105">
        <f t="shared" si="15"/>
        <v>1.9295</v>
      </c>
      <c r="L13" s="105">
        <f t="shared" si="15"/>
        <v>1.782</v>
      </c>
      <c r="M13" s="105">
        <f t="shared" si="15"/>
        <v>1.69425</v>
      </c>
      <c r="N13" s="105">
        <f t="shared" si="15"/>
        <v>1.7157499999999999</v>
      </c>
      <c r="O13" s="105">
        <f t="shared" si="15"/>
        <v>1.76335</v>
      </c>
      <c r="P13" s="105">
        <f t="shared" si="15"/>
        <v>1.7875000000000001</v>
      </c>
      <c r="Q13" s="105">
        <f t="shared" si="15"/>
        <v>1.7962500000000001</v>
      </c>
      <c r="R13" s="105">
        <f t="shared" si="15"/>
        <v>1.8142499999999999</v>
      </c>
      <c r="S13" s="105">
        <f t="shared" si="15"/>
        <v>1.8247499999999999</v>
      </c>
      <c r="T13" s="105">
        <f t="shared" si="15"/>
        <v>1.8412500000000001</v>
      </c>
      <c r="U13" s="105">
        <f t="shared" si="15"/>
        <v>1.91675</v>
      </c>
      <c r="V13" s="105">
        <f t="shared" si="15"/>
        <v>1.99725</v>
      </c>
      <c r="W13" s="105">
        <f t="shared" si="15"/>
        <v>2.3405</v>
      </c>
      <c r="X13" s="105">
        <f t="shared" si="15"/>
        <v>2.601</v>
      </c>
      <c r="Y13" s="105">
        <f t="shared" si="15"/>
        <v>2.6654999999999998</v>
      </c>
      <c r="Z13" s="105">
        <f t="shared" si="15"/>
        <v>2.6850000000000001</v>
      </c>
      <c r="AA13" s="105">
        <f t="shared" si="15"/>
        <v>2.7704999999999997</v>
      </c>
      <c r="AB13" s="105">
        <f t="shared" si="15"/>
        <v>2.7384499999999998</v>
      </c>
      <c r="AC13" s="105">
        <f t="shared" si="15"/>
        <v>2.73325</v>
      </c>
      <c r="AD13" s="105">
        <f t="shared" si="15"/>
        <v>2.641</v>
      </c>
      <c r="AE13" s="105">
        <f t="shared" si="15"/>
        <v>2.7186250000000003</v>
      </c>
      <c r="AF13" s="105">
        <f t="shared" si="15"/>
        <v>2.7348749999999997</v>
      </c>
      <c r="AG13" s="105">
        <f t="shared" si="15"/>
        <v>2.738375</v>
      </c>
      <c r="AH13" s="105">
        <f t="shared" si="15"/>
        <v>2.7735000000000003</v>
      </c>
      <c r="AI13" s="105">
        <f t="shared" si="15"/>
        <v>2.87025</v>
      </c>
      <c r="AJ13" s="105">
        <f t="shared" si="15"/>
        <v>3.0967500000000001</v>
      </c>
      <c r="AK13" s="105">
        <f t="shared" si="15"/>
        <v>3.1037499999999998</v>
      </c>
      <c r="AL13" s="105">
        <f t="shared" si="15"/>
        <v>3.1352500000000001</v>
      </c>
      <c r="AM13" s="105">
        <f t="shared" si="15"/>
        <v>3.2709999999999999</v>
      </c>
      <c r="AN13" s="105">
        <f t="shared" si="15"/>
        <v>3.16425</v>
      </c>
      <c r="AO13" s="105">
        <f t="shared" si="15"/>
        <v>2.92875</v>
      </c>
      <c r="AP13" s="105">
        <f t="shared" si="15"/>
        <v>3.22</v>
      </c>
      <c r="AQ13" s="105">
        <f t="shared" si="15"/>
        <v>3.0027499999999998</v>
      </c>
      <c r="AR13" s="105">
        <f t="shared" si="15"/>
        <v>2.9444999999999997</v>
      </c>
      <c r="AS13" s="105">
        <f t="shared" si="15"/>
        <v>2.8512500000000003</v>
      </c>
      <c r="AT13" s="105">
        <f t="shared" si="15"/>
        <v>2.8890000000000002</v>
      </c>
      <c r="AU13" s="105">
        <f t="shared" si="15"/>
        <v>2.9085000000000001</v>
      </c>
      <c r="AV13" s="105">
        <f t="shared" si="15"/>
        <v>2.4344999999999999</v>
      </c>
      <c r="AW13" s="105">
        <f t="shared" ref="AW13:BB13" si="16">SUM(AW10:AW12)</f>
        <v>2.4279999999999999</v>
      </c>
      <c r="AX13" s="105">
        <f t="shared" si="16"/>
        <v>2.355</v>
      </c>
      <c r="AY13" s="105">
        <f t="shared" si="16"/>
        <v>2.3010000000000002</v>
      </c>
      <c r="AZ13" s="105">
        <f t="shared" si="16"/>
        <v>2.8769999999999998</v>
      </c>
      <c r="BA13" s="105">
        <f t="shared" si="16"/>
        <v>2.8769999999999998</v>
      </c>
      <c r="BB13" s="105">
        <f t="shared" si="16"/>
        <v>2.8769999999999998</v>
      </c>
      <c r="BC13" s="105">
        <f t="shared" ref="BC13:BO13" si="17">SUM(BC10:BC12)</f>
        <v>2.8090999999999999</v>
      </c>
      <c r="BD13" s="105">
        <f t="shared" si="17"/>
        <v>2.8090999999999999</v>
      </c>
      <c r="BE13" s="105">
        <f t="shared" si="17"/>
        <v>2.8090999999999999</v>
      </c>
      <c r="BF13" s="105">
        <f t="shared" si="17"/>
        <v>2.8090999999999999</v>
      </c>
      <c r="BG13" s="105">
        <f t="shared" si="17"/>
        <v>3.1207500000000001</v>
      </c>
      <c r="BH13" s="105">
        <f t="shared" si="17"/>
        <v>3.1207500000000001</v>
      </c>
      <c r="BI13" s="105">
        <f t="shared" si="17"/>
        <v>3.1207500000000001</v>
      </c>
      <c r="BJ13" s="105">
        <f t="shared" si="17"/>
        <v>3.1207500000000001</v>
      </c>
      <c r="BK13" s="105">
        <f t="shared" si="17"/>
        <v>3.23685</v>
      </c>
      <c r="BL13" s="105">
        <f t="shared" si="17"/>
        <v>3.23685</v>
      </c>
      <c r="BM13" s="105">
        <f t="shared" si="17"/>
        <v>3.23685</v>
      </c>
      <c r="BN13" s="105">
        <f t="shared" si="17"/>
        <v>3.23685</v>
      </c>
      <c r="BO13" s="105">
        <f t="shared" si="17"/>
        <v>3.1302500000000002</v>
      </c>
      <c r="BP13" s="105">
        <f t="shared" ref="BP13:BV13" si="18">SUM(BP10:BP12)</f>
        <v>3.1302500000000002</v>
      </c>
      <c r="BQ13" s="105">
        <f t="shared" si="18"/>
        <v>3.1302500000000002</v>
      </c>
      <c r="BR13" s="105">
        <f t="shared" si="18"/>
        <v>3.1302500000000002</v>
      </c>
      <c r="BS13" s="105">
        <f t="shared" si="18"/>
        <v>3.1302500000000002</v>
      </c>
      <c r="BT13" s="105">
        <f t="shared" si="18"/>
        <v>3.1107499999999999</v>
      </c>
      <c r="BU13" s="105">
        <f t="shared" si="18"/>
        <v>3.1107499999999999</v>
      </c>
      <c r="BV13" s="105">
        <f t="shared" si="18"/>
        <v>3.1107499999999999</v>
      </c>
      <c r="BW13" s="105">
        <f>SUM(BW10:BW12)</f>
        <v>3.1072500000000001</v>
      </c>
      <c r="BX13" s="105">
        <f>SUM(BX10:BX12)</f>
        <v>3.1072500000000001</v>
      </c>
      <c r="BY13" s="105">
        <f>SUM(BY10:BY12)</f>
        <v>3.1072500000000001</v>
      </c>
      <c r="BZ13" s="105">
        <f t="shared" ref="BZ13:CE13" si="19">SUM(BZ10:BZ12)</f>
        <v>3.1072500000000001</v>
      </c>
      <c r="CA13" s="105">
        <f t="shared" si="19"/>
        <v>3.1072500000000001</v>
      </c>
      <c r="CB13" s="105">
        <f t="shared" si="19"/>
        <v>3.1072500000000001</v>
      </c>
      <c r="CC13" s="105">
        <f t="shared" si="19"/>
        <v>3.1072500000000001</v>
      </c>
      <c r="CD13" s="105">
        <f t="shared" si="19"/>
        <v>3.1072500000000001</v>
      </c>
      <c r="CE13" s="105">
        <f t="shared" si="19"/>
        <v>3.1479999999999997</v>
      </c>
      <c r="CF13" s="105">
        <f t="shared" ref="CF13:CR13" si="20">SUM(CF10:CF12)</f>
        <v>3.1479999999999997</v>
      </c>
      <c r="CG13" s="105">
        <f t="shared" si="20"/>
        <v>3.1479999999999997</v>
      </c>
      <c r="CH13" s="105">
        <f t="shared" si="20"/>
        <v>3.1479999999999997</v>
      </c>
      <c r="CI13" s="105">
        <f t="shared" si="20"/>
        <v>3.1909999999999998</v>
      </c>
      <c r="CJ13" s="105">
        <f t="shared" si="20"/>
        <v>3.1909999999999998</v>
      </c>
      <c r="CK13" s="105">
        <f t="shared" si="20"/>
        <v>3.1909999999999998</v>
      </c>
      <c r="CL13" s="105">
        <f t="shared" si="20"/>
        <v>3.1909999999999998</v>
      </c>
      <c r="CM13" s="105">
        <f t="shared" si="20"/>
        <v>3.1949999999999998</v>
      </c>
      <c r="CN13" s="105">
        <f t="shared" si="20"/>
        <v>3.1949999999999998</v>
      </c>
      <c r="CO13" s="105">
        <f t="shared" si="20"/>
        <v>3.1949999999999998</v>
      </c>
      <c r="CP13" s="105">
        <f t="shared" si="20"/>
        <v>3.1949999999999998</v>
      </c>
      <c r="CQ13" s="105">
        <f t="shared" si="20"/>
        <v>3.1949999999999998</v>
      </c>
      <c r="CR13" s="105">
        <f t="shared" si="20"/>
        <v>4.1684999999999999</v>
      </c>
      <c r="CS13" s="105">
        <f t="shared" ref="CS13:CZ13" si="21">SUM(CS10:CS12)</f>
        <v>3.1684999999999999</v>
      </c>
      <c r="CT13" s="105">
        <f t="shared" si="21"/>
        <v>3.1684999999999999</v>
      </c>
      <c r="CU13" s="105">
        <f t="shared" si="21"/>
        <v>3.1684999999999999</v>
      </c>
      <c r="CV13" s="105">
        <f t="shared" si="21"/>
        <v>3.1684999999999999</v>
      </c>
      <c r="CW13" s="105">
        <f t="shared" si="21"/>
        <v>3.1684999999999999</v>
      </c>
      <c r="CX13" s="105">
        <f t="shared" si="21"/>
        <v>3.1684999999999999</v>
      </c>
      <c r="CY13" s="105">
        <f t="shared" si="21"/>
        <v>3.1684999999999999</v>
      </c>
      <c r="CZ13" s="105">
        <f t="shared" si="21"/>
        <v>3.165</v>
      </c>
      <c r="DA13" s="105">
        <f t="shared" ref="DA13:EA13" si="22">SUM(DA10:DA12)</f>
        <v>3.165</v>
      </c>
      <c r="DB13" s="105">
        <f t="shared" si="22"/>
        <v>3.165</v>
      </c>
      <c r="DC13" s="105">
        <f t="shared" si="22"/>
        <v>3.165</v>
      </c>
      <c r="DD13" s="105">
        <f t="shared" si="22"/>
        <v>3.14425</v>
      </c>
      <c r="DE13" s="105">
        <f t="shared" si="22"/>
        <v>3.14425</v>
      </c>
      <c r="DF13" s="105">
        <f t="shared" si="22"/>
        <v>3.14425</v>
      </c>
      <c r="DG13" s="105">
        <f t="shared" si="22"/>
        <v>3.14425</v>
      </c>
      <c r="DH13" s="105">
        <f t="shared" si="22"/>
        <v>3.1088</v>
      </c>
      <c r="DI13" s="105">
        <f t="shared" si="22"/>
        <v>3.1088</v>
      </c>
      <c r="DJ13" s="105">
        <f t="shared" si="22"/>
        <v>3.1088</v>
      </c>
      <c r="DK13" s="105">
        <f t="shared" si="22"/>
        <v>3.1088</v>
      </c>
      <c r="DL13" s="105">
        <f t="shared" si="22"/>
        <v>1.7909999999999999</v>
      </c>
      <c r="DM13" s="105">
        <f t="shared" si="22"/>
        <v>1.7909999999999999</v>
      </c>
      <c r="DN13" s="105">
        <f t="shared" si="22"/>
        <v>1.7909999999999999</v>
      </c>
      <c r="DO13" s="105">
        <f t="shared" si="22"/>
        <v>1.7909999999999999</v>
      </c>
      <c r="DP13" s="105">
        <f t="shared" si="22"/>
        <v>1.7909999999999999</v>
      </c>
      <c r="DQ13" s="105">
        <f t="shared" si="22"/>
        <v>1.7909999999999999</v>
      </c>
      <c r="DR13" s="105">
        <f t="shared" si="22"/>
        <v>1.7909999999999999</v>
      </c>
      <c r="DS13" s="105">
        <f t="shared" si="22"/>
        <v>1.7909999999999999</v>
      </c>
      <c r="DT13" s="105">
        <f t="shared" si="22"/>
        <v>1.7909999999999999</v>
      </c>
      <c r="DU13" s="105">
        <f t="shared" si="22"/>
        <v>1.7909999999999999</v>
      </c>
      <c r="DV13" s="105">
        <f t="shared" si="22"/>
        <v>1.7909999999999999</v>
      </c>
      <c r="DW13" s="105">
        <f t="shared" si="22"/>
        <v>1.7909999999999999</v>
      </c>
      <c r="DX13" s="105">
        <f t="shared" si="22"/>
        <v>1.7909999999999999</v>
      </c>
      <c r="DY13" s="105">
        <f t="shared" si="22"/>
        <v>1.7909999999999999</v>
      </c>
      <c r="DZ13" s="105">
        <f t="shared" si="22"/>
        <v>1.7909999999999999</v>
      </c>
      <c r="EA13" s="105">
        <f t="shared" si="22"/>
        <v>1.7909999999999999</v>
      </c>
    </row>
    <row r="14" spans="1:164">
      <c r="I14" s="74"/>
      <c r="J14" s="74"/>
      <c r="K14" s="74"/>
      <c r="L14" s="74"/>
      <c r="M14" s="74"/>
      <c r="N14" s="74"/>
      <c r="O14" s="74"/>
      <c r="P14" s="74"/>
      <c r="Q14" s="74"/>
      <c r="R14" s="74"/>
      <c r="S14" s="74"/>
      <c r="T14" s="74"/>
      <c r="U14" s="74"/>
      <c r="V14" s="74"/>
      <c r="W14" s="74"/>
      <c r="X14" s="74"/>
      <c r="Y14" s="74"/>
      <c r="Z14" s="74"/>
      <c r="AA14" s="74"/>
      <c r="AB14" s="74"/>
      <c r="AC14" s="74"/>
      <c r="AD14" s="74"/>
      <c r="AE14" s="74"/>
      <c r="AF14" s="74"/>
      <c r="AG14" s="74"/>
      <c r="AH14" s="74"/>
      <c r="AI14" s="74"/>
      <c r="AJ14" s="74"/>
      <c r="AK14" s="74"/>
      <c r="AL14" s="74"/>
      <c r="AM14" s="74"/>
      <c r="AN14" s="74"/>
      <c r="AO14" s="74"/>
      <c r="AP14" s="74"/>
      <c r="AQ14" s="74"/>
      <c r="AR14" s="74"/>
      <c r="AS14" s="74"/>
      <c r="AT14" s="74"/>
      <c r="AU14" s="74"/>
      <c r="AV14" s="74"/>
    </row>
    <row r="15" spans="1:164">
      <c r="I15" s="74"/>
      <c r="J15" s="74"/>
      <c r="K15" s="74"/>
      <c r="L15" s="74"/>
      <c r="M15" s="74"/>
      <c r="N15" s="74"/>
      <c r="O15" s="74"/>
      <c r="P15" s="65"/>
      <c r="Q15" s="74"/>
      <c r="R15" s="74"/>
      <c r="S15" s="74"/>
      <c r="T15" s="74"/>
      <c r="U15" s="74"/>
      <c r="V15" s="74"/>
      <c r="W15" s="74"/>
      <c r="X15" s="74"/>
      <c r="Y15" s="74"/>
      <c r="Z15" s="74"/>
      <c r="AA15" s="74"/>
      <c r="AB15" s="74"/>
      <c r="AC15" s="65"/>
      <c r="AD15" s="74"/>
      <c r="AE15" s="74"/>
      <c r="AF15" s="74"/>
      <c r="AG15" s="74"/>
      <c r="AH15" s="74"/>
      <c r="AI15" s="74"/>
      <c r="AJ15" s="74"/>
      <c r="AK15" s="74"/>
      <c r="AL15" s="74"/>
      <c r="AM15" s="74"/>
      <c r="AN15" s="74"/>
      <c r="AO15" s="74"/>
      <c r="AP15" s="74"/>
      <c r="AQ15" s="74"/>
      <c r="AR15" s="74"/>
      <c r="AS15" s="74"/>
      <c r="AT15" s="74"/>
      <c r="AU15" s="74"/>
      <c r="AW15" s="74"/>
      <c r="AX15" s="65"/>
    </row>
    <row r="17" spans="2:131" ht="13" thickBot="1"/>
    <row r="18" spans="2:131" ht="13" thickBot="1">
      <c r="D18" s="259"/>
      <c r="H18" s="106" t="s">
        <v>407</v>
      </c>
      <c r="I18" s="109">
        <f>I13</f>
        <v>1.9759999999999998</v>
      </c>
      <c r="J18" s="109">
        <f t="shared" ref="J18:AY18" si="23">J13</f>
        <v>1.9689999999999999</v>
      </c>
      <c r="K18" s="109">
        <f t="shared" si="23"/>
        <v>1.9295</v>
      </c>
      <c r="L18" s="109">
        <f t="shared" si="23"/>
        <v>1.782</v>
      </c>
      <c r="M18" s="109">
        <f t="shared" si="23"/>
        <v>1.69425</v>
      </c>
      <c r="N18" s="109">
        <f t="shared" si="23"/>
        <v>1.7157499999999999</v>
      </c>
      <c r="O18" s="109">
        <f t="shared" si="23"/>
        <v>1.76335</v>
      </c>
      <c r="P18" s="109">
        <f t="shared" si="23"/>
        <v>1.7875000000000001</v>
      </c>
      <c r="Q18" s="109">
        <f t="shared" si="23"/>
        <v>1.7962500000000001</v>
      </c>
      <c r="R18" s="109">
        <f t="shared" si="23"/>
        <v>1.8142499999999999</v>
      </c>
      <c r="S18" s="109">
        <f t="shared" si="23"/>
        <v>1.8247499999999999</v>
      </c>
      <c r="T18" s="109">
        <f t="shared" si="23"/>
        <v>1.8412500000000001</v>
      </c>
      <c r="U18" s="109">
        <f t="shared" si="23"/>
        <v>1.91675</v>
      </c>
      <c r="V18" s="109">
        <f t="shared" si="23"/>
        <v>1.99725</v>
      </c>
      <c r="W18" s="109">
        <f t="shared" si="23"/>
        <v>2.3405</v>
      </c>
      <c r="X18" s="109">
        <f t="shared" si="23"/>
        <v>2.601</v>
      </c>
      <c r="Y18" s="109">
        <f t="shared" si="23"/>
        <v>2.6654999999999998</v>
      </c>
      <c r="Z18" s="109">
        <f t="shared" si="23"/>
        <v>2.6850000000000001</v>
      </c>
      <c r="AA18" s="109">
        <f t="shared" si="23"/>
        <v>2.7704999999999997</v>
      </c>
      <c r="AB18" s="109">
        <f t="shared" si="23"/>
        <v>2.7384499999999998</v>
      </c>
      <c r="AC18" s="109">
        <f t="shared" si="23"/>
        <v>2.73325</v>
      </c>
      <c r="AD18" s="109">
        <f t="shared" si="23"/>
        <v>2.641</v>
      </c>
      <c r="AE18" s="109">
        <f t="shared" si="23"/>
        <v>2.7186250000000003</v>
      </c>
      <c r="AF18" s="109">
        <f t="shared" si="23"/>
        <v>2.7348749999999997</v>
      </c>
      <c r="AG18" s="109">
        <f t="shared" si="23"/>
        <v>2.738375</v>
      </c>
      <c r="AH18" s="109">
        <f t="shared" si="23"/>
        <v>2.7735000000000003</v>
      </c>
      <c r="AI18" s="109">
        <f t="shared" si="23"/>
        <v>2.87025</v>
      </c>
      <c r="AJ18" s="109">
        <f t="shared" si="23"/>
        <v>3.0967500000000001</v>
      </c>
      <c r="AK18" s="109">
        <f t="shared" si="23"/>
        <v>3.1037499999999998</v>
      </c>
      <c r="AL18" s="109">
        <f t="shared" si="23"/>
        <v>3.1352500000000001</v>
      </c>
      <c r="AM18" s="109">
        <f t="shared" si="23"/>
        <v>3.2709999999999999</v>
      </c>
      <c r="AN18" s="109">
        <f t="shared" si="23"/>
        <v>3.16425</v>
      </c>
      <c r="AO18" s="109">
        <f t="shared" si="23"/>
        <v>2.92875</v>
      </c>
      <c r="AP18" s="109">
        <f t="shared" si="23"/>
        <v>3.22</v>
      </c>
      <c r="AQ18" s="109">
        <f t="shared" si="23"/>
        <v>3.0027499999999998</v>
      </c>
      <c r="AR18" s="109">
        <f t="shared" si="23"/>
        <v>2.9444999999999997</v>
      </c>
      <c r="AS18" s="109">
        <f t="shared" si="23"/>
        <v>2.8512500000000003</v>
      </c>
      <c r="AT18" s="109">
        <f t="shared" si="23"/>
        <v>2.8890000000000002</v>
      </c>
      <c r="AU18" s="109">
        <f t="shared" si="23"/>
        <v>2.9085000000000001</v>
      </c>
      <c r="AV18" s="109">
        <f t="shared" si="23"/>
        <v>2.4344999999999999</v>
      </c>
      <c r="AW18" s="109">
        <f t="shared" si="23"/>
        <v>2.4279999999999999</v>
      </c>
      <c r="AX18" s="109">
        <f t="shared" si="23"/>
        <v>2.355</v>
      </c>
      <c r="AY18" s="109">
        <f t="shared" si="23"/>
        <v>2.3010000000000002</v>
      </c>
      <c r="AZ18" s="109">
        <f t="shared" ref="AZ18:BO18" si="24">AZ13</f>
        <v>2.8769999999999998</v>
      </c>
      <c r="BA18" s="109">
        <f t="shared" si="24"/>
        <v>2.8769999999999998</v>
      </c>
      <c r="BB18" s="109">
        <f t="shared" si="24"/>
        <v>2.8769999999999998</v>
      </c>
      <c r="BC18" s="109">
        <f t="shared" si="24"/>
        <v>2.8090999999999999</v>
      </c>
      <c r="BD18" s="109">
        <f t="shared" si="24"/>
        <v>2.8090999999999999</v>
      </c>
      <c r="BE18" s="109">
        <f t="shared" si="24"/>
        <v>2.8090999999999999</v>
      </c>
      <c r="BF18" s="109">
        <f t="shared" si="24"/>
        <v>2.8090999999999999</v>
      </c>
      <c r="BG18" s="109">
        <f t="shared" si="24"/>
        <v>3.1207500000000001</v>
      </c>
      <c r="BH18" s="109">
        <f t="shared" si="24"/>
        <v>3.1207500000000001</v>
      </c>
      <c r="BI18" s="109">
        <f t="shared" si="24"/>
        <v>3.1207500000000001</v>
      </c>
      <c r="BJ18" s="109">
        <f t="shared" si="24"/>
        <v>3.1207500000000001</v>
      </c>
      <c r="BK18" s="109">
        <f t="shared" si="24"/>
        <v>3.23685</v>
      </c>
      <c r="BL18" s="109">
        <f t="shared" si="24"/>
        <v>3.23685</v>
      </c>
      <c r="BM18" s="109">
        <f t="shared" si="24"/>
        <v>3.23685</v>
      </c>
      <c r="BN18" s="109">
        <f t="shared" si="24"/>
        <v>3.23685</v>
      </c>
      <c r="BO18" s="109">
        <f t="shared" si="24"/>
        <v>3.1302500000000002</v>
      </c>
      <c r="BP18" s="109">
        <f t="shared" ref="BP18:BV18" si="25">BP13</f>
        <v>3.1302500000000002</v>
      </c>
      <c r="BQ18" s="109">
        <f t="shared" si="25"/>
        <v>3.1302500000000002</v>
      </c>
      <c r="BR18" s="109">
        <f t="shared" si="25"/>
        <v>3.1302500000000002</v>
      </c>
      <c r="BS18" s="109">
        <f t="shared" si="25"/>
        <v>3.1302500000000002</v>
      </c>
      <c r="BT18" s="109">
        <f t="shared" si="25"/>
        <v>3.1107499999999999</v>
      </c>
      <c r="BU18" s="109">
        <f t="shared" si="25"/>
        <v>3.1107499999999999</v>
      </c>
      <c r="BV18" s="109">
        <f t="shared" si="25"/>
        <v>3.1107499999999999</v>
      </c>
      <c r="BW18" s="109">
        <f>BW13</f>
        <v>3.1072500000000001</v>
      </c>
      <c r="BX18" s="109">
        <f>BX13</f>
        <v>3.1072500000000001</v>
      </c>
      <c r="BY18" s="109">
        <f>BY13</f>
        <v>3.1072500000000001</v>
      </c>
      <c r="BZ18" s="109">
        <f t="shared" ref="BZ18:CE18" si="26">BZ13</f>
        <v>3.1072500000000001</v>
      </c>
      <c r="CA18" s="109">
        <f t="shared" si="26"/>
        <v>3.1072500000000001</v>
      </c>
      <c r="CB18" s="109">
        <f t="shared" si="26"/>
        <v>3.1072500000000001</v>
      </c>
      <c r="CC18" s="109">
        <f t="shared" si="26"/>
        <v>3.1072500000000001</v>
      </c>
      <c r="CD18" s="109">
        <f t="shared" si="26"/>
        <v>3.1072500000000001</v>
      </c>
      <c r="CE18" s="109">
        <f t="shared" si="26"/>
        <v>3.1479999999999997</v>
      </c>
      <c r="CF18" s="109">
        <f t="shared" ref="CF18:CR18" si="27">CF13</f>
        <v>3.1479999999999997</v>
      </c>
      <c r="CG18" s="109">
        <f t="shared" si="27"/>
        <v>3.1479999999999997</v>
      </c>
      <c r="CH18" s="109">
        <f t="shared" si="27"/>
        <v>3.1479999999999997</v>
      </c>
      <c r="CI18" s="109">
        <f t="shared" si="27"/>
        <v>3.1909999999999998</v>
      </c>
      <c r="CJ18" s="109">
        <f t="shared" si="27"/>
        <v>3.1909999999999998</v>
      </c>
      <c r="CK18" s="109">
        <f t="shared" si="27"/>
        <v>3.1909999999999998</v>
      </c>
      <c r="CL18" s="109">
        <f t="shared" si="27"/>
        <v>3.1909999999999998</v>
      </c>
      <c r="CM18" s="109">
        <f t="shared" si="27"/>
        <v>3.1949999999999998</v>
      </c>
      <c r="CN18" s="109">
        <f t="shared" si="27"/>
        <v>3.1949999999999998</v>
      </c>
      <c r="CO18" s="109">
        <f t="shared" si="27"/>
        <v>3.1949999999999998</v>
      </c>
      <c r="CP18" s="109">
        <f t="shared" si="27"/>
        <v>3.1949999999999998</v>
      </c>
      <c r="CQ18" s="109">
        <f t="shared" si="27"/>
        <v>3.1949999999999998</v>
      </c>
      <c r="CR18" s="109">
        <f t="shared" si="27"/>
        <v>4.1684999999999999</v>
      </c>
      <c r="CS18" s="109">
        <f t="shared" ref="CS18:CZ18" si="28">CS13</f>
        <v>3.1684999999999999</v>
      </c>
      <c r="CT18" s="109">
        <f t="shared" si="28"/>
        <v>3.1684999999999999</v>
      </c>
      <c r="CU18" s="109">
        <f t="shared" si="28"/>
        <v>3.1684999999999999</v>
      </c>
      <c r="CV18" s="109">
        <f t="shared" si="28"/>
        <v>3.1684999999999999</v>
      </c>
      <c r="CW18" s="109">
        <f t="shared" si="28"/>
        <v>3.1684999999999999</v>
      </c>
      <c r="CX18" s="109">
        <f t="shared" si="28"/>
        <v>3.1684999999999999</v>
      </c>
      <c r="CY18" s="109">
        <f t="shared" si="28"/>
        <v>3.1684999999999999</v>
      </c>
      <c r="CZ18" s="109">
        <f t="shared" si="28"/>
        <v>3.165</v>
      </c>
      <c r="DA18" s="109">
        <f t="shared" ref="DA18:EA18" si="29">DA13</f>
        <v>3.165</v>
      </c>
      <c r="DB18" s="109">
        <f t="shared" si="29"/>
        <v>3.165</v>
      </c>
      <c r="DC18" s="109">
        <f t="shared" si="29"/>
        <v>3.165</v>
      </c>
      <c r="DD18" s="109">
        <f t="shared" si="29"/>
        <v>3.14425</v>
      </c>
      <c r="DE18" s="109">
        <f t="shared" si="29"/>
        <v>3.14425</v>
      </c>
      <c r="DF18" s="109">
        <f t="shared" si="29"/>
        <v>3.14425</v>
      </c>
      <c r="DG18" s="109">
        <f t="shared" si="29"/>
        <v>3.14425</v>
      </c>
      <c r="DH18" s="109">
        <f t="shared" si="29"/>
        <v>3.1088</v>
      </c>
      <c r="DI18" s="109">
        <f t="shared" si="29"/>
        <v>3.1088</v>
      </c>
      <c r="DJ18" s="109">
        <f t="shared" si="29"/>
        <v>3.1088</v>
      </c>
      <c r="DK18" s="109">
        <f t="shared" si="29"/>
        <v>3.1088</v>
      </c>
      <c r="DL18" s="109">
        <f t="shared" si="29"/>
        <v>1.7909999999999999</v>
      </c>
      <c r="DM18" s="109">
        <f t="shared" si="29"/>
        <v>1.7909999999999999</v>
      </c>
      <c r="DN18" s="109">
        <f t="shared" si="29"/>
        <v>1.7909999999999999</v>
      </c>
      <c r="DO18" s="109">
        <f t="shared" si="29"/>
        <v>1.7909999999999999</v>
      </c>
      <c r="DP18" s="109">
        <f t="shared" si="29"/>
        <v>1.7909999999999999</v>
      </c>
      <c r="DQ18" s="109">
        <f t="shared" si="29"/>
        <v>1.7909999999999999</v>
      </c>
      <c r="DR18" s="109">
        <f t="shared" si="29"/>
        <v>1.7909999999999999</v>
      </c>
      <c r="DS18" s="109">
        <f t="shared" si="29"/>
        <v>1.7909999999999999</v>
      </c>
      <c r="DT18" s="109">
        <f t="shared" si="29"/>
        <v>1.7909999999999999</v>
      </c>
      <c r="DU18" s="109">
        <f t="shared" si="29"/>
        <v>1.7909999999999999</v>
      </c>
      <c r="DV18" s="109">
        <f t="shared" si="29"/>
        <v>1.7909999999999999</v>
      </c>
      <c r="DW18" s="109">
        <f t="shared" si="29"/>
        <v>1.7909999999999999</v>
      </c>
      <c r="DX18" s="109">
        <f t="shared" si="29"/>
        <v>1.7909999999999999</v>
      </c>
      <c r="DY18" s="109">
        <f t="shared" si="29"/>
        <v>1.7909999999999999</v>
      </c>
      <c r="DZ18" s="109">
        <f t="shared" si="29"/>
        <v>1.7909999999999999</v>
      </c>
      <c r="EA18" s="109">
        <f t="shared" si="29"/>
        <v>1.7909999999999999</v>
      </c>
    </row>
    <row r="20" spans="2:131">
      <c r="B20" s="65"/>
    </row>
    <row r="25" spans="2:131" ht="15">
      <c r="AR25" s="11"/>
    </row>
    <row r="26" spans="2:131" ht="15">
      <c r="AR26" s="11"/>
    </row>
    <row r="27" spans="2:131" ht="15">
      <c r="AR27" s="260"/>
    </row>
  </sheetData>
  <phoneticPr fontId="52" type="noConversion"/>
  <conditionalFormatting sqref="I15:O15 Z15:AB15 AE15:AF15 AH15:AJ15 AL15 AP15 AR15:AS15 AU15 Q15:X15">
    <cfRule type="top10" dxfId="20" priority="1" bottom="1" rank="1"/>
  </conditionalFormatting>
  <pageMargins left="0.7" right="0.7" top="0.75" bottom="0.75" header="0.3" footer="0.3"/>
  <pageSetup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FB27"/>
  <sheetViews>
    <sheetView workbookViewId="0">
      <pane xSplit="8" ySplit="6" topLeftCell="DA7" activePane="bottomRight" state="frozen"/>
      <selection pane="topRight" activeCell="I1" sqref="I1"/>
      <selection pane="bottomLeft" activeCell="A7" sqref="A7"/>
      <selection pane="bottomRight" activeCell="DA18" sqref="DA18"/>
    </sheetView>
  </sheetViews>
  <sheetFormatPr baseColWidth="10" defaultColWidth="22.6640625" defaultRowHeight="12"/>
  <cols>
    <col min="1" max="1" width="13.33203125" style="60" bestFit="1" customWidth="1"/>
    <col min="2" max="2" width="11.33203125" style="60" bestFit="1" customWidth="1"/>
    <col min="3" max="3" width="4.83203125" style="60" bestFit="1" customWidth="1"/>
    <col min="4" max="4" width="12.33203125" style="60" bestFit="1" customWidth="1"/>
    <col min="5" max="5" width="7.5" style="60" bestFit="1" customWidth="1"/>
    <col min="6" max="6" width="6.5" style="60" bestFit="1" customWidth="1"/>
    <col min="7" max="7" width="4.1640625" style="60" bestFit="1" customWidth="1"/>
    <col min="8" max="8" width="14.5" style="60" bestFit="1" customWidth="1"/>
    <col min="9" max="51" width="6.1640625" style="60" bestFit="1" customWidth="1"/>
    <col min="52" max="52" width="6.5" style="60" bestFit="1" customWidth="1"/>
    <col min="53" max="54" width="7" style="60" bestFit="1" customWidth="1"/>
    <col min="55" max="90" width="6.1640625" style="60" bestFit="1" customWidth="1"/>
    <col min="91" max="95" width="6.33203125" style="60" bestFit="1" customWidth="1"/>
    <col min="96" max="141" width="6.1640625" style="60" bestFit="1" customWidth="1"/>
    <col min="142" max="158" width="3.33203125" style="60" bestFit="1" customWidth="1"/>
    <col min="159" max="16384" width="22.6640625" style="60"/>
  </cols>
  <sheetData>
    <row r="1" spans="1:158" ht="26">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c r="EM1" s="99">
        <v>141</v>
      </c>
      <c r="EN1" s="99">
        <v>142</v>
      </c>
      <c r="EO1" s="99">
        <v>143</v>
      </c>
      <c r="EP1" s="99">
        <v>144</v>
      </c>
      <c r="EQ1" s="99">
        <v>145</v>
      </c>
      <c r="ER1" s="99">
        <v>146</v>
      </c>
      <c r="ES1" s="99">
        <v>147</v>
      </c>
      <c r="ET1" s="99">
        <v>148</v>
      </c>
      <c r="EU1" s="99">
        <v>149</v>
      </c>
      <c r="EV1" s="99">
        <v>150</v>
      </c>
      <c r="EW1" s="99">
        <v>151</v>
      </c>
      <c r="EX1" s="99">
        <v>152</v>
      </c>
      <c r="EY1" s="99">
        <v>153</v>
      </c>
      <c r="EZ1" s="99">
        <v>154</v>
      </c>
      <c r="FA1" s="99">
        <v>155</v>
      </c>
      <c r="FB1" s="99">
        <v>156</v>
      </c>
    </row>
    <row r="2" spans="1:158" ht="15">
      <c r="A2" s="45" t="s">
        <v>265</v>
      </c>
      <c r="B2" s="112"/>
      <c r="C2" s="101">
        <v>1</v>
      </c>
      <c r="D2" s="112">
        <v>156.06</v>
      </c>
      <c r="E2" s="60">
        <f>D2*C2</f>
        <v>156.06</v>
      </c>
      <c r="K2" s="102"/>
      <c r="M2" s="102"/>
    </row>
    <row r="3" spans="1:158">
      <c r="A3" s="100"/>
      <c r="B3" s="64"/>
      <c r="D3" s="100"/>
      <c r="E3" s="64"/>
      <c r="F3" s="103"/>
    </row>
    <row r="4" spans="1:158">
      <c r="A4" s="64"/>
      <c r="B4" s="64"/>
      <c r="D4" s="64"/>
      <c r="E4" s="64"/>
      <c r="H4" s="60" t="s">
        <v>387</v>
      </c>
    </row>
    <row r="5" spans="1:158">
      <c r="A5" s="74"/>
      <c r="B5" s="74"/>
    </row>
    <row r="6" spans="1:158">
      <c r="A6" s="59"/>
      <c r="B6" s="59"/>
      <c r="C6" s="59"/>
      <c r="D6" s="98"/>
      <c r="E6" s="98"/>
      <c r="F6" s="59"/>
      <c r="H6" s="59" t="s">
        <v>416</v>
      </c>
      <c r="I6" s="59">
        <v>43831</v>
      </c>
      <c r="J6" s="59">
        <v>43862</v>
      </c>
      <c r="K6" s="59">
        <v>43891</v>
      </c>
      <c r="L6" s="59">
        <v>43922</v>
      </c>
      <c r="M6" s="59">
        <v>43952</v>
      </c>
      <c r="N6" s="59">
        <v>43983</v>
      </c>
      <c r="O6" s="59">
        <v>44013</v>
      </c>
      <c r="P6" s="59">
        <v>44044</v>
      </c>
      <c r="Q6" s="59">
        <v>44075</v>
      </c>
      <c r="R6" s="59">
        <v>44105</v>
      </c>
      <c r="S6" s="59">
        <v>44136</v>
      </c>
      <c r="T6" s="59">
        <v>44166</v>
      </c>
      <c r="U6" s="59">
        <v>44197</v>
      </c>
      <c r="V6" s="59">
        <v>44228</v>
      </c>
      <c r="W6" s="59">
        <v>44256</v>
      </c>
      <c r="X6" s="59">
        <v>44287</v>
      </c>
      <c r="Y6" s="59">
        <v>44317</v>
      </c>
      <c r="Z6" s="59">
        <v>44348</v>
      </c>
      <c r="AA6" s="59">
        <v>44378</v>
      </c>
      <c r="AB6" s="59">
        <v>44409</v>
      </c>
      <c r="AC6" s="59">
        <v>44440</v>
      </c>
      <c r="AD6" s="59">
        <v>44470</v>
      </c>
      <c r="AE6" s="59">
        <v>44501</v>
      </c>
      <c r="AF6" s="59">
        <v>44531</v>
      </c>
      <c r="AG6" s="59">
        <v>44562</v>
      </c>
      <c r="AH6" s="59">
        <v>44593</v>
      </c>
      <c r="AI6" s="59">
        <v>44621</v>
      </c>
      <c r="AJ6" s="59">
        <v>44652</v>
      </c>
      <c r="AK6" s="59">
        <v>44682</v>
      </c>
      <c r="AL6" s="59">
        <v>44713</v>
      </c>
      <c r="AM6" s="59">
        <v>44743</v>
      </c>
      <c r="AN6" s="59">
        <v>44774</v>
      </c>
      <c r="AO6" s="59">
        <v>44805</v>
      </c>
      <c r="AP6" s="59">
        <v>44835</v>
      </c>
      <c r="AQ6" s="59">
        <v>44866</v>
      </c>
      <c r="AR6" s="59">
        <v>44896</v>
      </c>
      <c r="AS6" s="59">
        <v>44927</v>
      </c>
      <c r="AT6" s="59">
        <v>44958</v>
      </c>
      <c r="AU6" s="59">
        <v>44986</v>
      </c>
      <c r="AV6" s="59">
        <v>45017</v>
      </c>
      <c r="AW6" s="59">
        <v>45047</v>
      </c>
      <c r="AX6" s="59">
        <v>45078</v>
      </c>
      <c r="AY6" s="59">
        <v>45108</v>
      </c>
      <c r="AZ6" s="59" t="s">
        <v>724</v>
      </c>
      <c r="BA6" s="59" t="s">
        <v>531</v>
      </c>
      <c r="BB6" s="59" t="s">
        <v>532</v>
      </c>
      <c r="BC6" s="59">
        <v>37104</v>
      </c>
      <c r="BD6" s="59">
        <v>37469</v>
      </c>
      <c r="BE6" s="59" t="s">
        <v>168</v>
      </c>
      <c r="BF6" s="59" t="s">
        <v>169</v>
      </c>
      <c r="BG6" s="59" t="s">
        <v>393</v>
      </c>
      <c r="BH6" s="59" t="s">
        <v>458</v>
      </c>
      <c r="BI6" s="59" t="s">
        <v>459</v>
      </c>
      <c r="BJ6" s="59" t="s">
        <v>460</v>
      </c>
      <c r="BK6" s="59" t="s">
        <v>461</v>
      </c>
      <c r="BL6" s="59" t="s">
        <v>462</v>
      </c>
      <c r="BM6" s="59" t="s">
        <v>463</v>
      </c>
      <c r="BN6" s="59" t="s">
        <v>464</v>
      </c>
      <c r="BO6" s="59">
        <v>37196</v>
      </c>
      <c r="BP6" s="59">
        <v>37561</v>
      </c>
      <c r="BQ6" s="59">
        <v>37926</v>
      </c>
      <c r="BR6" s="59">
        <v>38292</v>
      </c>
      <c r="BS6" s="59">
        <v>37226</v>
      </c>
      <c r="BT6" s="59">
        <v>37591</v>
      </c>
      <c r="BU6" s="59">
        <v>37956</v>
      </c>
      <c r="BV6" s="59">
        <v>38322</v>
      </c>
      <c r="BW6" s="59">
        <v>36892</v>
      </c>
      <c r="BX6" s="59">
        <v>37257</v>
      </c>
      <c r="BY6" s="59">
        <v>37622</v>
      </c>
      <c r="BZ6" s="59">
        <v>37987</v>
      </c>
      <c r="CA6" s="59">
        <v>36923</v>
      </c>
      <c r="CB6" s="59">
        <v>37288</v>
      </c>
      <c r="CC6" s="59">
        <v>37653</v>
      </c>
      <c r="CD6" s="59">
        <v>38018</v>
      </c>
      <c r="CE6" s="59" t="str">
        <f>Sheet8!A15</f>
        <v>Mar-w1</v>
      </c>
      <c r="CF6" s="59">
        <v>37316</v>
      </c>
      <c r="CG6" s="59">
        <v>37681</v>
      </c>
      <c r="CH6" s="59">
        <v>38047</v>
      </c>
      <c r="CI6" s="59" t="str">
        <f>Sheet8!E15</f>
        <v>Apr-w1</v>
      </c>
      <c r="CJ6" s="59" t="str">
        <f>Sheet8!F15</f>
        <v>Apr-w2</v>
      </c>
      <c r="CK6" s="59" t="str">
        <f>Sheet8!G15</f>
        <v>Apr-w3</v>
      </c>
      <c r="CL6" s="59" t="str">
        <f>Sheet8!H15</f>
        <v>Apr-w4</v>
      </c>
      <c r="CM6" s="59" t="str">
        <f>Sheet8!I15</f>
        <v>May-w1</v>
      </c>
      <c r="CN6" s="59" t="str">
        <f>Sheet8!J15</f>
        <v>May-w2</v>
      </c>
      <c r="CO6" s="59" t="str">
        <f>Sheet8!K15</f>
        <v>May-w3</v>
      </c>
      <c r="CP6" s="59" t="str">
        <f>Sheet8!L15</f>
        <v>May-w4</v>
      </c>
      <c r="CQ6" s="59" t="str">
        <f>Sheet8!M15</f>
        <v>May-w5</v>
      </c>
      <c r="CR6" s="59" t="str">
        <f>Sheet8!N15</f>
        <v>june-w1</v>
      </c>
      <c r="CS6" s="59" t="str">
        <f>Sheet8!O15</f>
        <v>june-w2</v>
      </c>
      <c r="CT6" s="59" t="str">
        <f>Sheet8!P15</f>
        <v>june-w3</v>
      </c>
      <c r="CU6" s="59" t="str">
        <f>Sheet8!Q15</f>
        <v>june-w4</v>
      </c>
      <c r="CV6" s="59" t="str">
        <f>Sheet8!R15</f>
        <v>Jul-w1</v>
      </c>
      <c r="CW6" s="59" t="str">
        <f>Sheet8!S15</f>
        <v>Jul-w2</v>
      </c>
      <c r="CX6" s="59" t="str">
        <f>Sheet8!T15</f>
        <v>Jul-w3</v>
      </c>
      <c r="CY6" s="59" t="str">
        <f>Sheet8!U15</f>
        <v>Jul-w4</v>
      </c>
      <c r="CZ6" s="59" t="str">
        <f>Sheet8!V15</f>
        <v>Aug-w1</v>
      </c>
      <c r="DA6" s="59" t="str">
        <f>Sheet8!W15</f>
        <v>Aug-w2</v>
      </c>
      <c r="DB6" s="59" t="str">
        <f>Sheet8!X15</f>
        <v>Aug-w3</v>
      </c>
      <c r="DC6" s="59" t="str">
        <f>Sheet8!Y15</f>
        <v>Aug-w4</v>
      </c>
      <c r="DD6" s="59" t="str">
        <f>Sheet8!Z15</f>
        <v>Sep-w1</v>
      </c>
      <c r="DE6" s="59" t="str">
        <f>Sheet8!AA15</f>
        <v>Sep-w2</v>
      </c>
      <c r="DF6" s="59" t="str">
        <f>Sheet8!AB15</f>
        <v>Sep-w3</v>
      </c>
      <c r="DG6" s="59" t="str">
        <f>Sheet8!AC15</f>
        <v>Sep-w4</v>
      </c>
      <c r="DH6" s="59" t="str">
        <f>Sheet8!AD15</f>
        <v>Oct-w1</v>
      </c>
      <c r="DI6" s="59" t="str">
        <f>Sheet8!AE15</f>
        <v>Oct-w2</v>
      </c>
      <c r="DJ6" s="59" t="str">
        <f>Sheet8!AF15</f>
        <v>Oct-w3</v>
      </c>
      <c r="DK6" s="59" t="str">
        <f>Sheet8!AG15</f>
        <v>Oct-w4</v>
      </c>
      <c r="DL6" s="59" t="str">
        <f>Sheet8!AH15</f>
        <v>Nov-w1</v>
      </c>
      <c r="DM6" s="59" t="str">
        <f>Sheet8!AI15</f>
        <v>Nov-w2</v>
      </c>
      <c r="DN6" s="59" t="str">
        <f>Sheet8!AJ15</f>
        <v>Nov-w3</v>
      </c>
      <c r="DO6" s="59" t="str">
        <f>Sheet8!AK15</f>
        <v>Nov-w4</v>
      </c>
      <c r="DP6" s="59" t="str">
        <f>Sheet8!AL15</f>
        <v>Dec-w1</v>
      </c>
      <c r="DQ6" s="59" t="str">
        <f>Sheet8!AM15</f>
        <v>Dec-w2</v>
      </c>
      <c r="DR6" s="59" t="str">
        <f>Sheet8!AN15</f>
        <v>Dec-w3</v>
      </c>
      <c r="DS6" s="59" t="str">
        <f>Sheet8!AO15</f>
        <v>Dec-w4</v>
      </c>
      <c r="DT6" s="59">
        <f>Sheet8!AP15</f>
        <v>0</v>
      </c>
      <c r="DU6" s="59">
        <f>Sheet8!AQ15</f>
        <v>0</v>
      </c>
      <c r="DV6" s="59">
        <f>Sheet8!AR15</f>
        <v>0</v>
      </c>
      <c r="DW6" s="59">
        <f>Sheet8!AS15</f>
        <v>0</v>
      </c>
      <c r="DX6" s="59">
        <f>Sheet8!AT15</f>
        <v>0</v>
      </c>
      <c r="DY6" s="59">
        <f>Sheet8!AU15</f>
        <v>0</v>
      </c>
      <c r="DZ6" s="59">
        <f>Sheet8!AV15</f>
        <v>0</v>
      </c>
      <c r="EA6" s="59">
        <f>Sheet8!AW15</f>
        <v>0</v>
      </c>
      <c r="EB6" s="59">
        <f>Sheet8!AX15</f>
        <v>0</v>
      </c>
      <c r="EC6" s="59">
        <f>Sheet8!AY15</f>
        <v>0</v>
      </c>
      <c r="ED6" s="59">
        <f>Sheet8!AZ15</f>
        <v>0</v>
      </c>
      <c r="EE6" s="59">
        <f>Sheet8!BA15</f>
        <v>0</v>
      </c>
      <c r="EF6" s="59">
        <f>Sheet8!BB15</f>
        <v>0</v>
      </c>
      <c r="EG6" s="59">
        <f>Sheet8!BC15</f>
        <v>0</v>
      </c>
      <c r="EH6" s="59">
        <f>Sheet8!BD15</f>
        <v>0</v>
      </c>
      <c r="EI6" s="59">
        <f>Sheet8!BE15</f>
        <v>0</v>
      </c>
      <c r="EJ6" s="59">
        <f>Sheet8!BF15</f>
        <v>0</v>
      </c>
      <c r="EK6" s="59">
        <f>Sheet8!BG15</f>
        <v>0</v>
      </c>
    </row>
    <row r="7" spans="1:158">
      <c r="B7" s="44"/>
      <c r="D7" s="44"/>
      <c r="E7" s="60" t="s">
        <v>474</v>
      </c>
      <c r="F7" s="60" t="s">
        <v>651</v>
      </c>
      <c r="H7" s="178" t="s">
        <v>151</v>
      </c>
      <c r="I7" s="74">
        <f>VLOOKUP($H$7&amp;$F$1,'Input RM sheet'!$A:$BD,H1,0)</f>
        <v>0</v>
      </c>
      <c r="J7" s="74">
        <f>VLOOKUP($H$7&amp;$F$1,'Input RM sheet'!$A:$BD,I1,0)</f>
        <v>0</v>
      </c>
      <c r="K7" s="74">
        <f>VLOOKUP($H$7&amp;$F$1,'Input RM sheet'!$A:$BD,J1,0)</f>
        <v>0</v>
      </c>
      <c r="L7" s="74">
        <f>VLOOKUP($H$7&amp;$F$1,'Input RM sheet'!$A:$BD,K1,0)</f>
        <v>194.23</v>
      </c>
      <c r="M7" s="74">
        <f>VLOOKUP($H$7&amp;$F$1,'Input RM sheet'!$A:$BD,L1,0)</f>
        <v>267.31</v>
      </c>
      <c r="N7" s="74">
        <f>VLOOKUP($H$7&amp;$F$1,'Input RM sheet'!$A:$BD,M1,0)</f>
        <v>275.57</v>
      </c>
      <c r="O7" s="74">
        <f>VLOOKUP($H$7&amp;$F$1,'Input RM sheet'!$A:$BD,N1,0)</f>
        <v>344.58</v>
      </c>
      <c r="P7" s="74">
        <f>VLOOKUP($H$7&amp;$F$1,'Input RM sheet'!$A:$BD,O1,0)</f>
        <v>485.01</v>
      </c>
      <c r="Q7" s="74">
        <f>VLOOKUP($H$7&amp;$F$1,'Input RM sheet'!$A:$BD,P1,0)</f>
        <v>559.53</v>
      </c>
      <c r="R7" s="74">
        <f>VLOOKUP($H$7&amp;$F$1,'Input RM sheet'!$A:$BD,Q1,0)</f>
        <v>501.55</v>
      </c>
      <c r="S7" s="74">
        <f>VLOOKUP($H$7&amp;$F$1,'Input RM sheet'!$A:$BD,R1,0)</f>
        <v>507.06</v>
      </c>
      <c r="T7" s="74">
        <f>VLOOKUP($H$7&amp;$F$1,'Input RM sheet'!$A:$BD,S1,0)</f>
        <v>716.49</v>
      </c>
      <c r="U7" s="74">
        <f>VLOOKUP($H$7&amp;$F$1,'Input RM sheet'!$A:$BD,T1,0)</f>
        <v>650.36</v>
      </c>
      <c r="V7" s="74">
        <f>VLOOKUP($H$7&amp;$F$1,'Input RM sheet'!$A:$BD,U1,0)</f>
        <v>970.02</v>
      </c>
      <c r="W7" s="74">
        <f>VLOOKUP($H$7&amp;$F$1,'Input RM sheet'!$A:$BD,V1,0)</f>
        <v>1224</v>
      </c>
      <c r="X7" s="74">
        <f>VLOOKUP($H$7&amp;$F$1,'Input RM sheet'!$A:$BD,W1,0)</f>
        <v>1047</v>
      </c>
      <c r="Y7" s="74">
        <f>VLOOKUP($H$7&amp;$F$1,'Input RM sheet'!$A:$BD,X1,0)</f>
        <v>760.59</v>
      </c>
      <c r="Z7" s="74">
        <f>VLOOKUP($H$7&amp;$F$1,'Input RM sheet'!$A:$BD,Y1,0)</f>
        <v>633.82000000000005</v>
      </c>
      <c r="AA7" s="74">
        <f>VLOOKUP($H$7&amp;$F$1,'Input RM sheet'!$A:$BD,Z1,0)</f>
        <v>1113</v>
      </c>
      <c r="AB7" s="74">
        <f>VLOOKUP($H$7&amp;$F$1,'Input RM sheet'!$A:$BD,AA1,0)</f>
        <v>1036</v>
      </c>
      <c r="AC7" s="74">
        <f>VLOOKUP($H$7&amp;$F$1,'Input RM sheet'!$A:$BD,AB1,0)</f>
        <v>892.86</v>
      </c>
      <c r="AD7" s="74">
        <f>VLOOKUP($H$7&amp;$F$1,'Input RM sheet'!$A:$BD,AC1,0)</f>
        <v>876.33</v>
      </c>
      <c r="AE7" s="74">
        <f>VLOOKUP($H$7&amp;$F$1,'Input RM sheet'!$A:$BD,AD1,0)</f>
        <v>788.14</v>
      </c>
      <c r="AF7" s="74">
        <f>VLOOKUP($H$7&amp;$F$1,'Input RM sheet'!$A:$BD,AE1,0)</f>
        <v>650.36</v>
      </c>
      <c r="AG7" s="74">
        <f>VLOOKUP($H$7&amp;$F$1,'Input RM sheet'!$A:$BD,AF1,0)</f>
        <v>931.44</v>
      </c>
      <c r="AH7" s="74">
        <f>VLOOKUP($H$7&amp;$F$1,'Input RM sheet'!$A:$BD,AG1,0)</f>
        <v>859.79</v>
      </c>
      <c r="AI7" s="74">
        <f>VLOOKUP($H$7&amp;$F$1,'Input RM sheet'!$A:$BD,AH1,0)</f>
        <v>556.66</v>
      </c>
      <c r="AJ7" s="74">
        <f>VLOOKUP($H$7&amp;$F$1,'Input RM sheet'!$A:$BD,AI1,0)</f>
        <v>611.78</v>
      </c>
      <c r="AK7" s="74">
        <f>VLOOKUP($H$7&amp;$F$1,'Input RM sheet'!$A:$BD,AJ1,0)</f>
        <v>633.82000000000005</v>
      </c>
      <c r="AL7" s="74">
        <f>VLOOKUP($H$7&amp;$F$1,'Input RM sheet'!$A:$BD,AK1,0)</f>
        <v>559.41999999999996</v>
      </c>
      <c r="AM7" s="74">
        <f>VLOOKUP($H$7&amp;$F$1,'Input RM sheet'!$A:$BD,AL1,0)</f>
        <v>559.41999999999996</v>
      </c>
      <c r="AN7" s="74">
        <f>VLOOKUP($H$7&amp;$F$1,'Input RM sheet'!$A:$BD,AM1,0)</f>
        <v>598</v>
      </c>
      <c r="AO7" s="74">
        <f>VLOOKUP($H$7&amp;$F$1,'Input RM sheet'!$A:$BD,AN1,0)</f>
        <v>440.92</v>
      </c>
      <c r="AP7" s="74">
        <f>VLOOKUP($H$7&amp;$F$1,'Input RM sheet'!$A:$BD,AO1,0)</f>
        <v>434.03</v>
      </c>
      <c r="AQ7" s="74">
        <f>VLOOKUP($H$7&amp;$F$1,'Input RM sheet'!$A:$BD,AP1,0)</f>
        <v>488.32</v>
      </c>
      <c r="AR7" s="74">
        <f>VLOOKUP($H$7&amp;$F$1,'Input RM sheet'!$A:$BD,AQ1,0)</f>
        <v>443.68</v>
      </c>
      <c r="AS7" s="74">
        <f>VLOOKUP($H$7&amp;$F$1,'Input RM sheet'!$A:$BD,AR1,0)</f>
        <v>473.99</v>
      </c>
      <c r="AT7" s="74">
        <f>VLOOKUP($H$7&amp;$F$1,'Input RM sheet'!$A:$BD,AS1,0)</f>
        <v>487.77</v>
      </c>
      <c r="AU7" s="74">
        <f>VLOOKUP($H$7&amp;$F$1,'Input RM sheet'!$A:$BD,AT1,0)</f>
        <v>562.16999999999996</v>
      </c>
      <c r="AV7" s="74">
        <f>VLOOKUP($H$7&amp;$F$1,'Input RM sheet'!$A:$BD,AU1,0)</f>
        <v>457.45</v>
      </c>
      <c r="AW7" s="74">
        <f>VLOOKUP($H$7&amp;$F$1,'Input RM sheet'!$A:$BD,AV1,0)</f>
        <v>366.51</v>
      </c>
      <c r="AX7" s="74">
        <f>VLOOKUP($H$7&amp;$F$1,'Input RM sheet'!$A:$BD,AW1,0)</f>
        <v>355.49</v>
      </c>
      <c r="AY7" s="74">
        <f>VLOOKUP($H$7&amp;$F$1,'Input RM sheet'!$A:$BD,AX1,0)</f>
        <v>355.49</v>
      </c>
      <c r="AZ7" s="74">
        <f>VLOOKUP($H$7&amp;$F$1,'Input RM sheet'!$A:$BD,AY1,0)</f>
        <v>355.49</v>
      </c>
      <c r="BA7" s="74">
        <f>VLOOKUP($H$7&amp;$F$1,'Input RM sheet'!$A:$BD,AZ1,0)</f>
        <v>355.49</v>
      </c>
      <c r="BB7" s="74">
        <f>VLOOKUP($H$7&amp;$F$1,'Input RM sheet'!$A:$BD,BA1,0)</f>
        <v>355.49</v>
      </c>
      <c r="BC7" s="74">
        <f>VLOOKUP($H$7&amp;$F$1,'Input RM sheet'!$A:$BD,BB1,0)</f>
        <v>405.1</v>
      </c>
      <c r="BD7" s="74">
        <f>VLOOKUP($H$7&amp;$F$1,'Input RM sheet'!$A:$BD,BC1,0)</f>
        <v>405.1</v>
      </c>
      <c r="BE7" s="74">
        <f>VLOOKUP($H$7&amp;$F$1,'Input RM sheet'!$A:$BD,BD1,0)</f>
        <v>405.1</v>
      </c>
      <c r="BF7" s="74">
        <f>VLOOKUP($H$7&amp;$F$1,'Input RM sheet'!$A:$BD,BE1,0)</f>
        <v>405.1</v>
      </c>
      <c r="BG7" s="74">
        <f>VLOOKUP($H$7&amp;$F$1,'Input RM sheet'!$A:$DD,BF1,0)</f>
        <v>465.72</v>
      </c>
      <c r="BH7" s="74">
        <f>VLOOKUP($H$7&amp;$F$1,'Input RM sheet'!$A:$DD,BG1,0)</f>
        <v>465.72</v>
      </c>
      <c r="BI7" s="74">
        <f>VLOOKUP($H$7&amp;$F$1,'Input RM sheet'!$A:$DD,BH1,0)</f>
        <v>465.72</v>
      </c>
      <c r="BJ7" s="74">
        <f>VLOOKUP($H$7&amp;$F$1,'Input RM sheet'!$A:$DD,BI1,0)</f>
        <v>465.72</v>
      </c>
      <c r="BK7" s="74">
        <f>VLOOKUP($H$7&amp;$F$1,'Input RM sheet'!$A:$DD,BJ1,0)</f>
        <v>465.72</v>
      </c>
      <c r="BL7" s="74">
        <f>VLOOKUP($H$7&amp;$F$1,'Input RM sheet'!$A:$DD,BK1,0)</f>
        <v>465.72</v>
      </c>
      <c r="BM7" s="74">
        <f>VLOOKUP($H$7&amp;$F$1,'Input RM sheet'!$A:$DD,BL1,0)</f>
        <v>465.72</v>
      </c>
      <c r="BN7" s="74">
        <f>VLOOKUP($H$7&amp;$F$1,'Input RM sheet'!$A:$DD,BM1,0)</f>
        <v>479.5</v>
      </c>
      <c r="BO7" s="74">
        <f>VLOOKUP($H$7&amp;$F$1,'Input RM sheet'!$A:$DD,BN1,0)</f>
        <v>479.5</v>
      </c>
      <c r="BP7" s="74">
        <f>VLOOKUP($H$7&amp;$F$1,'Input RM sheet'!$A:$DD,BO1,0)</f>
        <v>479.5</v>
      </c>
      <c r="BQ7" s="74">
        <f>VLOOKUP($H$7&amp;$F$1,'Input RM sheet'!$A:$DD,BP1,0)</f>
        <v>479.5</v>
      </c>
      <c r="BR7" s="74">
        <f>VLOOKUP($H$7&amp;$F$1,'Input RM sheet'!$A:$DD,BQ1,0)</f>
        <v>479.5</v>
      </c>
      <c r="BS7" s="74">
        <f>VLOOKUP($H$7&amp;$F$1,'Input RM sheet'!$A:$DD,BR1,0)</f>
        <v>451.94</v>
      </c>
      <c r="BT7" s="74">
        <f>VLOOKUP($H$7&amp;$F$1,'Input RM sheet'!$A:$DD,BS1,0)</f>
        <v>451.94</v>
      </c>
      <c r="BU7" s="74">
        <f>VLOOKUP($H$7&amp;$F$1,'Input RM sheet'!$A:$DD,BT1,0)</f>
        <v>451.94</v>
      </c>
      <c r="BV7" s="74">
        <f>VLOOKUP($H$7&amp;$F$1,'Input RM sheet'!$A:$DD,BU1,0)</f>
        <v>396.83</v>
      </c>
      <c r="BW7" s="74">
        <f>VLOOKUP($H$7&amp;$F$1,'Input RM sheet'!$A:$DD,BV1,0)</f>
        <v>396.83</v>
      </c>
      <c r="BX7" s="74">
        <f>VLOOKUP($H$7&amp;$F$1,'Input RM sheet'!$A:$DD,BW1,0)</f>
        <v>396.83</v>
      </c>
      <c r="BY7" s="74">
        <f>VLOOKUP($H$7&amp;$F$1,'Input RM sheet'!$A:$DD,BX1,0)</f>
        <v>396.83</v>
      </c>
      <c r="BZ7" s="74">
        <f>VLOOKUP($H$7&amp;$F$1,'Input RM sheet'!$A:$DD,BY1,0)</f>
        <v>440.92</v>
      </c>
      <c r="CA7" s="74">
        <f>VLOOKUP($H$7&amp;$F$1,'Input RM sheet'!$A:$DD,BZ1,0)</f>
        <v>440.92</v>
      </c>
      <c r="CB7" s="74">
        <f>VLOOKUP($H$7&amp;$F$1,'Input RM sheet'!$A:$DD,CA1,0)</f>
        <v>440.92</v>
      </c>
      <c r="CC7" s="74">
        <f>VLOOKUP($H$7&amp;$F$1,'Input RM sheet'!$A:$DD,CB1,0)</f>
        <v>440.92</v>
      </c>
      <c r="CD7" s="74">
        <f>VLOOKUP($H$7&amp;$F$1,'Input RM sheet'!$A:$DD,CC1,0)</f>
        <v>440.92</v>
      </c>
      <c r="CE7" s="74">
        <f>VLOOKUP($H$7&amp;$F$1,'Input RM sheet'!$A:$DD,CD1,0)</f>
        <v>407.85</v>
      </c>
      <c r="CF7" s="74">
        <f>VLOOKUP($H$7&amp;$F$1,'Input RM sheet'!$A:$DD,CE1,0)</f>
        <v>407.85</v>
      </c>
      <c r="CG7" s="74">
        <f>VLOOKUP($H$7&amp;$F$1,'Input RM sheet'!$A:$DD,CF1,0)</f>
        <v>407.85</v>
      </c>
      <c r="CH7" s="74">
        <f>VLOOKUP($H$7&amp;$F$1,'Input RM sheet'!$A:$DD,CG1,0)</f>
        <v>418.87</v>
      </c>
      <c r="CI7" s="74">
        <f>VLOOKUP($H$7&amp;$F$1,'Input RM sheet'!$A:$DD,CH1,0)</f>
        <v>418.87</v>
      </c>
      <c r="CJ7" s="74">
        <f>VLOOKUP($H$7&amp;$F$1,'Input RM sheet'!$A:$DD,CI1,0)</f>
        <v>418.87</v>
      </c>
      <c r="CK7" s="74">
        <f>VLOOKUP($H$7&amp;$F$1,'Input RM sheet'!$A:$DD,CJ1,0)</f>
        <v>418.87</v>
      </c>
      <c r="CL7" s="74">
        <f>VLOOKUP($H$7&amp;$F$1,'Input RM sheet'!$A:$DD,CK1,0)</f>
        <v>435.41</v>
      </c>
      <c r="CM7" s="74">
        <f>VLOOKUP($H$7&amp;$F$1,'Input RM sheet'!$A:$DD,CL1,0)</f>
        <v>435.41</v>
      </c>
      <c r="CN7" s="74">
        <f>VLOOKUP($H$7&amp;$F$1,'Input RM sheet'!$A:$DD,CM1,0)</f>
        <v>435.41</v>
      </c>
      <c r="CO7" s="74">
        <f>VLOOKUP($H$7&amp;$F$1,'Input RM sheet'!$A:$DD,CN1,0)</f>
        <v>435.41</v>
      </c>
      <c r="CP7" s="74">
        <f>VLOOKUP($H$7&amp;$F$1,'Input RM sheet'!$A:$DD,CO1,0)</f>
        <v>435.41</v>
      </c>
      <c r="CQ7" s="74">
        <f>VLOOKUP($H$7&amp;$F$1,'Input RM sheet'!$A:$DD,CP1,0)</f>
        <v>435.41</v>
      </c>
      <c r="CR7" s="74">
        <f>VLOOKUP($H$7&amp;$F$1,'Input RM sheet'!$A:$DD,CQ1,0)</f>
        <v>476.74</v>
      </c>
      <c r="CS7" s="74">
        <f>VLOOKUP($H$7&amp;$F$1,'Input RM sheet'!$A:$DD,CR1,0)</f>
        <v>476.74</v>
      </c>
      <c r="CT7" s="74">
        <f>VLOOKUP($H$7&amp;$F$1,'Input RM sheet'!$A:$DD,CS1,0)</f>
        <v>476.74</v>
      </c>
      <c r="CU7" s="74">
        <f>VLOOKUP($H$7&amp;$F$1,'Input RM sheet'!$A:$DD,CT1,0)</f>
        <v>562.16999999999996</v>
      </c>
      <c r="CV7" s="74">
        <f>VLOOKUP($H$7&amp;$F$1,'Input RM sheet'!$A:$DD,CU1,0)</f>
        <v>562.16999999999996</v>
      </c>
      <c r="CW7" s="74">
        <f>VLOOKUP($H$7&amp;$F$1,'Input RM sheet'!$A:$DD,CV1,0)</f>
        <v>562.16999999999996</v>
      </c>
      <c r="CX7" s="74">
        <f>VLOOKUP($H$7&amp;$F$1,'Input RM sheet'!$A:$DD,CW1,0)</f>
        <v>562.16999999999996</v>
      </c>
      <c r="CY7" s="74">
        <f>VLOOKUP($H$7&amp;$F$1,'Input RM sheet'!$A:$DD,CX1,0)</f>
        <v>562.16999999999996</v>
      </c>
      <c r="CZ7" s="74">
        <f>VLOOKUP($H$7&amp;$F$1,'Input RM sheet'!$A:$DD,CY1,0)</f>
        <v>584.20000000000005</v>
      </c>
      <c r="DA7" s="74">
        <f>VLOOKUP($H$7&amp;$F$1,'Input RM sheet'!$A:$DD,CZ1,0)</f>
        <v>584.20000000000005</v>
      </c>
      <c r="DB7" s="74">
        <f>VLOOKUP($H$7&amp;$F$1,'Input RM sheet'!$A:$DD,DA1,0)</f>
        <v>584.20000000000005</v>
      </c>
      <c r="DC7" s="74">
        <f>VLOOKUP($H$7&amp;$F$1,'Input RM sheet'!$A:$DD,DB1,0)</f>
        <v>584.20000000000005</v>
      </c>
      <c r="DD7" s="74">
        <f>VLOOKUP($H$7&amp;$F$1,'Input RM sheet'!$A:$DD,DC1,0)</f>
        <v>592.49</v>
      </c>
      <c r="DE7" s="74">
        <f>VLOOKUP($H$7&amp;$F$1,'Input RM sheet'!$A:$DD,DD1,0)</f>
        <v>592.49</v>
      </c>
      <c r="DF7" s="74">
        <f>VLOOKUP($H$7&amp;$F$1,'Input RM sheet'!$A:$DD,DE1,0)</f>
        <v>592.49</v>
      </c>
      <c r="DG7" s="74">
        <f>VLOOKUP($H$7&amp;$F$1,'Input RM sheet'!$A:$DD,DF1,0)</f>
        <v>592.49</v>
      </c>
      <c r="DH7" s="74">
        <f>VLOOKUP($H$7&amp;$F$1,'Input RM sheet'!$A:$ZZ,DG1,0)</f>
        <v>584.22</v>
      </c>
      <c r="DI7" s="74">
        <f>VLOOKUP($H$7&amp;$F$1,'Input RM sheet'!$A:$ZZ,DH1,0)</f>
        <v>584.22</v>
      </c>
      <c r="DJ7" s="74">
        <f>VLOOKUP($H$7&amp;$F$1,'Input RM sheet'!$A:$ZZ,DI1,0)</f>
        <v>462.67</v>
      </c>
      <c r="DK7" s="74">
        <f>VLOOKUP($H$7&amp;$F$1,'Input RM sheet'!$A:$ZZ,DJ1,0)</f>
        <v>462.67</v>
      </c>
      <c r="DL7" s="74">
        <f>VLOOKUP($H$7&amp;$F$1,'Input RM sheet'!$A:$ZZ,DK1,0)</f>
        <v>462.67</v>
      </c>
      <c r="DM7" s="74">
        <f>VLOOKUP($H$7&amp;$F$1,'Input RM sheet'!$A:$ZZ,DL1,0)</f>
        <v>462.67</v>
      </c>
      <c r="DN7" s="74">
        <f>VLOOKUP($H$7&amp;$F$1,'Input RM sheet'!$A:$ZZ,DM1,0)</f>
        <v>462.67</v>
      </c>
      <c r="DO7" s="74">
        <f>VLOOKUP($H$7&amp;$F$1,'Input RM sheet'!$A:$ZZ,DN1,0)</f>
        <v>529.1</v>
      </c>
      <c r="DP7" s="74">
        <f>VLOOKUP($H$7&amp;$F$1,'Input RM sheet'!$A:$ZZ,DO1,0)</f>
        <v>529.1</v>
      </c>
      <c r="DQ7" s="74">
        <f>VLOOKUP($H$7&amp;$F$1,'Input RM sheet'!$A:$ZZ,DP1,0)</f>
        <v>529.1</v>
      </c>
      <c r="DR7" s="74">
        <f>VLOOKUP($H$7&amp;$F$1,'Input RM sheet'!$A:$ZZ,DQ1,0)</f>
        <v>578.91</v>
      </c>
      <c r="DS7" s="74">
        <f>VLOOKUP($H$7&amp;$F$1,'Input RM sheet'!$A:$ZZ,DR1,0)</f>
        <v>578.91</v>
      </c>
      <c r="DT7" s="74">
        <f>VLOOKUP($H$7&amp;$F$1,'Input RM sheet'!$A:$ZZ,DS1,0)</f>
        <v>0</v>
      </c>
      <c r="DU7" s="74">
        <f>VLOOKUP($H$7&amp;$F$1,'Input RM sheet'!$A:$ZZ,DT1,0)</f>
        <v>0</v>
      </c>
      <c r="DV7" s="74">
        <f>VLOOKUP($H$7&amp;$F$1,'Input RM sheet'!$A:$ZZ,DU1,0)</f>
        <v>0</v>
      </c>
      <c r="DW7" s="74">
        <f>VLOOKUP($H$7&amp;$F$1,'Input RM sheet'!$A:$ZZ,DV1,0)</f>
        <v>0</v>
      </c>
      <c r="DX7" s="74">
        <f>VLOOKUP($H$7&amp;$F$1,'Input RM sheet'!$A:$ZZ,DW1,0)</f>
        <v>0</v>
      </c>
      <c r="DY7" s="74">
        <f>VLOOKUP($H$7&amp;$F$1,'Input RM sheet'!$A:$ZZ,DX1,0)</f>
        <v>0</v>
      </c>
      <c r="DZ7" s="74">
        <f>VLOOKUP($H$7&amp;$F$1,'Input RM sheet'!$A:$ZZ,DY1,0)</f>
        <v>0</v>
      </c>
      <c r="EA7" s="74">
        <f>VLOOKUP($H$7&amp;$F$1,'Input RM sheet'!$A:$ZZ,DZ1,0)</f>
        <v>0</v>
      </c>
      <c r="EB7" s="74">
        <f>VLOOKUP($H$7&amp;$F$1,'Input RM sheet'!$A:$ZZ,EA1,0)</f>
        <v>0</v>
      </c>
      <c r="EC7" s="74">
        <f>VLOOKUP($H$7&amp;$F$1,'Input RM sheet'!$A:$ZZ,EB1,0)</f>
        <v>0</v>
      </c>
      <c r="ED7" s="74">
        <f>VLOOKUP($H$7&amp;$F$1,'Input RM sheet'!$A:$ZZ,EC1,0)</f>
        <v>0</v>
      </c>
      <c r="EE7" s="74">
        <f>VLOOKUP($H$7&amp;$F$1,'Input RM sheet'!$A:$ZZ,ED1,0)</f>
        <v>0</v>
      </c>
      <c r="EF7" s="74">
        <f>VLOOKUP($H$7&amp;$F$1,'Input RM sheet'!$A:$ZZ,EE1,0)</f>
        <v>0</v>
      </c>
      <c r="EG7" s="74">
        <f>VLOOKUP($H$7&amp;$F$1,'Input RM sheet'!$A:$ZZ,EF1,0)</f>
        <v>0</v>
      </c>
      <c r="EH7" s="74">
        <f>VLOOKUP($H$7&amp;$F$1,'Input RM sheet'!$A:$ZZ,EG1,0)</f>
        <v>0</v>
      </c>
      <c r="EI7" s="74">
        <f>VLOOKUP($H$7&amp;$F$1,'Input RM sheet'!$A:$ZZ,EH1,0)</f>
        <v>0</v>
      </c>
      <c r="EJ7" s="74">
        <f>VLOOKUP($H$7&amp;$F$1,'Input RM sheet'!$A:$ZZ,EI1,0)</f>
        <v>0</v>
      </c>
      <c r="EK7" s="74">
        <f>VLOOKUP($H$7&amp;$F$1,'Input RM sheet'!$A:$ZZ,EJ1,0)</f>
        <v>0</v>
      </c>
    </row>
    <row r="8" spans="1:158">
      <c r="B8" s="44"/>
      <c r="D8" s="44"/>
      <c r="H8" s="44"/>
      <c r="I8" s="74"/>
      <c r="J8" s="74"/>
      <c r="K8" s="74"/>
      <c r="L8" s="74"/>
      <c r="M8" s="74"/>
      <c r="N8" s="74"/>
      <c r="O8" s="74"/>
      <c r="P8" s="74"/>
      <c r="Q8" s="74"/>
      <c r="R8" s="74"/>
      <c r="S8" s="74"/>
      <c r="T8" s="74"/>
      <c r="U8" s="74"/>
      <c r="V8" s="74"/>
      <c r="W8" s="74"/>
      <c r="X8" s="74"/>
      <c r="Y8" s="74"/>
      <c r="Z8" s="74"/>
      <c r="AA8" s="74"/>
      <c r="AB8" s="74"/>
      <c r="AC8" s="74"/>
      <c r="AD8" s="74"/>
      <c r="AE8" s="74"/>
      <c r="AF8" s="74"/>
      <c r="AG8" s="74"/>
      <c r="AH8" s="74"/>
      <c r="AI8" s="74"/>
      <c r="AJ8" s="74"/>
      <c r="AK8" s="74"/>
      <c r="AL8" s="74"/>
      <c r="AM8" s="74"/>
      <c r="AN8" s="74"/>
      <c r="AO8" s="74"/>
      <c r="AP8" s="74"/>
      <c r="AQ8" s="74"/>
      <c r="AR8" s="74"/>
      <c r="AS8" s="74"/>
      <c r="AT8" s="74"/>
      <c r="AU8" s="74"/>
      <c r="AV8" s="74"/>
      <c r="AW8" s="74"/>
      <c r="AX8" s="74"/>
      <c r="AY8" s="74"/>
      <c r="AZ8" s="74"/>
      <c r="BA8" s="74"/>
    </row>
    <row r="9" spans="1:158" ht="26">
      <c r="A9" s="59" t="s">
        <v>395</v>
      </c>
      <c r="B9" s="59"/>
      <c r="C9" s="59" t="s">
        <v>379</v>
      </c>
      <c r="D9" s="98" t="s">
        <v>380</v>
      </c>
      <c r="E9" s="98" t="s">
        <v>381</v>
      </c>
      <c r="F9" s="59" t="s">
        <v>396</v>
      </c>
      <c r="H9" s="60" t="s">
        <v>399</v>
      </c>
      <c r="I9" s="84"/>
      <c r="J9" s="84"/>
      <c r="K9" s="84"/>
      <c r="L9" s="84"/>
      <c r="M9" s="84"/>
      <c r="N9" s="84"/>
      <c r="O9" s="84"/>
      <c r="P9" s="84"/>
      <c r="Q9" s="84"/>
      <c r="R9" s="84"/>
      <c r="S9" s="84"/>
      <c r="T9" s="84"/>
      <c r="U9" s="84"/>
      <c r="V9" s="84"/>
      <c r="W9" s="84"/>
      <c r="X9" s="84"/>
      <c r="Y9" s="84"/>
      <c r="Z9" s="84"/>
      <c r="AA9" s="84"/>
      <c r="AB9" s="84"/>
      <c r="AC9" s="84"/>
      <c r="AD9" s="84"/>
      <c r="AE9" s="84"/>
      <c r="AF9" s="84"/>
      <c r="AG9" s="84"/>
      <c r="AH9" s="84"/>
      <c r="AI9" s="84"/>
      <c r="AJ9" s="84"/>
      <c r="AK9" s="84"/>
      <c r="AL9" s="84"/>
      <c r="AM9" s="84"/>
      <c r="AN9" s="84"/>
      <c r="AO9" s="84"/>
      <c r="AP9" s="84"/>
      <c r="AQ9" s="84"/>
      <c r="AR9" s="84"/>
      <c r="AS9" s="84"/>
      <c r="AT9" s="84"/>
      <c r="AU9" s="84"/>
    </row>
    <row r="10" spans="1:158" ht="13">
      <c r="A10" s="107" t="s">
        <v>397</v>
      </c>
      <c r="B10" s="178" t="s">
        <v>40</v>
      </c>
      <c r="F10" s="65">
        <v>1.05</v>
      </c>
      <c r="I10" s="70">
        <f>$F$10*I7</f>
        <v>0</v>
      </c>
      <c r="J10" s="70">
        <f t="shared" ref="J10:BB10" si="0">$F$10*J7</f>
        <v>0</v>
      </c>
      <c r="K10" s="70">
        <f t="shared" si="0"/>
        <v>0</v>
      </c>
      <c r="L10" s="70">
        <f t="shared" si="0"/>
        <v>203.94149999999999</v>
      </c>
      <c r="M10" s="70">
        <f t="shared" si="0"/>
        <v>280.6755</v>
      </c>
      <c r="N10" s="70">
        <f t="shared" si="0"/>
        <v>289.3485</v>
      </c>
      <c r="O10" s="70">
        <f t="shared" si="0"/>
        <v>361.80900000000003</v>
      </c>
      <c r="P10" s="70">
        <f t="shared" si="0"/>
        <v>509.26050000000004</v>
      </c>
      <c r="Q10" s="70">
        <f t="shared" si="0"/>
        <v>587.50649999999996</v>
      </c>
      <c r="R10" s="70">
        <f t="shared" si="0"/>
        <v>526.62750000000005</v>
      </c>
      <c r="S10" s="70">
        <f t="shared" si="0"/>
        <v>532.41300000000001</v>
      </c>
      <c r="T10" s="70">
        <f t="shared" si="0"/>
        <v>752.31450000000007</v>
      </c>
      <c r="U10" s="70">
        <f t="shared" si="0"/>
        <v>682.87800000000004</v>
      </c>
      <c r="V10" s="70">
        <f t="shared" si="0"/>
        <v>1018.5210000000001</v>
      </c>
      <c r="W10" s="70">
        <f t="shared" si="0"/>
        <v>1285.2</v>
      </c>
      <c r="X10" s="70">
        <f t="shared" si="0"/>
        <v>1099.3500000000001</v>
      </c>
      <c r="Y10" s="70">
        <f t="shared" si="0"/>
        <v>798.61950000000002</v>
      </c>
      <c r="Z10" s="70">
        <f t="shared" si="0"/>
        <v>665.51100000000008</v>
      </c>
      <c r="AA10" s="70">
        <f t="shared" si="0"/>
        <v>1168.6500000000001</v>
      </c>
      <c r="AB10" s="70">
        <f t="shared" si="0"/>
        <v>1087.8</v>
      </c>
      <c r="AC10" s="70">
        <f t="shared" si="0"/>
        <v>937.50300000000004</v>
      </c>
      <c r="AD10" s="70">
        <f t="shared" si="0"/>
        <v>920.14650000000006</v>
      </c>
      <c r="AE10" s="70">
        <f t="shared" si="0"/>
        <v>827.54700000000003</v>
      </c>
      <c r="AF10" s="70">
        <f t="shared" si="0"/>
        <v>682.87800000000004</v>
      </c>
      <c r="AG10" s="70">
        <f t="shared" si="0"/>
        <v>978.01200000000006</v>
      </c>
      <c r="AH10" s="70">
        <f t="shared" si="0"/>
        <v>902.77949999999998</v>
      </c>
      <c r="AI10" s="70">
        <f t="shared" si="0"/>
        <v>584.49299999999994</v>
      </c>
      <c r="AJ10" s="70">
        <f t="shared" si="0"/>
        <v>642.36900000000003</v>
      </c>
      <c r="AK10" s="70">
        <f t="shared" si="0"/>
        <v>665.51100000000008</v>
      </c>
      <c r="AL10" s="70">
        <f t="shared" si="0"/>
        <v>587.39099999999996</v>
      </c>
      <c r="AM10" s="70">
        <f t="shared" si="0"/>
        <v>587.39099999999996</v>
      </c>
      <c r="AN10" s="70">
        <f t="shared" si="0"/>
        <v>627.9</v>
      </c>
      <c r="AO10" s="70">
        <f t="shared" si="0"/>
        <v>462.96600000000001</v>
      </c>
      <c r="AP10" s="70">
        <f t="shared" si="0"/>
        <v>455.73149999999998</v>
      </c>
      <c r="AQ10" s="70">
        <f t="shared" si="0"/>
        <v>512.73599999999999</v>
      </c>
      <c r="AR10" s="70">
        <f t="shared" si="0"/>
        <v>465.86400000000003</v>
      </c>
      <c r="AS10" s="70">
        <f t="shared" si="0"/>
        <v>497.68950000000001</v>
      </c>
      <c r="AT10" s="70">
        <f t="shared" si="0"/>
        <v>512.1585</v>
      </c>
      <c r="AU10" s="70">
        <f t="shared" si="0"/>
        <v>590.27850000000001</v>
      </c>
      <c r="AV10" s="70">
        <f t="shared" si="0"/>
        <v>480.32249999999999</v>
      </c>
      <c r="AW10" s="70">
        <f t="shared" si="0"/>
        <v>384.83550000000002</v>
      </c>
      <c r="AX10" s="70">
        <f t="shared" si="0"/>
        <v>373.2645</v>
      </c>
      <c r="AY10" s="70">
        <f t="shared" si="0"/>
        <v>373.2645</v>
      </c>
      <c r="AZ10" s="70">
        <f t="shared" si="0"/>
        <v>373.2645</v>
      </c>
      <c r="BA10" s="70">
        <f t="shared" si="0"/>
        <v>373.2645</v>
      </c>
      <c r="BB10" s="70">
        <f t="shared" si="0"/>
        <v>373.2645</v>
      </c>
      <c r="BC10" s="70">
        <f t="shared" ref="BC10:BJ10" si="1">$F$10*BC7</f>
        <v>425.35500000000002</v>
      </c>
      <c r="BD10" s="70">
        <f t="shared" si="1"/>
        <v>425.35500000000002</v>
      </c>
      <c r="BE10" s="70">
        <f t="shared" si="1"/>
        <v>425.35500000000002</v>
      </c>
      <c r="BF10" s="70">
        <f t="shared" si="1"/>
        <v>425.35500000000002</v>
      </c>
      <c r="BG10" s="70">
        <f t="shared" si="1"/>
        <v>489.00600000000003</v>
      </c>
      <c r="BH10" s="70">
        <f t="shared" si="1"/>
        <v>489.00600000000003</v>
      </c>
      <c r="BI10" s="70">
        <f t="shared" si="1"/>
        <v>489.00600000000003</v>
      </c>
      <c r="BJ10" s="70">
        <f t="shared" si="1"/>
        <v>489.00600000000003</v>
      </c>
      <c r="BK10" s="70">
        <f t="shared" ref="BK10:BP10" si="2">$F$10*BK7</f>
        <v>489.00600000000003</v>
      </c>
      <c r="BL10" s="70">
        <f t="shared" si="2"/>
        <v>489.00600000000003</v>
      </c>
      <c r="BM10" s="70">
        <f t="shared" si="2"/>
        <v>489.00600000000003</v>
      </c>
      <c r="BN10" s="70">
        <f t="shared" si="2"/>
        <v>503.47500000000002</v>
      </c>
      <c r="BO10" s="70">
        <f t="shared" si="2"/>
        <v>503.47500000000002</v>
      </c>
      <c r="BP10" s="70">
        <f t="shared" si="2"/>
        <v>503.47500000000002</v>
      </c>
      <c r="BQ10" s="70">
        <f t="shared" ref="BQ10:BV10" si="3">$F$10*BQ7</f>
        <v>503.47500000000002</v>
      </c>
      <c r="BR10" s="70">
        <f t="shared" si="3"/>
        <v>503.47500000000002</v>
      </c>
      <c r="BS10" s="70">
        <f t="shared" si="3"/>
        <v>474.53700000000003</v>
      </c>
      <c r="BT10" s="70">
        <f t="shared" si="3"/>
        <v>474.53700000000003</v>
      </c>
      <c r="BU10" s="70">
        <f t="shared" si="3"/>
        <v>474.53700000000003</v>
      </c>
      <c r="BV10" s="70">
        <f t="shared" si="3"/>
        <v>416.67149999999998</v>
      </c>
      <c r="BW10" s="70">
        <f>$F$10*BW7</f>
        <v>416.67149999999998</v>
      </c>
      <c r="BX10" s="70">
        <f>$F$10*BX7</f>
        <v>416.67149999999998</v>
      </c>
      <c r="BY10" s="70">
        <f>$F$10*BY7</f>
        <v>416.67149999999998</v>
      </c>
      <c r="BZ10" s="70">
        <f t="shared" ref="BZ10:CH10" si="4">$F$10*BZ7</f>
        <v>462.96600000000001</v>
      </c>
      <c r="CA10" s="70">
        <f t="shared" si="4"/>
        <v>462.96600000000001</v>
      </c>
      <c r="CB10" s="70">
        <f t="shared" si="4"/>
        <v>462.96600000000001</v>
      </c>
      <c r="CC10" s="70">
        <f t="shared" si="4"/>
        <v>462.96600000000001</v>
      </c>
      <c r="CD10" s="70">
        <f t="shared" si="4"/>
        <v>462.96600000000001</v>
      </c>
      <c r="CE10" s="70">
        <f t="shared" si="4"/>
        <v>428.24250000000006</v>
      </c>
      <c r="CF10" s="70">
        <f t="shared" si="4"/>
        <v>428.24250000000006</v>
      </c>
      <c r="CG10" s="70">
        <f t="shared" si="4"/>
        <v>428.24250000000006</v>
      </c>
      <c r="CH10" s="70">
        <f t="shared" si="4"/>
        <v>439.81350000000003</v>
      </c>
      <c r="CI10" s="70">
        <f>$F$10*CI7</f>
        <v>439.81350000000003</v>
      </c>
      <c r="CJ10" s="70">
        <f>$F$10*CJ7</f>
        <v>439.81350000000003</v>
      </c>
      <c r="CK10" s="70">
        <f>$F$10*CK7</f>
        <v>439.81350000000003</v>
      </c>
      <c r="CL10" s="70">
        <f>$F$10*CL7</f>
        <v>457.18050000000005</v>
      </c>
      <c r="CM10" s="70">
        <f t="shared" ref="CM10:CS10" si="5">$F$10*CM7</f>
        <v>457.18050000000005</v>
      </c>
      <c r="CN10" s="70">
        <f t="shared" si="5"/>
        <v>457.18050000000005</v>
      </c>
      <c r="CO10" s="70">
        <f t="shared" si="5"/>
        <v>457.18050000000005</v>
      </c>
      <c r="CP10" s="70">
        <f t="shared" si="5"/>
        <v>457.18050000000005</v>
      </c>
      <c r="CQ10" s="70">
        <f t="shared" si="5"/>
        <v>457.18050000000005</v>
      </c>
      <c r="CR10" s="70">
        <f t="shared" si="5"/>
        <v>500.57700000000006</v>
      </c>
      <c r="CS10" s="70">
        <f t="shared" si="5"/>
        <v>500.57700000000006</v>
      </c>
      <c r="CT10" s="70">
        <f t="shared" ref="CT10:EK10" si="6">$F$10*CT7</f>
        <v>500.57700000000006</v>
      </c>
      <c r="CU10" s="70">
        <f t="shared" si="6"/>
        <v>590.27850000000001</v>
      </c>
      <c r="CV10" s="70">
        <f t="shared" si="6"/>
        <v>590.27850000000001</v>
      </c>
      <c r="CW10" s="70">
        <f t="shared" si="6"/>
        <v>590.27850000000001</v>
      </c>
      <c r="CX10" s="70">
        <f t="shared" si="6"/>
        <v>590.27850000000001</v>
      </c>
      <c r="CY10" s="70">
        <f t="shared" si="6"/>
        <v>590.27850000000001</v>
      </c>
      <c r="CZ10" s="70">
        <f t="shared" si="6"/>
        <v>613.41000000000008</v>
      </c>
      <c r="DA10" s="70">
        <f t="shared" si="6"/>
        <v>613.41000000000008</v>
      </c>
      <c r="DB10" s="70">
        <f t="shared" si="6"/>
        <v>613.41000000000008</v>
      </c>
      <c r="DC10" s="70">
        <f t="shared" si="6"/>
        <v>613.41000000000008</v>
      </c>
      <c r="DD10" s="70">
        <f t="shared" si="6"/>
        <v>622.11450000000002</v>
      </c>
      <c r="DE10" s="70">
        <f t="shared" si="6"/>
        <v>622.11450000000002</v>
      </c>
      <c r="DF10" s="70">
        <f t="shared" si="6"/>
        <v>622.11450000000002</v>
      </c>
      <c r="DG10" s="70">
        <f t="shared" si="6"/>
        <v>622.11450000000002</v>
      </c>
      <c r="DH10" s="70">
        <f t="shared" si="6"/>
        <v>613.43100000000004</v>
      </c>
      <c r="DI10" s="70">
        <f t="shared" si="6"/>
        <v>613.43100000000004</v>
      </c>
      <c r="DJ10" s="70">
        <f t="shared" si="6"/>
        <v>485.80350000000004</v>
      </c>
      <c r="DK10" s="70">
        <f t="shared" si="6"/>
        <v>485.80350000000004</v>
      </c>
      <c r="DL10" s="70">
        <f t="shared" si="6"/>
        <v>485.80350000000004</v>
      </c>
      <c r="DM10" s="70">
        <f t="shared" si="6"/>
        <v>485.80350000000004</v>
      </c>
      <c r="DN10" s="70">
        <f t="shared" si="6"/>
        <v>485.80350000000004</v>
      </c>
      <c r="DO10" s="70">
        <f t="shared" si="6"/>
        <v>555.55500000000006</v>
      </c>
      <c r="DP10" s="70">
        <f t="shared" si="6"/>
        <v>555.55500000000006</v>
      </c>
      <c r="DQ10" s="70">
        <f t="shared" si="6"/>
        <v>555.55500000000006</v>
      </c>
      <c r="DR10" s="70">
        <f t="shared" si="6"/>
        <v>607.85550000000001</v>
      </c>
      <c r="DS10" s="70">
        <f t="shared" si="6"/>
        <v>607.85550000000001</v>
      </c>
      <c r="DT10" s="70">
        <f t="shared" si="6"/>
        <v>0</v>
      </c>
      <c r="DU10" s="70">
        <f t="shared" si="6"/>
        <v>0</v>
      </c>
      <c r="DV10" s="70">
        <f t="shared" si="6"/>
        <v>0</v>
      </c>
      <c r="DW10" s="70">
        <f t="shared" si="6"/>
        <v>0</v>
      </c>
      <c r="DX10" s="70">
        <f t="shared" si="6"/>
        <v>0</v>
      </c>
      <c r="DY10" s="70">
        <f t="shared" si="6"/>
        <v>0</v>
      </c>
      <c r="DZ10" s="70">
        <f t="shared" si="6"/>
        <v>0</v>
      </c>
      <c r="EA10" s="70">
        <f t="shared" si="6"/>
        <v>0</v>
      </c>
      <c r="EB10" s="70">
        <f t="shared" si="6"/>
        <v>0</v>
      </c>
      <c r="EC10" s="70">
        <f t="shared" si="6"/>
        <v>0</v>
      </c>
      <c r="ED10" s="70">
        <f t="shared" si="6"/>
        <v>0</v>
      </c>
      <c r="EE10" s="70">
        <f t="shared" si="6"/>
        <v>0</v>
      </c>
      <c r="EF10" s="70">
        <f t="shared" si="6"/>
        <v>0</v>
      </c>
      <c r="EG10" s="70">
        <f t="shared" si="6"/>
        <v>0</v>
      </c>
      <c r="EH10" s="70">
        <f t="shared" si="6"/>
        <v>0</v>
      </c>
      <c r="EI10" s="70">
        <f t="shared" si="6"/>
        <v>0</v>
      </c>
      <c r="EJ10" s="70">
        <f t="shared" si="6"/>
        <v>0</v>
      </c>
      <c r="EK10" s="70">
        <f t="shared" si="6"/>
        <v>0</v>
      </c>
    </row>
    <row r="11" spans="1:158">
      <c r="A11" s="67"/>
      <c r="B11" s="44"/>
      <c r="F11" s="65"/>
      <c r="I11" s="74"/>
      <c r="J11" s="74"/>
      <c r="K11" s="74"/>
      <c r="L11" s="74"/>
      <c r="M11" s="74"/>
      <c r="N11" s="74"/>
      <c r="O11" s="74"/>
      <c r="P11" s="74"/>
      <c r="Q11" s="74"/>
      <c r="R11" s="74"/>
      <c r="S11" s="74"/>
      <c r="T11" s="74"/>
      <c r="U11" s="74"/>
      <c r="V11" s="74"/>
      <c r="W11" s="74"/>
      <c r="X11" s="74"/>
      <c r="Y11" s="74"/>
      <c r="Z11" s="74"/>
      <c r="AA11" s="74"/>
      <c r="AB11" s="74"/>
      <c r="AC11" s="74"/>
      <c r="AD11" s="74"/>
      <c r="AE11" s="74"/>
      <c r="AF11" s="74"/>
      <c r="AG11" s="74"/>
      <c r="AH11" s="74"/>
      <c r="AI11" s="74"/>
      <c r="AJ11" s="74"/>
      <c r="AK11" s="74"/>
      <c r="AL11" s="74"/>
      <c r="AM11" s="74"/>
      <c r="AN11" s="74"/>
      <c r="AO11" s="74"/>
      <c r="AP11" s="74"/>
      <c r="AQ11" s="74"/>
      <c r="AR11" s="74"/>
      <c r="AS11" s="74"/>
      <c r="AT11" s="74"/>
      <c r="AU11" s="74"/>
      <c r="AV11" s="74"/>
      <c r="AW11" s="74"/>
      <c r="AX11" s="74"/>
      <c r="AY11" s="74"/>
      <c r="AZ11" s="74"/>
      <c r="BA11" s="74"/>
      <c r="BB11" s="74"/>
      <c r="BC11" s="74"/>
      <c r="BD11" s="74"/>
      <c r="BE11" s="74"/>
      <c r="BF11" s="74"/>
      <c r="BG11" s="74"/>
      <c r="BH11" s="74"/>
      <c r="BI11" s="74"/>
      <c r="BJ11" s="74"/>
      <c r="BK11" s="74"/>
      <c r="BL11" s="74"/>
      <c r="BM11" s="74"/>
      <c r="BN11" s="74"/>
      <c r="BO11" s="74"/>
      <c r="BP11" s="74"/>
      <c r="BQ11" s="74"/>
      <c r="BR11" s="74"/>
      <c r="BS11" s="74"/>
      <c r="BT11" s="74"/>
      <c r="BU11" s="74"/>
      <c r="BV11" s="74"/>
      <c r="BW11" s="74"/>
      <c r="BX11" s="74"/>
      <c r="BY11" s="74"/>
      <c r="BZ11" s="74"/>
      <c r="CA11" s="74"/>
      <c r="CB11" s="74"/>
      <c r="CC11" s="74"/>
      <c r="CD11" s="74"/>
      <c r="CE11" s="74"/>
      <c r="CF11" s="74"/>
      <c r="CG11" s="74"/>
      <c r="CH11" s="74"/>
      <c r="CI11" s="74"/>
      <c r="CJ11" s="74"/>
      <c r="CK11" s="74"/>
      <c r="CL11" s="74"/>
      <c r="CM11" s="74"/>
      <c r="CN11" s="74"/>
      <c r="CO11" s="74"/>
      <c r="CP11" s="74"/>
      <c r="CQ11" s="74"/>
      <c r="CR11" s="74"/>
      <c r="CS11" s="74"/>
      <c r="CT11" s="74"/>
      <c r="CU11" s="74"/>
      <c r="CV11" s="74"/>
      <c r="CW11" s="74"/>
      <c r="CX11" s="74"/>
      <c r="CY11" s="74"/>
      <c r="CZ11" s="74"/>
      <c r="DA11" s="74"/>
      <c r="DB11" s="74"/>
      <c r="DC11" s="74"/>
      <c r="DD11" s="74"/>
      <c r="DE11" s="74"/>
      <c r="DF11" s="74"/>
      <c r="DG11" s="74"/>
      <c r="DH11" s="74"/>
      <c r="DI11" s="74"/>
      <c r="DJ11" s="74"/>
      <c r="DK11" s="74"/>
      <c r="DL11" s="74"/>
      <c r="DM11" s="74"/>
      <c r="DN11" s="74"/>
      <c r="DO11" s="74"/>
      <c r="DP11" s="74"/>
      <c r="DQ11" s="74"/>
      <c r="DR11" s="74"/>
      <c r="DS11" s="74"/>
      <c r="DT11" s="74"/>
      <c r="DU11" s="74"/>
      <c r="DV11" s="74"/>
      <c r="DW11" s="74"/>
      <c r="DX11" s="74"/>
      <c r="DY11" s="74"/>
      <c r="DZ11" s="74"/>
      <c r="EA11" s="74"/>
      <c r="EB11" s="74"/>
      <c r="EC11" s="74"/>
      <c r="ED11" s="74"/>
      <c r="EE11" s="74"/>
      <c r="EF11" s="74"/>
      <c r="EG11" s="74"/>
      <c r="EH11" s="74"/>
      <c r="EI11" s="74"/>
      <c r="EJ11" s="74"/>
      <c r="EK11" s="74"/>
    </row>
    <row r="12" spans="1:158" ht="16" customHeight="1">
      <c r="A12" s="67"/>
      <c r="B12" s="100"/>
      <c r="F12" s="65"/>
      <c r="H12" s="60" t="s">
        <v>718</v>
      </c>
      <c r="I12" s="74">
        <v>1380</v>
      </c>
      <c r="J12" s="74">
        <v>1380</v>
      </c>
      <c r="K12" s="74">
        <v>1380</v>
      </c>
      <c r="L12" s="74">
        <v>1380</v>
      </c>
      <c r="M12" s="74">
        <v>1380</v>
      </c>
      <c r="N12" s="74">
        <v>1380</v>
      </c>
      <c r="O12" s="74">
        <v>1380</v>
      </c>
      <c r="P12" s="74">
        <v>1380</v>
      </c>
      <c r="Q12" s="74">
        <v>1380</v>
      </c>
      <c r="R12" s="74">
        <v>1380</v>
      </c>
      <c r="S12" s="74">
        <v>1380</v>
      </c>
      <c r="T12" s="74">
        <v>1380</v>
      </c>
      <c r="U12" s="74">
        <v>1380</v>
      </c>
      <c r="V12" s="74">
        <v>1380</v>
      </c>
      <c r="W12" s="74">
        <v>1380</v>
      </c>
      <c r="X12" s="74">
        <v>1380</v>
      </c>
      <c r="Y12" s="74">
        <v>1380</v>
      </c>
      <c r="Z12" s="74">
        <v>1380</v>
      </c>
      <c r="AA12" s="74">
        <v>1380</v>
      </c>
      <c r="AB12" s="74">
        <v>1380</v>
      </c>
      <c r="AC12" s="74">
        <v>1380</v>
      </c>
      <c r="AD12" s="74">
        <v>1380</v>
      </c>
      <c r="AE12" s="74">
        <v>1380</v>
      </c>
      <c r="AF12" s="74">
        <v>1380</v>
      </c>
      <c r="AG12" s="74">
        <v>1380</v>
      </c>
      <c r="AH12" s="74">
        <v>1380</v>
      </c>
      <c r="AI12" s="74">
        <v>1380</v>
      </c>
      <c r="AJ12" s="74">
        <v>1380</v>
      </c>
      <c r="AK12" s="74">
        <v>1380</v>
      </c>
      <c r="AL12" s="74">
        <v>1380</v>
      </c>
      <c r="AM12" s="74">
        <v>1380</v>
      </c>
      <c r="AN12" s="74">
        <v>1380</v>
      </c>
      <c r="AO12" s="74">
        <v>1380</v>
      </c>
      <c r="AP12" s="74">
        <v>1380</v>
      </c>
      <c r="AQ12" s="74">
        <v>1380</v>
      </c>
      <c r="AR12" s="74">
        <v>1380</v>
      </c>
      <c r="AS12" s="74">
        <v>1380</v>
      </c>
      <c r="AT12" s="74">
        <v>1380</v>
      </c>
      <c r="AU12" s="74">
        <v>1380</v>
      </c>
      <c r="AV12" s="74">
        <v>1380</v>
      </c>
      <c r="AW12" s="74">
        <v>1380</v>
      </c>
      <c r="AX12" s="74">
        <v>1380</v>
      </c>
      <c r="AY12" s="74">
        <v>1380</v>
      </c>
      <c r="AZ12" s="74">
        <v>1380</v>
      </c>
      <c r="BA12" s="74">
        <v>1380</v>
      </c>
      <c r="BB12" s="74">
        <v>1380</v>
      </c>
      <c r="BC12" s="74">
        <v>1380</v>
      </c>
      <c r="BD12" s="74">
        <v>1380</v>
      </c>
      <c r="BE12" s="74">
        <v>1380</v>
      </c>
      <c r="BF12" s="74">
        <v>1380</v>
      </c>
      <c r="BG12" s="74">
        <v>1380</v>
      </c>
      <c r="BH12" s="74">
        <v>1380</v>
      </c>
      <c r="BI12" s="74">
        <v>1380</v>
      </c>
      <c r="BJ12" s="74">
        <v>1380</v>
      </c>
      <c r="BK12" s="74">
        <v>1380</v>
      </c>
      <c r="BL12" s="74">
        <v>1380</v>
      </c>
      <c r="BM12" s="74">
        <v>1380</v>
      </c>
      <c r="BN12" s="74">
        <v>1380</v>
      </c>
      <c r="BO12" s="74">
        <v>1380</v>
      </c>
      <c r="BP12" s="74">
        <v>1380</v>
      </c>
      <c r="BQ12" s="74">
        <v>1380</v>
      </c>
      <c r="BR12" s="74">
        <v>1380</v>
      </c>
      <c r="BS12" s="74">
        <v>1380</v>
      </c>
      <c r="BT12" s="74">
        <v>1380</v>
      </c>
      <c r="BU12" s="74">
        <v>1380</v>
      </c>
      <c r="BV12" s="74">
        <v>1380</v>
      </c>
      <c r="BW12" s="74">
        <v>1380</v>
      </c>
      <c r="BX12" s="74">
        <v>1380</v>
      </c>
      <c r="BY12" s="74">
        <v>1380</v>
      </c>
      <c r="BZ12" s="74">
        <v>1380</v>
      </c>
      <c r="CA12" s="74">
        <v>1380</v>
      </c>
      <c r="CB12" s="74">
        <v>1380</v>
      </c>
      <c r="CC12" s="74">
        <v>1380</v>
      </c>
      <c r="CD12" s="74">
        <v>1380</v>
      </c>
      <c r="CE12" s="74">
        <v>1380</v>
      </c>
      <c r="CF12" s="74">
        <v>1380</v>
      </c>
      <c r="CG12" s="74">
        <v>1380</v>
      </c>
      <c r="CH12" s="74">
        <v>1380</v>
      </c>
      <c r="CI12" s="74">
        <v>1380</v>
      </c>
      <c r="CJ12" s="74">
        <v>1380</v>
      </c>
      <c r="CK12" s="74">
        <v>1380</v>
      </c>
      <c r="CL12" s="74">
        <v>1380</v>
      </c>
      <c r="CM12" s="74">
        <v>1380</v>
      </c>
      <c r="CN12" s="74">
        <v>1380</v>
      </c>
      <c r="CO12" s="74">
        <v>1380</v>
      </c>
      <c r="CP12" s="74">
        <v>1380</v>
      </c>
      <c r="CQ12" s="74">
        <v>1380</v>
      </c>
      <c r="CR12" s="74">
        <v>1380</v>
      </c>
      <c r="CS12" s="74">
        <v>1380</v>
      </c>
      <c r="CT12" s="74">
        <v>1380</v>
      </c>
      <c r="CU12" s="74">
        <v>1380</v>
      </c>
      <c r="CV12" s="74">
        <v>1380</v>
      </c>
      <c r="CW12" s="74">
        <v>1380</v>
      </c>
      <c r="CX12" s="74">
        <v>1380</v>
      </c>
      <c r="CY12" s="74">
        <v>1380</v>
      </c>
      <c r="CZ12" s="74">
        <v>1380</v>
      </c>
      <c r="DA12" s="74">
        <v>1380</v>
      </c>
      <c r="DB12" s="74">
        <v>1380</v>
      </c>
      <c r="DC12" s="74">
        <v>1380</v>
      </c>
      <c r="DD12" s="74">
        <v>1380</v>
      </c>
      <c r="DE12" s="74">
        <v>1380</v>
      </c>
      <c r="DF12" s="74">
        <v>1380</v>
      </c>
      <c r="DG12" s="74">
        <v>1380</v>
      </c>
      <c r="DH12" s="74">
        <v>1380</v>
      </c>
      <c r="DI12" s="74">
        <v>1380</v>
      </c>
      <c r="DJ12" s="74">
        <v>1380</v>
      </c>
      <c r="DK12" s="74">
        <v>1380</v>
      </c>
      <c r="DL12" s="74">
        <v>1380</v>
      </c>
      <c r="DM12" s="74">
        <v>1380</v>
      </c>
      <c r="DN12" s="74">
        <v>1380</v>
      </c>
      <c r="DO12" s="74">
        <v>1380</v>
      </c>
      <c r="DP12" s="74">
        <v>1380</v>
      </c>
      <c r="DQ12" s="74">
        <v>1380</v>
      </c>
      <c r="DR12" s="74">
        <v>1380</v>
      </c>
      <c r="DS12" s="74">
        <v>1380</v>
      </c>
      <c r="DT12" s="74">
        <v>1380</v>
      </c>
      <c r="DU12" s="74">
        <v>1380</v>
      </c>
      <c r="DV12" s="74">
        <v>1380</v>
      </c>
      <c r="DW12" s="74">
        <v>1380</v>
      </c>
      <c r="DX12" s="74">
        <v>1380</v>
      </c>
      <c r="DY12" s="74">
        <v>1380</v>
      </c>
      <c r="DZ12" s="74">
        <v>1380</v>
      </c>
      <c r="EA12" s="74">
        <v>1380</v>
      </c>
      <c r="EB12" s="74">
        <v>1380</v>
      </c>
      <c r="EC12" s="74">
        <v>1380</v>
      </c>
      <c r="ED12" s="74">
        <v>1380</v>
      </c>
      <c r="EE12" s="74">
        <v>1380</v>
      </c>
      <c r="EF12" s="74">
        <v>1380</v>
      </c>
      <c r="EG12" s="74">
        <v>1380</v>
      </c>
      <c r="EH12" s="74">
        <v>1380</v>
      </c>
      <c r="EI12" s="74">
        <v>1380</v>
      </c>
      <c r="EJ12" s="74">
        <v>1380</v>
      </c>
      <c r="EK12" s="74">
        <v>1380</v>
      </c>
    </row>
    <row r="13" spans="1:158" s="104" customFormat="1">
      <c r="A13" s="104" t="s">
        <v>400</v>
      </c>
      <c r="H13" s="60"/>
      <c r="I13" s="105">
        <f>SUM(I10:I12)</f>
        <v>1380</v>
      </c>
      <c r="J13" s="105">
        <f t="shared" ref="J13:AV13" si="7">SUM(J10:J12)</f>
        <v>1380</v>
      </c>
      <c r="K13" s="105">
        <f t="shared" si="7"/>
        <v>1380</v>
      </c>
      <c r="L13" s="105">
        <f t="shared" si="7"/>
        <v>1583.9414999999999</v>
      </c>
      <c r="M13" s="105">
        <f t="shared" si="7"/>
        <v>1660.6755000000001</v>
      </c>
      <c r="N13" s="105">
        <f t="shared" si="7"/>
        <v>1669.3485000000001</v>
      </c>
      <c r="O13" s="105">
        <f t="shared" si="7"/>
        <v>1741.809</v>
      </c>
      <c r="P13" s="105">
        <f t="shared" si="7"/>
        <v>1889.2605000000001</v>
      </c>
      <c r="Q13" s="105">
        <f t="shared" si="7"/>
        <v>1967.5065</v>
      </c>
      <c r="R13" s="105">
        <f t="shared" si="7"/>
        <v>1906.6275000000001</v>
      </c>
      <c r="S13" s="105">
        <f t="shared" si="7"/>
        <v>1912.413</v>
      </c>
      <c r="T13" s="105">
        <f t="shared" si="7"/>
        <v>2132.3145</v>
      </c>
      <c r="U13" s="105">
        <f t="shared" si="7"/>
        <v>2062.8780000000002</v>
      </c>
      <c r="V13" s="105">
        <f t="shared" si="7"/>
        <v>2398.5210000000002</v>
      </c>
      <c r="W13" s="105">
        <f t="shared" si="7"/>
        <v>2665.2</v>
      </c>
      <c r="X13" s="105">
        <f t="shared" si="7"/>
        <v>2479.3500000000004</v>
      </c>
      <c r="Y13" s="105">
        <f t="shared" si="7"/>
        <v>2178.6194999999998</v>
      </c>
      <c r="Z13" s="105">
        <f t="shared" si="7"/>
        <v>2045.511</v>
      </c>
      <c r="AA13" s="105">
        <f t="shared" si="7"/>
        <v>2548.65</v>
      </c>
      <c r="AB13" s="105">
        <f t="shared" si="7"/>
        <v>2467.8000000000002</v>
      </c>
      <c r="AC13" s="105">
        <f t="shared" si="7"/>
        <v>2317.5030000000002</v>
      </c>
      <c r="AD13" s="105">
        <f t="shared" si="7"/>
        <v>2300.1464999999998</v>
      </c>
      <c r="AE13" s="105">
        <f t="shared" si="7"/>
        <v>2207.547</v>
      </c>
      <c r="AF13" s="105">
        <f t="shared" si="7"/>
        <v>2062.8780000000002</v>
      </c>
      <c r="AG13" s="105">
        <f t="shared" si="7"/>
        <v>2358.0120000000002</v>
      </c>
      <c r="AH13" s="105">
        <f t="shared" si="7"/>
        <v>2282.7795000000001</v>
      </c>
      <c r="AI13" s="105">
        <f t="shared" si="7"/>
        <v>1964.4929999999999</v>
      </c>
      <c r="AJ13" s="105">
        <f t="shared" si="7"/>
        <v>2022.3690000000001</v>
      </c>
      <c r="AK13" s="105">
        <f t="shared" si="7"/>
        <v>2045.511</v>
      </c>
      <c r="AL13" s="105">
        <f t="shared" si="7"/>
        <v>1967.3910000000001</v>
      </c>
      <c r="AM13" s="105">
        <f t="shared" si="7"/>
        <v>1967.3910000000001</v>
      </c>
      <c r="AN13" s="105">
        <f t="shared" si="7"/>
        <v>2007.9</v>
      </c>
      <c r="AO13" s="105">
        <f t="shared" si="7"/>
        <v>1842.9659999999999</v>
      </c>
      <c r="AP13" s="105">
        <f t="shared" si="7"/>
        <v>1835.7314999999999</v>
      </c>
      <c r="AQ13" s="105">
        <f t="shared" si="7"/>
        <v>1892.7359999999999</v>
      </c>
      <c r="AR13" s="105">
        <f t="shared" si="7"/>
        <v>1845.864</v>
      </c>
      <c r="AS13" s="105">
        <f t="shared" si="7"/>
        <v>1877.6895</v>
      </c>
      <c r="AT13" s="105">
        <f t="shared" si="7"/>
        <v>1892.1585</v>
      </c>
      <c r="AU13" s="105">
        <f t="shared" si="7"/>
        <v>1970.2784999999999</v>
      </c>
      <c r="AV13" s="105">
        <f t="shared" si="7"/>
        <v>1860.3225</v>
      </c>
      <c r="AW13" s="105">
        <f t="shared" ref="AW13:BB13" si="8">SUM(AW10:AW12)</f>
        <v>1764.8355000000001</v>
      </c>
      <c r="AX13" s="105">
        <f t="shared" si="8"/>
        <v>1753.2645</v>
      </c>
      <c r="AY13" s="105">
        <f t="shared" si="8"/>
        <v>1753.2645</v>
      </c>
      <c r="AZ13" s="105">
        <f t="shared" si="8"/>
        <v>1753.2645</v>
      </c>
      <c r="BA13" s="105">
        <f t="shared" si="8"/>
        <v>1753.2645</v>
      </c>
      <c r="BB13" s="105">
        <f t="shared" si="8"/>
        <v>1753.2645</v>
      </c>
      <c r="BC13" s="105">
        <f t="shared" ref="BC13:BJ13" si="9">SUM(BC10:BC12)</f>
        <v>1805.355</v>
      </c>
      <c r="BD13" s="105">
        <f t="shared" si="9"/>
        <v>1805.355</v>
      </c>
      <c r="BE13" s="105">
        <f t="shared" si="9"/>
        <v>1805.355</v>
      </c>
      <c r="BF13" s="105">
        <f t="shared" si="9"/>
        <v>1805.355</v>
      </c>
      <c r="BG13" s="105">
        <f t="shared" si="9"/>
        <v>1869.0060000000001</v>
      </c>
      <c r="BH13" s="105">
        <f t="shared" si="9"/>
        <v>1869.0060000000001</v>
      </c>
      <c r="BI13" s="105">
        <f t="shared" si="9"/>
        <v>1869.0060000000001</v>
      </c>
      <c r="BJ13" s="105">
        <f t="shared" si="9"/>
        <v>1869.0060000000001</v>
      </c>
      <c r="BK13" s="105">
        <f t="shared" ref="BK13:BP13" si="10">SUM(BK10:BK12)</f>
        <v>1869.0060000000001</v>
      </c>
      <c r="BL13" s="105">
        <f t="shared" si="10"/>
        <v>1869.0060000000001</v>
      </c>
      <c r="BM13" s="105">
        <f t="shared" si="10"/>
        <v>1869.0060000000001</v>
      </c>
      <c r="BN13" s="105">
        <f t="shared" si="10"/>
        <v>1883.4749999999999</v>
      </c>
      <c r="BO13" s="105">
        <f t="shared" si="10"/>
        <v>1883.4749999999999</v>
      </c>
      <c r="BP13" s="105">
        <f t="shared" si="10"/>
        <v>1883.4749999999999</v>
      </c>
      <c r="BQ13" s="105">
        <f t="shared" ref="BQ13:BV13" si="11">SUM(BQ10:BQ12)</f>
        <v>1883.4749999999999</v>
      </c>
      <c r="BR13" s="105">
        <f t="shared" si="11"/>
        <v>1883.4749999999999</v>
      </c>
      <c r="BS13" s="105">
        <f t="shared" si="11"/>
        <v>1854.537</v>
      </c>
      <c r="BT13" s="105">
        <f t="shared" si="11"/>
        <v>1854.537</v>
      </c>
      <c r="BU13" s="105">
        <f t="shared" si="11"/>
        <v>1854.537</v>
      </c>
      <c r="BV13" s="105">
        <f t="shared" si="11"/>
        <v>1796.6714999999999</v>
      </c>
      <c r="BW13" s="105">
        <f>SUM(BW10:BW12)</f>
        <v>1796.6714999999999</v>
      </c>
      <c r="BX13" s="105">
        <f>SUM(BX10:BX12)</f>
        <v>1796.6714999999999</v>
      </c>
      <c r="BY13" s="105">
        <f>SUM(BY10:BY12)</f>
        <v>1796.6714999999999</v>
      </c>
      <c r="BZ13" s="105">
        <f t="shared" ref="BZ13:CH13" si="12">SUM(BZ10:BZ12)</f>
        <v>1842.9659999999999</v>
      </c>
      <c r="CA13" s="105">
        <f t="shared" si="12"/>
        <v>1842.9659999999999</v>
      </c>
      <c r="CB13" s="105">
        <f t="shared" si="12"/>
        <v>1842.9659999999999</v>
      </c>
      <c r="CC13" s="105">
        <f t="shared" si="12"/>
        <v>1842.9659999999999</v>
      </c>
      <c r="CD13" s="105">
        <f t="shared" si="12"/>
        <v>1842.9659999999999</v>
      </c>
      <c r="CE13" s="105">
        <f t="shared" si="12"/>
        <v>1808.2425000000001</v>
      </c>
      <c r="CF13" s="105">
        <f t="shared" si="12"/>
        <v>1808.2425000000001</v>
      </c>
      <c r="CG13" s="105">
        <f t="shared" si="12"/>
        <v>1808.2425000000001</v>
      </c>
      <c r="CH13" s="105">
        <f t="shared" si="12"/>
        <v>1819.8135</v>
      </c>
      <c r="CI13" s="105">
        <f>SUM(CI10:CI12)</f>
        <v>1819.8135</v>
      </c>
      <c r="CJ13" s="105">
        <f>SUM(CJ10:CJ12)</f>
        <v>1819.8135</v>
      </c>
      <c r="CK13" s="105">
        <f>SUM(CK10:CK12)</f>
        <v>1819.8135</v>
      </c>
      <c r="CL13" s="105">
        <f>SUM(CL10:CL12)</f>
        <v>1837.1804999999999</v>
      </c>
      <c r="CM13" s="105">
        <f t="shared" ref="CM13:CS13" si="13">SUM(CM10:CM12)</f>
        <v>1837.1804999999999</v>
      </c>
      <c r="CN13" s="105">
        <f t="shared" si="13"/>
        <v>1837.1804999999999</v>
      </c>
      <c r="CO13" s="105">
        <f t="shared" si="13"/>
        <v>1837.1804999999999</v>
      </c>
      <c r="CP13" s="105">
        <f t="shared" si="13"/>
        <v>1837.1804999999999</v>
      </c>
      <c r="CQ13" s="105">
        <f t="shared" si="13"/>
        <v>1837.1804999999999</v>
      </c>
      <c r="CR13" s="105">
        <f t="shared" si="13"/>
        <v>1880.577</v>
      </c>
      <c r="CS13" s="105">
        <f t="shared" si="13"/>
        <v>1880.577</v>
      </c>
      <c r="CT13" s="105">
        <f t="shared" ref="CT13:EK13" si="14">SUM(CT10:CT12)</f>
        <v>1880.577</v>
      </c>
      <c r="CU13" s="105">
        <f t="shared" si="14"/>
        <v>1970.2784999999999</v>
      </c>
      <c r="CV13" s="105">
        <f t="shared" si="14"/>
        <v>1970.2784999999999</v>
      </c>
      <c r="CW13" s="105">
        <f t="shared" si="14"/>
        <v>1970.2784999999999</v>
      </c>
      <c r="CX13" s="105">
        <f t="shared" si="14"/>
        <v>1970.2784999999999</v>
      </c>
      <c r="CY13" s="105">
        <f t="shared" si="14"/>
        <v>1970.2784999999999</v>
      </c>
      <c r="CZ13" s="105">
        <f t="shared" si="14"/>
        <v>1993.41</v>
      </c>
      <c r="DA13" s="105">
        <f t="shared" si="14"/>
        <v>1993.41</v>
      </c>
      <c r="DB13" s="105">
        <f t="shared" si="14"/>
        <v>1993.41</v>
      </c>
      <c r="DC13" s="105">
        <f t="shared" si="14"/>
        <v>1993.41</v>
      </c>
      <c r="DD13" s="105">
        <f t="shared" si="14"/>
        <v>2002.1145000000001</v>
      </c>
      <c r="DE13" s="105">
        <f t="shared" si="14"/>
        <v>2002.1145000000001</v>
      </c>
      <c r="DF13" s="105">
        <f t="shared" si="14"/>
        <v>2002.1145000000001</v>
      </c>
      <c r="DG13" s="105">
        <f t="shared" si="14"/>
        <v>2002.1145000000001</v>
      </c>
      <c r="DH13" s="105">
        <f t="shared" si="14"/>
        <v>1993.431</v>
      </c>
      <c r="DI13" s="105">
        <f t="shared" si="14"/>
        <v>1993.431</v>
      </c>
      <c r="DJ13" s="105">
        <f t="shared" si="14"/>
        <v>1865.8035</v>
      </c>
      <c r="DK13" s="105">
        <f t="shared" si="14"/>
        <v>1865.8035</v>
      </c>
      <c r="DL13" s="105">
        <f t="shared" si="14"/>
        <v>1865.8035</v>
      </c>
      <c r="DM13" s="105">
        <f t="shared" si="14"/>
        <v>1865.8035</v>
      </c>
      <c r="DN13" s="105">
        <f t="shared" si="14"/>
        <v>1865.8035</v>
      </c>
      <c r="DO13" s="105">
        <f t="shared" si="14"/>
        <v>1935.5550000000001</v>
      </c>
      <c r="DP13" s="105">
        <f t="shared" si="14"/>
        <v>1935.5550000000001</v>
      </c>
      <c r="DQ13" s="105">
        <f t="shared" si="14"/>
        <v>1935.5550000000001</v>
      </c>
      <c r="DR13" s="105">
        <f t="shared" si="14"/>
        <v>1987.8555000000001</v>
      </c>
      <c r="DS13" s="105">
        <f t="shared" si="14"/>
        <v>1987.8555000000001</v>
      </c>
      <c r="DT13" s="105">
        <f t="shared" si="14"/>
        <v>1380</v>
      </c>
      <c r="DU13" s="105">
        <f t="shared" si="14"/>
        <v>1380</v>
      </c>
      <c r="DV13" s="105">
        <f t="shared" si="14"/>
        <v>1380</v>
      </c>
      <c r="DW13" s="105">
        <f t="shared" si="14"/>
        <v>1380</v>
      </c>
      <c r="DX13" s="105">
        <f t="shared" si="14"/>
        <v>1380</v>
      </c>
      <c r="DY13" s="105">
        <f t="shared" si="14"/>
        <v>1380</v>
      </c>
      <c r="DZ13" s="105">
        <f t="shared" si="14"/>
        <v>1380</v>
      </c>
      <c r="EA13" s="105">
        <f t="shared" si="14"/>
        <v>1380</v>
      </c>
      <c r="EB13" s="105">
        <f t="shared" si="14"/>
        <v>1380</v>
      </c>
      <c r="EC13" s="105">
        <f t="shared" si="14"/>
        <v>1380</v>
      </c>
      <c r="ED13" s="105">
        <f t="shared" si="14"/>
        <v>1380</v>
      </c>
      <c r="EE13" s="105">
        <f t="shared" si="14"/>
        <v>1380</v>
      </c>
      <c r="EF13" s="105">
        <f t="shared" si="14"/>
        <v>1380</v>
      </c>
      <c r="EG13" s="105">
        <f t="shared" si="14"/>
        <v>1380</v>
      </c>
      <c r="EH13" s="105">
        <f t="shared" si="14"/>
        <v>1380</v>
      </c>
      <c r="EI13" s="105">
        <f t="shared" si="14"/>
        <v>1380</v>
      </c>
      <c r="EJ13" s="105">
        <f t="shared" si="14"/>
        <v>1380</v>
      </c>
      <c r="EK13" s="105">
        <f t="shared" si="14"/>
        <v>1380</v>
      </c>
    </row>
    <row r="14" spans="1:158">
      <c r="I14" s="74"/>
      <c r="J14" s="74"/>
      <c r="K14" s="74"/>
      <c r="L14" s="74"/>
      <c r="M14" s="74"/>
      <c r="N14" s="74"/>
      <c r="O14" s="74"/>
      <c r="P14" s="74"/>
      <c r="Q14" s="74"/>
      <c r="R14" s="74"/>
      <c r="S14" s="74"/>
      <c r="T14" s="74"/>
      <c r="U14" s="74"/>
      <c r="V14" s="74"/>
      <c r="W14" s="74"/>
      <c r="X14" s="74"/>
      <c r="Y14" s="74"/>
      <c r="Z14" s="74"/>
      <c r="AA14" s="74"/>
      <c r="AB14" s="74"/>
      <c r="AC14" s="74"/>
      <c r="AD14" s="74"/>
      <c r="AE14" s="74"/>
      <c r="AF14" s="74"/>
      <c r="AG14" s="74"/>
      <c r="AH14" s="74"/>
      <c r="AI14" s="74"/>
      <c r="AJ14" s="74"/>
      <c r="AK14" s="74"/>
      <c r="AL14" s="74"/>
      <c r="AM14" s="74"/>
      <c r="AN14" s="74"/>
      <c r="AO14" s="74"/>
      <c r="AP14" s="74"/>
      <c r="AQ14" s="74"/>
      <c r="AR14" s="74"/>
      <c r="AS14" s="74"/>
      <c r="AT14" s="74"/>
      <c r="AU14" s="74"/>
      <c r="AV14" s="74"/>
    </row>
    <row r="15" spans="1:158">
      <c r="I15" s="74"/>
      <c r="J15" s="74"/>
      <c r="K15" s="74"/>
      <c r="L15" s="74"/>
      <c r="M15" s="74"/>
      <c r="N15" s="74"/>
      <c r="O15" s="74"/>
      <c r="P15" s="65"/>
      <c r="Q15" s="74"/>
      <c r="R15" s="74"/>
      <c r="S15" s="74"/>
      <c r="T15" s="74"/>
      <c r="U15" s="74"/>
      <c r="V15" s="74"/>
      <c r="W15" s="74"/>
      <c r="X15" s="74"/>
      <c r="Y15" s="74"/>
      <c r="Z15" s="74"/>
      <c r="AA15" s="74"/>
      <c r="AB15" s="74"/>
      <c r="AC15" s="65"/>
      <c r="AD15" s="74"/>
      <c r="AE15" s="74"/>
      <c r="AF15" s="74"/>
      <c r="AG15" s="74"/>
      <c r="AH15" s="74"/>
      <c r="AI15" s="74"/>
      <c r="AJ15" s="74"/>
      <c r="AK15" s="74"/>
      <c r="AL15" s="74"/>
      <c r="AM15" s="74"/>
      <c r="AN15" s="74"/>
      <c r="AO15" s="74"/>
      <c r="AP15" s="74"/>
      <c r="AQ15" s="74"/>
      <c r="AR15" s="74"/>
      <c r="AS15" s="74"/>
      <c r="AT15" s="74"/>
      <c r="AU15" s="74"/>
      <c r="AW15" s="74"/>
      <c r="AX15" s="65"/>
    </row>
    <row r="17" spans="2:141" ht="13" thickBot="1"/>
    <row r="18" spans="2:141" ht="13" thickBot="1">
      <c r="D18" s="259"/>
      <c r="H18" s="106" t="s">
        <v>407</v>
      </c>
      <c r="I18" s="109">
        <f>I13/1000</f>
        <v>1.38</v>
      </c>
      <c r="J18" s="109">
        <f t="shared" ref="J18:AZ18" si="15">J13/1000</f>
        <v>1.38</v>
      </c>
      <c r="K18" s="109">
        <f t="shared" si="15"/>
        <v>1.38</v>
      </c>
      <c r="L18" s="109">
        <f t="shared" si="15"/>
        <v>1.5839414999999999</v>
      </c>
      <c r="M18" s="109">
        <f t="shared" si="15"/>
        <v>1.6606755</v>
      </c>
      <c r="N18" s="109">
        <f t="shared" si="15"/>
        <v>1.6693485000000001</v>
      </c>
      <c r="O18" s="109">
        <f t="shared" si="15"/>
        <v>1.7418089999999999</v>
      </c>
      <c r="P18" s="109">
        <f t="shared" si="15"/>
        <v>1.8892605</v>
      </c>
      <c r="Q18" s="109">
        <f t="shared" si="15"/>
        <v>1.9675065</v>
      </c>
      <c r="R18" s="109">
        <f t="shared" si="15"/>
        <v>1.9066275000000001</v>
      </c>
      <c r="S18" s="109">
        <f t="shared" si="15"/>
        <v>1.9124129999999999</v>
      </c>
      <c r="T18" s="109">
        <f t="shared" si="15"/>
        <v>2.1323145000000001</v>
      </c>
      <c r="U18" s="109">
        <f t="shared" si="15"/>
        <v>2.062878</v>
      </c>
      <c r="V18" s="109">
        <f t="shared" si="15"/>
        <v>2.3985210000000001</v>
      </c>
      <c r="W18" s="109">
        <f t="shared" si="15"/>
        <v>2.6652</v>
      </c>
      <c r="X18" s="109">
        <f t="shared" si="15"/>
        <v>2.4793500000000002</v>
      </c>
      <c r="Y18" s="109">
        <f t="shared" si="15"/>
        <v>2.1786194999999999</v>
      </c>
      <c r="Z18" s="109">
        <f t="shared" si="15"/>
        <v>2.0455109999999999</v>
      </c>
      <c r="AA18" s="109">
        <f t="shared" si="15"/>
        <v>2.5486500000000003</v>
      </c>
      <c r="AB18" s="109">
        <f t="shared" si="15"/>
        <v>2.4678</v>
      </c>
      <c r="AC18" s="109">
        <f t="shared" si="15"/>
        <v>2.3175030000000003</v>
      </c>
      <c r="AD18" s="109">
        <f t="shared" si="15"/>
        <v>2.3001464999999999</v>
      </c>
      <c r="AE18" s="109">
        <f t="shared" si="15"/>
        <v>2.2075469999999999</v>
      </c>
      <c r="AF18" s="109">
        <f t="shared" si="15"/>
        <v>2.062878</v>
      </c>
      <c r="AG18" s="109">
        <f t="shared" si="15"/>
        <v>2.358012</v>
      </c>
      <c r="AH18" s="109">
        <f t="shared" si="15"/>
        <v>2.2827795000000002</v>
      </c>
      <c r="AI18" s="109">
        <f t="shared" si="15"/>
        <v>1.964493</v>
      </c>
      <c r="AJ18" s="109">
        <f t="shared" si="15"/>
        <v>2.0223690000000003</v>
      </c>
      <c r="AK18" s="109">
        <f t="shared" si="15"/>
        <v>2.0455109999999999</v>
      </c>
      <c r="AL18" s="109">
        <f t="shared" si="15"/>
        <v>1.9673910000000001</v>
      </c>
      <c r="AM18" s="109">
        <f t="shared" si="15"/>
        <v>1.9673910000000001</v>
      </c>
      <c r="AN18" s="109">
        <f t="shared" si="15"/>
        <v>2.0079000000000002</v>
      </c>
      <c r="AO18" s="109">
        <f t="shared" si="15"/>
        <v>1.8429659999999999</v>
      </c>
      <c r="AP18" s="109">
        <f t="shared" si="15"/>
        <v>1.8357314999999998</v>
      </c>
      <c r="AQ18" s="109">
        <f t="shared" si="15"/>
        <v>1.892736</v>
      </c>
      <c r="AR18" s="109">
        <f t="shared" si="15"/>
        <v>1.8458639999999999</v>
      </c>
      <c r="AS18" s="109">
        <f t="shared" si="15"/>
        <v>1.8776895</v>
      </c>
      <c r="AT18" s="109">
        <f t="shared" si="15"/>
        <v>1.8921585000000001</v>
      </c>
      <c r="AU18" s="109">
        <f t="shared" si="15"/>
        <v>1.9702784999999998</v>
      </c>
      <c r="AV18" s="109">
        <f t="shared" si="15"/>
        <v>1.8603225000000001</v>
      </c>
      <c r="AW18" s="109">
        <f t="shared" si="15"/>
        <v>1.7648355000000002</v>
      </c>
      <c r="AX18" s="109">
        <f t="shared" si="15"/>
        <v>1.7532645</v>
      </c>
      <c r="AY18" s="109">
        <f t="shared" si="15"/>
        <v>1.7532645</v>
      </c>
      <c r="AZ18" s="109">
        <f t="shared" si="15"/>
        <v>1.7532645</v>
      </c>
      <c r="BA18" s="109">
        <f t="shared" ref="BA18:BJ18" si="16">BA13/1000</f>
        <v>1.7532645</v>
      </c>
      <c r="BB18" s="109">
        <f t="shared" si="16"/>
        <v>1.7532645</v>
      </c>
      <c r="BC18" s="109">
        <f t="shared" si="16"/>
        <v>1.805355</v>
      </c>
      <c r="BD18" s="109">
        <f t="shared" si="16"/>
        <v>1.805355</v>
      </c>
      <c r="BE18" s="109">
        <f t="shared" si="16"/>
        <v>1.805355</v>
      </c>
      <c r="BF18" s="109">
        <f t="shared" si="16"/>
        <v>1.805355</v>
      </c>
      <c r="BG18" s="109">
        <f t="shared" si="16"/>
        <v>1.8690060000000002</v>
      </c>
      <c r="BH18" s="109">
        <f t="shared" si="16"/>
        <v>1.8690060000000002</v>
      </c>
      <c r="BI18" s="109">
        <f t="shared" si="16"/>
        <v>1.8690060000000002</v>
      </c>
      <c r="BJ18" s="109">
        <f t="shared" si="16"/>
        <v>1.8690060000000002</v>
      </c>
      <c r="BK18" s="109">
        <f t="shared" ref="BK18:BV18" si="17">BK13/1000</f>
        <v>1.8690060000000002</v>
      </c>
      <c r="BL18" s="109">
        <f t="shared" si="17"/>
        <v>1.8690060000000002</v>
      </c>
      <c r="BM18" s="109">
        <f t="shared" si="17"/>
        <v>1.8690060000000002</v>
      </c>
      <c r="BN18" s="109">
        <f t="shared" si="17"/>
        <v>1.883475</v>
      </c>
      <c r="BO18" s="109">
        <f>BO13/1000</f>
        <v>1.883475</v>
      </c>
      <c r="BP18" s="109">
        <f t="shared" si="17"/>
        <v>1.883475</v>
      </c>
      <c r="BQ18" s="109">
        <f t="shared" si="17"/>
        <v>1.883475</v>
      </c>
      <c r="BR18" s="109">
        <f t="shared" si="17"/>
        <v>1.883475</v>
      </c>
      <c r="BS18" s="109">
        <f t="shared" si="17"/>
        <v>1.8545370000000001</v>
      </c>
      <c r="BT18" s="109">
        <f t="shared" si="17"/>
        <v>1.8545370000000001</v>
      </c>
      <c r="BU18" s="109">
        <f t="shared" si="17"/>
        <v>1.8545370000000001</v>
      </c>
      <c r="BV18" s="109">
        <f t="shared" si="17"/>
        <v>1.7966715</v>
      </c>
      <c r="BW18" s="109">
        <f>BW13/1000</f>
        <v>1.7966715</v>
      </c>
      <c r="BX18" s="109">
        <f>BX13/1000</f>
        <v>1.7966715</v>
      </c>
      <c r="BY18" s="109">
        <f>BY13/1000</f>
        <v>1.7966715</v>
      </c>
      <c r="BZ18" s="109">
        <f t="shared" ref="BZ18:CH18" si="18">BZ13/1000</f>
        <v>1.8429659999999999</v>
      </c>
      <c r="CA18" s="109">
        <f t="shared" si="18"/>
        <v>1.8429659999999999</v>
      </c>
      <c r="CB18" s="109">
        <f t="shared" si="18"/>
        <v>1.8429659999999999</v>
      </c>
      <c r="CC18" s="109">
        <f t="shared" si="18"/>
        <v>1.8429659999999999</v>
      </c>
      <c r="CD18" s="109">
        <f t="shared" si="18"/>
        <v>1.8429659999999999</v>
      </c>
      <c r="CE18" s="109">
        <f t="shared" si="18"/>
        <v>1.8082425</v>
      </c>
      <c r="CF18" s="109">
        <f t="shared" si="18"/>
        <v>1.8082425</v>
      </c>
      <c r="CG18" s="109">
        <f t="shared" si="18"/>
        <v>1.8082425</v>
      </c>
      <c r="CH18" s="109">
        <f t="shared" si="18"/>
        <v>1.8198135</v>
      </c>
      <c r="CI18" s="109">
        <f>CI13/1000</f>
        <v>1.8198135</v>
      </c>
      <c r="CJ18" s="109">
        <f>CJ13/1000</f>
        <v>1.8198135</v>
      </c>
      <c r="CK18" s="109">
        <f>CK13/1000</f>
        <v>1.8198135</v>
      </c>
      <c r="CL18" s="109">
        <f>CL13/1000</f>
        <v>1.8371804999999999</v>
      </c>
      <c r="CM18" s="109">
        <f t="shared" ref="CM18:CS18" si="19">CM13/1000</f>
        <v>1.8371804999999999</v>
      </c>
      <c r="CN18" s="109">
        <f t="shared" si="19"/>
        <v>1.8371804999999999</v>
      </c>
      <c r="CO18" s="109">
        <f t="shared" si="19"/>
        <v>1.8371804999999999</v>
      </c>
      <c r="CP18" s="109">
        <f t="shared" si="19"/>
        <v>1.8371804999999999</v>
      </c>
      <c r="CQ18" s="109">
        <f t="shared" si="19"/>
        <v>1.8371804999999999</v>
      </c>
      <c r="CR18" s="109">
        <f t="shared" si="19"/>
        <v>1.8805769999999999</v>
      </c>
      <c r="CS18" s="109">
        <f t="shared" si="19"/>
        <v>1.8805769999999999</v>
      </c>
      <c r="CT18" s="109">
        <f t="shared" ref="CT18:EK18" si="20">CT13/1000</f>
        <v>1.8805769999999999</v>
      </c>
      <c r="CU18" s="109">
        <f t="shared" si="20"/>
        <v>1.9702784999999998</v>
      </c>
      <c r="CV18" s="109">
        <f t="shared" si="20"/>
        <v>1.9702784999999998</v>
      </c>
      <c r="CW18" s="109">
        <f t="shared" si="20"/>
        <v>1.9702784999999998</v>
      </c>
      <c r="CX18" s="109">
        <f t="shared" si="20"/>
        <v>1.9702784999999998</v>
      </c>
      <c r="CY18" s="109">
        <f t="shared" si="20"/>
        <v>1.9702784999999998</v>
      </c>
      <c r="CZ18" s="109">
        <f t="shared" si="20"/>
        <v>1.9934100000000001</v>
      </c>
      <c r="DA18" s="109">
        <f t="shared" si="20"/>
        <v>1.9934100000000001</v>
      </c>
      <c r="DB18" s="109">
        <f t="shared" si="20"/>
        <v>1.9934100000000001</v>
      </c>
      <c r="DC18" s="109">
        <f t="shared" si="20"/>
        <v>1.9934100000000001</v>
      </c>
      <c r="DD18" s="109">
        <f t="shared" si="20"/>
        <v>2.0021145000000002</v>
      </c>
      <c r="DE18" s="109">
        <f t="shared" si="20"/>
        <v>2.0021145000000002</v>
      </c>
      <c r="DF18" s="109">
        <f t="shared" si="20"/>
        <v>2.0021145000000002</v>
      </c>
      <c r="DG18" s="109">
        <f t="shared" si="20"/>
        <v>2.0021145000000002</v>
      </c>
      <c r="DH18" s="109">
        <f t="shared" si="20"/>
        <v>1.993431</v>
      </c>
      <c r="DI18" s="109">
        <f t="shared" si="20"/>
        <v>1.993431</v>
      </c>
      <c r="DJ18" s="109">
        <f t="shared" si="20"/>
        <v>1.8658034999999999</v>
      </c>
      <c r="DK18" s="109">
        <f t="shared" si="20"/>
        <v>1.8658034999999999</v>
      </c>
      <c r="DL18" s="109">
        <f t="shared" si="20"/>
        <v>1.8658034999999999</v>
      </c>
      <c r="DM18" s="109">
        <f t="shared" si="20"/>
        <v>1.8658034999999999</v>
      </c>
      <c r="DN18" s="109">
        <f t="shared" si="20"/>
        <v>1.8658034999999999</v>
      </c>
      <c r="DO18" s="109">
        <f t="shared" si="20"/>
        <v>1.9355550000000001</v>
      </c>
      <c r="DP18" s="109">
        <f t="shared" si="20"/>
        <v>1.9355550000000001</v>
      </c>
      <c r="DQ18" s="109">
        <f t="shared" si="20"/>
        <v>1.9355550000000001</v>
      </c>
      <c r="DR18" s="109">
        <f t="shared" si="20"/>
        <v>1.9878555000000002</v>
      </c>
      <c r="DS18" s="109">
        <f t="shared" si="20"/>
        <v>1.9878555000000002</v>
      </c>
      <c r="DT18" s="109">
        <f t="shared" si="20"/>
        <v>1.38</v>
      </c>
      <c r="DU18" s="109">
        <f t="shared" si="20"/>
        <v>1.38</v>
      </c>
      <c r="DV18" s="109">
        <f t="shared" si="20"/>
        <v>1.38</v>
      </c>
      <c r="DW18" s="109">
        <f t="shared" si="20"/>
        <v>1.38</v>
      </c>
      <c r="DX18" s="109">
        <f t="shared" si="20"/>
        <v>1.38</v>
      </c>
      <c r="DY18" s="109">
        <f t="shared" si="20"/>
        <v>1.38</v>
      </c>
      <c r="DZ18" s="109">
        <f t="shared" si="20"/>
        <v>1.38</v>
      </c>
      <c r="EA18" s="109">
        <f t="shared" si="20"/>
        <v>1.38</v>
      </c>
      <c r="EB18" s="109">
        <f t="shared" si="20"/>
        <v>1.38</v>
      </c>
      <c r="EC18" s="109">
        <f t="shared" si="20"/>
        <v>1.38</v>
      </c>
      <c r="ED18" s="109">
        <f t="shared" si="20"/>
        <v>1.38</v>
      </c>
      <c r="EE18" s="109">
        <f t="shared" si="20"/>
        <v>1.38</v>
      </c>
      <c r="EF18" s="109">
        <f t="shared" si="20"/>
        <v>1.38</v>
      </c>
      <c r="EG18" s="109">
        <f t="shared" si="20"/>
        <v>1.38</v>
      </c>
      <c r="EH18" s="109">
        <f t="shared" si="20"/>
        <v>1.38</v>
      </c>
      <c r="EI18" s="109">
        <f t="shared" si="20"/>
        <v>1.38</v>
      </c>
      <c r="EJ18" s="109">
        <f t="shared" si="20"/>
        <v>1.38</v>
      </c>
      <c r="EK18" s="109">
        <f t="shared" si="20"/>
        <v>1.38</v>
      </c>
    </row>
    <row r="20" spans="2:141">
      <c r="B20" s="65"/>
    </row>
    <row r="25" spans="2:141" ht="15">
      <c r="AR25" s="11"/>
    </row>
    <row r="26" spans="2:141" ht="15">
      <c r="AR26" s="11"/>
    </row>
    <row r="27" spans="2:141" ht="15">
      <c r="AR27" s="260"/>
    </row>
  </sheetData>
  <phoneticPr fontId="52" type="noConversion"/>
  <conditionalFormatting sqref="I15:O15 Z15:AB15 AE15:AF15 AH15:AJ15 AL15 AP15 AR15:AS15 AU15 Q15:X15">
    <cfRule type="top10" dxfId="19" priority="1" bottom="1" rank="1"/>
  </conditionalFormatting>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Y33"/>
  <sheetViews>
    <sheetView workbookViewId="0">
      <selection activeCell="I13" sqref="I13"/>
    </sheetView>
  </sheetViews>
  <sheetFormatPr baseColWidth="10" defaultColWidth="22.6640625" defaultRowHeight="12"/>
  <cols>
    <col min="1" max="1" width="13.5" style="60" bestFit="1" customWidth="1"/>
    <col min="2" max="2" width="11.33203125" style="60" bestFit="1" customWidth="1"/>
    <col min="3" max="3" width="4.83203125" style="60" bestFit="1" customWidth="1"/>
    <col min="4" max="4" width="12.33203125" style="60" bestFit="1" customWidth="1"/>
    <col min="5" max="5" width="7.6640625" style="60" bestFit="1" customWidth="1"/>
    <col min="6" max="6" width="6" style="60" bestFit="1" customWidth="1"/>
    <col min="7" max="7" width="7.33203125" style="60" bestFit="1" customWidth="1"/>
    <col min="8" max="8" width="32.5" style="60" bestFit="1" customWidth="1"/>
    <col min="9" max="26" width="7.83203125" style="60" bestFit="1" customWidth="1"/>
    <col min="27" max="31" width="7" style="60" bestFit="1" customWidth="1"/>
    <col min="32" max="50" width="7.83203125" style="60" bestFit="1" customWidth="1"/>
    <col min="51" max="51" width="2.5" style="60" bestFit="1" customWidth="1"/>
    <col min="52" max="16384" width="22.6640625" style="60"/>
  </cols>
  <sheetData>
    <row r="1" spans="1:51" ht="26">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row>
    <row r="2" spans="1:51" ht="26">
      <c r="A2" s="100" t="s">
        <v>707</v>
      </c>
      <c r="B2" s="100"/>
      <c r="C2" s="101">
        <v>1</v>
      </c>
      <c r="D2" s="112"/>
      <c r="K2" s="102"/>
      <c r="M2" s="102"/>
    </row>
    <row r="3" spans="1:51">
      <c r="A3" s="100"/>
      <c r="B3" s="100"/>
      <c r="D3" s="100"/>
      <c r="E3" s="64"/>
      <c r="F3" s="103"/>
    </row>
    <row r="4" spans="1:51">
      <c r="A4" s="64"/>
      <c r="B4" s="64"/>
      <c r="D4" s="64"/>
      <c r="E4" s="64"/>
      <c r="H4" s="60" t="s">
        <v>387</v>
      </c>
    </row>
    <row r="5" spans="1:51">
      <c r="A5" s="74"/>
      <c r="B5" s="74"/>
    </row>
    <row r="6" spans="1:51">
      <c r="A6" s="59"/>
      <c r="B6" s="59"/>
      <c r="C6" s="59"/>
      <c r="D6" s="98"/>
      <c r="E6" s="98"/>
      <c r="F6" s="59"/>
      <c r="H6" s="59" t="s">
        <v>416</v>
      </c>
      <c r="I6" s="59">
        <v>43831</v>
      </c>
      <c r="J6" s="59">
        <v>43862</v>
      </c>
      <c r="K6" s="59">
        <v>43891</v>
      </c>
      <c r="L6" s="59">
        <v>43922</v>
      </c>
      <c r="M6" s="59">
        <v>43952</v>
      </c>
      <c r="N6" s="59">
        <v>43983</v>
      </c>
      <c r="O6" s="59">
        <v>44013</v>
      </c>
      <c r="P6" s="59">
        <v>44044</v>
      </c>
      <c r="Q6" s="59">
        <v>44075</v>
      </c>
      <c r="R6" s="59">
        <v>44105</v>
      </c>
      <c r="S6" s="59">
        <v>44136</v>
      </c>
      <c r="T6" s="59">
        <v>44166</v>
      </c>
      <c r="U6" s="59">
        <v>44197</v>
      </c>
      <c r="V6" s="59">
        <v>44228</v>
      </c>
      <c r="W6" s="59">
        <v>44256</v>
      </c>
      <c r="X6" s="59">
        <v>44287</v>
      </c>
      <c r="Y6" s="59">
        <v>44317</v>
      </c>
      <c r="Z6" s="59">
        <v>44348</v>
      </c>
      <c r="AA6" s="59">
        <v>44378</v>
      </c>
      <c r="AB6" s="59">
        <v>44409</v>
      </c>
      <c r="AC6" s="59">
        <v>44440</v>
      </c>
      <c r="AD6" s="59">
        <v>44470</v>
      </c>
      <c r="AE6" s="59">
        <v>44501</v>
      </c>
      <c r="AF6" s="59">
        <v>44531</v>
      </c>
      <c r="AG6" s="59">
        <v>44562</v>
      </c>
      <c r="AH6" s="59">
        <v>44593</v>
      </c>
      <c r="AI6" s="59">
        <v>44621</v>
      </c>
      <c r="AJ6" s="59">
        <v>44652</v>
      </c>
      <c r="AK6" s="59">
        <v>44682</v>
      </c>
      <c r="AL6" s="59">
        <v>44713</v>
      </c>
      <c r="AM6" s="59">
        <v>44743</v>
      </c>
      <c r="AN6" s="59">
        <v>44774</v>
      </c>
      <c r="AO6" s="59">
        <v>44805</v>
      </c>
      <c r="AP6" s="59">
        <v>44835</v>
      </c>
      <c r="AQ6" s="59">
        <v>44866</v>
      </c>
      <c r="AR6" s="59">
        <v>44896</v>
      </c>
      <c r="AS6" s="59">
        <v>44927</v>
      </c>
      <c r="AT6" s="59">
        <v>44958</v>
      </c>
      <c r="AU6" s="59">
        <v>44986</v>
      </c>
      <c r="AV6" s="59">
        <v>45017</v>
      </c>
      <c r="AW6" s="59">
        <v>45047</v>
      </c>
      <c r="AX6" s="59">
        <v>45078</v>
      </c>
    </row>
    <row r="7" spans="1:51" ht="26">
      <c r="A7" s="84"/>
      <c r="B7" s="84"/>
      <c r="C7" s="84"/>
      <c r="D7" s="246"/>
      <c r="E7" s="246" t="s">
        <v>708</v>
      </c>
      <c r="F7" s="84"/>
      <c r="H7" s="44" t="s">
        <v>105</v>
      </c>
      <c r="I7" s="247">
        <v>72000</v>
      </c>
      <c r="J7" s="247">
        <f>VLOOKUP($H$7&amp;$F$1,'Input RM sheet'!$A:$BD,I1,0)</f>
        <v>0</v>
      </c>
      <c r="K7" s="247">
        <f>VLOOKUP($H$7&amp;$F$1,'Input RM sheet'!$A:$BD,J1,0)</f>
        <v>0</v>
      </c>
      <c r="L7" s="247">
        <f>VLOOKUP($H$7&amp;$F$1,'Input RM sheet'!$A:$BD,K1,0)</f>
        <v>0</v>
      </c>
      <c r="M7" s="247">
        <f>VLOOKUP($H$7&amp;$F$1,'Input RM sheet'!$A:$BD,L1,0)</f>
        <v>0</v>
      </c>
      <c r="N7" s="247">
        <f>VLOOKUP($H$7&amp;$F$1,'Input RM sheet'!$A:$BD,M1,0)</f>
        <v>0</v>
      </c>
      <c r="O7" s="247">
        <f>VLOOKUP($H$7&amp;$F$1,'Input RM sheet'!$A:$BD,N1,0)</f>
        <v>0</v>
      </c>
      <c r="P7" s="247">
        <f>VLOOKUP($H$7&amp;$F$1,'Input RM sheet'!$A:$BD,O1,0)</f>
        <v>0</v>
      </c>
      <c r="Q7" s="247">
        <f>VLOOKUP($H$7&amp;$F$1,'Input RM sheet'!$A:$BD,P1,0)</f>
        <v>0</v>
      </c>
      <c r="R7" s="247">
        <f>VLOOKUP($H$7&amp;$F$1,'Input RM sheet'!$A:$BD,Q1,0)</f>
        <v>0</v>
      </c>
      <c r="S7" s="247">
        <f>VLOOKUP($H$7&amp;$F$1,'Input RM sheet'!$A:$BD,R1,0)</f>
        <v>0</v>
      </c>
      <c r="T7" s="247">
        <f>VLOOKUP($H$7&amp;$F$1,'Input RM sheet'!$A:$BD,S1,0)</f>
        <v>0</v>
      </c>
      <c r="U7" s="247">
        <f>VLOOKUP($H$7&amp;$F$1,'Input RM sheet'!$A:$BD,T1,0)</f>
        <v>0</v>
      </c>
      <c r="V7" s="247">
        <f>VLOOKUP($H$7&amp;$F$1,'Input RM sheet'!$A:$BD,U1,0)</f>
        <v>0</v>
      </c>
      <c r="W7" s="247">
        <f>VLOOKUP($H$7&amp;$F$1,'Input RM sheet'!$A:$BD,V1,0)</f>
        <v>0</v>
      </c>
      <c r="X7" s="247">
        <f>VLOOKUP($H$7&amp;$F$1,'Input RM sheet'!$A:$BD,W1,0)</f>
        <v>0</v>
      </c>
      <c r="Y7" s="247">
        <f>VLOOKUP($H$7&amp;$F$1,'Input RM sheet'!$A:$BD,X1,0)</f>
        <v>0</v>
      </c>
      <c r="Z7" s="247">
        <f>VLOOKUP($H$7&amp;$F$1,'Input RM sheet'!$A:$BD,Y1,0)</f>
        <v>0</v>
      </c>
      <c r="AA7" s="247">
        <f>VLOOKUP($H$7&amp;$F$1,'Input RM sheet'!$A:$BD,Z1,0)</f>
        <v>0</v>
      </c>
      <c r="AB7" s="247">
        <f>VLOOKUP($H$7&amp;$F$1,'Input RM sheet'!$A:$BD,AA1,0)</f>
        <v>0</v>
      </c>
      <c r="AC7" s="247">
        <f>VLOOKUP($H$7&amp;$F$1,'Input RM sheet'!$A:$BD,AB1,0)</f>
        <v>0</v>
      </c>
      <c r="AD7" s="247">
        <f>VLOOKUP($H$7&amp;$F$1,'Input RM sheet'!$A:$BD,AC1,0)</f>
        <v>0</v>
      </c>
      <c r="AE7" s="247">
        <f>VLOOKUP($H$7&amp;$F$1,'Input RM sheet'!$A:$BD,AD1,0)</f>
        <v>0</v>
      </c>
      <c r="AF7" s="247">
        <f>VLOOKUP($H$7&amp;$F$1,'Input RM sheet'!$A:$BD,AE1,0)</f>
        <v>0</v>
      </c>
      <c r="AG7" s="247">
        <f>VLOOKUP($H$7&amp;$F$1,'Input RM sheet'!$A:$BD,AF1,0)</f>
        <v>0</v>
      </c>
      <c r="AH7" s="247">
        <f>VLOOKUP($H$7&amp;$F$1,'Input RM sheet'!$A:$BD,AG1,0)</f>
        <v>0</v>
      </c>
      <c r="AI7" s="247">
        <f>VLOOKUP($H$7&amp;$F$1,'Input RM sheet'!$A:$BD,AH1,0)</f>
        <v>0</v>
      </c>
      <c r="AJ7" s="247">
        <f>VLOOKUP($H$7&amp;$F$1,'Input RM sheet'!$A:$BD,AI1,0)</f>
        <v>0</v>
      </c>
      <c r="AK7" s="247">
        <f>VLOOKUP($H$7&amp;$F$1,'Input RM sheet'!$A:$BD,AJ1,0)</f>
        <v>0</v>
      </c>
      <c r="AL7" s="247">
        <f>VLOOKUP($H$7&amp;$F$1,'Input RM sheet'!$A:$BD,AK1,0)</f>
        <v>1.7131056570795049</v>
      </c>
      <c r="AM7" s="247">
        <f>VLOOKUP($H$7&amp;$F$1,'Input RM sheet'!$A:$BD,AL1,0)</f>
        <v>1.544229644351645</v>
      </c>
      <c r="AN7" s="247">
        <f>VLOOKUP($H$7&amp;$F$1,'Input RM sheet'!$A:$BD,AM1,0)</f>
        <v>1.5505426032460807</v>
      </c>
      <c r="AO7" s="247">
        <f>VLOOKUP($H$7&amp;$F$1,'Input RM sheet'!$A:$BD,AN1,0)</f>
        <v>1.420320796476471</v>
      </c>
      <c r="AP7" s="247">
        <f>VLOOKUP($H$7&amp;$F$1,'Input RM sheet'!$A:$BD,AO1,0)</f>
        <v>1.5630291188559966</v>
      </c>
      <c r="AQ7" s="247">
        <f>VLOOKUP($H$7&amp;$F$1,'Input RM sheet'!$A:$BD,AP1,0)</f>
        <v>1.6738041049341184</v>
      </c>
      <c r="AR7" s="247">
        <f>VLOOKUP($H$7&amp;$F$1,'Input RM sheet'!$A:$BD,AQ1,0)</f>
        <v>1.5184075636303758</v>
      </c>
      <c r="AS7" s="247">
        <f>VLOOKUP($H$7&amp;$F$1,'Input RM sheet'!$A:$BD,AR1,0)</f>
        <v>1.5220619453065469</v>
      </c>
      <c r="AT7" s="247">
        <f>VLOOKUP($H$7&amp;$F$1,'Input RM sheet'!$A:$BD,AS1,0)</f>
        <v>1.4183734333962685</v>
      </c>
      <c r="AU7" s="247">
        <f>VLOOKUP($H$7&amp;$F$1,'Input RM sheet'!$A:$BD,AT1,0)</f>
        <v>1.3139624192251604</v>
      </c>
      <c r="AV7" s="247">
        <f>VLOOKUP($H$7&amp;$F$1,'Input RM sheet'!$A:$BD,AU1,0)</f>
        <v>1.2968565536615497</v>
      </c>
      <c r="AW7" s="247">
        <f>VLOOKUP($H$7&amp;$F$1,'Input RM sheet'!$A:$BD,AV1,0)</f>
        <v>1.1390842519709425</v>
      </c>
      <c r="AX7" s="247">
        <f>VLOOKUP($H$7&amp;$F$1,'Input RM sheet'!$A:$BD,AW1,0)</f>
        <v>1.1203030303030304</v>
      </c>
    </row>
    <row r="8" spans="1:51">
      <c r="A8" s="84"/>
      <c r="B8" s="84"/>
      <c r="C8" s="84"/>
      <c r="D8" s="246"/>
      <c r="E8" s="246"/>
      <c r="F8" s="84"/>
      <c r="H8" s="44"/>
      <c r="I8" s="247"/>
      <c r="J8" s="247"/>
      <c r="K8" s="247"/>
      <c r="L8" s="247"/>
      <c r="M8" s="247"/>
      <c r="N8" s="247"/>
      <c r="O8" s="247"/>
      <c r="P8" s="247"/>
      <c r="Q8" s="247"/>
      <c r="R8" s="247"/>
      <c r="S8" s="247"/>
      <c r="T8" s="247"/>
      <c r="U8" s="247"/>
      <c r="V8" s="247"/>
      <c r="W8" s="247"/>
      <c r="X8" s="247"/>
      <c r="Y8" s="247"/>
      <c r="Z8" s="247"/>
      <c r="AA8" s="247"/>
      <c r="AB8" s="247"/>
      <c r="AC8" s="247"/>
      <c r="AD8" s="247"/>
      <c r="AE8" s="247"/>
      <c r="AF8" s="247"/>
      <c r="AG8" s="247"/>
      <c r="AH8" s="247"/>
      <c r="AI8" s="247"/>
      <c r="AJ8" s="247"/>
      <c r="AK8" s="247"/>
      <c r="AL8" s="247"/>
      <c r="AM8" s="247"/>
      <c r="AN8" s="247"/>
      <c r="AO8" s="247"/>
      <c r="AP8" s="247"/>
      <c r="AQ8" s="247"/>
      <c r="AR8" s="247"/>
      <c r="AS8" s="247"/>
      <c r="AT8" s="247"/>
      <c r="AU8" s="247"/>
      <c r="AV8" s="247"/>
      <c r="AW8" s="247"/>
      <c r="AX8" s="247"/>
    </row>
    <row r="9" spans="1:51">
      <c r="A9" s="84"/>
      <c r="B9" s="84"/>
      <c r="C9" s="84"/>
      <c r="D9" s="246"/>
      <c r="E9" s="246"/>
      <c r="F9" s="84"/>
      <c r="H9" s="44"/>
      <c r="I9" s="247"/>
      <c r="J9" s="247"/>
      <c r="K9" s="247"/>
      <c r="L9" s="247"/>
      <c r="M9" s="247"/>
      <c r="N9" s="247"/>
      <c r="O9" s="247"/>
      <c r="P9" s="247"/>
      <c r="Q9" s="247"/>
      <c r="R9" s="247"/>
      <c r="S9" s="247"/>
      <c r="T9" s="247"/>
      <c r="U9" s="247"/>
      <c r="V9" s="247"/>
      <c r="W9" s="247"/>
      <c r="X9" s="247"/>
      <c r="Y9" s="247"/>
      <c r="Z9" s="247"/>
      <c r="AA9" s="247"/>
      <c r="AB9" s="247"/>
      <c r="AC9" s="247"/>
      <c r="AD9" s="247"/>
      <c r="AE9" s="247"/>
      <c r="AF9" s="247"/>
      <c r="AG9" s="247"/>
      <c r="AH9" s="247"/>
      <c r="AI9" s="247"/>
      <c r="AJ9" s="247"/>
      <c r="AK9" s="247"/>
      <c r="AL9" s="247"/>
      <c r="AM9" s="247"/>
      <c r="AN9" s="247"/>
      <c r="AO9" s="247"/>
      <c r="AP9" s="247"/>
      <c r="AQ9" s="247"/>
      <c r="AR9" s="247"/>
      <c r="AS9" s="247"/>
      <c r="AT9" s="247"/>
      <c r="AU9" s="247"/>
      <c r="AV9" s="247"/>
      <c r="AW9" s="247"/>
      <c r="AX9" s="247"/>
    </row>
    <row r="10" spans="1:51">
      <c r="H10" s="178"/>
      <c r="I10" s="74"/>
      <c r="J10" s="74"/>
      <c r="K10" s="74"/>
      <c r="L10" s="74"/>
      <c r="M10" s="74"/>
      <c r="N10" s="74"/>
      <c r="O10" s="7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103"/>
      <c r="AW10" s="65"/>
    </row>
    <row r="11" spans="1:51" ht="26">
      <c r="A11" s="59" t="s">
        <v>395</v>
      </c>
      <c r="B11" s="59"/>
      <c r="C11" s="59" t="s">
        <v>379</v>
      </c>
      <c r="D11" s="98" t="s">
        <v>380</v>
      </c>
      <c r="E11" s="98" t="s">
        <v>381</v>
      </c>
      <c r="F11" s="59" t="s">
        <v>396</v>
      </c>
      <c r="H11" s="60" t="s">
        <v>399</v>
      </c>
      <c r="I11" s="84"/>
      <c r="J11" s="84"/>
      <c r="K11" s="84"/>
      <c r="L11" s="84"/>
      <c r="M11" s="84"/>
      <c r="N11" s="84"/>
      <c r="O11" s="84"/>
      <c r="P11" s="84"/>
      <c r="Q11" s="84"/>
      <c r="R11" s="84"/>
      <c r="S11" s="84"/>
      <c r="T11" s="84"/>
      <c r="U11" s="84"/>
      <c r="V11" s="84"/>
      <c r="W11" s="84"/>
      <c r="X11" s="84"/>
      <c r="Y11" s="84"/>
      <c r="Z11" s="84"/>
      <c r="AA11" s="84"/>
      <c r="AB11" s="84"/>
      <c r="AC11" s="84"/>
      <c r="AD11" s="84"/>
      <c r="AE11" s="84"/>
      <c r="AF11" s="84"/>
      <c r="AG11" s="84"/>
      <c r="AH11" s="84"/>
      <c r="AI11" s="84"/>
      <c r="AJ11" s="84"/>
      <c r="AK11" s="84"/>
      <c r="AL11" s="84"/>
      <c r="AM11" s="84"/>
      <c r="AN11" s="84"/>
      <c r="AO11" s="84"/>
      <c r="AP11" s="84"/>
      <c r="AQ11" s="84"/>
      <c r="AR11" s="84"/>
      <c r="AS11" s="84"/>
      <c r="AT11" s="84"/>
      <c r="AU11" s="84"/>
    </row>
    <row r="12" spans="1:51" ht="13">
      <c r="A12" s="107" t="s">
        <v>397</v>
      </c>
      <c r="B12" s="44" t="s">
        <v>97</v>
      </c>
      <c r="C12" s="60">
        <v>1</v>
      </c>
      <c r="D12" s="74">
        <v>44.05</v>
      </c>
      <c r="E12" s="65">
        <f>D12*C12</f>
        <v>44.05</v>
      </c>
      <c r="F12" s="65" t="e">
        <f>E12/E2</f>
        <v>#DIV/0!</v>
      </c>
      <c r="G12" s="107" t="s">
        <v>725</v>
      </c>
      <c r="H12" s="107" t="s">
        <v>726</v>
      </c>
      <c r="I12" s="70">
        <v>2000</v>
      </c>
      <c r="J12" s="74"/>
      <c r="K12" s="74"/>
      <c r="L12" s="74"/>
      <c r="M12" s="74"/>
      <c r="N12" s="74"/>
      <c r="O12" s="74"/>
      <c r="P12" s="74"/>
      <c r="Q12" s="74"/>
      <c r="R12" s="74"/>
      <c r="S12" s="74"/>
      <c r="T12" s="74"/>
      <c r="U12" s="74"/>
      <c r="V12" s="74"/>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row>
    <row r="13" spans="1:51" ht="13">
      <c r="A13" s="67"/>
      <c r="B13" s="100"/>
      <c r="D13" s="74"/>
      <c r="E13" s="65"/>
      <c r="F13" s="65"/>
      <c r="G13" s="107" t="s">
        <v>43</v>
      </c>
      <c r="H13" s="107" t="s">
        <v>727</v>
      </c>
      <c r="I13" s="70">
        <v>10000</v>
      </c>
      <c r="J13" s="74"/>
      <c r="K13" s="74"/>
      <c r="L13" s="74"/>
      <c r="M13" s="74"/>
      <c r="N13" s="74"/>
      <c r="O13" s="74"/>
      <c r="P13" s="74"/>
      <c r="Q13" s="74"/>
      <c r="R13" s="74"/>
      <c r="S13" s="74"/>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row>
    <row r="14" spans="1:51" ht="13">
      <c r="A14" s="67"/>
      <c r="B14" s="100"/>
      <c r="D14" s="74"/>
      <c r="E14" s="65"/>
      <c r="F14" s="65"/>
      <c r="G14" s="107" t="s">
        <v>43</v>
      </c>
      <c r="H14" s="107" t="s">
        <v>728</v>
      </c>
      <c r="I14" s="70">
        <f>I7+I12+I13</f>
        <v>84000</v>
      </c>
      <c r="J14" s="70"/>
      <c r="K14" s="70"/>
      <c r="L14" s="70"/>
      <c r="M14" s="70"/>
      <c r="N14" s="70"/>
      <c r="O14" s="70"/>
      <c r="P14" s="70"/>
      <c r="Q14" s="70"/>
      <c r="R14" s="70"/>
      <c r="S14" s="70"/>
      <c r="T14" s="70"/>
      <c r="U14" s="70"/>
      <c r="V14" s="70"/>
      <c r="W14" s="70"/>
      <c r="X14" s="70"/>
      <c r="Y14" s="70"/>
      <c r="Z14" s="70"/>
      <c r="AA14" s="70"/>
      <c r="AB14" s="70"/>
      <c r="AC14" s="70"/>
      <c r="AD14" s="70"/>
      <c r="AE14" s="70"/>
      <c r="AF14" s="70"/>
      <c r="AG14" s="70"/>
      <c r="AH14" s="70"/>
      <c r="AI14" s="70"/>
      <c r="AJ14" s="70"/>
      <c r="AK14" s="70"/>
      <c r="AL14" s="70"/>
      <c r="AM14" s="70"/>
      <c r="AN14" s="70"/>
      <c r="AO14" s="70"/>
      <c r="AP14" s="70"/>
      <c r="AQ14" s="70"/>
      <c r="AR14" s="70"/>
      <c r="AS14" s="70"/>
      <c r="AT14" s="70"/>
      <c r="AU14" s="70"/>
      <c r="AV14" s="70"/>
      <c r="AW14" s="70"/>
      <c r="AX14" s="70"/>
    </row>
    <row r="15" spans="1:51" ht="13">
      <c r="A15" s="67"/>
      <c r="B15" s="100"/>
      <c r="D15" s="74"/>
      <c r="E15" s="65"/>
      <c r="F15" s="65"/>
      <c r="G15" s="107" t="s">
        <v>34</v>
      </c>
      <c r="H15" s="107" t="s">
        <v>729</v>
      </c>
      <c r="I15" s="70">
        <v>115</v>
      </c>
      <c r="J15" s="70"/>
      <c r="K15" s="70"/>
      <c r="L15" s="70"/>
      <c r="M15" s="70"/>
      <c r="N15" s="70"/>
      <c r="O15" s="70"/>
      <c r="P15" s="70"/>
      <c r="Q15" s="70"/>
      <c r="R15" s="70"/>
      <c r="S15" s="70"/>
      <c r="T15" s="70"/>
      <c r="U15" s="70"/>
      <c r="V15" s="70"/>
      <c r="W15" s="70"/>
      <c r="X15" s="70"/>
      <c r="Y15" s="70"/>
      <c r="Z15" s="70"/>
      <c r="AA15" s="70"/>
      <c r="AB15" s="70"/>
      <c r="AC15" s="70"/>
      <c r="AD15" s="70"/>
      <c r="AE15" s="70"/>
      <c r="AF15" s="70"/>
      <c r="AG15" s="70"/>
      <c r="AH15" s="70"/>
      <c r="AI15" s="70"/>
      <c r="AJ15" s="70"/>
      <c r="AK15" s="70"/>
      <c r="AL15" s="70"/>
      <c r="AM15" s="70"/>
      <c r="AN15" s="70"/>
      <c r="AO15" s="70"/>
      <c r="AP15" s="70"/>
      <c r="AQ15" s="70"/>
      <c r="AR15" s="70"/>
      <c r="AS15" s="70"/>
      <c r="AT15" s="70"/>
      <c r="AU15" s="70"/>
      <c r="AV15" s="70"/>
      <c r="AW15" s="70"/>
      <c r="AX15" s="70"/>
    </row>
    <row r="16" spans="1:51" ht="13">
      <c r="A16" s="67"/>
      <c r="B16" s="100"/>
      <c r="D16" s="74"/>
      <c r="E16" s="65"/>
      <c r="F16" s="65"/>
      <c r="G16" s="107" t="s">
        <v>730</v>
      </c>
      <c r="H16" s="107" t="s">
        <v>731</v>
      </c>
      <c r="I16" s="70">
        <v>40</v>
      </c>
      <c r="J16" s="70"/>
      <c r="K16" s="70"/>
      <c r="L16" s="70"/>
      <c r="M16" s="70"/>
      <c r="N16" s="70"/>
      <c r="O16" s="70"/>
      <c r="P16" s="70"/>
      <c r="Q16" s="70"/>
      <c r="R16" s="70"/>
      <c r="S16" s="70"/>
      <c r="T16" s="70"/>
      <c r="U16" s="70"/>
      <c r="V16" s="70"/>
      <c r="W16" s="70"/>
      <c r="X16" s="70"/>
      <c r="Y16" s="70"/>
      <c r="Z16" s="70"/>
      <c r="AA16" s="70"/>
      <c r="AB16" s="70"/>
      <c r="AC16" s="70"/>
      <c r="AD16" s="70"/>
      <c r="AE16" s="70"/>
      <c r="AF16" s="70"/>
      <c r="AG16" s="70"/>
      <c r="AH16" s="70"/>
      <c r="AI16" s="70"/>
      <c r="AJ16" s="70"/>
      <c r="AK16" s="70"/>
      <c r="AL16" s="70"/>
      <c r="AM16" s="70"/>
      <c r="AN16" s="70"/>
      <c r="AO16" s="70"/>
      <c r="AP16" s="70"/>
      <c r="AQ16" s="70"/>
      <c r="AR16" s="70"/>
      <c r="AS16" s="70"/>
      <c r="AT16" s="70"/>
      <c r="AU16" s="70"/>
      <c r="AV16" s="70"/>
      <c r="AW16" s="70"/>
      <c r="AX16" s="70"/>
    </row>
    <row r="17" spans="1:50" ht="13">
      <c r="A17" s="67"/>
      <c r="B17" s="100"/>
      <c r="D17" s="74"/>
      <c r="E17" s="65"/>
      <c r="F17" s="65"/>
      <c r="G17" s="107" t="s">
        <v>43</v>
      </c>
      <c r="H17" s="107" t="s">
        <v>732</v>
      </c>
      <c r="I17" s="70">
        <f>I16*I15</f>
        <v>4600</v>
      </c>
      <c r="J17" s="70"/>
      <c r="K17" s="70"/>
      <c r="L17" s="70"/>
      <c r="M17" s="70"/>
      <c r="N17" s="70"/>
      <c r="O17" s="70"/>
      <c r="P17" s="70"/>
      <c r="Q17" s="70"/>
      <c r="R17" s="70"/>
      <c r="S17" s="70"/>
      <c r="T17" s="70"/>
      <c r="U17" s="70"/>
      <c r="V17" s="70"/>
      <c r="W17" s="70"/>
      <c r="X17" s="70"/>
      <c r="Y17" s="70"/>
      <c r="Z17" s="70"/>
      <c r="AA17" s="70"/>
      <c r="AB17" s="70"/>
      <c r="AC17" s="70"/>
      <c r="AD17" s="70"/>
      <c r="AE17" s="70"/>
      <c r="AF17" s="70"/>
      <c r="AG17" s="70"/>
      <c r="AH17" s="70"/>
      <c r="AI17" s="70"/>
      <c r="AJ17" s="70"/>
      <c r="AK17" s="70"/>
      <c r="AL17" s="70"/>
      <c r="AM17" s="70"/>
      <c r="AN17" s="70"/>
      <c r="AO17" s="70"/>
      <c r="AP17" s="70"/>
      <c r="AQ17" s="70"/>
      <c r="AR17" s="70"/>
      <c r="AS17" s="70"/>
      <c r="AT17" s="70"/>
      <c r="AU17" s="70"/>
      <c r="AV17" s="70"/>
      <c r="AW17" s="70"/>
      <c r="AX17" s="70"/>
    </row>
    <row r="18" spans="1:50" ht="13">
      <c r="A18" s="67"/>
      <c r="B18" s="100"/>
      <c r="D18" s="74"/>
      <c r="E18" s="65"/>
      <c r="F18" s="65"/>
      <c r="G18" s="107" t="s">
        <v>34</v>
      </c>
      <c r="H18" s="107" t="s">
        <v>733</v>
      </c>
      <c r="I18" s="70">
        <v>80</v>
      </c>
      <c r="J18" s="70"/>
      <c r="K18" s="70"/>
      <c r="L18" s="70"/>
      <c r="M18" s="70"/>
      <c r="N18" s="70"/>
      <c r="O18" s="70"/>
      <c r="P18" s="70"/>
      <c r="Q18" s="70"/>
      <c r="R18" s="70"/>
      <c r="S18" s="70"/>
      <c r="T18" s="70"/>
      <c r="U18" s="70"/>
      <c r="V18" s="70"/>
      <c r="W18" s="70"/>
      <c r="X18" s="70"/>
      <c r="Y18" s="70"/>
      <c r="Z18" s="70"/>
      <c r="AA18" s="70"/>
      <c r="AB18" s="70"/>
      <c r="AC18" s="70"/>
      <c r="AD18" s="70"/>
      <c r="AE18" s="70"/>
      <c r="AF18" s="70"/>
      <c r="AG18" s="70"/>
      <c r="AH18" s="70"/>
      <c r="AI18" s="70"/>
      <c r="AJ18" s="70"/>
      <c r="AK18" s="70"/>
      <c r="AL18" s="70"/>
      <c r="AM18" s="70"/>
      <c r="AN18" s="70"/>
      <c r="AO18" s="70"/>
      <c r="AP18" s="70"/>
      <c r="AQ18" s="70"/>
      <c r="AR18" s="70"/>
      <c r="AS18" s="70"/>
      <c r="AT18" s="70"/>
      <c r="AU18" s="70"/>
      <c r="AV18" s="70"/>
      <c r="AW18" s="70"/>
      <c r="AX18" s="70"/>
    </row>
    <row r="19" spans="1:50" ht="13">
      <c r="A19" s="67"/>
      <c r="B19" s="100"/>
      <c r="D19" s="74"/>
      <c r="E19" s="65"/>
      <c r="F19" s="65"/>
      <c r="G19" s="107" t="s">
        <v>730</v>
      </c>
      <c r="H19" s="107" t="s">
        <v>734</v>
      </c>
      <c r="I19" s="70">
        <v>86.9</v>
      </c>
      <c r="J19" s="70"/>
      <c r="K19" s="70"/>
      <c r="L19" s="70"/>
      <c r="M19" s="70"/>
      <c r="N19" s="70"/>
      <c r="O19" s="70"/>
      <c r="P19" s="70"/>
      <c r="Q19" s="70"/>
      <c r="R19" s="70"/>
      <c r="S19" s="70"/>
      <c r="T19" s="70"/>
      <c r="U19" s="70"/>
      <c r="V19" s="70"/>
      <c r="W19" s="70"/>
      <c r="X19" s="70"/>
      <c r="Y19" s="70"/>
      <c r="Z19" s="70"/>
      <c r="AA19" s="70"/>
      <c r="AB19" s="70"/>
      <c r="AC19" s="70"/>
      <c r="AD19" s="70"/>
      <c r="AE19" s="70"/>
      <c r="AF19" s="70"/>
      <c r="AG19" s="70"/>
      <c r="AH19" s="70"/>
      <c r="AI19" s="70"/>
      <c r="AJ19" s="70"/>
      <c r="AK19" s="70"/>
      <c r="AL19" s="70"/>
      <c r="AM19" s="70"/>
      <c r="AN19" s="70"/>
      <c r="AO19" s="70"/>
      <c r="AP19" s="70"/>
      <c r="AQ19" s="70"/>
      <c r="AR19" s="70"/>
      <c r="AS19" s="70"/>
      <c r="AT19" s="70"/>
      <c r="AU19" s="70"/>
      <c r="AV19" s="70"/>
      <c r="AW19" s="70"/>
      <c r="AX19" s="70"/>
    </row>
    <row r="20" spans="1:50" ht="13">
      <c r="G20" s="107" t="s">
        <v>43</v>
      </c>
      <c r="H20" s="107" t="s">
        <v>735</v>
      </c>
      <c r="I20" s="70">
        <f>I19*I18</f>
        <v>6952</v>
      </c>
    </row>
    <row r="21" spans="1:50" ht="13">
      <c r="G21" s="107" t="s">
        <v>736</v>
      </c>
      <c r="H21" s="107" t="s">
        <v>737</v>
      </c>
      <c r="I21" s="70">
        <v>10</v>
      </c>
    </row>
    <row r="22" spans="1:50" ht="13">
      <c r="G22" s="107" t="s">
        <v>738</v>
      </c>
      <c r="H22" s="107" t="s">
        <v>734</v>
      </c>
      <c r="I22" s="70">
        <v>95</v>
      </c>
    </row>
    <row r="23" spans="1:50" ht="13">
      <c r="G23" s="107" t="s">
        <v>43</v>
      </c>
      <c r="H23" s="107" t="s">
        <v>739</v>
      </c>
      <c r="I23" s="70">
        <f>I22*I21</f>
        <v>950</v>
      </c>
    </row>
    <row r="24" spans="1:50" ht="13">
      <c r="G24" s="107" t="s">
        <v>736</v>
      </c>
      <c r="H24" s="107" t="s">
        <v>740</v>
      </c>
      <c r="I24" s="70">
        <v>35</v>
      </c>
    </row>
    <row r="25" spans="1:50" ht="13">
      <c r="G25" s="107" t="s">
        <v>741</v>
      </c>
      <c r="H25" s="107" t="s">
        <v>734</v>
      </c>
      <c r="I25" s="70">
        <v>24</v>
      </c>
    </row>
    <row r="26" spans="1:50" ht="13">
      <c r="G26" s="107" t="s">
        <v>43</v>
      </c>
      <c r="H26" s="107" t="s">
        <v>742</v>
      </c>
      <c r="I26" s="70">
        <f>I25*I24</f>
        <v>840</v>
      </c>
    </row>
    <row r="27" spans="1:50" ht="13">
      <c r="G27" s="107" t="s">
        <v>725</v>
      </c>
      <c r="H27" s="107" t="s">
        <v>743</v>
      </c>
      <c r="I27" s="70">
        <f>I14-I17-I20-I23-I26</f>
        <v>70658</v>
      </c>
    </row>
    <row r="28" spans="1:50" ht="13">
      <c r="G28" s="107" t="s">
        <v>725</v>
      </c>
      <c r="H28" s="107" t="s">
        <v>744</v>
      </c>
      <c r="I28" s="70">
        <v>0</v>
      </c>
    </row>
    <row r="29" spans="1:50" ht="13">
      <c r="G29" s="107" t="s">
        <v>43</v>
      </c>
      <c r="H29" s="107" t="s">
        <v>745</v>
      </c>
      <c r="I29" s="70">
        <f>I27+I28</f>
        <v>70658</v>
      </c>
    </row>
    <row r="30" spans="1:50" ht="13">
      <c r="G30" s="107" t="s">
        <v>746</v>
      </c>
      <c r="H30" s="107" t="s">
        <v>747</v>
      </c>
      <c r="I30" s="70">
        <v>79</v>
      </c>
    </row>
    <row r="31" spans="1:50" ht="13">
      <c r="G31" s="107" t="s">
        <v>725</v>
      </c>
      <c r="H31" s="107" t="s">
        <v>748</v>
      </c>
      <c r="I31" s="70">
        <f>I29*100/I30</f>
        <v>89440.506329113923</v>
      </c>
    </row>
    <row r="32" spans="1:50" ht="13">
      <c r="G32" s="107" t="s">
        <v>725</v>
      </c>
      <c r="H32" s="107" t="s">
        <v>749</v>
      </c>
      <c r="I32" s="70">
        <v>2000</v>
      </c>
    </row>
    <row r="33" spans="7:9" ht="13">
      <c r="G33" s="107" t="s">
        <v>725</v>
      </c>
      <c r="H33" s="107" t="s">
        <v>750</v>
      </c>
      <c r="I33" s="70">
        <f>I31+I32</f>
        <v>91440.506329113923</v>
      </c>
    </row>
  </sheetData>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FH38"/>
  <sheetViews>
    <sheetView workbookViewId="0">
      <pane xSplit="9" ySplit="6" topLeftCell="DJ17" activePane="bottomRight" state="frozen"/>
      <selection pane="topRight" activeCell="J1" sqref="J1"/>
      <selection pane="bottomLeft" activeCell="A7" sqref="A7"/>
      <selection pane="bottomRight" activeCell="DR33" sqref="DR33"/>
    </sheetView>
  </sheetViews>
  <sheetFormatPr baseColWidth="10" defaultColWidth="22.6640625" defaultRowHeight="12"/>
  <cols>
    <col min="1" max="1" width="17.5" style="60" bestFit="1" customWidth="1"/>
    <col min="2" max="2" width="11.33203125" style="60" bestFit="1" customWidth="1"/>
    <col min="3" max="3" width="4.83203125" style="60" bestFit="1" customWidth="1"/>
    <col min="4" max="4" width="12.33203125" style="60" bestFit="1" customWidth="1"/>
    <col min="5" max="5" width="7.5" style="60" bestFit="1" customWidth="1"/>
    <col min="6" max="6" width="6" style="60" bestFit="1" customWidth="1"/>
    <col min="7" max="7" width="4.1640625" style="60" bestFit="1" customWidth="1"/>
    <col min="8" max="8" width="17.5" style="60" bestFit="1" customWidth="1"/>
    <col min="9" max="9" width="5.1640625" style="60" customWidth="1"/>
    <col min="10" max="10" width="5.5" style="60" customWidth="1"/>
    <col min="11" max="11" width="5.6640625" style="60" customWidth="1"/>
    <col min="12" max="12" width="5.33203125" style="60" customWidth="1"/>
    <col min="13" max="13" width="5.83203125" style="60" customWidth="1"/>
    <col min="14" max="14" width="5.1640625" style="60" customWidth="1"/>
    <col min="15" max="15" width="4.6640625" style="60" customWidth="1"/>
    <col min="16" max="18" width="5.5" style="60" customWidth="1"/>
    <col min="19" max="19" width="5.6640625" style="60" customWidth="1"/>
    <col min="20" max="20" width="5.5" style="60" customWidth="1"/>
    <col min="21" max="21" width="5.1640625" style="60" customWidth="1"/>
    <col min="22" max="22" width="5.5" style="60" customWidth="1"/>
    <col min="23" max="23" width="5.6640625" style="60" customWidth="1"/>
    <col min="24" max="24" width="5.33203125" style="60" customWidth="1"/>
    <col min="25" max="25" width="5.83203125" style="60" customWidth="1"/>
    <col min="26" max="26" width="5.1640625" style="60" customWidth="1"/>
    <col min="27" max="27" width="4.6640625" style="60" customWidth="1"/>
    <col min="28" max="30" width="5.5" style="60" customWidth="1"/>
    <col min="31" max="31" width="5.6640625" style="60" customWidth="1"/>
    <col min="32" max="34" width="5.5" style="60" customWidth="1"/>
    <col min="35" max="35" width="5.6640625" style="60" customWidth="1"/>
    <col min="36" max="36" width="5.5" style="60" customWidth="1"/>
    <col min="37" max="37" width="5.83203125" style="60" customWidth="1"/>
    <col min="38" max="42" width="5.5" style="60" customWidth="1"/>
    <col min="43" max="43" width="5.6640625" style="60" customWidth="1"/>
    <col min="44" max="46" width="5.5" style="60" customWidth="1"/>
    <col min="47" max="47" width="5.6640625" style="60" customWidth="1"/>
    <col min="48" max="48" width="5.33203125" style="60" customWidth="1"/>
    <col min="49" max="49" width="5.83203125" style="60" customWidth="1"/>
    <col min="50" max="50" width="5.1640625" style="60" customWidth="1"/>
    <col min="51" max="51" width="4.6640625" style="60" customWidth="1"/>
    <col min="52" max="54" width="7" style="60" customWidth="1"/>
    <col min="55" max="56" width="5.5" style="60" customWidth="1"/>
    <col min="57" max="58" width="5.83203125" style="60" customWidth="1"/>
    <col min="59" max="70" width="5.6640625" style="60" customWidth="1"/>
    <col min="71" max="74" width="5.5" style="60" customWidth="1"/>
    <col min="75" max="78" width="5.1640625" style="60" customWidth="1"/>
    <col min="79" max="82" width="5.5" style="60" customWidth="1"/>
    <col min="83" max="83" width="6.1640625" style="60" customWidth="1"/>
    <col min="84" max="86" width="5.6640625" style="60" customWidth="1"/>
    <col min="87" max="90" width="5.5" style="60" customWidth="1"/>
    <col min="91" max="95" width="6.33203125" style="60" customWidth="1"/>
    <col min="96" max="99" width="6.1640625" style="60" customWidth="1"/>
    <col min="100" max="100" width="5.5" style="60" customWidth="1"/>
    <col min="101" max="111" width="6" style="60" customWidth="1"/>
    <col min="112" max="115" width="5.6640625" style="60" bestFit="1" customWidth="1"/>
    <col min="116" max="119" width="6.1640625" style="60" bestFit="1" customWidth="1"/>
    <col min="120" max="123" width="5.83203125" style="60" bestFit="1" customWidth="1"/>
    <col min="124" max="161" width="5.1640625" style="60" bestFit="1" customWidth="1"/>
    <col min="162" max="164" width="3.33203125" style="60" bestFit="1" customWidth="1"/>
    <col min="165" max="16384" width="22.6640625" style="60"/>
  </cols>
  <sheetData>
    <row r="1" spans="1:164" ht="26">
      <c r="A1" s="59" t="s">
        <v>377</v>
      </c>
      <c r="B1" s="59" t="s">
        <v>378</v>
      </c>
      <c r="C1" s="59" t="s">
        <v>379</v>
      </c>
      <c r="D1" s="98" t="s">
        <v>380</v>
      </c>
      <c r="E1" s="98" t="s">
        <v>381</v>
      </c>
      <c r="F1" s="59" t="s">
        <v>43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c r="EM1" s="99">
        <v>141</v>
      </c>
      <c r="EN1" s="99">
        <v>142</v>
      </c>
      <c r="EO1" s="99">
        <v>143</v>
      </c>
      <c r="EP1" s="99">
        <v>144</v>
      </c>
      <c r="EQ1" s="99">
        <v>145</v>
      </c>
      <c r="ER1" s="99">
        <v>146</v>
      </c>
      <c r="ES1" s="99">
        <v>147</v>
      </c>
      <c r="ET1" s="99">
        <v>148</v>
      </c>
      <c r="EU1" s="99">
        <v>149</v>
      </c>
      <c r="EV1" s="99">
        <v>150</v>
      </c>
      <c r="EW1" s="99">
        <v>151</v>
      </c>
      <c r="EX1" s="99">
        <v>152</v>
      </c>
      <c r="EY1" s="99">
        <v>153</v>
      </c>
      <c r="EZ1" s="99">
        <v>154</v>
      </c>
      <c r="FA1" s="99">
        <v>155</v>
      </c>
      <c r="FB1" s="99">
        <v>156</v>
      </c>
      <c r="FC1" s="99">
        <v>157</v>
      </c>
      <c r="FD1" s="99">
        <v>158</v>
      </c>
      <c r="FE1" s="99">
        <v>159</v>
      </c>
      <c r="FF1" s="99">
        <v>160</v>
      </c>
      <c r="FG1" s="99">
        <v>161</v>
      </c>
      <c r="FH1" s="99">
        <v>162</v>
      </c>
    </row>
    <row r="2" spans="1:164" ht="15">
      <c r="A2" s="45"/>
      <c r="B2" s="112"/>
      <c r="C2" s="101"/>
      <c r="D2" s="112"/>
      <c r="K2" s="102"/>
      <c r="M2" s="102"/>
    </row>
    <row r="3" spans="1:164">
      <c r="A3" s="100"/>
      <c r="B3" s="64"/>
      <c r="D3" s="100"/>
      <c r="E3" s="64"/>
      <c r="F3" s="103"/>
    </row>
    <row r="4" spans="1:164">
      <c r="A4" s="64"/>
      <c r="B4" s="64"/>
      <c r="D4" s="64"/>
      <c r="E4" s="64"/>
      <c r="H4" s="60" t="s">
        <v>387</v>
      </c>
    </row>
    <row r="5" spans="1:164">
      <c r="A5" s="74"/>
      <c r="B5" s="74"/>
    </row>
    <row r="6" spans="1:164">
      <c r="A6" s="59"/>
      <c r="B6" s="59"/>
      <c r="C6" s="59"/>
      <c r="D6" s="98"/>
      <c r="E6" s="98"/>
      <c r="F6" s="59"/>
      <c r="H6" s="59" t="s">
        <v>416</v>
      </c>
      <c r="I6" s="59">
        <v>43831</v>
      </c>
      <c r="J6" s="59">
        <v>43862</v>
      </c>
      <c r="K6" s="59">
        <v>43891</v>
      </c>
      <c r="L6" s="59">
        <v>43922</v>
      </c>
      <c r="M6" s="59">
        <v>43952</v>
      </c>
      <c r="N6" s="59">
        <v>43983</v>
      </c>
      <c r="O6" s="59">
        <v>44013</v>
      </c>
      <c r="P6" s="59">
        <v>44044</v>
      </c>
      <c r="Q6" s="59">
        <v>44075</v>
      </c>
      <c r="R6" s="59">
        <v>44105</v>
      </c>
      <c r="S6" s="59">
        <v>44136</v>
      </c>
      <c r="T6" s="59">
        <v>44166</v>
      </c>
      <c r="U6" s="59">
        <v>44197</v>
      </c>
      <c r="V6" s="59">
        <v>44228</v>
      </c>
      <c r="W6" s="59">
        <v>44256</v>
      </c>
      <c r="X6" s="59">
        <v>44287</v>
      </c>
      <c r="Y6" s="59">
        <v>44317</v>
      </c>
      <c r="Z6" s="59">
        <v>44348</v>
      </c>
      <c r="AA6" s="59">
        <v>44378</v>
      </c>
      <c r="AB6" s="59">
        <v>44409</v>
      </c>
      <c r="AC6" s="59">
        <v>44440</v>
      </c>
      <c r="AD6" s="59">
        <v>44470</v>
      </c>
      <c r="AE6" s="59">
        <v>44501</v>
      </c>
      <c r="AF6" s="59">
        <v>44531</v>
      </c>
      <c r="AG6" s="59">
        <v>44562</v>
      </c>
      <c r="AH6" s="59">
        <v>44593</v>
      </c>
      <c r="AI6" s="59">
        <v>44621</v>
      </c>
      <c r="AJ6" s="59">
        <v>44652</v>
      </c>
      <c r="AK6" s="59">
        <v>44682</v>
      </c>
      <c r="AL6" s="59">
        <v>44713</v>
      </c>
      <c r="AM6" s="59">
        <v>44743</v>
      </c>
      <c r="AN6" s="59">
        <v>44774</v>
      </c>
      <c r="AO6" s="59">
        <v>44805</v>
      </c>
      <c r="AP6" s="59">
        <v>44835</v>
      </c>
      <c r="AQ6" s="59">
        <v>44866</v>
      </c>
      <c r="AR6" s="59">
        <v>44896</v>
      </c>
      <c r="AS6" s="59">
        <v>44927</v>
      </c>
      <c r="AT6" s="59">
        <v>44958</v>
      </c>
      <c r="AU6" s="59">
        <v>44986</v>
      </c>
      <c r="AV6" s="59">
        <v>45017</v>
      </c>
      <c r="AW6" s="59">
        <v>45047</v>
      </c>
      <c r="AX6" s="59">
        <v>45078</v>
      </c>
      <c r="AY6" s="59">
        <v>45108</v>
      </c>
      <c r="AZ6" s="59" t="s">
        <v>530</v>
      </c>
      <c r="BA6" s="59" t="s">
        <v>531</v>
      </c>
      <c r="BB6" s="59" t="s">
        <v>532</v>
      </c>
      <c r="BC6" s="59">
        <v>37104</v>
      </c>
      <c r="BD6" s="59">
        <v>37469</v>
      </c>
      <c r="BE6" s="59" t="s">
        <v>168</v>
      </c>
      <c r="BF6" s="59" t="s">
        <v>169</v>
      </c>
      <c r="BG6" s="59" t="s">
        <v>421</v>
      </c>
      <c r="BH6" s="59" t="s">
        <v>422</v>
      </c>
      <c r="BI6" s="59" t="s">
        <v>423</v>
      </c>
      <c r="BJ6" s="59" t="s">
        <v>424</v>
      </c>
      <c r="BK6" s="59" t="s">
        <v>435</v>
      </c>
      <c r="BL6" s="59" t="s">
        <v>436</v>
      </c>
      <c r="BM6" s="59" t="s">
        <v>437</v>
      </c>
      <c r="BN6" s="59" t="s">
        <v>438</v>
      </c>
      <c r="BO6" s="59">
        <v>37196</v>
      </c>
      <c r="BP6" s="59">
        <v>37561</v>
      </c>
      <c r="BQ6" s="59">
        <v>37926</v>
      </c>
      <c r="BR6" s="59">
        <v>38292</v>
      </c>
      <c r="BS6" s="59">
        <v>37226</v>
      </c>
      <c r="BT6" s="59">
        <v>37591</v>
      </c>
      <c r="BU6" s="59">
        <v>37956</v>
      </c>
      <c r="BV6" s="59">
        <v>38322</v>
      </c>
      <c r="BW6" s="59">
        <v>36892</v>
      </c>
      <c r="BX6" s="59">
        <v>37257</v>
      </c>
      <c r="BY6" s="59">
        <v>37622</v>
      </c>
      <c r="BZ6" s="59">
        <v>37987</v>
      </c>
      <c r="CA6" s="59">
        <v>36923</v>
      </c>
      <c r="CB6" s="59">
        <v>37288</v>
      </c>
      <c r="CC6" s="59">
        <v>37653</v>
      </c>
      <c r="CD6" s="59">
        <v>38018</v>
      </c>
      <c r="CE6" s="59" t="str">
        <f>Sheet8!A15</f>
        <v>Mar-w1</v>
      </c>
      <c r="CF6" s="59">
        <v>37316</v>
      </c>
      <c r="CG6" s="59">
        <v>37681</v>
      </c>
      <c r="CH6" s="59">
        <v>38047</v>
      </c>
      <c r="CI6" s="59" t="str">
        <f>Sheet8!E15</f>
        <v>Apr-w1</v>
      </c>
      <c r="CJ6" s="59" t="str">
        <f>Sheet8!F15</f>
        <v>Apr-w2</v>
      </c>
      <c r="CK6" s="59" t="str">
        <f>Sheet8!G15</f>
        <v>Apr-w3</v>
      </c>
      <c r="CL6" s="59" t="str">
        <f>Sheet8!H15</f>
        <v>Apr-w4</v>
      </c>
      <c r="CM6" s="59" t="str">
        <f>Sheet8!I15</f>
        <v>May-w1</v>
      </c>
      <c r="CN6" s="59" t="str">
        <f>Sheet8!J15</f>
        <v>May-w2</v>
      </c>
      <c r="CO6" s="59" t="str">
        <f>Sheet8!K15</f>
        <v>May-w3</v>
      </c>
      <c r="CP6" s="59" t="str">
        <f>Sheet8!L15</f>
        <v>May-w4</v>
      </c>
      <c r="CQ6" s="59" t="str">
        <f>Sheet8!M15</f>
        <v>May-w5</v>
      </c>
      <c r="CR6" s="59" t="str">
        <f>Sheet8!N15</f>
        <v>june-w1</v>
      </c>
      <c r="CS6" s="59" t="str">
        <f>Sheet8!O15</f>
        <v>june-w2</v>
      </c>
      <c r="CT6" s="59" t="str">
        <f>Sheet8!P15</f>
        <v>june-w3</v>
      </c>
      <c r="CU6" s="59" t="str">
        <f>Sheet8!Q15</f>
        <v>june-w4</v>
      </c>
      <c r="CV6" s="59" t="str">
        <f>Sheet8!R15</f>
        <v>Jul-w1</v>
      </c>
      <c r="CW6" s="59" t="str">
        <f>Sheet8!S15</f>
        <v>Jul-w2</v>
      </c>
      <c r="CX6" s="59" t="str">
        <f>Sheet8!T15</f>
        <v>Jul-w3</v>
      </c>
      <c r="CY6" s="59" t="str">
        <f>Sheet8!U15</f>
        <v>Jul-w4</v>
      </c>
      <c r="CZ6" s="59" t="str">
        <f>Sheet8!V15</f>
        <v>Aug-w1</v>
      </c>
      <c r="DA6" s="59" t="str">
        <f>Sheet8!W15</f>
        <v>Aug-w2</v>
      </c>
      <c r="DB6" s="59" t="str">
        <f>Sheet8!X15</f>
        <v>Aug-w3</v>
      </c>
      <c r="DC6" s="59" t="str">
        <f>Sheet8!Y15</f>
        <v>Aug-w4</v>
      </c>
      <c r="DD6" s="59" t="str">
        <f>Sheet8!Z15</f>
        <v>Sep-w1</v>
      </c>
      <c r="DE6" s="59" t="str">
        <f>Sheet8!AA15</f>
        <v>Sep-w2</v>
      </c>
      <c r="DF6" s="59" t="str">
        <f>Sheet8!AB15</f>
        <v>Sep-w3</v>
      </c>
      <c r="DG6" s="59" t="str">
        <f>Sheet8!AC15</f>
        <v>Sep-w4</v>
      </c>
      <c r="DH6" s="59" t="str">
        <f>Sheet8!AD15</f>
        <v>Oct-w1</v>
      </c>
      <c r="DI6" s="59" t="str">
        <f>Sheet8!AE15</f>
        <v>Oct-w2</v>
      </c>
      <c r="DJ6" s="59" t="str">
        <f>Sheet8!AF15</f>
        <v>Oct-w3</v>
      </c>
      <c r="DK6" s="59" t="str">
        <f>Sheet8!AG15</f>
        <v>Oct-w4</v>
      </c>
      <c r="DL6" s="59" t="str">
        <f>Sheet8!AH15</f>
        <v>Nov-w1</v>
      </c>
      <c r="DM6" s="59" t="str">
        <f>Sheet8!AI15</f>
        <v>Nov-w2</v>
      </c>
      <c r="DN6" s="59" t="str">
        <f>Sheet8!AJ15</f>
        <v>Nov-w3</v>
      </c>
      <c r="DO6" s="59" t="str">
        <f>Sheet8!AK15</f>
        <v>Nov-w4</v>
      </c>
      <c r="DP6" s="59" t="str">
        <f>Sheet8!AL15</f>
        <v>Dec-w1</v>
      </c>
      <c r="DQ6" s="59" t="str">
        <f>Sheet8!AM15</f>
        <v>Dec-w2</v>
      </c>
      <c r="DR6" s="59" t="str">
        <f>Sheet8!AN15</f>
        <v>Dec-w3</v>
      </c>
      <c r="DS6" s="59" t="str">
        <f>Sheet8!AO15</f>
        <v>Dec-w4</v>
      </c>
      <c r="DT6" s="59">
        <f>Sheet8!AP15</f>
        <v>0</v>
      </c>
      <c r="DU6" s="59">
        <f>Sheet8!AQ15</f>
        <v>0</v>
      </c>
      <c r="DV6" s="59">
        <f>Sheet8!AR15</f>
        <v>0</v>
      </c>
      <c r="DW6" s="59">
        <f>Sheet8!AS15</f>
        <v>0</v>
      </c>
      <c r="DX6" s="59">
        <f>Sheet8!AT15</f>
        <v>0</v>
      </c>
      <c r="DY6" s="59">
        <f>Sheet8!AU15</f>
        <v>0</v>
      </c>
      <c r="DZ6" s="59">
        <f>Sheet8!AV15</f>
        <v>0</v>
      </c>
      <c r="EA6" s="59">
        <f>Sheet8!AW15</f>
        <v>0</v>
      </c>
      <c r="EB6" s="59">
        <f>Sheet8!AX15</f>
        <v>0</v>
      </c>
      <c r="EC6" s="59">
        <f>Sheet8!AY15</f>
        <v>0</v>
      </c>
      <c r="ED6" s="59">
        <f>Sheet8!AZ15</f>
        <v>0</v>
      </c>
      <c r="EE6" s="59">
        <f>Sheet8!BA15</f>
        <v>0</v>
      </c>
      <c r="EF6" s="59">
        <f>Sheet8!BB15</f>
        <v>0</v>
      </c>
      <c r="EG6" s="59">
        <f>Sheet8!BC15</f>
        <v>0</v>
      </c>
      <c r="EH6" s="59">
        <f>Sheet8!BD15</f>
        <v>0</v>
      </c>
      <c r="EI6" s="59">
        <f>Sheet8!BE15</f>
        <v>0</v>
      </c>
      <c r="EJ6" s="59">
        <f>Sheet8!BF15</f>
        <v>0</v>
      </c>
      <c r="EK6" s="59">
        <f>Sheet8!BG15</f>
        <v>0</v>
      </c>
      <c r="EL6" s="59">
        <f>Sheet8!BH15</f>
        <v>0</v>
      </c>
      <c r="EM6" s="59">
        <f>Sheet8!BI15</f>
        <v>0</v>
      </c>
      <c r="EN6" s="59">
        <f>Sheet8!BJ15</f>
        <v>0</v>
      </c>
      <c r="EO6" s="59">
        <f>Sheet8!BK15</f>
        <v>0</v>
      </c>
      <c r="EP6" s="59">
        <f>Sheet8!BL15</f>
        <v>0</v>
      </c>
      <c r="EQ6" s="59">
        <f>Sheet8!BM15</f>
        <v>0</v>
      </c>
      <c r="ER6" s="59">
        <f>Sheet8!BN15</f>
        <v>0</v>
      </c>
      <c r="ES6" s="59">
        <f>Sheet8!BO15</f>
        <v>0</v>
      </c>
      <c r="ET6" s="59">
        <f>Sheet8!BP15</f>
        <v>0</v>
      </c>
      <c r="EU6" s="59">
        <f>Sheet8!BQ15</f>
        <v>0</v>
      </c>
      <c r="EV6" s="59">
        <f>Sheet8!BR15</f>
        <v>0</v>
      </c>
      <c r="EW6" s="59">
        <f>Sheet8!BS15</f>
        <v>0</v>
      </c>
      <c r="EX6" s="59">
        <f>Sheet8!BT15</f>
        <v>0</v>
      </c>
      <c r="EY6" s="59">
        <f>Sheet8!BU15</f>
        <v>0</v>
      </c>
      <c r="EZ6" s="59">
        <f>Sheet8!BV15</f>
        <v>0</v>
      </c>
      <c r="FA6" s="59">
        <f>Sheet8!BW15</f>
        <v>0</v>
      </c>
      <c r="FB6" s="59">
        <f>Sheet8!BX15</f>
        <v>0</v>
      </c>
      <c r="FC6" s="59">
        <f>Sheet8!BY15</f>
        <v>0</v>
      </c>
      <c r="FD6" s="59">
        <f>Sheet8!BZ15</f>
        <v>0</v>
      </c>
      <c r="FE6" s="59">
        <f>Sheet8!CA15</f>
        <v>0</v>
      </c>
    </row>
    <row r="7" spans="1:164">
      <c r="B7" s="44"/>
      <c r="D7" s="44"/>
      <c r="H7" s="178" t="s">
        <v>148</v>
      </c>
      <c r="I7" s="74">
        <f>VLOOKUP($H$7&amp;$F$1,'Input RM sheet'!$A:$BD,H1,0)</f>
        <v>0</v>
      </c>
      <c r="J7" s="74">
        <f>VLOOKUP($H$7&amp;$F$1,'Input RM sheet'!$A:$BD,I1,0)</f>
        <v>0</v>
      </c>
      <c r="K7" s="74">
        <f>VLOOKUP($H$7&amp;$F$1,'Input RM sheet'!$A:$BD,J1,0)</f>
        <v>0</v>
      </c>
      <c r="L7" s="74">
        <f>VLOOKUP($H$7&amp;$F$1,'Input RM sheet'!$A:$BD,K1,0)</f>
        <v>0</v>
      </c>
      <c r="M7" s="74">
        <f>VLOOKUP($H$7&amp;$F$1,'Input RM sheet'!$A:$BD,L1,0)</f>
        <v>0</v>
      </c>
      <c r="N7" s="74">
        <f>VLOOKUP($H$7&amp;$F$1,'Input RM sheet'!$A:$BD,M1,0)</f>
        <v>0</v>
      </c>
      <c r="O7" s="74">
        <f>VLOOKUP($H$7&amp;$F$1,'Input RM sheet'!$A:$BD,N1,0)</f>
        <v>0</v>
      </c>
      <c r="P7" s="74">
        <f>VLOOKUP($H$7&amp;$F$1,'Input RM sheet'!$A:$BD,O1,0)</f>
        <v>0</v>
      </c>
      <c r="Q7" s="74">
        <f>VLOOKUP($H$7&amp;$F$1,'Input RM sheet'!$A:$BD,P1,0)</f>
        <v>0</v>
      </c>
      <c r="R7" s="74">
        <f>VLOOKUP($H$7&amp;$F$1,'Input RM sheet'!$A:$BD,Q1,0)</f>
        <v>0</v>
      </c>
      <c r="S7" s="74">
        <f>VLOOKUP($H$7&amp;$F$1,'Input RM sheet'!$A:$BD,R1,0)</f>
        <v>0</v>
      </c>
      <c r="T7" s="74">
        <f>VLOOKUP($H$7&amp;$F$1,'Input RM sheet'!$A:$BD,S1,0)</f>
        <v>0</v>
      </c>
      <c r="U7" s="74">
        <f>VLOOKUP($H$7&amp;$F$1,'Input RM sheet'!$A:$BD,T1,0)</f>
        <v>0</v>
      </c>
      <c r="V7" s="74">
        <f>VLOOKUP($H$7&amp;$F$1,'Input RM sheet'!$A:$BD,U1,0)</f>
        <v>0</v>
      </c>
      <c r="W7" s="74">
        <f>VLOOKUP($H$7&amp;$F$1,'Input RM sheet'!$A:$BD,V1,0)</f>
        <v>0</v>
      </c>
      <c r="X7" s="74">
        <f>VLOOKUP($H$7&amp;$F$1,'Input RM sheet'!$A:$BD,W1,0)</f>
        <v>0</v>
      </c>
      <c r="Y7" s="74">
        <f>VLOOKUP($H$7&amp;$F$1,'Input RM sheet'!$A:$BD,X1,0)</f>
        <v>0</v>
      </c>
      <c r="Z7" s="74">
        <f>VLOOKUP($H$7&amp;$F$1,'Input RM sheet'!$A:$BD,Y1,0)</f>
        <v>0</v>
      </c>
      <c r="AA7" s="74">
        <f>VLOOKUP($H$7&amp;$F$1,'Input RM sheet'!$A:$BD,Z1,0)</f>
        <v>0</v>
      </c>
      <c r="AB7" s="74">
        <f>VLOOKUP($H$7&amp;$F$1,'Input RM sheet'!$A:$BD,AA1,0)</f>
        <v>0</v>
      </c>
      <c r="AC7" s="74">
        <f>VLOOKUP($H$7&amp;$F$1,'Input RM sheet'!$A:$BD,AB1,0)</f>
        <v>0</v>
      </c>
      <c r="AD7" s="74">
        <f>VLOOKUP($H$7&amp;$F$1,'Input RM sheet'!$A:$BD,AC1,0)</f>
        <v>107</v>
      </c>
      <c r="AE7" s="74">
        <f>VLOOKUP($H$7&amp;$F$1,'Input RM sheet'!$A:$BD,AD1,0)</f>
        <v>105.15384615384616</v>
      </c>
      <c r="AF7" s="74">
        <f>VLOOKUP($H$7&amp;$F$1,'Input RM sheet'!$A:$BD,AE1,0)</f>
        <v>104</v>
      </c>
      <c r="AG7" s="74">
        <f>VLOOKUP($H$7&amp;$F$1,'Input RM sheet'!$A:$BD,AF1,0)</f>
        <v>93.591818181818184</v>
      </c>
      <c r="AH7" s="74">
        <f>VLOOKUP($H$7&amp;$F$1,'Input RM sheet'!$A:$BD,AG1,0)</f>
        <v>98</v>
      </c>
      <c r="AI7" s="74">
        <f>VLOOKUP($H$7&amp;$F$1,'Input RM sheet'!$A:$BD,AH1,0)</f>
        <v>110.61481481481482</v>
      </c>
      <c r="AJ7" s="74">
        <f>VLOOKUP($H$7&amp;$F$1,'Input RM sheet'!$A:$BD,AI1,0)</f>
        <v>89.7</v>
      </c>
      <c r="AK7" s="74">
        <f>VLOOKUP($H$7&amp;$F$1,'Input RM sheet'!$A:$BD,AJ1,0)</f>
        <v>89.7</v>
      </c>
      <c r="AL7" s="74">
        <f>VLOOKUP($H$7&amp;$F$1,'Input RM sheet'!$A:$BD,AK1,0)</f>
        <v>109.15</v>
      </c>
      <c r="AM7" s="74">
        <f>VLOOKUP($H$7&amp;$F$1,'Input RM sheet'!$A:$BD,AL1,0)</f>
        <v>106.125</v>
      </c>
      <c r="AN7" s="74">
        <f>VLOOKUP($H$7&amp;$F$1,'Input RM sheet'!$A:$BD,AM1,0)</f>
        <v>99.473684210526315</v>
      </c>
      <c r="AO7" s="74">
        <f>VLOOKUP($H$7&amp;$F$1,'Input RM sheet'!$A:$BD,AN1,0)</f>
        <v>99.473684210526315</v>
      </c>
      <c r="AP7" s="74">
        <f>VLOOKUP($H$7&amp;$F$1,'Input RM sheet'!$A:$BD,AO1,0)</f>
        <v>99.473684210526315</v>
      </c>
      <c r="AQ7" s="74">
        <f>VLOOKUP($H$7&amp;$F$1,'Input RM sheet'!$A:$BD,AP1,0)</f>
        <v>99.473684210526315</v>
      </c>
      <c r="AR7" s="74">
        <f>VLOOKUP($H$7&amp;$F$1,'Input RM sheet'!$A:$BD,AQ1,0)</f>
        <v>99.473684210526315</v>
      </c>
      <c r="AS7" s="74">
        <f>VLOOKUP($H$7&amp;$F$1,'Input RM sheet'!$A:$BD,AR1,0)</f>
        <v>99.473684210526315</v>
      </c>
      <c r="AT7" s="74">
        <f>VLOOKUP($H$7&amp;$F$1,'Input RM sheet'!$A:$BD,AS1,0)</f>
        <v>99.473684210526315</v>
      </c>
      <c r="AU7" s="74">
        <f>VLOOKUP($H$7&amp;$F$1,'Input RM sheet'!$A:$BD,AT1,0)</f>
        <v>81.666666666666671</v>
      </c>
      <c r="AV7" s="74">
        <f>VLOOKUP($H$7&amp;$F$1,'Input RM sheet'!$A:$BD,AU1,0)</f>
        <v>80</v>
      </c>
      <c r="AW7" s="74">
        <f>VLOOKUP($H$7&amp;$F$1,'Input RM sheet'!$A:$BD,AV1,0)</f>
        <v>80</v>
      </c>
      <c r="AX7" s="74">
        <f>VLOOKUP($H$7&amp;$F$1,'Input RM sheet'!$A:$BD,AW1,0)</f>
        <v>90</v>
      </c>
      <c r="AY7" s="74">
        <f>VLOOKUP($H$7&amp;$F$1,'Input RM sheet'!$A:$BD,AX1,0)</f>
        <v>87.272244897959183</v>
      </c>
      <c r="AZ7" s="74">
        <f>VLOOKUP($H$7&amp;$F$1,'Input RM sheet'!$A:$BD,AY1,0)</f>
        <v>87.272244897959183</v>
      </c>
      <c r="BA7" s="74">
        <f>VLOOKUP($H$7&amp;$F$1,'Input RM sheet'!$A:$BD,AZ1,0)</f>
        <v>87.272244897959183</v>
      </c>
      <c r="BB7" s="74">
        <f>VLOOKUP($H$7&amp;$F$1,'Input RM sheet'!$A:$BD,BA1,0)</f>
        <v>87.272244897959183</v>
      </c>
      <c r="BC7" s="74">
        <f>VLOOKUP($H$7&amp;$F$1,'Input RM sheet'!$A:$BD,BB1,0)</f>
        <v>71.955262008733627</v>
      </c>
      <c r="BD7" s="74">
        <f>VLOOKUP($H$7&amp;$F$1,'Input RM sheet'!$A:$BD,BC1,0)</f>
        <v>71.955262008733627</v>
      </c>
      <c r="BE7" s="74">
        <f>VLOOKUP($H$7&amp;$F$1,'Input RM sheet'!$A:$BD,BD1,0)</f>
        <v>71.955262008733627</v>
      </c>
      <c r="BF7" s="74">
        <f>VLOOKUP($H$7&amp;$F$1,'Input RM sheet'!$A:$BD,BE1,0)</f>
        <v>71.955262008733627</v>
      </c>
      <c r="BG7" s="74">
        <f>VLOOKUP($H$7&amp;$F$1,'Input RM sheet'!$A:$BD,BF1,0)</f>
        <v>95.910714285714292</v>
      </c>
      <c r="BH7" s="74">
        <f>VLOOKUP($H$7&amp;$F$1,'Input RM sheet'!$A:$DD,BG1,0)</f>
        <v>95.910714285714292</v>
      </c>
      <c r="BI7" s="74">
        <f>VLOOKUP($H$7&amp;$F$1,'Input RM sheet'!$A:$DD,BH1,0)</f>
        <v>95.910714285714292</v>
      </c>
      <c r="BJ7" s="74">
        <f>VLOOKUP($H$7&amp;$F$1,'Input RM sheet'!$A:$DD,BI1,0)</f>
        <v>95.910714285714292</v>
      </c>
      <c r="BK7" s="74">
        <f>VLOOKUP($H$7&amp;$F$1,'Input RM sheet'!$A:$DD,BJ1,0)</f>
        <v>86</v>
      </c>
      <c r="BL7" s="74">
        <f>VLOOKUP($H$7&amp;$F$1,'Input RM sheet'!$A:$DD,BK1,0)</f>
        <v>86</v>
      </c>
      <c r="BM7" s="74">
        <f>VLOOKUP($H$7&amp;$F$1,'Input RM sheet'!$A:$DD,BL1,0)</f>
        <v>80</v>
      </c>
      <c r="BN7" s="74">
        <f>VLOOKUP($H$7&amp;$F$1,'Input RM sheet'!$A:$DD,BM1,0)</f>
        <v>80</v>
      </c>
      <c r="BO7" s="74">
        <f>VLOOKUP($H$7&amp;$F$1,'Input RM sheet'!$A:$DD,BN1,0)</f>
        <v>72.5</v>
      </c>
      <c r="BP7" s="74">
        <f>VLOOKUP($H$7&amp;$F$1,'Input RM sheet'!$A:$DD,BO1,0)</f>
        <v>72.5</v>
      </c>
      <c r="BQ7" s="74">
        <f>VLOOKUP($H$7&amp;$F$1,'Input RM sheet'!$A:$DD,BP1,0)</f>
        <v>72.5</v>
      </c>
      <c r="BR7" s="74">
        <f>VLOOKUP($H$7&amp;$F$1,'Input RM sheet'!$A:$DD,BQ1,0)</f>
        <v>76</v>
      </c>
      <c r="BS7" s="74">
        <f>VLOOKUP($H$7&amp;$F$1,'Input RM sheet'!$A:$DD,BR1,0)</f>
        <v>71.5</v>
      </c>
      <c r="BT7" s="74">
        <f>VLOOKUP($H$7&amp;$F$1,'Input RM sheet'!$A:$DD,BS1,0)</f>
        <v>71.5</v>
      </c>
      <c r="BU7" s="74">
        <f>VLOOKUP($H$7&amp;$F$1,'Input RM sheet'!$A:$DD,BT1,0)</f>
        <v>73</v>
      </c>
      <c r="BV7" s="74">
        <f>VLOOKUP($H$7&amp;$F$1,'Input RM sheet'!$A:$DD,BU1,0)</f>
        <v>75</v>
      </c>
      <c r="BW7" s="74">
        <f>VLOOKUP($H$7&amp;$F$1,'Input RM sheet'!$A:$DD,BV1,0)</f>
        <v>75</v>
      </c>
      <c r="BX7" s="74">
        <f>VLOOKUP($H$7&amp;$F$1,'Input RM sheet'!$A:$DD,BW1,0)</f>
        <v>80</v>
      </c>
      <c r="BY7" s="74">
        <f>VLOOKUP($H$7&amp;$F$1,'Input RM sheet'!$A:$DD,BX1,0)</f>
        <v>80</v>
      </c>
      <c r="BZ7" s="74">
        <f>VLOOKUP($H$7&amp;$F$1,'Input RM sheet'!$A:$DD,BY1,0)</f>
        <v>80</v>
      </c>
      <c r="CA7" s="74">
        <f>VLOOKUP($H$7&amp;$F$1,'Input RM sheet'!$A:$DD,BZ1,0)</f>
        <v>79</v>
      </c>
      <c r="CB7" s="74">
        <f>VLOOKUP($H$7&amp;$F$1,'Input RM sheet'!$A:$DD,CA1,0)</f>
        <v>79</v>
      </c>
      <c r="CC7" s="74">
        <f>VLOOKUP($H$7&amp;$F$1,'Input RM sheet'!$A:$DD,CB1,0)</f>
        <v>84</v>
      </c>
      <c r="CD7" s="74">
        <f>VLOOKUP($H$7&amp;$F$1,'Input RM sheet'!$A:$DD,CC1,0)</f>
        <v>84</v>
      </c>
      <c r="CE7" s="74">
        <f>VLOOKUP($H$7&amp;$F$1,'Input RM sheet'!$A:$DD,CD1,0)</f>
        <v>90</v>
      </c>
      <c r="CF7" s="74">
        <f>VLOOKUP($H$7&amp;$F$1,'Input RM sheet'!$A:$DD,CE1,0)</f>
        <v>92</v>
      </c>
      <c r="CG7" s="74">
        <f>VLOOKUP($H$7&amp;$F$1,'Input RM sheet'!$A:$DD,CF1,0)</f>
        <v>92.5</v>
      </c>
      <c r="CH7" s="74">
        <f>VLOOKUP($H$7&amp;$F$1,'Input RM sheet'!$A:$DD,CG1,0)</f>
        <v>88</v>
      </c>
      <c r="CI7" s="74">
        <f>VLOOKUP($H$7&amp;$F$1,'Input RM sheet'!$A:$DD,CH1,0)</f>
        <v>88</v>
      </c>
      <c r="CJ7" s="74">
        <f>VLOOKUP($H$7&amp;$F$1,'Input RM sheet'!$A:$DD,CI1,0)</f>
        <v>88</v>
      </c>
      <c r="CK7" s="74">
        <f>VLOOKUP($H$7&amp;$F$1,'Input RM sheet'!$A:$DD,CJ1,0)</f>
        <v>88</v>
      </c>
      <c r="CL7" s="74">
        <f>VLOOKUP($H$7&amp;$F$1,'Input RM sheet'!$A:$DD,CK1,0)</f>
        <v>86</v>
      </c>
      <c r="CM7" s="74">
        <f>VLOOKUP($H$7&amp;$F$1,'Input RM sheet'!$A:$DD,CL1,0)</f>
        <v>81</v>
      </c>
      <c r="CN7" s="74">
        <f>VLOOKUP($H$7&amp;$F$1,'Input RM sheet'!$A:$DD,CM1,0)</f>
        <v>79</v>
      </c>
      <c r="CO7" s="74">
        <f>VLOOKUP($H$7&amp;$F$1,'Input RM sheet'!$A:$DD,CN1,0)</f>
        <v>83</v>
      </c>
      <c r="CP7" s="74">
        <f>VLOOKUP($H$7&amp;$F$1,'Input RM sheet'!$A:$DD,CO1,0)</f>
        <v>84</v>
      </c>
      <c r="CQ7" s="74">
        <f>VLOOKUP($H$7&amp;$F$1,'Input RM sheet'!$A:$DD,CP1,0)</f>
        <v>84</v>
      </c>
      <c r="CR7" s="74">
        <f>VLOOKUP($H$7&amp;$F$1,'Input RM sheet'!$A:$ZZ,CQ1,0)</f>
        <v>84</v>
      </c>
      <c r="CS7" s="74">
        <f>VLOOKUP($H$7&amp;$F$1,'Input RM sheet'!$A:$ZZ,CR1,0)</f>
        <v>86</v>
      </c>
      <c r="CT7" s="74">
        <f>VLOOKUP($H$7&amp;$F$1,'Input RM sheet'!$A:$ZZ,CS1,0)</f>
        <v>86</v>
      </c>
      <c r="CU7" s="74">
        <f>VLOOKUP($H$7&amp;$F$1,'Input RM sheet'!$A:$ZZ,CT1,0)</f>
        <v>86</v>
      </c>
      <c r="CV7" s="74">
        <f>VLOOKUP($H$7&amp;$F$1,'Input RM sheet'!$A:$ZZ,CU1,0)</f>
        <v>86</v>
      </c>
      <c r="CW7" s="74">
        <f>VLOOKUP($H$7&amp;$F$1,'Input RM sheet'!$A:$ZZ,CV1,0)</f>
        <v>79</v>
      </c>
      <c r="CX7" s="74">
        <f>VLOOKUP($H$7&amp;$F$1,'Input RM sheet'!$A:$ZZ,CW1,0)</f>
        <v>79</v>
      </c>
      <c r="CY7" s="74">
        <f>VLOOKUP($H$7&amp;$F$1,'Input RM sheet'!$A:$ZZ,CX1,0)</f>
        <v>79</v>
      </c>
      <c r="CZ7" s="74">
        <f>VLOOKUP($H$7&amp;$F$1,'Input RM sheet'!$A:$ZZ,CY1,0)</f>
        <v>79</v>
      </c>
      <c r="DA7" s="74">
        <f>VLOOKUP($H$7&amp;$F$1,'Input RM sheet'!$A:$ZZ,CZ1,0)</f>
        <v>79</v>
      </c>
      <c r="DB7" s="74">
        <f>VLOOKUP($H$7&amp;$F$1,'Input RM sheet'!$A:$ZZ,DA1,0)</f>
        <v>79</v>
      </c>
      <c r="DC7" s="74">
        <f>VLOOKUP($H$7&amp;$F$1,'Input RM sheet'!$A:$ZZ,DB1,0)</f>
        <v>83</v>
      </c>
      <c r="DD7" s="74">
        <f>VLOOKUP($H$7&amp;$F$1,'Input RM sheet'!$A:$ZZ,DC1,0)</f>
        <v>83</v>
      </c>
      <c r="DE7" s="74">
        <f>VLOOKUP($H$7&amp;$F$1,'Input RM sheet'!$A:$ZZ,DD1,0)</f>
        <v>85</v>
      </c>
      <c r="DF7" s="74">
        <f>VLOOKUP($H$7&amp;$F$1,'Input RM sheet'!$A:$ZZ,DE1,0)</f>
        <v>85</v>
      </c>
      <c r="DG7" s="74">
        <f>VLOOKUP($H$7&amp;$F$1,'Input RM sheet'!$A:$ZZ,DF1,0)</f>
        <v>85</v>
      </c>
      <c r="DH7" s="74">
        <f>VLOOKUP($H$7&amp;$F$1,'Input RM sheet'!$A:$ZZ,DG1,0)</f>
        <v>50</v>
      </c>
      <c r="DI7" s="74">
        <f>VLOOKUP($H$7&amp;$F$1,'Input RM sheet'!$A:$ZZ,DH1,0)</f>
        <v>50</v>
      </c>
      <c r="DJ7" s="74">
        <f>VLOOKUP($H$7&amp;$F$1,'Input RM sheet'!$A:$ZZ,DI1,0)</f>
        <v>50</v>
      </c>
      <c r="DK7" s="74">
        <f>VLOOKUP($H$7&amp;$F$1,'Input RM sheet'!$A:$ZZ,DJ1,0)</f>
        <v>50</v>
      </c>
      <c r="DL7" s="74">
        <f>VLOOKUP($H$7&amp;$F$1,'Input RM sheet'!$A:$ZZ,DK1,0)</f>
        <v>50</v>
      </c>
      <c r="DM7" s="74">
        <f>VLOOKUP($H$7&amp;$F$1,'Input RM sheet'!$A:$ZZ,DL1,0)</f>
        <v>50</v>
      </c>
      <c r="DN7" s="74">
        <f>VLOOKUP($H$7&amp;$F$1,'Input RM sheet'!$A:$ZZ,DM1,0)</f>
        <v>55</v>
      </c>
      <c r="DO7" s="74">
        <f>VLOOKUP($H$7&amp;$F$1,'Input RM sheet'!$A:$ZZ,DN1,0)</f>
        <v>55</v>
      </c>
      <c r="DP7" s="74">
        <f>VLOOKUP($H$7&amp;$F$1,'Input RM sheet'!$A:$ZZ,DO1,0)</f>
        <v>55</v>
      </c>
      <c r="DQ7" s="74">
        <f>VLOOKUP($H$7&amp;$F$1,'Input RM sheet'!$A:$ZZ,DP1,0)</f>
        <v>55</v>
      </c>
      <c r="DR7" s="74">
        <f>VLOOKUP($H$7&amp;$F$1,'Input RM sheet'!$A:$ZZ,DQ1,0)</f>
        <v>55</v>
      </c>
      <c r="DS7" s="74">
        <f>VLOOKUP($H$7&amp;$F$1,'Input RM sheet'!$A:$ZZ,DR1,0)</f>
        <v>55</v>
      </c>
      <c r="DT7" s="74">
        <f>VLOOKUP($H$7&amp;$F$1,'Input RM sheet'!$A:$ZZ,DS1,0)</f>
        <v>0</v>
      </c>
      <c r="DU7" s="74">
        <f>VLOOKUP($H$7&amp;$F$1,'Input RM sheet'!$A:$ZZ,DT1,0)</f>
        <v>0</v>
      </c>
      <c r="DV7" s="74">
        <f>VLOOKUP($H$7&amp;$F$1,'Input RM sheet'!$A:$ZZ,DU1,0)</f>
        <v>0</v>
      </c>
      <c r="DW7" s="74">
        <f>VLOOKUP($H$7&amp;$F$1,'Input RM sheet'!$A:$ZZ,DV1,0)</f>
        <v>0</v>
      </c>
      <c r="DX7" s="74">
        <f>VLOOKUP($H$7&amp;$F$1,'Input RM sheet'!$A:$ZZ,DW1,0)</f>
        <v>0</v>
      </c>
      <c r="DY7" s="74">
        <f>VLOOKUP($H$7&amp;$F$1,'Input RM sheet'!$A:$ZZ,DX1,0)</f>
        <v>0</v>
      </c>
      <c r="DZ7" s="74">
        <f>VLOOKUP($H$7&amp;$F$1,'Input RM sheet'!$A:$ZZ,DY1,0)</f>
        <v>0</v>
      </c>
      <c r="EA7" s="74">
        <f>VLOOKUP($H$7&amp;$F$1,'Input RM sheet'!$A:$ZZ,DZ1,0)</f>
        <v>0</v>
      </c>
      <c r="EB7" s="74">
        <f>VLOOKUP($H$7&amp;$F$1,'Input RM sheet'!$A:$ZZ,EA1,0)</f>
        <v>0</v>
      </c>
      <c r="EC7" s="74">
        <f>VLOOKUP($H$7&amp;$F$1,'Input RM sheet'!$A:$ZZ,EB1,0)</f>
        <v>0</v>
      </c>
      <c r="ED7" s="74">
        <f>VLOOKUP($H$7&amp;$F$1,'Input RM sheet'!$A:$ZZ,EC1,0)</f>
        <v>0</v>
      </c>
      <c r="EE7" s="74">
        <f>VLOOKUP($H$7&amp;$F$1,'Input RM sheet'!$A:$ZZ,ED1,0)</f>
        <v>0</v>
      </c>
      <c r="EF7" s="74">
        <f>VLOOKUP($H$7&amp;$F$1,'Input RM sheet'!$A:$ZZ,EE1,0)</f>
        <v>0</v>
      </c>
      <c r="EG7" s="74">
        <f>VLOOKUP($H$7&amp;$F$1,'Input RM sheet'!$A:$ZZ,EF1,0)</f>
        <v>0</v>
      </c>
      <c r="EH7" s="74">
        <f>VLOOKUP($H$7&amp;$F$1,'Input RM sheet'!$A:$ZZ,EG1,0)</f>
        <v>0</v>
      </c>
      <c r="EI7" s="74">
        <f>VLOOKUP($H$7&amp;$F$1,'Input RM sheet'!$A:$ZZ,EH1,0)</f>
        <v>0</v>
      </c>
      <c r="EJ7" s="74">
        <f>VLOOKUP($H$7&amp;$F$1,'Input RM sheet'!$A:$ZZ,EI1,0)</f>
        <v>0</v>
      </c>
      <c r="EK7" s="74">
        <f>VLOOKUP($H$7&amp;$F$1,'Input RM sheet'!$A:$ZZ,EJ1,0)</f>
        <v>0</v>
      </c>
      <c r="EL7" s="74">
        <f>VLOOKUP($H$7&amp;$F$1,'Input RM sheet'!$A:$ZZ,EK1,0)</f>
        <v>0</v>
      </c>
      <c r="EM7" s="74">
        <f>VLOOKUP($H$7&amp;$F$1,'Input RM sheet'!$A:$ZZ,EL1,0)</f>
        <v>0</v>
      </c>
      <c r="EN7" s="74">
        <f>VLOOKUP($H$7&amp;$F$1,'Input RM sheet'!$A:$ZZ,EM1,0)</f>
        <v>0</v>
      </c>
      <c r="EO7" s="74">
        <f>VLOOKUP($H$7&amp;$F$1,'Input RM sheet'!$A:$ZZ,EN1,0)</f>
        <v>0</v>
      </c>
      <c r="EP7" s="74">
        <f>VLOOKUP($H$7&amp;$F$1,'Input RM sheet'!$A:$ZZ,EO1,0)</f>
        <v>0</v>
      </c>
      <c r="EQ7" s="74">
        <f>VLOOKUP($H$7&amp;$F$1,'Input RM sheet'!$A:$ZZ,EP1,0)</f>
        <v>0</v>
      </c>
      <c r="ER7" s="74">
        <f>VLOOKUP($H$7&amp;$F$1,'Input RM sheet'!$A:$ZZ,EQ1,0)</f>
        <v>0</v>
      </c>
      <c r="ES7" s="74">
        <f>VLOOKUP($H$7&amp;$F$1,'Input RM sheet'!$A:$ZZ,ER1,0)</f>
        <v>0</v>
      </c>
      <c r="ET7" s="74">
        <f>VLOOKUP($H$7&amp;$F$1,'Input RM sheet'!$A:$ZZ,ES1,0)</f>
        <v>0</v>
      </c>
      <c r="EU7" s="74">
        <f>VLOOKUP($H$7&amp;$F$1,'Input RM sheet'!$A:$ZZ,ET1,0)</f>
        <v>0</v>
      </c>
      <c r="EV7" s="74">
        <f>VLOOKUP($H$7&amp;$F$1,'Input RM sheet'!$A:$ZZ,EU1,0)</f>
        <v>0</v>
      </c>
      <c r="EW7" s="74">
        <f>VLOOKUP($H$7&amp;$F$1,'Input RM sheet'!$A:$ZZ,EV1,0)</f>
        <v>0</v>
      </c>
      <c r="EX7" s="74">
        <f>VLOOKUP($H$7&amp;$F$1,'Input RM sheet'!$A:$ZZ,EW1,0)</f>
        <v>0</v>
      </c>
      <c r="EY7" s="74">
        <f>VLOOKUP($H$7&amp;$F$1,'Input RM sheet'!$A:$ZZ,EX1,0)</f>
        <v>0</v>
      </c>
      <c r="EZ7" s="74">
        <f>VLOOKUP($H$7&amp;$F$1,'Input RM sheet'!$A:$ZZ,EY1,0)</f>
        <v>0</v>
      </c>
      <c r="FA7" s="74">
        <f>VLOOKUP($H$7&amp;$F$1,'Input RM sheet'!$A:$ZZ,EZ1,0)</f>
        <v>0</v>
      </c>
      <c r="FB7" s="74">
        <f>VLOOKUP($H$7&amp;$F$1,'Input RM sheet'!$A:$ZZ,FA1,0)</f>
        <v>0</v>
      </c>
      <c r="FC7" s="74">
        <f>VLOOKUP($H$7&amp;$F$1,'Input RM sheet'!$A:$ZZ,FB1,0)</f>
        <v>0</v>
      </c>
      <c r="FD7" s="74">
        <f>VLOOKUP($H$7&amp;$F$1,'Input RM sheet'!$A:$ZZ,FC1,0)</f>
        <v>0</v>
      </c>
      <c r="FE7" s="74">
        <f>VLOOKUP($H$7&amp;$F$1,'Input RM sheet'!$A:$ZZ,FD1,0)</f>
        <v>0</v>
      </c>
    </row>
    <row r="8" spans="1:164">
      <c r="B8" s="44"/>
      <c r="D8" s="44"/>
      <c r="H8" s="44" t="s">
        <v>145</v>
      </c>
      <c r="I8" s="74">
        <f>VLOOKUP($H$8&amp;$F$1,'Input RM sheet'!$A:$BD,H1,0)</f>
        <v>0</v>
      </c>
      <c r="J8" s="74">
        <f>VLOOKUP($H$8&amp;$F$1,'Input RM sheet'!$A:$BD,I1,0)</f>
        <v>0</v>
      </c>
      <c r="K8" s="74">
        <f>VLOOKUP($H$8&amp;$F$1,'Input RM sheet'!$A:$BD,J1,0)</f>
        <v>0</v>
      </c>
      <c r="L8" s="74">
        <f>VLOOKUP($H$8&amp;$F$1,'Input RM sheet'!$A:$BD,K1,0)</f>
        <v>0</v>
      </c>
      <c r="M8" s="74">
        <f>VLOOKUP($H$8&amp;$F$1,'Input RM sheet'!$A:$BD,L1,0)</f>
        <v>0</v>
      </c>
      <c r="N8" s="74">
        <f>VLOOKUP($H$8&amp;$F$1,'Input RM sheet'!$A:$BD,M1,0)</f>
        <v>0</v>
      </c>
      <c r="O8" s="74">
        <f>VLOOKUP($H$8&amp;$F$1,'Input RM sheet'!$A:$BD,N1,0)</f>
        <v>0</v>
      </c>
      <c r="P8" s="74">
        <f>VLOOKUP($H$8&amp;$F$1,'Input RM sheet'!$A:$BD,O1,0)</f>
        <v>0</v>
      </c>
      <c r="Q8" s="74">
        <f>VLOOKUP($H$8&amp;$F$1,'Input RM sheet'!$A:$BD,P1,0)</f>
        <v>0</v>
      </c>
      <c r="R8" s="74">
        <f>VLOOKUP($H$8&amp;$F$1,'Input RM sheet'!$A:$BD,Q1,0)</f>
        <v>0</v>
      </c>
      <c r="S8" s="74">
        <f>VLOOKUP($H$8&amp;$F$1,'Input RM sheet'!$A:$BD,R1,0)</f>
        <v>0</v>
      </c>
      <c r="T8" s="74">
        <f>VLOOKUP($H$8&amp;$F$1,'Input RM sheet'!$A:$BD,S1,0)</f>
        <v>0</v>
      </c>
      <c r="U8" s="74">
        <f>VLOOKUP($H$8&amp;$F$1,'Input RM sheet'!$A:$BD,T1,0)</f>
        <v>0</v>
      </c>
      <c r="V8" s="74">
        <f>VLOOKUP($H$8&amp;$F$1,'Input RM sheet'!$A:$BD,U1,0)</f>
        <v>0</v>
      </c>
      <c r="W8" s="74">
        <f>VLOOKUP($H$8&amp;$F$1,'Input RM sheet'!$A:$BD,V1,0)</f>
        <v>0</v>
      </c>
      <c r="X8" s="74">
        <f>VLOOKUP($H$8&amp;$F$1,'Input RM sheet'!$A:$BD,W1,0)</f>
        <v>0</v>
      </c>
      <c r="Y8" s="74">
        <f>VLOOKUP($H$8&amp;$F$1,'Input RM sheet'!$A:$BD,X1,0)</f>
        <v>0</v>
      </c>
      <c r="Z8" s="74">
        <f>VLOOKUP($H$8&amp;$F$1,'Input RM sheet'!$A:$BD,Y1,0)</f>
        <v>0</v>
      </c>
      <c r="AA8" s="74">
        <f>VLOOKUP($H$8&amp;$F$1,'Input RM sheet'!$A:$BD,Z1,0)</f>
        <v>0</v>
      </c>
      <c r="AB8" s="74">
        <f>VLOOKUP($H$8&amp;$F$1,'Input RM sheet'!$A:$BD,AA1,0)</f>
        <v>0</v>
      </c>
      <c r="AC8" s="74">
        <f>VLOOKUP($H$8&amp;$F$1,'Input RM sheet'!$A:$BD,AB1,0)</f>
        <v>0</v>
      </c>
      <c r="AD8" s="74">
        <f>VLOOKUP($H$8&amp;$F$1,'Input RM sheet'!$A:$BD,AC1,0)</f>
        <v>105.49824999999998</v>
      </c>
      <c r="AE8" s="74">
        <f>VLOOKUP($H$8&amp;$F$1,'Input RM sheet'!$A:$BD,AD1,0)</f>
        <v>107.5160625</v>
      </c>
      <c r="AF8" s="74">
        <f>VLOOKUP($H$8&amp;$F$1,'Input RM sheet'!$A:$BD,AE1,0)</f>
        <v>108.03915000000001</v>
      </c>
      <c r="AG8" s="74">
        <f>VLOOKUP($H$8&amp;$F$1,'Input RM sheet'!$A:$BD,AF1,0)</f>
        <v>108.32475000000001</v>
      </c>
      <c r="AH8" s="74">
        <f>VLOOKUP($H$8&amp;$F$1,'Input RM sheet'!$A:$BD,AG1,0)</f>
        <v>112.0652</v>
      </c>
      <c r="AI8" s="74">
        <f>VLOOKUP($H$8&amp;$F$1,'Input RM sheet'!$A:$BD,AH1,0)</f>
        <v>131.46224999999998</v>
      </c>
      <c r="AJ8" s="74">
        <f>VLOOKUP($H$8&amp;$F$1,'Input RM sheet'!$A:$BD,AI1,0)</f>
        <v>127.03249781250001</v>
      </c>
      <c r="AK8" s="74">
        <f>VLOOKUP($H$8&amp;$F$1,'Input RM sheet'!$A:$BD,AJ1,0)</f>
        <v>127.57680374999998</v>
      </c>
      <c r="AL8" s="74">
        <f>VLOOKUP($H$8&amp;$F$1,'Input RM sheet'!$A:$BD,AK1,0)</f>
        <v>119.25891678409089</v>
      </c>
      <c r="AM8" s="74">
        <f>VLOOKUP($H$8&amp;$F$1,'Input RM sheet'!$A:$BD,AL1,0)</f>
        <v>100.24820502976188</v>
      </c>
      <c r="AN8" s="74">
        <f>VLOOKUP($H$8&amp;$F$1,'Input RM sheet'!$A:$BD,AM1,0)</f>
        <v>95.456319999999991</v>
      </c>
      <c r="AO8" s="74">
        <f>VLOOKUP($H$8&amp;$F$1,'Input RM sheet'!$A:$BD,AN1,0)</f>
        <v>95.274971022727286</v>
      </c>
      <c r="AP8" s="74">
        <f>VLOOKUP($H$8&amp;$F$1,'Input RM sheet'!$A:$BD,AO1,0)</f>
        <v>88.721475708333344</v>
      </c>
      <c r="AQ8" s="74">
        <f>VLOOKUP($H$8&amp;$F$1,'Input RM sheet'!$A:$BD,AP1,0)</f>
        <v>84.592076695238106</v>
      </c>
      <c r="AR8" s="74">
        <f>VLOOKUP($H$8&amp;$F$1,'Input RM sheet'!$A:$BD,AQ1,0)</f>
        <v>86.587424318181803</v>
      </c>
      <c r="AS8" s="74">
        <f>VLOOKUP($H$8&amp;$F$1,'Input RM sheet'!$A:$BD,AR1,0)</f>
        <v>88.246808738095226</v>
      </c>
      <c r="AT8" s="74">
        <f>VLOOKUP($H$8&amp;$F$1,'Input RM sheet'!$A:$BD,AS1,0)</f>
        <v>93.208072749999999</v>
      </c>
      <c r="AU8" s="74">
        <f>VLOOKUP($H$8&amp;$F$1,'Input RM sheet'!$A:$BD,AT1,0)</f>
        <v>94.35777585000001</v>
      </c>
      <c r="AV8" s="74">
        <f>VLOOKUP($H$8&amp;$F$1,'Input RM sheet'!$A:$BD,AU1,0)</f>
        <v>89.717902625000008</v>
      </c>
      <c r="AW8" s="74">
        <f>VLOOKUP($H$8&amp;$F$1,'Input RM sheet'!$A:$BD,AV1,0)</f>
        <v>86.145610849999997</v>
      </c>
      <c r="AX8" s="74">
        <f>VLOOKUP($H$8&amp;$F$1,'Input RM sheet'!$A:$BD,AW1,0)</f>
        <v>79.096874999999997</v>
      </c>
      <c r="AY8" s="74">
        <f>VLOOKUP($H$8&amp;$F$1,'Input RM sheet'!$A:$BD,AX1,0)</f>
        <v>82.44</v>
      </c>
      <c r="AZ8" s="74">
        <f>VLOOKUP($H$8&amp;$F$1,'Input RM sheet'!$A:$BD,AY1,0)</f>
        <v>82.590900000000005</v>
      </c>
      <c r="BA8" s="74">
        <f>VLOOKUP($H$8&amp;$F$1,'Input RM sheet'!$A:$BD,AZ1,0)</f>
        <v>83.967999999999989</v>
      </c>
      <c r="BB8" s="74">
        <f>VLOOKUP($H$8&amp;$F$1,'Input RM sheet'!$A:$BD,BA1,0)</f>
        <v>84.316500000000005</v>
      </c>
      <c r="BC8" s="74">
        <f>VLOOKUP($H$8&amp;$F$1,'Input RM sheet'!$A:$BD,BB1,0)</f>
        <v>85.729049999999987</v>
      </c>
      <c r="BD8" s="74">
        <f>VLOOKUP($H$8&amp;$F$1,'Input RM sheet'!$A:$BD,BC1,0)</f>
        <v>85.331249999999997</v>
      </c>
      <c r="BE8" s="74">
        <f>VLOOKUP($H$8&amp;$F$1,'Input RM sheet'!$A:$BD,BD1,0)</f>
        <v>85.331249999999997</v>
      </c>
      <c r="BF8" s="74">
        <f>VLOOKUP($H$8&amp;$F$1,'Input RM sheet'!$A:$BD,BE1,0)</f>
        <v>84.716250000000002</v>
      </c>
      <c r="BG8" s="74">
        <f>VLOOKUP($H$8&amp;$F$1,'Input RM sheet'!$A:$DD,BF1,0)</f>
        <v>83.05</v>
      </c>
      <c r="BH8" s="74">
        <f>VLOOKUP($H$8&amp;$F$1,'Input RM sheet'!$A:$DD,BG1,0)</f>
        <v>82.110599999999991</v>
      </c>
      <c r="BI8" s="74">
        <f>VLOOKUP($H$8&amp;$F$1,'Input RM sheet'!$A:$DD,BH1,0)</f>
        <v>82.100700000000003</v>
      </c>
      <c r="BJ8" s="74">
        <f>VLOOKUP($H$8&amp;$F$1,'Input RM sheet'!$A:$DD,BI1,0)</f>
        <v>82.427400000000006</v>
      </c>
      <c r="BK8" s="74">
        <f>VLOOKUP($H$8&amp;$F$1,'Input RM sheet'!$A:$DD,BJ1,0)</f>
        <v>82.387799999999999</v>
      </c>
      <c r="BL8" s="74">
        <f>VLOOKUP($H$8&amp;$F$1,'Input RM sheet'!$A:$DD,BK1,0)</f>
        <v>82.001249999999999</v>
      </c>
      <c r="BM8" s="74">
        <f>VLOOKUP($H$8&amp;$F$1,'Input RM sheet'!$A:$DD,BL1,0)</f>
        <v>83.12</v>
      </c>
      <c r="BN8" s="74">
        <f>VLOOKUP($H$8&amp;$F$1,'Input RM sheet'!$A:$DD,BM1,0)</f>
        <v>83.26</v>
      </c>
      <c r="BO8" s="74">
        <f>VLOOKUP($H$8&amp;$F$1,'Input RM sheet'!$A:$DD,BN1,0)</f>
        <v>82.803899999999999</v>
      </c>
      <c r="BP8" s="74">
        <f>VLOOKUP($H$8&amp;$F$1,'Input RM sheet'!$A:$DD,BO1,0)</f>
        <v>83.19</v>
      </c>
      <c r="BQ8" s="74">
        <f>VLOOKUP($H$8&amp;$F$1,'Input RM sheet'!$A:$DD,BP1,0)</f>
        <v>84.853799999999993</v>
      </c>
      <c r="BR8" s="74">
        <f>VLOOKUP($H$8&amp;$F$1,'Input RM sheet'!$A:$DD,BQ1,0)</f>
        <v>84.996600000000001</v>
      </c>
      <c r="BS8" s="74">
        <f>VLOOKUP($H$8&amp;$F$1,'Input RM sheet'!$A:$DD,BR1,0)</f>
        <v>85.068000000000012</v>
      </c>
      <c r="BT8" s="74">
        <f>VLOOKUP($H$8&amp;$F$1,'Input RM sheet'!$A:$DD,BS1,0)</f>
        <v>85.027200000000008</v>
      </c>
      <c r="BU8" s="74">
        <f>VLOOKUP($H$8&amp;$F$1,'Input RM sheet'!$A:$DD,BT1,0)</f>
        <v>88.234399999999994</v>
      </c>
      <c r="BV8" s="74">
        <f>VLOOKUP($H$8&amp;$F$1,'Input RM sheet'!$A:$DD,BU1,0)</f>
        <v>88.319199999999995</v>
      </c>
      <c r="BW8" s="74">
        <f>VLOOKUP($H$8&amp;$F$1,'Input RM sheet'!$A:$DD,BV1,0)</f>
        <v>88.128399999999999</v>
      </c>
      <c r="BX8" s="74">
        <f>VLOOKUP($H$8&amp;$F$1,'Input RM sheet'!$A:$DD,BW1,0)</f>
        <v>86.476000000000013</v>
      </c>
      <c r="BY8" s="74">
        <f>VLOOKUP($H$8&amp;$F$1,'Input RM sheet'!$A:$DD,BX1,0)</f>
        <v>86.58</v>
      </c>
      <c r="BZ8" s="74">
        <f>VLOOKUP($H$8&amp;$F$1,'Input RM sheet'!$A:$DD,BY1,0)</f>
        <v>89.289500000000004</v>
      </c>
      <c r="CA8" s="74">
        <f>VLOOKUP($H$8&amp;$F$1,'Input RM sheet'!$A:$DD,BZ1,0)</f>
        <v>89.224999999999994</v>
      </c>
      <c r="CB8" s="74">
        <f>VLOOKUP($H$8&amp;$F$1,'Input RM sheet'!$A:$DD,CA1,0)</f>
        <v>89.235749999999996</v>
      </c>
      <c r="CC8" s="74">
        <f>VLOOKUP($H$8&amp;$F$1,'Input RM sheet'!$A:$DD,CB1,0)</f>
        <v>89.117500000000007</v>
      </c>
      <c r="CD8" s="74">
        <f>VLOOKUP($H$8&amp;$F$1,'Input RM sheet'!$A:$DD,CC1,0)</f>
        <v>89.9465</v>
      </c>
      <c r="CE8" s="74">
        <f>VLOOKUP($H$8&amp;$F$1,'Input RM sheet'!$A:$DD,CD1,0)</f>
        <v>89.729500000000002</v>
      </c>
      <c r="CF8" s="74">
        <f>VLOOKUP($H$8&amp;$F$1,'Input RM sheet'!$A:$DD,CE1,0)</f>
        <v>93.932600000000008</v>
      </c>
      <c r="CG8" s="74">
        <f>VLOOKUP($H$8&amp;$F$1,'Input RM sheet'!$A:$DD,CF1,0)</f>
        <v>96.165300000000002</v>
      </c>
      <c r="CH8" s="74">
        <f>VLOOKUP($H$8&amp;$F$1,'Input RM sheet'!$A:$DD,CG1,0)</f>
        <v>97.983249999999998</v>
      </c>
      <c r="CI8" s="74">
        <f>VLOOKUP($H$8&amp;$F$1,'Input RM sheet'!$A:$DD,CH1,0)</f>
        <v>106.09274999999998</v>
      </c>
      <c r="CJ8" s="74">
        <f>VLOOKUP($H$8&amp;$F$1,'Input RM sheet'!$A:$DD,CI1,0)</f>
        <v>106.33499999999999</v>
      </c>
      <c r="CK8" s="74">
        <f>VLOOKUP($H$8&amp;$F$1,'Input RM sheet'!$A:$DD,CJ1,0)</f>
        <v>106.60274999999999</v>
      </c>
      <c r="CL8" s="74">
        <f>VLOOKUP($H$8&amp;$F$1,'Input RM sheet'!$A:$DD,CK1,0)</f>
        <v>103.85790000000001</v>
      </c>
      <c r="CM8" s="74">
        <f>VLOOKUP($H$8&amp;$F$1,'Input RM sheet'!$A:$DD,CL1,0)</f>
        <v>102.28750000000001</v>
      </c>
      <c r="CN8" s="74">
        <f>VLOOKUP($H$8&amp;$F$1,'Input RM sheet'!$A:$DD,CM1,0)</f>
        <v>98.769750000000002</v>
      </c>
      <c r="CO8" s="74">
        <f>VLOOKUP($H$8&amp;$F$1,'Input RM sheet'!$A:$DD,CN1,0)</f>
        <v>98.769750000000002</v>
      </c>
      <c r="CP8" s="74">
        <f>VLOOKUP($H$8&amp;$F$1,'Input RM sheet'!$A:$DD,CO1,0)</f>
        <v>98.769750000000002</v>
      </c>
      <c r="CQ8" s="74">
        <f>VLOOKUP($H$8&amp;$F$1,'Input RM sheet'!$A:$DD,CP1,0)</f>
        <v>98.769750000000002</v>
      </c>
      <c r="CR8" s="74">
        <f>VLOOKUP($H$8&amp;$F$1,'Input RM sheet'!$A:$DD,CQ1,0)</f>
        <v>101.5069</v>
      </c>
      <c r="CS8" s="74">
        <f>VLOOKUP($H$8&amp;$F$1,'Input RM sheet'!$A:$DD,CR1,0)</f>
        <v>100.914</v>
      </c>
      <c r="CT8" s="74">
        <f>VLOOKUP($H$8&amp;$F$1,'Input RM sheet'!$A:$DD,CS1,0)</f>
        <v>103.54</v>
      </c>
      <c r="CU8" s="74">
        <f>VLOOKUP($H$8&amp;$F$1,'Input RM sheet'!$A:$DD,CT1,0)</f>
        <v>102.22625000000001</v>
      </c>
      <c r="CV8" s="74">
        <f>VLOOKUP($H$8&amp;$F$1,'Input RM sheet'!$A:$DD,CU1,0)</f>
        <v>106.42424999999999</v>
      </c>
      <c r="CW8" s="74">
        <f>VLOOKUP($H$8&amp;$F$1,'Input RM sheet'!$A:$DD,CV1,0)</f>
        <v>106.52624999999999</v>
      </c>
      <c r="CX8" s="74">
        <f>VLOOKUP($H$8&amp;$F$1,'Input RM sheet'!$A:$DD,CW1,0)</f>
        <v>108.39149999999999</v>
      </c>
      <c r="CY8" s="74">
        <f>VLOOKUP($H$8&amp;$F$1,'Input RM sheet'!$A:$DD,CX1,0)</f>
        <v>110.94225</v>
      </c>
      <c r="CZ8" s="74">
        <f>VLOOKUP($H$8&amp;$F$1,'Input RM sheet'!$A:$DD,CY1,0)</f>
        <v>111.23375</v>
      </c>
      <c r="DA8" s="74">
        <f>VLOOKUP($H$8&amp;$F$1,'Input RM sheet'!$A:$DD,CZ1,0)</f>
        <v>112.92619999999999</v>
      </c>
      <c r="DB8" s="74">
        <f>VLOOKUP($H$8&amp;$F$1,'Input RM sheet'!$A:$DD,DA1,0)</f>
        <v>112.8455</v>
      </c>
      <c r="DC8" s="74">
        <f>VLOOKUP($H$8&amp;$F$1,'Input RM sheet'!$A:$DD,DB1,0)</f>
        <v>115.34875</v>
      </c>
      <c r="DD8" s="74">
        <f>VLOOKUP($H$8&amp;$F$1,'Input RM sheet'!$A:$DD,DC1,0)</f>
        <v>115.44499999999999</v>
      </c>
      <c r="DE8" s="74">
        <f>VLOOKUP($H$8&amp;$F$1,'Input RM sheet'!$A:$DD,DD1,0)</f>
        <v>115.44499999999999</v>
      </c>
      <c r="DF8" s="74">
        <f>VLOOKUP($H$8&amp;$F$1,'Input RM sheet'!$A:$DD,DE1,0)</f>
        <v>117.01199999999999</v>
      </c>
      <c r="DG8" s="74">
        <f>VLOOKUP($H$8&amp;$F$1,'Input RM sheet'!$A:$DD,DF1,0)</f>
        <v>117.12399999999998</v>
      </c>
      <c r="DH8" s="74">
        <f>VLOOKUP($H$8&amp;$F$1,'Input RM sheet'!$A:$ZZ,DG1,0)</f>
        <v>119.23739999999999</v>
      </c>
      <c r="DI8" s="74">
        <f>VLOOKUP($H$8&amp;$F$1,'Input RM sheet'!$A:$ZZ,DH1,0)</f>
        <v>120.85062499999999</v>
      </c>
      <c r="DJ8" s="74">
        <f>VLOOKUP($H$8&amp;$F$1,'Input RM sheet'!$A:$ZZ,DI1,0)</f>
        <v>128.20674999999997</v>
      </c>
      <c r="DK8" s="74">
        <f>VLOOKUP($H$8&amp;$F$1,'Input RM sheet'!$A:$ZZ,DJ1,0)</f>
        <v>128.22199999999998</v>
      </c>
      <c r="DL8" s="74">
        <f>VLOOKUP($H$8&amp;$F$1,'Input RM sheet'!$A:$ZZ,DK1,0)</f>
        <v>128.28299999999999</v>
      </c>
      <c r="DM8" s="74">
        <f>VLOOKUP($H$8&amp;$F$1,'Input RM sheet'!$A:$ZZ,DL1,0)</f>
        <v>128.71</v>
      </c>
      <c r="DN8" s="74">
        <f>VLOOKUP($H$8&amp;$F$1,'Input RM sheet'!$A:$ZZ,DM1,0)</f>
        <v>132.72524999999999</v>
      </c>
      <c r="DO8" s="74">
        <f>VLOOKUP($H$8&amp;$F$1,'Input RM sheet'!$A:$ZZ,DN1,0)</f>
        <v>133.29225</v>
      </c>
      <c r="DP8" s="74">
        <f>VLOOKUP($H$8&amp;$F$1,'Input RM sheet'!$A:$ZZ,DO1,0)</f>
        <v>137.62125</v>
      </c>
      <c r="DQ8" s="74">
        <f>VLOOKUP($H$8&amp;$F$1,'Input RM sheet'!$A:$ZZ,DP1,0)</f>
        <v>137.84875</v>
      </c>
      <c r="DR8" s="74">
        <f>VLOOKUP($H$8&amp;$F$1,'Input RM sheet'!$A:$ZZ,DQ1,0)</f>
        <v>137.995</v>
      </c>
      <c r="DS8" s="74">
        <f>VLOOKUP($H$8&amp;$F$1,'Input RM sheet'!$A:$ZZ,DR1,0)</f>
        <v>134.1585</v>
      </c>
      <c r="DT8" s="74">
        <f>VLOOKUP($H$8&amp;$F$1,'Input RM sheet'!$A:$ZZ,DS1,0)</f>
        <v>0</v>
      </c>
      <c r="DU8" s="74">
        <f>VLOOKUP($H$8&amp;$F$1,'Input RM sheet'!$A:$ZZ,DT1,0)</f>
        <v>0</v>
      </c>
      <c r="DV8" s="74">
        <f>VLOOKUP($H$8&amp;$F$1,'Input RM sheet'!$A:$ZZ,DU1,0)</f>
        <v>0</v>
      </c>
      <c r="DW8" s="74">
        <f>VLOOKUP($H$8&amp;$F$1,'Input RM sheet'!$A:$ZZ,DV1,0)</f>
        <v>0</v>
      </c>
      <c r="DX8" s="74">
        <f>VLOOKUP($H$8&amp;$F$1,'Input RM sheet'!$A:$ZZ,DW1,0)</f>
        <v>0</v>
      </c>
      <c r="DY8" s="74">
        <f>VLOOKUP($H$8&amp;$F$1,'Input RM sheet'!$A:$ZZ,DX1,0)</f>
        <v>0</v>
      </c>
      <c r="DZ8" s="74">
        <f>VLOOKUP($H$8&amp;$F$1,'Input RM sheet'!$A:$ZZ,DY1,0)</f>
        <v>0</v>
      </c>
      <c r="EA8" s="74">
        <f>VLOOKUP($H$8&amp;$F$1,'Input RM sheet'!$A:$ZZ,DZ1,0)</f>
        <v>0</v>
      </c>
      <c r="EB8" s="74">
        <f>VLOOKUP($H$8&amp;$F$1,'Input RM sheet'!$A:$ZZ,EA1,0)</f>
        <v>0</v>
      </c>
      <c r="EC8" s="74">
        <f>VLOOKUP($H$8&amp;$F$1,'Input RM sheet'!$A:$ZZ,EB1,0)</f>
        <v>0</v>
      </c>
      <c r="ED8" s="74">
        <f>VLOOKUP($H$8&amp;$F$1,'Input RM sheet'!$A:$ZZ,EC1,0)</f>
        <v>0</v>
      </c>
      <c r="EE8" s="74">
        <f>VLOOKUP($H$8&amp;$F$1,'Input RM sheet'!$A:$ZZ,ED1,0)</f>
        <v>0</v>
      </c>
      <c r="EF8" s="74" t="e">
        <f>VLOOKUP($H$8&amp;$F$1,'Input RM sheet'!$A:$DD,EE1,0)</f>
        <v>#REF!</v>
      </c>
      <c r="EG8" s="74" t="e">
        <f>VLOOKUP($H$8&amp;$F$1,'Input RM sheet'!$A:$DD,EF1,0)</f>
        <v>#REF!</v>
      </c>
      <c r="EH8" s="74" t="e">
        <f>VLOOKUP($H$8&amp;$F$1,'Input RM sheet'!$A:$DD,EG1,0)</f>
        <v>#REF!</v>
      </c>
      <c r="EI8" s="74" t="e">
        <f>VLOOKUP($H$8&amp;$F$1,'Input RM sheet'!$A:$DD,EH1,0)</f>
        <v>#REF!</v>
      </c>
      <c r="EJ8" s="74" t="e">
        <f>VLOOKUP($H$8&amp;$F$1,'Input RM sheet'!$A:$DD,EI1,0)</f>
        <v>#REF!</v>
      </c>
      <c r="EK8" s="74" t="e">
        <f>VLOOKUP($H$8&amp;$F$1,'Input RM sheet'!$A:$DD,EJ1,0)</f>
        <v>#REF!</v>
      </c>
      <c r="EL8" s="74" t="e">
        <f>VLOOKUP($H$8&amp;$F$1,'Input RM sheet'!$A:$DD,EK1,0)</f>
        <v>#REF!</v>
      </c>
      <c r="EM8" s="74" t="e">
        <f>VLOOKUP($H$8&amp;$F$1,'Input RM sheet'!$A:$DD,EL1,0)</f>
        <v>#REF!</v>
      </c>
      <c r="EN8" s="74" t="e">
        <f>VLOOKUP($H$8&amp;$F$1,'Input RM sheet'!$A:$DD,EM1,0)</f>
        <v>#REF!</v>
      </c>
      <c r="EO8" s="74" t="e">
        <f>VLOOKUP($H$8&amp;$F$1,'Input RM sheet'!$A:$DD,EN1,0)</f>
        <v>#REF!</v>
      </c>
      <c r="EP8" s="74" t="e">
        <f>VLOOKUP($H$8&amp;$F$1,'Input RM sheet'!$A:$DD,EO1,0)</f>
        <v>#REF!</v>
      </c>
      <c r="EQ8" s="74" t="e">
        <f>VLOOKUP($H$8&amp;$F$1,'Input RM sheet'!$A:$DD,EP1,0)</f>
        <v>#REF!</v>
      </c>
      <c r="ER8" s="74" t="e">
        <f>VLOOKUP($H$8&amp;$F$1,'Input RM sheet'!$A:$DD,EQ1,0)</f>
        <v>#REF!</v>
      </c>
      <c r="ES8" s="74" t="e">
        <f>VLOOKUP($H$8&amp;$F$1,'Input RM sheet'!$A:$DD,ER1,0)</f>
        <v>#REF!</v>
      </c>
      <c r="ET8" s="74" t="e">
        <f>VLOOKUP($H$8&amp;$F$1,'Input RM sheet'!$A:$DD,ES1,0)</f>
        <v>#REF!</v>
      </c>
      <c r="EU8" s="74" t="e">
        <f>VLOOKUP($H$8&amp;$F$1,'Input RM sheet'!$A:$DD,ET1,0)</f>
        <v>#REF!</v>
      </c>
      <c r="EV8" s="74" t="e">
        <f>VLOOKUP($H$8&amp;$F$1,'Input RM sheet'!$A:$DD,EU1,0)</f>
        <v>#REF!</v>
      </c>
      <c r="EW8" s="74" t="e">
        <f>VLOOKUP($H$8&amp;$F$1,'Input RM sheet'!$A:$DD,EV1,0)</f>
        <v>#REF!</v>
      </c>
      <c r="EX8" s="74" t="e">
        <f>VLOOKUP($H$8&amp;$F$1,'Input RM sheet'!$A:$DD,EW1,0)</f>
        <v>#REF!</v>
      </c>
      <c r="EY8" s="74" t="e">
        <f>VLOOKUP($H$8&amp;$F$1,'Input RM sheet'!$A:$DD,EX1,0)</f>
        <v>#REF!</v>
      </c>
      <c r="EZ8" s="74" t="e">
        <f>VLOOKUP($H$8&amp;$F$1,'Input RM sheet'!$A:$DD,EY1,0)</f>
        <v>#REF!</v>
      </c>
      <c r="FA8" s="74" t="e">
        <f>VLOOKUP($H$8&amp;$F$1,'Input RM sheet'!$A:$DD,EZ1,0)</f>
        <v>#REF!</v>
      </c>
      <c r="FB8" s="74" t="e">
        <f>VLOOKUP($H$8&amp;$F$1,'Input RM sheet'!$A:$DD,FA1,0)</f>
        <v>#REF!</v>
      </c>
      <c r="FC8" s="74" t="e">
        <f>VLOOKUP($H$8&amp;$F$1,'Input RM sheet'!$A:$DD,FB1,0)</f>
        <v>#REF!</v>
      </c>
      <c r="FD8" s="74" t="e">
        <f>VLOOKUP($H$8&amp;$F$1,'Input RM sheet'!$A:$DD,FC1,0)</f>
        <v>#REF!</v>
      </c>
      <c r="FE8" s="74" t="e">
        <f>VLOOKUP($H$8&amp;$F$1,'Input RM sheet'!$A:$DD,FD1,0)</f>
        <v>#REF!</v>
      </c>
    </row>
    <row r="9" spans="1:164">
      <c r="B9" s="44"/>
      <c r="D9" s="44"/>
      <c r="H9" s="44" t="s">
        <v>147</v>
      </c>
      <c r="I9" s="74">
        <f>VLOOKUP($H$9&amp;$F$1,'Input RM sheet'!$A:$BD,H1,0)</f>
        <v>0</v>
      </c>
      <c r="J9" s="74">
        <f>VLOOKUP($H$9&amp;$F$1,'Input RM sheet'!$A:$BD,I1,0)</f>
        <v>0</v>
      </c>
      <c r="K9" s="74">
        <f>VLOOKUP($H$9&amp;$F$1,'Input RM sheet'!$A:$BD,J1,0)</f>
        <v>0</v>
      </c>
      <c r="L9" s="74">
        <f>VLOOKUP($H$9&amp;$F$1,'Input RM sheet'!$A:$BD,K1,0)</f>
        <v>0</v>
      </c>
      <c r="M9" s="74">
        <f>VLOOKUP($H$9&amp;$F$1,'Input RM sheet'!$A:$BD,L1,0)</f>
        <v>0</v>
      </c>
      <c r="N9" s="74">
        <f>VLOOKUP($H$9&amp;$F$1,'Input RM sheet'!$A:$BD,M1,0)</f>
        <v>0</v>
      </c>
      <c r="O9" s="74">
        <f>VLOOKUP($H$9&amp;$F$1,'Input RM sheet'!$A:$BD,N1,0)</f>
        <v>0</v>
      </c>
      <c r="P9" s="74">
        <f>VLOOKUP($H$9&amp;$F$1,'Input RM sheet'!$A:$BD,O1,0)</f>
        <v>0</v>
      </c>
      <c r="Q9" s="74">
        <f>VLOOKUP($H$9&amp;$F$1,'Input RM sheet'!$A:$BD,P1,0)</f>
        <v>0</v>
      </c>
      <c r="R9" s="74">
        <f>VLOOKUP($H$9&amp;$F$1,'Input RM sheet'!$A:$BD,Q1,0)</f>
        <v>0</v>
      </c>
      <c r="S9" s="74">
        <f>VLOOKUP($H$9&amp;$F$1,'Input RM sheet'!$A:$BD,R1,0)</f>
        <v>0</v>
      </c>
      <c r="T9" s="74">
        <f>VLOOKUP($H$9&amp;$F$1,'Input RM sheet'!$A:$BD,S1,0)</f>
        <v>0</v>
      </c>
      <c r="U9" s="74">
        <f>VLOOKUP($H$9&amp;$F$1,'Input RM sheet'!$A:$BD,T1,0)</f>
        <v>0</v>
      </c>
      <c r="V9" s="74">
        <f>VLOOKUP($H$9&amp;$F$1,'Input RM sheet'!$A:$BD,U1,0)</f>
        <v>0</v>
      </c>
      <c r="W9" s="74">
        <f>VLOOKUP($H$9&amp;$F$1,'Input RM sheet'!$A:$BD,V1,0)</f>
        <v>0</v>
      </c>
      <c r="X9" s="74">
        <f>VLOOKUP($H$9&amp;$F$1,'Input RM sheet'!$A:$BD,W1,0)</f>
        <v>0</v>
      </c>
      <c r="Y9" s="74">
        <f>VLOOKUP($H$9&amp;$F$1,'Input RM sheet'!$A:$BD,X1,0)</f>
        <v>0</v>
      </c>
      <c r="Z9" s="74">
        <f>VLOOKUP($H$9&amp;$F$1,'Input RM sheet'!$A:$BD,Y1,0)</f>
        <v>0</v>
      </c>
      <c r="AA9" s="74">
        <f>VLOOKUP($H$9&amp;$F$1,'Input RM sheet'!$A:$BD,Z1,0)</f>
        <v>0</v>
      </c>
      <c r="AB9" s="74">
        <f>VLOOKUP($H$9&amp;$F$1,'Input RM sheet'!$A:$BD,AA1,0)</f>
        <v>0</v>
      </c>
      <c r="AC9" s="74">
        <f>VLOOKUP($H$9&amp;$F$1,'Input RM sheet'!$A:$BD,AB1,0)</f>
        <v>0</v>
      </c>
      <c r="AD9" s="74">
        <f>VLOOKUP($H$9&amp;$F$1,'Input RM sheet'!$A:$BD,AC1,0)</f>
        <v>113</v>
      </c>
      <c r="AE9" s="74">
        <f>VLOOKUP($H$9&amp;$F$1,'Input RM sheet'!$A:$BD,AD1,0)</f>
        <v>111.15384615384616</v>
      </c>
      <c r="AF9" s="74">
        <f>VLOOKUP($H$9&amp;$F$1,'Input RM sheet'!$A:$BD,AE1,0)</f>
        <v>110</v>
      </c>
      <c r="AG9" s="74">
        <f>VLOOKUP($H$9&amp;$F$1,'Input RM sheet'!$A:$BD,AF1,0)</f>
        <v>99.591818181818184</v>
      </c>
      <c r="AH9" s="74">
        <f>VLOOKUP($H$9&amp;$F$1,'Input RM sheet'!$A:$BD,AG1,0)</f>
        <v>104</v>
      </c>
      <c r="AI9" s="74">
        <f>VLOOKUP($H$9&amp;$F$1,'Input RM sheet'!$A:$BD,AH1,0)</f>
        <v>116.61481481481482</v>
      </c>
      <c r="AJ9" s="74">
        <f>VLOOKUP($H$9&amp;$F$1,'Input RM sheet'!$A:$BD,AI1,0)</f>
        <v>95.7</v>
      </c>
      <c r="AK9" s="74">
        <f>VLOOKUP($H$9&amp;$F$1,'Input RM sheet'!$A:$BD,AJ1,0)</f>
        <v>95.7</v>
      </c>
      <c r="AL9" s="74">
        <f>VLOOKUP($H$9&amp;$F$1,'Input RM sheet'!$A:$BD,AK1,0)</f>
        <v>115.15</v>
      </c>
      <c r="AM9" s="74">
        <f>VLOOKUP($H$9&amp;$F$1,'Input RM sheet'!$A:$BD,AL1,0)</f>
        <v>112.125</v>
      </c>
      <c r="AN9" s="74">
        <f>VLOOKUP($H$9&amp;$F$1,'Input RM sheet'!$A:$BD,AM1,0)</f>
        <v>105.47368421052632</v>
      </c>
      <c r="AO9" s="74">
        <f>VLOOKUP($H$9&amp;$F$1,'Input RM sheet'!$A:$BD,AN1,0)</f>
        <v>105.47368421052632</v>
      </c>
      <c r="AP9" s="74">
        <f>VLOOKUP($H$9&amp;$F$1,'Input RM sheet'!$A:$BD,AO1,0)</f>
        <v>105.47368421052632</v>
      </c>
      <c r="AQ9" s="74">
        <f>VLOOKUP($H$9&amp;$F$1,'Input RM sheet'!$A:$BD,AP1,0)</f>
        <v>105.47368421052632</v>
      </c>
      <c r="AR9" s="74">
        <f>VLOOKUP($H$9&amp;$F$1,'Input RM sheet'!$A:$BD,AQ1,0)</f>
        <v>105.47368421052632</v>
      </c>
      <c r="AS9" s="74">
        <f>VLOOKUP($H$9&amp;$F$1,'Input RM sheet'!$A:$BD,AR1,0)</f>
        <v>105.47368421052632</v>
      </c>
      <c r="AT9" s="74">
        <f>VLOOKUP($H$9&amp;$F$1,'Input RM sheet'!$A:$BD,AS1,0)</f>
        <v>105.47368421052632</v>
      </c>
      <c r="AU9" s="74">
        <f>VLOOKUP($H$9&amp;$F$1,'Input RM sheet'!$A:$BD,AT1,0)</f>
        <v>87.666666666666671</v>
      </c>
      <c r="AV9" s="74">
        <f>VLOOKUP($H$9&amp;$F$1,'Input RM sheet'!$A:$BD,AU1,0)</f>
        <v>86</v>
      </c>
      <c r="AW9" s="74">
        <f>VLOOKUP($H$9&amp;$F$1,'Input RM sheet'!$A:$BD,AV1,0)</f>
        <v>86</v>
      </c>
      <c r="AX9" s="74">
        <f>VLOOKUP($H$9&amp;$F$1,'Input RM sheet'!$A:$BD,AW1,0)</f>
        <v>96</v>
      </c>
      <c r="AY9" s="74">
        <f>VLOOKUP($H$9&amp;$F$1,'Input RM sheet'!$A:$BD,AX1,0)</f>
        <v>93.272244897959183</v>
      </c>
      <c r="AZ9" s="74">
        <f>VLOOKUP($H$9&amp;$F$1,'Input RM sheet'!$A:$BD,AY1,0)</f>
        <v>93.272244897959183</v>
      </c>
      <c r="BA9" s="74">
        <f>VLOOKUP($H$9&amp;$F$1,'Input RM sheet'!$A:$BD,AZ1,0)</f>
        <v>93.272244897959183</v>
      </c>
      <c r="BB9" s="74">
        <f>VLOOKUP($H$9&amp;$F$1,'Input RM sheet'!$A:$BD,BA1,0)</f>
        <v>93.272244897959183</v>
      </c>
      <c r="BC9" s="74">
        <f>VLOOKUP($H$9&amp;$F$1,'Input RM sheet'!$A:$BD,BB1,0)</f>
        <v>77.955262008733627</v>
      </c>
      <c r="BD9" s="74">
        <f>VLOOKUP($H$9&amp;$F$1,'Input RM sheet'!$A:$BD,BC1,0)</f>
        <v>77.955262008733627</v>
      </c>
      <c r="BE9" s="74">
        <f>VLOOKUP($H$9&amp;$F$1,'Input RM sheet'!$A:$BD,BD1,0)</f>
        <v>77.955262008733627</v>
      </c>
      <c r="BF9" s="74">
        <f>VLOOKUP($H$9&amp;$F$1,'Input RM sheet'!$A:$BD,BE1,0)</f>
        <v>77.955262008733627</v>
      </c>
      <c r="BG9" s="74">
        <f>VLOOKUP($H$9&amp;$F$1,'Input RM sheet'!$A:$BD,BF1,0)</f>
        <v>101.91071428571429</v>
      </c>
      <c r="BH9" s="74">
        <f>VLOOKUP($H$9&amp;$F$1,'Input RM sheet'!$A:$DD,BG1,0)</f>
        <v>101.91071428571429</v>
      </c>
      <c r="BI9" s="74">
        <f>VLOOKUP($H$9&amp;$F$1,'Input RM sheet'!$A:$DD,BH1,0)</f>
        <v>101.91071428571429</v>
      </c>
      <c r="BJ9" s="74">
        <f>VLOOKUP($H$9&amp;$F$1,'Input RM sheet'!$A:$DD,BI1,0)</f>
        <v>101.91071428571429</v>
      </c>
      <c r="BK9" s="74">
        <f>VLOOKUP($H$9&amp;$F$1,'Input RM sheet'!$A:$DD,BJ1,0)</f>
        <v>92</v>
      </c>
      <c r="BL9" s="74">
        <f>VLOOKUP($H$9&amp;$F$1,'Input RM sheet'!$A:$DD,BK1,0)</f>
        <v>92</v>
      </c>
      <c r="BM9" s="74">
        <f>VLOOKUP($H$9&amp;$F$1,'Input RM sheet'!$A:$DD,BL1,0)</f>
        <v>86</v>
      </c>
      <c r="BN9" s="74">
        <f>VLOOKUP($H$9&amp;$F$1,'Input RM sheet'!$A:$DD,BM1,0)</f>
        <v>86</v>
      </c>
      <c r="BO9" s="74">
        <f>VLOOKUP($H$9&amp;$F$1,'Input RM sheet'!$A:$DD,BN1,0)</f>
        <v>78.5</v>
      </c>
      <c r="BP9" s="74">
        <f>VLOOKUP($H$9&amp;$F$1,'Input RM sheet'!$A:$DD,BO1,0)</f>
        <v>78.5</v>
      </c>
      <c r="BQ9" s="74">
        <f>VLOOKUP($H$9&amp;$F$1,'Input RM sheet'!$A:$DD,BP1,0)</f>
        <v>78.5</v>
      </c>
      <c r="BR9" s="74">
        <f>VLOOKUP($H$9&amp;$F$1,'Input RM sheet'!$A:$DD,BQ1,0)</f>
        <v>82</v>
      </c>
      <c r="BS9" s="74">
        <f>VLOOKUP($H$9&amp;$F$1,'Input RM sheet'!$A:$DD,BR1,0)</f>
        <v>77.5</v>
      </c>
      <c r="BT9" s="74">
        <f>VLOOKUP($H$9&amp;$F$1,'Input RM sheet'!$A:$DD,BS1,0)</f>
        <v>77.5</v>
      </c>
      <c r="BU9" s="74">
        <f>VLOOKUP($H$9&amp;$F$1,'Input RM sheet'!$A:$DD,BT1,0)</f>
        <v>79</v>
      </c>
      <c r="BV9" s="74">
        <f>VLOOKUP($H$9&amp;$F$1,'Input RM sheet'!$A:$DD,BU1,0)</f>
        <v>81</v>
      </c>
      <c r="BW9" s="74">
        <f>VLOOKUP($H$9&amp;$F$1,'Input RM sheet'!$A:$DD,BV1,0)</f>
        <v>81</v>
      </c>
      <c r="BX9" s="74">
        <f>VLOOKUP($H$9&amp;$F$1,'Input RM sheet'!$A:$DD,BW1,0)</f>
        <v>86</v>
      </c>
      <c r="BY9" s="74">
        <f>VLOOKUP($H$9&amp;$F$1,'Input RM sheet'!$A:$DD,BX1,0)</f>
        <v>86</v>
      </c>
      <c r="BZ9" s="74">
        <f>VLOOKUP($H$9&amp;$F$1,'Input RM sheet'!$A:$DD,BY1,0)</f>
        <v>86</v>
      </c>
      <c r="CA9" s="74">
        <f>VLOOKUP($H$9&amp;$F$1,'Input RM sheet'!$A:$DD,BZ1,0)</f>
        <v>85</v>
      </c>
      <c r="CB9" s="74">
        <f>VLOOKUP($H$9&amp;$F$1,'Input RM sheet'!$A:$DD,CA1,0)</f>
        <v>85</v>
      </c>
      <c r="CC9" s="74">
        <f>VLOOKUP($H$9&amp;$F$1,'Input RM sheet'!$A:$DD,CB1,0)</f>
        <v>90</v>
      </c>
      <c r="CD9" s="74">
        <f>VLOOKUP($H$9&amp;$F$1,'Input RM sheet'!$A:$DD,CC1,0)</f>
        <v>90</v>
      </c>
      <c r="CE9" s="74">
        <f>VLOOKUP($H$9&amp;$F$1,'Input RM sheet'!$A:$DD,CD1,0)</f>
        <v>96</v>
      </c>
      <c r="CF9" s="74">
        <f>VLOOKUP($H$9&amp;$F$1,'Input RM sheet'!$A:$DD,CE1,0)</f>
        <v>98</v>
      </c>
      <c r="CG9" s="74">
        <f>VLOOKUP($H$9&amp;$F$1,'Input RM sheet'!$A:$DD,CF1,0)</f>
        <v>98.5</v>
      </c>
      <c r="CH9" s="74">
        <f>VLOOKUP($H$9&amp;$F$1,'Input RM sheet'!$A:$DD,CG1,0)</f>
        <v>94</v>
      </c>
      <c r="CI9" s="74">
        <f>VLOOKUP($H$9&amp;$F$1,'Input RM sheet'!$A:$DD,CH1,0)</f>
        <v>94</v>
      </c>
      <c r="CJ9" s="74">
        <f>VLOOKUP($H$9&amp;$F$1,'Input RM sheet'!$A:$DD,CI1,0)</f>
        <v>94</v>
      </c>
      <c r="CK9" s="74">
        <f>VLOOKUP($H$9&amp;$F$1,'Input RM sheet'!$A:$DD,CJ1,0)</f>
        <v>94</v>
      </c>
      <c r="CL9" s="74">
        <f>VLOOKUP($H$9&amp;$F$1,'Input RM sheet'!$A:$DD,CK1,0)</f>
        <v>92</v>
      </c>
      <c r="CM9" s="74">
        <f>VLOOKUP($H$9&amp;$F$1,'Input RM sheet'!$A:$DD,CL1,0)</f>
        <v>87</v>
      </c>
      <c r="CN9" s="74">
        <f>VLOOKUP($H$9&amp;$F$1,'Input RM sheet'!$A:$DD,CM1,0)</f>
        <v>85</v>
      </c>
      <c r="CO9" s="74">
        <f>VLOOKUP($H$9&amp;$F$1,'Input RM sheet'!$A:$DD,CN1,0)</f>
        <v>89</v>
      </c>
      <c r="CP9" s="74">
        <f>VLOOKUP($H$9&amp;$F$1,'Input RM sheet'!$A:$DD,CO1,0)</f>
        <v>90</v>
      </c>
      <c r="CQ9" s="74">
        <f>VLOOKUP($H$9&amp;$F$1,'Input RM sheet'!$A:$DD,CP1,0)</f>
        <v>90</v>
      </c>
      <c r="CR9" s="74">
        <f>VLOOKUP($H$9&amp;$F$1,'Input RM sheet'!$A:$DD,CQ1,0)</f>
        <v>90</v>
      </c>
      <c r="CS9" s="74">
        <f>VLOOKUP($H$9&amp;$F$1,'Input RM sheet'!$A:$DD,CR1,0)</f>
        <v>92</v>
      </c>
      <c r="CT9" s="74">
        <f>VLOOKUP($H$9&amp;$F$1,'Input RM sheet'!$A:$DD,CS1,0)</f>
        <v>92</v>
      </c>
      <c r="CU9" s="74">
        <f>VLOOKUP($H$9&amp;$F$1,'Input RM sheet'!$A:$DD,CT1,0)</f>
        <v>92</v>
      </c>
      <c r="CV9" s="74">
        <f>VLOOKUP($H$9&amp;$F$1,'Input RM sheet'!$A:$DD,CU1,0)</f>
        <v>92</v>
      </c>
      <c r="CW9" s="74">
        <f>VLOOKUP($H$9&amp;$F$1,'Input RM sheet'!$A:$DD,CV1,0)</f>
        <v>85</v>
      </c>
      <c r="CX9" s="74">
        <f>VLOOKUP($H$9&amp;$F$1,'Input RM sheet'!$A:$DD,CW1,0)</f>
        <v>85</v>
      </c>
      <c r="CY9" s="74">
        <f>VLOOKUP($H$9&amp;$F$1,'Input RM sheet'!$A:$DD,CX1,0)</f>
        <v>85</v>
      </c>
      <c r="CZ9" s="74">
        <f>VLOOKUP($H$9&amp;$F$1,'Input RM sheet'!$A:$DD,CY1,0)</f>
        <v>85</v>
      </c>
      <c r="DA9" s="74">
        <f>VLOOKUP($H$9&amp;$F$1,'Input RM sheet'!$A:$DD,CZ1,0)</f>
        <v>85</v>
      </c>
      <c r="DB9" s="74">
        <f>VLOOKUP($H$9&amp;$F$1,'Input RM sheet'!$A:$DD,DA1,0)</f>
        <v>85</v>
      </c>
      <c r="DC9" s="74">
        <f>VLOOKUP($H$9&amp;$F$1,'Input RM sheet'!$A:$DD,DB1,0)</f>
        <v>89</v>
      </c>
      <c r="DD9" s="74">
        <f>VLOOKUP($H$9&amp;$F$1,'Input RM sheet'!$A:$DD,DC1,0)</f>
        <v>89</v>
      </c>
      <c r="DE9" s="74">
        <f>VLOOKUP($H$9&amp;$F$1,'Input RM sheet'!$A:$DD,DD1,0)</f>
        <v>91</v>
      </c>
      <c r="DF9" s="74">
        <f>VLOOKUP($H$9&amp;$F$1,'Input RM sheet'!$A:$DD,DE1,0)</f>
        <v>91</v>
      </c>
      <c r="DG9" s="74">
        <f>VLOOKUP($H$9&amp;$F$1,'Input RM sheet'!$A:$DD,DF1,0)</f>
        <v>91</v>
      </c>
      <c r="DH9" s="74">
        <f>VLOOKUP($H$9&amp;$F$1,'Input RM sheet'!$A:$ZZ,DG1,0)</f>
        <v>95</v>
      </c>
      <c r="DI9" s="74">
        <f>VLOOKUP($H$9&amp;$F$1,'Input RM sheet'!$A:$ZZ,DH1,0)</f>
        <v>88</v>
      </c>
      <c r="DJ9" s="74">
        <f>VLOOKUP($H$9&amp;$F$1,'Input RM sheet'!$A:$ZZ,DI1,0)</f>
        <v>88</v>
      </c>
      <c r="DK9" s="74">
        <f>VLOOKUP($H$9&amp;$F$1,'Input RM sheet'!$A:$ZZ,DJ1,0)</f>
        <v>88</v>
      </c>
      <c r="DL9" s="74">
        <f>VLOOKUP($H$9&amp;$F$1,'Input RM sheet'!$A:$ZZ,DK1,0)</f>
        <v>88</v>
      </c>
      <c r="DM9" s="74">
        <f>VLOOKUP($H$9&amp;$F$1,'Input RM sheet'!$A:$ZZ,DL1,0)</f>
        <v>88</v>
      </c>
      <c r="DN9" s="74">
        <f>VLOOKUP($H$9&amp;$F$1,'Input RM sheet'!$A:$ZZ,DM1,0)</f>
        <v>90</v>
      </c>
      <c r="DO9" s="74">
        <f>VLOOKUP($H$9&amp;$F$1,'Input RM sheet'!$A:$ZZ,DN1,0)</f>
        <v>90</v>
      </c>
      <c r="DP9" s="74">
        <f>VLOOKUP($H$9&amp;$F$1,'Input RM sheet'!$A:$ZZ,DO1,0)</f>
        <v>93</v>
      </c>
      <c r="DQ9" s="74">
        <f>VLOOKUP($H$9&amp;$F$1,'Input RM sheet'!$A:$ZZ,DP1,0)</f>
        <v>95</v>
      </c>
      <c r="DR9" s="74">
        <f>VLOOKUP($H$9&amp;$F$1,'Input RM sheet'!$A:$ZZ,DQ1,0)</f>
        <v>95</v>
      </c>
      <c r="DS9" s="74">
        <f>VLOOKUP($H$9&amp;$F$1,'Input RM sheet'!$A:$ZZ,DR1,0)</f>
        <v>93</v>
      </c>
      <c r="DT9" s="74">
        <f>VLOOKUP($H$9&amp;$F$1,'Input RM sheet'!$A:$ZZ,DS1,0)</f>
        <v>0</v>
      </c>
      <c r="DU9" s="74">
        <f>VLOOKUP($H$9&amp;$F$1,'Input RM sheet'!$A:$ZZ,DT1,0)</f>
        <v>0</v>
      </c>
      <c r="DV9" s="74">
        <f>VLOOKUP($H$9&amp;$F$1,'Input RM sheet'!$A:$ZZ,DU1,0)</f>
        <v>0</v>
      </c>
      <c r="DW9" s="74" t="e">
        <f>VLOOKUP($H$9&amp;$F$1,'Input RM sheet'!$A:$DD,DV1,0)</f>
        <v>#REF!</v>
      </c>
      <c r="DX9" s="74" t="e">
        <f>VLOOKUP($H$9&amp;$F$1,'Input RM sheet'!$A:$DD,DW1,0)</f>
        <v>#REF!</v>
      </c>
      <c r="DY9" s="74" t="e">
        <f>VLOOKUP($H$9&amp;$F$1,'Input RM sheet'!$A:$DD,DX1,0)</f>
        <v>#REF!</v>
      </c>
      <c r="DZ9" s="74" t="e">
        <f>VLOOKUP($H$9&amp;$F$1,'Input RM sheet'!$A:$DD,DY1,0)</f>
        <v>#REF!</v>
      </c>
      <c r="EA9" s="74" t="e">
        <f>VLOOKUP($H$9&amp;$F$1,'Input RM sheet'!$A:$DD,DZ1,0)</f>
        <v>#REF!</v>
      </c>
      <c r="EB9" s="74" t="e">
        <f>VLOOKUP($H$9&amp;$F$1,'Input RM sheet'!$A:$DD,EA1,0)</f>
        <v>#REF!</v>
      </c>
      <c r="EC9" s="74" t="e">
        <f>VLOOKUP($H$9&amp;$F$1,'Input RM sheet'!$A:$DD,EB1,0)</f>
        <v>#REF!</v>
      </c>
      <c r="ED9" s="74" t="e">
        <f>VLOOKUP($H$9&amp;$F$1,'Input RM sheet'!$A:$DD,EC1,0)</f>
        <v>#REF!</v>
      </c>
      <c r="EE9" s="74" t="e">
        <f>VLOOKUP($H$9&amp;$F$1,'Input RM sheet'!$A:$DD,ED1,0)</f>
        <v>#REF!</v>
      </c>
      <c r="EF9" s="74" t="e">
        <f>VLOOKUP($H$9&amp;$F$1,'Input RM sheet'!$A:$DD,EE1,0)</f>
        <v>#REF!</v>
      </c>
      <c r="EG9" s="74" t="e">
        <f>VLOOKUP($H$9&amp;$F$1,'Input RM sheet'!$A:$DD,EF1,0)</f>
        <v>#REF!</v>
      </c>
      <c r="EH9" s="74" t="e">
        <f>VLOOKUP($H$9&amp;$F$1,'Input RM sheet'!$A:$DD,EG1,0)</f>
        <v>#REF!</v>
      </c>
      <c r="EI9" s="74" t="e">
        <f>VLOOKUP($H$9&amp;$F$1,'Input RM sheet'!$A:$DD,EH1,0)</f>
        <v>#REF!</v>
      </c>
      <c r="EJ9" s="74" t="e">
        <f>VLOOKUP($H$9&amp;$F$1,'Input RM sheet'!$A:$DD,EI1,0)</f>
        <v>#REF!</v>
      </c>
      <c r="EK9" s="74" t="e">
        <f>VLOOKUP($H$9&amp;$F$1,'Input RM sheet'!$A:$DD,EJ1,0)</f>
        <v>#REF!</v>
      </c>
      <c r="EL9" s="74" t="e">
        <f>VLOOKUP($H$9&amp;$F$1,'Input RM sheet'!$A:$DD,EK1,0)</f>
        <v>#REF!</v>
      </c>
      <c r="EM9" s="74" t="e">
        <f>VLOOKUP($H$9&amp;$F$1,'Input RM sheet'!$A:$DD,EL1,0)</f>
        <v>#REF!</v>
      </c>
      <c r="EN9" s="74" t="e">
        <f>VLOOKUP($H$9&amp;$F$1,'Input RM sheet'!$A:$DD,EM1,0)</f>
        <v>#REF!</v>
      </c>
      <c r="EO9" s="74" t="e">
        <f>VLOOKUP($H$9&amp;$F$1,'Input RM sheet'!$A:$DD,EN1,0)</f>
        <v>#REF!</v>
      </c>
      <c r="EP9" s="74" t="e">
        <f>VLOOKUP($H$9&amp;$F$1,'Input RM sheet'!$A:$DD,EO1,0)</f>
        <v>#REF!</v>
      </c>
      <c r="EQ9" s="74" t="e">
        <f>VLOOKUP($H$9&amp;$F$1,'Input RM sheet'!$A:$DD,EP1,0)</f>
        <v>#REF!</v>
      </c>
      <c r="ER9" s="74" t="e">
        <f>VLOOKUP($H$9&amp;$F$1,'Input RM sheet'!$A:$DD,EQ1,0)</f>
        <v>#REF!</v>
      </c>
      <c r="ES9" s="74" t="e">
        <f>VLOOKUP($H$9&amp;$F$1,'Input RM sheet'!$A:$DD,ER1,0)</f>
        <v>#REF!</v>
      </c>
      <c r="ET9" s="74" t="e">
        <f>VLOOKUP($H$9&amp;$F$1,'Input RM sheet'!$A:$DD,ES1,0)</f>
        <v>#REF!</v>
      </c>
      <c r="EU9" s="74" t="e">
        <f>VLOOKUP($H$9&amp;$F$1,'Input RM sheet'!$A:$DD,ET1,0)</f>
        <v>#REF!</v>
      </c>
      <c r="EV9" s="74" t="e">
        <f>VLOOKUP($H$9&amp;$F$1,'Input RM sheet'!$A:$DD,EU1,0)</f>
        <v>#REF!</v>
      </c>
      <c r="EW9" s="74" t="e">
        <f>VLOOKUP($H$9&amp;$F$1,'Input RM sheet'!$A:$DD,EV1,0)</f>
        <v>#REF!</v>
      </c>
      <c r="EX9" s="74" t="e">
        <f>VLOOKUP($H$9&amp;$F$1,'Input RM sheet'!$A:$DD,EW1,0)</f>
        <v>#REF!</v>
      </c>
      <c r="EY9" s="74" t="e">
        <f>VLOOKUP($H$9&amp;$F$1,'Input RM sheet'!$A:$DD,EX1,0)</f>
        <v>#REF!</v>
      </c>
      <c r="EZ9" s="74" t="e">
        <f>VLOOKUP($H$9&amp;$F$1,'Input RM sheet'!$A:$DD,EY1,0)</f>
        <v>#REF!</v>
      </c>
      <c r="FA9" s="74" t="e">
        <f>VLOOKUP($H$9&amp;$F$1,'Input RM sheet'!$A:$DD,EZ1,0)</f>
        <v>#REF!</v>
      </c>
      <c r="FB9" s="74" t="e">
        <f>VLOOKUP($H$9&amp;$F$1,'Input RM sheet'!$A:$DD,FA1,0)</f>
        <v>#REF!</v>
      </c>
      <c r="FC9" s="74" t="e">
        <f>VLOOKUP($H$9&amp;$F$1,'Input RM sheet'!$A:$DD,FB1,0)</f>
        <v>#REF!</v>
      </c>
      <c r="FD9" s="74" t="e">
        <f>VLOOKUP($H$9&amp;$F$1,'Input RM sheet'!$A:$DD,FC1,0)</f>
        <v>#REF!</v>
      </c>
      <c r="FE9" s="74" t="e">
        <f>VLOOKUP($H$9&amp;$F$1,'Input RM sheet'!$A:$DD,FD1,0)</f>
        <v>#REF!</v>
      </c>
    </row>
    <row r="10" spans="1:164">
      <c r="B10" s="44"/>
      <c r="D10" s="44"/>
      <c r="H10" s="44" t="s">
        <v>751</v>
      </c>
      <c r="I10" s="74"/>
      <c r="J10" s="74"/>
      <c r="K10" s="74"/>
      <c r="L10" s="74"/>
      <c r="M10" s="74"/>
      <c r="N10" s="74"/>
      <c r="O10" s="74"/>
      <c r="P10" s="74"/>
      <c r="Q10" s="74"/>
      <c r="R10" s="74"/>
      <c r="S10" s="74"/>
      <c r="T10" s="74"/>
      <c r="U10" s="74"/>
      <c r="V10" s="74"/>
      <c r="W10" s="74"/>
      <c r="X10" s="74"/>
      <c r="Y10" s="74"/>
      <c r="Z10" s="74"/>
      <c r="AA10" s="74"/>
      <c r="AB10" s="74"/>
      <c r="AC10" s="74"/>
      <c r="AD10" s="74">
        <f t="shared" ref="AD10:BI10" si="0">AD9/3</f>
        <v>37.666666666666664</v>
      </c>
      <c r="AE10" s="74">
        <f t="shared" si="0"/>
        <v>37.051282051282051</v>
      </c>
      <c r="AF10" s="74">
        <f t="shared" si="0"/>
        <v>36.666666666666664</v>
      </c>
      <c r="AG10" s="74">
        <f t="shared" si="0"/>
        <v>33.197272727272725</v>
      </c>
      <c r="AH10" s="74">
        <f t="shared" si="0"/>
        <v>34.666666666666664</v>
      </c>
      <c r="AI10" s="74">
        <f t="shared" si="0"/>
        <v>38.871604938271609</v>
      </c>
      <c r="AJ10" s="74">
        <f t="shared" si="0"/>
        <v>31.900000000000002</v>
      </c>
      <c r="AK10" s="74">
        <f t="shared" si="0"/>
        <v>31.900000000000002</v>
      </c>
      <c r="AL10" s="74">
        <f t="shared" si="0"/>
        <v>38.383333333333333</v>
      </c>
      <c r="AM10" s="74">
        <f t="shared" si="0"/>
        <v>37.375</v>
      </c>
      <c r="AN10" s="74">
        <f t="shared" si="0"/>
        <v>35.157894736842103</v>
      </c>
      <c r="AO10" s="74">
        <f t="shared" si="0"/>
        <v>35.157894736842103</v>
      </c>
      <c r="AP10" s="74">
        <f t="shared" si="0"/>
        <v>35.157894736842103</v>
      </c>
      <c r="AQ10" s="74">
        <f t="shared" si="0"/>
        <v>35.157894736842103</v>
      </c>
      <c r="AR10" s="74">
        <f t="shared" si="0"/>
        <v>35.157894736842103</v>
      </c>
      <c r="AS10" s="74">
        <f t="shared" si="0"/>
        <v>35.157894736842103</v>
      </c>
      <c r="AT10" s="74">
        <f t="shared" si="0"/>
        <v>35.157894736842103</v>
      </c>
      <c r="AU10" s="74">
        <f t="shared" si="0"/>
        <v>29.222222222222225</v>
      </c>
      <c r="AV10" s="74">
        <f t="shared" si="0"/>
        <v>28.666666666666668</v>
      </c>
      <c r="AW10" s="74">
        <f t="shared" si="0"/>
        <v>28.666666666666668</v>
      </c>
      <c r="AX10" s="74">
        <f>AX9/3</f>
        <v>32</v>
      </c>
      <c r="AY10" s="74">
        <f t="shared" si="0"/>
        <v>31.090748299319728</v>
      </c>
      <c r="AZ10" s="74">
        <f t="shared" si="0"/>
        <v>31.090748299319728</v>
      </c>
      <c r="BA10" s="74">
        <f t="shared" si="0"/>
        <v>31.090748299319728</v>
      </c>
      <c r="BB10" s="74">
        <f t="shared" si="0"/>
        <v>31.090748299319728</v>
      </c>
      <c r="BC10" s="74">
        <f t="shared" si="0"/>
        <v>25.985087336244543</v>
      </c>
      <c r="BD10" s="74">
        <f t="shared" si="0"/>
        <v>25.985087336244543</v>
      </c>
      <c r="BE10" s="74">
        <f t="shared" si="0"/>
        <v>25.985087336244543</v>
      </c>
      <c r="BF10" s="74">
        <f t="shared" si="0"/>
        <v>25.985087336244543</v>
      </c>
      <c r="BG10" s="74">
        <f t="shared" si="0"/>
        <v>33.970238095238095</v>
      </c>
      <c r="BH10" s="74">
        <f t="shared" si="0"/>
        <v>33.970238095238095</v>
      </c>
      <c r="BI10" s="74">
        <f t="shared" si="0"/>
        <v>33.970238095238095</v>
      </c>
      <c r="BJ10" s="74">
        <f t="shared" ref="BJ10:CM10" si="1">BJ9/3</f>
        <v>33.970238095238095</v>
      </c>
      <c r="BK10" s="74">
        <f t="shared" si="1"/>
        <v>30.666666666666668</v>
      </c>
      <c r="BL10" s="74">
        <f t="shared" si="1"/>
        <v>30.666666666666668</v>
      </c>
      <c r="BM10" s="74">
        <f t="shared" si="1"/>
        <v>28.666666666666668</v>
      </c>
      <c r="BN10" s="74">
        <f t="shared" si="1"/>
        <v>28.666666666666668</v>
      </c>
      <c r="BO10" s="74">
        <f t="shared" si="1"/>
        <v>26.166666666666668</v>
      </c>
      <c r="BP10" s="74">
        <f t="shared" si="1"/>
        <v>26.166666666666668</v>
      </c>
      <c r="BQ10" s="74">
        <f t="shared" si="1"/>
        <v>26.166666666666668</v>
      </c>
      <c r="BR10" s="74">
        <f t="shared" si="1"/>
        <v>27.333333333333332</v>
      </c>
      <c r="BS10" s="74">
        <f t="shared" si="1"/>
        <v>25.833333333333332</v>
      </c>
      <c r="BT10" s="74">
        <f t="shared" si="1"/>
        <v>25.833333333333332</v>
      </c>
      <c r="BU10" s="74">
        <f t="shared" si="1"/>
        <v>26.333333333333332</v>
      </c>
      <c r="BV10" s="74">
        <f t="shared" si="1"/>
        <v>27</v>
      </c>
      <c r="BW10" s="74">
        <f t="shared" si="1"/>
        <v>27</v>
      </c>
      <c r="BX10" s="74">
        <f t="shared" si="1"/>
        <v>28.666666666666668</v>
      </c>
      <c r="BY10" s="74">
        <f t="shared" si="1"/>
        <v>28.666666666666668</v>
      </c>
      <c r="BZ10" s="74">
        <f t="shared" si="1"/>
        <v>28.666666666666668</v>
      </c>
      <c r="CA10" s="74">
        <f t="shared" si="1"/>
        <v>28.333333333333332</v>
      </c>
      <c r="CB10" s="74">
        <f t="shared" si="1"/>
        <v>28.333333333333332</v>
      </c>
      <c r="CC10" s="74">
        <f t="shared" si="1"/>
        <v>30</v>
      </c>
      <c r="CD10" s="74">
        <f t="shared" si="1"/>
        <v>30</v>
      </c>
      <c r="CE10" s="74">
        <f t="shared" si="1"/>
        <v>32</v>
      </c>
      <c r="CF10" s="74">
        <f t="shared" si="1"/>
        <v>32.666666666666664</v>
      </c>
      <c r="CG10" s="74">
        <f t="shared" si="1"/>
        <v>32.833333333333336</v>
      </c>
      <c r="CH10" s="74">
        <f t="shared" si="1"/>
        <v>31.333333333333332</v>
      </c>
      <c r="CI10" s="74">
        <f t="shared" si="1"/>
        <v>31.333333333333332</v>
      </c>
      <c r="CJ10" s="74">
        <f t="shared" si="1"/>
        <v>31.333333333333332</v>
      </c>
      <c r="CK10" s="74">
        <f t="shared" si="1"/>
        <v>31.333333333333332</v>
      </c>
      <c r="CL10" s="74">
        <f t="shared" si="1"/>
        <v>30.666666666666668</v>
      </c>
      <c r="CM10" s="74">
        <f t="shared" si="1"/>
        <v>29</v>
      </c>
      <c r="CN10" s="74">
        <f t="shared" ref="CN10:CS10" si="2">CN9/3</f>
        <v>28.333333333333332</v>
      </c>
      <c r="CO10" s="74">
        <f t="shared" si="2"/>
        <v>29.666666666666668</v>
      </c>
      <c r="CP10" s="74">
        <f t="shared" si="2"/>
        <v>30</v>
      </c>
      <c r="CQ10" s="74">
        <f t="shared" si="2"/>
        <v>30</v>
      </c>
      <c r="CR10" s="74">
        <f t="shared" si="2"/>
        <v>30</v>
      </c>
      <c r="CS10" s="74">
        <f t="shared" si="2"/>
        <v>30.666666666666668</v>
      </c>
      <c r="CT10" s="74">
        <f t="shared" ref="CT10:FE10" si="3">CT9/3</f>
        <v>30.666666666666668</v>
      </c>
      <c r="CU10" s="74">
        <f t="shared" si="3"/>
        <v>30.666666666666668</v>
      </c>
      <c r="CV10" s="74">
        <f t="shared" si="3"/>
        <v>30.666666666666668</v>
      </c>
      <c r="CW10" s="74">
        <f t="shared" si="3"/>
        <v>28.333333333333332</v>
      </c>
      <c r="CX10" s="74">
        <f t="shared" si="3"/>
        <v>28.333333333333332</v>
      </c>
      <c r="CY10" s="74">
        <f t="shared" si="3"/>
        <v>28.333333333333332</v>
      </c>
      <c r="CZ10" s="74">
        <f t="shared" si="3"/>
        <v>28.333333333333332</v>
      </c>
      <c r="DA10" s="74">
        <f t="shared" si="3"/>
        <v>28.333333333333332</v>
      </c>
      <c r="DB10" s="74">
        <f t="shared" si="3"/>
        <v>28.333333333333332</v>
      </c>
      <c r="DC10" s="74">
        <f t="shared" si="3"/>
        <v>29.666666666666668</v>
      </c>
      <c r="DD10" s="74">
        <f t="shared" si="3"/>
        <v>29.666666666666668</v>
      </c>
      <c r="DE10" s="74">
        <f t="shared" si="3"/>
        <v>30.333333333333332</v>
      </c>
      <c r="DF10" s="74">
        <f t="shared" si="3"/>
        <v>30.333333333333332</v>
      </c>
      <c r="DG10" s="74">
        <f t="shared" si="3"/>
        <v>30.333333333333332</v>
      </c>
      <c r="DH10" s="74">
        <v>35</v>
      </c>
      <c r="DI10" s="74">
        <v>35</v>
      </c>
      <c r="DJ10" s="74">
        <v>30</v>
      </c>
      <c r="DK10" s="74">
        <v>30</v>
      </c>
      <c r="DL10" s="74">
        <v>30</v>
      </c>
      <c r="DM10" s="74">
        <v>30</v>
      </c>
      <c r="DN10" s="74">
        <v>30</v>
      </c>
      <c r="DO10" s="74">
        <v>30</v>
      </c>
      <c r="DP10" s="74">
        <f>DP9/3</f>
        <v>31</v>
      </c>
      <c r="DQ10" s="74">
        <f t="shared" si="3"/>
        <v>31.666666666666668</v>
      </c>
      <c r="DR10" s="74">
        <f t="shared" si="3"/>
        <v>31.666666666666668</v>
      </c>
      <c r="DS10" s="74">
        <f t="shared" si="3"/>
        <v>31</v>
      </c>
      <c r="DT10" s="74">
        <f t="shared" si="3"/>
        <v>0</v>
      </c>
      <c r="DU10" s="74">
        <f t="shared" si="3"/>
        <v>0</v>
      </c>
      <c r="DV10" s="74">
        <f t="shared" si="3"/>
        <v>0</v>
      </c>
      <c r="DW10" s="74" t="e">
        <f t="shared" si="3"/>
        <v>#REF!</v>
      </c>
      <c r="DX10" s="74" t="e">
        <f t="shared" si="3"/>
        <v>#REF!</v>
      </c>
      <c r="DY10" s="74" t="e">
        <f t="shared" si="3"/>
        <v>#REF!</v>
      </c>
      <c r="DZ10" s="74" t="e">
        <f t="shared" si="3"/>
        <v>#REF!</v>
      </c>
      <c r="EA10" s="74" t="e">
        <f t="shared" si="3"/>
        <v>#REF!</v>
      </c>
      <c r="EB10" s="74" t="e">
        <f t="shared" si="3"/>
        <v>#REF!</v>
      </c>
      <c r="EC10" s="74" t="e">
        <f t="shared" si="3"/>
        <v>#REF!</v>
      </c>
      <c r="ED10" s="74" t="e">
        <f t="shared" si="3"/>
        <v>#REF!</v>
      </c>
      <c r="EE10" s="74" t="e">
        <f t="shared" si="3"/>
        <v>#REF!</v>
      </c>
      <c r="EF10" s="74" t="e">
        <f t="shared" si="3"/>
        <v>#REF!</v>
      </c>
      <c r="EG10" s="74" t="e">
        <f t="shared" si="3"/>
        <v>#REF!</v>
      </c>
      <c r="EH10" s="74" t="e">
        <f t="shared" si="3"/>
        <v>#REF!</v>
      </c>
      <c r="EI10" s="74" t="e">
        <f t="shared" si="3"/>
        <v>#REF!</v>
      </c>
      <c r="EJ10" s="74" t="e">
        <f t="shared" si="3"/>
        <v>#REF!</v>
      </c>
      <c r="EK10" s="74" t="e">
        <f t="shared" si="3"/>
        <v>#REF!</v>
      </c>
      <c r="EL10" s="74" t="e">
        <f t="shared" si="3"/>
        <v>#REF!</v>
      </c>
      <c r="EM10" s="74" t="e">
        <f t="shared" si="3"/>
        <v>#REF!</v>
      </c>
      <c r="EN10" s="74" t="e">
        <f t="shared" si="3"/>
        <v>#REF!</v>
      </c>
      <c r="EO10" s="74" t="e">
        <f t="shared" si="3"/>
        <v>#REF!</v>
      </c>
      <c r="EP10" s="74" t="e">
        <f t="shared" si="3"/>
        <v>#REF!</v>
      </c>
      <c r="EQ10" s="74" t="e">
        <f t="shared" si="3"/>
        <v>#REF!</v>
      </c>
      <c r="ER10" s="74" t="e">
        <f t="shared" si="3"/>
        <v>#REF!</v>
      </c>
      <c r="ES10" s="74" t="e">
        <f t="shared" si="3"/>
        <v>#REF!</v>
      </c>
      <c r="ET10" s="74" t="e">
        <f t="shared" si="3"/>
        <v>#REF!</v>
      </c>
      <c r="EU10" s="74" t="e">
        <f t="shared" si="3"/>
        <v>#REF!</v>
      </c>
      <c r="EV10" s="74" t="e">
        <f t="shared" si="3"/>
        <v>#REF!</v>
      </c>
      <c r="EW10" s="74" t="e">
        <f t="shared" si="3"/>
        <v>#REF!</v>
      </c>
      <c r="EX10" s="74" t="e">
        <f t="shared" si="3"/>
        <v>#REF!</v>
      </c>
      <c r="EY10" s="74" t="e">
        <f t="shared" si="3"/>
        <v>#REF!</v>
      </c>
      <c r="EZ10" s="74" t="e">
        <f t="shared" si="3"/>
        <v>#REF!</v>
      </c>
      <c r="FA10" s="74" t="e">
        <f t="shared" si="3"/>
        <v>#REF!</v>
      </c>
      <c r="FB10" s="74" t="e">
        <f t="shared" si="3"/>
        <v>#REF!</v>
      </c>
      <c r="FC10" s="74" t="e">
        <f t="shared" si="3"/>
        <v>#REF!</v>
      </c>
      <c r="FD10" s="74" t="e">
        <f t="shared" si="3"/>
        <v>#REF!</v>
      </c>
      <c r="FE10" s="74" t="e">
        <f t="shared" si="3"/>
        <v>#REF!</v>
      </c>
    </row>
    <row r="11" spans="1:164">
      <c r="B11" s="44"/>
      <c r="D11" s="44"/>
      <c r="H11" s="44" t="s">
        <v>146</v>
      </c>
      <c r="I11" s="74">
        <f>VLOOKUP($H$11&amp;$F$1,'Input RM sheet'!$A:$BD,H1,0)</f>
        <v>0</v>
      </c>
      <c r="J11" s="74">
        <f>VLOOKUP($H$11&amp;$F$1,'Input RM sheet'!$A:$BD,I1,0)</f>
        <v>0</v>
      </c>
      <c r="K11" s="74">
        <f>VLOOKUP($H$11&amp;$F$1,'Input RM sheet'!$A:$BD,J1,0)</f>
        <v>0</v>
      </c>
      <c r="L11" s="74">
        <f>VLOOKUP($H$11&amp;$F$1,'Input RM sheet'!$A:$BD,K1,0)</f>
        <v>0</v>
      </c>
      <c r="M11" s="74">
        <f>VLOOKUP($H$11&amp;$F$1,'Input RM sheet'!$A:$BD,L1,0)</f>
        <v>0</v>
      </c>
      <c r="N11" s="74">
        <f>VLOOKUP($H$11&amp;$F$1,'Input RM sheet'!$A:$BD,M1,0)</f>
        <v>0</v>
      </c>
      <c r="O11" s="74">
        <f>VLOOKUP($H$11&amp;$F$1,'Input RM sheet'!$A:$BD,N1,0)</f>
        <v>0</v>
      </c>
      <c r="P11" s="74">
        <f>VLOOKUP($H$11&amp;$F$1,'Input RM sheet'!$A:$BD,O1,0)</f>
        <v>0</v>
      </c>
      <c r="Q11" s="74">
        <f>VLOOKUP($H$11&amp;$F$1,'Input RM sheet'!$A:$BD,P1,0)</f>
        <v>0</v>
      </c>
      <c r="R11" s="74">
        <f>VLOOKUP($H$11&amp;$F$1,'Input RM sheet'!$A:$BD,Q1,0)</f>
        <v>0</v>
      </c>
      <c r="S11" s="74">
        <f>VLOOKUP($H$11&amp;$F$1,'Input RM sheet'!$A:$BD,R1,0)</f>
        <v>0</v>
      </c>
      <c r="T11" s="74">
        <f>VLOOKUP($H$11&amp;$F$1,'Input RM sheet'!$A:$BD,S1,0)</f>
        <v>0</v>
      </c>
      <c r="U11" s="74">
        <f>VLOOKUP($H$11&amp;$F$1,'Input RM sheet'!$A:$BD,T1,0)</f>
        <v>0</v>
      </c>
      <c r="V11" s="74">
        <f>VLOOKUP($H$11&amp;$F$1,'Input RM sheet'!$A:$BD,U1,0)</f>
        <v>0</v>
      </c>
      <c r="W11" s="74">
        <f>VLOOKUP($H$11&amp;$F$1,'Input RM sheet'!$A:$BD,V1,0)</f>
        <v>0</v>
      </c>
      <c r="X11" s="74">
        <f>VLOOKUP($H$11&amp;$F$1,'Input RM sheet'!$A:$BD,W1,0)</f>
        <v>0</v>
      </c>
      <c r="Y11" s="74">
        <f>VLOOKUP($H$11&amp;$F$1,'Input RM sheet'!$A:$BD,X1,0)</f>
        <v>0</v>
      </c>
      <c r="Z11" s="74">
        <f>VLOOKUP($H$11&amp;$F$1,'Input RM sheet'!$A:$BD,Y1,0)</f>
        <v>0</v>
      </c>
      <c r="AA11" s="74">
        <f>VLOOKUP($H$11&amp;$F$1,'Input RM sheet'!$A:$BD,Z1,0)</f>
        <v>0</v>
      </c>
      <c r="AB11" s="74">
        <f>VLOOKUP($H$11&amp;$F$1,'Input RM sheet'!$A:$BD,AA1,0)</f>
        <v>0</v>
      </c>
      <c r="AC11" s="74">
        <f>VLOOKUP($H$11&amp;$F$1,'Input RM sheet'!$A:$BD,AB1,0)</f>
        <v>0</v>
      </c>
      <c r="AD11" s="74">
        <f>VLOOKUP($H$11&amp;$F$1,'Input RM sheet'!$A:$BD,AC1,0)</f>
        <v>68.168099999999995</v>
      </c>
      <c r="AE11" s="74">
        <f>VLOOKUP($H$11&amp;$F$1,'Input RM sheet'!$A:$BD,AD1,0)</f>
        <v>69.303643750000006</v>
      </c>
      <c r="AF11" s="74">
        <f>VLOOKUP($H$11&amp;$F$1,'Input RM sheet'!$A:$BD,AE1,0)</f>
        <v>59.204700000000003</v>
      </c>
      <c r="AG11" s="74">
        <f>VLOOKUP($H$11&amp;$F$1,'Input RM sheet'!$A:$BD,AF1,0)</f>
        <v>55.279125000000008</v>
      </c>
      <c r="AH11" s="74">
        <f>VLOOKUP($H$11&amp;$F$1,'Input RM sheet'!$A:$BD,AG1,0)</f>
        <v>64.090799999999987</v>
      </c>
      <c r="AI11" s="74">
        <f>VLOOKUP($H$11&amp;$F$1,'Input RM sheet'!$A:$BD,AH1,0)</f>
        <v>77.962829999999983</v>
      </c>
      <c r="AJ11" s="74">
        <f>VLOOKUP($H$11&amp;$F$1,'Input RM sheet'!$A:$BD,AI1,0)</f>
        <v>73.163077687500007</v>
      </c>
      <c r="AK11" s="74">
        <f>VLOOKUP($H$11&amp;$F$1,'Input RM sheet'!$A:$BD,AJ1,0)</f>
        <v>74.516451281249985</v>
      </c>
      <c r="AL11" s="74">
        <f>VLOOKUP($H$11&amp;$F$1,'Input RM sheet'!$A:$BD,AK1,0)</f>
        <v>73.233953481818162</v>
      </c>
      <c r="AM11" s="74">
        <f>VLOOKUP($H$11&amp;$F$1,'Input RM sheet'!$A:$BD,AL1,0)</f>
        <v>42.7858344047619</v>
      </c>
      <c r="AN11" s="74">
        <f>VLOOKUP($H$11&amp;$F$1,'Input RM sheet'!$A:$BD,AM1,0)</f>
        <v>34.503482333333331</v>
      </c>
      <c r="AO11" s="74">
        <f>VLOOKUP($H$11&amp;$F$1,'Input RM sheet'!$A:$BD,AN1,0)</f>
        <v>34.499568454545461</v>
      </c>
      <c r="AP11" s="74">
        <f>VLOOKUP($H$11&amp;$F$1,'Input RM sheet'!$A:$BD,AO1,0)</f>
        <v>27.944177093750007</v>
      </c>
      <c r="AQ11" s="74">
        <f>VLOOKUP($H$11&amp;$F$1,'Input RM sheet'!$A:$BD,AP1,0)</f>
        <v>21.62865597321429</v>
      </c>
      <c r="AR11" s="74">
        <f>VLOOKUP($H$11&amp;$F$1,'Input RM sheet'!$A:$BD,AQ1,0)</f>
        <v>23.089979818181817</v>
      </c>
      <c r="AS11" s="74">
        <f>VLOOKUP($H$11&amp;$F$1,'Input RM sheet'!$A:$BD,AR1,0)</f>
        <v>24.877000607142858</v>
      </c>
      <c r="AT11" s="74">
        <f>VLOOKUP($H$11&amp;$F$1,'Input RM sheet'!$A:$BD,AS1,0)</f>
        <v>26.586884187500001</v>
      </c>
      <c r="AU11" s="74">
        <f>VLOOKUP($H$11&amp;$F$1,'Input RM sheet'!$A:$BD,AT1,0)</f>
        <v>22.747697050000003</v>
      </c>
      <c r="AV11" s="74">
        <f>VLOOKUP($H$11&amp;$F$1,'Input RM sheet'!$A:$BD,AU1,0)</f>
        <v>25.765667687499999</v>
      </c>
      <c r="AW11" s="74">
        <f>VLOOKUP($H$11&amp;$F$1,'Input RM sheet'!$A:$BD,AV1,0)</f>
        <v>26.946166406250001</v>
      </c>
      <c r="AX11" s="74">
        <f>VLOOKUP($H$11&amp;$F$1,'Input RM sheet'!$A:$BD,AW1,0)</f>
        <v>22.357500000000002</v>
      </c>
      <c r="AY11" s="74">
        <f>VLOOKUP($H$11&amp;$F$1,'Input RM sheet'!$A:$BD,AX1,0)</f>
        <v>20.197799999999997</v>
      </c>
      <c r="AZ11" s="74">
        <f>VLOOKUP($H$11&amp;$F$1,'Input RM sheet'!$A:$BD,AY1,0)</f>
        <v>21.366800000000001</v>
      </c>
      <c r="BA11" s="74">
        <f>VLOOKUP($H$11&amp;$F$1,'Input RM sheet'!$A:$BD,AZ1,0)</f>
        <v>23.142399999999999</v>
      </c>
      <c r="BB11" s="74">
        <f>VLOOKUP($H$11&amp;$F$1,'Input RM sheet'!$A:$BD,BA1,0)</f>
        <v>24.2667</v>
      </c>
      <c r="BC11" s="74">
        <f>VLOOKUP($H$11&amp;$F$1,'Input RM sheet'!$A:$BD,BB1,0)</f>
        <v>24.849</v>
      </c>
      <c r="BD11" s="74">
        <f>VLOOKUP($H$11&amp;$F$1,'Input RM sheet'!$A:$BD,BC1,0)</f>
        <v>24.974999999999998</v>
      </c>
      <c r="BE11" s="74">
        <f>VLOOKUP($H$11&amp;$F$1,'Input RM sheet'!$A:$BD,BD1,0)</f>
        <v>24.142499999999998</v>
      </c>
      <c r="BF11" s="74">
        <f>VLOOKUP($H$11&amp;$F$1,'Input RM sheet'!$A:$BD,BE1,0)</f>
        <v>23.142000000000003</v>
      </c>
      <c r="BG11" s="74">
        <f>VLOOKUP($H$11&amp;$F$1,'Input RM sheet'!$A:$BD,BF1,0)</f>
        <v>22.838750000000001</v>
      </c>
      <c r="BH11" s="74">
        <f>VLOOKUP($H$11&amp;$F$1,'Input RM sheet'!$A:$DD,BG1,0)</f>
        <v>22.808500000000002</v>
      </c>
      <c r="BI11" s="74">
        <f>VLOOKUP($H$11&amp;$F$1,'Input RM sheet'!$A:$DD,BH1,0)</f>
        <v>22.391100000000002</v>
      </c>
      <c r="BJ11" s="74">
        <f>VLOOKUP($H$11&amp;$F$1,'Input RM sheet'!$A:$DD,BI1,0)</f>
        <v>22.480200000000004</v>
      </c>
      <c r="BK11" s="74">
        <f>VLOOKUP($H$11&amp;$F$1,'Input RM sheet'!$A:$DD,BJ1,0)</f>
        <v>22.4694</v>
      </c>
      <c r="BL11" s="74">
        <f>VLOOKUP($H$11&amp;$F$1,'Input RM sheet'!$A:$DD,BK1,0)</f>
        <v>22.477500000000003</v>
      </c>
      <c r="BM11" s="74">
        <f>VLOOKUP($H$11&amp;$F$1,'Input RM sheet'!$A:$DD,BL1,0)</f>
        <v>22.442400000000003</v>
      </c>
      <c r="BN11" s="74">
        <f>VLOOKUP($H$11&amp;$F$1,'Input RM sheet'!$A:$DD,BM1,0)</f>
        <v>22.480200000000004</v>
      </c>
      <c r="BO11" s="74">
        <f>VLOOKUP($H$11&amp;$F$1,'Input RM sheet'!$A:$DD,BN1,0)</f>
        <v>22.26135</v>
      </c>
      <c r="BP11" s="74">
        <f>VLOOKUP($H$11&amp;$F$1,'Input RM sheet'!$A:$DD,BO1,0)</f>
        <v>22.253325</v>
      </c>
      <c r="BQ11" s="74">
        <f>VLOOKUP($H$11&amp;$F$1,'Input RM sheet'!$A:$DD,BP1,0)</f>
        <v>22.253325</v>
      </c>
      <c r="BR11" s="74">
        <f>VLOOKUP($H$11&amp;$F$1,'Input RM sheet'!$A:$DD,BQ1,0)</f>
        <v>22.082450000000001</v>
      </c>
      <c r="BS11" s="74">
        <f>VLOOKUP($H$11&amp;$F$1,'Input RM sheet'!$A:$DD,BR1,0)</f>
        <v>22.101000000000003</v>
      </c>
      <c r="BT11" s="74">
        <f>VLOOKUP($H$11&amp;$F$1,'Input RM sheet'!$A:$DD,BS1,0)</f>
        <v>22.090400000000002</v>
      </c>
      <c r="BU11" s="74">
        <f>VLOOKUP($H$11&amp;$F$1,'Input RM sheet'!$A:$DD,BT1,0)</f>
        <v>20.81</v>
      </c>
      <c r="BV11" s="74">
        <f>VLOOKUP($H$11&amp;$F$1,'Input RM sheet'!$A:$DD,BU1,0)</f>
        <v>20.83</v>
      </c>
      <c r="BW11" s="74">
        <f>VLOOKUP($H$11&amp;$F$1,'Input RM sheet'!$A:$DD,BV1,0)</f>
        <v>21.200700000000001</v>
      </c>
      <c r="BX11" s="74">
        <f>VLOOKUP($H$11&amp;$F$1,'Input RM sheet'!$A:$DD,BW1,0)</f>
        <v>22.034750000000003</v>
      </c>
      <c r="BY11" s="74">
        <f>VLOOKUP($H$11&amp;$F$1,'Input RM sheet'!$A:$DD,BX1,0)</f>
        <v>22.269375</v>
      </c>
      <c r="BZ11" s="74">
        <f>VLOOKUP($H$11&amp;$F$1,'Input RM sheet'!$A:$DD,BY1,0)</f>
        <v>22.841500000000003</v>
      </c>
      <c r="CA11" s="74">
        <f>VLOOKUP($H$11&amp;$F$1,'Input RM sheet'!$A:$DD,BZ1,0)</f>
        <v>22.825000000000003</v>
      </c>
      <c r="CB11" s="74">
        <f>VLOOKUP($H$11&amp;$F$1,'Input RM sheet'!$A:$DD,CA1,0)</f>
        <v>22.827750000000002</v>
      </c>
      <c r="CC11" s="74">
        <f>VLOOKUP($H$11&amp;$F$1,'Input RM sheet'!$A:$DD,CB1,0)</f>
        <v>22.797500000000003</v>
      </c>
      <c r="CD11" s="74">
        <f>VLOOKUP($H$11&amp;$F$1,'Input RM sheet'!$A:$DD,CC1,0)</f>
        <v>24.041</v>
      </c>
      <c r="CE11" s="74">
        <f>VLOOKUP($H$11&amp;$F$1,'Input RM sheet'!$A:$DD,CD1,0)</f>
        <v>23.983000000000001</v>
      </c>
      <c r="CF11" s="74">
        <f>VLOOKUP($H$11&amp;$F$1,'Input RM sheet'!$A:$DD,CE1,0)</f>
        <v>24.000399999999999</v>
      </c>
      <c r="CG11" s="74">
        <f>VLOOKUP($H$11&amp;$F$1,'Input RM sheet'!$A:$DD,CF1,0)</f>
        <v>24.353549999999998</v>
      </c>
      <c r="CH11" s="74">
        <f>VLOOKUP($H$11&amp;$F$1,'Input RM sheet'!$A:$DD,CG1,0)</f>
        <v>24.808524999999999</v>
      </c>
      <c r="CI11" s="74">
        <f>VLOOKUP($H$11&amp;$F$1,'Input RM sheet'!$A:$DD,CH1,0)</f>
        <v>24.130899999999997</v>
      </c>
      <c r="CJ11" s="74">
        <f>VLOOKUP($H$11&amp;$F$1,'Input RM sheet'!$A:$DD,CI1,0)</f>
        <v>23.977499999999999</v>
      </c>
      <c r="CK11" s="74">
        <f>VLOOKUP($H$11&amp;$F$1,'Input RM sheet'!$A:$DD,CJ1,0)</f>
        <v>24.037875</v>
      </c>
      <c r="CL11" s="74">
        <f>VLOOKUP($H$11&amp;$F$1,'Input RM sheet'!$A:$DD,CK1,0)</f>
        <v>23.566149999999997</v>
      </c>
      <c r="CM11" s="74">
        <f>VLOOKUP($H$11&amp;$F$1,'Input RM sheet'!$A:$DD,CL1,0)</f>
        <v>23.588749999999997</v>
      </c>
      <c r="CN11" s="74">
        <f>VLOOKUP($H$11&amp;$F$1,'Input RM sheet'!$A:$DD,CM1,0)</f>
        <v>23.546374999999998</v>
      </c>
      <c r="CO11" s="74">
        <f>VLOOKUP($H$11&amp;$F$1,'Input RM sheet'!$A:$DD,CN1,0)</f>
        <v>23.546374999999998</v>
      </c>
      <c r="CP11" s="74">
        <f>VLOOKUP($H$11&amp;$F$1,'Input RM sheet'!$A:$DD,CO1,0)</f>
        <v>23.546374999999998</v>
      </c>
      <c r="CQ11" s="74">
        <f>VLOOKUP($H$11&amp;$F$1,'Input RM sheet'!$A:$DD,CP1,0)</f>
        <v>23.754749999999998</v>
      </c>
      <c r="CR11" s="74">
        <f>VLOOKUP($H$11&amp;$F$1,'Input RM sheet'!$A:$ZZ,CQ1,0)</f>
        <v>23.908649999999998</v>
      </c>
      <c r="CS11" s="74">
        <f>VLOOKUP($H$11&amp;$F$1,'Input RM sheet'!$A:$ZZ,CR1,0)</f>
        <v>24.186</v>
      </c>
      <c r="CT11" s="74">
        <f>VLOOKUP($H$11&amp;$F$1,'Input RM sheet'!$A:$ZZ,CS1,0)</f>
        <v>24.841249999999999</v>
      </c>
      <c r="CU11" s="74">
        <f>VLOOKUP($H$11&amp;$F$1,'Input RM sheet'!$A:$ZZ,CT1,0)</f>
        <v>25.035</v>
      </c>
      <c r="CV11" s="74">
        <f>VLOOKUP($H$11&amp;$F$1,'Input RM sheet'!$A:$ZZ,CU1,0)</f>
        <v>25.458349999999999</v>
      </c>
      <c r="CW11" s="74">
        <f>VLOOKUP($H$11&amp;$F$1,'Input RM sheet'!$A:$ZZ,CV1,0)</f>
        <v>25.482749999999999</v>
      </c>
      <c r="CX11" s="74">
        <f>VLOOKUP($H$11&amp;$F$1,'Input RM sheet'!$A:$ZZ,CW1,0)</f>
        <v>26.784000000000002</v>
      </c>
      <c r="CY11" s="74">
        <f>VLOOKUP($H$11&amp;$F$1,'Input RM sheet'!$A:$ZZ,CX1,0)</f>
        <v>26.793600000000001</v>
      </c>
      <c r="CZ11" s="74">
        <f>VLOOKUP($H$11&amp;$F$1,'Input RM sheet'!$A:$ZZ,CY1,0)</f>
        <v>28.123250000000002</v>
      </c>
      <c r="DA11" s="74">
        <f>VLOOKUP($H$11&amp;$F$1,'Input RM sheet'!$A:$ZZ,CZ1,0)</f>
        <v>28.966199999999997</v>
      </c>
      <c r="DB11" s="74">
        <f>VLOOKUP($H$11&amp;$F$1,'Input RM sheet'!$A:$ZZ,DA1,0)</f>
        <v>29.364999999999998</v>
      </c>
      <c r="DC11" s="74">
        <f>VLOOKUP($H$11&amp;$F$1,'Input RM sheet'!$A:$ZZ,DB1,0)</f>
        <v>29.361499999999999</v>
      </c>
      <c r="DD11" s="74">
        <f>VLOOKUP($H$11&amp;$F$1,'Input RM sheet'!$A:$ZZ,DC1,0)</f>
        <v>29.385999999999996</v>
      </c>
      <c r="DE11" s="74">
        <f>VLOOKUP($H$11&amp;$F$1,'Input RM sheet'!$A:$ZZ,DD1,0)</f>
        <v>29.385999999999996</v>
      </c>
      <c r="DF11" s="74">
        <f>VLOOKUP($H$11&amp;$F$1,'Input RM sheet'!$A:$ZZ,DE1,0)</f>
        <v>28.835099999999997</v>
      </c>
      <c r="DG11" s="74">
        <f>VLOOKUP($H$11&amp;$F$1,'Input RM sheet'!$A:$ZZ,DF1,0)</f>
        <v>29.699299999999997</v>
      </c>
      <c r="DH11" s="74">
        <f>VLOOKUP($H$11&amp;$F$1,'Input RM sheet'!$A:$ZZ,DG1,0)</f>
        <v>30.649049999999999</v>
      </c>
      <c r="DI11" s="74">
        <f>VLOOKUP($H$11&amp;$F$1,'Input RM sheet'!$A:$ZZ,DH1,0)</f>
        <v>31.946599999999997</v>
      </c>
      <c r="DJ11" s="74">
        <f>VLOOKUP($H$11&amp;$F$1,'Input RM sheet'!$A:$ZZ,DI1,0)</f>
        <v>34.048349999999999</v>
      </c>
      <c r="DK11" s="74">
        <f>VLOOKUP($H$11&amp;$F$1,'Input RM sheet'!$A:$ZZ,DJ1,0)</f>
        <v>34.052399999999999</v>
      </c>
      <c r="DL11" s="74">
        <f>VLOOKUP($H$11&amp;$F$1,'Input RM sheet'!$A:$ZZ,DK1,0)</f>
        <v>34.489199999999997</v>
      </c>
      <c r="DM11" s="74">
        <f>VLOOKUP($H$11&amp;$F$1,'Input RM sheet'!$A:$ZZ,DL1,0)</f>
        <v>34.182000000000002</v>
      </c>
      <c r="DN11" s="74">
        <f>VLOOKUP($H$11&amp;$F$1,'Input RM sheet'!$A:$ZZ,DM1,0)</f>
        <v>33.707999999999998</v>
      </c>
      <c r="DO11" s="74">
        <f>VLOOKUP($H$11&amp;$F$1,'Input RM sheet'!$A:$ZZ,DN1,0)</f>
        <v>34.275150000000004</v>
      </c>
      <c r="DP11" s="74">
        <f>VLOOKUP($H$11&amp;$F$1,'Input RM sheet'!$A:$ZZ,DO1,0)</f>
        <v>34.29945</v>
      </c>
      <c r="DQ11" s="74">
        <f>VLOOKUP($H$11&amp;$F$1,'Input RM sheet'!$A:$ZZ,DP1,0)</f>
        <v>34.780299999999997</v>
      </c>
      <c r="DR11" s="74">
        <f>VLOOKUP($H$11&amp;$F$1,'Input RM sheet'!$A:$ZZ,DQ1,0)</f>
        <v>36.515599999999999</v>
      </c>
      <c r="DS11" s="74">
        <f>VLOOKUP($H$11&amp;$F$1,'Input RM sheet'!$A:$ZZ,DR1,0)</f>
        <v>37.692150000000005</v>
      </c>
      <c r="DT11" s="74">
        <f>VLOOKUP($H$11&amp;$F$1,'Input RM sheet'!$A:$ZZ,DS1,0)</f>
        <v>0</v>
      </c>
      <c r="DU11" s="74">
        <f>VLOOKUP($H$11&amp;$F$1,'Input RM sheet'!$A:$ZZ,DT1,0)</f>
        <v>0</v>
      </c>
      <c r="DV11" s="74">
        <f>VLOOKUP($H$11&amp;$F$1,'Input RM sheet'!$A:$ZZ,DU1,0)</f>
        <v>0</v>
      </c>
      <c r="DW11" s="74">
        <f>VLOOKUP($H$11&amp;$F$1,'Input RM sheet'!$A:$ZZ,DV1,0)</f>
        <v>0</v>
      </c>
      <c r="DX11" s="74">
        <f>VLOOKUP($H$11&amp;$F$1,'Input RM sheet'!$A:$ZZ,DW1,0)</f>
        <v>0</v>
      </c>
      <c r="DY11" s="74">
        <f>VLOOKUP($H$11&amp;$F$1,'Input RM sheet'!$A:$ZZ,DX1,0)</f>
        <v>0</v>
      </c>
      <c r="DZ11" s="74">
        <f>VLOOKUP($H$11&amp;$F$1,'Input RM sheet'!$A:$ZZ,DY1,0)</f>
        <v>0</v>
      </c>
      <c r="EA11" s="74">
        <f>VLOOKUP($H$11&amp;$F$1,'Input RM sheet'!$A:$ZZ,DZ1,0)</f>
        <v>0</v>
      </c>
      <c r="EB11" s="74">
        <f>VLOOKUP($H$11&amp;$F$1,'Input RM sheet'!$A:$ZZ,EA1,0)</f>
        <v>0</v>
      </c>
      <c r="EC11" s="74">
        <f>VLOOKUP($H$11&amp;$F$1,'Input RM sheet'!$A:$ZZ,EB1,0)</f>
        <v>0</v>
      </c>
      <c r="ED11" s="74">
        <f>VLOOKUP($H$11&amp;$F$1,'Input RM sheet'!$A:$ZZ,EC1,0)</f>
        <v>0</v>
      </c>
      <c r="EE11" s="74">
        <f>VLOOKUP($H$11&amp;$F$1,'Input RM sheet'!$A:$ZZ,ED1,0)</f>
        <v>0</v>
      </c>
      <c r="EF11" s="74">
        <f>VLOOKUP($H$11&amp;$F$1,'Input RM sheet'!$A:$ZZ,EE1,0)</f>
        <v>0</v>
      </c>
      <c r="EG11" s="74">
        <f>VLOOKUP($H$11&amp;$F$1,'Input RM sheet'!$A:$ZZ,EF1,0)</f>
        <v>0</v>
      </c>
      <c r="EH11" s="74">
        <f>VLOOKUP($H$11&amp;$F$1,'Input RM sheet'!$A:$ZZ,EG1,0)</f>
        <v>0</v>
      </c>
      <c r="EI11" s="74">
        <f>VLOOKUP($H$11&amp;$F$1,'Input RM sheet'!$A:$ZZ,EH1,0)</f>
        <v>0</v>
      </c>
      <c r="EJ11" s="74">
        <f>VLOOKUP($H$11&amp;$F$1,'Input RM sheet'!$A:$ZZ,EI1,0)</f>
        <v>0</v>
      </c>
      <c r="EK11" s="74">
        <f>VLOOKUP($H$11&amp;$F$1,'Input RM sheet'!$A:$ZZ,EJ1,0)</f>
        <v>0</v>
      </c>
      <c r="EL11" s="74">
        <f>VLOOKUP($H$11&amp;$F$1,'Input RM sheet'!$A:$ZZ,EK1,0)</f>
        <v>0</v>
      </c>
      <c r="EM11" s="74">
        <f>VLOOKUP($H$11&amp;$F$1,'Input RM sheet'!$A:$ZZ,EL1,0)</f>
        <v>0</v>
      </c>
      <c r="EN11" s="74">
        <f>VLOOKUP($H$11&amp;$F$1,'Input RM sheet'!$A:$ZZ,EM1,0)</f>
        <v>0</v>
      </c>
      <c r="EO11" s="74">
        <f>VLOOKUP($H$11&amp;$F$1,'Input RM sheet'!$A:$ZZ,EN1,0)</f>
        <v>0</v>
      </c>
      <c r="EP11" s="74">
        <f>VLOOKUP($H$11&amp;$F$1,'Input RM sheet'!$A:$ZZ,EO1,0)</f>
        <v>0</v>
      </c>
      <c r="EQ11" s="74">
        <f>VLOOKUP($H$11&amp;$F$1,'Input RM sheet'!$A:$ZZ,EP1,0)</f>
        <v>0</v>
      </c>
      <c r="ER11" s="74">
        <f>VLOOKUP($H$11&amp;$F$1,'Input RM sheet'!$A:$ZZ,EQ1,0)</f>
        <v>0</v>
      </c>
      <c r="ES11" s="74">
        <f>VLOOKUP($H$11&amp;$F$1,'Input RM sheet'!$A:$ZZ,ER1,0)</f>
        <v>0</v>
      </c>
      <c r="ET11" s="74">
        <f>VLOOKUP($H$11&amp;$F$1,'Input RM sheet'!$A:$ZZ,ES1,0)</f>
        <v>0</v>
      </c>
      <c r="EU11" s="74">
        <f>VLOOKUP($H$11&amp;$F$1,'Input RM sheet'!$A:$ZZ,ET1,0)</f>
        <v>0</v>
      </c>
      <c r="EV11" s="74">
        <f>VLOOKUP($H$11&amp;$F$1,'Input RM sheet'!$A:$ZZ,EU1,0)</f>
        <v>0</v>
      </c>
      <c r="EW11" s="74">
        <f>VLOOKUP($H$11&amp;$F$1,'Input RM sheet'!$A:$ZZ,EV1,0)</f>
        <v>0</v>
      </c>
      <c r="EX11" s="74">
        <f>VLOOKUP($H$11&amp;$F$1,'Input RM sheet'!$A:$ZZ,EW1,0)</f>
        <v>0</v>
      </c>
      <c r="EY11" s="74">
        <f>VLOOKUP($H$11&amp;$F$1,'Input RM sheet'!$A:$ZZ,EX1,0)</f>
        <v>0</v>
      </c>
      <c r="EZ11" s="74">
        <f>VLOOKUP($H$11&amp;$F$1,'Input RM sheet'!$A:$ZZ,EY1,0)</f>
        <v>0</v>
      </c>
      <c r="FA11" s="74">
        <f>VLOOKUP($H$11&amp;$F$1,'Input RM sheet'!$A:$ZZ,EZ1,0)</f>
        <v>0</v>
      </c>
      <c r="FB11" s="74">
        <f>VLOOKUP($H$11&amp;$F$1,'Input RM sheet'!$A:$ZZ,FA1,0)</f>
        <v>0</v>
      </c>
      <c r="FC11" s="74">
        <f>VLOOKUP($H$11&amp;$F$1,'Input RM sheet'!$A:$ZZ,FB1,0)</f>
        <v>0</v>
      </c>
      <c r="FD11" s="74">
        <f>VLOOKUP($H$11&amp;$F$1,'Input RM sheet'!$A:$ZZ,FC1,0)</f>
        <v>0</v>
      </c>
      <c r="FE11" s="74">
        <f>VLOOKUP($H$11&amp;$F$1,'Input RM sheet'!$A:$ZZ,FD1,0)</f>
        <v>0</v>
      </c>
    </row>
    <row r="12" spans="1:164">
      <c r="B12" s="44"/>
      <c r="D12" s="44"/>
      <c r="H12" s="178" t="s">
        <v>149</v>
      </c>
      <c r="I12" s="74"/>
      <c r="J12" s="74"/>
      <c r="K12" s="74"/>
      <c r="L12" s="74"/>
      <c r="M12" s="74"/>
      <c r="N12" s="74"/>
      <c r="O12" s="74"/>
      <c r="P12" s="74"/>
      <c r="Q12" s="74"/>
      <c r="R12" s="74"/>
      <c r="S12" s="74"/>
      <c r="T12" s="74"/>
      <c r="U12" s="74"/>
      <c r="V12" s="74"/>
      <c r="W12" s="74"/>
      <c r="X12" s="74"/>
      <c r="Y12" s="74"/>
      <c r="Z12" s="74"/>
      <c r="AA12" s="74"/>
      <c r="AB12" s="74"/>
      <c r="AC12" s="74"/>
      <c r="AD12" s="74">
        <f>VLOOKUP($H$12&amp;$F$1,'Input RM sheet'!$A:$DD,AC1,0)</f>
        <v>0</v>
      </c>
      <c r="AE12" s="74">
        <f>VLOOKUP($H$12&amp;$F$1,'Input RM sheet'!$A:$DD,AD1,0)</f>
        <v>0</v>
      </c>
      <c r="AF12" s="74">
        <f>VLOOKUP($H$12&amp;$F$1,'Input RM sheet'!$A:$DD,AE1,0)</f>
        <v>0</v>
      </c>
      <c r="AG12" s="74">
        <f>VLOOKUP($H$12&amp;$F$1,'Input RM sheet'!$A:$DD,AF1,0)</f>
        <v>0</v>
      </c>
      <c r="AH12" s="74">
        <f>VLOOKUP($H$12&amp;$F$1,'Input RM sheet'!$A:$DD,AG1,0)</f>
        <v>0</v>
      </c>
      <c r="AI12" s="74">
        <f>VLOOKUP($H$12&amp;$F$1,'Input RM sheet'!$A:$DD,AH1,0)</f>
        <v>0</v>
      </c>
      <c r="AJ12" s="74">
        <f>VLOOKUP($H$12&amp;$F$1,'Input RM sheet'!$A:$DD,AI1,0)</f>
        <v>0</v>
      </c>
      <c r="AK12" s="74">
        <f>VLOOKUP($H$12&amp;$F$1,'Input RM sheet'!$A:$DD,AJ1,0)</f>
        <v>0</v>
      </c>
      <c r="AL12" s="74">
        <f>VLOOKUP($H$12&amp;$F$1,'Input RM sheet'!$A:$DD,AK1,0)</f>
        <v>0</v>
      </c>
      <c r="AM12" s="74">
        <f>VLOOKUP($H$12&amp;$F$1,'Input RM sheet'!$A:$DD,AL1,0)</f>
        <v>0</v>
      </c>
      <c r="AN12" s="74">
        <f>VLOOKUP($H$12&amp;$F$1,'Input RM sheet'!$A:$DD,AM1,0)</f>
        <v>78</v>
      </c>
      <c r="AO12" s="74">
        <f>VLOOKUP($H$12&amp;$F$1,'Input RM sheet'!$A:$DD,AN1,0)</f>
        <v>0</v>
      </c>
      <c r="AP12" s="74">
        <f>VLOOKUP($H$12&amp;$F$1,'Input RM sheet'!$A:$DD,AO1,0)</f>
        <v>0</v>
      </c>
      <c r="AQ12" s="74">
        <f>VLOOKUP($H$12&amp;$F$1,'Input RM sheet'!$A:$DD,AP1,0)</f>
        <v>0</v>
      </c>
      <c r="AR12" s="74">
        <f>VLOOKUP($H$12&amp;$F$1,'Input RM sheet'!$A:$DD,AQ1,0)</f>
        <v>0</v>
      </c>
      <c r="AS12" s="74">
        <f>VLOOKUP($H$12&amp;$F$1,'Input RM sheet'!$A:$DD,AR1,0)</f>
        <v>0</v>
      </c>
      <c r="AT12" s="74">
        <f>VLOOKUP($H$12&amp;$F$1,'Input RM sheet'!$A:$DD,AS1,0)</f>
        <v>0</v>
      </c>
      <c r="AU12" s="74">
        <f>VLOOKUP($H$12&amp;$F$1,'Input RM sheet'!$A:$DD,AT1,0)</f>
        <v>0</v>
      </c>
      <c r="AV12" s="74">
        <f>VLOOKUP($H$12&amp;$F$1,'Input RM sheet'!$A:$DD,AU1,0)</f>
        <v>0</v>
      </c>
      <c r="AW12" s="74">
        <f>VLOOKUP($H$12&amp;$F$1,'Input RM sheet'!$A:$DD,AV1,0)</f>
        <v>0</v>
      </c>
      <c r="AX12" s="74">
        <f>VLOOKUP($H$12&amp;$F$1,'Input RM sheet'!$A:$DD,AW1,0)</f>
        <v>63</v>
      </c>
      <c r="AY12" s="74">
        <f>VLOOKUP($H$12&amp;$F$1,'Input RM sheet'!$A:$DD,AX1,0)</f>
        <v>67</v>
      </c>
      <c r="AZ12" s="74">
        <f>VLOOKUP($H$12&amp;$F$1,'Input RM sheet'!$A:$DD,AY1,0)</f>
        <v>69</v>
      </c>
      <c r="BA12" s="74">
        <f>VLOOKUP($H$12&amp;$F$1,'Input RM sheet'!$A:$DD,AZ1,0)</f>
        <v>70</v>
      </c>
      <c r="BB12" s="74">
        <f>VLOOKUP($H$12&amp;$F$1,'Input RM sheet'!$A:$DD,BA1,0)</f>
        <v>71</v>
      </c>
      <c r="BC12" s="74">
        <f>VLOOKUP($H$12&amp;$F$1,'Input RM sheet'!$A:$DD,BB1,0)</f>
        <v>70</v>
      </c>
      <c r="BD12" s="74">
        <f>VLOOKUP($H$12&amp;$F$1,'Input RM sheet'!$A:$DD,BC1,0)</f>
        <v>70</v>
      </c>
      <c r="BE12" s="74">
        <f>VLOOKUP($H$12&amp;$F$1,'Input RM sheet'!$A:$DD,BD1,0)</f>
        <v>71</v>
      </c>
      <c r="BF12" s="74">
        <f>VLOOKUP($H$12&amp;$F$1,'Input RM sheet'!$A:$DD,BE1,0)</f>
        <v>70</v>
      </c>
      <c r="BG12" s="74">
        <f>VLOOKUP($H$12&amp;$F$1,'Input RM sheet'!$A:$DD,BF1,0)</f>
        <v>70</v>
      </c>
      <c r="BH12" s="74">
        <f>VLOOKUP($H$12&amp;$F$1,'Input RM sheet'!$A:$DD,BG1,0)</f>
        <v>69</v>
      </c>
      <c r="BI12" s="74">
        <f>VLOOKUP($H$12&amp;$F$1,'Input RM sheet'!$A:$DD,BH1,0)</f>
        <v>70</v>
      </c>
      <c r="BJ12" s="74">
        <f>VLOOKUP($H$12&amp;$F$1,'Input RM sheet'!$A:$DD,BI1,0)</f>
        <v>68</v>
      </c>
      <c r="BK12" s="74">
        <f>VLOOKUP($H$12&amp;$F$1,'Input RM sheet'!$A:$DD,BJ1,0)</f>
        <v>62</v>
      </c>
      <c r="BL12" s="74">
        <f>VLOOKUP($H$12&amp;$F$1,'Input RM sheet'!$A:$DD,BK1,0)</f>
        <v>60</v>
      </c>
      <c r="BM12" s="74">
        <f>VLOOKUP($H$12&amp;$F$1,'Input RM sheet'!$A:$DD,BL1,0)</f>
        <v>56.5</v>
      </c>
      <c r="BN12" s="74">
        <f>VLOOKUP($H$12&amp;$F$1,'Input RM sheet'!$A:$DD,BM1,0)</f>
        <v>56.5</v>
      </c>
      <c r="BO12" s="74">
        <f>VLOOKUP($H$12&amp;$F$1,'Input RM sheet'!$A:$DD,BN1,0)</f>
        <v>55</v>
      </c>
      <c r="BP12" s="74">
        <f>VLOOKUP($H$12&amp;$F$1,'Input RM sheet'!$A:$DD,BO1,0)</f>
        <v>58</v>
      </c>
      <c r="BQ12" s="74">
        <f>VLOOKUP($H$12&amp;$F$1,'Input RM sheet'!$A:$DD,BP1,0)</f>
        <v>58</v>
      </c>
      <c r="BR12" s="74">
        <f>VLOOKUP($H$12&amp;$F$1,'Input RM sheet'!$A:$DD,BQ1,0)</f>
        <v>55</v>
      </c>
      <c r="BS12" s="74">
        <f>VLOOKUP($H$12&amp;$F$1,'Input RM sheet'!$A:$DD,BR1,0)</f>
        <v>55</v>
      </c>
      <c r="BT12" s="74">
        <f>VLOOKUP($H$12&amp;$F$1,'Input RM sheet'!$A:$DD,BS1,0)</f>
        <v>56</v>
      </c>
      <c r="BU12" s="74">
        <f>VLOOKUP($H$12&amp;$F$1,'Input RM sheet'!$A:$DD,BT1,0)</f>
        <v>56</v>
      </c>
      <c r="BV12" s="74">
        <f>VLOOKUP($H$12&amp;$F$1,'Input RM sheet'!$A:$DD,BU1,0)</f>
        <v>56</v>
      </c>
      <c r="BW12" s="74">
        <f>VLOOKUP($H$12&amp;$F$1,'Input RM sheet'!$A:$DD,BV1,0)</f>
        <v>55</v>
      </c>
      <c r="BX12" s="74">
        <f>VLOOKUP($H$12&amp;$F$1,'Input RM sheet'!$A:$DD,BW1,0)</f>
        <v>55</v>
      </c>
      <c r="BY12" s="74">
        <f>VLOOKUP($H$12&amp;$F$1,'Input RM sheet'!$A:$DD,BX1,0)</f>
        <v>58</v>
      </c>
      <c r="BZ12" s="74">
        <f>VLOOKUP($H$12&amp;$F$1,'Input RM sheet'!$A:$DD,BY1,0)</f>
        <v>58</v>
      </c>
      <c r="CA12" s="74">
        <f>VLOOKUP($H$12&amp;$F$1,'Input RM sheet'!$A:$DD,BZ1,0)</f>
        <v>58</v>
      </c>
      <c r="CB12" s="74">
        <f>VLOOKUP($H$12&amp;$F$1,'Input RM sheet'!$A:$DD,CA1,0)</f>
        <v>58</v>
      </c>
      <c r="CC12" s="74">
        <f>VLOOKUP($H$12&amp;$F$1,'Input RM sheet'!$A:$DD,CB1,0)</f>
        <v>65</v>
      </c>
      <c r="CD12" s="74">
        <f>VLOOKUP($H$12&amp;$F$1,'Input RM sheet'!$A:$DD,CC1,0)</f>
        <v>65</v>
      </c>
      <c r="CE12" s="74">
        <f>VLOOKUP($H$12&amp;$F$1,'Input RM sheet'!$A:$DD,CD1,0)</f>
        <v>65</v>
      </c>
      <c r="CF12" s="74">
        <f>VLOOKUP($H$12&amp;$F$1,'Input RM sheet'!$A:$DD,CE1,0)</f>
        <v>65</v>
      </c>
      <c r="CG12" s="74">
        <f>VLOOKUP($H$12&amp;$F$1,'Input RM sheet'!$A:$DD,CF1,0)</f>
        <v>65</v>
      </c>
      <c r="CH12" s="74">
        <f>VLOOKUP($H$12&amp;$F$1,'Input RM sheet'!$A:$DD,CG1,0)</f>
        <v>69</v>
      </c>
      <c r="CI12" s="74">
        <f>VLOOKUP($H$12&amp;$F$1,'Input RM sheet'!$A:$DD,CH1,0)</f>
        <v>69</v>
      </c>
      <c r="CJ12" s="74">
        <f>VLOOKUP($H$12&amp;$F$1,'Input RM sheet'!$A:$DD,CI1,0)</f>
        <v>69</v>
      </c>
      <c r="CK12" s="74">
        <f>VLOOKUP($H$12&amp;$F$1,'Input RM sheet'!$A:$DD,CJ1,0)</f>
        <v>65</v>
      </c>
      <c r="CL12" s="74">
        <f>VLOOKUP($H$12&amp;$F$1,'Input RM sheet'!$A:$DD,CK1,0)</f>
        <v>65</v>
      </c>
      <c r="CM12" s="108">
        <f>VLOOKUP($H$12&amp;$F$1,'Input RM sheet'!$A:$DD,CL1,0)</f>
        <v>62</v>
      </c>
      <c r="CN12" s="108">
        <f>VLOOKUP($H$12&amp;$F$1,'Input RM sheet'!$A:$DD,CM1,0)</f>
        <v>57</v>
      </c>
      <c r="CO12" s="108">
        <f>VLOOKUP($H$12&amp;$F$1,'Input RM sheet'!$A:$DD,CN1,0)</f>
        <v>63</v>
      </c>
      <c r="CP12" s="108">
        <f>VLOOKUP($H$12&amp;$F$1,'Input RM sheet'!$A:$DD,CO1,0)</f>
        <v>63</v>
      </c>
      <c r="CQ12" s="108">
        <f>VLOOKUP($H$12&amp;$F$1,'Input RM sheet'!$A:$DD,CP1,0)</f>
        <v>63</v>
      </c>
      <c r="CR12" s="108">
        <f>VLOOKUP($H$12&amp;$F$1,'Input RM sheet'!$A:$ZZ,CQ1,0)</f>
        <v>63</v>
      </c>
      <c r="CS12" s="108">
        <f>VLOOKUP($H$12&amp;$F$1,'Input RM sheet'!$A:$ZZ,CR1,0)</f>
        <v>67.5</v>
      </c>
      <c r="CT12" s="108">
        <f>VLOOKUP($H$12&amp;$F$1,'Input RM sheet'!$A:$ZZ,CS1,0)</f>
        <v>67.5</v>
      </c>
      <c r="CU12" s="108">
        <f>VLOOKUP($H$12&amp;$F$1,'Input RM sheet'!$A:$ZZ,CT1,0)</f>
        <v>67.5</v>
      </c>
      <c r="CV12" s="108">
        <f>VLOOKUP($H$12&amp;$F$1,'Input RM sheet'!$A:$ZZ,CU1,0)</f>
        <v>67.5</v>
      </c>
      <c r="CW12" s="108">
        <f>VLOOKUP($H$12&amp;$F$1,'Input RM sheet'!$A:$ZZ,CV1,0)</f>
        <v>63.6</v>
      </c>
      <c r="CX12" s="108">
        <f>VLOOKUP($H$12&amp;$F$1,'Input RM sheet'!$A:$ZZ,CW1,0)</f>
        <v>63.5</v>
      </c>
      <c r="CY12" s="108">
        <f>VLOOKUP($H$12&amp;$F$1,'Input RM sheet'!$A:$ZZ,CX1,0)</f>
        <v>63.5</v>
      </c>
      <c r="CZ12" s="108">
        <f>VLOOKUP($H$12&amp;$F$1,'Input RM sheet'!$A:$ZZ,CY1,0)</f>
        <v>63.5</v>
      </c>
      <c r="DA12" s="108">
        <f>VLOOKUP($H$12&amp;$F$1,'Input RM sheet'!$A:$ZZ,CZ1,0)</f>
        <v>63.5</v>
      </c>
      <c r="DB12" s="108">
        <f>VLOOKUP($H$12&amp;$F$1,'Input RM sheet'!$A:$ZZ,DA1,0)</f>
        <v>63.5</v>
      </c>
      <c r="DC12" s="108">
        <f>VLOOKUP($H$12&amp;$F$1,'Input RM sheet'!$A:$ZZ,DB1,0)</f>
        <v>65</v>
      </c>
      <c r="DD12" s="108">
        <f>VLOOKUP($H$12&amp;$F$1,'Input RM sheet'!$A:$ZZ,DC1,0)</f>
        <v>65</v>
      </c>
      <c r="DE12" s="108">
        <f>VLOOKUP($H$12&amp;$F$1,'Input RM sheet'!$A:$ZZ,DD1,0)</f>
        <v>70</v>
      </c>
      <c r="DF12" s="108">
        <f>VLOOKUP($H$12&amp;$F$1,'Input RM sheet'!$A:$ZZ,DE1,0)</f>
        <v>70</v>
      </c>
      <c r="DG12" s="108">
        <f>VLOOKUP($H$12&amp;$F$1,'Input RM sheet'!$A:$ZZ,DF1,0)</f>
        <v>70</v>
      </c>
      <c r="DH12" s="108">
        <f>VLOOKUP($H$12&amp;$F$1,'Input RM sheet'!$A:$ZZ,DG1,0)</f>
        <v>67.5</v>
      </c>
      <c r="DI12" s="108">
        <f>VLOOKUP($H$12&amp;$F$1,'Input RM sheet'!$A:$ZZ,DH1,0)</f>
        <v>60</v>
      </c>
      <c r="DJ12" s="108">
        <f>VLOOKUP($H$12&amp;$F$1,'Input RM sheet'!$A:$ZZ,DI1,0)</f>
        <v>60</v>
      </c>
      <c r="DK12" s="108">
        <f>VLOOKUP($H$12&amp;$F$1,'Input RM sheet'!$A:$ZZ,DJ1,0)</f>
        <v>65</v>
      </c>
      <c r="DL12" s="108">
        <f>VLOOKUP($H$12&amp;$F$1,'Input RM sheet'!$A:$ZZ,DK1,0)</f>
        <v>65</v>
      </c>
      <c r="DM12" s="108">
        <f>VLOOKUP($H$12&amp;$F$1,'Input RM sheet'!$A:$ZZ,DL1,0)</f>
        <v>66</v>
      </c>
      <c r="DN12" s="108">
        <f>VLOOKUP($H$12&amp;$F$1,'Input RM sheet'!$A:$ZZ,DM1,0)</f>
        <v>69</v>
      </c>
      <c r="DO12" s="108">
        <f>VLOOKUP($H$12&amp;$F$1,'Input RM sheet'!$A:$ZZ,DN1,0)</f>
        <v>69</v>
      </c>
      <c r="DP12" s="108">
        <f>VLOOKUP($H$12&amp;$F$1,'Input RM sheet'!$A:$ZZ,DO1,0)</f>
        <v>70</v>
      </c>
      <c r="DQ12" s="108">
        <f>VLOOKUP($H$12&amp;$F$1,'Input RM sheet'!$A:$ZZ,DP1,0)</f>
        <v>72</v>
      </c>
      <c r="DR12" s="108">
        <f>VLOOKUP($H$12&amp;$F$1,'Input RM sheet'!$A:$ZZ,DQ1,0)</f>
        <v>72</v>
      </c>
      <c r="DS12" s="108">
        <f>VLOOKUP($H$12&amp;$F$1,'Input RM sheet'!$A:$ZZ,DR1,0)</f>
        <v>70</v>
      </c>
      <c r="DT12" s="108">
        <f>VLOOKUP($H$12&amp;$F$1,'Input RM sheet'!$A:$ZZ,DS1,0)</f>
        <v>0</v>
      </c>
      <c r="DU12" s="108">
        <f>VLOOKUP($H$12&amp;$F$1,'Input RM sheet'!$A:$ZZ,DT1,0)</f>
        <v>0</v>
      </c>
      <c r="DV12" s="108">
        <f>VLOOKUP($H$12&amp;$F$1,'Input RM sheet'!$A:$ZZ,DU1,0)</f>
        <v>0</v>
      </c>
      <c r="DW12" s="108">
        <f>VLOOKUP($H$12&amp;$F$1,'Input RM sheet'!$A:$ZZ,DV1,0)</f>
        <v>0</v>
      </c>
      <c r="DX12" s="108">
        <f>VLOOKUP($H$12&amp;$F$1,'Input RM sheet'!$A:$ZZ,DW1,0)</f>
        <v>0</v>
      </c>
      <c r="DY12" s="108">
        <f>VLOOKUP($H$12&amp;$F$1,'Input RM sheet'!$A:$ZZ,DX1,0)</f>
        <v>0</v>
      </c>
      <c r="DZ12" s="108">
        <f>VLOOKUP($H$12&amp;$F$1,'Input RM sheet'!$A:$ZZ,DY1,0)</f>
        <v>0</v>
      </c>
      <c r="EA12" s="108">
        <f>VLOOKUP($H$12&amp;$F$1,'Input RM sheet'!$A:$ZZ,DZ1,0)</f>
        <v>0</v>
      </c>
      <c r="EB12" s="108">
        <f>VLOOKUP($H$12&amp;$F$1,'Input RM sheet'!$A:$ZZ,EA1,0)</f>
        <v>0</v>
      </c>
      <c r="EC12" s="108">
        <f>VLOOKUP($H$12&amp;$F$1,'Input RM sheet'!$A:$ZZ,EB1,0)</f>
        <v>0</v>
      </c>
      <c r="ED12" s="108">
        <f>VLOOKUP($H$12&amp;$F$1,'Input RM sheet'!$A:$ZZ,EC1,0)</f>
        <v>0</v>
      </c>
      <c r="EE12" s="108">
        <f>VLOOKUP($H$12&amp;$F$1,'Input RM sheet'!$A:$ZZ,ED1,0)</f>
        <v>0</v>
      </c>
      <c r="EF12" s="108">
        <f>VLOOKUP($H$12&amp;$F$1,'Input RM sheet'!$A:$ZZ,EE1,0)</f>
        <v>0</v>
      </c>
      <c r="EG12" s="108">
        <f>VLOOKUP($H$12&amp;$F$1,'Input RM sheet'!$A:$ZZ,EF1,0)</f>
        <v>0</v>
      </c>
      <c r="EH12" s="108">
        <f>VLOOKUP($H$12&amp;$F$1,'Input RM sheet'!$A:$ZZ,EG1,0)</f>
        <v>0</v>
      </c>
      <c r="EI12" s="108">
        <f>VLOOKUP($H$12&amp;$F$1,'Input RM sheet'!$A:$ZZ,EH1,0)</f>
        <v>0</v>
      </c>
      <c r="EJ12" s="108">
        <f>VLOOKUP($H$12&amp;$F$1,'Input RM sheet'!$A:$ZZ,EI1,0)</f>
        <v>0</v>
      </c>
      <c r="EK12" s="108">
        <f>VLOOKUP($H$12&amp;$F$1,'Input RM sheet'!$A:$ZZ,EJ1,0)</f>
        <v>0</v>
      </c>
      <c r="EL12" s="108">
        <f>VLOOKUP($H$12&amp;$F$1,'Input RM sheet'!$A:$ZZ,EK1,0)</f>
        <v>0</v>
      </c>
      <c r="EM12" s="108">
        <f>VLOOKUP($H$12&amp;$F$1,'Input RM sheet'!$A:$ZZ,EL1,0)</f>
        <v>0</v>
      </c>
      <c r="EN12" s="108">
        <f>VLOOKUP($H$12&amp;$F$1,'Input RM sheet'!$A:$ZZ,EM1,0)</f>
        <v>0</v>
      </c>
      <c r="EO12" s="108">
        <f>VLOOKUP($H$12&amp;$F$1,'Input RM sheet'!$A:$ZZ,EN1,0)</f>
        <v>0</v>
      </c>
      <c r="EP12" s="108">
        <f>VLOOKUP($H$12&amp;$F$1,'Input RM sheet'!$A:$ZZ,EO1,0)</f>
        <v>0</v>
      </c>
      <c r="EQ12" s="108">
        <f>VLOOKUP($H$12&amp;$F$1,'Input RM sheet'!$A:$ZZ,EP1,0)</f>
        <v>0</v>
      </c>
      <c r="ER12" s="108">
        <f>VLOOKUP($H$12&amp;$F$1,'Input RM sheet'!$A:$ZZ,EQ1,0)</f>
        <v>0</v>
      </c>
      <c r="ES12" s="108">
        <f>VLOOKUP($H$12&amp;$F$1,'Input RM sheet'!$A:$ZZ,ER1,0)</f>
        <v>0</v>
      </c>
      <c r="ET12" s="108">
        <f>VLOOKUP($H$12&amp;$F$1,'Input RM sheet'!$A:$ZZ,ES1,0)</f>
        <v>0</v>
      </c>
      <c r="EU12" s="108">
        <f>VLOOKUP($H$12&amp;$F$1,'Input RM sheet'!$A:$ZZ,ET1,0)</f>
        <v>0</v>
      </c>
      <c r="EV12" s="108">
        <f>VLOOKUP($H$12&amp;$F$1,'Input RM sheet'!$A:$ZZ,EU1,0)</f>
        <v>0</v>
      </c>
      <c r="EW12" s="108">
        <f>VLOOKUP($H$12&amp;$F$1,'Input RM sheet'!$A:$ZZ,EV1,0)</f>
        <v>0</v>
      </c>
      <c r="EX12" s="108">
        <f>VLOOKUP($H$12&amp;$F$1,'Input RM sheet'!$A:$ZZ,EW1,0)</f>
        <v>0</v>
      </c>
      <c r="EY12" s="108">
        <f>VLOOKUP($H$12&amp;$F$1,'Input RM sheet'!$A:$ZZ,EX1,0)</f>
        <v>0</v>
      </c>
      <c r="EZ12" s="108">
        <f>VLOOKUP($H$12&amp;$F$1,'Input RM sheet'!$A:$ZZ,EY1,0)</f>
        <v>0</v>
      </c>
      <c r="FA12" s="108">
        <f>VLOOKUP($H$12&amp;$F$1,'Input RM sheet'!$A:$ZZ,EZ1,0)</f>
        <v>0</v>
      </c>
      <c r="FB12" s="108">
        <f>VLOOKUP($H$12&amp;$F$1,'Input RM sheet'!$A:$ZZ,FA1,0)</f>
        <v>0</v>
      </c>
      <c r="FC12" s="108">
        <f>VLOOKUP($H$12&amp;$F$1,'Input RM sheet'!$A:$ZZ,FB1,0)</f>
        <v>0</v>
      </c>
      <c r="FD12" s="108">
        <f>VLOOKUP($H$12&amp;$F$1,'Input RM sheet'!$A:$ZZ,FC1,0)</f>
        <v>0</v>
      </c>
      <c r="FE12" s="108">
        <f>VLOOKUP($H$12&amp;$F$1,'Input RM sheet'!$A:$ZZ,FD1,0)</f>
        <v>0</v>
      </c>
    </row>
    <row r="13" spans="1:164" ht="26">
      <c r="A13" s="59" t="s">
        <v>395</v>
      </c>
      <c r="B13" s="59"/>
      <c r="C13" s="59" t="s">
        <v>379</v>
      </c>
      <c r="D13" s="98" t="s">
        <v>380</v>
      </c>
      <c r="E13" s="98" t="s">
        <v>381</v>
      </c>
      <c r="F13" s="59" t="s">
        <v>396</v>
      </c>
      <c r="H13" s="60" t="s">
        <v>399</v>
      </c>
      <c r="I13" s="74">
        <f t="shared" ref="I13:AC13" si="4">I7*1/100</f>
        <v>0</v>
      </c>
      <c r="J13" s="74">
        <f t="shared" si="4"/>
        <v>0</v>
      </c>
      <c r="K13" s="74">
        <f t="shared" si="4"/>
        <v>0</v>
      </c>
      <c r="L13" s="74">
        <f t="shared" si="4"/>
        <v>0</v>
      </c>
      <c r="M13" s="74">
        <f t="shared" si="4"/>
        <v>0</v>
      </c>
      <c r="N13" s="74">
        <f t="shared" si="4"/>
        <v>0</v>
      </c>
      <c r="O13" s="74">
        <f t="shared" si="4"/>
        <v>0</v>
      </c>
      <c r="P13" s="74">
        <f t="shared" si="4"/>
        <v>0</v>
      </c>
      <c r="Q13" s="74">
        <f t="shared" si="4"/>
        <v>0</v>
      </c>
      <c r="R13" s="74">
        <f t="shared" si="4"/>
        <v>0</v>
      </c>
      <c r="S13" s="74">
        <f t="shared" si="4"/>
        <v>0</v>
      </c>
      <c r="T13" s="74">
        <f t="shared" si="4"/>
        <v>0</v>
      </c>
      <c r="U13" s="74">
        <f t="shared" si="4"/>
        <v>0</v>
      </c>
      <c r="V13" s="74">
        <f t="shared" si="4"/>
        <v>0</v>
      </c>
      <c r="W13" s="74">
        <f t="shared" si="4"/>
        <v>0</v>
      </c>
      <c r="X13" s="74">
        <f t="shared" si="4"/>
        <v>0</v>
      </c>
      <c r="Y13" s="74">
        <f t="shared" si="4"/>
        <v>0</v>
      </c>
      <c r="Z13" s="74">
        <f t="shared" si="4"/>
        <v>0</v>
      </c>
      <c r="AA13" s="74">
        <f t="shared" si="4"/>
        <v>0</v>
      </c>
      <c r="AB13" s="74">
        <f t="shared" si="4"/>
        <v>0</v>
      </c>
      <c r="AC13" s="74">
        <f t="shared" si="4"/>
        <v>0</v>
      </c>
    </row>
    <row r="14" spans="1:164">
      <c r="A14" s="178" t="s">
        <v>752</v>
      </c>
      <c r="B14" s="178"/>
      <c r="C14" s="178"/>
      <c r="D14" s="178"/>
      <c r="E14" s="178"/>
      <c r="F14" s="178"/>
      <c r="H14" s="178" t="s">
        <v>752</v>
      </c>
      <c r="I14" s="74"/>
      <c r="J14" s="74"/>
      <c r="K14" s="74"/>
      <c r="L14" s="74"/>
      <c r="M14" s="74"/>
      <c r="N14" s="74"/>
      <c r="O14" s="74"/>
      <c r="P14" s="74"/>
      <c r="Q14" s="74"/>
      <c r="R14" s="74"/>
      <c r="S14" s="74"/>
      <c r="T14" s="74"/>
      <c r="U14" s="74"/>
      <c r="V14" s="74"/>
      <c r="W14" s="74"/>
      <c r="X14" s="74"/>
      <c r="Y14" s="74"/>
      <c r="Z14" s="74"/>
      <c r="AA14" s="74"/>
      <c r="AB14" s="74"/>
      <c r="AC14" s="74"/>
      <c r="AD14" s="65">
        <f>AD12+1.5</f>
        <v>1.5</v>
      </c>
      <c r="AE14" s="65">
        <f t="shared" ref="AE14:CM14" si="5">AE12+1.5</f>
        <v>1.5</v>
      </c>
      <c r="AF14" s="65">
        <f t="shared" si="5"/>
        <v>1.5</v>
      </c>
      <c r="AG14" s="65">
        <f t="shared" si="5"/>
        <v>1.5</v>
      </c>
      <c r="AH14" s="65">
        <f t="shared" si="5"/>
        <v>1.5</v>
      </c>
      <c r="AI14" s="65">
        <f t="shared" si="5"/>
        <v>1.5</v>
      </c>
      <c r="AJ14" s="65">
        <f t="shared" si="5"/>
        <v>1.5</v>
      </c>
      <c r="AK14" s="65">
        <f t="shared" si="5"/>
        <v>1.5</v>
      </c>
      <c r="AL14" s="65">
        <f t="shared" si="5"/>
        <v>1.5</v>
      </c>
      <c r="AM14" s="65">
        <f t="shared" si="5"/>
        <v>1.5</v>
      </c>
      <c r="AN14" s="65">
        <f t="shared" si="5"/>
        <v>79.5</v>
      </c>
      <c r="AO14" s="65">
        <f t="shared" si="5"/>
        <v>1.5</v>
      </c>
      <c r="AP14" s="65">
        <f t="shared" si="5"/>
        <v>1.5</v>
      </c>
      <c r="AQ14" s="65">
        <f t="shared" si="5"/>
        <v>1.5</v>
      </c>
      <c r="AR14" s="65">
        <f t="shared" si="5"/>
        <v>1.5</v>
      </c>
      <c r="AS14" s="65">
        <f t="shared" si="5"/>
        <v>1.5</v>
      </c>
      <c r="AT14" s="65">
        <f t="shared" si="5"/>
        <v>1.5</v>
      </c>
      <c r="AU14" s="65">
        <f t="shared" si="5"/>
        <v>1.5</v>
      </c>
      <c r="AV14" s="65">
        <f t="shared" si="5"/>
        <v>1.5</v>
      </c>
      <c r="AW14" s="65">
        <f t="shared" si="5"/>
        <v>1.5</v>
      </c>
      <c r="AX14" s="65">
        <f>AX12+1.5</f>
        <v>64.5</v>
      </c>
      <c r="AY14" s="65">
        <f t="shared" si="5"/>
        <v>68.5</v>
      </c>
      <c r="AZ14" s="65">
        <f t="shared" si="5"/>
        <v>70.5</v>
      </c>
      <c r="BA14" s="65">
        <f t="shared" si="5"/>
        <v>71.5</v>
      </c>
      <c r="BB14" s="65">
        <f t="shared" si="5"/>
        <v>72.5</v>
      </c>
      <c r="BC14" s="65">
        <f t="shared" si="5"/>
        <v>71.5</v>
      </c>
      <c r="BD14" s="65">
        <f t="shared" si="5"/>
        <v>71.5</v>
      </c>
      <c r="BE14" s="65">
        <f t="shared" si="5"/>
        <v>72.5</v>
      </c>
      <c r="BF14" s="65">
        <f t="shared" si="5"/>
        <v>71.5</v>
      </c>
      <c r="BG14" s="65">
        <f t="shared" si="5"/>
        <v>71.5</v>
      </c>
      <c r="BH14" s="65">
        <f t="shared" si="5"/>
        <v>70.5</v>
      </c>
      <c r="BI14" s="65">
        <f t="shared" si="5"/>
        <v>71.5</v>
      </c>
      <c r="BJ14" s="65">
        <f t="shared" si="5"/>
        <v>69.5</v>
      </c>
      <c r="BK14" s="65">
        <f t="shared" si="5"/>
        <v>63.5</v>
      </c>
      <c r="BL14" s="65">
        <f t="shared" si="5"/>
        <v>61.5</v>
      </c>
      <c r="BM14" s="65">
        <f t="shared" si="5"/>
        <v>58</v>
      </c>
      <c r="BN14" s="65">
        <f t="shared" si="5"/>
        <v>58</v>
      </c>
      <c r="BO14" s="65">
        <f t="shared" si="5"/>
        <v>56.5</v>
      </c>
      <c r="BP14" s="65">
        <f t="shared" si="5"/>
        <v>59.5</v>
      </c>
      <c r="BQ14" s="65">
        <f t="shared" si="5"/>
        <v>59.5</v>
      </c>
      <c r="BR14" s="65">
        <f t="shared" si="5"/>
        <v>56.5</v>
      </c>
      <c r="BS14" s="65">
        <f t="shared" si="5"/>
        <v>56.5</v>
      </c>
      <c r="BT14" s="65">
        <f t="shared" si="5"/>
        <v>57.5</v>
      </c>
      <c r="BU14" s="65">
        <f t="shared" si="5"/>
        <v>57.5</v>
      </c>
      <c r="BV14" s="65">
        <f t="shared" si="5"/>
        <v>57.5</v>
      </c>
      <c r="BW14" s="65">
        <f t="shared" si="5"/>
        <v>56.5</v>
      </c>
      <c r="BX14" s="65">
        <f t="shared" si="5"/>
        <v>56.5</v>
      </c>
      <c r="BY14" s="65">
        <f t="shared" si="5"/>
        <v>59.5</v>
      </c>
      <c r="BZ14" s="65">
        <f t="shared" si="5"/>
        <v>59.5</v>
      </c>
      <c r="CA14" s="65">
        <f t="shared" si="5"/>
        <v>59.5</v>
      </c>
      <c r="CB14" s="65">
        <f t="shared" si="5"/>
        <v>59.5</v>
      </c>
      <c r="CC14" s="65">
        <f t="shared" si="5"/>
        <v>66.5</v>
      </c>
      <c r="CD14" s="65">
        <f t="shared" si="5"/>
        <v>66.5</v>
      </c>
      <c r="CE14" s="65">
        <f t="shared" si="5"/>
        <v>66.5</v>
      </c>
      <c r="CF14" s="65">
        <f t="shared" si="5"/>
        <v>66.5</v>
      </c>
      <c r="CG14" s="65">
        <f t="shared" si="5"/>
        <v>66.5</v>
      </c>
      <c r="CH14" s="65">
        <f t="shared" si="5"/>
        <v>70.5</v>
      </c>
      <c r="CI14" s="65">
        <f t="shared" si="5"/>
        <v>70.5</v>
      </c>
      <c r="CJ14" s="65">
        <f t="shared" si="5"/>
        <v>70.5</v>
      </c>
      <c r="CK14" s="65">
        <f t="shared" si="5"/>
        <v>66.5</v>
      </c>
      <c r="CL14" s="65">
        <f t="shared" si="5"/>
        <v>66.5</v>
      </c>
      <c r="CM14" s="65">
        <f t="shared" si="5"/>
        <v>63.5</v>
      </c>
      <c r="CN14" s="65">
        <f t="shared" ref="CN14:CS14" si="6">CN12+1.5</f>
        <v>58.5</v>
      </c>
      <c r="CO14" s="65">
        <f t="shared" si="6"/>
        <v>64.5</v>
      </c>
      <c r="CP14" s="65">
        <f t="shared" si="6"/>
        <v>64.5</v>
      </c>
      <c r="CQ14" s="65">
        <f t="shared" si="6"/>
        <v>64.5</v>
      </c>
      <c r="CR14" s="65">
        <f t="shared" si="6"/>
        <v>64.5</v>
      </c>
      <c r="CS14" s="65">
        <f t="shared" si="6"/>
        <v>69</v>
      </c>
      <c r="CT14" s="65">
        <f t="shared" ref="CT14:FE14" si="7">CT12+1.5</f>
        <v>69</v>
      </c>
      <c r="CU14" s="65">
        <f t="shared" si="7"/>
        <v>69</v>
      </c>
      <c r="CV14" s="65">
        <f t="shared" si="7"/>
        <v>69</v>
      </c>
      <c r="CW14" s="65">
        <f t="shared" si="7"/>
        <v>65.099999999999994</v>
      </c>
      <c r="CX14" s="65">
        <f t="shared" si="7"/>
        <v>65</v>
      </c>
      <c r="CY14" s="65">
        <f t="shared" si="7"/>
        <v>65</v>
      </c>
      <c r="CZ14" s="65">
        <f t="shared" si="7"/>
        <v>65</v>
      </c>
      <c r="DA14" s="65">
        <f t="shared" si="7"/>
        <v>65</v>
      </c>
      <c r="DB14" s="65">
        <f t="shared" si="7"/>
        <v>65</v>
      </c>
      <c r="DC14" s="65">
        <f t="shared" si="7"/>
        <v>66.5</v>
      </c>
      <c r="DD14" s="65">
        <f t="shared" si="7"/>
        <v>66.5</v>
      </c>
      <c r="DE14" s="65">
        <f t="shared" si="7"/>
        <v>71.5</v>
      </c>
      <c r="DF14" s="65">
        <f t="shared" si="7"/>
        <v>71.5</v>
      </c>
      <c r="DG14" s="65">
        <f t="shared" si="7"/>
        <v>71.5</v>
      </c>
      <c r="DH14" s="65">
        <f t="shared" si="7"/>
        <v>69</v>
      </c>
      <c r="DI14" s="65">
        <f>DI12+1.5</f>
        <v>61.5</v>
      </c>
      <c r="DJ14" s="65">
        <f t="shared" si="7"/>
        <v>61.5</v>
      </c>
      <c r="DK14" s="65">
        <f t="shared" si="7"/>
        <v>66.5</v>
      </c>
      <c r="DL14" s="65">
        <f t="shared" si="7"/>
        <v>66.5</v>
      </c>
      <c r="DM14" s="65">
        <f>DM12+1.5</f>
        <v>67.5</v>
      </c>
      <c r="DN14" s="65">
        <f t="shared" si="7"/>
        <v>70.5</v>
      </c>
      <c r="DO14" s="65">
        <f t="shared" si="7"/>
        <v>70.5</v>
      </c>
      <c r="DP14" s="65">
        <f t="shared" si="7"/>
        <v>71.5</v>
      </c>
      <c r="DQ14" s="65">
        <f t="shared" si="7"/>
        <v>73.5</v>
      </c>
      <c r="DR14" s="65">
        <f t="shared" si="7"/>
        <v>73.5</v>
      </c>
      <c r="DS14" s="65">
        <f t="shared" si="7"/>
        <v>71.5</v>
      </c>
      <c r="DT14" s="65">
        <f t="shared" si="7"/>
        <v>1.5</v>
      </c>
      <c r="DU14" s="65">
        <f t="shared" si="7"/>
        <v>1.5</v>
      </c>
      <c r="DV14" s="65">
        <f t="shared" si="7"/>
        <v>1.5</v>
      </c>
      <c r="DW14" s="65">
        <f t="shared" si="7"/>
        <v>1.5</v>
      </c>
      <c r="DX14" s="65">
        <f t="shared" si="7"/>
        <v>1.5</v>
      </c>
      <c r="DY14" s="65">
        <f t="shared" si="7"/>
        <v>1.5</v>
      </c>
      <c r="DZ14" s="65">
        <f t="shared" si="7"/>
        <v>1.5</v>
      </c>
      <c r="EA14" s="65">
        <f t="shared" si="7"/>
        <v>1.5</v>
      </c>
      <c r="EB14" s="65">
        <f t="shared" si="7"/>
        <v>1.5</v>
      </c>
      <c r="EC14" s="65">
        <f t="shared" si="7"/>
        <v>1.5</v>
      </c>
      <c r="ED14" s="65">
        <f t="shared" si="7"/>
        <v>1.5</v>
      </c>
      <c r="EE14" s="65">
        <f t="shared" si="7"/>
        <v>1.5</v>
      </c>
      <c r="EF14" s="65">
        <f t="shared" si="7"/>
        <v>1.5</v>
      </c>
      <c r="EG14" s="65">
        <f t="shared" si="7"/>
        <v>1.5</v>
      </c>
      <c r="EH14" s="65">
        <f t="shared" si="7"/>
        <v>1.5</v>
      </c>
      <c r="EI14" s="65">
        <f t="shared" si="7"/>
        <v>1.5</v>
      </c>
      <c r="EJ14" s="65">
        <f t="shared" si="7"/>
        <v>1.5</v>
      </c>
      <c r="EK14" s="65">
        <f t="shared" si="7"/>
        <v>1.5</v>
      </c>
      <c r="EL14" s="65">
        <f t="shared" si="7"/>
        <v>1.5</v>
      </c>
      <c r="EM14" s="65">
        <f t="shared" si="7"/>
        <v>1.5</v>
      </c>
      <c r="EN14" s="65">
        <f t="shared" si="7"/>
        <v>1.5</v>
      </c>
      <c r="EO14" s="65">
        <f t="shared" si="7"/>
        <v>1.5</v>
      </c>
      <c r="EP14" s="65">
        <f t="shared" si="7"/>
        <v>1.5</v>
      </c>
      <c r="EQ14" s="65">
        <f t="shared" si="7"/>
        <v>1.5</v>
      </c>
      <c r="ER14" s="65">
        <f t="shared" si="7"/>
        <v>1.5</v>
      </c>
      <c r="ES14" s="65">
        <f t="shared" si="7"/>
        <v>1.5</v>
      </c>
      <c r="ET14" s="65">
        <f t="shared" si="7"/>
        <v>1.5</v>
      </c>
      <c r="EU14" s="65">
        <f t="shared" si="7"/>
        <v>1.5</v>
      </c>
      <c r="EV14" s="65">
        <f t="shared" si="7"/>
        <v>1.5</v>
      </c>
      <c r="EW14" s="65">
        <f t="shared" si="7"/>
        <v>1.5</v>
      </c>
      <c r="EX14" s="65">
        <f t="shared" si="7"/>
        <v>1.5</v>
      </c>
      <c r="EY14" s="65">
        <f t="shared" si="7"/>
        <v>1.5</v>
      </c>
      <c r="EZ14" s="65">
        <f t="shared" si="7"/>
        <v>1.5</v>
      </c>
      <c r="FA14" s="65">
        <f t="shared" si="7"/>
        <v>1.5</v>
      </c>
      <c r="FB14" s="65">
        <f t="shared" si="7"/>
        <v>1.5</v>
      </c>
      <c r="FC14" s="65">
        <f t="shared" si="7"/>
        <v>1.5</v>
      </c>
      <c r="FD14" s="65">
        <f t="shared" si="7"/>
        <v>1.5</v>
      </c>
      <c r="FE14" s="65">
        <f t="shared" si="7"/>
        <v>1.5</v>
      </c>
    </row>
    <row r="15" spans="1:164">
      <c r="A15" s="60" t="s">
        <v>718</v>
      </c>
      <c r="B15" s="44"/>
      <c r="C15" s="44"/>
      <c r="D15" s="44"/>
      <c r="E15" s="44"/>
      <c r="F15" s="44"/>
      <c r="H15" s="60" t="s">
        <v>718</v>
      </c>
      <c r="I15" s="74"/>
      <c r="J15" s="74"/>
      <c r="K15" s="74"/>
      <c r="L15" s="74"/>
      <c r="M15" s="74"/>
      <c r="N15" s="74"/>
      <c r="O15" s="74"/>
      <c r="P15" s="74"/>
      <c r="Q15" s="74"/>
      <c r="R15" s="74"/>
      <c r="S15" s="74"/>
      <c r="T15" s="74"/>
      <c r="U15" s="74"/>
      <c r="V15" s="74"/>
      <c r="W15" s="74"/>
      <c r="X15" s="74"/>
      <c r="Y15" s="74"/>
      <c r="Z15" s="74"/>
      <c r="AA15" s="74"/>
      <c r="AB15" s="74"/>
      <c r="AC15" s="74"/>
      <c r="AD15" s="65">
        <v>10</v>
      </c>
      <c r="AE15" s="65">
        <v>10</v>
      </c>
      <c r="AF15" s="65">
        <v>10</v>
      </c>
      <c r="AG15" s="65">
        <v>10</v>
      </c>
      <c r="AH15" s="65">
        <v>10</v>
      </c>
      <c r="AI15" s="65">
        <v>10</v>
      </c>
      <c r="AJ15" s="65">
        <v>10</v>
      </c>
      <c r="AK15" s="65">
        <v>10</v>
      </c>
      <c r="AL15" s="65">
        <v>10</v>
      </c>
      <c r="AM15" s="65">
        <v>10</v>
      </c>
      <c r="AN15" s="65">
        <v>10</v>
      </c>
      <c r="AO15" s="65">
        <v>10</v>
      </c>
      <c r="AP15" s="65">
        <v>10</v>
      </c>
      <c r="AQ15" s="65">
        <v>10</v>
      </c>
      <c r="AR15" s="65">
        <v>10</v>
      </c>
      <c r="AS15" s="65">
        <v>10</v>
      </c>
      <c r="AT15" s="65">
        <v>10</v>
      </c>
      <c r="AU15" s="65">
        <v>10</v>
      </c>
      <c r="AV15" s="65">
        <v>10</v>
      </c>
      <c r="AW15" s="65">
        <v>10</v>
      </c>
      <c r="AX15" s="65">
        <v>10</v>
      </c>
      <c r="AY15" s="65">
        <v>10</v>
      </c>
      <c r="AZ15" s="65">
        <v>10</v>
      </c>
      <c r="BA15" s="65">
        <v>10</v>
      </c>
      <c r="BB15" s="65">
        <v>10</v>
      </c>
      <c r="BC15" s="65">
        <v>10</v>
      </c>
      <c r="BD15" s="65">
        <v>10</v>
      </c>
      <c r="BE15" s="65">
        <v>10</v>
      </c>
      <c r="BF15" s="65">
        <v>10</v>
      </c>
      <c r="BG15" s="65">
        <v>10</v>
      </c>
      <c r="BH15" s="65">
        <v>10</v>
      </c>
      <c r="BI15" s="65">
        <v>10</v>
      </c>
      <c r="BJ15" s="65">
        <v>10</v>
      </c>
      <c r="BK15" s="65">
        <v>10</v>
      </c>
      <c r="BL15" s="65">
        <v>10</v>
      </c>
      <c r="BM15" s="65">
        <v>10</v>
      </c>
      <c r="BN15" s="65">
        <v>10</v>
      </c>
      <c r="BO15" s="65">
        <v>10</v>
      </c>
      <c r="BP15" s="65">
        <v>10</v>
      </c>
      <c r="BQ15" s="65">
        <v>10</v>
      </c>
      <c r="BR15" s="65">
        <v>10</v>
      </c>
      <c r="BS15" s="65">
        <v>10</v>
      </c>
      <c r="BT15" s="65">
        <v>10</v>
      </c>
      <c r="BU15" s="65">
        <v>10</v>
      </c>
      <c r="BV15" s="65">
        <v>10</v>
      </c>
      <c r="BW15" s="65">
        <v>10</v>
      </c>
      <c r="BX15" s="65">
        <v>10</v>
      </c>
      <c r="BY15" s="65">
        <v>10</v>
      </c>
      <c r="BZ15" s="65">
        <v>10</v>
      </c>
      <c r="CA15" s="65">
        <v>10</v>
      </c>
      <c r="CB15" s="65">
        <v>10</v>
      </c>
      <c r="CC15" s="65">
        <v>10</v>
      </c>
      <c r="CD15" s="65">
        <v>10</v>
      </c>
      <c r="CE15" s="65">
        <v>10</v>
      </c>
      <c r="CF15" s="65">
        <v>10</v>
      </c>
      <c r="CG15" s="65">
        <v>10</v>
      </c>
      <c r="CH15" s="65">
        <v>10</v>
      </c>
      <c r="CI15" s="65">
        <v>10</v>
      </c>
      <c r="CJ15" s="65">
        <v>10</v>
      </c>
      <c r="CK15" s="65">
        <v>10</v>
      </c>
      <c r="CL15" s="65">
        <v>10</v>
      </c>
      <c r="CM15" s="65">
        <v>10</v>
      </c>
      <c r="CN15" s="65">
        <v>10</v>
      </c>
      <c r="CO15" s="65">
        <v>10</v>
      </c>
      <c r="CP15" s="65">
        <v>10</v>
      </c>
      <c r="CQ15" s="65">
        <v>10</v>
      </c>
      <c r="CR15" s="65">
        <v>10</v>
      </c>
      <c r="CS15" s="65">
        <v>10</v>
      </c>
      <c r="CT15" s="65">
        <v>10</v>
      </c>
      <c r="CU15" s="65">
        <v>10</v>
      </c>
      <c r="CV15" s="65">
        <v>10</v>
      </c>
      <c r="CW15" s="65">
        <v>10</v>
      </c>
      <c r="CX15" s="65">
        <v>10</v>
      </c>
      <c r="CY15" s="65">
        <v>10</v>
      </c>
      <c r="CZ15" s="65">
        <v>10</v>
      </c>
      <c r="DA15" s="65">
        <v>10</v>
      </c>
      <c r="DB15" s="65">
        <v>10</v>
      </c>
      <c r="DC15" s="65">
        <v>10</v>
      </c>
      <c r="DD15" s="65">
        <v>10</v>
      </c>
      <c r="DE15" s="65">
        <v>10</v>
      </c>
      <c r="DF15" s="65">
        <v>10</v>
      </c>
      <c r="DG15" s="65">
        <v>10</v>
      </c>
      <c r="DH15" s="65">
        <v>10</v>
      </c>
      <c r="DI15" s="65">
        <v>10</v>
      </c>
      <c r="DJ15" s="65">
        <v>10</v>
      </c>
      <c r="DK15" s="65">
        <v>10</v>
      </c>
      <c r="DL15" s="65">
        <v>10</v>
      </c>
      <c r="DM15" s="65">
        <v>10</v>
      </c>
      <c r="DN15" s="65">
        <v>10</v>
      </c>
      <c r="DO15" s="65">
        <v>10</v>
      </c>
      <c r="DP15" s="65">
        <v>10</v>
      </c>
      <c r="DQ15" s="65">
        <v>10</v>
      </c>
      <c r="DR15" s="60">
        <v>10</v>
      </c>
      <c r="DS15" s="60">
        <v>10</v>
      </c>
      <c r="DT15" s="60">
        <v>10</v>
      </c>
      <c r="DU15" s="60">
        <v>10</v>
      </c>
      <c r="DV15" s="60">
        <v>10</v>
      </c>
      <c r="DW15" s="60">
        <v>10</v>
      </c>
      <c r="DX15" s="60">
        <v>10</v>
      </c>
      <c r="DY15" s="60">
        <v>10</v>
      </c>
      <c r="DZ15" s="60">
        <v>10</v>
      </c>
      <c r="EA15" s="60">
        <v>10</v>
      </c>
      <c r="EB15" s="60">
        <v>10</v>
      </c>
      <c r="EC15" s="60">
        <v>10</v>
      </c>
      <c r="ED15" s="60">
        <v>10</v>
      </c>
      <c r="EE15" s="60">
        <v>10</v>
      </c>
      <c r="EF15" s="60">
        <v>10</v>
      </c>
      <c r="EG15" s="60">
        <v>10</v>
      </c>
      <c r="EH15" s="60">
        <v>10</v>
      </c>
      <c r="EI15" s="60">
        <v>10</v>
      </c>
      <c r="EJ15" s="60">
        <v>10</v>
      </c>
      <c r="EK15" s="60">
        <v>10</v>
      </c>
      <c r="EL15" s="60">
        <v>10</v>
      </c>
      <c r="EM15" s="60">
        <v>10</v>
      </c>
      <c r="EN15" s="60">
        <v>10</v>
      </c>
      <c r="EO15" s="60">
        <v>10</v>
      </c>
      <c r="EP15" s="60">
        <v>10</v>
      </c>
      <c r="EQ15" s="60">
        <v>10</v>
      </c>
      <c r="ER15" s="60">
        <v>10</v>
      </c>
      <c r="ES15" s="60">
        <v>10</v>
      </c>
      <c r="ET15" s="60">
        <v>10</v>
      </c>
      <c r="EU15" s="60">
        <v>10</v>
      </c>
      <c r="EV15" s="60">
        <v>10</v>
      </c>
      <c r="EW15" s="60">
        <v>10</v>
      </c>
      <c r="EX15" s="60">
        <v>10</v>
      </c>
      <c r="EY15" s="60">
        <v>10</v>
      </c>
      <c r="EZ15" s="60">
        <v>10</v>
      </c>
      <c r="FA15" s="60">
        <v>10</v>
      </c>
      <c r="FB15" s="60">
        <v>10</v>
      </c>
      <c r="FC15" s="60">
        <v>10</v>
      </c>
      <c r="FD15" s="60">
        <v>10</v>
      </c>
      <c r="FE15" s="60">
        <v>10</v>
      </c>
    </row>
    <row r="16" spans="1:164">
      <c r="A16" s="178" t="s">
        <v>728</v>
      </c>
      <c r="B16" s="44"/>
      <c r="C16" s="44"/>
      <c r="D16" s="44"/>
      <c r="E16" s="44"/>
      <c r="F16" s="44"/>
      <c r="H16" s="178" t="s">
        <v>728</v>
      </c>
      <c r="I16" s="74"/>
      <c r="J16" s="74"/>
      <c r="K16" s="74"/>
      <c r="L16" s="74"/>
      <c r="M16" s="74"/>
      <c r="N16" s="74"/>
      <c r="O16" s="74"/>
      <c r="P16" s="74"/>
      <c r="Q16" s="74"/>
      <c r="R16" s="74"/>
      <c r="S16" s="74"/>
      <c r="T16" s="74"/>
      <c r="U16" s="74"/>
      <c r="V16" s="74"/>
      <c r="W16" s="74"/>
      <c r="X16" s="74"/>
      <c r="Y16" s="74"/>
      <c r="Z16" s="74"/>
      <c r="AA16" s="74"/>
      <c r="AB16" s="74"/>
      <c r="AC16" s="74"/>
      <c r="CM16" s="65">
        <f t="shared" ref="CM16:CR16" si="8">CM14+CM15</f>
        <v>73.5</v>
      </c>
      <c r="CN16" s="65">
        <f t="shared" si="8"/>
        <v>68.5</v>
      </c>
      <c r="CO16" s="65">
        <f t="shared" si="8"/>
        <v>74.5</v>
      </c>
      <c r="CP16" s="65">
        <f t="shared" si="8"/>
        <v>74.5</v>
      </c>
      <c r="CQ16" s="65">
        <f t="shared" si="8"/>
        <v>74.5</v>
      </c>
      <c r="CR16" s="65">
        <f t="shared" si="8"/>
        <v>74.5</v>
      </c>
      <c r="CS16" s="65">
        <f>CS14+CS15</f>
        <v>79</v>
      </c>
      <c r="CT16" s="65">
        <f>CT14+CT15</f>
        <v>79</v>
      </c>
      <c r="CU16" s="65">
        <f t="shared" ref="CU16:FE16" si="9">CU14+CU15</f>
        <v>79</v>
      </c>
      <c r="CV16" s="65">
        <f t="shared" si="9"/>
        <v>79</v>
      </c>
      <c r="CW16" s="65">
        <f t="shared" si="9"/>
        <v>75.099999999999994</v>
      </c>
      <c r="CX16" s="65">
        <f t="shared" si="9"/>
        <v>75</v>
      </c>
      <c r="CY16" s="65">
        <f t="shared" si="9"/>
        <v>75</v>
      </c>
      <c r="CZ16" s="65">
        <f t="shared" si="9"/>
        <v>75</v>
      </c>
      <c r="DA16" s="65">
        <f t="shared" si="9"/>
        <v>75</v>
      </c>
      <c r="DB16" s="65">
        <f t="shared" si="9"/>
        <v>75</v>
      </c>
      <c r="DC16" s="65">
        <f t="shared" si="9"/>
        <v>76.5</v>
      </c>
      <c r="DD16" s="65">
        <f t="shared" si="9"/>
        <v>76.5</v>
      </c>
      <c r="DE16" s="65">
        <f t="shared" si="9"/>
        <v>81.5</v>
      </c>
      <c r="DF16" s="65">
        <f t="shared" si="9"/>
        <v>81.5</v>
      </c>
      <c r="DG16" s="65">
        <f t="shared" si="9"/>
        <v>81.5</v>
      </c>
      <c r="DH16" s="65">
        <f>DH14+DI15</f>
        <v>79</v>
      </c>
      <c r="DI16" s="65">
        <f>DI14+DJ15</f>
        <v>71.5</v>
      </c>
      <c r="DJ16" s="65">
        <f t="shared" si="9"/>
        <v>71.5</v>
      </c>
      <c r="DK16" s="65">
        <f t="shared" si="9"/>
        <v>76.5</v>
      </c>
      <c r="DL16" s="65">
        <f t="shared" si="9"/>
        <v>76.5</v>
      </c>
      <c r="DM16" s="65">
        <f t="shared" si="9"/>
        <v>77.5</v>
      </c>
      <c r="DN16" s="65">
        <f t="shared" si="9"/>
        <v>80.5</v>
      </c>
      <c r="DO16" s="65">
        <f t="shared" si="9"/>
        <v>80.5</v>
      </c>
      <c r="DP16" s="65">
        <f t="shared" si="9"/>
        <v>81.5</v>
      </c>
      <c r="DQ16" s="65">
        <f t="shared" si="9"/>
        <v>83.5</v>
      </c>
      <c r="DR16" s="65">
        <f t="shared" si="9"/>
        <v>83.5</v>
      </c>
      <c r="DS16" s="65">
        <f t="shared" si="9"/>
        <v>81.5</v>
      </c>
      <c r="DT16" s="65">
        <f t="shared" si="9"/>
        <v>11.5</v>
      </c>
      <c r="DU16" s="65">
        <f t="shared" si="9"/>
        <v>11.5</v>
      </c>
      <c r="DV16" s="65">
        <f t="shared" si="9"/>
        <v>11.5</v>
      </c>
      <c r="DW16" s="65">
        <f t="shared" si="9"/>
        <v>11.5</v>
      </c>
      <c r="DX16" s="65">
        <f t="shared" si="9"/>
        <v>11.5</v>
      </c>
      <c r="DY16" s="65">
        <f t="shared" si="9"/>
        <v>11.5</v>
      </c>
      <c r="DZ16" s="65">
        <f t="shared" si="9"/>
        <v>11.5</v>
      </c>
      <c r="EA16" s="65">
        <f t="shared" si="9"/>
        <v>11.5</v>
      </c>
      <c r="EB16" s="65">
        <f t="shared" si="9"/>
        <v>11.5</v>
      </c>
      <c r="EC16" s="65">
        <f t="shared" si="9"/>
        <v>11.5</v>
      </c>
      <c r="ED16" s="65">
        <f t="shared" si="9"/>
        <v>11.5</v>
      </c>
      <c r="EE16" s="65">
        <f t="shared" si="9"/>
        <v>11.5</v>
      </c>
      <c r="EF16" s="65">
        <f t="shared" si="9"/>
        <v>11.5</v>
      </c>
      <c r="EG16" s="65">
        <f t="shared" si="9"/>
        <v>11.5</v>
      </c>
      <c r="EH16" s="65">
        <f t="shared" si="9"/>
        <v>11.5</v>
      </c>
      <c r="EI16" s="65">
        <f t="shared" si="9"/>
        <v>11.5</v>
      </c>
      <c r="EJ16" s="65">
        <f t="shared" si="9"/>
        <v>11.5</v>
      </c>
      <c r="EK16" s="65">
        <f t="shared" si="9"/>
        <v>11.5</v>
      </c>
      <c r="EL16" s="65">
        <f t="shared" si="9"/>
        <v>11.5</v>
      </c>
      <c r="EM16" s="65">
        <f t="shared" si="9"/>
        <v>11.5</v>
      </c>
      <c r="EN16" s="65">
        <f t="shared" si="9"/>
        <v>11.5</v>
      </c>
      <c r="EO16" s="65">
        <f t="shared" si="9"/>
        <v>11.5</v>
      </c>
      <c r="EP16" s="65">
        <f t="shared" si="9"/>
        <v>11.5</v>
      </c>
      <c r="EQ16" s="65">
        <f t="shared" si="9"/>
        <v>11.5</v>
      </c>
      <c r="ER16" s="65">
        <f t="shared" si="9"/>
        <v>11.5</v>
      </c>
      <c r="ES16" s="65">
        <f t="shared" si="9"/>
        <v>11.5</v>
      </c>
      <c r="ET16" s="65">
        <f t="shared" si="9"/>
        <v>11.5</v>
      </c>
      <c r="EU16" s="65">
        <f t="shared" si="9"/>
        <v>11.5</v>
      </c>
      <c r="EV16" s="65">
        <f t="shared" si="9"/>
        <v>11.5</v>
      </c>
      <c r="EW16" s="65">
        <f t="shared" si="9"/>
        <v>11.5</v>
      </c>
      <c r="EX16" s="65">
        <f t="shared" si="9"/>
        <v>11.5</v>
      </c>
      <c r="EY16" s="65">
        <f t="shared" si="9"/>
        <v>11.5</v>
      </c>
      <c r="EZ16" s="65">
        <f t="shared" si="9"/>
        <v>11.5</v>
      </c>
      <c r="FA16" s="65">
        <f t="shared" si="9"/>
        <v>11.5</v>
      </c>
      <c r="FB16" s="65">
        <f t="shared" si="9"/>
        <v>11.5</v>
      </c>
      <c r="FC16" s="65">
        <f t="shared" si="9"/>
        <v>11.5</v>
      </c>
      <c r="FD16" s="65">
        <f t="shared" si="9"/>
        <v>11.5</v>
      </c>
      <c r="FE16" s="65">
        <f t="shared" si="9"/>
        <v>11.5</v>
      </c>
    </row>
    <row r="17" spans="1:161">
      <c r="A17" s="178" t="s">
        <v>148</v>
      </c>
      <c r="B17" s="67"/>
      <c r="C17" s="67"/>
      <c r="D17" s="67"/>
      <c r="E17" s="67">
        <v>1.5</v>
      </c>
      <c r="F17" s="67"/>
      <c r="G17" s="67"/>
      <c r="H17" s="178" t="s">
        <v>148</v>
      </c>
      <c r="I17" s="84"/>
      <c r="J17" s="84"/>
      <c r="K17" s="84"/>
      <c r="L17" s="84"/>
      <c r="M17" s="84"/>
      <c r="N17" s="84"/>
      <c r="O17" s="84"/>
      <c r="P17" s="84"/>
      <c r="Q17" s="84"/>
      <c r="R17" s="84"/>
      <c r="S17" s="84"/>
      <c r="T17" s="84"/>
      <c r="U17" s="84"/>
      <c r="V17" s="84"/>
      <c r="W17" s="84"/>
      <c r="X17" s="84"/>
      <c r="Y17" s="84"/>
      <c r="Z17" s="84"/>
      <c r="AA17" s="84"/>
      <c r="AB17" s="84"/>
      <c r="AC17" s="84"/>
      <c r="AD17" s="74">
        <f t="shared" ref="AD17:BI17" si="10">AD7*$E$17/100</f>
        <v>1.605</v>
      </c>
      <c r="AE17" s="74">
        <f t="shared" si="10"/>
        <v>1.5773076923076923</v>
      </c>
      <c r="AF17" s="74">
        <f t="shared" si="10"/>
        <v>1.56</v>
      </c>
      <c r="AG17" s="74">
        <f t="shared" si="10"/>
        <v>1.4038772727272726</v>
      </c>
      <c r="AH17" s="74">
        <f t="shared" si="10"/>
        <v>1.47</v>
      </c>
      <c r="AI17" s="74">
        <f t="shared" si="10"/>
        <v>1.6592222222222222</v>
      </c>
      <c r="AJ17" s="74">
        <f t="shared" si="10"/>
        <v>1.3455000000000001</v>
      </c>
      <c r="AK17" s="74">
        <f t="shared" si="10"/>
        <v>1.3455000000000001</v>
      </c>
      <c r="AL17" s="74">
        <f t="shared" si="10"/>
        <v>1.6372500000000003</v>
      </c>
      <c r="AM17" s="74">
        <f t="shared" si="10"/>
        <v>1.5918749999999999</v>
      </c>
      <c r="AN17" s="74">
        <f t="shared" si="10"/>
        <v>1.4921052631578948</v>
      </c>
      <c r="AO17" s="74">
        <f t="shared" si="10"/>
        <v>1.4921052631578948</v>
      </c>
      <c r="AP17" s="74">
        <f t="shared" si="10"/>
        <v>1.4921052631578948</v>
      </c>
      <c r="AQ17" s="74">
        <f t="shared" si="10"/>
        <v>1.4921052631578948</v>
      </c>
      <c r="AR17" s="74">
        <f t="shared" si="10"/>
        <v>1.4921052631578948</v>
      </c>
      <c r="AS17" s="74">
        <f t="shared" si="10"/>
        <v>1.4921052631578948</v>
      </c>
      <c r="AT17" s="74">
        <f t="shared" si="10"/>
        <v>1.4921052631578948</v>
      </c>
      <c r="AU17" s="74">
        <f t="shared" si="10"/>
        <v>1.2250000000000001</v>
      </c>
      <c r="AV17" s="74">
        <f t="shared" si="10"/>
        <v>1.2</v>
      </c>
      <c r="AW17" s="74">
        <f t="shared" si="10"/>
        <v>1.2</v>
      </c>
      <c r="AX17" s="74">
        <f>AX7*$E$17/100</f>
        <v>1.35</v>
      </c>
      <c r="AY17" s="74">
        <f t="shared" si="10"/>
        <v>1.3090836734693878</v>
      </c>
      <c r="AZ17" s="74">
        <f t="shared" si="10"/>
        <v>1.3090836734693878</v>
      </c>
      <c r="BA17" s="74">
        <f t="shared" si="10"/>
        <v>1.3090836734693878</v>
      </c>
      <c r="BB17" s="74">
        <f t="shared" si="10"/>
        <v>1.3090836734693878</v>
      </c>
      <c r="BC17" s="74">
        <f t="shared" si="10"/>
        <v>1.0793289301310045</v>
      </c>
      <c r="BD17" s="74">
        <f t="shared" si="10"/>
        <v>1.0793289301310045</v>
      </c>
      <c r="BE17" s="74">
        <f t="shared" si="10"/>
        <v>1.0793289301310045</v>
      </c>
      <c r="BF17" s="74">
        <f t="shared" si="10"/>
        <v>1.0793289301310045</v>
      </c>
      <c r="BG17" s="74">
        <f t="shared" si="10"/>
        <v>1.4386607142857144</v>
      </c>
      <c r="BH17" s="74">
        <f t="shared" si="10"/>
        <v>1.4386607142857144</v>
      </c>
      <c r="BI17" s="74">
        <f t="shared" si="10"/>
        <v>1.4386607142857144</v>
      </c>
      <c r="BJ17" s="74">
        <f t="shared" ref="BJ17:CM17" si="11">BJ7*$E$17/100</f>
        <v>1.4386607142857144</v>
      </c>
      <c r="BK17" s="74">
        <f t="shared" si="11"/>
        <v>1.29</v>
      </c>
      <c r="BL17" s="74">
        <f t="shared" si="11"/>
        <v>1.29</v>
      </c>
      <c r="BM17" s="74">
        <f t="shared" si="11"/>
        <v>1.2</v>
      </c>
      <c r="BN17" s="74">
        <f t="shared" si="11"/>
        <v>1.2</v>
      </c>
      <c r="BO17" s="74">
        <f t="shared" si="11"/>
        <v>1.0874999999999999</v>
      </c>
      <c r="BP17" s="74">
        <f t="shared" si="11"/>
        <v>1.0874999999999999</v>
      </c>
      <c r="BQ17" s="74">
        <f t="shared" si="11"/>
        <v>1.0874999999999999</v>
      </c>
      <c r="BR17" s="74">
        <f t="shared" si="11"/>
        <v>1.1399999999999999</v>
      </c>
      <c r="BS17" s="74">
        <f t="shared" si="11"/>
        <v>1.0725</v>
      </c>
      <c r="BT17" s="74">
        <f t="shared" si="11"/>
        <v>1.0725</v>
      </c>
      <c r="BU17" s="74">
        <f t="shared" si="11"/>
        <v>1.095</v>
      </c>
      <c r="BV17" s="74">
        <f t="shared" si="11"/>
        <v>1.125</v>
      </c>
      <c r="BW17" s="74">
        <f t="shared" si="11"/>
        <v>1.125</v>
      </c>
      <c r="BX17" s="74">
        <f t="shared" si="11"/>
        <v>1.2</v>
      </c>
      <c r="BY17" s="74">
        <f t="shared" si="11"/>
        <v>1.2</v>
      </c>
      <c r="BZ17" s="74">
        <f t="shared" si="11"/>
        <v>1.2</v>
      </c>
      <c r="CA17" s="74">
        <f t="shared" si="11"/>
        <v>1.1850000000000001</v>
      </c>
      <c r="CB17" s="74">
        <f t="shared" si="11"/>
        <v>1.1850000000000001</v>
      </c>
      <c r="CC17" s="74">
        <f t="shared" si="11"/>
        <v>1.26</v>
      </c>
      <c r="CD17" s="74">
        <f t="shared" si="11"/>
        <v>1.26</v>
      </c>
      <c r="CE17" s="74">
        <f t="shared" si="11"/>
        <v>1.35</v>
      </c>
      <c r="CF17" s="74">
        <f t="shared" si="11"/>
        <v>1.38</v>
      </c>
      <c r="CG17" s="74">
        <f t="shared" si="11"/>
        <v>1.3875</v>
      </c>
      <c r="CH17" s="74">
        <f t="shared" si="11"/>
        <v>1.32</v>
      </c>
      <c r="CI17" s="74">
        <f t="shared" si="11"/>
        <v>1.32</v>
      </c>
      <c r="CJ17" s="74">
        <f t="shared" si="11"/>
        <v>1.32</v>
      </c>
      <c r="CK17" s="74">
        <f t="shared" si="11"/>
        <v>1.32</v>
      </c>
      <c r="CL17" s="65">
        <f t="shared" si="11"/>
        <v>1.29</v>
      </c>
      <c r="CM17" s="65">
        <f t="shared" si="11"/>
        <v>1.2150000000000001</v>
      </c>
      <c r="CN17" s="65">
        <f t="shared" ref="CN17:CS17" si="12">CN7*$E$17/100</f>
        <v>1.1850000000000001</v>
      </c>
      <c r="CO17" s="65">
        <f t="shared" si="12"/>
        <v>1.2450000000000001</v>
      </c>
      <c r="CP17" s="65">
        <f t="shared" si="12"/>
        <v>1.26</v>
      </c>
      <c r="CQ17" s="65">
        <f t="shared" si="12"/>
        <v>1.26</v>
      </c>
      <c r="CR17" s="65">
        <f t="shared" si="12"/>
        <v>1.26</v>
      </c>
      <c r="CS17" s="65">
        <f t="shared" si="12"/>
        <v>1.29</v>
      </c>
      <c r="CT17" s="65">
        <f t="shared" ref="CT17:FE17" si="13">CT7*$E$17/100</f>
        <v>1.29</v>
      </c>
      <c r="CU17" s="65">
        <f t="shared" si="13"/>
        <v>1.29</v>
      </c>
      <c r="CV17" s="65">
        <f t="shared" si="13"/>
        <v>1.29</v>
      </c>
      <c r="CW17" s="65">
        <f t="shared" si="13"/>
        <v>1.1850000000000001</v>
      </c>
      <c r="CX17" s="65">
        <f t="shared" si="13"/>
        <v>1.1850000000000001</v>
      </c>
      <c r="CY17" s="65">
        <f t="shared" si="13"/>
        <v>1.1850000000000001</v>
      </c>
      <c r="CZ17" s="65">
        <f t="shared" si="13"/>
        <v>1.1850000000000001</v>
      </c>
      <c r="DA17" s="65">
        <f t="shared" si="13"/>
        <v>1.1850000000000001</v>
      </c>
      <c r="DB17" s="65">
        <f t="shared" si="13"/>
        <v>1.1850000000000001</v>
      </c>
      <c r="DC17" s="65">
        <f t="shared" si="13"/>
        <v>1.2450000000000001</v>
      </c>
      <c r="DD17" s="65">
        <f t="shared" si="13"/>
        <v>1.2450000000000001</v>
      </c>
      <c r="DE17" s="65">
        <f t="shared" si="13"/>
        <v>1.2749999999999999</v>
      </c>
      <c r="DF17" s="65">
        <f t="shared" si="13"/>
        <v>1.2749999999999999</v>
      </c>
      <c r="DG17" s="65">
        <f t="shared" si="13"/>
        <v>1.2749999999999999</v>
      </c>
      <c r="DH17" s="65">
        <f t="shared" si="13"/>
        <v>0.75</v>
      </c>
      <c r="DI17" s="65">
        <f>DI7*$E$17/100</f>
        <v>0.75</v>
      </c>
      <c r="DJ17" s="65">
        <f t="shared" si="13"/>
        <v>0.75</v>
      </c>
      <c r="DK17" s="65">
        <f t="shared" si="13"/>
        <v>0.75</v>
      </c>
      <c r="DL17" s="65">
        <f t="shared" si="13"/>
        <v>0.75</v>
      </c>
      <c r="DM17" s="65">
        <f>DM7*$E$17/100</f>
        <v>0.75</v>
      </c>
      <c r="DN17" s="65">
        <f t="shared" si="13"/>
        <v>0.82499999999999996</v>
      </c>
      <c r="DO17" s="65">
        <f t="shared" si="13"/>
        <v>0.82499999999999996</v>
      </c>
      <c r="DP17" s="65">
        <f t="shared" si="13"/>
        <v>0.82499999999999996</v>
      </c>
      <c r="DQ17" s="65">
        <f t="shared" si="13"/>
        <v>0.82499999999999996</v>
      </c>
      <c r="DR17" s="65">
        <f t="shared" si="13"/>
        <v>0.82499999999999996</v>
      </c>
      <c r="DS17" s="65">
        <f t="shared" si="13"/>
        <v>0.82499999999999996</v>
      </c>
      <c r="DT17" s="65">
        <f t="shared" si="13"/>
        <v>0</v>
      </c>
      <c r="DU17" s="65">
        <f t="shared" si="13"/>
        <v>0</v>
      </c>
      <c r="DV17" s="65">
        <f t="shared" si="13"/>
        <v>0</v>
      </c>
      <c r="DW17" s="65">
        <f t="shared" si="13"/>
        <v>0</v>
      </c>
      <c r="DX17" s="65">
        <f t="shared" si="13"/>
        <v>0</v>
      </c>
      <c r="DY17" s="65">
        <f t="shared" si="13"/>
        <v>0</v>
      </c>
      <c r="DZ17" s="65">
        <f t="shared" si="13"/>
        <v>0</v>
      </c>
      <c r="EA17" s="65">
        <f t="shared" si="13"/>
        <v>0</v>
      </c>
      <c r="EB17" s="65">
        <f t="shared" si="13"/>
        <v>0</v>
      </c>
      <c r="EC17" s="65">
        <f t="shared" si="13"/>
        <v>0</v>
      </c>
      <c r="ED17" s="65">
        <f t="shared" si="13"/>
        <v>0</v>
      </c>
      <c r="EE17" s="65">
        <f t="shared" si="13"/>
        <v>0</v>
      </c>
      <c r="EF17" s="65">
        <f t="shared" si="13"/>
        <v>0</v>
      </c>
      <c r="EG17" s="65">
        <f t="shared" si="13"/>
        <v>0</v>
      </c>
      <c r="EH17" s="65">
        <f t="shared" si="13"/>
        <v>0</v>
      </c>
      <c r="EI17" s="65">
        <f t="shared" si="13"/>
        <v>0</v>
      </c>
      <c r="EJ17" s="65">
        <f t="shared" si="13"/>
        <v>0</v>
      </c>
      <c r="EK17" s="65">
        <f t="shared" si="13"/>
        <v>0</v>
      </c>
      <c r="EL17" s="65">
        <f t="shared" si="13"/>
        <v>0</v>
      </c>
      <c r="EM17" s="65">
        <f t="shared" si="13"/>
        <v>0</v>
      </c>
      <c r="EN17" s="65">
        <f t="shared" si="13"/>
        <v>0</v>
      </c>
      <c r="EO17" s="65">
        <f t="shared" si="13"/>
        <v>0</v>
      </c>
      <c r="EP17" s="65">
        <f t="shared" si="13"/>
        <v>0</v>
      </c>
      <c r="EQ17" s="65">
        <f t="shared" si="13"/>
        <v>0</v>
      </c>
      <c r="ER17" s="65">
        <f t="shared" si="13"/>
        <v>0</v>
      </c>
      <c r="ES17" s="65">
        <f t="shared" si="13"/>
        <v>0</v>
      </c>
      <c r="ET17" s="65">
        <f t="shared" si="13"/>
        <v>0</v>
      </c>
      <c r="EU17" s="65">
        <f t="shared" si="13"/>
        <v>0</v>
      </c>
      <c r="EV17" s="65">
        <f t="shared" si="13"/>
        <v>0</v>
      </c>
      <c r="EW17" s="65">
        <f t="shared" si="13"/>
        <v>0</v>
      </c>
      <c r="EX17" s="65">
        <f t="shared" si="13"/>
        <v>0</v>
      </c>
      <c r="EY17" s="65">
        <f t="shared" si="13"/>
        <v>0</v>
      </c>
      <c r="EZ17" s="65">
        <f t="shared" si="13"/>
        <v>0</v>
      </c>
      <c r="FA17" s="65">
        <f t="shared" si="13"/>
        <v>0</v>
      </c>
      <c r="FB17" s="65">
        <f t="shared" si="13"/>
        <v>0</v>
      </c>
      <c r="FC17" s="65">
        <f t="shared" si="13"/>
        <v>0</v>
      </c>
      <c r="FD17" s="65">
        <f t="shared" si="13"/>
        <v>0</v>
      </c>
      <c r="FE17" s="65">
        <f t="shared" si="13"/>
        <v>0</v>
      </c>
    </row>
    <row r="18" spans="1:161">
      <c r="A18" s="44" t="s">
        <v>145</v>
      </c>
      <c r="B18" s="67"/>
      <c r="C18" s="67"/>
      <c r="D18" s="67"/>
      <c r="E18" s="67"/>
      <c r="F18" s="67"/>
      <c r="G18" s="67"/>
      <c r="H18" s="44" t="s">
        <v>145</v>
      </c>
      <c r="I18" s="84"/>
      <c r="J18" s="84"/>
      <c r="K18" s="84"/>
      <c r="L18" s="84"/>
      <c r="M18" s="84"/>
      <c r="N18" s="84"/>
      <c r="O18" s="84"/>
      <c r="P18" s="84"/>
      <c r="Q18" s="84"/>
      <c r="R18" s="84"/>
      <c r="S18" s="84"/>
      <c r="T18" s="84"/>
      <c r="U18" s="84"/>
      <c r="V18" s="84"/>
      <c r="W18" s="84"/>
      <c r="X18" s="84"/>
      <c r="Y18" s="84"/>
      <c r="Z18" s="84"/>
      <c r="AA18" s="84"/>
      <c r="AB18" s="84"/>
      <c r="AC18" s="8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c r="BE18" s="74"/>
      <c r="BF18" s="74"/>
      <c r="BG18" s="74"/>
      <c r="BH18" s="74"/>
      <c r="BI18" s="74"/>
      <c r="BJ18" s="74"/>
      <c r="BK18" s="74"/>
      <c r="BL18" s="74"/>
      <c r="BM18" s="74"/>
      <c r="BN18" s="74"/>
      <c r="BO18" s="74"/>
      <c r="BP18" s="74"/>
      <c r="BQ18" s="74"/>
      <c r="BR18" s="74"/>
      <c r="BS18" s="74"/>
      <c r="BT18" s="74"/>
      <c r="BU18" s="74"/>
      <c r="BV18" s="74"/>
      <c r="BW18" s="74"/>
      <c r="BX18" s="74"/>
      <c r="BY18" s="74"/>
      <c r="BZ18" s="74"/>
      <c r="CA18" s="74"/>
      <c r="CB18" s="74"/>
      <c r="CC18" s="74"/>
      <c r="CD18" s="74"/>
      <c r="CE18" s="74"/>
      <c r="CF18" s="74"/>
      <c r="CG18" s="74"/>
      <c r="CH18" s="74"/>
      <c r="CI18" s="74"/>
      <c r="CJ18" s="74"/>
      <c r="CK18" s="74"/>
      <c r="CL18" s="74"/>
      <c r="CM18" s="65"/>
      <c r="CN18" s="65"/>
      <c r="CO18" s="65"/>
      <c r="CP18" s="65"/>
      <c r="CQ18" s="65"/>
      <c r="CR18" s="65"/>
      <c r="CS18" s="65"/>
      <c r="CT18" s="65"/>
      <c r="CU18" s="65"/>
      <c r="CV18" s="65"/>
      <c r="CW18" s="65"/>
      <c r="CX18" s="65"/>
      <c r="CY18" s="65"/>
      <c r="CZ18" s="65"/>
      <c r="DA18" s="65"/>
      <c r="DB18" s="65"/>
      <c r="DC18" s="65"/>
      <c r="DD18" s="65"/>
      <c r="DE18" s="65"/>
      <c r="DF18" s="65"/>
      <c r="DG18" s="65"/>
      <c r="DH18" s="65"/>
      <c r="DI18" s="65"/>
      <c r="DJ18" s="65"/>
      <c r="DK18" s="65"/>
      <c r="DL18" s="65"/>
      <c r="DM18" s="65"/>
      <c r="DN18" s="65"/>
      <c r="DO18" s="65"/>
      <c r="DP18" s="65"/>
      <c r="DQ18" s="65"/>
      <c r="DR18" s="65"/>
      <c r="DS18" s="65"/>
      <c r="DT18" s="65"/>
      <c r="DU18" s="65"/>
      <c r="DV18" s="65"/>
      <c r="DW18" s="65"/>
      <c r="DX18" s="65"/>
      <c r="DY18" s="65"/>
      <c r="DZ18" s="65"/>
      <c r="EA18" s="65"/>
      <c r="EB18" s="65"/>
      <c r="EC18" s="65"/>
      <c r="ED18" s="65"/>
      <c r="EE18" s="65"/>
      <c r="EF18" s="65"/>
      <c r="EG18" s="65"/>
      <c r="EH18" s="65"/>
      <c r="EI18" s="65"/>
      <c r="EJ18" s="65"/>
      <c r="EK18" s="65"/>
      <c r="EL18" s="65"/>
      <c r="EM18" s="65"/>
      <c r="EN18" s="65"/>
      <c r="EO18" s="65"/>
      <c r="EP18" s="65"/>
      <c r="EQ18" s="65"/>
      <c r="ER18" s="65"/>
      <c r="ES18" s="65"/>
      <c r="ET18" s="65"/>
      <c r="EU18" s="65"/>
      <c r="EV18" s="65"/>
      <c r="EW18" s="65"/>
      <c r="EX18" s="65"/>
      <c r="EY18" s="65"/>
      <c r="EZ18" s="65"/>
      <c r="FA18" s="65"/>
      <c r="FB18" s="65"/>
      <c r="FC18" s="65"/>
      <c r="FD18" s="65"/>
      <c r="FE18" s="65"/>
    </row>
    <row r="19" spans="1:161">
      <c r="A19" s="44" t="s">
        <v>751</v>
      </c>
      <c r="B19" s="67"/>
      <c r="C19" s="67"/>
      <c r="D19" s="67"/>
      <c r="E19" s="67">
        <v>12.5</v>
      </c>
      <c r="F19" s="67"/>
      <c r="G19" s="67"/>
      <c r="H19" s="44" t="s">
        <v>751</v>
      </c>
      <c r="I19" s="84"/>
      <c r="J19" s="84"/>
      <c r="K19" s="84"/>
      <c r="L19" s="84"/>
      <c r="M19" s="84"/>
      <c r="N19" s="84"/>
      <c r="O19" s="84"/>
      <c r="P19" s="84"/>
      <c r="Q19" s="84"/>
      <c r="R19" s="84"/>
      <c r="S19" s="84"/>
      <c r="T19" s="84"/>
      <c r="U19" s="84"/>
      <c r="V19" s="84"/>
      <c r="W19" s="84"/>
      <c r="X19" s="84"/>
      <c r="Y19" s="84"/>
      <c r="Z19" s="84"/>
      <c r="AA19" s="84"/>
      <c r="AB19" s="84"/>
      <c r="AC19" s="84"/>
      <c r="AD19" s="74">
        <f t="shared" ref="AD19:BI19" si="14">AD10*$E$19/100</f>
        <v>4.708333333333333</v>
      </c>
      <c r="AE19" s="74">
        <f t="shared" si="14"/>
        <v>4.6314102564102564</v>
      </c>
      <c r="AF19" s="74">
        <f t="shared" si="14"/>
        <v>4.583333333333333</v>
      </c>
      <c r="AG19" s="74">
        <f t="shared" si="14"/>
        <v>4.1496590909090907</v>
      </c>
      <c r="AH19" s="74">
        <f t="shared" si="14"/>
        <v>4.333333333333333</v>
      </c>
      <c r="AI19" s="74">
        <f t="shared" si="14"/>
        <v>4.8589506172839512</v>
      </c>
      <c r="AJ19" s="74">
        <f t="shared" si="14"/>
        <v>3.9874999999999998</v>
      </c>
      <c r="AK19" s="74">
        <f t="shared" si="14"/>
        <v>3.9874999999999998</v>
      </c>
      <c r="AL19" s="74">
        <f t="shared" si="14"/>
        <v>4.7979166666666666</v>
      </c>
      <c r="AM19" s="74">
        <f t="shared" si="14"/>
        <v>4.671875</v>
      </c>
      <c r="AN19" s="74">
        <f t="shared" si="14"/>
        <v>4.3947368421052628</v>
      </c>
      <c r="AO19" s="74">
        <f t="shared" si="14"/>
        <v>4.3947368421052628</v>
      </c>
      <c r="AP19" s="74">
        <f t="shared" si="14"/>
        <v>4.3947368421052628</v>
      </c>
      <c r="AQ19" s="74">
        <f t="shared" si="14"/>
        <v>4.3947368421052628</v>
      </c>
      <c r="AR19" s="74">
        <f t="shared" si="14"/>
        <v>4.3947368421052628</v>
      </c>
      <c r="AS19" s="74">
        <f t="shared" si="14"/>
        <v>4.3947368421052628</v>
      </c>
      <c r="AT19" s="74">
        <f t="shared" si="14"/>
        <v>4.3947368421052628</v>
      </c>
      <c r="AU19" s="74">
        <f t="shared" si="14"/>
        <v>3.6527777777777781</v>
      </c>
      <c r="AV19" s="74">
        <f t="shared" si="14"/>
        <v>3.5833333333333339</v>
      </c>
      <c r="AW19" s="74">
        <f t="shared" si="14"/>
        <v>3.5833333333333339</v>
      </c>
      <c r="AX19" s="74">
        <f>AX10*$E$19/100</f>
        <v>4</v>
      </c>
      <c r="AY19" s="74">
        <f t="shared" si="14"/>
        <v>3.8863435374149664</v>
      </c>
      <c r="AZ19" s="74">
        <f t="shared" si="14"/>
        <v>3.8863435374149664</v>
      </c>
      <c r="BA19" s="74">
        <f t="shared" si="14"/>
        <v>3.8863435374149664</v>
      </c>
      <c r="BB19" s="74">
        <f t="shared" si="14"/>
        <v>3.8863435374149664</v>
      </c>
      <c r="BC19" s="74">
        <f t="shared" si="14"/>
        <v>3.2481359170305679</v>
      </c>
      <c r="BD19" s="74">
        <f t="shared" si="14"/>
        <v>3.2481359170305679</v>
      </c>
      <c r="BE19" s="74">
        <f t="shared" si="14"/>
        <v>3.2481359170305679</v>
      </c>
      <c r="BF19" s="74">
        <f t="shared" si="14"/>
        <v>3.2481359170305679</v>
      </c>
      <c r="BG19" s="74">
        <f t="shared" si="14"/>
        <v>4.2462797619047619</v>
      </c>
      <c r="BH19" s="74">
        <f t="shared" si="14"/>
        <v>4.2462797619047619</v>
      </c>
      <c r="BI19" s="74">
        <f t="shared" si="14"/>
        <v>4.2462797619047619</v>
      </c>
      <c r="BJ19" s="74">
        <f t="shared" ref="BJ19:CM19" si="15">BJ10*$E$19/100</f>
        <v>4.2462797619047619</v>
      </c>
      <c r="BK19" s="74">
        <f t="shared" si="15"/>
        <v>3.8333333333333339</v>
      </c>
      <c r="BL19" s="74">
        <f t="shared" si="15"/>
        <v>3.8333333333333339</v>
      </c>
      <c r="BM19" s="74">
        <f t="shared" si="15"/>
        <v>3.5833333333333339</v>
      </c>
      <c r="BN19" s="74">
        <f t="shared" si="15"/>
        <v>3.5833333333333339</v>
      </c>
      <c r="BO19" s="74">
        <f t="shared" si="15"/>
        <v>3.2708333333333339</v>
      </c>
      <c r="BP19" s="74">
        <f t="shared" si="15"/>
        <v>3.2708333333333339</v>
      </c>
      <c r="BQ19" s="74">
        <f t="shared" si="15"/>
        <v>3.2708333333333339</v>
      </c>
      <c r="BR19" s="74">
        <f t="shared" si="15"/>
        <v>3.4166666666666661</v>
      </c>
      <c r="BS19" s="74">
        <f t="shared" si="15"/>
        <v>3.2291666666666661</v>
      </c>
      <c r="BT19" s="74">
        <f t="shared" si="15"/>
        <v>3.2291666666666661</v>
      </c>
      <c r="BU19" s="74">
        <f t="shared" si="15"/>
        <v>3.2916666666666661</v>
      </c>
      <c r="BV19" s="74">
        <f t="shared" si="15"/>
        <v>3.375</v>
      </c>
      <c r="BW19" s="74">
        <f t="shared" si="15"/>
        <v>3.375</v>
      </c>
      <c r="BX19" s="74">
        <f t="shared" si="15"/>
        <v>3.5833333333333339</v>
      </c>
      <c r="BY19" s="74">
        <f t="shared" si="15"/>
        <v>3.5833333333333339</v>
      </c>
      <c r="BZ19" s="74">
        <f t="shared" si="15"/>
        <v>3.5833333333333339</v>
      </c>
      <c r="CA19" s="74">
        <f t="shared" si="15"/>
        <v>3.5416666666666661</v>
      </c>
      <c r="CB19" s="74">
        <f t="shared" si="15"/>
        <v>3.5416666666666661</v>
      </c>
      <c r="CC19" s="74">
        <f t="shared" si="15"/>
        <v>3.75</v>
      </c>
      <c r="CD19" s="74">
        <f t="shared" si="15"/>
        <v>3.75</v>
      </c>
      <c r="CE19" s="74">
        <f t="shared" si="15"/>
        <v>4</v>
      </c>
      <c r="CF19" s="74">
        <f t="shared" si="15"/>
        <v>4.083333333333333</v>
      </c>
      <c r="CG19" s="74">
        <f t="shared" si="15"/>
        <v>4.104166666666667</v>
      </c>
      <c r="CH19" s="74">
        <f t="shared" si="15"/>
        <v>3.9166666666666661</v>
      </c>
      <c r="CI19" s="74">
        <f t="shared" si="15"/>
        <v>3.9166666666666661</v>
      </c>
      <c r="CJ19" s="74">
        <f t="shared" si="15"/>
        <v>3.9166666666666661</v>
      </c>
      <c r="CK19" s="74">
        <f t="shared" si="15"/>
        <v>3.9166666666666661</v>
      </c>
      <c r="CL19" s="74">
        <f t="shared" si="15"/>
        <v>3.8333333333333339</v>
      </c>
      <c r="CM19" s="65">
        <f t="shared" si="15"/>
        <v>3.625</v>
      </c>
      <c r="CN19" s="65">
        <f t="shared" ref="CN19:CS19" si="16">CN10*$E$19/100</f>
        <v>3.5416666666666661</v>
      </c>
      <c r="CO19" s="65">
        <f t="shared" si="16"/>
        <v>3.7083333333333339</v>
      </c>
      <c r="CP19" s="65">
        <f t="shared" si="16"/>
        <v>3.75</v>
      </c>
      <c r="CQ19" s="65">
        <f t="shared" si="16"/>
        <v>3.75</v>
      </c>
      <c r="CR19" s="65">
        <f t="shared" si="16"/>
        <v>3.75</v>
      </c>
      <c r="CS19" s="65">
        <f t="shared" si="16"/>
        <v>3.8333333333333339</v>
      </c>
      <c r="CT19" s="65">
        <f t="shared" ref="CT19:FE19" si="17">CT10*$E$19/100</f>
        <v>3.8333333333333339</v>
      </c>
      <c r="CU19" s="65">
        <f t="shared" si="17"/>
        <v>3.8333333333333339</v>
      </c>
      <c r="CV19" s="65">
        <f t="shared" si="17"/>
        <v>3.8333333333333339</v>
      </c>
      <c r="CW19" s="65">
        <f t="shared" si="17"/>
        <v>3.5416666666666661</v>
      </c>
      <c r="CX19" s="65">
        <f t="shared" si="17"/>
        <v>3.5416666666666661</v>
      </c>
      <c r="CY19" s="65">
        <f t="shared" si="17"/>
        <v>3.5416666666666661</v>
      </c>
      <c r="CZ19" s="65">
        <f t="shared" si="17"/>
        <v>3.5416666666666661</v>
      </c>
      <c r="DA19" s="65">
        <f t="shared" si="17"/>
        <v>3.5416666666666661</v>
      </c>
      <c r="DB19" s="65">
        <f t="shared" si="17"/>
        <v>3.5416666666666661</v>
      </c>
      <c r="DC19" s="65">
        <f t="shared" si="17"/>
        <v>3.7083333333333339</v>
      </c>
      <c r="DD19" s="65">
        <f t="shared" si="17"/>
        <v>3.7083333333333339</v>
      </c>
      <c r="DE19" s="65">
        <f t="shared" si="17"/>
        <v>3.7916666666666661</v>
      </c>
      <c r="DF19" s="65">
        <f t="shared" si="17"/>
        <v>3.7916666666666661</v>
      </c>
      <c r="DG19" s="65">
        <f t="shared" si="17"/>
        <v>3.7916666666666661</v>
      </c>
      <c r="DH19" s="65">
        <f t="shared" si="17"/>
        <v>4.375</v>
      </c>
      <c r="DI19" s="65">
        <f t="shared" si="17"/>
        <v>4.375</v>
      </c>
      <c r="DJ19" s="65">
        <f t="shared" si="17"/>
        <v>3.75</v>
      </c>
      <c r="DK19" s="65">
        <f t="shared" si="17"/>
        <v>3.75</v>
      </c>
      <c r="DL19" s="65">
        <f t="shared" si="17"/>
        <v>3.75</v>
      </c>
      <c r="DM19" s="65">
        <f>DM10*$E$19/100</f>
        <v>3.75</v>
      </c>
      <c r="DN19" s="65">
        <f t="shared" si="17"/>
        <v>3.75</v>
      </c>
      <c r="DO19" s="65">
        <f t="shared" si="17"/>
        <v>3.75</v>
      </c>
      <c r="DP19" s="65">
        <f>DP10*$E$19/100</f>
        <v>3.875</v>
      </c>
      <c r="DQ19" s="65">
        <f t="shared" si="17"/>
        <v>3.9583333333333339</v>
      </c>
      <c r="DR19" s="65">
        <f t="shared" si="17"/>
        <v>3.9583333333333339</v>
      </c>
      <c r="DS19" s="65">
        <f t="shared" si="17"/>
        <v>3.875</v>
      </c>
      <c r="DT19" s="65">
        <f t="shared" si="17"/>
        <v>0</v>
      </c>
      <c r="DU19" s="65">
        <f t="shared" si="17"/>
        <v>0</v>
      </c>
      <c r="DV19" s="65">
        <f t="shared" si="17"/>
        <v>0</v>
      </c>
      <c r="DW19" s="65" t="e">
        <f t="shared" si="17"/>
        <v>#REF!</v>
      </c>
      <c r="DX19" s="65" t="e">
        <f t="shared" si="17"/>
        <v>#REF!</v>
      </c>
      <c r="DY19" s="65" t="e">
        <f t="shared" si="17"/>
        <v>#REF!</v>
      </c>
      <c r="DZ19" s="65" t="e">
        <f t="shared" si="17"/>
        <v>#REF!</v>
      </c>
      <c r="EA19" s="65" t="e">
        <f t="shared" si="17"/>
        <v>#REF!</v>
      </c>
      <c r="EB19" s="65" t="e">
        <f t="shared" si="17"/>
        <v>#REF!</v>
      </c>
      <c r="EC19" s="65" t="e">
        <f t="shared" si="17"/>
        <v>#REF!</v>
      </c>
      <c r="ED19" s="65" t="e">
        <f t="shared" si="17"/>
        <v>#REF!</v>
      </c>
      <c r="EE19" s="65" t="e">
        <f t="shared" si="17"/>
        <v>#REF!</v>
      </c>
      <c r="EF19" s="65" t="e">
        <f t="shared" si="17"/>
        <v>#REF!</v>
      </c>
      <c r="EG19" s="65" t="e">
        <f t="shared" si="17"/>
        <v>#REF!</v>
      </c>
      <c r="EH19" s="65" t="e">
        <f t="shared" si="17"/>
        <v>#REF!</v>
      </c>
      <c r="EI19" s="65" t="e">
        <f t="shared" si="17"/>
        <v>#REF!</v>
      </c>
      <c r="EJ19" s="65" t="e">
        <f t="shared" si="17"/>
        <v>#REF!</v>
      </c>
      <c r="EK19" s="65" t="e">
        <f t="shared" si="17"/>
        <v>#REF!</v>
      </c>
      <c r="EL19" s="65" t="e">
        <f t="shared" si="17"/>
        <v>#REF!</v>
      </c>
      <c r="EM19" s="65" t="e">
        <f t="shared" si="17"/>
        <v>#REF!</v>
      </c>
      <c r="EN19" s="65" t="e">
        <f t="shared" si="17"/>
        <v>#REF!</v>
      </c>
      <c r="EO19" s="65" t="e">
        <f t="shared" si="17"/>
        <v>#REF!</v>
      </c>
      <c r="EP19" s="65" t="e">
        <f t="shared" si="17"/>
        <v>#REF!</v>
      </c>
      <c r="EQ19" s="65" t="e">
        <f t="shared" si="17"/>
        <v>#REF!</v>
      </c>
      <c r="ER19" s="65" t="e">
        <f t="shared" si="17"/>
        <v>#REF!</v>
      </c>
      <c r="ES19" s="65" t="e">
        <f t="shared" si="17"/>
        <v>#REF!</v>
      </c>
      <c r="ET19" s="65" t="e">
        <f t="shared" si="17"/>
        <v>#REF!</v>
      </c>
      <c r="EU19" s="65" t="e">
        <f t="shared" si="17"/>
        <v>#REF!</v>
      </c>
      <c r="EV19" s="65" t="e">
        <f t="shared" si="17"/>
        <v>#REF!</v>
      </c>
      <c r="EW19" s="65" t="e">
        <f t="shared" si="17"/>
        <v>#REF!</v>
      </c>
      <c r="EX19" s="65" t="e">
        <f t="shared" si="17"/>
        <v>#REF!</v>
      </c>
      <c r="EY19" s="65" t="e">
        <f t="shared" si="17"/>
        <v>#REF!</v>
      </c>
      <c r="EZ19" s="65" t="e">
        <f t="shared" si="17"/>
        <v>#REF!</v>
      </c>
      <c r="FA19" s="65" t="e">
        <f t="shared" si="17"/>
        <v>#REF!</v>
      </c>
      <c r="FB19" s="65" t="e">
        <f t="shared" si="17"/>
        <v>#REF!</v>
      </c>
      <c r="FC19" s="65" t="e">
        <f t="shared" si="17"/>
        <v>#REF!</v>
      </c>
      <c r="FD19" s="65" t="e">
        <f t="shared" si="17"/>
        <v>#REF!</v>
      </c>
      <c r="FE19" s="65" t="e">
        <f t="shared" si="17"/>
        <v>#REF!</v>
      </c>
    </row>
    <row r="20" spans="1:161">
      <c r="A20" s="44" t="s">
        <v>146</v>
      </c>
      <c r="B20" s="67"/>
      <c r="C20" s="67"/>
      <c r="D20" s="67"/>
      <c r="E20" s="67">
        <v>4.5</v>
      </c>
      <c r="F20" s="67"/>
      <c r="G20" s="67"/>
      <c r="H20" s="44" t="s">
        <v>146</v>
      </c>
      <c r="I20" s="84"/>
      <c r="J20" s="84"/>
      <c r="K20" s="84"/>
      <c r="L20" s="84"/>
      <c r="M20" s="84"/>
      <c r="N20" s="84"/>
      <c r="O20" s="84"/>
      <c r="P20" s="84"/>
      <c r="Q20" s="84"/>
      <c r="R20" s="84"/>
      <c r="S20" s="84"/>
      <c r="T20" s="84"/>
      <c r="U20" s="84"/>
      <c r="V20" s="84"/>
      <c r="W20" s="84"/>
      <c r="X20" s="84"/>
      <c r="Y20" s="84"/>
      <c r="Z20" s="84"/>
      <c r="AA20" s="84"/>
      <c r="AB20" s="84"/>
      <c r="AC20" s="84"/>
      <c r="AD20" s="74">
        <f t="shared" ref="AD20:BI20" si="18">AD11*$E$20/100</f>
        <v>3.0675644999999996</v>
      </c>
      <c r="AE20" s="74">
        <f t="shared" si="18"/>
        <v>3.1186639687500004</v>
      </c>
      <c r="AF20" s="74">
        <f t="shared" si="18"/>
        <v>2.6642115</v>
      </c>
      <c r="AG20" s="74">
        <f t="shared" si="18"/>
        <v>2.4875606250000004</v>
      </c>
      <c r="AH20" s="74">
        <f t="shared" si="18"/>
        <v>2.884085999999999</v>
      </c>
      <c r="AI20" s="74">
        <f t="shared" si="18"/>
        <v>3.5083273499999992</v>
      </c>
      <c r="AJ20" s="74">
        <f t="shared" si="18"/>
        <v>3.2923384959375004</v>
      </c>
      <c r="AK20" s="74">
        <f t="shared" si="18"/>
        <v>3.3532403076562489</v>
      </c>
      <c r="AL20" s="74">
        <f t="shared" si="18"/>
        <v>3.2955279066818175</v>
      </c>
      <c r="AM20" s="74">
        <f t="shared" si="18"/>
        <v>1.9253625482142853</v>
      </c>
      <c r="AN20" s="74">
        <f t="shared" si="18"/>
        <v>1.552656705</v>
      </c>
      <c r="AO20" s="74">
        <f t="shared" si="18"/>
        <v>1.5524805804545456</v>
      </c>
      <c r="AP20" s="74">
        <f t="shared" si="18"/>
        <v>1.2574879692187502</v>
      </c>
      <c r="AQ20" s="74">
        <f t="shared" si="18"/>
        <v>0.97328951879464298</v>
      </c>
      <c r="AR20" s="74">
        <f t="shared" si="18"/>
        <v>1.0390490918181816</v>
      </c>
      <c r="AS20" s="74">
        <f t="shared" si="18"/>
        <v>1.1194650273214286</v>
      </c>
      <c r="AT20" s="74">
        <f t="shared" si="18"/>
        <v>1.1964097884375</v>
      </c>
      <c r="AU20" s="74">
        <f t="shared" si="18"/>
        <v>1.02364636725</v>
      </c>
      <c r="AV20" s="74">
        <f t="shared" si="18"/>
        <v>1.1594550459374999</v>
      </c>
      <c r="AW20" s="74">
        <f t="shared" si="18"/>
        <v>1.2125774882812501</v>
      </c>
      <c r="AX20" s="74">
        <f>AX11*$E$20/100</f>
        <v>1.0060875000000002</v>
      </c>
      <c r="AY20" s="74">
        <f t="shared" si="18"/>
        <v>0.90890099999999985</v>
      </c>
      <c r="AZ20" s="74">
        <f t="shared" si="18"/>
        <v>0.96150600000000008</v>
      </c>
      <c r="BA20" s="74">
        <f t="shared" si="18"/>
        <v>1.0414079999999999</v>
      </c>
      <c r="BB20" s="74">
        <f t="shared" si="18"/>
        <v>1.0920015000000001</v>
      </c>
      <c r="BC20" s="74">
        <f t="shared" si="18"/>
        <v>1.1182049999999999</v>
      </c>
      <c r="BD20" s="74">
        <f t="shared" si="18"/>
        <v>1.123875</v>
      </c>
      <c r="BE20" s="74">
        <f t="shared" si="18"/>
        <v>1.0864124999999998</v>
      </c>
      <c r="BF20" s="74">
        <f t="shared" si="18"/>
        <v>1.04139</v>
      </c>
      <c r="BG20" s="74">
        <f t="shared" si="18"/>
        <v>1.02774375</v>
      </c>
      <c r="BH20" s="74">
        <f t="shared" si="18"/>
        <v>1.0263825000000002</v>
      </c>
      <c r="BI20" s="74">
        <f t="shared" si="18"/>
        <v>1.0075995</v>
      </c>
      <c r="BJ20" s="74">
        <f t="shared" ref="BJ20:CM20" si="19">BJ11*$E$20/100</f>
        <v>1.0116090000000002</v>
      </c>
      <c r="BK20" s="74">
        <f t="shared" si="19"/>
        <v>1.011123</v>
      </c>
      <c r="BL20" s="74">
        <f t="shared" si="19"/>
        <v>1.0114875000000001</v>
      </c>
      <c r="BM20" s="74">
        <f t="shared" si="19"/>
        <v>1.009908</v>
      </c>
      <c r="BN20" s="74">
        <f t="shared" si="19"/>
        <v>1.0116090000000002</v>
      </c>
      <c r="BO20" s="74">
        <f t="shared" si="19"/>
        <v>1.0017607499999999</v>
      </c>
      <c r="BP20" s="74">
        <f t="shared" si="19"/>
        <v>1.0013996249999999</v>
      </c>
      <c r="BQ20" s="74">
        <f t="shared" si="19"/>
        <v>1.0013996249999999</v>
      </c>
      <c r="BR20" s="74">
        <f t="shared" si="19"/>
        <v>0.99371025000000002</v>
      </c>
      <c r="BS20" s="74">
        <f t="shared" si="19"/>
        <v>0.99454500000000012</v>
      </c>
      <c r="BT20" s="74">
        <f t="shared" si="19"/>
        <v>0.99406800000000006</v>
      </c>
      <c r="BU20" s="74">
        <f t="shared" si="19"/>
        <v>0.93645</v>
      </c>
      <c r="BV20" s="74">
        <f t="shared" si="19"/>
        <v>0.93734999999999991</v>
      </c>
      <c r="BW20" s="74">
        <f t="shared" si="19"/>
        <v>0.95403150000000014</v>
      </c>
      <c r="BX20" s="74">
        <f t="shared" si="19"/>
        <v>0.99156375000000008</v>
      </c>
      <c r="BY20" s="74">
        <f t="shared" si="19"/>
        <v>1.0021218750000001</v>
      </c>
      <c r="BZ20" s="74">
        <f t="shared" si="19"/>
        <v>1.0278675000000002</v>
      </c>
      <c r="CA20" s="74">
        <f t="shared" si="19"/>
        <v>1.0271250000000001</v>
      </c>
      <c r="CB20" s="74">
        <f t="shared" si="19"/>
        <v>1.02724875</v>
      </c>
      <c r="CC20" s="74">
        <f t="shared" si="19"/>
        <v>1.0258875000000003</v>
      </c>
      <c r="CD20" s="74">
        <f t="shared" si="19"/>
        <v>1.0818449999999999</v>
      </c>
      <c r="CE20" s="74">
        <f t="shared" si="19"/>
        <v>1.0792349999999999</v>
      </c>
      <c r="CF20" s="74">
        <f t="shared" si="19"/>
        <v>1.0800179999999999</v>
      </c>
      <c r="CG20" s="74">
        <f t="shared" si="19"/>
        <v>1.0959097499999999</v>
      </c>
      <c r="CH20" s="74">
        <f t="shared" si="19"/>
        <v>1.1163836250000001</v>
      </c>
      <c r="CI20" s="74">
        <f t="shared" si="19"/>
        <v>1.0858904999999999</v>
      </c>
      <c r="CJ20" s="74">
        <f t="shared" si="19"/>
        <v>1.0789875</v>
      </c>
      <c r="CK20" s="74">
        <f t="shared" si="19"/>
        <v>1.0817043749999999</v>
      </c>
      <c r="CL20" s="74">
        <f t="shared" si="19"/>
        <v>1.0604767499999999</v>
      </c>
      <c r="CM20" s="65">
        <f t="shared" si="19"/>
        <v>1.0614937499999999</v>
      </c>
      <c r="CN20" s="65">
        <f t="shared" ref="CN20:CS20" si="20">CN11*$E$20/100</f>
        <v>1.0595868749999999</v>
      </c>
      <c r="CO20" s="65">
        <f t="shared" si="20"/>
        <v>1.0595868749999999</v>
      </c>
      <c r="CP20" s="65">
        <f t="shared" si="20"/>
        <v>1.0595868749999999</v>
      </c>
      <c r="CQ20" s="65">
        <f t="shared" si="20"/>
        <v>1.06896375</v>
      </c>
      <c r="CR20" s="65">
        <f t="shared" si="20"/>
        <v>1.0758892499999999</v>
      </c>
      <c r="CS20" s="65">
        <f t="shared" si="20"/>
        <v>1.0883700000000001</v>
      </c>
      <c r="CT20" s="65">
        <f t="shared" ref="CT20:FE20" si="21">CT11*$E$20/100</f>
        <v>1.11785625</v>
      </c>
      <c r="CU20" s="65">
        <f t="shared" si="21"/>
        <v>1.1265749999999999</v>
      </c>
      <c r="CV20" s="65">
        <f t="shared" si="21"/>
        <v>1.14562575</v>
      </c>
      <c r="CW20" s="65">
        <f t="shared" si="21"/>
        <v>1.14672375</v>
      </c>
      <c r="CX20" s="65">
        <f t="shared" si="21"/>
        <v>1.2052800000000001</v>
      </c>
      <c r="CY20" s="65">
        <f t="shared" si="21"/>
        <v>1.2057120000000001</v>
      </c>
      <c r="CZ20" s="65">
        <f t="shared" si="21"/>
        <v>1.2655462500000001</v>
      </c>
      <c r="DA20" s="65">
        <f t="shared" si="21"/>
        <v>1.3034789999999998</v>
      </c>
      <c r="DB20" s="65">
        <f t="shared" si="21"/>
        <v>1.3214249999999998</v>
      </c>
      <c r="DC20" s="65">
        <f t="shared" si="21"/>
        <v>1.3212674999999998</v>
      </c>
      <c r="DD20" s="65">
        <f t="shared" si="21"/>
        <v>1.3223699999999996</v>
      </c>
      <c r="DE20" s="65">
        <f t="shared" si="21"/>
        <v>1.3223699999999996</v>
      </c>
      <c r="DF20" s="65">
        <f t="shared" si="21"/>
        <v>1.2975794999999999</v>
      </c>
      <c r="DG20" s="65">
        <f t="shared" si="21"/>
        <v>1.3364685000000001</v>
      </c>
      <c r="DH20" s="65">
        <f t="shared" si="21"/>
        <v>1.3792072500000001</v>
      </c>
      <c r="DI20" s="65">
        <f t="shared" si="21"/>
        <v>1.4375969999999998</v>
      </c>
      <c r="DJ20" s="65">
        <f t="shared" si="21"/>
        <v>1.5321757500000002</v>
      </c>
      <c r="DK20" s="65">
        <f t="shared" si="21"/>
        <v>1.5323579999999999</v>
      </c>
      <c r="DL20" s="65">
        <f t="shared" si="21"/>
        <v>1.5520139999999998</v>
      </c>
      <c r="DM20" s="65">
        <f>DM11*$E$20/100</f>
        <v>1.5381900000000002</v>
      </c>
      <c r="DN20" s="65">
        <f t="shared" si="21"/>
        <v>1.5168599999999999</v>
      </c>
      <c r="DO20" s="65">
        <f t="shared" si="21"/>
        <v>1.5423817500000001</v>
      </c>
      <c r="DP20" s="65">
        <f t="shared" si="21"/>
        <v>1.54347525</v>
      </c>
      <c r="DQ20" s="65">
        <f t="shared" si="21"/>
        <v>1.5651134999999998</v>
      </c>
      <c r="DR20" s="65">
        <f t="shared" si="21"/>
        <v>1.6432020000000001</v>
      </c>
      <c r="DS20" s="65">
        <f t="shared" si="21"/>
        <v>1.6961467500000003</v>
      </c>
      <c r="DT20" s="65">
        <f t="shared" si="21"/>
        <v>0</v>
      </c>
      <c r="DU20" s="65">
        <f t="shared" si="21"/>
        <v>0</v>
      </c>
      <c r="DV20" s="65">
        <f t="shared" si="21"/>
        <v>0</v>
      </c>
      <c r="DW20" s="65">
        <f t="shared" si="21"/>
        <v>0</v>
      </c>
      <c r="DX20" s="65">
        <f t="shared" si="21"/>
        <v>0</v>
      </c>
      <c r="DY20" s="65">
        <f t="shared" si="21"/>
        <v>0</v>
      </c>
      <c r="DZ20" s="65">
        <f t="shared" si="21"/>
        <v>0</v>
      </c>
      <c r="EA20" s="65">
        <f t="shared" si="21"/>
        <v>0</v>
      </c>
      <c r="EB20" s="65">
        <f t="shared" si="21"/>
        <v>0</v>
      </c>
      <c r="EC20" s="65">
        <f t="shared" si="21"/>
        <v>0</v>
      </c>
      <c r="ED20" s="65">
        <f t="shared" si="21"/>
        <v>0</v>
      </c>
      <c r="EE20" s="65">
        <f t="shared" si="21"/>
        <v>0</v>
      </c>
      <c r="EF20" s="65">
        <f t="shared" si="21"/>
        <v>0</v>
      </c>
      <c r="EG20" s="65">
        <f t="shared" si="21"/>
        <v>0</v>
      </c>
      <c r="EH20" s="65">
        <f t="shared" si="21"/>
        <v>0</v>
      </c>
      <c r="EI20" s="65">
        <f t="shared" si="21"/>
        <v>0</v>
      </c>
      <c r="EJ20" s="65">
        <f t="shared" si="21"/>
        <v>0</v>
      </c>
      <c r="EK20" s="65">
        <f t="shared" si="21"/>
        <v>0</v>
      </c>
      <c r="EL20" s="65">
        <f t="shared" si="21"/>
        <v>0</v>
      </c>
      <c r="EM20" s="65">
        <f t="shared" si="21"/>
        <v>0</v>
      </c>
      <c r="EN20" s="65">
        <f t="shared" si="21"/>
        <v>0</v>
      </c>
      <c r="EO20" s="65">
        <f t="shared" si="21"/>
        <v>0</v>
      </c>
      <c r="EP20" s="65">
        <f t="shared" si="21"/>
        <v>0</v>
      </c>
      <c r="EQ20" s="65">
        <f t="shared" si="21"/>
        <v>0</v>
      </c>
      <c r="ER20" s="65">
        <f t="shared" si="21"/>
        <v>0</v>
      </c>
      <c r="ES20" s="65">
        <f t="shared" si="21"/>
        <v>0</v>
      </c>
      <c r="ET20" s="65">
        <f t="shared" si="21"/>
        <v>0</v>
      </c>
      <c r="EU20" s="65">
        <f t="shared" si="21"/>
        <v>0</v>
      </c>
      <c r="EV20" s="65">
        <f t="shared" si="21"/>
        <v>0</v>
      </c>
      <c r="EW20" s="65">
        <f t="shared" si="21"/>
        <v>0</v>
      </c>
      <c r="EX20" s="65">
        <f t="shared" si="21"/>
        <v>0</v>
      </c>
      <c r="EY20" s="65">
        <f t="shared" si="21"/>
        <v>0</v>
      </c>
      <c r="EZ20" s="65">
        <f t="shared" si="21"/>
        <v>0</v>
      </c>
      <c r="FA20" s="65">
        <f t="shared" si="21"/>
        <v>0</v>
      </c>
      <c r="FB20" s="65">
        <f t="shared" si="21"/>
        <v>0</v>
      </c>
      <c r="FC20" s="65">
        <f t="shared" si="21"/>
        <v>0</v>
      </c>
      <c r="FD20" s="65">
        <f t="shared" si="21"/>
        <v>0</v>
      </c>
      <c r="FE20" s="65">
        <f t="shared" si="21"/>
        <v>0</v>
      </c>
    </row>
    <row r="21" spans="1:161">
      <c r="A21" s="44" t="s">
        <v>743</v>
      </c>
      <c r="B21" s="67"/>
      <c r="C21" s="67"/>
      <c r="D21" s="67"/>
      <c r="E21" s="67"/>
      <c r="F21" s="67"/>
      <c r="G21" s="67"/>
      <c r="H21" s="44" t="s">
        <v>743</v>
      </c>
      <c r="I21" s="84"/>
      <c r="J21" s="84"/>
      <c r="K21" s="84"/>
      <c r="L21" s="84"/>
      <c r="M21" s="84"/>
      <c r="N21" s="84"/>
      <c r="O21" s="84"/>
      <c r="P21" s="84"/>
      <c r="Q21" s="84"/>
      <c r="R21" s="84"/>
      <c r="S21" s="84"/>
      <c r="T21" s="84"/>
      <c r="U21" s="84"/>
      <c r="V21" s="84"/>
      <c r="W21" s="84"/>
      <c r="X21" s="84"/>
      <c r="Y21" s="84"/>
      <c r="Z21" s="84"/>
      <c r="AA21" s="84"/>
      <c r="AB21" s="84"/>
      <c r="AC21" s="84"/>
      <c r="AD21" s="74"/>
      <c r="AE21" s="84"/>
      <c r="AF21" s="84"/>
      <c r="AG21" s="84"/>
      <c r="AH21" s="84"/>
      <c r="AI21" s="84"/>
      <c r="AJ21" s="84"/>
      <c r="AK21" s="84"/>
      <c r="AL21" s="84"/>
      <c r="AM21" s="84"/>
      <c r="AN21" s="84"/>
      <c r="AO21" s="84"/>
      <c r="AP21" s="84"/>
      <c r="AQ21" s="84"/>
      <c r="AR21" s="84"/>
      <c r="AS21" s="84"/>
      <c r="AT21" s="84"/>
      <c r="AU21" s="84"/>
      <c r="CM21" s="65">
        <f t="shared" ref="CM21:CR21" si="22">CM16-(CM17+CM19+CM20)</f>
        <v>67.59850625</v>
      </c>
      <c r="CN21" s="65">
        <f t="shared" si="22"/>
        <v>62.713746458333333</v>
      </c>
      <c r="CO21" s="65">
        <f t="shared" si="22"/>
        <v>68.487079791666673</v>
      </c>
      <c r="CP21" s="65">
        <f t="shared" si="22"/>
        <v>68.430413125000001</v>
      </c>
      <c r="CQ21" s="65">
        <f t="shared" si="22"/>
        <v>68.42103625</v>
      </c>
      <c r="CR21" s="65">
        <f t="shared" si="22"/>
        <v>68.414110750000006</v>
      </c>
      <c r="CS21" s="65">
        <f>CS16-(CS17+CS19+CS20)</f>
        <v>72.788296666666668</v>
      </c>
      <c r="CT21" s="65">
        <f>CT16-(CT17+CT19+CT20)</f>
        <v>72.758810416666662</v>
      </c>
      <c r="CU21" s="65">
        <f t="shared" ref="CU21:FE21" si="23">CU16-(CU17+CU19+CU20)</f>
        <v>72.750091666666663</v>
      </c>
      <c r="CV21" s="65">
        <f t="shared" si="23"/>
        <v>72.731040916666672</v>
      </c>
      <c r="CW21" s="65">
        <f>CW16-(CW17+CW19+CW20)</f>
        <v>69.226609583333328</v>
      </c>
      <c r="CX21" s="65">
        <f t="shared" si="23"/>
        <v>69.068053333333339</v>
      </c>
      <c r="CY21" s="65">
        <f t="shared" si="23"/>
        <v>69.067621333333335</v>
      </c>
      <c r="CZ21" s="65">
        <f t="shared" si="23"/>
        <v>69.007787083333341</v>
      </c>
      <c r="DA21" s="65">
        <f t="shared" si="23"/>
        <v>68.96985433333333</v>
      </c>
      <c r="DB21" s="65">
        <f t="shared" si="23"/>
        <v>68.951908333333336</v>
      </c>
      <c r="DC21" s="65">
        <f t="shared" si="23"/>
        <v>70.225399166666662</v>
      </c>
      <c r="DD21" s="65">
        <f t="shared" si="23"/>
        <v>70.22429666666666</v>
      </c>
      <c r="DE21" s="65">
        <f t="shared" si="23"/>
        <v>75.110963333333331</v>
      </c>
      <c r="DF21" s="65">
        <f t="shared" si="23"/>
        <v>75.135753833333339</v>
      </c>
      <c r="DG21" s="65">
        <f t="shared" si="23"/>
        <v>75.096864833333328</v>
      </c>
      <c r="DH21" s="65">
        <f>DH16-(DH17+DH19+DH20)</f>
        <v>72.495792749999993</v>
      </c>
      <c r="DI21" s="65">
        <f t="shared" si="23"/>
        <v>64.937403000000003</v>
      </c>
      <c r="DJ21" s="65">
        <f t="shared" si="23"/>
        <v>65.467824250000007</v>
      </c>
      <c r="DK21" s="65">
        <f t="shared" si="23"/>
        <v>70.467641999999998</v>
      </c>
      <c r="DL21" s="65">
        <f t="shared" si="23"/>
        <v>70.447986</v>
      </c>
      <c r="DM21" s="65">
        <f>DM16-(DM17+DM19+DM20)</f>
        <v>71.46181</v>
      </c>
      <c r="DN21" s="65">
        <f t="shared" si="23"/>
        <v>74.408140000000003</v>
      </c>
      <c r="DO21" s="65">
        <f t="shared" si="23"/>
        <v>74.382618250000007</v>
      </c>
      <c r="DP21" s="65">
        <f t="shared" si="23"/>
        <v>75.256524749999997</v>
      </c>
      <c r="DQ21" s="65">
        <f t="shared" si="23"/>
        <v>77.151553166666673</v>
      </c>
      <c r="DR21" s="65">
        <f t="shared" si="23"/>
        <v>77.073464666666666</v>
      </c>
      <c r="DS21" s="65">
        <f t="shared" si="23"/>
        <v>75.10385325</v>
      </c>
      <c r="DT21" s="65">
        <f t="shared" si="23"/>
        <v>11.5</v>
      </c>
      <c r="DU21" s="65">
        <f t="shared" si="23"/>
        <v>11.5</v>
      </c>
      <c r="DV21" s="65">
        <f t="shared" si="23"/>
        <v>11.5</v>
      </c>
      <c r="DW21" s="65" t="e">
        <f t="shared" si="23"/>
        <v>#REF!</v>
      </c>
      <c r="DX21" s="65" t="e">
        <f t="shared" si="23"/>
        <v>#REF!</v>
      </c>
      <c r="DY21" s="65" t="e">
        <f t="shared" si="23"/>
        <v>#REF!</v>
      </c>
      <c r="DZ21" s="65" t="e">
        <f t="shared" si="23"/>
        <v>#REF!</v>
      </c>
      <c r="EA21" s="65" t="e">
        <f t="shared" si="23"/>
        <v>#REF!</v>
      </c>
      <c r="EB21" s="65" t="e">
        <f t="shared" si="23"/>
        <v>#REF!</v>
      </c>
      <c r="EC21" s="65" t="e">
        <f t="shared" si="23"/>
        <v>#REF!</v>
      </c>
      <c r="ED21" s="65" t="e">
        <f t="shared" si="23"/>
        <v>#REF!</v>
      </c>
      <c r="EE21" s="65" t="e">
        <f t="shared" si="23"/>
        <v>#REF!</v>
      </c>
      <c r="EF21" s="65" t="e">
        <f t="shared" si="23"/>
        <v>#REF!</v>
      </c>
      <c r="EG21" s="65" t="e">
        <f t="shared" si="23"/>
        <v>#REF!</v>
      </c>
      <c r="EH21" s="65" t="e">
        <f t="shared" si="23"/>
        <v>#REF!</v>
      </c>
      <c r="EI21" s="65" t="e">
        <f t="shared" si="23"/>
        <v>#REF!</v>
      </c>
      <c r="EJ21" s="65" t="e">
        <f t="shared" si="23"/>
        <v>#REF!</v>
      </c>
      <c r="EK21" s="65" t="e">
        <f t="shared" si="23"/>
        <v>#REF!</v>
      </c>
      <c r="EL21" s="65" t="e">
        <f t="shared" si="23"/>
        <v>#REF!</v>
      </c>
      <c r="EM21" s="65" t="e">
        <f t="shared" si="23"/>
        <v>#REF!</v>
      </c>
      <c r="EN21" s="65" t="e">
        <f t="shared" si="23"/>
        <v>#REF!</v>
      </c>
      <c r="EO21" s="65" t="e">
        <f t="shared" si="23"/>
        <v>#REF!</v>
      </c>
      <c r="EP21" s="65" t="e">
        <f t="shared" si="23"/>
        <v>#REF!</v>
      </c>
      <c r="EQ21" s="65" t="e">
        <f t="shared" si="23"/>
        <v>#REF!</v>
      </c>
      <c r="ER21" s="65" t="e">
        <f t="shared" si="23"/>
        <v>#REF!</v>
      </c>
      <c r="ES21" s="65" t="e">
        <f t="shared" si="23"/>
        <v>#REF!</v>
      </c>
      <c r="ET21" s="65" t="e">
        <f t="shared" si="23"/>
        <v>#REF!</v>
      </c>
      <c r="EU21" s="65" t="e">
        <f t="shared" si="23"/>
        <v>#REF!</v>
      </c>
      <c r="EV21" s="65" t="e">
        <f t="shared" si="23"/>
        <v>#REF!</v>
      </c>
      <c r="EW21" s="65" t="e">
        <f t="shared" si="23"/>
        <v>#REF!</v>
      </c>
      <c r="EX21" s="65" t="e">
        <f t="shared" si="23"/>
        <v>#REF!</v>
      </c>
      <c r="EY21" s="65" t="e">
        <f t="shared" si="23"/>
        <v>#REF!</v>
      </c>
      <c r="EZ21" s="65" t="e">
        <f t="shared" si="23"/>
        <v>#REF!</v>
      </c>
      <c r="FA21" s="65" t="e">
        <f t="shared" si="23"/>
        <v>#REF!</v>
      </c>
      <c r="FB21" s="65" t="e">
        <f t="shared" si="23"/>
        <v>#REF!</v>
      </c>
      <c r="FC21" s="65" t="e">
        <f t="shared" si="23"/>
        <v>#REF!</v>
      </c>
      <c r="FD21" s="65" t="e">
        <f t="shared" si="23"/>
        <v>#REF!</v>
      </c>
      <c r="FE21" s="65" t="e">
        <f t="shared" si="23"/>
        <v>#REF!</v>
      </c>
    </row>
    <row r="22" spans="1:161" s="73" customFormat="1" ht="16" customHeight="1">
      <c r="A22" s="73" t="s">
        <v>400</v>
      </c>
      <c r="D22" s="332" t="s">
        <v>747</v>
      </c>
      <c r="E22" s="333">
        <v>0.86</v>
      </c>
      <c r="F22" s="93"/>
      <c r="I22" s="94">
        <v>1.04</v>
      </c>
      <c r="J22" s="94">
        <v>1.04</v>
      </c>
      <c r="K22" s="94">
        <v>1.04</v>
      </c>
      <c r="L22" s="94">
        <v>1.04</v>
      </c>
      <c r="M22" s="94">
        <v>1.04</v>
      </c>
      <c r="N22" s="94">
        <v>1.04</v>
      </c>
      <c r="O22" s="94">
        <v>1.04</v>
      </c>
      <c r="P22" s="94">
        <v>1.04</v>
      </c>
      <c r="Q22" s="94">
        <v>1.04</v>
      </c>
      <c r="R22" s="94">
        <v>1.04</v>
      </c>
      <c r="S22" s="94">
        <v>1.04</v>
      </c>
      <c r="T22" s="94">
        <v>1.04</v>
      </c>
      <c r="U22" s="94">
        <v>1.04</v>
      </c>
      <c r="V22" s="94">
        <v>0.95</v>
      </c>
      <c r="W22" s="94">
        <v>0.95</v>
      </c>
      <c r="X22" s="94">
        <v>0.95</v>
      </c>
      <c r="Y22" s="94">
        <v>0.95</v>
      </c>
      <c r="Z22" s="94">
        <v>0.95</v>
      </c>
      <c r="AA22" s="94">
        <v>0.95</v>
      </c>
      <c r="AB22" s="94">
        <v>0.95</v>
      </c>
      <c r="AC22" s="94">
        <v>0.95</v>
      </c>
      <c r="AD22" s="94">
        <v>10</v>
      </c>
      <c r="AE22" s="94">
        <v>10</v>
      </c>
      <c r="AF22" s="94">
        <v>10</v>
      </c>
      <c r="AG22" s="94">
        <v>10</v>
      </c>
      <c r="AH22" s="94">
        <v>10</v>
      </c>
      <c r="AI22" s="94">
        <v>10</v>
      </c>
      <c r="AJ22" s="94">
        <v>10</v>
      </c>
      <c r="AK22" s="94">
        <v>10</v>
      </c>
      <c r="AL22" s="94">
        <v>10</v>
      </c>
      <c r="AM22" s="94">
        <v>10</v>
      </c>
      <c r="AN22" s="94">
        <v>10</v>
      </c>
      <c r="AO22" s="94">
        <v>10</v>
      </c>
      <c r="AP22" s="94">
        <v>10</v>
      </c>
      <c r="AQ22" s="94">
        <v>10</v>
      </c>
      <c r="AR22" s="94">
        <v>10</v>
      </c>
      <c r="AS22" s="94">
        <v>10</v>
      </c>
      <c r="AT22" s="94">
        <v>10</v>
      </c>
      <c r="AU22" s="94">
        <v>10</v>
      </c>
      <c r="AV22" s="94">
        <v>10</v>
      </c>
      <c r="AW22" s="94">
        <v>10</v>
      </c>
      <c r="AX22" s="94">
        <v>10</v>
      </c>
      <c r="AY22" s="94">
        <v>10</v>
      </c>
      <c r="AZ22" s="94">
        <v>10</v>
      </c>
      <c r="BA22" s="94">
        <v>10</v>
      </c>
      <c r="BB22" s="94">
        <v>10</v>
      </c>
      <c r="BC22" s="94">
        <v>10</v>
      </c>
      <c r="BD22" s="94">
        <v>10</v>
      </c>
      <c r="BE22" s="94">
        <v>10</v>
      </c>
      <c r="BF22" s="94">
        <v>10</v>
      </c>
      <c r="BG22" s="94">
        <v>10</v>
      </c>
      <c r="BH22" s="94">
        <v>10</v>
      </c>
      <c r="BI22" s="94">
        <v>10</v>
      </c>
      <c r="BJ22" s="94">
        <v>10</v>
      </c>
      <c r="BK22" s="94">
        <v>10</v>
      </c>
      <c r="BL22" s="94">
        <v>10</v>
      </c>
      <c r="BM22" s="94">
        <v>10</v>
      </c>
      <c r="BN22" s="94">
        <v>10</v>
      </c>
      <c r="BO22" s="94">
        <v>10</v>
      </c>
      <c r="BP22" s="94">
        <v>10</v>
      </c>
      <c r="BQ22" s="94">
        <v>10</v>
      </c>
      <c r="BR22" s="94">
        <v>10</v>
      </c>
      <c r="BS22" s="94">
        <v>10</v>
      </c>
      <c r="BT22" s="94">
        <v>10</v>
      </c>
      <c r="BU22" s="94">
        <v>10</v>
      </c>
      <c r="BV22" s="94">
        <v>10</v>
      </c>
      <c r="BW22" s="94">
        <v>10</v>
      </c>
      <c r="BX22" s="94">
        <v>10</v>
      </c>
      <c r="BY22" s="94">
        <v>10</v>
      </c>
      <c r="BZ22" s="94">
        <v>10</v>
      </c>
      <c r="CA22" s="94">
        <v>10</v>
      </c>
      <c r="CB22" s="94">
        <v>10</v>
      </c>
      <c r="CC22" s="94">
        <v>10</v>
      </c>
      <c r="CD22" s="94">
        <v>10</v>
      </c>
      <c r="CE22" s="94">
        <v>10</v>
      </c>
      <c r="CF22" s="94">
        <v>10</v>
      </c>
      <c r="CG22" s="94">
        <v>10</v>
      </c>
      <c r="CH22" s="94">
        <v>10</v>
      </c>
      <c r="CI22" s="94">
        <v>10</v>
      </c>
      <c r="CJ22" s="94">
        <v>10</v>
      </c>
      <c r="CK22" s="94">
        <v>10</v>
      </c>
      <c r="CL22" s="94">
        <v>10</v>
      </c>
      <c r="CM22" s="93">
        <f t="shared" ref="CM22:CR22" si="24">CM21*100/$E$22/100</f>
        <v>78.602914244186053</v>
      </c>
      <c r="CN22" s="93">
        <f t="shared" si="24"/>
        <v>72.922960998062024</v>
      </c>
      <c r="CO22" s="93">
        <f t="shared" si="24"/>
        <v>79.636139292635676</v>
      </c>
      <c r="CP22" s="93">
        <f t="shared" si="24"/>
        <v>79.570247819767445</v>
      </c>
      <c r="CQ22" s="93">
        <f t="shared" si="24"/>
        <v>79.559344476744187</v>
      </c>
      <c r="CR22" s="93">
        <f t="shared" si="24"/>
        <v>79.551291569767457</v>
      </c>
      <c r="CS22" s="93">
        <f>CS21*100/$E$22/100</f>
        <v>84.637554263565889</v>
      </c>
      <c r="CT22" s="93">
        <f>CT21*100/$E$22/100</f>
        <v>84.60326792635658</v>
      </c>
      <c r="CU22" s="93">
        <f t="shared" ref="CU22:FE22" si="25">CU21*100/$E$22/100</f>
        <v>84.59312984496124</v>
      </c>
      <c r="CV22" s="93">
        <f t="shared" si="25"/>
        <v>84.570977810077522</v>
      </c>
      <c r="CW22" s="93">
        <f>CW21*100/$E$22/100</f>
        <v>80.496057655038754</v>
      </c>
      <c r="CX22" s="93">
        <f t="shared" si="25"/>
        <v>80.311689922480625</v>
      </c>
      <c r="CY22" s="93">
        <f t="shared" si="25"/>
        <v>80.311187596899231</v>
      </c>
      <c r="CZ22" s="93">
        <f t="shared" si="25"/>
        <v>80.241612887596915</v>
      </c>
      <c r="DA22" s="93">
        <f t="shared" si="25"/>
        <v>80.197505038759687</v>
      </c>
      <c r="DB22" s="93">
        <f t="shared" si="25"/>
        <v>80.176637596899241</v>
      </c>
      <c r="DC22" s="93">
        <f t="shared" si="25"/>
        <v>81.657440891472874</v>
      </c>
      <c r="DD22" s="93">
        <f t="shared" si="25"/>
        <v>81.656158914728678</v>
      </c>
      <c r="DE22" s="93">
        <f t="shared" si="25"/>
        <v>87.338329457364338</v>
      </c>
      <c r="DF22" s="93">
        <f t="shared" si="25"/>
        <v>87.367155620155046</v>
      </c>
      <c r="DG22" s="93">
        <f t="shared" si="25"/>
        <v>87.321935852713182</v>
      </c>
      <c r="DH22" s="93">
        <f>DH21*100/$E$22/100</f>
        <v>84.297433430232545</v>
      </c>
      <c r="DI22" s="93">
        <f t="shared" si="25"/>
        <v>75.508608139534886</v>
      </c>
      <c r="DJ22" s="93">
        <f t="shared" si="25"/>
        <v>76.125377034883726</v>
      </c>
      <c r="DK22" s="93">
        <f t="shared" si="25"/>
        <v>81.939118604651156</v>
      </c>
      <c r="DL22" s="93">
        <f t="shared" si="25"/>
        <v>81.916262790697672</v>
      </c>
      <c r="DM22" s="93">
        <f>DM21*100/$E$22/100</f>
        <v>83.095127906976742</v>
      </c>
      <c r="DN22" s="93">
        <f t="shared" si="25"/>
        <v>86.521093023255816</v>
      </c>
      <c r="DO22" s="93">
        <f t="shared" si="25"/>
        <v>86.491416569767438</v>
      </c>
      <c r="DP22" s="93">
        <f t="shared" si="25"/>
        <v>87.507586918604645</v>
      </c>
      <c r="DQ22" s="93">
        <f t="shared" si="25"/>
        <v>89.711108333333343</v>
      </c>
      <c r="DR22" s="93">
        <f t="shared" si="25"/>
        <v>89.620307751937986</v>
      </c>
      <c r="DS22" s="93">
        <f t="shared" si="25"/>
        <v>87.330061918604656</v>
      </c>
      <c r="DT22" s="93">
        <f t="shared" si="25"/>
        <v>13.372093023255813</v>
      </c>
      <c r="DU22" s="93">
        <f t="shared" si="25"/>
        <v>13.372093023255813</v>
      </c>
      <c r="DV22" s="93">
        <f t="shared" si="25"/>
        <v>13.372093023255813</v>
      </c>
      <c r="DW22" s="93" t="e">
        <f t="shared" si="25"/>
        <v>#REF!</v>
      </c>
      <c r="DX22" s="93" t="e">
        <f t="shared" si="25"/>
        <v>#REF!</v>
      </c>
      <c r="DY22" s="93" t="e">
        <f t="shared" si="25"/>
        <v>#REF!</v>
      </c>
      <c r="DZ22" s="93" t="e">
        <f t="shared" si="25"/>
        <v>#REF!</v>
      </c>
      <c r="EA22" s="93" t="e">
        <f t="shared" si="25"/>
        <v>#REF!</v>
      </c>
      <c r="EB22" s="93" t="e">
        <f t="shared" si="25"/>
        <v>#REF!</v>
      </c>
      <c r="EC22" s="93" t="e">
        <f t="shared" si="25"/>
        <v>#REF!</v>
      </c>
      <c r="ED22" s="93" t="e">
        <f t="shared" si="25"/>
        <v>#REF!</v>
      </c>
      <c r="EE22" s="93" t="e">
        <f t="shared" si="25"/>
        <v>#REF!</v>
      </c>
      <c r="EF22" s="93" t="e">
        <f t="shared" si="25"/>
        <v>#REF!</v>
      </c>
      <c r="EG22" s="93" t="e">
        <f t="shared" si="25"/>
        <v>#REF!</v>
      </c>
      <c r="EH22" s="93" t="e">
        <f t="shared" si="25"/>
        <v>#REF!</v>
      </c>
      <c r="EI22" s="93" t="e">
        <f t="shared" si="25"/>
        <v>#REF!</v>
      </c>
      <c r="EJ22" s="93" t="e">
        <f t="shared" si="25"/>
        <v>#REF!</v>
      </c>
      <c r="EK22" s="93" t="e">
        <f t="shared" si="25"/>
        <v>#REF!</v>
      </c>
      <c r="EL22" s="93" t="e">
        <f t="shared" si="25"/>
        <v>#REF!</v>
      </c>
      <c r="EM22" s="93" t="e">
        <f t="shared" si="25"/>
        <v>#REF!</v>
      </c>
      <c r="EN22" s="93" t="e">
        <f t="shared" si="25"/>
        <v>#REF!</v>
      </c>
      <c r="EO22" s="93" t="e">
        <f t="shared" si="25"/>
        <v>#REF!</v>
      </c>
      <c r="EP22" s="93" t="e">
        <f t="shared" si="25"/>
        <v>#REF!</v>
      </c>
      <c r="EQ22" s="93" t="e">
        <f t="shared" si="25"/>
        <v>#REF!</v>
      </c>
      <c r="ER22" s="93" t="e">
        <f t="shared" si="25"/>
        <v>#REF!</v>
      </c>
      <c r="ES22" s="93" t="e">
        <f t="shared" si="25"/>
        <v>#REF!</v>
      </c>
      <c r="ET22" s="93" t="e">
        <f t="shared" si="25"/>
        <v>#REF!</v>
      </c>
      <c r="EU22" s="93" t="e">
        <f t="shared" si="25"/>
        <v>#REF!</v>
      </c>
      <c r="EV22" s="93" t="e">
        <f t="shared" si="25"/>
        <v>#REF!</v>
      </c>
      <c r="EW22" s="93" t="e">
        <f t="shared" si="25"/>
        <v>#REF!</v>
      </c>
      <c r="EX22" s="93" t="e">
        <f t="shared" si="25"/>
        <v>#REF!</v>
      </c>
      <c r="EY22" s="93" t="e">
        <f t="shared" si="25"/>
        <v>#REF!</v>
      </c>
      <c r="EZ22" s="93" t="e">
        <f t="shared" si="25"/>
        <v>#REF!</v>
      </c>
      <c r="FA22" s="93" t="e">
        <f t="shared" si="25"/>
        <v>#REF!</v>
      </c>
      <c r="FB22" s="93" t="e">
        <f t="shared" si="25"/>
        <v>#REF!</v>
      </c>
      <c r="FC22" s="93" t="e">
        <f t="shared" si="25"/>
        <v>#REF!</v>
      </c>
      <c r="FD22" s="93" t="e">
        <f t="shared" si="25"/>
        <v>#REF!</v>
      </c>
      <c r="FE22" s="93" t="e">
        <f t="shared" si="25"/>
        <v>#REF!</v>
      </c>
    </row>
    <row r="23" spans="1:161" ht="16" customHeight="1">
      <c r="A23" s="67"/>
      <c r="B23" s="100"/>
      <c r="F23" s="65"/>
      <c r="H23" s="60" t="s">
        <v>753</v>
      </c>
      <c r="I23" s="74"/>
      <c r="J23" s="74"/>
      <c r="K23" s="74"/>
      <c r="L23" s="74"/>
      <c r="M23" s="74"/>
      <c r="N23" s="74"/>
      <c r="O23" s="74"/>
      <c r="P23" s="74"/>
      <c r="Q23" s="74"/>
      <c r="R23" s="74"/>
      <c r="S23" s="74"/>
      <c r="T23" s="74"/>
      <c r="U23" s="74"/>
      <c r="V23" s="74"/>
      <c r="W23" s="74"/>
      <c r="X23" s="74"/>
      <c r="Y23" s="74"/>
      <c r="Z23" s="74"/>
      <c r="AA23" s="74"/>
      <c r="AB23" s="74"/>
      <c r="AC23" s="74"/>
      <c r="AD23" s="65">
        <v>2</v>
      </c>
      <c r="AE23" s="65">
        <v>2</v>
      </c>
      <c r="AF23" s="65">
        <v>2</v>
      </c>
      <c r="AG23" s="65">
        <v>2</v>
      </c>
      <c r="AH23" s="65">
        <v>2</v>
      </c>
      <c r="AI23" s="65">
        <v>2</v>
      </c>
      <c r="AJ23" s="65">
        <v>2</v>
      </c>
      <c r="AK23" s="65">
        <v>2</v>
      </c>
      <c r="AL23" s="65">
        <v>2</v>
      </c>
      <c r="AM23" s="65">
        <v>2</v>
      </c>
      <c r="AN23" s="65">
        <v>2</v>
      </c>
      <c r="AO23" s="65">
        <v>2</v>
      </c>
      <c r="AP23" s="65">
        <v>2</v>
      </c>
      <c r="AQ23" s="65">
        <v>2</v>
      </c>
      <c r="AR23" s="65">
        <v>2</v>
      </c>
      <c r="AS23" s="65">
        <v>2</v>
      </c>
      <c r="AT23" s="65">
        <v>2</v>
      </c>
      <c r="AU23" s="65">
        <v>2</v>
      </c>
      <c r="AV23" s="65">
        <v>2</v>
      </c>
      <c r="AW23" s="65">
        <v>2</v>
      </c>
      <c r="AX23" s="65">
        <v>2</v>
      </c>
      <c r="AY23" s="65">
        <v>2</v>
      </c>
      <c r="AZ23" s="65">
        <v>2</v>
      </c>
      <c r="BA23" s="65">
        <v>2</v>
      </c>
      <c r="BB23" s="65">
        <v>2</v>
      </c>
      <c r="BC23" s="65">
        <v>2</v>
      </c>
      <c r="BD23" s="65">
        <v>2</v>
      </c>
      <c r="BE23" s="65">
        <v>2</v>
      </c>
      <c r="BF23" s="65">
        <v>2</v>
      </c>
      <c r="BG23" s="65">
        <v>2</v>
      </c>
      <c r="BH23" s="65">
        <v>2</v>
      </c>
      <c r="BI23" s="65">
        <v>2</v>
      </c>
      <c r="BJ23" s="65">
        <v>2</v>
      </c>
      <c r="BK23" s="65">
        <v>2</v>
      </c>
      <c r="BL23" s="65">
        <v>2</v>
      </c>
      <c r="BM23" s="65">
        <v>2</v>
      </c>
      <c r="BN23" s="65">
        <v>2</v>
      </c>
      <c r="BO23" s="65">
        <v>2</v>
      </c>
      <c r="BP23" s="65">
        <v>2</v>
      </c>
      <c r="BQ23" s="65">
        <v>2</v>
      </c>
      <c r="BR23" s="65">
        <v>2</v>
      </c>
      <c r="BS23" s="65">
        <v>2</v>
      </c>
      <c r="BT23" s="65">
        <v>2</v>
      </c>
      <c r="BU23" s="65">
        <v>2</v>
      </c>
      <c r="BV23" s="65">
        <v>2</v>
      </c>
      <c r="BW23" s="65">
        <v>2</v>
      </c>
      <c r="BX23" s="65">
        <v>2</v>
      </c>
      <c r="BY23" s="65">
        <v>2</v>
      </c>
      <c r="BZ23" s="65">
        <v>2</v>
      </c>
      <c r="CA23" s="65">
        <v>2</v>
      </c>
      <c r="CB23" s="65">
        <v>2</v>
      </c>
      <c r="CC23" s="65">
        <v>2</v>
      </c>
      <c r="CD23" s="65">
        <v>2</v>
      </c>
      <c r="CE23" s="65">
        <v>2</v>
      </c>
      <c r="CF23" s="65">
        <v>2</v>
      </c>
      <c r="CG23" s="65">
        <v>2</v>
      </c>
      <c r="CH23" s="65">
        <v>2</v>
      </c>
      <c r="CI23" s="65">
        <v>2</v>
      </c>
      <c r="CJ23" s="65">
        <v>2</v>
      </c>
      <c r="CK23" s="65">
        <v>2</v>
      </c>
      <c r="CL23" s="65">
        <v>2</v>
      </c>
      <c r="CM23" s="65">
        <v>2</v>
      </c>
      <c r="CN23" s="65">
        <v>2</v>
      </c>
      <c r="CO23" s="65">
        <v>2</v>
      </c>
      <c r="CP23" s="65">
        <v>2</v>
      </c>
      <c r="CQ23" s="65">
        <v>2</v>
      </c>
      <c r="CR23" s="65">
        <v>2</v>
      </c>
      <c r="CS23" s="65">
        <v>2</v>
      </c>
      <c r="CT23" s="65">
        <v>2</v>
      </c>
      <c r="CU23" s="65">
        <v>2</v>
      </c>
      <c r="CV23" s="65">
        <v>2</v>
      </c>
      <c r="CW23" s="65">
        <v>2</v>
      </c>
      <c r="CX23" s="65">
        <v>2</v>
      </c>
      <c r="CY23" s="65">
        <v>2</v>
      </c>
      <c r="CZ23" s="65">
        <v>2</v>
      </c>
      <c r="DA23" s="65">
        <v>2</v>
      </c>
      <c r="DB23" s="65">
        <v>2</v>
      </c>
      <c r="DC23" s="65">
        <v>2</v>
      </c>
      <c r="DD23" s="65">
        <v>2</v>
      </c>
      <c r="DE23" s="65">
        <v>2</v>
      </c>
      <c r="DF23" s="65">
        <v>2</v>
      </c>
      <c r="DG23" s="65">
        <v>2</v>
      </c>
      <c r="DH23" s="65">
        <v>2</v>
      </c>
      <c r="DI23" s="65">
        <v>2</v>
      </c>
      <c r="DJ23" s="65">
        <v>2</v>
      </c>
      <c r="DK23" s="65">
        <v>2</v>
      </c>
      <c r="DL23" s="65">
        <v>2</v>
      </c>
      <c r="DM23" s="65">
        <v>2</v>
      </c>
      <c r="DN23" s="65">
        <v>2</v>
      </c>
      <c r="DO23" s="65">
        <v>2</v>
      </c>
      <c r="DP23" s="65">
        <v>2</v>
      </c>
      <c r="DQ23" s="65">
        <v>2</v>
      </c>
      <c r="DR23" s="65">
        <v>2</v>
      </c>
      <c r="DS23" s="65">
        <v>2</v>
      </c>
      <c r="DT23" s="65">
        <v>2</v>
      </c>
      <c r="DU23" s="65">
        <v>2</v>
      </c>
      <c r="DV23" s="65">
        <v>2</v>
      </c>
      <c r="DW23" s="65">
        <v>2</v>
      </c>
      <c r="DX23" s="65">
        <v>2</v>
      </c>
      <c r="DY23" s="65">
        <v>2</v>
      </c>
      <c r="DZ23" s="65">
        <v>2</v>
      </c>
      <c r="EA23" s="65">
        <v>2</v>
      </c>
      <c r="EB23" s="65">
        <v>2</v>
      </c>
      <c r="EC23" s="65">
        <v>2</v>
      </c>
      <c r="ED23" s="65">
        <v>2</v>
      </c>
      <c r="EE23" s="65">
        <v>2</v>
      </c>
      <c r="EF23" s="65">
        <v>2</v>
      </c>
      <c r="EG23" s="65">
        <v>2</v>
      </c>
      <c r="EH23" s="65">
        <v>2</v>
      </c>
      <c r="EI23" s="65">
        <v>2</v>
      </c>
      <c r="EJ23" s="65">
        <v>2</v>
      </c>
      <c r="EK23" s="65">
        <v>2</v>
      </c>
      <c r="EL23" s="65">
        <v>2</v>
      </c>
      <c r="EM23" s="65">
        <v>2</v>
      </c>
      <c r="EN23" s="65">
        <v>2</v>
      </c>
      <c r="EO23" s="65">
        <v>2</v>
      </c>
      <c r="EP23" s="65">
        <v>2</v>
      </c>
      <c r="EQ23" s="65">
        <v>2</v>
      </c>
      <c r="ER23" s="65">
        <v>2</v>
      </c>
      <c r="ES23" s="65">
        <v>2</v>
      </c>
      <c r="ET23" s="65">
        <v>2</v>
      </c>
      <c r="EU23" s="65">
        <v>2</v>
      </c>
      <c r="EV23" s="65">
        <v>2</v>
      </c>
      <c r="EW23" s="65">
        <v>2</v>
      </c>
      <c r="EX23" s="65">
        <v>2</v>
      </c>
      <c r="EY23" s="65">
        <v>2</v>
      </c>
      <c r="EZ23" s="65">
        <v>2</v>
      </c>
      <c r="FA23" s="65">
        <v>2</v>
      </c>
      <c r="FB23" s="65">
        <v>2</v>
      </c>
      <c r="FC23" s="65">
        <v>2</v>
      </c>
      <c r="FD23" s="65">
        <v>2</v>
      </c>
      <c r="FE23" s="65">
        <v>2</v>
      </c>
    </row>
    <row r="24" spans="1:161" hidden="1">
      <c r="I24" s="74"/>
      <c r="J24" s="74"/>
      <c r="K24" s="74"/>
      <c r="L24" s="74"/>
      <c r="M24" s="74"/>
      <c r="N24" s="74"/>
      <c r="O24" s="74"/>
      <c r="P24" s="74"/>
      <c r="Q24" s="74"/>
      <c r="R24" s="74"/>
      <c r="S24" s="74"/>
      <c r="T24" s="74"/>
      <c r="U24" s="74"/>
      <c r="V24" s="74"/>
      <c r="W24" s="74"/>
      <c r="X24" s="74"/>
      <c r="Y24" s="74"/>
      <c r="Z24" s="74"/>
      <c r="AA24" s="74"/>
      <c r="AB24" s="74"/>
      <c r="AC24" s="74"/>
      <c r="AD24" s="74"/>
      <c r="AE24" s="74"/>
      <c r="AF24" s="74"/>
      <c r="AG24" s="74"/>
      <c r="AH24" s="74"/>
      <c r="AI24" s="74"/>
      <c r="AJ24" s="74"/>
      <c r="AK24" s="74"/>
      <c r="AL24" s="74"/>
      <c r="AM24" s="74"/>
      <c r="AN24" s="74"/>
      <c r="AO24" s="74"/>
      <c r="AP24" s="74"/>
      <c r="AQ24" s="74"/>
      <c r="AR24" s="74"/>
      <c r="AS24" s="74"/>
      <c r="AT24" s="74"/>
      <c r="AU24" s="74"/>
      <c r="AV24" s="74"/>
      <c r="AW24" s="74"/>
      <c r="AX24" s="74"/>
      <c r="AY24" s="74"/>
      <c r="AZ24" s="74"/>
      <c r="BA24" s="74"/>
      <c r="BB24" s="74"/>
      <c r="BC24" s="74"/>
      <c r="BD24" s="74"/>
      <c r="BE24" s="74"/>
      <c r="BF24" s="74"/>
      <c r="BG24" s="74"/>
      <c r="BH24" s="74"/>
      <c r="BI24" s="74"/>
      <c r="BJ24" s="74"/>
      <c r="BK24" s="74"/>
      <c r="BL24" s="74"/>
      <c r="BM24" s="74"/>
      <c r="BN24" s="74"/>
      <c r="BO24" s="74"/>
      <c r="BP24" s="74"/>
      <c r="BQ24" s="74"/>
      <c r="BR24" s="74"/>
      <c r="BS24" s="74"/>
      <c r="BT24" s="74"/>
      <c r="BU24" s="74"/>
      <c r="BV24" s="74"/>
      <c r="BW24" s="74"/>
      <c r="BX24" s="74"/>
      <c r="BY24" s="74"/>
      <c r="BZ24" s="74"/>
      <c r="CA24" s="74"/>
      <c r="CB24" s="74"/>
      <c r="CC24" s="74"/>
      <c r="CD24" s="74"/>
      <c r="CE24" s="74"/>
      <c r="CF24" s="74"/>
      <c r="CG24" s="74"/>
      <c r="CH24" s="74"/>
      <c r="CI24" s="74"/>
      <c r="CJ24" s="74"/>
      <c r="CK24" s="74"/>
      <c r="CL24" s="74"/>
      <c r="CM24" s="74"/>
      <c r="CN24" s="74"/>
      <c r="CO24" s="74"/>
      <c r="CP24" s="74"/>
    </row>
    <row r="25" spans="1:161" hidden="1">
      <c r="I25" s="74"/>
      <c r="J25" s="74"/>
      <c r="K25" s="74"/>
      <c r="L25" s="74"/>
      <c r="M25" s="74"/>
      <c r="N25" s="74"/>
      <c r="O25" s="74"/>
      <c r="P25" s="74"/>
      <c r="Q25" s="74"/>
      <c r="R25" s="74"/>
      <c r="S25" s="74"/>
      <c r="T25" s="74"/>
      <c r="U25" s="74"/>
      <c r="V25" s="74"/>
      <c r="W25" s="74"/>
      <c r="X25" s="74"/>
      <c r="Y25" s="74"/>
      <c r="Z25" s="74"/>
      <c r="AA25" s="74"/>
      <c r="AB25" s="74"/>
      <c r="AC25" s="74"/>
      <c r="AD25" s="74"/>
      <c r="AE25" s="74"/>
      <c r="AF25" s="74"/>
      <c r="AG25" s="74"/>
      <c r="AH25" s="74"/>
      <c r="AI25" s="74"/>
      <c r="AJ25" s="74"/>
      <c r="AK25" s="74"/>
      <c r="AL25" s="74"/>
      <c r="AM25" s="74"/>
      <c r="AN25" s="74"/>
      <c r="AO25" s="74"/>
      <c r="AP25" s="74"/>
      <c r="AQ25" s="74"/>
      <c r="AR25" s="74"/>
      <c r="AS25" s="74"/>
      <c r="AT25" s="74"/>
      <c r="AU25" s="74"/>
      <c r="AV25" s="74"/>
    </row>
    <row r="26" spans="1:161" hidden="1">
      <c r="I26" s="74"/>
      <c r="J26" s="74"/>
      <c r="K26" s="74"/>
      <c r="L26" s="74"/>
      <c r="M26" s="74"/>
      <c r="N26" s="74"/>
      <c r="O26" s="74"/>
      <c r="P26" s="65"/>
      <c r="Q26" s="74"/>
      <c r="R26" s="74"/>
      <c r="S26" s="74"/>
      <c r="T26" s="74"/>
      <c r="U26" s="74"/>
      <c r="V26" s="74"/>
      <c r="W26" s="74"/>
      <c r="X26" s="74"/>
      <c r="Y26" s="74"/>
      <c r="Z26" s="74"/>
      <c r="AA26" s="74"/>
      <c r="AB26" s="74"/>
      <c r="AC26" s="65"/>
      <c r="AD26" s="195"/>
      <c r="AE26" s="195"/>
      <c r="AF26" s="195"/>
      <c r="AG26" s="195"/>
      <c r="AH26" s="195"/>
      <c r="AI26" s="195"/>
      <c r="AJ26" s="195"/>
      <c r="AK26" s="195"/>
      <c r="BL26" s="195"/>
      <c r="CM26" s="77"/>
      <c r="CN26" s="77"/>
      <c r="CO26" s="77"/>
      <c r="CP26" s="77"/>
    </row>
    <row r="27" spans="1:161">
      <c r="AL27" s="195"/>
      <c r="AM27" s="195"/>
      <c r="AN27" s="195"/>
      <c r="AO27" s="195"/>
      <c r="AP27" s="195"/>
      <c r="AQ27" s="195"/>
      <c r="AR27" s="195"/>
      <c r="AS27" s="195"/>
      <c r="AT27" s="195"/>
      <c r="AU27" s="195"/>
      <c r="AV27" s="195"/>
      <c r="AW27" s="195"/>
      <c r="AX27" s="195"/>
      <c r="AY27" s="195"/>
      <c r="AZ27" s="195"/>
      <c r="BA27" s="195"/>
      <c r="BB27" s="195"/>
      <c r="BC27" s="195"/>
      <c r="BD27" s="195"/>
      <c r="BE27" s="195"/>
      <c r="BF27" s="195"/>
      <c r="BG27" s="195"/>
      <c r="BH27" s="195"/>
      <c r="BI27" s="195"/>
      <c r="BJ27" s="195"/>
      <c r="BK27" s="195"/>
      <c r="CM27" s="60">
        <f>CM26*100/84</f>
        <v>0</v>
      </c>
      <c r="CN27" s="60">
        <f>CN26*100/84</f>
        <v>0</v>
      </c>
      <c r="CO27" s="60">
        <f>CO26*100/84</f>
        <v>0</v>
      </c>
      <c r="CP27" s="60">
        <f>CP26*100/84</f>
        <v>0</v>
      </c>
    </row>
    <row r="28" spans="1:161" ht="13" thickBot="1">
      <c r="E28" s="60">
        <f>10/0.86</f>
        <v>11.627906976744185</v>
      </c>
    </row>
    <row r="29" spans="1:161" ht="13" thickBot="1">
      <c r="D29" s="259"/>
      <c r="H29" s="106" t="s">
        <v>407</v>
      </c>
      <c r="I29" s="109">
        <f t="shared" ref="I29:AC29" si="26">I24</f>
        <v>0</v>
      </c>
      <c r="J29" s="109">
        <f t="shared" si="26"/>
        <v>0</v>
      </c>
      <c r="K29" s="109">
        <f t="shared" si="26"/>
        <v>0</v>
      </c>
      <c r="L29" s="109">
        <f t="shared" si="26"/>
        <v>0</v>
      </c>
      <c r="M29" s="109">
        <f t="shared" si="26"/>
        <v>0</v>
      </c>
      <c r="N29" s="109">
        <f t="shared" si="26"/>
        <v>0</v>
      </c>
      <c r="O29" s="109">
        <f t="shared" si="26"/>
        <v>0</v>
      </c>
      <c r="P29" s="109">
        <f t="shared" si="26"/>
        <v>0</v>
      </c>
      <c r="Q29" s="109">
        <f t="shared" si="26"/>
        <v>0</v>
      </c>
      <c r="R29" s="109">
        <f t="shared" si="26"/>
        <v>0</v>
      </c>
      <c r="S29" s="109">
        <f t="shared" si="26"/>
        <v>0</v>
      </c>
      <c r="T29" s="109">
        <f t="shared" si="26"/>
        <v>0</v>
      </c>
      <c r="U29" s="109">
        <f t="shared" si="26"/>
        <v>0</v>
      </c>
      <c r="V29" s="109">
        <f t="shared" si="26"/>
        <v>0</v>
      </c>
      <c r="W29" s="109">
        <f t="shared" si="26"/>
        <v>0</v>
      </c>
      <c r="X29" s="109">
        <f t="shared" si="26"/>
        <v>0</v>
      </c>
      <c r="Y29" s="109">
        <f t="shared" si="26"/>
        <v>0</v>
      </c>
      <c r="Z29" s="109">
        <f t="shared" si="26"/>
        <v>0</v>
      </c>
      <c r="AA29" s="109">
        <f t="shared" si="26"/>
        <v>0</v>
      </c>
      <c r="AB29" s="109">
        <f t="shared" si="26"/>
        <v>0</v>
      </c>
      <c r="AC29" s="109">
        <f t="shared" si="26"/>
        <v>0</v>
      </c>
      <c r="AD29" s="109"/>
      <c r="AE29" s="109"/>
      <c r="AF29" s="109"/>
      <c r="AG29" s="109"/>
      <c r="AH29" s="109"/>
      <c r="AI29" s="109"/>
      <c r="AJ29" s="109"/>
      <c r="AK29" s="109"/>
      <c r="AL29" s="109"/>
      <c r="AM29" s="109"/>
      <c r="AN29" s="109"/>
      <c r="AO29" s="109"/>
      <c r="AP29" s="109"/>
      <c r="AQ29" s="109"/>
      <c r="AR29" s="109"/>
      <c r="AS29" s="109"/>
      <c r="AT29" s="109"/>
      <c r="AU29" s="109"/>
      <c r="AV29" s="109"/>
      <c r="AW29" s="109"/>
      <c r="AX29" s="109">
        <f>(AX12+AX22+AX23)/'Input RM sheet'!AU1</f>
        <v>0.90909090909090906</v>
      </c>
      <c r="AY29" s="109">
        <f>(AY12+AY22+AY23)/'Input RM sheet'!AV1</f>
        <v>0.95827268316351288</v>
      </c>
      <c r="AZ29" s="109">
        <f>(AZ12+AZ22+AZ23)/'Input RM sheet'!AW1</f>
        <v>0.98564127524945233</v>
      </c>
      <c r="BA29" s="109">
        <f>(BA12+BA22+BA23)/'Input RM sheet'!AX1</f>
        <v>1.0009765625</v>
      </c>
      <c r="BB29" s="109">
        <f>(BB12+BB22+BB23)/'Input RM sheet'!AY1</f>
        <v>1.0089958667639192</v>
      </c>
      <c r="BC29" s="109">
        <f>(BC12+BC22+BC23)/'Input RM sheet'!AZ1</f>
        <v>0.98997947603525294</v>
      </c>
      <c r="BD29" s="109">
        <f>(BD12+BD22+BD23)/'Input RM sheet'!BA1</f>
        <v>0.98498498498498499</v>
      </c>
      <c r="BE29" s="109">
        <f>(BE12+BE22+BE23)/'Input RM sheet'!BB1</f>
        <v>0.99699699699699695</v>
      </c>
      <c r="BF29" s="109">
        <f>(BF12+BF22+BF23)/'Input RM sheet'!BC1</f>
        <v>0.99213551119177246</v>
      </c>
      <c r="BG29" s="109">
        <f>(BG12+BG22+BG23)/'Input RM sheet'!BD1</f>
        <v>0.98735701384708008</v>
      </c>
      <c r="BH29" s="109">
        <f>(BH12+BH22+BH23)/'Input RM sheet'!BE1</f>
        <v>0.97660959729925245</v>
      </c>
      <c r="BI29" s="109">
        <f>(BI12+BI22+BI23)/'Input RM sheet'!BF1</f>
        <v>0.98878572289883027</v>
      </c>
      <c r="BJ29" s="109">
        <f>(BJ12+BJ22+BJ23)/'Input RM sheet'!BG1</f>
        <v>0.9608455440787893</v>
      </c>
      <c r="BK29" s="109">
        <f>(BK12+BK22+BK23)/'Input RM sheet'!BH1</f>
        <v>0.88920932468156699</v>
      </c>
      <c r="BL29" s="109">
        <f>(BL12+BL22+BL23)/'Input RM sheet'!BI1</f>
        <v>0.86486486486486491</v>
      </c>
      <c r="BM29" s="109">
        <f>(BM12+BM22+BM23)/'Input RM sheet'!BJ1</f>
        <v>0.82410972088546675</v>
      </c>
      <c r="BN29" s="109">
        <f>(BN12+BN22+BN23)/'Input RM sheet'!BK1</f>
        <v>0.82272399711746336</v>
      </c>
      <c r="BO29" s="109">
        <f>(BO12+BO22+BO23)/'Input RM sheet'!BL1</f>
        <v>0.80509492910358094</v>
      </c>
      <c r="BP29" s="109">
        <f>(BP12+BP22+BP23)/'Input RM sheet'!BM1</f>
        <v>0.84144728933766078</v>
      </c>
      <c r="BQ29" s="109">
        <f>(BQ12+BQ22+BQ23)/'Input RM sheet'!BN1</f>
        <v>0.84144728933766078</v>
      </c>
      <c r="BR29" s="109">
        <f>(BR12+BR22+BR23)/'Input RM sheet'!BO1</f>
        <v>0.8040321612864515</v>
      </c>
      <c r="BS29" s="109">
        <f>(BS12+BS22+BS23)/'Input RM sheet'!BP1</f>
        <v>0.80335731414868095</v>
      </c>
      <c r="BT29" s="109">
        <f>(BT12+BT22+BT23)/'Input RM sheet'!BQ1</f>
        <v>0.81573896353166986</v>
      </c>
      <c r="BU29" s="109">
        <f>(BU12+BU22+BU23)/'Input RM sheet'!BR1</f>
        <v>0.81691494473810677</v>
      </c>
      <c r="BV29" s="109">
        <f>(BV12+BV22+BV23)/'Input RM sheet'!BS1</f>
        <v>0.81613058089294299</v>
      </c>
      <c r="BW29" s="109">
        <f>(BW12+BW22+BW23)/'Input RM sheet'!BT1</f>
        <v>0.80586961751262931</v>
      </c>
      <c r="BX29" s="109">
        <f>(BX12+BX22+BX23)/'Input RM sheet'!BU1</f>
        <v>0.80577269993986766</v>
      </c>
      <c r="BY29" s="109">
        <f>(BY12+BY22+BY23)/'Input RM sheet'!BV1</f>
        <v>0.84084084084084088</v>
      </c>
      <c r="BZ29" s="109">
        <f>(BZ12+BZ22+BZ23)/'Input RM sheet'!BW1</f>
        <v>0.84276426679508787</v>
      </c>
      <c r="CA29" s="109">
        <f>(CA12+CA22+CA23)/'Input RM sheet'!BX1</f>
        <v>0.84337349397590367</v>
      </c>
      <c r="CB29" s="109">
        <f>(CB12+CB22+CB23)/'Input RM sheet'!BY1</f>
        <v>0.84327189495241528</v>
      </c>
      <c r="CC29" s="109">
        <f>(CC12+CC22+CC23)/'Input RM sheet'!BZ1</f>
        <v>0.92882991556091665</v>
      </c>
      <c r="CD29" s="109">
        <f>(CD12+CD22+CD23)/'Input RM sheet'!CA1</f>
        <v>0.92882991556091665</v>
      </c>
      <c r="CE29" s="109">
        <f>(CE12+CE22+CE23)/'Input RM sheet'!CB1</f>
        <v>0.93107617896009676</v>
      </c>
      <c r="CF29" s="109">
        <f>(CF12+CF22+CF23)/'Input RM sheet'!CC1</f>
        <v>0.93040115998066697</v>
      </c>
      <c r="CG29" s="109">
        <f>(CG12+CG22+CG23)/'Input RM sheet'!CD1</f>
        <v>0.92481383617583468</v>
      </c>
      <c r="CH29" s="109">
        <f>(CH12+CH22+CH23)/'Input RM sheet'!CE1</f>
        <v>0.97133948914737978</v>
      </c>
      <c r="CI29" s="109">
        <f>(CI12+CI22+CI23)/'Input RM sheet'!CF1</f>
        <v>0.97344069222449237</v>
      </c>
      <c r="CJ29" s="109">
        <f>(CJ12+CJ22+CJ23)/'Input RM sheet'!CG1</f>
        <v>0.97122302158273377</v>
      </c>
      <c r="CK29" s="109">
        <f>(CK12+CK22+CK23)/'Input RM sheet'!CH1</f>
        <v>0.92094247099629234</v>
      </c>
      <c r="CL29" s="109">
        <f>(CL12+CL22+CL23)/'Input RM sheet'!CI1</f>
        <v>0.92304003836010551</v>
      </c>
      <c r="CM29" s="109">
        <f>(CM22+CM23)/'Input RM sheet'!CJ1</f>
        <v>0.96530436220582094</v>
      </c>
      <c r="CN29" s="109">
        <f>(CN22+CN23)/'Input RM sheet'!CK1</f>
        <v>0.89889575282617906</v>
      </c>
      <c r="CO29" s="109">
        <f>(CO22+CO23)/'Input RM sheet'!CL1</f>
        <v>0.97943778395483716</v>
      </c>
      <c r="CP29" s="109">
        <f>(CP22+CP23)/'Input RM sheet'!CM1</f>
        <v>0.97864724438833173</v>
      </c>
      <c r="CQ29" s="109">
        <f>(CQ22+CQ23)/'Input RM sheet'!CN1</f>
        <v>0.97851643043484338</v>
      </c>
      <c r="CR29" s="109">
        <f>(CR22+CR23)/'Input RM sheet'!CO1</f>
        <v>0.9721217257094702</v>
      </c>
      <c r="CS29" s="109">
        <f>(CS22+CS23)/'Input RM sheet'!CP1</f>
        <v>1.0388195954864015</v>
      </c>
      <c r="CT29" s="109">
        <f>(CT22+CT23)/'Input RM sheet'!CQ1</f>
        <v>1.0371648853455877</v>
      </c>
      <c r="CU29" s="109">
        <f>(CU22+CU23)/'Input RM sheet'!CR1</f>
        <v>1.0376648273812012</v>
      </c>
      <c r="CV29" s="109">
        <f>(CV22+CV23)/'Input RM sheet'!CS1</f>
        <v>1.0371508063984369</v>
      </c>
      <c r="CW29" s="109">
        <f>(CW22+CW23)/'Input RM sheet'!CT1</f>
        <v>0.98738548958753747</v>
      </c>
      <c r="CX29" s="109">
        <f>(CX22+CX23)/'Input RM sheet'!CU1</f>
        <v>0.98341326072258806</v>
      </c>
      <c r="CY29" s="109">
        <f>(CY22+CY23)/'Input RM sheet'!CV1</f>
        <v>0.98305490979217991</v>
      </c>
      <c r="CZ29" s="109">
        <f>(CZ22+CZ23)/'Input RM sheet'!CW1</f>
        <v>0.97964994505773573</v>
      </c>
      <c r="DA29" s="109">
        <f>(DA22+DA23)/'Input RM sheet'!CX1</f>
        <v>0.9790079208999487</v>
      </c>
      <c r="DB29" s="109">
        <f>(DB22+DB23)/'Input RM sheet'!CY1</f>
        <v>0.9794593277341983</v>
      </c>
      <c r="DC29" s="109">
        <f>(DC22+DC23)/'Input RM sheet'!CZ1</f>
        <v>0.99722780893399543</v>
      </c>
      <c r="DD29" s="109">
        <f>(DD22+DD23)/'Input RM sheet'!DA1</f>
        <v>0.99638112094722109</v>
      </c>
      <c r="DE29" s="109">
        <f>(DE22+DE23)/'Input RM sheet'!DB1</f>
        <v>1.0640582355569836</v>
      </c>
      <c r="DF29" s="109">
        <f>(DF22+DF23)/'Input RM sheet'!DC1</f>
        <v>1.0692409143354278</v>
      </c>
      <c r="DG29" s="109">
        <f>(DG22+DG23)/'Input RM sheet'!DD1</f>
        <v>1.0676779327362322</v>
      </c>
      <c r="DH29" s="109">
        <f>(DH22+DH23)/'Input RM sheet'!DE1</f>
        <v>1.0277174399217881</v>
      </c>
      <c r="DI29" s="109">
        <f>(DI22+DI23)/'Input RM sheet'!DF1</f>
        <v>0.92195323111139393</v>
      </c>
      <c r="DJ29" s="109">
        <f>(DJ22+DJ23)/'Input RM sheet'!DG1</f>
        <v>0.92928960431644736</v>
      </c>
      <c r="DK29" s="109">
        <f>(DK22+DK23)/'Input RM sheet'!DH1</f>
        <v>0.99832443630650758</v>
      </c>
      <c r="DL29" s="109">
        <f>(DL22+DL23)/'Input RM sheet'!DI1</f>
        <v>0.99757801700781823</v>
      </c>
      <c r="DM29" s="109">
        <f>(DM22+DM23)/'Input RM sheet'!DJ1</f>
        <v>1.0082361126419044</v>
      </c>
      <c r="DN29" s="109">
        <f>(DN22+DN23)/'Input RM sheet'!DK1</f>
        <v>1.0504461020915608</v>
      </c>
      <c r="DO29" s="109">
        <f>(DO22+DO23)/'Input RM sheet'!DL1</f>
        <v>1.0456270420627134</v>
      </c>
      <c r="DP29" s="109">
        <f>(DP22+DP23)/'Input RM sheet'!DM1</f>
        <v>1.0568849559405438</v>
      </c>
      <c r="DQ29" s="109">
        <f>(DQ22+DQ23)/'Input RM sheet'!DN1</f>
        <v>1.0811164485834415</v>
      </c>
      <c r="DR29" s="109">
        <f>(DR22+DR23)/'Input RM sheet'!DO1</f>
        <v>1.0789014101735515</v>
      </c>
      <c r="DS29" s="109">
        <f>(DS22+DS23)/'Input RM sheet'!DP1</f>
        <v>1.0487210838061123</v>
      </c>
      <c r="DT29" s="109" t="e">
        <f>(DT22+DT23)/'Input RM sheet'!DQ1</f>
        <v>#DIV/0!</v>
      </c>
      <c r="DU29" s="109" t="e">
        <f>(DU22+DU23)/'Input RM sheet'!DR1</f>
        <v>#DIV/0!</v>
      </c>
      <c r="DV29" s="109" t="e">
        <f>(DV22+DV23)/'Input RM sheet'!DS1</f>
        <v>#DIV/0!</v>
      </c>
      <c r="DW29" s="109" t="e">
        <f>(DW22+DW23)/'Input RM sheet'!DT1</f>
        <v>#REF!</v>
      </c>
      <c r="DX29" s="109" t="e">
        <f>(DX22+DX23)/'Input RM sheet'!DU1</f>
        <v>#REF!</v>
      </c>
      <c r="DY29" s="109" t="e">
        <f>(DY22+DY23)/'Input RM sheet'!DV1</f>
        <v>#REF!</v>
      </c>
      <c r="DZ29" s="109" t="e">
        <f>(DZ22+DZ23)/'Input RM sheet'!DW1</f>
        <v>#REF!</v>
      </c>
      <c r="EA29" s="109" t="e">
        <f>(EA22+EA23)/'Input RM sheet'!DX1</f>
        <v>#REF!</v>
      </c>
      <c r="EB29" s="109" t="e">
        <f>(EB22+EB23)/'Input RM sheet'!DY1</f>
        <v>#REF!</v>
      </c>
      <c r="EC29" s="109" t="e">
        <f>(EC22+EC23)/'Input RM sheet'!DZ1</f>
        <v>#REF!</v>
      </c>
      <c r="ED29" s="109" t="e">
        <f>(ED22+ED23)/'Input RM sheet'!EA1</f>
        <v>#REF!</v>
      </c>
      <c r="EE29" s="109" t="e">
        <f>(EE22+EE23)/'Input RM sheet'!EB1</f>
        <v>#REF!</v>
      </c>
      <c r="EF29" s="109" t="e">
        <f>(EF22+EF23)/'Input RM sheet'!EC1</f>
        <v>#REF!</v>
      </c>
      <c r="EG29" s="109" t="e">
        <f>(EG22+EG23)/'Input RM sheet'!ED1</f>
        <v>#REF!</v>
      </c>
      <c r="EH29" s="109" t="e">
        <f>(EH22+EH23)/'Input RM sheet'!EE1</f>
        <v>#REF!</v>
      </c>
      <c r="EI29" s="109" t="e">
        <f>(EI22+EI23)/'Input RM sheet'!EF1</f>
        <v>#REF!</v>
      </c>
      <c r="EJ29" s="109" t="e">
        <f>(EJ22+EJ23)/'Input RM sheet'!EG1</f>
        <v>#REF!</v>
      </c>
      <c r="EK29" s="109" t="e">
        <f>(EK22+EK23)/'Input RM sheet'!EH1</f>
        <v>#REF!</v>
      </c>
      <c r="EL29" s="109" t="e">
        <f>(EL22+EL23)/'Input RM sheet'!EI1</f>
        <v>#REF!</v>
      </c>
      <c r="EM29" s="109" t="e">
        <f>(EM22+EM23)/'Input RM sheet'!EJ1</f>
        <v>#REF!</v>
      </c>
      <c r="EN29" s="109" t="e">
        <f>(EN22+EN23)/'Input RM sheet'!EK1</f>
        <v>#REF!</v>
      </c>
      <c r="EO29" s="109" t="e">
        <f>(EO22+EO23)/'Input RM sheet'!EL1</f>
        <v>#REF!</v>
      </c>
      <c r="EP29" s="109" t="e">
        <f>(EP22+EP23)/'Input RM sheet'!EM1</f>
        <v>#REF!</v>
      </c>
      <c r="EQ29" s="109" t="e">
        <f>(EQ22+EQ23)/'Input RM sheet'!EN1</f>
        <v>#REF!</v>
      </c>
      <c r="ER29" s="109" t="e">
        <f>(ER22+ER23)/'Input RM sheet'!EO1</f>
        <v>#REF!</v>
      </c>
      <c r="ES29" s="109" t="e">
        <f>(ES22+ES23)/'Input RM sheet'!EP1</f>
        <v>#REF!</v>
      </c>
      <c r="ET29" s="109" t="e">
        <f>(ET22+ET23)/'Input RM sheet'!EQ1</f>
        <v>#REF!</v>
      </c>
      <c r="EU29" s="109" t="e">
        <f>(EU22+EU23)/'Input RM sheet'!ER1</f>
        <v>#REF!</v>
      </c>
      <c r="EV29" s="109" t="e">
        <f>(EV22+EV23)/'Input RM sheet'!ES1</f>
        <v>#REF!</v>
      </c>
      <c r="EW29" s="109" t="e">
        <f>(EW22+EW23)/'Input RM sheet'!ET1</f>
        <v>#REF!</v>
      </c>
      <c r="EX29" s="109" t="e">
        <f>(EX22+EX23)/'Input RM sheet'!EU1</f>
        <v>#REF!</v>
      </c>
      <c r="EY29" s="109" t="e">
        <f>(EY22+EY23)/'Input RM sheet'!EV1</f>
        <v>#REF!</v>
      </c>
      <c r="EZ29" s="109" t="e">
        <f>(EZ22+EZ23)/'Input RM sheet'!EW1</f>
        <v>#REF!</v>
      </c>
      <c r="FA29" s="109" t="e">
        <f>(FA22+FA23)/'Input RM sheet'!EX1</f>
        <v>#REF!</v>
      </c>
      <c r="FB29" s="109" t="e">
        <f>(FB22+FB23)/'Input RM sheet'!EY1</f>
        <v>#REF!</v>
      </c>
      <c r="FC29" s="109" t="e">
        <f>(FC22+FC23)/'Input RM sheet'!EZ1</f>
        <v>#REF!</v>
      </c>
      <c r="FD29" s="109" t="e">
        <f>(FD22+FD23)/'Input RM sheet'!FA1</f>
        <v>#REF!</v>
      </c>
      <c r="FE29" s="109" t="e">
        <f>(FE22+FE23)/'Input RM sheet'!FB1</f>
        <v>#REF!</v>
      </c>
    </row>
    <row r="30" spans="1:161">
      <c r="CF30" s="77"/>
      <c r="CG30" s="77"/>
      <c r="CH30" s="77"/>
      <c r="CI30" s="77"/>
      <c r="CJ30" s="77"/>
      <c r="CK30" s="77"/>
      <c r="CL30" s="77"/>
      <c r="CM30" s="77"/>
      <c r="DI30" s="65"/>
    </row>
    <row r="31" spans="1:161">
      <c r="B31" s="65"/>
    </row>
    <row r="36" spans="44:44" ht="15">
      <c r="AR36" s="11"/>
    </row>
    <row r="37" spans="44:44" ht="15">
      <c r="AR37" s="11"/>
    </row>
    <row r="38" spans="44:44" ht="15">
      <c r="AR38" s="260"/>
    </row>
  </sheetData>
  <conditionalFormatting sqref="I26:O26 Z26:AB26 Q26:X26">
    <cfRule type="top10" dxfId="18" priority="1" bottom="1" rank="1"/>
  </conditionalFormatting>
  <pageMargins left="0.7" right="0.7" top="0.75" bottom="0.75" header="0.3" footer="0.3"/>
  <pageSetup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FJ27"/>
  <sheetViews>
    <sheetView workbookViewId="0">
      <pane xSplit="1" topLeftCell="DF1" activePane="topRight" state="frozen"/>
      <selection pane="topRight" activeCell="EF12" sqref="EF12"/>
    </sheetView>
  </sheetViews>
  <sheetFormatPr baseColWidth="10" defaultColWidth="22.6640625" defaultRowHeight="12"/>
  <cols>
    <col min="1" max="1" width="14.1640625" style="60" bestFit="1" customWidth="1"/>
    <col min="2" max="2" width="11.33203125" style="60" bestFit="1" customWidth="1"/>
    <col min="3" max="3" width="4.83203125" style="60" bestFit="1" customWidth="1"/>
    <col min="4" max="4" width="12.33203125" style="60" bestFit="1" customWidth="1"/>
    <col min="5" max="5" width="7.5" style="60" bestFit="1" customWidth="1"/>
    <col min="6" max="6" width="6.5" style="60" bestFit="1" customWidth="1"/>
    <col min="7" max="7" width="4.1640625" style="60" bestFit="1" customWidth="1"/>
    <col min="8" max="8" width="14.5" style="60" bestFit="1" customWidth="1"/>
    <col min="9" max="10" width="5.5" style="60" bestFit="1" customWidth="1"/>
    <col min="11" max="11" width="5.6640625" style="60" bestFit="1" customWidth="1"/>
    <col min="12" max="12" width="5.5" style="60" bestFit="1" customWidth="1"/>
    <col min="13" max="13" width="5.83203125" style="60" bestFit="1" customWidth="1"/>
    <col min="14" max="18" width="5.5" style="60" bestFit="1" customWidth="1"/>
    <col min="19" max="19" width="5.6640625" style="60" bestFit="1" customWidth="1"/>
    <col min="20" max="22" width="5.5" style="60" bestFit="1" customWidth="1"/>
    <col min="23" max="23" width="5.6640625" style="60" bestFit="1" customWidth="1"/>
    <col min="24" max="24" width="5.5" style="60" bestFit="1" customWidth="1"/>
    <col min="25" max="25" width="5.83203125" style="60" bestFit="1" customWidth="1"/>
    <col min="26" max="30" width="5.5" style="60" bestFit="1" customWidth="1"/>
    <col min="31" max="31" width="5.6640625" style="60" bestFit="1" customWidth="1"/>
    <col min="32" max="34" width="5.5" style="60" bestFit="1" customWidth="1"/>
    <col min="35" max="35" width="5.6640625" style="60" bestFit="1" customWidth="1"/>
    <col min="36" max="36" width="5.5" style="60" bestFit="1" customWidth="1"/>
    <col min="37" max="37" width="5.83203125" style="60" bestFit="1" customWidth="1"/>
    <col min="38" max="42" width="5.5" style="60" bestFit="1" customWidth="1"/>
    <col min="43" max="43" width="5.6640625" style="60" bestFit="1" customWidth="1"/>
    <col min="44" max="46" width="5.5" style="60" bestFit="1" customWidth="1"/>
    <col min="47" max="47" width="5.6640625" style="60" bestFit="1" customWidth="1"/>
    <col min="48" max="48" width="5.5" style="60" bestFit="1" customWidth="1"/>
    <col min="49" max="49" width="5.83203125" style="60" bestFit="1" customWidth="1"/>
    <col min="50" max="51" width="5.5" style="60" bestFit="1" customWidth="1"/>
    <col min="52" max="54" width="7" style="60" bestFit="1" customWidth="1"/>
    <col min="55" max="56" width="5.5" style="60" bestFit="1" customWidth="1"/>
    <col min="57" max="58" width="5.83203125" style="60" bestFit="1" customWidth="1"/>
    <col min="59" max="70" width="5.6640625" style="60" bestFit="1" customWidth="1"/>
    <col min="71" max="82" width="5.5" style="60" bestFit="1" customWidth="1"/>
    <col min="83" max="83" width="6.1640625" style="60" bestFit="1" customWidth="1"/>
    <col min="84" max="86" width="5.6640625" style="60" bestFit="1" customWidth="1"/>
    <col min="87" max="90" width="5.5" style="60" bestFit="1" customWidth="1"/>
    <col min="91" max="95" width="6.33203125" style="60" bestFit="1" customWidth="1"/>
    <col min="96" max="99" width="6.1640625" style="60" bestFit="1" customWidth="1"/>
    <col min="100" max="100" width="5.5" style="60" bestFit="1" customWidth="1"/>
    <col min="101" max="103" width="6" style="60" bestFit="1" customWidth="1"/>
    <col min="104" max="107" width="5.83203125" style="60" bestFit="1" customWidth="1"/>
    <col min="108" max="115" width="5.6640625" style="60" bestFit="1" customWidth="1"/>
    <col min="116" max="119" width="6.1640625" style="60" bestFit="1" customWidth="1"/>
    <col min="120" max="123" width="5.83203125" style="60" bestFit="1" customWidth="1"/>
    <col min="124" max="140" width="5.1640625" style="60" bestFit="1" customWidth="1"/>
    <col min="141" max="166" width="3.33203125" style="60" bestFit="1" customWidth="1"/>
    <col min="167" max="16384" width="22.6640625" style="60"/>
  </cols>
  <sheetData>
    <row r="1" spans="1:166" ht="26">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c r="EM1" s="99">
        <v>141</v>
      </c>
      <c r="EN1" s="99">
        <v>142</v>
      </c>
      <c r="EO1" s="99">
        <v>143</v>
      </c>
      <c r="EP1" s="99">
        <v>144</v>
      </c>
      <c r="EQ1" s="99">
        <v>145</v>
      </c>
      <c r="ER1" s="99">
        <v>146</v>
      </c>
      <c r="ES1" s="99">
        <v>147</v>
      </c>
      <c r="ET1" s="99">
        <v>148</v>
      </c>
      <c r="EU1" s="99">
        <v>149</v>
      </c>
      <c r="EV1" s="99">
        <v>150</v>
      </c>
      <c r="EW1" s="99">
        <v>151</v>
      </c>
      <c r="EX1" s="99">
        <v>152</v>
      </c>
      <c r="EY1" s="99">
        <v>153</v>
      </c>
      <c r="EZ1" s="99">
        <v>154</v>
      </c>
      <c r="FA1" s="99">
        <v>155</v>
      </c>
      <c r="FB1" s="99">
        <v>156</v>
      </c>
      <c r="FC1" s="99">
        <v>157</v>
      </c>
      <c r="FD1" s="99">
        <v>158</v>
      </c>
      <c r="FE1" s="99">
        <v>159</v>
      </c>
      <c r="FF1" s="99">
        <v>160</v>
      </c>
      <c r="FG1" s="99">
        <v>161</v>
      </c>
      <c r="FH1" s="99">
        <v>162</v>
      </c>
      <c r="FI1" s="99">
        <v>163</v>
      </c>
      <c r="FJ1" s="99">
        <v>164</v>
      </c>
    </row>
    <row r="2" spans="1:166">
      <c r="A2" s="44" t="s">
        <v>266</v>
      </c>
      <c r="B2" s="112"/>
      <c r="C2" s="101">
        <v>1</v>
      </c>
      <c r="D2" s="282">
        <v>107.15309999999999</v>
      </c>
      <c r="E2" s="60">
        <f>D2*C2</f>
        <v>107.15309999999999</v>
      </c>
      <c r="K2" s="102"/>
      <c r="M2" s="102"/>
    </row>
    <row r="3" spans="1:166">
      <c r="A3" s="100"/>
      <c r="B3" s="64"/>
      <c r="D3" s="100"/>
      <c r="E3" s="64"/>
      <c r="F3" s="103"/>
    </row>
    <row r="4" spans="1:166">
      <c r="A4" s="64"/>
      <c r="B4" s="64"/>
      <c r="D4" s="64"/>
      <c r="E4" s="64"/>
      <c r="H4" s="60" t="s">
        <v>387</v>
      </c>
    </row>
    <row r="5" spans="1:166">
      <c r="A5" s="74"/>
      <c r="B5" s="74"/>
    </row>
    <row r="6" spans="1:166">
      <c r="A6" s="59"/>
      <c r="B6" s="59"/>
      <c r="C6" s="59"/>
      <c r="D6" s="98"/>
      <c r="E6" s="98"/>
      <c r="F6" s="59"/>
      <c r="H6" s="59" t="s">
        <v>416</v>
      </c>
      <c r="I6" s="59">
        <v>43831</v>
      </c>
      <c r="J6" s="59">
        <v>43862</v>
      </c>
      <c r="K6" s="59">
        <v>43891</v>
      </c>
      <c r="L6" s="59">
        <v>43922</v>
      </c>
      <c r="M6" s="59">
        <v>43952</v>
      </c>
      <c r="N6" s="59">
        <v>43983</v>
      </c>
      <c r="O6" s="59">
        <v>44013</v>
      </c>
      <c r="P6" s="59">
        <v>44044</v>
      </c>
      <c r="Q6" s="59">
        <v>44075</v>
      </c>
      <c r="R6" s="59">
        <v>44105</v>
      </c>
      <c r="S6" s="59">
        <v>44136</v>
      </c>
      <c r="T6" s="59">
        <v>44166</v>
      </c>
      <c r="U6" s="59">
        <v>44197</v>
      </c>
      <c r="V6" s="59">
        <v>44228</v>
      </c>
      <c r="W6" s="59">
        <v>44256</v>
      </c>
      <c r="X6" s="59">
        <v>44287</v>
      </c>
      <c r="Y6" s="59">
        <v>44317</v>
      </c>
      <c r="Z6" s="59">
        <v>44348</v>
      </c>
      <c r="AA6" s="59">
        <v>44378</v>
      </c>
      <c r="AB6" s="59">
        <v>44409</v>
      </c>
      <c r="AC6" s="59">
        <v>44440</v>
      </c>
      <c r="AD6" s="59">
        <v>44470</v>
      </c>
      <c r="AE6" s="59">
        <v>44501</v>
      </c>
      <c r="AF6" s="59">
        <v>44531</v>
      </c>
      <c r="AG6" s="59">
        <v>44562</v>
      </c>
      <c r="AH6" s="59">
        <v>44593</v>
      </c>
      <c r="AI6" s="59">
        <v>44621</v>
      </c>
      <c r="AJ6" s="59">
        <v>44652</v>
      </c>
      <c r="AK6" s="59">
        <v>44682</v>
      </c>
      <c r="AL6" s="59">
        <v>44713</v>
      </c>
      <c r="AM6" s="59">
        <v>44743</v>
      </c>
      <c r="AN6" s="59">
        <v>44774</v>
      </c>
      <c r="AO6" s="59">
        <v>44805</v>
      </c>
      <c r="AP6" s="59">
        <v>44835</v>
      </c>
      <c r="AQ6" s="59">
        <v>44866</v>
      </c>
      <c r="AR6" s="59">
        <v>44896</v>
      </c>
      <c r="AS6" s="59">
        <v>44927</v>
      </c>
      <c r="AT6" s="59">
        <v>44958</v>
      </c>
      <c r="AU6" s="59">
        <v>44986</v>
      </c>
      <c r="AV6" s="59">
        <v>45017</v>
      </c>
      <c r="AW6" s="59">
        <v>45047</v>
      </c>
      <c r="AX6" s="59">
        <v>45078</v>
      </c>
      <c r="AY6" s="59">
        <v>45108</v>
      </c>
      <c r="AZ6" s="59" t="s">
        <v>530</v>
      </c>
      <c r="BA6" s="59" t="s">
        <v>531</v>
      </c>
      <c r="BB6" s="59" t="s">
        <v>532</v>
      </c>
      <c r="BC6" s="59">
        <v>37104</v>
      </c>
      <c r="BD6" s="59">
        <v>37469</v>
      </c>
      <c r="BE6" s="59" t="s">
        <v>168</v>
      </c>
      <c r="BF6" s="59" t="s">
        <v>169</v>
      </c>
      <c r="BG6" s="59" t="s">
        <v>421</v>
      </c>
      <c r="BH6" s="59" t="s">
        <v>422</v>
      </c>
      <c r="BI6" s="59" t="s">
        <v>423</v>
      </c>
      <c r="BJ6" s="59" t="s">
        <v>424</v>
      </c>
      <c r="BK6" s="59" t="s">
        <v>435</v>
      </c>
      <c r="BL6" s="59" t="s">
        <v>436</v>
      </c>
      <c r="BM6" s="59" t="s">
        <v>437</v>
      </c>
      <c r="BN6" s="59" t="s">
        <v>438</v>
      </c>
      <c r="BO6" s="59">
        <v>37196</v>
      </c>
      <c r="BP6" s="59">
        <v>37561</v>
      </c>
      <c r="BQ6" s="59">
        <v>37926</v>
      </c>
      <c r="BR6" s="59">
        <v>38292</v>
      </c>
      <c r="BS6" s="59">
        <v>37226</v>
      </c>
      <c r="BT6" s="59">
        <v>37591</v>
      </c>
      <c r="BU6" s="59">
        <v>37956</v>
      </c>
      <c r="BV6" s="59">
        <v>38322</v>
      </c>
      <c r="BW6" s="59">
        <v>36892</v>
      </c>
      <c r="BX6" s="59">
        <v>37257</v>
      </c>
      <c r="BY6" s="59">
        <v>37622</v>
      </c>
      <c r="BZ6" s="59">
        <v>37987</v>
      </c>
      <c r="CA6" s="59">
        <v>36923</v>
      </c>
      <c r="CB6" s="59">
        <v>37288</v>
      </c>
      <c r="CC6" s="59">
        <v>37653</v>
      </c>
      <c r="CD6" s="59">
        <v>38018</v>
      </c>
      <c r="CE6" s="59" t="str">
        <f>Sheet8!A15</f>
        <v>Mar-w1</v>
      </c>
      <c r="CF6" s="59">
        <v>37316</v>
      </c>
      <c r="CG6" s="59">
        <v>37681</v>
      </c>
      <c r="CH6" s="59">
        <v>38047</v>
      </c>
      <c r="CI6" s="59" t="str">
        <f>Sheet8!E15</f>
        <v>Apr-w1</v>
      </c>
      <c r="CJ6" s="59" t="str">
        <f>Sheet8!F15</f>
        <v>Apr-w2</v>
      </c>
      <c r="CK6" s="59" t="str">
        <f>Sheet8!G15</f>
        <v>Apr-w3</v>
      </c>
      <c r="CL6" s="59" t="str">
        <f>Sheet8!H15</f>
        <v>Apr-w4</v>
      </c>
      <c r="CM6" s="59" t="str">
        <f>Sheet8!I15</f>
        <v>May-w1</v>
      </c>
      <c r="CN6" s="59" t="str">
        <f>Sheet8!J15</f>
        <v>May-w2</v>
      </c>
      <c r="CO6" s="59" t="str">
        <f>Sheet8!K15</f>
        <v>May-w3</v>
      </c>
      <c r="CP6" s="59" t="str">
        <f>Sheet8!L15</f>
        <v>May-w4</v>
      </c>
      <c r="CQ6" s="59" t="str">
        <f>Sheet8!M15</f>
        <v>May-w5</v>
      </c>
      <c r="CR6" s="59" t="str">
        <f>Sheet8!N15</f>
        <v>june-w1</v>
      </c>
      <c r="CS6" s="59" t="str">
        <f>Sheet8!O15</f>
        <v>june-w2</v>
      </c>
      <c r="CT6" s="59" t="str">
        <f>Sheet8!P15</f>
        <v>june-w3</v>
      </c>
      <c r="CU6" s="59" t="str">
        <f>Sheet8!Q15</f>
        <v>june-w4</v>
      </c>
      <c r="CV6" s="59" t="str">
        <f>Sheet8!R15</f>
        <v>Jul-w1</v>
      </c>
      <c r="CW6" s="59" t="str">
        <f>Sheet8!S15</f>
        <v>Jul-w2</v>
      </c>
      <c r="CX6" s="59" t="str">
        <f>Sheet8!T15</f>
        <v>Jul-w3</v>
      </c>
      <c r="CY6" s="59" t="str">
        <f>Sheet8!U15</f>
        <v>Jul-w4</v>
      </c>
      <c r="CZ6" s="59" t="str">
        <f>Sheet8!V15</f>
        <v>Aug-w1</v>
      </c>
      <c r="DA6" s="59" t="str">
        <f>Sheet8!W15</f>
        <v>Aug-w2</v>
      </c>
      <c r="DB6" s="59" t="str">
        <f>Sheet8!X15</f>
        <v>Aug-w3</v>
      </c>
      <c r="DC6" s="59" t="str">
        <f>Sheet8!Y15</f>
        <v>Aug-w4</v>
      </c>
      <c r="DD6" s="59" t="str">
        <f>Sheet8!Z15</f>
        <v>Sep-w1</v>
      </c>
      <c r="DE6" s="59" t="str">
        <f>Sheet8!AA15</f>
        <v>Sep-w2</v>
      </c>
      <c r="DF6" s="59" t="str">
        <f>Sheet8!AB15</f>
        <v>Sep-w3</v>
      </c>
      <c r="DG6" s="59" t="str">
        <f>Sheet8!AC15</f>
        <v>Sep-w4</v>
      </c>
      <c r="DH6" s="59" t="str">
        <f>Sheet8!AD15</f>
        <v>Oct-w1</v>
      </c>
      <c r="DI6" s="59" t="str">
        <f>Sheet8!AE15</f>
        <v>Oct-w2</v>
      </c>
      <c r="DJ6" s="59" t="str">
        <f>Sheet8!AF15</f>
        <v>Oct-w3</v>
      </c>
      <c r="DK6" s="59" t="str">
        <f>Sheet8!AG15</f>
        <v>Oct-w4</v>
      </c>
      <c r="DL6" s="59" t="str">
        <f>Sheet8!AH15</f>
        <v>Nov-w1</v>
      </c>
      <c r="DM6" s="59" t="str">
        <f>Sheet8!AI15</f>
        <v>Nov-w2</v>
      </c>
      <c r="DN6" s="59" t="str">
        <f>Sheet8!AJ15</f>
        <v>Nov-w3</v>
      </c>
      <c r="DO6" s="59" t="str">
        <f>Sheet8!AK15</f>
        <v>Nov-w4</v>
      </c>
      <c r="DP6" s="59" t="str">
        <f>Sheet8!AL15</f>
        <v>Dec-w1</v>
      </c>
      <c r="DQ6" s="59" t="str">
        <f>Sheet8!AM15</f>
        <v>Dec-w2</v>
      </c>
      <c r="DR6" s="59" t="str">
        <f>Sheet8!AN15</f>
        <v>Dec-w3</v>
      </c>
      <c r="DS6" s="59" t="str">
        <f>Sheet8!AO15</f>
        <v>Dec-w4</v>
      </c>
      <c r="DT6" s="59">
        <f>Sheet8!AP15</f>
        <v>0</v>
      </c>
      <c r="DU6" s="59">
        <f>Sheet8!AQ15</f>
        <v>0</v>
      </c>
      <c r="DV6" s="59">
        <f>Sheet8!AR15</f>
        <v>0</v>
      </c>
      <c r="DW6" s="59">
        <f>Sheet8!AS15</f>
        <v>0</v>
      </c>
      <c r="DX6" s="59">
        <f>Sheet8!AT15</f>
        <v>0</v>
      </c>
      <c r="DY6" s="59">
        <f>Sheet8!AU15</f>
        <v>0</v>
      </c>
      <c r="DZ6" s="59">
        <f>Sheet8!AV15</f>
        <v>0</v>
      </c>
      <c r="EA6" s="59">
        <f>Sheet8!AW15</f>
        <v>0</v>
      </c>
      <c r="EB6" s="59">
        <f>Sheet8!AX15</f>
        <v>0</v>
      </c>
      <c r="EC6" s="59">
        <f>Sheet8!AY15</f>
        <v>0</v>
      </c>
      <c r="ED6" s="59">
        <f>Sheet8!AZ15</f>
        <v>0</v>
      </c>
      <c r="EE6" s="59">
        <f>Sheet8!BA15</f>
        <v>0</v>
      </c>
      <c r="EF6" s="59">
        <f>Sheet8!BB15</f>
        <v>0</v>
      </c>
      <c r="EG6" s="59">
        <f>Sheet8!BC15</f>
        <v>0</v>
      </c>
      <c r="EH6" s="59">
        <f>Sheet8!BD15</f>
        <v>0</v>
      </c>
      <c r="EI6" s="59">
        <f>Sheet8!BE15</f>
        <v>0</v>
      </c>
      <c r="EJ6" s="59">
        <f>Sheet8!BF15</f>
        <v>0</v>
      </c>
    </row>
    <row r="7" spans="1:166">
      <c r="B7" s="44"/>
      <c r="D7" s="44" t="s">
        <v>754</v>
      </c>
      <c r="F7" s="60" t="s">
        <v>651</v>
      </c>
      <c r="H7" s="178" t="s">
        <v>116</v>
      </c>
      <c r="I7" s="74">
        <f>VLOOKUP($H$7&amp;$F$1,'Input RM sheet'!$A:$BD,H1,0)</f>
        <v>0.82924335626169965</v>
      </c>
      <c r="J7" s="74">
        <f>VLOOKUP($H$7&amp;$F$1,'Input RM sheet'!$A:$BD,I1,0)</f>
        <v>0.82269660455391691</v>
      </c>
      <c r="K7" s="74">
        <f>VLOOKUP($H$7&amp;$F$1,'Input RM sheet'!$A:$BD,J1,0)</f>
        <v>0.83299794770233271</v>
      </c>
      <c r="L7" s="74">
        <f>VLOOKUP($H$7&amp;$F$1,'Input RM sheet'!$A:$BD,K1,0)</f>
        <v>0.70590577831421075</v>
      </c>
      <c r="M7" s="74">
        <f>VLOOKUP($H$7&amp;$F$1,'Input RM sheet'!$A:$BD,L1,0)</f>
        <v>0.59516163350045803</v>
      </c>
      <c r="N7" s="74">
        <f>VLOOKUP($H$7&amp;$F$1,'Input RM sheet'!$A:$BD,M1,0)</f>
        <v>0.55527576037870674</v>
      </c>
      <c r="O7" s="74">
        <f>VLOOKUP($H$7&amp;$F$1,'Input RM sheet'!$A:$BD,N1,0)</f>
        <v>0.55400701549966669</v>
      </c>
      <c r="P7" s="74">
        <f>VLOOKUP($H$7&amp;$F$1,'Input RM sheet'!$A:$BD,O1,0)</f>
        <v>0.55564945600626048</v>
      </c>
      <c r="Q7" s="74">
        <f>VLOOKUP($H$7&amp;$F$1,'Input RM sheet'!$A:$BD,P1,0)</f>
        <v>0.56470597127503586</v>
      </c>
      <c r="R7" s="74">
        <f>VLOOKUP($H$7&amp;$F$1,'Input RM sheet'!$A:$BD,Q1,0)</f>
        <v>0.70080318656531215</v>
      </c>
      <c r="S7" s="74">
        <f>VLOOKUP($H$7&amp;$F$1,'Input RM sheet'!$A:$BD,R1,0)</f>
        <v>0.94159943084333564</v>
      </c>
      <c r="T7" s="74">
        <f>VLOOKUP($H$7&amp;$F$1,'Input RM sheet'!$A:$BD,S1,0)</f>
        <v>1.0505403874703378</v>
      </c>
      <c r="U7" s="74">
        <f>VLOOKUP($H$7&amp;$F$1,'Input RM sheet'!$A:$BD,T1,0)</f>
        <v>1.0876597293709844</v>
      </c>
      <c r="V7" s="74">
        <f>VLOOKUP($H$7&amp;$F$1,'Input RM sheet'!$A:$BD,U1,0)</f>
        <v>1.3302599761673821</v>
      </c>
      <c r="W7" s="74">
        <f>VLOOKUP($H$7&amp;$F$1,'Input RM sheet'!$A:$BD,V1,0)</f>
        <v>1.7439540988796183</v>
      </c>
      <c r="X7" s="74">
        <f>VLOOKUP($H$7&amp;$F$1,'Input RM sheet'!$A:$BD,W1,0)</f>
        <v>1.5053885445837389</v>
      </c>
      <c r="Y7" s="74">
        <f>VLOOKUP($H$7&amp;$F$1,'Input RM sheet'!$A:$BD,X1,0)</f>
        <v>1.5205401425376142</v>
      </c>
      <c r="Z7" s="74">
        <f>VLOOKUP($H$7&amp;$F$1,'Input RM sheet'!$A:$BD,Y1,0)</f>
        <v>1.3156747849282875</v>
      </c>
      <c r="AA7" s="74">
        <f>VLOOKUP($H$7&amp;$F$1,'Input RM sheet'!$A:$BD,Z1,0)</f>
        <v>1.3822040813643226</v>
      </c>
      <c r="AB7" s="74">
        <f>VLOOKUP($H$7&amp;$F$1,'Input RM sheet'!$A:$BD,AA1,0)</f>
        <v>1.4649498924128199</v>
      </c>
      <c r="AC7" s="74">
        <f>VLOOKUP($H$7&amp;$F$1,'Input RM sheet'!$A:$BD,AB1,0)</f>
        <v>1.5006881585930321</v>
      </c>
      <c r="AD7" s="74">
        <f>VLOOKUP($H$7&amp;$F$1,'Input RM sheet'!$A:$BD,AC1,0)</f>
        <v>1.8286801479964094</v>
      </c>
      <c r="AE7" s="74">
        <f>VLOOKUP($H$7&amp;$F$1,'Input RM sheet'!$A:$BD,AD1,0)</f>
        <v>1.8351815624183518</v>
      </c>
      <c r="AF7" s="74">
        <f>VLOOKUP($H$7&amp;$F$1,'Input RM sheet'!$A:$BD,AE1,0)</f>
        <v>1.3306150192561172</v>
      </c>
      <c r="AG7" s="74">
        <f>VLOOKUP($H$7&amp;$F$1,'Input RM sheet'!$A:$BD,AF1,0)</f>
        <v>1.5446728056617136</v>
      </c>
      <c r="AH7" s="74">
        <f>VLOOKUP($H$7&amp;$F$1,'Input RM sheet'!$A:$BD,AG1,0)</f>
        <v>1.837994734279738</v>
      </c>
      <c r="AI7" s="74">
        <f>VLOOKUP($H$7&amp;$F$1,'Input RM sheet'!$A:$BD,AH1,0)</f>
        <v>1.7717260824655929</v>
      </c>
      <c r="AJ7" s="74">
        <f>VLOOKUP($H$7&amp;$F$1,'Input RM sheet'!$A:$BD,AI1,0)</f>
        <v>1.5899341221181358</v>
      </c>
      <c r="AK7" s="74">
        <f>VLOOKUP($H$7&amp;$F$1,'Input RM sheet'!$A:$BD,AJ1,0)</f>
        <v>1.4368593620678682</v>
      </c>
      <c r="AL7" s="74">
        <f>VLOOKUP($H$7&amp;$F$1,'Input RM sheet'!$A:$BD,AK1,0)</f>
        <v>1.5599305118260276</v>
      </c>
      <c r="AM7" s="74">
        <f>VLOOKUP($H$7&amp;$F$1,'Input RM sheet'!$A:$BD,AL1,0)</f>
        <v>1.5284191752572451</v>
      </c>
      <c r="AN7" s="74">
        <f>VLOOKUP($H$7&amp;$F$1,'Input RM sheet'!$A:$BD,AM1,0)</f>
        <v>1.3265859695520972</v>
      </c>
      <c r="AO7" s="74">
        <f>VLOOKUP($H$7&amp;$F$1,'Input RM sheet'!$A:$BD,AN1,0)</f>
        <v>1.5169959151582031</v>
      </c>
      <c r="AP7" s="74">
        <f>VLOOKUP($H$7&amp;$F$1,'Input RM sheet'!$A:$BD,AO1,0)</f>
        <v>1.5898054648729594</v>
      </c>
      <c r="AQ7" s="74">
        <f>VLOOKUP($H$7&amp;$F$1,'Input RM sheet'!$A:$BD,AP1,0)</f>
        <v>1.4479368865823559</v>
      </c>
      <c r="AR7" s="74">
        <f>VLOOKUP($H$7&amp;$F$1,'Input RM sheet'!$A:$BD,AQ1,0)</f>
        <v>1.3080850046113366</v>
      </c>
      <c r="AS7" s="74">
        <f>VLOOKUP($H$7&amp;$F$1,'Input RM sheet'!$A:$BD,AR1,0)</f>
        <v>1.2908743580838045</v>
      </c>
      <c r="AT7" s="74">
        <f>VLOOKUP($H$7&amp;$F$1,'Input RM sheet'!$A:$BD,AS1,0)</f>
        <v>1.5571667835392669</v>
      </c>
      <c r="AU7" s="74">
        <f>VLOOKUP($H$7&amp;$F$1,'Input RM sheet'!$A:$BD,AT1,0)</f>
        <v>1.6608480881002745</v>
      </c>
      <c r="AV7" s="74">
        <f>VLOOKUP($H$7&amp;$F$1,'Input RM sheet'!$A:$BD,AU1,0)</f>
        <v>1.3839474934816396</v>
      </c>
      <c r="AW7" s="74">
        <f>VLOOKUP($H$7&amp;$F$1,'Input RM sheet'!$A:$BD,AV1,0)</f>
        <v>1.4193280378655322</v>
      </c>
      <c r="AX7" s="74">
        <f>VLOOKUP($H$7&amp;$F$1,'Input RM sheet'!$A:$BD,AW1,0)</f>
        <v>1.3525941349991326</v>
      </c>
      <c r="AY7" s="74">
        <f>VLOOKUP($H$7&amp;$F$1,'Input RM sheet'!$A:$BD,AX1,0)</f>
        <v>1.1565456209948124</v>
      </c>
      <c r="AZ7" s="74">
        <f>VLOOKUP($H$7&amp;$F$1,'Input RM sheet'!$A:$BD,AY1,0)</f>
        <v>1.1565456209948124</v>
      </c>
      <c r="BA7" s="74">
        <f>VLOOKUP($H$7&amp;$F$1,'Input RM sheet'!$A:$BD,AZ1,0)</f>
        <v>1.2061209439528022</v>
      </c>
      <c r="BB7" s="74">
        <f>VLOOKUP($H$7&amp;$F$1,'Input RM sheet'!$A:$BD,BA1,0)</f>
        <v>1.2207438579119996</v>
      </c>
      <c r="BC7" s="74">
        <f>VLOOKUP($H$7&amp;$F$1,'Input RM sheet'!$A:$BD,BB1,0)</f>
        <v>1.3127455660412002</v>
      </c>
      <c r="BD7" s="74">
        <f>VLOOKUP($H$7&amp;$F$1,'Input RM sheet'!$A:$BD,BC1,0)</f>
        <v>1.356282942386581</v>
      </c>
      <c r="BE7" s="74">
        <f>VLOOKUP($H$7&amp;$F$1,'Input RM sheet'!$A:$BD,BD1,0)</f>
        <v>1.3707709676244584</v>
      </c>
      <c r="BF7" s="74">
        <f>VLOOKUP($H$7&amp;$F$1,'Input RM sheet'!$A:$BD,BE1,0)</f>
        <v>1.3555968292120377</v>
      </c>
      <c r="BG7" s="74">
        <f>VLOOKUP($H$7&amp;$F$1,'Input RM sheet'!$A:$DD,BF1,0)</f>
        <v>1.4557582654383017</v>
      </c>
      <c r="BH7" s="74">
        <f>VLOOKUP($H$7&amp;$F$1,'Input RM sheet'!$A:$DD,BG1,0)</f>
        <v>1.6114934993991044</v>
      </c>
      <c r="BI7" s="74">
        <f>VLOOKUP($H$7&amp;$F$1,'Input RM sheet'!$A:$DD,BH1,0)</f>
        <v>1.6092859740574619</v>
      </c>
      <c r="BJ7" s="74">
        <f>VLOOKUP($H$7&amp;$F$1,'Input RM sheet'!$A:$DD,BI1,0)</f>
        <v>1.6638380409746638</v>
      </c>
      <c r="BK7" s="74">
        <f>VLOOKUP($H$7&amp;$F$1,'Input RM sheet'!$A:$DD,BJ1,0)</f>
        <v>1.6638380409746638</v>
      </c>
      <c r="BL7" s="74">
        <f>VLOOKUP($H$7&amp;$F$1,'Input RM sheet'!$A:$DD,BK1,0)</f>
        <v>1.6869469026548676</v>
      </c>
      <c r="BM7" s="74">
        <f>VLOOKUP($H$7&amp;$F$1,'Input RM sheet'!$A:$DD,BL1,0)</f>
        <v>1.3952277762308878</v>
      </c>
      <c r="BN7" s="74">
        <f>VLOOKUP($H$7&amp;$F$1,'Input RM sheet'!$A:$DD,BM1,0)</f>
        <v>1.3933217273562553</v>
      </c>
      <c r="BO7" s="74">
        <f>VLOOKUP($H$7&amp;$F$1,'Input RM sheet'!$A:$DD,BN1,0)</f>
        <v>1.4424657033998372</v>
      </c>
      <c r="BP7" s="74">
        <f>VLOOKUP($H$7&amp;$F$1,'Input RM sheet'!$A:$DD,BO1,0)</f>
        <v>1.5541578292986178</v>
      </c>
      <c r="BQ7" s="74">
        <f>VLOOKUP($H$7&amp;$F$1,'Input RM sheet'!$A:$DD,BP1,0)</f>
        <v>1.5541578292986178</v>
      </c>
      <c r="BR7" s="74">
        <f>VLOOKUP($H$7&amp;$F$1,'Input RM sheet'!$A:$DD,BQ1,0)</f>
        <v>1.5891811043250657</v>
      </c>
      <c r="BS7" s="74">
        <f>VLOOKUP($H$7&amp;$F$1,'Input RM sheet'!$A:$DD,BR1,0)</f>
        <v>1.3757715475570762</v>
      </c>
      <c r="BT7" s="74">
        <f>VLOOKUP($H$7&amp;$F$1,'Input RM sheet'!$A:$DD,BS1,0)</f>
        <v>1.3230650174120351</v>
      </c>
      <c r="BU7" s="74">
        <f>VLOOKUP($H$7&amp;$F$1,'Input RM sheet'!$A:$DD,BT1,0)</f>
        <v>1.2948821090414011</v>
      </c>
      <c r="BV7" s="74">
        <f>VLOOKUP($H$7&amp;$F$1,'Input RM sheet'!$A:$DD,BU1,0)</f>
        <v>1.3651909082966163</v>
      </c>
      <c r="BW7" s="74">
        <f>VLOOKUP($H$7&amp;$F$1,'Input RM sheet'!$A:$DD,BV1,0)</f>
        <v>1.3726162283435126</v>
      </c>
      <c r="BX7" s="74">
        <f>VLOOKUP($H$7&amp;$F$1,'Input RM sheet'!$A:$DD,BW1,0)</f>
        <v>1.2884831110557149</v>
      </c>
      <c r="BY7" s="74">
        <f>VLOOKUP($H$7&amp;$F$1,'Input RM sheet'!$A:$DD,BX1,0)</f>
        <v>1.2879710649298994</v>
      </c>
      <c r="BZ7" s="74">
        <f>VLOOKUP($H$7&amp;$F$1,'Input RM sheet'!$A:$DD,BY1,0)</f>
        <v>1.2975617041932714</v>
      </c>
      <c r="CA7" s="74">
        <f>VLOOKUP($H$7&amp;$F$1,'Input RM sheet'!$A:$DD,BZ1,0)</f>
        <v>1.3675740263619731</v>
      </c>
      <c r="CB7" s="74">
        <f>VLOOKUP($H$7&amp;$F$1,'Input RM sheet'!$A:$DD,CA1,0)</f>
        <v>1.3523576255123266</v>
      </c>
      <c r="CC7" s="74">
        <f>VLOOKUP($H$7&amp;$F$1,'Input RM sheet'!$A:$DD,CB1,0)</f>
        <v>1.3511598096975377</v>
      </c>
      <c r="CD7" s="74">
        <f>VLOOKUP($H$7&amp;$F$1,'Input RM sheet'!$A:$DD,CC1,0)</f>
        <v>1.3504793510324484</v>
      </c>
      <c r="CE7" s="74">
        <f>VLOOKUP($H$7&amp;$F$1,'Input RM sheet'!$A:$DD,CD1,0)</f>
        <v>1.2951081612586037</v>
      </c>
      <c r="CF7" s="74">
        <f>VLOOKUP($H$7&amp;$F$1,'Input RM sheet'!$A:$DD,CE1,0)</f>
        <v>1.2925530603692659</v>
      </c>
      <c r="CG7" s="74">
        <f>VLOOKUP($H$7&amp;$F$1,'Input RM sheet'!$A:$DD,CF1,0)</f>
        <v>1.4018336479297921</v>
      </c>
      <c r="CH7" s="74">
        <f>VLOOKUP($H$7&amp;$F$1,'Input RM sheet'!$A:$DD,CG1,0)</f>
        <v>1.4265780486909265</v>
      </c>
      <c r="CI7" s="74">
        <f>VLOOKUP($H$7&amp;$F$1,'Input RM sheet'!$A:$DD,CH1,0)</f>
        <v>1.5352085092840793</v>
      </c>
      <c r="CJ7" s="74">
        <f>VLOOKUP($H$7&amp;$F$1,'Input RM sheet'!$A:$DD,CI1,0)</f>
        <v>1.5330880555419741</v>
      </c>
      <c r="CK7" s="74">
        <f>VLOOKUP($H$7&amp;$F$1,'Input RM sheet'!$A:$DD,CJ1,0)</f>
        <v>1.5330880555419741</v>
      </c>
      <c r="CL7" s="74">
        <f>VLOOKUP($H$7&amp;$F$1,'Input RM sheet'!$A:$DD,CK1,0)</f>
        <v>1.5025301911699995</v>
      </c>
      <c r="CM7" s="74">
        <f>VLOOKUP($H$7&amp;$F$1,'Input RM sheet'!$A:$DD,CL1,0)</f>
        <v>1.4290010187424056</v>
      </c>
      <c r="CN7" s="74">
        <f>VLOOKUP($H$7&amp;$F$1,'Input RM sheet'!$A:$DD,CM1,0)</f>
        <v>1.3790866473273848</v>
      </c>
      <c r="CO7" s="74">
        <f>VLOOKUP($H$7&amp;$F$1,'Input RM sheet'!$A:$DD,CN1,0)</f>
        <v>1.3790866473273848</v>
      </c>
      <c r="CP7" s="74">
        <f>VLOOKUP($H$7&amp;$F$1,'Input RM sheet'!$A:$DD,CO1,0)</f>
        <v>1.3790866473273848</v>
      </c>
      <c r="CQ7" s="74">
        <f>VLOOKUP($H$7&amp;$F$1,'Input RM sheet'!$A:$DD,CP1,0)</f>
        <v>1.3790866473273848</v>
      </c>
      <c r="CR7" s="74">
        <f>VLOOKUP($H$7&amp;$F$1,'Input RM sheet'!$A:$ZZ,CQ1,0)</f>
        <v>1.4810785703808733</v>
      </c>
      <c r="CS7" s="74">
        <f>VLOOKUP($H$7&amp;$F$1,'Input RM sheet'!$A:$ZZ,CR1,0)</f>
        <v>1.4871901432552681</v>
      </c>
      <c r="CT7" s="74">
        <f>VLOOKUP($H$7&amp;$F$1,'Input RM sheet'!$A:$ZZ,CS1,0)</f>
        <v>1.4830932007118653</v>
      </c>
      <c r="CU7" s="74">
        <f>VLOOKUP($H$7&amp;$F$1,'Input RM sheet'!$A:$ZZ,CT1,0)</f>
        <v>1.3836715316916413</v>
      </c>
      <c r="CV7" s="74">
        <f>VLOOKUP($H$7&amp;$F$1,'Input RM sheet'!$A:$ZZ,CU1,0)</f>
        <v>1.3441102360287764</v>
      </c>
      <c r="CW7" s="74">
        <f>VLOOKUP($H$7&amp;$F$1,'Input RM sheet'!$A:$ZZ,CV1,0)</f>
        <v>1.3441102360287764</v>
      </c>
      <c r="CX7" s="74">
        <f>VLOOKUP($H$7&amp;$F$1,'Input RM sheet'!$A:$ZZ,CW1,0)</f>
        <v>1.2794174851696978</v>
      </c>
      <c r="CY7" s="74">
        <f>VLOOKUP($H$7&amp;$F$1,'Input RM sheet'!$A:$ZZ,CX1,0)</f>
        <v>1.2025850989608196</v>
      </c>
      <c r="CZ7" s="74">
        <f>VLOOKUP($H$7&amp;$F$1,'Input RM sheet'!$A:$ZZ,CY1,0)</f>
        <v>1.3021315461423584</v>
      </c>
      <c r="DA7" s="74">
        <f>VLOOKUP($H$7&amp;$F$1,'Input RM sheet'!$A:$ZZ,CZ1,0)</f>
        <v>1.300317992456923</v>
      </c>
      <c r="DB7" s="74">
        <f>VLOOKUP($H$7&amp;$F$1,'Input RM sheet'!$A:$ZZ,DA1,0)</f>
        <v>1.2391855931678941</v>
      </c>
      <c r="DC7" s="74">
        <f>VLOOKUP($H$7&amp;$F$1,'Input RM sheet'!$A:$ZZ,DB1,0)</f>
        <v>1.2602217990366305</v>
      </c>
      <c r="DD7" s="74">
        <f>VLOOKUP($H$7&amp;$F$1,'Input RM sheet'!$A:$ZZ,DC1,0)</f>
        <v>1.3324263264974976</v>
      </c>
      <c r="DE7" s="74">
        <f>VLOOKUP($H$7&amp;$F$1,'Input RM sheet'!$A:$ZZ,DD1,0)</f>
        <v>1.2991175335747982</v>
      </c>
      <c r="DF7" s="74">
        <f>VLOOKUP($H$7&amp;$F$1,'Input RM sheet'!$A:$ZZ,DE1,0)</f>
        <v>1.2424477926245334</v>
      </c>
      <c r="DG7" s="74">
        <f>VLOOKUP($H$7&amp;$F$1,'Input RM sheet'!$A:$ZZ,DF1,0)</f>
        <v>1.2495272672263824</v>
      </c>
      <c r="DH7" s="74">
        <f>VLOOKUP($H$7&amp;$F$1,'Input RM sheet'!$A:$ZZ,DG1,0)</f>
        <v>1.2684365781710916</v>
      </c>
      <c r="DI7" s="74">
        <f>VLOOKUP($H$7&amp;$F$1,'Input RM sheet'!$A:$ZZ,DH1,0)</f>
        <v>1.3317899505868591</v>
      </c>
      <c r="DJ7" s="74">
        <f>VLOOKUP($H$7&amp;$F$1,'Input RM sheet'!$A:$ZZ,DI1,0)</f>
        <v>1.214735195919026</v>
      </c>
      <c r="DK7" s="74">
        <f>VLOOKUP($H$7&amp;$F$1,'Input RM sheet'!$A:$ZZ,DJ1,0)</f>
        <v>1.127884782231477</v>
      </c>
      <c r="DL7" s="74">
        <f>VLOOKUP($H$7&amp;$F$1,'Input RM sheet'!$A:$ZZ,DK1,0)</f>
        <v>1.1326437897514408</v>
      </c>
      <c r="DM7" s="74">
        <f>VLOOKUP($H$7&amp;$F$1,'Input RM sheet'!$A:$ZZ,DL1,0)</f>
        <v>1.1628049302929047</v>
      </c>
      <c r="DN7" s="74">
        <f>VLOOKUP($H$7&amp;$F$1,'Input RM sheet'!$A:$ZZ,DM1,0)</f>
        <v>1.110778369921283</v>
      </c>
      <c r="DO7" s="74">
        <f>VLOOKUP($H$7&amp;$F$1,'Input RM sheet'!$A:$ZZ,DN1,0)</f>
        <v>1.138131109973427</v>
      </c>
      <c r="DP7" s="74">
        <f>VLOOKUP($H$7&amp;$F$1,'Input RM sheet'!$A:$ZZ,DO1,0)</f>
        <v>1.1365655926282092</v>
      </c>
      <c r="DQ7" s="74">
        <f>VLOOKUP($H$7&amp;$F$1,'Input RM sheet'!$A:$ZZ,DP1,0)</f>
        <v>1.1594502805808815</v>
      </c>
      <c r="DR7" s="74">
        <f>VLOOKUP($H$7&amp;$F$1,'Input RM sheet'!$A:$ZZ,DQ1,0)</f>
        <v>1.0986076210592763</v>
      </c>
      <c r="DS7" s="74">
        <f>VLOOKUP($H$7&amp;$F$1,'Input RM sheet'!$A:$ZZ,DR1,0)</f>
        <v>1.1365013941083768</v>
      </c>
      <c r="DT7" s="74" t="e">
        <f>VLOOKUP($H$7&amp;$F$1,'Input RM sheet'!$A:$ZZ,DS1,0)</f>
        <v>#DIV/0!</v>
      </c>
      <c r="DU7" s="74" t="e">
        <f>VLOOKUP($H$7&amp;$F$1,'Input RM sheet'!$A:$ZZ,DT1,0)</f>
        <v>#DIV/0!</v>
      </c>
      <c r="DV7" s="74" t="e">
        <f>VLOOKUP($H$7&amp;$F$1,'Input RM sheet'!$A:$ZZ,DU1,0)</f>
        <v>#DIV/0!</v>
      </c>
      <c r="DW7" s="74" t="e">
        <f>VLOOKUP($H$7&amp;$F$1,'Input RM sheet'!$A:$ZZ,DV1,0)</f>
        <v>#DIV/0!</v>
      </c>
      <c r="DX7" s="74">
        <f>VLOOKUP($H$7&amp;$F$1,'Input RM sheet'!$A:$ZZ,DW1,0)</f>
        <v>0</v>
      </c>
      <c r="DY7" s="74">
        <f>VLOOKUP($H$7&amp;$F$1,'Input RM sheet'!$A:$ZZ,DX1,0)</f>
        <v>0</v>
      </c>
      <c r="DZ7" s="74">
        <f>VLOOKUP($H$7&amp;$F$1,'Input RM sheet'!$A:$ZZ,DY1,0)</f>
        <v>0</v>
      </c>
      <c r="EA7" s="74">
        <f>VLOOKUP($H$7&amp;$F$1,'Input RM sheet'!$A:$ZZ,DZ1,0)</f>
        <v>0</v>
      </c>
      <c r="EB7" s="74">
        <f>VLOOKUP($H$7&amp;$F$1,'Input RM sheet'!$A:$ZZ,EA1,0)</f>
        <v>0</v>
      </c>
      <c r="EC7" s="74">
        <f>VLOOKUP($H$7&amp;$F$1,'Input RM sheet'!$A:$ZZ,EB1,0)</f>
        <v>0</v>
      </c>
      <c r="ED7" s="74">
        <f>VLOOKUP($H$7&amp;$F$1,'Input RM sheet'!$A:$ZZ,EC1,0)</f>
        <v>0</v>
      </c>
      <c r="EE7" s="74">
        <f>VLOOKUP($H$7&amp;$F$1,'Input RM sheet'!$A:$ZZ,ED1,0)</f>
        <v>0</v>
      </c>
      <c r="EF7" s="74">
        <f>VLOOKUP($H$7&amp;$F$1,'Input RM sheet'!$A:$ZZ,EE1,0)</f>
        <v>0</v>
      </c>
      <c r="EG7" s="74">
        <f>VLOOKUP($H$7&amp;$F$1,'Input RM sheet'!$A:$ZZ,EF1,0)</f>
        <v>0</v>
      </c>
      <c r="EH7" s="74">
        <f>VLOOKUP($H$7&amp;$F$1,'Input RM sheet'!$A:$ZZ,EG1,0)</f>
        <v>0</v>
      </c>
      <c r="EI7" s="74">
        <f>VLOOKUP($H$7&amp;$F$1,'Input RM sheet'!$A:$ZZ,EH1,0)</f>
        <v>0</v>
      </c>
      <c r="EJ7" s="74">
        <f>VLOOKUP($H$7&amp;$F$1,'Input RM sheet'!$A:$ZZ,EI1,0)</f>
        <v>0</v>
      </c>
    </row>
    <row r="8" spans="1:166">
      <c r="B8" s="44"/>
      <c r="D8" s="44" t="s">
        <v>755</v>
      </c>
      <c r="F8" s="60" t="s">
        <v>651</v>
      </c>
      <c r="H8" s="44" t="s">
        <v>36</v>
      </c>
      <c r="I8" s="74">
        <f>VLOOKUP($H$8&amp;$F$1,'Input RM sheet'!$A:$BD,H1,0)</f>
        <v>262.5</v>
      </c>
      <c r="J8" s="74">
        <f>VLOOKUP($H$8&amp;$F$1,'Input RM sheet'!$A:$BD,I1,0)</f>
        <v>322.5</v>
      </c>
      <c r="K8" s="74">
        <f>VLOOKUP($H$8&amp;$F$1,'Input RM sheet'!$A:$BD,J1,0)</f>
        <v>285</v>
      </c>
      <c r="L8" s="74">
        <f>VLOOKUP($H$8&amp;$F$1,'Input RM sheet'!$A:$BD,K1,0)</f>
        <v>210</v>
      </c>
      <c r="M8" s="74">
        <f>VLOOKUP($H$8&amp;$F$1,'Input RM sheet'!$A:$BD,L1,0)</f>
        <v>175</v>
      </c>
      <c r="N8" s="74">
        <f>VLOOKUP($H$8&amp;$F$1,'Input RM sheet'!$A:$BD,M1,0)</f>
        <v>167.5</v>
      </c>
      <c r="O8" s="74">
        <f>VLOOKUP($H$8&amp;$F$1,'Input RM sheet'!$A:$BD,N1,0)</f>
        <v>180</v>
      </c>
      <c r="P8" s="74">
        <f>VLOOKUP($H$8&amp;$F$1,'Input RM sheet'!$A:$BD,O1,0)</f>
        <v>220</v>
      </c>
      <c r="Q8" s="74">
        <f>VLOOKUP($H$8&amp;$F$1,'Input RM sheet'!$A:$BD,P1,0)</f>
        <v>230</v>
      </c>
      <c r="R8" s="74">
        <f>VLOOKUP($H$8&amp;$F$1,'Input RM sheet'!$A:$BD,Q1,0)</f>
        <v>240</v>
      </c>
      <c r="S8" s="74">
        <f>VLOOKUP($H$8&amp;$F$1,'Input RM sheet'!$A:$BD,R1,0)</f>
        <v>270</v>
      </c>
      <c r="T8" s="74">
        <f>VLOOKUP($H$8&amp;$F$1,'Input RM sheet'!$A:$BD,S1,0)</f>
        <v>300</v>
      </c>
      <c r="U8" s="74">
        <f>VLOOKUP($H$8&amp;$F$1,'Input RM sheet'!$A:$BD,T1,0)</f>
        <v>360</v>
      </c>
      <c r="V8" s="74">
        <f>VLOOKUP($H$8&amp;$F$1,'Input RM sheet'!$A:$BD,U1,0)</f>
        <v>365</v>
      </c>
      <c r="W8" s="74">
        <f>VLOOKUP($H$8&amp;$F$1,'Input RM sheet'!$A:$BD,V1,0)</f>
        <v>355</v>
      </c>
      <c r="X8" s="74">
        <f>VLOOKUP($H$8&amp;$F$1,'Input RM sheet'!$A:$BD,W1,0)</f>
        <v>340</v>
      </c>
      <c r="Y8" s="74">
        <f>VLOOKUP($H$8&amp;$F$1,'Input RM sheet'!$A:$BD,X1,0)</f>
        <v>347.5</v>
      </c>
      <c r="Z8" s="74">
        <f>VLOOKUP($H$8&amp;$F$1,'Input RM sheet'!$A:$BD,Y1,0)</f>
        <v>357.5</v>
      </c>
      <c r="AA8" s="74">
        <f>VLOOKUP($H$8&amp;$F$1,'Input RM sheet'!$A:$BD,Z1,0)</f>
        <v>360</v>
      </c>
      <c r="AB8" s="74">
        <f>VLOOKUP($H$8&amp;$F$1,'Input RM sheet'!$A:$BD,AA1,0)</f>
        <v>370</v>
      </c>
      <c r="AC8" s="74">
        <f>VLOOKUP($H$8&amp;$F$1,'Input RM sheet'!$A:$BD,AB1,0)</f>
        <v>390</v>
      </c>
      <c r="AD8" s="74">
        <f>VLOOKUP($H$8&amp;$F$1,'Input RM sheet'!$A:$BD,AC1,0)</f>
        <v>467.5</v>
      </c>
      <c r="AE8" s="74">
        <f>VLOOKUP($H$8&amp;$F$1,'Input RM sheet'!$A:$BD,AD1,0)</f>
        <v>392.5</v>
      </c>
      <c r="AF8" s="74">
        <f>VLOOKUP($H$8&amp;$F$1,'Input RM sheet'!$A:$BD,AE1,0)</f>
        <v>340</v>
      </c>
      <c r="AG8" s="74">
        <f>VLOOKUP($H$8&amp;$F$1,'Input RM sheet'!$A:$BD,AF1,0)</f>
        <v>310</v>
      </c>
      <c r="AH8" s="74">
        <f>VLOOKUP($H$8&amp;$F$1,'Input RM sheet'!$A:$BD,AG1,0)</f>
        <v>390</v>
      </c>
      <c r="AI8" s="74">
        <f>VLOOKUP($H$8&amp;$F$1,'Input RM sheet'!$A:$BD,AH1,0)</f>
        <v>430</v>
      </c>
      <c r="AJ8" s="74">
        <f>VLOOKUP($H$8&amp;$F$1,'Input RM sheet'!$A:$BD,AI1,0)</f>
        <v>390</v>
      </c>
      <c r="AK8" s="74">
        <f>VLOOKUP($H$8&amp;$F$1,'Input RM sheet'!$A:$BD,AJ1,0)</f>
        <v>350</v>
      </c>
      <c r="AL8" s="74">
        <f>VLOOKUP($H$8&amp;$F$1,'Input RM sheet'!$A:$BD,AK1,0)</f>
        <v>340</v>
      </c>
      <c r="AM8" s="74">
        <f>VLOOKUP($H$8&amp;$F$1,'Input RM sheet'!$A:$BD,AL1,0)</f>
        <v>315</v>
      </c>
      <c r="AN8" s="74">
        <f>VLOOKUP($H$8&amp;$F$1,'Input RM sheet'!$A:$BD,AM1,0)</f>
        <v>315</v>
      </c>
      <c r="AO8" s="74">
        <f>VLOOKUP($H$8&amp;$F$1,'Input RM sheet'!$A:$BD,AN1,0)</f>
        <v>315</v>
      </c>
      <c r="AP8" s="74">
        <f>VLOOKUP($H$8&amp;$F$1,'Input RM sheet'!$A:$BD,AO1,0)</f>
        <v>325</v>
      </c>
      <c r="AQ8" s="74">
        <f>VLOOKUP($H$8&amp;$F$1,'Input RM sheet'!$A:$BD,AP1,0)</f>
        <v>325</v>
      </c>
      <c r="AR8" s="74">
        <f>VLOOKUP($H$8&amp;$F$1,'Input RM sheet'!$A:$BD,AQ1,0)</f>
        <v>315</v>
      </c>
      <c r="AS8" s="74">
        <f>VLOOKUP($H$8&amp;$F$1,'Input RM sheet'!$A:$BD,AR1,0)</f>
        <v>325</v>
      </c>
      <c r="AT8" s="74">
        <f>VLOOKUP($H$8&amp;$F$1,'Input RM sheet'!$A:$BD,AS1,0)</f>
        <v>347.5</v>
      </c>
      <c r="AU8" s="74">
        <f>VLOOKUP($H$8&amp;$F$1,'Input RM sheet'!$A:$BD,AT1,0)</f>
        <v>362.5</v>
      </c>
      <c r="AV8" s="74">
        <f>VLOOKUP($H$8&amp;$F$1,'Input RM sheet'!$A:$BD,AU1,0)</f>
        <v>335</v>
      </c>
      <c r="AW8" s="74">
        <f>VLOOKUP($H$8&amp;$F$1,'Input RM sheet'!$A:$BD,AV1,0)</f>
        <v>310</v>
      </c>
      <c r="AX8" s="74">
        <f>VLOOKUP($H$8&amp;$F$1,'Input RM sheet'!$A:$BD,AW1,0)</f>
        <v>300</v>
      </c>
      <c r="AY8" s="74">
        <f>VLOOKUP($H$8&amp;$F$1,'Input RM sheet'!$A:$BD,AX1,0)</f>
        <v>300</v>
      </c>
      <c r="AZ8" s="74">
        <f>VLOOKUP($H$8&amp;$F$1,'Input RM sheet'!$A:$BD,AY1,0)</f>
        <v>290</v>
      </c>
      <c r="BA8" s="74">
        <f>VLOOKUP($H$8&amp;$F$1,'Input RM sheet'!$A:$BD,AZ1,0)</f>
        <v>290</v>
      </c>
      <c r="BB8" s="74">
        <f>VLOOKUP($H$8&amp;$F$1,'Input RM sheet'!$A:$BD,BA1,0)</f>
        <v>290</v>
      </c>
      <c r="BC8" s="74">
        <f>VLOOKUP($H$8&amp;$F$1,'Input RM sheet'!$A:$BD,BB1,0)</f>
        <v>290</v>
      </c>
      <c r="BD8" s="74">
        <f>VLOOKUP($H$8&amp;$F$1,'Input RM sheet'!$A:$BD,BC1,0)</f>
        <v>310</v>
      </c>
      <c r="BE8" s="74">
        <f>VLOOKUP($H$8&amp;$F$1,'Input RM sheet'!$A:$BD,BD1,0)</f>
        <v>310</v>
      </c>
      <c r="BF8" s="74">
        <f>VLOOKUP($H$8&amp;$F$1,'Input RM sheet'!$A:$BD,BE1,0)</f>
        <v>310</v>
      </c>
      <c r="BG8" s="74">
        <f>VLOOKUP($H$8&amp;$F$1,'Input RM sheet'!$A:$DD,BF1,0)</f>
        <v>310</v>
      </c>
      <c r="BH8" s="74">
        <f>VLOOKUP($H$8&amp;$F$1,'Input RM sheet'!$A:$DD,BG1,0)</f>
        <v>310</v>
      </c>
      <c r="BI8" s="74">
        <f>VLOOKUP($H$8&amp;$F$1,'Input RM sheet'!$A:$DD,BH1,0)</f>
        <v>330</v>
      </c>
      <c r="BJ8" s="74">
        <f>VLOOKUP($H$8&amp;$F$1,'Input RM sheet'!$A:$DD,BI1,0)</f>
        <v>330</v>
      </c>
      <c r="BK8" s="74">
        <f>VLOOKUP($H$8&amp;$F$1,'Input RM sheet'!$A:$DD,BJ1,0)</f>
        <v>330</v>
      </c>
      <c r="BL8" s="74">
        <f>VLOOKUP($H$8&amp;$F$1,'Input RM sheet'!$A:$DD,BK1,0)</f>
        <v>330</v>
      </c>
      <c r="BM8" s="74">
        <f>VLOOKUP($H$8&amp;$F$1,'Input RM sheet'!$A:$DD,BL1,0)</f>
        <v>330</v>
      </c>
      <c r="BN8" s="74">
        <f>VLOOKUP($H$8&amp;$F$1,'Input RM sheet'!$A:$DD,BM1,0)</f>
        <v>330</v>
      </c>
      <c r="BO8" s="74">
        <f>VLOOKUP($H$8&amp;$F$1,'Input RM sheet'!$A:$DD,BN1,0)</f>
        <v>330</v>
      </c>
      <c r="BP8" s="74">
        <f>VLOOKUP($H$8&amp;$F$1,'Input RM sheet'!$A:$DD,BO1,0)</f>
        <v>315</v>
      </c>
      <c r="BQ8" s="74">
        <f>VLOOKUP($H$8&amp;$F$1,'Input RM sheet'!$A:$DD,BP1,0)</f>
        <v>315</v>
      </c>
      <c r="BR8" s="74">
        <f>VLOOKUP($H$8&amp;$F$1,'Input RM sheet'!$A:$DD,BQ1,0)</f>
        <v>315</v>
      </c>
      <c r="BS8" s="74">
        <f>VLOOKUP($H$8&amp;$F$1,'Input RM sheet'!$A:$DD,BR1,0)</f>
        <v>315</v>
      </c>
      <c r="BT8" s="74">
        <f>VLOOKUP($H$8&amp;$F$1,'Input RM sheet'!$A:$DD,BS1,0)</f>
        <v>335</v>
      </c>
      <c r="BU8" s="74">
        <f>VLOOKUP($H$8&amp;$F$1,'Input RM sheet'!$A:$DD,BT1,0)</f>
        <v>335</v>
      </c>
      <c r="BV8" s="74">
        <f>VLOOKUP($H$8&amp;$F$1,'Input RM sheet'!$A:$DD,BU1,0)</f>
        <v>335</v>
      </c>
      <c r="BW8" s="74">
        <f>VLOOKUP($H$8&amp;$F$1,'Input RM sheet'!$A:$DD,BV1,0)</f>
        <v>337.5</v>
      </c>
      <c r="BX8" s="74">
        <f>VLOOKUP($H$8&amp;$F$1,'Input RM sheet'!$A:$DD,BW1,0)</f>
        <v>337.5</v>
      </c>
      <c r="BY8" s="74">
        <f>VLOOKUP($H$8&amp;$F$1,'Input RM sheet'!$A:$DD,BX1,0)</f>
        <v>337.5</v>
      </c>
      <c r="BZ8" s="74">
        <f>VLOOKUP($H$8&amp;$F$1,'Input RM sheet'!$A:$DD,BY1,0)</f>
        <v>347.5</v>
      </c>
      <c r="CA8" s="74">
        <f>VLOOKUP($H$8&amp;$F$1,'Input RM sheet'!$A:$DD,BZ1,0)</f>
        <v>347.5</v>
      </c>
      <c r="CB8" s="74">
        <f>VLOOKUP($H$8&amp;$F$1,'Input RM sheet'!$A:$DD,CA1,0)</f>
        <v>347.5</v>
      </c>
      <c r="CC8" s="74">
        <f>VLOOKUP($H$8&amp;$F$1,'Input RM sheet'!$A:$DD,CB1,0)</f>
        <v>347.5</v>
      </c>
      <c r="CD8" s="74">
        <f>VLOOKUP($H$8&amp;$F$1,'Input RM sheet'!$A:$DD,CC1,0)</f>
        <v>347.5</v>
      </c>
      <c r="CE8" s="74">
        <f>VLOOKUP($H$8&amp;$F$1,'Input RM sheet'!$A:$DD,CD1,0)</f>
        <v>347.5</v>
      </c>
      <c r="CF8" s="74">
        <f>VLOOKUP($H$8&amp;$F$1,'Input RM sheet'!$A:$DD,CE1,0)</f>
        <v>347.5</v>
      </c>
      <c r="CG8" s="74">
        <f>VLOOKUP($H$8&amp;$F$1,'Input RM sheet'!$A:$DD,CF1,0)</f>
        <v>355</v>
      </c>
      <c r="CH8" s="74">
        <f>VLOOKUP($H$8&amp;$F$1,'Input RM sheet'!$A:$DD,CG1,0)</f>
        <v>355</v>
      </c>
      <c r="CI8" s="74">
        <f>VLOOKUP($H$8&amp;$F$1,'Input RM sheet'!$A:$DD,CH1,0)</f>
        <v>345</v>
      </c>
      <c r="CJ8" s="74">
        <f>VLOOKUP($H$8&amp;$F$1,'Input RM sheet'!$A:$DD,CI1,0)</f>
        <v>345</v>
      </c>
      <c r="CK8" s="74">
        <f>VLOOKUP($H$8&amp;$F$1,'Input RM sheet'!$A:$DD,CJ1,0)</f>
        <v>345</v>
      </c>
      <c r="CL8" s="74">
        <f>VLOOKUP($H$8&amp;$F$1,'Input RM sheet'!$A:$DD,CK1,0)</f>
        <v>345</v>
      </c>
      <c r="CM8" s="74">
        <f>VLOOKUP($H$8&amp;$F$1,'Input RM sheet'!$A:$DD,CL1,0)</f>
        <v>342.5</v>
      </c>
      <c r="CN8" s="74">
        <f>VLOOKUP($H$8&amp;$F$1,'Input RM sheet'!$A:$DD,CM1,0)</f>
        <v>342.5</v>
      </c>
      <c r="CO8" s="74">
        <f>VLOOKUP($H$8&amp;$F$1,'Input RM sheet'!$A:$DD,CN1,0)</f>
        <v>342.5</v>
      </c>
      <c r="CP8" s="74">
        <f>VLOOKUP($H$8&amp;$F$1,'Input RM sheet'!$A:$DD,CO1,0)</f>
        <v>342.5</v>
      </c>
      <c r="CQ8" s="74">
        <f>VLOOKUP($H$8&amp;$F$1,'Input RM sheet'!$A:$DD,CP1,0)</f>
        <v>342.5</v>
      </c>
      <c r="CR8" s="74">
        <f>VLOOKUP($H$8&amp;$F$1,'Input RM sheet'!$A:$ZZ,CQ1,0)</f>
        <v>342.5</v>
      </c>
      <c r="CS8" s="74">
        <f>VLOOKUP($H$8&amp;$F$1,'Input RM sheet'!$A:$ZZ,CR1,0)</f>
        <v>340</v>
      </c>
      <c r="CT8" s="74">
        <f>VLOOKUP($H$8&amp;$F$1,'Input RM sheet'!$A:$ZZ,CS1,0)</f>
        <v>340</v>
      </c>
      <c r="CU8" s="74">
        <f>VLOOKUP($H$8&amp;$F$1,'Input RM sheet'!$A:$ZZ,CT1,0)</f>
        <v>340</v>
      </c>
      <c r="CV8" s="74">
        <f>VLOOKUP($H$8&amp;$F$1,'Input RM sheet'!$A:$ZZ,CU1,0)</f>
        <v>340</v>
      </c>
      <c r="CW8" s="74">
        <f>VLOOKUP($H$8&amp;$F$1,'Input RM sheet'!$A:$ZZ,CV1,0)</f>
        <v>335</v>
      </c>
      <c r="CX8" s="74">
        <f>VLOOKUP($H$8&amp;$F$1,'Input RM sheet'!$A:$ZZ,CW1,0)</f>
        <v>335</v>
      </c>
      <c r="CY8" s="74">
        <f>VLOOKUP($H$8&amp;$F$1,'Input RM sheet'!$A:$ZZ,CX1,0)</f>
        <v>335</v>
      </c>
      <c r="CZ8" s="74">
        <f>VLOOKUP($H$8&amp;$F$1,'Input RM sheet'!$A:$ZZ,CY1,0)</f>
        <v>335</v>
      </c>
      <c r="DA8" s="74">
        <f>VLOOKUP($H$8&amp;$F$1,'Input RM sheet'!$A:$ZZ,CZ1,0)</f>
        <v>335</v>
      </c>
      <c r="DB8" s="74">
        <f>VLOOKUP($H$8&amp;$F$1,'Input RM sheet'!$A:$ZZ,DA1,0)</f>
        <v>335</v>
      </c>
      <c r="DC8" s="74">
        <f>VLOOKUP($H$8&amp;$F$1,'Input RM sheet'!$A:$ZZ,DB1,0)</f>
        <v>335</v>
      </c>
      <c r="DD8" s="74">
        <f>VLOOKUP($H$8&amp;$F$1,'Input RM sheet'!$A:$ZZ,DC1,0)</f>
        <v>335</v>
      </c>
      <c r="DE8" s="74">
        <f>VLOOKUP($H$8&amp;$F$1,'Input RM sheet'!$A:$ZZ,DD1,0)</f>
        <v>335</v>
      </c>
      <c r="DF8" s="74">
        <f>VLOOKUP($H$8&amp;$F$1,'Input RM sheet'!$A:$ZZ,DE1,0)</f>
        <v>335</v>
      </c>
      <c r="DG8" s="74">
        <f>VLOOKUP($H$8&amp;$F$1,'Input RM sheet'!$A:$ZZ,DF1,0)</f>
        <v>335</v>
      </c>
      <c r="DH8" s="74">
        <f>VLOOKUP($H$8&amp;$F$1,'Input RM sheet'!$A:$ZZ,DG1,0)</f>
        <v>335</v>
      </c>
      <c r="DI8" s="74">
        <f>VLOOKUP($H$8&amp;$F$1,'Input RM sheet'!$A:$ZZ,DH1,0)</f>
        <v>335</v>
      </c>
      <c r="DJ8" s="74">
        <f>VLOOKUP($H$8&amp;$F$1,'Input RM sheet'!$A:$ZZ,DI1,0)</f>
        <v>345</v>
      </c>
      <c r="DK8" s="74">
        <f>VLOOKUP($H$8&amp;$F$1,'Input RM sheet'!$A:$ZZ,DJ1,0)</f>
        <v>345</v>
      </c>
      <c r="DL8" s="74">
        <f>VLOOKUP($H$8&amp;$F$1,'Input RM sheet'!$A:$ZZ,DK1,0)</f>
        <v>345</v>
      </c>
      <c r="DM8" s="74">
        <f>VLOOKUP($H$8&amp;$F$1,'Input RM sheet'!$A:$ZZ,DL1,0)</f>
        <v>345</v>
      </c>
      <c r="DN8" s="74">
        <f>VLOOKUP($H$8&amp;$F$1,'Input RM sheet'!$A:$ZZ,DM1,0)</f>
        <v>330</v>
      </c>
      <c r="DO8" s="74">
        <f>VLOOKUP($H$8&amp;$F$1,'Input RM sheet'!$A:$ZZ,DN1,0)</f>
        <v>330</v>
      </c>
      <c r="DP8" s="74">
        <f>VLOOKUP($H$8&amp;$F$1,'Input RM sheet'!$A:$ZZ,DO1,0)</f>
        <v>330</v>
      </c>
      <c r="DQ8" s="74">
        <f>VLOOKUP($H$8&amp;$F$1,'Input RM sheet'!$A:$ZZ,DP1,0)</f>
        <v>330</v>
      </c>
      <c r="DR8" s="74">
        <f>VLOOKUP($H$8&amp;$F$1,'Input RM sheet'!$A:$ZZ,DQ1,0)</f>
        <v>330</v>
      </c>
      <c r="DS8" s="74">
        <f>VLOOKUP($H$8&amp;$F$1,'Input RM sheet'!$A:$ZZ,DR1,0)</f>
        <v>347.5</v>
      </c>
      <c r="DT8" s="74">
        <f>VLOOKUP($H$8&amp;$F$1,'Input RM sheet'!$A:$ZZ,DS1,0)</f>
        <v>0</v>
      </c>
      <c r="DU8" s="74">
        <f>VLOOKUP($H$8&amp;$F$1,'Input RM sheet'!$A:$ZZ,DT1,0)</f>
        <v>0</v>
      </c>
      <c r="DV8" s="74">
        <f>VLOOKUP($H$8&amp;$F$1,'Input RM sheet'!$A:$ZZ,DU1,0)</f>
        <v>0</v>
      </c>
      <c r="DW8" s="74">
        <f>VLOOKUP($H$8&amp;$F$1,'Input RM sheet'!$A:$ZZ,DV1,0)</f>
        <v>0</v>
      </c>
      <c r="DX8" s="74">
        <f>VLOOKUP($H$8&amp;$F$1,'Input RM sheet'!$A:$ZZ,DW1,0)</f>
        <v>0</v>
      </c>
      <c r="DY8" s="74">
        <f>VLOOKUP($H$8&amp;$F$1,'Input RM sheet'!$A:$ZZ,DX1,0)</f>
        <v>0</v>
      </c>
      <c r="DZ8" s="74">
        <f>VLOOKUP($H$8&amp;$F$1,'Input RM sheet'!$A:$ZZ,DY1,0)</f>
        <v>0</v>
      </c>
      <c r="EA8" s="74">
        <f>VLOOKUP($H$8&amp;$F$1,'Input RM sheet'!$A:$ZZ,DZ1,0)</f>
        <v>0</v>
      </c>
      <c r="EB8" s="74">
        <f>VLOOKUP($H$8&amp;$F$1,'Input RM sheet'!$A:$ZZ,EA1,0)</f>
        <v>0</v>
      </c>
      <c r="EC8" s="74">
        <f>VLOOKUP($H$8&amp;$F$1,'Input RM sheet'!$A:$ZZ,EB1,0)</f>
        <v>0</v>
      </c>
      <c r="ED8" s="74">
        <f>VLOOKUP($H$8&amp;$F$1,'Input RM sheet'!$A:$ZZ,EC1,0)</f>
        <v>0</v>
      </c>
      <c r="EE8" s="74">
        <f>VLOOKUP($H$8&amp;$F$1,'Input RM sheet'!$A:$ZZ,ED1,0)</f>
        <v>0</v>
      </c>
      <c r="EF8" s="74">
        <f>VLOOKUP($H$8&amp;$F$1,'Input RM sheet'!$A:$ZZ,EE1,0)</f>
        <v>0</v>
      </c>
      <c r="EG8" s="74">
        <f>VLOOKUP($H$8&amp;$F$1,'Input RM sheet'!$A:$ZZ,EF1,0)</f>
        <v>0</v>
      </c>
      <c r="EH8" s="74">
        <f>VLOOKUP($H$8&amp;$F$1,'Input RM sheet'!$A:$ZZ,EG1,0)</f>
        <v>0</v>
      </c>
      <c r="EI8" s="74">
        <f>VLOOKUP($H$8&amp;$F$1,'Input RM sheet'!$A:$ZZ,EH1,0)</f>
        <v>0</v>
      </c>
      <c r="EJ8" s="74">
        <f>VLOOKUP($H$8&amp;$F$1,'Input RM sheet'!$A:$ZZ,EI1,0)</f>
        <v>0</v>
      </c>
    </row>
    <row r="9" spans="1:166" ht="26">
      <c r="A9" s="59" t="s">
        <v>395</v>
      </c>
      <c r="B9" s="59"/>
      <c r="C9" s="59" t="s">
        <v>379</v>
      </c>
      <c r="D9" s="98" t="s">
        <v>380</v>
      </c>
      <c r="E9" s="98" t="s">
        <v>381</v>
      </c>
      <c r="F9" s="59" t="s">
        <v>396</v>
      </c>
      <c r="H9" s="60" t="s">
        <v>399</v>
      </c>
      <c r="I9" s="84"/>
      <c r="J9" s="84"/>
      <c r="K9" s="84"/>
      <c r="L9" s="84"/>
      <c r="M9" s="84"/>
      <c r="N9" s="84"/>
      <c r="O9" s="84"/>
      <c r="P9" s="84"/>
      <c r="Q9" s="84"/>
      <c r="R9" s="84"/>
      <c r="S9" s="84"/>
      <c r="T9" s="84"/>
      <c r="U9" s="84"/>
      <c r="V9" s="84"/>
      <c r="W9" s="84"/>
      <c r="X9" s="84"/>
      <c r="Y9" s="84"/>
      <c r="Z9" s="84"/>
      <c r="AA9" s="84"/>
      <c r="AB9" s="84"/>
      <c r="AC9" s="84"/>
      <c r="AD9" s="84"/>
      <c r="AE9" s="84"/>
      <c r="AF9" s="84"/>
      <c r="AG9" s="84"/>
      <c r="AH9" s="84"/>
      <c r="AI9" s="84"/>
      <c r="AJ9" s="84"/>
      <c r="AK9" s="84"/>
      <c r="AL9" s="84"/>
      <c r="AM9" s="84"/>
      <c r="AN9" s="84"/>
      <c r="AO9" s="84"/>
      <c r="AP9" s="84"/>
      <c r="AQ9" s="84"/>
      <c r="AR9" s="84"/>
      <c r="AS9" s="84"/>
      <c r="AT9" s="84"/>
      <c r="AU9" s="84"/>
    </row>
    <row r="10" spans="1:166" ht="13">
      <c r="A10" s="107" t="s">
        <v>397</v>
      </c>
      <c r="B10" s="44" t="s">
        <v>756</v>
      </c>
      <c r="C10" s="60">
        <v>1</v>
      </c>
      <c r="D10" s="44">
        <v>93.13</v>
      </c>
      <c r="E10" s="60">
        <f>D10*C10</f>
        <v>93.13</v>
      </c>
      <c r="F10" s="65">
        <f>E10/E2</f>
        <v>0.86913024448196086</v>
      </c>
      <c r="G10" s="60">
        <v>0.95</v>
      </c>
      <c r="I10" s="74">
        <f>$G$10*I7</f>
        <v>0.78778118844861467</v>
      </c>
      <c r="J10" s="74">
        <f t="shared" ref="J10:BU10" si="0">$G$10*J7</f>
        <v>0.78156177432622098</v>
      </c>
      <c r="K10" s="74">
        <f t="shared" si="0"/>
        <v>0.791348050317216</v>
      </c>
      <c r="L10" s="74">
        <f t="shared" si="0"/>
        <v>0.67061048939850021</v>
      </c>
      <c r="M10" s="74">
        <f t="shared" si="0"/>
        <v>0.56540355182543511</v>
      </c>
      <c r="N10" s="74">
        <f t="shared" si="0"/>
        <v>0.52751197235977143</v>
      </c>
      <c r="O10" s="74">
        <f t="shared" si="0"/>
        <v>0.52630666472468335</v>
      </c>
      <c r="P10" s="74">
        <f t="shared" si="0"/>
        <v>0.52786698320594738</v>
      </c>
      <c r="Q10" s="74">
        <f t="shared" si="0"/>
        <v>0.53647067271128401</v>
      </c>
      <c r="R10" s="74">
        <f t="shared" si="0"/>
        <v>0.6657630272370465</v>
      </c>
      <c r="S10" s="74">
        <f t="shared" si="0"/>
        <v>0.89451945930116883</v>
      </c>
      <c r="T10" s="74">
        <f t="shared" si="0"/>
        <v>0.99801336809682095</v>
      </c>
      <c r="U10" s="74">
        <f t="shared" si="0"/>
        <v>1.0332767429024352</v>
      </c>
      <c r="V10" s="74">
        <f t="shared" si="0"/>
        <v>1.2637469773590129</v>
      </c>
      <c r="W10" s="74">
        <f t="shared" si="0"/>
        <v>1.6567563939356373</v>
      </c>
      <c r="X10" s="74">
        <f t="shared" si="0"/>
        <v>1.430119117354552</v>
      </c>
      <c r="Y10" s="74">
        <f t="shared" si="0"/>
        <v>1.4445131354107335</v>
      </c>
      <c r="Z10" s="74">
        <f t="shared" si="0"/>
        <v>1.249891045681873</v>
      </c>
      <c r="AA10" s="74">
        <f t="shared" si="0"/>
        <v>1.3130938772961065</v>
      </c>
      <c r="AB10" s="74">
        <f t="shared" si="0"/>
        <v>1.391702397792179</v>
      </c>
      <c r="AC10" s="74">
        <f t="shared" si="0"/>
        <v>1.4256537506633804</v>
      </c>
      <c r="AD10" s="74">
        <f t="shared" si="0"/>
        <v>1.7372461405965889</v>
      </c>
      <c r="AE10" s="74">
        <f t="shared" si="0"/>
        <v>1.7434224842974342</v>
      </c>
      <c r="AF10" s="74">
        <f t="shared" si="0"/>
        <v>1.2640842682933113</v>
      </c>
      <c r="AG10" s="74">
        <f t="shared" si="0"/>
        <v>1.4674391653786278</v>
      </c>
      <c r="AH10" s="74">
        <f t="shared" si="0"/>
        <v>1.7460949975657512</v>
      </c>
      <c r="AI10" s="74">
        <f t="shared" si="0"/>
        <v>1.6831397783423132</v>
      </c>
      <c r="AJ10" s="74">
        <f t="shared" si="0"/>
        <v>1.5104374160122289</v>
      </c>
      <c r="AK10" s="74">
        <f t="shared" si="0"/>
        <v>1.3650163939644748</v>
      </c>
      <c r="AL10" s="74">
        <f t="shared" si="0"/>
        <v>1.4819339862347261</v>
      </c>
      <c r="AM10" s="74">
        <f t="shared" si="0"/>
        <v>1.4519982164943828</v>
      </c>
      <c r="AN10" s="74">
        <f t="shared" si="0"/>
        <v>1.2602566710744922</v>
      </c>
      <c r="AO10" s="74">
        <f t="shared" si="0"/>
        <v>1.4411461194002928</v>
      </c>
      <c r="AP10" s="74">
        <f t="shared" si="0"/>
        <v>1.5103151916293114</v>
      </c>
      <c r="AQ10" s="74">
        <f t="shared" si="0"/>
        <v>1.375540042253238</v>
      </c>
      <c r="AR10" s="74">
        <f t="shared" si="0"/>
        <v>1.2426807543807696</v>
      </c>
      <c r="AS10" s="74">
        <f t="shared" si="0"/>
        <v>1.2263306401796141</v>
      </c>
      <c r="AT10" s="74">
        <f t="shared" si="0"/>
        <v>1.4793084443623035</v>
      </c>
      <c r="AU10" s="74">
        <f t="shared" si="0"/>
        <v>1.5778056836952608</v>
      </c>
      <c r="AV10" s="74">
        <f t="shared" si="0"/>
        <v>1.3147501188075577</v>
      </c>
      <c r="AW10" s="74">
        <f t="shared" si="0"/>
        <v>1.3483616359722554</v>
      </c>
      <c r="AX10" s="74">
        <f t="shared" si="0"/>
        <v>1.2849644282491759</v>
      </c>
      <c r="AY10" s="74">
        <f t="shared" si="0"/>
        <v>1.0987183399450717</v>
      </c>
      <c r="AZ10" s="74">
        <f t="shared" si="0"/>
        <v>1.0987183399450717</v>
      </c>
      <c r="BA10" s="74">
        <f t="shared" si="0"/>
        <v>1.145814896755162</v>
      </c>
      <c r="BB10" s="74">
        <f t="shared" si="0"/>
        <v>1.1597066650163996</v>
      </c>
      <c r="BC10" s="74">
        <f t="shared" si="0"/>
        <v>1.2471082877391402</v>
      </c>
      <c r="BD10" s="74">
        <f t="shared" si="0"/>
        <v>1.2884687952672518</v>
      </c>
      <c r="BE10" s="74">
        <f t="shared" si="0"/>
        <v>1.3022324192432353</v>
      </c>
      <c r="BF10" s="74">
        <f t="shared" si="0"/>
        <v>1.2878169877514358</v>
      </c>
      <c r="BG10" s="74">
        <f t="shared" si="0"/>
        <v>1.3829703521663865</v>
      </c>
      <c r="BH10" s="74">
        <f t="shared" si="0"/>
        <v>1.5309188244291492</v>
      </c>
      <c r="BI10" s="74">
        <f t="shared" si="0"/>
        <v>1.5288216753545887</v>
      </c>
      <c r="BJ10" s="74">
        <f t="shared" si="0"/>
        <v>1.5806461389259305</v>
      </c>
      <c r="BK10" s="74">
        <f t="shared" si="0"/>
        <v>1.5806461389259305</v>
      </c>
      <c r="BL10" s="74">
        <f>$G$10*BL7</f>
        <v>1.6025995575221241</v>
      </c>
      <c r="BM10" s="74">
        <f t="shared" si="0"/>
        <v>1.3254663874193433</v>
      </c>
      <c r="BN10" s="74">
        <f t="shared" si="0"/>
        <v>1.3236556409884424</v>
      </c>
      <c r="BO10" s="74">
        <f>$G$10*BO7</f>
        <v>1.3703424182298451</v>
      </c>
      <c r="BP10" s="74">
        <f t="shared" si="0"/>
        <v>1.4764499378336868</v>
      </c>
      <c r="BQ10" s="74">
        <f t="shared" si="0"/>
        <v>1.4764499378336868</v>
      </c>
      <c r="BR10" s="74">
        <f t="shared" si="0"/>
        <v>1.5097220491088124</v>
      </c>
      <c r="BS10" s="74">
        <f t="shared" si="0"/>
        <v>1.3069829701792224</v>
      </c>
      <c r="BT10" s="74">
        <f t="shared" si="0"/>
        <v>1.2569117665414333</v>
      </c>
      <c r="BU10" s="74">
        <f t="shared" si="0"/>
        <v>1.230138003589331</v>
      </c>
      <c r="BV10" s="74">
        <f>$G$10*BV7</f>
        <v>1.2969313628817853</v>
      </c>
      <c r="BW10" s="74">
        <f>$G$10*BW7</f>
        <v>1.303985416926337</v>
      </c>
      <c r="BX10" s="74">
        <f>$G$10*BX7</f>
        <v>1.2240589555029291</v>
      </c>
      <c r="BY10" s="74">
        <f>$G$10*BY7</f>
        <v>1.2235725116834044</v>
      </c>
      <c r="BZ10" s="74">
        <f>$G$10*BZ7</f>
        <v>1.2326836189836079</v>
      </c>
      <c r="CA10" s="74">
        <f t="shared" ref="CA10:CH10" si="1">$G$10*CA7</f>
        <v>1.2991953250438744</v>
      </c>
      <c r="CB10" s="74">
        <f t="shared" si="1"/>
        <v>1.2847397442367103</v>
      </c>
      <c r="CC10" s="74">
        <f t="shared" si="1"/>
        <v>1.2836018192126608</v>
      </c>
      <c r="CD10" s="74">
        <f t="shared" si="1"/>
        <v>1.2829553834808261</v>
      </c>
      <c r="CE10" s="74">
        <f t="shared" si="1"/>
        <v>1.2303527531956735</v>
      </c>
      <c r="CF10" s="74">
        <f t="shared" si="1"/>
        <v>1.2279254073508026</v>
      </c>
      <c r="CG10" s="74">
        <f t="shared" si="1"/>
        <v>1.3317419655333025</v>
      </c>
      <c r="CH10" s="74">
        <f t="shared" si="1"/>
        <v>1.35524914625638</v>
      </c>
      <c r="CI10" s="74">
        <f>$G$10*CI7</f>
        <v>1.4584480838198752</v>
      </c>
      <c r="CJ10" s="74">
        <f>$G$10*CJ7</f>
        <v>1.4564336527648754</v>
      </c>
      <c r="CK10" s="74">
        <f>$G$10*CK7</f>
        <v>1.4564336527648754</v>
      </c>
      <c r="CL10" s="74">
        <f>$G$10*CL7</f>
        <v>1.4274036816114994</v>
      </c>
      <c r="CM10" s="74">
        <f t="shared" ref="CM10:CR10" si="2">$G$10*CM7</f>
        <v>1.3575509678052853</v>
      </c>
      <c r="CN10" s="74">
        <f t="shared" si="2"/>
        <v>1.3101323149610156</v>
      </c>
      <c r="CO10" s="74">
        <f t="shared" si="2"/>
        <v>1.3101323149610156</v>
      </c>
      <c r="CP10" s="74">
        <f t="shared" si="2"/>
        <v>1.3101323149610156</v>
      </c>
      <c r="CQ10" s="74">
        <f t="shared" si="2"/>
        <v>1.3101323149610156</v>
      </c>
      <c r="CR10" s="74">
        <f t="shared" si="2"/>
        <v>1.4070246418618295</v>
      </c>
      <c r="CS10" s="74">
        <f t="shared" ref="CS10:DC10" si="3">$G$10*CS7</f>
        <v>1.4128306360925047</v>
      </c>
      <c r="CT10" s="74">
        <f t="shared" si="3"/>
        <v>1.408938540676272</v>
      </c>
      <c r="CU10" s="74">
        <f t="shared" si="3"/>
        <v>1.3144879551070592</v>
      </c>
      <c r="CV10" s="74">
        <f t="shared" si="3"/>
        <v>1.2769047242273375</v>
      </c>
      <c r="CW10" s="74">
        <f t="shared" si="3"/>
        <v>1.2769047242273375</v>
      </c>
      <c r="CX10" s="74">
        <f t="shared" si="3"/>
        <v>1.2154466109112128</v>
      </c>
      <c r="CY10" s="74">
        <f t="shared" si="3"/>
        <v>1.1424558440127786</v>
      </c>
      <c r="CZ10" s="74">
        <f t="shared" si="3"/>
        <v>1.2370249688352404</v>
      </c>
      <c r="DA10" s="74">
        <f t="shared" si="3"/>
        <v>1.2353020928340768</v>
      </c>
      <c r="DB10" s="74">
        <f t="shared" si="3"/>
        <v>1.1772263135094994</v>
      </c>
      <c r="DC10" s="74">
        <f t="shared" si="3"/>
        <v>1.1972107090847988</v>
      </c>
      <c r="DD10" s="74">
        <f t="shared" ref="DD10:EJ10" si="4">$G$10*DD7</f>
        <v>1.2658050101726226</v>
      </c>
      <c r="DE10" s="74">
        <f t="shared" si="4"/>
        <v>1.2341616568960583</v>
      </c>
      <c r="DF10" s="74">
        <f t="shared" si="4"/>
        <v>1.1803254029933068</v>
      </c>
      <c r="DG10" s="74">
        <f t="shared" si="4"/>
        <v>1.1870509038650632</v>
      </c>
      <c r="DH10" s="74">
        <f t="shared" si="4"/>
        <v>1.2050147492625369</v>
      </c>
      <c r="DI10" s="74">
        <f t="shared" si="4"/>
        <v>1.2652004530575161</v>
      </c>
      <c r="DJ10" s="74">
        <f t="shared" si="4"/>
        <v>1.1539984361230746</v>
      </c>
      <c r="DK10" s="74">
        <f t="shared" si="4"/>
        <v>1.0714905431199031</v>
      </c>
      <c r="DL10" s="74">
        <f t="shared" si="4"/>
        <v>1.0760116002638687</v>
      </c>
      <c r="DM10" s="74">
        <f t="shared" si="4"/>
        <v>1.1046646837782594</v>
      </c>
      <c r="DN10" s="74">
        <f t="shared" si="4"/>
        <v>1.0552394514252188</v>
      </c>
      <c r="DO10" s="74">
        <f t="shared" si="4"/>
        <v>1.0812245544747556</v>
      </c>
      <c r="DP10" s="74">
        <f t="shared" si="4"/>
        <v>1.0797373129967986</v>
      </c>
      <c r="DQ10" s="74">
        <f t="shared" si="4"/>
        <v>1.1014777665518374</v>
      </c>
      <c r="DR10" s="74">
        <f t="shared" si="4"/>
        <v>1.0436772400063126</v>
      </c>
      <c r="DS10" s="74">
        <f t="shared" si="4"/>
        <v>1.0796763244029579</v>
      </c>
      <c r="DT10" s="74" t="e">
        <f t="shared" si="4"/>
        <v>#DIV/0!</v>
      </c>
      <c r="DU10" s="74" t="e">
        <f t="shared" si="4"/>
        <v>#DIV/0!</v>
      </c>
      <c r="DV10" s="74" t="e">
        <f t="shared" si="4"/>
        <v>#DIV/0!</v>
      </c>
      <c r="DW10" s="74" t="e">
        <f t="shared" si="4"/>
        <v>#DIV/0!</v>
      </c>
      <c r="DX10" s="74">
        <f t="shared" si="4"/>
        <v>0</v>
      </c>
      <c r="DY10" s="74">
        <f t="shared" si="4"/>
        <v>0</v>
      </c>
      <c r="DZ10" s="74">
        <f t="shared" si="4"/>
        <v>0</v>
      </c>
      <c r="EA10" s="74">
        <f t="shared" si="4"/>
        <v>0</v>
      </c>
      <c r="EB10" s="74">
        <f t="shared" si="4"/>
        <v>0</v>
      </c>
      <c r="EC10" s="74">
        <f t="shared" si="4"/>
        <v>0</v>
      </c>
      <c r="ED10" s="74">
        <f t="shared" si="4"/>
        <v>0</v>
      </c>
      <c r="EE10" s="74">
        <f t="shared" si="4"/>
        <v>0</v>
      </c>
      <c r="EF10" s="74">
        <f t="shared" si="4"/>
        <v>0</v>
      </c>
      <c r="EG10" s="74">
        <f t="shared" si="4"/>
        <v>0</v>
      </c>
      <c r="EH10" s="74">
        <f t="shared" si="4"/>
        <v>0</v>
      </c>
      <c r="EI10" s="74">
        <f t="shared" si="4"/>
        <v>0</v>
      </c>
      <c r="EJ10" s="74">
        <f t="shared" si="4"/>
        <v>0</v>
      </c>
    </row>
    <row r="11" spans="1:166">
      <c r="A11" s="67"/>
      <c r="B11" s="44" t="s">
        <v>36</v>
      </c>
      <c r="C11" s="60">
        <v>2</v>
      </c>
      <c r="D11" s="60">
        <v>32.04</v>
      </c>
      <c r="E11" s="60">
        <f>D11*C11</f>
        <v>64.08</v>
      </c>
      <c r="F11" s="65">
        <v>0</v>
      </c>
      <c r="I11" s="74">
        <f>$F$11*(I8/1000)</f>
        <v>0</v>
      </c>
      <c r="J11" s="74">
        <f t="shared" ref="J11:BP11" si="5">$F$11*(J8/1000)</f>
        <v>0</v>
      </c>
      <c r="K11" s="74">
        <f t="shared" si="5"/>
        <v>0</v>
      </c>
      <c r="L11" s="74">
        <f t="shared" si="5"/>
        <v>0</v>
      </c>
      <c r="M11" s="74">
        <f t="shared" si="5"/>
        <v>0</v>
      </c>
      <c r="N11" s="74">
        <f t="shared" si="5"/>
        <v>0</v>
      </c>
      <c r="O11" s="74">
        <f t="shared" si="5"/>
        <v>0</v>
      </c>
      <c r="P11" s="74">
        <f t="shared" si="5"/>
        <v>0</v>
      </c>
      <c r="Q11" s="74">
        <f t="shared" si="5"/>
        <v>0</v>
      </c>
      <c r="R11" s="74">
        <f t="shared" si="5"/>
        <v>0</v>
      </c>
      <c r="S11" s="74">
        <f t="shared" si="5"/>
        <v>0</v>
      </c>
      <c r="T11" s="74">
        <f t="shared" si="5"/>
        <v>0</v>
      </c>
      <c r="U11" s="74">
        <f t="shared" si="5"/>
        <v>0</v>
      </c>
      <c r="V11" s="74">
        <f t="shared" si="5"/>
        <v>0</v>
      </c>
      <c r="W11" s="74">
        <f t="shared" si="5"/>
        <v>0</v>
      </c>
      <c r="X11" s="74">
        <f t="shared" si="5"/>
        <v>0</v>
      </c>
      <c r="Y11" s="74">
        <f t="shared" si="5"/>
        <v>0</v>
      </c>
      <c r="Z11" s="74">
        <f t="shared" si="5"/>
        <v>0</v>
      </c>
      <c r="AA11" s="74">
        <f t="shared" si="5"/>
        <v>0</v>
      </c>
      <c r="AB11" s="74">
        <f t="shared" si="5"/>
        <v>0</v>
      </c>
      <c r="AC11" s="74">
        <f t="shared" si="5"/>
        <v>0</v>
      </c>
      <c r="AD11" s="74">
        <f t="shared" si="5"/>
        <v>0</v>
      </c>
      <c r="AE11" s="74">
        <f t="shared" si="5"/>
        <v>0</v>
      </c>
      <c r="AF11" s="74">
        <f t="shared" si="5"/>
        <v>0</v>
      </c>
      <c r="AG11" s="74">
        <f t="shared" si="5"/>
        <v>0</v>
      </c>
      <c r="AH11" s="74">
        <f t="shared" si="5"/>
        <v>0</v>
      </c>
      <c r="AI11" s="74">
        <f t="shared" si="5"/>
        <v>0</v>
      </c>
      <c r="AJ11" s="74">
        <f t="shared" si="5"/>
        <v>0</v>
      </c>
      <c r="AK11" s="74">
        <f t="shared" si="5"/>
        <v>0</v>
      </c>
      <c r="AL11" s="74">
        <f t="shared" si="5"/>
        <v>0</v>
      </c>
      <c r="AM11" s="74">
        <f t="shared" si="5"/>
        <v>0</v>
      </c>
      <c r="AN11" s="74">
        <f t="shared" si="5"/>
        <v>0</v>
      </c>
      <c r="AO11" s="74">
        <f t="shared" si="5"/>
        <v>0</v>
      </c>
      <c r="AP11" s="74">
        <f t="shared" si="5"/>
        <v>0</v>
      </c>
      <c r="AQ11" s="74">
        <f t="shared" si="5"/>
        <v>0</v>
      </c>
      <c r="AR11" s="74">
        <f t="shared" si="5"/>
        <v>0</v>
      </c>
      <c r="AS11" s="74">
        <f t="shared" si="5"/>
        <v>0</v>
      </c>
      <c r="AT11" s="74">
        <f t="shared" si="5"/>
        <v>0</v>
      </c>
      <c r="AU11" s="74">
        <f t="shared" si="5"/>
        <v>0</v>
      </c>
      <c r="AV11" s="74">
        <f t="shared" si="5"/>
        <v>0</v>
      </c>
      <c r="AW11" s="74">
        <f t="shared" si="5"/>
        <v>0</v>
      </c>
      <c r="AX11" s="74">
        <f t="shared" si="5"/>
        <v>0</v>
      </c>
      <c r="AY11" s="74">
        <f t="shared" si="5"/>
        <v>0</v>
      </c>
      <c r="AZ11" s="74">
        <f t="shared" si="5"/>
        <v>0</v>
      </c>
      <c r="BA11" s="74">
        <f t="shared" si="5"/>
        <v>0</v>
      </c>
      <c r="BB11" s="74">
        <f t="shared" si="5"/>
        <v>0</v>
      </c>
      <c r="BC11" s="74">
        <f t="shared" si="5"/>
        <v>0</v>
      </c>
      <c r="BD11" s="74">
        <f t="shared" si="5"/>
        <v>0</v>
      </c>
      <c r="BE11" s="74">
        <f t="shared" si="5"/>
        <v>0</v>
      </c>
      <c r="BF11" s="74">
        <f t="shared" si="5"/>
        <v>0</v>
      </c>
      <c r="BG11" s="74">
        <f t="shared" si="5"/>
        <v>0</v>
      </c>
      <c r="BH11" s="74">
        <f t="shared" si="5"/>
        <v>0</v>
      </c>
      <c r="BI11" s="74">
        <f t="shared" si="5"/>
        <v>0</v>
      </c>
      <c r="BJ11" s="74">
        <f t="shared" si="5"/>
        <v>0</v>
      </c>
      <c r="BK11" s="74">
        <f t="shared" si="5"/>
        <v>0</v>
      </c>
      <c r="BL11" s="74">
        <f t="shared" si="5"/>
        <v>0</v>
      </c>
      <c r="BM11" s="74">
        <f t="shared" si="5"/>
        <v>0</v>
      </c>
      <c r="BN11" s="74">
        <f t="shared" si="5"/>
        <v>0</v>
      </c>
      <c r="BO11" s="74">
        <f t="shared" si="5"/>
        <v>0</v>
      </c>
      <c r="BP11" s="74">
        <f t="shared" si="5"/>
        <v>0</v>
      </c>
      <c r="BQ11" s="74">
        <f t="shared" ref="BQ11:BV11" si="6">$F$11*(BQ8/1000)</f>
        <v>0</v>
      </c>
      <c r="BR11" s="74">
        <f t="shared" si="6"/>
        <v>0</v>
      </c>
      <c r="BS11" s="74">
        <f t="shared" si="6"/>
        <v>0</v>
      </c>
      <c r="BT11" s="74">
        <f t="shared" si="6"/>
        <v>0</v>
      </c>
      <c r="BU11" s="74">
        <f t="shared" si="6"/>
        <v>0</v>
      </c>
      <c r="BV11" s="74">
        <f t="shared" si="6"/>
        <v>0</v>
      </c>
      <c r="BW11" s="74">
        <f>$F$11*(BW8/1000)</f>
        <v>0</v>
      </c>
      <c r="BX11" s="74">
        <f>$F$11*(BX8/1000)</f>
        <v>0</v>
      </c>
      <c r="BY11" s="74">
        <f>$F$11*(BY8/1000)</f>
        <v>0</v>
      </c>
      <c r="BZ11" s="74">
        <f>$F$11*(BZ8/1000)</f>
        <v>0</v>
      </c>
      <c r="CA11" s="74">
        <f>$F$11*(CA8/1000)</f>
        <v>0</v>
      </c>
      <c r="CB11" s="74">
        <f t="shared" ref="CB11:CH11" si="7">$F$11*(CB8/1000)</f>
        <v>0</v>
      </c>
      <c r="CC11" s="74">
        <f t="shared" si="7"/>
        <v>0</v>
      </c>
      <c r="CD11" s="74">
        <f t="shared" si="7"/>
        <v>0</v>
      </c>
      <c r="CE11" s="74">
        <f t="shared" si="7"/>
        <v>0</v>
      </c>
      <c r="CF11" s="74">
        <f t="shared" si="7"/>
        <v>0</v>
      </c>
      <c r="CG11" s="74">
        <f t="shared" si="7"/>
        <v>0</v>
      </c>
      <c r="CH11" s="74">
        <f t="shared" si="7"/>
        <v>0</v>
      </c>
      <c r="CI11" s="74">
        <f>$F$11*(CI8/1000)</f>
        <v>0</v>
      </c>
      <c r="CJ11" s="74">
        <f>$F$11*(CJ8/1000)</f>
        <v>0</v>
      </c>
      <c r="CK11" s="74">
        <f>$F$11*(CK8/1000)</f>
        <v>0</v>
      </c>
      <c r="CL11" s="74">
        <f>$F$11*(CL8/1000)</f>
        <v>0</v>
      </c>
      <c r="CM11" s="74">
        <f t="shared" ref="CM11:CR11" si="8">$F$11*(CM8/1000)</f>
        <v>0</v>
      </c>
      <c r="CN11" s="74">
        <f t="shared" si="8"/>
        <v>0</v>
      </c>
      <c r="CO11" s="74">
        <f t="shared" si="8"/>
        <v>0</v>
      </c>
      <c r="CP11" s="74">
        <f t="shared" si="8"/>
        <v>0</v>
      </c>
      <c r="CQ11" s="74">
        <f t="shared" si="8"/>
        <v>0</v>
      </c>
      <c r="CR11" s="74">
        <f t="shared" si="8"/>
        <v>0</v>
      </c>
      <c r="CS11" s="74">
        <f t="shared" ref="CS11:DC11" si="9">$F$11*(CS8/1000)</f>
        <v>0</v>
      </c>
      <c r="CT11" s="74">
        <f t="shared" si="9"/>
        <v>0</v>
      </c>
      <c r="CU11" s="74">
        <f t="shared" si="9"/>
        <v>0</v>
      </c>
      <c r="CV11" s="74">
        <f t="shared" si="9"/>
        <v>0</v>
      </c>
      <c r="CW11" s="74">
        <f t="shared" si="9"/>
        <v>0</v>
      </c>
      <c r="CX11" s="74">
        <f t="shared" si="9"/>
        <v>0</v>
      </c>
      <c r="CY11" s="74">
        <f t="shared" si="9"/>
        <v>0</v>
      </c>
      <c r="CZ11" s="74">
        <f t="shared" si="9"/>
        <v>0</v>
      </c>
      <c r="DA11" s="74">
        <f t="shared" si="9"/>
        <v>0</v>
      </c>
      <c r="DB11" s="74">
        <f t="shared" si="9"/>
        <v>0</v>
      </c>
      <c r="DC11" s="74">
        <f t="shared" si="9"/>
        <v>0</v>
      </c>
      <c r="DD11" s="74">
        <f t="shared" ref="DD11:EJ11" si="10">$F$11*(DD8/1000)</f>
        <v>0</v>
      </c>
      <c r="DE11" s="74">
        <f t="shared" si="10"/>
        <v>0</v>
      </c>
      <c r="DF11" s="74">
        <f t="shared" si="10"/>
        <v>0</v>
      </c>
      <c r="DG11" s="74">
        <f t="shared" si="10"/>
        <v>0</v>
      </c>
      <c r="DH11" s="74">
        <f t="shared" si="10"/>
        <v>0</v>
      </c>
      <c r="DI11" s="74">
        <f t="shared" si="10"/>
        <v>0</v>
      </c>
      <c r="DJ11" s="74">
        <f t="shared" si="10"/>
        <v>0</v>
      </c>
      <c r="DK11" s="74">
        <f t="shared" si="10"/>
        <v>0</v>
      </c>
      <c r="DL11" s="74">
        <f t="shared" si="10"/>
        <v>0</v>
      </c>
      <c r="DM11" s="74">
        <f t="shared" si="10"/>
        <v>0</v>
      </c>
      <c r="DN11" s="74">
        <f t="shared" si="10"/>
        <v>0</v>
      </c>
      <c r="DO11" s="74">
        <f t="shared" si="10"/>
        <v>0</v>
      </c>
      <c r="DP11" s="74">
        <f t="shared" si="10"/>
        <v>0</v>
      </c>
      <c r="DQ11" s="74">
        <f t="shared" si="10"/>
        <v>0</v>
      </c>
      <c r="DR11" s="74">
        <f t="shared" si="10"/>
        <v>0</v>
      </c>
      <c r="DS11" s="74">
        <f t="shared" si="10"/>
        <v>0</v>
      </c>
      <c r="DT11" s="74">
        <f t="shared" si="10"/>
        <v>0</v>
      </c>
      <c r="DU11" s="74">
        <f t="shared" si="10"/>
        <v>0</v>
      </c>
      <c r="DV11" s="74">
        <f t="shared" si="10"/>
        <v>0</v>
      </c>
      <c r="DW11" s="74">
        <f t="shared" si="10"/>
        <v>0</v>
      </c>
      <c r="DX11" s="74">
        <f t="shared" si="10"/>
        <v>0</v>
      </c>
      <c r="DY11" s="74">
        <f t="shared" si="10"/>
        <v>0</v>
      </c>
      <c r="DZ11" s="74">
        <f t="shared" si="10"/>
        <v>0</v>
      </c>
      <c r="EA11" s="74">
        <f t="shared" si="10"/>
        <v>0</v>
      </c>
      <c r="EB11" s="74">
        <f t="shared" si="10"/>
        <v>0</v>
      </c>
      <c r="EC11" s="74">
        <f t="shared" si="10"/>
        <v>0</v>
      </c>
      <c r="ED11" s="74">
        <f t="shared" si="10"/>
        <v>0</v>
      </c>
      <c r="EE11" s="74">
        <f t="shared" si="10"/>
        <v>0</v>
      </c>
      <c r="EF11" s="74">
        <f t="shared" si="10"/>
        <v>0</v>
      </c>
      <c r="EG11" s="74">
        <f t="shared" si="10"/>
        <v>0</v>
      </c>
      <c r="EH11" s="74">
        <f t="shared" si="10"/>
        <v>0</v>
      </c>
      <c r="EI11" s="74">
        <f t="shared" si="10"/>
        <v>0</v>
      </c>
      <c r="EJ11" s="74">
        <f t="shared" si="10"/>
        <v>0</v>
      </c>
    </row>
    <row r="12" spans="1:166" ht="16" customHeight="1">
      <c r="A12" s="67"/>
      <c r="B12" s="100"/>
      <c r="F12" s="65"/>
      <c r="H12" s="60" t="s">
        <v>718</v>
      </c>
      <c r="I12" s="74">
        <f>525/1000</f>
        <v>0.52500000000000002</v>
      </c>
      <c r="J12" s="74">
        <f t="shared" ref="J12:BU12" si="11">525/1000</f>
        <v>0.52500000000000002</v>
      </c>
      <c r="K12" s="74">
        <f t="shared" si="11"/>
        <v>0.52500000000000002</v>
      </c>
      <c r="L12" s="74">
        <f t="shared" si="11"/>
        <v>0.52500000000000002</v>
      </c>
      <c r="M12" s="74">
        <f t="shared" si="11"/>
        <v>0.52500000000000002</v>
      </c>
      <c r="N12" s="74">
        <f t="shared" si="11"/>
        <v>0.52500000000000002</v>
      </c>
      <c r="O12" s="74">
        <f t="shared" si="11"/>
        <v>0.52500000000000002</v>
      </c>
      <c r="P12" s="74">
        <f t="shared" si="11"/>
        <v>0.52500000000000002</v>
      </c>
      <c r="Q12" s="74">
        <f t="shared" si="11"/>
        <v>0.52500000000000002</v>
      </c>
      <c r="R12" s="74">
        <f t="shared" si="11"/>
        <v>0.52500000000000002</v>
      </c>
      <c r="S12" s="74">
        <f t="shared" si="11"/>
        <v>0.52500000000000002</v>
      </c>
      <c r="T12" s="74">
        <f t="shared" si="11"/>
        <v>0.52500000000000002</v>
      </c>
      <c r="U12" s="74">
        <f t="shared" si="11"/>
        <v>0.52500000000000002</v>
      </c>
      <c r="V12" s="74">
        <f t="shared" si="11"/>
        <v>0.52500000000000002</v>
      </c>
      <c r="W12" s="74">
        <f t="shared" si="11"/>
        <v>0.52500000000000002</v>
      </c>
      <c r="X12" s="74">
        <f t="shared" si="11"/>
        <v>0.52500000000000002</v>
      </c>
      <c r="Y12" s="74">
        <f t="shared" si="11"/>
        <v>0.52500000000000002</v>
      </c>
      <c r="Z12" s="74">
        <f t="shared" si="11"/>
        <v>0.52500000000000002</v>
      </c>
      <c r="AA12" s="74">
        <f t="shared" si="11"/>
        <v>0.52500000000000002</v>
      </c>
      <c r="AB12" s="74">
        <f t="shared" si="11"/>
        <v>0.52500000000000002</v>
      </c>
      <c r="AC12" s="74">
        <f t="shared" si="11"/>
        <v>0.52500000000000002</v>
      </c>
      <c r="AD12" s="74">
        <f t="shared" si="11"/>
        <v>0.52500000000000002</v>
      </c>
      <c r="AE12" s="74">
        <f t="shared" si="11"/>
        <v>0.52500000000000002</v>
      </c>
      <c r="AF12" s="74">
        <f t="shared" si="11"/>
        <v>0.52500000000000002</v>
      </c>
      <c r="AG12" s="74">
        <f t="shared" si="11"/>
        <v>0.52500000000000002</v>
      </c>
      <c r="AH12" s="74">
        <f t="shared" si="11"/>
        <v>0.52500000000000002</v>
      </c>
      <c r="AI12" s="74">
        <f t="shared" si="11"/>
        <v>0.52500000000000002</v>
      </c>
      <c r="AJ12" s="74">
        <f t="shared" si="11"/>
        <v>0.52500000000000002</v>
      </c>
      <c r="AK12" s="74">
        <f t="shared" si="11"/>
        <v>0.52500000000000002</v>
      </c>
      <c r="AL12" s="74">
        <f t="shared" si="11"/>
        <v>0.52500000000000002</v>
      </c>
      <c r="AM12" s="74">
        <f t="shared" si="11"/>
        <v>0.52500000000000002</v>
      </c>
      <c r="AN12" s="74">
        <f t="shared" si="11"/>
        <v>0.52500000000000002</v>
      </c>
      <c r="AO12" s="74">
        <f t="shared" si="11"/>
        <v>0.52500000000000002</v>
      </c>
      <c r="AP12" s="74">
        <f t="shared" si="11"/>
        <v>0.52500000000000002</v>
      </c>
      <c r="AQ12" s="74">
        <f t="shared" si="11"/>
        <v>0.52500000000000002</v>
      </c>
      <c r="AR12" s="74">
        <f t="shared" si="11"/>
        <v>0.52500000000000002</v>
      </c>
      <c r="AS12" s="74">
        <f t="shared" si="11"/>
        <v>0.52500000000000002</v>
      </c>
      <c r="AT12" s="74">
        <f t="shared" si="11"/>
        <v>0.52500000000000002</v>
      </c>
      <c r="AU12" s="74">
        <f t="shared" si="11"/>
        <v>0.52500000000000002</v>
      </c>
      <c r="AV12" s="74">
        <f t="shared" si="11"/>
        <v>0.52500000000000002</v>
      </c>
      <c r="AW12" s="74">
        <f t="shared" si="11"/>
        <v>0.52500000000000002</v>
      </c>
      <c r="AX12" s="74">
        <f t="shared" si="11"/>
        <v>0.52500000000000002</v>
      </c>
      <c r="AY12" s="74">
        <f t="shared" si="11"/>
        <v>0.52500000000000002</v>
      </c>
      <c r="AZ12" s="74">
        <f t="shared" si="11"/>
        <v>0.52500000000000002</v>
      </c>
      <c r="BA12" s="74">
        <f t="shared" si="11"/>
        <v>0.52500000000000002</v>
      </c>
      <c r="BB12" s="74">
        <f t="shared" si="11"/>
        <v>0.52500000000000002</v>
      </c>
      <c r="BC12" s="74">
        <f t="shared" si="11"/>
        <v>0.52500000000000002</v>
      </c>
      <c r="BD12" s="74">
        <f t="shared" si="11"/>
        <v>0.52500000000000002</v>
      </c>
      <c r="BE12" s="74">
        <f t="shared" si="11"/>
        <v>0.52500000000000002</v>
      </c>
      <c r="BF12" s="74">
        <f t="shared" si="11"/>
        <v>0.52500000000000002</v>
      </c>
      <c r="BG12" s="74">
        <f t="shared" si="11"/>
        <v>0.52500000000000002</v>
      </c>
      <c r="BH12" s="74">
        <f t="shared" si="11"/>
        <v>0.52500000000000002</v>
      </c>
      <c r="BI12" s="74">
        <f t="shared" si="11"/>
        <v>0.52500000000000002</v>
      </c>
      <c r="BJ12" s="74">
        <f t="shared" si="11"/>
        <v>0.52500000000000002</v>
      </c>
      <c r="BK12" s="74">
        <f t="shared" si="11"/>
        <v>0.52500000000000002</v>
      </c>
      <c r="BL12" s="74">
        <f t="shared" si="11"/>
        <v>0.52500000000000002</v>
      </c>
      <c r="BM12" s="74">
        <f t="shared" si="11"/>
        <v>0.52500000000000002</v>
      </c>
      <c r="BN12" s="74">
        <f t="shared" si="11"/>
        <v>0.52500000000000002</v>
      </c>
      <c r="BO12" s="74">
        <f t="shared" si="11"/>
        <v>0.52500000000000002</v>
      </c>
      <c r="BP12" s="74">
        <f t="shared" si="11"/>
        <v>0.52500000000000002</v>
      </c>
      <c r="BQ12" s="74">
        <f t="shared" si="11"/>
        <v>0.52500000000000002</v>
      </c>
      <c r="BR12" s="74">
        <f t="shared" si="11"/>
        <v>0.52500000000000002</v>
      </c>
      <c r="BS12" s="74">
        <f t="shared" si="11"/>
        <v>0.52500000000000002</v>
      </c>
      <c r="BT12" s="74">
        <f t="shared" si="11"/>
        <v>0.52500000000000002</v>
      </c>
      <c r="BU12" s="74">
        <f t="shared" si="11"/>
        <v>0.52500000000000002</v>
      </c>
      <c r="BV12" s="74">
        <f t="shared" ref="BV12:EG12" si="12">525/1000</f>
        <v>0.52500000000000002</v>
      </c>
      <c r="BW12" s="74">
        <f t="shared" si="12"/>
        <v>0.52500000000000002</v>
      </c>
      <c r="BX12" s="74">
        <f t="shared" si="12"/>
        <v>0.52500000000000002</v>
      </c>
      <c r="BY12" s="74">
        <f t="shared" si="12"/>
        <v>0.52500000000000002</v>
      </c>
      <c r="BZ12" s="74">
        <f t="shared" si="12"/>
        <v>0.52500000000000002</v>
      </c>
      <c r="CA12" s="74">
        <f t="shared" si="12"/>
        <v>0.52500000000000002</v>
      </c>
      <c r="CB12" s="74">
        <f t="shared" si="12"/>
        <v>0.52500000000000002</v>
      </c>
      <c r="CC12" s="74">
        <f t="shared" si="12"/>
        <v>0.52500000000000002</v>
      </c>
      <c r="CD12" s="74">
        <f t="shared" si="12"/>
        <v>0.52500000000000002</v>
      </c>
      <c r="CE12" s="74">
        <f t="shared" si="12"/>
        <v>0.52500000000000002</v>
      </c>
      <c r="CF12" s="74">
        <f t="shared" si="12"/>
        <v>0.52500000000000002</v>
      </c>
      <c r="CG12" s="74">
        <f t="shared" si="12"/>
        <v>0.52500000000000002</v>
      </c>
      <c r="CH12" s="74">
        <f t="shared" si="12"/>
        <v>0.52500000000000002</v>
      </c>
      <c r="CI12" s="74">
        <f t="shared" si="12"/>
        <v>0.52500000000000002</v>
      </c>
      <c r="CJ12" s="74">
        <f t="shared" si="12"/>
        <v>0.52500000000000002</v>
      </c>
      <c r="CK12" s="74">
        <f t="shared" si="12"/>
        <v>0.52500000000000002</v>
      </c>
      <c r="CL12" s="74">
        <f t="shared" si="12"/>
        <v>0.52500000000000002</v>
      </c>
      <c r="CM12" s="74">
        <f t="shared" si="12"/>
        <v>0.52500000000000002</v>
      </c>
      <c r="CN12" s="74">
        <f t="shared" si="12"/>
        <v>0.52500000000000002</v>
      </c>
      <c r="CO12" s="74">
        <f t="shared" si="12"/>
        <v>0.52500000000000002</v>
      </c>
      <c r="CP12" s="74">
        <f t="shared" si="12"/>
        <v>0.52500000000000002</v>
      </c>
      <c r="CQ12" s="74">
        <f t="shared" si="12"/>
        <v>0.52500000000000002</v>
      </c>
      <c r="CR12" s="74">
        <f t="shared" si="12"/>
        <v>0.52500000000000002</v>
      </c>
      <c r="CS12" s="74">
        <f t="shared" si="12"/>
        <v>0.52500000000000002</v>
      </c>
      <c r="CT12" s="74">
        <f t="shared" si="12"/>
        <v>0.52500000000000002</v>
      </c>
      <c r="CU12" s="74">
        <f t="shared" si="12"/>
        <v>0.52500000000000002</v>
      </c>
      <c r="CV12" s="74">
        <f t="shared" si="12"/>
        <v>0.52500000000000002</v>
      </c>
      <c r="CW12" s="74">
        <f t="shared" si="12"/>
        <v>0.52500000000000002</v>
      </c>
      <c r="CX12" s="74">
        <f t="shared" si="12"/>
        <v>0.52500000000000002</v>
      </c>
      <c r="CY12" s="74">
        <f t="shared" si="12"/>
        <v>0.52500000000000002</v>
      </c>
      <c r="CZ12" s="74">
        <f t="shared" si="12"/>
        <v>0.52500000000000002</v>
      </c>
      <c r="DA12" s="74">
        <f t="shared" si="12"/>
        <v>0.52500000000000002</v>
      </c>
      <c r="DB12" s="74">
        <f t="shared" si="12"/>
        <v>0.52500000000000002</v>
      </c>
      <c r="DC12" s="74">
        <f t="shared" si="12"/>
        <v>0.52500000000000002</v>
      </c>
      <c r="DD12" s="74">
        <f t="shared" si="12"/>
        <v>0.52500000000000002</v>
      </c>
      <c r="DE12" s="74">
        <f t="shared" si="12"/>
        <v>0.52500000000000002</v>
      </c>
      <c r="DF12" s="74">
        <f t="shared" si="12"/>
        <v>0.52500000000000002</v>
      </c>
      <c r="DG12" s="74">
        <f t="shared" si="12"/>
        <v>0.52500000000000002</v>
      </c>
      <c r="DH12" s="74">
        <f t="shared" si="12"/>
        <v>0.52500000000000002</v>
      </c>
      <c r="DI12" s="74">
        <f t="shared" si="12"/>
        <v>0.52500000000000002</v>
      </c>
      <c r="DJ12" s="74">
        <f t="shared" si="12"/>
        <v>0.52500000000000002</v>
      </c>
      <c r="DK12" s="74">
        <f t="shared" si="12"/>
        <v>0.52500000000000002</v>
      </c>
      <c r="DL12" s="74">
        <f t="shared" si="12"/>
        <v>0.52500000000000002</v>
      </c>
      <c r="DM12" s="74">
        <f t="shared" si="12"/>
        <v>0.52500000000000002</v>
      </c>
      <c r="DN12" s="74">
        <f t="shared" si="12"/>
        <v>0.52500000000000002</v>
      </c>
      <c r="DO12" s="74">
        <f t="shared" si="12"/>
        <v>0.52500000000000002</v>
      </c>
      <c r="DP12" s="74">
        <f t="shared" si="12"/>
        <v>0.52500000000000002</v>
      </c>
      <c r="DQ12" s="74">
        <f t="shared" si="12"/>
        <v>0.52500000000000002</v>
      </c>
      <c r="DR12" s="74">
        <f t="shared" si="12"/>
        <v>0.52500000000000002</v>
      </c>
      <c r="DS12" s="74">
        <f t="shared" si="12"/>
        <v>0.52500000000000002</v>
      </c>
      <c r="DT12" s="74">
        <f t="shared" si="12"/>
        <v>0.52500000000000002</v>
      </c>
      <c r="DU12" s="74">
        <f t="shared" si="12"/>
        <v>0.52500000000000002</v>
      </c>
      <c r="DV12" s="74">
        <f t="shared" si="12"/>
        <v>0.52500000000000002</v>
      </c>
      <c r="DW12" s="74">
        <f t="shared" si="12"/>
        <v>0.52500000000000002</v>
      </c>
      <c r="DX12" s="74">
        <f t="shared" si="12"/>
        <v>0.52500000000000002</v>
      </c>
      <c r="DY12" s="74">
        <f t="shared" si="12"/>
        <v>0.52500000000000002</v>
      </c>
      <c r="DZ12" s="74">
        <f t="shared" si="12"/>
        <v>0.52500000000000002</v>
      </c>
      <c r="EA12" s="74">
        <f t="shared" si="12"/>
        <v>0.52500000000000002</v>
      </c>
      <c r="EB12" s="74">
        <f t="shared" si="12"/>
        <v>0.52500000000000002</v>
      </c>
      <c r="EC12" s="74">
        <f t="shared" si="12"/>
        <v>0.52500000000000002</v>
      </c>
      <c r="ED12" s="74">
        <f t="shared" si="12"/>
        <v>0.52500000000000002</v>
      </c>
      <c r="EE12" s="74">
        <f t="shared" si="12"/>
        <v>0.52500000000000002</v>
      </c>
      <c r="EF12" s="74">
        <f t="shared" si="12"/>
        <v>0.52500000000000002</v>
      </c>
      <c r="EG12" s="74">
        <f t="shared" si="12"/>
        <v>0.52500000000000002</v>
      </c>
      <c r="EH12" s="74">
        <f>525/1000</f>
        <v>0.52500000000000002</v>
      </c>
      <c r="EI12" s="74">
        <f>525/1000</f>
        <v>0.52500000000000002</v>
      </c>
      <c r="EJ12" s="74">
        <f>525/1000</f>
        <v>0.52500000000000002</v>
      </c>
    </row>
    <row r="13" spans="1:166" s="104" customFormat="1">
      <c r="A13" s="104" t="s">
        <v>400</v>
      </c>
      <c r="H13" s="60"/>
      <c r="I13" s="105">
        <f>SUM(I10:I12)</f>
        <v>1.3127811884486147</v>
      </c>
      <c r="J13" s="105">
        <f t="shared" ref="J13:BP13" si="13">SUM(J10:J12)</f>
        <v>1.306561774326221</v>
      </c>
      <c r="K13" s="105">
        <f t="shared" si="13"/>
        <v>1.316348050317216</v>
      </c>
      <c r="L13" s="105">
        <f t="shared" si="13"/>
        <v>1.1956104893985002</v>
      </c>
      <c r="M13" s="105">
        <f t="shared" si="13"/>
        <v>1.0904035518254351</v>
      </c>
      <c r="N13" s="105">
        <f t="shared" si="13"/>
        <v>1.0525119723597713</v>
      </c>
      <c r="O13" s="105">
        <f t="shared" si="13"/>
        <v>1.0513066647246834</v>
      </c>
      <c r="P13" s="105">
        <f t="shared" si="13"/>
        <v>1.0528669832059474</v>
      </c>
      <c r="Q13" s="105">
        <f t="shared" si="13"/>
        <v>1.0614706727112839</v>
      </c>
      <c r="R13" s="105">
        <f t="shared" si="13"/>
        <v>1.1907630272370464</v>
      </c>
      <c r="S13" s="105">
        <f t="shared" si="13"/>
        <v>1.4195194593011689</v>
      </c>
      <c r="T13" s="105">
        <f t="shared" si="13"/>
        <v>1.523013368096821</v>
      </c>
      <c r="U13" s="105">
        <f t="shared" si="13"/>
        <v>1.5582767429024353</v>
      </c>
      <c r="V13" s="105">
        <f t="shared" si="13"/>
        <v>1.788746977359013</v>
      </c>
      <c r="W13" s="105">
        <f t="shared" si="13"/>
        <v>2.1817563939356375</v>
      </c>
      <c r="X13" s="105">
        <f t="shared" si="13"/>
        <v>1.9551191173545521</v>
      </c>
      <c r="Y13" s="105">
        <f t="shared" si="13"/>
        <v>1.9695131354107334</v>
      </c>
      <c r="Z13" s="105">
        <f t="shared" si="13"/>
        <v>1.7748910456818732</v>
      </c>
      <c r="AA13" s="105">
        <f t="shared" si="13"/>
        <v>1.8380938772961066</v>
      </c>
      <c r="AB13" s="105">
        <f t="shared" si="13"/>
        <v>1.9167023977921791</v>
      </c>
      <c r="AC13" s="105">
        <f t="shared" si="13"/>
        <v>1.9506537506633803</v>
      </c>
      <c r="AD13" s="105">
        <f t="shared" si="13"/>
        <v>2.2622461405965888</v>
      </c>
      <c r="AE13" s="105">
        <f t="shared" si="13"/>
        <v>2.2684224842974343</v>
      </c>
      <c r="AF13" s="105">
        <f t="shared" si="13"/>
        <v>1.7890842682933115</v>
      </c>
      <c r="AG13" s="105">
        <f t="shared" si="13"/>
        <v>1.9924391653786278</v>
      </c>
      <c r="AH13" s="105">
        <f t="shared" si="13"/>
        <v>2.2710949975657511</v>
      </c>
      <c r="AI13" s="105">
        <f t="shared" si="13"/>
        <v>2.2081397783423133</v>
      </c>
      <c r="AJ13" s="105">
        <f t="shared" si="13"/>
        <v>2.0354374160122291</v>
      </c>
      <c r="AK13" s="105">
        <f t="shared" si="13"/>
        <v>1.890016393964475</v>
      </c>
      <c r="AL13" s="105">
        <f t="shared" si="13"/>
        <v>2.006933986234726</v>
      </c>
      <c r="AM13" s="105">
        <f t="shared" si="13"/>
        <v>1.9769982164943829</v>
      </c>
      <c r="AN13" s="105">
        <f t="shared" si="13"/>
        <v>1.7852566710744924</v>
      </c>
      <c r="AO13" s="105">
        <f t="shared" si="13"/>
        <v>1.9661461194002929</v>
      </c>
      <c r="AP13" s="105">
        <f t="shared" si="13"/>
        <v>2.0353151916293113</v>
      </c>
      <c r="AQ13" s="105">
        <f t="shared" si="13"/>
        <v>1.9005400422532381</v>
      </c>
      <c r="AR13" s="105">
        <f t="shared" si="13"/>
        <v>1.7676807543807698</v>
      </c>
      <c r="AS13" s="105">
        <f t="shared" si="13"/>
        <v>1.751330640179614</v>
      </c>
      <c r="AT13" s="105">
        <f t="shared" si="13"/>
        <v>2.0043084443623034</v>
      </c>
      <c r="AU13" s="105">
        <f t="shared" si="13"/>
        <v>2.1028056836952609</v>
      </c>
      <c r="AV13" s="105">
        <f t="shared" si="13"/>
        <v>1.8397501188075576</v>
      </c>
      <c r="AW13" s="105">
        <f t="shared" si="13"/>
        <v>1.8733616359722554</v>
      </c>
      <c r="AX13" s="136">
        <f t="shared" si="13"/>
        <v>1.809964428249176</v>
      </c>
      <c r="AY13" s="105">
        <f t="shared" si="13"/>
        <v>1.6237183399450719</v>
      </c>
      <c r="AZ13" s="105">
        <f t="shared" si="13"/>
        <v>1.6237183399450719</v>
      </c>
      <c r="BA13" s="105">
        <f t="shared" si="13"/>
        <v>1.6708148967551621</v>
      </c>
      <c r="BB13" s="105">
        <f t="shared" si="13"/>
        <v>1.6847066650163995</v>
      </c>
      <c r="BC13" s="105">
        <f t="shared" si="13"/>
        <v>1.7721082877391403</v>
      </c>
      <c r="BD13" s="105">
        <f t="shared" si="13"/>
        <v>1.8134687952672519</v>
      </c>
      <c r="BE13" s="105">
        <f t="shared" si="13"/>
        <v>1.8272324192432352</v>
      </c>
      <c r="BF13" s="105">
        <f t="shared" si="13"/>
        <v>1.812816987751436</v>
      </c>
      <c r="BG13" s="105">
        <f>SUM(BG10:BG12)</f>
        <v>1.9079703521663864</v>
      </c>
      <c r="BH13" s="105">
        <f t="shared" si="13"/>
        <v>2.0559188244291491</v>
      </c>
      <c r="BI13" s="105">
        <f t="shared" si="13"/>
        <v>2.0538216753545888</v>
      </c>
      <c r="BJ13" s="105">
        <f t="shared" si="13"/>
        <v>2.1056461389259304</v>
      </c>
      <c r="BK13" s="105">
        <f t="shared" si="13"/>
        <v>2.1056461389259304</v>
      </c>
      <c r="BL13" s="105">
        <f t="shared" si="13"/>
        <v>2.127599557522124</v>
      </c>
      <c r="BM13" s="105">
        <f t="shared" si="13"/>
        <v>1.8504663874193432</v>
      </c>
      <c r="BN13" s="105">
        <f t="shared" si="13"/>
        <v>1.8486556409884423</v>
      </c>
      <c r="BO13" s="105">
        <f t="shared" si="13"/>
        <v>1.8953424182298453</v>
      </c>
      <c r="BP13" s="105">
        <f t="shared" si="13"/>
        <v>2.0014499378336867</v>
      </c>
      <c r="BQ13" s="105">
        <f t="shared" ref="BQ13:BV13" si="14">SUM(BQ10:BQ12)</f>
        <v>2.0014499378336867</v>
      </c>
      <c r="BR13" s="105">
        <f t="shared" si="14"/>
        <v>2.0347220491088125</v>
      </c>
      <c r="BS13" s="105">
        <f t="shared" si="14"/>
        <v>1.8319829701792223</v>
      </c>
      <c r="BT13" s="105">
        <f t="shared" si="14"/>
        <v>1.7819117665414335</v>
      </c>
      <c r="BU13" s="105">
        <f t="shared" si="14"/>
        <v>1.7551380035893311</v>
      </c>
      <c r="BV13" s="105">
        <f t="shared" si="14"/>
        <v>1.8219313628817853</v>
      </c>
      <c r="BW13" s="105">
        <f>SUM(BW10:BW12)</f>
        <v>1.8289854169263369</v>
      </c>
      <c r="BX13" s="105">
        <f>SUM(BX10:BX12)</f>
        <v>1.749058955502929</v>
      </c>
      <c r="BY13" s="105">
        <f>SUM(BY10:BY12)</f>
        <v>1.7485725116834043</v>
      </c>
      <c r="BZ13" s="105">
        <f>SUM(BZ10:BZ12)</f>
        <v>1.757683618983608</v>
      </c>
      <c r="CA13" s="105">
        <f t="shared" ref="CA13:CH13" si="15">SUM(CA10:CA12)</f>
        <v>1.8241953250438745</v>
      </c>
      <c r="CB13" s="105">
        <f t="shared" si="15"/>
        <v>1.8097397442367105</v>
      </c>
      <c r="CC13" s="105">
        <f t="shared" si="15"/>
        <v>1.8086018192126607</v>
      </c>
      <c r="CD13" s="105">
        <f t="shared" si="15"/>
        <v>1.807955383480826</v>
      </c>
      <c r="CE13" s="105">
        <f t="shared" si="15"/>
        <v>1.7553527531956736</v>
      </c>
      <c r="CF13" s="105">
        <f t="shared" si="15"/>
        <v>1.7529254073508027</v>
      </c>
      <c r="CG13" s="105">
        <f t="shared" si="15"/>
        <v>1.8567419655333026</v>
      </c>
      <c r="CH13" s="105">
        <f t="shared" si="15"/>
        <v>1.88024914625638</v>
      </c>
      <c r="CI13" s="105">
        <f>SUM(CI10:CI12)</f>
        <v>1.9834480838198751</v>
      </c>
      <c r="CJ13" s="105">
        <f>SUM(CJ10:CJ12)</f>
        <v>1.9814336527648755</v>
      </c>
      <c r="CK13" s="105">
        <f>SUM(CK10:CK12)</f>
        <v>1.9814336527648755</v>
      </c>
      <c r="CL13" s="105">
        <f>SUM(CL10:CL12)</f>
        <v>1.9524036816114996</v>
      </c>
      <c r="CM13" s="105">
        <f t="shared" ref="CM13:CR13" si="16">SUM(CM10:CM12)</f>
        <v>1.8825509678052854</v>
      </c>
      <c r="CN13" s="105">
        <f t="shared" si="16"/>
        <v>1.8351323149610157</v>
      </c>
      <c r="CO13" s="105">
        <f t="shared" si="16"/>
        <v>1.8351323149610157</v>
      </c>
      <c r="CP13" s="105">
        <f t="shared" si="16"/>
        <v>1.8351323149610157</v>
      </c>
      <c r="CQ13" s="105">
        <f t="shared" si="16"/>
        <v>1.8351323149610157</v>
      </c>
      <c r="CR13" s="105">
        <f t="shared" si="16"/>
        <v>1.9320246418618297</v>
      </c>
      <c r="CS13" s="105">
        <f t="shared" ref="CS13:DC13" si="17">SUM(CS10:CS12)</f>
        <v>1.9378306360925048</v>
      </c>
      <c r="CT13" s="105">
        <f t="shared" si="17"/>
        <v>1.9339385406762721</v>
      </c>
      <c r="CU13" s="105">
        <f t="shared" si="17"/>
        <v>1.8394879551070593</v>
      </c>
      <c r="CV13" s="105">
        <f t="shared" si="17"/>
        <v>1.8019047242273376</v>
      </c>
      <c r="CW13" s="105">
        <f t="shared" si="17"/>
        <v>1.8019047242273376</v>
      </c>
      <c r="CX13" s="105">
        <f t="shared" si="17"/>
        <v>1.7404466109112127</v>
      </c>
      <c r="CY13" s="105">
        <f t="shared" si="17"/>
        <v>1.6674558440127787</v>
      </c>
      <c r="CZ13" s="105">
        <f t="shared" si="17"/>
        <v>1.7620249688352403</v>
      </c>
      <c r="DA13" s="105">
        <f t="shared" si="17"/>
        <v>1.7603020928340767</v>
      </c>
      <c r="DB13" s="105">
        <f t="shared" si="17"/>
        <v>1.7022263135094993</v>
      </c>
      <c r="DC13" s="105">
        <f t="shared" si="17"/>
        <v>1.7222107090847989</v>
      </c>
      <c r="DD13" s="105">
        <f t="shared" ref="DD13:EJ13" si="18">SUM(DD10:DD12)</f>
        <v>1.7908050101726225</v>
      </c>
      <c r="DE13" s="105">
        <f t="shared" si="18"/>
        <v>1.7591616568960582</v>
      </c>
      <c r="DF13" s="105">
        <f t="shared" si="18"/>
        <v>1.7053254029933069</v>
      </c>
      <c r="DG13" s="105">
        <f t="shared" si="18"/>
        <v>1.7120509038650633</v>
      </c>
      <c r="DH13" s="105">
        <f t="shared" si="18"/>
        <v>1.7300147492625371</v>
      </c>
      <c r="DI13" s="105">
        <f t="shared" si="18"/>
        <v>1.790200453057516</v>
      </c>
      <c r="DJ13" s="105">
        <f t="shared" si="18"/>
        <v>1.6789984361230745</v>
      </c>
      <c r="DK13" s="105">
        <f t="shared" si="18"/>
        <v>1.596490543119903</v>
      </c>
      <c r="DL13" s="105">
        <f t="shared" si="18"/>
        <v>1.6010116002638686</v>
      </c>
      <c r="DM13" s="105">
        <f t="shared" si="18"/>
        <v>1.6296646837782593</v>
      </c>
      <c r="DN13" s="105">
        <f t="shared" si="18"/>
        <v>1.5802394514252187</v>
      </c>
      <c r="DO13" s="105">
        <f t="shared" si="18"/>
        <v>1.6062245544747555</v>
      </c>
      <c r="DP13" s="105">
        <f t="shared" si="18"/>
        <v>1.6047373129967988</v>
      </c>
      <c r="DQ13" s="105">
        <f t="shared" si="18"/>
        <v>1.6264777665518375</v>
      </c>
      <c r="DR13" s="105">
        <f t="shared" si="18"/>
        <v>1.5686772400063127</v>
      </c>
      <c r="DS13" s="105">
        <f t="shared" si="18"/>
        <v>1.6046763244029578</v>
      </c>
      <c r="DT13" s="105" t="e">
        <f t="shared" si="18"/>
        <v>#DIV/0!</v>
      </c>
      <c r="DU13" s="105" t="e">
        <f t="shared" si="18"/>
        <v>#DIV/0!</v>
      </c>
      <c r="DV13" s="105" t="e">
        <f t="shared" si="18"/>
        <v>#DIV/0!</v>
      </c>
      <c r="DW13" s="105" t="e">
        <f t="shared" si="18"/>
        <v>#DIV/0!</v>
      </c>
      <c r="DX13" s="105">
        <f t="shared" si="18"/>
        <v>0.52500000000000002</v>
      </c>
      <c r="DY13" s="105">
        <f t="shared" si="18"/>
        <v>0.52500000000000002</v>
      </c>
      <c r="DZ13" s="105">
        <f t="shared" si="18"/>
        <v>0.52500000000000002</v>
      </c>
      <c r="EA13" s="105">
        <f t="shared" si="18"/>
        <v>0.52500000000000002</v>
      </c>
      <c r="EB13" s="105">
        <f t="shared" si="18"/>
        <v>0.52500000000000002</v>
      </c>
      <c r="EC13" s="105">
        <f t="shared" si="18"/>
        <v>0.52500000000000002</v>
      </c>
      <c r="ED13" s="105">
        <f t="shared" si="18"/>
        <v>0.52500000000000002</v>
      </c>
      <c r="EE13" s="105">
        <f t="shared" si="18"/>
        <v>0.52500000000000002</v>
      </c>
      <c r="EF13" s="105">
        <f t="shared" si="18"/>
        <v>0.52500000000000002</v>
      </c>
      <c r="EG13" s="105">
        <f t="shared" si="18"/>
        <v>0.52500000000000002</v>
      </c>
      <c r="EH13" s="105">
        <f t="shared" si="18"/>
        <v>0.52500000000000002</v>
      </c>
      <c r="EI13" s="105">
        <f t="shared" si="18"/>
        <v>0.52500000000000002</v>
      </c>
      <c r="EJ13" s="105">
        <f t="shared" si="18"/>
        <v>0.52500000000000002</v>
      </c>
    </row>
    <row r="14" spans="1:166">
      <c r="I14" s="74"/>
      <c r="J14" s="74">
        <v>1.3</v>
      </c>
      <c r="K14" s="74"/>
      <c r="L14" s="74"/>
      <c r="M14" s="74">
        <v>1.19</v>
      </c>
      <c r="N14" s="74">
        <v>1.19</v>
      </c>
      <c r="O14" s="74"/>
      <c r="P14" s="74">
        <v>1.1299999999999999</v>
      </c>
      <c r="Q14" s="74"/>
      <c r="R14" s="74"/>
      <c r="S14" s="74"/>
      <c r="T14" s="74"/>
      <c r="U14" s="74"/>
      <c r="V14" s="74"/>
      <c r="W14" s="74"/>
      <c r="X14" s="74"/>
      <c r="Y14" s="74"/>
      <c r="Z14" s="74"/>
      <c r="AA14" s="74"/>
      <c r="AB14" s="74"/>
      <c r="AC14" s="74"/>
      <c r="AD14" s="74"/>
      <c r="AE14" s="74"/>
      <c r="AF14" s="74"/>
      <c r="AG14" s="74"/>
      <c r="AH14" s="74"/>
      <c r="AI14" s="74"/>
      <c r="AJ14" s="74"/>
      <c r="AK14" s="74"/>
      <c r="AL14" s="74"/>
      <c r="AM14" s="74"/>
      <c r="AN14" s="74"/>
      <c r="AO14" s="74"/>
      <c r="AP14" s="74"/>
      <c r="AQ14" s="74"/>
      <c r="AR14" s="74"/>
      <c r="AS14" s="74"/>
      <c r="AT14" s="74">
        <f>274/83</f>
        <v>3.3012048192771086</v>
      </c>
      <c r="AU14" s="74"/>
      <c r="AV14" s="74"/>
      <c r="AX14" s="60">
        <v>2.58</v>
      </c>
    </row>
    <row r="15" spans="1:166" s="64" customFormat="1">
      <c r="I15" s="74"/>
      <c r="J15" s="74">
        <f>J14-J13</f>
        <v>-6.5617743262209594E-3</v>
      </c>
      <c r="K15" s="74"/>
      <c r="L15" s="74"/>
      <c r="M15" s="74">
        <f>M14-M13</f>
        <v>9.9596448174564811E-2</v>
      </c>
      <c r="N15" s="74">
        <f>N14-N13</f>
        <v>0.13748802764022861</v>
      </c>
      <c r="O15" s="74"/>
      <c r="P15" s="74">
        <f>P14-P13</f>
        <v>7.7133016794052489E-2</v>
      </c>
      <c r="Q15" s="74"/>
      <c r="R15" s="74"/>
      <c r="S15" s="74"/>
      <c r="T15" s="74"/>
      <c r="U15" s="74"/>
      <c r="V15" s="74"/>
      <c r="W15" s="74"/>
      <c r="X15" s="74"/>
      <c r="Y15" s="74"/>
      <c r="Z15" s="74"/>
      <c r="AA15" s="74"/>
      <c r="AB15" s="74"/>
      <c r="AC15" s="74"/>
      <c r="AD15" s="74"/>
      <c r="AE15" s="74"/>
      <c r="AF15" s="74"/>
      <c r="AG15" s="74"/>
      <c r="AH15" s="74"/>
      <c r="AI15" s="74"/>
      <c r="AJ15" s="74"/>
      <c r="AK15" s="74"/>
      <c r="AL15" s="74"/>
      <c r="AM15" s="74"/>
      <c r="AN15" s="74"/>
      <c r="AO15" s="74"/>
      <c r="AP15" s="74"/>
      <c r="AQ15" s="74"/>
      <c r="AR15" s="74"/>
      <c r="AS15" s="74"/>
      <c r="AT15" s="74">
        <f>AT14-AT13</f>
        <v>1.2968963749148053</v>
      </c>
      <c r="AU15" s="74"/>
      <c r="AW15" s="74"/>
      <c r="AX15" s="74">
        <f>AX14-AX13</f>
        <v>0.77003557175082404</v>
      </c>
    </row>
    <row r="17" spans="2:140" ht="13" thickBot="1"/>
    <row r="18" spans="2:140" ht="13" thickBot="1">
      <c r="D18" s="259"/>
      <c r="H18" s="106" t="s">
        <v>407</v>
      </c>
      <c r="I18" s="109">
        <f>I13+I12</f>
        <v>1.8377811884486146</v>
      </c>
      <c r="J18" s="109">
        <f>J13+J12</f>
        <v>1.8315617743262211</v>
      </c>
      <c r="K18" s="109">
        <f t="shared" ref="K18:BV18" si="19">K13+K12</f>
        <v>1.8413480503172162</v>
      </c>
      <c r="L18" s="109">
        <f t="shared" si="19"/>
        <v>1.7206104893985001</v>
      </c>
      <c r="M18" s="109">
        <f t="shared" si="19"/>
        <v>1.6154035518254353</v>
      </c>
      <c r="N18" s="109">
        <f t="shared" si="19"/>
        <v>1.5775119723597713</v>
      </c>
      <c r="O18" s="109">
        <f t="shared" si="19"/>
        <v>1.5763066647246835</v>
      </c>
      <c r="P18" s="109">
        <f t="shared" si="19"/>
        <v>1.5778669832059475</v>
      </c>
      <c r="Q18" s="109">
        <f t="shared" si="19"/>
        <v>1.5864706727112838</v>
      </c>
      <c r="R18" s="109">
        <f t="shared" si="19"/>
        <v>1.7157630272370463</v>
      </c>
      <c r="S18" s="109">
        <f t="shared" si="19"/>
        <v>1.9445194593011688</v>
      </c>
      <c r="T18" s="109">
        <f t="shared" si="19"/>
        <v>2.0480133680968211</v>
      </c>
      <c r="U18" s="109">
        <f t="shared" si="19"/>
        <v>2.0832767429024353</v>
      </c>
      <c r="V18" s="109">
        <f t="shared" si="19"/>
        <v>2.3137469773590129</v>
      </c>
      <c r="W18" s="109">
        <f t="shared" si="19"/>
        <v>2.7067563939356374</v>
      </c>
      <c r="X18" s="109">
        <f t="shared" si="19"/>
        <v>2.480119117354552</v>
      </c>
      <c r="Y18" s="109">
        <f t="shared" si="19"/>
        <v>2.4945131354107333</v>
      </c>
      <c r="Z18" s="109">
        <f t="shared" si="19"/>
        <v>2.2998910456818731</v>
      </c>
      <c r="AA18" s="109">
        <f t="shared" si="19"/>
        <v>2.3630938772961065</v>
      </c>
      <c r="AB18" s="109">
        <f t="shared" si="19"/>
        <v>2.441702397792179</v>
      </c>
      <c r="AC18" s="109">
        <f t="shared" si="19"/>
        <v>2.4756537506633802</v>
      </c>
      <c r="AD18" s="109">
        <f t="shared" si="19"/>
        <v>2.7872461405965887</v>
      </c>
      <c r="AE18" s="109">
        <f t="shared" si="19"/>
        <v>2.7934224842974342</v>
      </c>
      <c r="AF18" s="109">
        <f t="shared" si="19"/>
        <v>2.3140842682933114</v>
      </c>
      <c r="AG18" s="109">
        <f t="shared" si="19"/>
        <v>2.5174391653786277</v>
      </c>
      <c r="AH18" s="109">
        <f t="shared" si="19"/>
        <v>2.796094997565751</v>
      </c>
      <c r="AI18" s="109">
        <f t="shared" si="19"/>
        <v>2.7331397783423133</v>
      </c>
      <c r="AJ18" s="109">
        <f t="shared" si="19"/>
        <v>2.560437416012229</v>
      </c>
      <c r="AK18" s="109">
        <f t="shared" si="19"/>
        <v>2.4150163939644749</v>
      </c>
      <c r="AL18" s="109">
        <f t="shared" si="19"/>
        <v>2.5319339862347259</v>
      </c>
      <c r="AM18" s="109">
        <f t="shared" si="19"/>
        <v>2.5019982164943828</v>
      </c>
      <c r="AN18" s="109">
        <f t="shared" si="19"/>
        <v>2.3102566710744923</v>
      </c>
      <c r="AO18" s="109">
        <f t="shared" si="19"/>
        <v>2.4911461194002928</v>
      </c>
      <c r="AP18" s="109">
        <f t="shared" si="19"/>
        <v>2.5603151916293112</v>
      </c>
      <c r="AQ18" s="109">
        <f t="shared" si="19"/>
        <v>2.425540042253238</v>
      </c>
      <c r="AR18" s="109">
        <f t="shared" si="19"/>
        <v>2.2926807543807697</v>
      </c>
      <c r="AS18" s="109">
        <f t="shared" si="19"/>
        <v>2.276330640179614</v>
      </c>
      <c r="AT18" s="109">
        <f t="shared" si="19"/>
        <v>2.5293084443623033</v>
      </c>
      <c r="AU18" s="109">
        <f t="shared" si="19"/>
        <v>2.6278056836952608</v>
      </c>
      <c r="AV18" s="109">
        <f t="shared" si="19"/>
        <v>2.3647501188075575</v>
      </c>
      <c r="AW18" s="109">
        <f t="shared" si="19"/>
        <v>2.3983616359722553</v>
      </c>
      <c r="AX18" s="109">
        <f t="shared" si="19"/>
        <v>2.3349644282491759</v>
      </c>
      <c r="AY18" s="109">
        <f t="shared" si="19"/>
        <v>2.1487183399450718</v>
      </c>
      <c r="AZ18" s="109">
        <f t="shared" si="19"/>
        <v>2.1487183399450718</v>
      </c>
      <c r="BA18" s="109">
        <f t="shared" si="19"/>
        <v>2.1958148967551621</v>
      </c>
      <c r="BB18" s="109">
        <f t="shared" si="19"/>
        <v>2.2097066650163995</v>
      </c>
      <c r="BC18" s="109">
        <f t="shared" si="19"/>
        <v>2.2971082877391402</v>
      </c>
      <c r="BD18" s="109">
        <f t="shared" si="19"/>
        <v>2.3384687952672518</v>
      </c>
      <c r="BE18" s="109">
        <f t="shared" si="19"/>
        <v>2.3522324192432351</v>
      </c>
      <c r="BF18" s="109">
        <f t="shared" si="19"/>
        <v>2.3378169877514359</v>
      </c>
      <c r="BG18" s="109">
        <f t="shared" si="19"/>
        <v>2.4329703521663864</v>
      </c>
      <c r="BH18" s="109">
        <f t="shared" si="19"/>
        <v>2.580918824429149</v>
      </c>
      <c r="BI18" s="109">
        <f t="shared" si="19"/>
        <v>2.5788216753545887</v>
      </c>
      <c r="BJ18" s="109">
        <f t="shared" si="19"/>
        <v>2.6306461389259304</v>
      </c>
      <c r="BK18" s="109">
        <f t="shared" si="19"/>
        <v>2.6306461389259304</v>
      </c>
      <c r="BL18" s="109">
        <f t="shared" si="19"/>
        <v>2.652599557522124</v>
      </c>
      <c r="BM18" s="109">
        <f t="shared" si="19"/>
        <v>2.3754663874193431</v>
      </c>
      <c r="BN18" s="109">
        <f t="shared" si="19"/>
        <v>2.3736556409884422</v>
      </c>
      <c r="BO18" s="109">
        <f t="shared" si="19"/>
        <v>2.4203424182298452</v>
      </c>
      <c r="BP18" s="109">
        <f t="shared" si="19"/>
        <v>2.5264499378336867</v>
      </c>
      <c r="BQ18" s="109">
        <f t="shared" si="19"/>
        <v>2.5264499378336867</v>
      </c>
      <c r="BR18" s="109">
        <f t="shared" si="19"/>
        <v>2.5597220491088124</v>
      </c>
      <c r="BS18" s="109">
        <f t="shared" si="19"/>
        <v>2.3569829701792222</v>
      </c>
      <c r="BT18" s="109">
        <f t="shared" si="19"/>
        <v>2.3069117665414334</v>
      </c>
      <c r="BU18" s="109">
        <f t="shared" si="19"/>
        <v>2.2801380035893311</v>
      </c>
      <c r="BV18" s="109">
        <f t="shared" si="19"/>
        <v>2.3469313628817852</v>
      </c>
      <c r="BW18" s="109">
        <f t="shared" ref="BW18:CW18" si="20">BW13+BW12</f>
        <v>2.3539854169263368</v>
      </c>
      <c r="BX18" s="109">
        <f t="shared" si="20"/>
        <v>2.2740589555029289</v>
      </c>
      <c r="BY18" s="109">
        <f t="shared" si="20"/>
        <v>2.2735725116834042</v>
      </c>
      <c r="BZ18" s="109">
        <f t="shared" si="20"/>
        <v>2.2826836189836079</v>
      </c>
      <c r="CA18" s="109">
        <f t="shared" si="20"/>
        <v>2.3491953250438744</v>
      </c>
      <c r="CB18" s="109">
        <f t="shared" si="20"/>
        <v>2.3347397442367104</v>
      </c>
      <c r="CC18" s="109">
        <f t="shared" si="20"/>
        <v>2.3336018192126606</v>
      </c>
      <c r="CD18" s="109">
        <f t="shared" si="20"/>
        <v>2.3329553834808259</v>
      </c>
      <c r="CE18" s="109">
        <f t="shared" si="20"/>
        <v>2.2803527531956735</v>
      </c>
      <c r="CF18" s="109">
        <f t="shared" si="20"/>
        <v>2.2779254073508026</v>
      </c>
      <c r="CG18" s="109">
        <f t="shared" si="20"/>
        <v>2.3817419655333025</v>
      </c>
      <c r="CH18" s="109">
        <f t="shared" si="20"/>
        <v>2.4052491462563799</v>
      </c>
      <c r="CI18" s="109">
        <f t="shared" si="20"/>
        <v>2.5084480838198751</v>
      </c>
      <c r="CJ18" s="109">
        <f t="shared" si="20"/>
        <v>2.5064336527648754</v>
      </c>
      <c r="CK18" s="109">
        <f t="shared" si="20"/>
        <v>2.5064336527648754</v>
      </c>
      <c r="CL18" s="109">
        <f t="shared" si="20"/>
        <v>2.4774036816114995</v>
      </c>
      <c r="CM18" s="109">
        <f t="shared" si="20"/>
        <v>2.4075509678052853</v>
      </c>
      <c r="CN18" s="109">
        <f t="shared" si="20"/>
        <v>2.3601323149610156</v>
      </c>
      <c r="CO18" s="109">
        <f t="shared" si="20"/>
        <v>2.3601323149610156</v>
      </c>
      <c r="CP18" s="109">
        <f t="shared" si="20"/>
        <v>2.3601323149610156</v>
      </c>
      <c r="CQ18" s="109">
        <f t="shared" si="20"/>
        <v>2.3601323149610156</v>
      </c>
      <c r="CR18" s="109">
        <f t="shared" si="20"/>
        <v>2.4570246418618296</v>
      </c>
      <c r="CS18" s="109">
        <f t="shared" si="20"/>
        <v>2.4628306360925047</v>
      </c>
      <c r="CT18" s="109">
        <f t="shared" si="20"/>
        <v>2.458938540676272</v>
      </c>
      <c r="CU18" s="109">
        <f t="shared" si="20"/>
        <v>2.3644879551070592</v>
      </c>
      <c r="CV18" s="109">
        <f>CV13+CV12</f>
        <v>2.3269047242273375</v>
      </c>
      <c r="CW18" s="109">
        <f t="shared" si="20"/>
        <v>2.3269047242273375</v>
      </c>
      <c r="CX18" s="109">
        <f t="shared" ref="CX18:DC18" si="21">CX13+CX12</f>
        <v>2.2654466109112126</v>
      </c>
      <c r="CY18" s="109">
        <f t="shared" si="21"/>
        <v>2.1924558440127786</v>
      </c>
      <c r="CZ18" s="109">
        <f t="shared" si="21"/>
        <v>2.2870249688352402</v>
      </c>
      <c r="DA18" s="109">
        <f t="shared" si="21"/>
        <v>2.2853020928340766</v>
      </c>
      <c r="DB18" s="109">
        <f t="shared" si="21"/>
        <v>2.2272263135094992</v>
      </c>
      <c r="DC18" s="109">
        <f t="shared" si="21"/>
        <v>2.2472107090847988</v>
      </c>
      <c r="DD18" s="109">
        <f t="shared" ref="DD18:EJ18" si="22">DD13+DD12</f>
        <v>2.3158050101726224</v>
      </c>
      <c r="DE18" s="109">
        <f t="shared" si="22"/>
        <v>2.2841616568960581</v>
      </c>
      <c r="DF18" s="109">
        <f t="shared" si="22"/>
        <v>2.2303254029933068</v>
      </c>
      <c r="DG18" s="109">
        <f t="shared" si="22"/>
        <v>2.2370509038650632</v>
      </c>
      <c r="DH18" s="109">
        <f t="shared" si="22"/>
        <v>2.255014749262537</v>
      </c>
      <c r="DI18" s="109">
        <f t="shared" si="22"/>
        <v>2.3152004530575159</v>
      </c>
      <c r="DJ18" s="109">
        <f t="shared" si="22"/>
        <v>2.2039984361230744</v>
      </c>
      <c r="DK18" s="109">
        <f t="shared" si="22"/>
        <v>2.1214905431199029</v>
      </c>
      <c r="DL18" s="109">
        <f t="shared" si="22"/>
        <v>2.1260116002638685</v>
      </c>
      <c r="DM18" s="109">
        <f t="shared" si="22"/>
        <v>2.1546646837782593</v>
      </c>
      <c r="DN18" s="109">
        <f t="shared" si="22"/>
        <v>2.1052394514252186</v>
      </c>
      <c r="DO18" s="109">
        <f t="shared" si="22"/>
        <v>2.1312245544747555</v>
      </c>
      <c r="DP18" s="109">
        <f t="shared" si="22"/>
        <v>2.1297373129967987</v>
      </c>
      <c r="DQ18" s="109">
        <f t="shared" si="22"/>
        <v>2.1514777665518374</v>
      </c>
      <c r="DR18" s="109">
        <f t="shared" si="22"/>
        <v>2.0936772400063126</v>
      </c>
      <c r="DS18" s="109">
        <f t="shared" si="22"/>
        <v>2.1296763244029577</v>
      </c>
      <c r="DT18" s="109" t="e">
        <f t="shared" si="22"/>
        <v>#DIV/0!</v>
      </c>
      <c r="DU18" s="109" t="e">
        <f t="shared" si="22"/>
        <v>#DIV/0!</v>
      </c>
      <c r="DV18" s="109" t="e">
        <f t="shared" si="22"/>
        <v>#DIV/0!</v>
      </c>
      <c r="DW18" s="109" t="e">
        <f t="shared" si="22"/>
        <v>#DIV/0!</v>
      </c>
      <c r="DX18" s="109">
        <f t="shared" si="22"/>
        <v>1.05</v>
      </c>
      <c r="DY18" s="109">
        <f t="shared" si="22"/>
        <v>1.05</v>
      </c>
      <c r="DZ18" s="109">
        <f t="shared" si="22"/>
        <v>1.05</v>
      </c>
      <c r="EA18" s="109">
        <f t="shared" si="22"/>
        <v>1.05</v>
      </c>
      <c r="EB18" s="109">
        <f t="shared" si="22"/>
        <v>1.05</v>
      </c>
      <c r="EC18" s="109">
        <f t="shared" si="22"/>
        <v>1.05</v>
      </c>
      <c r="ED18" s="109">
        <f t="shared" si="22"/>
        <v>1.05</v>
      </c>
      <c r="EE18" s="109">
        <f t="shared" si="22"/>
        <v>1.05</v>
      </c>
      <c r="EF18" s="109">
        <f t="shared" si="22"/>
        <v>1.05</v>
      </c>
      <c r="EG18" s="109">
        <f t="shared" si="22"/>
        <v>1.05</v>
      </c>
      <c r="EH18" s="109">
        <f t="shared" si="22"/>
        <v>1.05</v>
      </c>
      <c r="EI18" s="109">
        <f t="shared" si="22"/>
        <v>1.05</v>
      </c>
      <c r="EJ18" s="109">
        <f t="shared" si="22"/>
        <v>1.05</v>
      </c>
    </row>
    <row r="20" spans="2:140">
      <c r="B20" s="65"/>
      <c r="BL20" s="65"/>
    </row>
    <row r="25" spans="2:140" ht="15">
      <c r="AR25" s="11"/>
    </row>
    <row r="26" spans="2:140" ht="15">
      <c r="AR26" s="11"/>
    </row>
    <row r="27" spans="2:140" ht="15">
      <c r="AR27" s="260"/>
    </row>
  </sheetData>
  <conditionalFormatting sqref="I15 Z15:AB15 AE15:AF15 AH15:AJ15 AL15 AP15 AR15:AS15 AU15 Q15:X15 O15 K15:L15">
    <cfRule type="top10" dxfId="17" priority="1" bottom="1" rank="1"/>
  </conditionalFormatting>
  <pageMargins left="0.7" right="0.7" top="0.75" bottom="0.75" header="0.3" footer="0.3"/>
  <pageSetup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ED25"/>
  <sheetViews>
    <sheetView workbookViewId="0">
      <pane xSplit="12" ySplit="6" topLeftCell="ED7" activePane="bottomRight" state="frozen"/>
      <selection pane="topRight" activeCell="M1" sqref="M1"/>
      <selection pane="bottomLeft" activeCell="A7" sqref="A7"/>
      <selection pane="bottomRight" activeCell="K16" sqref="K16"/>
    </sheetView>
  </sheetViews>
  <sheetFormatPr baseColWidth="10" defaultColWidth="22.6640625" defaultRowHeight="12"/>
  <cols>
    <col min="1" max="1" width="13.33203125" style="60" bestFit="1" customWidth="1"/>
    <col min="2" max="2" width="11.33203125" style="60" bestFit="1" customWidth="1"/>
    <col min="3" max="3" width="4.83203125" style="60" bestFit="1" customWidth="1"/>
    <col min="4" max="4" width="12.33203125" style="60" bestFit="1" customWidth="1"/>
    <col min="5" max="5" width="7.5" style="60" bestFit="1" customWidth="1"/>
    <col min="6" max="6" width="6.5" style="60" bestFit="1" customWidth="1"/>
    <col min="7" max="7" width="3.33203125" style="60" bestFit="1" customWidth="1"/>
    <col min="8" max="8" width="14.5" style="60" bestFit="1" customWidth="1"/>
    <col min="9" max="10" width="5.5" style="60" bestFit="1" customWidth="1"/>
    <col min="11" max="11" width="5.6640625" style="60" bestFit="1" customWidth="1"/>
    <col min="12" max="12" width="5.5" style="60" bestFit="1" customWidth="1"/>
    <col min="13" max="13" width="5.83203125" style="60" bestFit="1" customWidth="1"/>
    <col min="14" max="18" width="5.5" style="60" bestFit="1" customWidth="1"/>
    <col min="19" max="19" width="5.6640625" style="60" bestFit="1" customWidth="1"/>
    <col min="20" max="22" width="5.5" style="60" bestFit="1" customWidth="1"/>
    <col min="23" max="25" width="6.1640625" style="60" bestFit="1" customWidth="1"/>
    <col min="26" max="29" width="5.5" style="60" bestFit="1" customWidth="1"/>
    <col min="30" max="30" width="6.1640625" style="60" bestFit="1" customWidth="1"/>
    <col min="31" max="31" width="5.6640625" style="60" bestFit="1" customWidth="1"/>
    <col min="32" max="33" width="5.5" style="60" bestFit="1" customWidth="1"/>
    <col min="34" max="38" width="6.1640625" style="60" bestFit="1" customWidth="1"/>
    <col min="39" max="42" width="5.5" style="60" bestFit="1" customWidth="1"/>
    <col min="43" max="43" width="5.6640625" style="60" bestFit="1" customWidth="1"/>
    <col min="44" max="46" width="5.5" style="60" bestFit="1" customWidth="1"/>
    <col min="47" max="47" width="5.6640625" style="60" bestFit="1" customWidth="1"/>
    <col min="48" max="48" width="5.5" style="60" bestFit="1" customWidth="1"/>
    <col min="49" max="49" width="5.83203125" style="60" bestFit="1" customWidth="1"/>
    <col min="50" max="51" width="5.5" style="60" bestFit="1" customWidth="1"/>
    <col min="52" max="54" width="7" style="60" bestFit="1" customWidth="1"/>
    <col min="55" max="56" width="5.5" style="60" bestFit="1" customWidth="1"/>
    <col min="57" max="58" width="5.83203125" style="60" bestFit="1" customWidth="1"/>
    <col min="59" max="70" width="5.6640625" style="60" bestFit="1" customWidth="1"/>
    <col min="71" max="82" width="5.5" style="60" bestFit="1" customWidth="1"/>
    <col min="83" max="83" width="6.1640625" style="60" bestFit="1" customWidth="1"/>
    <col min="84" max="86" width="5.6640625" style="60" bestFit="1" customWidth="1"/>
    <col min="87" max="90" width="5.5" style="60" bestFit="1" customWidth="1"/>
    <col min="91" max="95" width="6.33203125" style="60" bestFit="1" customWidth="1"/>
    <col min="96" max="99" width="6.1640625" style="60" bestFit="1" customWidth="1"/>
    <col min="100" max="100" width="5.5" style="60" bestFit="1" customWidth="1"/>
    <col min="101" max="103" width="5.1640625" style="60" bestFit="1" customWidth="1"/>
    <col min="104" max="107" width="5.83203125" style="60" bestFit="1" customWidth="1"/>
    <col min="108" max="109" width="5.6640625" style="60" bestFit="1" customWidth="1"/>
    <col min="110" max="134" width="6.5" style="60" bestFit="1" customWidth="1"/>
    <col min="135" max="16384" width="22.6640625" style="60"/>
  </cols>
  <sheetData>
    <row r="1" spans="1:134" ht="26">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row>
    <row r="2" spans="1:134">
      <c r="A2" s="44" t="s">
        <v>757</v>
      </c>
      <c r="B2" s="112"/>
      <c r="C2" s="101">
        <v>1</v>
      </c>
      <c r="D2" s="282">
        <v>74.12</v>
      </c>
      <c r="E2" s="60">
        <f>D2*C2</f>
        <v>74.12</v>
      </c>
      <c r="K2" s="102"/>
      <c r="M2" s="102"/>
    </row>
    <row r="3" spans="1:134">
      <c r="A3" s="100"/>
      <c r="B3" s="64"/>
      <c r="D3" s="100"/>
      <c r="E3" s="64"/>
      <c r="F3" s="103"/>
    </row>
    <row r="4" spans="1:134">
      <c r="A4" s="64"/>
      <c r="B4" s="64"/>
      <c r="D4" s="64"/>
      <c r="E4" s="64"/>
      <c r="H4" s="60" t="s">
        <v>387</v>
      </c>
    </row>
    <row r="5" spans="1:134">
      <c r="A5" s="74"/>
      <c r="B5" s="74"/>
    </row>
    <row r="6" spans="1:134">
      <c r="A6" s="59"/>
      <c r="B6" s="59"/>
      <c r="C6" s="59"/>
      <c r="D6" s="98"/>
      <c r="E6" s="98"/>
      <c r="F6" s="59"/>
      <c r="H6" s="59" t="s">
        <v>416</v>
      </c>
      <c r="I6" s="59">
        <v>43831</v>
      </c>
      <c r="J6" s="59">
        <v>43862</v>
      </c>
      <c r="K6" s="59">
        <v>43891</v>
      </c>
      <c r="L6" s="59">
        <v>43922</v>
      </c>
      <c r="M6" s="59">
        <v>43952</v>
      </c>
      <c r="N6" s="59">
        <v>43983</v>
      </c>
      <c r="O6" s="59">
        <v>44013</v>
      </c>
      <c r="P6" s="59">
        <v>44044</v>
      </c>
      <c r="Q6" s="59">
        <v>44075</v>
      </c>
      <c r="R6" s="59">
        <v>44105</v>
      </c>
      <c r="S6" s="59">
        <v>44136</v>
      </c>
      <c r="T6" s="59">
        <v>44166</v>
      </c>
      <c r="U6" s="59">
        <v>44197</v>
      </c>
      <c r="V6" s="59">
        <v>44228</v>
      </c>
      <c r="W6" s="59">
        <v>44256</v>
      </c>
      <c r="X6" s="59">
        <v>44287</v>
      </c>
      <c r="Y6" s="59">
        <v>44317</v>
      </c>
      <c r="Z6" s="59">
        <v>44348</v>
      </c>
      <c r="AA6" s="59">
        <v>44378</v>
      </c>
      <c r="AB6" s="59">
        <v>44409</v>
      </c>
      <c r="AC6" s="59">
        <v>44440</v>
      </c>
      <c r="AD6" s="59">
        <v>44470</v>
      </c>
      <c r="AE6" s="59">
        <v>44501</v>
      </c>
      <c r="AF6" s="59">
        <v>44531</v>
      </c>
      <c r="AG6" s="59">
        <v>44562</v>
      </c>
      <c r="AH6" s="59">
        <v>44593</v>
      </c>
      <c r="AI6" s="59">
        <v>44621</v>
      </c>
      <c r="AJ6" s="59">
        <v>44652</v>
      </c>
      <c r="AK6" s="59">
        <v>44682</v>
      </c>
      <c r="AL6" s="59">
        <v>44713</v>
      </c>
      <c r="AM6" s="59">
        <v>44743</v>
      </c>
      <c r="AN6" s="59">
        <v>44774</v>
      </c>
      <c r="AO6" s="59">
        <v>44805</v>
      </c>
      <c r="AP6" s="59">
        <v>44835</v>
      </c>
      <c r="AQ6" s="59">
        <v>44866</v>
      </c>
      <c r="AR6" s="59">
        <v>44896</v>
      </c>
      <c r="AS6" s="59">
        <v>44927</v>
      </c>
      <c r="AT6" s="59">
        <v>44958</v>
      </c>
      <c r="AU6" s="59">
        <v>44986</v>
      </c>
      <c r="AV6" s="59">
        <v>45017</v>
      </c>
      <c r="AW6" s="59">
        <v>45047</v>
      </c>
      <c r="AX6" s="59">
        <v>45078</v>
      </c>
      <c r="AY6" s="59">
        <v>45108</v>
      </c>
      <c r="AZ6" s="59" t="s">
        <v>530</v>
      </c>
      <c r="BA6" s="59" t="s">
        <v>531</v>
      </c>
      <c r="BB6" s="59" t="s">
        <v>532</v>
      </c>
      <c r="BC6" s="59">
        <v>37104</v>
      </c>
      <c r="BD6" s="59">
        <v>37469</v>
      </c>
      <c r="BE6" s="59" t="s">
        <v>168</v>
      </c>
      <c r="BF6" s="59" t="s">
        <v>169</v>
      </c>
      <c r="BG6" s="59" t="s">
        <v>421</v>
      </c>
      <c r="BH6" s="59" t="s">
        <v>422</v>
      </c>
      <c r="BI6" s="59" t="s">
        <v>423</v>
      </c>
      <c r="BJ6" s="59" t="s">
        <v>424</v>
      </c>
      <c r="BK6" s="59" t="s">
        <v>435</v>
      </c>
      <c r="BL6" s="59" t="s">
        <v>436</v>
      </c>
      <c r="BM6" s="59" t="s">
        <v>437</v>
      </c>
      <c r="BN6" s="59" t="s">
        <v>438</v>
      </c>
      <c r="BO6" s="59">
        <v>37196</v>
      </c>
      <c r="BP6" s="59">
        <v>37561</v>
      </c>
      <c r="BQ6" s="59">
        <v>37926</v>
      </c>
      <c r="BR6" s="59">
        <v>38292</v>
      </c>
      <c r="BS6" s="59">
        <v>37226</v>
      </c>
      <c r="BT6" s="59">
        <v>37591</v>
      </c>
      <c r="BU6" s="59">
        <v>37956</v>
      </c>
      <c r="BV6" s="59">
        <v>38322</v>
      </c>
      <c r="BW6" s="59">
        <v>36892</v>
      </c>
      <c r="BX6" s="59">
        <v>37257</v>
      </c>
      <c r="BY6" s="59">
        <v>37622</v>
      </c>
      <c r="BZ6" s="59">
        <v>37987</v>
      </c>
      <c r="CA6" s="59">
        <v>36923</v>
      </c>
      <c r="CB6" s="59">
        <v>37288</v>
      </c>
      <c r="CC6" s="59">
        <v>37653</v>
      </c>
      <c r="CD6" s="59">
        <v>38018</v>
      </c>
      <c r="CE6" s="59" t="str">
        <f>Sheet8!A15</f>
        <v>Mar-w1</v>
      </c>
      <c r="CF6" s="59">
        <v>37316</v>
      </c>
      <c r="CG6" s="59">
        <v>37681</v>
      </c>
      <c r="CH6" s="59">
        <v>38047</v>
      </c>
      <c r="CI6" s="59" t="str">
        <f>Sheet8!E15</f>
        <v>Apr-w1</v>
      </c>
      <c r="CJ6" s="59" t="str">
        <f>Sheet8!F15</f>
        <v>Apr-w2</v>
      </c>
      <c r="CK6" s="59" t="str">
        <f>Sheet8!G15</f>
        <v>Apr-w3</v>
      </c>
      <c r="CL6" s="59" t="str">
        <f>Sheet8!H15</f>
        <v>Apr-w4</v>
      </c>
      <c r="CM6" s="59" t="str">
        <f>Sheet8!I15</f>
        <v>May-w1</v>
      </c>
      <c r="CN6" s="59" t="str">
        <f>Sheet8!J15</f>
        <v>May-w2</v>
      </c>
      <c r="CO6" s="59" t="str">
        <f>Sheet8!K15</f>
        <v>May-w3</v>
      </c>
      <c r="CP6" s="59" t="str">
        <f>Sheet8!L15</f>
        <v>May-w4</v>
      </c>
      <c r="CQ6" s="59" t="str">
        <f>Sheet8!M15</f>
        <v>May-w5</v>
      </c>
      <c r="CR6" s="59" t="str">
        <f>Sheet8!N15</f>
        <v>june-w1</v>
      </c>
      <c r="CS6" s="59" t="str">
        <f>Sheet8!O15</f>
        <v>june-w2</v>
      </c>
      <c r="CT6" s="59" t="str">
        <f>Sheet8!P15</f>
        <v>june-w3</v>
      </c>
      <c r="CU6" s="59" t="str">
        <f>Sheet8!Q15</f>
        <v>june-w4</v>
      </c>
      <c r="CV6" s="59" t="str">
        <f>Sheet8!R15</f>
        <v>Jul-w1</v>
      </c>
      <c r="CW6" s="59" t="str">
        <f>Sheet8!S15</f>
        <v>Jul-w2</v>
      </c>
      <c r="CX6" s="59" t="str">
        <f>Sheet8!T15</f>
        <v>Jul-w3</v>
      </c>
      <c r="CY6" s="59" t="str">
        <f>Sheet8!U15</f>
        <v>Jul-w4</v>
      </c>
      <c r="CZ6" s="59" t="str">
        <f>Sheet8!V15</f>
        <v>Aug-w1</v>
      </c>
      <c r="DA6" s="59" t="str">
        <f>Sheet8!W15</f>
        <v>Aug-w2</v>
      </c>
      <c r="DB6" s="59" t="str">
        <f>Sheet8!X15</f>
        <v>Aug-w3</v>
      </c>
      <c r="DC6" s="59" t="str">
        <f>Sheet8!Y15</f>
        <v>Aug-w4</v>
      </c>
      <c r="DD6" s="59" t="str">
        <f>Sheet8!Z15</f>
        <v>Sep-w1</v>
      </c>
      <c r="DE6" s="59" t="str">
        <f>Sheet8!AA15</f>
        <v>Sep-w2</v>
      </c>
      <c r="DF6" s="59" t="str">
        <f>Sheet8!AB15</f>
        <v>Sep-w3</v>
      </c>
      <c r="DG6" s="59" t="str">
        <f>Sheet8!AC15</f>
        <v>Sep-w4</v>
      </c>
      <c r="DH6" s="59" t="str">
        <f>Sheet8!AD15</f>
        <v>Oct-w1</v>
      </c>
      <c r="DI6" s="59" t="str">
        <f>Sheet8!AE15</f>
        <v>Oct-w2</v>
      </c>
      <c r="DJ6" s="59" t="str">
        <f>Sheet8!AF15</f>
        <v>Oct-w3</v>
      </c>
      <c r="DK6" s="59" t="str">
        <f>Sheet8!AG15</f>
        <v>Oct-w4</v>
      </c>
      <c r="DL6" s="59" t="str">
        <f>Sheet8!AH15</f>
        <v>Nov-w1</v>
      </c>
      <c r="DM6" s="59" t="str">
        <f>Sheet8!AI15</f>
        <v>Nov-w2</v>
      </c>
      <c r="DN6" s="59" t="str">
        <f>Sheet8!AJ15</f>
        <v>Nov-w3</v>
      </c>
      <c r="DO6" s="59" t="str">
        <f>Sheet8!AK15</f>
        <v>Nov-w4</v>
      </c>
      <c r="DP6" s="59" t="str">
        <f>Sheet8!AL15</f>
        <v>Dec-w1</v>
      </c>
      <c r="DQ6" s="59" t="str">
        <f>Sheet8!AM15</f>
        <v>Dec-w2</v>
      </c>
      <c r="DR6" s="59" t="str">
        <f>Sheet8!AN15</f>
        <v>Dec-w3</v>
      </c>
      <c r="DS6" s="59" t="str">
        <f>Sheet8!AO15</f>
        <v>Dec-w4</v>
      </c>
      <c r="DT6" s="59">
        <f>Sheet8!AP15</f>
        <v>0</v>
      </c>
      <c r="DU6" s="59">
        <f>Sheet8!AQ15</f>
        <v>0</v>
      </c>
      <c r="DV6" s="59">
        <f>Sheet8!AR15</f>
        <v>0</v>
      </c>
      <c r="DW6" s="59">
        <f>Sheet8!AS15</f>
        <v>0</v>
      </c>
      <c r="DX6" s="59">
        <f>Sheet8!AT15</f>
        <v>0</v>
      </c>
      <c r="DY6" s="59">
        <f>Sheet8!AU15</f>
        <v>0</v>
      </c>
      <c r="DZ6" s="59">
        <f>Sheet8!AV15</f>
        <v>0</v>
      </c>
      <c r="EA6" s="59">
        <f>Sheet8!AW15</f>
        <v>0</v>
      </c>
      <c r="EB6" s="59">
        <f>Sheet8!AX15</f>
        <v>0</v>
      </c>
      <c r="EC6" s="59">
        <f>Sheet8!AY15</f>
        <v>0</v>
      </c>
      <c r="ED6" s="59">
        <f>Sheet8!AZ15</f>
        <v>0</v>
      </c>
    </row>
    <row r="7" spans="1:134">
      <c r="B7" s="44"/>
      <c r="D7" s="44"/>
      <c r="F7" s="60" t="s">
        <v>651</v>
      </c>
      <c r="H7" s="178" t="s">
        <v>114</v>
      </c>
      <c r="I7" s="74">
        <f>VLOOKUP($H$7&amp;$F$1,'Input RM sheet'!$A:$BD,H1,0)</f>
        <v>950</v>
      </c>
      <c r="J7" s="74">
        <f>VLOOKUP($H$7&amp;$F$1,'Input RM sheet'!$A:$BD,I1,0)</f>
        <v>810</v>
      </c>
      <c r="K7" s="74">
        <f>VLOOKUP($H$7&amp;$F$1,'Input RM sheet'!$A:$BD,J1,0)</f>
        <v>780</v>
      </c>
      <c r="L7" s="74">
        <f>VLOOKUP($H$7&amp;$F$1,'Input RM sheet'!$A:$BD,K1,0)</f>
        <v>560</v>
      </c>
      <c r="M7" s="74">
        <f>VLOOKUP($H$7&amp;$F$1,'Input RM sheet'!$A:$BD,L1,0)</f>
        <v>680</v>
      </c>
      <c r="N7" s="74">
        <f>VLOOKUP($H$7&amp;$F$1,'Input RM sheet'!$A:$BD,M1,0)</f>
        <v>720</v>
      </c>
      <c r="O7" s="74">
        <f>VLOOKUP($H$7&amp;$F$1,'Input RM sheet'!$A:$BD,N1,0)</f>
        <v>780</v>
      </c>
      <c r="P7" s="74">
        <f>VLOOKUP($H$7&amp;$F$1,'Input RM sheet'!$A:$BD,O1,0)</f>
        <v>780</v>
      </c>
      <c r="Q7" s="74">
        <f>VLOOKUP($H$7&amp;$F$1,'Input RM sheet'!$A:$BD,P1,0)</f>
        <v>850</v>
      </c>
      <c r="R7" s="74">
        <f>VLOOKUP($H$7&amp;$F$1,'Input RM sheet'!$A:$BD,Q1,0)</f>
        <v>860</v>
      </c>
      <c r="S7" s="74">
        <f>VLOOKUP($H$7&amp;$F$1,'Input RM sheet'!$A:$BD,R1,0)</f>
        <v>850</v>
      </c>
      <c r="T7" s="74">
        <f>VLOOKUP($H$7&amp;$F$1,'Input RM sheet'!$A:$BD,S1,0)</f>
        <v>940</v>
      </c>
      <c r="U7" s="74">
        <f>VLOOKUP($H$7&amp;$F$1,'Input RM sheet'!$A:$BD,T1,0)</f>
        <v>920</v>
      </c>
      <c r="V7" s="74">
        <f>VLOOKUP($H$7&amp;$F$1,'Input RM sheet'!$A:$BD,U1,0)</f>
        <v>930</v>
      </c>
      <c r="W7" s="74">
        <f>VLOOKUP($H$7&amp;$F$1,'Input RM sheet'!$A:$BD,V1,0)</f>
        <v>1150</v>
      </c>
      <c r="X7" s="74">
        <f>VLOOKUP($H$7&amp;$F$1,'Input RM sheet'!$A:$BD,W1,0)</f>
        <v>1060</v>
      </c>
      <c r="Y7" s="74">
        <f>VLOOKUP($H$7&amp;$F$1,'Input RM sheet'!$A:$BD,X1,0)</f>
        <v>1090</v>
      </c>
      <c r="Z7" s="74">
        <f>VLOOKUP($H$7&amp;$F$1,'Input RM sheet'!$A:$BD,Y1,0)</f>
        <v>920</v>
      </c>
      <c r="AA7" s="74">
        <f>VLOOKUP($H$7&amp;$F$1,'Input RM sheet'!$A:$BD,Z1,0)</f>
        <v>940</v>
      </c>
      <c r="AB7" s="74">
        <f>VLOOKUP($H$7&amp;$F$1,'Input RM sheet'!$A:$BD,AA1,0)</f>
        <v>940</v>
      </c>
      <c r="AC7" s="74">
        <f>VLOOKUP($H$7&amp;$F$1,'Input RM sheet'!$A:$BD,AB1,0)</f>
        <v>940</v>
      </c>
      <c r="AD7" s="74">
        <f>VLOOKUP($H$7&amp;$F$1,'Input RM sheet'!$A:$BD,AC1,0)</f>
        <v>1020</v>
      </c>
      <c r="AE7" s="74">
        <f>VLOOKUP($H$7&amp;$F$1,'Input RM sheet'!$A:$BD,AD1,0)</f>
        <v>960</v>
      </c>
      <c r="AF7" s="74">
        <f>VLOOKUP($H$7&amp;$F$1,'Input RM sheet'!$A:$BD,AE1,0)</f>
        <v>900</v>
      </c>
      <c r="AG7" s="74">
        <f>VLOOKUP($H$7&amp;$F$1,'Input RM sheet'!$A:$BD,AF1,0)</f>
        <v>950</v>
      </c>
      <c r="AH7" s="74">
        <f>VLOOKUP($H$7&amp;$F$1,'Input RM sheet'!$A:$BD,AG1,0)</f>
        <v>1200</v>
      </c>
      <c r="AI7" s="74">
        <f>VLOOKUP($H$7&amp;$F$1,'Input RM sheet'!$A:$BD,AH1,0)</f>
        <v>1320</v>
      </c>
      <c r="AJ7" s="74">
        <f>VLOOKUP($H$7&amp;$F$1,'Input RM sheet'!$A:$BD,AI1,0)</f>
        <v>1290</v>
      </c>
      <c r="AK7" s="74">
        <f>VLOOKUP($H$7&amp;$F$1,'Input RM sheet'!$A:$BD,AJ1,0)</f>
        <v>1200</v>
      </c>
      <c r="AL7" s="74">
        <f>VLOOKUP($H$7&amp;$F$1,'Input RM sheet'!$A:$BD,AK1,0)</f>
        <v>1040</v>
      </c>
      <c r="AM7" s="74">
        <f>VLOOKUP($H$7&amp;$F$1,'Input RM sheet'!$A:$BD,AL1,0)</f>
        <v>950</v>
      </c>
      <c r="AN7" s="74">
        <f>VLOOKUP($H$7&amp;$F$1,'Input RM sheet'!$A:$BD,AM1,0)</f>
        <v>890</v>
      </c>
      <c r="AO7" s="74">
        <f>VLOOKUP($H$7&amp;$F$1,'Input RM sheet'!$A:$BD,AN1,0)</f>
        <v>890</v>
      </c>
      <c r="AP7" s="74">
        <f>VLOOKUP($H$7&amp;$F$1,'Input RM sheet'!$A:$BD,AO1,0)</f>
        <v>890</v>
      </c>
      <c r="AQ7" s="74">
        <f>VLOOKUP($H$7&amp;$F$1,'Input RM sheet'!$A:$BD,AP1,0)</f>
        <v>850</v>
      </c>
      <c r="AR7" s="74">
        <f>VLOOKUP($H$7&amp;$F$1,'Input RM sheet'!$A:$BD,AQ1,0)</f>
        <v>880</v>
      </c>
      <c r="AS7" s="74">
        <f>VLOOKUP($H$7&amp;$F$1,'Input RM sheet'!$A:$BD,AR1,0)</f>
        <v>880</v>
      </c>
      <c r="AT7" s="74">
        <f>VLOOKUP($H$7&amp;$F$1,'Input RM sheet'!$A:$BD,AS1,0)</f>
        <v>980</v>
      </c>
      <c r="AU7" s="74">
        <f>VLOOKUP($H$7&amp;$F$1,'Input RM sheet'!$A:$BD,AT1,0)</f>
        <v>920</v>
      </c>
      <c r="AV7" s="74">
        <f>VLOOKUP($H$7&amp;$F$1,'Input RM sheet'!$A:$BD,AU1,0)</f>
        <v>940</v>
      </c>
      <c r="AW7" s="74">
        <f>VLOOKUP($H$7&amp;$F$1,'Input RM sheet'!$A:$BD,AV1,0)</f>
        <v>890</v>
      </c>
      <c r="AX7" s="74">
        <f>VLOOKUP($H$7&amp;$F$1,'Input RM sheet'!$A:$BD,AW1,0)</f>
        <v>750</v>
      </c>
      <c r="AY7" s="74">
        <f>VLOOKUP($H$7&amp;$F$1,'Input RM sheet'!$A:$BD,AX1,0)</f>
        <v>730</v>
      </c>
      <c r="AZ7" s="74">
        <f>VLOOKUP($H$7&amp;$F$1,'Input RM sheet'!$A:$BD,AY1,0)</f>
        <v>730</v>
      </c>
      <c r="BA7" s="74">
        <f>VLOOKUP($H$7&amp;$F$1,'Input RM sheet'!$A:$BD,AZ1,0)</f>
        <v>754</v>
      </c>
      <c r="BB7" s="74">
        <f>VLOOKUP($H$7&amp;$F$1,'Input RM sheet'!$A:$BD,BA1,0)</f>
        <v>778</v>
      </c>
      <c r="BC7" s="74">
        <f>VLOOKUP($H$7&amp;$F$1,'Input RM sheet'!$A:$BD,BB1,0)</f>
        <v>785</v>
      </c>
      <c r="BD7" s="74">
        <f>VLOOKUP($H$7&amp;$F$1,'Input RM sheet'!$A:$BD,BC1,0)</f>
        <v>825</v>
      </c>
      <c r="BE7" s="74">
        <f>VLOOKUP($H$7&amp;$F$1,'Input RM sheet'!$A:$BD,BD1,0)</f>
        <v>854</v>
      </c>
      <c r="BF7" s="74">
        <f>VLOOKUP($H$7&amp;$F$1,'Input RM sheet'!$A:$BD,BE1,0)</f>
        <v>854</v>
      </c>
      <c r="BG7" s="74">
        <f>VLOOKUP($H$7&amp;$F$1,'Input RM sheet'!$A:$DD,BF1,0)</f>
        <v>842</v>
      </c>
      <c r="BH7" s="74">
        <f>VLOOKUP($H$7&amp;$F$1,'Input RM sheet'!$A:$DD,BG1,0)</f>
        <v>830</v>
      </c>
      <c r="BI7" s="74">
        <f>VLOOKUP($H$7&amp;$F$1,'Input RM sheet'!$A:$DD,BH1,0)</f>
        <v>814</v>
      </c>
      <c r="BJ7" s="74">
        <f>VLOOKUP($H$7&amp;$F$1,'Input RM sheet'!$A:$DD,BI1,0)</f>
        <v>805</v>
      </c>
      <c r="BK7" s="74">
        <f>VLOOKUP($H$7&amp;$F$1,'Input RM sheet'!$A:$DD,BJ1,0)</f>
        <v>805</v>
      </c>
      <c r="BL7" s="74">
        <f>VLOOKUP($H$7&amp;$F$1,'Input RM sheet'!$A:$DD,BK1,0)</f>
        <v>799</v>
      </c>
      <c r="BM7" s="74">
        <f>VLOOKUP($H$7&amp;$F$1,'Input RM sheet'!$A:$DD,BL1,0)</f>
        <v>799</v>
      </c>
      <c r="BN7" s="74">
        <f>VLOOKUP($H$7&amp;$F$1,'Input RM sheet'!$A:$DD,BM1,0)</f>
        <v>794</v>
      </c>
      <c r="BO7" s="74">
        <f>VLOOKUP($H$7&amp;$F$1,'Input RM sheet'!$A:$DD,BN1,0)</f>
        <v>794</v>
      </c>
      <c r="BP7" s="74">
        <f>VLOOKUP($H$7&amp;$F$1,'Input RM sheet'!$A:$DD,BO1,0)</f>
        <v>799</v>
      </c>
      <c r="BQ7" s="74">
        <f>VLOOKUP($H$7&amp;$F$1,'Input RM sheet'!$A:$DD,BP1,0)</f>
        <v>799</v>
      </c>
      <c r="BR7" s="74">
        <f>VLOOKUP($H$7&amp;$F$1,'Input RM sheet'!$A:$DD,BQ1,0)</f>
        <v>804</v>
      </c>
      <c r="BS7" s="74">
        <f>VLOOKUP($H$7&amp;$F$1,'Input RM sheet'!$A:$DD,BR1,0)</f>
        <v>799</v>
      </c>
      <c r="BT7" s="74">
        <f>VLOOKUP($H$7&amp;$F$1,'Input RM sheet'!$A:$DD,BS1,0)</f>
        <v>799</v>
      </c>
      <c r="BU7" s="74">
        <f>VLOOKUP($H$7&amp;$F$1,'Input RM sheet'!$A:$DD,BT1,0)</f>
        <v>798</v>
      </c>
      <c r="BV7" s="74">
        <f>VLOOKUP($H$7&amp;$F$1,'Input RM sheet'!$A:$DD,BU1,0)</f>
        <v>804</v>
      </c>
      <c r="BW7" s="74">
        <f>VLOOKUP($H$7&amp;$F$1,'Input RM sheet'!$A:$DD,BV1,0)</f>
        <v>838</v>
      </c>
      <c r="BX7" s="74">
        <f>VLOOKUP($H$7&amp;$F$1,'Input RM sheet'!$A:$DD,BW1,0)</f>
        <v>920</v>
      </c>
      <c r="BY7" s="74">
        <f>VLOOKUP($H$7&amp;$F$1,'Input RM sheet'!$A:$DD,BX1,0)</f>
        <v>940</v>
      </c>
      <c r="BZ7" s="74">
        <f>VLOOKUP($H$7&amp;$F$1,'Input RM sheet'!$A:$DD,BY1,0)</f>
        <v>998</v>
      </c>
      <c r="CA7" s="74">
        <f>VLOOKUP($H$7&amp;$F$1,'Input RM sheet'!$A:$DD,BZ1,0)</f>
        <v>960</v>
      </c>
      <c r="CB7" s="74">
        <f>VLOOKUP($H$7&amp;$F$1,'Input RM sheet'!$A:$DD,CA1,0)</f>
        <v>914</v>
      </c>
      <c r="CC7" s="74">
        <f>VLOOKUP($H$7&amp;$F$1,'Input RM sheet'!$A:$DD,CB1,0)</f>
        <v>870</v>
      </c>
      <c r="CD7" s="74">
        <f>VLOOKUP($H$7&amp;$F$1,'Input RM sheet'!$A:$DD,CC1,0)</f>
        <v>860</v>
      </c>
      <c r="CE7" s="74">
        <f>VLOOKUP($H$7&amp;$F$1,'Input RM sheet'!$A:$DD,CD1,0)</f>
        <v>860</v>
      </c>
      <c r="CF7" s="74">
        <f>VLOOKUP($H$7&amp;$F$1,'Input RM sheet'!$A:$DD,CE1,0)</f>
        <v>867</v>
      </c>
      <c r="CG7" s="74">
        <f>VLOOKUP($H$7&amp;$F$1,'Input RM sheet'!$A:$DD,CF1,0)</f>
        <v>845</v>
      </c>
      <c r="CH7" s="74">
        <f>VLOOKUP($H$7&amp;$F$1,'Input RM sheet'!$A:$DD,CG1,0)</f>
        <v>844</v>
      </c>
      <c r="CI7" s="74">
        <f>VLOOKUP($H$7&amp;$F$1,'Input RM sheet'!$A:$DD,CH1,0)</f>
        <v>844</v>
      </c>
      <c r="CJ7" s="74">
        <f>VLOOKUP($H$7&amp;$F$1,'Input RM sheet'!$A:$DD,CI1,0)</f>
        <v>844</v>
      </c>
      <c r="CK7" s="74">
        <f>VLOOKUP($H$7&amp;$F$1,'Input RM sheet'!$A:$DD,CJ1,0)</f>
        <v>844</v>
      </c>
      <c r="CL7" s="74">
        <f>VLOOKUP($H$7&amp;$F$1,'Input RM sheet'!$A:$DD,CK1,0)</f>
        <v>827</v>
      </c>
      <c r="CM7" s="74">
        <f>VLOOKUP($H$7&amp;$F$1,'Input RM sheet'!$A:$DD,CL1,0)</f>
        <v>818</v>
      </c>
      <c r="CN7" s="74">
        <f>VLOOKUP($H$7&amp;$F$1,'Input RM sheet'!$A:$DD,CM1,0)</f>
        <v>814</v>
      </c>
      <c r="CO7" s="74">
        <f>VLOOKUP($H$7&amp;$F$1,'Input RM sheet'!$A:$DD,CN1,0)</f>
        <v>810</v>
      </c>
      <c r="CP7" s="74">
        <f>VLOOKUP($H$7&amp;$F$1,'Input RM sheet'!$A:$DD,CO1,0)</f>
        <v>827</v>
      </c>
      <c r="CQ7" s="74">
        <f>VLOOKUP($H$7&amp;$F$1,'Input RM sheet'!$A:$DD,CP1,0)</f>
        <v>827</v>
      </c>
      <c r="CR7" s="74">
        <f>VLOOKUP($H$7&amp;$F$1,'Input RM sheet'!$A:$ZZ,CQ1,0)</f>
        <v>827</v>
      </c>
      <c r="CS7" s="74">
        <f>VLOOKUP($H$7&amp;$F$1,'Input RM sheet'!$A:$ZZ,CR1,0)</f>
        <v>818</v>
      </c>
      <c r="CT7" s="74">
        <f>VLOOKUP($H$7&amp;$F$1,'Input RM sheet'!$A:$ZZ,CS1,0)</f>
        <v>818</v>
      </c>
      <c r="CU7" s="74">
        <f>VLOOKUP($H$7&amp;$F$1,'Input RM sheet'!$A:$ZZ,CT1,0)</f>
        <v>818</v>
      </c>
      <c r="CV7" s="74">
        <f>VLOOKUP($H$7&amp;$F$1,'Input RM sheet'!$A:$ZZ,CU1,0)</f>
        <v>850</v>
      </c>
      <c r="CW7" s="74">
        <f>VLOOKUP($H$7&amp;$F$1,'Input RM sheet'!$A:$ZZ,CV1,0)</f>
        <v>909</v>
      </c>
      <c r="CX7" s="74">
        <f>VLOOKUP($H$7&amp;$F$1,'Input RM sheet'!$A:$ZZ,CW1,0)</f>
        <v>909</v>
      </c>
      <c r="CY7" s="74">
        <f>VLOOKUP($H$7&amp;$F$1,'Input RM sheet'!$A:$ZZ,CX1,0)</f>
        <v>918</v>
      </c>
      <c r="CZ7" s="74">
        <f>VLOOKUP($H$7&amp;$F$1,'Input RM sheet'!$A:$ZZ,CY1,0)</f>
        <v>918</v>
      </c>
      <c r="DA7" s="74">
        <f>VLOOKUP($H$7&amp;$F$1,'Input RM sheet'!$A:$ZZ,CZ1,0)</f>
        <v>918</v>
      </c>
      <c r="DB7" s="74">
        <f>VLOOKUP($H$7&amp;$F$1,'Input RM sheet'!$A:$ZZ,DA1,0)</f>
        <v>918</v>
      </c>
      <c r="DC7" s="74">
        <f>VLOOKUP($H$7&amp;$F$1,'Input RM sheet'!$A:$ZZ,DB1,0)</f>
        <v>894</v>
      </c>
      <c r="DD7" s="74">
        <f>VLOOKUP($H$7&amp;$F$1,'Input RM sheet'!$A:$ZZ,DC1,0)</f>
        <v>830</v>
      </c>
      <c r="DE7" s="74">
        <f>VLOOKUP($H$7&amp;$F$1,'Input RM sheet'!$A:$ZZ,DD1,0)</f>
        <v>830</v>
      </c>
      <c r="DF7" s="74">
        <f>VLOOKUP($H$7&amp;$F$1,'Input RM sheet'!$A:$ZZ,DE1,0)</f>
        <v>809</v>
      </c>
      <c r="DG7" s="74">
        <f>VLOOKUP($H$7&amp;$F$1,'Input RM sheet'!$A:$ZZ,DF1,0)</f>
        <v>799</v>
      </c>
      <c r="DH7" s="74">
        <f>VLOOKUP($H$7&amp;$F$1,'Input RM sheet'!$A:$ZZ,DG1,0)</f>
        <v>799</v>
      </c>
      <c r="DI7" s="74">
        <f>VLOOKUP($H$7&amp;$F$1,'Input RM sheet'!$A:$ZZ,DH1,0)</f>
        <v>804</v>
      </c>
      <c r="DJ7" s="74">
        <f>VLOOKUP($H$7&amp;$F$1,'Input RM sheet'!$A:$ZZ,DI1,0)</f>
        <v>820</v>
      </c>
      <c r="DK7" s="74">
        <f>VLOOKUP($H$7&amp;$F$1,'Input RM sheet'!$A:$ZZ,DJ1,0)</f>
        <v>822</v>
      </c>
      <c r="DL7" s="74">
        <f>VLOOKUP($H$7&amp;$F$1,'Input RM sheet'!$A:$ZZ,DK1,0)</f>
        <v>828</v>
      </c>
      <c r="DM7" s="74">
        <f>VLOOKUP($H$7&amp;$F$1,'Input RM sheet'!$A:$ZZ,DL1,0)</f>
        <v>834</v>
      </c>
      <c r="DN7" s="74">
        <f>VLOOKUP($H$7&amp;$F$1,'Input RM sheet'!$A:$ZZ,DM1,0)</f>
        <v>819</v>
      </c>
      <c r="DO7" s="74">
        <f>VLOOKUP($H$7&amp;$F$1,'Input RM sheet'!$A:$ZZ,DN1,0)</f>
        <v>824</v>
      </c>
      <c r="DP7" s="74">
        <f>VLOOKUP($H$7&amp;$F$1,'Input RM sheet'!$A:$ZZ,DO1,0)</f>
        <v>824</v>
      </c>
      <c r="DQ7" s="74">
        <f>VLOOKUP($H$7&amp;$F$1,'Input RM sheet'!$A:$ZZ,DP1,0)</f>
        <v>824</v>
      </c>
      <c r="DR7" s="74">
        <f>VLOOKUP($H$7&amp;$F$1,'Input RM sheet'!$A:$ZZ,DQ1,0)</f>
        <v>824</v>
      </c>
      <c r="DS7" s="74">
        <f>VLOOKUP($H$7&amp;$F$1,'Input RM sheet'!$A:$ZZ,DR1,0)</f>
        <v>829</v>
      </c>
      <c r="DT7" s="74">
        <f>VLOOKUP($H$7&amp;$F$1,'Input RM sheet'!$A:$ZZ,DS1,0)</f>
        <v>0</v>
      </c>
      <c r="DU7" s="74">
        <f>VLOOKUP($H$7&amp;$F$1,'Input RM sheet'!$A:$ZZ,DT1,0)</f>
        <v>0</v>
      </c>
      <c r="DV7" s="74">
        <f>VLOOKUP($H$7&amp;$F$1,'Input RM sheet'!$A:$ZZ,DU1,0)</f>
        <v>0</v>
      </c>
      <c r="DW7" s="74">
        <f>VLOOKUP($H$7&amp;$F$1,'Input RM sheet'!$A:$ZZ,DV1,0)</f>
        <v>0</v>
      </c>
      <c r="DX7" s="74">
        <f>VLOOKUP($H$7&amp;$F$1,'Input RM sheet'!$A:$ZZ,DW1,0)</f>
        <v>0</v>
      </c>
      <c r="DY7" s="74">
        <f>VLOOKUP($H$7&amp;$F$1,'Input RM sheet'!$A:$ZZ,DX1,0)</f>
        <v>0</v>
      </c>
      <c r="DZ7" s="74">
        <f>VLOOKUP($H$7&amp;$F$1,'Input RM sheet'!$A:$ZZ,DY1,0)</f>
        <v>0</v>
      </c>
      <c r="EA7" s="74">
        <f>VLOOKUP($H$7&amp;$F$1,'Input RM sheet'!$A:$ZZ,DZ1,0)</f>
        <v>0</v>
      </c>
      <c r="EB7" s="74">
        <f>VLOOKUP($H$7&amp;$F$1,'Input RM sheet'!$A:$ZZ,EA1,0)</f>
        <v>0</v>
      </c>
      <c r="EC7" s="74">
        <f>VLOOKUP($H$7&amp;$F$1,'Input RM sheet'!$A:$ZZ,EB1,0)</f>
        <v>0</v>
      </c>
      <c r="ED7" s="74" t="e" vm="1">
        <f>VLOOKUP($H$7&amp;$F$1,'Input RM sheet'!$A:$ZZ,EC1,0)</f>
        <v>#VALUE!</v>
      </c>
    </row>
    <row r="8" spans="1:134" ht="26">
      <c r="A8" s="59" t="s">
        <v>395</v>
      </c>
      <c r="B8" s="59"/>
      <c r="C8" s="59" t="s">
        <v>379</v>
      </c>
      <c r="D8" s="98" t="s">
        <v>380</v>
      </c>
      <c r="E8" s="98" t="s">
        <v>381</v>
      </c>
      <c r="F8" s="59" t="s">
        <v>396</v>
      </c>
      <c r="H8" s="60" t="s">
        <v>399</v>
      </c>
      <c r="I8" s="84"/>
      <c r="J8" s="84"/>
      <c r="K8" s="84"/>
      <c r="L8" s="84"/>
      <c r="M8" s="84"/>
      <c r="N8" s="84"/>
      <c r="O8" s="84"/>
      <c r="P8" s="84"/>
      <c r="Q8" s="84"/>
      <c r="R8" s="84"/>
      <c r="S8" s="84"/>
      <c r="T8" s="84"/>
      <c r="U8" s="84"/>
      <c r="V8" s="84"/>
      <c r="W8" s="84"/>
      <c r="X8" s="84"/>
      <c r="Y8" s="84"/>
      <c r="Z8" s="84"/>
      <c r="AA8" s="84"/>
      <c r="AB8" s="84"/>
      <c r="AC8" s="84"/>
      <c r="AD8" s="84"/>
      <c r="AE8" s="84"/>
      <c r="AF8" s="84"/>
      <c r="AG8" s="84"/>
      <c r="AH8" s="84"/>
      <c r="AI8" s="84"/>
      <c r="AJ8" s="84"/>
      <c r="AK8" s="84"/>
      <c r="AL8" s="84"/>
      <c r="AM8" s="84"/>
      <c r="AN8" s="84"/>
      <c r="AO8" s="84"/>
      <c r="AP8" s="84"/>
      <c r="AQ8" s="84"/>
      <c r="AR8" s="84"/>
      <c r="AS8" s="84"/>
      <c r="AT8" s="84"/>
      <c r="AU8" s="84"/>
    </row>
    <row r="9" spans="1:134" ht="13">
      <c r="A9" s="107" t="s">
        <v>397</v>
      </c>
      <c r="B9" s="178" t="s">
        <v>114</v>
      </c>
      <c r="C9" s="60">
        <v>1</v>
      </c>
      <c r="D9" s="60">
        <v>42.081000000000003</v>
      </c>
      <c r="E9" s="60">
        <f>D9*C9</f>
        <v>42.081000000000003</v>
      </c>
      <c r="F9" s="65">
        <f>E9/E2</f>
        <v>0.56774150026983272</v>
      </c>
      <c r="G9" s="60">
        <v>0.7</v>
      </c>
      <c r="I9" s="74">
        <f>$G$9*(I7/1000)</f>
        <v>0.66499999999999992</v>
      </c>
      <c r="J9" s="74">
        <f t="shared" ref="J9:AN9" si="0">$G$9*(J7/1000)</f>
        <v>0.56699999999999995</v>
      </c>
      <c r="K9" s="74">
        <f t="shared" si="0"/>
        <v>0.54599999999999993</v>
      </c>
      <c r="L9" s="74">
        <f t="shared" si="0"/>
        <v>0.39200000000000002</v>
      </c>
      <c r="M9" s="74">
        <f t="shared" si="0"/>
        <v>0.47599999999999998</v>
      </c>
      <c r="N9" s="74">
        <f t="shared" si="0"/>
        <v>0.504</v>
      </c>
      <c r="O9" s="74">
        <f t="shared" si="0"/>
        <v>0.54599999999999993</v>
      </c>
      <c r="P9" s="74">
        <f t="shared" si="0"/>
        <v>0.54599999999999993</v>
      </c>
      <c r="Q9" s="74">
        <f t="shared" si="0"/>
        <v>0.59499999999999997</v>
      </c>
      <c r="R9" s="74">
        <f t="shared" si="0"/>
        <v>0.60199999999999998</v>
      </c>
      <c r="S9" s="74">
        <f t="shared" si="0"/>
        <v>0.59499999999999997</v>
      </c>
      <c r="T9" s="74">
        <f t="shared" si="0"/>
        <v>0.65799999999999992</v>
      </c>
      <c r="U9" s="74">
        <f t="shared" si="0"/>
        <v>0.64400000000000002</v>
      </c>
      <c r="V9" s="74">
        <f t="shared" si="0"/>
        <v>0.65100000000000002</v>
      </c>
      <c r="W9" s="74">
        <f t="shared" si="0"/>
        <v>0.80499999999999994</v>
      </c>
      <c r="X9" s="74">
        <f t="shared" si="0"/>
        <v>0.74199999999999999</v>
      </c>
      <c r="Y9" s="74">
        <f t="shared" si="0"/>
        <v>0.76300000000000001</v>
      </c>
      <c r="Z9" s="74">
        <f t="shared" si="0"/>
        <v>0.64400000000000002</v>
      </c>
      <c r="AA9" s="74">
        <f t="shared" si="0"/>
        <v>0.65799999999999992</v>
      </c>
      <c r="AB9" s="74">
        <f t="shared" si="0"/>
        <v>0.65799999999999992</v>
      </c>
      <c r="AC9" s="74">
        <f t="shared" si="0"/>
        <v>0.65799999999999992</v>
      </c>
      <c r="AD9" s="74">
        <f t="shared" si="0"/>
        <v>0.71399999999999997</v>
      </c>
      <c r="AE9" s="74">
        <f t="shared" si="0"/>
        <v>0.67199999999999993</v>
      </c>
      <c r="AF9" s="74">
        <f t="shared" si="0"/>
        <v>0.63</v>
      </c>
      <c r="AG9" s="74">
        <f t="shared" si="0"/>
        <v>0.66499999999999992</v>
      </c>
      <c r="AH9" s="74">
        <f t="shared" si="0"/>
        <v>0.84</v>
      </c>
      <c r="AI9" s="74">
        <f t="shared" si="0"/>
        <v>0.92399999999999993</v>
      </c>
      <c r="AJ9" s="74">
        <f t="shared" si="0"/>
        <v>0.90299999999999991</v>
      </c>
      <c r="AK9" s="74">
        <f t="shared" si="0"/>
        <v>0.84</v>
      </c>
      <c r="AL9" s="74">
        <f t="shared" si="0"/>
        <v>0.72799999999999998</v>
      </c>
      <c r="AM9" s="74">
        <f t="shared" si="0"/>
        <v>0.66499999999999992</v>
      </c>
      <c r="AN9" s="74">
        <f t="shared" si="0"/>
        <v>0.623</v>
      </c>
      <c r="AO9" s="74">
        <f t="shared" ref="AO9:BV9" si="1">$G$9*(AO7/1000)</f>
        <v>0.623</v>
      </c>
      <c r="AP9" s="74">
        <f t="shared" si="1"/>
        <v>0.623</v>
      </c>
      <c r="AQ9" s="74">
        <f t="shared" si="1"/>
        <v>0.59499999999999997</v>
      </c>
      <c r="AR9" s="74">
        <f t="shared" si="1"/>
        <v>0.61599999999999999</v>
      </c>
      <c r="AS9" s="74">
        <f t="shared" si="1"/>
        <v>0.61599999999999999</v>
      </c>
      <c r="AT9" s="74">
        <f t="shared" si="1"/>
        <v>0.68599999999999994</v>
      </c>
      <c r="AU9" s="74">
        <f t="shared" si="1"/>
        <v>0.64400000000000002</v>
      </c>
      <c r="AV9" s="74">
        <f t="shared" si="1"/>
        <v>0.65799999999999992</v>
      </c>
      <c r="AW9" s="74">
        <f t="shared" si="1"/>
        <v>0.623</v>
      </c>
      <c r="AX9" s="74">
        <f t="shared" si="1"/>
        <v>0.52499999999999991</v>
      </c>
      <c r="AY9" s="74">
        <f t="shared" si="1"/>
        <v>0.51100000000000001</v>
      </c>
      <c r="AZ9" s="74">
        <f t="shared" si="1"/>
        <v>0.51100000000000001</v>
      </c>
      <c r="BA9" s="74">
        <f t="shared" si="1"/>
        <v>0.52779999999999994</v>
      </c>
      <c r="BB9" s="74">
        <f t="shared" si="1"/>
        <v>0.54459999999999997</v>
      </c>
      <c r="BC9" s="74">
        <f t="shared" si="1"/>
        <v>0.54949999999999999</v>
      </c>
      <c r="BD9" s="74">
        <f t="shared" si="1"/>
        <v>0.5774999999999999</v>
      </c>
      <c r="BE9" s="74">
        <f t="shared" si="1"/>
        <v>0.5978</v>
      </c>
      <c r="BF9" s="74">
        <f t="shared" si="1"/>
        <v>0.5978</v>
      </c>
      <c r="BG9" s="74">
        <f t="shared" si="1"/>
        <v>0.58939999999999992</v>
      </c>
      <c r="BH9" s="74">
        <f t="shared" si="1"/>
        <v>0.58099999999999996</v>
      </c>
      <c r="BI9" s="74">
        <f t="shared" si="1"/>
        <v>0.56979999999999997</v>
      </c>
      <c r="BJ9" s="74">
        <f t="shared" si="1"/>
        <v>0.5635</v>
      </c>
      <c r="BK9" s="74">
        <f t="shared" si="1"/>
        <v>0.5635</v>
      </c>
      <c r="BL9" s="74">
        <f t="shared" si="1"/>
        <v>0.55930000000000002</v>
      </c>
      <c r="BM9" s="74">
        <f t="shared" si="1"/>
        <v>0.55930000000000002</v>
      </c>
      <c r="BN9" s="74">
        <f t="shared" si="1"/>
        <v>0.55579999999999996</v>
      </c>
      <c r="BO9" s="74">
        <f t="shared" si="1"/>
        <v>0.55579999999999996</v>
      </c>
      <c r="BP9" s="74">
        <f t="shared" si="1"/>
        <v>0.55930000000000002</v>
      </c>
      <c r="BQ9" s="74">
        <f t="shared" si="1"/>
        <v>0.55930000000000002</v>
      </c>
      <c r="BR9" s="74">
        <f t="shared" si="1"/>
        <v>0.56279999999999997</v>
      </c>
      <c r="BS9" s="74">
        <f t="shared" si="1"/>
        <v>0.55930000000000002</v>
      </c>
      <c r="BT9" s="74">
        <f t="shared" si="1"/>
        <v>0.55930000000000002</v>
      </c>
      <c r="BU9" s="74">
        <f t="shared" si="1"/>
        <v>0.55859999999999999</v>
      </c>
      <c r="BV9" s="74">
        <f t="shared" si="1"/>
        <v>0.56279999999999997</v>
      </c>
      <c r="BW9" s="74">
        <f t="shared" ref="BW9:CB9" si="2">$G$9*(BW7/1000)</f>
        <v>0.5865999999999999</v>
      </c>
      <c r="BX9" s="74">
        <f t="shared" si="2"/>
        <v>0.64400000000000002</v>
      </c>
      <c r="BY9" s="74">
        <f t="shared" si="2"/>
        <v>0.65799999999999992</v>
      </c>
      <c r="BZ9" s="74">
        <f t="shared" si="2"/>
        <v>0.6986</v>
      </c>
      <c r="CA9" s="74">
        <f t="shared" si="2"/>
        <v>0.67199999999999993</v>
      </c>
      <c r="CB9" s="74">
        <f t="shared" si="2"/>
        <v>0.63980000000000004</v>
      </c>
      <c r="CC9" s="74">
        <f t="shared" ref="CC9:CH9" si="3">$G$9*(CC7/1000)</f>
        <v>0.60899999999999999</v>
      </c>
      <c r="CD9" s="74">
        <f t="shared" si="3"/>
        <v>0.60199999999999998</v>
      </c>
      <c r="CE9" s="74">
        <f t="shared" si="3"/>
        <v>0.60199999999999998</v>
      </c>
      <c r="CF9" s="74">
        <f t="shared" si="3"/>
        <v>0.6069</v>
      </c>
      <c r="CG9" s="74">
        <f t="shared" si="3"/>
        <v>0.59149999999999991</v>
      </c>
      <c r="CH9" s="74">
        <f t="shared" si="3"/>
        <v>0.59079999999999999</v>
      </c>
      <c r="CI9" s="74">
        <f>$G$9*(CI7/1000)</f>
        <v>0.59079999999999999</v>
      </c>
      <c r="CJ9" s="74">
        <f>$G$9*(CJ7/1000)</f>
        <v>0.59079999999999999</v>
      </c>
      <c r="CK9" s="74">
        <f>$G$9*(CK7/1000)</f>
        <v>0.59079999999999999</v>
      </c>
      <c r="CL9" s="74">
        <f>$G$9*(CL7/1000)</f>
        <v>0.57889999999999997</v>
      </c>
      <c r="CM9" s="74">
        <f t="shared" ref="CM9:CR9" si="4">$G$9*(CM7/1000)</f>
        <v>0.57259999999999989</v>
      </c>
      <c r="CN9" s="74">
        <f t="shared" si="4"/>
        <v>0.56979999999999997</v>
      </c>
      <c r="CO9" s="74">
        <f t="shared" si="4"/>
        <v>0.56699999999999995</v>
      </c>
      <c r="CP9" s="74">
        <f t="shared" si="4"/>
        <v>0.57889999999999997</v>
      </c>
      <c r="CQ9" s="74">
        <f t="shared" si="4"/>
        <v>0.57889999999999997</v>
      </c>
      <c r="CR9" s="74">
        <f t="shared" si="4"/>
        <v>0.57889999999999997</v>
      </c>
      <c r="CS9" s="74">
        <f t="shared" ref="CS9:ED9" si="5">$G$9*(CS7/1000)</f>
        <v>0.57259999999999989</v>
      </c>
      <c r="CT9" s="74">
        <f t="shared" si="5"/>
        <v>0.57259999999999989</v>
      </c>
      <c r="CU9" s="74">
        <f t="shared" si="5"/>
        <v>0.57259999999999989</v>
      </c>
      <c r="CV9" s="74">
        <f t="shared" si="5"/>
        <v>0.59499999999999997</v>
      </c>
      <c r="CW9" s="74">
        <f t="shared" si="5"/>
        <v>0.63629999999999998</v>
      </c>
      <c r="CX9" s="74">
        <f t="shared" si="5"/>
        <v>0.63629999999999998</v>
      </c>
      <c r="CY9" s="74">
        <f t="shared" si="5"/>
        <v>0.64259999999999995</v>
      </c>
      <c r="CZ9" s="74">
        <f t="shared" si="5"/>
        <v>0.64259999999999995</v>
      </c>
      <c r="DA9" s="74">
        <f t="shared" si="5"/>
        <v>0.64259999999999995</v>
      </c>
      <c r="DB9" s="74">
        <f t="shared" si="5"/>
        <v>0.64259999999999995</v>
      </c>
      <c r="DC9" s="74">
        <f t="shared" si="5"/>
        <v>0.62580000000000002</v>
      </c>
      <c r="DD9" s="74">
        <f t="shared" si="5"/>
        <v>0.58099999999999996</v>
      </c>
      <c r="DE9" s="74">
        <f t="shared" si="5"/>
        <v>0.58099999999999996</v>
      </c>
      <c r="DF9" s="74">
        <f t="shared" si="5"/>
        <v>0.56630000000000003</v>
      </c>
      <c r="DG9" s="74">
        <f t="shared" si="5"/>
        <v>0.55930000000000002</v>
      </c>
      <c r="DH9" s="74">
        <f t="shared" si="5"/>
        <v>0.55930000000000002</v>
      </c>
      <c r="DI9" s="74">
        <f t="shared" si="5"/>
        <v>0.56279999999999997</v>
      </c>
      <c r="DJ9" s="74">
        <f t="shared" si="5"/>
        <v>0.57399999999999995</v>
      </c>
      <c r="DK9" s="74">
        <f t="shared" si="5"/>
        <v>0.57539999999999991</v>
      </c>
      <c r="DL9" s="74">
        <f t="shared" si="5"/>
        <v>0.57959999999999989</v>
      </c>
      <c r="DM9" s="74">
        <f t="shared" si="5"/>
        <v>0.58379999999999999</v>
      </c>
      <c r="DN9" s="74">
        <f t="shared" si="5"/>
        <v>0.57329999999999992</v>
      </c>
      <c r="DO9" s="74">
        <f t="shared" si="5"/>
        <v>0.57679999999999998</v>
      </c>
      <c r="DP9" s="74">
        <f t="shared" si="5"/>
        <v>0.57679999999999998</v>
      </c>
      <c r="DQ9" s="74">
        <f t="shared" si="5"/>
        <v>0.57679999999999998</v>
      </c>
      <c r="DR9" s="74">
        <f t="shared" si="5"/>
        <v>0.57679999999999998</v>
      </c>
      <c r="DS9" s="74">
        <f t="shared" si="5"/>
        <v>0.58029999999999993</v>
      </c>
      <c r="DT9" s="74">
        <f t="shared" si="5"/>
        <v>0</v>
      </c>
      <c r="DU9" s="74">
        <f t="shared" si="5"/>
        <v>0</v>
      </c>
      <c r="DV9" s="74">
        <f t="shared" si="5"/>
        <v>0</v>
      </c>
      <c r="DW9" s="74">
        <f t="shared" si="5"/>
        <v>0</v>
      </c>
      <c r="DX9" s="74">
        <f t="shared" si="5"/>
        <v>0</v>
      </c>
      <c r="DY9" s="74">
        <f t="shared" si="5"/>
        <v>0</v>
      </c>
      <c r="DZ9" s="74">
        <f t="shared" si="5"/>
        <v>0</v>
      </c>
      <c r="EA9" s="74">
        <f t="shared" si="5"/>
        <v>0</v>
      </c>
      <c r="EB9" s="74">
        <f t="shared" si="5"/>
        <v>0</v>
      </c>
      <c r="EC9" s="74">
        <f t="shared" si="5"/>
        <v>0</v>
      </c>
      <c r="ED9" s="74" t="e" vm="2">
        <f t="shared" si="5"/>
        <v>#VALUE!</v>
      </c>
    </row>
    <row r="10" spans="1:134" ht="16" customHeight="1">
      <c r="A10" s="67"/>
      <c r="B10" s="100"/>
      <c r="F10" s="65"/>
      <c r="H10" s="60" t="s">
        <v>718</v>
      </c>
      <c r="I10" s="74">
        <f>250/1000</f>
        <v>0.25</v>
      </c>
      <c r="J10" s="74">
        <f t="shared" ref="J10:BU10" si="6">250/1000</f>
        <v>0.25</v>
      </c>
      <c r="K10" s="74">
        <f t="shared" si="6"/>
        <v>0.25</v>
      </c>
      <c r="L10" s="74">
        <f t="shared" si="6"/>
        <v>0.25</v>
      </c>
      <c r="M10" s="74">
        <f t="shared" si="6"/>
        <v>0.25</v>
      </c>
      <c r="N10" s="74">
        <f t="shared" si="6"/>
        <v>0.25</v>
      </c>
      <c r="O10" s="74">
        <f t="shared" si="6"/>
        <v>0.25</v>
      </c>
      <c r="P10" s="74">
        <f t="shared" si="6"/>
        <v>0.25</v>
      </c>
      <c r="Q10" s="74">
        <f t="shared" si="6"/>
        <v>0.25</v>
      </c>
      <c r="R10" s="74">
        <f t="shared" si="6"/>
        <v>0.25</v>
      </c>
      <c r="S10" s="74">
        <f t="shared" si="6"/>
        <v>0.25</v>
      </c>
      <c r="T10" s="74">
        <f t="shared" si="6"/>
        <v>0.25</v>
      </c>
      <c r="U10" s="74">
        <f t="shared" si="6"/>
        <v>0.25</v>
      </c>
      <c r="V10" s="74">
        <f t="shared" si="6"/>
        <v>0.25</v>
      </c>
      <c r="W10" s="74">
        <f t="shared" si="6"/>
        <v>0.25</v>
      </c>
      <c r="X10" s="74">
        <f t="shared" si="6"/>
        <v>0.25</v>
      </c>
      <c r="Y10" s="74">
        <f t="shared" si="6"/>
        <v>0.25</v>
      </c>
      <c r="Z10" s="74">
        <f t="shared" si="6"/>
        <v>0.25</v>
      </c>
      <c r="AA10" s="74">
        <f t="shared" si="6"/>
        <v>0.25</v>
      </c>
      <c r="AB10" s="74">
        <f t="shared" si="6"/>
        <v>0.25</v>
      </c>
      <c r="AC10" s="74">
        <f t="shared" si="6"/>
        <v>0.25</v>
      </c>
      <c r="AD10" s="74">
        <f t="shared" si="6"/>
        <v>0.25</v>
      </c>
      <c r="AE10" s="74">
        <f t="shared" si="6"/>
        <v>0.25</v>
      </c>
      <c r="AF10" s="74">
        <f t="shared" si="6"/>
        <v>0.25</v>
      </c>
      <c r="AG10" s="74">
        <f t="shared" si="6"/>
        <v>0.25</v>
      </c>
      <c r="AH10" s="74">
        <f t="shared" si="6"/>
        <v>0.25</v>
      </c>
      <c r="AI10" s="74">
        <f t="shared" si="6"/>
        <v>0.25</v>
      </c>
      <c r="AJ10" s="74">
        <f t="shared" si="6"/>
        <v>0.25</v>
      </c>
      <c r="AK10" s="74">
        <f t="shared" si="6"/>
        <v>0.25</v>
      </c>
      <c r="AL10" s="74">
        <f t="shared" si="6"/>
        <v>0.25</v>
      </c>
      <c r="AM10" s="74">
        <f t="shared" si="6"/>
        <v>0.25</v>
      </c>
      <c r="AN10" s="74">
        <f t="shared" si="6"/>
        <v>0.25</v>
      </c>
      <c r="AO10" s="74">
        <f t="shared" si="6"/>
        <v>0.25</v>
      </c>
      <c r="AP10" s="74">
        <f t="shared" si="6"/>
        <v>0.25</v>
      </c>
      <c r="AQ10" s="74">
        <f t="shared" si="6"/>
        <v>0.25</v>
      </c>
      <c r="AR10" s="74">
        <f t="shared" si="6"/>
        <v>0.25</v>
      </c>
      <c r="AS10" s="74">
        <f t="shared" si="6"/>
        <v>0.25</v>
      </c>
      <c r="AT10" s="74">
        <f t="shared" si="6"/>
        <v>0.25</v>
      </c>
      <c r="AU10" s="74">
        <f t="shared" si="6"/>
        <v>0.25</v>
      </c>
      <c r="AV10" s="74">
        <f t="shared" si="6"/>
        <v>0.25</v>
      </c>
      <c r="AW10" s="74">
        <f t="shared" si="6"/>
        <v>0.25</v>
      </c>
      <c r="AX10" s="74">
        <f t="shared" si="6"/>
        <v>0.25</v>
      </c>
      <c r="AY10" s="74">
        <f t="shared" si="6"/>
        <v>0.25</v>
      </c>
      <c r="AZ10" s="74">
        <f t="shared" si="6"/>
        <v>0.25</v>
      </c>
      <c r="BA10" s="74">
        <f t="shared" si="6"/>
        <v>0.25</v>
      </c>
      <c r="BB10" s="74">
        <f t="shared" si="6"/>
        <v>0.25</v>
      </c>
      <c r="BC10" s="74">
        <f t="shared" si="6"/>
        <v>0.25</v>
      </c>
      <c r="BD10" s="74">
        <f t="shared" si="6"/>
        <v>0.25</v>
      </c>
      <c r="BE10" s="74">
        <f t="shared" si="6"/>
        <v>0.25</v>
      </c>
      <c r="BF10" s="74">
        <f t="shared" si="6"/>
        <v>0.25</v>
      </c>
      <c r="BG10" s="74">
        <f t="shared" si="6"/>
        <v>0.25</v>
      </c>
      <c r="BH10" s="74">
        <f t="shared" si="6"/>
        <v>0.25</v>
      </c>
      <c r="BI10" s="74">
        <f t="shared" si="6"/>
        <v>0.25</v>
      </c>
      <c r="BJ10" s="74">
        <f t="shared" si="6"/>
        <v>0.25</v>
      </c>
      <c r="BK10" s="74">
        <f t="shared" si="6"/>
        <v>0.25</v>
      </c>
      <c r="BL10" s="74">
        <f t="shared" si="6"/>
        <v>0.25</v>
      </c>
      <c r="BM10" s="74">
        <f t="shared" si="6"/>
        <v>0.25</v>
      </c>
      <c r="BN10" s="74">
        <f t="shared" si="6"/>
        <v>0.25</v>
      </c>
      <c r="BO10" s="74">
        <f t="shared" si="6"/>
        <v>0.25</v>
      </c>
      <c r="BP10" s="74">
        <f t="shared" si="6"/>
        <v>0.25</v>
      </c>
      <c r="BQ10" s="74">
        <f t="shared" si="6"/>
        <v>0.25</v>
      </c>
      <c r="BR10" s="74">
        <f t="shared" si="6"/>
        <v>0.25</v>
      </c>
      <c r="BS10" s="74">
        <f t="shared" si="6"/>
        <v>0.25</v>
      </c>
      <c r="BT10" s="74">
        <f t="shared" si="6"/>
        <v>0.25</v>
      </c>
      <c r="BU10" s="74">
        <f t="shared" si="6"/>
        <v>0.25</v>
      </c>
      <c r="BV10" s="74">
        <f t="shared" ref="BV10:ED10" si="7">250/1000</f>
        <v>0.25</v>
      </c>
      <c r="BW10" s="74">
        <f t="shared" si="7"/>
        <v>0.25</v>
      </c>
      <c r="BX10" s="74">
        <f t="shared" si="7"/>
        <v>0.25</v>
      </c>
      <c r="BY10" s="74">
        <f t="shared" si="7"/>
        <v>0.25</v>
      </c>
      <c r="BZ10" s="74">
        <f t="shared" si="7"/>
        <v>0.25</v>
      </c>
      <c r="CA10" s="74">
        <f t="shared" si="7"/>
        <v>0.25</v>
      </c>
      <c r="CB10" s="74">
        <f t="shared" si="7"/>
        <v>0.25</v>
      </c>
      <c r="CC10" s="74">
        <f t="shared" si="7"/>
        <v>0.25</v>
      </c>
      <c r="CD10" s="74">
        <f t="shared" si="7"/>
        <v>0.25</v>
      </c>
      <c r="CE10" s="74">
        <f t="shared" si="7"/>
        <v>0.25</v>
      </c>
      <c r="CF10" s="74">
        <f t="shared" si="7"/>
        <v>0.25</v>
      </c>
      <c r="CG10" s="74">
        <f t="shared" si="7"/>
        <v>0.25</v>
      </c>
      <c r="CH10" s="74">
        <f t="shared" si="7"/>
        <v>0.25</v>
      </c>
      <c r="CI10" s="74">
        <f t="shared" si="7"/>
        <v>0.25</v>
      </c>
      <c r="CJ10" s="74">
        <f t="shared" si="7"/>
        <v>0.25</v>
      </c>
      <c r="CK10" s="74">
        <f t="shared" si="7"/>
        <v>0.25</v>
      </c>
      <c r="CL10" s="74">
        <f t="shared" si="7"/>
        <v>0.25</v>
      </c>
      <c r="CM10" s="74">
        <f t="shared" si="7"/>
        <v>0.25</v>
      </c>
      <c r="CN10" s="74">
        <f t="shared" si="7"/>
        <v>0.25</v>
      </c>
      <c r="CO10" s="74">
        <f t="shared" si="7"/>
        <v>0.25</v>
      </c>
      <c r="CP10" s="74">
        <f t="shared" si="7"/>
        <v>0.25</v>
      </c>
      <c r="CQ10" s="74">
        <f t="shared" si="7"/>
        <v>0.25</v>
      </c>
      <c r="CR10" s="74">
        <f t="shared" si="7"/>
        <v>0.25</v>
      </c>
      <c r="CS10" s="74">
        <f t="shared" si="7"/>
        <v>0.25</v>
      </c>
      <c r="CT10" s="74">
        <f t="shared" si="7"/>
        <v>0.25</v>
      </c>
      <c r="CU10" s="74">
        <f t="shared" si="7"/>
        <v>0.25</v>
      </c>
      <c r="CV10" s="74">
        <f t="shared" si="7"/>
        <v>0.25</v>
      </c>
      <c r="CW10" s="74">
        <f t="shared" si="7"/>
        <v>0.25</v>
      </c>
      <c r="CX10" s="74">
        <f t="shared" si="7"/>
        <v>0.25</v>
      </c>
      <c r="CY10" s="74">
        <f t="shared" si="7"/>
        <v>0.25</v>
      </c>
      <c r="CZ10" s="74">
        <f t="shared" si="7"/>
        <v>0.25</v>
      </c>
      <c r="DA10" s="74">
        <f t="shared" si="7"/>
        <v>0.25</v>
      </c>
      <c r="DB10" s="74">
        <f t="shared" si="7"/>
        <v>0.25</v>
      </c>
      <c r="DC10" s="74">
        <f t="shared" si="7"/>
        <v>0.25</v>
      </c>
      <c r="DD10" s="74">
        <f t="shared" si="7"/>
        <v>0.25</v>
      </c>
      <c r="DE10" s="74">
        <f t="shared" si="7"/>
        <v>0.25</v>
      </c>
      <c r="DF10" s="74">
        <f t="shared" si="7"/>
        <v>0.25</v>
      </c>
      <c r="DG10" s="74">
        <f t="shared" si="7"/>
        <v>0.25</v>
      </c>
      <c r="DH10" s="74">
        <f t="shared" si="7"/>
        <v>0.25</v>
      </c>
      <c r="DI10" s="74">
        <f t="shared" si="7"/>
        <v>0.25</v>
      </c>
      <c r="DJ10" s="74">
        <f t="shared" si="7"/>
        <v>0.25</v>
      </c>
      <c r="DK10" s="74">
        <f t="shared" si="7"/>
        <v>0.25</v>
      </c>
      <c r="DL10" s="74">
        <f t="shared" si="7"/>
        <v>0.25</v>
      </c>
      <c r="DM10" s="74">
        <f t="shared" si="7"/>
        <v>0.25</v>
      </c>
      <c r="DN10" s="74">
        <f t="shared" si="7"/>
        <v>0.25</v>
      </c>
      <c r="DO10" s="74">
        <f t="shared" si="7"/>
        <v>0.25</v>
      </c>
      <c r="DP10" s="74">
        <f t="shared" si="7"/>
        <v>0.25</v>
      </c>
      <c r="DQ10" s="74">
        <f t="shared" si="7"/>
        <v>0.25</v>
      </c>
      <c r="DR10" s="74">
        <f t="shared" si="7"/>
        <v>0.25</v>
      </c>
      <c r="DS10" s="74">
        <f t="shared" si="7"/>
        <v>0.25</v>
      </c>
      <c r="DT10" s="74">
        <f t="shared" si="7"/>
        <v>0.25</v>
      </c>
      <c r="DU10" s="74">
        <f t="shared" si="7"/>
        <v>0.25</v>
      </c>
      <c r="DV10" s="74">
        <f t="shared" si="7"/>
        <v>0.25</v>
      </c>
      <c r="DW10" s="74">
        <f t="shared" si="7"/>
        <v>0.25</v>
      </c>
      <c r="DX10" s="74">
        <f t="shared" si="7"/>
        <v>0.25</v>
      </c>
      <c r="DY10" s="74">
        <f t="shared" si="7"/>
        <v>0.25</v>
      </c>
      <c r="DZ10" s="74">
        <f t="shared" si="7"/>
        <v>0.25</v>
      </c>
      <c r="EA10" s="74">
        <f t="shared" si="7"/>
        <v>0.25</v>
      </c>
      <c r="EB10" s="74">
        <f t="shared" si="7"/>
        <v>0.25</v>
      </c>
      <c r="EC10" s="74">
        <f t="shared" si="7"/>
        <v>0.25</v>
      </c>
      <c r="ED10" s="74">
        <f t="shared" si="7"/>
        <v>0.25</v>
      </c>
    </row>
    <row r="11" spans="1:134" s="104" customFormat="1">
      <c r="A11" s="104" t="s">
        <v>400</v>
      </c>
      <c r="H11" s="60"/>
      <c r="I11" s="105">
        <f>SUM(I9:I10)</f>
        <v>0.91499999999999992</v>
      </c>
      <c r="J11" s="105">
        <f t="shared" ref="J11:AN11" si="8">SUM(J9:J10)</f>
        <v>0.81699999999999995</v>
      </c>
      <c r="K11" s="105">
        <f t="shared" si="8"/>
        <v>0.79599999999999993</v>
      </c>
      <c r="L11" s="105">
        <f t="shared" si="8"/>
        <v>0.64200000000000002</v>
      </c>
      <c r="M11" s="105">
        <f t="shared" si="8"/>
        <v>0.72599999999999998</v>
      </c>
      <c r="N11" s="105">
        <f t="shared" si="8"/>
        <v>0.754</v>
      </c>
      <c r="O11" s="105">
        <f t="shared" si="8"/>
        <v>0.79599999999999993</v>
      </c>
      <c r="P11" s="105">
        <f t="shared" si="8"/>
        <v>0.79599999999999993</v>
      </c>
      <c r="Q11" s="105">
        <f t="shared" si="8"/>
        <v>0.84499999999999997</v>
      </c>
      <c r="R11" s="105">
        <f t="shared" si="8"/>
        <v>0.85199999999999998</v>
      </c>
      <c r="S11" s="105">
        <f t="shared" si="8"/>
        <v>0.84499999999999997</v>
      </c>
      <c r="T11" s="105">
        <f t="shared" si="8"/>
        <v>0.90799999999999992</v>
      </c>
      <c r="U11" s="105">
        <f t="shared" si="8"/>
        <v>0.89400000000000002</v>
      </c>
      <c r="V11" s="105">
        <f t="shared" si="8"/>
        <v>0.90100000000000002</v>
      </c>
      <c r="W11" s="105">
        <f t="shared" si="8"/>
        <v>1.0549999999999999</v>
      </c>
      <c r="X11" s="105">
        <f t="shared" si="8"/>
        <v>0.99199999999999999</v>
      </c>
      <c r="Y11" s="105">
        <f t="shared" si="8"/>
        <v>1.0129999999999999</v>
      </c>
      <c r="Z11" s="105">
        <f t="shared" si="8"/>
        <v>0.89400000000000002</v>
      </c>
      <c r="AA11" s="105">
        <f t="shared" si="8"/>
        <v>0.90799999999999992</v>
      </c>
      <c r="AB11" s="105">
        <f t="shared" si="8"/>
        <v>0.90799999999999992</v>
      </c>
      <c r="AC11" s="105">
        <f t="shared" si="8"/>
        <v>0.90799999999999992</v>
      </c>
      <c r="AD11" s="105">
        <f t="shared" si="8"/>
        <v>0.96399999999999997</v>
      </c>
      <c r="AE11" s="105">
        <f t="shared" si="8"/>
        <v>0.92199999999999993</v>
      </c>
      <c r="AF11" s="105">
        <f t="shared" si="8"/>
        <v>0.88</v>
      </c>
      <c r="AG11" s="105">
        <f t="shared" si="8"/>
        <v>0.91499999999999992</v>
      </c>
      <c r="AH11" s="105">
        <f t="shared" si="8"/>
        <v>1.0899999999999999</v>
      </c>
      <c r="AI11" s="105">
        <f t="shared" si="8"/>
        <v>1.1739999999999999</v>
      </c>
      <c r="AJ11" s="105">
        <f t="shared" si="8"/>
        <v>1.153</v>
      </c>
      <c r="AK11" s="105">
        <f t="shared" si="8"/>
        <v>1.0899999999999999</v>
      </c>
      <c r="AL11" s="105">
        <f t="shared" si="8"/>
        <v>0.97799999999999998</v>
      </c>
      <c r="AM11" s="105">
        <f t="shared" si="8"/>
        <v>0.91499999999999992</v>
      </c>
      <c r="AN11" s="105">
        <f t="shared" si="8"/>
        <v>0.873</v>
      </c>
      <c r="AO11" s="105">
        <f t="shared" ref="AO11:BT11" si="9">SUM(AO9:AO10)</f>
        <v>0.873</v>
      </c>
      <c r="AP11" s="105">
        <f t="shared" si="9"/>
        <v>0.873</v>
      </c>
      <c r="AQ11" s="105">
        <f t="shared" si="9"/>
        <v>0.84499999999999997</v>
      </c>
      <c r="AR11" s="105">
        <f t="shared" si="9"/>
        <v>0.86599999999999999</v>
      </c>
      <c r="AS11" s="105">
        <f t="shared" si="9"/>
        <v>0.86599999999999999</v>
      </c>
      <c r="AT11" s="105">
        <f t="shared" si="9"/>
        <v>0.93599999999999994</v>
      </c>
      <c r="AU11" s="105">
        <f t="shared" si="9"/>
        <v>0.89400000000000002</v>
      </c>
      <c r="AV11" s="105">
        <f t="shared" si="9"/>
        <v>0.90799999999999992</v>
      </c>
      <c r="AW11" s="105">
        <f t="shared" si="9"/>
        <v>0.873</v>
      </c>
      <c r="AX11" s="105">
        <f t="shared" si="9"/>
        <v>0.77499999999999991</v>
      </c>
      <c r="AY11" s="105">
        <f t="shared" si="9"/>
        <v>0.76100000000000001</v>
      </c>
      <c r="AZ11" s="105">
        <f t="shared" si="9"/>
        <v>0.76100000000000001</v>
      </c>
      <c r="BA11" s="105">
        <f t="shared" si="9"/>
        <v>0.77779999999999994</v>
      </c>
      <c r="BB11" s="105">
        <f t="shared" si="9"/>
        <v>0.79459999999999997</v>
      </c>
      <c r="BC11" s="105">
        <f t="shared" si="9"/>
        <v>0.79949999999999999</v>
      </c>
      <c r="BD11" s="105">
        <f t="shared" si="9"/>
        <v>0.8274999999999999</v>
      </c>
      <c r="BE11" s="105">
        <f t="shared" si="9"/>
        <v>0.8478</v>
      </c>
      <c r="BF11" s="105">
        <f t="shared" si="9"/>
        <v>0.8478</v>
      </c>
      <c r="BG11" s="105">
        <f t="shared" si="9"/>
        <v>0.83939999999999992</v>
      </c>
      <c r="BH11" s="105">
        <f t="shared" si="9"/>
        <v>0.83099999999999996</v>
      </c>
      <c r="BI11" s="105">
        <f t="shared" si="9"/>
        <v>0.81979999999999997</v>
      </c>
      <c r="BJ11" s="105">
        <f t="shared" si="9"/>
        <v>0.8135</v>
      </c>
      <c r="BK11" s="105">
        <f t="shared" si="9"/>
        <v>0.8135</v>
      </c>
      <c r="BL11" s="105">
        <f t="shared" si="9"/>
        <v>0.80930000000000002</v>
      </c>
      <c r="BM11" s="105">
        <f t="shared" si="9"/>
        <v>0.80930000000000002</v>
      </c>
      <c r="BN11" s="105">
        <f t="shared" si="9"/>
        <v>0.80579999999999996</v>
      </c>
      <c r="BO11" s="105">
        <f t="shared" si="9"/>
        <v>0.80579999999999996</v>
      </c>
      <c r="BP11" s="105">
        <f t="shared" si="9"/>
        <v>0.80930000000000002</v>
      </c>
      <c r="BQ11" s="105">
        <f t="shared" si="9"/>
        <v>0.80930000000000002</v>
      </c>
      <c r="BR11" s="105">
        <f t="shared" si="9"/>
        <v>0.81279999999999997</v>
      </c>
      <c r="BS11" s="105">
        <f t="shared" si="9"/>
        <v>0.80930000000000002</v>
      </c>
      <c r="BT11" s="105">
        <f t="shared" si="9"/>
        <v>0.80930000000000002</v>
      </c>
      <c r="BU11" s="105">
        <f t="shared" ref="BU11:CB11" si="10">SUM(BU9:BU10)</f>
        <v>0.80859999999999999</v>
      </c>
      <c r="BV11" s="105">
        <f t="shared" si="10"/>
        <v>0.81279999999999997</v>
      </c>
      <c r="BW11" s="105">
        <f t="shared" si="10"/>
        <v>0.8365999999999999</v>
      </c>
      <c r="BX11" s="105">
        <f t="shared" si="10"/>
        <v>0.89400000000000002</v>
      </c>
      <c r="BY11" s="105">
        <f t="shared" si="10"/>
        <v>0.90799999999999992</v>
      </c>
      <c r="BZ11" s="105">
        <f t="shared" si="10"/>
        <v>0.9486</v>
      </c>
      <c r="CA11" s="105">
        <f t="shared" si="10"/>
        <v>0.92199999999999993</v>
      </c>
      <c r="CB11" s="105">
        <f t="shared" si="10"/>
        <v>0.88980000000000004</v>
      </c>
      <c r="CC11" s="105">
        <f t="shared" ref="CC11:CH11" si="11">SUM(CC9:CC10)</f>
        <v>0.85899999999999999</v>
      </c>
      <c r="CD11" s="105">
        <f t="shared" si="11"/>
        <v>0.85199999999999998</v>
      </c>
      <c r="CE11" s="105">
        <f t="shared" si="11"/>
        <v>0.85199999999999998</v>
      </c>
      <c r="CF11" s="105">
        <f t="shared" si="11"/>
        <v>0.8569</v>
      </c>
      <c r="CG11" s="105">
        <f t="shared" si="11"/>
        <v>0.84149999999999991</v>
      </c>
      <c r="CH11" s="105">
        <f t="shared" si="11"/>
        <v>0.84079999999999999</v>
      </c>
      <c r="CI11" s="105">
        <f>SUM(CI9:CI10)</f>
        <v>0.84079999999999999</v>
      </c>
      <c r="CJ11" s="105">
        <f>SUM(CJ9:CJ10)</f>
        <v>0.84079999999999999</v>
      </c>
      <c r="CK11" s="105">
        <f>SUM(CK9:CK10)</f>
        <v>0.84079999999999999</v>
      </c>
      <c r="CL11" s="105">
        <f>SUM(CL9:CL10)</f>
        <v>0.82889999999999997</v>
      </c>
      <c r="CM11" s="105">
        <f t="shared" ref="CM11:CR11" si="12">SUM(CM9:CM10)</f>
        <v>0.82259999999999989</v>
      </c>
      <c r="CN11" s="105">
        <f t="shared" si="12"/>
        <v>0.81979999999999997</v>
      </c>
      <c r="CO11" s="105">
        <f t="shared" si="12"/>
        <v>0.81699999999999995</v>
      </c>
      <c r="CP11" s="105">
        <f t="shared" si="12"/>
        <v>0.82889999999999997</v>
      </c>
      <c r="CQ11" s="105">
        <f t="shared" si="12"/>
        <v>0.82889999999999997</v>
      </c>
      <c r="CR11" s="105">
        <f t="shared" si="12"/>
        <v>0.82889999999999997</v>
      </c>
      <c r="CS11" s="105">
        <f t="shared" ref="CS11:ED11" si="13">SUM(CS9:CS10)</f>
        <v>0.82259999999999989</v>
      </c>
      <c r="CT11" s="105">
        <f t="shared" si="13"/>
        <v>0.82259999999999989</v>
      </c>
      <c r="CU11" s="105">
        <f t="shared" si="13"/>
        <v>0.82259999999999989</v>
      </c>
      <c r="CV11" s="105">
        <f t="shared" si="13"/>
        <v>0.84499999999999997</v>
      </c>
      <c r="CW11" s="105">
        <f t="shared" si="13"/>
        <v>0.88629999999999998</v>
      </c>
      <c r="CX11" s="105">
        <f t="shared" si="13"/>
        <v>0.88629999999999998</v>
      </c>
      <c r="CY11" s="105">
        <f t="shared" si="13"/>
        <v>0.89259999999999995</v>
      </c>
      <c r="CZ11" s="105">
        <f t="shared" si="13"/>
        <v>0.89259999999999995</v>
      </c>
      <c r="DA11" s="105">
        <f t="shared" si="13"/>
        <v>0.89259999999999995</v>
      </c>
      <c r="DB11" s="105">
        <f t="shared" si="13"/>
        <v>0.89259999999999995</v>
      </c>
      <c r="DC11" s="105">
        <f t="shared" si="13"/>
        <v>0.87580000000000002</v>
      </c>
      <c r="DD11" s="105">
        <f t="shared" si="13"/>
        <v>0.83099999999999996</v>
      </c>
      <c r="DE11" s="105">
        <f t="shared" si="13"/>
        <v>0.83099999999999996</v>
      </c>
      <c r="DF11" s="105">
        <f t="shared" si="13"/>
        <v>0.81630000000000003</v>
      </c>
      <c r="DG11" s="105">
        <f t="shared" si="13"/>
        <v>0.80930000000000002</v>
      </c>
      <c r="DH11" s="105">
        <f t="shared" si="13"/>
        <v>0.80930000000000002</v>
      </c>
      <c r="DI11" s="105">
        <f t="shared" si="13"/>
        <v>0.81279999999999997</v>
      </c>
      <c r="DJ11" s="105">
        <f t="shared" si="13"/>
        <v>0.82399999999999995</v>
      </c>
      <c r="DK11" s="105">
        <f t="shared" si="13"/>
        <v>0.82539999999999991</v>
      </c>
      <c r="DL11" s="105">
        <f t="shared" si="13"/>
        <v>0.82959999999999989</v>
      </c>
      <c r="DM11" s="105">
        <f t="shared" si="13"/>
        <v>0.83379999999999999</v>
      </c>
      <c r="DN11" s="105">
        <f t="shared" si="13"/>
        <v>0.82329999999999992</v>
      </c>
      <c r="DO11" s="105">
        <f t="shared" si="13"/>
        <v>0.82679999999999998</v>
      </c>
      <c r="DP11" s="105">
        <f t="shared" si="13"/>
        <v>0.82679999999999998</v>
      </c>
      <c r="DQ11" s="105">
        <f t="shared" si="13"/>
        <v>0.82679999999999998</v>
      </c>
      <c r="DR11" s="105">
        <f t="shared" si="13"/>
        <v>0.82679999999999998</v>
      </c>
      <c r="DS11" s="105">
        <f t="shared" si="13"/>
        <v>0.83029999999999993</v>
      </c>
      <c r="DT11" s="105">
        <f t="shared" si="13"/>
        <v>0.25</v>
      </c>
      <c r="DU11" s="105">
        <f t="shared" si="13"/>
        <v>0.25</v>
      </c>
      <c r="DV11" s="105">
        <f t="shared" si="13"/>
        <v>0.25</v>
      </c>
      <c r="DW11" s="105">
        <f t="shared" si="13"/>
        <v>0.25</v>
      </c>
      <c r="DX11" s="105">
        <f t="shared" si="13"/>
        <v>0.25</v>
      </c>
      <c r="DY11" s="105">
        <f t="shared" si="13"/>
        <v>0.25</v>
      </c>
      <c r="DZ11" s="105">
        <f t="shared" si="13"/>
        <v>0.25</v>
      </c>
      <c r="EA11" s="105">
        <f t="shared" si="13"/>
        <v>0.25</v>
      </c>
      <c r="EB11" s="105">
        <f t="shared" si="13"/>
        <v>0.25</v>
      </c>
      <c r="EC11" s="105">
        <f t="shared" si="13"/>
        <v>0.25</v>
      </c>
      <c r="ED11" s="105" t="e" vm="2">
        <f t="shared" si="13"/>
        <v>#VALUE!</v>
      </c>
    </row>
    <row r="12" spans="1:134">
      <c r="I12" s="74"/>
      <c r="J12" s="74"/>
      <c r="K12" s="74"/>
      <c r="L12" s="74"/>
      <c r="M12" s="74"/>
      <c r="N12" s="74"/>
      <c r="O12" s="74"/>
      <c r="P12" s="74"/>
      <c r="Q12" s="74"/>
      <c r="R12" s="74"/>
      <c r="S12" s="74"/>
      <c r="T12" s="74"/>
      <c r="U12" s="74"/>
      <c r="V12" s="74"/>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row>
    <row r="13" spans="1:134" s="64" customFormat="1">
      <c r="I13" s="74"/>
      <c r="J13" s="74"/>
      <c r="K13" s="74"/>
      <c r="L13" s="74"/>
      <c r="M13" s="74"/>
      <c r="N13" s="74"/>
      <c r="O13" s="74"/>
      <c r="P13" s="74"/>
      <c r="Q13" s="74"/>
      <c r="R13" s="74"/>
      <c r="S13" s="74"/>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W13" s="74"/>
      <c r="AX13" s="74"/>
    </row>
    <row r="15" spans="1:134" ht="13" thickBot="1"/>
    <row r="16" spans="1:134" ht="13" thickBot="1">
      <c r="D16" s="259"/>
      <c r="H16" s="106" t="s">
        <v>407</v>
      </c>
      <c r="I16" s="109">
        <f>I11+0</f>
        <v>0.91499999999999992</v>
      </c>
      <c r="J16" s="109">
        <f t="shared" ref="J16:BU16" si="14">J11+0</f>
        <v>0.81699999999999995</v>
      </c>
      <c r="K16" s="109">
        <f t="shared" si="14"/>
        <v>0.79599999999999993</v>
      </c>
      <c r="L16" s="109">
        <f t="shared" si="14"/>
        <v>0.64200000000000002</v>
      </c>
      <c r="M16" s="109">
        <f t="shared" si="14"/>
        <v>0.72599999999999998</v>
      </c>
      <c r="N16" s="109">
        <f t="shared" si="14"/>
        <v>0.754</v>
      </c>
      <c r="O16" s="109">
        <f t="shared" si="14"/>
        <v>0.79599999999999993</v>
      </c>
      <c r="P16" s="109">
        <f t="shared" si="14"/>
        <v>0.79599999999999993</v>
      </c>
      <c r="Q16" s="109">
        <f t="shared" si="14"/>
        <v>0.84499999999999997</v>
      </c>
      <c r="R16" s="109">
        <f t="shared" si="14"/>
        <v>0.85199999999999998</v>
      </c>
      <c r="S16" s="109">
        <f t="shared" si="14"/>
        <v>0.84499999999999997</v>
      </c>
      <c r="T16" s="109">
        <f t="shared" si="14"/>
        <v>0.90799999999999992</v>
      </c>
      <c r="U16" s="109">
        <f t="shared" si="14"/>
        <v>0.89400000000000002</v>
      </c>
      <c r="V16" s="109">
        <f t="shared" si="14"/>
        <v>0.90100000000000002</v>
      </c>
      <c r="W16" s="109">
        <f t="shared" si="14"/>
        <v>1.0549999999999999</v>
      </c>
      <c r="X16" s="109">
        <f t="shared" si="14"/>
        <v>0.99199999999999999</v>
      </c>
      <c r="Y16" s="109">
        <f t="shared" si="14"/>
        <v>1.0129999999999999</v>
      </c>
      <c r="Z16" s="109">
        <f t="shared" si="14"/>
        <v>0.89400000000000002</v>
      </c>
      <c r="AA16" s="109">
        <f t="shared" si="14"/>
        <v>0.90799999999999992</v>
      </c>
      <c r="AB16" s="109">
        <f t="shared" si="14"/>
        <v>0.90799999999999992</v>
      </c>
      <c r="AC16" s="109">
        <f t="shared" si="14"/>
        <v>0.90799999999999992</v>
      </c>
      <c r="AD16" s="109">
        <f t="shared" si="14"/>
        <v>0.96399999999999997</v>
      </c>
      <c r="AE16" s="109">
        <f t="shared" si="14"/>
        <v>0.92199999999999993</v>
      </c>
      <c r="AF16" s="109">
        <f t="shared" si="14"/>
        <v>0.88</v>
      </c>
      <c r="AG16" s="109">
        <f t="shared" si="14"/>
        <v>0.91499999999999992</v>
      </c>
      <c r="AH16" s="109">
        <f t="shared" si="14"/>
        <v>1.0899999999999999</v>
      </c>
      <c r="AI16" s="109">
        <f t="shared" si="14"/>
        <v>1.1739999999999999</v>
      </c>
      <c r="AJ16" s="109">
        <f t="shared" si="14"/>
        <v>1.153</v>
      </c>
      <c r="AK16" s="109">
        <f t="shared" si="14"/>
        <v>1.0899999999999999</v>
      </c>
      <c r="AL16" s="109">
        <f t="shared" si="14"/>
        <v>0.97799999999999998</v>
      </c>
      <c r="AM16" s="109">
        <f t="shared" si="14"/>
        <v>0.91499999999999992</v>
      </c>
      <c r="AN16" s="109">
        <f t="shared" si="14"/>
        <v>0.873</v>
      </c>
      <c r="AO16" s="109">
        <f t="shared" si="14"/>
        <v>0.873</v>
      </c>
      <c r="AP16" s="109">
        <f t="shared" si="14"/>
        <v>0.873</v>
      </c>
      <c r="AQ16" s="109">
        <f t="shared" si="14"/>
        <v>0.84499999999999997</v>
      </c>
      <c r="AR16" s="109">
        <f t="shared" si="14"/>
        <v>0.86599999999999999</v>
      </c>
      <c r="AS16" s="109">
        <f t="shared" si="14"/>
        <v>0.86599999999999999</v>
      </c>
      <c r="AT16" s="109">
        <f t="shared" si="14"/>
        <v>0.93599999999999994</v>
      </c>
      <c r="AU16" s="109">
        <f t="shared" si="14"/>
        <v>0.89400000000000002</v>
      </c>
      <c r="AV16" s="109">
        <f t="shared" si="14"/>
        <v>0.90799999999999992</v>
      </c>
      <c r="AW16" s="109">
        <f t="shared" si="14"/>
        <v>0.873</v>
      </c>
      <c r="AX16" s="109">
        <f t="shared" si="14"/>
        <v>0.77499999999999991</v>
      </c>
      <c r="AY16" s="109">
        <f t="shared" si="14"/>
        <v>0.76100000000000001</v>
      </c>
      <c r="AZ16" s="109">
        <f t="shared" si="14"/>
        <v>0.76100000000000001</v>
      </c>
      <c r="BA16" s="109">
        <f t="shared" si="14"/>
        <v>0.77779999999999994</v>
      </c>
      <c r="BB16" s="109">
        <f t="shared" si="14"/>
        <v>0.79459999999999997</v>
      </c>
      <c r="BC16" s="109">
        <f t="shared" si="14"/>
        <v>0.79949999999999999</v>
      </c>
      <c r="BD16" s="109">
        <f t="shared" si="14"/>
        <v>0.8274999999999999</v>
      </c>
      <c r="BE16" s="109">
        <f t="shared" si="14"/>
        <v>0.8478</v>
      </c>
      <c r="BF16" s="109">
        <f t="shared" si="14"/>
        <v>0.8478</v>
      </c>
      <c r="BG16" s="109">
        <f t="shared" si="14"/>
        <v>0.83939999999999992</v>
      </c>
      <c r="BH16" s="109">
        <f t="shared" si="14"/>
        <v>0.83099999999999996</v>
      </c>
      <c r="BI16" s="109">
        <f t="shared" si="14"/>
        <v>0.81979999999999997</v>
      </c>
      <c r="BJ16" s="109">
        <f t="shared" si="14"/>
        <v>0.8135</v>
      </c>
      <c r="BK16" s="109">
        <f t="shared" si="14"/>
        <v>0.8135</v>
      </c>
      <c r="BL16" s="109">
        <f t="shared" si="14"/>
        <v>0.80930000000000002</v>
      </c>
      <c r="BM16" s="109">
        <f t="shared" si="14"/>
        <v>0.80930000000000002</v>
      </c>
      <c r="BN16" s="109">
        <f t="shared" si="14"/>
        <v>0.80579999999999996</v>
      </c>
      <c r="BO16" s="109">
        <f t="shared" si="14"/>
        <v>0.80579999999999996</v>
      </c>
      <c r="BP16" s="109">
        <f t="shared" si="14"/>
        <v>0.80930000000000002</v>
      </c>
      <c r="BQ16" s="109">
        <f t="shared" si="14"/>
        <v>0.80930000000000002</v>
      </c>
      <c r="BR16" s="109">
        <f t="shared" si="14"/>
        <v>0.81279999999999997</v>
      </c>
      <c r="BS16" s="109">
        <f t="shared" si="14"/>
        <v>0.80930000000000002</v>
      </c>
      <c r="BT16" s="109">
        <f t="shared" si="14"/>
        <v>0.80930000000000002</v>
      </c>
      <c r="BU16" s="109">
        <f t="shared" si="14"/>
        <v>0.80859999999999999</v>
      </c>
      <c r="BV16" s="109">
        <f t="shared" ref="BV16:CB16" si="15">BV11+0</f>
        <v>0.81279999999999997</v>
      </c>
      <c r="BW16" s="109">
        <f t="shared" si="15"/>
        <v>0.8365999999999999</v>
      </c>
      <c r="BX16" s="109">
        <f t="shared" si="15"/>
        <v>0.89400000000000002</v>
      </c>
      <c r="BY16" s="109">
        <f t="shared" si="15"/>
        <v>0.90799999999999992</v>
      </c>
      <c r="BZ16" s="109">
        <f t="shared" si="15"/>
        <v>0.9486</v>
      </c>
      <c r="CA16" s="109">
        <f t="shared" si="15"/>
        <v>0.92199999999999993</v>
      </c>
      <c r="CB16" s="109">
        <f t="shared" si="15"/>
        <v>0.88980000000000004</v>
      </c>
      <c r="CC16" s="109">
        <f t="shared" ref="CC16:CH16" si="16">CC11+0</f>
        <v>0.85899999999999999</v>
      </c>
      <c r="CD16" s="109">
        <f t="shared" si="16"/>
        <v>0.85199999999999998</v>
      </c>
      <c r="CE16" s="109">
        <f t="shared" si="16"/>
        <v>0.85199999999999998</v>
      </c>
      <c r="CF16" s="109">
        <f t="shared" si="16"/>
        <v>0.8569</v>
      </c>
      <c r="CG16" s="109">
        <f t="shared" si="16"/>
        <v>0.84149999999999991</v>
      </c>
      <c r="CH16" s="109">
        <f t="shared" si="16"/>
        <v>0.84079999999999999</v>
      </c>
      <c r="CI16" s="109">
        <f>CI11+0</f>
        <v>0.84079999999999999</v>
      </c>
      <c r="CJ16" s="109">
        <f>CJ11+0</f>
        <v>0.84079999999999999</v>
      </c>
      <c r="CK16" s="109">
        <f>CK11+0</f>
        <v>0.84079999999999999</v>
      </c>
      <c r="CL16" s="109">
        <f>CL11+0</f>
        <v>0.82889999999999997</v>
      </c>
      <c r="CM16" s="109">
        <f t="shared" ref="CM16:CR16" si="17">CM11+0</f>
        <v>0.82259999999999989</v>
      </c>
      <c r="CN16" s="109">
        <f t="shared" si="17"/>
        <v>0.81979999999999997</v>
      </c>
      <c r="CO16" s="109">
        <f t="shared" si="17"/>
        <v>0.81699999999999995</v>
      </c>
      <c r="CP16" s="109">
        <f t="shared" si="17"/>
        <v>0.82889999999999997</v>
      </c>
      <c r="CQ16" s="109">
        <f t="shared" si="17"/>
        <v>0.82889999999999997</v>
      </c>
      <c r="CR16" s="109">
        <f t="shared" si="17"/>
        <v>0.82889999999999997</v>
      </c>
      <c r="CS16" s="109">
        <f t="shared" ref="CS16:ED16" si="18">CS11+0</f>
        <v>0.82259999999999989</v>
      </c>
      <c r="CT16" s="109">
        <f t="shared" si="18"/>
        <v>0.82259999999999989</v>
      </c>
      <c r="CU16" s="109">
        <f t="shared" si="18"/>
        <v>0.82259999999999989</v>
      </c>
      <c r="CV16" s="109">
        <f t="shared" si="18"/>
        <v>0.84499999999999997</v>
      </c>
      <c r="CW16" s="109">
        <f t="shared" si="18"/>
        <v>0.88629999999999998</v>
      </c>
      <c r="CX16" s="109">
        <f t="shared" si="18"/>
        <v>0.88629999999999998</v>
      </c>
      <c r="CY16" s="109">
        <f t="shared" si="18"/>
        <v>0.89259999999999995</v>
      </c>
      <c r="CZ16" s="109">
        <f t="shared" si="18"/>
        <v>0.89259999999999995</v>
      </c>
      <c r="DA16" s="109">
        <f t="shared" si="18"/>
        <v>0.89259999999999995</v>
      </c>
      <c r="DB16" s="109">
        <f t="shared" si="18"/>
        <v>0.89259999999999995</v>
      </c>
      <c r="DC16" s="109">
        <f t="shared" si="18"/>
        <v>0.87580000000000002</v>
      </c>
      <c r="DD16" s="109">
        <f t="shared" si="18"/>
        <v>0.83099999999999996</v>
      </c>
      <c r="DE16" s="109">
        <f t="shared" si="18"/>
        <v>0.83099999999999996</v>
      </c>
      <c r="DF16" s="109">
        <f t="shared" si="18"/>
        <v>0.81630000000000003</v>
      </c>
      <c r="DG16" s="109">
        <f t="shared" si="18"/>
        <v>0.80930000000000002</v>
      </c>
      <c r="DH16" s="109">
        <f t="shared" si="18"/>
        <v>0.80930000000000002</v>
      </c>
      <c r="DI16" s="109">
        <f t="shared" si="18"/>
        <v>0.81279999999999997</v>
      </c>
      <c r="DJ16" s="109">
        <f t="shared" si="18"/>
        <v>0.82399999999999995</v>
      </c>
      <c r="DK16" s="109">
        <f t="shared" si="18"/>
        <v>0.82539999999999991</v>
      </c>
      <c r="DL16" s="109">
        <f t="shared" si="18"/>
        <v>0.82959999999999989</v>
      </c>
      <c r="DM16" s="109">
        <f t="shared" si="18"/>
        <v>0.83379999999999999</v>
      </c>
      <c r="DN16" s="109">
        <f t="shared" si="18"/>
        <v>0.82329999999999992</v>
      </c>
      <c r="DO16" s="109">
        <f t="shared" si="18"/>
        <v>0.82679999999999998</v>
      </c>
      <c r="DP16" s="109">
        <f t="shared" si="18"/>
        <v>0.82679999999999998</v>
      </c>
      <c r="DQ16" s="109">
        <f t="shared" si="18"/>
        <v>0.82679999999999998</v>
      </c>
      <c r="DR16" s="109">
        <f t="shared" si="18"/>
        <v>0.82679999999999998</v>
      </c>
      <c r="DS16" s="109">
        <f t="shared" si="18"/>
        <v>0.83029999999999993</v>
      </c>
      <c r="DT16" s="109">
        <f t="shared" si="18"/>
        <v>0.25</v>
      </c>
      <c r="DU16" s="109">
        <f t="shared" si="18"/>
        <v>0.25</v>
      </c>
      <c r="DV16" s="109">
        <f t="shared" si="18"/>
        <v>0.25</v>
      </c>
      <c r="DW16" s="109">
        <f t="shared" si="18"/>
        <v>0.25</v>
      </c>
      <c r="DX16" s="109">
        <f t="shared" si="18"/>
        <v>0.25</v>
      </c>
      <c r="DY16" s="109">
        <f t="shared" si="18"/>
        <v>0.25</v>
      </c>
      <c r="DZ16" s="109">
        <f t="shared" si="18"/>
        <v>0.25</v>
      </c>
      <c r="EA16" s="109">
        <f t="shared" si="18"/>
        <v>0.25</v>
      </c>
      <c r="EB16" s="109">
        <f t="shared" si="18"/>
        <v>0.25</v>
      </c>
      <c r="EC16" s="109">
        <f t="shared" si="18"/>
        <v>0.25</v>
      </c>
      <c r="ED16" s="109" t="e" vm="2">
        <f t="shared" si="18"/>
        <v>#VALUE!</v>
      </c>
    </row>
    <row r="18" spans="2:64">
      <c r="B18" s="65"/>
      <c r="BL18" s="65"/>
    </row>
    <row r="23" spans="2:64" ht="15">
      <c r="AR23" s="11"/>
    </row>
    <row r="24" spans="2:64" ht="15">
      <c r="AR24" s="11"/>
    </row>
    <row r="25" spans="2:64" ht="15">
      <c r="AR25" s="260"/>
    </row>
  </sheetData>
  <conditionalFormatting sqref="I13 Z13:AB13 AE13:AF13 AH13:AJ13 AL13 AP13 AR13:AS13 AU13 Q13:X13 O13 K13:L13">
    <cfRule type="top10" dxfId="16" priority="1" bottom="1" rank="1"/>
  </conditionalFormatting>
  <pageMargins left="0.7" right="0.7" top="0.75" bottom="0.75" header="0.3" footer="0.3"/>
  <pageSetup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DX25"/>
  <sheetViews>
    <sheetView workbookViewId="0">
      <pane xSplit="10" ySplit="5" topLeftCell="DG6" activePane="bottomRight" state="frozen"/>
      <selection pane="topRight" activeCell="K1" sqref="K1"/>
      <selection pane="bottomLeft" activeCell="A6" sqref="A6"/>
      <selection pane="bottomRight" activeCell="I16" sqref="I16"/>
    </sheetView>
  </sheetViews>
  <sheetFormatPr baseColWidth="10" defaultColWidth="22.6640625" defaultRowHeight="12"/>
  <cols>
    <col min="1" max="1" width="13.33203125" style="60" bestFit="1" customWidth="1"/>
    <col min="2" max="2" width="11.33203125" style="60" bestFit="1" customWidth="1"/>
    <col min="3" max="3" width="4.83203125" style="60" bestFit="1" customWidth="1"/>
    <col min="4" max="4" width="12.33203125" style="60" bestFit="1" customWidth="1"/>
    <col min="5" max="5" width="7.5" style="60" bestFit="1" customWidth="1"/>
    <col min="6" max="6" width="6.5" style="60" bestFit="1" customWidth="1"/>
    <col min="7" max="7" width="3.33203125" style="60" bestFit="1" customWidth="1"/>
    <col min="8" max="8" width="14.5" style="60" bestFit="1" customWidth="1"/>
    <col min="9" max="10" width="5.5" style="60" bestFit="1" customWidth="1"/>
    <col min="11" max="11" width="5.6640625" style="60" bestFit="1" customWidth="1"/>
    <col min="12" max="12" width="5.5" style="60" bestFit="1" customWidth="1"/>
    <col min="13" max="13" width="5.83203125" style="60" bestFit="1" customWidth="1"/>
    <col min="14" max="18" width="5.5" style="60" bestFit="1" customWidth="1"/>
    <col min="19" max="19" width="5.6640625" style="60" bestFit="1" customWidth="1"/>
    <col min="20" max="22" width="5.5" style="60" bestFit="1" customWidth="1"/>
    <col min="23" max="25" width="6.1640625" style="60" bestFit="1" customWidth="1"/>
    <col min="26" max="29" width="5.5" style="60" bestFit="1" customWidth="1"/>
    <col min="30" max="30" width="6.1640625" style="60" bestFit="1" customWidth="1"/>
    <col min="31" max="31" width="5.6640625" style="60" bestFit="1" customWidth="1"/>
    <col min="32" max="33" width="5.5" style="60" bestFit="1" customWidth="1"/>
    <col min="34" max="38" width="6.1640625" style="60" bestFit="1" customWidth="1"/>
    <col min="39" max="42" width="5.5" style="60" bestFit="1" customWidth="1"/>
    <col min="43" max="43" width="5.6640625" style="60" bestFit="1" customWidth="1"/>
    <col min="44" max="46" width="5.5" style="60" bestFit="1" customWidth="1"/>
    <col min="47" max="47" width="5.6640625" style="60" bestFit="1" customWidth="1"/>
    <col min="48" max="48" width="5.5" style="60" bestFit="1" customWidth="1"/>
    <col min="49" max="49" width="5.83203125" style="60" bestFit="1" customWidth="1"/>
    <col min="50" max="51" width="5.5" style="60" bestFit="1" customWidth="1"/>
    <col min="52" max="54" width="7" style="60" bestFit="1" customWidth="1"/>
    <col min="55" max="56" width="5.5" style="60" bestFit="1" customWidth="1"/>
    <col min="57" max="58" width="5.83203125" style="60" bestFit="1" customWidth="1"/>
    <col min="59" max="70" width="5.6640625" style="60" bestFit="1" customWidth="1"/>
    <col min="71" max="82" width="5.5" style="60" bestFit="1" customWidth="1"/>
    <col min="83" max="83" width="6.1640625" style="60" bestFit="1" customWidth="1"/>
    <col min="84" max="86" width="5.6640625" style="60" bestFit="1" customWidth="1"/>
    <col min="87" max="90" width="5.5" style="60" bestFit="1" customWidth="1"/>
    <col min="91" max="95" width="6.33203125" style="60" bestFit="1" customWidth="1"/>
    <col min="96" max="99" width="6.1640625" style="60" bestFit="1" customWidth="1"/>
    <col min="100" max="100" width="5.5" style="60" bestFit="1" customWidth="1"/>
    <col min="101" max="128" width="6.5" style="60" bestFit="1" customWidth="1"/>
    <col min="129" max="16384" width="22.6640625" style="60"/>
  </cols>
  <sheetData>
    <row r="1" spans="1:128" ht="26">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row>
    <row r="2" spans="1:128">
      <c r="A2" s="44" t="s">
        <v>758</v>
      </c>
      <c r="B2" s="112"/>
      <c r="C2" s="101">
        <v>1</v>
      </c>
      <c r="D2" s="60">
        <v>130.22999999999999</v>
      </c>
      <c r="E2" s="60">
        <f>D2*C2</f>
        <v>130.22999999999999</v>
      </c>
      <c r="K2" s="102"/>
      <c r="M2" s="102"/>
    </row>
    <row r="3" spans="1:128">
      <c r="A3" s="100"/>
      <c r="B3" s="64"/>
      <c r="D3" s="100"/>
      <c r="E3" s="64"/>
      <c r="F3" s="103"/>
    </row>
    <row r="4" spans="1:128">
      <c r="A4" s="64"/>
      <c r="B4" s="64"/>
      <c r="D4" s="64"/>
      <c r="E4" s="64"/>
      <c r="H4" s="60" t="s">
        <v>387</v>
      </c>
    </row>
    <row r="5" spans="1:128">
      <c r="A5" s="74"/>
      <c r="B5" s="74"/>
    </row>
    <row r="6" spans="1:128">
      <c r="A6" s="59"/>
      <c r="B6" s="59"/>
      <c r="C6" s="59"/>
      <c r="D6" s="98"/>
      <c r="E6" s="98"/>
      <c r="F6" s="59"/>
      <c r="H6" s="59" t="s">
        <v>416</v>
      </c>
      <c r="I6" s="59">
        <v>43831</v>
      </c>
      <c r="J6" s="59">
        <v>43862</v>
      </c>
      <c r="K6" s="59">
        <v>43891</v>
      </c>
      <c r="L6" s="59">
        <v>43922</v>
      </c>
      <c r="M6" s="59">
        <v>43952</v>
      </c>
      <c r="N6" s="59">
        <v>43983</v>
      </c>
      <c r="O6" s="59">
        <v>44013</v>
      </c>
      <c r="P6" s="59">
        <v>44044</v>
      </c>
      <c r="Q6" s="59">
        <v>44075</v>
      </c>
      <c r="R6" s="59">
        <v>44105</v>
      </c>
      <c r="S6" s="59">
        <v>44136</v>
      </c>
      <c r="T6" s="59">
        <v>44166</v>
      </c>
      <c r="U6" s="59">
        <v>44197</v>
      </c>
      <c r="V6" s="59">
        <v>44228</v>
      </c>
      <c r="W6" s="59">
        <v>44256</v>
      </c>
      <c r="X6" s="59">
        <v>44287</v>
      </c>
      <c r="Y6" s="59">
        <v>44317</v>
      </c>
      <c r="Z6" s="59">
        <v>44348</v>
      </c>
      <c r="AA6" s="59">
        <v>44378</v>
      </c>
      <c r="AB6" s="59">
        <v>44409</v>
      </c>
      <c r="AC6" s="59">
        <v>44440</v>
      </c>
      <c r="AD6" s="59">
        <v>44470</v>
      </c>
      <c r="AE6" s="59">
        <v>44501</v>
      </c>
      <c r="AF6" s="59">
        <v>44531</v>
      </c>
      <c r="AG6" s="59">
        <v>44562</v>
      </c>
      <c r="AH6" s="59">
        <v>44593</v>
      </c>
      <c r="AI6" s="59">
        <v>44621</v>
      </c>
      <c r="AJ6" s="59">
        <v>44652</v>
      </c>
      <c r="AK6" s="59">
        <v>44682</v>
      </c>
      <c r="AL6" s="59">
        <v>44713</v>
      </c>
      <c r="AM6" s="59">
        <v>44743</v>
      </c>
      <c r="AN6" s="59">
        <v>44774</v>
      </c>
      <c r="AO6" s="59">
        <v>44805</v>
      </c>
      <c r="AP6" s="59">
        <v>44835</v>
      </c>
      <c r="AQ6" s="59">
        <v>44866</v>
      </c>
      <c r="AR6" s="59">
        <v>44896</v>
      </c>
      <c r="AS6" s="59">
        <v>44927</v>
      </c>
      <c r="AT6" s="59">
        <v>44958</v>
      </c>
      <c r="AU6" s="59">
        <v>44986</v>
      </c>
      <c r="AV6" s="59">
        <v>45017</v>
      </c>
      <c r="AW6" s="59">
        <v>45047</v>
      </c>
      <c r="AX6" s="59">
        <v>45078</v>
      </c>
      <c r="AY6" s="59">
        <v>45108</v>
      </c>
      <c r="AZ6" s="59" t="s">
        <v>530</v>
      </c>
      <c r="BA6" s="59" t="s">
        <v>531</v>
      </c>
      <c r="BB6" s="59" t="s">
        <v>532</v>
      </c>
      <c r="BC6" s="59">
        <v>37104</v>
      </c>
      <c r="BD6" s="59">
        <v>37469</v>
      </c>
      <c r="BE6" s="59" t="s">
        <v>168</v>
      </c>
      <c r="BF6" s="59" t="s">
        <v>169</v>
      </c>
      <c r="BG6" s="59" t="s">
        <v>421</v>
      </c>
      <c r="BH6" s="59" t="s">
        <v>422</v>
      </c>
      <c r="BI6" s="59" t="s">
        <v>423</v>
      </c>
      <c r="BJ6" s="59" t="s">
        <v>424</v>
      </c>
      <c r="BK6" s="59" t="s">
        <v>435</v>
      </c>
      <c r="BL6" s="59" t="s">
        <v>436</v>
      </c>
      <c r="BM6" s="59" t="s">
        <v>437</v>
      </c>
      <c r="BN6" s="59" t="s">
        <v>438</v>
      </c>
      <c r="BO6" s="59">
        <v>37196</v>
      </c>
      <c r="BP6" s="59">
        <v>37561</v>
      </c>
      <c r="BQ6" s="59">
        <v>37926</v>
      </c>
      <c r="BR6" s="59">
        <v>38292</v>
      </c>
      <c r="BS6" s="59">
        <v>37226</v>
      </c>
      <c r="BT6" s="59">
        <v>37591</v>
      </c>
      <c r="BU6" s="59">
        <v>37956</v>
      </c>
      <c r="BV6" s="59">
        <v>38322</v>
      </c>
      <c r="BW6" s="59">
        <v>36892</v>
      </c>
      <c r="BX6" s="59">
        <v>37257</v>
      </c>
      <c r="BY6" s="59">
        <v>37622</v>
      </c>
      <c r="BZ6" s="59">
        <v>37987</v>
      </c>
      <c r="CA6" s="59">
        <v>36923</v>
      </c>
      <c r="CB6" s="59">
        <v>37288</v>
      </c>
      <c r="CC6" s="59">
        <v>37653</v>
      </c>
      <c r="CD6" s="59">
        <v>38018</v>
      </c>
      <c r="CE6" s="59" t="str">
        <f>Sheet8!A15</f>
        <v>Mar-w1</v>
      </c>
      <c r="CF6" s="59">
        <v>37316</v>
      </c>
      <c r="CG6" s="59">
        <v>37681</v>
      </c>
      <c r="CH6" s="59">
        <v>38047</v>
      </c>
      <c r="CI6" s="59" t="str">
        <f>Sheet8!E15</f>
        <v>Apr-w1</v>
      </c>
      <c r="CJ6" s="59" t="str">
        <f>Sheet8!F15</f>
        <v>Apr-w2</v>
      </c>
      <c r="CK6" s="59" t="str">
        <f>Sheet8!G15</f>
        <v>Apr-w3</v>
      </c>
      <c r="CL6" s="59" t="str">
        <f>Sheet8!H15</f>
        <v>Apr-w4</v>
      </c>
      <c r="CM6" s="59" t="str">
        <f>Sheet8!I15</f>
        <v>May-w1</v>
      </c>
      <c r="CN6" s="59" t="str">
        <f>Sheet8!J15</f>
        <v>May-w2</v>
      </c>
      <c r="CO6" s="59" t="str">
        <f>Sheet8!K15</f>
        <v>May-w3</v>
      </c>
      <c r="CP6" s="59" t="str">
        <f>Sheet8!L15</f>
        <v>May-w4</v>
      </c>
      <c r="CQ6" s="59" t="str">
        <f>Sheet8!M15</f>
        <v>May-w5</v>
      </c>
      <c r="CR6" s="59" t="str">
        <f>Sheet8!N15</f>
        <v>june-w1</v>
      </c>
      <c r="CS6" s="59" t="str">
        <f>Sheet8!O15</f>
        <v>june-w2</v>
      </c>
      <c r="CT6" s="59" t="str">
        <f>Sheet8!P15</f>
        <v>june-w3</v>
      </c>
      <c r="CU6" s="59" t="str">
        <f>Sheet8!Q15</f>
        <v>june-w4</v>
      </c>
      <c r="CV6" s="59" t="str">
        <f>Sheet8!R15</f>
        <v>Jul-w1</v>
      </c>
      <c r="CW6" s="59" t="str">
        <f>Sheet8!S15</f>
        <v>Jul-w2</v>
      </c>
      <c r="CX6" s="59" t="str">
        <f>Sheet8!T15</f>
        <v>Jul-w3</v>
      </c>
      <c r="CY6" s="59" t="str">
        <f>Sheet8!U15</f>
        <v>Jul-w4</v>
      </c>
      <c r="CZ6" s="59" t="str">
        <f>Sheet8!V15</f>
        <v>Aug-w1</v>
      </c>
      <c r="DA6" s="59" t="str">
        <f>Sheet8!W15</f>
        <v>Aug-w2</v>
      </c>
      <c r="DB6" s="59" t="str">
        <f>Sheet8!X15</f>
        <v>Aug-w3</v>
      </c>
      <c r="DC6" s="59" t="str">
        <f>Sheet8!Y15</f>
        <v>Aug-w4</v>
      </c>
      <c r="DD6" s="59" t="str">
        <f>Sheet8!Z15</f>
        <v>Sep-w1</v>
      </c>
      <c r="DE6" s="59" t="str">
        <f>Sheet8!AA15</f>
        <v>Sep-w2</v>
      </c>
      <c r="DF6" s="59" t="str">
        <f>Sheet8!AB15</f>
        <v>Sep-w3</v>
      </c>
      <c r="DG6" s="59" t="str">
        <f>Sheet8!AC15</f>
        <v>Sep-w4</v>
      </c>
      <c r="DH6" s="59" t="str">
        <f>Sheet8!AD15</f>
        <v>Oct-w1</v>
      </c>
      <c r="DI6" s="59" t="str">
        <f>Sheet8!AE15</f>
        <v>Oct-w2</v>
      </c>
      <c r="DJ6" s="59" t="str">
        <f>Sheet8!AF15</f>
        <v>Oct-w3</v>
      </c>
      <c r="DK6" s="59" t="str">
        <f>Sheet8!AG15</f>
        <v>Oct-w4</v>
      </c>
      <c r="DL6" s="59" t="str">
        <f>Sheet8!AH15</f>
        <v>Nov-w1</v>
      </c>
      <c r="DM6" s="59" t="str">
        <f>Sheet8!AI15</f>
        <v>Nov-w2</v>
      </c>
      <c r="DN6" s="59" t="str">
        <f>Sheet8!AJ15</f>
        <v>Nov-w3</v>
      </c>
      <c r="DO6" s="59" t="str">
        <f>Sheet8!AK15</f>
        <v>Nov-w4</v>
      </c>
      <c r="DP6" s="59" t="str">
        <f>Sheet8!AL15</f>
        <v>Dec-w1</v>
      </c>
      <c r="DQ6" s="59" t="str">
        <f>Sheet8!AM15</f>
        <v>Dec-w2</v>
      </c>
      <c r="DR6" s="59" t="str">
        <f>Sheet8!AN15</f>
        <v>Dec-w3</v>
      </c>
      <c r="DS6" s="59" t="str">
        <f>Sheet8!AO15</f>
        <v>Dec-w4</v>
      </c>
      <c r="DT6" s="59">
        <f>Sheet8!AP15</f>
        <v>0</v>
      </c>
      <c r="DU6" s="59">
        <f>Sheet8!AQ15</f>
        <v>0</v>
      </c>
      <c r="DV6" s="59">
        <f>Sheet8!AR15</f>
        <v>0</v>
      </c>
      <c r="DW6" s="59">
        <f>Sheet8!AS15</f>
        <v>0</v>
      </c>
      <c r="DX6" s="59">
        <f>Sheet8!AT15</f>
        <v>0</v>
      </c>
    </row>
    <row r="7" spans="1:128">
      <c r="B7" s="44"/>
      <c r="D7" s="44"/>
      <c r="F7" s="60" t="s">
        <v>651</v>
      </c>
      <c r="H7" s="178" t="s">
        <v>114</v>
      </c>
      <c r="I7" s="74">
        <f>VLOOKUP($H$7&amp;$F$1,'Input RM sheet'!$A:$BD,H1,0)</f>
        <v>950</v>
      </c>
      <c r="J7" s="74">
        <f>VLOOKUP($H$7&amp;$F$1,'Input RM sheet'!$A:$BD,I1,0)</f>
        <v>810</v>
      </c>
      <c r="K7" s="74">
        <f>VLOOKUP($H$7&amp;$F$1,'Input RM sheet'!$A:$BD,J1,0)</f>
        <v>780</v>
      </c>
      <c r="L7" s="74">
        <f>VLOOKUP($H$7&amp;$F$1,'Input RM sheet'!$A:$BD,K1,0)</f>
        <v>560</v>
      </c>
      <c r="M7" s="74">
        <f>VLOOKUP($H$7&amp;$F$1,'Input RM sheet'!$A:$BD,L1,0)</f>
        <v>680</v>
      </c>
      <c r="N7" s="74">
        <f>VLOOKUP($H$7&amp;$F$1,'Input RM sheet'!$A:$BD,M1,0)</f>
        <v>720</v>
      </c>
      <c r="O7" s="74">
        <f>VLOOKUP($H$7&amp;$F$1,'Input RM sheet'!$A:$BD,N1,0)</f>
        <v>780</v>
      </c>
      <c r="P7" s="74">
        <f>VLOOKUP($H$7&amp;$F$1,'Input RM sheet'!$A:$BD,O1,0)</f>
        <v>780</v>
      </c>
      <c r="Q7" s="74">
        <f>VLOOKUP($H$7&amp;$F$1,'Input RM sheet'!$A:$BD,P1,0)</f>
        <v>850</v>
      </c>
      <c r="R7" s="74">
        <f>VLOOKUP($H$7&amp;$F$1,'Input RM sheet'!$A:$BD,Q1,0)</f>
        <v>860</v>
      </c>
      <c r="S7" s="74">
        <f>VLOOKUP($H$7&amp;$F$1,'Input RM sheet'!$A:$BD,R1,0)</f>
        <v>850</v>
      </c>
      <c r="T7" s="74">
        <f>VLOOKUP($H$7&amp;$F$1,'Input RM sheet'!$A:$BD,S1,0)</f>
        <v>940</v>
      </c>
      <c r="U7" s="74">
        <f>VLOOKUP($H$7&amp;$F$1,'Input RM sheet'!$A:$BD,T1,0)</f>
        <v>920</v>
      </c>
      <c r="V7" s="74">
        <f>VLOOKUP($H$7&amp;$F$1,'Input RM sheet'!$A:$BD,U1,0)</f>
        <v>930</v>
      </c>
      <c r="W7" s="74">
        <f>VLOOKUP($H$7&amp;$F$1,'Input RM sheet'!$A:$BD,V1,0)</f>
        <v>1150</v>
      </c>
      <c r="X7" s="74">
        <f>VLOOKUP($H$7&amp;$F$1,'Input RM sheet'!$A:$BD,W1,0)</f>
        <v>1060</v>
      </c>
      <c r="Y7" s="74">
        <f>VLOOKUP($H$7&amp;$F$1,'Input RM sheet'!$A:$BD,X1,0)</f>
        <v>1090</v>
      </c>
      <c r="Z7" s="74">
        <f>VLOOKUP($H$7&amp;$F$1,'Input RM sheet'!$A:$BD,Y1,0)</f>
        <v>920</v>
      </c>
      <c r="AA7" s="74">
        <f>VLOOKUP($H$7&amp;$F$1,'Input RM sheet'!$A:$BD,Z1,0)</f>
        <v>940</v>
      </c>
      <c r="AB7" s="74">
        <f>VLOOKUP($H$7&amp;$F$1,'Input RM sheet'!$A:$BD,AA1,0)</f>
        <v>940</v>
      </c>
      <c r="AC7" s="74">
        <f>VLOOKUP($H$7&amp;$F$1,'Input RM sheet'!$A:$BD,AB1,0)</f>
        <v>940</v>
      </c>
      <c r="AD7" s="74">
        <f>VLOOKUP($H$7&amp;$F$1,'Input RM sheet'!$A:$BD,AC1,0)</f>
        <v>1020</v>
      </c>
      <c r="AE7" s="74">
        <f>VLOOKUP($H$7&amp;$F$1,'Input RM sheet'!$A:$BD,AD1,0)</f>
        <v>960</v>
      </c>
      <c r="AF7" s="74">
        <f>VLOOKUP($H$7&amp;$F$1,'Input RM sheet'!$A:$BD,AE1,0)</f>
        <v>900</v>
      </c>
      <c r="AG7" s="74">
        <f>VLOOKUP($H$7&amp;$F$1,'Input RM sheet'!$A:$BD,AF1,0)</f>
        <v>950</v>
      </c>
      <c r="AH7" s="74">
        <f>VLOOKUP($H$7&amp;$F$1,'Input RM sheet'!$A:$BD,AG1,0)</f>
        <v>1200</v>
      </c>
      <c r="AI7" s="74">
        <f>VLOOKUP($H$7&amp;$F$1,'Input RM sheet'!$A:$BD,AH1,0)</f>
        <v>1320</v>
      </c>
      <c r="AJ7" s="74">
        <f>VLOOKUP($H$7&amp;$F$1,'Input RM sheet'!$A:$BD,AI1,0)</f>
        <v>1290</v>
      </c>
      <c r="AK7" s="74">
        <f>VLOOKUP($H$7&amp;$F$1,'Input RM sheet'!$A:$BD,AJ1,0)</f>
        <v>1200</v>
      </c>
      <c r="AL7" s="74">
        <f>VLOOKUP($H$7&amp;$F$1,'Input RM sheet'!$A:$BD,AK1,0)</f>
        <v>1040</v>
      </c>
      <c r="AM7" s="74">
        <f>VLOOKUP($H$7&amp;$F$1,'Input RM sheet'!$A:$BD,AL1,0)</f>
        <v>950</v>
      </c>
      <c r="AN7" s="74">
        <f>VLOOKUP($H$7&amp;$F$1,'Input RM sheet'!$A:$BD,AM1,0)</f>
        <v>890</v>
      </c>
      <c r="AO7" s="74">
        <f>VLOOKUP($H$7&amp;$F$1,'Input RM sheet'!$A:$BD,AN1,0)</f>
        <v>890</v>
      </c>
      <c r="AP7" s="74">
        <f>VLOOKUP($H$7&amp;$F$1,'Input RM sheet'!$A:$BD,AO1,0)</f>
        <v>890</v>
      </c>
      <c r="AQ7" s="74">
        <f>VLOOKUP($H$7&amp;$F$1,'Input RM sheet'!$A:$BD,AP1,0)</f>
        <v>850</v>
      </c>
      <c r="AR7" s="74">
        <f>VLOOKUP($H$7&amp;$F$1,'Input RM sheet'!$A:$BD,AQ1,0)</f>
        <v>880</v>
      </c>
      <c r="AS7" s="74">
        <f>VLOOKUP($H$7&amp;$F$1,'Input RM sheet'!$A:$BD,AR1,0)</f>
        <v>880</v>
      </c>
      <c r="AT7" s="74">
        <f>VLOOKUP($H$7&amp;$F$1,'Input RM sheet'!$A:$BD,AS1,0)</f>
        <v>980</v>
      </c>
      <c r="AU7" s="74">
        <f>VLOOKUP($H$7&amp;$F$1,'Input RM sheet'!$A:$BD,AT1,0)</f>
        <v>920</v>
      </c>
      <c r="AV7" s="74">
        <f>VLOOKUP($H$7&amp;$F$1,'Input RM sheet'!$A:$BD,AU1,0)</f>
        <v>940</v>
      </c>
      <c r="AW7" s="74">
        <f>VLOOKUP($H$7&amp;$F$1,'Input RM sheet'!$A:$BD,AV1,0)</f>
        <v>890</v>
      </c>
      <c r="AX7" s="74">
        <f>VLOOKUP($H$7&amp;$F$1,'Input RM sheet'!$A:$BD,AW1,0)</f>
        <v>750</v>
      </c>
      <c r="AY7" s="74">
        <f>VLOOKUP($H$7&amp;$F$1,'Input RM sheet'!$A:$BD,AX1,0)</f>
        <v>730</v>
      </c>
      <c r="AZ7" s="74">
        <f>VLOOKUP($H$7&amp;$F$1,'Input RM sheet'!$A:$BD,AY1,0)</f>
        <v>730</v>
      </c>
      <c r="BA7" s="74">
        <f>VLOOKUP($H$7&amp;$F$1,'Input RM sheet'!$A:$BD,AZ1,0)</f>
        <v>754</v>
      </c>
      <c r="BB7" s="74">
        <f>VLOOKUP($H$7&amp;$F$1,'Input RM sheet'!$A:$BD,BA1,0)</f>
        <v>778</v>
      </c>
      <c r="BC7" s="74">
        <f>VLOOKUP($H$7&amp;$F$1,'Input RM sheet'!$A:$BD,BB1,0)</f>
        <v>785</v>
      </c>
      <c r="BD7" s="74">
        <f>VLOOKUP($H$7&amp;$F$1,'Input RM sheet'!$A:$BD,BC1,0)</f>
        <v>825</v>
      </c>
      <c r="BE7" s="74">
        <f>VLOOKUP($H$7&amp;$F$1,'Input RM sheet'!$A:$BD,BD1,0)</f>
        <v>854</v>
      </c>
      <c r="BF7" s="74">
        <f>VLOOKUP($H$7&amp;$F$1,'Input RM sheet'!$A:$BD,BE1,0)</f>
        <v>854</v>
      </c>
      <c r="BG7" s="74">
        <f>VLOOKUP($H$7&amp;$F$1,'Input RM sheet'!$A:$DD,BF1,0)</f>
        <v>842</v>
      </c>
      <c r="BH7" s="74">
        <f>VLOOKUP($H$7&amp;$F$1,'Input RM sheet'!$A:$DD,BG1,0)</f>
        <v>830</v>
      </c>
      <c r="BI7" s="74">
        <f>VLOOKUP($H$7&amp;$F$1,'Input RM sheet'!$A:$DD,BH1,0)</f>
        <v>814</v>
      </c>
      <c r="BJ7" s="74">
        <f>VLOOKUP($H$7&amp;$F$1,'Input RM sheet'!$A:$DD,BI1,0)</f>
        <v>805</v>
      </c>
      <c r="BK7" s="74">
        <f>VLOOKUP($H$7&amp;$F$1,'Input RM sheet'!$A:$DD,BJ1,0)</f>
        <v>805</v>
      </c>
      <c r="BL7" s="74">
        <f>VLOOKUP($H$7&amp;$F$1,'Input RM sheet'!$A:$DD,BK1,0)</f>
        <v>799</v>
      </c>
      <c r="BM7" s="74">
        <f>VLOOKUP($H$7&amp;$F$1,'Input RM sheet'!$A:$DD,BL1,0)</f>
        <v>799</v>
      </c>
      <c r="BN7" s="74">
        <f>VLOOKUP($H$7&amp;$F$1,'Input RM sheet'!$A:$DD,BM1,0)</f>
        <v>794</v>
      </c>
      <c r="BO7" s="74">
        <f>VLOOKUP($H$7&amp;$F$1,'Input RM sheet'!$A:$DD,BN1,0)</f>
        <v>794</v>
      </c>
      <c r="BP7" s="74">
        <f>VLOOKUP($H$7&amp;$F$1,'Input RM sheet'!$A:$DD,BO1,0)</f>
        <v>799</v>
      </c>
      <c r="BQ7" s="74">
        <f>VLOOKUP($H$7&amp;$F$1,'Input RM sheet'!$A:$DD,BP1,0)</f>
        <v>799</v>
      </c>
      <c r="BR7" s="74">
        <f>VLOOKUP($H$7&amp;$F$1,'Input RM sheet'!$A:$DD,BQ1,0)</f>
        <v>804</v>
      </c>
      <c r="BS7" s="74">
        <f>VLOOKUP($H$7&amp;$F$1,'Input RM sheet'!$A:$DD,BR1,0)</f>
        <v>799</v>
      </c>
      <c r="BT7" s="74">
        <f>VLOOKUP($H$7&amp;$F$1,'Input RM sheet'!$A:$DD,BS1,0)</f>
        <v>799</v>
      </c>
      <c r="BU7" s="74">
        <f>VLOOKUP($H$7&amp;$F$1,'Input RM sheet'!$A:$DD,BT1,0)</f>
        <v>798</v>
      </c>
      <c r="BV7" s="74">
        <f>VLOOKUP($H$7&amp;$F$1,'Input RM sheet'!$A:$DD,BU1,0)</f>
        <v>804</v>
      </c>
      <c r="BW7" s="74">
        <f>VLOOKUP($H$7&amp;$F$1,'Input RM sheet'!$A:$DD,BV1,0)</f>
        <v>838</v>
      </c>
      <c r="BX7" s="74">
        <f>VLOOKUP($H$7&amp;$F$1,'Input RM sheet'!$A:$DD,BW1,0)</f>
        <v>920</v>
      </c>
      <c r="BY7" s="74">
        <f>VLOOKUP($H$7&amp;$F$1,'Input RM sheet'!$A:$DD,BX1,0)</f>
        <v>940</v>
      </c>
      <c r="BZ7" s="74">
        <f>VLOOKUP($H$7&amp;$F$1,'Input RM sheet'!$A:$DD,BY1,0)</f>
        <v>998</v>
      </c>
      <c r="CA7" s="74">
        <f>VLOOKUP($H$7&amp;$F$1,'Input RM sheet'!$A:$DD,BZ1,0)</f>
        <v>960</v>
      </c>
      <c r="CB7" s="74">
        <f>VLOOKUP($H$7&amp;$F$1,'Input RM sheet'!$A:$DD,CA1,0)</f>
        <v>914</v>
      </c>
      <c r="CC7" s="74">
        <f>VLOOKUP($H$7&amp;$F$1,'Input RM sheet'!$A:$DD,CB1,0)</f>
        <v>870</v>
      </c>
      <c r="CD7" s="74">
        <f>VLOOKUP($H$7&amp;$F$1,'Input RM sheet'!$A:$DD,CC1,0)</f>
        <v>860</v>
      </c>
      <c r="CE7" s="74">
        <f>VLOOKUP($H$7&amp;$F$1,'Input RM sheet'!$A:$DD,CD1,0)</f>
        <v>860</v>
      </c>
      <c r="CF7" s="74">
        <f>VLOOKUP($H$7&amp;$F$1,'Input RM sheet'!$A:$DD,CE1,0)</f>
        <v>867</v>
      </c>
      <c r="CG7" s="74">
        <f>VLOOKUP($H$7&amp;$F$1,'Input RM sheet'!$A:$DD,CF1,0)</f>
        <v>845</v>
      </c>
      <c r="CH7" s="74">
        <f>VLOOKUP($H$7&amp;$F$1,'Input RM sheet'!$A:$DD,CG1,0)</f>
        <v>844</v>
      </c>
      <c r="CI7" s="74">
        <f>VLOOKUP($H$7&amp;$F$1,'Input RM sheet'!$A:$DD,CH1,0)</f>
        <v>844</v>
      </c>
      <c r="CJ7" s="74">
        <f>VLOOKUP($H$7&amp;$F$1,'Input RM sheet'!$A:$DD,CI1,0)</f>
        <v>844</v>
      </c>
      <c r="CK7" s="74">
        <f>VLOOKUP($H$7&amp;$F$1,'Input RM sheet'!$A:$DD,CJ1,0)</f>
        <v>844</v>
      </c>
      <c r="CL7" s="74">
        <f>VLOOKUP($H$7&amp;$F$1,'Input RM sheet'!$A:$DD,CK1,0)</f>
        <v>827</v>
      </c>
      <c r="CM7" s="74">
        <f>VLOOKUP($H$7&amp;$F$1,'Input RM sheet'!$A:$DD,CL1,0)</f>
        <v>818</v>
      </c>
      <c r="CN7" s="74">
        <f>VLOOKUP($H$7&amp;$F$1,'Input RM sheet'!$A:$DD,CM1,0)</f>
        <v>814</v>
      </c>
      <c r="CO7" s="74">
        <f>VLOOKUP($H$7&amp;$F$1,'Input RM sheet'!$A:$DD,CN1,0)</f>
        <v>810</v>
      </c>
      <c r="CP7" s="74">
        <f>VLOOKUP($H$7&amp;$F$1,'Input RM sheet'!$A:$DD,CO1,0)</f>
        <v>827</v>
      </c>
      <c r="CQ7" s="74">
        <f>VLOOKUP($H$7&amp;$F$1,'Input RM sheet'!$A:$DD,CP1,0)</f>
        <v>827</v>
      </c>
      <c r="CR7" s="74">
        <f>VLOOKUP($H$7&amp;$F$1,'Input RM sheet'!$A:$DD,CQ1,0)</f>
        <v>827</v>
      </c>
      <c r="CS7" s="74">
        <f>VLOOKUP($H$7&amp;$F$1,'Input RM sheet'!$A:$DD,CR1,0)</f>
        <v>818</v>
      </c>
      <c r="CT7" s="74">
        <f>VLOOKUP($H$7&amp;$F$1,'Input RM sheet'!$A:$DD,CS1,0)</f>
        <v>818</v>
      </c>
      <c r="CU7" s="74">
        <f>VLOOKUP($H$7&amp;$F$1,'Input RM sheet'!$A:$DD,CT1,0)</f>
        <v>818</v>
      </c>
      <c r="CV7" s="74">
        <f>VLOOKUP($H$7&amp;$F$1,'Input RM sheet'!$A:$ZZ,CU1,0)</f>
        <v>850</v>
      </c>
      <c r="CW7" s="74">
        <f>VLOOKUP($H$7&amp;$F$1,'Input RM sheet'!$A:$ZZ,CV1,0)</f>
        <v>909</v>
      </c>
      <c r="CX7" s="74">
        <f>VLOOKUP($H$7&amp;$F$1,'Input RM sheet'!$A:$ZZ,CW1,0)</f>
        <v>909</v>
      </c>
      <c r="CY7" s="74">
        <f>VLOOKUP($H$7&amp;$F$1,'Input RM sheet'!$A:$ZZ,CX1,0)</f>
        <v>918</v>
      </c>
      <c r="CZ7" s="74">
        <f>VLOOKUP($H$7&amp;$F$1,'Input RM sheet'!$A:$ZZ,CY1,0)</f>
        <v>918</v>
      </c>
      <c r="DA7" s="74">
        <f>VLOOKUP($H$7&amp;$F$1,'Input RM sheet'!$A:$DD,CZ1,0)</f>
        <v>918</v>
      </c>
      <c r="DB7" s="74">
        <f>VLOOKUP($H$7&amp;$F$1,'Input RM sheet'!$A:$DD,DA1,0)</f>
        <v>918</v>
      </c>
      <c r="DC7" s="74">
        <f>VLOOKUP($H$7&amp;$F$1,'Input RM sheet'!$A:$DD,DB1,0)</f>
        <v>894</v>
      </c>
      <c r="DD7" s="74">
        <f>VLOOKUP($H$7&amp;$F$1,'Input RM sheet'!$A:$DD,DC1,0)</f>
        <v>830</v>
      </c>
      <c r="DE7" s="74">
        <f>VLOOKUP($H$7&amp;$F$1,'Input RM sheet'!$A:$DD,DD1,0)</f>
        <v>830</v>
      </c>
      <c r="DF7" s="74">
        <f>VLOOKUP($H$7&amp;$F$1,'Input RM sheet'!$A:$DD,DE1,0)</f>
        <v>809</v>
      </c>
      <c r="DG7" s="74">
        <f>VLOOKUP($H$7&amp;$F$1,'Input RM sheet'!$A:$ZZ,DF1,0)</f>
        <v>799</v>
      </c>
      <c r="DH7" s="74">
        <f>VLOOKUP($H$7&amp;$F$1,'Input RM sheet'!$A:$ZZ,DG1,0)</f>
        <v>799</v>
      </c>
      <c r="DI7" s="74">
        <f>VLOOKUP($H$7&amp;$F$1,'Input RM sheet'!$A:$ZZ,DH1,0)</f>
        <v>804</v>
      </c>
      <c r="DJ7" s="74">
        <f>VLOOKUP($H$7&amp;$F$1,'Input RM sheet'!$A:$ZZ,DI1,0)</f>
        <v>820</v>
      </c>
      <c r="DK7" s="74">
        <f>VLOOKUP($H$7&amp;$F$1,'Input RM sheet'!$A:$ZZ,DJ1,0)</f>
        <v>822</v>
      </c>
      <c r="DL7" s="74">
        <f>VLOOKUP($H$7&amp;$F$1,'Input RM sheet'!$A:$ZZ,DK1,0)</f>
        <v>828</v>
      </c>
      <c r="DM7" s="74">
        <f>VLOOKUP($H$7&amp;$F$1,'Input RM sheet'!$A:$ZZ,DL1,0)</f>
        <v>834</v>
      </c>
      <c r="DN7" s="74">
        <f>VLOOKUP($H$7&amp;$F$1,'Input RM sheet'!$A:$ZZ,DM1,0)</f>
        <v>819</v>
      </c>
      <c r="DO7" s="74">
        <f>VLOOKUP($H$7&amp;$F$1,'Input RM sheet'!$A:$ZZ,DN1,0)</f>
        <v>824</v>
      </c>
      <c r="DP7" s="74">
        <f>VLOOKUP($H$7&amp;$F$1,'Input RM sheet'!$A:$ZZ,DO1,0)</f>
        <v>824</v>
      </c>
      <c r="DQ7" s="74">
        <f>VLOOKUP($H$7&amp;$F$1,'Input RM sheet'!$A:$ZZ,DP1,0)</f>
        <v>824</v>
      </c>
      <c r="DR7" s="74">
        <f>VLOOKUP($H$7&amp;$F$1,'Input RM sheet'!$A:$ZZ,DQ1,0)</f>
        <v>824</v>
      </c>
      <c r="DS7" s="74">
        <f>VLOOKUP($H$7&amp;$F$1,'Input RM sheet'!$A:$ZZ,DR1,0)</f>
        <v>829</v>
      </c>
      <c r="DT7" s="74">
        <f>VLOOKUP($H$7&amp;$F$1,'Input RM sheet'!$A:$ZZ,DS1,0)</f>
        <v>0</v>
      </c>
      <c r="DU7" s="74">
        <f>VLOOKUP($H$7&amp;$F$1,'Input RM sheet'!$A:$ZZ,DT1,0)</f>
        <v>0</v>
      </c>
      <c r="DV7" s="74">
        <f>VLOOKUP($H$7&amp;$F$1,'Input RM sheet'!$A:$ZZ,DU1,0)</f>
        <v>0</v>
      </c>
      <c r="DW7" s="74">
        <f>VLOOKUP($H$7&amp;$F$1,'Input RM sheet'!$A:$ZZ,DV1,0)</f>
        <v>0</v>
      </c>
      <c r="DX7" s="74">
        <f>VLOOKUP($H$7&amp;$F$1,'Input RM sheet'!$A:$ZZ,DW1,0)</f>
        <v>0</v>
      </c>
    </row>
    <row r="8" spans="1:128" ht="26">
      <c r="A8" s="59" t="s">
        <v>395</v>
      </c>
      <c r="B8" s="59"/>
      <c r="C8" s="59" t="s">
        <v>379</v>
      </c>
      <c r="D8" s="98" t="s">
        <v>380</v>
      </c>
      <c r="E8" s="98" t="s">
        <v>381</v>
      </c>
      <c r="F8" s="59" t="s">
        <v>396</v>
      </c>
      <c r="H8" s="60" t="s">
        <v>399</v>
      </c>
      <c r="I8" s="84"/>
      <c r="J8" s="84"/>
      <c r="K8" s="84"/>
      <c r="L8" s="84"/>
      <c r="M8" s="84"/>
      <c r="N8" s="84"/>
      <c r="O8" s="84"/>
      <c r="P8" s="84"/>
      <c r="Q8" s="84"/>
      <c r="R8" s="84"/>
      <c r="S8" s="84"/>
      <c r="T8" s="84"/>
      <c r="U8" s="84"/>
      <c r="V8" s="84"/>
      <c r="W8" s="84"/>
      <c r="X8" s="84"/>
      <c r="Y8" s="84"/>
      <c r="Z8" s="84"/>
      <c r="AA8" s="84"/>
      <c r="AB8" s="84"/>
      <c r="AC8" s="84"/>
      <c r="AD8" s="84"/>
      <c r="AE8" s="84"/>
      <c r="AF8" s="84"/>
      <c r="AG8" s="84"/>
      <c r="AH8" s="84"/>
      <c r="AI8" s="84"/>
      <c r="AJ8" s="84"/>
      <c r="AK8" s="84"/>
      <c r="AL8" s="84"/>
      <c r="AM8" s="84"/>
      <c r="AN8" s="84"/>
      <c r="AO8" s="84"/>
      <c r="AP8" s="84"/>
      <c r="AQ8" s="84"/>
      <c r="AR8" s="84"/>
      <c r="AS8" s="84"/>
      <c r="AT8" s="84"/>
      <c r="AU8" s="84"/>
    </row>
    <row r="9" spans="1:128" ht="13">
      <c r="A9" s="107" t="s">
        <v>397</v>
      </c>
      <c r="B9" s="178" t="s">
        <v>114</v>
      </c>
      <c r="C9" s="60">
        <v>1</v>
      </c>
      <c r="D9" s="60">
        <v>42.081000000000003</v>
      </c>
      <c r="E9" s="60">
        <f>D9*C9</f>
        <v>42.081000000000003</v>
      </c>
      <c r="F9" s="65">
        <f>E9/E2</f>
        <v>0.32312831144897491</v>
      </c>
      <c r="G9" s="60">
        <v>0.7</v>
      </c>
      <c r="I9" s="74">
        <f>$G$9*(I7/1000)</f>
        <v>0.66499999999999992</v>
      </c>
      <c r="J9" s="74">
        <f t="shared" ref="J9:BU9" si="0">$G$9*(J7/1000)</f>
        <v>0.56699999999999995</v>
      </c>
      <c r="K9" s="74">
        <f t="shared" si="0"/>
        <v>0.54599999999999993</v>
      </c>
      <c r="L9" s="74">
        <f t="shared" si="0"/>
        <v>0.39200000000000002</v>
      </c>
      <c r="M9" s="74">
        <f t="shared" si="0"/>
        <v>0.47599999999999998</v>
      </c>
      <c r="N9" s="74">
        <f t="shared" si="0"/>
        <v>0.504</v>
      </c>
      <c r="O9" s="74">
        <f t="shared" si="0"/>
        <v>0.54599999999999993</v>
      </c>
      <c r="P9" s="74">
        <f t="shared" si="0"/>
        <v>0.54599999999999993</v>
      </c>
      <c r="Q9" s="74">
        <f t="shared" si="0"/>
        <v>0.59499999999999997</v>
      </c>
      <c r="R9" s="74">
        <f t="shared" si="0"/>
        <v>0.60199999999999998</v>
      </c>
      <c r="S9" s="74">
        <f t="shared" si="0"/>
        <v>0.59499999999999997</v>
      </c>
      <c r="T9" s="74">
        <f t="shared" si="0"/>
        <v>0.65799999999999992</v>
      </c>
      <c r="U9" s="74">
        <f t="shared" si="0"/>
        <v>0.64400000000000002</v>
      </c>
      <c r="V9" s="74">
        <f t="shared" si="0"/>
        <v>0.65100000000000002</v>
      </c>
      <c r="W9" s="74">
        <f t="shared" si="0"/>
        <v>0.80499999999999994</v>
      </c>
      <c r="X9" s="74">
        <f t="shared" si="0"/>
        <v>0.74199999999999999</v>
      </c>
      <c r="Y9" s="74">
        <f t="shared" si="0"/>
        <v>0.76300000000000001</v>
      </c>
      <c r="Z9" s="74">
        <f t="shared" si="0"/>
        <v>0.64400000000000002</v>
      </c>
      <c r="AA9" s="74">
        <f t="shared" si="0"/>
        <v>0.65799999999999992</v>
      </c>
      <c r="AB9" s="74">
        <f t="shared" si="0"/>
        <v>0.65799999999999992</v>
      </c>
      <c r="AC9" s="74">
        <f t="shared" si="0"/>
        <v>0.65799999999999992</v>
      </c>
      <c r="AD9" s="74">
        <f t="shared" si="0"/>
        <v>0.71399999999999997</v>
      </c>
      <c r="AE9" s="74">
        <f t="shared" si="0"/>
        <v>0.67199999999999993</v>
      </c>
      <c r="AF9" s="74">
        <f t="shared" si="0"/>
        <v>0.63</v>
      </c>
      <c r="AG9" s="74">
        <f t="shared" si="0"/>
        <v>0.66499999999999992</v>
      </c>
      <c r="AH9" s="74">
        <f t="shared" si="0"/>
        <v>0.84</v>
      </c>
      <c r="AI9" s="74">
        <f t="shared" si="0"/>
        <v>0.92399999999999993</v>
      </c>
      <c r="AJ9" s="74">
        <f t="shared" si="0"/>
        <v>0.90299999999999991</v>
      </c>
      <c r="AK9" s="74">
        <f t="shared" si="0"/>
        <v>0.84</v>
      </c>
      <c r="AL9" s="74">
        <f t="shared" si="0"/>
        <v>0.72799999999999998</v>
      </c>
      <c r="AM9" s="74">
        <f t="shared" si="0"/>
        <v>0.66499999999999992</v>
      </c>
      <c r="AN9" s="74">
        <f t="shared" si="0"/>
        <v>0.623</v>
      </c>
      <c r="AO9" s="74">
        <f t="shared" si="0"/>
        <v>0.623</v>
      </c>
      <c r="AP9" s="74">
        <f t="shared" si="0"/>
        <v>0.623</v>
      </c>
      <c r="AQ9" s="74">
        <f t="shared" si="0"/>
        <v>0.59499999999999997</v>
      </c>
      <c r="AR9" s="74">
        <f t="shared" si="0"/>
        <v>0.61599999999999999</v>
      </c>
      <c r="AS9" s="74">
        <f t="shared" si="0"/>
        <v>0.61599999999999999</v>
      </c>
      <c r="AT9" s="74">
        <f t="shared" si="0"/>
        <v>0.68599999999999994</v>
      </c>
      <c r="AU9" s="74">
        <f t="shared" si="0"/>
        <v>0.64400000000000002</v>
      </c>
      <c r="AV9" s="74">
        <f t="shared" si="0"/>
        <v>0.65799999999999992</v>
      </c>
      <c r="AW9" s="74">
        <f t="shared" si="0"/>
        <v>0.623</v>
      </c>
      <c r="AX9" s="74">
        <f t="shared" si="0"/>
        <v>0.52499999999999991</v>
      </c>
      <c r="AY9" s="74">
        <f t="shared" si="0"/>
        <v>0.51100000000000001</v>
      </c>
      <c r="AZ9" s="74">
        <f t="shared" si="0"/>
        <v>0.51100000000000001</v>
      </c>
      <c r="BA9" s="74">
        <f t="shared" si="0"/>
        <v>0.52779999999999994</v>
      </c>
      <c r="BB9" s="74">
        <f t="shared" si="0"/>
        <v>0.54459999999999997</v>
      </c>
      <c r="BC9" s="74">
        <f t="shared" si="0"/>
        <v>0.54949999999999999</v>
      </c>
      <c r="BD9" s="74">
        <f t="shared" si="0"/>
        <v>0.5774999999999999</v>
      </c>
      <c r="BE9" s="74">
        <f t="shared" si="0"/>
        <v>0.5978</v>
      </c>
      <c r="BF9" s="74">
        <f t="shared" si="0"/>
        <v>0.5978</v>
      </c>
      <c r="BG9" s="74">
        <f t="shared" si="0"/>
        <v>0.58939999999999992</v>
      </c>
      <c r="BH9" s="74">
        <f t="shared" si="0"/>
        <v>0.58099999999999996</v>
      </c>
      <c r="BI9" s="74">
        <f t="shared" si="0"/>
        <v>0.56979999999999997</v>
      </c>
      <c r="BJ9" s="74">
        <f t="shared" si="0"/>
        <v>0.5635</v>
      </c>
      <c r="BK9" s="74">
        <f t="shared" si="0"/>
        <v>0.5635</v>
      </c>
      <c r="BL9" s="74">
        <f t="shared" si="0"/>
        <v>0.55930000000000002</v>
      </c>
      <c r="BM9" s="74">
        <f t="shared" si="0"/>
        <v>0.55930000000000002</v>
      </c>
      <c r="BN9" s="74">
        <f t="shared" si="0"/>
        <v>0.55579999999999996</v>
      </c>
      <c r="BO9" s="74">
        <f t="shared" si="0"/>
        <v>0.55579999999999996</v>
      </c>
      <c r="BP9" s="74">
        <f t="shared" si="0"/>
        <v>0.55930000000000002</v>
      </c>
      <c r="BQ9" s="74">
        <f t="shared" si="0"/>
        <v>0.55930000000000002</v>
      </c>
      <c r="BR9" s="74">
        <f t="shared" si="0"/>
        <v>0.56279999999999997</v>
      </c>
      <c r="BS9" s="74">
        <f t="shared" si="0"/>
        <v>0.55930000000000002</v>
      </c>
      <c r="BT9" s="74">
        <f t="shared" si="0"/>
        <v>0.55930000000000002</v>
      </c>
      <c r="BU9" s="74">
        <f t="shared" si="0"/>
        <v>0.55859999999999999</v>
      </c>
      <c r="BV9" s="74">
        <f t="shared" ref="BV9:CA9" si="1">$G$9*(BV7/1000)</f>
        <v>0.56279999999999997</v>
      </c>
      <c r="BW9" s="74">
        <f t="shared" si="1"/>
        <v>0.5865999999999999</v>
      </c>
      <c r="BX9" s="74">
        <f t="shared" si="1"/>
        <v>0.64400000000000002</v>
      </c>
      <c r="BY9" s="74">
        <f t="shared" si="1"/>
        <v>0.65799999999999992</v>
      </c>
      <c r="BZ9" s="74">
        <f t="shared" si="1"/>
        <v>0.6986</v>
      </c>
      <c r="CA9" s="74">
        <f t="shared" si="1"/>
        <v>0.67199999999999993</v>
      </c>
      <c r="CB9" s="74">
        <f t="shared" ref="CB9:CH9" si="2">$G$9*(CB7/1000)</f>
        <v>0.63980000000000004</v>
      </c>
      <c r="CC9" s="74">
        <f t="shared" si="2"/>
        <v>0.60899999999999999</v>
      </c>
      <c r="CD9" s="74">
        <f t="shared" si="2"/>
        <v>0.60199999999999998</v>
      </c>
      <c r="CE9" s="74">
        <f t="shared" si="2"/>
        <v>0.60199999999999998</v>
      </c>
      <c r="CF9" s="74">
        <f t="shared" si="2"/>
        <v>0.6069</v>
      </c>
      <c r="CG9" s="74">
        <f t="shared" si="2"/>
        <v>0.59149999999999991</v>
      </c>
      <c r="CH9" s="74">
        <f t="shared" si="2"/>
        <v>0.59079999999999999</v>
      </c>
      <c r="CI9" s="74">
        <f>$G$9*(CI7/1000)</f>
        <v>0.59079999999999999</v>
      </c>
      <c r="CJ9" s="74">
        <f>$G$9*(CJ7/1000)</f>
        <v>0.59079999999999999</v>
      </c>
      <c r="CK9" s="74">
        <f t="shared" ref="CK9:CT9" si="3">$G$9*(CK7/1000)</f>
        <v>0.59079999999999999</v>
      </c>
      <c r="CL9" s="74">
        <f t="shared" si="3"/>
        <v>0.57889999999999997</v>
      </c>
      <c r="CM9" s="74">
        <f t="shared" si="3"/>
        <v>0.57259999999999989</v>
      </c>
      <c r="CN9" s="74">
        <f t="shared" si="3"/>
        <v>0.56979999999999997</v>
      </c>
      <c r="CO9" s="74">
        <f t="shared" si="3"/>
        <v>0.56699999999999995</v>
      </c>
      <c r="CP9" s="74">
        <f t="shared" si="3"/>
        <v>0.57889999999999997</v>
      </c>
      <c r="CQ9" s="74">
        <f t="shared" si="3"/>
        <v>0.57889999999999997</v>
      </c>
      <c r="CR9" s="74">
        <f t="shared" si="3"/>
        <v>0.57889999999999997</v>
      </c>
      <c r="CS9" s="74">
        <f t="shared" si="3"/>
        <v>0.57259999999999989</v>
      </c>
      <c r="CT9" s="74">
        <f t="shared" si="3"/>
        <v>0.57259999999999989</v>
      </c>
      <c r="CU9" s="74">
        <f>$G$9*(CU7/1000)</f>
        <v>0.57259999999999989</v>
      </c>
      <c r="CV9" s="74">
        <f>$G$9*(CV7/1000)</f>
        <v>0.59499999999999997</v>
      </c>
      <c r="CW9" s="74">
        <f>$G$9*(CW7/1000)</f>
        <v>0.63629999999999998</v>
      </c>
      <c r="CX9" s="74">
        <f t="shared" ref="CX9:DX9" si="4">$G$9*(CX7/1000)</f>
        <v>0.63629999999999998</v>
      </c>
      <c r="CY9" s="74">
        <f t="shared" si="4"/>
        <v>0.64259999999999995</v>
      </c>
      <c r="CZ9" s="74">
        <f t="shared" si="4"/>
        <v>0.64259999999999995</v>
      </c>
      <c r="DA9" s="74">
        <f t="shared" si="4"/>
        <v>0.64259999999999995</v>
      </c>
      <c r="DB9" s="74">
        <f t="shared" si="4"/>
        <v>0.64259999999999995</v>
      </c>
      <c r="DC9" s="74">
        <f t="shared" si="4"/>
        <v>0.62580000000000002</v>
      </c>
      <c r="DD9" s="74">
        <f t="shared" si="4"/>
        <v>0.58099999999999996</v>
      </c>
      <c r="DE9" s="74">
        <f t="shared" si="4"/>
        <v>0.58099999999999996</v>
      </c>
      <c r="DF9" s="74">
        <f t="shared" si="4"/>
        <v>0.56630000000000003</v>
      </c>
      <c r="DG9" s="74">
        <f t="shared" si="4"/>
        <v>0.55930000000000002</v>
      </c>
      <c r="DH9" s="74">
        <f t="shared" si="4"/>
        <v>0.55930000000000002</v>
      </c>
      <c r="DI9" s="74">
        <f t="shared" si="4"/>
        <v>0.56279999999999997</v>
      </c>
      <c r="DJ9" s="74">
        <f t="shared" si="4"/>
        <v>0.57399999999999995</v>
      </c>
      <c r="DK9" s="74">
        <f t="shared" si="4"/>
        <v>0.57539999999999991</v>
      </c>
      <c r="DL9" s="74">
        <f t="shared" si="4"/>
        <v>0.57959999999999989</v>
      </c>
      <c r="DM9" s="74">
        <f t="shared" si="4"/>
        <v>0.58379999999999999</v>
      </c>
      <c r="DN9" s="74">
        <f t="shared" si="4"/>
        <v>0.57329999999999992</v>
      </c>
      <c r="DO9" s="74">
        <f t="shared" si="4"/>
        <v>0.57679999999999998</v>
      </c>
      <c r="DP9" s="74">
        <f t="shared" si="4"/>
        <v>0.57679999999999998</v>
      </c>
      <c r="DQ9" s="74">
        <f t="shared" si="4"/>
        <v>0.57679999999999998</v>
      </c>
      <c r="DR9" s="74">
        <f t="shared" si="4"/>
        <v>0.57679999999999998</v>
      </c>
      <c r="DS9" s="74">
        <f t="shared" si="4"/>
        <v>0.58029999999999993</v>
      </c>
      <c r="DT9" s="74">
        <f t="shared" si="4"/>
        <v>0</v>
      </c>
      <c r="DU9" s="74">
        <f t="shared" si="4"/>
        <v>0</v>
      </c>
      <c r="DV9" s="74">
        <f t="shared" si="4"/>
        <v>0</v>
      </c>
      <c r="DW9" s="74">
        <f t="shared" si="4"/>
        <v>0</v>
      </c>
      <c r="DX9" s="74">
        <f t="shared" si="4"/>
        <v>0</v>
      </c>
    </row>
    <row r="10" spans="1:128" ht="16" customHeight="1">
      <c r="A10" s="67"/>
      <c r="B10" s="100"/>
      <c r="F10" s="65"/>
      <c r="H10" s="60" t="s">
        <v>718</v>
      </c>
      <c r="I10" s="74">
        <f>350/1000</f>
        <v>0.35</v>
      </c>
      <c r="J10" s="74">
        <f t="shared" ref="J10:BU10" si="5">350/1000</f>
        <v>0.35</v>
      </c>
      <c r="K10" s="74">
        <f t="shared" si="5"/>
        <v>0.35</v>
      </c>
      <c r="L10" s="74">
        <f t="shared" si="5"/>
        <v>0.35</v>
      </c>
      <c r="M10" s="74">
        <f t="shared" si="5"/>
        <v>0.35</v>
      </c>
      <c r="N10" s="74">
        <f t="shared" si="5"/>
        <v>0.35</v>
      </c>
      <c r="O10" s="74">
        <f t="shared" si="5"/>
        <v>0.35</v>
      </c>
      <c r="P10" s="74">
        <f t="shared" si="5"/>
        <v>0.35</v>
      </c>
      <c r="Q10" s="74">
        <f t="shared" si="5"/>
        <v>0.35</v>
      </c>
      <c r="R10" s="74">
        <f t="shared" si="5"/>
        <v>0.35</v>
      </c>
      <c r="S10" s="74">
        <f t="shared" si="5"/>
        <v>0.35</v>
      </c>
      <c r="T10" s="74">
        <f t="shared" si="5"/>
        <v>0.35</v>
      </c>
      <c r="U10" s="74">
        <f t="shared" si="5"/>
        <v>0.35</v>
      </c>
      <c r="V10" s="74">
        <f t="shared" si="5"/>
        <v>0.35</v>
      </c>
      <c r="W10" s="74">
        <f t="shared" si="5"/>
        <v>0.35</v>
      </c>
      <c r="X10" s="74">
        <f t="shared" si="5"/>
        <v>0.35</v>
      </c>
      <c r="Y10" s="74">
        <f t="shared" si="5"/>
        <v>0.35</v>
      </c>
      <c r="Z10" s="74">
        <f t="shared" si="5"/>
        <v>0.35</v>
      </c>
      <c r="AA10" s="74">
        <f t="shared" si="5"/>
        <v>0.35</v>
      </c>
      <c r="AB10" s="74">
        <f t="shared" si="5"/>
        <v>0.35</v>
      </c>
      <c r="AC10" s="74">
        <f t="shared" si="5"/>
        <v>0.35</v>
      </c>
      <c r="AD10" s="74">
        <f t="shared" si="5"/>
        <v>0.35</v>
      </c>
      <c r="AE10" s="74">
        <f t="shared" si="5"/>
        <v>0.35</v>
      </c>
      <c r="AF10" s="74">
        <f t="shared" si="5"/>
        <v>0.35</v>
      </c>
      <c r="AG10" s="74">
        <f t="shared" si="5"/>
        <v>0.35</v>
      </c>
      <c r="AH10" s="74">
        <f t="shared" si="5"/>
        <v>0.35</v>
      </c>
      <c r="AI10" s="74">
        <f t="shared" si="5"/>
        <v>0.35</v>
      </c>
      <c r="AJ10" s="74">
        <f t="shared" si="5"/>
        <v>0.35</v>
      </c>
      <c r="AK10" s="74">
        <f t="shared" si="5"/>
        <v>0.35</v>
      </c>
      <c r="AL10" s="74">
        <f t="shared" si="5"/>
        <v>0.35</v>
      </c>
      <c r="AM10" s="74">
        <f t="shared" si="5"/>
        <v>0.35</v>
      </c>
      <c r="AN10" s="74">
        <f t="shared" si="5"/>
        <v>0.35</v>
      </c>
      <c r="AO10" s="74">
        <f t="shared" si="5"/>
        <v>0.35</v>
      </c>
      <c r="AP10" s="74">
        <f t="shared" si="5"/>
        <v>0.35</v>
      </c>
      <c r="AQ10" s="74">
        <f t="shared" si="5"/>
        <v>0.35</v>
      </c>
      <c r="AR10" s="74">
        <f t="shared" si="5"/>
        <v>0.35</v>
      </c>
      <c r="AS10" s="74">
        <f t="shared" si="5"/>
        <v>0.35</v>
      </c>
      <c r="AT10" s="74">
        <f t="shared" si="5"/>
        <v>0.35</v>
      </c>
      <c r="AU10" s="74">
        <f t="shared" si="5"/>
        <v>0.35</v>
      </c>
      <c r="AV10" s="74">
        <f t="shared" si="5"/>
        <v>0.35</v>
      </c>
      <c r="AW10" s="74">
        <f t="shared" si="5"/>
        <v>0.35</v>
      </c>
      <c r="AX10" s="74">
        <f t="shared" si="5"/>
        <v>0.35</v>
      </c>
      <c r="AY10" s="74">
        <f t="shared" si="5"/>
        <v>0.35</v>
      </c>
      <c r="AZ10" s="74">
        <f t="shared" si="5"/>
        <v>0.35</v>
      </c>
      <c r="BA10" s="74">
        <f t="shared" si="5"/>
        <v>0.35</v>
      </c>
      <c r="BB10" s="74">
        <f t="shared" si="5"/>
        <v>0.35</v>
      </c>
      <c r="BC10" s="74">
        <f t="shared" si="5"/>
        <v>0.35</v>
      </c>
      <c r="BD10" s="74">
        <f t="shared" si="5"/>
        <v>0.35</v>
      </c>
      <c r="BE10" s="74">
        <f t="shared" si="5"/>
        <v>0.35</v>
      </c>
      <c r="BF10" s="74">
        <f t="shared" si="5"/>
        <v>0.35</v>
      </c>
      <c r="BG10" s="74">
        <f t="shared" si="5"/>
        <v>0.35</v>
      </c>
      <c r="BH10" s="74">
        <f t="shared" si="5"/>
        <v>0.35</v>
      </c>
      <c r="BI10" s="74">
        <f t="shared" si="5"/>
        <v>0.35</v>
      </c>
      <c r="BJ10" s="74">
        <f t="shared" si="5"/>
        <v>0.35</v>
      </c>
      <c r="BK10" s="74">
        <f t="shared" si="5"/>
        <v>0.35</v>
      </c>
      <c r="BL10" s="74">
        <f t="shared" si="5"/>
        <v>0.35</v>
      </c>
      <c r="BM10" s="74">
        <f t="shared" si="5"/>
        <v>0.35</v>
      </c>
      <c r="BN10" s="74">
        <f t="shared" si="5"/>
        <v>0.35</v>
      </c>
      <c r="BO10" s="74">
        <f t="shared" si="5"/>
        <v>0.35</v>
      </c>
      <c r="BP10" s="74">
        <f t="shared" si="5"/>
        <v>0.35</v>
      </c>
      <c r="BQ10" s="74">
        <f t="shared" si="5"/>
        <v>0.35</v>
      </c>
      <c r="BR10" s="74">
        <f t="shared" si="5"/>
        <v>0.35</v>
      </c>
      <c r="BS10" s="74">
        <f t="shared" si="5"/>
        <v>0.35</v>
      </c>
      <c r="BT10" s="74">
        <f t="shared" si="5"/>
        <v>0.35</v>
      </c>
      <c r="BU10" s="74">
        <f t="shared" si="5"/>
        <v>0.35</v>
      </c>
      <c r="BV10" s="74">
        <f t="shared" ref="BV10:DX10" si="6">350/1000</f>
        <v>0.35</v>
      </c>
      <c r="BW10" s="74">
        <f t="shared" si="6"/>
        <v>0.35</v>
      </c>
      <c r="BX10" s="74">
        <f t="shared" si="6"/>
        <v>0.35</v>
      </c>
      <c r="BY10" s="74">
        <f t="shared" si="6"/>
        <v>0.35</v>
      </c>
      <c r="BZ10" s="74">
        <f t="shared" si="6"/>
        <v>0.35</v>
      </c>
      <c r="CA10" s="74">
        <f t="shared" si="6"/>
        <v>0.35</v>
      </c>
      <c r="CB10" s="74">
        <f t="shared" si="6"/>
        <v>0.35</v>
      </c>
      <c r="CC10" s="74">
        <f t="shared" si="6"/>
        <v>0.35</v>
      </c>
      <c r="CD10" s="74">
        <f t="shared" si="6"/>
        <v>0.35</v>
      </c>
      <c r="CE10" s="74">
        <f t="shared" si="6"/>
        <v>0.35</v>
      </c>
      <c r="CF10" s="74">
        <f t="shared" si="6"/>
        <v>0.35</v>
      </c>
      <c r="CG10" s="74">
        <f t="shared" si="6"/>
        <v>0.35</v>
      </c>
      <c r="CH10" s="74">
        <f t="shared" si="6"/>
        <v>0.35</v>
      </c>
      <c r="CI10" s="74">
        <f t="shared" si="6"/>
        <v>0.35</v>
      </c>
      <c r="CJ10" s="74">
        <f t="shared" si="6"/>
        <v>0.35</v>
      </c>
      <c r="CK10" s="74">
        <f t="shared" si="6"/>
        <v>0.35</v>
      </c>
      <c r="CL10" s="74">
        <f t="shared" si="6"/>
        <v>0.35</v>
      </c>
      <c r="CM10" s="74">
        <f t="shared" si="6"/>
        <v>0.35</v>
      </c>
      <c r="CN10" s="74">
        <f t="shared" si="6"/>
        <v>0.35</v>
      </c>
      <c r="CO10" s="74">
        <f t="shared" si="6"/>
        <v>0.35</v>
      </c>
      <c r="CP10" s="74">
        <f t="shared" si="6"/>
        <v>0.35</v>
      </c>
      <c r="CQ10" s="74">
        <f t="shared" si="6"/>
        <v>0.35</v>
      </c>
      <c r="CR10" s="74">
        <f t="shared" si="6"/>
        <v>0.35</v>
      </c>
      <c r="CS10" s="74">
        <f t="shared" si="6"/>
        <v>0.35</v>
      </c>
      <c r="CT10" s="74">
        <f t="shared" si="6"/>
        <v>0.35</v>
      </c>
      <c r="CU10" s="74">
        <f t="shared" si="6"/>
        <v>0.35</v>
      </c>
      <c r="CV10" s="74">
        <f t="shared" si="6"/>
        <v>0.35</v>
      </c>
      <c r="CW10" s="74">
        <f t="shared" si="6"/>
        <v>0.35</v>
      </c>
      <c r="CX10" s="74">
        <f t="shared" si="6"/>
        <v>0.35</v>
      </c>
      <c r="CY10" s="74">
        <f t="shared" si="6"/>
        <v>0.35</v>
      </c>
      <c r="CZ10" s="74">
        <f t="shared" si="6"/>
        <v>0.35</v>
      </c>
      <c r="DA10" s="74">
        <f t="shared" si="6"/>
        <v>0.35</v>
      </c>
      <c r="DB10" s="74">
        <f t="shared" si="6"/>
        <v>0.35</v>
      </c>
      <c r="DC10" s="74">
        <f t="shared" si="6"/>
        <v>0.35</v>
      </c>
      <c r="DD10" s="74">
        <f t="shared" si="6"/>
        <v>0.35</v>
      </c>
      <c r="DE10" s="74">
        <f t="shared" si="6"/>
        <v>0.35</v>
      </c>
      <c r="DF10" s="74">
        <f t="shared" si="6"/>
        <v>0.35</v>
      </c>
      <c r="DG10" s="74">
        <f t="shared" si="6"/>
        <v>0.35</v>
      </c>
      <c r="DH10" s="74">
        <f t="shared" si="6"/>
        <v>0.35</v>
      </c>
      <c r="DI10" s="74">
        <f t="shared" si="6"/>
        <v>0.35</v>
      </c>
      <c r="DJ10" s="74">
        <f t="shared" si="6"/>
        <v>0.35</v>
      </c>
      <c r="DK10" s="74">
        <f t="shared" si="6"/>
        <v>0.35</v>
      </c>
      <c r="DL10" s="74">
        <f t="shared" si="6"/>
        <v>0.35</v>
      </c>
      <c r="DM10" s="74">
        <f t="shared" si="6"/>
        <v>0.35</v>
      </c>
      <c r="DN10" s="74">
        <f t="shared" si="6"/>
        <v>0.35</v>
      </c>
      <c r="DO10" s="74">
        <f t="shared" si="6"/>
        <v>0.35</v>
      </c>
      <c r="DP10" s="74">
        <f t="shared" si="6"/>
        <v>0.35</v>
      </c>
      <c r="DQ10" s="74">
        <f t="shared" si="6"/>
        <v>0.35</v>
      </c>
      <c r="DR10" s="74">
        <f t="shared" si="6"/>
        <v>0.35</v>
      </c>
      <c r="DS10" s="74">
        <f t="shared" si="6"/>
        <v>0.35</v>
      </c>
      <c r="DT10" s="74">
        <f t="shared" si="6"/>
        <v>0.35</v>
      </c>
      <c r="DU10" s="74">
        <f t="shared" si="6"/>
        <v>0.35</v>
      </c>
      <c r="DV10" s="74">
        <f t="shared" si="6"/>
        <v>0.35</v>
      </c>
      <c r="DW10" s="74">
        <f t="shared" si="6"/>
        <v>0.35</v>
      </c>
      <c r="DX10" s="74">
        <f t="shared" si="6"/>
        <v>0.35</v>
      </c>
    </row>
    <row r="11" spans="1:128" s="104" customFormat="1">
      <c r="A11" s="104" t="s">
        <v>400</v>
      </c>
      <c r="H11" s="60"/>
      <c r="I11" s="105">
        <f t="shared" ref="I11:AN11" si="7">SUM(I9:I10)</f>
        <v>1.0149999999999999</v>
      </c>
      <c r="J11" s="105">
        <f t="shared" si="7"/>
        <v>0.91699999999999993</v>
      </c>
      <c r="K11" s="105">
        <f t="shared" si="7"/>
        <v>0.89599999999999991</v>
      </c>
      <c r="L11" s="105">
        <f t="shared" si="7"/>
        <v>0.74199999999999999</v>
      </c>
      <c r="M11" s="105">
        <f t="shared" si="7"/>
        <v>0.82599999999999996</v>
      </c>
      <c r="N11" s="105">
        <f t="shared" si="7"/>
        <v>0.85399999999999998</v>
      </c>
      <c r="O11" s="105">
        <f t="shared" si="7"/>
        <v>0.89599999999999991</v>
      </c>
      <c r="P11" s="105">
        <f t="shared" si="7"/>
        <v>0.89599999999999991</v>
      </c>
      <c r="Q11" s="105">
        <f t="shared" si="7"/>
        <v>0.94499999999999995</v>
      </c>
      <c r="R11" s="105">
        <f t="shared" si="7"/>
        <v>0.95199999999999996</v>
      </c>
      <c r="S11" s="105">
        <f t="shared" si="7"/>
        <v>0.94499999999999995</v>
      </c>
      <c r="T11" s="105">
        <f t="shared" si="7"/>
        <v>1.008</v>
      </c>
      <c r="U11" s="105">
        <f t="shared" si="7"/>
        <v>0.99399999999999999</v>
      </c>
      <c r="V11" s="105">
        <f t="shared" si="7"/>
        <v>1.0009999999999999</v>
      </c>
      <c r="W11" s="105">
        <f t="shared" si="7"/>
        <v>1.1549999999999998</v>
      </c>
      <c r="X11" s="105">
        <f t="shared" si="7"/>
        <v>1.0920000000000001</v>
      </c>
      <c r="Y11" s="105">
        <f t="shared" si="7"/>
        <v>1.113</v>
      </c>
      <c r="Z11" s="105">
        <f t="shared" si="7"/>
        <v>0.99399999999999999</v>
      </c>
      <c r="AA11" s="105">
        <f t="shared" si="7"/>
        <v>1.008</v>
      </c>
      <c r="AB11" s="105">
        <f t="shared" si="7"/>
        <v>1.008</v>
      </c>
      <c r="AC11" s="105">
        <f t="shared" si="7"/>
        <v>1.008</v>
      </c>
      <c r="AD11" s="105">
        <f t="shared" si="7"/>
        <v>1.0640000000000001</v>
      </c>
      <c r="AE11" s="105">
        <f t="shared" si="7"/>
        <v>1.0219999999999998</v>
      </c>
      <c r="AF11" s="105">
        <f t="shared" si="7"/>
        <v>0.98</v>
      </c>
      <c r="AG11" s="105">
        <f t="shared" si="7"/>
        <v>1.0149999999999999</v>
      </c>
      <c r="AH11" s="105">
        <f t="shared" si="7"/>
        <v>1.19</v>
      </c>
      <c r="AI11" s="105">
        <f t="shared" si="7"/>
        <v>1.274</v>
      </c>
      <c r="AJ11" s="105">
        <f t="shared" si="7"/>
        <v>1.2529999999999999</v>
      </c>
      <c r="AK11" s="105">
        <f t="shared" si="7"/>
        <v>1.19</v>
      </c>
      <c r="AL11" s="105">
        <f t="shared" si="7"/>
        <v>1.0779999999999998</v>
      </c>
      <c r="AM11" s="105">
        <f t="shared" si="7"/>
        <v>1.0149999999999999</v>
      </c>
      <c r="AN11" s="105">
        <f t="shared" si="7"/>
        <v>0.97299999999999998</v>
      </c>
      <c r="AO11" s="105">
        <f t="shared" ref="AO11:BT11" si="8">SUM(AO9:AO10)</f>
        <v>0.97299999999999998</v>
      </c>
      <c r="AP11" s="105">
        <f t="shared" si="8"/>
        <v>0.97299999999999998</v>
      </c>
      <c r="AQ11" s="105">
        <f t="shared" si="8"/>
        <v>0.94499999999999995</v>
      </c>
      <c r="AR11" s="105">
        <f t="shared" si="8"/>
        <v>0.96599999999999997</v>
      </c>
      <c r="AS11" s="105">
        <f t="shared" si="8"/>
        <v>0.96599999999999997</v>
      </c>
      <c r="AT11" s="105">
        <f t="shared" si="8"/>
        <v>1.036</v>
      </c>
      <c r="AU11" s="105">
        <f t="shared" si="8"/>
        <v>0.99399999999999999</v>
      </c>
      <c r="AV11" s="105">
        <f t="shared" si="8"/>
        <v>1.008</v>
      </c>
      <c r="AW11" s="105">
        <f t="shared" si="8"/>
        <v>0.97299999999999998</v>
      </c>
      <c r="AX11" s="105">
        <f t="shared" si="8"/>
        <v>0.87499999999999989</v>
      </c>
      <c r="AY11" s="105">
        <f t="shared" si="8"/>
        <v>0.86099999999999999</v>
      </c>
      <c r="AZ11" s="105">
        <f t="shared" si="8"/>
        <v>0.86099999999999999</v>
      </c>
      <c r="BA11" s="105">
        <f t="shared" si="8"/>
        <v>0.87779999999999991</v>
      </c>
      <c r="BB11" s="105">
        <f t="shared" si="8"/>
        <v>0.89459999999999995</v>
      </c>
      <c r="BC11" s="105">
        <f t="shared" si="8"/>
        <v>0.89949999999999997</v>
      </c>
      <c r="BD11" s="105">
        <f t="shared" si="8"/>
        <v>0.92749999999999988</v>
      </c>
      <c r="BE11" s="105">
        <f t="shared" si="8"/>
        <v>0.94779999999999998</v>
      </c>
      <c r="BF11" s="105">
        <f t="shared" si="8"/>
        <v>0.94779999999999998</v>
      </c>
      <c r="BG11" s="105">
        <f t="shared" si="8"/>
        <v>0.9393999999999999</v>
      </c>
      <c r="BH11" s="105">
        <f t="shared" si="8"/>
        <v>0.93099999999999994</v>
      </c>
      <c r="BI11" s="105">
        <f t="shared" si="8"/>
        <v>0.91979999999999995</v>
      </c>
      <c r="BJ11" s="105">
        <f t="shared" si="8"/>
        <v>0.91349999999999998</v>
      </c>
      <c r="BK11" s="105">
        <f t="shared" si="8"/>
        <v>0.91349999999999998</v>
      </c>
      <c r="BL11" s="105">
        <f t="shared" si="8"/>
        <v>0.9093</v>
      </c>
      <c r="BM11" s="105">
        <f t="shared" si="8"/>
        <v>0.9093</v>
      </c>
      <c r="BN11" s="105">
        <f t="shared" si="8"/>
        <v>0.90579999999999994</v>
      </c>
      <c r="BO11" s="105">
        <f t="shared" si="8"/>
        <v>0.90579999999999994</v>
      </c>
      <c r="BP11" s="105">
        <f t="shared" si="8"/>
        <v>0.9093</v>
      </c>
      <c r="BQ11" s="105">
        <f t="shared" si="8"/>
        <v>0.9093</v>
      </c>
      <c r="BR11" s="105">
        <f t="shared" si="8"/>
        <v>0.91279999999999994</v>
      </c>
      <c r="BS11" s="105">
        <f t="shared" si="8"/>
        <v>0.9093</v>
      </c>
      <c r="BT11" s="105">
        <f t="shared" si="8"/>
        <v>0.9093</v>
      </c>
      <c r="BU11" s="105">
        <f t="shared" ref="BU11:CA11" si="9">SUM(BU9:BU10)</f>
        <v>0.90859999999999996</v>
      </c>
      <c r="BV11" s="105">
        <f t="shared" si="9"/>
        <v>0.91279999999999994</v>
      </c>
      <c r="BW11" s="105">
        <f t="shared" si="9"/>
        <v>0.93659999999999988</v>
      </c>
      <c r="BX11" s="105">
        <f t="shared" si="9"/>
        <v>0.99399999999999999</v>
      </c>
      <c r="BY11" s="105">
        <f t="shared" si="9"/>
        <v>1.008</v>
      </c>
      <c r="BZ11" s="105">
        <f t="shared" si="9"/>
        <v>1.0486</v>
      </c>
      <c r="CA11" s="105">
        <f t="shared" si="9"/>
        <v>1.0219999999999998</v>
      </c>
      <c r="CB11" s="105">
        <f t="shared" ref="CB11:CH11" si="10">SUM(CB9:CB10)</f>
        <v>0.98980000000000001</v>
      </c>
      <c r="CC11" s="105">
        <f t="shared" si="10"/>
        <v>0.95899999999999996</v>
      </c>
      <c r="CD11" s="105">
        <f t="shared" si="10"/>
        <v>0.95199999999999996</v>
      </c>
      <c r="CE11" s="105">
        <f t="shared" si="10"/>
        <v>0.95199999999999996</v>
      </c>
      <c r="CF11" s="105">
        <f t="shared" si="10"/>
        <v>0.95689999999999997</v>
      </c>
      <c r="CG11" s="105">
        <f t="shared" si="10"/>
        <v>0.94149999999999989</v>
      </c>
      <c r="CH11" s="105">
        <f t="shared" si="10"/>
        <v>0.94079999999999997</v>
      </c>
      <c r="CI11" s="105">
        <f>SUM(CI9:CI10)</f>
        <v>0.94079999999999997</v>
      </c>
      <c r="CJ11" s="105">
        <f>SUM(CJ9:CJ10)</f>
        <v>0.94079999999999997</v>
      </c>
      <c r="CK11" s="105">
        <f t="shared" ref="CK11:CT11" si="11">SUM(CK9:CK10)</f>
        <v>0.94079999999999997</v>
      </c>
      <c r="CL11" s="105">
        <f t="shared" si="11"/>
        <v>0.92889999999999995</v>
      </c>
      <c r="CM11" s="105">
        <f t="shared" si="11"/>
        <v>0.92259999999999986</v>
      </c>
      <c r="CN11" s="105">
        <f t="shared" si="11"/>
        <v>0.91979999999999995</v>
      </c>
      <c r="CO11" s="105">
        <f t="shared" si="11"/>
        <v>0.91699999999999993</v>
      </c>
      <c r="CP11" s="105">
        <f t="shared" si="11"/>
        <v>0.92889999999999995</v>
      </c>
      <c r="CQ11" s="105">
        <f t="shared" si="11"/>
        <v>0.92889999999999995</v>
      </c>
      <c r="CR11" s="105">
        <f t="shared" si="11"/>
        <v>0.92889999999999995</v>
      </c>
      <c r="CS11" s="105">
        <f t="shared" si="11"/>
        <v>0.92259999999999986</v>
      </c>
      <c r="CT11" s="105">
        <f t="shared" si="11"/>
        <v>0.92259999999999986</v>
      </c>
      <c r="CU11" s="105">
        <f>SUM(CU9:CU10)</f>
        <v>0.92259999999999986</v>
      </c>
      <c r="CV11" s="105">
        <f>SUM(CV9:CV10)</f>
        <v>0.94499999999999995</v>
      </c>
      <c r="CW11" s="105">
        <f>SUM(CW9:CW10)</f>
        <v>0.98629999999999995</v>
      </c>
      <c r="CX11" s="105">
        <f t="shared" ref="CX11:DX11" si="12">SUM(CX9:CX10)</f>
        <v>0.98629999999999995</v>
      </c>
      <c r="CY11" s="105">
        <f t="shared" si="12"/>
        <v>0.99259999999999993</v>
      </c>
      <c r="CZ11" s="105">
        <f t="shared" si="12"/>
        <v>0.99259999999999993</v>
      </c>
      <c r="DA11" s="105">
        <f t="shared" si="12"/>
        <v>0.99259999999999993</v>
      </c>
      <c r="DB11" s="105">
        <f t="shared" si="12"/>
        <v>0.99259999999999993</v>
      </c>
      <c r="DC11" s="105">
        <f t="shared" si="12"/>
        <v>0.9758</v>
      </c>
      <c r="DD11" s="105">
        <f t="shared" si="12"/>
        <v>0.93099999999999994</v>
      </c>
      <c r="DE11" s="105">
        <f t="shared" si="12"/>
        <v>0.93099999999999994</v>
      </c>
      <c r="DF11" s="105">
        <f t="shared" si="12"/>
        <v>0.9163</v>
      </c>
      <c r="DG11" s="105">
        <f t="shared" si="12"/>
        <v>0.9093</v>
      </c>
      <c r="DH11" s="105">
        <f t="shared" si="12"/>
        <v>0.9093</v>
      </c>
      <c r="DI11" s="105">
        <f t="shared" si="12"/>
        <v>0.91279999999999994</v>
      </c>
      <c r="DJ11" s="105">
        <f t="shared" si="12"/>
        <v>0.92399999999999993</v>
      </c>
      <c r="DK11" s="105">
        <f t="shared" si="12"/>
        <v>0.92539999999999989</v>
      </c>
      <c r="DL11" s="105">
        <f t="shared" si="12"/>
        <v>0.92959999999999987</v>
      </c>
      <c r="DM11" s="105">
        <f t="shared" si="12"/>
        <v>0.93379999999999996</v>
      </c>
      <c r="DN11" s="105">
        <f t="shared" si="12"/>
        <v>0.9232999999999999</v>
      </c>
      <c r="DO11" s="105">
        <f t="shared" si="12"/>
        <v>0.92679999999999996</v>
      </c>
      <c r="DP11" s="105">
        <f t="shared" si="12"/>
        <v>0.92679999999999996</v>
      </c>
      <c r="DQ11" s="105">
        <f t="shared" si="12"/>
        <v>0.92679999999999996</v>
      </c>
      <c r="DR11" s="105">
        <f t="shared" si="12"/>
        <v>0.92679999999999996</v>
      </c>
      <c r="DS11" s="105">
        <f t="shared" si="12"/>
        <v>0.9302999999999999</v>
      </c>
      <c r="DT11" s="105">
        <f t="shared" si="12"/>
        <v>0.35</v>
      </c>
      <c r="DU11" s="105">
        <f t="shared" si="12"/>
        <v>0.35</v>
      </c>
      <c r="DV11" s="105">
        <f t="shared" si="12"/>
        <v>0.35</v>
      </c>
      <c r="DW11" s="105">
        <f t="shared" si="12"/>
        <v>0.35</v>
      </c>
      <c r="DX11" s="105">
        <f t="shared" si="12"/>
        <v>0.35</v>
      </c>
    </row>
    <row r="12" spans="1:128">
      <c r="I12" s="74"/>
      <c r="J12" s="74"/>
      <c r="K12" s="74"/>
      <c r="L12" s="74"/>
      <c r="M12" s="74"/>
      <c r="N12" s="74"/>
      <c r="O12" s="74"/>
      <c r="P12" s="74"/>
      <c r="Q12" s="74"/>
      <c r="R12" s="74"/>
      <c r="S12" s="74"/>
      <c r="T12" s="74"/>
      <c r="U12" s="74"/>
      <c r="V12" s="74"/>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row>
    <row r="13" spans="1:128" s="64" customFormat="1">
      <c r="I13" s="74"/>
      <c r="J13" s="74"/>
      <c r="K13" s="74"/>
      <c r="L13" s="74"/>
      <c r="M13" s="74"/>
      <c r="N13" s="74"/>
      <c r="O13" s="74"/>
      <c r="P13" s="74"/>
      <c r="Q13" s="74"/>
      <c r="R13" s="74"/>
      <c r="S13" s="74"/>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W13" s="74"/>
      <c r="AX13" s="74"/>
    </row>
    <row r="15" spans="1:128" ht="13" thickBot="1"/>
    <row r="16" spans="1:128" ht="13" thickBot="1">
      <c r="D16" s="259"/>
      <c r="H16" s="106" t="s">
        <v>407</v>
      </c>
      <c r="I16" s="109">
        <f>I11+0</f>
        <v>1.0149999999999999</v>
      </c>
      <c r="J16" s="109">
        <f t="shared" ref="J16:BU16" si="13">J11+0</f>
        <v>0.91699999999999993</v>
      </c>
      <c r="K16" s="109">
        <f t="shared" si="13"/>
        <v>0.89599999999999991</v>
      </c>
      <c r="L16" s="109">
        <f t="shared" si="13"/>
        <v>0.74199999999999999</v>
      </c>
      <c r="M16" s="109">
        <f t="shared" si="13"/>
        <v>0.82599999999999996</v>
      </c>
      <c r="N16" s="109">
        <f t="shared" si="13"/>
        <v>0.85399999999999998</v>
      </c>
      <c r="O16" s="109">
        <f t="shared" si="13"/>
        <v>0.89599999999999991</v>
      </c>
      <c r="P16" s="109">
        <f t="shared" si="13"/>
        <v>0.89599999999999991</v>
      </c>
      <c r="Q16" s="109">
        <f t="shared" si="13"/>
        <v>0.94499999999999995</v>
      </c>
      <c r="R16" s="109">
        <f t="shared" si="13"/>
        <v>0.95199999999999996</v>
      </c>
      <c r="S16" s="109">
        <f t="shared" si="13"/>
        <v>0.94499999999999995</v>
      </c>
      <c r="T16" s="109">
        <f t="shared" si="13"/>
        <v>1.008</v>
      </c>
      <c r="U16" s="109">
        <f t="shared" si="13"/>
        <v>0.99399999999999999</v>
      </c>
      <c r="V16" s="109">
        <f t="shared" si="13"/>
        <v>1.0009999999999999</v>
      </c>
      <c r="W16" s="109">
        <f t="shared" si="13"/>
        <v>1.1549999999999998</v>
      </c>
      <c r="X16" s="109">
        <f t="shared" si="13"/>
        <v>1.0920000000000001</v>
      </c>
      <c r="Y16" s="109">
        <f t="shared" si="13"/>
        <v>1.113</v>
      </c>
      <c r="Z16" s="109">
        <f t="shared" si="13"/>
        <v>0.99399999999999999</v>
      </c>
      <c r="AA16" s="109">
        <f t="shared" si="13"/>
        <v>1.008</v>
      </c>
      <c r="AB16" s="109">
        <f t="shared" si="13"/>
        <v>1.008</v>
      </c>
      <c r="AC16" s="109">
        <f t="shared" si="13"/>
        <v>1.008</v>
      </c>
      <c r="AD16" s="109">
        <f t="shared" si="13"/>
        <v>1.0640000000000001</v>
      </c>
      <c r="AE16" s="109">
        <f t="shared" si="13"/>
        <v>1.0219999999999998</v>
      </c>
      <c r="AF16" s="109">
        <f t="shared" si="13"/>
        <v>0.98</v>
      </c>
      <c r="AG16" s="109">
        <f t="shared" si="13"/>
        <v>1.0149999999999999</v>
      </c>
      <c r="AH16" s="109">
        <f t="shared" si="13"/>
        <v>1.19</v>
      </c>
      <c r="AI16" s="109">
        <f t="shared" si="13"/>
        <v>1.274</v>
      </c>
      <c r="AJ16" s="109">
        <f t="shared" si="13"/>
        <v>1.2529999999999999</v>
      </c>
      <c r="AK16" s="109">
        <f t="shared" si="13"/>
        <v>1.19</v>
      </c>
      <c r="AL16" s="109">
        <f t="shared" si="13"/>
        <v>1.0779999999999998</v>
      </c>
      <c r="AM16" s="109">
        <f t="shared" si="13"/>
        <v>1.0149999999999999</v>
      </c>
      <c r="AN16" s="109">
        <f t="shared" si="13"/>
        <v>0.97299999999999998</v>
      </c>
      <c r="AO16" s="109">
        <f t="shared" si="13"/>
        <v>0.97299999999999998</v>
      </c>
      <c r="AP16" s="109">
        <f t="shared" si="13"/>
        <v>0.97299999999999998</v>
      </c>
      <c r="AQ16" s="109">
        <f t="shared" si="13"/>
        <v>0.94499999999999995</v>
      </c>
      <c r="AR16" s="109">
        <f t="shared" si="13"/>
        <v>0.96599999999999997</v>
      </c>
      <c r="AS16" s="109">
        <f t="shared" si="13"/>
        <v>0.96599999999999997</v>
      </c>
      <c r="AT16" s="109">
        <f t="shared" si="13"/>
        <v>1.036</v>
      </c>
      <c r="AU16" s="109">
        <f t="shared" si="13"/>
        <v>0.99399999999999999</v>
      </c>
      <c r="AV16" s="109">
        <f t="shared" si="13"/>
        <v>1.008</v>
      </c>
      <c r="AW16" s="109">
        <f t="shared" si="13"/>
        <v>0.97299999999999998</v>
      </c>
      <c r="AX16" s="109">
        <f t="shared" si="13"/>
        <v>0.87499999999999989</v>
      </c>
      <c r="AY16" s="109">
        <f t="shared" si="13"/>
        <v>0.86099999999999999</v>
      </c>
      <c r="AZ16" s="109">
        <f t="shared" si="13"/>
        <v>0.86099999999999999</v>
      </c>
      <c r="BA16" s="109">
        <f t="shared" si="13"/>
        <v>0.87779999999999991</v>
      </c>
      <c r="BB16" s="109">
        <f t="shared" si="13"/>
        <v>0.89459999999999995</v>
      </c>
      <c r="BC16" s="109">
        <f t="shared" si="13"/>
        <v>0.89949999999999997</v>
      </c>
      <c r="BD16" s="109">
        <f t="shared" si="13"/>
        <v>0.92749999999999988</v>
      </c>
      <c r="BE16" s="109">
        <f t="shared" si="13"/>
        <v>0.94779999999999998</v>
      </c>
      <c r="BF16" s="109">
        <f t="shared" si="13"/>
        <v>0.94779999999999998</v>
      </c>
      <c r="BG16" s="109">
        <f t="shared" si="13"/>
        <v>0.9393999999999999</v>
      </c>
      <c r="BH16" s="109">
        <f t="shared" si="13"/>
        <v>0.93099999999999994</v>
      </c>
      <c r="BI16" s="109">
        <f t="shared" si="13"/>
        <v>0.91979999999999995</v>
      </c>
      <c r="BJ16" s="109">
        <f t="shared" si="13"/>
        <v>0.91349999999999998</v>
      </c>
      <c r="BK16" s="109">
        <f t="shared" si="13"/>
        <v>0.91349999999999998</v>
      </c>
      <c r="BL16" s="109">
        <f t="shared" si="13"/>
        <v>0.9093</v>
      </c>
      <c r="BM16" s="109">
        <f t="shared" si="13"/>
        <v>0.9093</v>
      </c>
      <c r="BN16" s="109">
        <f t="shared" si="13"/>
        <v>0.90579999999999994</v>
      </c>
      <c r="BO16" s="109">
        <f t="shared" si="13"/>
        <v>0.90579999999999994</v>
      </c>
      <c r="BP16" s="109">
        <f t="shared" si="13"/>
        <v>0.9093</v>
      </c>
      <c r="BQ16" s="109">
        <f t="shared" si="13"/>
        <v>0.9093</v>
      </c>
      <c r="BR16" s="109">
        <f t="shared" si="13"/>
        <v>0.91279999999999994</v>
      </c>
      <c r="BS16" s="109">
        <f t="shared" si="13"/>
        <v>0.9093</v>
      </c>
      <c r="BT16" s="109">
        <f t="shared" si="13"/>
        <v>0.9093</v>
      </c>
      <c r="BU16" s="109">
        <f t="shared" si="13"/>
        <v>0.90859999999999996</v>
      </c>
      <c r="BV16" s="109">
        <f t="shared" ref="BV16:CA16" si="14">BV11+0</f>
        <v>0.91279999999999994</v>
      </c>
      <c r="BW16" s="109">
        <f t="shared" si="14"/>
        <v>0.93659999999999988</v>
      </c>
      <c r="BX16" s="109">
        <f t="shared" si="14"/>
        <v>0.99399999999999999</v>
      </c>
      <c r="BY16" s="109">
        <f t="shared" si="14"/>
        <v>1.008</v>
      </c>
      <c r="BZ16" s="109">
        <f t="shared" si="14"/>
        <v>1.0486</v>
      </c>
      <c r="CA16" s="109">
        <f t="shared" si="14"/>
        <v>1.0219999999999998</v>
      </c>
      <c r="CB16" s="109">
        <f t="shared" ref="CB16:CH16" si="15">CB11+0</f>
        <v>0.98980000000000001</v>
      </c>
      <c r="CC16" s="109">
        <f t="shared" si="15"/>
        <v>0.95899999999999996</v>
      </c>
      <c r="CD16" s="109">
        <f t="shared" si="15"/>
        <v>0.95199999999999996</v>
      </c>
      <c r="CE16" s="109">
        <f t="shared" si="15"/>
        <v>0.95199999999999996</v>
      </c>
      <c r="CF16" s="109">
        <f t="shared" si="15"/>
        <v>0.95689999999999997</v>
      </c>
      <c r="CG16" s="109">
        <f t="shared" si="15"/>
        <v>0.94149999999999989</v>
      </c>
      <c r="CH16" s="109">
        <f t="shared" si="15"/>
        <v>0.94079999999999997</v>
      </c>
      <c r="CI16" s="109">
        <f>CI11+0</f>
        <v>0.94079999999999997</v>
      </c>
      <c r="CJ16" s="109">
        <f>CJ11+0</f>
        <v>0.94079999999999997</v>
      </c>
      <c r="CK16" s="109">
        <f t="shared" ref="CK16:CT16" si="16">CK11+0</f>
        <v>0.94079999999999997</v>
      </c>
      <c r="CL16" s="109">
        <f t="shared" si="16"/>
        <v>0.92889999999999995</v>
      </c>
      <c r="CM16" s="109">
        <f t="shared" si="16"/>
        <v>0.92259999999999986</v>
      </c>
      <c r="CN16" s="109">
        <f t="shared" si="16"/>
        <v>0.91979999999999995</v>
      </c>
      <c r="CO16" s="109">
        <f t="shared" si="16"/>
        <v>0.91699999999999993</v>
      </c>
      <c r="CP16" s="109">
        <f t="shared" si="16"/>
        <v>0.92889999999999995</v>
      </c>
      <c r="CQ16" s="109">
        <f t="shared" si="16"/>
        <v>0.92889999999999995</v>
      </c>
      <c r="CR16" s="109">
        <f t="shared" si="16"/>
        <v>0.92889999999999995</v>
      </c>
      <c r="CS16" s="109">
        <f t="shared" si="16"/>
        <v>0.92259999999999986</v>
      </c>
      <c r="CT16" s="109">
        <f t="shared" si="16"/>
        <v>0.92259999999999986</v>
      </c>
      <c r="CU16" s="109">
        <f>CU11+0</f>
        <v>0.92259999999999986</v>
      </c>
      <c r="CV16" s="109">
        <f>CV11+0</f>
        <v>0.94499999999999995</v>
      </c>
      <c r="CW16" s="109">
        <f>CW11+0</f>
        <v>0.98629999999999995</v>
      </c>
      <c r="CX16" s="109">
        <f t="shared" ref="CX16:DX16" si="17">CX11+0</f>
        <v>0.98629999999999995</v>
      </c>
      <c r="CY16" s="109">
        <f t="shared" si="17"/>
        <v>0.99259999999999993</v>
      </c>
      <c r="CZ16" s="109">
        <f t="shared" si="17"/>
        <v>0.99259999999999993</v>
      </c>
      <c r="DA16" s="109">
        <f t="shared" si="17"/>
        <v>0.99259999999999993</v>
      </c>
      <c r="DB16" s="109">
        <f t="shared" si="17"/>
        <v>0.99259999999999993</v>
      </c>
      <c r="DC16" s="109">
        <f t="shared" si="17"/>
        <v>0.9758</v>
      </c>
      <c r="DD16" s="109">
        <f t="shared" si="17"/>
        <v>0.93099999999999994</v>
      </c>
      <c r="DE16" s="109">
        <f t="shared" si="17"/>
        <v>0.93099999999999994</v>
      </c>
      <c r="DF16" s="109">
        <f t="shared" si="17"/>
        <v>0.9163</v>
      </c>
      <c r="DG16" s="109">
        <f t="shared" si="17"/>
        <v>0.9093</v>
      </c>
      <c r="DH16" s="109">
        <f t="shared" si="17"/>
        <v>0.9093</v>
      </c>
      <c r="DI16" s="109">
        <f t="shared" si="17"/>
        <v>0.91279999999999994</v>
      </c>
      <c r="DJ16" s="109">
        <f t="shared" si="17"/>
        <v>0.92399999999999993</v>
      </c>
      <c r="DK16" s="109">
        <f t="shared" si="17"/>
        <v>0.92539999999999989</v>
      </c>
      <c r="DL16" s="109">
        <f t="shared" si="17"/>
        <v>0.92959999999999987</v>
      </c>
      <c r="DM16" s="109">
        <f t="shared" si="17"/>
        <v>0.93379999999999996</v>
      </c>
      <c r="DN16" s="109">
        <f t="shared" si="17"/>
        <v>0.9232999999999999</v>
      </c>
      <c r="DO16" s="109">
        <f t="shared" si="17"/>
        <v>0.92679999999999996</v>
      </c>
      <c r="DP16" s="109">
        <f t="shared" si="17"/>
        <v>0.92679999999999996</v>
      </c>
      <c r="DQ16" s="109">
        <f t="shared" si="17"/>
        <v>0.92679999999999996</v>
      </c>
      <c r="DR16" s="109">
        <f t="shared" si="17"/>
        <v>0.92679999999999996</v>
      </c>
      <c r="DS16" s="109">
        <f t="shared" si="17"/>
        <v>0.9302999999999999</v>
      </c>
      <c r="DT16" s="109">
        <f t="shared" si="17"/>
        <v>0.35</v>
      </c>
      <c r="DU16" s="109">
        <f t="shared" si="17"/>
        <v>0.35</v>
      </c>
      <c r="DV16" s="109">
        <f t="shared" si="17"/>
        <v>0.35</v>
      </c>
      <c r="DW16" s="109">
        <f t="shared" si="17"/>
        <v>0.35</v>
      </c>
      <c r="DX16" s="109">
        <f t="shared" si="17"/>
        <v>0.35</v>
      </c>
    </row>
    <row r="18" spans="2:64">
      <c r="B18" s="65"/>
      <c r="BL18" s="65"/>
    </row>
    <row r="23" spans="2:64" ht="15">
      <c r="AR23" s="11"/>
    </row>
    <row r="24" spans="2:64" ht="15">
      <c r="AR24" s="11"/>
    </row>
    <row r="25" spans="2:64" ht="15">
      <c r="AR25" s="260"/>
    </row>
  </sheetData>
  <conditionalFormatting sqref="I13 Z13:AB13 AE13:AF13 AH13:AJ13 AL13 AP13 AR13:AS13 AU13 Q13:X13 O13 K13:L13">
    <cfRule type="top10" dxfId="15" priority="1" bottom="1" rank="1"/>
  </conditionalFormatting>
  <pageMargins left="0.7" right="0.7" top="0.75" bottom="0.75" header="0.3" footer="0.3"/>
  <pageSetup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FJ26"/>
  <sheetViews>
    <sheetView zoomScale="90" zoomScaleNormal="90" workbookViewId="0">
      <pane xSplit="9" ySplit="6" topLeftCell="DN7" activePane="bottomRight" state="frozen"/>
      <selection pane="topRight" activeCell="J1" sqref="J1"/>
      <selection pane="bottomLeft" activeCell="A7" sqref="A7"/>
      <selection pane="bottomRight" activeCell="ED16" sqref="ED16"/>
    </sheetView>
  </sheetViews>
  <sheetFormatPr baseColWidth="10" defaultColWidth="22.6640625" defaultRowHeight="12"/>
  <cols>
    <col min="1" max="1" width="16.5" style="60" customWidth="1"/>
    <col min="2" max="2" width="11.33203125" style="60" bestFit="1" customWidth="1"/>
    <col min="3" max="3" width="4.83203125" style="60" bestFit="1" customWidth="1"/>
    <col min="4" max="4" width="12.33203125" style="60" bestFit="1" customWidth="1"/>
    <col min="5" max="5" width="11.6640625" style="60" bestFit="1" customWidth="1"/>
    <col min="6" max="6" width="6.5" style="60" bestFit="1" customWidth="1"/>
    <col min="7" max="7" width="3.33203125" style="60" bestFit="1" customWidth="1"/>
    <col min="8" max="8" width="17.1640625" style="60" bestFit="1" customWidth="1"/>
    <col min="9" max="12" width="6.1640625" style="60" bestFit="1" customWidth="1"/>
    <col min="13" max="13" width="5.83203125" style="60" bestFit="1" customWidth="1"/>
    <col min="14" max="51" width="6.1640625" style="60" bestFit="1" customWidth="1"/>
    <col min="52" max="54" width="7" style="60" bestFit="1" customWidth="1"/>
    <col min="55" max="90" width="6.1640625" style="60" bestFit="1" customWidth="1"/>
    <col min="91" max="95" width="6.33203125" style="60" bestFit="1" customWidth="1"/>
    <col min="96" max="100" width="6.1640625" style="60" bestFit="1" customWidth="1"/>
    <col min="101" max="103" width="5.1640625" style="60" bestFit="1" customWidth="1"/>
    <col min="104" max="107" width="5.83203125" style="60" bestFit="1" customWidth="1"/>
    <col min="108" max="115" width="5.6640625" style="60" bestFit="1" customWidth="1"/>
    <col min="116" max="119" width="6.1640625" style="60" bestFit="1" customWidth="1"/>
    <col min="120" max="123" width="5.83203125" style="60" bestFit="1" customWidth="1"/>
    <col min="124" max="134" width="5.1640625" style="60" bestFit="1" customWidth="1"/>
    <col min="135" max="166" width="3.33203125" style="60" bestFit="1" customWidth="1"/>
    <col min="167" max="16384" width="22.6640625" style="60"/>
  </cols>
  <sheetData>
    <row r="1" spans="1:166" ht="13">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c r="EM1" s="99">
        <v>141</v>
      </c>
      <c r="EN1" s="99">
        <v>142</v>
      </c>
      <c r="EO1" s="99">
        <v>143</v>
      </c>
      <c r="EP1" s="99">
        <v>144</v>
      </c>
      <c r="EQ1" s="99">
        <v>145</v>
      </c>
      <c r="ER1" s="99">
        <v>146</v>
      </c>
      <c r="ES1" s="99">
        <v>147</v>
      </c>
      <c r="ET1" s="99">
        <v>148</v>
      </c>
      <c r="EU1" s="99">
        <v>149</v>
      </c>
      <c r="EV1" s="99">
        <v>150</v>
      </c>
      <c r="EW1" s="99">
        <v>151</v>
      </c>
      <c r="EX1" s="99">
        <v>152</v>
      </c>
      <c r="EY1" s="99">
        <v>153</v>
      </c>
      <c r="EZ1" s="99">
        <v>154</v>
      </c>
      <c r="FA1" s="99">
        <v>155</v>
      </c>
      <c r="FB1" s="99">
        <v>156</v>
      </c>
      <c r="FC1" s="99">
        <v>157</v>
      </c>
      <c r="FD1" s="99">
        <v>158</v>
      </c>
      <c r="FE1" s="99">
        <v>159</v>
      </c>
      <c r="FF1" s="99">
        <v>160</v>
      </c>
      <c r="FG1" s="99">
        <v>161</v>
      </c>
      <c r="FH1" s="99">
        <v>162</v>
      </c>
      <c r="FI1" s="99">
        <v>163</v>
      </c>
      <c r="FJ1" s="99">
        <v>164</v>
      </c>
    </row>
    <row r="2" spans="1:166" ht="13">
      <c r="A2" s="107" t="s">
        <v>268</v>
      </c>
      <c r="B2" s="112"/>
      <c r="C2" s="101">
        <v>1</v>
      </c>
      <c r="D2" s="282">
        <v>118.1742</v>
      </c>
      <c r="E2" s="60">
        <f>D2*C2</f>
        <v>118.1742</v>
      </c>
      <c r="K2" s="102"/>
      <c r="M2" s="102"/>
    </row>
    <row r="3" spans="1:166">
      <c r="A3" s="100"/>
      <c r="B3" s="64"/>
      <c r="D3" s="100"/>
      <c r="E3" s="64"/>
      <c r="F3" s="103"/>
    </row>
    <row r="4" spans="1:166">
      <c r="A4" s="64"/>
      <c r="B4" s="64"/>
      <c r="D4" s="64"/>
      <c r="E4" s="64"/>
      <c r="H4" s="60" t="s">
        <v>387</v>
      </c>
    </row>
    <row r="5" spans="1:166">
      <c r="A5" s="74"/>
      <c r="B5" s="74"/>
    </row>
    <row r="6" spans="1:166">
      <c r="A6" s="59"/>
      <c r="B6" s="59"/>
      <c r="C6" s="59"/>
      <c r="D6" s="98"/>
      <c r="E6" s="98"/>
      <c r="F6" s="59"/>
      <c r="H6" s="59" t="s">
        <v>416</v>
      </c>
      <c r="I6" s="59">
        <v>43831</v>
      </c>
      <c r="J6" s="59">
        <v>43862</v>
      </c>
      <c r="K6" s="59">
        <v>43891</v>
      </c>
      <c r="L6" s="59">
        <v>43922</v>
      </c>
      <c r="M6" s="59">
        <v>43952</v>
      </c>
      <c r="N6" s="59">
        <v>43983</v>
      </c>
      <c r="O6" s="59">
        <v>44013</v>
      </c>
      <c r="P6" s="59">
        <v>44044</v>
      </c>
      <c r="Q6" s="59">
        <v>44075</v>
      </c>
      <c r="R6" s="59">
        <v>44105</v>
      </c>
      <c r="S6" s="59">
        <v>44136</v>
      </c>
      <c r="T6" s="59">
        <v>44166</v>
      </c>
      <c r="U6" s="59">
        <v>44197</v>
      </c>
      <c r="V6" s="59">
        <v>44228</v>
      </c>
      <c r="W6" s="59">
        <v>44256</v>
      </c>
      <c r="X6" s="59">
        <v>44287</v>
      </c>
      <c r="Y6" s="59">
        <v>44317</v>
      </c>
      <c r="Z6" s="59">
        <v>44348</v>
      </c>
      <c r="AA6" s="59">
        <v>44378</v>
      </c>
      <c r="AB6" s="59">
        <v>44409</v>
      </c>
      <c r="AC6" s="59">
        <v>44440</v>
      </c>
      <c r="AD6" s="59">
        <v>44470</v>
      </c>
      <c r="AE6" s="59">
        <v>44501</v>
      </c>
      <c r="AF6" s="59">
        <v>44531</v>
      </c>
      <c r="AG6" s="59">
        <v>44562</v>
      </c>
      <c r="AH6" s="59">
        <v>44593</v>
      </c>
      <c r="AI6" s="59">
        <v>44621</v>
      </c>
      <c r="AJ6" s="59">
        <v>44652</v>
      </c>
      <c r="AK6" s="59">
        <v>44682</v>
      </c>
      <c r="AL6" s="59">
        <v>44713</v>
      </c>
      <c r="AM6" s="59">
        <v>44743</v>
      </c>
      <c r="AN6" s="59">
        <v>44774</v>
      </c>
      <c r="AO6" s="59">
        <v>44805</v>
      </c>
      <c r="AP6" s="59">
        <v>44835</v>
      </c>
      <c r="AQ6" s="59">
        <v>44866</v>
      </c>
      <c r="AR6" s="59">
        <v>44896</v>
      </c>
      <c r="AS6" s="59">
        <v>44927</v>
      </c>
      <c r="AT6" s="59">
        <v>44958</v>
      </c>
      <c r="AU6" s="59">
        <v>44986</v>
      </c>
      <c r="AV6" s="59">
        <v>45017</v>
      </c>
      <c r="AW6" s="59">
        <v>45047</v>
      </c>
      <c r="AX6" s="59">
        <v>45078</v>
      </c>
      <c r="AY6" s="59">
        <v>45108</v>
      </c>
      <c r="AZ6" s="59" t="s">
        <v>530</v>
      </c>
      <c r="BA6" s="59" t="s">
        <v>531</v>
      </c>
      <c r="BB6" s="59" t="s">
        <v>532</v>
      </c>
      <c r="BC6" s="59">
        <v>37104</v>
      </c>
      <c r="BD6" s="59">
        <v>37469</v>
      </c>
      <c r="BE6" s="59" t="s">
        <v>168</v>
      </c>
      <c r="BF6" s="59" t="s">
        <v>169</v>
      </c>
      <c r="BG6" s="59" t="s">
        <v>421</v>
      </c>
      <c r="BH6" s="59" t="s">
        <v>422</v>
      </c>
      <c r="BI6" s="59" t="s">
        <v>423</v>
      </c>
      <c r="BJ6" s="59" t="s">
        <v>424</v>
      </c>
      <c r="BK6" s="59" t="s">
        <v>435</v>
      </c>
      <c r="BL6" s="59" t="s">
        <v>436</v>
      </c>
      <c r="BM6" s="59" t="s">
        <v>437</v>
      </c>
      <c r="BN6" s="59" t="s">
        <v>438</v>
      </c>
      <c r="BO6" s="59">
        <v>37196</v>
      </c>
      <c r="BP6" s="59">
        <v>37561</v>
      </c>
      <c r="BQ6" s="59">
        <v>37926</v>
      </c>
      <c r="BR6" s="59">
        <v>38292</v>
      </c>
      <c r="BS6" s="59">
        <v>37226</v>
      </c>
      <c r="BT6" s="59">
        <v>37591</v>
      </c>
      <c r="BU6" s="59">
        <v>37956</v>
      </c>
      <c r="BV6" s="59">
        <v>38322</v>
      </c>
      <c r="BW6" s="59">
        <v>36892</v>
      </c>
      <c r="BX6" s="59">
        <v>37257</v>
      </c>
      <c r="BY6" s="59">
        <v>37622</v>
      </c>
      <c r="BZ6" s="59">
        <v>37987</v>
      </c>
      <c r="CA6" s="59">
        <v>36923</v>
      </c>
      <c r="CB6" s="59">
        <v>37288</v>
      </c>
      <c r="CC6" s="59">
        <v>37653</v>
      </c>
      <c r="CD6" s="59">
        <v>38018</v>
      </c>
      <c r="CE6" s="59" t="str">
        <f>Sheet8!A15</f>
        <v>Mar-w1</v>
      </c>
      <c r="CF6" s="59">
        <v>37316</v>
      </c>
      <c r="CG6" s="59">
        <v>37681</v>
      </c>
      <c r="CH6" s="59">
        <v>38047</v>
      </c>
      <c r="CI6" s="59" t="str">
        <f>Sheet8!E15</f>
        <v>Apr-w1</v>
      </c>
      <c r="CJ6" s="59" t="str">
        <f>Sheet8!F15</f>
        <v>Apr-w2</v>
      </c>
      <c r="CK6" s="59" t="str">
        <f>Sheet8!G15</f>
        <v>Apr-w3</v>
      </c>
      <c r="CL6" s="59" t="str">
        <f>Sheet8!H15</f>
        <v>Apr-w4</v>
      </c>
      <c r="CM6" s="59" t="str">
        <f>Sheet8!I15</f>
        <v>May-w1</v>
      </c>
      <c r="CN6" s="59" t="str">
        <f>Sheet8!J15</f>
        <v>May-w2</v>
      </c>
      <c r="CO6" s="59" t="str">
        <f>Sheet8!K15</f>
        <v>May-w3</v>
      </c>
      <c r="CP6" s="59" t="str">
        <f>Sheet8!L15</f>
        <v>May-w4</v>
      </c>
      <c r="CQ6" s="59" t="str">
        <f>Sheet8!M15</f>
        <v>May-w5</v>
      </c>
      <c r="CR6" s="59" t="str">
        <f>Sheet8!N15</f>
        <v>june-w1</v>
      </c>
      <c r="CS6" s="59" t="str">
        <f>Sheet8!O15</f>
        <v>june-w2</v>
      </c>
      <c r="CT6" s="59" t="str">
        <f>Sheet8!P15</f>
        <v>june-w3</v>
      </c>
      <c r="CU6" s="59" t="str">
        <f>Sheet8!Q15</f>
        <v>june-w4</v>
      </c>
      <c r="CV6" s="59" t="str">
        <f>Sheet8!R15</f>
        <v>Jul-w1</v>
      </c>
      <c r="CW6" s="59" t="str">
        <f>Sheet8!S15</f>
        <v>Jul-w2</v>
      </c>
      <c r="CX6" s="59" t="str">
        <f>Sheet8!T15</f>
        <v>Jul-w3</v>
      </c>
      <c r="CY6" s="59" t="str">
        <f>Sheet8!U15</f>
        <v>Jul-w4</v>
      </c>
      <c r="CZ6" s="59" t="str">
        <f>Sheet8!V15</f>
        <v>Aug-w1</v>
      </c>
      <c r="DA6" s="59" t="str">
        <f>Sheet8!W15</f>
        <v>Aug-w2</v>
      </c>
      <c r="DB6" s="59" t="str">
        <f>Sheet8!X15</f>
        <v>Aug-w3</v>
      </c>
      <c r="DC6" s="59" t="str">
        <f>Sheet8!Y15</f>
        <v>Aug-w4</v>
      </c>
      <c r="DD6" s="59" t="str">
        <f>Sheet8!Z15</f>
        <v>Sep-w1</v>
      </c>
      <c r="DE6" s="59" t="str">
        <f>Sheet8!AA15</f>
        <v>Sep-w2</v>
      </c>
      <c r="DF6" s="59" t="str">
        <f>Sheet8!AB15</f>
        <v>Sep-w3</v>
      </c>
      <c r="DG6" s="59" t="str">
        <f>Sheet8!AC15</f>
        <v>Sep-w4</v>
      </c>
      <c r="DH6" s="59" t="str">
        <f>Sheet8!AD15</f>
        <v>Oct-w1</v>
      </c>
      <c r="DI6" s="59" t="str">
        <f>Sheet8!AE15</f>
        <v>Oct-w2</v>
      </c>
      <c r="DJ6" s="59" t="str">
        <f>Sheet8!AF15</f>
        <v>Oct-w3</v>
      </c>
      <c r="DK6" s="59" t="str">
        <f>Sheet8!AG15</f>
        <v>Oct-w4</v>
      </c>
      <c r="DL6" s="59" t="str">
        <f>Sheet8!AH15</f>
        <v>Nov-w1</v>
      </c>
      <c r="DM6" s="59" t="str">
        <f>Sheet8!AI15</f>
        <v>Nov-w2</v>
      </c>
      <c r="DN6" s="59" t="str">
        <f>Sheet8!AJ15</f>
        <v>Nov-w3</v>
      </c>
      <c r="DO6" s="59" t="str">
        <f>Sheet8!AK15</f>
        <v>Nov-w4</v>
      </c>
      <c r="DP6" s="59" t="str">
        <f>Sheet8!AL15</f>
        <v>Dec-w1</v>
      </c>
      <c r="DQ6" s="59" t="str">
        <f>Sheet8!AM15</f>
        <v>Dec-w2</v>
      </c>
      <c r="DR6" s="59" t="str">
        <f>Sheet8!AN15</f>
        <v>Dec-w3</v>
      </c>
      <c r="DS6" s="59" t="str">
        <f>Sheet8!AO15</f>
        <v>Dec-w4</v>
      </c>
      <c r="DT6" s="59">
        <f>Sheet8!AP15</f>
        <v>0</v>
      </c>
      <c r="DU6" s="59">
        <f>Sheet8!AQ15</f>
        <v>0</v>
      </c>
      <c r="DV6" s="59">
        <f>Sheet8!AR15</f>
        <v>0</v>
      </c>
      <c r="DW6" s="59">
        <f>Sheet8!AS15</f>
        <v>0</v>
      </c>
      <c r="DX6" s="59">
        <f>Sheet8!AT15</f>
        <v>0</v>
      </c>
      <c r="DY6" s="59">
        <f>Sheet8!AU15</f>
        <v>0</v>
      </c>
      <c r="DZ6" s="59">
        <f>Sheet8!AV15</f>
        <v>0</v>
      </c>
      <c r="EA6" s="59">
        <f>Sheet8!AW15</f>
        <v>0</v>
      </c>
      <c r="EB6" s="59">
        <f>Sheet8!AX15</f>
        <v>0</v>
      </c>
      <c r="EC6" s="59">
        <f>Sheet8!AY15</f>
        <v>0</v>
      </c>
      <c r="ED6" s="59">
        <f>Sheet8!AZ15</f>
        <v>0</v>
      </c>
    </row>
    <row r="7" spans="1:166">
      <c r="B7" s="44"/>
      <c r="D7" s="44"/>
      <c r="F7" s="60" t="s">
        <v>651</v>
      </c>
      <c r="H7" s="178" t="s">
        <v>78</v>
      </c>
      <c r="I7" s="74">
        <f>VLOOKUP($H$7&amp;$F$1,'Input RM sheet'!$A:$BD,H1,0)</f>
        <v>691.5</v>
      </c>
      <c r="J7" s="74">
        <f>VLOOKUP($H$7&amp;$F$1,'Input RM sheet'!$A:$BD,I1,0)</f>
        <v>666.25</v>
      </c>
      <c r="K7" s="74">
        <f>VLOOKUP($H$7&amp;$F$1,'Input RM sheet'!$A:$BD,J1,0)</f>
        <v>650</v>
      </c>
      <c r="L7" s="74">
        <f>VLOOKUP($H$7&amp;$F$1,'Input RM sheet'!$A:$BD,K1,0)</f>
        <v>603</v>
      </c>
      <c r="M7" s="74">
        <f>VLOOKUP($H$7&amp;$F$1,'Input RM sheet'!$A:$BD,L1,0)</f>
        <v>602.5</v>
      </c>
      <c r="N7" s="74">
        <f>VLOOKUP($H$7&amp;$F$1,'Input RM sheet'!$A:$BD,M1,0)</f>
        <v>612.5</v>
      </c>
      <c r="O7" s="74">
        <f>VLOOKUP($H$7&amp;$F$1,'Input RM sheet'!$A:$BD,N1,0)</f>
        <v>627</v>
      </c>
      <c r="P7" s="74">
        <f>VLOOKUP($H$7&amp;$F$1,'Input RM sheet'!$A:$BD,O1,0)</f>
        <v>617.5</v>
      </c>
      <c r="Q7" s="74">
        <f>VLOOKUP($H$7&amp;$F$1,'Input RM sheet'!$A:$BD,P1,0)</f>
        <v>638.75</v>
      </c>
      <c r="R7" s="74">
        <f>VLOOKUP($H$7&amp;$F$1,'Input RM sheet'!$A:$BD,Q1,0)</f>
        <v>696</v>
      </c>
      <c r="S7" s="74">
        <f>VLOOKUP($H$7&amp;$F$1,'Input RM sheet'!$A:$BD,R1,0)</f>
        <v>933.75</v>
      </c>
      <c r="T7" s="74">
        <f>VLOOKUP($H$7&amp;$F$1,'Input RM sheet'!$A:$BD,S1,0)</f>
        <v>1078.75</v>
      </c>
      <c r="U7" s="74">
        <f>VLOOKUP($H$7&amp;$F$1,'Input RM sheet'!$A:$BD,T1,0)</f>
        <v>1238.75</v>
      </c>
      <c r="V7" s="74">
        <f>VLOOKUP($H$7&amp;$F$1,'Input RM sheet'!$A:$BD,U1,0)</f>
        <v>1370</v>
      </c>
      <c r="W7" s="74">
        <f>VLOOKUP($H$7&amp;$F$1,'Input RM sheet'!$A:$BD,V1,0)</f>
        <v>1862.5</v>
      </c>
      <c r="X7" s="74">
        <f>VLOOKUP($H$7&amp;$F$1,'Input RM sheet'!$A:$BD,W1,0)</f>
        <v>1655</v>
      </c>
      <c r="Y7" s="74">
        <f>VLOOKUP($H$7&amp;$F$1,'Input RM sheet'!$A:$BD,X1,0)</f>
        <v>1793.75</v>
      </c>
      <c r="Z7" s="74">
        <f>VLOOKUP($H$7&amp;$F$1,'Input RM sheet'!$A:$BD,Y1,0)</f>
        <v>1843.75</v>
      </c>
      <c r="AA7" s="74">
        <f>VLOOKUP($H$7&amp;$F$1,'Input RM sheet'!$A:$BD,Z1,0)</f>
        <v>1880</v>
      </c>
      <c r="AB7" s="74">
        <f>VLOOKUP($H$7&amp;$F$1,'Input RM sheet'!$A:$BD,AA1,0)</f>
        <v>1950</v>
      </c>
      <c r="AC7" s="74">
        <f>VLOOKUP($H$7&amp;$F$1,'Input RM sheet'!$A:$BD,AB1,0)</f>
        <v>1940</v>
      </c>
      <c r="AD7" s="74">
        <f>VLOOKUP($H$7&amp;$F$1,'Input RM sheet'!$A:$BD,AC1,0)</f>
        <v>1750</v>
      </c>
      <c r="AE7" s="74">
        <f>VLOOKUP($H$7&amp;$F$1,'Input RM sheet'!$A:$BD,AD1,0)</f>
        <v>1662.5</v>
      </c>
      <c r="AF7" s="74">
        <f>VLOOKUP($H$7&amp;$F$1,'Input RM sheet'!$A:$BD,AE1,0)</f>
        <v>1371.25</v>
      </c>
      <c r="AG7" s="74">
        <f>VLOOKUP($H$7&amp;$F$1,'Input RM sheet'!$A:$BD,AF1,0)</f>
        <v>1275</v>
      </c>
      <c r="AH7" s="74">
        <f>VLOOKUP($H$7&amp;$F$1,'Input RM sheet'!$A:$BD,AG1,0)</f>
        <v>1362.5</v>
      </c>
      <c r="AI7" s="74">
        <f>VLOOKUP($H$7&amp;$F$1,'Input RM sheet'!$A:$BD,AH1,0)</f>
        <v>1470</v>
      </c>
      <c r="AJ7" s="74">
        <f>VLOOKUP($H$7&amp;$F$1,'Input RM sheet'!$A:$BD,AI1,0)</f>
        <v>1462.5</v>
      </c>
      <c r="AK7" s="74">
        <f>VLOOKUP($H$7&amp;$F$1,'Input RM sheet'!$A:$BD,AJ1,0)</f>
        <v>1487.5</v>
      </c>
      <c r="AL7" s="74">
        <f>VLOOKUP($H$7&amp;$F$1,'Input RM sheet'!$A:$BD,AK1,0)</f>
        <v>1418</v>
      </c>
      <c r="AM7" s="74">
        <f>VLOOKUP($H$7&amp;$F$1,'Input RM sheet'!$A:$BD,AL1,0)</f>
        <v>1118.75</v>
      </c>
      <c r="AN7" s="74">
        <f>VLOOKUP($H$7&amp;$F$1,'Input RM sheet'!$A:$BD,AM1,0)</f>
        <v>962.5</v>
      </c>
      <c r="AO7" s="74">
        <f>VLOOKUP($H$7&amp;$F$1,'Input RM sheet'!$A:$BD,AN1,0)</f>
        <v>934</v>
      </c>
      <c r="AP7" s="74">
        <f>VLOOKUP($H$7&amp;$F$1,'Input RM sheet'!$A:$BD,AO1,0)</f>
        <v>950</v>
      </c>
      <c r="AQ7" s="74">
        <f>VLOOKUP($H$7&amp;$F$1,'Input RM sheet'!$A:$BD,AP1,0)</f>
        <v>950</v>
      </c>
      <c r="AR7" s="74">
        <f>VLOOKUP($H$7&amp;$F$1,'Input RM sheet'!$A:$BD,AQ1,0)</f>
        <v>935</v>
      </c>
      <c r="AS7" s="74">
        <f>VLOOKUP($H$7&amp;$F$1,'Input RM sheet'!$A:$BD,AR1,0)</f>
        <v>975</v>
      </c>
      <c r="AT7" s="74">
        <f>VLOOKUP($H$7&amp;$F$1,'Input RM sheet'!$A:$BD,AS1,0)</f>
        <v>1005</v>
      </c>
      <c r="AU7" s="74">
        <f>VLOOKUP($H$7&amp;$F$1,'Input RM sheet'!$A:$BD,AT1,0)</f>
        <v>975</v>
      </c>
      <c r="AV7" s="74">
        <f>VLOOKUP($H$7&amp;$F$1,'Input RM sheet'!$A:$BD,AU1,0)</f>
        <v>980</v>
      </c>
      <c r="AW7" s="74">
        <f>VLOOKUP($H$7&amp;$F$1,'Input RM sheet'!$A:$BD,AV1,0)</f>
        <v>975</v>
      </c>
      <c r="AX7" s="74">
        <f>VLOOKUP($H$7&amp;$F$1,'Input RM sheet'!$A:$BD,AW1,0)</f>
        <v>900</v>
      </c>
      <c r="AY7" s="74">
        <f>VLOOKUP($H$7&amp;$F$1,'Input RM sheet'!$A:$BD,AX1,0)</f>
        <v>880</v>
      </c>
      <c r="AZ7" s="74">
        <f>VLOOKUP($H$7&amp;$F$1,'Input RM sheet'!$A:$BD,AY1,0)</f>
        <v>870</v>
      </c>
      <c r="BA7" s="74">
        <f>VLOOKUP($H$7&amp;$F$1,'Input RM sheet'!$A:$BD,AZ1,0)</f>
        <v>870</v>
      </c>
      <c r="BB7" s="74">
        <f>VLOOKUP($H$7&amp;$F$1,'Input RM sheet'!$A:$BD,BA1,0)</f>
        <v>870</v>
      </c>
      <c r="BC7" s="74">
        <f>VLOOKUP($H$7&amp;$F$1,'Input RM sheet'!$A:$BD,BB1,0)</f>
        <v>890</v>
      </c>
      <c r="BD7" s="74">
        <f>VLOOKUP($H$7&amp;$F$1,'Input RM sheet'!$A:$BD,BC1,0)</f>
        <v>900</v>
      </c>
      <c r="BE7" s="74">
        <f>VLOOKUP($H$7&amp;$F$1,'Input RM sheet'!$A:$BD,BD1,0)</f>
        <v>900</v>
      </c>
      <c r="BF7" s="74">
        <f>VLOOKUP($H$7&amp;$F$1,'Input RM sheet'!$A:$BD,BE1,0)</f>
        <v>900</v>
      </c>
      <c r="BG7" s="74">
        <f>VLOOKUP($H$7&amp;$F$1,'Input RM sheet'!$A:$DD,BF1,0)</f>
        <v>1050</v>
      </c>
      <c r="BH7" s="74">
        <f>VLOOKUP($H$7&amp;$F$1,'Input RM sheet'!$A:$DD,BG1,0)</f>
        <v>1050</v>
      </c>
      <c r="BI7" s="74">
        <f>VLOOKUP($H$7&amp;$F$1,'Input RM sheet'!$A:$DD,BH1,0)</f>
        <v>1050</v>
      </c>
      <c r="BJ7" s="74">
        <f>VLOOKUP($H$7&amp;$F$1,'Input RM sheet'!$A:$DD,BI1,0)</f>
        <v>1050</v>
      </c>
      <c r="BK7" s="74">
        <f>VLOOKUP($H$7&amp;$F$1,'Input RM sheet'!$A:$DD,BJ1,0)</f>
        <v>1050</v>
      </c>
      <c r="BL7" s="74">
        <f>VLOOKUP($H$7&amp;$F$1,'Input RM sheet'!$A:$DD,BK1,0)</f>
        <v>1075</v>
      </c>
      <c r="BM7" s="74">
        <f>VLOOKUP($H$7&amp;$F$1,'Input RM sheet'!$A:$DD,BL1,0)</f>
        <v>1050</v>
      </c>
      <c r="BN7" s="74">
        <f>VLOOKUP($H$7&amp;$F$1,'Input RM sheet'!$A:$DD,BM1,0)</f>
        <v>1000</v>
      </c>
      <c r="BO7" s="74">
        <f>VLOOKUP($H$7&amp;$F$1,'Input RM sheet'!$A:$DD,BN1,0)</f>
        <v>975</v>
      </c>
      <c r="BP7" s="74">
        <f>VLOOKUP($H$7&amp;$F$1,'Input RM sheet'!$A:$DD,BO1,0)</f>
        <v>975</v>
      </c>
      <c r="BQ7" s="74">
        <f>VLOOKUP($H$7&amp;$F$1,'Input RM sheet'!$A:$DD,BP1,0)</f>
        <v>975</v>
      </c>
      <c r="BR7" s="74">
        <f>VLOOKUP($H$7&amp;$F$1,'Input RM sheet'!$A:$DD,BQ1,0)</f>
        <v>975</v>
      </c>
      <c r="BS7" s="74">
        <f>VLOOKUP($H$7&amp;$F$1,'Input RM sheet'!$A:$DD,BR1,0)</f>
        <v>975</v>
      </c>
      <c r="BT7" s="74">
        <f>VLOOKUP($H$7&amp;$F$1,'Input RM sheet'!$A:$DD,BS1,0)</f>
        <v>975</v>
      </c>
      <c r="BU7" s="74">
        <f>VLOOKUP($H$7&amp;$F$1,'Input RM sheet'!$A:$DD,BT1,0)</f>
        <v>1000</v>
      </c>
      <c r="BV7" s="74">
        <f>VLOOKUP($H$7&amp;$F$1,'Input RM sheet'!$A:$DD,BU1,0)</f>
        <v>1000</v>
      </c>
      <c r="BW7" s="74">
        <f>VLOOKUP($H$7&amp;$F$1,'Input RM sheet'!$A:$DD,BV1,0)</f>
        <v>1065</v>
      </c>
      <c r="BX7" s="74">
        <f>VLOOKUP($H$7&amp;$F$1,'Input RM sheet'!$A:$DD,BW1,0)</f>
        <v>1085</v>
      </c>
      <c r="BY7" s="74">
        <f>VLOOKUP($H$7&amp;$F$1,'Input RM sheet'!$A:$DD,BX1,0)</f>
        <v>1085</v>
      </c>
      <c r="BZ7" s="74">
        <f>VLOOKUP($H$7&amp;$F$1,'Input RM sheet'!$A:$DD,BY1,0)</f>
        <v>1085</v>
      </c>
      <c r="CA7" s="74">
        <f>VLOOKUP($H$7&amp;$F$1,'Input RM sheet'!$A:$DD,BZ1,0)</f>
        <v>1085</v>
      </c>
      <c r="CB7" s="74">
        <f>VLOOKUP($H$7&amp;$F$1,'Input RM sheet'!$A:$DD,CA1,0)</f>
        <v>1085</v>
      </c>
      <c r="CC7" s="74">
        <f>VLOOKUP($H$7&amp;$F$1,'Input RM sheet'!$A:$DD,CB1,0)</f>
        <v>1085</v>
      </c>
      <c r="CD7" s="74">
        <f>VLOOKUP($H$7&amp;$F$1,'Input RM sheet'!$A:$DD,CC1,0)</f>
        <v>1082.5</v>
      </c>
      <c r="CE7" s="74">
        <f>VLOOKUP($H$7&amp;$F$1,'Input RM sheet'!$A:$DD,CD1,0)</f>
        <v>1082.5</v>
      </c>
      <c r="CF7" s="74">
        <f>VLOOKUP($H$7&amp;$F$1,'Input RM sheet'!$A:$DD,CE1,0)</f>
        <v>1075</v>
      </c>
      <c r="CG7" s="74">
        <f>VLOOKUP($H$7&amp;$F$1,'Input RM sheet'!$A:$DD,CF1,0)</f>
        <v>1030</v>
      </c>
      <c r="CH7" s="74">
        <f>VLOOKUP($H$7&amp;$F$1,'Input RM sheet'!$A:$DD,CG1,0)</f>
        <v>1030</v>
      </c>
      <c r="CI7" s="74">
        <f>VLOOKUP($H$7&amp;$F$1,'Input RM sheet'!$A:$DD,CH1,0)</f>
        <v>1047</v>
      </c>
      <c r="CJ7" s="74">
        <f>VLOOKUP($H$7&amp;$F$1,'Input RM sheet'!$A:$DD,CI1,0)</f>
        <v>1047</v>
      </c>
      <c r="CK7" s="74">
        <f>VLOOKUP($H$7&amp;$F$1,'Input RM sheet'!$A:$DD,CJ1,0)</f>
        <v>1047</v>
      </c>
      <c r="CL7" s="74">
        <f>VLOOKUP($H$7&amp;$F$1,'Input RM sheet'!$A:$DD,CK1,0)</f>
        <v>1045</v>
      </c>
      <c r="CM7" s="74">
        <f>VLOOKUP($H$7&amp;$F$1,'Input RM sheet'!$A:$DD,CL1,0)</f>
        <v>1040</v>
      </c>
      <c r="CN7" s="74">
        <f>VLOOKUP($H$7&amp;$F$1,'Input RM sheet'!$A:$DD,CM1,0)</f>
        <v>1067</v>
      </c>
      <c r="CO7" s="74">
        <f>VLOOKUP($H$7&amp;$F$1,'Input RM sheet'!$A:$DD,CN1,0)</f>
        <v>1067</v>
      </c>
      <c r="CP7" s="74">
        <f>VLOOKUP($H$7&amp;$F$1,'Input RM sheet'!$A:$DD,CO1,0)</f>
        <v>1067</v>
      </c>
      <c r="CQ7" s="74">
        <f>VLOOKUP($H$7&amp;$F$1,'Input RM sheet'!$A:$DD,CP1,0)</f>
        <v>1067</v>
      </c>
      <c r="CR7" s="74">
        <f>VLOOKUP($H$7&amp;$F$1,'Input RM sheet'!$A:$DD,CQ1,0)</f>
        <v>1067</v>
      </c>
      <c r="CS7" s="74">
        <f>VLOOKUP($H$7&amp;$F$1,'Input RM sheet'!$A:$DD,CR1,0)</f>
        <v>1075</v>
      </c>
      <c r="CT7" s="74">
        <f>VLOOKUP($H$7&amp;$F$1,'Input RM sheet'!$A:$DD,CS1,0)</f>
        <v>1075</v>
      </c>
      <c r="CU7" s="74">
        <f>VLOOKUP($H$7&amp;$F$1,'Input RM sheet'!$A:$DD,CT1,0)</f>
        <v>1075</v>
      </c>
      <c r="CV7" s="74">
        <f>VLOOKUP($H$7&amp;$F$1,'Input RM sheet'!$A:$DD,CU1,0)</f>
        <v>1075</v>
      </c>
      <c r="CW7" s="74">
        <f>VLOOKUP($H$7&amp;$F$1,'Input RM sheet'!$A:$DD,CV1,0)</f>
        <v>1075</v>
      </c>
      <c r="CX7" s="74">
        <f>VLOOKUP($H$7&amp;$F$1,'Input RM sheet'!$A:$ZZ,CW1,0)</f>
        <v>1045</v>
      </c>
      <c r="CY7" s="74">
        <f>VLOOKUP($H$7&amp;$F$1,'Input RM sheet'!$A:$ZZ,CX1,0)</f>
        <v>1025</v>
      </c>
      <c r="CZ7" s="74">
        <f>VLOOKUP($H$7&amp;$F$1,'Input RM sheet'!$A:$ZZ,CY1,0)</f>
        <v>1025</v>
      </c>
      <c r="DA7" s="74">
        <f>VLOOKUP($H$7&amp;$F$1,'Input RM sheet'!$A:$ZZ,CZ1,0)</f>
        <v>1025</v>
      </c>
      <c r="DB7" s="74">
        <f>VLOOKUP($H$7&amp;$F$1,'Input RM sheet'!$A:$ZZ,DA1,0)</f>
        <v>1025</v>
      </c>
      <c r="DC7" s="74">
        <f>VLOOKUP($H$7&amp;$F$1,'Input RM sheet'!$A:$ZZ,DB1,0)</f>
        <v>990</v>
      </c>
      <c r="DD7" s="74">
        <f>VLOOKUP($H$7&amp;$F$1,'Input RM sheet'!$A:$ZZ,DC1,0)</f>
        <v>940</v>
      </c>
      <c r="DE7" s="74">
        <f>VLOOKUP($H$7&amp;$F$1,'Input RM sheet'!$A:$ZZ,DD1,0)</f>
        <v>940</v>
      </c>
      <c r="DF7" s="74">
        <f>VLOOKUP($H$7&amp;$F$1,'Input RM sheet'!$A:$ZZ,DE1,0)</f>
        <v>940</v>
      </c>
      <c r="DG7" s="74">
        <f>VLOOKUP($H$7&amp;$F$1,'Input RM sheet'!$A:$ZZ,DF1,0)</f>
        <v>940</v>
      </c>
      <c r="DH7" s="74">
        <f>VLOOKUP($H$7&amp;$F$1,'Input RM sheet'!$A:$ZZ,DG1,0)</f>
        <v>940</v>
      </c>
      <c r="DI7" s="74">
        <f>VLOOKUP($H$7&amp;$F$1,'Input RM sheet'!$A:$ZZ,DH1,0)</f>
        <v>900</v>
      </c>
      <c r="DJ7" s="74">
        <f>VLOOKUP($H$7&amp;$F$1,'Input RM sheet'!$A:$ZZ,DI1,0)</f>
        <v>910</v>
      </c>
      <c r="DK7" s="74">
        <f>VLOOKUP($H$7&amp;$F$1,'Input RM sheet'!$A:$ZZ,DJ1,0)</f>
        <v>910</v>
      </c>
      <c r="DL7" s="74">
        <f>VLOOKUP($H$7&amp;$F$1,'Input RM sheet'!$A:$ZZ,DK1,0)</f>
        <v>905</v>
      </c>
      <c r="DM7" s="74">
        <f>VLOOKUP($H$7&amp;$F$1,'Input RM sheet'!$A:$ZZ,DL1,0)</f>
        <v>905</v>
      </c>
      <c r="DN7" s="74">
        <f>VLOOKUP($H$7&amp;$F$1,'Input RM sheet'!$A:$ZZ,DM1,0)</f>
        <v>865</v>
      </c>
      <c r="DO7" s="74">
        <f>VLOOKUP($H$7&amp;$F$1,'Input RM sheet'!$A:$ZZ,DN1,0)</f>
        <v>865</v>
      </c>
      <c r="DP7" s="74">
        <f>VLOOKUP($H$7&amp;$F$1,'Input RM sheet'!$A:$ZZ,DO1,0)</f>
        <v>865</v>
      </c>
      <c r="DQ7" s="74">
        <f>VLOOKUP($H$7&amp;$F$1,'Input RM sheet'!$A:$ZZ,DP1,0)</f>
        <v>870</v>
      </c>
      <c r="DR7" s="74">
        <f>VLOOKUP($H$7&amp;$F$1,'Input RM sheet'!$A:$ZZ,DQ1,0)</f>
        <v>855</v>
      </c>
      <c r="DS7" s="74">
        <f>VLOOKUP($H$7&amp;$F$1,'Input RM sheet'!$A:$ZZ,DR1,0)</f>
        <v>850</v>
      </c>
      <c r="DT7" s="74">
        <f>VLOOKUP($H$7&amp;$F$1,'Input RM sheet'!$A:$ZZ,DS1,0)</f>
        <v>0</v>
      </c>
      <c r="DU7" s="74">
        <f>VLOOKUP($H$7&amp;$F$1,'Input RM sheet'!$A:$ZZ,DT1,0)</f>
        <v>0</v>
      </c>
      <c r="DV7" s="74">
        <f>VLOOKUP($H$7&amp;$F$1,'Input RM sheet'!$A:$ZZ,DU1,0)</f>
        <v>0</v>
      </c>
      <c r="DW7" s="74">
        <f>VLOOKUP($H$7&amp;$F$1,'Input RM sheet'!$A:$ZZ,DV1,0)</f>
        <v>0</v>
      </c>
      <c r="DX7" s="74">
        <f>VLOOKUP($H$7&amp;$F$1,'Input RM sheet'!$A:$ZZ,DW1,0)</f>
        <v>0</v>
      </c>
      <c r="DY7" s="74">
        <f>VLOOKUP($H$7&amp;$F$1,'Input RM sheet'!$A:$ZZ,DX1,0)</f>
        <v>0</v>
      </c>
      <c r="DZ7" s="74">
        <f>VLOOKUP($H$7&amp;$F$1,'Input RM sheet'!$A:$ZZ,DY1,0)</f>
        <v>0</v>
      </c>
      <c r="EA7" s="74">
        <f>VLOOKUP($H$7&amp;$F$1,'Input RM sheet'!$A:$ZZ,DZ1,0)</f>
        <v>0</v>
      </c>
      <c r="EB7" s="74">
        <f>VLOOKUP($H$7&amp;$F$1,'Input RM sheet'!$A:$ZZ,EA1,0)</f>
        <v>0</v>
      </c>
      <c r="EC7" s="74">
        <f>VLOOKUP($H$7&amp;$F$1,'Input RM sheet'!$A:$ZZ,EB1,0)</f>
        <v>0</v>
      </c>
      <c r="ED7" s="74">
        <f>VLOOKUP($H$7&amp;$F$1,'Input RM sheet'!$A:$ZZ,EC1,0)</f>
        <v>0</v>
      </c>
    </row>
    <row r="8" spans="1:166">
      <c r="B8" s="44"/>
      <c r="D8" s="44"/>
      <c r="H8" s="178" t="s">
        <v>759</v>
      </c>
      <c r="I8" s="74">
        <f>VLOOKUP($H$8&amp;$F$1,'Input RM sheet'!$A:$BD,H1,0)</f>
        <v>1317</v>
      </c>
      <c r="J8" s="74">
        <f>VLOOKUP($H$8&amp;$F$1,'Input RM sheet'!$A:$BD,I1,0)</f>
        <v>1295</v>
      </c>
      <c r="K8" s="74">
        <f>VLOOKUP($H$8&amp;$F$1,'Input RM sheet'!$A:$BD,J1,0)</f>
        <v>1269</v>
      </c>
      <c r="L8" s="74">
        <f>VLOOKUP($H$8&amp;$F$1,'Input RM sheet'!$A:$BD,K1,0)</f>
        <v>1072</v>
      </c>
      <c r="M8" s="74">
        <f>VLOOKUP($H$8&amp;$F$1,'Input RM sheet'!$A:$BD,L1,0)</f>
        <v>990.17</v>
      </c>
      <c r="N8" s="74">
        <f>VLOOKUP($H$8&amp;$F$1,'Input RM sheet'!$A:$BD,M1,0)</f>
        <v>1074</v>
      </c>
      <c r="O8" s="74">
        <f>VLOOKUP($H$8&amp;$F$1,'Input RM sheet'!$A:$BD,N1,0)</f>
        <v>1170</v>
      </c>
      <c r="P8" s="74">
        <f>VLOOKUP($H$8&amp;$F$1,'Input RM sheet'!$A:$BD,O1,0)</f>
        <v>1228</v>
      </c>
      <c r="Q8" s="74">
        <f>VLOOKUP($H$8&amp;$F$1,'Input RM sheet'!$A:$BD,P1,0)</f>
        <v>1223</v>
      </c>
      <c r="R8" s="74">
        <f>VLOOKUP($H$8&amp;$F$1,'Input RM sheet'!$A:$BD,Q1,0)</f>
        <v>1212</v>
      </c>
      <c r="S8" s="74">
        <f>VLOOKUP($H$8&amp;$F$1,'Input RM sheet'!$A:$BD,R1,0)</f>
        <v>1220</v>
      </c>
      <c r="T8" s="74">
        <f>VLOOKUP($H$8&amp;$F$1,'Input RM sheet'!$A:$BD,S1,0)</f>
        <v>1273</v>
      </c>
      <c r="U8" s="74">
        <f>VLOOKUP($H$8&amp;$F$1,'Input RM sheet'!$A:$BD,T1,0)</f>
        <v>1312</v>
      </c>
      <c r="V8" s="74">
        <f>VLOOKUP($H$8&amp;$F$1,'Input RM sheet'!$A:$BD,U1,0)</f>
        <v>1371</v>
      </c>
      <c r="W8" s="74">
        <f>VLOOKUP($H$8&amp;$F$1,'Input RM sheet'!$A:$BD,V1,0)</f>
        <v>1421</v>
      </c>
      <c r="X8" s="74">
        <f>VLOOKUP($H$8&amp;$F$1,'Input RM sheet'!$A:$BD,W1,0)</f>
        <v>1466</v>
      </c>
      <c r="Y8" s="74">
        <f>VLOOKUP($H$8&amp;$F$1,'Input RM sheet'!$A:$BD,X1,0)</f>
        <v>1494</v>
      </c>
      <c r="Z8" s="74">
        <f>VLOOKUP($H$8&amp;$F$1,'Input RM sheet'!$A:$BD,Y1,0)</f>
        <v>1509</v>
      </c>
      <c r="AA8" s="74">
        <f>VLOOKUP($H$8&amp;$F$1,'Input RM sheet'!$A:$BD,Z1,0)</f>
        <v>1521</v>
      </c>
      <c r="AB8" s="74">
        <f>VLOOKUP($H$8&amp;$F$1,'Input RM sheet'!$A:$BD,AA1,0)</f>
        <v>1563</v>
      </c>
      <c r="AC8" s="74">
        <f>VLOOKUP($H$8&amp;$F$1,'Input RM sheet'!$A:$BD,AB1,0)</f>
        <v>1556</v>
      </c>
      <c r="AD8" s="74">
        <f>VLOOKUP($H$8&amp;$F$1,'Input RM sheet'!$A:$BD,AC1,0)</f>
        <v>1556</v>
      </c>
      <c r="AE8" s="74">
        <f>VLOOKUP($H$8&amp;$F$1,'Input RM sheet'!$A:$BD,AD1,0)</f>
        <v>1615</v>
      </c>
      <c r="AF8" s="74">
        <f>VLOOKUP($H$8&amp;$F$1,'Input RM sheet'!$A:$BD,AE1,0)</f>
        <v>1592</v>
      </c>
      <c r="AG8" s="74">
        <f>VLOOKUP($H$8&amp;$F$1,'Input RM sheet'!$A:$BD,AF1,0)</f>
        <v>1594</v>
      </c>
      <c r="AH8" s="74">
        <f>VLOOKUP($H$8&amp;$F$1,'Input RM sheet'!$A:$BD,AG1,0)</f>
        <v>1658</v>
      </c>
      <c r="AI8" s="74">
        <f>VLOOKUP($H$8&amp;$F$1,'Input RM sheet'!$A:$BD,AH1,0)</f>
        <v>1693</v>
      </c>
      <c r="AJ8" s="74">
        <f>VLOOKUP($H$8&amp;$F$1,'Input RM sheet'!$A:$BD,AI1,0)</f>
        <v>1916</v>
      </c>
      <c r="AK8" s="74">
        <f>VLOOKUP($H$8&amp;$F$1,'Input RM sheet'!$A:$BD,AJ1,0)</f>
        <v>1815</v>
      </c>
      <c r="AL8" s="74">
        <f>VLOOKUP($H$8&amp;$F$1,'Input RM sheet'!$A:$BD,AK1,0)</f>
        <v>1813</v>
      </c>
      <c r="AM8" s="74">
        <f>VLOOKUP($H$8&amp;$F$1,'Input RM sheet'!$A:$BD,AL1,0)</f>
        <v>1668</v>
      </c>
      <c r="AN8" s="74">
        <f>VLOOKUP($H$8&amp;$F$1,'Input RM sheet'!$A:$BD,AM1,0)</f>
        <v>1599</v>
      </c>
      <c r="AO8" s="74">
        <f>VLOOKUP($H$8&amp;$F$1,'Input RM sheet'!$A:$BD,AN1,0)</f>
        <v>1472</v>
      </c>
      <c r="AP8" s="74">
        <f>VLOOKUP($H$8&amp;$F$1,'Input RM sheet'!$A:$BD,AO1,0)</f>
        <v>1423</v>
      </c>
      <c r="AQ8" s="74">
        <f>VLOOKUP($H$8&amp;$F$1,'Input RM sheet'!$A:$BD,AP1,0)</f>
        <v>1507</v>
      </c>
      <c r="AR8" s="74">
        <f>VLOOKUP($H$8&amp;$F$1,'Input RM sheet'!$A:$BD,AQ1,0)</f>
        <v>1542</v>
      </c>
      <c r="AS8" s="74">
        <f>VLOOKUP($H$8&amp;$F$1,'Input RM sheet'!$A:$BD,AR1,0)</f>
        <v>1488</v>
      </c>
      <c r="AT8" s="74">
        <f>VLOOKUP($H$8&amp;$F$1,'Input RM sheet'!$A:$BD,AS1,0)</f>
        <v>1549</v>
      </c>
      <c r="AU8" s="74">
        <f>VLOOKUP($H$8&amp;$F$1,'Input RM sheet'!$A:$BD,AT1,0)</f>
        <v>1574</v>
      </c>
      <c r="AV8" s="74">
        <f>VLOOKUP($H$8&amp;$F$1,'Input RM sheet'!$A:$BD,AU1,0)</f>
        <v>1561</v>
      </c>
      <c r="AW8" s="74">
        <f>VLOOKUP($H$8&amp;$F$1,'Input RM sheet'!$A:$BD,AV1,0)</f>
        <v>1537</v>
      </c>
      <c r="AX8" s="74">
        <f>VLOOKUP($H$8&amp;$F$1,'Input RM sheet'!$A:$BD,AW1,0)</f>
        <v>1460</v>
      </c>
      <c r="AY8" s="74">
        <f>VLOOKUP($H$8&amp;$F$1,'Input RM sheet'!$A:$BD,AX1,0)</f>
        <v>1460</v>
      </c>
      <c r="AZ8" s="74">
        <f>VLOOKUP($H$8&amp;$F$1,'Input RM sheet'!$A:$BD,AY1,0)</f>
        <v>1460</v>
      </c>
      <c r="BA8" s="74">
        <f>VLOOKUP($H$8&amp;$F$1,'Input RM sheet'!$A:$BD,AZ1,0)</f>
        <v>1460</v>
      </c>
      <c r="BB8" s="74">
        <f>VLOOKUP($H$8&amp;$F$1,'Input RM sheet'!$A:$BD,BA1,0)</f>
        <v>1433</v>
      </c>
      <c r="BC8" s="74">
        <f>VLOOKUP($H$8&amp;$F$1,'Input RM sheet'!$A:$BD,BB1,0)</f>
        <v>1433</v>
      </c>
      <c r="BD8" s="74">
        <f>VLOOKUP($H$8&amp;$F$1,'Input RM sheet'!$A:$BD,BC1,0)</f>
        <v>1433</v>
      </c>
      <c r="BE8" s="74">
        <f>VLOOKUP($H$8&amp;$F$1,'Input RM sheet'!$A:$BD,BD1,0)</f>
        <v>1433</v>
      </c>
      <c r="BF8" s="74">
        <f>VLOOKUP($H$8&amp;$F$1,'Input RM sheet'!$A:$BD,BE1,0)</f>
        <v>1433</v>
      </c>
      <c r="BG8" s="74">
        <f>VLOOKUP($H$8&amp;$F$1,'Input RM sheet'!$A:$DD,BF1,0)</f>
        <v>1414</v>
      </c>
      <c r="BH8" s="74">
        <f>VLOOKUP($H$8&amp;$F$1,'Input RM sheet'!$A:$DD,BG1,0)</f>
        <v>1414</v>
      </c>
      <c r="BI8" s="74">
        <f>VLOOKUP($H$8&amp;$F$1,'Input RM sheet'!$A:$DD,BH1,0)</f>
        <v>1449</v>
      </c>
      <c r="BJ8" s="74">
        <f>VLOOKUP($H$8&amp;$F$1,'Input RM sheet'!$A:$DD,BI1,0)</f>
        <v>1449</v>
      </c>
      <c r="BK8" s="74">
        <f>VLOOKUP($H$8&amp;$F$1,'Input RM sheet'!$A:$DD,BJ1,0)</f>
        <v>1449</v>
      </c>
      <c r="BL8" s="74">
        <f>VLOOKUP($H$8&amp;$F$1,'Input RM sheet'!$A:$DD,BK1,0)</f>
        <v>1449</v>
      </c>
      <c r="BM8" s="74">
        <f>VLOOKUP($H$8&amp;$F$1,'Input RM sheet'!$A:$DD,BL1,0)</f>
        <v>1449</v>
      </c>
      <c r="BN8" s="74">
        <f>VLOOKUP($H$8&amp;$F$1,'Input RM sheet'!$A:$DD,BM1,0)</f>
        <v>1488</v>
      </c>
      <c r="BO8" s="74">
        <f>VLOOKUP($H$8&amp;$F$1,'Input RM sheet'!$A:$DD,BN1,0)</f>
        <v>1488</v>
      </c>
      <c r="BP8" s="74">
        <f>VLOOKUP($H$8&amp;$F$1,'Input RM sheet'!$A:$DD,BO1,0)</f>
        <v>1488</v>
      </c>
      <c r="BQ8" s="74">
        <f>VLOOKUP($H$8&amp;$F$1,'Input RM sheet'!$A:$DD,BP1,0)</f>
        <v>1488</v>
      </c>
      <c r="BR8" s="74">
        <f>VLOOKUP($H$8&amp;$F$1,'Input RM sheet'!$A:$DD,BQ1,0)</f>
        <v>1488</v>
      </c>
      <c r="BS8" s="74">
        <f>VLOOKUP($H$8&amp;$F$1,'Input RM sheet'!$A:$DD,BR1,0)</f>
        <v>1470</v>
      </c>
      <c r="BT8" s="74">
        <f>VLOOKUP($H$8&amp;$F$1,'Input RM sheet'!$A:$DD,BS1,0)</f>
        <v>1463</v>
      </c>
      <c r="BU8" s="74">
        <f>VLOOKUP($H$8&amp;$F$1,'Input RM sheet'!$A:$DD,BT1,0)</f>
        <v>1466</v>
      </c>
      <c r="BV8" s="74">
        <f>VLOOKUP($H$8&amp;$F$1,'Input RM sheet'!$A:$DD,BU1,0)</f>
        <v>1472</v>
      </c>
      <c r="BW8" s="74">
        <f>VLOOKUP($H$8&amp;$F$1,'Input RM sheet'!$A:$DD,BV1,0)</f>
        <v>1472</v>
      </c>
      <c r="BX8" s="74">
        <f>VLOOKUP($H$8&amp;$F$1,'Input RM sheet'!$A:$DD,BW1,0)</f>
        <v>1472</v>
      </c>
      <c r="BY8" s="74">
        <f>VLOOKUP($H$8&amp;$F$1,'Input RM sheet'!$A:$DD,BX1,0)</f>
        <v>1472</v>
      </c>
      <c r="BZ8" s="74">
        <f>VLOOKUP($H$8&amp;$F$1,'Input RM sheet'!$A:$DD,BY1,0)</f>
        <v>1430</v>
      </c>
      <c r="CA8" s="74">
        <f>VLOOKUP($H$8&amp;$F$1,'Input RM sheet'!$A:$DD,BZ1,0)</f>
        <v>1430</v>
      </c>
      <c r="CB8" s="74">
        <f>VLOOKUP($H$8&amp;$F$1,'Input RM sheet'!$A:$DD,CA1,0)</f>
        <v>1430</v>
      </c>
      <c r="CC8" s="74">
        <f>VLOOKUP($H$8&amp;$F$1,'Input RM sheet'!$A:$DD,CB1,0)</f>
        <v>1430</v>
      </c>
      <c r="CD8" s="74">
        <f>VLOOKUP($H$8&amp;$F$1,'Input RM sheet'!$A:$DD,CC1,0)</f>
        <v>1430</v>
      </c>
      <c r="CE8" s="74">
        <f>VLOOKUP($H$8&amp;$F$1,'Input RM sheet'!$A:$DD,CD1,0)</f>
        <v>1416</v>
      </c>
      <c r="CF8" s="74">
        <f>VLOOKUP($H$8&amp;$F$1,'Input RM sheet'!$A:$DD,CE1,0)</f>
        <v>1416</v>
      </c>
      <c r="CG8" s="74">
        <f>VLOOKUP($H$8&amp;$F$1,'Input RM sheet'!$A:$DD,CF1,0)</f>
        <v>1416</v>
      </c>
      <c r="CH8" s="74">
        <f>VLOOKUP($H$8&amp;$F$1,'Input RM sheet'!$A:$DD,CG1,0)</f>
        <v>1452</v>
      </c>
      <c r="CI8" s="74">
        <f>VLOOKUP($H$8&amp;$F$1,'Input RM sheet'!$A:$DD,CH1,0)</f>
        <v>1452</v>
      </c>
      <c r="CJ8" s="74">
        <f>VLOOKUP($H$8&amp;$F$1,'Input RM sheet'!$A:$DD,CI1,0)</f>
        <v>1452</v>
      </c>
      <c r="CK8" s="74">
        <f>VLOOKUP($H$8&amp;$F$1,'Input RM sheet'!$A:$DD,CJ1,0)</f>
        <v>1452</v>
      </c>
      <c r="CL8" s="74">
        <f>VLOOKUP($H$8&amp;$F$1,'Input RM sheet'!$A:$DD,CK1,0)</f>
        <v>1457</v>
      </c>
      <c r="CM8" s="74">
        <f>VLOOKUP($H$8&amp;$F$1,'Input RM sheet'!$A:$DD,CL1,0)</f>
        <v>1457</v>
      </c>
      <c r="CN8" s="74">
        <f>VLOOKUP($H$8&amp;$F$1,'Input RM sheet'!$A:$DD,CM1,0)</f>
        <v>1465</v>
      </c>
      <c r="CO8" s="74">
        <f>VLOOKUP($H$8&amp;$F$1,'Input RM sheet'!$A:$DD,CN1,0)</f>
        <v>1465</v>
      </c>
      <c r="CP8" s="74">
        <f>VLOOKUP($H$8&amp;$F$1,'Input RM sheet'!$A:$DD,CO1,0)</f>
        <v>1465</v>
      </c>
      <c r="CQ8" s="74">
        <f>VLOOKUP($H$8&amp;$F$1,'Input RM sheet'!$A:$DD,CP1,0)</f>
        <v>1465</v>
      </c>
      <c r="CR8" s="74">
        <f>VLOOKUP($H$8&amp;$F$1,'Input RM sheet'!$A:$DD,CQ1,0)</f>
        <v>1470</v>
      </c>
      <c r="CS8" s="74">
        <f>VLOOKUP($H$8&amp;$F$1,'Input RM sheet'!$A:$DD,CR1,0)</f>
        <v>1470</v>
      </c>
      <c r="CT8" s="74">
        <f>VLOOKUP($H$8&amp;$F$1,'Input RM sheet'!$A:$DD,CS1,0)</f>
        <v>1470</v>
      </c>
      <c r="CU8" s="74">
        <f>VLOOKUP($H$8&amp;$F$1,'Input RM sheet'!$A:$DD,CT1,0)</f>
        <v>1438</v>
      </c>
      <c r="CV8" s="74">
        <f>VLOOKUP($H$8&amp;$F$1,'Input RM sheet'!$A:$DD,CU1,0)</f>
        <v>1438</v>
      </c>
      <c r="CW8" s="74">
        <f>VLOOKUP($H$8&amp;$F$1,'Input RM sheet'!$A:$DD,CV1,0)</f>
        <v>1438</v>
      </c>
      <c r="CX8" s="74">
        <f>VLOOKUP($H$8&amp;$F$1,'Input RM sheet'!$A:$ZZ,CW1,0)</f>
        <v>1438</v>
      </c>
      <c r="CY8" s="74">
        <f>VLOOKUP($H$8&amp;$F$1,'Input RM sheet'!$A:$ZZ,CX1,0)</f>
        <v>1450</v>
      </c>
      <c r="CZ8" s="74">
        <f>VLOOKUP($H$8&amp;$F$1,'Input RM sheet'!$A:$ZZ,CY1,0)</f>
        <v>1450</v>
      </c>
      <c r="DA8" s="74">
        <f>VLOOKUP($H$8&amp;$F$1,'Input RM sheet'!$A:$ZZ,CZ1,0)</f>
        <v>1450</v>
      </c>
      <c r="DB8" s="74">
        <f>VLOOKUP($H$8&amp;$F$1,'Input RM sheet'!$A:$ZZ,DA1,0)</f>
        <v>1450</v>
      </c>
      <c r="DC8" s="74">
        <f>VLOOKUP($H$8&amp;$F$1,'Input RM sheet'!$A:$ZZ,DB1,0)</f>
        <v>1450</v>
      </c>
      <c r="DD8" s="74">
        <f>VLOOKUP($H$8&amp;$F$1,'Input RM sheet'!$A:$ZZ,DC1,0)</f>
        <v>1489</v>
      </c>
      <c r="DE8" s="74">
        <f>VLOOKUP($H$8&amp;$F$1,'Input RM sheet'!$A:$ZZ,DD1,0)</f>
        <v>1489</v>
      </c>
      <c r="DF8" s="74">
        <f>VLOOKUP($H$8&amp;$F$1,'Input RM sheet'!$A:$ZZ,DE1,0)</f>
        <v>1489</v>
      </c>
      <c r="DG8" s="74">
        <f>VLOOKUP($H$8&amp;$F$1,'Input RM sheet'!$A:$ZZ,DF1,0)</f>
        <v>1489</v>
      </c>
      <c r="DH8" s="74">
        <f>VLOOKUP($H$8&amp;$F$1,'Input RM sheet'!$A:$ZZ,DG1,0)</f>
        <v>1480</v>
      </c>
      <c r="DI8" s="74">
        <f>VLOOKUP($H$8&amp;$F$1,'Input RM sheet'!$A:$ZZ,DH1,0)</f>
        <v>1480</v>
      </c>
      <c r="DJ8" s="74">
        <f>VLOOKUP($H$8&amp;$F$1,'Input RM sheet'!$A:$ZZ,DI1,0)</f>
        <v>1480</v>
      </c>
      <c r="DK8" s="74">
        <f>VLOOKUP($H$8&amp;$F$1,'Input RM sheet'!$A:$ZZ,DJ1,0)</f>
        <v>1480</v>
      </c>
      <c r="DL8" s="74">
        <f>VLOOKUP($H$8&amp;$F$1,'Input RM sheet'!$A:$ZZ,DK1,0)</f>
        <v>1424</v>
      </c>
      <c r="DM8" s="74">
        <f>VLOOKUP($H$8&amp;$F$1,'Input RM sheet'!$A:$ZZ,DL1,0)</f>
        <v>1437</v>
      </c>
      <c r="DN8" s="74">
        <f>VLOOKUP($H$8&amp;$F$1,'Input RM sheet'!$A:$ZZ,DM1,0)</f>
        <v>1416</v>
      </c>
      <c r="DO8" s="74">
        <f>VLOOKUP($H$8&amp;$F$1,'Input RM sheet'!$A:$ZZ,DN1,0)</f>
        <v>1413</v>
      </c>
      <c r="DP8" s="74">
        <f>VLOOKUP($H$8&amp;$F$1,'Input RM sheet'!$A:$ZZ,DO1,0)</f>
        <v>1413</v>
      </c>
      <c r="DQ8" s="74">
        <f>VLOOKUP($H$8&amp;$F$1,'Input RM sheet'!$A:$ZZ,DP1,0)</f>
        <v>1413</v>
      </c>
      <c r="DR8" s="74">
        <f>VLOOKUP($H$8&amp;$F$1,'Input RM sheet'!$A:$ZZ,DQ1,0)</f>
        <v>1413</v>
      </c>
      <c r="DS8" s="74">
        <f>VLOOKUP($H$8&amp;$F$1,'Input RM sheet'!$A:$ZZ,DR1,0)</f>
        <v>1395</v>
      </c>
      <c r="DT8" s="74">
        <f>VLOOKUP($H$8&amp;$F$1,'Input RM sheet'!$A:$ZZ,DS1,0)</f>
        <v>0</v>
      </c>
      <c r="DU8" s="74">
        <f>VLOOKUP($H$8&amp;$F$1,'Input RM sheet'!$A:$ZZ,DT1,0)</f>
        <v>0</v>
      </c>
      <c r="DV8" s="74">
        <f>VLOOKUP($H$8&amp;$F$1,'Input RM sheet'!$A:$ZZ,DU1,0)</f>
        <v>0</v>
      </c>
      <c r="DW8" s="74">
        <f>VLOOKUP($H$8&amp;$F$1,'Input RM sheet'!$A:$ZZ,DV1,0)</f>
        <v>0</v>
      </c>
      <c r="DX8" s="74">
        <f>VLOOKUP($H$8&amp;$F$1,'Input RM sheet'!$A:$ZZ,DW1,0)</f>
        <v>0</v>
      </c>
      <c r="DY8" s="74">
        <f>VLOOKUP($H$8&amp;$F$1,'Input RM sheet'!$A:$ZZ,DX1,0)</f>
        <v>0</v>
      </c>
      <c r="DZ8" s="74">
        <f>VLOOKUP($H$8&amp;$F$1,'Input RM sheet'!$A:$ZZ,DY1,0)</f>
        <v>0</v>
      </c>
      <c r="EA8" s="74">
        <f>VLOOKUP($H$8&amp;$F$1,'Input RM sheet'!$A:$ZZ,DZ1,0)</f>
        <v>0</v>
      </c>
      <c r="EB8" s="74">
        <f>VLOOKUP($H$8&amp;$F$1,'Input RM sheet'!$A:$ZZ,EA1,0)</f>
        <v>0</v>
      </c>
      <c r="EC8" s="74">
        <f>VLOOKUP($H$8&amp;$F$1,'Input RM sheet'!$A:$ZZ,EB1,0)</f>
        <v>0</v>
      </c>
      <c r="ED8" s="74">
        <f>VLOOKUP($H$8&amp;$F$1,'Input RM sheet'!$A:$ZZ,EC1,0)</f>
        <v>0</v>
      </c>
    </row>
    <row r="9" spans="1:166" ht="13">
      <c r="A9" s="59" t="s">
        <v>395</v>
      </c>
      <c r="B9" s="59"/>
      <c r="C9" s="59" t="s">
        <v>379</v>
      </c>
      <c r="D9" s="98" t="s">
        <v>380</v>
      </c>
      <c r="E9" s="98" t="s">
        <v>381</v>
      </c>
      <c r="F9" s="59" t="s">
        <v>396</v>
      </c>
      <c r="H9" s="60" t="s">
        <v>399</v>
      </c>
      <c r="I9" s="84"/>
      <c r="J9" s="84"/>
      <c r="K9" s="84"/>
      <c r="L9" s="84"/>
      <c r="M9" s="84"/>
      <c r="N9" s="84"/>
      <c r="O9" s="84"/>
      <c r="P9" s="84"/>
      <c r="Q9" s="84"/>
      <c r="R9" s="84"/>
      <c r="S9" s="84"/>
      <c r="T9" s="84"/>
      <c r="U9" s="84"/>
      <c r="V9" s="84"/>
      <c r="W9" s="84"/>
      <c r="X9" s="84"/>
      <c r="Y9" s="84"/>
      <c r="Z9" s="84"/>
      <c r="AA9" s="84"/>
      <c r="AB9" s="84"/>
      <c r="AC9" s="84"/>
      <c r="AD9" s="84"/>
      <c r="AE9" s="84"/>
      <c r="AF9" s="84"/>
      <c r="AG9" s="84"/>
      <c r="AH9" s="84"/>
      <c r="AI9" s="84"/>
      <c r="AJ9" s="84"/>
      <c r="AK9" s="84"/>
      <c r="AL9" s="84"/>
      <c r="AM9" s="84"/>
      <c r="AN9" s="84"/>
      <c r="AO9" s="84"/>
      <c r="AP9" s="84"/>
      <c r="AQ9" s="84"/>
      <c r="AR9" s="84"/>
      <c r="AS9" s="84"/>
      <c r="AT9" s="84"/>
      <c r="AU9" s="84"/>
    </row>
    <row r="10" spans="1:166" ht="13">
      <c r="A10" s="107" t="s">
        <v>397</v>
      </c>
      <c r="B10" s="178" t="s">
        <v>78</v>
      </c>
      <c r="C10" s="60">
        <v>1</v>
      </c>
      <c r="D10" s="65">
        <v>74.12</v>
      </c>
      <c r="E10" s="60">
        <f>D10*C10</f>
        <v>74.12</v>
      </c>
      <c r="F10" s="65">
        <f>E10/E2</f>
        <v>0.62720966166895997</v>
      </c>
      <c r="I10" s="74">
        <f>$F$10*(I7/1000)</f>
        <v>0.4337154810440858</v>
      </c>
      <c r="J10" s="74">
        <f t="shared" ref="J10:BU10" si="0">$F$10*(J7/1000)</f>
        <v>0.41787843708694461</v>
      </c>
      <c r="K10" s="74">
        <f t="shared" si="0"/>
        <v>0.40768628008482399</v>
      </c>
      <c r="L10" s="74">
        <f t="shared" si="0"/>
        <v>0.37820742598638285</v>
      </c>
      <c r="M10" s="74">
        <f t="shared" si="0"/>
        <v>0.37789382115554843</v>
      </c>
      <c r="N10" s="74">
        <f t="shared" si="0"/>
        <v>0.38416591777223802</v>
      </c>
      <c r="O10" s="74">
        <f t="shared" si="0"/>
        <v>0.39326045786643793</v>
      </c>
      <c r="P10" s="74">
        <f t="shared" si="0"/>
        <v>0.38730196608058282</v>
      </c>
      <c r="Q10" s="74">
        <f t="shared" si="0"/>
        <v>0.40063017139104823</v>
      </c>
      <c r="R10" s="74">
        <f t="shared" si="0"/>
        <v>0.43653792452159612</v>
      </c>
      <c r="S10" s="74">
        <f t="shared" si="0"/>
        <v>0.58565702158339139</v>
      </c>
      <c r="T10" s="74">
        <f t="shared" si="0"/>
        <v>0.6766024225253906</v>
      </c>
      <c r="U10" s="74">
        <f t="shared" si="0"/>
        <v>0.7769559683924242</v>
      </c>
      <c r="V10" s="74">
        <f t="shared" si="0"/>
        <v>0.85927723648647525</v>
      </c>
      <c r="W10" s="74">
        <f t="shared" si="0"/>
        <v>1.1681779948584379</v>
      </c>
      <c r="X10" s="74">
        <f t="shared" si="0"/>
        <v>1.0380319900621289</v>
      </c>
      <c r="Y10" s="74">
        <f t="shared" si="0"/>
        <v>1.1250573306186968</v>
      </c>
      <c r="Z10" s="74">
        <f t="shared" si="0"/>
        <v>1.156417813702145</v>
      </c>
      <c r="AA10" s="74">
        <f t="shared" si="0"/>
        <v>1.1791541639376446</v>
      </c>
      <c r="AB10" s="74">
        <f t="shared" si="0"/>
        <v>1.223058840254472</v>
      </c>
      <c r="AC10" s="74">
        <f t="shared" si="0"/>
        <v>1.2167867436377824</v>
      </c>
      <c r="AD10" s="74">
        <f t="shared" si="0"/>
        <v>1.0976169079206799</v>
      </c>
      <c r="AE10" s="74">
        <f t="shared" si="0"/>
        <v>1.042736062524646</v>
      </c>
      <c r="AF10" s="74">
        <f t="shared" si="0"/>
        <v>0.86006124856356136</v>
      </c>
      <c r="AG10" s="74">
        <f t="shared" si="0"/>
        <v>0.79969231862792389</v>
      </c>
      <c r="AH10" s="74">
        <f t="shared" si="0"/>
        <v>0.854573164023958</v>
      </c>
      <c r="AI10" s="74">
        <f t="shared" si="0"/>
        <v>0.92199820265337118</v>
      </c>
      <c r="AJ10" s="74">
        <f t="shared" si="0"/>
        <v>0.91729413019085393</v>
      </c>
      <c r="AK10" s="74">
        <f t="shared" si="0"/>
        <v>0.93297437173257802</v>
      </c>
      <c r="AL10" s="74">
        <f t="shared" si="0"/>
        <v>0.88938330024658518</v>
      </c>
      <c r="AM10" s="74">
        <f t="shared" si="0"/>
        <v>0.70169080899214886</v>
      </c>
      <c r="AN10" s="74">
        <f t="shared" si="0"/>
        <v>0.60368929935637394</v>
      </c>
      <c r="AO10" s="74">
        <f t="shared" si="0"/>
        <v>0.58581382399880866</v>
      </c>
      <c r="AP10" s="74">
        <f t="shared" si="0"/>
        <v>0.5958491785855119</v>
      </c>
      <c r="AQ10" s="74">
        <f t="shared" si="0"/>
        <v>0.5958491785855119</v>
      </c>
      <c r="AR10" s="74">
        <f t="shared" si="0"/>
        <v>0.58644103366047762</v>
      </c>
      <c r="AS10" s="74">
        <f t="shared" si="0"/>
        <v>0.61152942012723599</v>
      </c>
      <c r="AT10" s="74">
        <f t="shared" si="0"/>
        <v>0.63034570997730466</v>
      </c>
      <c r="AU10" s="74">
        <f t="shared" si="0"/>
        <v>0.61152942012723599</v>
      </c>
      <c r="AV10" s="74">
        <f t="shared" si="0"/>
        <v>0.61466546843558079</v>
      </c>
      <c r="AW10" s="74">
        <f t="shared" si="0"/>
        <v>0.61152942012723599</v>
      </c>
      <c r="AX10" s="74">
        <f t="shared" si="0"/>
        <v>0.56448869550206404</v>
      </c>
      <c r="AY10" s="74">
        <f t="shared" si="0"/>
        <v>0.55194450226868474</v>
      </c>
      <c r="AZ10" s="74">
        <f t="shared" si="0"/>
        <v>0.54567240565199515</v>
      </c>
      <c r="BA10" s="74">
        <f t="shared" si="0"/>
        <v>0.54567240565199515</v>
      </c>
      <c r="BB10" s="74">
        <f t="shared" si="0"/>
        <v>0.54567240565199515</v>
      </c>
      <c r="BC10" s="74">
        <f t="shared" si="0"/>
        <v>0.55821659888537434</v>
      </c>
      <c r="BD10" s="74">
        <f t="shared" si="0"/>
        <v>0.56448869550206404</v>
      </c>
      <c r="BE10" s="74">
        <f t="shared" si="0"/>
        <v>0.56448869550206404</v>
      </c>
      <c r="BF10" s="74">
        <f t="shared" si="0"/>
        <v>0.56448869550206404</v>
      </c>
      <c r="BG10" s="74">
        <f t="shared" si="0"/>
        <v>0.65857014475240805</v>
      </c>
      <c r="BH10" s="74">
        <f t="shared" si="0"/>
        <v>0.65857014475240805</v>
      </c>
      <c r="BI10" s="74">
        <f t="shared" si="0"/>
        <v>0.65857014475240805</v>
      </c>
      <c r="BJ10" s="74">
        <f t="shared" si="0"/>
        <v>0.65857014475240805</v>
      </c>
      <c r="BK10" s="74">
        <f t="shared" si="0"/>
        <v>0.65857014475240805</v>
      </c>
      <c r="BL10" s="74">
        <f t="shared" si="0"/>
        <v>0.67425038629413192</v>
      </c>
      <c r="BM10" s="74">
        <f t="shared" si="0"/>
        <v>0.65857014475240805</v>
      </c>
      <c r="BN10" s="74">
        <f t="shared" si="0"/>
        <v>0.62720966166895997</v>
      </c>
      <c r="BO10" s="74">
        <f t="shared" si="0"/>
        <v>0.61152942012723599</v>
      </c>
      <c r="BP10" s="74">
        <f t="shared" si="0"/>
        <v>0.61152942012723599</v>
      </c>
      <c r="BQ10" s="74">
        <f t="shared" si="0"/>
        <v>0.61152942012723599</v>
      </c>
      <c r="BR10" s="74">
        <f t="shared" si="0"/>
        <v>0.61152942012723599</v>
      </c>
      <c r="BS10" s="74">
        <f t="shared" si="0"/>
        <v>0.61152942012723599</v>
      </c>
      <c r="BT10" s="74">
        <f t="shared" si="0"/>
        <v>0.61152942012723599</v>
      </c>
      <c r="BU10" s="74">
        <f t="shared" si="0"/>
        <v>0.62720966166895997</v>
      </c>
      <c r="BV10" s="74">
        <f t="shared" ref="BV10:CA10" si="1">$F$10*(BV7/1000)</f>
        <v>0.62720966166895997</v>
      </c>
      <c r="BW10" s="74">
        <f t="shared" si="1"/>
        <v>0.66797828967744233</v>
      </c>
      <c r="BX10" s="74">
        <f t="shared" si="1"/>
        <v>0.68052248291082151</v>
      </c>
      <c r="BY10" s="74">
        <f t="shared" si="1"/>
        <v>0.68052248291082151</v>
      </c>
      <c r="BZ10" s="74">
        <f t="shared" si="1"/>
        <v>0.68052248291082151</v>
      </c>
      <c r="CA10" s="74">
        <f t="shared" si="1"/>
        <v>0.68052248291082151</v>
      </c>
      <c r="CB10" s="74">
        <f t="shared" ref="CB10:CH10" si="2">$F$10*(CB7/1000)</f>
        <v>0.68052248291082151</v>
      </c>
      <c r="CC10" s="74">
        <f t="shared" si="2"/>
        <v>0.68052248291082151</v>
      </c>
      <c r="CD10" s="74">
        <f t="shared" si="2"/>
        <v>0.67895445875664917</v>
      </c>
      <c r="CE10" s="74">
        <f t="shared" si="2"/>
        <v>0.67895445875664917</v>
      </c>
      <c r="CF10" s="74">
        <f t="shared" si="2"/>
        <v>0.67425038629413192</v>
      </c>
      <c r="CG10" s="74">
        <f t="shared" si="2"/>
        <v>0.64602595151902875</v>
      </c>
      <c r="CH10" s="74">
        <f t="shared" si="2"/>
        <v>0.64602595151902875</v>
      </c>
      <c r="CI10" s="74">
        <f>$F$10*(CI7/1000)</f>
        <v>0.65668851576740106</v>
      </c>
      <c r="CJ10" s="74">
        <f>$F$10*(CJ7/1000)</f>
        <v>0.65668851576740106</v>
      </c>
      <c r="CK10" s="74">
        <f>$F$10*(CK7/1000)</f>
        <v>0.65668851576740106</v>
      </c>
      <c r="CL10" s="74">
        <f t="shared" ref="CL10:CX10" si="3">$F$10*(CL7/1000)</f>
        <v>0.65543409644406314</v>
      </c>
      <c r="CM10" s="74">
        <f t="shared" si="3"/>
        <v>0.65229804813571834</v>
      </c>
      <c r="CN10" s="74">
        <f t="shared" si="3"/>
        <v>0.66923270900078025</v>
      </c>
      <c r="CO10" s="74">
        <f t="shared" si="3"/>
        <v>0.66923270900078025</v>
      </c>
      <c r="CP10" s="74">
        <f t="shared" si="3"/>
        <v>0.66923270900078025</v>
      </c>
      <c r="CQ10" s="74">
        <f t="shared" si="3"/>
        <v>0.66923270900078025</v>
      </c>
      <c r="CR10" s="74">
        <f t="shared" si="3"/>
        <v>0.66923270900078025</v>
      </c>
      <c r="CS10" s="74">
        <f t="shared" si="3"/>
        <v>0.67425038629413192</v>
      </c>
      <c r="CT10" s="74">
        <f t="shared" si="3"/>
        <v>0.67425038629413192</v>
      </c>
      <c r="CU10" s="74">
        <f t="shared" si="3"/>
        <v>0.67425038629413192</v>
      </c>
      <c r="CV10" s="74">
        <f t="shared" si="3"/>
        <v>0.67425038629413192</v>
      </c>
      <c r="CW10" s="74">
        <f t="shared" si="3"/>
        <v>0.67425038629413192</v>
      </c>
      <c r="CX10" s="74">
        <f t="shared" si="3"/>
        <v>0.65543409644406314</v>
      </c>
      <c r="CY10" s="74">
        <f t="shared" ref="CY10:DG10" si="4">$F$10*(CY7/1000)</f>
        <v>0.64288990321068396</v>
      </c>
      <c r="CZ10" s="74">
        <f t="shared" si="4"/>
        <v>0.64288990321068396</v>
      </c>
      <c r="DA10" s="74">
        <f t="shared" si="4"/>
        <v>0.64288990321068396</v>
      </c>
      <c r="DB10" s="74">
        <f t="shared" si="4"/>
        <v>0.64288990321068396</v>
      </c>
      <c r="DC10" s="74">
        <f t="shared" si="4"/>
        <v>0.62093756505227038</v>
      </c>
      <c r="DD10" s="74">
        <f t="shared" si="4"/>
        <v>0.5895770819688223</v>
      </c>
      <c r="DE10" s="74">
        <f t="shared" si="4"/>
        <v>0.5895770819688223</v>
      </c>
      <c r="DF10" s="74">
        <f t="shared" si="4"/>
        <v>0.5895770819688223</v>
      </c>
      <c r="DG10" s="74">
        <f t="shared" si="4"/>
        <v>0.5895770819688223</v>
      </c>
      <c r="DH10" s="74">
        <f t="shared" ref="DH10:ED10" si="5">$F$10*(DH7/1000)</f>
        <v>0.5895770819688223</v>
      </c>
      <c r="DI10" s="74">
        <f t="shared" si="5"/>
        <v>0.56448869550206404</v>
      </c>
      <c r="DJ10" s="74">
        <f t="shared" si="5"/>
        <v>0.57076079211875363</v>
      </c>
      <c r="DK10" s="74">
        <f t="shared" si="5"/>
        <v>0.57076079211875363</v>
      </c>
      <c r="DL10" s="74">
        <f t="shared" si="5"/>
        <v>0.56762474381040884</v>
      </c>
      <c r="DM10" s="74">
        <f t="shared" si="5"/>
        <v>0.56762474381040884</v>
      </c>
      <c r="DN10" s="74">
        <f t="shared" si="5"/>
        <v>0.54253635734365036</v>
      </c>
      <c r="DO10" s="74">
        <f t="shared" si="5"/>
        <v>0.54253635734365036</v>
      </c>
      <c r="DP10" s="74">
        <f t="shared" si="5"/>
        <v>0.54253635734365036</v>
      </c>
      <c r="DQ10" s="74">
        <f t="shared" si="5"/>
        <v>0.54567240565199515</v>
      </c>
      <c r="DR10" s="74">
        <f t="shared" si="5"/>
        <v>0.53626426072696076</v>
      </c>
      <c r="DS10" s="74">
        <f t="shared" si="5"/>
        <v>0.53312821241861597</v>
      </c>
      <c r="DT10" s="74">
        <f t="shared" si="5"/>
        <v>0</v>
      </c>
      <c r="DU10" s="74">
        <f t="shared" si="5"/>
        <v>0</v>
      </c>
      <c r="DV10" s="74">
        <f t="shared" si="5"/>
        <v>0</v>
      </c>
      <c r="DW10" s="74">
        <f t="shared" si="5"/>
        <v>0</v>
      </c>
      <c r="DX10" s="74">
        <f t="shared" si="5"/>
        <v>0</v>
      </c>
      <c r="DY10" s="74">
        <f t="shared" si="5"/>
        <v>0</v>
      </c>
      <c r="DZ10" s="74">
        <f t="shared" si="5"/>
        <v>0</v>
      </c>
      <c r="EA10" s="74">
        <f t="shared" si="5"/>
        <v>0</v>
      </c>
      <c r="EB10" s="74">
        <f t="shared" si="5"/>
        <v>0</v>
      </c>
      <c r="EC10" s="74">
        <f t="shared" si="5"/>
        <v>0</v>
      </c>
      <c r="ED10" s="74">
        <f t="shared" si="5"/>
        <v>0</v>
      </c>
    </row>
    <row r="11" spans="1:166" ht="16" customHeight="1">
      <c r="A11" s="67"/>
      <c r="B11" s="178" t="s">
        <v>548</v>
      </c>
      <c r="C11" s="60">
        <v>1</v>
      </c>
      <c r="D11" s="60">
        <v>44.05</v>
      </c>
      <c r="E11" s="60">
        <f>D11*C11</f>
        <v>44.05</v>
      </c>
      <c r="F11" s="65">
        <f>E11/E2</f>
        <v>0.37275479757849006</v>
      </c>
      <c r="H11" s="60" t="s">
        <v>718</v>
      </c>
      <c r="I11" s="74">
        <f>$F$11*(I8/1000)</f>
        <v>0.49091806841087138</v>
      </c>
      <c r="J11" s="74">
        <f t="shared" ref="J11:BK11" si="6">$F$11*(J8/1000)</f>
        <v>0.48271746286414458</v>
      </c>
      <c r="K11" s="74">
        <f t="shared" si="6"/>
        <v>0.47302583812710386</v>
      </c>
      <c r="L11" s="74">
        <f t="shared" si="6"/>
        <v>0.39959314300414139</v>
      </c>
      <c r="M11" s="74">
        <f t="shared" si="6"/>
        <v>0.36909061791829351</v>
      </c>
      <c r="N11" s="74">
        <f t="shared" si="6"/>
        <v>0.40033865259929835</v>
      </c>
      <c r="O11" s="74">
        <f t="shared" si="6"/>
        <v>0.43612311316683333</v>
      </c>
      <c r="P11" s="74">
        <f t="shared" si="6"/>
        <v>0.4577428914263858</v>
      </c>
      <c r="Q11" s="74">
        <f t="shared" si="6"/>
        <v>0.45587911743849335</v>
      </c>
      <c r="R11" s="74">
        <f t="shared" si="6"/>
        <v>0.45177881466512992</v>
      </c>
      <c r="S11" s="74">
        <f t="shared" si="6"/>
        <v>0.45476085304575786</v>
      </c>
      <c r="T11" s="74">
        <f t="shared" si="6"/>
        <v>0.47451685731741783</v>
      </c>
      <c r="U11" s="74">
        <f t="shared" si="6"/>
        <v>0.48905429442297899</v>
      </c>
      <c r="V11" s="74">
        <f t="shared" si="6"/>
        <v>0.51104682748010988</v>
      </c>
      <c r="W11" s="74">
        <f t="shared" si="6"/>
        <v>0.52968456735903435</v>
      </c>
      <c r="X11" s="74">
        <f t="shared" si="6"/>
        <v>0.54645853325006644</v>
      </c>
      <c r="Y11" s="74">
        <f t="shared" si="6"/>
        <v>0.55689566758226416</v>
      </c>
      <c r="Z11" s="74">
        <f t="shared" si="6"/>
        <v>0.56248698954594145</v>
      </c>
      <c r="AA11" s="74">
        <f t="shared" si="6"/>
        <v>0.5669600471168833</v>
      </c>
      <c r="AB11" s="74">
        <f t="shared" si="6"/>
        <v>0.58261574861517995</v>
      </c>
      <c r="AC11" s="74">
        <f t="shared" si="6"/>
        <v>0.5800064650321306</v>
      </c>
      <c r="AD11" s="74">
        <f t="shared" si="6"/>
        <v>0.5800064650321306</v>
      </c>
      <c r="AE11" s="74">
        <f t="shared" si="6"/>
        <v>0.60199899808926149</v>
      </c>
      <c r="AF11" s="74">
        <f t="shared" si="6"/>
        <v>0.59342563774495616</v>
      </c>
      <c r="AG11" s="74">
        <f t="shared" si="6"/>
        <v>0.59417114734011323</v>
      </c>
      <c r="AH11" s="74">
        <f t="shared" si="6"/>
        <v>0.61802745438513651</v>
      </c>
      <c r="AI11" s="74">
        <f t="shared" si="6"/>
        <v>0.6310738723003837</v>
      </c>
      <c r="AJ11" s="74">
        <f t="shared" si="6"/>
        <v>0.71419819216038694</v>
      </c>
      <c r="AK11" s="74">
        <f t="shared" si="6"/>
        <v>0.6765499576049594</v>
      </c>
      <c r="AL11" s="74">
        <f t="shared" si="6"/>
        <v>0.67580444800980244</v>
      </c>
      <c r="AM11" s="74">
        <f t="shared" si="6"/>
        <v>0.6217550023609214</v>
      </c>
      <c r="AN11" s="74">
        <f t="shared" si="6"/>
        <v>0.59603492132800562</v>
      </c>
      <c r="AO11" s="74">
        <f t="shared" si="6"/>
        <v>0.54869506203553731</v>
      </c>
      <c r="AP11" s="74">
        <f t="shared" si="6"/>
        <v>0.53043007695419142</v>
      </c>
      <c r="AQ11" s="74">
        <f t="shared" si="6"/>
        <v>0.56174147995078449</v>
      </c>
      <c r="AR11" s="74">
        <f t="shared" si="6"/>
        <v>0.57478789786603168</v>
      </c>
      <c r="AS11" s="74">
        <f t="shared" si="6"/>
        <v>0.55465913879679318</v>
      </c>
      <c r="AT11" s="74">
        <f t="shared" si="6"/>
        <v>0.57739718144908103</v>
      </c>
      <c r="AU11" s="74">
        <f t="shared" si="6"/>
        <v>0.58671605138854332</v>
      </c>
      <c r="AV11" s="74">
        <f t="shared" si="6"/>
        <v>0.58187023902002299</v>
      </c>
      <c r="AW11" s="74">
        <f t="shared" si="6"/>
        <v>0.57292412387813918</v>
      </c>
      <c r="AX11" s="74">
        <f t="shared" si="6"/>
        <v>0.54422200446459545</v>
      </c>
      <c r="AY11" s="74">
        <f t="shared" si="6"/>
        <v>0.54422200446459545</v>
      </c>
      <c r="AZ11" s="74">
        <f t="shared" si="6"/>
        <v>0.54422200446459545</v>
      </c>
      <c r="BA11" s="74">
        <f t="shared" si="6"/>
        <v>0.54422200446459545</v>
      </c>
      <c r="BB11" s="74">
        <f t="shared" si="6"/>
        <v>0.53415762492997632</v>
      </c>
      <c r="BC11" s="74">
        <f t="shared" si="6"/>
        <v>0.53415762492997632</v>
      </c>
      <c r="BD11" s="74">
        <f t="shared" si="6"/>
        <v>0.53415762492997632</v>
      </c>
      <c r="BE11" s="74">
        <f t="shared" si="6"/>
        <v>0.53415762492997632</v>
      </c>
      <c r="BF11" s="74">
        <f t="shared" si="6"/>
        <v>0.53415762492997632</v>
      </c>
      <c r="BG11" s="74">
        <f t="shared" si="6"/>
        <v>0.52707528377598489</v>
      </c>
      <c r="BH11" s="74">
        <f t="shared" si="6"/>
        <v>0.52707528377598489</v>
      </c>
      <c r="BI11" s="74">
        <f t="shared" si="6"/>
        <v>0.54012170169123208</v>
      </c>
      <c r="BJ11" s="74">
        <f t="shared" si="6"/>
        <v>0.54012170169123208</v>
      </c>
      <c r="BK11" s="74">
        <f t="shared" si="6"/>
        <v>0.54012170169123208</v>
      </c>
      <c r="BL11" s="74">
        <f t="shared" ref="BL11:BU11" si="7">$F$11*(BL8/1000)</f>
        <v>0.54012170169123208</v>
      </c>
      <c r="BM11" s="74">
        <f t="shared" si="7"/>
        <v>0.54012170169123208</v>
      </c>
      <c r="BN11" s="74">
        <f t="shared" si="7"/>
        <v>0.55465913879679318</v>
      </c>
      <c r="BO11" s="74">
        <f t="shared" si="7"/>
        <v>0.55465913879679318</v>
      </c>
      <c r="BP11" s="74">
        <f t="shared" si="7"/>
        <v>0.55465913879679318</v>
      </c>
      <c r="BQ11" s="74">
        <f t="shared" si="7"/>
        <v>0.55465913879679318</v>
      </c>
      <c r="BR11" s="74">
        <f t="shared" si="7"/>
        <v>0.55465913879679318</v>
      </c>
      <c r="BS11" s="74">
        <f t="shared" si="7"/>
        <v>0.54794955244038035</v>
      </c>
      <c r="BT11" s="74">
        <f t="shared" si="7"/>
        <v>0.545340268857331</v>
      </c>
      <c r="BU11" s="74">
        <f t="shared" si="7"/>
        <v>0.54645853325006644</v>
      </c>
      <c r="BV11" s="74">
        <f t="shared" ref="BV11:CA11" si="8">$F$11*(BV8/1000)</f>
        <v>0.54869506203553731</v>
      </c>
      <c r="BW11" s="74">
        <f t="shared" si="8"/>
        <v>0.54869506203553731</v>
      </c>
      <c r="BX11" s="74">
        <f t="shared" si="8"/>
        <v>0.54869506203553731</v>
      </c>
      <c r="BY11" s="74">
        <f t="shared" si="8"/>
        <v>0.54869506203553731</v>
      </c>
      <c r="BZ11" s="74">
        <f t="shared" si="8"/>
        <v>0.53303936053724077</v>
      </c>
      <c r="CA11" s="74">
        <f t="shared" si="8"/>
        <v>0.53303936053724077</v>
      </c>
      <c r="CB11" s="74">
        <f t="shared" ref="CB11:CH11" si="9">$F$11*(CB8/1000)</f>
        <v>0.53303936053724077</v>
      </c>
      <c r="CC11" s="74">
        <f t="shared" si="9"/>
        <v>0.53303936053724077</v>
      </c>
      <c r="CD11" s="74">
        <f t="shared" si="9"/>
        <v>0.53303936053724077</v>
      </c>
      <c r="CE11" s="74">
        <f t="shared" si="9"/>
        <v>0.52782079337114185</v>
      </c>
      <c r="CF11" s="74">
        <f t="shared" si="9"/>
        <v>0.52782079337114185</v>
      </c>
      <c r="CG11" s="74">
        <f t="shared" si="9"/>
        <v>0.52782079337114185</v>
      </c>
      <c r="CH11" s="74">
        <f t="shared" si="9"/>
        <v>0.54123996608396752</v>
      </c>
      <c r="CI11" s="74">
        <f>$F$11*(CI8/1000)</f>
        <v>0.54123996608396752</v>
      </c>
      <c r="CJ11" s="74">
        <f>$F$11*(CJ8/1000)</f>
        <v>0.54123996608396752</v>
      </c>
      <c r="CK11" s="74">
        <f>$F$11*(CK8/1000)</f>
        <v>0.54123996608396752</v>
      </c>
      <c r="CL11" s="74">
        <f t="shared" ref="CL11:CX11" si="10">$F$11*(CL8/1000)</f>
        <v>0.54310374007186002</v>
      </c>
      <c r="CM11" s="74">
        <f t="shared" si="10"/>
        <v>0.54310374007186002</v>
      </c>
      <c r="CN11" s="74">
        <f t="shared" si="10"/>
        <v>0.54608577845248796</v>
      </c>
      <c r="CO11" s="74">
        <f t="shared" si="10"/>
        <v>0.54608577845248796</v>
      </c>
      <c r="CP11" s="74">
        <f t="shared" si="10"/>
        <v>0.54608577845248796</v>
      </c>
      <c r="CQ11" s="74">
        <f t="shared" si="10"/>
        <v>0.54608577845248796</v>
      </c>
      <c r="CR11" s="74">
        <f t="shared" si="10"/>
        <v>0.54794955244038035</v>
      </c>
      <c r="CS11" s="74">
        <f t="shared" si="10"/>
        <v>0.54794955244038035</v>
      </c>
      <c r="CT11" s="74">
        <f t="shared" si="10"/>
        <v>0.54794955244038035</v>
      </c>
      <c r="CU11" s="74">
        <f t="shared" si="10"/>
        <v>0.53602139891786871</v>
      </c>
      <c r="CV11" s="74">
        <f t="shared" si="10"/>
        <v>0.53602139891786871</v>
      </c>
      <c r="CW11" s="74">
        <f t="shared" si="10"/>
        <v>0.53602139891786871</v>
      </c>
      <c r="CX11" s="74">
        <f t="shared" si="10"/>
        <v>0.53602139891786871</v>
      </c>
      <c r="CY11" s="74">
        <f t="shared" ref="CY11:DG11" si="11">$F$11*(CY8/1000)</f>
        <v>0.54049445648881056</v>
      </c>
      <c r="CZ11" s="74">
        <f t="shared" si="11"/>
        <v>0.54049445648881056</v>
      </c>
      <c r="DA11" s="74">
        <f t="shared" si="11"/>
        <v>0.54049445648881056</v>
      </c>
      <c r="DB11" s="74">
        <f t="shared" si="11"/>
        <v>0.54049445648881056</v>
      </c>
      <c r="DC11" s="74">
        <f t="shared" si="11"/>
        <v>0.54049445648881056</v>
      </c>
      <c r="DD11" s="74">
        <f t="shared" si="11"/>
        <v>0.55503189359437177</v>
      </c>
      <c r="DE11" s="74">
        <f t="shared" si="11"/>
        <v>0.55503189359437177</v>
      </c>
      <c r="DF11" s="74">
        <f t="shared" si="11"/>
        <v>0.55503189359437177</v>
      </c>
      <c r="DG11" s="74">
        <f t="shared" si="11"/>
        <v>0.55503189359437177</v>
      </c>
      <c r="DH11" s="74">
        <f t="shared" ref="DH11:ED11" si="12">$F$11*(DH8/1000)</f>
        <v>0.55167710041616524</v>
      </c>
      <c r="DI11" s="74">
        <f t="shared" si="12"/>
        <v>0.55167710041616524</v>
      </c>
      <c r="DJ11" s="74">
        <f t="shared" si="12"/>
        <v>0.55167710041616524</v>
      </c>
      <c r="DK11" s="74">
        <f t="shared" si="12"/>
        <v>0.55167710041616524</v>
      </c>
      <c r="DL11" s="74">
        <f t="shared" si="12"/>
        <v>0.53080283175176979</v>
      </c>
      <c r="DM11" s="74">
        <f t="shared" si="12"/>
        <v>0.53564864412029023</v>
      </c>
      <c r="DN11" s="74">
        <f t="shared" si="12"/>
        <v>0.52782079337114185</v>
      </c>
      <c r="DO11" s="74">
        <f t="shared" si="12"/>
        <v>0.52670252897840641</v>
      </c>
      <c r="DP11" s="74">
        <f t="shared" si="12"/>
        <v>0.52670252897840641</v>
      </c>
      <c r="DQ11" s="74">
        <f t="shared" si="12"/>
        <v>0.52670252897840641</v>
      </c>
      <c r="DR11" s="74">
        <f t="shared" si="12"/>
        <v>0.52670252897840641</v>
      </c>
      <c r="DS11" s="74">
        <f t="shared" si="12"/>
        <v>0.51999294262199369</v>
      </c>
      <c r="DT11" s="74">
        <f t="shared" si="12"/>
        <v>0</v>
      </c>
      <c r="DU11" s="74">
        <f t="shared" si="12"/>
        <v>0</v>
      </c>
      <c r="DV11" s="74">
        <f t="shared" si="12"/>
        <v>0</v>
      </c>
      <c r="DW11" s="74">
        <f t="shared" si="12"/>
        <v>0</v>
      </c>
      <c r="DX11" s="74">
        <f t="shared" si="12"/>
        <v>0</v>
      </c>
      <c r="DY11" s="74">
        <f t="shared" si="12"/>
        <v>0</v>
      </c>
      <c r="DZ11" s="74">
        <f t="shared" si="12"/>
        <v>0</v>
      </c>
      <c r="EA11" s="74">
        <f t="shared" si="12"/>
        <v>0</v>
      </c>
      <c r="EB11" s="74">
        <f t="shared" si="12"/>
        <v>0</v>
      </c>
      <c r="EC11" s="74">
        <f t="shared" si="12"/>
        <v>0</v>
      </c>
      <c r="ED11" s="74">
        <f t="shared" si="12"/>
        <v>0</v>
      </c>
    </row>
    <row r="12" spans="1:166" s="104" customFormat="1">
      <c r="A12" s="104" t="s">
        <v>400</v>
      </c>
      <c r="H12" s="60"/>
      <c r="I12" s="105">
        <f>SUM(I10:I11)</f>
        <v>0.92463354945495713</v>
      </c>
      <c r="J12" s="105">
        <f t="shared" ref="J12:BT12" si="13">SUM(J10:J11)</f>
        <v>0.90059589995108924</v>
      </c>
      <c r="K12" s="105">
        <f t="shared" si="13"/>
        <v>0.88071211821192785</v>
      </c>
      <c r="L12" s="105">
        <f t="shared" si="13"/>
        <v>0.7778005689905243</v>
      </c>
      <c r="M12" s="105">
        <f t="shared" si="13"/>
        <v>0.74698443907384193</v>
      </c>
      <c r="N12" s="105">
        <f t="shared" si="13"/>
        <v>0.78450457037153631</v>
      </c>
      <c r="O12" s="105">
        <f t="shared" si="13"/>
        <v>0.82938357103327132</v>
      </c>
      <c r="P12" s="105">
        <f t="shared" si="13"/>
        <v>0.84504485750696867</v>
      </c>
      <c r="Q12" s="105">
        <f t="shared" si="13"/>
        <v>0.85650928882954158</v>
      </c>
      <c r="R12" s="105">
        <f t="shared" si="13"/>
        <v>0.88831673918672605</v>
      </c>
      <c r="S12" s="105">
        <f t="shared" si="13"/>
        <v>1.0404178746291493</v>
      </c>
      <c r="T12" s="105">
        <f t="shared" si="13"/>
        <v>1.1511192798428085</v>
      </c>
      <c r="U12" s="105">
        <f t="shared" si="13"/>
        <v>1.2660102628154033</v>
      </c>
      <c r="V12" s="105">
        <f t="shared" si="13"/>
        <v>1.370324063966585</v>
      </c>
      <c r="W12" s="105">
        <f t="shared" si="13"/>
        <v>1.6978625622174723</v>
      </c>
      <c r="X12" s="105">
        <f t="shared" si="13"/>
        <v>1.5844905233121953</v>
      </c>
      <c r="Y12" s="105">
        <f t="shared" si="13"/>
        <v>1.6819529982009609</v>
      </c>
      <c r="Z12" s="105">
        <f t="shared" si="13"/>
        <v>1.7189048032480865</v>
      </c>
      <c r="AA12" s="105">
        <f t="shared" si="13"/>
        <v>1.746114211054528</v>
      </c>
      <c r="AB12" s="105">
        <f t="shared" si="13"/>
        <v>1.8056745888696519</v>
      </c>
      <c r="AC12" s="105">
        <f t="shared" si="13"/>
        <v>1.796793208669913</v>
      </c>
      <c r="AD12" s="105">
        <f t="shared" si="13"/>
        <v>1.6776233729528105</v>
      </c>
      <c r="AE12" s="105">
        <f t="shared" si="13"/>
        <v>1.6447350606139075</v>
      </c>
      <c r="AF12" s="105">
        <f t="shared" si="13"/>
        <v>1.4534868863085175</v>
      </c>
      <c r="AG12" s="105">
        <f t="shared" si="13"/>
        <v>1.3938634659680371</v>
      </c>
      <c r="AH12" s="105">
        <f t="shared" si="13"/>
        <v>1.4726006184090945</v>
      </c>
      <c r="AI12" s="105">
        <f t="shared" si="13"/>
        <v>1.553072074953755</v>
      </c>
      <c r="AJ12" s="105">
        <f t="shared" si="13"/>
        <v>1.631492322351241</v>
      </c>
      <c r="AK12" s="105">
        <f t="shared" si="13"/>
        <v>1.6095243293375374</v>
      </c>
      <c r="AL12" s="105">
        <f t="shared" si="13"/>
        <v>1.5651877482563876</v>
      </c>
      <c r="AM12" s="105">
        <f t="shared" si="13"/>
        <v>1.3234458113530703</v>
      </c>
      <c r="AN12" s="105">
        <f t="shared" si="13"/>
        <v>1.1997242206843794</v>
      </c>
      <c r="AO12" s="105">
        <f t="shared" si="13"/>
        <v>1.134508886034346</v>
      </c>
      <c r="AP12" s="105">
        <f t="shared" si="13"/>
        <v>1.1262792555397034</v>
      </c>
      <c r="AQ12" s="105">
        <f t="shared" si="13"/>
        <v>1.1575906585362965</v>
      </c>
      <c r="AR12" s="105">
        <f t="shared" si="13"/>
        <v>1.1612289315265092</v>
      </c>
      <c r="AS12" s="105">
        <f t="shared" si="13"/>
        <v>1.1661885589240293</v>
      </c>
      <c r="AT12" s="105">
        <f t="shared" si="13"/>
        <v>1.2077428914263857</v>
      </c>
      <c r="AU12" s="105">
        <f t="shared" si="13"/>
        <v>1.1982454715157793</v>
      </c>
      <c r="AV12" s="105">
        <f t="shared" si="13"/>
        <v>1.1965357074556038</v>
      </c>
      <c r="AW12" s="105">
        <f t="shared" si="13"/>
        <v>1.1844535440053752</v>
      </c>
      <c r="AX12" s="105">
        <f t="shared" si="13"/>
        <v>1.1087106999666596</v>
      </c>
      <c r="AY12" s="105">
        <f t="shared" si="13"/>
        <v>1.0961665067332802</v>
      </c>
      <c r="AZ12" s="105">
        <f t="shared" si="13"/>
        <v>1.0898944101165906</v>
      </c>
      <c r="BA12" s="105">
        <f t="shared" si="13"/>
        <v>1.0898944101165906</v>
      </c>
      <c r="BB12" s="105">
        <f t="shared" si="13"/>
        <v>1.0798300305819715</v>
      </c>
      <c r="BC12" s="105">
        <f t="shared" si="13"/>
        <v>1.0923742238153507</v>
      </c>
      <c r="BD12" s="105">
        <f t="shared" si="13"/>
        <v>1.0986463204320405</v>
      </c>
      <c r="BE12" s="105">
        <f t="shared" si="13"/>
        <v>1.0986463204320405</v>
      </c>
      <c r="BF12" s="105">
        <f t="shared" si="13"/>
        <v>1.0986463204320405</v>
      </c>
      <c r="BG12" s="105">
        <f t="shared" si="13"/>
        <v>1.1856454285283928</v>
      </c>
      <c r="BH12" s="105">
        <f t="shared" si="13"/>
        <v>1.1856454285283928</v>
      </c>
      <c r="BI12" s="105">
        <f t="shared" si="13"/>
        <v>1.1986918464436402</v>
      </c>
      <c r="BJ12" s="105">
        <f t="shared" si="13"/>
        <v>1.1986918464436402</v>
      </c>
      <c r="BK12" s="105">
        <f t="shared" si="13"/>
        <v>1.1986918464436402</v>
      </c>
      <c r="BL12" s="105">
        <f t="shared" si="13"/>
        <v>1.2143720879853639</v>
      </c>
      <c r="BM12" s="105">
        <f t="shared" si="13"/>
        <v>1.1986918464436402</v>
      </c>
      <c r="BN12" s="105">
        <f t="shared" si="13"/>
        <v>1.1818688004657532</v>
      </c>
      <c r="BO12" s="105">
        <f t="shared" si="13"/>
        <v>1.1661885589240293</v>
      </c>
      <c r="BP12" s="105">
        <f t="shared" si="13"/>
        <v>1.1661885589240293</v>
      </c>
      <c r="BQ12" s="105">
        <f t="shared" si="13"/>
        <v>1.1661885589240293</v>
      </c>
      <c r="BR12" s="105">
        <f t="shared" si="13"/>
        <v>1.1661885589240293</v>
      </c>
      <c r="BS12" s="105">
        <f t="shared" si="13"/>
        <v>1.1594789725676162</v>
      </c>
      <c r="BT12" s="105">
        <f t="shared" si="13"/>
        <v>1.1568696889845671</v>
      </c>
      <c r="BU12" s="105">
        <f t="shared" ref="BU12:CA12" si="14">SUM(BU10:BU11)</f>
        <v>1.1736681949190264</v>
      </c>
      <c r="BV12" s="105">
        <f t="shared" si="14"/>
        <v>1.1759047237044973</v>
      </c>
      <c r="BW12" s="105">
        <f t="shared" si="14"/>
        <v>1.2166733517129797</v>
      </c>
      <c r="BX12" s="105">
        <f t="shared" si="14"/>
        <v>1.2292175449463589</v>
      </c>
      <c r="BY12" s="105">
        <f t="shared" si="14"/>
        <v>1.2292175449463589</v>
      </c>
      <c r="BZ12" s="105">
        <f t="shared" si="14"/>
        <v>1.2135618434480624</v>
      </c>
      <c r="CA12" s="105">
        <f t="shared" si="14"/>
        <v>1.2135618434480624</v>
      </c>
      <c r="CB12" s="105">
        <f t="shared" ref="CB12:CH12" si="15">SUM(CB10:CB11)</f>
        <v>1.2135618434480624</v>
      </c>
      <c r="CC12" s="105">
        <f t="shared" si="15"/>
        <v>1.2135618434480624</v>
      </c>
      <c r="CD12" s="105">
        <f t="shared" si="15"/>
        <v>1.2119938192938899</v>
      </c>
      <c r="CE12" s="105">
        <f t="shared" si="15"/>
        <v>1.206775252127791</v>
      </c>
      <c r="CF12" s="105">
        <f t="shared" si="15"/>
        <v>1.2020711796652739</v>
      </c>
      <c r="CG12" s="105">
        <f t="shared" si="15"/>
        <v>1.1738467448901706</v>
      </c>
      <c r="CH12" s="105">
        <f t="shared" si="15"/>
        <v>1.1872659176029963</v>
      </c>
      <c r="CI12" s="105">
        <f>SUM(CI10:CI11)</f>
        <v>1.1979284818513687</v>
      </c>
      <c r="CJ12" s="105">
        <f>SUM(CJ10:CJ11)</f>
        <v>1.1979284818513687</v>
      </c>
      <c r="CK12" s="105">
        <f>SUM(CK10:CK11)</f>
        <v>1.1979284818513687</v>
      </c>
      <c r="CL12" s="105">
        <f t="shared" ref="CL12:CX12" si="16">SUM(CL10:CL11)</f>
        <v>1.1985378365159232</v>
      </c>
      <c r="CM12" s="105">
        <f t="shared" si="16"/>
        <v>1.1954017882075783</v>
      </c>
      <c r="CN12" s="105">
        <f t="shared" si="16"/>
        <v>1.2153184874532683</v>
      </c>
      <c r="CO12" s="105">
        <f t="shared" si="16"/>
        <v>1.2153184874532683</v>
      </c>
      <c r="CP12" s="105">
        <f t="shared" si="16"/>
        <v>1.2153184874532683</v>
      </c>
      <c r="CQ12" s="105">
        <f t="shared" si="16"/>
        <v>1.2153184874532683</v>
      </c>
      <c r="CR12" s="105">
        <f t="shared" si="16"/>
        <v>1.2171822614411605</v>
      </c>
      <c r="CS12" s="105">
        <f t="shared" si="16"/>
        <v>1.2221999387345122</v>
      </c>
      <c r="CT12" s="105">
        <f t="shared" si="16"/>
        <v>1.2221999387345122</v>
      </c>
      <c r="CU12" s="105">
        <f t="shared" si="16"/>
        <v>1.2102717852120006</v>
      </c>
      <c r="CV12" s="105">
        <f t="shared" si="16"/>
        <v>1.2102717852120006</v>
      </c>
      <c r="CW12" s="105">
        <f t="shared" si="16"/>
        <v>1.2102717852120006</v>
      </c>
      <c r="CX12" s="105">
        <f t="shared" si="16"/>
        <v>1.1914554953619318</v>
      </c>
      <c r="CY12" s="105">
        <f t="shared" ref="CY12:DG12" si="17">SUM(CY10:CY11)</f>
        <v>1.1833843596994944</v>
      </c>
      <c r="CZ12" s="105">
        <f t="shared" si="17"/>
        <v>1.1833843596994944</v>
      </c>
      <c r="DA12" s="105">
        <f t="shared" si="17"/>
        <v>1.1833843596994944</v>
      </c>
      <c r="DB12" s="105">
        <f t="shared" si="17"/>
        <v>1.1833843596994944</v>
      </c>
      <c r="DC12" s="105">
        <f t="shared" si="17"/>
        <v>1.1614320215410809</v>
      </c>
      <c r="DD12" s="105">
        <f t="shared" si="17"/>
        <v>1.1446089755631941</v>
      </c>
      <c r="DE12" s="105">
        <f t="shared" si="17"/>
        <v>1.1446089755631941</v>
      </c>
      <c r="DF12" s="105">
        <f t="shared" si="17"/>
        <v>1.1446089755631941</v>
      </c>
      <c r="DG12" s="105">
        <f t="shared" si="17"/>
        <v>1.1446089755631941</v>
      </c>
      <c r="DH12" s="105">
        <f t="shared" ref="DH12:ED12" si="18">SUM(DH10:DH11)</f>
        <v>1.1412541823849875</v>
      </c>
      <c r="DI12" s="105">
        <f t="shared" si="18"/>
        <v>1.1161657959182292</v>
      </c>
      <c r="DJ12" s="105">
        <f t="shared" si="18"/>
        <v>1.122437892534919</v>
      </c>
      <c r="DK12" s="105">
        <f t="shared" si="18"/>
        <v>1.122437892534919</v>
      </c>
      <c r="DL12" s="105">
        <f t="shared" si="18"/>
        <v>1.0984275755621786</v>
      </c>
      <c r="DM12" s="105">
        <f t="shared" si="18"/>
        <v>1.1032733879306991</v>
      </c>
      <c r="DN12" s="105">
        <f t="shared" si="18"/>
        <v>1.0703571507147922</v>
      </c>
      <c r="DO12" s="105">
        <f t="shared" si="18"/>
        <v>1.0692388863220568</v>
      </c>
      <c r="DP12" s="105">
        <f t="shared" si="18"/>
        <v>1.0692388863220568</v>
      </c>
      <c r="DQ12" s="105">
        <f t="shared" si="18"/>
        <v>1.0723749346304015</v>
      </c>
      <c r="DR12" s="105">
        <f t="shared" si="18"/>
        <v>1.0629667897053672</v>
      </c>
      <c r="DS12" s="105">
        <f t="shared" si="18"/>
        <v>1.0531211550406097</v>
      </c>
      <c r="DT12" s="105">
        <f t="shared" si="18"/>
        <v>0</v>
      </c>
      <c r="DU12" s="105">
        <f t="shared" si="18"/>
        <v>0</v>
      </c>
      <c r="DV12" s="105">
        <f t="shared" si="18"/>
        <v>0</v>
      </c>
      <c r="DW12" s="105">
        <f t="shared" si="18"/>
        <v>0</v>
      </c>
      <c r="DX12" s="105">
        <f t="shared" si="18"/>
        <v>0</v>
      </c>
      <c r="DY12" s="105">
        <f t="shared" si="18"/>
        <v>0</v>
      </c>
      <c r="DZ12" s="105">
        <f t="shared" si="18"/>
        <v>0</v>
      </c>
      <c r="EA12" s="105">
        <f t="shared" si="18"/>
        <v>0</v>
      </c>
      <c r="EB12" s="105">
        <f t="shared" si="18"/>
        <v>0</v>
      </c>
      <c r="EC12" s="105">
        <f t="shared" si="18"/>
        <v>0</v>
      </c>
      <c r="ED12" s="105">
        <f t="shared" si="18"/>
        <v>0</v>
      </c>
    </row>
    <row r="13" spans="1:166" ht="13">
      <c r="A13" s="331" t="s">
        <v>760</v>
      </c>
      <c r="I13" s="74"/>
      <c r="J13" s="74"/>
      <c r="K13" s="74"/>
      <c r="L13" s="74"/>
      <c r="M13" s="74"/>
      <c r="N13" s="74"/>
      <c r="O13" s="74"/>
      <c r="P13" s="74"/>
      <c r="Q13" s="74">
        <f>79/74</f>
        <v>1.0675675675675675</v>
      </c>
      <c r="R13" s="74"/>
      <c r="S13" s="74"/>
      <c r="T13" s="74"/>
      <c r="U13" s="74"/>
      <c r="V13" s="74"/>
      <c r="W13" s="74"/>
      <c r="X13" s="74"/>
      <c r="Y13" s="74"/>
      <c r="Z13" s="74"/>
      <c r="AA13" s="74"/>
      <c r="AB13" s="74">
        <v>2.2999999999999998</v>
      </c>
      <c r="AC13" s="74"/>
      <c r="AD13" s="74"/>
      <c r="AE13" s="74"/>
      <c r="AF13" s="74"/>
      <c r="AG13" s="74">
        <v>2.2599999999999998</v>
      </c>
      <c r="AH13" s="74">
        <v>2.2599999999999998</v>
      </c>
      <c r="AI13" s="74"/>
      <c r="AJ13" s="74"/>
      <c r="AK13" s="74"/>
      <c r="AL13" s="74"/>
      <c r="AM13" s="74">
        <v>2</v>
      </c>
      <c r="AN13" s="74"/>
      <c r="AO13" s="74">
        <v>1.4</v>
      </c>
      <c r="AP13" s="74">
        <v>1.25</v>
      </c>
      <c r="AQ13" s="74">
        <v>1.05</v>
      </c>
      <c r="AR13" s="74"/>
      <c r="AS13" s="74">
        <v>1</v>
      </c>
      <c r="AT13" s="74"/>
      <c r="AU13" s="74"/>
      <c r="AV13" s="74"/>
      <c r="AX13" s="74">
        <v>1.18</v>
      </c>
      <c r="BS13" s="60">
        <v>1.45</v>
      </c>
      <c r="BW13" s="60">
        <v>1.52</v>
      </c>
      <c r="CE13" s="60">
        <v>1.6</v>
      </c>
      <c r="CM13" s="60">
        <v>1.5</v>
      </c>
      <c r="CR13" s="60">
        <v>1.45</v>
      </c>
      <c r="DM13" s="60">
        <v>1.2749999999999999</v>
      </c>
    </row>
    <row r="14" spans="1:166" s="64" customFormat="1">
      <c r="I14" s="74"/>
      <c r="J14" s="74"/>
      <c r="K14" s="74"/>
      <c r="L14" s="74"/>
      <c r="M14" s="74"/>
      <c r="N14" s="74"/>
      <c r="O14" s="74"/>
      <c r="P14" s="74"/>
      <c r="Q14" s="74">
        <f>Q13-Q12</f>
        <v>0.21105827873802596</v>
      </c>
      <c r="R14" s="74"/>
      <c r="S14" s="74"/>
      <c r="T14" s="74"/>
      <c r="U14" s="74"/>
      <c r="V14" s="74"/>
      <c r="W14" s="74"/>
      <c r="X14" s="74"/>
      <c r="Y14" s="74"/>
      <c r="Z14" s="74"/>
      <c r="AA14" s="74"/>
      <c r="AB14" s="74">
        <f>AB13-AB12</f>
        <v>0.49432541113034789</v>
      </c>
      <c r="AC14" s="74"/>
      <c r="AD14" s="74"/>
      <c r="AE14" s="74"/>
      <c r="AF14" s="74"/>
      <c r="AG14" s="74">
        <f>AG13-AG12</f>
        <v>0.86613653403196267</v>
      </c>
      <c r="AH14" s="74">
        <f>AH13-AH12</f>
        <v>0.78739938159090528</v>
      </c>
      <c r="AI14" s="74"/>
      <c r="AJ14" s="74"/>
      <c r="AK14" s="74"/>
      <c r="AL14" s="74"/>
      <c r="AM14" s="74">
        <f>AM13-AM12</f>
        <v>0.67655418864692973</v>
      </c>
      <c r="AN14" s="74"/>
      <c r="AO14" s="74">
        <f>AO13-AO12</f>
        <v>0.26549111396565395</v>
      </c>
      <c r="AP14" s="74">
        <f>AP13-AP12</f>
        <v>0.12372074446029657</v>
      </c>
      <c r="AQ14" s="108">
        <f>AQ13-AQ12</f>
        <v>-0.10759065853629646</v>
      </c>
      <c r="AR14" s="74"/>
      <c r="AS14" s="74">
        <f>AS13-AS12</f>
        <v>-0.16618855892402928</v>
      </c>
      <c r="AT14" s="74"/>
      <c r="AU14" s="74"/>
      <c r="AW14" s="74"/>
      <c r="AX14" s="74">
        <f>AX13-AX12</f>
        <v>7.128930003334033E-2</v>
      </c>
      <c r="BQ14" s="74"/>
      <c r="BS14" s="74">
        <f>BS13-BS12</f>
        <v>0.29052102743238373</v>
      </c>
      <c r="BW14" s="74">
        <f>BW13-BW12</f>
        <v>0.30332664828702027</v>
      </c>
      <c r="CE14" s="74">
        <f>CE13-CE12</f>
        <v>0.39322474787220907</v>
      </c>
      <c r="CM14" s="74">
        <f>CM13-CM12</f>
        <v>0.30459821179242175</v>
      </c>
      <c r="CR14" s="74">
        <f>CR13-CR12</f>
        <v>0.23281773855883947</v>
      </c>
      <c r="DM14" s="74">
        <f>DM13-DM12</f>
        <v>0.17172661206930084</v>
      </c>
    </row>
    <row r="16" spans="1:166" ht="13" thickBot="1"/>
    <row r="17" spans="1:134" ht="13" thickBot="1">
      <c r="D17" s="259"/>
      <c r="H17" s="106" t="s">
        <v>407</v>
      </c>
      <c r="I17" s="109">
        <f>I12+0.07</f>
        <v>0.99463354945495719</v>
      </c>
      <c r="J17" s="109">
        <f t="shared" ref="J17:BU17" si="19">J12+0.07</f>
        <v>0.9705958999510893</v>
      </c>
      <c r="K17" s="109">
        <f t="shared" si="19"/>
        <v>0.9507121182119278</v>
      </c>
      <c r="L17" s="109">
        <f t="shared" si="19"/>
        <v>0.84780056899052436</v>
      </c>
      <c r="M17" s="109">
        <f t="shared" si="19"/>
        <v>0.81698443907384188</v>
      </c>
      <c r="N17" s="109">
        <f t="shared" si="19"/>
        <v>0.85450457037153638</v>
      </c>
      <c r="O17" s="109">
        <f t="shared" si="19"/>
        <v>0.89938357103327138</v>
      </c>
      <c r="P17" s="109">
        <f t="shared" si="19"/>
        <v>0.91504485750696873</v>
      </c>
      <c r="Q17" s="109">
        <f t="shared" si="19"/>
        <v>0.92650928882954164</v>
      </c>
      <c r="R17" s="109">
        <f t="shared" si="19"/>
        <v>0.958316739186726</v>
      </c>
      <c r="S17" s="109">
        <f t="shared" si="19"/>
        <v>1.1104178746291493</v>
      </c>
      <c r="T17" s="109">
        <f t="shared" si="19"/>
        <v>1.2211192798428085</v>
      </c>
      <c r="U17" s="109">
        <f t="shared" si="19"/>
        <v>1.3360102628154034</v>
      </c>
      <c r="V17" s="109">
        <f t="shared" si="19"/>
        <v>1.4403240639665851</v>
      </c>
      <c r="W17" s="109">
        <f t="shared" si="19"/>
        <v>1.7678625622174724</v>
      </c>
      <c r="X17" s="109">
        <f t="shared" si="19"/>
        <v>1.6544905233121954</v>
      </c>
      <c r="Y17" s="109">
        <f t="shared" si="19"/>
        <v>1.751952998200961</v>
      </c>
      <c r="Z17" s="109">
        <f t="shared" si="19"/>
        <v>1.7889048032480865</v>
      </c>
      <c r="AA17" s="109">
        <f t="shared" si="19"/>
        <v>1.8161142110545281</v>
      </c>
      <c r="AB17" s="109">
        <f t="shared" si="19"/>
        <v>1.875674588869652</v>
      </c>
      <c r="AC17" s="109">
        <f t="shared" si="19"/>
        <v>1.8667932086699131</v>
      </c>
      <c r="AD17" s="109">
        <f t="shared" si="19"/>
        <v>1.7476233729528106</v>
      </c>
      <c r="AE17" s="109">
        <f t="shared" si="19"/>
        <v>1.7147350606139076</v>
      </c>
      <c r="AF17" s="109">
        <f t="shared" si="19"/>
        <v>1.5234868863085176</v>
      </c>
      <c r="AG17" s="109">
        <f t="shared" si="19"/>
        <v>1.4638634659680372</v>
      </c>
      <c r="AH17" s="109">
        <f t="shared" si="19"/>
        <v>1.5426006184090946</v>
      </c>
      <c r="AI17" s="109">
        <f t="shared" si="19"/>
        <v>1.6230720749537551</v>
      </c>
      <c r="AJ17" s="109">
        <f t="shared" si="19"/>
        <v>1.701492322351241</v>
      </c>
      <c r="AK17" s="109">
        <f t="shared" si="19"/>
        <v>1.6795243293375375</v>
      </c>
      <c r="AL17" s="109">
        <f t="shared" si="19"/>
        <v>1.6351877482563877</v>
      </c>
      <c r="AM17" s="109">
        <f t="shared" si="19"/>
        <v>1.3934458113530703</v>
      </c>
      <c r="AN17" s="109">
        <f t="shared" si="19"/>
        <v>1.2697242206843795</v>
      </c>
      <c r="AO17" s="109">
        <f t="shared" si="19"/>
        <v>1.204508886034346</v>
      </c>
      <c r="AP17" s="109">
        <f t="shared" si="19"/>
        <v>1.1962792555397035</v>
      </c>
      <c r="AQ17" s="109">
        <f t="shared" si="19"/>
        <v>1.2275906585362966</v>
      </c>
      <c r="AR17" s="109">
        <f t="shared" si="19"/>
        <v>1.2312289315265093</v>
      </c>
      <c r="AS17" s="109">
        <f t="shared" si="19"/>
        <v>1.2361885589240293</v>
      </c>
      <c r="AT17" s="109">
        <f t="shared" si="19"/>
        <v>1.2777428914263858</v>
      </c>
      <c r="AU17" s="109">
        <f t="shared" si="19"/>
        <v>1.2682454715157794</v>
      </c>
      <c r="AV17" s="109">
        <f t="shared" si="19"/>
        <v>1.2665357074556038</v>
      </c>
      <c r="AW17" s="109">
        <f t="shared" si="19"/>
        <v>1.2544535440053752</v>
      </c>
      <c r="AX17" s="109">
        <f t="shared" si="19"/>
        <v>1.1787106999666597</v>
      </c>
      <c r="AY17" s="109">
        <f t="shared" si="19"/>
        <v>1.1661665067332803</v>
      </c>
      <c r="AZ17" s="109">
        <f t="shared" si="19"/>
        <v>1.1598944101165907</v>
      </c>
      <c r="BA17" s="109">
        <f t="shared" si="19"/>
        <v>1.1598944101165907</v>
      </c>
      <c r="BB17" s="109">
        <f t="shared" si="19"/>
        <v>1.1498300305819715</v>
      </c>
      <c r="BC17" s="109">
        <f t="shared" si="19"/>
        <v>1.1623742238153507</v>
      </c>
      <c r="BD17" s="109">
        <f t="shared" si="19"/>
        <v>1.1686463204320405</v>
      </c>
      <c r="BE17" s="109">
        <f t="shared" si="19"/>
        <v>1.1686463204320405</v>
      </c>
      <c r="BF17" s="109">
        <f t="shared" si="19"/>
        <v>1.1686463204320405</v>
      </c>
      <c r="BG17" s="109">
        <f t="shared" si="19"/>
        <v>1.2556454285283929</v>
      </c>
      <c r="BH17" s="109">
        <f t="shared" si="19"/>
        <v>1.2556454285283929</v>
      </c>
      <c r="BI17" s="109">
        <f t="shared" si="19"/>
        <v>1.2686918464436403</v>
      </c>
      <c r="BJ17" s="109">
        <f t="shared" si="19"/>
        <v>1.2686918464436403</v>
      </c>
      <c r="BK17" s="109">
        <f t="shared" si="19"/>
        <v>1.2686918464436403</v>
      </c>
      <c r="BL17" s="109">
        <f t="shared" si="19"/>
        <v>1.284372087985364</v>
      </c>
      <c r="BM17" s="109">
        <f t="shared" si="19"/>
        <v>1.2686918464436403</v>
      </c>
      <c r="BN17" s="109">
        <f t="shared" si="19"/>
        <v>1.2518688004657532</v>
      </c>
      <c r="BO17" s="109">
        <f t="shared" si="19"/>
        <v>1.2361885589240293</v>
      </c>
      <c r="BP17" s="109">
        <f t="shared" si="19"/>
        <v>1.2361885589240293</v>
      </c>
      <c r="BQ17" s="109">
        <f t="shared" si="19"/>
        <v>1.2361885589240293</v>
      </c>
      <c r="BR17" s="109">
        <f t="shared" si="19"/>
        <v>1.2361885589240293</v>
      </c>
      <c r="BS17" s="109">
        <f t="shared" si="19"/>
        <v>1.2294789725676163</v>
      </c>
      <c r="BT17" s="109">
        <f t="shared" si="19"/>
        <v>1.2268696889845672</v>
      </c>
      <c r="BU17" s="109">
        <f t="shared" si="19"/>
        <v>1.2436681949190265</v>
      </c>
      <c r="BV17" s="109">
        <f t="shared" ref="BV17:CA17" si="20">BV12+0.07</f>
        <v>1.2459047237044973</v>
      </c>
      <c r="BW17" s="109">
        <f t="shared" si="20"/>
        <v>1.2866733517129798</v>
      </c>
      <c r="BX17" s="109">
        <f t="shared" si="20"/>
        <v>1.299217544946359</v>
      </c>
      <c r="BY17" s="109">
        <f t="shared" si="20"/>
        <v>1.299217544946359</v>
      </c>
      <c r="BZ17" s="109">
        <f t="shared" si="20"/>
        <v>1.2835618434480625</v>
      </c>
      <c r="CA17" s="109">
        <f t="shared" si="20"/>
        <v>1.2835618434480625</v>
      </c>
      <c r="CB17" s="109">
        <f t="shared" ref="CB17:CH17" si="21">CB12+0.07</f>
        <v>1.2835618434480625</v>
      </c>
      <c r="CC17" s="109">
        <f t="shared" si="21"/>
        <v>1.2835618434480625</v>
      </c>
      <c r="CD17" s="109">
        <f t="shared" si="21"/>
        <v>1.28199381929389</v>
      </c>
      <c r="CE17" s="109">
        <f t="shared" si="21"/>
        <v>1.2767752521277911</v>
      </c>
      <c r="CF17" s="109">
        <f t="shared" si="21"/>
        <v>1.2720711796652739</v>
      </c>
      <c r="CG17" s="109">
        <f t="shared" si="21"/>
        <v>1.2438467448901707</v>
      </c>
      <c r="CH17" s="109">
        <f t="shared" si="21"/>
        <v>1.2572659176029963</v>
      </c>
      <c r="CI17" s="109">
        <f>CI12+0.07</f>
        <v>1.2679284818513687</v>
      </c>
      <c r="CJ17" s="109">
        <f>CJ12+0.07</f>
        <v>1.2679284818513687</v>
      </c>
      <c r="CK17" s="109">
        <f>CK12+0.07</f>
        <v>1.2679284818513687</v>
      </c>
      <c r="CL17" s="109">
        <f t="shared" ref="CL17:CX17" si="22">CL12+0.07</f>
        <v>1.2685378365159232</v>
      </c>
      <c r="CM17" s="109">
        <f t="shared" si="22"/>
        <v>1.2654017882075783</v>
      </c>
      <c r="CN17" s="109">
        <f t="shared" si="22"/>
        <v>1.2853184874532684</v>
      </c>
      <c r="CO17" s="109">
        <f t="shared" si="22"/>
        <v>1.2853184874532684</v>
      </c>
      <c r="CP17" s="109">
        <f t="shared" si="22"/>
        <v>1.2853184874532684</v>
      </c>
      <c r="CQ17" s="109">
        <f t="shared" si="22"/>
        <v>1.2853184874532684</v>
      </c>
      <c r="CR17" s="109">
        <f t="shared" si="22"/>
        <v>1.2871822614411605</v>
      </c>
      <c r="CS17" s="109">
        <f t="shared" si="22"/>
        <v>1.2921999387345122</v>
      </c>
      <c r="CT17" s="109">
        <f t="shared" si="22"/>
        <v>1.2921999387345122</v>
      </c>
      <c r="CU17" s="109">
        <f t="shared" si="22"/>
        <v>1.2802717852120007</v>
      </c>
      <c r="CV17" s="109">
        <f t="shared" si="22"/>
        <v>1.2802717852120007</v>
      </c>
      <c r="CW17" s="109">
        <f t="shared" si="22"/>
        <v>1.2802717852120007</v>
      </c>
      <c r="CX17" s="109">
        <f t="shared" si="22"/>
        <v>1.2614554953619319</v>
      </c>
      <c r="CY17" s="109">
        <f t="shared" ref="CY17:DG17" si="23">CY12+0.07</f>
        <v>1.2533843596994945</v>
      </c>
      <c r="CZ17" s="109">
        <f t="shared" si="23"/>
        <v>1.2533843596994945</v>
      </c>
      <c r="DA17" s="109">
        <f t="shared" si="23"/>
        <v>1.2533843596994945</v>
      </c>
      <c r="DB17" s="109">
        <f t="shared" si="23"/>
        <v>1.2533843596994945</v>
      </c>
      <c r="DC17" s="109">
        <f t="shared" si="23"/>
        <v>1.231432021541081</v>
      </c>
      <c r="DD17" s="109">
        <f t="shared" si="23"/>
        <v>1.2146089755631941</v>
      </c>
      <c r="DE17" s="109">
        <f t="shared" si="23"/>
        <v>1.2146089755631941</v>
      </c>
      <c r="DF17" s="109">
        <f t="shared" si="23"/>
        <v>1.2146089755631941</v>
      </c>
      <c r="DG17" s="109">
        <f t="shared" si="23"/>
        <v>1.2146089755631941</v>
      </c>
      <c r="DH17" s="109">
        <f t="shared" ref="DH17:ED17" si="24">DH12+0.07</f>
        <v>1.2112541823849876</v>
      </c>
      <c r="DI17" s="109">
        <f t="shared" si="24"/>
        <v>1.1861657959182292</v>
      </c>
      <c r="DJ17" s="109">
        <f t="shared" si="24"/>
        <v>1.1924378925349191</v>
      </c>
      <c r="DK17" s="109">
        <f t="shared" si="24"/>
        <v>1.1924378925349191</v>
      </c>
      <c r="DL17" s="109">
        <f t="shared" si="24"/>
        <v>1.1684275755621787</v>
      </c>
      <c r="DM17" s="109">
        <f t="shared" si="24"/>
        <v>1.1732733879306991</v>
      </c>
      <c r="DN17" s="109">
        <f t="shared" si="24"/>
        <v>1.1403571507147923</v>
      </c>
      <c r="DO17" s="109">
        <f t="shared" si="24"/>
        <v>1.1392388863220568</v>
      </c>
      <c r="DP17" s="109">
        <f t="shared" si="24"/>
        <v>1.1392388863220568</v>
      </c>
      <c r="DQ17" s="109">
        <f t="shared" si="24"/>
        <v>1.1423749346304015</v>
      </c>
      <c r="DR17" s="109">
        <f t="shared" si="24"/>
        <v>1.1329667897053672</v>
      </c>
      <c r="DS17" s="109">
        <f t="shared" si="24"/>
        <v>1.1231211550406097</v>
      </c>
      <c r="DT17" s="109">
        <f t="shared" si="24"/>
        <v>7.0000000000000007E-2</v>
      </c>
      <c r="DU17" s="109">
        <f t="shared" si="24"/>
        <v>7.0000000000000007E-2</v>
      </c>
      <c r="DV17" s="109">
        <f t="shared" si="24"/>
        <v>7.0000000000000007E-2</v>
      </c>
      <c r="DW17" s="109">
        <f t="shared" si="24"/>
        <v>7.0000000000000007E-2</v>
      </c>
      <c r="DX17" s="109">
        <f t="shared" si="24"/>
        <v>7.0000000000000007E-2</v>
      </c>
      <c r="DY17" s="109">
        <f t="shared" si="24"/>
        <v>7.0000000000000007E-2</v>
      </c>
      <c r="DZ17" s="109">
        <f t="shared" si="24"/>
        <v>7.0000000000000007E-2</v>
      </c>
      <c r="EA17" s="109">
        <f t="shared" si="24"/>
        <v>7.0000000000000007E-2</v>
      </c>
      <c r="EB17" s="109">
        <f t="shared" si="24"/>
        <v>7.0000000000000007E-2</v>
      </c>
      <c r="EC17" s="109">
        <f t="shared" si="24"/>
        <v>7.0000000000000007E-2</v>
      </c>
      <c r="ED17" s="109">
        <f t="shared" si="24"/>
        <v>7.0000000000000007E-2</v>
      </c>
    </row>
    <row r="19" spans="1:134">
      <c r="B19" s="65"/>
      <c r="BL19" s="65"/>
    </row>
    <row r="22" spans="1:134">
      <c r="A22" s="60" t="s">
        <v>761</v>
      </c>
    </row>
    <row r="24" spans="1:134" ht="15">
      <c r="AR24" s="11"/>
    </row>
    <row r="25" spans="1:134" ht="15">
      <c r="AR25" s="11"/>
    </row>
    <row r="26" spans="1:134" ht="15">
      <c r="AR26" s="260"/>
    </row>
  </sheetData>
  <conditionalFormatting sqref="I14 Z14:AA14 AE14:AF14 AI14:AJ14 AL14 AP14 AR14:AS14 AU14 R14:X14 O14 K14:L14">
    <cfRule type="top10" dxfId="14" priority="1" bottom="1" rank="1"/>
  </conditionalFormatting>
  <pageMargins left="0.7" right="0.7" top="0.75" bottom="0.75" header="0.3" footer="0.3"/>
  <pageSetup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EW25"/>
  <sheetViews>
    <sheetView workbookViewId="0">
      <pane xSplit="9" ySplit="6" topLeftCell="BJ7" activePane="bottomRight" state="frozen"/>
      <selection pane="topRight" activeCell="J1" sqref="J1"/>
      <selection pane="bottomLeft" activeCell="A7" sqref="A7"/>
      <selection pane="bottomRight" activeCell="BW16" sqref="BW16"/>
    </sheetView>
  </sheetViews>
  <sheetFormatPr baseColWidth="10" defaultColWidth="22.6640625" defaultRowHeight="12"/>
  <cols>
    <col min="1" max="1" width="13.33203125" style="60" bestFit="1" customWidth="1"/>
    <col min="2" max="2" width="11.33203125" style="60" bestFit="1" customWidth="1"/>
    <col min="3" max="3" width="4.83203125" style="60" bestFit="1" customWidth="1"/>
    <col min="4" max="4" width="12.33203125" style="60" bestFit="1" customWidth="1"/>
    <col min="5" max="5" width="7.5" style="60" bestFit="1" customWidth="1"/>
    <col min="6" max="6" width="6.5" style="60" bestFit="1" customWidth="1"/>
    <col min="7" max="7" width="3.33203125" style="60" bestFit="1" customWidth="1"/>
    <col min="8" max="8" width="14.5" style="60" bestFit="1" customWidth="1"/>
    <col min="9" max="10" width="5.5" style="60" bestFit="1" customWidth="1"/>
    <col min="11" max="11" width="5.6640625" style="60" bestFit="1" customWidth="1"/>
    <col min="12" max="12" width="5.5" style="60" bestFit="1" customWidth="1"/>
    <col min="13" max="13" width="5.83203125" style="60" bestFit="1" customWidth="1"/>
    <col min="14" max="18" width="5.5" style="60" bestFit="1" customWidth="1"/>
    <col min="19" max="19" width="5.6640625" style="60" bestFit="1" customWidth="1"/>
    <col min="20" max="22" width="5.5" style="60" bestFit="1" customWidth="1"/>
    <col min="23" max="23" width="5.6640625" style="60" bestFit="1" customWidth="1"/>
    <col min="24" max="24" width="5.5" style="60" bestFit="1" customWidth="1"/>
    <col min="25" max="25" width="5.83203125" style="60" bestFit="1" customWidth="1"/>
    <col min="26" max="28" width="5.5" style="60" bestFit="1" customWidth="1"/>
    <col min="29" max="29" width="6.1640625" style="60" bestFit="1" customWidth="1"/>
    <col min="30" max="30" width="5.5" style="60" bestFit="1" customWidth="1"/>
    <col min="31" max="31" width="6.1640625" style="60" bestFit="1" customWidth="1"/>
    <col min="32" max="33" width="5.5" style="60" bestFit="1" customWidth="1"/>
    <col min="34" max="40" width="6.1640625" style="60" bestFit="1" customWidth="1"/>
    <col min="41" max="41" width="7" style="60" bestFit="1" customWidth="1"/>
    <col min="42" max="42" width="6.1640625" style="60" bestFit="1" customWidth="1"/>
    <col min="43" max="43" width="7" style="60" bestFit="1" customWidth="1"/>
    <col min="44" max="45" width="6.1640625" style="60" bestFit="1" customWidth="1"/>
    <col min="46" max="46" width="7" style="60" bestFit="1" customWidth="1"/>
    <col min="47" max="51" width="6.1640625" style="60" bestFit="1" customWidth="1"/>
    <col min="52" max="54" width="7" style="60" bestFit="1" customWidth="1"/>
    <col min="55" max="64" width="6.1640625" style="60" bestFit="1" customWidth="1"/>
    <col min="65" max="65" width="9.83203125" style="60" bestFit="1" customWidth="1"/>
    <col min="66" max="67" width="6.1640625" style="60" bestFit="1" customWidth="1"/>
    <col min="68" max="70" width="5.6640625" style="60" bestFit="1" customWidth="1"/>
    <col min="71" max="74" width="5.5" style="60" bestFit="1" customWidth="1"/>
    <col min="75" max="90" width="6.1640625" style="60" bestFit="1" customWidth="1"/>
    <col min="91" max="95" width="6.33203125" style="60" bestFit="1" customWidth="1"/>
    <col min="96" max="100" width="6.1640625" style="60" bestFit="1" customWidth="1"/>
    <col min="101" max="103" width="5.1640625" style="60" bestFit="1" customWidth="1"/>
    <col min="104" max="107" width="5.83203125" style="60" bestFit="1" customWidth="1"/>
    <col min="108" max="115" width="5.6640625" style="60" bestFit="1" customWidth="1"/>
    <col min="116" max="119" width="6.1640625" style="60" bestFit="1" customWidth="1"/>
    <col min="120" max="123" width="5.83203125" style="60" bestFit="1" customWidth="1"/>
    <col min="124" max="149" width="5.1640625" style="60" bestFit="1" customWidth="1"/>
    <col min="150" max="153" width="3.33203125" style="60" bestFit="1" customWidth="1"/>
    <col min="154" max="16384" width="22.6640625" style="60"/>
  </cols>
  <sheetData>
    <row r="1" spans="1:153" ht="26">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c r="EM1" s="99">
        <v>141</v>
      </c>
      <c r="EN1" s="99">
        <v>142</v>
      </c>
      <c r="EO1" s="99">
        <v>143</v>
      </c>
      <c r="EP1" s="99">
        <v>144</v>
      </c>
      <c r="EQ1" s="99">
        <v>145</v>
      </c>
      <c r="ER1" s="99">
        <v>146</v>
      </c>
      <c r="ES1" s="99">
        <v>147</v>
      </c>
      <c r="ET1" s="99">
        <v>148</v>
      </c>
      <c r="EU1" s="99">
        <v>149</v>
      </c>
      <c r="EV1" s="99">
        <v>150</v>
      </c>
      <c r="EW1" s="99">
        <v>151</v>
      </c>
    </row>
    <row r="2" spans="1:153">
      <c r="A2" s="112" t="s">
        <v>269</v>
      </c>
      <c r="B2" s="112"/>
      <c r="C2" s="101">
        <v>1</v>
      </c>
      <c r="D2" s="282">
        <v>148.1</v>
      </c>
      <c r="E2" s="60">
        <f>D2*C2</f>
        <v>148.1</v>
      </c>
      <c r="K2" s="102"/>
      <c r="M2" s="102"/>
    </row>
    <row r="3" spans="1:153">
      <c r="A3" s="100"/>
      <c r="B3" s="64"/>
      <c r="D3" s="100"/>
      <c r="E3" s="64"/>
      <c r="F3" s="103"/>
    </row>
    <row r="4" spans="1:153">
      <c r="A4" s="64"/>
      <c r="B4" s="64"/>
      <c r="D4" s="64"/>
      <c r="E4" s="64"/>
      <c r="H4" s="60" t="s">
        <v>387</v>
      </c>
    </row>
    <row r="5" spans="1:153">
      <c r="A5" s="74"/>
      <c r="B5" s="74"/>
    </row>
    <row r="6" spans="1:153">
      <c r="A6" s="59"/>
      <c r="B6" s="59"/>
      <c r="C6" s="59"/>
      <c r="D6" s="98"/>
      <c r="E6" s="98"/>
      <c r="F6" s="59"/>
      <c r="H6" s="59" t="s">
        <v>416</v>
      </c>
      <c r="I6" s="59">
        <v>43831</v>
      </c>
      <c r="J6" s="59">
        <v>43862</v>
      </c>
      <c r="K6" s="59">
        <v>43891</v>
      </c>
      <c r="L6" s="59">
        <v>43922</v>
      </c>
      <c r="M6" s="59">
        <v>43952</v>
      </c>
      <c r="N6" s="59">
        <v>43983</v>
      </c>
      <c r="O6" s="59">
        <v>44013</v>
      </c>
      <c r="P6" s="59">
        <v>44044</v>
      </c>
      <c r="Q6" s="59">
        <v>44075</v>
      </c>
      <c r="R6" s="59">
        <v>44105</v>
      </c>
      <c r="S6" s="59">
        <v>44136</v>
      </c>
      <c r="T6" s="59">
        <v>44166</v>
      </c>
      <c r="U6" s="59">
        <v>44197</v>
      </c>
      <c r="V6" s="59">
        <v>44228</v>
      </c>
      <c r="W6" s="59">
        <v>44256</v>
      </c>
      <c r="X6" s="59">
        <v>44287</v>
      </c>
      <c r="Y6" s="59">
        <v>44317</v>
      </c>
      <c r="Z6" s="59">
        <v>44348</v>
      </c>
      <c r="AA6" s="59">
        <v>44378</v>
      </c>
      <c r="AB6" s="59">
        <v>44409</v>
      </c>
      <c r="AC6" s="59">
        <v>44440</v>
      </c>
      <c r="AD6" s="59">
        <v>44470</v>
      </c>
      <c r="AE6" s="59">
        <v>44501</v>
      </c>
      <c r="AF6" s="59">
        <v>44531</v>
      </c>
      <c r="AG6" s="59">
        <v>44562</v>
      </c>
      <c r="AH6" s="59">
        <v>44593</v>
      </c>
      <c r="AI6" s="59">
        <v>44621</v>
      </c>
      <c r="AJ6" s="59">
        <v>44652</v>
      </c>
      <c r="AK6" s="59">
        <v>44682</v>
      </c>
      <c r="AL6" s="59">
        <v>44713</v>
      </c>
      <c r="AM6" s="59">
        <v>44743</v>
      </c>
      <c r="AN6" s="59">
        <v>44774</v>
      </c>
      <c r="AO6" s="59">
        <v>44805</v>
      </c>
      <c r="AP6" s="59">
        <v>44835</v>
      </c>
      <c r="AQ6" s="59">
        <v>44866</v>
      </c>
      <c r="AR6" s="59">
        <v>44896</v>
      </c>
      <c r="AS6" s="59">
        <v>44927</v>
      </c>
      <c r="AT6" s="59">
        <v>44958</v>
      </c>
      <c r="AU6" s="59">
        <v>44986</v>
      </c>
      <c r="AV6" s="59">
        <v>45017</v>
      </c>
      <c r="AW6" s="59">
        <v>45047</v>
      </c>
      <c r="AX6" s="59">
        <v>45078</v>
      </c>
      <c r="AY6" s="59">
        <v>45108</v>
      </c>
      <c r="AZ6" s="59" t="s">
        <v>530</v>
      </c>
      <c r="BA6" s="59" t="s">
        <v>531</v>
      </c>
      <c r="BB6" s="59" t="s">
        <v>532</v>
      </c>
      <c r="BC6" s="59">
        <v>37104</v>
      </c>
      <c r="BD6" s="59">
        <v>37469</v>
      </c>
      <c r="BE6" s="59" t="s">
        <v>168</v>
      </c>
      <c r="BF6" s="59" t="s">
        <v>169</v>
      </c>
      <c r="BG6" s="59" t="s">
        <v>421</v>
      </c>
      <c r="BH6" s="59" t="s">
        <v>422</v>
      </c>
      <c r="BI6" s="59" t="s">
        <v>423</v>
      </c>
      <c r="BJ6" s="59" t="s">
        <v>424</v>
      </c>
      <c r="BK6" s="59" t="s">
        <v>435</v>
      </c>
      <c r="BL6" s="59" t="s">
        <v>436</v>
      </c>
      <c r="BM6" s="59" t="s">
        <v>437</v>
      </c>
      <c r="BN6" s="59" t="s">
        <v>438</v>
      </c>
      <c r="BO6" s="59">
        <v>37196</v>
      </c>
      <c r="BP6" s="59">
        <v>37561</v>
      </c>
      <c r="BQ6" s="59">
        <v>37926</v>
      </c>
      <c r="BR6" s="59">
        <v>38292</v>
      </c>
      <c r="BS6" s="59">
        <v>37226</v>
      </c>
      <c r="BT6" s="59">
        <v>37591</v>
      </c>
      <c r="BU6" s="59">
        <v>37956</v>
      </c>
      <c r="BV6" s="59">
        <v>38322</v>
      </c>
      <c r="BW6" s="59">
        <v>36892</v>
      </c>
      <c r="BX6" s="59">
        <v>37257</v>
      </c>
      <c r="BY6" s="59">
        <v>37622</v>
      </c>
      <c r="BZ6" s="59">
        <v>37987</v>
      </c>
      <c r="CA6" s="59">
        <v>36923</v>
      </c>
      <c r="CB6" s="59">
        <v>37288</v>
      </c>
      <c r="CC6" s="59">
        <v>37653</v>
      </c>
      <c r="CD6" s="59">
        <v>38018</v>
      </c>
      <c r="CE6" s="59" t="str">
        <f>Sheet8!A15</f>
        <v>Mar-w1</v>
      </c>
      <c r="CF6" s="59">
        <v>37316</v>
      </c>
      <c r="CG6" s="59">
        <v>37681</v>
      </c>
      <c r="CH6" s="59">
        <v>38047</v>
      </c>
      <c r="CI6" s="59" t="str">
        <f>Sheet8!E15</f>
        <v>Apr-w1</v>
      </c>
      <c r="CJ6" s="59" t="str">
        <f>Sheet8!F15</f>
        <v>Apr-w2</v>
      </c>
      <c r="CK6" s="59" t="str">
        <f>Sheet8!G15</f>
        <v>Apr-w3</v>
      </c>
      <c r="CL6" s="59" t="str">
        <f>Sheet8!H15</f>
        <v>Apr-w4</v>
      </c>
      <c r="CM6" s="59" t="str">
        <f>Sheet8!I15</f>
        <v>May-w1</v>
      </c>
      <c r="CN6" s="59" t="str">
        <f>Sheet8!J15</f>
        <v>May-w2</v>
      </c>
      <c r="CO6" s="59" t="str">
        <f>Sheet8!K15</f>
        <v>May-w3</v>
      </c>
      <c r="CP6" s="59" t="str">
        <f>Sheet8!L15</f>
        <v>May-w4</v>
      </c>
      <c r="CQ6" s="59" t="str">
        <f>Sheet8!M15</f>
        <v>May-w5</v>
      </c>
      <c r="CR6" s="59" t="str">
        <f>Sheet8!N15</f>
        <v>june-w1</v>
      </c>
      <c r="CS6" s="59" t="str">
        <f>Sheet8!O15</f>
        <v>june-w2</v>
      </c>
      <c r="CT6" s="59" t="str">
        <f>Sheet8!P15</f>
        <v>june-w3</v>
      </c>
      <c r="CU6" s="59" t="str">
        <f>Sheet8!Q15</f>
        <v>june-w4</v>
      </c>
      <c r="CV6" s="59" t="str">
        <f>Sheet8!R15</f>
        <v>Jul-w1</v>
      </c>
      <c r="CW6" s="59" t="str">
        <f>Sheet8!S15</f>
        <v>Jul-w2</v>
      </c>
      <c r="CX6" s="59" t="str">
        <f>Sheet8!T15</f>
        <v>Jul-w3</v>
      </c>
      <c r="CY6" s="59" t="str">
        <f>Sheet8!U15</f>
        <v>Jul-w4</v>
      </c>
      <c r="CZ6" s="59" t="str">
        <f>Sheet8!V15</f>
        <v>Aug-w1</v>
      </c>
      <c r="DA6" s="59" t="str">
        <f>Sheet8!W15</f>
        <v>Aug-w2</v>
      </c>
      <c r="DB6" s="59" t="str">
        <f>Sheet8!X15</f>
        <v>Aug-w3</v>
      </c>
      <c r="DC6" s="59" t="str">
        <f>Sheet8!Y15</f>
        <v>Aug-w4</v>
      </c>
      <c r="DD6" s="59" t="str">
        <f>Sheet8!Z15</f>
        <v>Sep-w1</v>
      </c>
      <c r="DE6" s="59" t="str">
        <f>Sheet8!AA15</f>
        <v>Sep-w2</v>
      </c>
      <c r="DF6" s="59" t="str">
        <f>Sheet8!AB15</f>
        <v>Sep-w3</v>
      </c>
      <c r="DG6" s="59" t="str">
        <f>Sheet8!AC15</f>
        <v>Sep-w4</v>
      </c>
      <c r="DH6" s="59" t="str">
        <f>Sheet8!AD15</f>
        <v>Oct-w1</v>
      </c>
      <c r="DI6" s="59" t="str">
        <f>Sheet8!AE15</f>
        <v>Oct-w2</v>
      </c>
      <c r="DJ6" s="59" t="str">
        <f>Sheet8!AF15</f>
        <v>Oct-w3</v>
      </c>
      <c r="DK6" s="59" t="str">
        <f>Sheet8!AG15</f>
        <v>Oct-w4</v>
      </c>
      <c r="DL6" s="59" t="str">
        <f>Sheet8!AH15</f>
        <v>Nov-w1</v>
      </c>
      <c r="DM6" s="59" t="str">
        <f>Sheet8!AI15</f>
        <v>Nov-w2</v>
      </c>
      <c r="DN6" s="59" t="str">
        <f>Sheet8!AJ15</f>
        <v>Nov-w3</v>
      </c>
      <c r="DO6" s="59" t="str">
        <f>Sheet8!AK15</f>
        <v>Nov-w4</v>
      </c>
      <c r="DP6" s="59" t="str">
        <f>Sheet8!AL15</f>
        <v>Dec-w1</v>
      </c>
      <c r="DQ6" s="59" t="str">
        <f>Sheet8!AM15</f>
        <v>Dec-w2</v>
      </c>
      <c r="DR6" s="59" t="str">
        <f>Sheet8!AN15</f>
        <v>Dec-w3</v>
      </c>
      <c r="DS6" s="59" t="str">
        <f>Sheet8!AO15</f>
        <v>Dec-w4</v>
      </c>
      <c r="DT6" s="59">
        <f>Sheet8!AP15</f>
        <v>0</v>
      </c>
      <c r="DU6" s="59">
        <f>Sheet8!AQ15</f>
        <v>0</v>
      </c>
      <c r="DV6" s="59">
        <f>Sheet8!AR15</f>
        <v>0</v>
      </c>
      <c r="DW6" s="59">
        <f>Sheet8!AS15</f>
        <v>0</v>
      </c>
      <c r="DX6" s="59">
        <f>Sheet8!AT15</f>
        <v>0</v>
      </c>
      <c r="DY6" s="59">
        <f>Sheet8!AU15</f>
        <v>0</v>
      </c>
      <c r="DZ6" s="59">
        <f>Sheet8!AV15</f>
        <v>0</v>
      </c>
      <c r="EA6" s="59">
        <f>Sheet8!AW15</f>
        <v>0</v>
      </c>
      <c r="EB6" s="59">
        <f>Sheet8!AX15</f>
        <v>0</v>
      </c>
      <c r="EC6" s="59">
        <f>Sheet8!AY15</f>
        <v>0</v>
      </c>
      <c r="ED6" s="59">
        <f>Sheet8!AZ15</f>
        <v>0</v>
      </c>
      <c r="EE6" s="59">
        <f>Sheet8!BA15</f>
        <v>0</v>
      </c>
      <c r="EF6" s="59">
        <f>Sheet8!BB15</f>
        <v>0</v>
      </c>
      <c r="EG6" s="59">
        <f>Sheet8!BC15</f>
        <v>0</v>
      </c>
      <c r="EH6" s="59">
        <f>Sheet8!BD15</f>
        <v>0</v>
      </c>
      <c r="EI6" s="59">
        <f>Sheet8!BE15</f>
        <v>0</v>
      </c>
      <c r="EJ6" s="59">
        <f>Sheet8!BF15</f>
        <v>0</v>
      </c>
      <c r="EK6" s="59">
        <f>Sheet8!BG15</f>
        <v>0</v>
      </c>
      <c r="EL6" s="59">
        <f>Sheet8!BH15</f>
        <v>0</v>
      </c>
      <c r="EM6" s="59">
        <f>Sheet8!BI15</f>
        <v>0</v>
      </c>
      <c r="EN6" s="59">
        <f>Sheet8!BJ15</f>
        <v>0</v>
      </c>
      <c r="EO6" s="59">
        <f>Sheet8!BK15</f>
        <v>0</v>
      </c>
      <c r="EP6" s="59">
        <f>Sheet8!BL15</f>
        <v>0</v>
      </c>
      <c r="EQ6" s="59">
        <f>Sheet8!BM15</f>
        <v>0</v>
      </c>
      <c r="ER6" s="59">
        <f>Sheet8!BN15</f>
        <v>0</v>
      </c>
      <c r="ES6" s="59">
        <f>Sheet8!BO15</f>
        <v>0</v>
      </c>
    </row>
    <row r="7" spans="1:153">
      <c r="B7" s="44"/>
      <c r="D7" s="44"/>
      <c r="F7" s="60" t="s">
        <v>651</v>
      </c>
      <c r="H7" s="178" t="s">
        <v>155</v>
      </c>
      <c r="I7" s="74">
        <f>VLOOKUP($H$7&amp;$F$1,'Input RM sheet'!$A:$BD,H1,0)</f>
        <v>820</v>
      </c>
      <c r="J7" s="74">
        <f>VLOOKUP($H$7&amp;$F$1,'Input RM sheet'!$A:$BD,I1,0)</f>
        <v>750</v>
      </c>
      <c r="K7" s="74">
        <f>VLOOKUP($H$7&amp;$F$1,'Input RM sheet'!$A:$BD,J1,0)</f>
        <v>600</v>
      </c>
      <c r="L7" s="74">
        <f>VLOOKUP($H$7&amp;$F$1,'Input RM sheet'!$A:$BD,K1,0)</f>
        <v>440</v>
      </c>
      <c r="M7" s="74">
        <f>VLOOKUP($H$7&amp;$F$1,'Input RM sheet'!$A:$BD,L1,0)</f>
        <v>460</v>
      </c>
      <c r="N7" s="74">
        <f>VLOOKUP($H$7&amp;$F$1,'Input RM sheet'!$A:$BD,M1,0)</f>
        <v>520</v>
      </c>
      <c r="O7" s="74">
        <f>VLOOKUP($H$7&amp;$F$1,'Input RM sheet'!$A:$BD,N1,0)</f>
        <v>520</v>
      </c>
      <c r="P7" s="74">
        <f>VLOOKUP($H$7&amp;$F$1,'Input RM sheet'!$A:$BD,O1,0)</f>
        <v>525</v>
      </c>
      <c r="Q7" s="74">
        <f>VLOOKUP($H$7&amp;$F$1,'Input RM sheet'!$A:$BD,P1,0)</f>
        <v>535</v>
      </c>
      <c r="R7" s="74">
        <f>VLOOKUP($H$7&amp;$F$1,'Input RM sheet'!$A:$BD,Q1,0)</f>
        <v>550</v>
      </c>
      <c r="S7" s="74">
        <f>VLOOKUP($H$7&amp;$F$1,'Input RM sheet'!$A:$BD,R1,0)</f>
        <v>600</v>
      </c>
      <c r="T7" s="74">
        <f>VLOOKUP($H$7&amp;$F$1,'Input RM sheet'!$A:$BD,S1,0)</f>
        <v>670</v>
      </c>
      <c r="U7" s="74">
        <f>VLOOKUP($H$7&amp;$F$1,'Input RM sheet'!$A:$BD,T1,0)</f>
        <v>645</v>
      </c>
      <c r="V7" s="74">
        <f>VLOOKUP($H$7&amp;$F$1,'Input RM sheet'!$A:$BD,U1,0)</f>
        <v>725</v>
      </c>
      <c r="W7" s="74">
        <f>VLOOKUP($H$7&amp;$F$1,'Input RM sheet'!$A:$BD,V1,0)</f>
        <v>800</v>
      </c>
      <c r="X7" s="74">
        <f>VLOOKUP($H$7&amp;$F$1,'Input RM sheet'!$A:$BD,W1,0)</f>
        <v>780</v>
      </c>
      <c r="Y7" s="74">
        <f>VLOOKUP($H$7&amp;$F$1,'Input RM sheet'!$A:$BD,X1,0)</f>
        <v>800</v>
      </c>
      <c r="Z7" s="74">
        <f>VLOOKUP($H$7&amp;$F$1,'Input RM sheet'!$A:$BD,Y1,0)</f>
        <v>805</v>
      </c>
      <c r="AA7" s="74">
        <f>VLOOKUP($H$7&amp;$F$1,'Input RM sheet'!$A:$BD,Z1,0)</f>
        <v>828</v>
      </c>
      <c r="AB7" s="74">
        <f>VLOOKUP($H$7&amp;$F$1,'Input RM sheet'!$A:$BD,AA1,0)</f>
        <v>830</v>
      </c>
      <c r="AC7" s="74">
        <f>VLOOKUP($H$7&amp;$F$1,'Input RM sheet'!$A:$BD,AB1,0)</f>
        <v>863</v>
      </c>
      <c r="AD7" s="74">
        <f>VLOOKUP($H$7&amp;$F$1,'Input RM sheet'!$A:$BD,AC1,0)</f>
        <v>910</v>
      </c>
      <c r="AE7" s="74">
        <f>VLOOKUP($H$7&amp;$F$1,'Input RM sheet'!$A:$BD,AD1,0)</f>
        <v>930</v>
      </c>
      <c r="AF7" s="74">
        <f>VLOOKUP($H$7&amp;$F$1,'Input RM sheet'!$A:$BD,AE1,0)</f>
        <v>880</v>
      </c>
      <c r="AG7" s="74">
        <f>VLOOKUP($H$7&amp;$F$1,'Input RM sheet'!$A:$BD,AF1,0)</f>
        <v>940</v>
      </c>
      <c r="AH7" s="74">
        <f>VLOOKUP($H$7&amp;$F$1,'Input RM sheet'!$A:$BD,AG1,0)</f>
        <v>1050</v>
      </c>
      <c r="AI7" s="74">
        <f>VLOOKUP($H$7&amp;$F$1,'Input RM sheet'!$A:$BD,AH1,0)</f>
        <v>1250</v>
      </c>
      <c r="AJ7" s="74">
        <f>VLOOKUP($H$7&amp;$F$1,'Input RM sheet'!$A:$BD,AI1,0)</f>
        <v>1220</v>
      </c>
      <c r="AK7" s="74">
        <f>VLOOKUP($H$7&amp;$F$1,'Input RM sheet'!$A:$BD,AJ1,0)</f>
        <v>1210</v>
      </c>
      <c r="AL7" s="74">
        <f>VLOOKUP($H$7&amp;$F$1,'Input RM sheet'!$A:$BD,AK1,0)</f>
        <v>1250</v>
      </c>
      <c r="AM7" s="74">
        <f>VLOOKUP($H$7&amp;$F$1,'Input RM sheet'!$A:$BD,AL1,0)</f>
        <v>1150</v>
      </c>
      <c r="AN7" s="74">
        <f>VLOOKUP($H$7&amp;$F$1,'Input RM sheet'!$A:$BD,AM1,0)</f>
        <v>1060</v>
      </c>
      <c r="AO7" s="74">
        <f>VLOOKUP($H$7&amp;$F$1,'Input RM sheet'!$A:$BD,AN1,0)</f>
        <v>1140</v>
      </c>
      <c r="AP7" s="74">
        <f>VLOOKUP($H$7&amp;$F$1,'Input RM sheet'!$A:$BD,AO1,0)</f>
        <v>1160</v>
      </c>
      <c r="AQ7" s="74">
        <f>VLOOKUP($H$7&amp;$F$1,'Input RM sheet'!$A:$BD,AP1,0)</f>
        <v>1060</v>
      </c>
      <c r="AR7" s="74">
        <f>VLOOKUP($H$7&amp;$F$1,'Input RM sheet'!$A:$BD,AQ1,0)</f>
        <v>1000</v>
      </c>
      <c r="AS7" s="74">
        <f>VLOOKUP($H$7&amp;$F$1,'Input RM sheet'!$A:$BD,AR1,0)</f>
        <v>1020</v>
      </c>
      <c r="AT7" s="74">
        <f>VLOOKUP($H$7&amp;$F$1,'Input RM sheet'!$A:$BD,AS1,0)</f>
        <v>1120</v>
      </c>
      <c r="AU7" s="74">
        <f>VLOOKUP($H$7&amp;$F$1,'Input RM sheet'!$A:$BD,AT1,0)</f>
        <v>1155</v>
      </c>
      <c r="AV7" s="74">
        <f>VLOOKUP($H$7&amp;$F$1,'Input RM sheet'!$A:$BD,AU1,0)</f>
        <v>1160</v>
      </c>
      <c r="AW7" s="74">
        <f>VLOOKUP($H$7&amp;$F$1,'Input RM sheet'!$A:$BD,AV1,0)</f>
        <v>1100</v>
      </c>
      <c r="AX7" s="74">
        <f>VLOOKUP($H$7&amp;$F$1,'Input RM sheet'!$A:$BD,AW1,0)</f>
        <v>1060</v>
      </c>
      <c r="AY7" s="74">
        <f>VLOOKUP($H$7&amp;$F$1,'Input RM sheet'!$A:$BD,AX1,0)</f>
        <v>1060</v>
      </c>
      <c r="AZ7" s="74">
        <f>VLOOKUP($H$7&amp;$F$1,'Input RM sheet'!$A:$BD,AY1,0)</f>
        <v>1060</v>
      </c>
      <c r="BA7" s="74">
        <f>VLOOKUP($H$7&amp;$F$1,'Input RM sheet'!$A:$BD,AZ1,0)</f>
        <v>1061</v>
      </c>
      <c r="BB7" s="74">
        <f>VLOOKUP($H$7&amp;$F$1,'Input RM sheet'!$A:$BD,BA1,0)</f>
        <v>1170</v>
      </c>
      <c r="BC7" s="74">
        <f>VLOOKUP($H$7&amp;$F$1,'Input RM sheet'!$A:$BD,BB1,0)</f>
        <v>1170</v>
      </c>
      <c r="BD7" s="74">
        <f>VLOOKUP($H$7&amp;$F$1,'Input RM sheet'!$A:$BD,BC1,0)</f>
        <v>1150</v>
      </c>
      <c r="BE7" s="74">
        <f>VLOOKUP($H$7&amp;$F$1,'Input RM sheet'!$A:$BD,BD1,0)</f>
        <v>1150</v>
      </c>
      <c r="BF7" s="74">
        <f>VLOOKUP($H$7&amp;$F$1,'Input RM sheet'!$A:$BD,BE1,0)</f>
        <v>1150</v>
      </c>
      <c r="BG7" s="74">
        <f>VLOOKUP($H$7&amp;$F$1,'Input RM sheet'!$A:$DD,BF1,0)</f>
        <v>1145</v>
      </c>
      <c r="BH7" s="74">
        <f>VLOOKUP($H$7&amp;$F$1,'Input RM sheet'!$A:$DD,BG1,0)</f>
        <v>1178</v>
      </c>
      <c r="BI7" s="74">
        <f>VLOOKUP($H$7&amp;$F$1,'Input RM sheet'!$A:$DD,BH1,0)</f>
        <v>1178</v>
      </c>
      <c r="BJ7" s="74">
        <f>VLOOKUP($H$7&amp;$F$1,'Input RM sheet'!$A:$DD,BI1,0)</f>
        <v>1175</v>
      </c>
      <c r="BK7" s="74">
        <f>VLOOKUP($H$7&amp;$F$1,'Input RM sheet'!$A:$DD,BJ1,0)</f>
        <v>1157</v>
      </c>
      <c r="BL7" s="74">
        <f>VLOOKUP($H$7&amp;$F$1,'Input RM sheet'!$A:$DD,BK1,0)</f>
        <v>1100</v>
      </c>
      <c r="BM7" s="74">
        <f>VLOOKUP($H$7&amp;$F$1,'Input RM sheet'!$A:$DD,BL1,0)</f>
        <v>1023</v>
      </c>
      <c r="BN7" s="74">
        <f>VLOOKUP($H$7&amp;$F$1,'Input RM sheet'!$A:$DD,BM1,0)</f>
        <v>1019</v>
      </c>
      <c r="BO7" s="74">
        <f>VLOOKUP($H$7&amp;$F$1,'Input RM sheet'!$A:$DD,BN1,0)</f>
        <v>1004</v>
      </c>
      <c r="BP7" s="74">
        <f>VLOOKUP($H$7&amp;$F$1,'Input RM sheet'!$A:$DD,BO1,0)</f>
        <v>999</v>
      </c>
      <c r="BQ7" s="74">
        <f>VLOOKUP($H$7&amp;$F$1,'Input RM sheet'!$A:$DD,BP1,0)</f>
        <v>984</v>
      </c>
      <c r="BR7" s="74">
        <f>VLOOKUP($H$7&amp;$F$1,'Input RM sheet'!$A:$DD,BQ1,0)</f>
        <v>984</v>
      </c>
      <c r="BS7" s="74">
        <f>VLOOKUP($H$7&amp;$F$1,'Input RM sheet'!$A:$DD,BR1,0)</f>
        <v>964</v>
      </c>
      <c r="BT7" s="74">
        <f>VLOOKUP($H$7&amp;$F$1,'Input RM sheet'!$A:$DD,BS1,0)</f>
        <v>959</v>
      </c>
      <c r="BU7" s="74">
        <f>VLOOKUP($H$7&amp;$F$1,'Input RM sheet'!$A:$DD,BT1,0)</f>
        <v>959</v>
      </c>
      <c r="BV7" s="74">
        <f>VLOOKUP($H$7&amp;$F$1,'Input RM sheet'!$A:$DD,BU1,0)</f>
        <v>959</v>
      </c>
      <c r="BW7" s="74">
        <f>VLOOKUP($H$7&amp;$F$1,'Input RM sheet'!$A:$DD,BV1,0)</f>
        <v>1006</v>
      </c>
      <c r="BX7" s="74">
        <f>VLOOKUP($H$7&amp;$F$1,'Input RM sheet'!$A:$DD,BW1,0)</f>
        <v>1012</v>
      </c>
      <c r="BY7" s="74">
        <f>VLOOKUP($H$7&amp;$F$1,'Input RM sheet'!$A:$DD,BX1,0)</f>
        <v>1020</v>
      </c>
      <c r="BZ7" s="74">
        <f>VLOOKUP($H$7&amp;$F$1,'Input RM sheet'!$A:$DD,BY1,0)</f>
        <v>1028</v>
      </c>
      <c r="CA7" s="74">
        <f>VLOOKUP($H$7&amp;$F$1,'Input RM sheet'!$A:$DD,BZ1,0)</f>
        <v>1024</v>
      </c>
      <c r="CB7" s="74">
        <f>VLOOKUP($H$7&amp;$F$1,'Input RM sheet'!$A:$DD,CA1,0)</f>
        <v>1014</v>
      </c>
      <c r="CC7" s="74">
        <f>VLOOKUP($H$7&amp;$F$1,'Input RM sheet'!$A:$DD,CB1,0)</f>
        <v>1033</v>
      </c>
      <c r="CD7" s="74">
        <f>VLOOKUP($H$7&amp;$F$1,'Input RM sheet'!$A:$DD,CC1,0)</f>
        <v>1039</v>
      </c>
      <c r="CE7" s="74">
        <f>VLOOKUP($H$7&amp;$F$1,'Input RM sheet'!$A:$DD,CD1,0)</f>
        <v>1044</v>
      </c>
      <c r="CF7" s="74">
        <f>VLOOKUP($H$7&amp;$F$1,'Input RM sheet'!$A:$DD,CE1,0)</f>
        <v>1044</v>
      </c>
      <c r="CG7" s="74">
        <f>VLOOKUP($H$7&amp;$F$1,'Input RM sheet'!$A:$DD,CF1,0)</f>
        <v>1058.5</v>
      </c>
      <c r="CH7" s="74">
        <f>VLOOKUP($H$7&amp;$F$1,'Input RM sheet'!$A:$DD,CG1,0)</f>
        <v>1056</v>
      </c>
      <c r="CI7" s="74">
        <f>VLOOKUP($H$7&amp;$F$1,'Input RM sheet'!$A:$DD,CH1,0)</f>
        <v>1066</v>
      </c>
      <c r="CJ7" s="74">
        <f>VLOOKUP($H$7&amp;$F$1,'Input RM sheet'!$A:$DD,CI1,0)</f>
        <v>1066</v>
      </c>
      <c r="CK7" s="74">
        <f>VLOOKUP($H$7&amp;$F$1,'Input RM sheet'!$A:$DD,CJ1,0)</f>
        <v>1074</v>
      </c>
      <c r="CL7" s="74">
        <f>VLOOKUP($H$7&amp;$F$1,'Input RM sheet'!$A:$DD,CK1,0)</f>
        <v>1081</v>
      </c>
      <c r="CM7" s="74">
        <f>VLOOKUP($H$7&amp;$F$1,'Input RM sheet'!$A:$DD,CL1,0)</f>
        <v>1079</v>
      </c>
      <c r="CN7" s="74">
        <f>VLOOKUP($H$7&amp;$F$1,'Input RM sheet'!$A:$DD,CM1,0)</f>
        <v>1079</v>
      </c>
      <c r="CO7" s="74">
        <f>VLOOKUP($H$7&amp;$F$1,'Input RM sheet'!$A:$DD,CN1,0)</f>
        <v>1079</v>
      </c>
      <c r="CP7" s="74">
        <f>VLOOKUP($H$7&amp;$F$1,'Input RM sheet'!$A:$DD,CO1,0)</f>
        <v>1079</v>
      </c>
      <c r="CQ7" s="74">
        <f>VLOOKUP($H$7&amp;$F$1,'Input RM sheet'!$A:$DD,CP1,0)</f>
        <v>1100</v>
      </c>
      <c r="CR7" s="74">
        <f>VLOOKUP($H$7&amp;$F$1,'Input RM sheet'!$A:$DD,CQ1,0)</f>
        <v>1109</v>
      </c>
      <c r="CS7" s="74">
        <f>VLOOKUP($H$7&amp;$F$1,'Input RM sheet'!$A:$DD,CR1,0)</f>
        <v>1161</v>
      </c>
      <c r="CT7" s="74">
        <f>VLOOKUP($H$7&amp;$F$1,'Input RM sheet'!$A:$DD,CS1,0)</f>
        <v>1159</v>
      </c>
      <c r="CU7" s="74">
        <f>VLOOKUP($H$7&amp;$F$1,'Input RM sheet'!$A:$DD,CT1,0)</f>
        <v>1160</v>
      </c>
      <c r="CV7" s="74">
        <f>VLOOKUP($H$7&amp;$F$1,'Input RM sheet'!$A:$ZZ,CU1,0)</f>
        <v>1138</v>
      </c>
      <c r="CW7" s="74">
        <f>VLOOKUP($H$7&amp;$F$1,'Input RM sheet'!$A:$ZZ,CV1,0)</f>
        <v>1100</v>
      </c>
      <c r="CX7" s="74">
        <f>VLOOKUP($H$7&amp;$F$1,'Input RM sheet'!$A:$ZZ,CW1,0)</f>
        <v>1090</v>
      </c>
      <c r="CY7" s="74">
        <f>VLOOKUP($H$7&amp;$F$1,'Input RM sheet'!$A:$ZZ,CX1,0)</f>
        <v>1060</v>
      </c>
      <c r="CZ7" s="74">
        <f>VLOOKUP($H$7&amp;$F$1,'Input RM sheet'!$A:$ZZ,CY1,0)</f>
        <v>1060</v>
      </c>
      <c r="DA7" s="74">
        <f>VLOOKUP($H$7&amp;$F$1,'Input RM sheet'!$A:$ZZ,CZ1,0)</f>
        <v>1039</v>
      </c>
      <c r="DB7" s="74">
        <f>VLOOKUP($H$7&amp;$F$1,'Input RM sheet'!$A:$ZZ,DA1,0)</f>
        <v>1010</v>
      </c>
      <c r="DC7" s="74">
        <f>VLOOKUP($H$7&amp;$F$1,'Input RM sheet'!$A:$ZZ,DB1,0)</f>
        <v>980</v>
      </c>
      <c r="DD7" s="74">
        <f>VLOOKUP($H$7&amp;$F$1,'Input RM sheet'!$A:$ZZ,DC1,0)</f>
        <v>978</v>
      </c>
      <c r="DE7" s="74">
        <f>VLOOKUP($H$7&amp;$F$1,'Input RM sheet'!$A:$ZZ,DD1,0)</f>
        <v>954</v>
      </c>
      <c r="DF7" s="74">
        <f>VLOOKUP($H$7&amp;$F$1,'Input RM sheet'!$A:$ZZ,DE1,0)</f>
        <v>890</v>
      </c>
      <c r="DG7" s="74">
        <f>VLOOKUP($H$7&amp;$F$1,'Input RM sheet'!$A:$ZZ,DF1,0)</f>
        <v>890</v>
      </c>
      <c r="DH7" s="74">
        <f>VLOOKUP($H$7&amp;$F$1,'Input RM sheet'!$A:$ZZ,DG1,0)</f>
        <v>903</v>
      </c>
      <c r="DI7" s="74">
        <f>VLOOKUP($H$7&amp;$F$1,'Input RM sheet'!$A:$ZZ,DH1,0)</f>
        <v>903</v>
      </c>
      <c r="DJ7" s="74">
        <f>VLOOKUP($H$7&amp;$F$1,'Input RM sheet'!$A:$ZZ,DI1,0)</f>
        <v>874</v>
      </c>
      <c r="DK7" s="74">
        <f>VLOOKUP($H$7&amp;$F$1,'Input RM sheet'!$A:$ZZ,DJ1,0)</f>
        <v>874</v>
      </c>
      <c r="DL7" s="74">
        <f>VLOOKUP($H$7&amp;$F$1,'Input RM sheet'!$A:$ZZ,DK1,0)</f>
        <v>859</v>
      </c>
      <c r="DM7" s="74">
        <f>VLOOKUP($H$7&amp;$F$1,'Input RM sheet'!$A:$ZZ,DL1,0)</f>
        <v>859</v>
      </c>
      <c r="DN7" s="74">
        <f>VLOOKUP($H$7&amp;$F$1,'Input RM sheet'!$A:$ZZ,DM1,0)</f>
        <v>859</v>
      </c>
      <c r="DO7" s="74">
        <f>VLOOKUP($H$7&amp;$F$1,'Input RM sheet'!$A:$ZZ,DN1,0)</f>
        <v>850</v>
      </c>
      <c r="DP7" s="74">
        <f>VLOOKUP($H$7&amp;$F$1,'Input RM sheet'!$A:$ZZ,DO1,0)</f>
        <v>849</v>
      </c>
      <c r="DQ7" s="74">
        <f>VLOOKUP($H$7&amp;$F$1,'Input RM sheet'!$A:$ZZ,DP1,0)</f>
        <v>850</v>
      </c>
      <c r="DR7" s="74">
        <f>VLOOKUP($H$7&amp;$F$1,'Input RM sheet'!$A:$ZZ,DQ1,0)</f>
        <v>850</v>
      </c>
      <c r="DS7" s="74">
        <f>VLOOKUP($H$7&amp;$F$1,'Input RM sheet'!$A:$ZZ,DR1,0)</f>
        <v>854</v>
      </c>
      <c r="DT7" s="74">
        <f>VLOOKUP($H$7&amp;$F$1,'Input RM sheet'!$A:$ZZ,DS1,0)</f>
        <v>0</v>
      </c>
      <c r="DU7" s="74">
        <f>VLOOKUP($H$7&amp;$F$1,'Input RM sheet'!$A:$ZZ,DT1,0)</f>
        <v>0</v>
      </c>
      <c r="DV7" s="74">
        <f>VLOOKUP($H$7&amp;$F$1,'Input RM sheet'!$A:$ZZ,DU1,0)</f>
        <v>0</v>
      </c>
      <c r="DW7" s="74">
        <f>VLOOKUP($H$7&amp;$F$1,'Input RM sheet'!$A:$ZZ,DV1,0)</f>
        <v>0</v>
      </c>
      <c r="DX7" s="74">
        <f>VLOOKUP($H$7&amp;$F$1,'Input RM sheet'!$A:$ZZ,DW1,0)</f>
        <v>0</v>
      </c>
      <c r="DY7" s="74">
        <f>VLOOKUP($H$7&amp;$F$1,'Input RM sheet'!$A:$ZZ,DX1,0)</f>
        <v>0</v>
      </c>
      <c r="DZ7" s="74">
        <f>VLOOKUP($H$7&amp;$F$1,'Input RM sheet'!$A:$ZZ,DY1,0)</f>
        <v>0</v>
      </c>
      <c r="EA7" s="74">
        <f>VLOOKUP($H$7&amp;$F$1,'Input RM sheet'!$A:$ZZ,DZ1,0)</f>
        <v>0</v>
      </c>
      <c r="EB7" s="74">
        <f>VLOOKUP($H$7&amp;$F$1,'Input RM sheet'!$A:$ZZ,EA1,0)</f>
        <v>0</v>
      </c>
      <c r="EC7" s="74">
        <f>VLOOKUP($H$7&amp;$F$1,'Input RM sheet'!$A:$ZZ,EB1,0)</f>
        <v>0</v>
      </c>
      <c r="ED7" s="74">
        <f>VLOOKUP($H$7&amp;$F$1,'Input RM sheet'!$A:$ZZ,EC1,0)</f>
        <v>0</v>
      </c>
      <c r="EE7" s="74">
        <f>VLOOKUP($H$7&amp;$F$1,'Input RM sheet'!$A:$ZZ,ED1,0)</f>
        <v>0</v>
      </c>
      <c r="EF7" s="74">
        <f>VLOOKUP($H$7&amp;$F$1,'Input RM sheet'!$A:$ZZ,EE1,0)</f>
        <v>0</v>
      </c>
      <c r="EG7" s="74">
        <f>VLOOKUP($H$7&amp;$F$1,'Input RM sheet'!$A:$ZZ,EF1,0)</f>
        <v>0</v>
      </c>
      <c r="EH7" s="74">
        <f>VLOOKUP($H$7&amp;$F$1,'Input RM sheet'!$A:$ZZ,EG1,0)</f>
        <v>0</v>
      </c>
      <c r="EI7" s="74">
        <f>VLOOKUP($H$7&amp;$F$1,'Input RM sheet'!$A:$ZZ,EH1,0)</f>
        <v>0</v>
      </c>
      <c r="EJ7" s="74">
        <f>VLOOKUP($H$7&amp;$F$1,'Input RM sheet'!$A:$ZZ,EI1,0)</f>
        <v>0</v>
      </c>
      <c r="EK7" s="74">
        <f>VLOOKUP($H$7&amp;$F$1,'Input RM sheet'!$A:$ZZ,EJ1,0)</f>
        <v>0</v>
      </c>
      <c r="EL7" s="74">
        <f>VLOOKUP($H$7&amp;$F$1,'Input RM sheet'!$A:$ZZ,EK1,0)</f>
        <v>0</v>
      </c>
      <c r="EM7" s="74">
        <f>VLOOKUP($H$7&amp;$F$1,'Input RM sheet'!$A:$ZZ,EL1,0)</f>
        <v>0</v>
      </c>
      <c r="EN7" s="74">
        <f>VLOOKUP($H$7&amp;$F$1,'Input RM sheet'!$A:$ZZ,EM1,0)</f>
        <v>0</v>
      </c>
      <c r="EO7" s="74">
        <f>VLOOKUP($H$7&amp;$F$1,'Input RM sheet'!$A:$ZZ,EN1,0)</f>
        <v>0</v>
      </c>
      <c r="EP7" s="74">
        <f>VLOOKUP($H$7&amp;$F$1,'Input RM sheet'!$A:$ZZ,EO1,0)</f>
        <v>0</v>
      </c>
      <c r="EQ7" s="74">
        <f>VLOOKUP($H$7&amp;$F$1,'Input RM sheet'!$A:$ZZ,EP1,0)</f>
        <v>0</v>
      </c>
      <c r="ER7" s="74">
        <f>VLOOKUP($H$7&amp;$F$1,'Input RM sheet'!$A:$ZZ,EQ1,0)</f>
        <v>0</v>
      </c>
      <c r="ES7" s="74">
        <f>VLOOKUP($H$7&amp;$F$1,'Input RM sheet'!$A:$ZZ,ER1,0)</f>
        <v>0</v>
      </c>
    </row>
    <row r="8" spans="1:153">
      <c r="B8" s="44"/>
      <c r="D8" s="44"/>
      <c r="H8" s="178"/>
      <c r="I8" s="74"/>
      <c r="J8" s="74"/>
      <c r="K8" s="74"/>
      <c r="L8" s="74"/>
      <c r="M8" s="74"/>
      <c r="N8" s="74"/>
      <c r="O8" s="74"/>
      <c r="P8" s="74"/>
      <c r="Q8" s="74"/>
      <c r="R8" s="74"/>
      <c r="S8" s="74"/>
      <c r="T8" s="74"/>
      <c r="U8" s="74"/>
      <c r="V8" s="74"/>
      <c r="W8" s="74"/>
      <c r="X8" s="74"/>
      <c r="Y8" s="74"/>
      <c r="Z8" s="74"/>
      <c r="AA8" s="74"/>
      <c r="AB8" s="74"/>
      <c r="AC8" s="74"/>
      <c r="AD8" s="74"/>
      <c r="AE8" s="74"/>
      <c r="AF8" s="74"/>
      <c r="AG8" s="74"/>
      <c r="AH8" s="74"/>
      <c r="AI8" s="74"/>
      <c r="AJ8" s="74"/>
      <c r="AK8" s="74"/>
      <c r="AL8" s="74"/>
      <c r="AM8" s="74"/>
      <c r="AN8" s="74"/>
      <c r="AO8" s="74"/>
      <c r="AP8" s="74"/>
      <c r="AQ8" s="74"/>
      <c r="AR8" s="74"/>
      <c r="AS8" s="74"/>
      <c r="AT8" s="74"/>
      <c r="AU8" s="74"/>
      <c r="AV8" s="74"/>
      <c r="AW8" s="74"/>
      <c r="AX8" s="74"/>
      <c r="AY8" s="74"/>
      <c r="AZ8" s="74"/>
      <c r="BA8" s="74"/>
      <c r="BB8" s="74"/>
      <c r="BC8" s="74"/>
      <c r="BD8" s="74"/>
      <c r="BE8" s="74"/>
      <c r="BF8" s="74"/>
      <c r="BG8" s="74"/>
      <c r="BH8" s="74"/>
      <c r="BI8" s="74"/>
      <c r="BJ8" s="74"/>
      <c r="BK8" s="74"/>
      <c r="BL8" s="74"/>
      <c r="BM8" s="74"/>
      <c r="BN8" s="74"/>
      <c r="BO8" s="74"/>
      <c r="BP8" s="74"/>
      <c r="BQ8" s="74"/>
      <c r="BR8" s="74"/>
      <c r="BS8" s="74"/>
      <c r="BT8" s="74"/>
      <c r="BU8" s="74"/>
      <c r="BV8" s="74"/>
      <c r="BW8" s="74"/>
      <c r="BX8" s="74"/>
      <c r="BY8" s="74"/>
      <c r="BZ8" s="74"/>
      <c r="CA8" s="74"/>
      <c r="CB8" s="74"/>
      <c r="CC8" s="74"/>
      <c r="CD8" s="74"/>
      <c r="CE8" s="74"/>
      <c r="CF8" s="74"/>
      <c r="CG8" s="74"/>
      <c r="CH8" s="74"/>
      <c r="CI8" s="74"/>
      <c r="CJ8" s="74"/>
      <c r="CK8" s="74"/>
      <c r="CL8" s="74"/>
      <c r="CM8" s="74"/>
      <c r="CN8" s="74"/>
      <c r="CO8" s="74"/>
      <c r="CP8" s="74"/>
      <c r="CQ8" s="74"/>
      <c r="CR8" s="74"/>
      <c r="CS8" s="74"/>
      <c r="CT8" s="74"/>
      <c r="CU8" s="74"/>
      <c r="CV8" s="74"/>
      <c r="CW8" s="74"/>
      <c r="CX8" s="74"/>
      <c r="CY8" s="74"/>
      <c r="CZ8" s="74"/>
      <c r="DA8" s="74"/>
      <c r="DB8" s="74"/>
      <c r="DC8" s="74"/>
      <c r="DD8" s="74"/>
      <c r="DE8" s="74"/>
      <c r="DF8" s="74"/>
      <c r="DG8" s="74"/>
      <c r="DH8" s="74"/>
      <c r="DI8" s="74"/>
      <c r="DJ8" s="74"/>
      <c r="DK8" s="74"/>
      <c r="DL8" s="74"/>
      <c r="DM8" s="74"/>
      <c r="DN8" s="74"/>
      <c r="DO8" s="74"/>
      <c r="DP8" s="74"/>
      <c r="DQ8" s="74"/>
      <c r="DR8" s="74"/>
      <c r="DS8" s="74"/>
      <c r="DT8" s="74"/>
      <c r="DU8" s="74"/>
      <c r="DV8" s="74"/>
      <c r="DW8" s="74"/>
      <c r="DX8" s="74"/>
      <c r="DY8" s="74"/>
      <c r="DZ8" s="74"/>
      <c r="EA8" s="74"/>
      <c r="EB8" s="74"/>
      <c r="EC8" s="74"/>
      <c r="ED8" s="74"/>
      <c r="EE8" s="74"/>
      <c r="EF8" s="74"/>
      <c r="EG8" s="74"/>
      <c r="EH8" s="74"/>
      <c r="EI8" s="74"/>
      <c r="EJ8" s="74"/>
      <c r="EK8" s="74"/>
      <c r="EL8" s="74"/>
      <c r="EM8" s="74"/>
      <c r="EN8" s="74"/>
      <c r="EO8" s="74"/>
      <c r="EP8" s="74"/>
      <c r="EQ8" s="74"/>
      <c r="ER8" s="74"/>
      <c r="ES8" s="74"/>
    </row>
    <row r="9" spans="1:153" ht="26">
      <c r="A9" s="59" t="s">
        <v>395</v>
      </c>
      <c r="B9" s="59"/>
      <c r="C9" s="59" t="s">
        <v>379</v>
      </c>
      <c r="D9" s="98" t="s">
        <v>380</v>
      </c>
      <c r="E9" s="98" t="s">
        <v>381</v>
      </c>
      <c r="F9" s="59" t="s">
        <v>396</v>
      </c>
      <c r="H9" s="60" t="s">
        <v>399</v>
      </c>
      <c r="I9" s="84"/>
      <c r="J9" s="84"/>
      <c r="K9" s="84"/>
      <c r="L9" s="84"/>
      <c r="M9" s="84"/>
      <c r="N9" s="84"/>
      <c r="O9" s="84"/>
      <c r="P9" s="84"/>
      <c r="Q9" s="84"/>
      <c r="R9" s="84"/>
      <c r="S9" s="84"/>
      <c r="T9" s="84"/>
      <c r="U9" s="84"/>
      <c r="V9" s="84"/>
      <c r="W9" s="84"/>
      <c r="X9" s="84"/>
      <c r="Y9" s="84"/>
      <c r="Z9" s="84"/>
      <c r="AA9" s="84"/>
      <c r="AB9" s="84"/>
      <c r="AC9" s="84"/>
      <c r="AD9" s="84"/>
      <c r="AE9" s="84"/>
      <c r="AF9" s="84"/>
      <c r="AG9" s="84"/>
      <c r="AH9" s="84"/>
      <c r="AI9" s="84"/>
      <c r="AJ9" s="84"/>
      <c r="AK9" s="84"/>
      <c r="AL9" s="84"/>
      <c r="AM9" s="84"/>
      <c r="AN9" s="84"/>
      <c r="AO9" s="84"/>
      <c r="AP9" s="84"/>
      <c r="AQ9" s="84"/>
      <c r="AR9" s="84"/>
      <c r="AS9" s="84"/>
      <c r="AT9" s="84"/>
      <c r="AU9" s="84"/>
    </row>
    <row r="10" spans="1:153" ht="13">
      <c r="A10" s="107" t="s">
        <v>397</v>
      </c>
      <c r="B10" s="178" t="s">
        <v>762</v>
      </c>
      <c r="C10" s="60">
        <v>1</v>
      </c>
      <c r="D10" s="65">
        <v>106.16</v>
      </c>
      <c r="E10" s="60">
        <f>D10*C10</f>
        <v>106.16</v>
      </c>
      <c r="F10" s="65">
        <f>E10/E2+0.03</f>
        <v>0.7468129642133694</v>
      </c>
      <c r="I10" s="74">
        <f>$F$10*(I7/1000)</f>
        <v>0.6123866306549629</v>
      </c>
      <c r="J10" s="74">
        <f t="shared" ref="J10:BU10" si="0">$F$10*(J7/1000)</f>
        <v>0.56010972316002705</v>
      </c>
      <c r="K10" s="74">
        <f t="shared" si="0"/>
        <v>0.44808777852802162</v>
      </c>
      <c r="L10" s="74">
        <f t="shared" si="0"/>
        <v>0.32859770425388252</v>
      </c>
      <c r="M10" s="74">
        <f t="shared" si="0"/>
        <v>0.34353396353814997</v>
      </c>
      <c r="N10" s="74">
        <f t="shared" si="0"/>
        <v>0.3883427413909521</v>
      </c>
      <c r="O10" s="74">
        <f t="shared" si="0"/>
        <v>0.3883427413909521</v>
      </c>
      <c r="P10" s="74">
        <f t="shared" si="0"/>
        <v>0.39207680621201896</v>
      </c>
      <c r="Q10" s="74">
        <f t="shared" si="0"/>
        <v>0.39954493585415263</v>
      </c>
      <c r="R10" s="74">
        <f t="shared" si="0"/>
        <v>0.41074713031735322</v>
      </c>
      <c r="S10" s="74">
        <f t="shared" si="0"/>
        <v>0.44808777852802162</v>
      </c>
      <c r="T10" s="74">
        <f t="shared" si="0"/>
        <v>0.50036468602295758</v>
      </c>
      <c r="U10" s="74">
        <f t="shared" si="0"/>
        <v>0.48169436191762327</v>
      </c>
      <c r="V10" s="74">
        <f t="shared" si="0"/>
        <v>0.54143939905469285</v>
      </c>
      <c r="W10" s="74">
        <f t="shared" si="0"/>
        <v>0.59745037137069557</v>
      </c>
      <c r="X10" s="74">
        <f t="shared" si="0"/>
        <v>0.58251411208642812</v>
      </c>
      <c r="Y10" s="74">
        <f t="shared" si="0"/>
        <v>0.59745037137069557</v>
      </c>
      <c r="Z10" s="74">
        <f t="shared" si="0"/>
        <v>0.60118443619176243</v>
      </c>
      <c r="AA10" s="74">
        <f t="shared" si="0"/>
        <v>0.6183611343686698</v>
      </c>
      <c r="AB10" s="74">
        <f t="shared" si="0"/>
        <v>0.61985476029709652</v>
      </c>
      <c r="AC10" s="74">
        <f t="shared" si="0"/>
        <v>0.64449958811613783</v>
      </c>
      <c r="AD10" s="74">
        <f t="shared" si="0"/>
        <v>0.67959979743416621</v>
      </c>
      <c r="AE10" s="74">
        <f t="shared" si="0"/>
        <v>0.69453605671843355</v>
      </c>
      <c r="AF10" s="74">
        <f t="shared" si="0"/>
        <v>0.65719540850776503</v>
      </c>
      <c r="AG10" s="74">
        <f t="shared" si="0"/>
        <v>0.70200418636056716</v>
      </c>
      <c r="AH10" s="74">
        <f t="shared" si="0"/>
        <v>0.78415361242403792</v>
      </c>
      <c r="AI10" s="74">
        <f t="shared" si="0"/>
        <v>0.93351620526671175</v>
      </c>
      <c r="AJ10" s="74">
        <f t="shared" si="0"/>
        <v>0.91111181634031069</v>
      </c>
      <c r="AK10" s="74">
        <f t="shared" si="0"/>
        <v>0.90364368669817696</v>
      </c>
      <c r="AL10" s="74">
        <f t="shared" si="0"/>
        <v>0.93351620526671175</v>
      </c>
      <c r="AM10" s="74">
        <f t="shared" si="0"/>
        <v>0.85883490884537472</v>
      </c>
      <c r="AN10" s="74">
        <f t="shared" si="0"/>
        <v>0.79162174206617164</v>
      </c>
      <c r="AO10" s="74">
        <f t="shared" si="0"/>
        <v>0.851366779203241</v>
      </c>
      <c r="AP10" s="74">
        <f t="shared" si="0"/>
        <v>0.86630303848750845</v>
      </c>
      <c r="AQ10" s="74">
        <f t="shared" si="0"/>
        <v>0.79162174206617164</v>
      </c>
      <c r="AR10" s="74">
        <f t="shared" si="0"/>
        <v>0.7468129642133694</v>
      </c>
      <c r="AS10" s="74">
        <f t="shared" si="0"/>
        <v>0.76174922349763685</v>
      </c>
      <c r="AT10" s="74">
        <f t="shared" si="0"/>
        <v>0.83643051991897377</v>
      </c>
      <c r="AU10" s="74">
        <f t="shared" si="0"/>
        <v>0.8625689736664417</v>
      </c>
      <c r="AV10" s="74">
        <f t="shared" si="0"/>
        <v>0.86630303848750845</v>
      </c>
      <c r="AW10" s="74">
        <f t="shared" si="0"/>
        <v>0.82149426063470643</v>
      </c>
      <c r="AX10" s="74">
        <f t="shared" si="0"/>
        <v>0.79162174206617164</v>
      </c>
      <c r="AY10" s="74">
        <f t="shared" si="0"/>
        <v>0.79162174206617164</v>
      </c>
      <c r="AZ10" s="74">
        <f t="shared" si="0"/>
        <v>0.79162174206617164</v>
      </c>
      <c r="BA10" s="74">
        <f t="shared" si="0"/>
        <v>0.79236855503038495</v>
      </c>
      <c r="BB10" s="74">
        <f t="shared" si="0"/>
        <v>0.87377116812964217</v>
      </c>
      <c r="BC10" s="74">
        <f t="shared" si="0"/>
        <v>0.87377116812964217</v>
      </c>
      <c r="BD10" s="74">
        <f t="shared" si="0"/>
        <v>0.85883490884537472</v>
      </c>
      <c r="BE10" s="74">
        <f t="shared" si="0"/>
        <v>0.85883490884537472</v>
      </c>
      <c r="BF10" s="74">
        <f t="shared" si="0"/>
        <v>0.85883490884537472</v>
      </c>
      <c r="BG10" s="74">
        <f t="shared" si="0"/>
        <v>0.85510084402430797</v>
      </c>
      <c r="BH10" s="74">
        <f t="shared" si="0"/>
        <v>0.87974567184334906</v>
      </c>
      <c r="BI10" s="74">
        <f t="shared" si="0"/>
        <v>0.87974567184334906</v>
      </c>
      <c r="BJ10" s="74">
        <f t="shared" si="0"/>
        <v>0.87750523295070904</v>
      </c>
      <c r="BK10" s="74">
        <f t="shared" si="0"/>
        <v>0.86406259959486842</v>
      </c>
      <c r="BL10" s="74">
        <f t="shared" si="0"/>
        <v>0.82149426063470643</v>
      </c>
      <c r="BM10" s="74">
        <f t="shared" si="0"/>
        <v>0.76398966239027688</v>
      </c>
      <c r="BN10" s="74">
        <f t="shared" si="0"/>
        <v>0.76100241053342332</v>
      </c>
      <c r="BO10" s="74">
        <f t="shared" si="0"/>
        <v>0.74980021607022285</v>
      </c>
      <c r="BP10" s="74">
        <f t="shared" si="0"/>
        <v>0.74606615124915598</v>
      </c>
      <c r="BQ10" s="74">
        <f t="shared" si="0"/>
        <v>0.73486395678595551</v>
      </c>
      <c r="BR10" s="74">
        <f t="shared" si="0"/>
        <v>0.73486395678595551</v>
      </c>
      <c r="BS10" s="74">
        <f t="shared" si="0"/>
        <v>0.71992769750168806</v>
      </c>
      <c r="BT10" s="74">
        <f t="shared" si="0"/>
        <v>0.71619363268062119</v>
      </c>
      <c r="BU10" s="74">
        <f t="shared" si="0"/>
        <v>0.71619363268062119</v>
      </c>
      <c r="BV10" s="74">
        <f>$F$10*(BV7/1000)</f>
        <v>0.71619363268062119</v>
      </c>
      <c r="BW10" s="74">
        <f>$F$10*(BW7/1000)</f>
        <v>0.75129384199864957</v>
      </c>
      <c r="BX10" s="74">
        <f>$F$10*(BX7/1000)</f>
        <v>0.75577471978392985</v>
      </c>
      <c r="BY10" s="74">
        <f>$F$10*(BY7/1000)</f>
        <v>0.76174922349763685</v>
      </c>
      <c r="BZ10" s="74">
        <f t="shared" ref="BZ10:CH10" si="1">$F$10*(BZ7/1000)</f>
        <v>0.76772372721134374</v>
      </c>
      <c r="CA10" s="74">
        <f t="shared" si="1"/>
        <v>0.7647364753544903</v>
      </c>
      <c r="CB10" s="74">
        <f t="shared" si="1"/>
        <v>0.75726834571235657</v>
      </c>
      <c r="CC10" s="74">
        <f t="shared" si="1"/>
        <v>0.77145779203241049</v>
      </c>
      <c r="CD10" s="74">
        <f t="shared" si="1"/>
        <v>0.77593866981769077</v>
      </c>
      <c r="CE10" s="74">
        <f t="shared" si="1"/>
        <v>0.77967273463875764</v>
      </c>
      <c r="CF10" s="74">
        <f t="shared" si="1"/>
        <v>0.77967273463875764</v>
      </c>
      <c r="CG10" s="74">
        <f t="shared" si="1"/>
        <v>0.79050152261985152</v>
      </c>
      <c r="CH10" s="74">
        <f t="shared" si="1"/>
        <v>0.78863449020931808</v>
      </c>
      <c r="CI10" s="74">
        <f>$F$10*(CI7/1000)</f>
        <v>0.79610261985145181</v>
      </c>
      <c r="CJ10" s="74">
        <f>$F$10*(CJ7/1000)</f>
        <v>0.79610261985145181</v>
      </c>
      <c r="CK10" s="74">
        <f>$F$10*(CK7/1000)</f>
        <v>0.80207712356515881</v>
      </c>
      <c r="CL10" s="74">
        <f>$F$10*(CL7/1000)</f>
        <v>0.80730481431465229</v>
      </c>
      <c r="CM10" s="74">
        <f t="shared" ref="CM10:CV10" si="2">$F$10*(CM7/1000)</f>
        <v>0.80581118838622556</v>
      </c>
      <c r="CN10" s="74">
        <f t="shared" si="2"/>
        <v>0.80581118838622556</v>
      </c>
      <c r="CO10" s="74">
        <f t="shared" si="2"/>
        <v>0.80581118838622556</v>
      </c>
      <c r="CP10" s="74">
        <f t="shared" si="2"/>
        <v>0.80581118838622556</v>
      </c>
      <c r="CQ10" s="74">
        <f t="shared" si="2"/>
        <v>0.82149426063470643</v>
      </c>
      <c r="CR10" s="74">
        <f t="shared" si="2"/>
        <v>0.82821557731262663</v>
      </c>
      <c r="CS10" s="74">
        <f t="shared" si="2"/>
        <v>0.86704985145172186</v>
      </c>
      <c r="CT10" s="74">
        <f t="shared" si="2"/>
        <v>0.86555622552329514</v>
      </c>
      <c r="CU10" s="74">
        <f t="shared" si="2"/>
        <v>0.86630303848750845</v>
      </c>
      <c r="CV10" s="74">
        <f t="shared" si="2"/>
        <v>0.84987315327481427</v>
      </c>
      <c r="CW10" s="74">
        <f t="shared" ref="CW10:ES10" si="3">$F$10*(CW7/1000)</f>
        <v>0.82149426063470643</v>
      </c>
      <c r="CX10" s="74">
        <f t="shared" si="3"/>
        <v>0.81402613099257271</v>
      </c>
      <c r="CY10" s="74">
        <f t="shared" si="3"/>
        <v>0.79162174206617164</v>
      </c>
      <c r="CZ10" s="74">
        <f t="shared" si="3"/>
        <v>0.79162174206617164</v>
      </c>
      <c r="DA10" s="74">
        <f t="shared" si="3"/>
        <v>0.77593866981769077</v>
      </c>
      <c r="DB10" s="74">
        <f t="shared" si="3"/>
        <v>0.75428109385550313</v>
      </c>
      <c r="DC10" s="74">
        <f t="shared" si="3"/>
        <v>0.73187670492910195</v>
      </c>
      <c r="DD10" s="74">
        <f t="shared" si="3"/>
        <v>0.73038307900067523</v>
      </c>
      <c r="DE10" s="74">
        <f t="shared" si="3"/>
        <v>0.71245956785955433</v>
      </c>
      <c r="DF10" s="74">
        <f t="shared" si="3"/>
        <v>0.66466353814989876</v>
      </c>
      <c r="DG10" s="74">
        <f t="shared" si="3"/>
        <v>0.66466353814989876</v>
      </c>
      <c r="DH10" s="74">
        <f t="shared" si="3"/>
        <v>0.67437210668467262</v>
      </c>
      <c r="DI10" s="74">
        <f t="shared" si="3"/>
        <v>0.67437210668467262</v>
      </c>
      <c r="DJ10" s="74">
        <f t="shared" si="3"/>
        <v>0.65271453072248486</v>
      </c>
      <c r="DK10" s="74">
        <f t="shared" si="3"/>
        <v>0.65271453072248486</v>
      </c>
      <c r="DL10" s="74">
        <f t="shared" si="3"/>
        <v>0.64151233625928428</v>
      </c>
      <c r="DM10" s="74">
        <f t="shared" si="3"/>
        <v>0.64151233625928428</v>
      </c>
      <c r="DN10" s="74">
        <f t="shared" si="3"/>
        <v>0.64151233625928428</v>
      </c>
      <c r="DO10" s="74">
        <f t="shared" si="3"/>
        <v>0.63479101958136397</v>
      </c>
      <c r="DP10" s="74">
        <f t="shared" si="3"/>
        <v>0.63404420661715055</v>
      </c>
      <c r="DQ10" s="74">
        <f t="shared" si="3"/>
        <v>0.63479101958136397</v>
      </c>
      <c r="DR10" s="74">
        <f t="shared" si="3"/>
        <v>0.63479101958136397</v>
      </c>
      <c r="DS10" s="74">
        <f t="shared" si="3"/>
        <v>0.63777827143821741</v>
      </c>
      <c r="DT10" s="74">
        <f t="shared" si="3"/>
        <v>0</v>
      </c>
      <c r="DU10" s="74">
        <f t="shared" si="3"/>
        <v>0</v>
      </c>
      <c r="DV10" s="74">
        <f t="shared" si="3"/>
        <v>0</v>
      </c>
      <c r="DW10" s="74">
        <f t="shared" si="3"/>
        <v>0</v>
      </c>
      <c r="DX10" s="74">
        <f t="shared" si="3"/>
        <v>0</v>
      </c>
      <c r="DY10" s="74">
        <f t="shared" si="3"/>
        <v>0</v>
      </c>
      <c r="DZ10" s="74">
        <f t="shared" si="3"/>
        <v>0</v>
      </c>
      <c r="EA10" s="74">
        <f t="shared" si="3"/>
        <v>0</v>
      </c>
      <c r="EB10" s="74">
        <f t="shared" si="3"/>
        <v>0</v>
      </c>
      <c r="EC10" s="74">
        <f t="shared" si="3"/>
        <v>0</v>
      </c>
      <c r="ED10" s="74">
        <f t="shared" si="3"/>
        <v>0</v>
      </c>
      <c r="EE10" s="74">
        <f t="shared" si="3"/>
        <v>0</v>
      </c>
      <c r="EF10" s="74">
        <f t="shared" si="3"/>
        <v>0</v>
      </c>
      <c r="EG10" s="74">
        <f t="shared" si="3"/>
        <v>0</v>
      </c>
      <c r="EH10" s="74">
        <f t="shared" si="3"/>
        <v>0</v>
      </c>
      <c r="EI10" s="74">
        <f t="shared" si="3"/>
        <v>0</v>
      </c>
      <c r="EJ10" s="74">
        <f t="shared" si="3"/>
        <v>0</v>
      </c>
      <c r="EK10" s="74">
        <f t="shared" si="3"/>
        <v>0</v>
      </c>
      <c r="EL10" s="74">
        <f t="shared" si="3"/>
        <v>0</v>
      </c>
      <c r="EM10" s="74">
        <f t="shared" si="3"/>
        <v>0</v>
      </c>
      <c r="EN10" s="74">
        <f t="shared" si="3"/>
        <v>0</v>
      </c>
      <c r="EO10" s="74">
        <f t="shared" si="3"/>
        <v>0</v>
      </c>
      <c r="EP10" s="74">
        <f t="shared" si="3"/>
        <v>0</v>
      </c>
      <c r="EQ10" s="74">
        <f t="shared" si="3"/>
        <v>0</v>
      </c>
      <c r="ER10" s="74">
        <f t="shared" si="3"/>
        <v>0</v>
      </c>
      <c r="ES10" s="74">
        <f t="shared" si="3"/>
        <v>0</v>
      </c>
    </row>
    <row r="11" spans="1:153" s="104" customFormat="1">
      <c r="A11" s="104" t="s">
        <v>400</v>
      </c>
      <c r="H11" s="60"/>
      <c r="I11" s="105">
        <f t="shared" ref="I11:AN11" si="4">SUM(I10:I10)</f>
        <v>0.6123866306549629</v>
      </c>
      <c r="J11" s="105">
        <f t="shared" si="4"/>
        <v>0.56010972316002705</v>
      </c>
      <c r="K11" s="105">
        <f t="shared" si="4"/>
        <v>0.44808777852802162</v>
      </c>
      <c r="L11" s="105">
        <f t="shared" si="4"/>
        <v>0.32859770425388252</v>
      </c>
      <c r="M11" s="105">
        <f t="shared" si="4"/>
        <v>0.34353396353814997</v>
      </c>
      <c r="N11" s="105">
        <f t="shared" si="4"/>
        <v>0.3883427413909521</v>
      </c>
      <c r="O11" s="105">
        <f t="shared" si="4"/>
        <v>0.3883427413909521</v>
      </c>
      <c r="P11" s="105">
        <f t="shared" si="4"/>
        <v>0.39207680621201896</v>
      </c>
      <c r="Q11" s="105">
        <f t="shared" si="4"/>
        <v>0.39954493585415263</v>
      </c>
      <c r="R11" s="105">
        <f t="shared" si="4"/>
        <v>0.41074713031735322</v>
      </c>
      <c r="S11" s="105">
        <f t="shared" si="4"/>
        <v>0.44808777852802162</v>
      </c>
      <c r="T11" s="105">
        <f t="shared" si="4"/>
        <v>0.50036468602295758</v>
      </c>
      <c r="U11" s="105">
        <f t="shared" si="4"/>
        <v>0.48169436191762327</v>
      </c>
      <c r="V11" s="105">
        <f t="shared" si="4"/>
        <v>0.54143939905469285</v>
      </c>
      <c r="W11" s="105">
        <f t="shared" si="4"/>
        <v>0.59745037137069557</v>
      </c>
      <c r="X11" s="105">
        <f t="shared" si="4"/>
        <v>0.58251411208642812</v>
      </c>
      <c r="Y11" s="105">
        <f t="shared" si="4"/>
        <v>0.59745037137069557</v>
      </c>
      <c r="Z11" s="105">
        <f t="shared" si="4"/>
        <v>0.60118443619176243</v>
      </c>
      <c r="AA11" s="105">
        <f t="shared" si="4"/>
        <v>0.6183611343686698</v>
      </c>
      <c r="AB11" s="105">
        <f t="shared" si="4"/>
        <v>0.61985476029709652</v>
      </c>
      <c r="AC11" s="105">
        <f t="shared" si="4"/>
        <v>0.64449958811613783</v>
      </c>
      <c r="AD11" s="105">
        <f t="shared" si="4"/>
        <v>0.67959979743416621</v>
      </c>
      <c r="AE11" s="105">
        <f t="shared" si="4"/>
        <v>0.69453605671843355</v>
      </c>
      <c r="AF11" s="105">
        <f t="shared" si="4"/>
        <v>0.65719540850776503</v>
      </c>
      <c r="AG11" s="105">
        <f t="shared" si="4"/>
        <v>0.70200418636056716</v>
      </c>
      <c r="AH11" s="105">
        <f t="shared" si="4"/>
        <v>0.78415361242403792</v>
      </c>
      <c r="AI11" s="105">
        <f t="shared" si="4"/>
        <v>0.93351620526671175</v>
      </c>
      <c r="AJ11" s="105">
        <f t="shared" si="4"/>
        <v>0.91111181634031069</v>
      </c>
      <c r="AK11" s="105">
        <f t="shared" si="4"/>
        <v>0.90364368669817696</v>
      </c>
      <c r="AL11" s="105">
        <f t="shared" si="4"/>
        <v>0.93351620526671175</v>
      </c>
      <c r="AM11" s="105">
        <f t="shared" si="4"/>
        <v>0.85883490884537472</v>
      </c>
      <c r="AN11" s="105">
        <f t="shared" si="4"/>
        <v>0.79162174206617164</v>
      </c>
      <c r="AO11" s="105">
        <f t="shared" ref="AO11:BT11" si="5">SUM(AO10:AO10)</f>
        <v>0.851366779203241</v>
      </c>
      <c r="AP11" s="105">
        <f t="shared" si="5"/>
        <v>0.86630303848750845</v>
      </c>
      <c r="AQ11" s="105">
        <f t="shared" si="5"/>
        <v>0.79162174206617164</v>
      </c>
      <c r="AR11" s="105">
        <f t="shared" si="5"/>
        <v>0.7468129642133694</v>
      </c>
      <c r="AS11" s="105">
        <f t="shared" si="5"/>
        <v>0.76174922349763685</v>
      </c>
      <c r="AT11" s="105">
        <f t="shared" si="5"/>
        <v>0.83643051991897377</v>
      </c>
      <c r="AU11" s="105">
        <f t="shared" si="5"/>
        <v>0.8625689736664417</v>
      </c>
      <c r="AV11" s="105">
        <f t="shared" si="5"/>
        <v>0.86630303848750845</v>
      </c>
      <c r="AW11" s="105">
        <f t="shared" si="5"/>
        <v>0.82149426063470643</v>
      </c>
      <c r="AX11" s="105">
        <f t="shared" si="5"/>
        <v>0.79162174206617164</v>
      </c>
      <c r="AY11" s="105">
        <f t="shared" si="5"/>
        <v>0.79162174206617164</v>
      </c>
      <c r="AZ11" s="105">
        <f t="shared" si="5"/>
        <v>0.79162174206617164</v>
      </c>
      <c r="BA11" s="105">
        <f t="shared" si="5"/>
        <v>0.79236855503038495</v>
      </c>
      <c r="BB11" s="105">
        <f t="shared" si="5"/>
        <v>0.87377116812964217</v>
      </c>
      <c r="BC11" s="105">
        <f t="shared" si="5"/>
        <v>0.87377116812964217</v>
      </c>
      <c r="BD11" s="105">
        <f t="shared" si="5"/>
        <v>0.85883490884537472</v>
      </c>
      <c r="BE11" s="105">
        <f t="shared" si="5"/>
        <v>0.85883490884537472</v>
      </c>
      <c r="BF11" s="105">
        <f t="shared" si="5"/>
        <v>0.85883490884537472</v>
      </c>
      <c r="BG11" s="105">
        <f t="shared" si="5"/>
        <v>0.85510084402430797</v>
      </c>
      <c r="BH11" s="105">
        <f t="shared" si="5"/>
        <v>0.87974567184334906</v>
      </c>
      <c r="BI11" s="105">
        <f t="shared" si="5"/>
        <v>0.87974567184334906</v>
      </c>
      <c r="BJ11" s="105">
        <f t="shared" si="5"/>
        <v>0.87750523295070904</v>
      </c>
      <c r="BK11" s="105">
        <f t="shared" si="5"/>
        <v>0.86406259959486842</v>
      </c>
      <c r="BL11" s="105">
        <f t="shared" si="5"/>
        <v>0.82149426063470643</v>
      </c>
      <c r="BM11" s="105">
        <f t="shared" si="5"/>
        <v>0.76398966239027688</v>
      </c>
      <c r="BN11" s="105">
        <f t="shared" si="5"/>
        <v>0.76100241053342332</v>
      </c>
      <c r="BO11" s="105">
        <f t="shared" si="5"/>
        <v>0.74980021607022285</v>
      </c>
      <c r="BP11" s="105">
        <f t="shared" si="5"/>
        <v>0.74606615124915598</v>
      </c>
      <c r="BQ11" s="105">
        <f t="shared" si="5"/>
        <v>0.73486395678595551</v>
      </c>
      <c r="BR11" s="105">
        <f t="shared" si="5"/>
        <v>0.73486395678595551</v>
      </c>
      <c r="BS11" s="105">
        <f t="shared" si="5"/>
        <v>0.71992769750168806</v>
      </c>
      <c r="BT11" s="105">
        <f t="shared" si="5"/>
        <v>0.71619363268062119</v>
      </c>
      <c r="BU11" s="105">
        <f>SUM(BU10:BU10)</f>
        <v>0.71619363268062119</v>
      </c>
      <c r="BV11" s="105">
        <f>SUM(BV10:BV10)</f>
        <v>0.71619363268062119</v>
      </c>
      <c r="BW11" s="105">
        <f>SUM(BW10:BW10)</f>
        <v>0.75129384199864957</v>
      </c>
      <c r="BX11" s="105">
        <f>SUM(BX10:BX10)</f>
        <v>0.75577471978392985</v>
      </c>
      <c r="BY11" s="105">
        <f>SUM(BY10:BY10)</f>
        <v>0.76174922349763685</v>
      </c>
      <c r="BZ11" s="105">
        <f t="shared" ref="BZ11:CH11" si="6">SUM(BZ10:BZ10)</f>
        <v>0.76772372721134374</v>
      </c>
      <c r="CA11" s="105">
        <f t="shared" si="6"/>
        <v>0.7647364753544903</v>
      </c>
      <c r="CB11" s="105">
        <f t="shared" si="6"/>
        <v>0.75726834571235657</v>
      </c>
      <c r="CC11" s="105">
        <f t="shared" si="6"/>
        <v>0.77145779203241049</v>
      </c>
      <c r="CD11" s="105">
        <f t="shared" si="6"/>
        <v>0.77593866981769077</v>
      </c>
      <c r="CE11" s="105">
        <f t="shared" si="6"/>
        <v>0.77967273463875764</v>
      </c>
      <c r="CF11" s="105">
        <f t="shared" si="6"/>
        <v>0.77967273463875764</v>
      </c>
      <c r="CG11" s="105">
        <f t="shared" si="6"/>
        <v>0.79050152261985152</v>
      </c>
      <c r="CH11" s="105">
        <f t="shared" si="6"/>
        <v>0.78863449020931808</v>
      </c>
      <c r="CI11" s="105">
        <f>SUM(CI10:CI10)</f>
        <v>0.79610261985145181</v>
      </c>
      <c r="CJ11" s="105">
        <f>SUM(CJ10:CJ10)</f>
        <v>0.79610261985145181</v>
      </c>
      <c r="CK11" s="105">
        <f>SUM(CK10:CK10)</f>
        <v>0.80207712356515881</v>
      </c>
      <c r="CL11" s="105">
        <f>SUM(CL10:CL10)</f>
        <v>0.80730481431465229</v>
      </c>
      <c r="CM11" s="105">
        <f t="shared" ref="CM11:CV11" si="7">SUM(CM10:CM10)</f>
        <v>0.80581118838622556</v>
      </c>
      <c r="CN11" s="105">
        <f t="shared" si="7"/>
        <v>0.80581118838622556</v>
      </c>
      <c r="CO11" s="105">
        <f t="shared" si="7"/>
        <v>0.80581118838622556</v>
      </c>
      <c r="CP11" s="105">
        <f t="shared" si="7"/>
        <v>0.80581118838622556</v>
      </c>
      <c r="CQ11" s="105">
        <f t="shared" si="7"/>
        <v>0.82149426063470643</v>
      </c>
      <c r="CR11" s="105">
        <f t="shared" si="7"/>
        <v>0.82821557731262663</v>
      </c>
      <c r="CS11" s="105">
        <f t="shared" si="7"/>
        <v>0.86704985145172186</v>
      </c>
      <c r="CT11" s="105">
        <f t="shared" si="7"/>
        <v>0.86555622552329514</v>
      </c>
      <c r="CU11" s="105">
        <f t="shared" si="7"/>
        <v>0.86630303848750845</v>
      </c>
      <c r="CV11" s="105">
        <f t="shared" si="7"/>
        <v>0.84987315327481427</v>
      </c>
      <c r="CW11" s="105">
        <f t="shared" ref="CW11:ES11" si="8">SUM(CW10:CW10)</f>
        <v>0.82149426063470643</v>
      </c>
      <c r="CX11" s="105">
        <f t="shared" si="8"/>
        <v>0.81402613099257271</v>
      </c>
      <c r="CY11" s="105">
        <f t="shared" si="8"/>
        <v>0.79162174206617164</v>
      </c>
      <c r="CZ11" s="105">
        <f t="shared" si="8"/>
        <v>0.79162174206617164</v>
      </c>
      <c r="DA11" s="105">
        <f t="shared" si="8"/>
        <v>0.77593866981769077</v>
      </c>
      <c r="DB11" s="105">
        <f t="shared" si="8"/>
        <v>0.75428109385550313</v>
      </c>
      <c r="DC11" s="105">
        <f t="shared" si="8"/>
        <v>0.73187670492910195</v>
      </c>
      <c r="DD11" s="105">
        <f t="shared" si="8"/>
        <v>0.73038307900067523</v>
      </c>
      <c r="DE11" s="105">
        <f t="shared" si="8"/>
        <v>0.71245956785955433</v>
      </c>
      <c r="DF11" s="105">
        <f t="shared" si="8"/>
        <v>0.66466353814989876</v>
      </c>
      <c r="DG11" s="105">
        <f t="shared" si="8"/>
        <v>0.66466353814989876</v>
      </c>
      <c r="DH11" s="105">
        <f t="shared" si="8"/>
        <v>0.67437210668467262</v>
      </c>
      <c r="DI11" s="105">
        <f t="shared" si="8"/>
        <v>0.67437210668467262</v>
      </c>
      <c r="DJ11" s="105">
        <f t="shared" si="8"/>
        <v>0.65271453072248486</v>
      </c>
      <c r="DK11" s="105">
        <f t="shared" si="8"/>
        <v>0.65271453072248486</v>
      </c>
      <c r="DL11" s="105">
        <f t="shared" si="8"/>
        <v>0.64151233625928428</v>
      </c>
      <c r="DM11" s="105">
        <f t="shared" si="8"/>
        <v>0.64151233625928428</v>
      </c>
      <c r="DN11" s="105">
        <f t="shared" si="8"/>
        <v>0.64151233625928428</v>
      </c>
      <c r="DO11" s="105">
        <f t="shared" si="8"/>
        <v>0.63479101958136397</v>
      </c>
      <c r="DP11" s="105">
        <f t="shared" si="8"/>
        <v>0.63404420661715055</v>
      </c>
      <c r="DQ11" s="105">
        <f t="shared" si="8"/>
        <v>0.63479101958136397</v>
      </c>
      <c r="DR11" s="105">
        <f t="shared" si="8"/>
        <v>0.63479101958136397</v>
      </c>
      <c r="DS11" s="105">
        <f t="shared" si="8"/>
        <v>0.63777827143821741</v>
      </c>
      <c r="DT11" s="105">
        <f t="shared" si="8"/>
        <v>0</v>
      </c>
      <c r="DU11" s="105">
        <f t="shared" si="8"/>
        <v>0</v>
      </c>
      <c r="DV11" s="105">
        <f t="shared" si="8"/>
        <v>0</v>
      </c>
      <c r="DW11" s="105">
        <f t="shared" si="8"/>
        <v>0</v>
      </c>
      <c r="DX11" s="105">
        <f t="shared" si="8"/>
        <v>0</v>
      </c>
      <c r="DY11" s="105">
        <f t="shared" si="8"/>
        <v>0</v>
      </c>
      <c r="DZ11" s="105">
        <f t="shared" si="8"/>
        <v>0</v>
      </c>
      <c r="EA11" s="105">
        <f t="shared" si="8"/>
        <v>0</v>
      </c>
      <c r="EB11" s="105">
        <f t="shared" si="8"/>
        <v>0</v>
      </c>
      <c r="EC11" s="105">
        <f t="shared" si="8"/>
        <v>0</v>
      </c>
      <c r="ED11" s="105">
        <f t="shared" si="8"/>
        <v>0</v>
      </c>
      <c r="EE11" s="105">
        <f t="shared" si="8"/>
        <v>0</v>
      </c>
      <c r="EF11" s="105">
        <f t="shared" si="8"/>
        <v>0</v>
      </c>
      <c r="EG11" s="105">
        <f t="shared" si="8"/>
        <v>0</v>
      </c>
      <c r="EH11" s="105">
        <f t="shared" si="8"/>
        <v>0</v>
      </c>
      <c r="EI11" s="105">
        <f t="shared" si="8"/>
        <v>0</v>
      </c>
      <c r="EJ11" s="105">
        <f t="shared" si="8"/>
        <v>0</v>
      </c>
      <c r="EK11" s="105">
        <f t="shared" si="8"/>
        <v>0</v>
      </c>
      <c r="EL11" s="105">
        <f t="shared" si="8"/>
        <v>0</v>
      </c>
      <c r="EM11" s="105">
        <f t="shared" si="8"/>
        <v>0</v>
      </c>
      <c r="EN11" s="105">
        <f t="shared" si="8"/>
        <v>0</v>
      </c>
      <c r="EO11" s="105">
        <f t="shared" si="8"/>
        <v>0</v>
      </c>
      <c r="EP11" s="105">
        <f t="shared" si="8"/>
        <v>0</v>
      </c>
      <c r="EQ11" s="105">
        <f t="shared" si="8"/>
        <v>0</v>
      </c>
      <c r="ER11" s="105">
        <f t="shared" si="8"/>
        <v>0</v>
      </c>
      <c r="ES11" s="105">
        <f t="shared" si="8"/>
        <v>0</v>
      </c>
    </row>
    <row r="12" spans="1:153">
      <c r="I12" s="74"/>
      <c r="J12" s="74"/>
      <c r="K12" s="74"/>
      <c r="L12" s="74"/>
      <c r="M12" s="74"/>
      <c r="N12" s="74"/>
      <c r="O12" s="74"/>
      <c r="P12" s="70">
        <v>20000</v>
      </c>
      <c r="Q12" s="74"/>
      <c r="R12" s="74"/>
      <c r="S12" s="74"/>
      <c r="T12" s="74"/>
      <c r="U12" s="74"/>
      <c r="V12" s="74"/>
      <c r="W12" s="74"/>
      <c r="X12" s="74"/>
      <c r="Y12" s="74"/>
      <c r="Z12" s="74"/>
      <c r="AA12" s="74"/>
      <c r="AB12" s="74"/>
      <c r="AC12" s="74">
        <v>9000</v>
      </c>
      <c r="AD12" s="74"/>
      <c r="AE12" s="74">
        <v>9000</v>
      </c>
      <c r="AF12" s="74"/>
      <c r="AG12" s="74"/>
      <c r="AH12" s="74"/>
      <c r="AI12" s="74"/>
      <c r="AJ12" s="74"/>
      <c r="AK12" s="74"/>
      <c r="AL12" s="74"/>
      <c r="AM12" s="74"/>
      <c r="AN12" s="74"/>
      <c r="AO12" s="74">
        <v>21000</v>
      </c>
      <c r="AP12" s="74"/>
      <c r="AQ12" s="74">
        <v>24000</v>
      </c>
      <c r="AR12" s="74"/>
      <c r="AS12" s="74"/>
      <c r="AT12" s="74">
        <v>24000</v>
      </c>
      <c r="AU12" s="74"/>
      <c r="AV12" s="74"/>
    </row>
    <row r="13" spans="1:153" s="64" customFormat="1">
      <c r="H13" s="64" t="s">
        <v>763</v>
      </c>
      <c r="I13" s="74"/>
      <c r="J13" s="74"/>
      <c r="K13" s="74"/>
      <c r="L13" s="74"/>
      <c r="M13" s="74"/>
      <c r="N13" s="74"/>
      <c r="O13" s="74"/>
      <c r="P13" s="74">
        <f>60/75</f>
        <v>0.8</v>
      </c>
      <c r="Q13" s="74"/>
      <c r="R13" s="74"/>
      <c r="S13" s="74"/>
      <c r="T13" s="74"/>
      <c r="U13" s="74"/>
      <c r="V13" s="74"/>
      <c r="W13" s="74"/>
      <c r="X13" s="74"/>
      <c r="Y13" s="74"/>
      <c r="Z13" s="74"/>
      <c r="AA13" s="74"/>
      <c r="AB13" s="74"/>
      <c r="AC13" s="74">
        <f>98/74</f>
        <v>1.3243243243243243</v>
      </c>
      <c r="AD13" s="74"/>
      <c r="AE13" s="74">
        <f>92/74</f>
        <v>1.2432432432432432</v>
      </c>
      <c r="AF13" s="74"/>
      <c r="AG13" s="74"/>
      <c r="AH13" s="74"/>
      <c r="AI13" s="74"/>
      <c r="AJ13" s="74"/>
      <c r="AK13" s="74"/>
      <c r="AL13" s="74"/>
      <c r="AM13" s="74"/>
      <c r="AN13" s="74"/>
      <c r="AO13" s="74">
        <f>103.5/80</f>
        <v>1.29375</v>
      </c>
      <c r="AP13" s="74"/>
      <c r="AQ13" s="74">
        <f>98.5/82</f>
        <v>1.2012195121951219</v>
      </c>
      <c r="AR13" s="74"/>
      <c r="AS13" s="74"/>
      <c r="AT13" s="74">
        <f>118/82.5</f>
        <v>1.4303030303030304</v>
      </c>
      <c r="AU13" s="74"/>
      <c r="AW13" s="74"/>
      <c r="AX13" s="74"/>
      <c r="BM13" s="64">
        <f>92/83</f>
        <v>1.1084337349397591</v>
      </c>
      <c r="BQ13" s="74"/>
    </row>
    <row r="14" spans="1:153">
      <c r="H14" s="60" t="s">
        <v>764</v>
      </c>
      <c r="P14" s="74">
        <f>P13-P11</f>
        <v>0.40792319378798109</v>
      </c>
      <c r="AC14" s="74">
        <f>AC13-AC11</f>
        <v>0.67982473620818651</v>
      </c>
      <c r="AE14" s="74">
        <f>AE13-AE11</f>
        <v>0.54870718652480965</v>
      </c>
      <c r="AO14" s="74">
        <f>AO13-AO11</f>
        <v>0.44238322079675896</v>
      </c>
      <c r="AQ14" s="74">
        <f>AQ13-AQ11</f>
        <v>0.40959777012895027</v>
      </c>
      <c r="AT14" s="74">
        <f>AT13-AT11</f>
        <v>0.59387251038405664</v>
      </c>
      <c r="BM14" s="74">
        <f>BM13-BM11</f>
        <v>0.34444407254948217</v>
      </c>
    </row>
    <row r="15" spans="1:153" ht="13" thickBot="1"/>
    <row r="16" spans="1:153" ht="13" thickBot="1">
      <c r="D16" s="259"/>
      <c r="H16" s="106" t="s">
        <v>407</v>
      </c>
      <c r="I16" s="109">
        <f>I11+0.34</f>
        <v>0.95238663065496287</v>
      </c>
      <c r="J16" s="109">
        <f t="shared" ref="J16:BU16" si="9">J11+0.34</f>
        <v>0.90010972316002702</v>
      </c>
      <c r="K16" s="109">
        <f t="shared" si="9"/>
        <v>0.78808777852802159</v>
      </c>
      <c r="L16" s="109">
        <f t="shared" si="9"/>
        <v>0.66859770425388254</v>
      </c>
      <c r="M16" s="109">
        <f t="shared" si="9"/>
        <v>0.68353396353814999</v>
      </c>
      <c r="N16" s="109">
        <f t="shared" si="9"/>
        <v>0.72834274139095212</v>
      </c>
      <c r="O16" s="109">
        <f t="shared" si="9"/>
        <v>0.72834274139095212</v>
      </c>
      <c r="P16" s="109">
        <f t="shared" si="9"/>
        <v>0.73207680621201898</v>
      </c>
      <c r="Q16" s="109">
        <f t="shared" si="9"/>
        <v>0.7395449358541526</v>
      </c>
      <c r="R16" s="109">
        <f t="shared" si="9"/>
        <v>0.75074713031735318</v>
      </c>
      <c r="S16" s="109">
        <f t="shared" si="9"/>
        <v>0.78808777852802159</v>
      </c>
      <c r="T16" s="109">
        <f t="shared" si="9"/>
        <v>0.84036468602295766</v>
      </c>
      <c r="U16" s="109">
        <f t="shared" si="9"/>
        <v>0.82169436191762335</v>
      </c>
      <c r="V16" s="109">
        <f t="shared" si="9"/>
        <v>0.88143939905469293</v>
      </c>
      <c r="W16" s="109">
        <f t="shared" si="9"/>
        <v>0.93745037137069565</v>
      </c>
      <c r="X16" s="109">
        <f t="shared" si="9"/>
        <v>0.9225141120864282</v>
      </c>
      <c r="Y16" s="109">
        <f t="shared" si="9"/>
        <v>0.93745037137069565</v>
      </c>
      <c r="Z16" s="109">
        <f t="shared" si="9"/>
        <v>0.94118443619176251</v>
      </c>
      <c r="AA16" s="109">
        <f t="shared" si="9"/>
        <v>0.95836113436866976</v>
      </c>
      <c r="AB16" s="109">
        <f t="shared" si="9"/>
        <v>0.9598547602970966</v>
      </c>
      <c r="AC16" s="109">
        <f t="shared" si="9"/>
        <v>0.9844995881161378</v>
      </c>
      <c r="AD16" s="109">
        <f t="shared" si="9"/>
        <v>1.0195997974341662</v>
      </c>
      <c r="AE16" s="109">
        <f t="shared" si="9"/>
        <v>1.0345360567184336</v>
      </c>
      <c r="AF16" s="109">
        <f t="shared" si="9"/>
        <v>0.997195408507765</v>
      </c>
      <c r="AG16" s="109">
        <f t="shared" si="9"/>
        <v>1.0420041863605671</v>
      </c>
      <c r="AH16" s="109">
        <f t="shared" si="9"/>
        <v>1.1241536124240379</v>
      </c>
      <c r="AI16" s="109">
        <f t="shared" si="9"/>
        <v>1.2735162052667117</v>
      </c>
      <c r="AJ16" s="109">
        <f t="shared" si="9"/>
        <v>1.2511118163403108</v>
      </c>
      <c r="AK16" s="109">
        <f t="shared" si="9"/>
        <v>1.243643686698177</v>
      </c>
      <c r="AL16" s="109">
        <f t="shared" si="9"/>
        <v>1.2735162052667117</v>
      </c>
      <c r="AM16" s="109">
        <f t="shared" si="9"/>
        <v>1.1988349088453747</v>
      </c>
      <c r="AN16" s="109">
        <f t="shared" si="9"/>
        <v>1.1316217420661716</v>
      </c>
      <c r="AO16" s="109">
        <f t="shared" si="9"/>
        <v>1.191366779203241</v>
      </c>
      <c r="AP16" s="109">
        <f t="shared" si="9"/>
        <v>1.2063030384875084</v>
      </c>
      <c r="AQ16" s="109">
        <f t="shared" si="9"/>
        <v>1.1316217420661716</v>
      </c>
      <c r="AR16" s="109">
        <f t="shared" si="9"/>
        <v>1.0868129642133695</v>
      </c>
      <c r="AS16" s="109">
        <f t="shared" si="9"/>
        <v>1.1017492234976369</v>
      </c>
      <c r="AT16" s="109">
        <f t="shared" si="9"/>
        <v>1.1764305199189737</v>
      </c>
      <c r="AU16" s="109">
        <f t="shared" si="9"/>
        <v>1.2025689736664418</v>
      </c>
      <c r="AV16" s="109">
        <f t="shared" si="9"/>
        <v>1.2063030384875084</v>
      </c>
      <c r="AW16" s="109">
        <f t="shared" si="9"/>
        <v>1.1614942606347065</v>
      </c>
      <c r="AX16" s="109">
        <f t="shared" si="9"/>
        <v>1.1316217420661716</v>
      </c>
      <c r="AY16" s="109">
        <f t="shared" si="9"/>
        <v>1.1316217420661716</v>
      </c>
      <c r="AZ16" s="109">
        <f t="shared" si="9"/>
        <v>1.1316217420661716</v>
      </c>
      <c r="BA16" s="109">
        <f t="shared" si="9"/>
        <v>1.132368555030385</v>
      </c>
      <c r="BB16" s="109">
        <f t="shared" si="9"/>
        <v>1.2137711681296421</v>
      </c>
      <c r="BC16" s="109">
        <f t="shared" si="9"/>
        <v>1.2137711681296421</v>
      </c>
      <c r="BD16" s="109">
        <f t="shared" si="9"/>
        <v>1.1988349088453747</v>
      </c>
      <c r="BE16" s="109">
        <f t="shared" si="9"/>
        <v>1.1988349088453747</v>
      </c>
      <c r="BF16" s="109">
        <f t="shared" si="9"/>
        <v>1.1988349088453747</v>
      </c>
      <c r="BG16" s="109">
        <f t="shared" si="9"/>
        <v>1.1951008440243081</v>
      </c>
      <c r="BH16" s="109">
        <f t="shared" si="9"/>
        <v>1.219745671843349</v>
      </c>
      <c r="BI16" s="109">
        <f t="shared" si="9"/>
        <v>1.219745671843349</v>
      </c>
      <c r="BJ16" s="109">
        <f t="shared" si="9"/>
        <v>1.217505232950709</v>
      </c>
      <c r="BK16" s="109">
        <f t="shared" si="9"/>
        <v>1.2040625995948684</v>
      </c>
      <c r="BL16" s="109">
        <f t="shared" si="9"/>
        <v>1.1614942606347065</v>
      </c>
      <c r="BM16" s="109">
        <f t="shared" si="9"/>
        <v>1.103989662390277</v>
      </c>
      <c r="BN16" s="109">
        <f t="shared" si="9"/>
        <v>1.1010024105334233</v>
      </c>
      <c r="BO16" s="109">
        <f t="shared" si="9"/>
        <v>1.0898002160702229</v>
      </c>
      <c r="BP16" s="109">
        <f t="shared" si="9"/>
        <v>1.0860661512491561</v>
      </c>
      <c r="BQ16" s="109">
        <f t="shared" si="9"/>
        <v>1.0748639567859555</v>
      </c>
      <c r="BR16" s="109">
        <f t="shared" si="9"/>
        <v>1.0748639567859555</v>
      </c>
      <c r="BS16" s="109">
        <f t="shared" si="9"/>
        <v>1.059927697501688</v>
      </c>
      <c r="BT16" s="109">
        <f t="shared" si="9"/>
        <v>1.0561936326806212</v>
      </c>
      <c r="BU16" s="109">
        <f t="shared" si="9"/>
        <v>1.0561936326806212</v>
      </c>
      <c r="BV16" s="109">
        <f>BV11+0.34</f>
        <v>1.0561936326806212</v>
      </c>
      <c r="BW16" s="109">
        <f>BW11+0.34</f>
        <v>1.0912938419986495</v>
      </c>
      <c r="BX16" s="109">
        <f>BX11+0.34</f>
        <v>1.0957747197839298</v>
      </c>
      <c r="BY16" s="109">
        <f>BY11+0.34</f>
        <v>1.1017492234976369</v>
      </c>
      <c r="BZ16" s="109">
        <f t="shared" ref="BZ16:CH16" si="10">BZ11+0.34</f>
        <v>1.1077237272113438</v>
      </c>
      <c r="CA16" s="109">
        <f t="shared" si="10"/>
        <v>1.1047364753544904</v>
      </c>
      <c r="CB16" s="109">
        <f t="shared" si="10"/>
        <v>1.0972683457123567</v>
      </c>
      <c r="CC16" s="109">
        <f t="shared" si="10"/>
        <v>1.1114577920324105</v>
      </c>
      <c r="CD16" s="109">
        <f t="shared" si="10"/>
        <v>1.1159386698176907</v>
      </c>
      <c r="CE16" s="109">
        <f t="shared" si="10"/>
        <v>1.1196727346387576</v>
      </c>
      <c r="CF16" s="109">
        <f t="shared" si="10"/>
        <v>1.1196727346387576</v>
      </c>
      <c r="CG16" s="109">
        <f t="shared" si="10"/>
        <v>1.1305015226198516</v>
      </c>
      <c r="CH16" s="109">
        <f t="shared" si="10"/>
        <v>1.1286344902093182</v>
      </c>
      <c r="CI16" s="109">
        <f>CI11+0.34</f>
        <v>1.1361026198514519</v>
      </c>
      <c r="CJ16" s="109">
        <f>CJ11+0.34</f>
        <v>1.1361026198514519</v>
      </c>
      <c r="CK16" s="109">
        <f>CK11+0.34</f>
        <v>1.1420771235651588</v>
      </c>
      <c r="CL16" s="109">
        <f>CL11+0.34</f>
        <v>1.1473048143146523</v>
      </c>
      <c r="CM16" s="109">
        <f t="shared" ref="CM16:CV16" si="11">CM11+0.34</f>
        <v>1.1458111883862256</v>
      </c>
      <c r="CN16" s="109">
        <f t="shared" si="11"/>
        <v>1.1458111883862256</v>
      </c>
      <c r="CO16" s="109">
        <f t="shared" si="11"/>
        <v>1.1458111883862256</v>
      </c>
      <c r="CP16" s="109">
        <f t="shared" si="11"/>
        <v>1.1458111883862256</v>
      </c>
      <c r="CQ16" s="109">
        <f t="shared" si="11"/>
        <v>1.1614942606347065</v>
      </c>
      <c r="CR16" s="109">
        <f t="shared" si="11"/>
        <v>1.1682155773126266</v>
      </c>
      <c r="CS16" s="109">
        <f t="shared" si="11"/>
        <v>1.2070498514517218</v>
      </c>
      <c r="CT16" s="109">
        <f t="shared" si="11"/>
        <v>1.2055562255232952</v>
      </c>
      <c r="CU16" s="109">
        <f t="shared" si="11"/>
        <v>1.2063030384875084</v>
      </c>
      <c r="CV16" s="109">
        <f t="shared" si="11"/>
        <v>1.1898731532748144</v>
      </c>
      <c r="CW16" s="109">
        <f t="shared" ref="CW16:ES16" si="12">CW11+0.34</f>
        <v>1.1614942606347065</v>
      </c>
      <c r="CX16" s="109">
        <f t="shared" si="12"/>
        <v>1.1540261309925728</v>
      </c>
      <c r="CY16" s="109">
        <f t="shared" si="12"/>
        <v>1.1316217420661716</v>
      </c>
      <c r="CZ16" s="109">
        <f t="shared" si="12"/>
        <v>1.1316217420661716</v>
      </c>
      <c r="DA16" s="109">
        <f t="shared" si="12"/>
        <v>1.1159386698176907</v>
      </c>
      <c r="DB16" s="109">
        <f t="shared" si="12"/>
        <v>1.0942810938555032</v>
      </c>
      <c r="DC16" s="109">
        <f t="shared" si="12"/>
        <v>1.071876704929102</v>
      </c>
      <c r="DD16" s="109">
        <f t="shared" si="12"/>
        <v>1.0703830790006752</v>
      </c>
      <c r="DE16" s="109">
        <f t="shared" si="12"/>
        <v>1.0524595678595543</v>
      </c>
      <c r="DF16" s="109">
        <f t="shared" si="12"/>
        <v>1.0046635381498987</v>
      </c>
      <c r="DG16" s="109">
        <f t="shared" si="12"/>
        <v>1.0046635381498987</v>
      </c>
      <c r="DH16" s="109">
        <f t="shared" si="12"/>
        <v>1.0143721066846727</v>
      </c>
      <c r="DI16" s="109">
        <f t="shared" si="12"/>
        <v>1.0143721066846727</v>
      </c>
      <c r="DJ16" s="109">
        <f t="shared" si="12"/>
        <v>0.99271453072248494</v>
      </c>
      <c r="DK16" s="109">
        <f t="shared" si="12"/>
        <v>0.99271453072248494</v>
      </c>
      <c r="DL16" s="109">
        <f t="shared" si="12"/>
        <v>0.98151233625928436</v>
      </c>
      <c r="DM16" s="109">
        <f t="shared" si="12"/>
        <v>0.98151233625928436</v>
      </c>
      <c r="DN16" s="109">
        <f t="shared" si="12"/>
        <v>0.98151233625928436</v>
      </c>
      <c r="DO16" s="109">
        <f t="shared" si="12"/>
        <v>0.97479101958136405</v>
      </c>
      <c r="DP16" s="109">
        <f t="shared" si="12"/>
        <v>0.97404420661715063</v>
      </c>
      <c r="DQ16" s="109">
        <f t="shared" si="12"/>
        <v>0.97479101958136405</v>
      </c>
      <c r="DR16" s="109">
        <f t="shared" si="12"/>
        <v>0.97479101958136405</v>
      </c>
      <c r="DS16" s="109">
        <f t="shared" si="12"/>
        <v>0.97777827143821749</v>
      </c>
      <c r="DT16" s="109">
        <f t="shared" si="12"/>
        <v>0.34</v>
      </c>
      <c r="DU16" s="109">
        <f t="shared" si="12"/>
        <v>0.34</v>
      </c>
      <c r="DV16" s="109">
        <f t="shared" si="12"/>
        <v>0.34</v>
      </c>
      <c r="DW16" s="109">
        <f t="shared" si="12"/>
        <v>0.34</v>
      </c>
      <c r="DX16" s="109">
        <f t="shared" si="12"/>
        <v>0.34</v>
      </c>
      <c r="DY16" s="109">
        <f t="shared" si="12"/>
        <v>0.34</v>
      </c>
      <c r="DZ16" s="109">
        <f t="shared" si="12"/>
        <v>0.34</v>
      </c>
      <c r="EA16" s="109">
        <f t="shared" si="12"/>
        <v>0.34</v>
      </c>
      <c r="EB16" s="109">
        <f t="shared" si="12"/>
        <v>0.34</v>
      </c>
      <c r="EC16" s="109">
        <f t="shared" si="12"/>
        <v>0.34</v>
      </c>
      <c r="ED16" s="109">
        <f t="shared" si="12"/>
        <v>0.34</v>
      </c>
      <c r="EE16" s="109">
        <f t="shared" si="12"/>
        <v>0.34</v>
      </c>
      <c r="EF16" s="109">
        <f t="shared" si="12"/>
        <v>0.34</v>
      </c>
      <c r="EG16" s="109">
        <f t="shared" si="12"/>
        <v>0.34</v>
      </c>
      <c r="EH16" s="109">
        <f t="shared" si="12"/>
        <v>0.34</v>
      </c>
      <c r="EI16" s="109">
        <f t="shared" si="12"/>
        <v>0.34</v>
      </c>
      <c r="EJ16" s="109">
        <f t="shared" si="12"/>
        <v>0.34</v>
      </c>
      <c r="EK16" s="109">
        <f t="shared" si="12"/>
        <v>0.34</v>
      </c>
      <c r="EL16" s="109">
        <f t="shared" si="12"/>
        <v>0.34</v>
      </c>
      <c r="EM16" s="109">
        <f t="shared" si="12"/>
        <v>0.34</v>
      </c>
      <c r="EN16" s="109">
        <f t="shared" si="12"/>
        <v>0.34</v>
      </c>
      <c r="EO16" s="109">
        <f t="shared" si="12"/>
        <v>0.34</v>
      </c>
      <c r="EP16" s="109">
        <f t="shared" si="12"/>
        <v>0.34</v>
      </c>
      <c r="EQ16" s="109">
        <f t="shared" si="12"/>
        <v>0.34</v>
      </c>
      <c r="ER16" s="109">
        <f t="shared" si="12"/>
        <v>0.34</v>
      </c>
      <c r="ES16" s="109">
        <f t="shared" si="12"/>
        <v>0.34</v>
      </c>
    </row>
    <row r="18" spans="2:64">
      <c r="B18" s="65"/>
      <c r="BL18" s="65"/>
    </row>
    <row r="23" spans="2:64" ht="15">
      <c r="AR23" s="11"/>
    </row>
    <row r="24" spans="2:64" ht="15">
      <c r="AR24" s="11"/>
    </row>
    <row r="25" spans="2:64" ht="15">
      <c r="AR25" s="260"/>
    </row>
  </sheetData>
  <conditionalFormatting sqref="I13 Z13:AB13 AF13 AH13:AJ13 AL13 AP13 AR13:AS13 AU13 Q13:X13 O13 K13:L13">
    <cfRule type="top10" dxfId="13" priority="1" bottom="1" rank="1"/>
  </conditionalFormatting>
  <pageMargins left="0.7" right="0.7" top="0.75" bottom="0.75" header="0.3" footer="0.3"/>
  <pageSetup orientation="portrait" r:id="rId1"/>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FE26"/>
  <sheetViews>
    <sheetView workbookViewId="0">
      <pane xSplit="8" ySplit="6" topLeftCell="AQ7" activePane="bottomRight" state="frozen"/>
      <selection pane="topRight" activeCell="I1" sqref="I1"/>
      <selection pane="bottomLeft" activeCell="A7" sqref="A7"/>
      <selection pane="bottomRight" activeCell="BE17" sqref="BE17"/>
    </sheetView>
  </sheetViews>
  <sheetFormatPr baseColWidth="10" defaultColWidth="22.6640625" defaultRowHeight="12"/>
  <cols>
    <col min="1" max="1" width="13.33203125" style="60" bestFit="1" customWidth="1"/>
    <col min="2" max="2" width="11.33203125" style="60" bestFit="1" customWidth="1"/>
    <col min="3" max="3" width="4.83203125" style="60" bestFit="1" customWidth="1"/>
    <col min="4" max="4" width="12.33203125" style="60" bestFit="1" customWidth="1"/>
    <col min="5" max="5" width="7.5" style="60" bestFit="1" customWidth="1"/>
    <col min="6" max="6" width="6.5" style="60" bestFit="1" customWidth="1"/>
    <col min="7" max="7" width="3.33203125" style="60" bestFit="1" customWidth="1"/>
    <col min="8" max="8" width="14.5" style="60" bestFit="1" customWidth="1"/>
    <col min="9" max="10" width="5.5" style="60" bestFit="1" customWidth="1"/>
    <col min="11" max="11" width="5.6640625" style="60" bestFit="1" customWidth="1"/>
    <col min="12" max="12" width="5.5" style="60" bestFit="1" customWidth="1"/>
    <col min="13" max="13" width="5.83203125" style="60" bestFit="1" customWidth="1"/>
    <col min="14" max="18" width="5.5" style="60" bestFit="1" customWidth="1"/>
    <col min="19" max="19" width="5.6640625" style="60" bestFit="1" customWidth="1"/>
    <col min="20" max="22" width="5.5" style="60" bestFit="1" customWidth="1"/>
    <col min="23" max="23" width="5.6640625" style="60" bestFit="1" customWidth="1"/>
    <col min="24" max="24" width="5.5" style="60" bestFit="1" customWidth="1"/>
    <col min="25" max="25" width="5.83203125" style="60" bestFit="1" customWidth="1"/>
    <col min="26" max="30" width="5.5" style="60" bestFit="1" customWidth="1"/>
    <col min="31" max="31" width="5.6640625" style="60" bestFit="1" customWidth="1"/>
    <col min="32" max="34" width="5.5" style="60" bestFit="1" customWidth="1"/>
    <col min="35" max="35" width="5.6640625" style="60" bestFit="1" customWidth="1"/>
    <col min="36" max="36" width="5.5" style="60" bestFit="1" customWidth="1"/>
    <col min="37" max="37" width="5.83203125" style="60" bestFit="1" customWidth="1"/>
    <col min="38" max="42" width="5.5" style="60" bestFit="1" customWidth="1"/>
    <col min="43" max="43" width="5.6640625" style="60" bestFit="1" customWidth="1"/>
    <col min="44" max="46" width="5.5" style="60" bestFit="1" customWidth="1"/>
    <col min="47" max="47" width="5.6640625" style="60" bestFit="1" customWidth="1"/>
    <col min="48" max="48" width="5.5" style="60" bestFit="1" customWidth="1"/>
    <col min="49" max="49" width="5.83203125" style="60" bestFit="1" customWidth="1"/>
    <col min="50" max="51" width="5.5" style="60" bestFit="1" customWidth="1"/>
    <col min="52" max="54" width="7" style="60" bestFit="1" customWidth="1"/>
    <col min="55" max="56" width="5.5" style="60" bestFit="1" customWidth="1"/>
    <col min="57" max="58" width="5.83203125" style="60" bestFit="1" customWidth="1"/>
    <col min="59" max="70" width="5.6640625" style="60" bestFit="1" customWidth="1"/>
    <col min="71" max="82" width="5.5" style="60" bestFit="1" customWidth="1"/>
    <col min="83" max="83" width="6.1640625" style="60" bestFit="1" customWidth="1"/>
    <col min="84" max="86" width="5.6640625" style="60" bestFit="1" customWidth="1"/>
    <col min="87" max="90" width="5.5" style="60" bestFit="1" customWidth="1"/>
    <col min="91" max="95" width="6.33203125" style="60" bestFit="1" customWidth="1"/>
    <col min="96" max="99" width="6.1640625" style="60" bestFit="1" customWidth="1"/>
    <col min="100" max="100" width="5.5" style="60" bestFit="1" customWidth="1"/>
    <col min="101" max="103" width="5.1640625" style="60" bestFit="1" customWidth="1"/>
    <col min="104" max="107" width="5.83203125" style="60" bestFit="1" customWidth="1"/>
    <col min="108" max="115" width="5.6640625" style="60" bestFit="1" customWidth="1"/>
    <col min="116" max="160" width="6.5" style="60" bestFit="1" customWidth="1"/>
    <col min="161" max="16384" width="22.6640625" style="60"/>
  </cols>
  <sheetData>
    <row r="1" spans="1:161" ht="26">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c r="EM1" s="99">
        <v>141</v>
      </c>
      <c r="EN1" s="99">
        <v>142</v>
      </c>
      <c r="EO1" s="99">
        <v>143</v>
      </c>
      <c r="EP1" s="99">
        <v>144</v>
      </c>
      <c r="EQ1" s="99">
        <v>145</v>
      </c>
      <c r="ER1" s="99">
        <v>146</v>
      </c>
      <c r="ES1" s="99">
        <v>147</v>
      </c>
      <c r="ET1" s="99">
        <v>148</v>
      </c>
      <c r="EU1" s="99">
        <v>149</v>
      </c>
      <c r="EV1" s="99">
        <v>150</v>
      </c>
      <c r="EW1" s="99">
        <v>151</v>
      </c>
      <c r="EX1" s="99">
        <v>152</v>
      </c>
      <c r="EY1" s="99">
        <v>153</v>
      </c>
      <c r="EZ1" s="99">
        <v>154</v>
      </c>
      <c r="FA1" s="99">
        <v>155</v>
      </c>
      <c r="FB1" s="99">
        <v>156</v>
      </c>
      <c r="FC1" s="99">
        <v>157</v>
      </c>
      <c r="FD1" s="99">
        <v>158</v>
      </c>
      <c r="FE1" s="99">
        <v>159</v>
      </c>
    </row>
    <row r="2" spans="1:161">
      <c r="A2" s="112" t="s">
        <v>277</v>
      </c>
      <c r="B2" s="112"/>
      <c r="C2" s="101">
        <v>1</v>
      </c>
      <c r="D2" s="282">
        <v>230.3</v>
      </c>
      <c r="E2" s="60">
        <f>D2*C2</f>
        <v>230.3</v>
      </c>
      <c r="K2" s="102"/>
      <c r="M2" s="102"/>
    </row>
    <row r="3" spans="1:161">
      <c r="A3" s="100"/>
      <c r="B3" s="64"/>
      <c r="D3" s="100"/>
      <c r="E3" s="64"/>
      <c r="F3" s="103"/>
    </row>
    <row r="4" spans="1:161">
      <c r="A4" s="64"/>
      <c r="B4" s="64"/>
      <c r="D4" s="64"/>
      <c r="E4" s="64"/>
      <c r="H4" s="60" t="s">
        <v>387</v>
      </c>
    </row>
    <row r="5" spans="1:161">
      <c r="A5" s="74"/>
      <c r="B5" s="74"/>
    </row>
    <row r="6" spans="1:161">
      <c r="A6" s="59"/>
      <c r="B6" s="59"/>
      <c r="C6" s="59"/>
      <c r="D6" s="98"/>
      <c r="E6" s="98"/>
      <c r="F6" s="59"/>
      <c r="H6" s="59" t="s">
        <v>416</v>
      </c>
      <c r="I6" s="59">
        <v>43831</v>
      </c>
      <c r="J6" s="59">
        <v>43862</v>
      </c>
      <c r="K6" s="59">
        <v>43891</v>
      </c>
      <c r="L6" s="59">
        <v>43922</v>
      </c>
      <c r="M6" s="59">
        <v>43952</v>
      </c>
      <c r="N6" s="59">
        <v>43983</v>
      </c>
      <c r="O6" s="59">
        <v>44013</v>
      </c>
      <c r="P6" s="59">
        <v>44044</v>
      </c>
      <c r="Q6" s="59">
        <v>44075</v>
      </c>
      <c r="R6" s="59">
        <v>44105</v>
      </c>
      <c r="S6" s="59">
        <v>44136</v>
      </c>
      <c r="T6" s="59">
        <v>44166</v>
      </c>
      <c r="U6" s="59">
        <v>44197</v>
      </c>
      <c r="V6" s="59">
        <v>44228</v>
      </c>
      <c r="W6" s="59">
        <v>44256</v>
      </c>
      <c r="X6" s="59">
        <v>44287</v>
      </c>
      <c r="Y6" s="59">
        <v>44317</v>
      </c>
      <c r="Z6" s="59">
        <v>44348</v>
      </c>
      <c r="AA6" s="59">
        <v>44378</v>
      </c>
      <c r="AB6" s="59">
        <v>44409</v>
      </c>
      <c r="AC6" s="59">
        <v>44440</v>
      </c>
      <c r="AD6" s="59">
        <v>44470</v>
      </c>
      <c r="AE6" s="59">
        <v>44501</v>
      </c>
      <c r="AF6" s="59">
        <v>44531</v>
      </c>
      <c r="AG6" s="59">
        <v>44562</v>
      </c>
      <c r="AH6" s="59">
        <v>44593</v>
      </c>
      <c r="AI6" s="59">
        <v>44621</v>
      </c>
      <c r="AJ6" s="59">
        <v>44652</v>
      </c>
      <c r="AK6" s="59">
        <v>44682</v>
      </c>
      <c r="AL6" s="59">
        <v>44713</v>
      </c>
      <c r="AM6" s="59">
        <v>44743</v>
      </c>
      <c r="AN6" s="59">
        <v>44774</v>
      </c>
      <c r="AO6" s="59">
        <v>44805</v>
      </c>
      <c r="AP6" s="59">
        <v>44835</v>
      </c>
      <c r="AQ6" s="59">
        <v>44866</v>
      </c>
      <c r="AR6" s="59">
        <v>44896</v>
      </c>
      <c r="AS6" s="59">
        <v>44927</v>
      </c>
      <c r="AT6" s="59">
        <v>44958</v>
      </c>
      <c r="AU6" s="59">
        <v>44986</v>
      </c>
      <c r="AV6" s="59">
        <v>45017</v>
      </c>
      <c r="AW6" s="59">
        <v>45047</v>
      </c>
      <c r="AX6" s="59">
        <v>45078</v>
      </c>
      <c r="AY6" s="59">
        <v>45108</v>
      </c>
      <c r="AZ6" s="59" t="s">
        <v>530</v>
      </c>
      <c r="BA6" s="59" t="s">
        <v>531</v>
      </c>
      <c r="BB6" s="59" t="s">
        <v>532</v>
      </c>
      <c r="BC6" s="59">
        <v>37104</v>
      </c>
      <c r="BD6" s="59">
        <v>37469</v>
      </c>
      <c r="BE6" s="59" t="s">
        <v>168</v>
      </c>
      <c r="BF6" s="59" t="s">
        <v>169</v>
      </c>
      <c r="BG6" s="59" t="s">
        <v>421</v>
      </c>
      <c r="BH6" s="59" t="s">
        <v>422</v>
      </c>
      <c r="BI6" s="59" t="s">
        <v>423</v>
      </c>
      <c r="BJ6" s="59" t="s">
        <v>424</v>
      </c>
      <c r="BK6" s="59" t="s">
        <v>435</v>
      </c>
      <c r="BL6" s="59" t="s">
        <v>436</v>
      </c>
      <c r="BM6" s="59" t="s">
        <v>437</v>
      </c>
      <c r="BN6" s="59" t="s">
        <v>438</v>
      </c>
      <c r="BO6" s="59">
        <v>37196</v>
      </c>
      <c r="BP6" s="59">
        <v>37561</v>
      </c>
      <c r="BQ6" s="59">
        <v>37926</v>
      </c>
      <c r="BR6" s="59">
        <v>38292</v>
      </c>
      <c r="BS6" s="59">
        <v>37226</v>
      </c>
      <c r="BT6" s="59">
        <v>37591</v>
      </c>
      <c r="BU6" s="59">
        <v>37956</v>
      </c>
      <c r="BV6" s="59">
        <v>38322</v>
      </c>
      <c r="BW6" s="59">
        <v>36892</v>
      </c>
      <c r="BX6" s="59">
        <v>37257</v>
      </c>
      <c r="BY6" s="59">
        <v>37622</v>
      </c>
      <c r="BZ6" s="59">
        <v>37987</v>
      </c>
      <c r="CA6" s="59">
        <v>36923</v>
      </c>
      <c r="CB6" s="59">
        <v>37288</v>
      </c>
      <c r="CC6" s="59">
        <v>37653</v>
      </c>
      <c r="CD6" s="59">
        <v>38018</v>
      </c>
      <c r="CE6" s="59" t="str">
        <f>Sheet8!A15</f>
        <v>Mar-w1</v>
      </c>
      <c r="CF6" s="59">
        <v>37316</v>
      </c>
      <c r="CG6" s="59">
        <v>37681</v>
      </c>
      <c r="CH6" s="59">
        <v>38047</v>
      </c>
      <c r="CI6" s="59" t="str">
        <f>Sheet8!E15</f>
        <v>Apr-w1</v>
      </c>
      <c r="CJ6" s="59" t="str">
        <f>Sheet8!F15</f>
        <v>Apr-w2</v>
      </c>
      <c r="CK6" s="59" t="str">
        <f>Sheet8!G15</f>
        <v>Apr-w3</v>
      </c>
      <c r="CL6" s="59" t="str">
        <f>Sheet8!H15</f>
        <v>Apr-w4</v>
      </c>
      <c r="CM6" s="59" t="str">
        <f>Sheet8!I15</f>
        <v>May-w1</v>
      </c>
      <c r="CN6" s="59" t="str">
        <f>Sheet8!J15</f>
        <v>May-w2</v>
      </c>
      <c r="CO6" s="59" t="str">
        <f>Sheet8!K15</f>
        <v>May-w3</v>
      </c>
      <c r="CP6" s="59" t="str">
        <f>Sheet8!L15</f>
        <v>May-w4</v>
      </c>
      <c r="CQ6" s="59" t="str">
        <f>Sheet8!M15</f>
        <v>May-w5</v>
      </c>
      <c r="CR6" s="59" t="str">
        <f>Sheet8!N15</f>
        <v>june-w1</v>
      </c>
      <c r="CS6" s="59" t="str">
        <f>Sheet8!O15</f>
        <v>june-w2</v>
      </c>
      <c r="CT6" s="59" t="str">
        <f>Sheet8!P15</f>
        <v>june-w3</v>
      </c>
      <c r="CU6" s="59" t="str">
        <f>Sheet8!Q15</f>
        <v>june-w4</v>
      </c>
      <c r="CV6" s="59" t="str">
        <f>Sheet8!R15</f>
        <v>Jul-w1</v>
      </c>
      <c r="CW6" s="59" t="str">
        <f>Sheet8!S15</f>
        <v>Jul-w2</v>
      </c>
      <c r="CX6" s="59" t="str">
        <f>Sheet8!T15</f>
        <v>Jul-w3</v>
      </c>
      <c r="CY6" s="59" t="str">
        <f>Sheet8!U15</f>
        <v>Jul-w4</v>
      </c>
      <c r="CZ6" s="59" t="str">
        <f>Sheet8!V15</f>
        <v>Aug-w1</v>
      </c>
      <c r="DA6" s="59" t="str">
        <f>Sheet8!W15</f>
        <v>Aug-w2</v>
      </c>
      <c r="DB6" s="59" t="str">
        <f>Sheet8!X15</f>
        <v>Aug-w3</v>
      </c>
      <c r="DC6" s="59" t="str">
        <f>Sheet8!Y15</f>
        <v>Aug-w4</v>
      </c>
      <c r="DD6" s="59" t="str">
        <f>Sheet8!Z15</f>
        <v>Sep-w1</v>
      </c>
      <c r="DE6" s="59" t="str">
        <f>Sheet8!AA15</f>
        <v>Sep-w2</v>
      </c>
      <c r="DF6" s="59" t="str">
        <f>Sheet8!AB15</f>
        <v>Sep-w3</v>
      </c>
      <c r="DG6" s="59" t="str">
        <f>Sheet8!AC15</f>
        <v>Sep-w4</v>
      </c>
      <c r="DH6" s="59" t="str">
        <f>Sheet8!AD15</f>
        <v>Oct-w1</v>
      </c>
      <c r="DI6" s="59" t="str">
        <f>Sheet8!AE15</f>
        <v>Oct-w2</v>
      </c>
      <c r="DJ6" s="59" t="str">
        <f>Sheet8!AF15</f>
        <v>Oct-w3</v>
      </c>
      <c r="DK6" s="59" t="str">
        <f>Sheet8!AG15</f>
        <v>Oct-w4</v>
      </c>
      <c r="DL6" s="59" t="str">
        <f>Sheet8!AH15</f>
        <v>Nov-w1</v>
      </c>
      <c r="DM6" s="59" t="str">
        <f>Sheet8!AI15</f>
        <v>Nov-w2</v>
      </c>
      <c r="DN6" s="59" t="str">
        <f>Sheet8!AJ15</f>
        <v>Nov-w3</v>
      </c>
      <c r="DO6" s="59" t="str">
        <f>Sheet8!AK15</f>
        <v>Nov-w4</v>
      </c>
      <c r="DP6" s="59" t="str">
        <f>Sheet8!AL15</f>
        <v>Dec-w1</v>
      </c>
      <c r="DQ6" s="59" t="str">
        <f>Sheet8!AM15</f>
        <v>Dec-w2</v>
      </c>
      <c r="DR6" s="59" t="str">
        <f>Sheet8!AN15</f>
        <v>Dec-w3</v>
      </c>
      <c r="DS6" s="59" t="str">
        <f>Sheet8!AO15</f>
        <v>Dec-w4</v>
      </c>
      <c r="DT6" s="59">
        <f>Sheet8!AP15</f>
        <v>0</v>
      </c>
      <c r="DU6" s="59">
        <f>Sheet8!AQ15</f>
        <v>0</v>
      </c>
      <c r="DV6" s="59">
        <f>Sheet8!AR15</f>
        <v>0</v>
      </c>
      <c r="DW6" s="59">
        <f>Sheet8!AS15</f>
        <v>0</v>
      </c>
      <c r="DX6" s="59">
        <f>Sheet8!AT15</f>
        <v>0</v>
      </c>
      <c r="DY6" s="59">
        <f>Sheet8!AU15</f>
        <v>0</v>
      </c>
      <c r="DZ6" s="59">
        <f>Sheet8!AV15</f>
        <v>0</v>
      </c>
      <c r="EA6" s="59">
        <f>Sheet8!AW15</f>
        <v>0</v>
      </c>
      <c r="EB6" s="59">
        <f>Sheet8!AX15</f>
        <v>0</v>
      </c>
      <c r="EC6" s="59">
        <f>Sheet8!AY15</f>
        <v>0</v>
      </c>
      <c r="ED6" s="59">
        <f>Sheet8!AZ15</f>
        <v>0</v>
      </c>
      <c r="EE6" s="59">
        <f>Sheet8!BA15</f>
        <v>0</v>
      </c>
      <c r="EF6" s="59">
        <f>Sheet8!BB15</f>
        <v>0</v>
      </c>
      <c r="EG6" s="59">
        <f>Sheet8!BC15</f>
        <v>0</v>
      </c>
      <c r="EH6" s="59">
        <f>Sheet8!BD15</f>
        <v>0</v>
      </c>
      <c r="EI6" s="59">
        <f>Sheet8!BE15</f>
        <v>0</v>
      </c>
      <c r="EJ6" s="59">
        <f>Sheet8!BF15</f>
        <v>0</v>
      </c>
      <c r="EK6" s="59">
        <f>Sheet8!BG15</f>
        <v>0</v>
      </c>
      <c r="EL6" s="59">
        <f>Sheet8!BH15</f>
        <v>0</v>
      </c>
      <c r="EM6" s="59">
        <f>Sheet8!BI15</f>
        <v>0</v>
      </c>
      <c r="EN6" s="59">
        <f>Sheet8!BJ15</f>
        <v>0</v>
      </c>
      <c r="EO6" s="59">
        <f>Sheet8!BK15</f>
        <v>0</v>
      </c>
      <c r="EP6" s="59">
        <f>Sheet8!BL15</f>
        <v>0</v>
      </c>
      <c r="EQ6" s="59">
        <f>Sheet8!BM15</f>
        <v>0</v>
      </c>
      <c r="ER6" s="59">
        <f>Sheet8!BN15</f>
        <v>0</v>
      </c>
      <c r="ES6" s="59">
        <f>Sheet8!BO15</f>
        <v>0</v>
      </c>
      <c r="ET6" s="59">
        <f>Sheet8!BP15</f>
        <v>0</v>
      </c>
      <c r="EU6" s="59">
        <f>Sheet8!BQ15</f>
        <v>0</v>
      </c>
      <c r="EV6" s="59">
        <f>Sheet8!BR15</f>
        <v>0</v>
      </c>
      <c r="EW6" s="59">
        <f>Sheet8!BS15</f>
        <v>0</v>
      </c>
      <c r="EX6" s="59">
        <f>Sheet8!BT15</f>
        <v>0</v>
      </c>
      <c r="EY6" s="59">
        <f>Sheet8!BU15</f>
        <v>0</v>
      </c>
      <c r="EZ6" s="59">
        <f>Sheet8!BV15</f>
        <v>0</v>
      </c>
      <c r="FA6" s="59">
        <f>Sheet8!BW15</f>
        <v>0</v>
      </c>
      <c r="FB6" s="59">
        <f>Sheet8!BX15</f>
        <v>0</v>
      </c>
      <c r="FC6" s="59">
        <f>Sheet8!BY15</f>
        <v>0</v>
      </c>
      <c r="FD6" s="59">
        <f>Sheet8!BZ15</f>
        <v>0</v>
      </c>
    </row>
    <row r="7" spans="1:161">
      <c r="B7" s="44"/>
      <c r="D7" s="44"/>
      <c r="F7" s="60" t="s">
        <v>651</v>
      </c>
      <c r="H7" s="178" t="s">
        <v>308</v>
      </c>
      <c r="I7" s="74">
        <f>VLOOKUP($H$7&amp;$F$1,'Input RM sheet'!$A:$BD,H1,0)</f>
        <v>0</v>
      </c>
      <c r="J7" s="74">
        <f>VLOOKUP($H$7&amp;$F$1,'Input RM sheet'!$A:$BD,I1,0)</f>
        <v>0</v>
      </c>
      <c r="K7" s="74">
        <f>VLOOKUP($H$7&amp;$F$1,'Input RM sheet'!$A:$BD,J1,0)</f>
        <v>0</v>
      </c>
      <c r="L7" s="74">
        <f>VLOOKUP($H$7&amp;$F$1,'Input RM sheet'!$A:$BD,K1,0)</f>
        <v>0</v>
      </c>
      <c r="M7" s="74">
        <f>VLOOKUP($H$7&amp;$F$1,'Input RM sheet'!$A:$BD,L1,0)</f>
        <v>0</v>
      </c>
      <c r="N7" s="74">
        <f>VLOOKUP($H$7&amp;$F$1,'Input RM sheet'!$A:$BD,M1,0)</f>
        <v>0</v>
      </c>
      <c r="O7" s="74">
        <f>VLOOKUP($H$7&amp;$F$1,'Input RM sheet'!$A:$BD,N1,0)</f>
        <v>0</v>
      </c>
      <c r="P7" s="74">
        <f>VLOOKUP($H$7&amp;$F$1,'Input RM sheet'!$A:$BD,O1,0)</f>
        <v>0</v>
      </c>
      <c r="Q7" s="74">
        <f>VLOOKUP($H$7&amp;$F$1,'Input RM sheet'!$A:$BD,P1,0)</f>
        <v>0</v>
      </c>
      <c r="R7" s="74">
        <f>VLOOKUP($H$7&amp;$F$1,'Input RM sheet'!$A:$BD,Q1,0)</f>
        <v>0</v>
      </c>
      <c r="S7" s="74">
        <f>VLOOKUP($H$7&amp;$F$1,'Input RM sheet'!$A:$BD,R1,0)</f>
        <v>0</v>
      </c>
      <c r="T7" s="74">
        <f>VLOOKUP($H$7&amp;$F$1,'Input RM sheet'!$A:$BD,S1,0)</f>
        <v>0</v>
      </c>
      <c r="U7" s="74">
        <f>VLOOKUP($H$7&amp;$F$1,'Input RM sheet'!$A:$BD,T1,0)</f>
        <v>0</v>
      </c>
      <c r="V7" s="74">
        <f>VLOOKUP($H$7&amp;$F$1,'Input RM sheet'!$A:$BD,U1,0)</f>
        <v>0</v>
      </c>
      <c r="W7" s="74">
        <f>VLOOKUP($H$7&amp;$F$1,'Input RM sheet'!$A:$BD,V1,0)</f>
        <v>0</v>
      </c>
      <c r="X7" s="74">
        <f>VLOOKUP($H$7&amp;$F$1,'Input RM sheet'!$A:$BD,W1,0)</f>
        <v>0</v>
      </c>
      <c r="Y7" s="74">
        <f>VLOOKUP($H$7&amp;$F$1,'Input RM sheet'!$A:$BD,X1,0)</f>
        <v>0</v>
      </c>
      <c r="Z7" s="74">
        <f>VLOOKUP($H$7&amp;$F$1,'Input RM sheet'!$A:$BD,Y1,0)</f>
        <v>0</v>
      </c>
      <c r="AA7" s="74">
        <f>VLOOKUP($H$7&amp;$F$1,'Input RM sheet'!$A:$BD,Z1,0)</f>
        <v>0</v>
      </c>
      <c r="AB7" s="74">
        <f>VLOOKUP($H$7&amp;$F$1,'Input RM sheet'!$A:$BD,AA1,0)</f>
        <v>0</v>
      </c>
      <c r="AC7" s="74">
        <f>VLOOKUP($H$7&amp;$F$1,'Input RM sheet'!$A:$BD,AB1,0)</f>
        <v>0</v>
      </c>
      <c r="AD7" s="74">
        <f>VLOOKUP($H$7&amp;$F$1,'Input RM sheet'!$A:$BD,AC1,0)</f>
        <v>0</v>
      </c>
      <c r="AE7" s="74">
        <f>VLOOKUP($H$7&amp;$F$1,'Input RM sheet'!$A:$BD,AD1,0)</f>
        <v>0</v>
      </c>
      <c r="AF7" s="74">
        <f>VLOOKUP($H$7&amp;$F$1,'Input RM sheet'!$A:$BD,AE1,0)</f>
        <v>0</v>
      </c>
      <c r="AG7" s="74">
        <f>VLOOKUP($H$7&amp;$F$1,'Input RM sheet'!$A:$BD,AF1,0)</f>
        <v>0</v>
      </c>
      <c r="AH7" s="74">
        <f>VLOOKUP($H$7&amp;$F$1,'Input RM sheet'!$A:$BD,AG1,0)</f>
        <v>0</v>
      </c>
      <c r="AI7" s="74">
        <f>VLOOKUP($H$7&amp;$F$1,'Input RM sheet'!$A:$BD,AH1,0)</f>
        <v>0</v>
      </c>
      <c r="AJ7" s="74">
        <f>VLOOKUP($H$7&amp;$F$1,'Input RM sheet'!$A:$BD,AI1,0)</f>
        <v>0</v>
      </c>
      <c r="AK7" s="74">
        <f>VLOOKUP($H$7&amp;$F$1,'Input RM sheet'!$A:$BD,AJ1,0)</f>
        <v>0</v>
      </c>
      <c r="AL7" s="74">
        <f>VLOOKUP($H$7&amp;$F$1,'Input RM sheet'!$A:$BD,AK1,0)</f>
        <v>0</v>
      </c>
      <c r="AM7" s="74">
        <f>VLOOKUP($H$7&amp;$F$1,'Input RM sheet'!$A:$BD,AL1,0)</f>
        <v>0</v>
      </c>
      <c r="AN7" s="74">
        <f>VLOOKUP($H$7&amp;$F$1,'Input RM sheet'!$A:$BD,AM1,0)</f>
        <v>0</v>
      </c>
      <c r="AO7" s="74">
        <f>VLOOKUP($H$7&amp;$F$1,'Input RM sheet'!$A:$BD,AN1,0)</f>
        <v>0</v>
      </c>
      <c r="AP7" s="74">
        <f>VLOOKUP($H$7&amp;$F$1,'Input RM sheet'!$A:$BD,AO1,0)</f>
        <v>0</v>
      </c>
      <c r="AQ7" s="74">
        <f>VLOOKUP($H$7&amp;$F$1,'Input RM sheet'!$A:$BD,AP1,0)</f>
        <v>0</v>
      </c>
      <c r="AR7" s="74">
        <f>VLOOKUP($H$7&amp;$F$1,'Input RM sheet'!$A:$BD,AQ1,0)</f>
        <v>0</v>
      </c>
      <c r="AS7" s="74">
        <f>VLOOKUP($H$7&amp;$F$1,'Input RM sheet'!$A:$BD,AR1,0)</f>
        <v>0</v>
      </c>
      <c r="AT7" s="74">
        <f>VLOOKUP($H$7&amp;$F$1,'Input RM sheet'!$A:$BD,AS1,0)</f>
        <v>0</v>
      </c>
      <c r="AU7" s="74">
        <f>VLOOKUP($H$7&amp;$F$1,'Input RM sheet'!$A:$BD,AT1,0)</f>
        <v>0</v>
      </c>
      <c r="AV7" s="74">
        <f>VLOOKUP($H$7&amp;$F$1,'Input RM sheet'!$A:$BD,AU1,0)</f>
        <v>0</v>
      </c>
      <c r="AW7" s="74">
        <f>VLOOKUP($H$7&amp;$F$1,'Input RM sheet'!$A:$BD,AV1,0)</f>
        <v>0</v>
      </c>
      <c r="AX7" s="74">
        <f>VLOOKUP($H$7&amp;$F$1,'Input RM sheet'!$A:$BD,AW1,0)</f>
        <v>0</v>
      </c>
      <c r="AY7" s="74">
        <f>VLOOKUP($H$7&amp;$F$1,'Input RM sheet'!$A:$BD,AX1,0)</f>
        <v>0</v>
      </c>
      <c r="AZ7" s="74">
        <f>VLOOKUP($H$7&amp;$F$1,'Input RM sheet'!$A:$BD,AY1,0)</f>
        <v>0</v>
      </c>
      <c r="BA7" s="74">
        <f>VLOOKUP($H$7&amp;$F$1,'Input RM sheet'!$A:$BD,AZ1,0)</f>
        <v>0</v>
      </c>
      <c r="BB7" s="74">
        <f>VLOOKUP($H$7&amp;$F$1,'Input RM sheet'!$A:$BD,BA1,0)</f>
        <v>0</v>
      </c>
      <c r="BC7" s="74">
        <f>VLOOKUP($H$7&amp;$F$1,'Input RM sheet'!$A:$BD,BB1,0)</f>
        <v>0</v>
      </c>
      <c r="BD7" s="74">
        <v>5.2</v>
      </c>
      <c r="BE7" s="74">
        <f>VLOOKUP($H$7&amp;$F$1,'Input RM sheet'!$A:$BD,BD1,0)</f>
        <v>0</v>
      </c>
      <c r="BF7" s="74">
        <f>VLOOKUP($H$7&amp;$F$1,'Input RM sheet'!$A:$BD,BE1,0)</f>
        <v>0</v>
      </c>
      <c r="BG7" s="74">
        <f>VLOOKUP($H$7&amp;$F$1,'Input RM sheet'!$A:$DD,BF1,0)</f>
        <v>0</v>
      </c>
      <c r="BH7" s="74">
        <f>VLOOKUP($H$7&amp;$F$1,'Input RM sheet'!$A:$DD,BG1,0)</f>
        <v>0</v>
      </c>
      <c r="BI7" s="74">
        <f>VLOOKUP($H$7&amp;$F$1,'Input RM sheet'!$A:$DD,BH1,0)</f>
        <v>0</v>
      </c>
      <c r="BJ7" s="74">
        <f>VLOOKUP($H$7&amp;$F$1,'Input RM sheet'!$A:$DD,BI1,0)</f>
        <v>0</v>
      </c>
      <c r="BK7" s="74">
        <f>VLOOKUP($H$7&amp;$F$1,'Input RM sheet'!$A:$DD,BJ1,0)</f>
        <v>0</v>
      </c>
      <c r="BL7" s="74">
        <f>VLOOKUP($H$7&amp;$F$1,'Input RM sheet'!$A:$DD,BK1,0)</f>
        <v>0</v>
      </c>
      <c r="BM7" s="74">
        <f>VLOOKUP($H$7&amp;$F$1,'Input RM sheet'!$A:$DD,BL1,0)</f>
        <v>0</v>
      </c>
      <c r="BN7" s="74">
        <f>VLOOKUP($H$7&amp;$F$1,'Input RM sheet'!$A:$DD,BM1,0)</f>
        <v>0</v>
      </c>
      <c r="BO7" s="74">
        <f>VLOOKUP($H$7&amp;$F$1,'Input RM sheet'!$A:$DD,BN1,0)</f>
        <v>0</v>
      </c>
      <c r="BP7" s="74">
        <f>VLOOKUP($H$7&amp;$F$1,'Input RM sheet'!$A:$DD,BO1,0)</f>
        <v>0</v>
      </c>
      <c r="BQ7" s="74">
        <f>VLOOKUP($H$7&amp;$F$1,'Input RM sheet'!$A:$DD,BP1,0)</f>
        <v>0</v>
      </c>
      <c r="BR7" s="74">
        <v>3.89</v>
      </c>
      <c r="BS7" s="74">
        <f>VLOOKUP($H$7&amp;$F$1,'Input RM sheet'!$A:$DD,BR1,0)</f>
        <v>3.61</v>
      </c>
      <c r="BT7" s="74">
        <f>VLOOKUP($H$7&amp;$F$1,'Input RM sheet'!$A:$DD,BS1,0)</f>
        <v>3.61</v>
      </c>
      <c r="BU7" s="74">
        <f>VLOOKUP($H$7&amp;$F$1,'Input RM sheet'!$A:$DD,BT1,0)</f>
        <v>3.48</v>
      </c>
      <c r="BV7" s="74">
        <f>VLOOKUP($H$7&amp;$F$1,'Input RM sheet'!$A:$DD,BU1,0)</f>
        <v>3.48</v>
      </c>
      <c r="BW7" s="74">
        <f>VLOOKUP($H$7&amp;$F$1,'Input RM sheet'!$A:$DD,BV1,0)</f>
        <v>3.48</v>
      </c>
      <c r="BX7" s="74">
        <f>VLOOKUP($H$7&amp;$F$1,'Input RM sheet'!$A:$DD,BW1,0)</f>
        <v>3.48</v>
      </c>
      <c r="BY7" s="74">
        <f>VLOOKUP($H$7&amp;$F$1,'Input RM sheet'!$A:$DD,BX1,0)</f>
        <v>3.48</v>
      </c>
      <c r="BZ7" s="74">
        <f>VLOOKUP($H$7&amp;$F$1,'Input RM sheet'!$A:$DD,BY1,0)</f>
        <v>3.48</v>
      </c>
      <c r="CA7" s="74">
        <f>VLOOKUP($H$7&amp;$F$1,'Input RM sheet'!$A:$DD,BZ1,0)</f>
        <v>3.48</v>
      </c>
      <c r="CB7" s="74">
        <f>VLOOKUP($H$7&amp;$F$1,'Input RM sheet'!$A:$DD,CA1,0)</f>
        <v>3.48</v>
      </c>
      <c r="CC7" s="74">
        <f>VLOOKUP($H$7&amp;$F$1,'Input RM sheet'!$A:$DD,CB1,0)</f>
        <v>3.43</v>
      </c>
      <c r="CD7" s="74">
        <f>VLOOKUP($H$7&amp;$F$1,'Input RM sheet'!$A:$DD,CC1,0)</f>
        <v>3.43</v>
      </c>
      <c r="CE7" s="74">
        <f>VLOOKUP($H$7&amp;$F$1,'Input RM sheet'!$A:$DD,CD1,0)</f>
        <v>3.43</v>
      </c>
      <c r="CF7" s="74">
        <f>VLOOKUP($H$7&amp;$F$1,'Input RM sheet'!$A:$DD,CE1,0)</f>
        <v>3.43</v>
      </c>
      <c r="CG7" s="74">
        <f>VLOOKUP($H$7&amp;$F$1,'Input RM sheet'!$A:$DD,CF1,0)</f>
        <v>3.43</v>
      </c>
      <c r="CH7" s="74">
        <f>VLOOKUP($H$7&amp;$F$1,'Input RM sheet'!$A:$DD,CG1,0)</f>
        <v>3.43</v>
      </c>
      <c r="CI7" s="74">
        <f>VLOOKUP($H$7&amp;$F$1,'Input RM sheet'!$A:$DD,CH1,0)</f>
        <v>3.43</v>
      </c>
      <c r="CJ7" s="74">
        <f>VLOOKUP($H$7&amp;$F$1,'Input RM sheet'!$A:$DD,CI1,0)</f>
        <v>3.43</v>
      </c>
      <c r="CK7" s="74">
        <f>VLOOKUP($H$7&amp;$F$1,'Input RM sheet'!$A:$DD,CJ1,0)</f>
        <v>3.43</v>
      </c>
      <c r="CL7" s="74">
        <f>VLOOKUP($H$7&amp;$F$1,'Input RM sheet'!$A:$DD,CK1,0)</f>
        <v>3.42</v>
      </c>
      <c r="CM7" s="74">
        <f>VLOOKUP($H$7&amp;$F$1,'Input RM sheet'!$A:$DD,CL1,0)</f>
        <v>3.42</v>
      </c>
      <c r="CN7" s="74">
        <f>VLOOKUP($H$7&amp;$F$1,'Input RM sheet'!$A:$DD,CM1,0)</f>
        <v>3.42</v>
      </c>
      <c r="CO7" s="74">
        <f>VLOOKUP($H$7&amp;$F$1,'Input RM sheet'!$A:$DD,CN1,0)</f>
        <v>3.42</v>
      </c>
      <c r="CP7" s="74">
        <f>VLOOKUP($H$7&amp;$F$1,'Input RM sheet'!$A:$DD,CO1,0)</f>
        <v>3.42</v>
      </c>
      <c r="CQ7" s="74">
        <f>VLOOKUP($H$7&amp;$F$1,'Input RM sheet'!$A:$DD,CP1,0)</f>
        <v>3.42</v>
      </c>
      <c r="CR7" s="74">
        <f>VLOOKUP($H$7&amp;$F$1,'Input RM sheet'!$A:$DD,CQ1,0)</f>
        <v>3.42</v>
      </c>
      <c r="CS7" s="74">
        <f>VLOOKUP($H$7&amp;$F$1,'Input RM sheet'!$A:$DD,CR1,0)</f>
        <v>3.83</v>
      </c>
      <c r="CT7" s="74">
        <f>VLOOKUP($H$7&amp;$F$1,'Input RM sheet'!$A:$DD,CS1,0)</f>
        <v>3.55</v>
      </c>
      <c r="CU7" s="74">
        <f>VLOOKUP($H$7&amp;$F$1,'Input RM sheet'!$A:$DD,CT1,0)</f>
        <v>3.55</v>
      </c>
      <c r="CV7" s="74">
        <f>VLOOKUP($H$7&amp;$F$1,'Input RM sheet'!$A:$DD,CU1,0)</f>
        <v>3.55</v>
      </c>
      <c r="CW7" s="74">
        <f>VLOOKUP($H$7&amp;$F$1,'Input RM sheet'!$A:$DD,CV1,0)</f>
        <v>3.56</v>
      </c>
      <c r="CX7" s="74">
        <f>VLOOKUP($H$7&amp;$F$1,'Input RM sheet'!$A:$DD,CW1,0)</f>
        <v>3.56</v>
      </c>
      <c r="CY7" s="74">
        <f>VLOOKUP($H$7&amp;$F$1,'Input RM sheet'!$A:$DD,CX1,0)</f>
        <v>3.6</v>
      </c>
      <c r="CZ7" s="74">
        <f>VLOOKUP($H$7&amp;$F$1,'Input RM sheet'!$A:$DD,CY1,0)</f>
        <v>3.6</v>
      </c>
      <c r="DA7" s="74">
        <f>VLOOKUP($H$7&amp;$F$1,'Input RM sheet'!$A:$DD,CZ1,0)</f>
        <v>3.6</v>
      </c>
      <c r="DB7" s="74">
        <f>VLOOKUP($H$7&amp;$F$1,'Input RM sheet'!$A:$DD,DA1,0)</f>
        <v>3.6</v>
      </c>
      <c r="DC7" s="74">
        <f>VLOOKUP($H$7&amp;$F$1,'Input RM sheet'!$A:$ZZ,DB1,0)</f>
        <v>3.92</v>
      </c>
      <c r="DD7" s="74">
        <f>VLOOKUP($H$7&amp;$F$1,'Input RM sheet'!$A:$ZZ,DC1,0)</f>
        <v>3.95</v>
      </c>
      <c r="DE7" s="74">
        <f>VLOOKUP($H$7&amp;$F$1,'Input RM sheet'!$A:$ZZ,DD1,0)</f>
        <v>3.95</v>
      </c>
      <c r="DF7" s="74">
        <f>VLOOKUP($H$7&amp;$F$1,'Input RM sheet'!$A:$ZZ,DE1,0)</f>
        <v>3.95</v>
      </c>
      <c r="DG7" s="74">
        <f>VLOOKUP($H$7&amp;$F$1,'Input RM sheet'!$A:$ZZ,DF1,0)</f>
        <v>3.95</v>
      </c>
      <c r="DH7" s="74">
        <f>VLOOKUP($H$7&amp;$F$1,'Input RM sheet'!$A:$ZZ,DG1,0)</f>
        <v>3.82</v>
      </c>
      <c r="DI7" s="74">
        <f>VLOOKUP($H$7&amp;$F$1,'Input RM sheet'!$A:$ZZ,DH1,0)</f>
        <v>3.82</v>
      </c>
      <c r="DJ7" s="74">
        <f>VLOOKUP($H$7&amp;$F$1,'Input RM sheet'!$A:$ZZ,DI1,0)</f>
        <v>3.82</v>
      </c>
      <c r="DK7" s="74">
        <f>VLOOKUP($H$7&amp;$F$1,'Input RM sheet'!$A:$ZZ,DJ1,0)</f>
        <v>3.82</v>
      </c>
      <c r="DL7" s="74">
        <f>VLOOKUP($H$7&amp;$F$1,'Input RM sheet'!$A:$ZZ,DK1,0)</f>
        <v>3.82</v>
      </c>
      <c r="DM7" s="74">
        <f>VLOOKUP($H$7&amp;$F$1,'Input RM sheet'!$A:$ZZ,DL1,0)</f>
        <v>3.59</v>
      </c>
      <c r="DN7" s="74">
        <f>VLOOKUP($H$7&amp;$F$1,'Input RM sheet'!$A:$ZZ,DM1,0)</f>
        <v>3.59</v>
      </c>
      <c r="DO7" s="74">
        <f>VLOOKUP($H$7&amp;$F$1,'Input RM sheet'!$A:$ZZ,DN1,0)</f>
        <v>3.59</v>
      </c>
      <c r="DP7" s="74">
        <f>VLOOKUP($H$7&amp;$F$1,'Input RM sheet'!$A:$ZZ,DO1,0)</f>
        <v>3.59</v>
      </c>
      <c r="DQ7" s="74">
        <f>VLOOKUP($H$7&amp;$F$1,'Input RM sheet'!$A:$ZZ,DP1,0)</f>
        <v>3.55</v>
      </c>
      <c r="DR7" s="74">
        <f>VLOOKUP($H$7&amp;$F$1,'Input RM sheet'!$A:$ZZ,DQ1,0)</f>
        <v>3.55</v>
      </c>
      <c r="DS7" s="74">
        <f>VLOOKUP($H$7&amp;$F$1,'Input RM sheet'!$A:$ZZ,DR1,0)</f>
        <v>3.55</v>
      </c>
      <c r="DT7" s="74">
        <f>VLOOKUP($H$7&amp;$F$1,'Input RM sheet'!$A:$ZZ,DS1,0)</f>
        <v>0</v>
      </c>
      <c r="DU7" s="74">
        <f>VLOOKUP($H$7&amp;$F$1,'Input RM sheet'!$A:$ZZ,DT1,0)</f>
        <v>0</v>
      </c>
      <c r="DV7" s="74">
        <f>VLOOKUP($H$7&amp;$F$1,'Input RM sheet'!$A:$ZZ,DU1,0)</f>
        <v>0</v>
      </c>
      <c r="DW7" s="74">
        <f>VLOOKUP($H$7&amp;$F$1,'Input RM sheet'!$A:$ZZ,DV1,0)</f>
        <v>0</v>
      </c>
      <c r="DX7" s="74">
        <f>VLOOKUP($H$7&amp;$F$1,'Input RM sheet'!$A:$ZZ,DW1,0)</f>
        <v>0</v>
      </c>
      <c r="DY7" s="74">
        <f>VLOOKUP($H$7&amp;$F$1,'Input RM sheet'!$A:$ZZ,DX1,0)</f>
        <v>0</v>
      </c>
      <c r="DZ7" s="74">
        <f>VLOOKUP($H$7&amp;$F$1,'Input RM sheet'!$A:$ZZ,DY1,0)</f>
        <v>0</v>
      </c>
      <c r="EA7" s="74">
        <f>VLOOKUP($H$7&amp;$F$1,'Input RM sheet'!$A:$ZZ,DZ1,0)</f>
        <v>0</v>
      </c>
      <c r="EB7" s="74">
        <f>VLOOKUP($H$7&amp;$F$1,'Input RM sheet'!$A:$ZZ,EA1,0)</f>
        <v>0</v>
      </c>
      <c r="EC7" s="74">
        <f>VLOOKUP($H$7&amp;$F$1,'Input RM sheet'!$A:$ZZ,EB1,0)</f>
        <v>0</v>
      </c>
      <c r="ED7" s="74">
        <f>VLOOKUP($H$7&amp;$F$1,'Input RM sheet'!$A:$ZZ,EC1,0)</f>
        <v>0</v>
      </c>
      <c r="EE7" s="74">
        <f>VLOOKUP($H$7&amp;$F$1,'Input RM sheet'!$A:$ZZ,ED1,0)</f>
        <v>0</v>
      </c>
      <c r="EF7" s="74">
        <f>VLOOKUP($H$7&amp;$F$1,'Input RM sheet'!$A:$ZZ,EE1,0)</f>
        <v>0</v>
      </c>
      <c r="EG7" s="74">
        <f>VLOOKUP($H$7&amp;$F$1,'Input RM sheet'!$A:$ZZ,EF1,0)</f>
        <v>0</v>
      </c>
      <c r="EH7" s="74">
        <f>VLOOKUP($H$7&amp;$F$1,'Input RM sheet'!$A:$ZZ,EG1,0)</f>
        <v>0</v>
      </c>
      <c r="EI7" s="74">
        <f>VLOOKUP($H$7&amp;$F$1,'Input RM sheet'!$A:$ZZ,EH1,0)</f>
        <v>0</v>
      </c>
      <c r="EJ7" s="74">
        <f>VLOOKUP($H$7&amp;$F$1,'Input RM sheet'!$A:$ZZ,EI1,0)</f>
        <v>0</v>
      </c>
      <c r="EK7" s="74">
        <f>VLOOKUP($H$7&amp;$F$1,'Input RM sheet'!$A:$ZZ,EJ1,0)</f>
        <v>0</v>
      </c>
      <c r="EL7" s="74">
        <f>VLOOKUP($H$7&amp;$F$1,'Input RM sheet'!$A:$ZZ,EK1,0)</f>
        <v>0</v>
      </c>
      <c r="EM7" s="74">
        <f>VLOOKUP($H$7&amp;$F$1,'Input RM sheet'!$A:$ZZ,EL1,0)</f>
        <v>0</v>
      </c>
      <c r="EN7" s="74">
        <f>VLOOKUP($H$7&amp;$F$1,'Input RM sheet'!$A:$ZZ,EM1,0)</f>
        <v>0</v>
      </c>
      <c r="EO7" s="74">
        <f>VLOOKUP($H$7&amp;$F$1,'Input RM sheet'!$A:$ZZ,EN1,0)</f>
        <v>0</v>
      </c>
      <c r="EP7" s="74">
        <f>VLOOKUP($H$7&amp;$F$1,'Input RM sheet'!$A:$ZZ,EO1,0)</f>
        <v>0</v>
      </c>
      <c r="EQ7" s="74">
        <f>VLOOKUP($H$7&amp;$F$1,'Input RM sheet'!$A:$ZZ,EP1,0)</f>
        <v>0</v>
      </c>
      <c r="ER7" s="74">
        <f>VLOOKUP($H$7&amp;$F$1,'Input RM sheet'!$A:$ZZ,EQ1,0)</f>
        <v>0</v>
      </c>
      <c r="ES7" s="74">
        <f>VLOOKUP($H$7&amp;$F$1,'Input RM sheet'!$A:$ZZ,ER1,0)</f>
        <v>0</v>
      </c>
      <c r="ET7" s="74">
        <f>VLOOKUP($H$7&amp;$F$1,'Input RM sheet'!$A:$ZZ,ES1,0)</f>
        <v>0</v>
      </c>
      <c r="EU7" s="74">
        <f>VLOOKUP($H$7&amp;$F$1,'Input RM sheet'!$A:$ZZ,ET1,0)</f>
        <v>0</v>
      </c>
      <c r="EV7" s="74">
        <f>VLOOKUP($H$7&amp;$F$1,'Input RM sheet'!$A:$ZZ,EU1,0)</f>
        <v>0</v>
      </c>
      <c r="EW7" s="74">
        <f>VLOOKUP($H$7&amp;$F$1,'Input RM sheet'!$A:$ZZ,EV1,0)</f>
        <v>0</v>
      </c>
      <c r="EX7" s="74">
        <f>VLOOKUP($H$7&amp;$F$1,'Input RM sheet'!$A:$ZZ,EW1,0)</f>
        <v>0</v>
      </c>
      <c r="EY7" s="74">
        <f>VLOOKUP($H$7&amp;$F$1,'Input RM sheet'!$A:$ZZ,EX1,0)</f>
        <v>0</v>
      </c>
      <c r="EZ7" s="74">
        <f>VLOOKUP($H$7&amp;$F$1,'Input RM sheet'!$A:$ZZ,EY1,0)</f>
        <v>0</v>
      </c>
      <c r="FA7" s="74">
        <f>VLOOKUP($H$7&amp;$F$1,'Input RM sheet'!$A:$ZZ,EZ1,0)</f>
        <v>0</v>
      </c>
      <c r="FB7" s="74">
        <f>VLOOKUP($H$7&amp;$F$1,'Input RM sheet'!$A:$ZZ,FA1,0)</f>
        <v>0</v>
      </c>
      <c r="FC7" s="74">
        <f>VLOOKUP($H$7&amp;$F$1,'Input RM sheet'!$A:$ZZ,FB1,0)</f>
        <v>0</v>
      </c>
      <c r="FD7" s="74">
        <f>VLOOKUP($H$7&amp;$F$1,'Input RM sheet'!$A:$ZZ,FC1,0)</f>
        <v>0</v>
      </c>
    </row>
    <row r="8" spans="1:161">
      <c r="B8" s="44"/>
      <c r="D8" s="44"/>
      <c r="H8" s="178" t="s">
        <v>36</v>
      </c>
      <c r="I8" s="74">
        <f>VLOOKUP($H$8&amp;$F$1,'Input RM sheet'!$A:$BD,H1,0)</f>
        <v>262.5</v>
      </c>
      <c r="J8" s="74">
        <f>VLOOKUP($H$8&amp;$F$1,'Input RM sheet'!$A:$BD,I1,0)</f>
        <v>322.5</v>
      </c>
      <c r="K8" s="74">
        <f>VLOOKUP($H$8&amp;$F$1,'Input RM sheet'!$A:$BD,J1,0)</f>
        <v>285</v>
      </c>
      <c r="L8" s="74">
        <f>VLOOKUP($H$8&amp;$F$1,'Input RM sheet'!$A:$BD,K1,0)</f>
        <v>210</v>
      </c>
      <c r="M8" s="74">
        <f>VLOOKUP($H$8&amp;$F$1,'Input RM sheet'!$A:$BD,L1,0)</f>
        <v>175</v>
      </c>
      <c r="N8" s="74">
        <f>VLOOKUP($H$8&amp;$F$1,'Input RM sheet'!$A:$BD,M1,0)</f>
        <v>167.5</v>
      </c>
      <c r="O8" s="74">
        <f>VLOOKUP($H$8&amp;$F$1,'Input RM sheet'!$A:$BD,N1,0)</f>
        <v>180</v>
      </c>
      <c r="P8" s="74">
        <f>VLOOKUP($H$8&amp;$F$1,'Input RM sheet'!$A:$BD,O1,0)</f>
        <v>220</v>
      </c>
      <c r="Q8" s="74">
        <f>VLOOKUP($H$8&amp;$F$1,'Input RM sheet'!$A:$BD,P1,0)</f>
        <v>230</v>
      </c>
      <c r="R8" s="74">
        <f>VLOOKUP($H$8&amp;$F$1,'Input RM sheet'!$A:$BD,Q1,0)</f>
        <v>240</v>
      </c>
      <c r="S8" s="74">
        <f>VLOOKUP($H$8&amp;$F$1,'Input RM sheet'!$A:$BD,R1,0)</f>
        <v>270</v>
      </c>
      <c r="T8" s="74">
        <f>VLOOKUP($H$8&amp;$F$1,'Input RM sheet'!$A:$BD,S1,0)</f>
        <v>300</v>
      </c>
      <c r="U8" s="74">
        <f>VLOOKUP($H$8&amp;$F$1,'Input RM sheet'!$A:$BD,T1,0)</f>
        <v>360</v>
      </c>
      <c r="V8" s="74">
        <f>VLOOKUP($H$8&amp;$F$1,'Input RM sheet'!$A:$BD,U1,0)</f>
        <v>365</v>
      </c>
      <c r="W8" s="74">
        <f>VLOOKUP($H$8&amp;$F$1,'Input RM sheet'!$A:$BD,V1,0)</f>
        <v>355</v>
      </c>
      <c r="X8" s="74">
        <f>VLOOKUP($H$8&amp;$F$1,'Input RM sheet'!$A:$BD,W1,0)</f>
        <v>340</v>
      </c>
      <c r="Y8" s="74">
        <f>VLOOKUP($H$8&amp;$F$1,'Input RM sheet'!$A:$BD,X1,0)</f>
        <v>347.5</v>
      </c>
      <c r="Z8" s="74">
        <f>VLOOKUP($H$8&amp;$F$1,'Input RM sheet'!$A:$BD,Y1,0)</f>
        <v>357.5</v>
      </c>
      <c r="AA8" s="74">
        <f>VLOOKUP($H$8&amp;$F$1,'Input RM sheet'!$A:$BD,Z1,0)</f>
        <v>360</v>
      </c>
      <c r="AB8" s="74">
        <f>VLOOKUP($H$8&amp;$F$1,'Input RM sheet'!$A:$BD,AA1,0)</f>
        <v>370</v>
      </c>
      <c r="AC8" s="74">
        <f>VLOOKUP($H$8&amp;$F$1,'Input RM sheet'!$A:$BD,AB1,0)</f>
        <v>390</v>
      </c>
      <c r="AD8" s="74">
        <f>VLOOKUP($H$8&amp;$F$1,'Input RM sheet'!$A:$BD,AC1,0)</f>
        <v>467.5</v>
      </c>
      <c r="AE8" s="74">
        <f>VLOOKUP($H$8&amp;$F$1,'Input RM sheet'!$A:$BD,AD1,0)</f>
        <v>392.5</v>
      </c>
      <c r="AF8" s="74">
        <f>VLOOKUP($H$8&amp;$F$1,'Input RM sheet'!$A:$BD,AE1,0)</f>
        <v>340</v>
      </c>
      <c r="AG8" s="74">
        <f>VLOOKUP($H$8&amp;$F$1,'Input RM sheet'!$A:$BD,AF1,0)</f>
        <v>310</v>
      </c>
      <c r="AH8" s="74">
        <f>VLOOKUP($H$8&amp;$F$1,'Input RM sheet'!$A:$BD,AG1,0)</f>
        <v>390</v>
      </c>
      <c r="AI8" s="74">
        <f>VLOOKUP($H$8&amp;$F$1,'Input RM sheet'!$A:$BD,AH1,0)</f>
        <v>430</v>
      </c>
      <c r="AJ8" s="74">
        <f>VLOOKUP($H$8&amp;$F$1,'Input RM sheet'!$A:$BD,AI1,0)</f>
        <v>390</v>
      </c>
      <c r="AK8" s="74">
        <f>VLOOKUP($H$8&amp;$F$1,'Input RM sheet'!$A:$BD,AJ1,0)</f>
        <v>350</v>
      </c>
      <c r="AL8" s="74">
        <f>VLOOKUP($H$8&amp;$F$1,'Input RM sheet'!$A:$BD,AK1,0)</f>
        <v>340</v>
      </c>
      <c r="AM8" s="74">
        <f>VLOOKUP($H$8&amp;$F$1,'Input RM sheet'!$A:$BD,AL1,0)</f>
        <v>315</v>
      </c>
      <c r="AN8" s="74">
        <f>VLOOKUP($H$8&amp;$F$1,'Input RM sheet'!$A:$BD,AM1,0)</f>
        <v>315</v>
      </c>
      <c r="AO8" s="74">
        <f>VLOOKUP($H$8&amp;$F$1,'Input RM sheet'!$A:$BD,AN1,0)</f>
        <v>315</v>
      </c>
      <c r="AP8" s="74">
        <f>VLOOKUP($H$8&amp;$F$1,'Input RM sheet'!$A:$BD,AO1,0)</f>
        <v>325</v>
      </c>
      <c r="AQ8" s="74">
        <f>VLOOKUP($H$8&amp;$F$1,'Input RM sheet'!$A:$BD,AP1,0)</f>
        <v>325</v>
      </c>
      <c r="AR8" s="74">
        <f>VLOOKUP($H$8&amp;$F$1,'Input RM sheet'!$A:$BD,AQ1,0)</f>
        <v>315</v>
      </c>
      <c r="AS8" s="74">
        <f>VLOOKUP($H$8&amp;$F$1,'Input RM sheet'!$A:$BD,AR1,0)</f>
        <v>325</v>
      </c>
      <c r="AT8" s="74">
        <f>VLOOKUP($H$8&amp;$F$1,'Input RM sheet'!$A:$BD,AS1,0)</f>
        <v>347.5</v>
      </c>
      <c r="AU8" s="74">
        <f>VLOOKUP($H$8&amp;$F$1,'Input RM sheet'!$A:$BD,AT1,0)</f>
        <v>362.5</v>
      </c>
      <c r="AV8" s="74">
        <f>VLOOKUP($H$8&amp;$F$1,'Input RM sheet'!$A:$BD,AU1,0)</f>
        <v>335</v>
      </c>
      <c r="AW8" s="74">
        <f>VLOOKUP($H$8&amp;$F$1,'Input RM sheet'!$A:$BD,AV1,0)</f>
        <v>310</v>
      </c>
      <c r="AX8" s="74">
        <f>VLOOKUP($H$8&amp;$F$1,'Input RM sheet'!$A:$BD,AW1,0)</f>
        <v>300</v>
      </c>
      <c r="AY8" s="74">
        <f>VLOOKUP($H$8&amp;$F$1,'Input RM sheet'!$A:$BD,AX1,0)</f>
        <v>300</v>
      </c>
      <c r="AZ8" s="74">
        <f>VLOOKUP($H$8&amp;$F$1,'Input RM sheet'!$A:$BD,AY1,0)</f>
        <v>290</v>
      </c>
      <c r="BA8" s="74">
        <f>VLOOKUP($H$8&amp;$F$1,'Input RM sheet'!$A:$BD,AZ1,0)</f>
        <v>290</v>
      </c>
      <c r="BB8" s="74">
        <f>VLOOKUP($H$8&amp;$F$1,'Input RM sheet'!$A:$BD,BA1,0)</f>
        <v>290</v>
      </c>
      <c r="BC8" s="74">
        <f>VLOOKUP($H$8&amp;$F$1,'Input RM sheet'!$A:$BD,BB1,0)</f>
        <v>290</v>
      </c>
      <c r="BD8" s="74">
        <f>VLOOKUP($H$8&amp;$F$1,'Input RM sheet'!$A:$BD,BC1,0)</f>
        <v>310</v>
      </c>
      <c r="BE8" s="74">
        <f>VLOOKUP($H$8&amp;$F$1,'Input RM sheet'!$A:$BD,BD1,0)</f>
        <v>310</v>
      </c>
      <c r="BF8" s="74">
        <f>VLOOKUP($H$8&amp;$F$1,'Input RM sheet'!$A:$BD,BE1,0)</f>
        <v>310</v>
      </c>
      <c r="BG8" s="74">
        <f>VLOOKUP($H$8&amp;$F$1,'Input RM sheet'!$A:$DD,BF1,0)</f>
        <v>310</v>
      </c>
      <c r="BH8" s="74">
        <f>VLOOKUP($H$8&amp;$F$1,'Input RM sheet'!$A:$DD,BG1,0)</f>
        <v>310</v>
      </c>
      <c r="BI8" s="74">
        <f>VLOOKUP($H$8&amp;$F$1,'Input RM sheet'!$A:$DD,BH1,0)</f>
        <v>330</v>
      </c>
      <c r="BJ8" s="74">
        <f>VLOOKUP($H$8&amp;$F$1,'Input RM sheet'!$A:$DD,BI1,0)</f>
        <v>330</v>
      </c>
      <c r="BK8" s="74">
        <f>VLOOKUP($H$8&amp;$F$1,'Input RM sheet'!$A:$DD,BJ1,0)</f>
        <v>330</v>
      </c>
      <c r="BL8" s="74">
        <f>VLOOKUP($H$8&amp;$F$1,'Input RM sheet'!$A:$DD,BK1,0)</f>
        <v>330</v>
      </c>
      <c r="BM8" s="74">
        <f>VLOOKUP($H$8&amp;$F$1,'Input RM sheet'!$A:$DD,BL1,0)</f>
        <v>330</v>
      </c>
      <c r="BN8" s="74">
        <f>VLOOKUP($H$8&amp;$F$1,'Input RM sheet'!$A:$DD,BM1,0)</f>
        <v>330</v>
      </c>
      <c r="BO8" s="74">
        <f>VLOOKUP($H$8&amp;$F$1,'Input RM sheet'!$A:$DD,BN1,0)</f>
        <v>330</v>
      </c>
      <c r="BP8" s="74">
        <f>VLOOKUP($H$8&amp;$F$1,'Input RM sheet'!$A:$DD,BO1,0)</f>
        <v>315</v>
      </c>
      <c r="BQ8" s="74">
        <f>VLOOKUP($H$8&amp;$F$1,'Input RM sheet'!$A:$DD,BP1,0)</f>
        <v>315</v>
      </c>
      <c r="BR8" s="74">
        <f>VLOOKUP($H$8&amp;$F$1,'Input RM sheet'!$A:$DD,BQ1,0)</f>
        <v>315</v>
      </c>
      <c r="BS8" s="74">
        <f>VLOOKUP($H$8&amp;$F$1,'Input RM sheet'!$A:$DD,BR1,0)</f>
        <v>315</v>
      </c>
      <c r="BT8" s="74">
        <f>VLOOKUP($H$8&amp;$F$1,'Input RM sheet'!$A:$DD,BS1,0)</f>
        <v>335</v>
      </c>
      <c r="BU8" s="74">
        <f>VLOOKUP($H$8&amp;$F$1,'Input RM sheet'!$A:$DD,BT1,0)</f>
        <v>335</v>
      </c>
      <c r="BV8" s="74">
        <f>VLOOKUP($H$8&amp;$F$1,'Input RM sheet'!$A:$DD,BU1,0)</f>
        <v>335</v>
      </c>
      <c r="BW8" s="74">
        <f>VLOOKUP($H$8&amp;$F$1,'Input RM sheet'!$A:$DD,BV1,0)</f>
        <v>337.5</v>
      </c>
      <c r="BX8" s="74">
        <f>VLOOKUP($H$8&amp;$F$1,'Input RM sheet'!$A:$DD,BW1,0)</f>
        <v>337.5</v>
      </c>
      <c r="BY8" s="74">
        <f>VLOOKUP($H$8&amp;$F$1,'Input RM sheet'!$A:$DD,BX1,0)</f>
        <v>337.5</v>
      </c>
      <c r="BZ8" s="74">
        <f>VLOOKUP($H$8&amp;$F$1,'Input RM sheet'!$A:$DD,BY1,0)</f>
        <v>347.5</v>
      </c>
      <c r="CA8" s="74">
        <f>VLOOKUP($H$8&amp;$F$1,'Input RM sheet'!$A:$DD,BZ1,0)</f>
        <v>347.5</v>
      </c>
      <c r="CB8" s="74">
        <f>VLOOKUP($H$8&amp;$F$1,'Input RM sheet'!$A:$DD,CA1,0)</f>
        <v>347.5</v>
      </c>
      <c r="CC8" s="74">
        <f>VLOOKUP($H$8&amp;$F$1,'Input RM sheet'!$A:$DD,CB1,0)</f>
        <v>347.5</v>
      </c>
      <c r="CD8" s="74">
        <f>VLOOKUP($H$8&amp;$F$1,'Input RM sheet'!$A:$DD,CC1,0)</f>
        <v>347.5</v>
      </c>
      <c r="CE8" s="74">
        <f>VLOOKUP($H$8&amp;$F$1,'Input RM sheet'!$A:$DD,CD1,0)</f>
        <v>347.5</v>
      </c>
      <c r="CF8" s="74">
        <f>VLOOKUP($H$8&amp;$F$1,'Input RM sheet'!$A:$DD,CE1,0)</f>
        <v>347.5</v>
      </c>
      <c r="CG8" s="74">
        <f>VLOOKUP($H$8&amp;$F$1,'Input RM sheet'!$A:$DD,CF1,0)</f>
        <v>355</v>
      </c>
      <c r="CH8" s="74">
        <f>VLOOKUP($H$8&amp;$F$1,'Input RM sheet'!$A:$DD,CG1,0)</f>
        <v>355</v>
      </c>
      <c r="CI8" s="74">
        <f>VLOOKUP($H$8&amp;$F$1,'Input RM sheet'!$A:$DD,CH1,0)</f>
        <v>345</v>
      </c>
      <c r="CJ8" s="74">
        <f>VLOOKUP($H$8&amp;$F$1,'Input RM sheet'!$A:$DD,CI1,0)</f>
        <v>345</v>
      </c>
      <c r="CK8" s="74">
        <f>VLOOKUP($H$8&amp;$F$1,'Input RM sheet'!$A:$DD,CJ1,0)</f>
        <v>345</v>
      </c>
      <c r="CL8" s="74">
        <f>VLOOKUP($H$8&amp;$F$1,'Input RM sheet'!$A:$DD,CK1,0)</f>
        <v>345</v>
      </c>
      <c r="CM8" s="74">
        <f>VLOOKUP($H$8&amp;$F$1,'Input RM sheet'!$A:$DD,CL1,0)</f>
        <v>342.5</v>
      </c>
      <c r="CN8" s="74">
        <f>VLOOKUP($H$8&amp;$F$1,'Input RM sheet'!$A:$DD,CM1,0)</f>
        <v>342.5</v>
      </c>
      <c r="CO8" s="74">
        <f>VLOOKUP($H$8&amp;$F$1,'Input RM sheet'!$A:$DD,CN1,0)</f>
        <v>342.5</v>
      </c>
      <c r="CP8" s="74">
        <f>VLOOKUP($H$8&amp;$F$1,'Input RM sheet'!$A:$DD,CO1,0)</f>
        <v>342.5</v>
      </c>
      <c r="CQ8" s="74">
        <f>VLOOKUP($H$8&amp;$F$1,'Input RM sheet'!$A:$DD,CP1,0)</f>
        <v>342.5</v>
      </c>
      <c r="CR8" s="74">
        <f>VLOOKUP($H$8&amp;$F$1,'Input RM sheet'!$A:$DD,CQ1,0)</f>
        <v>342.5</v>
      </c>
      <c r="CS8" s="74">
        <f>VLOOKUP($H$8&amp;$F$1,'Input RM sheet'!$A:$DD,CR1,0)</f>
        <v>340</v>
      </c>
      <c r="CT8" s="74">
        <f>VLOOKUP($H$8&amp;$F$1,'Input RM sheet'!$A:$DD,CS1,0)</f>
        <v>340</v>
      </c>
      <c r="CU8" s="74">
        <f>VLOOKUP($H$8&amp;$F$1,'Input RM sheet'!$A:$DD,CT1,0)</f>
        <v>340</v>
      </c>
      <c r="CV8" s="74">
        <f>VLOOKUP($H$8&amp;$F$1,'Input RM sheet'!$A:$DD,CU1,0)</f>
        <v>340</v>
      </c>
      <c r="CW8" s="74">
        <f>VLOOKUP($H$8&amp;$F$1,'Input RM sheet'!$A:$DD,CV1,0)</f>
        <v>335</v>
      </c>
      <c r="CX8" s="74">
        <f>VLOOKUP($H$8&amp;$F$1,'Input RM sheet'!$A:$DD,CW1,0)</f>
        <v>335</v>
      </c>
      <c r="CY8" s="74">
        <f>VLOOKUP($H$8&amp;$F$1,'Input RM sheet'!$A:$DD,CX1,0)</f>
        <v>335</v>
      </c>
      <c r="CZ8" s="74">
        <f>VLOOKUP($H$8&amp;$F$1,'Input RM sheet'!$A:$DD,CY1,0)</f>
        <v>335</v>
      </c>
      <c r="DA8" s="74">
        <f>VLOOKUP($H$8&amp;$F$1,'Input RM sheet'!$A:$DD,CZ1,0)</f>
        <v>335</v>
      </c>
      <c r="DB8" s="74">
        <f>VLOOKUP($H$8&amp;$F$1,'Input RM sheet'!$A:$DD,DA1,0)</f>
        <v>335</v>
      </c>
      <c r="DC8" s="74">
        <f>VLOOKUP($H$8&amp;$F$1,'Input RM sheet'!$A:$ZZ,DB1,0)</f>
        <v>335</v>
      </c>
      <c r="DD8" s="74">
        <f>VLOOKUP($H$8&amp;$F$1,'Input RM sheet'!$A:$ZZ,DC1,0)</f>
        <v>335</v>
      </c>
      <c r="DE8" s="74">
        <f>VLOOKUP($H$8&amp;$F$1,'Input RM sheet'!$A:$ZZ,DD1,0)</f>
        <v>335</v>
      </c>
      <c r="DF8" s="74">
        <f>VLOOKUP($H$8&amp;$F$1,'Input RM sheet'!$A:$ZZ,DE1,0)</f>
        <v>335</v>
      </c>
      <c r="DG8" s="74">
        <f>VLOOKUP($H$8&amp;$F$1,'Input RM sheet'!$A:$ZZ,DF1,0)</f>
        <v>335</v>
      </c>
      <c r="DH8" s="74">
        <f>VLOOKUP($H$8&amp;$F$1,'Input RM sheet'!$A:$ZZ,DG1,0)</f>
        <v>335</v>
      </c>
      <c r="DI8" s="74">
        <f>VLOOKUP($H$8&amp;$F$1,'Input RM sheet'!$A:$ZZ,DH1,0)</f>
        <v>335</v>
      </c>
      <c r="DJ8" s="74">
        <f>VLOOKUP($H$8&amp;$F$1,'Input RM sheet'!$A:$ZZ,DI1,0)</f>
        <v>345</v>
      </c>
      <c r="DK8" s="74">
        <f>VLOOKUP($H$8&amp;$F$1,'Input RM sheet'!$A:$ZZ,DJ1,0)</f>
        <v>345</v>
      </c>
      <c r="DL8" s="74">
        <f>VLOOKUP($H$8&amp;$F$1,'Input RM sheet'!$A:$ZZ,DK1,0)</f>
        <v>345</v>
      </c>
      <c r="DM8" s="74">
        <f>VLOOKUP($H$8&amp;$F$1,'Input RM sheet'!$A:$ZZ,DL1,0)</f>
        <v>345</v>
      </c>
      <c r="DN8" s="74">
        <f>VLOOKUP($H$8&amp;$F$1,'Input RM sheet'!$A:$ZZ,DM1,0)</f>
        <v>330</v>
      </c>
      <c r="DO8" s="74">
        <f>VLOOKUP($H$8&amp;$F$1,'Input RM sheet'!$A:$ZZ,DN1,0)</f>
        <v>330</v>
      </c>
      <c r="DP8" s="74">
        <f>VLOOKUP($H$8&amp;$F$1,'Input RM sheet'!$A:$ZZ,DO1,0)</f>
        <v>330</v>
      </c>
      <c r="DQ8" s="74">
        <f>VLOOKUP($H$8&amp;$F$1,'Input RM sheet'!$A:$ZZ,DP1,0)</f>
        <v>330</v>
      </c>
      <c r="DR8" s="74">
        <f>VLOOKUP($H$8&amp;$F$1,'Input RM sheet'!$A:$ZZ,DQ1,0)</f>
        <v>330</v>
      </c>
      <c r="DS8" s="74">
        <f>VLOOKUP($H$8&amp;$F$1,'Input RM sheet'!$A:$ZZ,DR1,0)</f>
        <v>347.5</v>
      </c>
      <c r="DT8" s="74">
        <f>VLOOKUP($H$8&amp;$F$1,'Input RM sheet'!$A:$ZZ,DS1,0)</f>
        <v>0</v>
      </c>
      <c r="DU8" s="74">
        <f>VLOOKUP($H$8&amp;$F$1,'Input RM sheet'!$A:$ZZ,DT1,0)</f>
        <v>0</v>
      </c>
      <c r="DV8" s="74">
        <f>VLOOKUP($H$8&amp;$F$1,'Input RM sheet'!$A:$ZZ,DU1,0)</f>
        <v>0</v>
      </c>
      <c r="DW8" s="74">
        <f>VLOOKUP($H$8&amp;$F$1,'Input RM sheet'!$A:$ZZ,DV1,0)</f>
        <v>0</v>
      </c>
      <c r="DX8" s="74">
        <f>VLOOKUP($H$8&amp;$F$1,'Input RM sheet'!$A:$ZZ,DW1,0)</f>
        <v>0</v>
      </c>
      <c r="DY8" s="74">
        <f>VLOOKUP($H$8&amp;$F$1,'Input RM sheet'!$A:$ZZ,DX1,0)</f>
        <v>0</v>
      </c>
      <c r="DZ8" s="74">
        <f>VLOOKUP($H$8&amp;$F$1,'Input RM sheet'!$A:$ZZ,DY1,0)</f>
        <v>0</v>
      </c>
      <c r="EA8" s="74">
        <f>VLOOKUP($H$8&amp;$F$1,'Input RM sheet'!$A:$ZZ,DZ1,0)</f>
        <v>0</v>
      </c>
      <c r="EB8" s="74">
        <f>VLOOKUP($H$8&amp;$F$1,'Input RM sheet'!$A:$ZZ,EA1,0)</f>
        <v>0</v>
      </c>
      <c r="EC8" s="74">
        <f>VLOOKUP($H$8&amp;$F$1,'Input RM sheet'!$A:$ZZ,EB1,0)</f>
        <v>0</v>
      </c>
      <c r="ED8" s="74">
        <f>VLOOKUP($H$8&amp;$F$1,'Input RM sheet'!$A:$ZZ,EC1,0)</f>
        <v>0</v>
      </c>
      <c r="EE8" s="74">
        <f>VLOOKUP($H$8&amp;$F$1,'Input RM sheet'!$A:$ZZ,ED1,0)</f>
        <v>0</v>
      </c>
      <c r="EF8" s="74">
        <f>VLOOKUP($H$8&amp;$F$1,'Input RM sheet'!$A:$ZZ,EE1,0)</f>
        <v>0</v>
      </c>
      <c r="EG8" s="74">
        <f>VLOOKUP($H$8&amp;$F$1,'Input RM sheet'!$A:$ZZ,EF1,0)</f>
        <v>0</v>
      </c>
      <c r="EH8" s="74">
        <f>VLOOKUP($H$8&amp;$F$1,'Input RM sheet'!$A:$ZZ,EG1,0)</f>
        <v>0</v>
      </c>
      <c r="EI8" s="74">
        <f>VLOOKUP($H$8&amp;$F$1,'Input RM sheet'!$A:$ZZ,EH1,0)</f>
        <v>0</v>
      </c>
      <c r="EJ8" s="74">
        <f>VLOOKUP($H$8&amp;$F$1,'Input RM sheet'!$A:$ZZ,EI1,0)</f>
        <v>0</v>
      </c>
      <c r="EK8" s="74">
        <f>VLOOKUP($H$8&amp;$F$1,'Input RM sheet'!$A:$ZZ,EJ1,0)</f>
        <v>0</v>
      </c>
      <c r="EL8" s="74">
        <f>VLOOKUP($H$8&amp;$F$1,'Input RM sheet'!$A:$ZZ,EK1,0)</f>
        <v>0</v>
      </c>
      <c r="EM8" s="74">
        <f>VLOOKUP($H$8&amp;$F$1,'Input RM sheet'!$A:$ZZ,EL1,0)</f>
        <v>0</v>
      </c>
      <c r="EN8" s="74">
        <f>VLOOKUP($H$8&amp;$F$1,'Input RM sheet'!$A:$ZZ,EM1,0)</f>
        <v>0</v>
      </c>
      <c r="EO8" s="74">
        <f>VLOOKUP($H$8&amp;$F$1,'Input RM sheet'!$A:$ZZ,EN1,0)</f>
        <v>0</v>
      </c>
      <c r="EP8" s="74">
        <f>VLOOKUP($H$8&amp;$F$1,'Input RM sheet'!$A:$ZZ,EO1,0)</f>
        <v>0</v>
      </c>
      <c r="EQ8" s="74">
        <f>VLOOKUP($H$8&amp;$F$1,'Input RM sheet'!$A:$ZZ,EP1,0)</f>
        <v>0</v>
      </c>
      <c r="ER8" s="74">
        <f>VLOOKUP($H$8&amp;$F$1,'Input RM sheet'!$A:$ZZ,EQ1,0)</f>
        <v>0</v>
      </c>
      <c r="ES8" s="74">
        <f>VLOOKUP($H$8&amp;$F$1,'Input RM sheet'!$A:$ZZ,ER1,0)</f>
        <v>0</v>
      </c>
      <c r="ET8" s="74">
        <f>VLOOKUP($H$8&amp;$F$1,'Input RM sheet'!$A:$ZZ,ES1,0)</f>
        <v>0</v>
      </c>
      <c r="EU8" s="74">
        <f>VLOOKUP($H$8&amp;$F$1,'Input RM sheet'!$A:$ZZ,ET1,0)</f>
        <v>0</v>
      </c>
      <c r="EV8" s="74">
        <f>VLOOKUP($H$8&amp;$F$1,'Input RM sheet'!$A:$ZZ,EU1,0)</f>
        <v>0</v>
      </c>
      <c r="EW8" s="74">
        <f>VLOOKUP($H$8&amp;$F$1,'Input RM sheet'!$A:$ZZ,EV1,0)</f>
        <v>0</v>
      </c>
      <c r="EX8" s="74">
        <f>VLOOKUP($H$8&amp;$F$1,'Input RM sheet'!$A:$ZZ,EW1,0)</f>
        <v>0</v>
      </c>
      <c r="EY8" s="74">
        <f>VLOOKUP($H$8&amp;$F$1,'Input RM sheet'!$A:$ZZ,EX1,0)</f>
        <v>0</v>
      </c>
      <c r="EZ8" s="74">
        <f>VLOOKUP($H$8&amp;$F$1,'Input RM sheet'!$A:$ZZ,EY1,0)</f>
        <v>0</v>
      </c>
      <c r="FA8" s="74">
        <f>VLOOKUP($H$8&amp;$F$1,'Input RM sheet'!$A:$ZZ,EZ1,0)</f>
        <v>0</v>
      </c>
      <c r="FB8" s="74">
        <f>VLOOKUP($H$8&amp;$F$1,'Input RM sheet'!$A:$ZZ,FA1,0)</f>
        <v>0</v>
      </c>
      <c r="FC8" s="74">
        <f>VLOOKUP($H$8&amp;$F$1,'Input RM sheet'!$A:$ZZ,FB1,0)</f>
        <v>0</v>
      </c>
      <c r="FD8" s="74">
        <f>VLOOKUP($H$8&amp;$F$1,'Input RM sheet'!$A:$ZZ,FC1,0)</f>
        <v>0</v>
      </c>
    </row>
    <row r="9" spans="1:161" ht="26">
      <c r="A9" s="59" t="s">
        <v>395</v>
      </c>
      <c r="B9" s="59"/>
      <c r="C9" s="59" t="s">
        <v>379</v>
      </c>
      <c r="D9" s="98" t="s">
        <v>380</v>
      </c>
      <c r="E9" s="98" t="s">
        <v>381</v>
      </c>
      <c r="F9" s="59" t="s">
        <v>396</v>
      </c>
      <c r="H9" s="60" t="s">
        <v>399</v>
      </c>
      <c r="I9" s="84"/>
      <c r="J9" s="84"/>
      <c r="K9" s="84"/>
      <c r="L9" s="84"/>
      <c r="M9" s="84"/>
      <c r="N9" s="84"/>
      <c r="O9" s="84"/>
      <c r="P9" s="84"/>
      <c r="Q9" s="84"/>
      <c r="R9" s="84"/>
      <c r="S9" s="84"/>
      <c r="T9" s="84"/>
      <c r="U9" s="84"/>
      <c r="V9" s="84"/>
      <c r="W9" s="84"/>
      <c r="X9" s="84"/>
      <c r="Y9" s="84"/>
      <c r="Z9" s="84"/>
      <c r="AA9" s="84"/>
      <c r="AB9" s="84"/>
      <c r="AC9" s="84"/>
      <c r="AD9" s="84"/>
      <c r="AE9" s="84"/>
      <c r="AF9" s="84"/>
      <c r="AG9" s="84"/>
      <c r="AH9" s="84"/>
      <c r="AI9" s="84"/>
      <c r="AJ9" s="84"/>
      <c r="AK9" s="84"/>
      <c r="AL9" s="84"/>
      <c r="AM9" s="84"/>
      <c r="AN9" s="84"/>
      <c r="AO9" s="84"/>
      <c r="AP9" s="84"/>
      <c r="AQ9" s="84"/>
      <c r="AR9" s="84"/>
      <c r="AS9" s="84"/>
      <c r="AT9" s="84"/>
      <c r="AU9" s="84"/>
    </row>
    <row r="10" spans="1:161" ht="13">
      <c r="A10" s="107" t="s">
        <v>397</v>
      </c>
      <c r="B10" s="280" t="s">
        <v>308</v>
      </c>
      <c r="C10" s="60">
        <v>1</v>
      </c>
      <c r="D10" s="112">
        <v>202.2475</v>
      </c>
      <c r="E10" s="60">
        <f>D10*C10</f>
        <v>202.2475</v>
      </c>
      <c r="F10" s="65">
        <f>E10/E2</f>
        <v>0.8781914893617021</v>
      </c>
      <c r="I10" s="74">
        <f>$F$10*I7</f>
        <v>0</v>
      </c>
      <c r="J10" s="74">
        <f t="shared" ref="J10:BU10" si="0">$F$10*J7</f>
        <v>0</v>
      </c>
      <c r="K10" s="74">
        <f t="shared" si="0"/>
        <v>0</v>
      </c>
      <c r="L10" s="74">
        <f t="shared" si="0"/>
        <v>0</v>
      </c>
      <c r="M10" s="74">
        <f t="shared" si="0"/>
        <v>0</v>
      </c>
      <c r="N10" s="74">
        <f t="shared" si="0"/>
        <v>0</v>
      </c>
      <c r="O10" s="74">
        <f t="shared" si="0"/>
        <v>0</v>
      </c>
      <c r="P10" s="74">
        <f t="shared" si="0"/>
        <v>0</v>
      </c>
      <c r="Q10" s="74">
        <f t="shared" si="0"/>
        <v>0</v>
      </c>
      <c r="R10" s="74">
        <f t="shared" si="0"/>
        <v>0</v>
      </c>
      <c r="S10" s="74">
        <f t="shared" si="0"/>
        <v>0</v>
      </c>
      <c r="T10" s="74">
        <f t="shared" si="0"/>
        <v>0</v>
      </c>
      <c r="U10" s="74">
        <f t="shared" si="0"/>
        <v>0</v>
      </c>
      <c r="V10" s="74">
        <f t="shared" si="0"/>
        <v>0</v>
      </c>
      <c r="W10" s="74">
        <f t="shared" si="0"/>
        <v>0</v>
      </c>
      <c r="X10" s="74">
        <f t="shared" si="0"/>
        <v>0</v>
      </c>
      <c r="Y10" s="74">
        <f t="shared" si="0"/>
        <v>0</v>
      </c>
      <c r="Z10" s="74">
        <f t="shared" si="0"/>
        <v>0</v>
      </c>
      <c r="AA10" s="74">
        <f t="shared" si="0"/>
        <v>0</v>
      </c>
      <c r="AB10" s="74">
        <f t="shared" si="0"/>
        <v>0</v>
      </c>
      <c r="AC10" s="74">
        <f t="shared" si="0"/>
        <v>0</v>
      </c>
      <c r="AD10" s="74">
        <f t="shared" si="0"/>
        <v>0</v>
      </c>
      <c r="AE10" s="74">
        <f t="shared" si="0"/>
        <v>0</v>
      </c>
      <c r="AF10" s="74">
        <f t="shared" si="0"/>
        <v>0</v>
      </c>
      <c r="AG10" s="74">
        <f t="shared" si="0"/>
        <v>0</v>
      </c>
      <c r="AH10" s="74">
        <f t="shared" si="0"/>
        <v>0</v>
      </c>
      <c r="AI10" s="74">
        <f t="shared" si="0"/>
        <v>0</v>
      </c>
      <c r="AJ10" s="74">
        <f t="shared" si="0"/>
        <v>0</v>
      </c>
      <c r="AK10" s="74">
        <f t="shared" si="0"/>
        <v>0</v>
      </c>
      <c r="AL10" s="74">
        <f t="shared" si="0"/>
        <v>0</v>
      </c>
      <c r="AM10" s="74">
        <f t="shared" si="0"/>
        <v>0</v>
      </c>
      <c r="AN10" s="74">
        <f t="shared" si="0"/>
        <v>0</v>
      </c>
      <c r="AO10" s="74">
        <f t="shared" si="0"/>
        <v>0</v>
      </c>
      <c r="AP10" s="74">
        <f t="shared" si="0"/>
        <v>0</v>
      </c>
      <c r="AQ10" s="74">
        <f t="shared" si="0"/>
        <v>0</v>
      </c>
      <c r="AR10" s="74">
        <f t="shared" si="0"/>
        <v>0</v>
      </c>
      <c r="AS10" s="74">
        <f t="shared" si="0"/>
        <v>0</v>
      </c>
      <c r="AT10" s="74">
        <f t="shared" si="0"/>
        <v>0</v>
      </c>
      <c r="AU10" s="74">
        <f t="shared" si="0"/>
        <v>0</v>
      </c>
      <c r="AV10" s="74">
        <f t="shared" si="0"/>
        <v>0</v>
      </c>
      <c r="AW10" s="74">
        <f t="shared" si="0"/>
        <v>0</v>
      </c>
      <c r="AX10" s="74">
        <f t="shared" si="0"/>
        <v>0</v>
      </c>
      <c r="AY10" s="74">
        <f t="shared" si="0"/>
        <v>0</v>
      </c>
      <c r="AZ10" s="74">
        <f t="shared" si="0"/>
        <v>0</v>
      </c>
      <c r="BA10" s="74">
        <f t="shared" si="0"/>
        <v>0</v>
      </c>
      <c r="BB10" s="74">
        <f t="shared" si="0"/>
        <v>0</v>
      </c>
      <c r="BC10" s="74">
        <f t="shared" si="0"/>
        <v>0</v>
      </c>
      <c r="BD10" s="74">
        <f t="shared" si="0"/>
        <v>4.5665957446808507</v>
      </c>
      <c r="BE10" s="74">
        <f t="shared" si="0"/>
        <v>0</v>
      </c>
      <c r="BF10" s="74">
        <f t="shared" si="0"/>
        <v>0</v>
      </c>
      <c r="BG10" s="74">
        <f t="shared" si="0"/>
        <v>0</v>
      </c>
      <c r="BH10" s="74">
        <f t="shared" si="0"/>
        <v>0</v>
      </c>
      <c r="BI10" s="74">
        <f t="shared" si="0"/>
        <v>0</v>
      </c>
      <c r="BJ10" s="74">
        <f t="shared" si="0"/>
        <v>0</v>
      </c>
      <c r="BK10" s="74">
        <f t="shared" si="0"/>
        <v>0</v>
      </c>
      <c r="BL10" s="74">
        <f t="shared" si="0"/>
        <v>0</v>
      </c>
      <c r="BM10" s="74">
        <f t="shared" si="0"/>
        <v>0</v>
      </c>
      <c r="BN10" s="74">
        <f t="shared" si="0"/>
        <v>0</v>
      </c>
      <c r="BO10" s="74">
        <f t="shared" si="0"/>
        <v>0</v>
      </c>
      <c r="BP10" s="74">
        <f t="shared" si="0"/>
        <v>0</v>
      </c>
      <c r="BQ10" s="74">
        <f t="shared" si="0"/>
        <v>0</v>
      </c>
      <c r="BR10" s="74">
        <f t="shared" si="0"/>
        <v>3.4161648936170215</v>
      </c>
      <c r="BS10" s="74">
        <f t="shared" si="0"/>
        <v>3.1702712765957446</v>
      </c>
      <c r="BT10" s="74">
        <f t="shared" si="0"/>
        <v>3.1702712765957446</v>
      </c>
      <c r="BU10" s="74">
        <f t="shared" si="0"/>
        <v>3.0561063829787232</v>
      </c>
      <c r="BV10" s="74">
        <f t="shared" ref="BV10:CA10" si="1">$F$10*BV7</f>
        <v>3.0561063829787232</v>
      </c>
      <c r="BW10" s="74">
        <f t="shared" si="1"/>
        <v>3.0561063829787232</v>
      </c>
      <c r="BX10" s="74">
        <f t="shared" si="1"/>
        <v>3.0561063829787232</v>
      </c>
      <c r="BY10" s="74">
        <f t="shared" si="1"/>
        <v>3.0561063829787232</v>
      </c>
      <c r="BZ10" s="74">
        <f t="shared" si="1"/>
        <v>3.0561063829787232</v>
      </c>
      <c r="CA10" s="74">
        <f t="shared" si="1"/>
        <v>3.0561063829787232</v>
      </c>
      <c r="CB10" s="74">
        <f t="shared" ref="CB10:CH10" si="2">$F$10*CB7</f>
        <v>3.0561063829787232</v>
      </c>
      <c r="CC10" s="74">
        <f t="shared" si="2"/>
        <v>3.0121968085106383</v>
      </c>
      <c r="CD10" s="74">
        <f t="shared" si="2"/>
        <v>3.0121968085106383</v>
      </c>
      <c r="CE10" s="74">
        <f t="shared" si="2"/>
        <v>3.0121968085106383</v>
      </c>
      <c r="CF10" s="74">
        <f t="shared" si="2"/>
        <v>3.0121968085106383</v>
      </c>
      <c r="CG10" s="74">
        <f t="shared" si="2"/>
        <v>3.0121968085106383</v>
      </c>
      <c r="CH10" s="74">
        <f t="shared" si="2"/>
        <v>3.0121968085106383</v>
      </c>
      <c r="CI10" s="74">
        <f>$F$10*CI7</f>
        <v>3.0121968085106383</v>
      </c>
      <c r="CJ10" s="74">
        <f>$F$10*CJ7</f>
        <v>3.0121968085106383</v>
      </c>
      <c r="CK10" s="74">
        <f>$F$10*CK7</f>
        <v>3.0121968085106383</v>
      </c>
      <c r="CL10" s="74">
        <f t="shared" ref="CL10:DC10" si="3">$F$10*CL7</f>
        <v>3.0034148936170211</v>
      </c>
      <c r="CM10" s="74">
        <f t="shared" si="3"/>
        <v>3.0034148936170211</v>
      </c>
      <c r="CN10" s="74">
        <f t="shared" si="3"/>
        <v>3.0034148936170211</v>
      </c>
      <c r="CO10" s="74">
        <f t="shared" si="3"/>
        <v>3.0034148936170211</v>
      </c>
      <c r="CP10" s="74">
        <f t="shared" si="3"/>
        <v>3.0034148936170211</v>
      </c>
      <c r="CQ10" s="74">
        <f t="shared" si="3"/>
        <v>3.0034148936170211</v>
      </c>
      <c r="CR10" s="74">
        <f t="shared" si="3"/>
        <v>3.0034148936170211</v>
      </c>
      <c r="CS10" s="74">
        <f t="shared" si="3"/>
        <v>3.3634734042553189</v>
      </c>
      <c r="CT10" s="74">
        <f t="shared" si="3"/>
        <v>3.1175797872340425</v>
      </c>
      <c r="CU10" s="74">
        <f t="shared" si="3"/>
        <v>3.1175797872340425</v>
      </c>
      <c r="CV10" s="74">
        <f t="shared" si="3"/>
        <v>3.1175797872340425</v>
      </c>
      <c r="CW10" s="74">
        <f t="shared" si="3"/>
        <v>3.1263617021276597</v>
      </c>
      <c r="CX10" s="74">
        <f t="shared" si="3"/>
        <v>3.1263617021276597</v>
      </c>
      <c r="CY10" s="74">
        <f t="shared" si="3"/>
        <v>3.1614893617021278</v>
      </c>
      <c r="CZ10" s="74">
        <f t="shared" si="3"/>
        <v>3.1614893617021278</v>
      </c>
      <c r="DA10" s="74">
        <f t="shared" si="3"/>
        <v>3.1614893617021278</v>
      </c>
      <c r="DB10" s="74">
        <f t="shared" si="3"/>
        <v>3.1614893617021278</v>
      </c>
      <c r="DC10" s="74">
        <f t="shared" si="3"/>
        <v>3.4425106382978723</v>
      </c>
      <c r="DD10" s="74">
        <f t="shared" ref="DD10:FD10" si="4">$F$10*DD7</f>
        <v>3.4688563829787236</v>
      </c>
      <c r="DE10" s="74">
        <f t="shared" si="4"/>
        <v>3.4688563829787236</v>
      </c>
      <c r="DF10" s="74">
        <f t="shared" si="4"/>
        <v>3.4688563829787236</v>
      </c>
      <c r="DG10" s="74">
        <f t="shared" si="4"/>
        <v>3.4688563829787236</v>
      </c>
      <c r="DH10" s="74">
        <f t="shared" si="4"/>
        <v>3.3546914893617017</v>
      </c>
      <c r="DI10" s="74">
        <f t="shared" si="4"/>
        <v>3.3546914893617017</v>
      </c>
      <c r="DJ10" s="74">
        <f t="shared" si="4"/>
        <v>3.3546914893617017</v>
      </c>
      <c r="DK10" s="74">
        <f t="shared" si="4"/>
        <v>3.3546914893617017</v>
      </c>
      <c r="DL10" s="74">
        <f t="shared" si="4"/>
        <v>3.3546914893617017</v>
      </c>
      <c r="DM10" s="74">
        <f t="shared" si="4"/>
        <v>3.1527074468085106</v>
      </c>
      <c r="DN10" s="74">
        <f t="shared" si="4"/>
        <v>3.1527074468085106</v>
      </c>
      <c r="DO10" s="74">
        <f t="shared" si="4"/>
        <v>3.1527074468085106</v>
      </c>
      <c r="DP10" s="74">
        <f t="shared" si="4"/>
        <v>3.1527074468085106</v>
      </c>
      <c r="DQ10" s="74">
        <f t="shared" si="4"/>
        <v>3.1175797872340425</v>
      </c>
      <c r="DR10" s="74">
        <f t="shared" si="4"/>
        <v>3.1175797872340425</v>
      </c>
      <c r="DS10" s="74">
        <f t="shared" si="4"/>
        <v>3.1175797872340425</v>
      </c>
      <c r="DT10" s="74">
        <f t="shared" si="4"/>
        <v>0</v>
      </c>
      <c r="DU10" s="74">
        <f t="shared" si="4"/>
        <v>0</v>
      </c>
      <c r="DV10" s="74">
        <f t="shared" si="4"/>
        <v>0</v>
      </c>
      <c r="DW10" s="74">
        <f t="shared" si="4"/>
        <v>0</v>
      </c>
      <c r="DX10" s="74">
        <f t="shared" si="4"/>
        <v>0</v>
      </c>
      <c r="DY10" s="74">
        <f t="shared" si="4"/>
        <v>0</v>
      </c>
      <c r="DZ10" s="74">
        <f t="shared" si="4"/>
        <v>0</v>
      </c>
      <c r="EA10" s="74">
        <f t="shared" si="4"/>
        <v>0</v>
      </c>
      <c r="EB10" s="74">
        <f t="shared" si="4"/>
        <v>0</v>
      </c>
      <c r="EC10" s="74">
        <f t="shared" si="4"/>
        <v>0</v>
      </c>
      <c r="ED10" s="74">
        <f t="shared" si="4"/>
        <v>0</v>
      </c>
      <c r="EE10" s="74">
        <f t="shared" si="4"/>
        <v>0</v>
      </c>
      <c r="EF10" s="74">
        <f t="shared" si="4"/>
        <v>0</v>
      </c>
      <c r="EG10" s="74">
        <f t="shared" si="4"/>
        <v>0</v>
      </c>
      <c r="EH10" s="74">
        <f t="shared" si="4"/>
        <v>0</v>
      </c>
      <c r="EI10" s="74">
        <f t="shared" si="4"/>
        <v>0</v>
      </c>
      <c r="EJ10" s="74">
        <f t="shared" si="4"/>
        <v>0</v>
      </c>
      <c r="EK10" s="74">
        <f t="shared" si="4"/>
        <v>0</v>
      </c>
      <c r="EL10" s="74">
        <f t="shared" si="4"/>
        <v>0</v>
      </c>
      <c r="EM10" s="74">
        <f t="shared" si="4"/>
        <v>0</v>
      </c>
      <c r="EN10" s="74">
        <f t="shared" si="4"/>
        <v>0</v>
      </c>
      <c r="EO10" s="74">
        <f t="shared" si="4"/>
        <v>0</v>
      </c>
      <c r="EP10" s="74">
        <f t="shared" si="4"/>
        <v>0</v>
      </c>
      <c r="EQ10" s="74">
        <f t="shared" si="4"/>
        <v>0</v>
      </c>
      <c r="ER10" s="74">
        <f t="shared" si="4"/>
        <v>0</v>
      </c>
      <c r="ES10" s="74">
        <f t="shared" si="4"/>
        <v>0</v>
      </c>
      <c r="ET10" s="74">
        <f t="shared" si="4"/>
        <v>0</v>
      </c>
      <c r="EU10" s="74">
        <f t="shared" si="4"/>
        <v>0</v>
      </c>
      <c r="EV10" s="74">
        <f t="shared" si="4"/>
        <v>0</v>
      </c>
      <c r="EW10" s="74">
        <f t="shared" si="4"/>
        <v>0</v>
      </c>
      <c r="EX10" s="74">
        <f t="shared" si="4"/>
        <v>0</v>
      </c>
      <c r="EY10" s="74">
        <f t="shared" si="4"/>
        <v>0</v>
      </c>
      <c r="EZ10" s="74">
        <f t="shared" si="4"/>
        <v>0</v>
      </c>
      <c r="FA10" s="74">
        <f t="shared" si="4"/>
        <v>0</v>
      </c>
      <c r="FB10" s="74">
        <f t="shared" si="4"/>
        <v>0</v>
      </c>
      <c r="FC10" s="74">
        <f t="shared" si="4"/>
        <v>0</v>
      </c>
      <c r="FD10" s="74">
        <f t="shared" si="4"/>
        <v>0</v>
      </c>
    </row>
    <row r="11" spans="1:161">
      <c r="A11" s="67"/>
      <c r="B11" s="280" t="s">
        <v>765</v>
      </c>
      <c r="C11" s="60">
        <v>1</v>
      </c>
      <c r="D11" s="65">
        <v>32.020000000000003</v>
      </c>
      <c r="E11" s="60">
        <f>D11*C11</f>
        <v>32.020000000000003</v>
      </c>
      <c r="F11" s="65">
        <f>E11/E2</f>
        <v>0.13903603994789407</v>
      </c>
      <c r="I11" s="74">
        <f>$F$11*(I8/1000)</f>
        <v>3.6496960486322193E-2</v>
      </c>
      <c r="J11" s="74">
        <f t="shared" ref="J11:BU11" si="5">$F$11*(J8/1000)</f>
        <v>4.4839122883195838E-2</v>
      </c>
      <c r="K11" s="74">
        <f t="shared" si="5"/>
        <v>3.9625271385149805E-2</v>
      </c>
      <c r="L11" s="74">
        <f t="shared" si="5"/>
        <v>2.9197568389057755E-2</v>
      </c>
      <c r="M11" s="74">
        <f t="shared" si="5"/>
        <v>2.4331306990881461E-2</v>
      </c>
      <c r="N11" s="74">
        <f t="shared" si="5"/>
        <v>2.3288536691272257E-2</v>
      </c>
      <c r="O11" s="74">
        <f t="shared" si="5"/>
        <v>2.5026487190620932E-2</v>
      </c>
      <c r="P11" s="74">
        <f t="shared" si="5"/>
        <v>3.0587928788536695E-2</v>
      </c>
      <c r="Q11" s="74">
        <f t="shared" si="5"/>
        <v>3.1978289188015638E-2</v>
      </c>
      <c r="R11" s="74">
        <f t="shared" si="5"/>
        <v>3.3368649587494574E-2</v>
      </c>
      <c r="S11" s="74">
        <f t="shared" si="5"/>
        <v>3.7539730785931404E-2</v>
      </c>
      <c r="T11" s="74">
        <f t="shared" si="5"/>
        <v>4.1710811984368219E-2</v>
      </c>
      <c r="U11" s="74">
        <f t="shared" si="5"/>
        <v>5.0052974381241865E-2</v>
      </c>
      <c r="V11" s="74">
        <f t="shared" si="5"/>
        <v>5.0748154580981336E-2</v>
      </c>
      <c r="W11" s="74">
        <f t="shared" si="5"/>
        <v>4.9357794181502393E-2</v>
      </c>
      <c r="X11" s="74">
        <f t="shared" si="5"/>
        <v>4.7272253582283985E-2</v>
      </c>
      <c r="Y11" s="74">
        <f t="shared" si="5"/>
        <v>4.8315023881893189E-2</v>
      </c>
      <c r="Z11" s="74">
        <f t="shared" si="5"/>
        <v>4.9705384281372125E-2</v>
      </c>
      <c r="AA11" s="74">
        <f t="shared" si="5"/>
        <v>5.0052974381241865E-2</v>
      </c>
      <c r="AB11" s="74">
        <f t="shared" si="5"/>
        <v>5.1443334780720808E-2</v>
      </c>
      <c r="AC11" s="74">
        <f t="shared" si="5"/>
        <v>5.4224055579678687E-2</v>
      </c>
      <c r="AD11" s="74">
        <f t="shared" si="5"/>
        <v>6.4999348675640486E-2</v>
      </c>
      <c r="AE11" s="74">
        <f t="shared" si="5"/>
        <v>5.4571645679548426E-2</v>
      </c>
      <c r="AF11" s="74">
        <f t="shared" si="5"/>
        <v>4.7272253582283985E-2</v>
      </c>
      <c r="AG11" s="74">
        <f t="shared" si="5"/>
        <v>4.3101172383847162E-2</v>
      </c>
      <c r="AH11" s="74">
        <f t="shared" si="5"/>
        <v>5.4224055579678687E-2</v>
      </c>
      <c r="AI11" s="74">
        <f t="shared" si="5"/>
        <v>5.9785497177594446E-2</v>
      </c>
      <c r="AJ11" s="74">
        <f t="shared" si="5"/>
        <v>5.4224055579678687E-2</v>
      </c>
      <c r="AK11" s="74">
        <f t="shared" si="5"/>
        <v>4.8662613981762921E-2</v>
      </c>
      <c r="AL11" s="74">
        <f t="shared" si="5"/>
        <v>4.7272253582283985E-2</v>
      </c>
      <c r="AM11" s="74">
        <f t="shared" si="5"/>
        <v>4.3796352583586634E-2</v>
      </c>
      <c r="AN11" s="74">
        <f t="shared" si="5"/>
        <v>4.3796352583586634E-2</v>
      </c>
      <c r="AO11" s="74">
        <f t="shared" si="5"/>
        <v>4.3796352583586634E-2</v>
      </c>
      <c r="AP11" s="74">
        <f t="shared" si="5"/>
        <v>4.5186712983065577E-2</v>
      </c>
      <c r="AQ11" s="74">
        <f t="shared" si="5"/>
        <v>4.5186712983065577E-2</v>
      </c>
      <c r="AR11" s="74">
        <f t="shared" si="5"/>
        <v>4.3796352583586634E-2</v>
      </c>
      <c r="AS11" s="74">
        <f t="shared" si="5"/>
        <v>4.5186712983065577E-2</v>
      </c>
      <c r="AT11" s="74">
        <f t="shared" si="5"/>
        <v>4.8315023881893189E-2</v>
      </c>
      <c r="AU11" s="74">
        <f t="shared" si="5"/>
        <v>5.0400564481111597E-2</v>
      </c>
      <c r="AV11" s="74">
        <f t="shared" si="5"/>
        <v>4.6577073382544514E-2</v>
      </c>
      <c r="AW11" s="74">
        <f t="shared" si="5"/>
        <v>4.3101172383847162E-2</v>
      </c>
      <c r="AX11" s="74">
        <f t="shared" si="5"/>
        <v>4.1710811984368219E-2</v>
      </c>
      <c r="AY11" s="74">
        <f t="shared" si="5"/>
        <v>4.1710811984368219E-2</v>
      </c>
      <c r="AZ11" s="74">
        <f t="shared" si="5"/>
        <v>4.0320451584889276E-2</v>
      </c>
      <c r="BA11" s="74">
        <f t="shared" si="5"/>
        <v>4.0320451584889276E-2</v>
      </c>
      <c r="BB11" s="74">
        <f t="shared" si="5"/>
        <v>4.0320451584889276E-2</v>
      </c>
      <c r="BC11" s="74">
        <f t="shared" si="5"/>
        <v>4.0320451584889276E-2</v>
      </c>
      <c r="BD11" s="74">
        <f t="shared" si="5"/>
        <v>4.3101172383847162E-2</v>
      </c>
      <c r="BE11" s="74">
        <f t="shared" si="5"/>
        <v>4.3101172383847162E-2</v>
      </c>
      <c r="BF11" s="74">
        <f t="shared" si="5"/>
        <v>4.3101172383847162E-2</v>
      </c>
      <c r="BG11" s="74">
        <f t="shared" si="5"/>
        <v>4.3101172383847162E-2</v>
      </c>
      <c r="BH11" s="74">
        <f t="shared" si="5"/>
        <v>4.3101172383847162E-2</v>
      </c>
      <c r="BI11" s="74">
        <f t="shared" si="5"/>
        <v>4.5881893182805042E-2</v>
      </c>
      <c r="BJ11" s="74">
        <f t="shared" si="5"/>
        <v>4.5881893182805042E-2</v>
      </c>
      <c r="BK11" s="74">
        <f t="shared" si="5"/>
        <v>4.5881893182805042E-2</v>
      </c>
      <c r="BL11" s="74">
        <f t="shared" si="5"/>
        <v>4.5881893182805042E-2</v>
      </c>
      <c r="BM11" s="74">
        <f t="shared" si="5"/>
        <v>4.5881893182805042E-2</v>
      </c>
      <c r="BN11" s="74">
        <f t="shared" si="5"/>
        <v>4.5881893182805042E-2</v>
      </c>
      <c r="BO11" s="74">
        <f t="shared" si="5"/>
        <v>4.5881893182805042E-2</v>
      </c>
      <c r="BP11" s="74">
        <f t="shared" si="5"/>
        <v>4.3796352583586634E-2</v>
      </c>
      <c r="BQ11" s="74">
        <f t="shared" si="5"/>
        <v>4.3796352583586634E-2</v>
      </c>
      <c r="BR11" s="74">
        <f t="shared" si="5"/>
        <v>4.3796352583586634E-2</v>
      </c>
      <c r="BS11" s="74">
        <f t="shared" si="5"/>
        <v>4.3796352583586634E-2</v>
      </c>
      <c r="BT11" s="74">
        <f t="shared" si="5"/>
        <v>4.6577073382544514E-2</v>
      </c>
      <c r="BU11" s="74">
        <f t="shared" si="5"/>
        <v>4.6577073382544514E-2</v>
      </c>
      <c r="BV11" s="74">
        <f t="shared" ref="BV11:CA11" si="6">$F$11*(BV8/1000)</f>
        <v>4.6577073382544514E-2</v>
      </c>
      <c r="BW11" s="74">
        <f t="shared" si="6"/>
        <v>4.6924663482414253E-2</v>
      </c>
      <c r="BX11" s="74">
        <f t="shared" si="6"/>
        <v>4.6924663482414253E-2</v>
      </c>
      <c r="BY11" s="74">
        <f t="shared" si="6"/>
        <v>4.6924663482414253E-2</v>
      </c>
      <c r="BZ11" s="74">
        <f t="shared" si="6"/>
        <v>4.8315023881893189E-2</v>
      </c>
      <c r="CA11" s="74">
        <f t="shared" si="6"/>
        <v>4.8315023881893189E-2</v>
      </c>
      <c r="CB11" s="74">
        <f t="shared" ref="CB11:CH11" si="7">$F$11*(CB8/1000)</f>
        <v>4.8315023881893189E-2</v>
      </c>
      <c r="CC11" s="74">
        <f t="shared" si="7"/>
        <v>4.8315023881893189E-2</v>
      </c>
      <c r="CD11" s="74">
        <f t="shared" si="7"/>
        <v>4.8315023881893189E-2</v>
      </c>
      <c r="CE11" s="74">
        <f t="shared" si="7"/>
        <v>4.8315023881893189E-2</v>
      </c>
      <c r="CF11" s="74">
        <f t="shared" si="7"/>
        <v>4.8315023881893189E-2</v>
      </c>
      <c r="CG11" s="74">
        <f t="shared" si="7"/>
        <v>4.9357794181502393E-2</v>
      </c>
      <c r="CH11" s="74">
        <f t="shared" si="7"/>
        <v>4.9357794181502393E-2</v>
      </c>
      <c r="CI11" s="74">
        <f>$F$11*(CI8/1000)</f>
        <v>4.796743378202345E-2</v>
      </c>
      <c r="CJ11" s="74">
        <f>$F$11*(CJ8/1000)</f>
        <v>4.796743378202345E-2</v>
      </c>
      <c r="CK11" s="74">
        <f>$F$11*(CK8/1000)</f>
        <v>4.796743378202345E-2</v>
      </c>
      <c r="CL11" s="74">
        <f t="shared" ref="CL11:DC11" si="8">$F$11*(CL8/1000)</f>
        <v>4.796743378202345E-2</v>
      </c>
      <c r="CM11" s="74">
        <f t="shared" si="8"/>
        <v>4.7619843682153724E-2</v>
      </c>
      <c r="CN11" s="74">
        <f t="shared" si="8"/>
        <v>4.7619843682153724E-2</v>
      </c>
      <c r="CO11" s="74">
        <f t="shared" si="8"/>
        <v>4.7619843682153724E-2</v>
      </c>
      <c r="CP11" s="74">
        <f t="shared" si="8"/>
        <v>4.7619843682153724E-2</v>
      </c>
      <c r="CQ11" s="74">
        <f t="shared" si="8"/>
        <v>4.7619843682153724E-2</v>
      </c>
      <c r="CR11" s="74">
        <f t="shared" si="8"/>
        <v>4.7619843682153724E-2</v>
      </c>
      <c r="CS11" s="74">
        <f t="shared" si="8"/>
        <v>4.7272253582283985E-2</v>
      </c>
      <c r="CT11" s="74">
        <f t="shared" si="8"/>
        <v>4.7272253582283985E-2</v>
      </c>
      <c r="CU11" s="74">
        <f t="shared" si="8"/>
        <v>4.7272253582283985E-2</v>
      </c>
      <c r="CV11" s="74">
        <f t="shared" si="8"/>
        <v>4.7272253582283985E-2</v>
      </c>
      <c r="CW11" s="74">
        <f t="shared" si="8"/>
        <v>4.6577073382544514E-2</v>
      </c>
      <c r="CX11" s="74">
        <f t="shared" si="8"/>
        <v>4.6577073382544514E-2</v>
      </c>
      <c r="CY11" s="74">
        <f t="shared" si="8"/>
        <v>4.6577073382544514E-2</v>
      </c>
      <c r="CZ11" s="74">
        <f t="shared" si="8"/>
        <v>4.6577073382544514E-2</v>
      </c>
      <c r="DA11" s="74">
        <f t="shared" si="8"/>
        <v>4.6577073382544514E-2</v>
      </c>
      <c r="DB11" s="74">
        <f t="shared" si="8"/>
        <v>4.6577073382544514E-2</v>
      </c>
      <c r="DC11" s="74">
        <f t="shared" si="8"/>
        <v>4.6577073382544514E-2</v>
      </c>
      <c r="DD11" s="74">
        <f t="shared" ref="DD11:FD11" si="9">$F$11*(DD8/1000)</f>
        <v>4.6577073382544514E-2</v>
      </c>
      <c r="DE11" s="74">
        <f t="shared" si="9"/>
        <v>4.6577073382544514E-2</v>
      </c>
      <c r="DF11" s="74">
        <f t="shared" si="9"/>
        <v>4.6577073382544514E-2</v>
      </c>
      <c r="DG11" s="74">
        <f t="shared" si="9"/>
        <v>4.6577073382544514E-2</v>
      </c>
      <c r="DH11" s="74">
        <f t="shared" si="9"/>
        <v>4.6577073382544514E-2</v>
      </c>
      <c r="DI11" s="74">
        <f t="shared" si="9"/>
        <v>4.6577073382544514E-2</v>
      </c>
      <c r="DJ11" s="74">
        <f t="shared" si="9"/>
        <v>4.796743378202345E-2</v>
      </c>
      <c r="DK11" s="74">
        <f t="shared" si="9"/>
        <v>4.796743378202345E-2</v>
      </c>
      <c r="DL11" s="74">
        <f t="shared" si="9"/>
        <v>4.796743378202345E-2</v>
      </c>
      <c r="DM11" s="74">
        <f t="shared" si="9"/>
        <v>4.796743378202345E-2</v>
      </c>
      <c r="DN11" s="74">
        <f t="shared" si="9"/>
        <v>4.5881893182805042E-2</v>
      </c>
      <c r="DO11" s="74">
        <f t="shared" si="9"/>
        <v>4.5881893182805042E-2</v>
      </c>
      <c r="DP11" s="74">
        <f t="shared" si="9"/>
        <v>4.5881893182805042E-2</v>
      </c>
      <c r="DQ11" s="74">
        <f t="shared" si="9"/>
        <v>4.5881893182805042E-2</v>
      </c>
      <c r="DR11" s="74">
        <f t="shared" si="9"/>
        <v>4.5881893182805042E-2</v>
      </c>
      <c r="DS11" s="74">
        <f t="shared" si="9"/>
        <v>4.8315023881893189E-2</v>
      </c>
      <c r="DT11" s="74">
        <f t="shared" si="9"/>
        <v>0</v>
      </c>
      <c r="DU11" s="74">
        <f t="shared" si="9"/>
        <v>0</v>
      </c>
      <c r="DV11" s="74">
        <f t="shared" si="9"/>
        <v>0</v>
      </c>
      <c r="DW11" s="74">
        <f t="shared" si="9"/>
        <v>0</v>
      </c>
      <c r="DX11" s="74">
        <f t="shared" si="9"/>
        <v>0</v>
      </c>
      <c r="DY11" s="74">
        <f t="shared" si="9"/>
        <v>0</v>
      </c>
      <c r="DZ11" s="74">
        <f t="shared" si="9"/>
        <v>0</v>
      </c>
      <c r="EA11" s="74">
        <f t="shared" si="9"/>
        <v>0</v>
      </c>
      <c r="EB11" s="74">
        <f t="shared" si="9"/>
        <v>0</v>
      </c>
      <c r="EC11" s="74">
        <f t="shared" si="9"/>
        <v>0</v>
      </c>
      <c r="ED11" s="74">
        <f t="shared" si="9"/>
        <v>0</v>
      </c>
      <c r="EE11" s="74">
        <f t="shared" si="9"/>
        <v>0</v>
      </c>
      <c r="EF11" s="74">
        <f t="shared" si="9"/>
        <v>0</v>
      </c>
      <c r="EG11" s="74">
        <f t="shared" si="9"/>
        <v>0</v>
      </c>
      <c r="EH11" s="74">
        <f t="shared" si="9"/>
        <v>0</v>
      </c>
      <c r="EI11" s="74">
        <f t="shared" si="9"/>
        <v>0</v>
      </c>
      <c r="EJ11" s="74">
        <f t="shared" si="9"/>
        <v>0</v>
      </c>
      <c r="EK11" s="74">
        <f t="shared" si="9"/>
        <v>0</v>
      </c>
      <c r="EL11" s="74">
        <f t="shared" si="9"/>
        <v>0</v>
      </c>
      <c r="EM11" s="74">
        <f t="shared" si="9"/>
        <v>0</v>
      </c>
      <c r="EN11" s="74">
        <f t="shared" si="9"/>
        <v>0</v>
      </c>
      <c r="EO11" s="74">
        <f t="shared" si="9"/>
        <v>0</v>
      </c>
      <c r="EP11" s="74">
        <f t="shared" si="9"/>
        <v>0</v>
      </c>
      <c r="EQ11" s="74">
        <f t="shared" si="9"/>
        <v>0</v>
      </c>
      <c r="ER11" s="74">
        <f t="shared" si="9"/>
        <v>0</v>
      </c>
      <c r="ES11" s="74">
        <f t="shared" si="9"/>
        <v>0</v>
      </c>
      <c r="ET11" s="74">
        <f t="shared" si="9"/>
        <v>0</v>
      </c>
      <c r="EU11" s="74">
        <f t="shared" si="9"/>
        <v>0</v>
      </c>
      <c r="EV11" s="74">
        <f t="shared" si="9"/>
        <v>0</v>
      </c>
      <c r="EW11" s="74">
        <f t="shared" si="9"/>
        <v>0</v>
      </c>
      <c r="EX11" s="74">
        <f t="shared" si="9"/>
        <v>0</v>
      </c>
      <c r="EY11" s="74">
        <f t="shared" si="9"/>
        <v>0</v>
      </c>
      <c r="EZ11" s="74">
        <f t="shared" si="9"/>
        <v>0</v>
      </c>
      <c r="FA11" s="74">
        <f t="shared" si="9"/>
        <v>0</v>
      </c>
      <c r="FB11" s="74">
        <f t="shared" si="9"/>
        <v>0</v>
      </c>
      <c r="FC11" s="74">
        <f t="shared" si="9"/>
        <v>0</v>
      </c>
      <c r="FD11" s="74">
        <f t="shared" si="9"/>
        <v>0</v>
      </c>
    </row>
    <row r="12" spans="1:161" s="104" customFormat="1">
      <c r="A12" s="104" t="s">
        <v>400</v>
      </c>
      <c r="H12" s="60"/>
      <c r="I12" s="105">
        <f>SUM(I10:I11)</f>
        <v>3.6496960486322193E-2</v>
      </c>
      <c r="J12" s="105">
        <f t="shared" ref="J12:BU12" si="10">SUM(J10:J11)</f>
        <v>4.4839122883195838E-2</v>
      </c>
      <c r="K12" s="105">
        <f t="shared" si="10"/>
        <v>3.9625271385149805E-2</v>
      </c>
      <c r="L12" s="105">
        <f t="shared" si="10"/>
        <v>2.9197568389057755E-2</v>
      </c>
      <c r="M12" s="105">
        <f t="shared" si="10"/>
        <v>2.4331306990881461E-2</v>
      </c>
      <c r="N12" s="105">
        <f t="shared" si="10"/>
        <v>2.3288536691272257E-2</v>
      </c>
      <c r="O12" s="105">
        <f t="shared" si="10"/>
        <v>2.5026487190620932E-2</v>
      </c>
      <c r="P12" s="105">
        <f t="shared" si="10"/>
        <v>3.0587928788536695E-2</v>
      </c>
      <c r="Q12" s="105">
        <f t="shared" si="10"/>
        <v>3.1978289188015638E-2</v>
      </c>
      <c r="R12" s="105">
        <f t="shared" si="10"/>
        <v>3.3368649587494574E-2</v>
      </c>
      <c r="S12" s="105">
        <f t="shared" si="10"/>
        <v>3.7539730785931404E-2</v>
      </c>
      <c r="T12" s="105">
        <f t="shared" si="10"/>
        <v>4.1710811984368219E-2</v>
      </c>
      <c r="U12" s="105">
        <f t="shared" si="10"/>
        <v>5.0052974381241865E-2</v>
      </c>
      <c r="V12" s="105">
        <f t="shared" si="10"/>
        <v>5.0748154580981336E-2</v>
      </c>
      <c r="W12" s="105">
        <f t="shared" si="10"/>
        <v>4.9357794181502393E-2</v>
      </c>
      <c r="X12" s="105">
        <f t="shared" si="10"/>
        <v>4.7272253582283985E-2</v>
      </c>
      <c r="Y12" s="105">
        <f t="shared" si="10"/>
        <v>4.8315023881893189E-2</v>
      </c>
      <c r="Z12" s="105">
        <f t="shared" si="10"/>
        <v>4.9705384281372125E-2</v>
      </c>
      <c r="AA12" s="105">
        <f t="shared" si="10"/>
        <v>5.0052974381241865E-2</v>
      </c>
      <c r="AB12" s="105">
        <f t="shared" si="10"/>
        <v>5.1443334780720808E-2</v>
      </c>
      <c r="AC12" s="105">
        <f t="shared" si="10"/>
        <v>5.4224055579678687E-2</v>
      </c>
      <c r="AD12" s="105">
        <f t="shared" si="10"/>
        <v>6.4999348675640486E-2</v>
      </c>
      <c r="AE12" s="105">
        <f t="shared" si="10"/>
        <v>5.4571645679548426E-2</v>
      </c>
      <c r="AF12" s="105">
        <f t="shared" si="10"/>
        <v>4.7272253582283985E-2</v>
      </c>
      <c r="AG12" s="105">
        <f t="shared" si="10"/>
        <v>4.3101172383847162E-2</v>
      </c>
      <c r="AH12" s="105">
        <f t="shared" si="10"/>
        <v>5.4224055579678687E-2</v>
      </c>
      <c r="AI12" s="105">
        <f t="shared" si="10"/>
        <v>5.9785497177594446E-2</v>
      </c>
      <c r="AJ12" s="105">
        <f t="shared" si="10"/>
        <v>5.4224055579678687E-2</v>
      </c>
      <c r="AK12" s="105">
        <f t="shared" si="10"/>
        <v>4.8662613981762921E-2</v>
      </c>
      <c r="AL12" s="105">
        <f t="shared" si="10"/>
        <v>4.7272253582283985E-2</v>
      </c>
      <c r="AM12" s="105">
        <f t="shared" si="10"/>
        <v>4.3796352583586634E-2</v>
      </c>
      <c r="AN12" s="105">
        <f t="shared" si="10"/>
        <v>4.3796352583586634E-2</v>
      </c>
      <c r="AO12" s="105">
        <f t="shared" si="10"/>
        <v>4.3796352583586634E-2</v>
      </c>
      <c r="AP12" s="105">
        <f t="shared" si="10"/>
        <v>4.5186712983065577E-2</v>
      </c>
      <c r="AQ12" s="105">
        <f t="shared" si="10"/>
        <v>4.5186712983065577E-2</v>
      </c>
      <c r="AR12" s="105">
        <f t="shared" si="10"/>
        <v>4.3796352583586634E-2</v>
      </c>
      <c r="AS12" s="105">
        <f t="shared" si="10"/>
        <v>4.5186712983065577E-2</v>
      </c>
      <c r="AT12" s="105">
        <f t="shared" si="10"/>
        <v>4.8315023881893189E-2</v>
      </c>
      <c r="AU12" s="105">
        <f t="shared" si="10"/>
        <v>5.0400564481111597E-2</v>
      </c>
      <c r="AV12" s="105">
        <f t="shared" si="10"/>
        <v>4.6577073382544514E-2</v>
      </c>
      <c r="AW12" s="105">
        <f t="shared" si="10"/>
        <v>4.3101172383847162E-2</v>
      </c>
      <c r="AX12" s="105">
        <f t="shared" si="10"/>
        <v>4.1710811984368219E-2</v>
      </c>
      <c r="AY12" s="105">
        <f t="shared" si="10"/>
        <v>4.1710811984368219E-2</v>
      </c>
      <c r="AZ12" s="105">
        <f t="shared" si="10"/>
        <v>4.0320451584889276E-2</v>
      </c>
      <c r="BA12" s="105">
        <f t="shared" si="10"/>
        <v>4.0320451584889276E-2</v>
      </c>
      <c r="BB12" s="105">
        <f t="shared" si="10"/>
        <v>4.0320451584889276E-2</v>
      </c>
      <c r="BC12" s="105">
        <f t="shared" si="10"/>
        <v>4.0320451584889276E-2</v>
      </c>
      <c r="BD12" s="105">
        <f t="shared" si="10"/>
        <v>4.6096969170646975</v>
      </c>
      <c r="BE12" s="105">
        <f t="shared" si="10"/>
        <v>4.3101172383847162E-2</v>
      </c>
      <c r="BF12" s="105">
        <f t="shared" si="10"/>
        <v>4.3101172383847162E-2</v>
      </c>
      <c r="BG12" s="105">
        <f t="shared" si="10"/>
        <v>4.3101172383847162E-2</v>
      </c>
      <c r="BH12" s="105">
        <f t="shared" si="10"/>
        <v>4.3101172383847162E-2</v>
      </c>
      <c r="BI12" s="105">
        <f t="shared" si="10"/>
        <v>4.5881893182805042E-2</v>
      </c>
      <c r="BJ12" s="105">
        <f t="shared" si="10"/>
        <v>4.5881893182805042E-2</v>
      </c>
      <c r="BK12" s="105">
        <f t="shared" si="10"/>
        <v>4.5881893182805042E-2</v>
      </c>
      <c r="BL12" s="105">
        <f t="shared" si="10"/>
        <v>4.5881893182805042E-2</v>
      </c>
      <c r="BM12" s="105">
        <f t="shared" si="10"/>
        <v>4.5881893182805042E-2</v>
      </c>
      <c r="BN12" s="105">
        <f t="shared" si="10"/>
        <v>4.5881893182805042E-2</v>
      </c>
      <c r="BO12" s="105">
        <f t="shared" si="10"/>
        <v>4.5881893182805042E-2</v>
      </c>
      <c r="BP12" s="105">
        <f t="shared" si="10"/>
        <v>4.3796352583586634E-2</v>
      </c>
      <c r="BQ12" s="105">
        <f t="shared" si="10"/>
        <v>4.3796352583586634E-2</v>
      </c>
      <c r="BR12" s="105">
        <f t="shared" si="10"/>
        <v>3.4599612462006082</v>
      </c>
      <c r="BS12" s="105">
        <f t="shared" si="10"/>
        <v>3.2140676291793313</v>
      </c>
      <c r="BT12" s="105">
        <f t="shared" si="10"/>
        <v>3.2168483499782892</v>
      </c>
      <c r="BU12" s="105">
        <f t="shared" si="10"/>
        <v>3.1026834563612677</v>
      </c>
      <c r="BV12" s="105">
        <f t="shared" ref="BV12:CA12" si="11">SUM(BV10:BV11)</f>
        <v>3.1026834563612677</v>
      </c>
      <c r="BW12" s="105">
        <f t="shared" si="11"/>
        <v>3.1030310464611373</v>
      </c>
      <c r="BX12" s="105">
        <f t="shared" si="11"/>
        <v>3.1030310464611373</v>
      </c>
      <c r="BY12" s="105">
        <f t="shared" si="11"/>
        <v>3.1030310464611373</v>
      </c>
      <c r="BZ12" s="105">
        <f t="shared" si="11"/>
        <v>3.1044214068606162</v>
      </c>
      <c r="CA12" s="105">
        <f t="shared" si="11"/>
        <v>3.1044214068606162</v>
      </c>
      <c r="CB12" s="105">
        <f t="shared" ref="CB12:CH12" si="12">SUM(CB10:CB11)</f>
        <v>3.1044214068606162</v>
      </c>
      <c r="CC12" s="105">
        <f t="shared" si="12"/>
        <v>3.0605118323925313</v>
      </c>
      <c r="CD12" s="105">
        <f t="shared" si="12"/>
        <v>3.0605118323925313</v>
      </c>
      <c r="CE12" s="105">
        <f t="shared" si="12"/>
        <v>3.0605118323925313</v>
      </c>
      <c r="CF12" s="105">
        <f t="shared" si="12"/>
        <v>3.0605118323925313</v>
      </c>
      <c r="CG12" s="105">
        <f t="shared" si="12"/>
        <v>3.0615546026921407</v>
      </c>
      <c r="CH12" s="105">
        <f t="shared" si="12"/>
        <v>3.0615546026921407</v>
      </c>
      <c r="CI12" s="105">
        <f>SUM(CI10:CI11)</f>
        <v>3.0601642422926618</v>
      </c>
      <c r="CJ12" s="105">
        <f>SUM(CJ10:CJ11)</f>
        <v>3.0601642422926618</v>
      </c>
      <c r="CK12" s="105">
        <f>SUM(CK10:CK11)</f>
        <v>3.0601642422926618</v>
      </c>
      <c r="CL12" s="105">
        <f t="shared" ref="CL12:DC12" si="13">SUM(CL10:CL11)</f>
        <v>3.0513823273990446</v>
      </c>
      <c r="CM12" s="105">
        <f t="shared" si="13"/>
        <v>3.0510347372991746</v>
      </c>
      <c r="CN12" s="105">
        <f t="shared" si="13"/>
        <v>3.0510347372991746</v>
      </c>
      <c r="CO12" s="105">
        <f t="shared" si="13"/>
        <v>3.0510347372991746</v>
      </c>
      <c r="CP12" s="105">
        <f t="shared" si="13"/>
        <v>3.0510347372991746</v>
      </c>
      <c r="CQ12" s="105">
        <f t="shared" si="13"/>
        <v>3.0510347372991746</v>
      </c>
      <c r="CR12" s="105">
        <f t="shared" si="13"/>
        <v>3.0510347372991746</v>
      </c>
      <c r="CS12" s="105">
        <f t="shared" si="13"/>
        <v>3.410745657837603</v>
      </c>
      <c r="CT12" s="105">
        <f t="shared" si="13"/>
        <v>3.1648520408163265</v>
      </c>
      <c r="CU12" s="105">
        <f t="shared" si="13"/>
        <v>3.1648520408163265</v>
      </c>
      <c r="CV12" s="105">
        <f t="shared" si="13"/>
        <v>3.1648520408163265</v>
      </c>
      <c r="CW12" s="105">
        <f t="shared" si="13"/>
        <v>3.1729387755102043</v>
      </c>
      <c r="CX12" s="105">
        <f t="shared" si="13"/>
        <v>3.1729387755102043</v>
      </c>
      <c r="CY12" s="105">
        <f t="shared" si="13"/>
        <v>3.2080664350846724</v>
      </c>
      <c r="CZ12" s="105">
        <f t="shared" si="13"/>
        <v>3.2080664350846724</v>
      </c>
      <c r="DA12" s="105">
        <f t="shared" si="13"/>
        <v>3.2080664350846724</v>
      </c>
      <c r="DB12" s="105">
        <f t="shared" si="13"/>
        <v>3.2080664350846724</v>
      </c>
      <c r="DC12" s="105">
        <f t="shared" si="13"/>
        <v>3.4890877116804169</v>
      </c>
      <c r="DD12" s="105">
        <f t="shared" ref="DD12:FD12" si="14">SUM(DD10:DD11)</f>
        <v>3.5154334563612681</v>
      </c>
      <c r="DE12" s="105">
        <f t="shared" si="14"/>
        <v>3.5154334563612681</v>
      </c>
      <c r="DF12" s="105">
        <f t="shared" si="14"/>
        <v>3.5154334563612681</v>
      </c>
      <c r="DG12" s="105">
        <f t="shared" si="14"/>
        <v>3.5154334563612681</v>
      </c>
      <c r="DH12" s="105">
        <f t="shared" si="14"/>
        <v>3.4012685627442463</v>
      </c>
      <c r="DI12" s="105">
        <f t="shared" si="14"/>
        <v>3.4012685627442463</v>
      </c>
      <c r="DJ12" s="105">
        <f t="shared" si="14"/>
        <v>3.4026589231437252</v>
      </c>
      <c r="DK12" s="105">
        <f t="shared" si="14"/>
        <v>3.4026589231437252</v>
      </c>
      <c r="DL12" s="105">
        <f t="shared" si="14"/>
        <v>3.4026589231437252</v>
      </c>
      <c r="DM12" s="105">
        <f t="shared" si="14"/>
        <v>3.2006748805905341</v>
      </c>
      <c r="DN12" s="105">
        <f t="shared" si="14"/>
        <v>3.1985893399913157</v>
      </c>
      <c r="DO12" s="105">
        <f t="shared" si="14"/>
        <v>3.1985893399913157</v>
      </c>
      <c r="DP12" s="105">
        <f t="shared" si="14"/>
        <v>3.1985893399913157</v>
      </c>
      <c r="DQ12" s="105">
        <f t="shared" si="14"/>
        <v>3.1634616804168476</v>
      </c>
      <c r="DR12" s="105">
        <f t="shared" si="14"/>
        <v>3.1634616804168476</v>
      </c>
      <c r="DS12" s="105">
        <f t="shared" si="14"/>
        <v>3.1658948111159355</v>
      </c>
      <c r="DT12" s="105">
        <f t="shared" si="14"/>
        <v>0</v>
      </c>
      <c r="DU12" s="105">
        <f t="shared" si="14"/>
        <v>0</v>
      </c>
      <c r="DV12" s="105">
        <f t="shared" si="14"/>
        <v>0</v>
      </c>
      <c r="DW12" s="105">
        <f t="shared" si="14"/>
        <v>0</v>
      </c>
      <c r="DX12" s="105">
        <f t="shared" si="14"/>
        <v>0</v>
      </c>
      <c r="DY12" s="105">
        <f t="shared" si="14"/>
        <v>0</v>
      </c>
      <c r="DZ12" s="105">
        <f t="shared" si="14"/>
        <v>0</v>
      </c>
      <c r="EA12" s="105">
        <f t="shared" si="14"/>
        <v>0</v>
      </c>
      <c r="EB12" s="105">
        <f t="shared" si="14"/>
        <v>0</v>
      </c>
      <c r="EC12" s="105">
        <f t="shared" si="14"/>
        <v>0</v>
      </c>
      <c r="ED12" s="105">
        <f t="shared" si="14"/>
        <v>0</v>
      </c>
      <c r="EE12" s="105">
        <f t="shared" si="14"/>
        <v>0</v>
      </c>
      <c r="EF12" s="105">
        <f t="shared" si="14"/>
        <v>0</v>
      </c>
      <c r="EG12" s="105">
        <f t="shared" si="14"/>
        <v>0</v>
      </c>
      <c r="EH12" s="105">
        <f t="shared" si="14"/>
        <v>0</v>
      </c>
      <c r="EI12" s="105">
        <f t="shared" si="14"/>
        <v>0</v>
      </c>
      <c r="EJ12" s="105">
        <f t="shared" si="14"/>
        <v>0</v>
      </c>
      <c r="EK12" s="105">
        <f t="shared" si="14"/>
        <v>0</v>
      </c>
      <c r="EL12" s="105">
        <f t="shared" si="14"/>
        <v>0</v>
      </c>
      <c r="EM12" s="105">
        <f t="shared" si="14"/>
        <v>0</v>
      </c>
      <c r="EN12" s="105">
        <f t="shared" si="14"/>
        <v>0</v>
      </c>
      <c r="EO12" s="105">
        <f t="shared" si="14"/>
        <v>0</v>
      </c>
      <c r="EP12" s="105">
        <f t="shared" si="14"/>
        <v>0</v>
      </c>
      <c r="EQ12" s="105">
        <f t="shared" si="14"/>
        <v>0</v>
      </c>
      <c r="ER12" s="105">
        <f t="shared" si="14"/>
        <v>0</v>
      </c>
      <c r="ES12" s="105">
        <f t="shared" si="14"/>
        <v>0</v>
      </c>
      <c r="ET12" s="105">
        <f t="shared" si="14"/>
        <v>0</v>
      </c>
      <c r="EU12" s="105">
        <f t="shared" si="14"/>
        <v>0</v>
      </c>
      <c r="EV12" s="105">
        <f t="shared" si="14"/>
        <v>0</v>
      </c>
      <c r="EW12" s="105">
        <f t="shared" si="14"/>
        <v>0</v>
      </c>
      <c r="EX12" s="105">
        <f t="shared" si="14"/>
        <v>0</v>
      </c>
      <c r="EY12" s="105">
        <f t="shared" si="14"/>
        <v>0</v>
      </c>
      <c r="EZ12" s="105">
        <f t="shared" si="14"/>
        <v>0</v>
      </c>
      <c r="FA12" s="105">
        <f t="shared" si="14"/>
        <v>0</v>
      </c>
      <c r="FB12" s="105">
        <f t="shared" si="14"/>
        <v>0</v>
      </c>
      <c r="FC12" s="105">
        <f t="shared" si="14"/>
        <v>0</v>
      </c>
      <c r="FD12" s="105">
        <f t="shared" si="14"/>
        <v>0</v>
      </c>
    </row>
    <row r="13" spans="1:161">
      <c r="I13" s="74"/>
      <c r="J13" s="74"/>
      <c r="K13" s="74"/>
      <c r="L13" s="74"/>
      <c r="M13" s="74"/>
      <c r="N13" s="74"/>
      <c r="O13" s="74"/>
      <c r="P13" s="70"/>
      <c r="Q13" s="74"/>
      <c r="R13" s="74"/>
      <c r="S13" s="74"/>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BD13" s="65"/>
      <c r="BR13" s="65">
        <f>BR12+0.67</f>
        <v>4.1299612462006081</v>
      </c>
    </row>
    <row r="14" spans="1:161" s="64" customFormat="1">
      <c r="H14" s="64" t="s">
        <v>763</v>
      </c>
      <c r="I14" s="74"/>
      <c r="J14" s="74"/>
      <c r="K14" s="74"/>
      <c r="L14" s="74"/>
      <c r="M14" s="74"/>
      <c r="N14" s="74"/>
      <c r="O14" s="74"/>
      <c r="P14" s="74"/>
      <c r="Q14" s="74"/>
      <c r="R14" s="74"/>
      <c r="S14" s="74"/>
      <c r="T14" s="74"/>
      <c r="U14" s="74"/>
      <c r="V14" s="74"/>
      <c r="W14" s="74"/>
      <c r="X14" s="74"/>
      <c r="Y14" s="74"/>
      <c r="Z14" s="74"/>
      <c r="AA14" s="74"/>
      <c r="AB14" s="74"/>
      <c r="AC14" s="74"/>
      <c r="AD14" s="74"/>
      <c r="AE14" s="74"/>
      <c r="AF14" s="74"/>
      <c r="AG14" s="74"/>
      <c r="AH14" s="74"/>
      <c r="AI14" s="74"/>
      <c r="AJ14" s="74"/>
      <c r="AK14" s="74"/>
      <c r="AL14" s="74"/>
      <c r="AM14" s="74"/>
      <c r="AN14" s="74"/>
      <c r="AO14" s="74"/>
      <c r="AP14" s="74"/>
      <c r="AQ14" s="74"/>
      <c r="AR14" s="74"/>
      <c r="AS14" s="74"/>
      <c r="AT14" s="74"/>
      <c r="AU14" s="74"/>
      <c r="AW14" s="74"/>
      <c r="AX14" s="74"/>
      <c r="BD14" s="64">
        <v>5.24</v>
      </c>
      <c r="BQ14" s="74"/>
    </row>
    <row r="15" spans="1:161">
      <c r="H15" s="60" t="s">
        <v>764</v>
      </c>
      <c r="P15" s="74"/>
      <c r="AC15" s="74"/>
      <c r="AE15" s="74"/>
      <c r="AO15" s="74"/>
      <c r="AQ15" s="74"/>
      <c r="AT15" s="74"/>
      <c r="BD15" s="65">
        <f>BD14-BD12</f>
        <v>0.63030308293530268</v>
      </c>
      <c r="BM15" s="74"/>
    </row>
    <row r="16" spans="1:161" ht="13" thickBot="1"/>
    <row r="17" spans="2:160" ht="13" thickBot="1">
      <c r="D17" s="259"/>
      <c r="H17" s="106" t="s">
        <v>407</v>
      </c>
      <c r="I17" s="109">
        <f>I12+0.63</f>
        <v>0.66649696048632223</v>
      </c>
      <c r="J17" s="109">
        <f t="shared" ref="J17:BU17" si="15">J12+0.63</f>
        <v>0.67483912288319581</v>
      </c>
      <c r="K17" s="109">
        <f t="shared" si="15"/>
        <v>0.66962527138514982</v>
      </c>
      <c r="L17" s="109">
        <f t="shared" si="15"/>
        <v>0.65919756838905774</v>
      </c>
      <c r="M17" s="109">
        <f t="shared" si="15"/>
        <v>0.65433130699088149</v>
      </c>
      <c r="N17" s="109">
        <f t="shared" si="15"/>
        <v>0.65328853669127229</v>
      </c>
      <c r="O17" s="109">
        <f t="shared" si="15"/>
        <v>0.65502648719062095</v>
      </c>
      <c r="P17" s="109">
        <f t="shared" si="15"/>
        <v>0.66058792878853667</v>
      </c>
      <c r="Q17" s="109">
        <f t="shared" si="15"/>
        <v>0.6619782891880156</v>
      </c>
      <c r="R17" s="109">
        <f t="shared" si="15"/>
        <v>0.66336864958749453</v>
      </c>
      <c r="S17" s="109">
        <f t="shared" si="15"/>
        <v>0.66753973078593143</v>
      </c>
      <c r="T17" s="109">
        <f t="shared" si="15"/>
        <v>0.67171081198436822</v>
      </c>
      <c r="U17" s="109">
        <f t="shared" si="15"/>
        <v>0.6800529743812419</v>
      </c>
      <c r="V17" s="109">
        <f t="shared" si="15"/>
        <v>0.68074815458098137</v>
      </c>
      <c r="W17" s="109">
        <f t="shared" si="15"/>
        <v>0.67935779418150244</v>
      </c>
      <c r="X17" s="109">
        <f t="shared" si="15"/>
        <v>0.67727225358228393</v>
      </c>
      <c r="Y17" s="109">
        <f t="shared" si="15"/>
        <v>0.67831502388189324</v>
      </c>
      <c r="Z17" s="109">
        <f t="shared" si="15"/>
        <v>0.67970538428137217</v>
      </c>
      <c r="AA17" s="109">
        <f t="shared" si="15"/>
        <v>0.6800529743812419</v>
      </c>
      <c r="AB17" s="109">
        <f t="shared" si="15"/>
        <v>0.68144333478072083</v>
      </c>
      <c r="AC17" s="109">
        <f t="shared" si="15"/>
        <v>0.68422405557967869</v>
      </c>
      <c r="AD17" s="109">
        <f t="shared" si="15"/>
        <v>0.6949993486756405</v>
      </c>
      <c r="AE17" s="109">
        <f t="shared" si="15"/>
        <v>0.68457164567954842</v>
      </c>
      <c r="AF17" s="109">
        <f t="shared" si="15"/>
        <v>0.67727225358228393</v>
      </c>
      <c r="AG17" s="109">
        <f t="shared" si="15"/>
        <v>0.67310117238384715</v>
      </c>
      <c r="AH17" s="109">
        <f t="shared" si="15"/>
        <v>0.68422405557967869</v>
      </c>
      <c r="AI17" s="109">
        <f t="shared" si="15"/>
        <v>0.68978549717759441</v>
      </c>
      <c r="AJ17" s="109">
        <f t="shared" si="15"/>
        <v>0.68422405557967869</v>
      </c>
      <c r="AK17" s="109">
        <f t="shared" si="15"/>
        <v>0.67866261398176297</v>
      </c>
      <c r="AL17" s="109">
        <f t="shared" si="15"/>
        <v>0.67727225358228393</v>
      </c>
      <c r="AM17" s="109">
        <f t="shared" si="15"/>
        <v>0.67379635258358661</v>
      </c>
      <c r="AN17" s="109">
        <f t="shared" si="15"/>
        <v>0.67379635258358661</v>
      </c>
      <c r="AO17" s="109">
        <f t="shared" si="15"/>
        <v>0.67379635258358661</v>
      </c>
      <c r="AP17" s="109">
        <f t="shared" si="15"/>
        <v>0.67518671298306554</v>
      </c>
      <c r="AQ17" s="109">
        <f t="shared" si="15"/>
        <v>0.67518671298306554</v>
      </c>
      <c r="AR17" s="109">
        <f t="shared" si="15"/>
        <v>0.67379635258358661</v>
      </c>
      <c r="AS17" s="109">
        <f t="shared" si="15"/>
        <v>0.67518671298306554</v>
      </c>
      <c r="AT17" s="109">
        <f t="shared" si="15"/>
        <v>0.67831502388189324</v>
      </c>
      <c r="AU17" s="109">
        <f t="shared" si="15"/>
        <v>0.68040056448111164</v>
      </c>
      <c r="AV17" s="109">
        <f t="shared" si="15"/>
        <v>0.67657707338254447</v>
      </c>
      <c r="AW17" s="109">
        <f t="shared" si="15"/>
        <v>0.67310117238384715</v>
      </c>
      <c r="AX17" s="109">
        <f t="shared" si="15"/>
        <v>0.67171081198436822</v>
      </c>
      <c r="AY17" s="109">
        <f t="shared" si="15"/>
        <v>0.67171081198436822</v>
      </c>
      <c r="AZ17" s="109">
        <f t="shared" si="15"/>
        <v>0.67032045158488929</v>
      </c>
      <c r="BA17" s="109">
        <f t="shared" si="15"/>
        <v>0.67032045158488929</v>
      </c>
      <c r="BB17" s="109">
        <f t="shared" si="15"/>
        <v>0.67032045158488929</v>
      </c>
      <c r="BC17" s="109">
        <f t="shared" si="15"/>
        <v>0.67032045158488929</v>
      </c>
      <c r="BD17" s="109">
        <f t="shared" si="15"/>
        <v>5.2396969170646974</v>
      </c>
      <c r="BE17" s="109">
        <f t="shared" si="15"/>
        <v>0.67310117238384715</v>
      </c>
      <c r="BF17" s="109">
        <f t="shared" si="15"/>
        <v>0.67310117238384715</v>
      </c>
      <c r="BG17" s="109">
        <f t="shared" si="15"/>
        <v>0.67310117238384715</v>
      </c>
      <c r="BH17" s="109">
        <f t="shared" si="15"/>
        <v>0.67310117238384715</v>
      </c>
      <c r="BI17" s="109">
        <f t="shared" si="15"/>
        <v>0.675881893182805</v>
      </c>
      <c r="BJ17" s="109">
        <f t="shared" si="15"/>
        <v>0.675881893182805</v>
      </c>
      <c r="BK17" s="109">
        <f t="shared" si="15"/>
        <v>0.675881893182805</v>
      </c>
      <c r="BL17" s="109">
        <f t="shared" si="15"/>
        <v>0.675881893182805</v>
      </c>
      <c r="BM17" s="109">
        <f t="shared" si="15"/>
        <v>0.675881893182805</v>
      </c>
      <c r="BN17" s="109">
        <f t="shared" si="15"/>
        <v>0.675881893182805</v>
      </c>
      <c r="BO17" s="109">
        <f t="shared" si="15"/>
        <v>0.675881893182805</v>
      </c>
      <c r="BP17" s="109">
        <f t="shared" si="15"/>
        <v>0.67379635258358661</v>
      </c>
      <c r="BQ17" s="109">
        <f t="shared" si="15"/>
        <v>0.67379635258358661</v>
      </c>
      <c r="BR17" s="109">
        <f t="shared" si="15"/>
        <v>4.0899612462006081</v>
      </c>
      <c r="BS17" s="109">
        <f t="shared" si="15"/>
        <v>3.8440676291793312</v>
      </c>
      <c r="BT17" s="109">
        <f t="shared" si="15"/>
        <v>3.8468483499782891</v>
      </c>
      <c r="BU17" s="109">
        <f t="shared" si="15"/>
        <v>3.7326834563612676</v>
      </c>
      <c r="BV17" s="109">
        <f t="shared" ref="BV17:CA17" si="16">BV12+0.63</f>
        <v>3.7326834563612676</v>
      </c>
      <c r="BW17" s="109">
        <f t="shared" si="16"/>
        <v>3.7330310464611371</v>
      </c>
      <c r="BX17" s="109">
        <f t="shared" si="16"/>
        <v>3.7330310464611371</v>
      </c>
      <c r="BY17" s="109">
        <f t="shared" si="16"/>
        <v>3.7330310464611371</v>
      </c>
      <c r="BZ17" s="109">
        <f t="shared" si="16"/>
        <v>3.7344214068606161</v>
      </c>
      <c r="CA17" s="109">
        <f t="shared" si="16"/>
        <v>3.7344214068606161</v>
      </c>
      <c r="CB17" s="109">
        <f t="shared" ref="CB17:CH17" si="17">CB12+0.63</f>
        <v>3.7344214068606161</v>
      </c>
      <c r="CC17" s="109">
        <f t="shared" si="17"/>
        <v>3.6905118323925312</v>
      </c>
      <c r="CD17" s="109">
        <f t="shared" si="17"/>
        <v>3.6905118323925312</v>
      </c>
      <c r="CE17" s="109">
        <f t="shared" si="17"/>
        <v>3.6905118323925312</v>
      </c>
      <c r="CF17" s="109">
        <f t="shared" si="17"/>
        <v>3.6905118323925312</v>
      </c>
      <c r="CG17" s="109">
        <f t="shared" si="17"/>
        <v>3.6915546026921406</v>
      </c>
      <c r="CH17" s="109">
        <f t="shared" si="17"/>
        <v>3.6915546026921406</v>
      </c>
      <c r="CI17" s="109">
        <f>CI12+0.63</f>
        <v>3.6901642422926617</v>
      </c>
      <c r="CJ17" s="109">
        <f>CJ12+0.63</f>
        <v>3.6901642422926617</v>
      </c>
      <c r="CK17" s="109">
        <f>CK12+0.63</f>
        <v>3.6901642422926617</v>
      </c>
      <c r="CL17" s="109">
        <f t="shared" ref="CL17:DC17" si="18">CL12+0.63</f>
        <v>3.6813823273990445</v>
      </c>
      <c r="CM17" s="109">
        <f t="shared" si="18"/>
        <v>3.6810347372991745</v>
      </c>
      <c r="CN17" s="109">
        <f t="shared" si="18"/>
        <v>3.6810347372991745</v>
      </c>
      <c r="CO17" s="109">
        <f t="shared" si="18"/>
        <v>3.6810347372991745</v>
      </c>
      <c r="CP17" s="109">
        <f t="shared" si="18"/>
        <v>3.6810347372991745</v>
      </c>
      <c r="CQ17" s="109">
        <f t="shared" si="18"/>
        <v>3.6810347372991745</v>
      </c>
      <c r="CR17" s="109">
        <f t="shared" si="18"/>
        <v>3.6810347372991745</v>
      </c>
      <c r="CS17" s="109">
        <f t="shared" si="18"/>
        <v>4.0407456578376033</v>
      </c>
      <c r="CT17" s="109">
        <f t="shared" si="18"/>
        <v>3.7948520408163264</v>
      </c>
      <c r="CU17" s="109">
        <f t="shared" si="18"/>
        <v>3.7948520408163264</v>
      </c>
      <c r="CV17" s="109">
        <f t="shared" si="18"/>
        <v>3.7948520408163264</v>
      </c>
      <c r="CW17" s="109">
        <f t="shared" si="18"/>
        <v>3.8029387755102042</v>
      </c>
      <c r="CX17" s="109">
        <f t="shared" si="18"/>
        <v>3.8029387755102042</v>
      </c>
      <c r="CY17" s="109">
        <f>CY12+0.63</f>
        <v>3.8380664350846723</v>
      </c>
      <c r="CZ17" s="109">
        <f t="shared" si="18"/>
        <v>3.8380664350846723</v>
      </c>
      <c r="DA17" s="109">
        <f t="shared" si="18"/>
        <v>3.8380664350846723</v>
      </c>
      <c r="DB17" s="109">
        <f t="shared" si="18"/>
        <v>3.8380664350846723</v>
      </c>
      <c r="DC17" s="109">
        <f t="shared" si="18"/>
        <v>4.1190877116804172</v>
      </c>
      <c r="DD17" s="109">
        <f t="shared" ref="DD17:FD17" si="19">DD12+0.63</f>
        <v>4.1454334563612685</v>
      </c>
      <c r="DE17" s="109">
        <f t="shared" si="19"/>
        <v>4.1454334563612685</v>
      </c>
      <c r="DF17" s="109">
        <f t="shared" si="19"/>
        <v>4.1454334563612685</v>
      </c>
      <c r="DG17" s="109">
        <f t="shared" si="19"/>
        <v>4.1454334563612685</v>
      </c>
      <c r="DH17" s="109">
        <f t="shared" si="19"/>
        <v>4.0312685627442466</v>
      </c>
      <c r="DI17" s="109">
        <f t="shared" si="19"/>
        <v>4.0312685627442466</v>
      </c>
      <c r="DJ17" s="109">
        <f t="shared" si="19"/>
        <v>4.0326589231437255</v>
      </c>
      <c r="DK17" s="109">
        <f t="shared" si="19"/>
        <v>4.0326589231437255</v>
      </c>
      <c r="DL17" s="109">
        <f t="shared" si="19"/>
        <v>4.0326589231437255</v>
      </c>
      <c r="DM17" s="109">
        <f t="shared" si="19"/>
        <v>3.830674880590534</v>
      </c>
      <c r="DN17" s="109">
        <f t="shared" si="19"/>
        <v>3.8285893399913156</v>
      </c>
      <c r="DO17" s="109">
        <f t="shared" si="19"/>
        <v>3.8285893399913156</v>
      </c>
      <c r="DP17" s="109">
        <f t="shared" si="19"/>
        <v>3.8285893399913156</v>
      </c>
      <c r="DQ17" s="109">
        <f t="shared" si="19"/>
        <v>3.7934616804168475</v>
      </c>
      <c r="DR17" s="109">
        <f t="shared" si="19"/>
        <v>3.7934616804168475</v>
      </c>
      <c r="DS17" s="109">
        <f t="shared" si="19"/>
        <v>3.7958948111159354</v>
      </c>
      <c r="DT17" s="109">
        <f t="shared" si="19"/>
        <v>0.63</v>
      </c>
      <c r="DU17" s="109">
        <f t="shared" si="19"/>
        <v>0.63</v>
      </c>
      <c r="DV17" s="109">
        <f t="shared" si="19"/>
        <v>0.63</v>
      </c>
      <c r="DW17" s="109">
        <f t="shared" si="19"/>
        <v>0.63</v>
      </c>
      <c r="DX17" s="109">
        <f t="shared" si="19"/>
        <v>0.63</v>
      </c>
      <c r="DY17" s="109">
        <f t="shared" si="19"/>
        <v>0.63</v>
      </c>
      <c r="DZ17" s="109">
        <f t="shared" si="19"/>
        <v>0.63</v>
      </c>
      <c r="EA17" s="109">
        <f t="shared" si="19"/>
        <v>0.63</v>
      </c>
      <c r="EB17" s="109">
        <f t="shared" si="19"/>
        <v>0.63</v>
      </c>
      <c r="EC17" s="109">
        <f t="shared" si="19"/>
        <v>0.63</v>
      </c>
      <c r="ED17" s="109">
        <f t="shared" si="19"/>
        <v>0.63</v>
      </c>
      <c r="EE17" s="109">
        <f t="shared" si="19"/>
        <v>0.63</v>
      </c>
      <c r="EF17" s="109">
        <f t="shared" si="19"/>
        <v>0.63</v>
      </c>
      <c r="EG17" s="109">
        <f t="shared" si="19"/>
        <v>0.63</v>
      </c>
      <c r="EH17" s="109">
        <f t="shared" si="19"/>
        <v>0.63</v>
      </c>
      <c r="EI17" s="109">
        <f t="shared" si="19"/>
        <v>0.63</v>
      </c>
      <c r="EJ17" s="109">
        <f t="shared" si="19"/>
        <v>0.63</v>
      </c>
      <c r="EK17" s="109">
        <f t="shared" si="19"/>
        <v>0.63</v>
      </c>
      <c r="EL17" s="109">
        <f t="shared" si="19"/>
        <v>0.63</v>
      </c>
      <c r="EM17" s="109">
        <f t="shared" si="19"/>
        <v>0.63</v>
      </c>
      <c r="EN17" s="109">
        <f t="shared" si="19"/>
        <v>0.63</v>
      </c>
      <c r="EO17" s="109">
        <f t="shared" si="19"/>
        <v>0.63</v>
      </c>
      <c r="EP17" s="109">
        <f t="shared" si="19"/>
        <v>0.63</v>
      </c>
      <c r="EQ17" s="109">
        <f t="shared" si="19"/>
        <v>0.63</v>
      </c>
      <c r="ER17" s="109">
        <f t="shared" si="19"/>
        <v>0.63</v>
      </c>
      <c r="ES17" s="109">
        <f t="shared" si="19"/>
        <v>0.63</v>
      </c>
      <c r="ET17" s="109">
        <f t="shared" si="19"/>
        <v>0.63</v>
      </c>
      <c r="EU17" s="109">
        <f t="shared" si="19"/>
        <v>0.63</v>
      </c>
      <c r="EV17" s="109">
        <f t="shared" si="19"/>
        <v>0.63</v>
      </c>
      <c r="EW17" s="109">
        <f t="shared" si="19"/>
        <v>0.63</v>
      </c>
      <c r="EX17" s="109">
        <f t="shared" si="19"/>
        <v>0.63</v>
      </c>
      <c r="EY17" s="109">
        <f t="shared" si="19"/>
        <v>0.63</v>
      </c>
      <c r="EZ17" s="109">
        <f t="shared" si="19"/>
        <v>0.63</v>
      </c>
      <c r="FA17" s="109">
        <f t="shared" si="19"/>
        <v>0.63</v>
      </c>
      <c r="FB17" s="109">
        <f t="shared" si="19"/>
        <v>0.63</v>
      </c>
      <c r="FC17" s="109">
        <f t="shared" si="19"/>
        <v>0.63</v>
      </c>
      <c r="FD17" s="109">
        <f t="shared" si="19"/>
        <v>0.63</v>
      </c>
    </row>
    <row r="19" spans="2:160">
      <c r="B19" s="65"/>
      <c r="BL19" s="65"/>
    </row>
    <row r="24" spans="2:160" ht="15">
      <c r="AR24" s="11"/>
    </row>
    <row r="25" spans="2:160" ht="15">
      <c r="AR25" s="11"/>
    </row>
    <row r="26" spans="2:160" ht="15">
      <c r="AR26" s="260"/>
    </row>
  </sheetData>
  <conditionalFormatting sqref="I14 Z14:AB14 AF14 AH14:AJ14 AL14 AP14 AR14:AS14 AU14 Q14:X14 O14 K14:L14">
    <cfRule type="top10" dxfId="12" priority="1" bottom="1" rank="1"/>
  </conditionalFormatting>
  <pageMargins left="0.7" right="0.7" top="0.75" bottom="0.75" header="0.3" footer="0.3"/>
  <pageSetup orientation="portrait" r:id="rId1"/>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O15"/>
  <sheetViews>
    <sheetView topLeftCell="Z1" workbookViewId="0">
      <selection activeCell="AL15" sqref="AL15:AO15"/>
    </sheetView>
  </sheetViews>
  <sheetFormatPr baseColWidth="10" defaultColWidth="8.83203125" defaultRowHeight="15"/>
  <cols>
    <col min="4" max="4" width="13" bestFit="1" customWidth="1"/>
    <col min="5" max="5" width="10.6640625" customWidth="1"/>
  </cols>
  <sheetData>
    <row r="1" spans="1:41" ht="16" thickBot="1"/>
    <row r="2" spans="1:41">
      <c r="D2" s="287" t="s">
        <v>318</v>
      </c>
      <c r="E2" s="288">
        <v>199.988</v>
      </c>
      <c r="F2" s="289"/>
      <c r="G2" s="289"/>
      <c r="H2" s="289"/>
      <c r="I2" s="290"/>
    </row>
    <row r="3" spans="1:41">
      <c r="D3" s="291"/>
      <c r="E3" s="3"/>
      <c r="F3" s="2"/>
      <c r="I3" s="292"/>
    </row>
    <row r="4" spans="1:41">
      <c r="D4" s="293" t="s">
        <v>766</v>
      </c>
      <c r="E4" s="285">
        <v>61.04</v>
      </c>
      <c r="F4" s="286">
        <f>E4/E2</f>
        <v>0.30521831309878594</v>
      </c>
      <c r="G4">
        <v>2.5299999999999998</v>
      </c>
      <c r="H4" s="2">
        <f>G4*F4</f>
        <v>0.77220233213992839</v>
      </c>
      <c r="I4" s="292"/>
    </row>
    <row r="5" spans="1:41">
      <c r="D5" s="293" t="s">
        <v>767</v>
      </c>
      <c r="E5" s="285">
        <v>30.03</v>
      </c>
      <c r="F5" s="286">
        <f>E5/E2</f>
        <v>0.15015900954057243</v>
      </c>
      <c r="G5">
        <v>0.7</v>
      </c>
      <c r="H5" s="2">
        <f>G5*F5</f>
        <v>0.1051113066784007</v>
      </c>
      <c r="I5" s="292"/>
    </row>
    <row r="6" spans="1:41">
      <c r="D6" s="293" t="s">
        <v>768</v>
      </c>
      <c r="E6" s="285">
        <v>80.91</v>
      </c>
      <c r="F6" s="286">
        <f>E6/E2</f>
        <v>0.40457427445646738</v>
      </c>
      <c r="G6">
        <v>1.6</v>
      </c>
      <c r="H6" s="2">
        <f>G6*F6</f>
        <v>0.64731883913034782</v>
      </c>
      <c r="I6" s="292"/>
    </row>
    <row r="7" spans="1:41">
      <c r="D7" s="293" t="s">
        <v>769</v>
      </c>
      <c r="E7" s="285">
        <v>159.80799999999999</v>
      </c>
      <c r="F7" s="286">
        <f>E7/E2</f>
        <v>0.79908794527671656</v>
      </c>
      <c r="G7">
        <v>2.74</v>
      </c>
      <c r="H7" s="2">
        <f>G7*F7</f>
        <v>2.1895009700582038</v>
      </c>
      <c r="I7" s="292"/>
    </row>
    <row r="8" spans="1:41">
      <c r="D8" s="293" t="s">
        <v>770</v>
      </c>
      <c r="E8" s="285">
        <v>56.105600000000003</v>
      </c>
      <c r="F8" s="286">
        <f>E8/E2</f>
        <v>0.28054483268996139</v>
      </c>
      <c r="G8">
        <v>0.85</v>
      </c>
      <c r="H8" s="2">
        <f>G8*F8</f>
        <v>0.23846310778646718</v>
      </c>
      <c r="I8" s="292"/>
    </row>
    <row r="9" spans="1:41">
      <c r="D9" s="294"/>
      <c r="H9" s="2">
        <f>SUM(H4:H8)</f>
        <v>3.952596555793348</v>
      </c>
      <c r="I9" s="292"/>
    </row>
    <row r="10" spans="1:41">
      <c r="D10" s="294"/>
      <c r="H10" s="295">
        <f>H9*83</f>
        <v>328.06551413084787</v>
      </c>
      <c r="I10" s="292"/>
    </row>
    <row r="11" spans="1:41">
      <c r="D11" s="294"/>
      <c r="I11" s="292"/>
    </row>
    <row r="12" spans="1:41" ht="16" thickBot="1">
      <c r="D12" s="296"/>
      <c r="E12" s="297"/>
      <c r="F12" s="297"/>
      <c r="G12" s="297"/>
      <c r="H12" s="297"/>
      <c r="I12" s="298"/>
    </row>
    <row r="15" spans="1:41">
      <c r="A15" s="59" t="s">
        <v>284</v>
      </c>
      <c r="B15" s="59" t="s">
        <v>285</v>
      </c>
      <c r="C15" s="59" t="s">
        <v>286</v>
      </c>
      <c r="D15" s="59" t="s">
        <v>287</v>
      </c>
      <c r="E15" s="59" t="s">
        <v>771</v>
      </c>
      <c r="F15" s="59" t="s">
        <v>772</v>
      </c>
      <c r="G15" s="59" t="s">
        <v>773</v>
      </c>
      <c r="H15" s="59" t="s">
        <v>774</v>
      </c>
      <c r="I15" s="59" t="s">
        <v>775</v>
      </c>
      <c r="J15" s="59" t="s">
        <v>776</v>
      </c>
      <c r="K15" s="59" t="s">
        <v>777</v>
      </c>
      <c r="L15" s="59" t="s">
        <v>778</v>
      </c>
      <c r="M15" s="59" t="s">
        <v>779</v>
      </c>
      <c r="N15" s="88" t="s">
        <v>780</v>
      </c>
      <c r="O15" s="88" t="s">
        <v>781</v>
      </c>
      <c r="P15" s="88" t="s">
        <v>782</v>
      </c>
      <c r="Q15" s="88" t="s">
        <v>783</v>
      </c>
      <c r="R15" s="88" t="s">
        <v>162</v>
      </c>
      <c r="S15" s="88" t="s">
        <v>163</v>
      </c>
      <c r="T15" s="88" t="s">
        <v>164</v>
      </c>
      <c r="U15" s="88" t="s">
        <v>165</v>
      </c>
      <c r="V15" s="88" t="s">
        <v>166</v>
      </c>
      <c r="W15" s="88" t="s">
        <v>167</v>
      </c>
      <c r="X15" s="88" t="s">
        <v>168</v>
      </c>
      <c r="Y15" s="88" t="s">
        <v>169</v>
      </c>
      <c r="Z15" s="88" t="s">
        <v>195</v>
      </c>
      <c r="AA15" s="88" t="s">
        <v>196</v>
      </c>
      <c r="AB15" s="88" t="s">
        <v>197</v>
      </c>
      <c r="AC15" s="88" t="s">
        <v>198</v>
      </c>
      <c r="AD15" s="88" t="s">
        <v>199</v>
      </c>
      <c r="AE15" s="88" t="s">
        <v>200</v>
      </c>
      <c r="AF15" s="88" t="s">
        <v>201</v>
      </c>
      <c r="AG15" s="88" t="s">
        <v>202</v>
      </c>
      <c r="AH15" s="88" t="s">
        <v>178</v>
      </c>
      <c r="AI15" s="88" t="s">
        <v>179</v>
      </c>
      <c r="AJ15" s="88" t="s">
        <v>180</v>
      </c>
      <c r="AK15" s="88" t="s">
        <v>181</v>
      </c>
      <c r="AL15" s="88" t="s">
        <v>182</v>
      </c>
      <c r="AM15" s="88" t="s">
        <v>183</v>
      </c>
      <c r="AN15" s="88" t="s">
        <v>184</v>
      </c>
      <c r="AO15" s="88" t="s">
        <v>185</v>
      </c>
    </row>
  </sheetData>
  <phoneticPr fontId="52" type="noConversion"/>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53"/>
  <dimension ref="A2:C16"/>
  <sheetViews>
    <sheetView zoomScale="80" zoomScaleNormal="80" workbookViewId="0"/>
  </sheetViews>
  <sheetFormatPr baseColWidth="10" defaultColWidth="8.83203125" defaultRowHeight="15"/>
  <cols>
    <col min="1" max="1" width="45.5" customWidth="1"/>
    <col min="2" max="2" width="96.33203125" customWidth="1"/>
    <col min="3" max="3" width="135.5" customWidth="1"/>
  </cols>
  <sheetData>
    <row r="2" spans="1:3" ht="96">
      <c r="A2" s="11" t="s">
        <v>215</v>
      </c>
      <c r="B2" s="12" t="s">
        <v>784</v>
      </c>
      <c r="C2" s="12" t="s">
        <v>785</v>
      </c>
    </row>
    <row r="3" spans="1:3">
      <c r="A3" s="11" t="s">
        <v>786</v>
      </c>
      <c r="B3" t="s">
        <v>787</v>
      </c>
    </row>
    <row r="5" spans="1:3" ht="128">
      <c r="B5" s="14" t="s">
        <v>788</v>
      </c>
    </row>
    <row r="7" spans="1:3" ht="96">
      <c r="A7" t="s">
        <v>131</v>
      </c>
      <c r="B7" s="14" t="s">
        <v>477</v>
      </c>
    </row>
    <row r="10" spans="1:3">
      <c r="B10" s="36"/>
      <c r="C10">
        <v>106.17</v>
      </c>
    </row>
    <row r="11" spans="1:3">
      <c r="C11">
        <v>78.11</v>
      </c>
    </row>
    <row r="12" spans="1:3">
      <c r="C12">
        <v>27.05</v>
      </c>
    </row>
    <row r="13" spans="1:3">
      <c r="C13">
        <f>C11/C10</f>
        <v>0.73570688518413863</v>
      </c>
    </row>
    <row r="14" spans="1:3">
      <c r="C14">
        <f>C12/C10</f>
        <v>0.25478006969953848</v>
      </c>
    </row>
    <row r="16" spans="1:3">
      <c r="C16">
        <v>1.6</v>
      </c>
    </row>
  </sheetData>
  <pageMargins left="0.7" right="0.7" top="0.75" bottom="0.75" header="0.3" footer="0.3"/>
  <pageSetup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EP26"/>
  <sheetViews>
    <sheetView workbookViewId="0">
      <pane xSplit="7" ySplit="6" topLeftCell="U7" activePane="bottomRight" state="frozen"/>
      <selection pane="topRight" activeCell="H1" sqref="H1"/>
      <selection pane="bottomLeft" activeCell="A7" sqref="A7"/>
      <selection pane="bottomRight" activeCell="AB17" sqref="AB17"/>
    </sheetView>
  </sheetViews>
  <sheetFormatPr baseColWidth="10" defaultColWidth="22.6640625" defaultRowHeight="12"/>
  <cols>
    <col min="1" max="1" width="16.5" style="60" bestFit="1" customWidth="1"/>
    <col min="2" max="2" width="11.33203125" style="60" bestFit="1" customWidth="1"/>
    <col min="3" max="3" width="4.83203125" style="60" bestFit="1" customWidth="1"/>
    <col min="4" max="4" width="12.33203125" style="60" bestFit="1" customWidth="1"/>
    <col min="5" max="5" width="7.5" style="60" bestFit="1" customWidth="1"/>
    <col min="6" max="6" width="6.5" style="60" bestFit="1" customWidth="1"/>
    <col min="7" max="7" width="3.33203125" style="60" bestFit="1" customWidth="1"/>
    <col min="8" max="8" width="14.5" style="60" bestFit="1" customWidth="1"/>
    <col min="9" max="9" width="5.1640625" style="60" bestFit="1" customWidth="1"/>
    <col min="10" max="10" width="5.5" style="60" bestFit="1" customWidth="1"/>
    <col min="11" max="11" width="5.6640625" style="60" bestFit="1" customWidth="1"/>
    <col min="12" max="12" width="5.33203125" style="60" bestFit="1" customWidth="1"/>
    <col min="13" max="13" width="5.83203125" style="60" bestFit="1" customWidth="1"/>
    <col min="14" max="14" width="5.1640625" style="60" bestFit="1" customWidth="1"/>
    <col min="15" max="15" width="4.6640625" style="60" bestFit="1" customWidth="1"/>
    <col min="16" max="18" width="5.5" style="60" bestFit="1" customWidth="1"/>
    <col min="19" max="19" width="5.6640625" style="60" bestFit="1" customWidth="1"/>
    <col min="20" max="20" width="5.5" style="60" bestFit="1" customWidth="1"/>
    <col min="21" max="21" width="5.1640625" style="60" bestFit="1" customWidth="1"/>
    <col min="22" max="22" width="5.5" style="60" bestFit="1" customWidth="1"/>
    <col min="23" max="23" width="5.6640625" style="60" bestFit="1" customWidth="1"/>
    <col min="24" max="24" width="5.33203125" style="60" bestFit="1" customWidth="1"/>
    <col min="25" max="25" width="5.83203125" style="60" bestFit="1" customWidth="1"/>
    <col min="26" max="26" width="5.1640625" style="60" bestFit="1" customWidth="1"/>
    <col min="27" max="27" width="4.6640625" style="60" bestFit="1" customWidth="1"/>
    <col min="28" max="30" width="5.5" style="60" bestFit="1" customWidth="1"/>
    <col min="31" max="31" width="5.6640625" style="60" bestFit="1" customWidth="1"/>
    <col min="32" max="32" width="5.5" style="60" bestFit="1" customWidth="1"/>
    <col min="33" max="33" width="5.1640625" style="60" bestFit="1" customWidth="1"/>
    <col min="34" max="34" width="5.5" style="60" bestFit="1" customWidth="1"/>
    <col min="35" max="35" width="5.6640625" style="60" bestFit="1" customWidth="1"/>
    <col min="36" max="36" width="5.33203125" style="60" bestFit="1" customWidth="1"/>
    <col min="37" max="37" width="5.83203125" style="60" bestFit="1" customWidth="1"/>
    <col min="38" max="38" width="5.1640625" style="60" bestFit="1" customWidth="1"/>
    <col min="39" max="39" width="4.6640625" style="60" bestFit="1" customWidth="1"/>
    <col min="40" max="42" width="5.5" style="60" bestFit="1" customWidth="1"/>
    <col min="43" max="43" width="5.6640625" style="60" bestFit="1" customWidth="1"/>
    <col min="44" max="44" width="5.5" style="60" bestFit="1" customWidth="1"/>
    <col min="45" max="45" width="5.1640625" style="60" bestFit="1" customWidth="1"/>
    <col min="46" max="46" width="5.5" style="60" bestFit="1" customWidth="1"/>
    <col min="47" max="47" width="5.6640625" style="60" bestFit="1" customWidth="1"/>
    <col min="48" max="48" width="5.33203125" style="60" bestFit="1" customWidth="1"/>
    <col min="49" max="49" width="5.83203125" style="60" bestFit="1" customWidth="1"/>
    <col min="50" max="50" width="5.1640625" style="60" bestFit="1" customWidth="1"/>
    <col min="51" max="51" width="4.6640625" style="60" bestFit="1" customWidth="1"/>
    <col min="52" max="54" width="7" style="60" bestFit="1" customWidth="1"/>
    <col min="55" max="56" width="5.5" style="60" bestFit="1" customWidth="1"/>
    <col min="57" max="58" width="5.83203125" style="60" bestFit="1" customWidth="1"/>
    <col min="59" max="70" width="5.6640625" style="60" bestFit="1" customWidth="1"/>
    <col min="71" max="74" width="5.5" style="60" bestFit="1" customWidth="1"/>
    <col min="75" max="78" width="5.1640625" style="60" bestFit="1" customWidth="1"/>
    <col min="79" max="79" width="6.5" style="60" bestFit="1" customWidth="1"/>
    <col min="80" max="82" width="5.5" style="60" bestFit="1" customWidth="1"/>
    <col min="83" max="83" width="6.1640625" style="60" bestFit="1" customWidth="1"/>
    <col min="84" max="86" width="5.6640625" style="60" bestFit="1" customWidth="1"/>
    <col min="87" max="90" width="5.5" style="60" bestFit="1" customWidth="1"/>
    <col min="91" max="95" width="6.33203125" style="60" bestFit="1" customWidth="1"/>
    <col min="96" max="99" width="6.1640625" style="60" bestFit="1" customWidth="1"/>
    <col min="100" max="103" width="5.1640625" style="60" bestFit="1" customWidth="1"/>
    <col min="104" max="107" width="5.83203125" style="60" bestFit="1" customWidth="1"/>
    <col min="108" max="115" width="5.6640625" style="60" bestFit="1" customWidth="1"/>
    <col min="116" max="119" width="6.1640625" style="60" bestFit="1" customWidth="1"/>
    <col min="120" max="123" width="5.83203125" style="60" bestFit="1" customWidth="1"/>
    <col min="124" max="146" width="5.1640625" style="60" bestFit="1" customWidth="1"/>
    <col min="147" max="16384" width="22.6640625" style="60"/>
  </cols>
  <sheetData>
    <row r="1" spans="1:146" ht="26">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c r="EM1" s="99">
        <v>141</v>
      </c>
      <c r="EN1" s="99">
        <v>142</v>
      </c>
    </row>
    <row r="2" spans="1:146">
      <c r="A2" s="112" t="s">
        <v>276</v>
      </c>
      <c r="B2" s="112"/>
      <c r="C2" s="101">
        <v>1</v>
      </c>
      <c r="D2" s="282">
        <v>166.221</v>
      </c>
      <c r="E2" s="60">
        <f>D2*C2</f>
        <v>166.221</v>
      </c>
      <c r="K2" s="102"/>
      <c r="M2" s="102"/>
    </row>
    <row r="3" spans="1:146">
      <c r="A3" s="100"/>
      <c r="B3" s="64"/>
      <c r="D3" s="100"/>
      <c r="E3" s="64"/>
      <c r="F3" s="103"/>
    </row>
    <row r="4" spans="1:146">
      <c r="A4" s="64"/>
      <c r="B4" s="64"/>
      <c r="D4" s="64"/>
      <c r="E4" s="64"/>
      <c r="H4" s="60" t="s">
        <v>387</v>
      </c>
    </row>
    <row r="5" spans="1:146">
      <c r="A5" s="74"/>
      <c r="B5" s="74"/>
    </row>
    <row r="6" spans="1:146">
      <c r="A6" s="59"/>
      <c r="B6" s="59"/>
      <c r="C6" s="59"/>
      <c r="D6" s="98"/>
      <c r="E6" s="98"/>
      <c r="F6" s="59"/>
      <c r="H6" s="59" t="s">
        <v>416</v>
      </c>
      <c r="I6" s="59">
        <v>43831</v>
      </c>
      <c r="J6" s="59">
        <v>43862</v>
      </c>
      <c r="K6" s="59">
        <v>43891</v>
      </c>
      <c r="L6" s="59">
        <v>43922</v>
      </c>
      <c r="M6" s="59">
        <v>43952</v>
      </c>
      <c r="N6" s="59">
        <v>43983</v>
      </c>
      <c r="O6" s="59">
        <v>44013</v>
      </c>
      <c r="P6" s="59">
        <v>44044</v>
      </c>
      <c r="Q6" s="59">
        <v>44075</v>
      </c>
      <c r="R6" s="59">
        <v>44105</v>
      </c>
      <c r="S6" s="59">
        <v>44136</v>
      </c>
      <c r="T6" s="59">
        <v>44166</v>
      </c>
      <c r="U6" s="59">
        <v>44197</v>
      </c>
      <c r="V6" s="59">
        <v>44228</v>
      </c>
      <c r="W6" s="59">
        <v>44256</v>
      </c>
      <c r="X6" s="59">
        <v>44287</v>
      </c>
      <c r="Y6" s="59">
        <v>44317</v>
      </c>
      <c r="Z6" s="59">
        <v>44348</v>
      </c>
      <c r="AA6" s="59">
        <v>44378</v>
      </c>
      <c r="AB6" s="59">
        <v>44409</v>
      </c>
      <c r="AC6" s="59">
        <v>44440</v>
      </c>
      <c r="AD6" s="59">
        <v>44470</v>
      </c>
      <c r="AE6" s="59">
        <v>44501</v>
      </c>
      <c r="AF6" s="59">
        <v>44531</v>
      </c>
      <c r="AG6" s="59">
        <v>44562</v>
      </c>
      <c r="AH6" s="59">
        <v>44593</v>
      </c>
      <c r="AI6" s="59">
        <v>44621</v>
      </c>
      <c r="AJ6" s="59">
        <v>44652</v>
      </c>
      <c r="AK6" s="59">
        <v>44682</v>
      </c>
      <c r="AL6" s="59">
        <v>44713</v>
      </c>
      <c r="AM6" s="59">
        <v>44743</v>
      </c>
      <c r="AN6" s="59">
        <v>44774</v>
      </c>
      <c r="AO6" s="59">
        <v>44805</v>
      </c>
      <c r="AP6" s="59">
        <v>44835</v>
      </c>
      <c r="AQ6" s="59">
        <v>44866</v>
      </c>
      <c r="AR6" s="59">
        <v>44896</v>
      </c>
      <c r="AS6" s="59">
        <v>44927</v>
      </c>
      <c r="AT6" s="59">
        <v>44958</v>
      </c>
      <c r="AU6" s="59">
        <v>44986</v>
      </c>
      <c r="AV6" s="59">
        <v>45017</v>
      </c>
      <c r="AW6" s="59">
        <v>45047</v>
      </c>
      <c r="AX6" s="59">
        <v>45078</v>
      </c>
      <c r="AY6" s="59">
        <v>45108</v>
      </c>
      <c r="AZ6" s="59" t="s">
        <v>530</v>
      </c>
      <c r="BA6" s="59" t="s">
        <v>531</v>
      </c>
      <c r="BB6" s="59" t="s">
        <v>532</v>
      </c>
      <c r="BC6" s="59">
        <v>37104</v>
      </c>
      <c r="BD6" s="59">
        <v>37469</v>
      </c>
      <c r="BE6" s="59" t="s">
        <v>168</v>
      </c>
      <c r="BF6" s="59" t="s">
        <v>169</v>
      </c>
      <c r="BG6" s="59" t="s">
        <v>421</v>
      </c>
      <c r="BH6" s="59" t="s">
        <v>422</v>
      </c>
      <c r="BI6" s="59" t="s">
        <v>423</v>
      </c>
      <c r="BJ6" s="59" t="s">
        <v>424</v>
      </c>
      <c r="BK6" s="59" t="s">
        <v>435</v>
      </c>
      <c r="BL6" s="59" t="s">
        <v>436</v>
      </c>
      <c r="BM6" s="59" t="s">
        <v>437</v>
      </c>
      <c r="BN6" s="59" t="s">
        <v>438</v>
      </c>
      <c r="BO6" s="59">
        <v>37196</v>
      </c>
      <c r="BP6" s="59">
        <v>37561</v>
      </c>
      <c r="BQ6" s="59">
        <v>37926</v>
      </c>
      <c r="BR6" s="59">
        <v>38292</v>
      </c>
      <c r="BS6" s="59">
        <v>37226</v>
      </c>
      <c r="BT6" s="59">
        <v>37591</v>
      </c>
      <c r="BU6" s="59">
        <v>37956</v>
      </c>
      <c r="BV6" s="59">
        <v>38322</v>
      </c>
      <c r="BW6" s="59">
        <v>36892</v>
      </c>
      <c r="BX6" s="59">
        <v>37257</v>
      </c>
      <c r="BY6" s="59">
        <v>37622</v>
      </c>
      <c r="BZ6" s="59">
        <v>37987</v>
      </c>
      <c r="CA6" s="59">
        <v>36923</v>
      </c>
      <c r="CB6" s="59">
        <v>37288</v>
      </c>
      <c r="CC6" s="59">
        <v>37653</v>
      </c>
      <c r="CD6" s="59">
        <v>38018</v>
      </c>
      <c r="CE6" s="59" t="str">
        <f>Sheet8!A15</f>
        <v>Mar-w1</v>
      </c>
      <c r="CF6" s="59">
        <v>37316</v>
      </c>
      <c r="CG6" s="59">
        <v>37681</v>
      </c>
      <c r="CH6" s="59">
        <v>38047</v>
      </c>
      <c r="CI6" s="59" t="str">
        <f>Sheet8!E15</f>
        <v>Apr-w1</v>
      </c>
      <c r="CJ6" s="59" t="str">
        <f>Sheet8!F15</f>
        <v>Apr-w2</v>
      </c>
      <c r="CK6" s="59" t="str">
        <f>Sheet8!G15</f>
        <v>Apr-w3</v>
      </c>
      <c r="CL6" s="59" t="str">
        <f>Sheet8!H15</f>
        <v>Apr-w4</v>
      </c>
      <c r="CM6" s="59" t="str">
        <f>Sheet8!I15</f>
        <v>May-w1</v>
      </c>
      <c r="CN6" s="59" t="str">
        <f>Sheet8!J15</f>
        <v>May-w2</v>
      </c>
      <c r="CO6" s="59" t="str">
        <f>Sheet8!K15</f>
        <v>May-w3</v>
      </c>
      <c r="CP6" s="59" t="str">
        <f>Sheet8!L15</f>
        <v>May-w4</v>
      </c>
      <c r="CQ6" s="59" t="str">
        <f>Sheet8!M15</f>
        <v>May-w5</v>
      </c>
      <c r="CR6" s="59" t="str">
        <f>Sheet8!N15</f>
        <v>june-w1</v>
      </c>
      <c r="CS6" s="59" t="str">
        <f>Sheet8!O15</f>
        <v>june-w2</v>
      </c>
      <c r="CT6" s="59" t="str">
        <f>Sheet8!P15</f>
        <v>june-w3</v>
      </c>
      <c r="CU6" s="59" t="str">
        <f>Sheet8!Q15</f>
        <v>june-w4</v>
      </c>
      <c r="CV6" s="59" t="str">
        <f>Sheet8!R15</f>
        <v>Jul-w1</v>
      </c>
      <c r="CW6" s="59" t="str">
        <f>Sheet8!S15</f>
        <v>Jul-w2</v>
      </c>
      <c r="CX6" s="59" t="str">
        <f>Sheet8!T15</f>
        <v>Jul-w3</v>
      </c>
      <c r="CY6" s="59" t="str">
        <f>Sheet8!U15</f>
        <v>Jul-w4</v>
      </c>
      <c r="CZ6" s="59" t="str">
        <f>Sheet8!V15</f>
        <v>Aug-w1</v>
      </c>
      <c r="DA6" s="59" t="str">
        <f>Sheet8!W15</f>
        <v>Aug-w2</v>
      </c>
      <c r="DB6" s="59" t="str">
        <f>Sheet8!X15</f>
        <v>Aug-w3</v>
      </c>
      <c r="DC6" s="59" t="str">
        <f>Sheet8!Y15</f>
        <v>Aug-w4</v>
      </c>
      <c r="DD6" s="59" t="str">
        <f>Sheet8!Z15</f>
        <v>Sep-w1</v>
      </c>
      <c r="DE6" s="59" t="str">
        <f>Sheet8!AA15</f>
        <v>Sep-w2</v>
      </c>
      <c r="DF6" s="59" t="str">
        <f>Sheet8!AB15</f>
        <v>Sep-w3</v>
      </c>
      <c r="DG6" s="59" t="str">
        <f>Sheet8!AC15</f>
        <v>Sep-w4</v>
      </c>
      <c r="DH6" s="59" t="str">
        <f>Sheet8!AD15</f>
        <v>Oct-w1</v>
      </c>
      <c r="DI6" s="59" t="str">
        <f>Sheet8!AE15</f>
        <v>Oct-w2</v>
      </c>
      <c r="DJ6" s="59" t="str">
        <f>Sheet8!AF15</f>
        <v>Oct-w3</v>
      </c>
      <c r="DK6" s="59" t="str">
        <f>Sheet8!AG15</f>
        <v>Oct-w4</v>
      </c>
      <c r="DL6" s="59" t="str">
        <f>Sheet8!AH15</f>
        <v>Nov-w1</v>
      </c>
      <c r="DM6" s="59" t="str">
        <f>Sheet8!AI15</f>
        <v>Nov-w2</v>
      </c>
      <c r="DN6" s="59" t="str">
        <f>Sheet8!AJ15</f>
        <v>Nov-w3</v>
      </c>
      <c r="DO6" s="59" t="str">
        <f>Sheet8!AK15</f>
        <v>Nov-w4</v>
      </c>
      <c r="DP6" s="59" t="str">
        <f>Sheet8!AL15</f>
        <v>Dec-w1</v>
      </c>
      <c r="DQ6" s="59" t="str">
        <f>Sheet8!AM15</f>
        <v>Dec-w2</v>
      </c>
      <c r="DR6" s="59" t="str">
        <f>Sheet8!AN15</f>
        <v>Dec-w3</v>
      </c>
      <c r="DS6" s="59" t="str">
        <f>Sheet8!AO15</f>
        <v>Dec-w4</v>
      </c>
      <c r="DT6" s="59">
        <f>Sheet8!AP15</f>
        <v>0</v>
      </c>
      <c r="DU6" s="59">
        <f>Sheet8!AQ15</f>
        <v>0</v>
      </c>
      <c r="DV6" s="59">
        <f>Sheet8!AR15</f>
        <v>0</v>
      </c>
      <c r="DW6" s="59">
        <f>Sheet8!AS15</f>
        <v>0</v>
      </c>
      <c r="DX6" s="59">
        <f>Sheet8!AT15</f>
        <v>0</v>
      </c>
      <c r="DY6" s="59">
        <f>Sheet8!AU15</f>
        <v>0</v>
      </c>
      <c r="DZ6" s="59">
        <f>Sheet8!AV15</f>
        <v>0</v>
      </c>
      <c r="EA6" s="59">
        <f>Sheet8!AW15</f>
        <v>0</v>
      </c>
      <c r="EB6" s="59">
        <f>Sheet8!AX15</f>
        <v>0</v>
      </c>
      <c r="EC6" s="59">
        <f>Sheet8!AY15</f>
        <v>0</v>
      </c>
      <c r="ED6" s="59">
        <f>Sheet8!AZ15</f>
        <v>0</v>
      </c>
      <c r="EE6" s="59">
        <f>Sheet8!BA15</f>
        <v>0</v>
      </c>
      <c r="EF6" s="59">
        <f>Sheet8!BB15</f>
        <v>0</v>
      </c>
      <c r="EG6" s="59">
        <f>Sheet8!BC15</f>
        <v>0</v>
      </c>
      <c r="EH6" s="59">
        <f>Sheet8!BD15</f>
        <v>0</v>
      </c>
      <c r="EI6" s="59">
        <f>Sheet8!BE15</f>
        <v>0</v>
      </c>
      <c r="EJ6" s="59">
        <f>Sheet8!BF15</f>
        <v>0</v>
      </c>
      <c r="EK6" s="59">
        <f>Sheet8!BG15</f>
        <v>0</v>
      </c>
      <c r="EL6" s="59">
        <f>Sheet8!BH15</f>
        <v>0</v>
      </c>
      <c r="EM6" s="59">
        <f>Sheet8!BI15</f>
        <v>0</v>
      </c>
      <c r="EN6" s="59">
        <f>Sheet8!BJ15</f>
        <v>0</v>
      </c>
      <c r="EO6" s="59">
        <f>Sheet8!BK15</f>
        <v>0</v>
      </c>
      <c r="EP6" s="59">
        <f>Sheet8!BL15</f>
        <v>0</v>
      </c>
    </row>
    <row r="7" spans="1:146">
      <c r="B7" s="44"/>
      <c r="D7" s="44"/>
      <c r="F7" s="60" t="s">
        <v>651</v>
      </c>
      <c r="H7" s="60" t="s">
        <v>309</v>
      </c>
      <c r="I7" s="74">
        <f>VLOOKUP($H$7&amp;$F$1,'Input RM sheet'!$A:$ZZ,H1,0)</f>
        <v>5.7239086600070355</v>
      </c>
      <c r="J7" s="74">
        <f>VLOOKUP($H$7&amp;$F$1,'Input RM sheet'!$A:$ZZ,I1,0)</f>
        <v>5.8553920316586519</v>
      </c>
      <c r="K7" s="74">
        <f>VLOOKUP($H$7&amp;$F$1,'Input RM sheet'!$A:$ZZ,J1,0)</f>
        <v>5.6061009132356228</v>
      </c>
      <c r="L7" s="74">
        <f>VLOOKUP($H$7&amp;$F$1,'Input RM sheet'!$A:$ZZ,K1,0)</f>
        <v>5.7300116324090196</v>
      </c>
      <c r="M7" s="74">
        <f>VLOOKUP($H$7&amp;$F$1,'Input RM sheet'!$A:$ZZ,L1,0)</f>
        <v>5.6300319380085204</v>
      </c>
      <c r="N7" s="74">
        <f>VLOOKUP($H$7&amp;$F$1,'Input RM sheet'!$A:$ZZ,M1,0)</f>
        <v>5.3727030576614601</v>
      </c>
      <c r="O7" s="74">
        <f>VLOOKUP($H$7&amp;$F$1,'Input RM sheet'!$A:$ZZ,N1,0)</f>
        <v>5.3995017496059301</v>
      </c>
      <c r="P7" s="74">
        <f>VLOOKUP($H$7&amp;$F$1,'Input RM sheet'!$A:$ZZ,O1,0)</f>
        <v>5.3752644108683469</v>
      </c>
      <c r="Q7" s="74">
        <f>VLOOKUP($H$7&amp;$F$1,'Input RM sheet'!$A:$ZZ,P1,0)</f>
        <v>5.0990314548576512</v>
      </c>
      <c r="R7" s="74">
        <f>VLOOKUP($H$7&amp;$F$1,'Input RM sheet'!$A:$ZZ,Q1,0)</f>
        <v>5.1675525546605794</v>
      </c>
      <c r="S7" s="74">
        <f>VLOOKUP($H$7&amp;$F$1,'Input RM sheet'!$A:$ZZ,R1,0)</f>
        <v>5.2275166515109177</v>
      </c>
      <c r="T7" s="74">
        <f>VLOOKUP($H$7&amp;$F$1,'Input RM sheet'!$A:$ZZ,S1,0)</f>
        <v>5.2126483183850736</v>
      </c>
      <c r="U7" s="74">
        <f>VLOOKUP($H$7&amp;$F$1,'Input RM sheet'!$A:$ZZ,T1,0)</f>
        <v>5.2337577494235559</v>
      </c>
      <c r="V7" s="74">
        <f>VLOOKUP($H$7&amp;$F$1,'Input RM sheet'!$A:$ZZ,U1,0)</f>
        <v>5.3737371591528236</v>
      </c>
      <c r="W7" s="74">
        <f>VLOOKUP($H$7&amp;$F$1,'Input RM sheet'!$A:$ZZ,V1,0)</f>
        <v>5.4357217547046206</v>
      </c>
      <c r="X7" s="74">
        <f>VLOOKUP($H$7&amp;$F$1,'Input RM sheet'!$A:$ZZ,W1,0)</f>
        <v>5.7158347518367707</v>
      </c>
      <c r="Y7" s="74">
        <f>VLOOKUP($H$7&amp;$F$1,'Input RM sheet'!$A:$ZZ,X1,0)</f>
        <v>5.7580198538030256</v>
      </c>
      <c r="Z7" s="74">
        <f>VLOOKUP($H$7&amp;$F$1,'Input RM sheet'!$A:$ZZ,Y1,0)</f>
        <v>6.15538740663846</v>
      </c>
      <c r="AA7" s="74">
        <f>VLOOKUP($H$7&amp;$F$1,'Input RM sheet'!$A:$ZZ,Z1,0)</f>
        <v>6.2057273367361452</v>
      </c>
      <c r="AB7" s="74">
        <f>VLOOKUP($H$7&amp;$F$1,'Input RM sheet'!$A:$ZZ,AA1,0)</f>
        <v>6.43542776023709</v>
      </c>
      <c r="AC7" s="74">
        <f>VLOOKUP($H$7&amp;$F$1,'Input RM sheet'!$A:$ZZ,AB1,0)</f>
        <v>6.5666100150388012</v>
      </c>
      <c r="AD7" s="74">
        <f>VLOOKUP($H$7&amp;$F$1,'Input RM sheet'!$A:$ZZ,AC1,0)</f>
        <v>7.3144475243017766</v>
      </c>
      <c r="AE7" s="74">
        <f>VLOOKUP($H$7&amp;$F$1,'Input RM sheet'!$A:$ZZ,AD1,0)</f>
        <v>7.0673997866875391</v>
      </c>
      <c r="AF7" s="74">
        <f>VLOOKUP($H$7&amp;$F$1,'Input RM sheet'!$A:$ZZ,AE1,0)</f>
        <v>7.0864469296212516</v>
      </c>
      <c r="AG7" s="74">
        <f>VLOOKUP($H$7&amp;$F$1,'Input RM sheet'!$A:$ZZ,AF1,0)</f>
        <v>7.5311938697968754</v>
      </c>
      <c r="AH7" s="74">
        <f>VLOOKUP($H$7&amp;$F$1,'Input RM sheet'!$A:$ZZ,AG1,0)</f>
        <v>8.2863458405216406</v>
      </c>
      <c r="AI7" s="74">
        <f>VLOOKUP($H$7&amp;$F$1,'Input RM sheet'!$A:$ZZ,AH1,0)</f>
        <v>7.7780319454407572</v>
      </c>
      <c r="AJ7" s="74">
        <f>VLOOKUP($H$7&amp;$F$1,'Input RM sheet'!$A:$ZZ,AI1,0)</f>
        <v>9.1684199943398905</v>
      </c>
      <c r="AK7" s="74">
        <f>VLOOKUP($H$7&amp;$F$1,'Input RM sheet'!$A:$ZZ,AJ1,0)</f>
        <v>9.7878409429280406</v>
      </c>
      <c r="AL7" s="74">
        <f>VLOOKUP($H$7&amp;$F$1,'Input RM sheet'!$A:$ZZ,AK1,0)</f>
        <v>9.8270931907369903</v>
      </c>
      <c r="AM7" s="74">
        <f>VLOOKUP($H$7&amp;$F$1,'Input RM sheet'!$A:$ZZ,AL1,0)</f>
        <v>9.8497200771987874</v>
      </c>
      <c r="AN7" s="74">
        <f>VLOOKUP($H$7&amp;$F$1,'Input RM sheet'!$A:$ZZ,AM1,0)</f>
        <v>9.8417580454545455</v>
      </c>
      <c r="AO7" s="74">
        <f>VLOOKUP($H$7&amp;$F$1,'Input RM sheet'!$A:$ZZ,AN1,0)</f>
        <v>10.535995992285768</v>
      </c>
      <c r="AP7" s="74">
        <f>VLOOKUP($H$7&amp;$F$1,'Input RM sheet'!$A:$ZZ,AO1,0)</f>
        <v>10.407552676165681</v>
      </c>
      <c r="AQ7" s="74">
        <f>VLOOKUP($H$7&amp;$F$1,'Input RM sheet'!$A:$ZZ,AP1,0)</f>
        <v>10.175422286123046</v>
      </c>
      <c r="AR7" s="74">
        <f>VLOOKUP($H$7&amp;$F$1,'Input RM sheet'!$A:$ZZ,AQ1,0)</f>
        <v>9.3103503259105178</v>
      </c>
      <c r="AS7" s="74">
        <f>VLOOKUP($H$7&amp;$F$1,'Input RM sheet'!$A:$ZZ,AR1,0)</f>
        <v>9.5676630738522945</v>
      </c>
      <c r="AT7" s="74">
        <f>VLOOKUP($H$7&amp;$F$1,'Input RM sheet'!$A:$ZZ,AS1,0)</f>
        <v>8.7967019450800894</v>
      </c>
      <c r="AU7" s="74">
        <f>VLOOKUP($H$7&amp;$F$1,'Input RM sheet'!$A:$ZZ,AT1,0)</f>
        <v>8.6287685793702167</v>
      </c>
      <c r="AV7" s="74">
        <f>VLOOKUP($H$7&amp;$F$1,'Input RM sheet'!$A:$ZZ,AU1,0)</f>
        <v>8.5773589819864533</v>
      </c>
      <c r="AW7" s="74">
        <f>VLOOKUP($H$7&amp;$F$1,'Input RM sheet'!$A:$ZZ,AV1,0)</f>
        <v>7.9377606079027352</v>
      </c>
      <c r="AX7" s="74">
        <f>VLOOKUP($H$7&amp;$F$1,'Input RM sheet'!$A:$ZZ,AW1,0)</f>
        <v>8.1544041858629548</v>
      </c>
      <c r="AY7" s="74">
        <f>VLOOKUP($H$7&amp;$F$1,'Input RM sheet'!$A:$ZZ,AX1,0)</f>
        <v>8.8602400237060461</v>
      </c>
      <c r="AZ7" s="74">
        <f>VLOOKUP($H$7&amp;$F$1,'Input RM sheet'!$A:$ZZ,AY1,0)</f>
        <v>8.8602400237060461</v>
      </c>
      <c r="BA7" s="74">
        <f>VLOOKUP($H$7&amp;$F$1,'Input RM sheet'!$A:$ZZ,AZ1,0)</f>
        <v>8.8602400237060461</v>
      </c>
      <c r="BB7" s="74">
        <f>VLOOKUP($H$7&amp;$F$1,'Input RM sheet'!$A:$ZZ,BA1,0)</f>
        <v>8.8602400237060461</v>
      </c>
      <c r="BC7" s="74">
        <f>VLOOKUP($H$7&amp;$F$1,'Input RM sheet'!$A:$ZZ,BB1,0)</f>
        <v>8.4951167931574538</v>
      </c>
      <c r="BD7" s="74">
        <f>VLOOKUP($H$7&amp;$F$1,'Input RM sheet'!$A:$ZZ,BC1,0)</f>
        <v>8.4951167931574538</v>
      </c>
      <c r="BE7" s="74">
        <f>VLOOKUP($H$7&amp;$F$1,'Input RM sheet'!$A:$ZZ,BD1,0)</f>
        <v>8.4951167931574538</v>
      </c>
      <c r="BF7" s="74">
        <f>VLOOKUP($H$7&amp;$F$1,'Input RM sheet'!$A:$ZZ,BE1,0)</f>
        <v>8.4951167931574538</v>
      </c>
      <c r="BG7" s="74">
        <f>VLOOKUP($H$7&amp;$F$1,'Input RM sheet'!$A:$ZZ,BF1,0)</f>
        <v>5.4955481451172927</v>
      </c>
      <c r="BH7" s="74">
        <f>VLOOKUP($H$7&amp;$F$1,'Input RM sheet'!$A:$ZZ,BG1,0)</f>
        <v>5.4955481451172927</v>
      </c>
      <c r="BI7" s="74">
        <f>VLOOKUP($H$7&amp;$F$1,'Input RM sheet'!$A:$ZZ,BH1,0)</f>
        <v>5.4955481451172927</v>
      </c>
      <c r="BJ7" s="74">
        <f>VLOOKUP($H$7&amp;$F$1,'Input RM sheet'!$A:$ZZ,BI1,0)</f>
        <v>5.4955481451172927</v>
      </c>
      <c r="BK7" s="74">
        <f>VLOOKUP($H$7&amp;$F$1,'Input RM sheet'!$A:$ZZ,BJ1,0)</f>
        <v>6.0470601395453523</v>
      </c>
      <c r="BL7" s="74">
        <f>VLOOKUP($H$7&amp;$F$1,'Input RM sheet'!$A:$ZZ,BK1,0)</f>
        <v>6.0470601395453523</v>
      </c>
      <c r="BM7" s="74">
        <f>VLOOKUP($H$7&amp;$F$1,'Input RM sheet'!$A:$ZZ,BL1,0)</f>
        <v>6.0470601395453523</v>
      </c>
      <c r="BN7" s="74">
        <f>VLOOKUP($H$7&amp;$F$1,'Input RM sheet'!$A:$ZZ,BM1,0)</f>
        <v>6.0470601395453523</v>
      </c>
      <c r="BO7" s="74">
        <f>VLOOKUP($H$7&amp;$F$1,'Input RM sheet'!$A:$ZZ,BN1,0)</f>
        <v>5.9526899579390138</v>
      </c>
      <c r="BP7" s="74">
        <f>VLOOKUP($H$7&amp;$F$1,'Input RM sheet'!$A:$ZZ,BO1,0)</f>
        <v>5.9526899579390138</v>
      </c>
      <c r="BQ7" s="74">
        <f>VLOOKUP($H$7&amp;$F$1,'Input RM sheet'!$A:$ZZ,BP1,0)</f>
        <v>5.9526899579390138</v>
      </c>
      <c r="BR7" s="74">
        <f>VLOOKUP($H$7&amp;$F$1,'Input RM sheet'!$A:$ZZ,BQ1,0)</f>
        <v>5.9526899579390138</v>
      </c>
      <c r="BS7" s="74">
        <f>VLOOKUP($H$7&amp;$F$1,'Input RM sheet'!$A:$ZZ,BR1,0)</f>
        <v>6.6562630107878391</v>
      </c>
      <c r="BT7" s="74">
        <f>VLOOKUP($H$7&amp;$F$1,'Input RM sheet'!$A:$ZZ,BS1,0)</f>
        <v>6.6562630107878391</v>
      </c>
      <c r="BU7" s="74">
        <f>VLOOKUP($H$7&amp;$F$1,'Input RM sheet'!$A:$ZZ,BT1,0)</f>
        <v>6.6562630107878391</v>
      </c>
      <c r="BV7" s="74">
        <f>VLOOKUP($H$7&amp;$F$1,'Input RM sheet'!$A:$ZZ,BU1,0)</f>
        <v>6.6562630107878391</v>
      </c>
      <c r="BW7" s="74">
        <f>VLOOKUP($H$7&amp;$F$1,'Input RM sheet'!$A:$ZZ,BV1,0)</f>
        <v>6.0668166257805547</v>
      </c>
      <c r="BX7" s="74">
        <f>VLOOKUP($H$7&amp;$F$1,'Input RM sheet'!$A:$ZZ,BW1,0)</f>
        <v>6.0668166257805547</v>
      </c>
      <c r="BY7" s="74">
        <f>VLOOKUP($H$7&amp;$F$1,'Input RM sheet'!$A:$ZZ,BX1,0)</f>
        <v>6.0668166257805547</v>
      </c>
      <c r="BZ7" s="74">
        <f>VLOOKUP($H$7&amp;$F$1,'Input RM sheet'!$A:$ZZ,BY1,0)</f>
        <v>6.0668166257805547</v>
      </c>
      <c r="CA7" s="74">
        <f>VLOOKUP($H$7&amp;$F$1,'Input RM sheet'!$A:$ZZ,BZ1,0)</f>
        <v>5.7298683713693572</v>
      </c>
      <c r="CB7" s="74">
        <f>VLOOKUP($H$7&amp;$F$1,'Input RM sheet'!$A:$ZZ,CA1,0)</f>
        <v>5.7298683713693572</v>
      </c>
      <c r="CC7" s="74">
        <f>VLOOKUP($H$7&amp;$F$1,'Input RM sheet'!$A:$ZZ,CB1,0)</f>
        <v>5.7298683713693572</v>
      </c>
      <c r="CD7" s="74">
        <f>VLOOKUP($H$7&amp;$F$1,'Input RM sheet'!$A:$ZZ,CC1,0)</f>
        <v>5.7298683713693572</v>
      </c>
      <c r="CE7" s="74">
        <f>VLOOKUP($H$7&amp;$F$1,'Input RM sheet'!$A:$ZZ,CD1,0)</f>
        <v>5.2722549908064087</v>
      </c>
      <c r="CF7" s="74">
        <f>VLOOKUP($H$7&amp;$F$1,'Input RM sheet'!$A:$ZZ,CE1,0)</f>
        <v>5.2722549908064087</v>
      </c>
      <c r="CG7" s="74">
        <f>VLOOKUP($H$7&amp;$F$1,'Input RM sheet'!$A:$ZZ,CF1,0)</f>
        <v>5.2722549908064087</v>
      </c>
      <c r="CH7" s="74">
        <f>VLOOKUP($H$7&amp;$F$1,'Input RM sheet'!$A:$ZZ,CG1,0)</f>
        <v>5.2722549908064087</v>
      </c>
      <c r="CI7" s="74">
        <f>VLOOKUP($H$7&amp;$F$1,'Input RM sheet'!$A:$ZZ,CH1,0)</f>
        <v>5.2081814349479236</v>
      </c>
      <c r="CJ7" s="74">
        <f>VLOOKUP($H$7&amp;$F$1,'Input RM sheet'!$A:$ZZ,CI1,0)</f>
        <v>5.2081814349479236</v>
      </c>
      <c r="CK7" s="74">
        <f>VLOOKUP($H$7&amp;$F$1,'Input RM sheet'!$A:$ZZ,CJ1,0)</f>
        <v>5.2081814349479236</v>
      </c>
      <c r="CL7" s="74">
        <f>VLOOKUP($H$7&amp;$F$1,'Input RM sheet'!$A:$ZZ,CK1,0)</f>
        <v>5.2081814349479236</v>
      </c>
      <c r="CM7" s="74">
        <f>VLOOKUP($H$7&amp;$F$1,'Input RM sheet'!$A:$ZZ,CL1,0)</f>
        <v>5.6036424576894763</v>
      </c>
      <c r="CN7" s="74">
        <f>VLOOKUP($H$7&amp;$F$1,'Input RM sheet'!$A:$ZZ,CM1,0)</f>
        <v>5.6036424576894763</v>
      </c>
      <c r="CO7" s="74">
        <f>VLOOKUP($H$7&amp;$F$1,'Input RM sheet'!$A:$ZZ,CN1,0)</f>
        <v>5.6036424576894763</v>
      </c>
      <c r="CP7" s="74">
        <f>VLOOKUP($H$7&amp;$F$1,'Input RM sheet'!$A:$ZZ,CO1,0)</f>
        <v>5.6036424576894763</v>
      </c>
      <c r="CQ7" s="74">
        <f>VLOOKUP($H$7&amp;$F$1,'Input RM sheet'!$A:$ZZ,CP1,0)</f>
        <v>5.6036424576894763</v>
      </c>
      <c r="CR7" s="74">
        <f>VLOOKUP($H$7&amp;$F$1,'Input RM sheet'!$A:$ZZ,CQ1,0)</f>
        <v>4.79</v>
      </c>
      <c r="CS7" s="74">
        <f>VLOOKUP($H$7&amp;$F$1,'Input RM sheet'!$A:$ZZ,CR1,0)</f>
        <v>4.9400000000000004</v>
      </c>
      <c r="CT7" s="74">
        <f>VLOOKUP($H$7&amp;$F$1,'Input RM sheet'!$A:$ZZ,CS1,0)</f>
        <v>4.9400000000000004</v>
      </c>
      <c r="CU7" s="74">
        <f>VLOOKUP($H$7&amp;$F$1,'Input RM sheet'!$A:$ZZ,CT1,0)</f>
        <v>4.8</v>
      </c>
      <c r="CV7" s="74">
        <f>VLOOKUP($H$7&amp;$F$1,'Input RM sheet'!$A:$ZZ,CU1,0)</f>
        <v>4.92</v>
      </c>
      <c r="CW7" s="74">
        <f>VLOOKUP($H$7&amp;$F$1,'Input RM sheet'!$A:$ZZ,CV1,0)</f>
        <v>6.2770562666022709</v>
      </c>
      <c r="CX7" s="74">
        <f>VLOOKUP($H$7&amp;$F$1,'Input RM sheet'!$A:$ZZ,CW1,0)</f>
        <v>4.8</v>
      </c>
      <c r="CY7" s="74">
        <f>VLOOKUP($H$7&amp;$F$1,'Input RM sheet'!$A:$ZZ,CX1,0)</f>
        <v>4.8</v>
      </c>
      <c r="CZ7" s="74">
        <f>VLOOKUP($H$7&amp;$F$1,'Input RM sheet'!$A:$ZZ,CY1,0)</f>
        <v>4.8</v>
      </c>
      <c r="DA7" s="74">
        <f>VLOOKUP($H$7&amp;$F$1,'Input RM sheet'!$A:$ZZ,CZ1,0)</f>
        <v>4.8</v>
      </c>
      <c r="DB7" s="74">
        <f>VLOOKUP($H$7&amp;$F$1,'Input RM sheet'!$A:$ZZ,DA1,0)</f>
        <v>4.8</v>
      </c>
      <c r="DC7" s="74">
        <f>VLOOKUP($H$7&amp;$F$1,'Input RM sheet'!$A:$ZZ,DB1,0)</f>
        <v>4.8</v>
      </c>
      <c r="DD7" s="74">
        <f>VLOOKUP($H$7&amp;$F$1,'Input RM sheet'!$A:$ZZ,DC1,0)</f>
        <v>4.79</v>
      </c>
      <c r="DE7" s="74">
        <f>VLOOKUP($H$7&amp;$F$1,'Input RM sheet'!$A:$ZZ,DD1,0)</f>
        <v>4.79</v>
      </c>
      <c r="DF7" s="74">
        <f>VLOOKUP($H$7&amp;$F$1,'Input RM sheet'!$A:$ZZ,DE1,0)</f>
        <v>4.79</v>
      </c>
      <c r="DG7" s="74">
        <f>VLOOKUP($H$7&amp;$F$1,'Input RM sheet'!$A:$ZZ,DF1,0)</f>
        <v>4.79</v>
      </c>
      <c r="DH7" s="74">
        <f>VLOOKUP($H$7&amp;$F$1,'Input RM sheet'!$A:$ZZ,DG1,0)</f>
        <v>4.8</v>
      </c>
      <c r="DI7" s="74">
        <f>VLOOKUP($H$7&amp;$F$1,'Input RM sheet'!$A:$ZZ,DH1,0)</f>
        <v>4.8</v>
      </c>
      <c r="DJ7" s="74">
        <f>VLOOKUP($H$7&amp;$F$1,'Input RM sheet'!$A:$ZZ,DI1,0)</f>
        <v>4.8</v>
      </c>
      <c r="DK7" s="74">
        <f>VLOOKUP($H$7&amp;$F$1,'Input RM sheet'!$A:$ZZ,DJ1,0)</f>
        <v>4.8</v>
      </c>
      <c r="DL7" s="74">
        <f>VLOOKUP($H$7&amp;$F$1,'Input RM sheet'!$A:$ZZ,DK1,0)</f>
        <v>4.8</v>
      </c>
      <c r="DM7" s="74">
        <f>VLOOKUP($H$7&amp;$F$1,'Input RM sheet'!$A:$ZZ,DL1,0)</f>
        <v>4.75</v>
      </c>
      <c r="DN7" s="74">
        <f>VLOOKUP($H$7&amp;$F$1,'Input RM sheet'!$A:$ZZ,DM1,0)</f>
        <v>4.75</v>
      </c>
      <c r="DO7" s="74">
        <f>VLOOKUP($H$7&amp;$F$1,'Input RM sheet'!$A:$ZZ,DN1,0)</f>
        <v>4.75</v>
      </c>
      <c r="DP7" s="74">
        <f>VLOOKUP($H$7&amp;$F$1,'Input RM sheet'!$A:$ZZ,DO1,0)</f>
        <v>4.75</v>
      </c>
      <c r="DQ7" s="74">
        <f>VLOOKUP($H$7&amp;$F$1,'Input RM sheet'!$A:$ZZ,DP1,0)</f>
        <v>4.75</v>
      </c>
      <c r="DR7" s="74">
        <f>VLOOKUP($H$7&amp;$F$1,'Input RM sheet'!$A:$ZZ,DQ1,0)</f>
        <v>4.75</v>
      </c>
      <c r="DS7" s="74">
        <f>VLOOKUP($H$7&amp;$F$1,'Input RM sheet'!$A:$ZZ,DR1,0)</f>
        <v>5.27</v>
      </c>
      <c r="DT7" s="74">
        <f>VLOOKUP($H$7&amp;$F$1,'Input RM sheet'!$A:$ZZ,DS1,0)</f>
        <v>0</v>
      </c>
      <c r="DU7" s="74">
        <f>VLOOKUP($H$7&amp;$F$1,'Input RM sheet'!$A:$ZZ,DT1,0)</f>
        <v>0</v>
      </c>
      <c r="DV7" s="74">
        <f>VLOOKUP($H$7&amp;$F$1,'Input RM sheet'!$A:$ZZ,DU1,0)</f>
        <v>0</v>
      </c>
      <c r="DW7" s="74">
        <f>VLOOKUP($H$7&amp;$F$1,'Input RM sheet'!$A:$ZZ,DV1,0)</f>
        <v>0</v>
      </c>
      <c r="DX7" s="74">
        <f>VLOOKUP($H$7&amp;$F$1,'Input RM sheet'!$A:$ZZ,DW1,0)</f>
        <v>0</v>
      </c>
      <c r="DY7" s="74">
        <f>VLOOKUP($H$7&amp;$F$1,'Input RM sheet'!$A:$ZZ,DX1,0)</f>
        <v>0</v>
      </c>
      <c r="DZ7" s="74">
        <f>VLOOKUP($H$7&amp;$F$1,'Input RM sheet'!$A:$ZZ,DY1,0)</f>
        <v>0</v>
      </c>
      <c r="EA7" s="74">
        <f>VLOOKUP($H$7&amp;$F$1,'Input RM sheet'!$A:$ZZ,DZ1,0)</f>
        <v>0</v>
      </c>
      <c r="EB7" s="74">
        <f>VLOOKUP($H$7&amp;$F$1,'Input RM sheet'!$A:$ZZ,EA1,0)</f>
        <v>0</v>
      </c>
      <c r="EC7" s="74">
        <f>VLOOKUP($H$7&amp;$F$1,'Input RM sheet'!$A:$ZZ,EB1,0)</f>
        <v>0</v>
      </c>
      <c r="ED7" s="74">
        <f>VLOOKUP($H$7&amp;$F$1,'Input RM sheet'!$A:$ZZ,EC1,0)</f>
        <v>0</v>
      </c>
      <c r="EE7" s="74">
        <f>VLOOKUP($H$7&amp;$F$1,'Input RM sheet'!$A:$ZZ,ED1,0)</f>
        <v>0</v>
      </c>
      <c r="EF7" s="74">
        <f>VLOOKUP($H$7&amp;$F$1,'Input RM sheet'!$A:$ZZ,EE1,0)</f>
        <v>0</v>
      </c>
      <c r="EG7" s="74">
        <f>VLOOKUP($H$7&amp;$F$1,'Input RM sheet'!$A:$ZZ,EF1,0)</f>
        <v>0</v>
      </c>
      <c r="EH7" s="74">
        <f>VLOOKUP($H$7&amp;$F$1,'Input RM sheet'!$A:$ZZ,EG1,0)</f>
        <v>0</v>
      </c>
      <c r="EI7" s="74">
        <f>VLOOKUP($H$7&amp;$F$1,'Input RM sheet'!$A:$ZZ,EH1,0)</f>
        <v>0</v>
      </c>
      <c r="EJ7" s="74">
        <f>VLOOKUP($H$7&amp;$F$1,'Input RM sheet'!$A:$ZZ,EI1,0)</f>
        <v>0</v>
      </c>
      <c r="EK7" s="74">
        <f>VLOOKUP($H$7&amp;$F$1,'Input RM sheet'!$A:$ZZ,EJ1,0)</f>
        <v>0</v>
      </c>
      <c r="EL7" s="74">
        <f>VLOOKUP($H$7&amp;$F$1,'Input RM sheet'!$A:$ZZ,EK1,0)</f>
        <v>0</v>
      </c>
      <c r="EM7" s="74">
        <f>VLOOKUP($H$7&amp;$F$1,'Input RM sheet'!$A:$ZZ,EL1,0)</f>
        <v>0</v>
      </c>
      <c r="EN7" s="74">
        <f>VLOOKUP($H$7&amp;$F$1,'Input RM sheet'!$A:$ZZ,EM1,0)</f>
        <v>0</v>
      </c>
      <c r="EO7" s="74">
        <f>VLOOKUP($H$7&amp;$F$1,'Input RM sheet'!$A:$ZZ,EN1,0)</f>
        <v>0</v>
      </c>
      <c r="EP7" s="74" t="e" vm="1">
        <f>VLOOKUP($H$7&amp;$F$1,'Input RM sheet'!$A:$ZZ,EO1,0)</f>
        <v>#VALUE!</v>
      </c>
    </row>
    <row r="8" spans="1:146">
      <c r="B8" s="44"/>
      <c r="D8" s="44"/>
      <c r="H8" s="178"/>
      <c r="I8" s="74"/>
      <c r="J8" s="74"/>
      <c r="K8" s="74"/>
      <c r="L8" s="74"/>
      <c r="M8" s="74"/>
      <c r="N8" s="74"/>
      <c r="O8" s="74"/>
      <c r="P8" s="74"/>
      <c r="Q8" s="74"/>
      <c r="R8" s="74"/>
      <c r="S8" s="74"/>
      <c r="T8" s="74"/>
      <c r="U8" s="74"/>
      <c r="V8" s="74"/>
      <c r="W8" s="74"/>
      <c r="X8" s="74"/>
      <c r="Y8" s="74"/>
      <c r="Z8" s="74"/>
      <c r="AA8" s="74"/>
      <c r="AB8" s="74"/>
      <c r="AC8" s="74"/>
      <c r="AD8" s="74"/>
      <c r="AE8" s="74"/>
      <c r="AF8" s="74"/>
      <c r="AG8" s="74"/>
      <c r="AH8" s="74"/>
      <c r="AI8" s="74"/>
      <c r="AJ8" s="74"/>
      <c r="AK8" s="74"/>
      <c r="AL8" s="74"/>
      <c r="AM8" s="74"/>
      <c r="AN8" s="74"/>
      <c r="AO8" s="74"/>
      <c r="AP8" s="74"/>
      <c r="AQ8" s="74"/>
      <c r="AR8" s="74"/>
      <c r="AS8" s="74"/>
      <c r="AT8" s="74"/>
      <c r="AU8" s="74"/>
      <c r="AV8" s="74"/>
      <c r="AW8" s="74"/>
      <c r="AX8" s="74"/>
      <c r="AY8" s="74"/>
      <c r="AZ8" s="74"/>
      <c r="BA8" s="74"/>
      <c r="BB8" s="74"/>
      <c r="BC8" s="74"/>
      <c r="BD8" s="74"/>
      <c r="BE8" s="74"/>
      <c r="BF8" s="74"/>
      <c r="BG8" s="74"/>
      <c r="BH8" s="74"/>
      <c r="BI8" s="74"/>
      <c r="BJ8" s="74"/>
      <c r="BK8" s="74"/>
      <c r="BL8" s="74"/>
      <c r="BM8" s="74"/>
      <c r="BN8" s="74"/>
      <c r="BO8" s="74"/>
      <c r="BP8" s="74"/>
      <c r="BQ8" s="74"/>
      <c r="BR8" s="74"/>
      <c r="BS8" s="74"/>
      <c r="BT8" s="74"/>
      <c r="BU8" s="74"/>
      <c r="BV8" s="74"/>
      <c r="BW8" s="74"/>
      <c r="BX8" s="74"/>
      <c r="BY8" s="74"/>
      <c r="BZ8" s="74"/>
      <c r="CA8" s="74"/>
      <c r="CB8" s="74"/>
      <c r="CC8" s="74"/>
      <c r="CD8" s="74"/>
      <c r="CE8" s="74"/>
    </row>
    <row r="9" spans="1:146" ht="26">
      <c r="A9" s="59" t="s">
        <v>395</v>
      </c>
      <c r="B9" s="59"/>
      <c r="C9" s="59" t="s">
        <v>379</v>
      </c>
      <c r="D9" s="98" t="s">
        <v>380</v>
      </c>
      <c r="E9" s="98" t="s">
        <v>381</v>
      </c>
      <c r="F9" s="59" t="s">
        <v>396</v>
      </c>
      <c r="H9" s="60" t="s">
        <v>399</v>
      </c>
      <c r="I9" s="84"/>
      <c r="J9" s="84"/>
      <c r="K9" s="84"/>
      <c r="L9" s="84"/>
      <c r="M9" s="84"/>
      <c r="N9" s="84"/>
      <c r="O9" s="84"/>
      <c r="P9" s="84"/>
      <c r="Q9" s="84"/>
      <c r="R9" s="84"/>
      <c r="S9" s="84"/>
      <c r="T9" s="84"/>
      <c r="U9" s="84"/>
      <c r="V9" s="84"/>
      <c r="W9" s="84"/>
      <c r="X9" s="84"/>
      <c r="Y9" s="84"/>
      <c r="Z9" s="84"/>
      <c r="AA9" s="84"/>
      <c r="AB9" s="84"/>
      <c r="AC9" s="84"/>
      <c r="AD9" s="84"/>
      <c r="AE9" s="84"/>
      <c r="AF9" s="84"/>
      <c r="AG9" s="84"/>
      <c r="AH9" s="84"/>
      <c r="AI9" s="84"/>
      <c r="AJ9" s="84"/>
      <c r="AK9" s="84"/>
      <c r="AL9" s="84"/>
      <c r="AM9" s="84"/>
      <c r="AN9" s="84"/>
      <c r="AO9" s="84"/>
      <c r="AP9" s="84"/>
      <c r="AQ9" s="84"/>
      <c r="AR9" s="84"/>
      <c r="AS9" s="84"/>
      <c r="AT9" s="84"/>
      <c r="AU9" s="84"/>
    </row>
    <row r="10" spans="1:146" ht="13">
      <c r="A10" s="107" t="s">
        <v>397</v>
      </c>
      <c r="B10" s="60" t="s">
        <v>309</v>
      </c>
      <c r="C10" s="60">
        <v>1</v>
      </c>
      <c r="D10" s="112">
        <v>110.11</v>
      </c>
      <c r="E10" s="60">
        <f>D10*C10</f>
        <v>110.11</v>
      </c>
      <c r="F10" s="65">
        <f>E10/E2</f>
        <v>0.66243134140692206</v>
      </c>
      <c r="I10" s="74">
        <f>$F$10*I7</f>
        <v>3.7916964917391582</v>
      </c>
      <c r="J10" s="74">
        <f t="shared" ref="J10:BS10" si="0">$F$10*J7</f>
        <v>3.8787951979950432</v>
      </c>
      <c r="K10" s="74">
        <f t="shared" si="0"/>
        <v>3.7136569480172446</v>
      </c>
      <c r="L10" s="74">
        <f t="shared" si="0"/>
        <v>3.7957392919339741</v>
      </c>
      <c r="M10" s="74">
        <f t="shared" si="0"/>
        <v>3.7295096088587973</v>
      </c>
      <c r="N10" s="74">
        <f t="shared" si="0"/>
        <v>3.5590468934677526</v>
      </c>
      <c r="O10" s="74">
        <f t="shared" si="0"/>
        <v>3.5767991869204789</v>
      </c>
      <c r="P10" s="74">
        <f t="shared" si="0"/>
        <v>3.5607436141084077</v>
      </c>
      <c r="Q10" s="74">
        <f t="shared" si="0"/>
        <v>3.3777582465174434</v>
      </c>
      <c r="R10" s="74">
        <f t="shared" si="0"/>
        <v>3.4231487705745747</v>
      </c>
      <c r="S10" s="74">
        <f t="shared" si="0"/>
        <v>3.4628708676873989</v>
      </c>
      <c r="T10" s="74">
        <f t="shared" si="0"/>
        <v>3.4530216178303608</v>
      </c>
      <c r="U10" s="74">
        <f t="shared" si="0"/>
        <v>3.4670051665495194</v>
      </c>
      <c r="V10" s="74">
        <f t="shared" si="0"/>
        <v>3.5597319147058277</v>
      </c>
      <c r="W10" s="74">
        <f t="shared" si="0"/>
        <v>3.6007924534837699</v>
      </c>
      <c r="X10" s="74">
        <f t="shared" si="0"/>
        <v>3.7863480819195336</v>
      </c>
      <c r="Y10" s="74">
        <f t="shared" si="0"/>
        <v>3.8142928156024274</v>
      </c>
      <c r="Z10" s="74">
        <f t="shared" si="0"/>
        <v>4.0775215366587902</v>
      </c>
      <c r="AA10" s="74">
        <f t="shared" si="0"/>
        <v>4.1108682840797304</v>
      </c>
      <c r="AB10" s="74">
        <f t="shared" si="0"/>
        <v>4.2630290437411995</v>
      </c>
      <c r="AC10" s="74">
        <f t="shared" si="0"/>
        <v>4.3499282807582818</v>
      </c>
      <c r="AD10" s="74">
        <f t="shared" si="0"/>
        <v>4.8453192851737663</v>
      </c>
      <c r="AE10" s="74">
        <f t="shared" si="0"/>
        <v>4.6816671209544216</v>
      </c>
      <c r="AF10" s="74">
        <f t="shared" si="0"/>
        <v>4.69428454539797</v>
      </c>
      <c r="AG10" s="74">
        <f t="shared" si="0"/>
        <v>4.9888988575651325</v>
      </c>
      <c r="AH10" s="74">
        <f t="shared" si="0"/>
        <v>5.4891351904984198</v>
      </c>
      <c r="AI10" s="74">
        <f t="shared" si="0"/>
        <v>5.1524121351242123</v>
      </c>
      <c r="AJ10" s="74">
        <f t="shared" si="0"/>
        <v>6.0734487554326186</v>
      </c>
      <c r="AK10" s="74">
        <f t="shared" si="0"/>
        <v>6.4837726053014144</v>
      </c>
      <c r="AL10" s="74">
        <f t="shared" si="0"/>
        <v>6.5097745244707346</v>
      </c>
      <c r="AM10" s="74">
        <f t="shared" si="0"/>
        <v>6.5247632832214846</v>
      </c>
      <c r="AN10" s="74">
        <f t="shared" si="0"/>
        <v>6.5194889838528223</v>
      </c>
      <c r="AO10" s="74">
        <f t="shared" si="0"/>
        <v>6.979373958227816</v>
      </c>
      <c r="AP10" s="74">
        <f t="shared" si="0"/>
        <v>6.8942890800356338</v>
      </c>
      <c r="AQ10" s="74">
        <f t="shared" si="0"/>
        <v>6.7405186343783789</v>
      </c>
      <c r="AR10" s="74">
        <f t="shared" si="0"/>
        <v>6.1674678553612781</v>
      </c>
      <c r="AS10" s="74">
        <f t="shared" si="0"/>
        <v>6.337919884141451</v>
      </c>
      <c r="AT10" s="74">
        <f t="shared" si="0"/>
        <v>5.8272110694362844</v>
      </c>
      <c r="AU10" s="74">
        <f t="shared" si="0"/>
        <v>5.7159667447221141</v>
      </c>
      <c r="AV10" s="74">
        <f t="shared" si="0"/>
        <v>5.681911416165998</v>
      </c>
      <c r="AW10" s="74">
        <f t="shared" si="0"/>
        <v>5.2582214072600344</v>
      </c>
      <c r="AX10" s="74">
        <f t="shared" si="0"/>
        <v>5.4017329032154171</v>
      </c>
      <c r="AY10" s="74">
        <f t="shared" si="0"/>
        <v>5.869300684090895</v>
      </c>
      <c r="AZ10" s="74">
        <f t="shared" si="0"/>
        <v>5.869300684090895</v>
      </c>
      <c r="BA10" s="74">
        <f t="shared" si="0"/>
        <v>5.869300684090895</v>
      </c>
      <c r="BB10" s="74">
        <f t="shared" si="0"/>
        <v>5.869300684090895</v>
      </c>
      <c r="BC10" s="74">
        <f t="shared" si="0"/>
        <v>5.6274316126997626</v>
      </c>
      <c r="BD10" s="74">
        <f t="shared" si="0"/>
        <v>5.6274316126997626</v>
      </c>
      <c r="BE10" s="74">
        <f t="shared" si="0"/>
        <v>5.6274316126997626</v>
      </c>
      <c r="BF10" s="74">
        <f t="shared" si="0"/>
        <v>5.6274316126997626</v>
      </c>
      <c r="BG10" s="74">
        <f t="shared" si="0"/>
        <v>3.6404233295363704</v>
      </c>
      <c r="BH10" s="74">
        <f t="shared" si="0"/>
        <v>3.6404233295363704</v>
      </c>
      <c r="BI10" s="74">
        <f t="shared" si="0"/>
        <v>3.6404233295363704</v>
      </c>
      <c r="BJ10" s="74">
        <f t="shared" si="0"/>
        <v>3.6404233295363704</v>
      </c>
      <c r="BK10" s="74">
        <f t="shared" si="0"/>
        <v>4.0057621598073574</v>
      </c>
      <c r="BL10" s="74">
        <f t="shared" si="0"/>
        <v>4.0057621598073574</v>
      </c>
      <c r="BM10" s="74">
        <f t="shared" si="0"/>
        <v>4.0057621598073574</v>
      </c>
      <c r="BN10" s="74">
        <f t="shared" si="0"/>
        <v>4.0057621598073574</v>
      </c>
      <c r="BO10" s="74">
        <f t="shared" si="0"/>
        <v>3.9432483938170555</v>
      </c>
      <c r="BP10" s="74">
        <f t="shared" si="0"/>
        <v>3.9432483938170555</v>
      </c>
      <c r="BQ10" s="74">
        <f t="shared" si="0"/>
        <v>3.9432483938170555</v>
      </c>
      <c r="BR10" s="74">
        <f t="shared" si="0"/>
        <v>3.9432483938170555</v>
      </c>
      <c r="BS10" s="74">
        <f t="shared" si="0"/>
        <v>4.4093172349934662</v>
      </c>
      <c r="BT10" s="74">
        <f t="shared" ref="BT10:BY10" si="1">$F$10*BT7</f>
        <v>4.4093172349934662</v>
      </c>
      <c r="BU10" s="74">
        <f t="shared" si="1"/>
        <v>4.4093172349934662</v>
      </c>
      <c r="BV10" s="74">
        <f t="shared" si="1"/>
        <v>4.4093172349934662</v>
      </c>
      <c r="BW10" s="74">
        <f t="shared" si="1"/>
        <v>4.0188494754856299</v>
      </c>
      <c r="BX10" s="74">
        <f t="shared" si="1"/>
        <v>4.0188494754856299</v>
      </c>
      <c r="BY10" s="74">
        <f t="shared" si="1"/>
        <v>4.0188494754856299</v>
      </c>
      <c r="BZ10" s="74">
        <f t="shared" ref="BZ10:EK10" si="2">$F$10*BZ7</f>
        <v>4.0188494754856299</v>
      </c>
      <c r="CA10" s="74">
        <f t="shared" si="2"/>
        <v>3.7956443913312992</v>
      </c>
      <c r="CB10" s="74">
        <f t="shared" si="2"/>
        <v>3.7956443913312992</v>
      </c>
      <c r="CC10" s="74">
        <f t="shared" si="2"/>
        <v>3.7956443913312992</v>
      </c>
      <c r="CD10" s="74">
        <f t="shared" si="2"/>
        <v>3.7956443913312992</v>
      </c>
      <c r="CE10" s="74">
        <f t="shared" si="2"/>
        <v>3.4925069457992288</v>
      </c>
      <c r="CF10" s="74">
        <f t="shared" si="2"/>
        <v>3.4925069457992288</v>
      </c>
      <c r="CG10" s="74">
        <f t="shared" si="2"/>
        <v>3.4925069457992288</v>
      </c>
      <c r="CH10" s="74">
        <f t="shared" si="2"/>
        <v>3.4925069457992288</v>
      </c>
      <c r="CI10" s="74">
        <f t="shared" si="2"/>
        <v>3.4500626142431812</v>
      </c>
      <c r="CJ10" s="74">
        <f t="shared" si="2"/>
        <v>3.4500626142431812</v>
      </c>
      <c r="CK10" s="74">
        <f t="shared" si="2"/>
        <v>3.4500626142431812</v>
      </c>
      <c r="CL10" s="74">
        <f t="shared" si="2"/>
        <v>3.4500626142431812</v>
      </c>
      <c r="CM10" s="74">
        <f t="shared" si="2"/>
        <v>3.7120283900120215</v>
      </c>
      <c r="CN10" s="74">
        <f t="shared" si="2"/>
        <v>3.7120283900120215</v>
      </c>
      <c r="CO10" s="74">
        <f t="shared" si="2"/>
        <v>3.7120283900120215</v>
      </c>
      <c r="CP10" s="74">
        <f t="shared" si="2"/>
        <v>3.7120283900120215</v>
      </c>
      <c r="CQ10" s="74">
        <f t="shared" si="2"/>
        <v>3.7120283900120215</v>
      </c>
      <c r="CR10" s="74">
        <f t="shared" si="2"/>
        <v>3.1730461253391566</v>
      </c>
      <c r="CS10" s="74">
        <f t="shared" si="2"/>
        <v>3.2724108265501952</v>
      </c>
      <c r="CT10" s="74">
        <f t="shared" si="2"/>
        <v>3.2724108265501952</v>
      </c>
      <c r="CU10" s="74">
        <f t="shared" si="2"/>
        <v>3.179670438753226</v>
      </c>
      <c r="CV10" s="74">
        <f t="shared" si="2"/>
        <v>3.2591621997220566</v>
      </c>
      <c r="CW10" s="74">
        <f t="shared" si="2"/>
        <v>4.1581188027720684</v>
      </c>
      <c r="CX10" s="74">
        <f t="shared" si="2"/>
        <v>3.179670438753226</v>
      </c>
      <c r="CY10" s="74">
        <f t="shared" si="2"/>
        <v>3.179670438753226</v>
      </c>
      <c r="CZ10" s="74">
        <f t="shared" si="2"/>
        <v>3.179670438753226</v>
      </c>
      <c r="DA10" s="74">
        <f t="shared" si="2"/>
        <v>3.179670438753226</v>
      </c>
      <c r="DB10" s="74">
        <f t="shared" si="2"/>
        <v>3.179670438753226</v>
      </c>
      <c r="DC10" s="74">
        <f t="shared" si="2"/>
        <v>3.179670438753226</v>
      </c>
      <c r="DD10" s="74">
        <f t="shared" si="2"/>
        <v>3.1730461253391566</v>
      </c>
      <c r="DE10" s="74">
        <f t="shared" si="2"/>
        <v>3.1730461253391566</v>
      </c>
      <c r="DF10" s="74">
        <f t="shared" si="2"/>
        <v>3.1730461253391566</v>
      </c>
      <c r="DG10" s="74">
        <f t="shared" si="2"/>
        <v>3.1730461253391566</v>
      </c>
      <c r="DH10" s="74">
        <f t="shared" si="2"/>
        <v>3.179670438753226</v>
      </c>
      <c r="DI10" s="74">
        <f t="shared" si="2"/>
        <v>3.179670438753226</v>
      </c>
      <c r="DJ10" s="74">
        <f t="shared" si="2"/>
        <v>3.179670438753226</v>
      </c>
      <c r="DK10" s="74">
        <f t="shared" si="2"/>
        <v>3.179670438753226</v>
      </c>
      <c r="DL10" s="74">
        <f t="shared" si="2"/>
        <v>3.179670438753226</v>
      </c>
      <c r="DM10" s="74">
        <f t="shared" si="2"/>
        <v>3.1465488716828798</v>
      </c>
      <c r="DN10" s="74">
        <f t="shared" si="2"/>
        <v>3.1465488716828798</v>
      </c>
      <c r="DO10" s="74">
        <f t="shared" si="2"/>
        <v>3.1465488716828798</v>
      </c>
      <c r="DP10" s="74">
        <f t="shared" si="2"/>
        <v>3.1465488716828798</v>
      </c>
      <c r="DQ10" s="74">
        <f t="shared" si="2"/>
        <v>3.1465488716828798</v>
      </c>
      <c r="DR10" s="74">
        <f t="shared" si="2"/>
        <v>3.1465488716828798</v>
      </c>
      <c r="DS10" s="74">
        <f t="shared" si="2"/>
        <v>3.491013169214479</v>
      </c>
      <c r="DT10" s="74">
        <f t="shared" si="2"/>
        <v>0</v>
      </c>
      <c r="DU10" s="74">
        <f t="shared" si="2"/>
        <v>0</v>
      </c>
      <c r="DV10" s="74">
        <f t="shared" si="2"/>
        <v>0</v>
      </c>
      <c r="DW10" s="74">
        <f t="shared" si="2"/>
        <v>0</v>
      </c>
      <c r="DX10" s="74">
        <f t="shared" si="2"/>
        <v>0</v>
      </c>
      <c r="DY10" s="74">
        <f t="shared" si="2"/>
        <v>0</v>
      </c>
      <c r="DZ10" s="74">
        <f t="shared" si="2"/>
        <v>0</v>
      </c>
      <c r="EA10" s="74">
        <f t="shared" si="2"/>
        <v>0</v>
      </c>
      <c r="EB10" s="74">
        <f t="shared" si="2"/>
        <v>0</v>
      </c>
      <c r="EC10" s="74">
        <f t="shared" si="2"/>
        <v>0</v>
      </c>
      <c r="ED10" s="74">
        <f t="shared" si="2"/>
        <v>0</v>
      </c>
      <c r="EE10" s="74">
        <f t="shared" si="2"/>
        <v>0</v>
      </c>
      <c r="EF10" s="74">
        <f t="shared" si="2"/>
        <v>0</v>
      </c>
      <c r="EG10" s="74">
        <f t="shared" si="2"/>
        <v>0</v>
      </c>
      <c r="EH10" s="74">
        <f t="shared" si="2"/>
        <v>0</v>
      </c>
      <c r="EI10" s="74">
        <f t="shared" si="2"/>
        <v>0</v>
      </c>
      <c r="EJ10" s="74">
        <f t="shared" si="2"/>
        <v>0</v>
      </c>
      <c r="EK10" s="74">
        <f t="shared" si="2"/>
        <v>0</v>
      </c>
      <c r="EL10" s="74">
        <f>$F$10*EL7</f>
        <v>0</v>
      </c>
      <c r="EM10" s="74">
        <f>$F$10*EM7</f>
        <v>0</v>
      </c>
      <c r="EN10" s="74">
        <f>$F$10*EN7</f>
        <v>0</v>
      </c>
      <c r="EO10" s="74">
        <f>$F$10*EO7</f>
        <v>0</v>
      </c>
      <c r="EP10" s="74" t="e" vm="2">
        <f>$F$10*EP7</f>
        <v>#VALUE!</v>
      </c>
    </row>
    <row r="11" spans="1:146">
      <c r="A11" s="67"/>
      <c r="B11" s="280"/>
      <c r="D11" s="65"/>
      <c r="F11" s="65"/>
      <c r="I11" s="74"/>
      <c r="J11" s="74"/>
      <c r="K11" s="74"/>
      <c r="L11" s="74"/>
      <c r="M11" s="74"/>
      <c r="N11" s="74"/>
      <c r="O11" s="74"/>
      <c r="P11" s="74"/>
      <c r="Q11" s="74"/>
      <c r="R11" s="74"/>
      <c r="S11" s="74"/>
      <c r="T11" s="74"/>
      <c r="U11" s="74"/>
      <c r="V11" s="74"/>
      <c r="W11" s="74"/>
      <c r="X11" s="74"/>
      <c r="Y11" s="74"/>
      <c r="Z11" s="74"/>
      <c r="AA11" s="74"/>
      <c r="AB11" s="74"/>
      <c r="AC11" s="74"/>
      <c r="AD11" s="74"/>
      <c r="AE11" s="74"/>
      <c r="AF11" s="74"/>
      <c r="AG11" s="74"/>
      <c r="AH11" s="74"/>
      <c r="AI11" s="74"/>
      <c r="AJ11" s="74"/>
      <c r="AK11" s="74"/>
      <c r="AL11" s="74"/>
      <c r="AM11" s="74"/>
      <c r="AN11" s="74"/>
      <c r="AO11" s="74"/>
      <c r="AP11" s="74"/>
      <c r="AQ11" s="74"/>
      <c r="AR11" s="74"/>
      <c r="AS11" s="74"/>
      <c r="AT11" s="74"/>
      <c r="AU11" s="74"/>
      <c r="AV11" s="74"/>
      <c r="AW11" s="74"/>
      <c r="AX11" s="74"/>
      <c r="AY11" s="74"/>
      <c r="AZ11" s="74"/>
      <c r="BA11" s="74"/>
      <c r="BB11" s="74"/>
      <c r="BC11" s="74"/>
      <c r="BD11" s="74"/>
      <c r="BE11" s="74"/>
      <c r="BF11" s="74"/>
      <c r="BG11" s="74"/>
      <c r="BH11" s="74"/>
      <c r="BI11" s="74"/>
      <c r="BJ11" s="74"/>
      <c r="BK11" s="74"/>
      <c r="BL11" s="74"/>
      <c r="BM11" s="74"/>
      <c r="BN11" s="74"/>
      <c r="BO11" s="74"/>
      <c r="BP11" s="74"/>
      <c r="BQ11" s="74"/>
      <c r="BR11" s="74"/>
      <c r="BS11" s="74"/>
      <c r="BT11" s="74"/>
      <c r="BU11" s="74"/>
      <c r="BV11" s="74"/>
      <c r="BW11" s="74"/>
      <c r="BX11" s="74"/>
      <c r="BY11" s="74"/>
      <c r="BZ11" s="74"/>
      <c r="CA11" s="74"/>
      <c r="CB11" s="74"/>
      <c r="CC11" s="74"/>
      <c r="CD11" s="74"/>
      <c r="CE11" s="74"/>
    </row>
    <row r="12" spans="1:146" s="104" customFormat="1">
      <c r="A12" s="104" t="s">
        <v>400</v>
      </c>
      <c r="H12" s="60"/>
      <c r="I12" s="105">
        <f t="shared" ref="I12:AN12" si="3">SUM(I10:I10)</f>
        <v>3.7916964917391582</v>
      </c>
      <c r="J12" s="105">
        <f t="shared" si="3"/>
        <v>3.8787951979950432</v>
      </c>
      <c r="K12" s="105">
        <f t="shared" si="3"/>
        <v>3.7136569480172446</v>
      </c>
      <c r="L12" s="105">
        <f t="shared" si="3"/>
        <v>3.7957392919339741</v>
      </c>
      <c r="M12" s="105">
        <f t="shared" si="3"/>
        <v>3.7295096088587973</v>
      </c>
      <c r="N12" s="105">
        <f t="shared" si="3"/>
        <v>3.5590468934677526</v>
      </c>
      <c r="O12" s="105">
        <f t="shared" si="3"/>
        <v>3.5767991869204789</v>
      </c>
      <c r="P12" s="105">
        <f t="shared" si="3"/>
        <v>3.5607436141084077</v>
      </c>
      <c r="Q12" s="105">
        <f t="shared" si="3"/>
        <v>3.3777582465174434</v>
      </c>
      <c r="R12" s="105">
        <f t="shared" si="3"/>
        <v>3.4231487705745747</v>
      </c>
      <c r="S12" s="105">
        <f t="shared" si="3"/>
        <v>3.4628708676873989</v>
      </c>
      <c r="T12" s="105">
        <f t="shared" si="3"/>
        <v>3.4530216178303608</v>
      </c>
      <c r="U12" s="105">
        <f t="shared" si="3"/>
        <v>3.4670051665495194</v>
      </c>
      <c r="V12" s="105">
        <f t="shared" si="3"/>
        <v>3.5597319147058277</v>
      </c>
      <c r="W12" s="105">
        <f t="shared" si="3"/>
        <v>3.6007924534837699</v>
      </c>
      <c r="X12" s="105">
        <f t="shared" si="3"/>
        <v>3.7863480819195336</v>
      </c>
      <c r="Y12" s="105">
        <f t="shared" si="3"/>
        <v>3.8142928156024274</v>
      </c>
      <c r="Z12" s="105">
        <f t="shared" si="3"/>
        <v>4.0775215366587902</v>
      </c>
      <c r="AA12" s="105">
        <f t="shared" si="3"/>
        <v>4.1108682840797304</v>
      </c>
      <c r="AB12" s="105">
        <f t="shared" si="3"/>
        <v>4.2630290437411995</v>
      </c>
      <c r="AC12" s="105">
        <f t="shared" si="3"/>
        <v>4.3499282807582818</v>
      </c>
      <c r="AD12" s="105">
        <f t="shared" si="3"/>
        <v>4.8453192851737663</v>
      </c>
      <c r="AE12" s="105">
        <f t="shared" si="3"/>
        <v>4.6816671209544216</v>
      </c>
      <c r="AF12" s="105">
        <f t="shared" si="3"/>
        <v>4.69428454539797</v>
      </c>
      <c r="AG12" s="105">
        <f t="shared" si="3"/>
        <v>4.9888988575651325</v>
      </c>
      <c r="AH12" s="105">
        <f t="shared" si="3"/>
        <v>5.4891351904984198</v>
      </c>
      <c r="AI12" s="105">
        <f t="shared" si="3"/>
        <v>5.1524121351242123</v>
      </c>
      <c r="AJ12" s="105">
        <f t="shared" si="3"/>
        <v>6.0734487554326186</v>
      </c>
      <c r="AK12" s="105">
        <f t="shared" si="3"/>
        <v>6.4837726053014144</v>
      </c>
      <c r="AL12" s="105">
        <f t="shared" si="3"/>
        <v>6.5097745244707346</v>
      </c>
      <c r="AM12" s="105">
        <f t="shared" si="3"/>
        <v>6.5247632832214846</v>
      </c>
      <c r="AN12" s="105">
        <f t="shared" si="3"/>
        <v>6.5194889838528223</v>
      </c>
      <c r="AO12" s="105">
        <f t="shared" ref="AO12:BQ12" si="4">SUM(AO10:AO10)</f>
        <v>6.979373958227816</v>
      </c>
      <c r="AP12" s="105">
        <f t="shared" si="4"/>
        <v>6.8942890800356338</v>
      </c>
      <c r="AQ12" s="105">
        <f t="shared" si="4"/>
        <v>6.7405186343783789</v>
      </c>
      <c r="AR12" s="105">
        <f t="shared" si="4"/>
        <v>6.1674678553612781</v>
      </c>
      <c r="AS12" s="105">
        <f t="shared" si="4"/>
        <v>6.337919884141451</v>
      </c>
      <c r="AT12" s="105">
        <f t="shared" si="4"/>
        <v>5.8272110694362844</v>
      </c>
      <c r="AU12" s="105">
        <f t="shared" si="4"/>
        <v>5.7159667447221141</v>
      </c>
      <c r="AV12" s="105">
        <f t="shared" si="4"/>
        <v>5.681911416165998</v>
      </c>
      <c r="AW12" s="105">
        <f t="shared" si="4"/>
        <v>5.2582214072600344</v>
      </c>
      <c r="AX12" s="105">
        <f t="shared" si="4"/>
        <v>5.4017329032154171</v>
      </c>
      <c r="AY12" s="105">
        <f t="shared" si="4"/>
        <v>5.869300684090895</v>
      </c>
      <c r="AZ12" s="105">
        <f t="shared" si="4"/>
        <v>5.869300684090895</v>
      </c>
      <c r="BA12" s="105">
        <f t="shared" si="4"/>
        <v>5.869300684090895</v>
      </c>
      <c r="BB12" s="105">
        <f t="shared" si="4"/>
        <v>5.869300684090895</v>
      </c>
      <c r="BC12" s="105">
        <f t="shared" si="4"/>
        <v>5.6274316126997626</v>
      </c>
      <c r="BD12" s="105">
        <f t="shared" si="4"/>
        <v>5.6274316126997626</v>
      </c>
      <c r="BE12" s="105">
        <f t="shared" si="4"/>
        <v>5.6274316126997626</v>
      </c>
      <c r="BF12" s="105">
        <f t="shared" si="4"/>
        <v>5.6274316126997626</v>
      </c>
      <c r="BG12" s="105">
        <f t="shared" si="4"/>
        <v>3.6404233295363704</v>
      </c>
      <c r="BH12" s="105">
        <f t="shared" si="4"/>
        <v>3.6404233295363704</v>
      </c>
      <c r="BI12" s="105">
        <f t="shared" si="4"/>
        <v>3.6404233295363704</v>
      </c>
      <c r="BJ12" s="105">
        <f t="shared" si="4"/>
        <v>3.6404233295363704</v>
      </c>
      <c r="BK12" s="105">
        <f t="shared" si="4"/>
        <v>4.0057621598073574</v>
      </c>
      <c r="BL12" s="105">
        <f t="shared" si="4"/>
        <v>4.0057621598073574</v>
      </c>
      <c r="BM12" s="105">
        <f t="shared" si="4"/>
        <v>4.0057621598073574</v>
      </c>
      <c r="BN12" s="105">
        <f t="shared" si="4"/>
        <v>4.0057621598073574</v>
      </c>
      <c r="BO12" s="105">
        <f t="shared" si="4"/>
        <v>3.9432483938170555</v>
      </c>
      <c r="BP12" s="105">
        <f t="shared" si="4"/>
        <v>3.9432483938170555</v>
      </c>
      <c r="BQ12" s="105">
        <f t="shared" si="4"/>
        <v>3.9432483938170555</v>
      </c>
      <c r="BR12" s="105">
        <f>SUM(BR10:BR11)</f>
        <v>3.9432483938170555</v>
      </c>
      <c r="BS12" s="105">
        <f>SUM(BS10:BS11)</f>
        <v>4.4093172349934662</v>
      </c>
      <c r="BT12" s="105">
        <f t="shared" ref="BT12:BY12" si="5">SUM(BT10:BT11)</f>
        <v>4.4093172349934662</v>
      </c>
      <c r="BU12" s="105">
        <f t="shared" si="5"/>
        <v>4.4093172349934662</v>
      </c>
      <c r="BV12" s="105">
        <f t="shared" si="5"/>
        <v>4.4093172349934662</v>
      </c>
      <c r="BW12" s="105">
        <f t="shared" si="5"/>
        <v>4.0188494754856299</v>
      </c>
      <c r="BX12" s="105">
        <f t="shared" si="5"/>
        <v>4.0188494754856299</v>
      </c>
      <c r="BY12" s="105">
        <f t="shared" si="5"/>
        <v>4.0188494754856299</v>
      </c>
      <c r="BZ12" s="105">
        <f t="shared" ref="BZ12:CJ12" si="6">SUM(BZ10:BZ11)</f>
        <v>4.0188494754856299</v>
      </c>
      <c r="CA12" s="105">
        <f t="shared" si="6"/>
        <v>3.7956443913312992</v>
      </c>
      <c r="CB12" s="105">
        <f t="shared" si="6"/>
        <v>3.7956443913312992</v>
      </c>
      <c r="CC12" s="105">
        <f t="shared" si="6"/>
        <v>3.7956443913312992</v>
      </c>
      <c r="CD12" s="105">
        <f t="shared" si="6"/>
        <v>3.7956443913312992</v>
      </c>
      <c r="CE12" s="105">
        <f t="shared" si="6"/>
        <v>3.4925069457992288</v>
      </c>
      <c r="CF12" s="105">
        <f t="shared" si="6"/>
        <v>3.4925069457992288</v>
      </c>
      <c r="CG12" s="105">
        <f t="shared" si="6"/>
        <v>3.4925069457992288</v>
      </c>
      <c r="CH12" s="105">
        <f t="shared" si="6"/>
        <v>3.4925069457992288</v>
      </c>
      <c r="CI12" s="105">
        <f t="shared" si="6"/>
        <v>3.4500626142431812</v>
      </c>
      <c r="CJ12" s="105">
        <f t="shared" si="6"/>
        <v>3.4500626142431812</v>
      </c>
      <c r="CK12" s="105">
        <f t="shared" ref="CK12:EP12" si="7">SUM(CK10:CK11)</f>
        <v>3.4500626142431812</v>
      </c>
      <c r="CL12" s="105">
        <f t="shared" si="7"/>
        <v>3.4500626142431812</v>
      </c>
      <c r="CM12" s="105">
        <f t="shared" si="7"/>
        <v>3.7120283900120215</v>
      </c>
      <c r="CN12" s="105">
        <f t="shared" si="7"/>
        <v>3.7120283900120215</v>
      </c>
      <c r="CO12" s="105">
        <f t="shared" si="7"/>
        <v>3.7120283900120215</v>
      </c>
      <c r="CP12" s="105">
        <f t="shared" si="7"/>
        <v>3.7120283900120215</v>
      </c>
      <c r="CQ12" s="105">
        <f t="shared" si="7"/>
        <v>3.7120283900120215</v>
      </c>
      <c r="CR12" s="105">
        <f t="shared" si="7"/>
        <v>3.1730461253391566</v>
      </c>
      <c r="CS12" s="105">
        <f t="shared" si="7"/>
        <v>3.2724108265501952</v>
      </c>
      <c r="CT12" s="105">
        <f t="shared" si="7"/>
        <v>3.2724108265501952</v>
      </c>
      <c r="CU12" s="105">
        <f t="shared" si="7"/>
        <v>3.179670438753226</v>
      </c>
      <c r="CV12" s="105">
        <f t="shared" si="7"/>
        <v>3.2591621997220566</v>
      </c>
      <c r="CW12" s="105">
        <f t="shared" si="7"/>
        <v>4.1581188027720684</v>
      </c>
      <c r="CX12" s="105">
        <f t="shared" si="7"/>
        <v>3.179670438753226</v>
      </c>
      <c r="CY12" s="105">
        <f t="shared" si="7"/>
        <v>3.179670438753226</v>
      </c>
      <c r="CZ12" s="105">
        <f t="shared" si="7"/>
        <v>3.179670438753226</v>
      </c>
      <c r="DA12" s="105">
        <f t="shared" si="7"/>
        <v>3.179670438753226</v>
      </c>
      <c r="DB12" s="105">
        <f t="shared" si="7"/>
        <v>3.179670438753226</v>
      </c>
      <c r="DC12" s="105">
        <f t="shared" si="7"/>
        <v>3.179670438753226</v>
      </c>
      <c r="DD12" s="105">
        <f t="shared" si="7"/>
        <v>3.1730461253391566</v>
      </c>
      <c r="DE12" s="105">
        <f t="shared" si="7"/>
        <v>3.1730461253391566</v>
      </c>
      <c r="DF12" s="105">
        <f t="shared" si="7"/>
        <v>3.1730461253391566</v>
      </c>
      <c r="DG12" s="105">
        <f t="shared" si="7"/>
        <v>3.1730461253391566</v>
      </c>
      <c r="DH12" s="105">
        <f t="shared" si="7"/>
        <v>3.179670438753226</v>
      </c>
      <c r="DI12" s="105">
        <f t="shared" si="7"/>
        <v>3.179670438753226</v>
      </c>
      <c r="DJ12" s="105">
        <f t="shared" si="7"/>
        <v>3.179670438753226</v>
      </c>
      <c r="DK12" s="105">
        <f t="shared" si="7"/>
        <v>3.179670438753226</v>
      </c>
      <c r="DL12" s="105">
        <f t="shared" si="7"/>
        <v>3.179670438753226</v>
      </c>
      <c r="DM12" s="105">
        <f t="shared" si="7"/>
        <v>3.1465488716828798</v>
      </c>
      <c r="DN12" s="105">
        <f t="shared" si="7"/>
        <v>3.1465488716828798</v>
      </c>
      <c r="DO12" s="105">
        <f t="shared" si="7"/>
        <v>3.1465488716828798</v>
      </c>
      <c r="DP12" s="105">
        <f t="shared" si="7"/>
        <v>3.1465488716828798</v>
      </c>
      <c r="DQ12" s="105">
        <f t="shared" si="7"/>
        <v>3.1465488716828798</v>
      </c>
      <c r="DR12" s="105">
        <f t="shared" si="7"/>
        <v>3.1465488716828798</v>
      </c>
      <c r="DS12" s="105">
        <f t="shared" si="7"/>
        <v>3.491013169214479</v>
      </c>
      <c r="DT12" s="105">
        <f t="shared" si="7"/>
        <v>0</v>
      </c>
      <c r="DU12" s="105">
        <f t="shared" si="7"/>
        <v>0</v>
      </c>
      <c r="DV12" s="105">
        <f t="shared" si="7"/>
        <v>0</v>
      </c>
      <c r="DW12" s="105">
        <f t="shared" si="7"/>
        <v>0</v>
      </c>
      <c r="DX12" s="105">
        <f t="shared" si="7"/>
        <v>0</v>
      </c>
      <c r="DY12" s="105">
        <f t="shared" si="7"/>
        <v>0</v>
      </c>
      <c r="DZ12" s="105">
        <f t="shared" si="7"/>
        <v>0</v>
      </c>
      <c r="EA12" s="105">
        <f t="shared" si="7"/>
        <v>0</v>
      </c>
      <c r="EB12" s="105">
        <f t="shared" si="7"/>
        <v>0</v>
      </c>
      <c r="EC12" s="105">
        <f t="shared" si="7"/>
        <v>0</v>
      </c>
      <c r="ED12" s="105">
        <f t="shared" si="7"/>
        <v>0</v>
      </c>
      <c r="EE12" s="105">
        <f t="shared" si="7"/>
        <v>0</v>
      </c>
      <c r="EF12" s="105">
        <f t="shared" si="7"/>
        <v>0</v>
      </c>
      <c r="EG12" s="105">
        <f t="shared" si="7"/>
        <v>0</v>
      </c>
      <c r="EH12" s="105">
        <f t="shared" si="7"/>
        <v>0</v>
      </c>
      <c r="EI12" s="105">
        <f t="shared" si="7"/>
        <v>0</v>
      </c>
      <c r="EJ12" s="105">
        <f t="shared" si="7"/>
        <v>0</v>
      </c>
      <c r="EK12" s="105">
        <f t="shared" si="7"/>
        <v>0</v>
      </c>
      <c r="EL12" s="105">
        <f t="shared" si="7"/>
        <v>0</v>
      </c>
      <c r="EM12" s="105">
        <f t="shared" si="7"/>
        <v>0</v>
      </c>
      <c r="EN12" s="105">
        <f t="shared" si="7"/>
        <v>0</v>
      </c>
      <c r="EO12" s="105">
        <f t="shared" si="7"/>
        <v>0</v>
      </c>
      <c r="EP12" s="105" t="e" vm="2">
        <f t="shared" si="7"/>
        <v>#VALUE!</v>
      </c>
    </row>
    <row r="13" spans="1:146">
      <c r="I13" s="74"/>
      <c r="J13" s="74"/>
      <c r="K13" s="74"/>
      <c r="L13" s="74"/>
      <c r="M13" s="74"/>
      <c r="N13" s="74"/>
      <c r="O13" s="74"/>
      <c r="P13" s="70"/>
      <c r="Q13" s="74"/>
      <c r="R13" s="74"/>
      <c r="S13" s="74"/>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BD13" s="65"/>
      <c r="BR13" s="65"/>
      <c r="CA13" s="64"/>
      <c r="CB13" s="64"/>
      <c r="CC13" s="64"/>
      <c r="CD13" s="74"/>
      <c r="CE13" s="64"/>
      <c r="CF13" s="64"/>
      <c r="CG13" s="64"/>
      <c r="CH13" s="64"/>
    </row>
    <row r="14" spans="1:146" s="64" customFormat="1">
      <c r="H14" s="64" t="s">
        <v>763</v>
      </c>
      <c r="I14" s="74"/>
      <c r="J14" s="74"/>
      <c r="K14" s="74"/>
      <c r="L14" s="74"/>
      <c r="M14" s="74"/>
      <c r="N14" s="74"/>
      <c r="O14" s="74"/>
      <c r="P14" s="74"/>
      <c r="Q14" s="74"/>
      <c r="R14" s="74"/>
      <c r="S14" s="74"/>
      <c r="T14" s="74"/>
      <c r="U14" s="74"/>
      <c r="V14" s="74"/>
      <c r="W14" s="74"/>
      <c r="X14" s="74"/>
      <c r="Y14" s="74"/>
      <c r="Z14" s="74"/>
      <c r="AA14" s="74"/>
      <c r="AB14" s="74"/>
      <c r="AC14" s="74"/>
      <c r="AD14" s="74"/>
      <c r="AE14" s="74"/>
      <c r="AF14" s="74"/>
      <c r="AG14" s="74"/>
      <c r="AH14" s="74"/>
      <c r="AI14" s="74"/>
      <c r="AJ14" s="74"/>
      <c r="AK14" s="74"/>
      <c r="AL14" s="74"/>
      <c r="AM14" s="74"/>
      <c r="AN14" s="74"/>
      <c r="AO14" s="74"/>
      <c r="AP14" s="74"/>
      <c r="AQ14" s="74"/>
      <c r="AR14" s="74"/>
      <c r="AS14" s="74"/>
      <c r="AT14" s="74"/>
      <c r="AU14" s="74"/>
      <c r="AW14" s="74"/>
      <c r="AX14" s="74"/>
      <c r="CA14" s="60"/>
      <c r="CB14" s="60"/>
      <c r="CC14" s="60"/>
      <c r="CD14" s="60"/>
      <c r="CE14" s="60"/>
      <c r="CF14" s="60"/>
      <c r="CG14" s="60"/>
      <c r="CH14" s="60"/>
    </row>
    <row r="15" spans="1:146">
      <c r="H15" s="60" t="s">
        <v>764</v>
      </c>
      <c r="P15" s="74"/>
      <c r="AC15" s="74"/>
      <c r="AE15" s="74"/>
      <c r="AO15" s="74"/>
      <c r="AQ15" s="74"/>
      <c r="AT15" s="74"/>
    </row>
    <row r="16" spans="1:146" ht="13" thickBot="1"/>
    <row r="17" spans="2:146" ht="13" thickBot="1">
      <c r="D17" s="259"/>
      <c r="H17" s="106" t="s">
        <v>407</v>
      </c>
      <c r="I17" s="109">
        <f>I12+0</f>
        <v>3.7916964917391582</v>
      </c>
      <c r="J17" s="109">
        <f t="shared" ref="J17:BS17" si="8">J12+0</f>
        <v>3.8787951979950432</v>
      </c>
      <c r="K17" s="109">
        <f t="shared" si="8"/>
        <v>3.7136569480172446</v>
      </c>
      <c r="L17" s="109">
        <f t="shared" si="8"/>
        <v>3.7957392919339741</v>
      </c>
      <c r="M17" s="109">
        <f t="shared" si="8"/>
        <v>3.7295096088587973</v>
      </c>
      <c r="N17" s="109">
        <f t="shared" si="8"/>
        <v>3.5590468934677526</v>
      </c>
      <c r="O17" s="109">
        <f t="shared" si="8"/>
        <v>3.5767991869204789</v>
      </c>
      <c r="P17" s="109">
        <f t="shared" si="8"/>
        <v>3.5607436141084077</v>
      </c>
      <c r="Q17" s="109">
        <f t="shared" si="8"/>
        <v>3.3777582465174434</v>
      </c>
      <c r="R17" s="109">
        <f t="shared" si="8"/>
        <v>3.4231487705745747</v>
      </c>
      <c r="S17" s="109">
        <f t="shared" si="8"/>
        <v>3.4628708676873989</v>
      </c>
      <c r="T17" s="109">
        <f t="shared" si="8"/>
        <v>3.4530216178303608</v>
      </c>
      <c r="U17" s="109">
        <f t="shared" si="8"/>
        <v>3.4670051665495194</v>
      </c>
      <c r="V17" s="109">
        <f t="shared" si="8"/>
        <v>3.5597319147058277</v>
      </c>
      <c r="W17" s="109">
        <f t="shared" si="8"/>
        <v>3.6007924534837699</v>
      </c>
      <c r="X17" s="109">
        <f t="shared" si="8"/>
        <v>3.7863480819195336</v>
      </c>
      <c r="Y17" s="109">
        <f t="shared" si="8"/>
        <v>3.8142928156024274</v>
      </c>
      <c r="Z17" s="109">
        <f t="shared" si="8"/>
        <v>4.0775215366587902</v>
      </c>
      <c r="AA17" s="109">
        <f t="shared" si="8"/>
        <v>4.1108682840797304</v>
      </c>
      <c r="AB17" s="109">
        <f t="shared" si="8"/>
        <v>4.2630290437411995</v>
      </c>
      <c r="AC17" s="109">
        <f t="shared" si="8"/>
        <v>4.3499282807582818</v>
      </c>
      <c r="AD17" s="109">
        <f t="shared" si="8"/>
        <v>4.8453192851737663</v>
      </c>
      <c r="AE17" s="109">
        <f t="shared" si="8"/>
        <v>4.6816671209544216</v>
      </c>
      <c r="AF17" s="109">
        <f t="shared" si="8"/>
        <v>4.69428454539797</v>
      </c>
      <c r="AG17" s="109">
        <f t="shared" si="8"/>
        <v>4.9888988575651325</v>
      </c>
      <c r="AH17" s="109">
        <f t="shared" si="8"/>
        <v>5.4891351904984198</v>
      </c>
      <c r="AI17" s="109">
        <f t="shared" si="8"/>
        <v>5.1524121351242123</v>
      </c>
      <c r="AJ17" s="109">
        <f t="shared" si="8"/>
        <v>6.0734487554326186</v>
      </c>
      <c r="AK17" s="109">
        <f t="shared" si="8"/>
        <v>6.4837726053014144</v>
      </c>
      <c r="AL17" s="109">
        <f t="shared" si="8"/>
        <v>6.5097745244707346</v>
      </c>
      <c r="AM17" s="109">
        <f t="shared" si="8"/>
        <v>6.5247632832214846</v>
      </c>
      <c r="AN17" s="109">
        <f t="shared" si="8"/>
        <v>6.5194889838528223</v>
      </c>
      <c r="AO17" s="109">
        <f t="shared" si="8"/>
        <v>6.979373958227816</v>
      </c>
      <c r="AP17" s="109">
        <f t="shared" si="8"/>
        <v>6.8942890800356338</v>
      </c>
      <c r="AQ17" s="109">
        <f t="shared" si="8"/>
        <v>6.7405186343783789</v>
      </c>
      <c r="AR17" s="109">
        <f t="shared" si="8"/>
        <v>6.1674678553612781</v>
      </c>
      <c r="AS17" s="109">
        <f t="shared" si="8"/>
        <v>6.337919884141451</v>
      </c>
      <c r="AT17" s="109">
        <f t="shared" si="8"/>
        <v>5.8272110694362844</v>
      </c>
      <c r="AU17" s="109">
        <f t="shared" si="8"/>
        <v>5.7159667447221141</v>
      </c>
      <c r="AV17" s="109">
        <f t="shared" si="8"/>
        <v>5.681911416165998</v>
      </c>
      <c r="AW17" s="109">
        <f t="shared" si="8"/>
        <v>5.2582214072600344</v>
      </c>
      <c r="AX17" s="109">
        <f t="shared" si="8"/>
        <v>5.4017329032154171</v>
      </c>
      <c r="AY17" s="109">
        <f t="shared" si="8"/>
        <v>5.869300684090895</v>
      </c>
      <c r="AZ17" s="109">
        <f t="shared" si="8"/>
        <v>5.869300684090895</v>
      </c>
      <c r="BA17" s="109">
        <f t="shared" si="8"/>
        <v>5.869300684090895</v>
      </c>
      <c r="BB17" s="109">
        <f t="shared" si="8"/>
        <v>5.869300684090895</v>
      </c>
      <c r="BC17" s="109">
        <f t="shared" si="8"/>
        <v>5.6274316126997626</v>
      </c>
      <c r="BD17" s="109">
        <f t="shared" si="8"/>
        <v>5.6274316126997626</v>
      </c>
      <c r="BE17" s="109">
        <f t="shared" si="8"/>
        <v>5.6274316126997626</v>
      </c>
      <c r="BF17" s="109">
        <f t="shared" si="8"/>
        <v>5.6274316126997626</v>
      </c>
      <c r="BG17" s="109">
        <f t="shared" si="8"/>
        <v>3.6404233295363704</v>
      </c>
      <c r="BH17" s="109">
        <f t="shared" si="8"/>
        <v>3.6404233295363704</v>
      </c>
      <c r="BI17" s="109">
        <f t="shared" si="8"/>
        <v>3.6404233295363704</v>
      </c>
      <c r="BJ17" s="109">
        <f t="shared" si="8"/>
        <v>3.6404233295363704</v>
      </c>
      <c r="BK17" s="109">
        <f t="shared" si="8"/>
        <v>4.0057621598073574</v>
      </c>
      <c r="BL17" s="109">
        <f t="shared" si="8"/>
        <v>4.0057621598073574</v>
      </c>
      <c r="BM17" s="109">
        <f t="shared" si="8"/>
        <v>4.0057621598073574</v>
      </c>
      <c r="BN17" s="109">
        <f t="shared" si="8"/>
        <v>4.0057621598073574</v>
      </c>
      <c r="BO17" s="109">
        <f t="shared" si="8"/>
        <v>3.9432483938170555</v>
      </c>
      <c r="BP17" s="109">
        <f t="shared" si="8"/>
        <v>3.9432483938170555</v>
      </c>
      <c r="BQ17" s="109">
        <f t="shared" si="8"/>
        <v>3.9432483938170555</v>
      </c>
      <c r="BR17" s="109">
        <f t="shared" si="8"/>
        <v>3.9432483938170555</v>
      </c>
      <c r="BS17" s="109">
        <f t="shared" si="8"/>
        <v>4.4093172349934662</v>
      </c>
      <c r="BT17" s="109">
        <f t="shared" ref="BT17:BY17" si="9">BT12+0</f>
        <v>4.4093172349934662</v>
      </c>
      <c r="BU17" s="109">
        <f t="shared" si="9"/>
        <v>4.4093172349934662</v>
      </c>
      <c r="BV17" s="109">
        <f t="shared" si="9"/>
        <v>4.4093172349934662</v>
      </c>
      <c r="BW17" s="109">
        <f t="shared" si="9"/>
        <v>4.0188494754856299</v>
      </c>
      <c r="BX17" s="109">
        <f t="shared" si="9"/>
        <v>4.0188494754856299</v>
      </c>
      <c r="BY17" s="109">
        <f t="shared" si="9"/>
        <v>4.0188494754856299</v>
      </c>
      <c r="BZ17" s="109">
        <f t="shared" ref="BZ17:CJ17" si="10">BZ12+0</f>
        <v>4.0188494754856299</v>
      </c>
      <c r="CA17" s="109">
        <f t="shared" si="10"/>
        <v>3.7956443913312992</v>
      </c>
      <c r="CB17" s="109">
        <f t="shared" si="10"/>
        <v>3.7956443913312992</v>
      </c>
      <c r="CC17" s="109">
        <f t="shared" si="10"/>
        <v>3.7956443913312992</v>
      </c>
      <c r="CD17" s="109">
        <f t="shared" si="10"/>
        <v>3.7956443913312992</v>
      </c>
      <c r="CE17" s="109">
        <f t="shared" si="10"/>
        <v>3.4925069457992288</v>
      </c>
      <c r="CF17" s="109">
        <f t="shared" si="10"/>
        <v>3.4925069457992288</v>
      </c>
      <c r="CG17" s="109">
        <f t="shared" si="10"/>
        <v>3.4925069457992288</v>
      </c>
      <c r="CH17" s="109">
        <f t="shared" si="10"/>
        <v>3.4925069457992288</v>
      </c>
      <c r="CI17" s="109">
        <f t="shared" si="10"/>
        <v>3.4500626142431812</v>
      </c>
      <c r="CJ17" s="109">
        <f t="shared" si="10"/>
        <v>3.4500626142431812</v>
      </c>
      <c r="CK17" s="109">
        <f t="shared" ref="CK17:EP17" si="11">CK12+0</f>
        <v>3.4500626142431812</v>
      </c>
      <c r="CL17" s="109">
        <f t="shared" si="11"/>
        <v>3.4500626142431812</v>
      </c>
      <c r="CM17" s="109">
        <f t="shared" si="11"/>
        <v>3.7120283900120215</v>
      </c>
      <c r="CN17" s="109">
        <f t="shared" si="11"/>
        <v>3.7120283900120215</v>
      </c>
      <c r="CO17" s="109">
        <f t="shared" si="11"/>
        <v>3.7120283900120215</v>
      </c>
      <c r="CP17" s="109">
        <f t="shared" si="11"/>
        <v>3.7120283900120215</v>
      </c>
      <c r="CQ17" s="109">
        <f t="shared" si="11"/>
        <v>3.7120283900120215</v>
      </c>
      <c r="CR17" s="109">
        <f t="shared" si="11"/>
        <v>3.1730461253391566</v>
      </c>
      <c r="CS17" s="109">
        <f t="shared" si="11"/>
        <v>3.2724108265501952</v>
      </c>
      <c r="CT17" s="109">
        <f t="shared" si="11"/>
        <v>3.2724108265501952</v>
      </c>
      <c r="CU17" s="109">
        <f t="shared" si="11"/>
        <v>3.179670438753226</v>
      </c>
      <c r="CV17" s="109">
        <f t="shared" si="11"/>
        <v>3.2591621997220566</v>
      </c>
      <c r="CW17" s="109">
        <f t="shared" si="11"/>
        <v>4.1581188027720684</v>
      </c>
      <c r="CX17" s="109">
        <f t="shared" si="11"/>
        <v>3.179670438753226</v>
      </c>
      <c r="CY17" s="109">
        <f t="shared" si="11"/>
        <v>3.179670438753226</v>
      </c>
      <c r="CZ17" s="109">
        <f t="shared" si="11"/>
        <v>3.179670438753226</v>
      </c>
      <c r="DA17" s="109">
        <f t="shared" si="11"/>
        <v>3.179670438753226</v>
      </c>
      <c r="DB17" s="109">
        <f t="shared" si="11"/>
        <v>3.179670438753226</v>
      </c>
      <c r="DC17" s="109">
        <f t="shared" si="11"/>
        <v>3.179670438753226</v>
      </c>
      <c r="DD17" s="109">
        <f t="shared" si="11"/>
        <v>3.1730461253391566</v>
      </c>
      <c r="DE17" s="109">
        <f t="shared" si="11"/>
        <v>3.1730461253391566</v>
      </c>
      <c r="DF17" s="109">
        <f t="shared" si="11"/>
        <v>3.1730461253391566</v>
      </c>
      <c r="DG17" s="109">
        <f t="shared" si="11"/>
        <v>3.1730461253391566</v>
      </c>
      <c r="DH17" s="109">
        <f t="shared" si="11"/>
        <v>3.179670438753226</v>
      </c>
      <c r="DI17" s="109">
        <f t="shared" si="11"/>
        <v>3.179670438753226</v>
      </c>
      <c r="DJ17" s="109">
        <f t="shared" si="11"/>
        <v>3.179670438753226</v>
      </c>
      <c r="DK17" s="109">
        <f t="shared" si="11"/>
        <v>3.179670438753226</v>
      </c>
      <c r="DL17" s="109">
        <f t="shared" si="11"/>
        <v>3.179670438753226</v>
      </c>
      <c r="DM17" s="109">
        <f t="shared" si="11"/>
        <v>3.1465488716828798</v>
      </c>
      <c r="DN17" s="109">
        <f t="shared" si="11"/>
        <v>3.1465488716828798</v>
      </c>
      <c r="DO17" s="109">
        <f t="shared" si="11"/>
        <v>3.1465488716828798</v>
      </c>
      <c r="DP17" s="109">
        <f t="shared" si="11"/>
        <v>3.1465488716828798</v>
      </c>
      <c r="DQ17" s="109">
        <f t="shared" si="11"/>
        <v>3.1465488716828798</v>
      </c>
      <c r="DR17" s="109">
        <f t="shared" si="11"/>
        <v>3.1465488716828798</v>
      </c>
      <c r="DS17" s="109">
        <f t="shared" si="11"/>
        <v>3.491013169214479</v>
      </c>
      <c r="DT17" s="109">
        <f t="shared" si="11"/>
        <v>0</v>
      </c>
      <c r="DU17" s="109">
        <f t="shared" si="11"/>
        <v>0</v>
      </c>
      <c r="DV17" s="109">
        <f t="shared" si="11"/>
        <v>0</v>
      </c>
      <c r="DW17" s="109">
        <f t="shared" si="11"/>
        <v>0</v>
      </c>
      <c r="DX17" s="109">
        <f t="shared" si="11"/>
        <v>0</v>
      </c>
      <c r="DY17" s="109">
        <f t="shared" si="11"/>
        <v>0</v>
      </c>
      <c r="DZ17" s="109">
        <f t="shared" si="11"/>
        <v>0</v>
      </c>
      <c r="EA17" s="109">
        <f t="shared" si="11"/>
        <v>0</v>
      </c>
      <c r="EB17" s="109">
        <f t="shared" si="11"/>
        <v>0</v>
      </c>
      <c r="EC17" s="109">
        <f t="shared" si="11"/>
        <v>0</v>
      </c>
      <c r="ED17" s="109">
        <f t="shared" si="11"/>
        <v>0</v>
      </c>
      <c r="EE17" s="109">
        <f t="shared" si="11"/>
        <v>0</v>
      </c>
      <c r="EF17" s="109">
        <f t="shared" si="11"/>
        <v>0</v>
      </c>
      <c r="EG17" s="109">
        <f t="shared" si="11"/>
        <v>0</v>
      </c>
      <c r="EH17" s="109">
        <f t="shared" si="11"/>
        <v>0</v>
      </c>
      <c r="EI17" s="109">
        <f t="shared" si="11"/>
        <v>0</v>
      </c>
      <c r="EJ17" s="109">
        <f t="shared" si="11"/>
        <v>0</v>
      </c>
      <c r="EK17" s="109">
        <f t="shared" si="11"/>
        <v>0</v>
      </c>
      <c r="EL17" s="109">
        <f t="shared" si="11"/>
        <v>0</v>
      </c>
      <c r="EM17" s="109">
        <f t="shared" si="11"/>
        <v>0</v>
      </c>
      <c r="EN17" s="109">
        <f t="shared" si="11"/>
        <v>0</v>
      </c>
      <c r="EO17" s="109">
        <f t="shared" si="11"/>
        <v>0</v>
      </c>
      <c r="EP17" s="109" t="e" vm="2">
        <f t="shared" si="11"/>
        <v>#VALUE!</v>
      </c>
    </row>
    <row r="19" spans="2:146">
      <c r="B19" s="65"/>
      <c r="BL19" s="65"/>
    </row>
    <row r="24" spans="2:146" ht="15">
      <c r="AR24" s="11"/>
    </row>
    <row r="25" spans="2:146" ht="15">
      <c r="AR25" s="11"/>
    </row>
    <row r="26" spans="2:146" ht="15">
      <c r="AR26" s="260"/>
    </row>
  </sheetData>
  <conditionalFormatting sqref="I14 Z14:AB14 AF14 AH14:AJ14 AL14 AP14 AR14:AS14 AU14 Q14:X14 O14 K14:L14">
    <cfRule type="top10" dxfId="11" priority="1" bottom="1" rank="1"/>
  </conditionalFormatting>
  <pageMargins left="0.7" right="0.7" top="0.75" bottom="0.75" header="0.3" footer="0.3"/>
  <pageSetup orientation="portrait" r:id="rId1"/>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EQ26"/>
  <sheetViews>
    <sheetView workbookViewId="0">
      <pane xSplit="8" ySplit="6" topLeftCell="AB7" activePane="bottomRight" state="frozen"/>
      <selection pane="topRight" activeCell="I1" sqref="I1"/>
      <selection pane="bottomLeft" activeCell="A7" sqref="A7"/>
      <selection pane="bottomRight" activeCell="AG17" sqref="AG17"/>
    </sheetView>
  </sheetViews>
  <sheetFormatPr baseColWidth="10" defaultColWidth="22.6640625" defaultRowHeight="12"/>
  <cols>
    <col min="1" max="1" width="13.33203125" style="60" bestFit="1" customWidth="1"/>
    <col min="2" max="2" width="11.33203125" style="60" bestFit="1" customWidth="1"/>
    <col min="3" max="3" width="4.83203125" style="60" bestFit="1" customWidth="1"/>
    <col min="4" max="4" width="12.33203125" style="60" bestFit="1" customWidth="1"/>
    <col min="5" max="5" width="7.5" style="60" bestFit="1" customWidth="1"/>
    <col min="6" max="6" width="6.5" style="60" bestFit="1" customWidth="1"/>
    <col min="7" max="7" width="3.33203125" style="60" bestFit="1" customWidth="1"/>
    <col min="8" max="8" width="14.5" style="60" bestFit="1" customWidth="1"/>
    <col min="9" max="10" width="5.5" style="60" bestFit="1" customWidth="1"/>
    <col min="11" max="11" width="5.6640625" style="60" bestFit="1" customWidth="1"/>
    <col min="12" max="12" width="5.5" style="60" bestFit="1" customWidth="1"/>
    <col min="13" max="13" width="5.83203125" style="60" bestFit="1" customWidth="1"/>
    <col min="14" max="18" width="5.5" style="60" bestFit="1" customWidth="1"/>
    <col min="19" max="19" width="5.6640625" style="60" bestFit="1" customWidth="1"/>
    <col min="20" max="39" width="6.1640625" style="60" bestFit="1" customWidth="1"/>
    <col min="40" max="42" width="5.5" style="60" bestFit="1" customWidth="1"/>
    <col min="43" max="43" width="5.6640625" style="60" bestFit="1" customWidth="1"/>
    <col min="44" max="45" width="5.5" style="60" bestFit="1" customWidth="1"/>
    <col min="46" max="46" width="6.1640625" style="60" bestFit="1" customWidth="1"/>
    <col min="47" max="47" width="5.6640625" style="60" bestFit="1" customWidth="1"/>
    <col min="48" max="48" width="5.5" style="60" bestFit="1" customWidth="1"/>
    <col min="49" max="49" width="5.83203125" style="60" bestFit="1" customWidth="1"/>
    <col min="50" max="51" width="5.5" style="60" bestFit="1" customWidth="1"/>
    <col min="52" max="54" width="7" style="60" bestFit="1" customWidth="1"/>
    <col min="55" max="56" width="5.5" style="60" bestFit="1" customWidth="1"/>
    <col min="57" max="58" width="5.83203125" style="60" bestFit="1" customWidth="1"/>
    <col min="59" max="66" width="6.1640625" style="60" bestFit="1" customWidth="1"/>
    <col min="67" max="70" width="5.6640625" style="60" bestFit="1" customWidth="1"/>
    <col min="71" max="72" width="5.5" style="60" bestFit="1" customWidth="1"/>
    <col min="73" max="90" width="6.1640625" style="60" bestFit="1" customWidth="1"/>
    <col min="91" max="95" width="6.33203125" style="60" bestFit="1" customWidth="1"/>
    <col min="96" max="101" width="6.1640625" style="60" bestFit="1" customWidth="1"/>
    <col min="102" max="103" width="5.1640625" style="60" bestFit="1" customWidth="1"/>
    <col min="104" max="107" width="5.83203125" style="60" bestFit="1" customWidth="1"/>
    <col min="108" max="115" width="5.6640625" style="60" bestFit="1" customWidth="1"/>
    <col min="116" max="119" width="6.1640625" style="60" bestFit="1" customWidth="1"/>
    <col min="120" max="123" width="5.83203125" style="60" bestFit="1" customWidth="1"/>
    <col min="124" max="146" width="5.1640625" style="60" bestFit="1" customWidth="1"/>
    <col min="147" max="147" width="3.33203125" style="60" bestFit="1" customWidth="1"/>
    <col min="148" max="16384" width="22.6640625" style="60"/>
  </cols>
  <sheetData>
    <row r="1" spans="1:147" ht="26">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c r="EM1" s="99">
        <v>141</v>
      </c>
      <c r="EN1" s="99">
        <v>142</v>
      </c>
      <c r="EO1" s="99">
        <v>143</v>
      </c>
      <c r="EP1" s="99">
        <v>144</v>
      </c>
      <c r="EQ1" s="99">
        <v>145</v>
      </c>
    </row>
    <row r="2" spans="1:147">
      <c r="A2" s="112" t="s">
        <v>278</v>
      </c>
      <c r="B2" s="112"/>
      <c r="C2" s="101">
        <v>1</v>
      </c>
      <c r="D2" s="282">
        <v>116.16</v>
      </c>
      <c r="E2" s="60">
        <f>D2*C2</f>
        <v>116.16</v>
      </c>
      <c r="K2" s="102"/>
      <c r="M2" s="102"/>
    </row>
    <row r="3" spans="1:147">
      <c r="A3" s="100"/>
      <c r="B3" s="64"/>
      <c r="D3" s="100"/>
      <c r="E3" s="64"/>
      <c r="F3" s="103"/>
    </row>
    <row r="4" spans="1:147">
      <c r="A4" s="64"/>
      <c r="B4" s="64"/>
      <c r="D4" s="64"/>
      <c r="E4" s="64"/>
      <c r="H4" s="60" t="s">
        <v>387</v>
      </c>
    </row>
    <row r="5" spans="1:147">
      <c r="A5" s="74"/>
      <c r="B5" s="74"/>
    </row>
    <row r="6" spans="1:147">
      <c r="A6" s="59"/>
      <c r="B6" s="59"/>
      <c r="C6" s="59"/>
      <c r="D6" s="98"/>
      <c r="E6" s="98"/>
      <c r="F6" s="59"/>
      <c r="H6" s="59" t="s">
        <v>416</v>
      </c>
      <c r="I6" s="59">
        <v>43831</v>
      </c>
      <c r="J6" s="59">
        <v>43862</v>
      </c>
      <c r="K6" s="59">
        <v>43891</v>
      </c>
      <c r="L6" s="59">
        <v>43922</v>
      </c>
      <c r="M6" s="59">
        <v>43952</v>
      </c>
      <c r="N6" s="59">
        <v>43983</v>
      </c>
      <c r="O6" s="59">
        <v>44013</v>
      </c>
      <c r="P6" s="59">
        <v>44044</v>
      </c>
      <c r="Q6" s="59">
        <v>44075</v>
      </c>
      <c r="R6" s="59">
        <v>44105</v>
      </c>
      <c r="S6" s="59">
        <v>44136</v>
      </c>
      <c r="T6" s="59">
        <v>44166</v>
      </c>
      <c r="U6" s="59">
        <v>44197</v>
      </c>
      <c r="V6" s="59">
        <v>44228</v>
      </c>
      <c r="W6" s="59">
        <v>44256</v>
      </c>
      <c r="X6" s="59">
        <v>44287</v>
      </c>
      <c r="Y6" s="59">
        <v>44317</v>
      </c>
      <c r="Z6" s="59">
        <v>44348</v>
      </c>
      <c r="AA6" s="59">
        <v>44378</v>
      </c>
      <c r="AB6" s="59">
        <v>44409</v>
      </c>
      <c r="AC6" s="59">
        <v>44440</v>
      </c>
      <c r="AD6" s="59">
        <v>44470</v>
      </c>
      <c r="AE6" s="59">
        <v>44501</v>
      </c>
      <c r="AF6" s="59">
        <v>44531</v>
      </c>
      <c r="AG6" s="59">
        <v>44562</v>
      </c>
      <c r="AH6" s="59">
        <v>44593</v>
      </c>
      <c r="AI6" s="59">
        <v>44621</v>
      </c>
      <c r="AJ6" s="59">
        <v>44652</v>
      </c>
      <c r="AK6" s="59">
        <v>44682</v>
      </c>
      <c r="AL6" s="59">
        <v>44713</v>
      </c>
      <c r="AM6" s="59">
        <v>44743</v>
      </c>
      <c r="AN6" s="59">
        <v>44774</v>
      </c>
      <c r="AO6" s="59">
        <v>44805</v>
      </c>
      <c r="AP6" s="59">
        <v>44835</v>
      </c>
      <c r="AQ6" s="59">
        <v>44866</v>
      </c>
      <c r="AR6" s="59">
        <v>44896</v>
      </c>
      <c r="AS6" s="59">
        <v>44927</v>
      </c>
      <c r="AT6" s="59">
        <v>44958</v>
      </c>
      <c r="AU6" s="59">
        <v>44986</v>
      </c>
      <c r="AV6" s="59">
        <v>45017</v>
      </c>
      <c r="AW6" s="59">
        <v>45047</v>
      </c>
      <c r="AX6" s="59">
        <v>45078</v>
      </c>
      <c r="AY6" s="59">
        <v>45108</v>
      </c>
      <c r="AZ6" s="59" t="s">
        <v>530</v>
      </c>
      <c r="BA6" s="59" t="s">
        <v>531</v>
      </c>
      <c r="BB6" s="59" t="s">
        <v>532</v>
      </c>
      <c r="BC6" s="59">
        <v>37104</v>
      </c>
      <c r="BD6" s="59">
        <v>37469</v>
      </c>
      <c r="BE6" s="59" t="s">
        <v>168</v>
      </c>
      <c r="BF6" s="59" t="s">
        <v>169</v>
      </c>
      <c r="BG6" s="59" t="s">
        <v>421</v>
      </c>
      <c r="BH6" s="59" t="s">
        <v>422</v>
      </c>
      <c r="BI6" s="59" t="s">
        <v>423</v>
      </c>
      <c r="BJ6" s="59" t="s">
        <v>424</v>
      </c>
      <c r="BK6" s="59" t="s">
        <v>435</v>
      </c>
      <c r="BL6" s="59" t="s">
        <v>436</v>
      </c>
      <c r="BM6" s="59" t="s">
        <v>437</v>
      </c>
      <c r="BN6" s="59" t="s">
        <v>438</v>
      </c>
      <c r="BO6" s="59">
        <v>37196</v>
      </c>
      <c r="BP6" s="59">
        <v>37561</v>
      </c>
      <c r="BQ6" s="59">
        <v>37926</v>
      </c>
      <c r="BR6" s="59">
        <v>38292</v>
      </c>
      <c r="BS6" s="59">
        <v>37226</v>
      </c>
      <c r="BT6" s="59">
        <v>37591</v>
      </c>
      <c r="BU6" s="59">
        <v>37956</v>
      </c>
      <c r="BV6" s="59">
        <v>38322</v>
      </c>
      <c r="BW6" s="59">
        <v>36892</v>
      </c>
      <c r="BX6" s="59">
        <v>37257</v>
      </c>
      <c r="BY6" s="59">
        <v>37622</v>
      </c>
      <c r="BZ6" s="59">
        <v>37987</v>
      </c>
      <c r="CA6" s="59">
        <v>36923</v>
      </c>
      <c r="CB6" s="59">
        <v>37288</v>
      </c>
      <c r="CC6" s="59">
        <v>37653</v>
      </c>
      <c r="CD6" s="59">
        <v>38018</v>
      </c>
      <c r="CE6" s="59" t="str">
        <f>Sheet8!A15</f>
        <v>Mar-w1</v>
      </c>
      <c r="CF6" s="59">
        <v>37316</v>
      </c>
      <c r="CG6" s="59">
        <v>37681</v>
      </c>
      <c r="CH6" s="59">
        <v>38047</v>
      </c>
      <c r="CI6" s="59" t="str">
        <f>Sheet8!E15</f>
        <v>Apr-w1</v>
      </c>
      <c r="CJ6" s="59" t="str">
        <f>Sheet8!F15</f>
        <v>Apr-w2</v>
      </c>
      <c r="CK6" s="59" t="str">
        <f>Sheet8!G15</f>
        <v>Apr-w3</v>
      </c>
      <c r="CL6" s="59" t="str">
        <f>Sheet8!H15</f>
        <v>Apr-w4</v>
      </c>
      <c r="CM6" s="59" t="str">
        <f>Sheet8!I15</f>
        <v>May-w1</v>
      </c>
      <c r="CN6" s="59" t="str">
        <f>Sheet8!J15</f>
        <v>May-w2</v>
      </c>
      <c r="CO6" s="59" t="str">
        <f>Sheet8!K15</f>
        <v>May-w3</v>
      </c>
      <c r="CP6" s="59" t="str">
        <f>Sheet8!L15</f>
        <v>May-w4</v>
      </c>
      <c r="CQ6" s="59" t="str">
        <f>Sheet8!M15</f>
        <v>May-w5</v>
      </c>
      <c r="CR6" s="59" t="str">
        <f>Sheet8!N15</f>
        <v>june-w1</v>
      </c>
      <c r="CS6" s="59" t="str">
        <f>Sheet8!O15</f>
        <v>june-w2</v>
      </c>
      <c r="CT6" s="59" t="str">
        <f>Sheet8!P15</f>
        <v>june-w3</v>
      </c>
      <c r="CU6" s="59" t="str">
        <f>Sheet8!Q15</f>
        <v>june-w4</v>
      </c>
      <c r="CV6" s="59" t="str">
        <f>Sheet8!R15</f>
        <v>Jul-w1</v>
      </c>
      <c r="CW6" s="59" t="str">
        <f>Sheet8!S15</f>
        <v>Jul-w2</v>
      </c>
      <c r="CX6" s="59" t="str">
        <f>Sheet8!T15</f>
        <v>Jul-w3</v>
      </c>
      <c r="CY6" s="59" t="str">
        <f>Sheet8!U15</f>
        <v>Jul-w4</v>
      </c>
      <c r="CZ6" s="59" t="str">
        <f>Sheet8!V15</f>
        <v>Aug-w1</v>
      </c>
      <c r="DA6" s="59" t="str">
        <f>Sheet8!W15</f>
        <v>Aug-w2</v>
      </c>
      <c r="DB6" s="59" t="str">
        <f>Sheet8!X15</f>
        <v>Aug-w3</v>
      </c>
      <c r="DC6" s="59" t="str">
        <f>Sheet8!Y15</f>
        <v>Aug-w4</v>
      </c>
      <c r="DD6" s="59" t="str">
        <f>Sheet8!Z15</f>
        <v>Sep-w1</v>
      </c>
      <c r="DE6" s="59" t="str">
        <f>Sheet8!AA15</f>
        <v>Sep-w2</v>
      </c>
      <c r="DF6" s="59" t="str">
        <f>Sheet8!AB15</f>
        <v>Sep-w3</v>
      </c>
      <c r="DG6" s="59" t="str">
        <f>Sheet8!AC15</f>
        <v>Sep-w4</v>
      </c>
      <c r="DH6" s="59" t="str">
        <f>Sheet8!AD15</f>
        <v>Oct-w1</v>
      </c>
      <c r="DI6" s="59" t="str">
        <f>Sheet8!AE15</f>
        <v>Oct-w2</v>
      </c>
      <c r="DJ6" s="59" t="str">
        <f>Sheet8!AF15</f>
        <v>Oct-w3</v>
      </c>
      <c r="DK6" s="59" t="str">
        <f>Sheet8!AG15</f>
        <v>Oct-w4</v>
      </c>
      <c r="DL6" s="59" t="str">
        <f>Sheet8!AH15</f>
        <v>Nov-w1</v>
      </c>
      <c r="DM6" s="59" t="str">
        <f>Sheet8!AI15</f>
        <v>Nov-w2</v>
      </c>
      <c r="DN6" s="59" t="str">
        <f>Sheet8!AJ15</f>
        <v>Nov-w3</v>
      </c>
      <c r="DO6" s="59" t="str">
        <f>Sheet8!AK15</f>
        <v>Nov-w4</v>
      </c>
      <c r="DP6" s="59" t="str">
        <f>Sheet8!AL15</f>
        <v>Dec-w1</v>
      </c>
      <c r="DQ6" s="59" t="str">
        <f>Sheet8!AM15</f>
        <v>Dec-w2</v>
      </c>
      <c r="DR6" s="59" t="str">
        <f>Sheet8!AN15</f>
        <v>Dec-w3</v>
      </c>
      <c r="DS6" s="59" t="str">
        <f>Sheet8!AO15</f>
        <v>Dec-w4</v>
      </c>
      <c r="DT6" s="59">
        <f>Sheet8!AP15</f>
        <v>0</v>
      </c>
      <c r="DU6" s="59">
        <f>Sheet8!AQ15</f>
        <v>0</v>
      </c>
      <c r="DV6" s="59">
        <f>Sheet8!AR15</f>
        <v>0</v>
      </c>
      <c r="DW6" s="59">
        <f>Sheet8!AS15</f>
        <v>0</v>
      </c>
      <c r="DX6" s="59">
        <f>Sheet8!AT15</f>
        <v>0</v>
      </c>
      <c r="DY6" s="59">
        <f>Sheet8!AU15</f>
        <v>0</v>
      </c>
      <c r="DZ6" s="59">
        <f>Sheet8!AV15</f>
        <v>0</v>
      </c>
      <c r="EA6" s="59">
        <f>Sheet8!AW15</f>
        <v>0</v>
      </c>
      <c r="EB6" s="59">
        <f>Sheet8!AX15</f>
        <v>0</v>
      </c>
      <c r="EC6" s="59">
        <f>Sheet8!AY15</f>
        <v>0</v>
      </c>
      <c r="ED6" s="59">
        <f>Sheet8!AZ15</f>
        <v>0</v>
      </c>
      <c r="EE6" s="59">
        <f>Sheet8!BA15</f>
        <v>0</v>
      </c>
      <c r="EF6" s="59">
        <f>Sheet8!BB15</f>
        <v>0</v>
      </c>
      <c r="EG6" s="59">
        <f>Sheet8!BC15</f>
        <v>0</v>
      </c>
      <c r="EH6" s="59">
        <f>Sheet8!BD15</f>
        <v>0</v>
      </c>
      <c r="EI6" s="59">
        <f>Sheet8!BE15</f>
        <v>0</v>
      </c>
      <c r="EJ6" s="59">
        <f>Sheet8!BF15</f>
        <v>0</v>
      </c>
      <c r="EK6" s="59">
        <f>Sheet8!BG15</f>
        <v>0</v>
      </c>
      <c r="EL6" s="59">
        <f>Sheet8!BH15</f>
        <v>0</v>
      </c>
      <c r="EM6" s="59">
        <f>Sheet8!BI15</f>
        <v>0</v>
      </c>
      <c r="EN6" s="59">
        <f>Sheet8!BJ15</f>
        <v>0</v>
      </c>
      <c r="EO6" s="59">
        <f>Sheet8!BK15</f>
        <v>0</v>
      </c>
      <c r="EP6" s="59">
        <f>Sheet8!BL15</f>
        <v>0</v>
      </c>
    </row>
    <row r="7" spans="1:147">
      <c r="B7" s="44"/>
      <c r="D7" s="44"/>
      <c r="F7" s="60" t="s">
        <v>651</v>
      </c>
      <c r="H7" s="178" t="s">
        <v>78</v>
      </c>
      <c r="I7" s="74">
        <f>VLOOKUP($H$7&amp;$F$1,'Input RM sheet'!$A:$BD,H1,0)</f>
        <v>691.5</v>
      </c>
      <c r="J7" s="74">
        <f>VLOOKUP($H$7&amp;$F$1,'Input RM sheet'!$A:$BD,I1,0)</f>
        <v>666.25</v>
      </c>
      <c r="K7" s="74">
        <f>VLOOKUP($H$7&amp;$F$1,'Input RM sheet'!$A:$BD,J1,0)</f>
        <v>650</v>
      </c>
      <c r="L7" s="74">
        <f>VLOOKUP($H$7&amp;$F$1,'Input RM sheet'!$A:$BD,K1,0)</f>
        <v>603</v>
      </c>
      <c r="M7" s="74">
        <f>VLOOKUP($H$7&amp;$F$1,'Input RM sheet'!$A:$BD,L1,0)</f>
        <v>602.5</v>
      </c>
      <c r="N7" s="74">
        <f>VLOOKUP($H$7&amp;$F$1,'Input RM sheet'!$A:$BD,M1,0)</f>
        <v>612.5</v>
      </c>
      <c r="O7" s="74">
        <f>VLOOKUP($H$7&amp;$F$1,'Input RM sheet'!$A:$BD,N1,0)</f>
        <v>627</v>
      </c>
      <c r="P7" s="74">
        <f>VLOOKUP($H$7&amp;$F$1,'Input RM sheet'!$A:$BD,O1,0)</f>
        <v>617.5</v>
      </c>
      <c r="Q7" s="74">
        <f>VLOOKUP($H$7&amp;$F$1,'Input RM sheet'!$A:$BD,P1,0)</f>
        <v>638.75</v>
      </c>
      <c r="R7" s="74">
        <f>VLOOKUP($H$7&amp;$F$1,'Input RM sheet'!$A:$BD,Q1,0)</f>
        <v>696</v>
      </c>
      <c r="S7" s="74">
        <f>VLOOKUP($H$7&amp;$F$1,'Input RM sheet'!$A:$BD,R1,0)</f>
        <v>933.75</v>
      </c>
      <c r="T7" s="74">
        <f>VLOOKUP($H$7&amp;$F$1,'Input RM sheet'!$A:$BD,S1,0)</f>
        <v>1078.75</v>
      </c>
      <c r="U7" s="74">
        <f>VLOOKUP($H$7&amp;$F$1,'Input RM sheet'!$A:$BD,T1,0)</f>
        <v>1238.75</v>
      </c>
      <c r="V7" s="74">
        <f>VLOOKUP($H$7&amp;$F$1,'Input RM sheet'!$A:$BD,U1,0)</f>
        <v>1370</v>
      </c>
      <c r="W7" s="74">
        <f>VLOOKUP($H$7&amp;$F$1,'Input RM sheet'!$A:$BD,V1,0)</f>
        <v>1862.5</v>
      </c>
      <c r="X7" s="74">
        <f>VLOOKUP($H$7&amp;$F$1,'Input RM sheet'!$A:$BD,W1,0)</f>
        <v>1655</v>
      </c>
      <c r="Y7" s="74">
        <f>VLOOKUP($H$7&amp;$F$1,'Input RM sheet'!$A:$BD,X1,0)</f>
        <v>1793.75</v>
      </c>
      <c r="Z7" s="74">
        <f>VLOOKUP($H$7&amp;$F$1,'Input RM sheet'!$A:$BD,Y1,0)</f>
        <v>1843.75</v>
      </c>
      <c r="AA7" s="74">
        <f>VLOOKUP($H$7&amp;$F$1,'Input RM sheet'!$A:$BD,Z1,0)</f>
        <v>1880</v>
      </c>
      <c r="AB7" s="74">
        <f>VLOOKUP($H$7&amp;$F$1,'Input RM sheet'!$A:$BD,AA1,0)</f>
        <v>1950</v>
      </c>
      <c r="AC7" s="74">
        <f>VLOOKUP($H$7&amp;$F$1,'Input RM sheet'!$A:$BD,AB1,0)</f>
        <v>1940</v>
      </c>
      <c r="AD7" s="74">
        <f>VLOOKUP($H$7&amp;$F$1,'Input RM sheet'!$A:$BD,AC1,0)</f>
        <v>1750</v>
      </c>
      <c r="AE7" s="74">
        <f>VLOOKUP($H$7&amp;$F$1,'Input RM sheet'!$A:$BD,AD1,0)</f>
        <v>1662.5</v>
      </c>
      <c r="AF7" s="74">
        <f>VLOOKUP($H$7&amp;$F$1,'Input RM sheet'!$A:$BD,AE1,0)</f>
        <v>1371.25</v>
      </c>
      <c r="AG7" s="74">
        <f>VLOOKUP($H$7&amp;$F$1,'Input RM sheet'!$A:$BD,AF1,0)</f>
        <v>1275</v>
      </c>
      <c r="AH7" s="74">
        <f>VLOOKUP($H$7&amp;$F$1,'Input RM sheet'!$A:$BD,AG1,0)</f>
        <v>1362.5</v>
      </c>
      <c r="AI7" s="74">
        <f>VLOOKUP($H$7&amp;$F$1,'Input RM sheet'!$A:$BD,AH1,0)</f>
        <v>1470</v>
      </c>
      <c r="AJ7" s="74">
        <f>VLOOKUP($H$7&amp;$F$1,'Input RM sheet'!$A:$BD,AI1,0)</f>
        <v>1462.5</v>
      </c>
      <c r="AK7" s="74">
        <f>VLOOKUP($H$7&amp;$F$1,'Input RM sheet'!$A:$BD,AJ1,0)</f>
        <v>1487.5</v>
      </c>
      <c r="AL7" s="74">
        <f>VLOOKUP($H$7&amp;$F$1,'Input RM sheet'!$A:$BD,AK1,0)</f>
        <v>1418</v>
      </c>
      <c r="AM7" s="74">
        <f>VLOOKUP($H$7&amp;$F$1,'Input RM sheet'!$A:$BD,AL1,0)</f>
        <v>1118.75</v>
      </c>
      <c r="AN7" s="74">
        <f>VLOOKUP($H$7&amp;$F$1,'Input RM sheet'!$A:$BD,AM1,0)</f>
        <v>962.5</v>
      </c>
      <c r="AO7" s="74">
        <f>VLOOKUP($H$7&amp;$F$1,'Input RM sheet'!$A:$BD,AN1,0)</f>
        <v>934</v>
      </c>
      <c r="AP7" s="74">
        <f>VLOOKUP($H$7&amp;$F$1,'Input RM sheet'!$A:$BD,AO1,0)</f>
        <v>950</v>
      </c>
      <c r="AQ7" s="74">
        <f>VLOOKUP($H$7&amp;$F$1,'Input RM sheet'!$A:$BD,AP1,0)</f>
        <v>950</v>
      </c>
      <c r="AR7" s="74">
        <f>VLOOKUP($H$7&amp;$F$1,'Input RM sheet'!$A:$BD,AQ1,0)</f>
        <v>935</v>
      </c>
      <c r="AS7" s="74">
        <f>VLOOKUP($H$7&amp;$F$1,'Input RM sheet'!$A:$BD,AR1,0)</f>
        <v>975</v>
      </c>
      <c r="AT7" s="74">
        <f>VLOOKUP($H$7&amp;$F$1,'Input RM sheet'!$A:$BD,AS1,0)</f>
        <v>1005</v>
      </c>
      <c r="AU7" s="74">
        <f>VLOOKUP($H$7&amp;$F$1,'Input RM sheet'!$A:$BD,AT1,0)</f>
        <v>975</v>
      </c>
      <c r="AV7" s="74">
        <f>VLOOKUP($H$7&amp;$F$1,'Input RM sheet'!$A:$BD,AU1,0)</f>
        <v>980</v>
      </c>
      <c r="AW7" s="74">
        <f>VLOOKUP($H$7&amp;$F$1,'Input RM sheet'!$A:$BD,AV1,0)</f>
        <v>975</v>
      </c>
      <c r="AX7" s="74">
        <f>VLOOKUP($H$7&amp;$F$1,'Input RM sheet'!$A:$BD,AW1,0)</f>
        <v>900</v>
      </c>
      <c r="AY7" s="74">
        <f>VLOOKUP($H$7&amp;$F$1,'Input RM sheet'!$A:$BD,AX1,0)</f>
        <v>880</v>
      </c>
      <c r="AZ7" s="74">
        <f>VLOOKUP($H$7&amp;$F$1,'Input RM sheet'!$A:$BD,AY1,0)</f>
        <v>870</v>
      </c>
      <c r="BA7" s="74">
        <f>VLOOKUP($H$7&amp;$F$1,'Input RM sheet'!$A:$BD,AZ1,0)</f>
        <v>870</v>
      </c>
      <c r="BB7" s="74">
        <f>VLOOKUP($H$7&amp;$F$1,'Input RM sheet'!$A:$BD,BA1,0)</f>
        <v>870</v>
      </c>
      <c r="BC7" s="74">
        <f>VLOOKUP($H$7&amp;$F$1,'Input RM sheet'!$A:$BD,BB1,0)</f>
        <v>890</v>
      </c>
      <c r="BD7" s="74">
        <f>VLOOKUP($H$7&amp;$F$1,'Input RM sheet'!$A:$BD,BC1,0)</f>
        <v>900</v>
      </c>
      <c r="BE7" s="74">
        <f>VLOOKUP($H$7&amp;$F$1,'Input RM sheet'!$A:$BD,BD1,0)</f>
        <v>900</v>
      </c>
      <c r="BF7" s="74">
        <f>VLOOKUP($H$7&amp;$F$1,'Input RM sheet'!$A:$BD,BE1,0)</f>
        <v>900</v>
      </c>
      <c r="BG7" s="74">
        <f>VLOOKUP($H$7&amp;$F$1,'Input RM sheet'!$A:$DD,BF1,0)</f>
        <v>1050</v>
      </c>
      <c r="BH7" s="74">
        <f>VLOOKUP($H$7&amp;$F$1,'Input RM sheet'!$A:$DD,BG1,0)</f>
        <v>1050</v>
      </c>
      <c r="BI7" s="74">
        <f>VLOOKUP($H$7&amp;$F$1,'Input RM sheet'!$A:$DD,BH1,0)</f>
        <v>1050</v>
      </c>
      <c r="BJ7" s="74">
        <f>VLOOKUP($H$7&amp;$F$1,'Input RM sheet'!$A:$DD,BI1,0)</f>
        <v>1050</v>
      </c>
      <c r="BK7" s="74">
        <f>VLOOKUP($H$7&amp;$F$1,'Input RM sheet'!$A:$DD,BJ1,0)</f>
        <v>1050</v>
      </c>
      <c r="BL7" s="74">
        <f>VLOOKUP($H$7&amp;$F$1,'Input RM sheet'!$A:$DD,BK1,0)</f>
        <v>1075</v>
      </c>
      <c r="BM7" s="74">
        <f>VLOOKUP($H$7&amp;$F$1,'Input RM sheet'!$A:$DD,BL1,0)</f>
        <v>1050</v>
      </c>
      <c r="BN7" s="74">
        <f>VLOOKUP($H$7&amp;$F$1,'Input RM sheet'!$A:$DD,BM1,0)</f>
        <v>1000</v>
      </c>
      <c r="BO7" s="74">
        <f>VLOOKUP($H$7&amp;$F$1,'Input RM sheet'!$A:$DD,BN1,0)</f>
        <v>975</v>
      </c>
      <c r="BP7" s="74">
        <f>VLOOKUP($H$7&amp;$F$1,'Input RM sheet'!$A:$DD,BO1,0)</f>
        <v>975</v>
      </c>
      <c r="BQ7" s="74">
        <f>VLOOKUP($H$7&amp;$F$1,'Input RM sheet'!$A:$DD,BP1,0)</f>
        <v>975</v>
      </c>
      <c r="BR7" s="74">
        <f>VLOOKUP($H$7&amp;$F$1,'Input RM sheet'!$A:$DD,BQ1,0)</f>
        <v>975</v>
      </c>
      <c r="BS7" s="74">
        <f>VLOOKUP($H$7&amp;$F$1,'Input RM sheet'!$A:$DD,BR1,0)</f>
        <v>975</v>
      </c>
      <c r="BT7" s="74">
        <f>VLOOKUP($H$7&amp;$F$1,'Input RM sheet'!$A:$DD,BS1,0)</f>
        <v>975</v>
      </c>
      <c r="BU7" s="74">
        <f>VLOOKUP($H$7&amp;$F$1,'Input RM sheet'!$A:$DD,BT1,0)</f>
        <v>1000</v>
      </c>
      <c r="BV7" s="74">
        <f>VLOOKUP($H$7&amp;$F$1,'Input RM sheet'!$A:$DD,BU1,0)</f>
        <v>1000</v>
      </c>
      <c r="BW7" s="74">
        <f>VLOOKUP($H$7&amp;$F$1,'Input RM sheet'!$A:$DD,BV1,0)</f>
        <v>1065</v>
      </c>
      <c r="BX7" s="74">
        <f>VLOOKUP($H$7&amp;$F$1,'Input RM sheet'!$A:$DD,BW1,0)</f>
        <v>1085</v>
      </c>
      <c r="BY7" s="74">
        <f>VLOOKUP($H$7&amp;$F$1,'Input RM sheet'!$A:$DD,BX1,0)</f>
        <v>1085</v>
      </c>
      <c r="BZ7" s="74">
        <f>VLOOKUP($H$7&amp;$F$1,'Input RM sheet'!$A:$DD,BY1,0)</f>
        <v>1085</v>
      </c>
      <c r="CA7" s="74">
        <f>VLOOKUP($H$7&amp;$F$1,'Input RM sheet'!$A:$DD,BZ1,0)</f>
        <v>1085</v>
      </c>
      <c r="CB7" s="74">
        <f>VLOOKUP($H$7&amp;$F$1,'Input RM sheet'!$A:$DD,CA1,0)</f>
        <v>1085</v>
      </c>
      <c r="CC7" s="74">
        <f>VLOOKUP($H$7&amp;$F$1,'Input RM sheet'!$A:$DD,CB1,0)</f>
        <v>1085</v>
      </c>
      <c r="CD7" s="74">
        <f>VLOOKUP($H$7&amp;$F$1,'Input RM sheet'!$A:$DD,CC1,0)</f>
        <v>1082.5</v>
      </c>
      <c r="CE7" s="74">
        <f>VLOOKUP($H$7&amp;$F$1,'Input RM sheet'!$A:$DD,CD1,0)</f>
        <v>1082.5</v>
      </c>
      <c r="CF7" s="74">
        <f>VLOOKUP($H$7&amp;$F$1,'Input RM sheet'!$A:$DD,CE1,0)</f>
        <v>1075</v>
      </c>
      <c r="CG7" s="74">
        <f>VLOOKUP($H$7&amp;$F$1,'Input RM sheet'!$A:$DD,CF1,0)</f>
        <v>1030</v>
      </c>
      <c r="CH7" s="74">
        <f>VLOOKUP($H$7&amp;$F$1,'Input RM sheet'!$A:$DD,CG1,0)</f>
        <v>1030</v>
      </c>
      <c r="CI7" s="74">
        <f>VLOOKUP($H$7&amp;$F$1,'Input RM sheet'!$A:$DD,CH1,0)</f>
        <v>1047</v>
      </c>
      <c r="CJ7" s="74">
        <f>VLOOKUP($H$7&amp;$F$1,'Input RM sheet'!$A:$DD,CI1,0)</f>
        <v>1047</v>
      </c>
      <c r="CK7" s="74">
        <f>VLOOKUP($H$7&amp;$F$1,'Input RM sheet'!$A:$DD,CJ1,0)</f>
        <v>1047</v>
      </c>
      <c r="CL7" s="74">
        <f>VLOOKUP($H$7&amp;$F$1,'Input RM sheet'!$A:$DD,CK1,0)</f>
        <v>1045</v>
      </c>
      <c r="CM7" s="74">
        <f>VLOOKUP($H$7&amp;$F$1,'Input RM sheet'!$A:$DD,CL1,0)</f>
        <v>1040</v>
      </c>
      <c r="CN7" s="74">
        <f>VLOOKUP($H$7&amp;$F$1,'Input RM sheet'!$A:$DD,CM1,0)</f>
        <v>1067</v>
      </c>
      <c r="CO7" s="74">
        <f>VLOOKUP($H$7&amp;$F$1,'Input RM sheet'!$A:$DD,CN1,0)</f>
        <v>1067</v>
      </c>
      <c r="CP7" s="74">
        <f>VLOOKUP($H$7&amp;$F$1,'Input RM sheet'!$A:$DD,CO1,0)</f>
        <v>1067</v>
      </c>
      <c r="CQ7" s="74">
        <f>VLOOKUP($H$7&amp;$F$1,'Input RM sheet'!$A:$DD,CP1,0)</f>
        <v>1067</v>
      </c>
      <c r="CR7" s="74">
        <f>VLOOKUP($H$7&amp;$F$1,'Input RM sheet'!$A:$DD,CQ1,0)</f>
        <v>1067</v>
      </c>
      <c r="CS7" s="74">
        <f>VLOOKUP($H$7&amp;$F$1,'Input RM sheet'!$A:$DD,CR1,0)</f>
        <v>1075</v>
      </c>
      <c r="CT7" s="74">
        <f>VLOOKUP($H$7&amp;$F$1,'Input RM sheet'!$A:$DD,CS1,0)</f>
        <v>1075</v>
      </c>
      <c r="CU7" s="74">
        <f>VLOOKUP($H$7&amp;$F$1,'Input RM sheet'!$A:$DD,CT1,0)</f>
        <v>1075</v>
      </c>
      <c r="CV7" s="74">
        <f>VLOOKUP($H$7&amp;$F$1,'Input RM sheet'!$A:$DD,CU1,0)</f>
        <v>1075</v>
      </c>
      <c r="CW7" s="74">
        <f>VLOOKUP($H$7&amp;$F$1,'Input RM sheet'!$A:$DD,CV1,0)</f>
        <v>1075</v>
      </c>
      <c r="CX7" s="74">
        <f>VLOOKUP($H$7&amp;$F$1,'Input RM sheet'!$A:$DD,CW1,0)</f>
        <v>1045</v>
      </c>
      <c r="CY7" s="74">
        <f>VLOOKUP($H$7&amp;$F$1,'Input RM sheet'!$A:$DD,CX1,0)</f>
        <v>1025</v>
      </c>
      <c r="CZ7" s="74">
        <f>VLOOKUP($H$7&amp;$F$1,'Input RM sheet'!$A:$ZZ,CY1,0)</f>
        <v>1025</v>
      </c>
      <c r="DA7" s="74">
        <f>VLOOKUP($H$7&amp;$F$1,'Input RM sheet'!$A:$ZZ,CZ1,0)</f>
        <v>1025</v>
      </c>
      <c r="DB7" s="74">
        <f>VLOOKUP($H$7&amp;$F$1,'Input RM sheet'!$A:$ZZ,DA1,0)</f>
        <v>1025</v>
      </c>
      <c r="DC7" s="74">
        <f>VLOOKUP($H$7&amp;$F$1,'Input RM sheet'!$A:$ZZ,DB1,0)</f>
        <v>990</v>
      </c>
      <c r="DD7" s="74">
        <f>VLOOKUP($H$7&amp;$F$1,'Input RM sheet'!$A:$ZZ,DC1,0)</f>
        <v>940</v>
      </c>
      <c r="DE7" s="74">
        <f>VLOOKUP($H$7&amp;$F$1,'Input RM sheet'!$A:$ZZ,DD1,0)</f>
        <v>940</v>
      </c>
      <c r="DF7" s="74">
        <f>VLOOKUP($H$7&amp;$F$1,'Input RM sheet'!$A:$ZZ,DE1,0)</f>
        <v>940</v>
      </c>
      <c r="DG7" s="74">
        <f>VLOOKUP($H$7&amp;$F$1,'Input RM sheet'!$A:$ZZ,DF1,0)</f>
        <v>940</v>
      </c>
      <c r="DH7" s="74">
        <f>VLOOKUP($H$7&amp;$F$1,'Input RM sheet'!$A:$ZZ,DG1,0)</f>
        <v>940</v>
      </c>
      <c r="DI7" s="74">
        <f>VLOOKUP($H$7&amp;$F$1,'Input RM sheet'!$A:$ZZ,DH1,0)</f>
        <v>900</v>
      </c>
      <c r="DJ7" s="74">
        <f>VLOOKUP($H$7&amp;$F$1,'Input RM sheet'!$A:$ZZ,DI1,0)</f>
        <v>910</v>
      </c>
      <c r="DK7" s="74">
        <f>VLOOKUP($H$7&amp;$F$1,'Input RM sheet'!$A:$ZZ,DJ1,0)</f>
        <v>910</v>
      </c>
      <c r="DL7" s="74">
        <f>VLOOKUP($H$7&amp;$F$1,'Input RM sheet'!$A:$ZZ,DK1,0)</f>
        <v>905</v>
      </c>
      <c r="DM7" s="74">
        <f>VLOOKUP($H$7&amp;$F$1,'Input RM sheet'!$A:$ZZ,DL1,0)</f>
        <v>905</v>
      </c>
      <c r="DN7" s="74">
        <f>VLOOKUP($H$7&amp;$F$1,'Input RM sheet'!$A:$ZZ,DM1,0)</f>
        <v>865</v>
      </c>
      <c r="DO7" s="74">
        <f>VLOOKUP($H$7&amp;$F$1,'Input RM sheet'!$A:$ZZ,DN1,0)</f>
        <v>865</v>
      </c>
      <c r="DP7" s="74">
        <f>VLOOKUP($H$7&amp;$F$1,'Input RM sheet'!$A:$ZZ,DO1,0)</f>
        <v>865</v>
      </c>
      <c r="DQ7" s="74">
        <f>VLOOKUP($H$7&amp;$F$1,'Input RM sheet'!$A:$ZZ,DP1,0)</f>
        <v>870</v>
      </c>
      <c r="DR7" s="74">
        <f>VLOOKUP($H$7&amp;$F$1,'Input RM sheet'!$A:$ZZ,DQ1,0)</f>
        <v>855</v>
      </c>
      <c r="DS7" s="74">
        <f>VLOOKUP($H$7&amp;$F$1,'Input RM sheet'!$A:$ZZ,DR1,0)</f>
        <v>850</v>
      </c>
      <c r="DT7" s="74">
        <f>VLOOKUP($H$7&amp;$F$1,'Input RM sheet'!$A:$ZZ,DS1,0)</f>
        <v>0</v>
      </c>
      <c r="DU7" s="74">
        <f>VLOOKUP($H$7&amp;$F$1,'Input RM sheet'!$A:$ZZ,DT1,0)</f>
        <v>0</v>
      </c>
      <c r="DV7" s="74">
        <f>VLOOKUP($H$7&amp;$F$1,'Input RM sheet'!$A:$ZZ,DU1,0)</f>
        <v>0</v>
      </c>
      <c r="DW7" s="74">
        <f>VLOOKUP($H$7&amp;$F$1,'Input RM sheet'!$A:$ZZ,DV1,0)</f>
        <v>0</v>
      </c>
      <c r="DX7" s="74">
        <f>VLOOKUP($H$7&amp;$F$1,'Input RM sheet'!$A:$ZZ,DW1,0)</f>
        <v>0</v>
      </c>
      <c r="DY7" s="74">
        <f>VLOOKUP($H$7&amp;$F$1,'Input RM sheet'!$A:$ZZ,DX1,0)</f>
        <v>0</v>
      </c>
      <c r="DZ7" s="74">
        <f>VLOOKUP($H$7&amp;$F$1,'Input RM sheet'!$A:$ZZ,DY1,0)</f>
        <v>0</v>
      </c>
      <c r="EA7" s="74">
        <f>VLOOKUP($H$7&amp;$F$1,'Input RM sheet'!$A:$ZZ,DZ1,0)</f>
        <v>0</v>
      </c>
      <c r="EB7" s="74">
        <f>VLOOKUP($H$7&amp;$F$1,'Input RM sheet'!$A:$ZZ,EA1,0)</f>
        <v>0</v>
      </c>
      <c r="EC7" s="74">
        <f>VLOOKUP($H$7&amp;$F$1,'Input RM sheet'!$A:$ZZ,EB1,0)</f>
        <v>0</v>
      </c>
      <c r="ED7" s="74">
        <f>VLOOKUP($H$7&amp;$F$1,'Input RM sheet'!$A:$ZZ,EC1,0)</f>
        <v>0</v>
      </c>
      <c r="EE7" s="74">
        <f>VLOOKUP($H$7&amp;$F$1,'Input RM sheet'!$A:$ZZ,ED1,0)</f>
        <v>0</v>
      </c>
      <c r="EF7" s="74">
        <f>VLOOKUP($H$7&amp;$F$1,'Input RM sheet'!$A:$ZZ,EE1,0)</f>
        <v>0</v>
      </c>
      <c r="EG7" s="74">
        <f>VLOOKUP($H$7&amp;$F$1,'Input RM sheet'!$A:$ZZ,EF1,0)</f>
        <v>0</v>
      </c>
      <c r="EH7" s="74">
        <f>VLOOKUP($H$7&amp;$F$1,'Input RM sheet'!$A:$ZZ,EG1,0)</f>
        <v>0</v>
      </c>
      <c r="EI7" s="74">
        <f>VLOOKUP($H$7&amp;$F$1,'Input RM sheet'!$A:$ZZ,EH1,0)</f>
        <v>0</v>
      </c>
      <c r="EJ7" s="74">
        <f>VLOOKUP($H$7&amp;$F$1,'Input RM sheet'!$A:$ZZ,EI1,0)</f>
        <v>0</v>
      </c>
      <c r="EK7" s="74">
        <f>VLOOKUP($H$7&amp;$F$1,'Input RM sheet'!$A:$ZZ,EJ1,0)</f>
        <v>0</v>
      </c>
      <c r="EL7" s="74">
        <f>VLOOKUP($H$7&amp;$F$1,'Input RM sheet'!$A:$ZZ,EK1,0)</f>
        <v>0</v>
      </c>
      <c r="EM7" s="74">
        <f>VLOOKUP($H$7&amp;$F$1,'Input RM sheet'!$A:$ZZ,EL1,0)</f>
        <v>0</v>
      </c>
      <c r="EN7" s="74">
        <f>VLOOKUP($H$7&amp;$F$1,'Input RM sheet'!$A:$ZZ,EM1,0)</f>
        <v>0</v>
      </c>
      <c r="EO7" s="74">
        <f>VLOOKUP($H$7&amp;$F$1,'Input RM sheet'!$A:$ZZ,EN1,0)</f>
        <v>0</v>
      </c>
      <c r="EP7" s="74">
        <f>VLOOKUP($H$7&amp;$F$1,'Input RM sheet'!$A:$ZZ,EO1,0)</f>
        <v>0</v>
      </c>
    </row>
    <row r="8" spans="1:147">
      <c r="B8" s="44"/>
      <c r="D8" s="44"/>
      <c r="H8" s="60" t="s">
        <v>86</v>
      </c>
      <c r="I8" s="74">
        <f>VLOOKUP($H$8&amp;$F$1,'Input RM sheet'!$A:$BD,H1,0)</f>
        <v>374.5</v>
      </c>
      <c r="J8" s="74">
        <f>VLOOKUP($H$8&amp;$F$1,'Input RM sheet'!$A:$BD,I1,0)</f>
        <v>375.625</v>
      </c>
      <c r="K8" s="74">
        <f>VLOOKUP($H$8&amp;$F$1,'Input RM sheet'!$A:$BD,J1,0)</f>
        <v>340</v>
      </c>
      <c r="L8" s="74">
        <f>VLOOKUP($H$8&amp;$F$1,'Input RM sheet'!$A:$BD,K1,0)</f>
        <v>313.75</v>
      </c>
      <c r="M8" s="74">
        <f>VLOOKUP($H$8&amp;$F$1,'Input RM sheet'!$A:$BD,L1,0)</f>
        <v>326</v>
      </c>
      <c r="N8" s="74">
        <f>VLOOKUP($H$8&amp;$F$1,'Input RM sheet'!$A:$BD,M1,0)</f>
        <v>315</v>
      </c>
      <c r="O8" s="74">
        <f>VLOOKUP($H$8&amp;$F$1,'Input RM sheet'!$A:$BD,N1,0)</f>
        <v>337.5</v>
      </c>
      <c r="P8" s="74">
        <f>VLOOKUP($H$8&amp;$F$1,'Input RM sheet'!$A:$BD,O1,0)</f>
        <v>337.5</v>
      </c>
      <c r="Q8" s="74">
        <f>VLOOKUP($H$8&amp;$F$1,'Input RM sheet'!$A:$BD,P1,0)</f>
        <v>361.25</v>
      </c>
      <c r="R8" s="74">
        <f>VLOOKUP($H$8&amp;$F$1,'Input RM sheet'!$A:$BD,Q1,0)</f>
        <v>386.5</v>
      </c>
      <c r="S8" s="74">
        <f>VLOOKUP($H$8&amp;$F$1,'Input RM sheet'!$A:$BD,R1,0)</f>
        <v>426.25</v>
      </c>
      <c r="T8" s="74">
        <f>VLOOKUP($H$8&amp;$F$1,'Input RM sheet'!$A:$BD,S1,0)</f>
        <v>673.75</v>
      </c>
      <c r="U8" s="74">
        <f>VLOOKUP($H$8&amp;$F$1,'Input RM sheet'!$A:$BD,T1,0)</f>
        <v>645.625</v>
      </c>
      <c r="V8" s="74">
        <f>VLOOKUP($H$8&amp;$F$1,'Input RM sheet'!$A:$BD,U1,0)</f>
        <v>812.5</v>
      </c>
      <c r="W8" s="74">
        <f>VLOOKUP($H$8&amp;$F$1,'Input RM sheet'!$A:$BD,V1,0)</f>
        <v>973</v>
      </c>
      <c r="X8" s="74">
        <f>VLOOKUP($H$8&amp;$F$1,'Input RM sheet'!$A:$BD,W1,0)</f>
        <v>997</v>
      </c>
      <c r="Y8" s="74">
        <f>VLOOKUP($H$8&amp;$F$1,'Input RM sheet'!$A:$BD,X1,0)</f>
        <v>1040</v>
      </c>
      <c r="Z8" s="74">
        <f>VLOOKUP($H$8&amp;$F$1,'Input RM sheet'!$A:$BD,Y1,0)</f>
        <v>1018.75</v>
      </c>
      <c r="AA8" s="74">
        <f>VLOOKUP($H$8&amp;$F$1,'Input RM sheet'!$A:$BD,Z1,0)</f>
        <v>897</v>
      </c>
      <c r="AB8" s="74">
        <f>VLOOKUP($H$8&amp;$F$1,'Input RM sheet'!$A:$BD,AA1,0)</f>
        <v>861.25</v>
      </c>
      <c r="AC8" s="74">
        <f>VLOOKUP($H$8&amp;$F$1,'Input RM sheet'!$A:$BD,AB1,0)</f>
        <v>973.75</v>
      </c>
      <c r="AD8" s="74">
        <f>VLOOKUP($H$8&amp;$F$1,'Input RM sheet'!$A:$BD,AC1,0)</f>
        <v>1227</v>
      </c>
      <c r="AE8" s="74">
        <f>VLOOKUP($H$8&amp;$F$1,'Input RM sheet'!$A:$BD,AD1,0)</f>
        <v>1052.5</v>
      </c>
      <c r="AF8" s="74">
        <f>VLOOKUP($H$8&amp;$F$1,'Input RM sheet'!$A:$BD,AE1,0)</f>
        <v>885.625</v>
      </c>
      <c r="AG8" s="74">
        <f>VLOOKUP($H$8&amp;$F$1,'Input RM sheet'!$A:$BD,AF1,0)</f>
        <v>801.25</v>
      </c>
      <c r="AH8" s="74">
        <f>VLOOKUP($H$8&amp;$F$1,'Input RM sheet'!$A:$BD,AG1,0)</f>
        <v>705.625</v>
      </c>
      <c r="AI8" s="74">
        <f>VLOOKUP($H$8&amp;$F$1,'Input RM sheet'!$A:$BD,AH1,0)</f>
        <v>701.875</v>
      </c>
      <c r="AJ8" s="74">
        <f>VLOOKUP($H$8&amp;$F$1,'Input RM sheet'!$A:$BD,AI1,0)</f>
        <v>784</v>
      </c>
      <c r="AK8" s="74">
        <f>VLOOKUP($H$8&amp;$F$1,'Input RM sheet'!$A:$BD,AJ1,0)</f>
        <v>730</v>
      </c>
      <c r="AL8" s="74">
        <f>VLOOKUP($H$8&amp;$F$1,'Input RM sheet'!$A:$BD,AK1,0)</f>
        <v>703.75</v>
      </c>
      <c r="AM8" s="74">
        <f>VLOOKUP($H$8&amp;$F$1,'Input RM sheet'!$A:$BD,AL1,0)</f>
        <v>581</v>
      </c>
      <c r="AN8" s="74">
        <f>VLOOKUP($H$8&amp;$F$1,'Input RM sheet'!$A:$BD,AM1,0)</f>
        <v>531.25</v>
      </c>
      <c r="AO8" s="74">
        <f>VLOOKUP($H$8&amp;$F$1,'Input RM sheet'!$A:$BD,AN1,0)</f>
        <v>495.5</v>
      </c>
      <c r="AP8" s="74">
        <f>VLOOKUP($H$8&amp;$F$1,'Input RM sheet'!$A:$BD,AO1,0)</f>
        <v>476.25</v>
      </c>
      <c r="AQ8" s="74">
        <f>VLOOKUP($H$8&amp;$F$1,'Input RM sheet'!$A:$BD,AP1,0)</f>
        <v>475</v>
      </c>
      <c r="AR8" s="74">
        <f>VLOOKUP($H$8&amp;$F$1,'Input RM sheet'!$A:$BD,AQ1,0)</f>
        <v>440</v>
      </c>
      <c r="AS8" s="74">
        <f>VLOOKUP($H$8&amp;$F$1,'Input RM sheet'!$A:$BD,AR1,0)</f>
        <v>440</v>
      </c>
      <c r="AT8" s="74">
        <f>VLOOKUP($H$8&amp;$F$1,'Input RM sheet'!$A:$BD,AS1,0)</f>
        <v>445</v>
      </c>
      <c r="AU8" s="74">
        <f>VLOOKUP($H$8&amp;$F$1,'Input RM sheet'!$A:$BD,AT1,0)</f>
        <v>452</v>
      </c>
      <c r="AV8" s="74">
        <f>VLOOKUP($H$8&amp;$F$1,'Input RM sheet'!$A:$BD,AU1,0)</f>
        <v>447.5</v>
      </c>
      <c r="AW8" s="74">
        <f>VLOOKUP($H$8&amp;$F$1,'Input RM sheet'!$A:$BD,AV1,0)</f>
        <v>455</v>
      </c>
      <c r="AX8" s="74">
        <f>VLOOKUP($H$8&amp;$F$1,'Input RM sheet'!$A:$BD,AW1,0)</f>
        <v>460</v>
      </c>
      <c r="AY8" s="74">
        <f>VLOOKUP($H$8&amp;$F$1,'Input RM sheet'!$A:$BD,AX1,0)</f>
        <v>415</v>
      </c>
      <c r="AZ8" s="74">
        <f>VLOOKUP($H$8&amp;$F$1,'Input RM sheet'!$A:$BD,AY1,0)</f>
        <v>435</v>
      </c>
      <c r="BA8" s="74">
        <f>VLOOKUP($H$8&amp;$F$1,'Input RM sheet'!$A:$BD,AZ1,0)</f>
        <v>445</v>
      </c>
      <c r="BB8" s="74">
        <f>VLOOKUP($H$8&amp;$F$1,'Input RM sheet'!$A:$BD,BA1,0)</f>
        <v>425</v>
      </c>
      <c r="BC8" s="74">
        <f>VLOOKUP($H$8&amp;$F$1,'Input RM sheet'!$A:$BD,BB1,0)</f>
        <v>425</v>
      </c>
      <c r="BD8" s="74">
        <f>VLOOKUP($H$8&amp;$F$1,'Input RM sheet'!$A:$BD,BC1,0)</f>
        <v>440</v>
      </c>
      <c r="BE8" s="74">
        <f>VLOOKUP($H$8&amp;$F$1,'Input RM sheet'!$A:$BD,BD1,0)</f>
        <v>465</v>
      </c>
      <c r="BF8" s="74">
        <f>VLOOKUP($H$8&amp;$F$1,'Input RM sheet'!$A:$BD,BE1,0)</f>
        <v>480</v>
      </c>
      <c r="BG8" s="74">
        <f>VLOOKUP($H$8&amp;$F$1,'Input RM sheet'!$A:$DD,BF1,0)</f>
        <v>510</v>
      </c>
      <c r="BH8" s="74">
        <f>VLOOKUP($H$8&amp;$F$1,'Input RM sheet'!$A:$DD,BG1,0)</f>
        <v>522.5</v>
      </c>
      <c r="BI8" s="74">
        <f>VLOOKUP($H$8&amp;$F$1,'Input RM sheet'!$A:$DD,BH1,0)</f>
        <v>582.5</v>
      </c>
      <c r="BJ8" s="74">
        <f>VLOOKUP($H$8&amp;$F$1,'Input RM sheet'!$A:$DD,BI1,0)</f>
        <v>612.5</v>
      </c>
      <c r="BK8" s="74">
        <f>VLOOKUP($H$8&amp;$F$1,'Input RM sheet'!$A:$DD,BJ1,0)</f>
        <v>592.5</v>
      </c>
      <c r="BL8" s="74">
        <f>VLOOKUP($H$8&amp;$F$1,'Input RM sheet'!$A:$DD,BK1,0)</f>
        <v>564</v>
      </c>
      <c r="BM8" s="74">
        <f>VLOOKUP($H$8&amp;$F$1,'Input RM sheet'!$A:$DD,BL1,0)</f>
        <v>510</v>
      </c>
      <c r="BN8" s="74">
        <f>VLOOKUP($H$8&amp;$F$1,'Input RM sheet'!$A:$DD,BM1,0)</f>
        <v>475</v>
      </c>
      <c r="BO8" s="74">
        <f>VLOOKUP($H$8&amp;$F$1,'Input RM sheet'!$A:$DD,BN1,0)</f>
        <v>455</v>
      </c>
      <c r="BP8" s="74">
        <f>VLOOKUP($H$8&amp;$F$1,'Input RM sheet'!$A:$DD,BO1,0)</f>
        <v>435</v>
      </c>
      <c r="BQ8" s="74">
        <f>VLOOKUP($H$8&amp;$F$1,'Input RM sheet'!$A:$DD,BP1,0)</f>
        <v>435</v>
      </c>
      <c r="BR8" s="74">
        <f>VLOOKUP($H$8&amp;$F$1,'Input RM sheet'!$A:$DD,BQ1,0)</f>
        <v>435</v>
      </c>
      <c r="BS8" s="74">
        <f>VLOOKUP($H$8&amp;$F$1,'Input RM sheet'!$A:$DD,BR1,0)</f>
        <v>435</v>
      </c>
      <c r="BT8" s="74">
        <f>VLOOKUP($H$8&amp;$F$1,'Input RM sheet'!$A:$DD,BS1,0)</f>
        <v>480</v>
      </c>
      <c r="BU8" s="74">
        <f>VLOOKUP($H$8&amp;$F$1,'Input RM sheet'!$A:$DD,BT1,0)</f>
        <v>450</v>
      </c>
      <c r="BV8" s="74">
        <f>VLOOKUP($H$8&amp;$F$1,'Input RM sheet'!$A:$DD,BU1,0)</f>
        <v>452.5</v>
      </c>
      <c r="BW8" s="74">
        <f>VLOOKUP($H$8&amp;$F$1,'Input RM sheet'!$A:$DD,BV1,0)</f>
        <v>450</v>
      </c>
      <c r="BX8" s="74">
        <f>VLOOKUP($H$8&amp;$F$1,'Input RM sheet'!$A:$DD,BW1,0)</f>
        <v>445</v>
      </c>
      <c r="BY8" s="74">
        <f>VLOOKUP($H$8&amp;$F$1,'Input RM sheet'!$A:$DD,BX1,0)</f>
        <v>445</v>
      </c>
      <c r="BZ8" s="74">
        <f>VLOOKUP($H$8&amp;$F$1,'Input RM sheet'!$A:$DD,BY1,0)</f>
        <v>455</v>
      </c>
      <c r="CA8" s="74">
        <f>VLOOKUP($H$8&amp;$F$1,'Input RM sheet'!$A:$DD,BZ1,0)</f>
        <v>455</v>
      </c>
      <c r="CB8" s="74">
        <f>VLOOKUP($H$8&amp;$F$1,'Input RM sheet'!$A:$DD,CA1,0)</f>
        <v>462</v>
      </c>
      <c r="CC8" s="74">
        <f>VLOOKUP($H$8&amp;$F$1,'Input RM sheet'!$A:$DD,CB1,0)</f>
        <v>457.5</v>
      </c>
      <c r="CD8" s="74">
        <f>VLOOKUP($H$8&amp;$F$1,'Input RM sheet'!$A:$DD,CC1,0)</f>
        <v>465</v>
      </c>
      <c r="CE8" s="74">
        <f>VLOOKUP($H$8&amp;$F$1,'Input RM sheet'!$A:$DD,CD1,0)</f>
        <v>465</v>
      </c>
      <c r="CF8" s="74">
        <f>VLOOKUP($H$8&amp;$F$1,'Input RM sheet'!$A:$DD,CE1,0)</f>
        <v>465</v>
      </c>
      <c r="CG8" s="74">
        <f>VLOOKUP($H$8&amp;$F$1,'Input RM sheet'!$A:$DD,CF1,0)</f>
        <v>455</v>
      </c>
      <c r="CH8" s="74">
        <f>VLOOKUP($H$8&amp;$F$1,'Input RM sheet'!$A:$DD,CG1,0)</f>
        <v>452.5</v>
      </c>
      <c r="CI8" s="74">
        <f>VLOOKUP($H$8&amp;$F$1,'Input RM sheet'!$A:$DD,CH1,0)</f>
        <v>470</v>
      </c>
      <c r="CJ8" s="74">
        <f>VLOOKUP($H$8&amp;$F$1,'Input RM sheet'!$A:$DD,CI1,0)</f>
        <v>475</v>
      </c>
      <c r="CK8" s="74">
        <f>VLOOKUP($H$8&amp;$F$1,'Input RM sheet'!$A:$DD,CJ1,0)</f>
        <v>475</v>
      </c>
      <c r="CL8" s="74">
        <f>VLOOKUP($H$8&amp;$F$1,'Input RM sheet'!$A:$DD,CK1,0)</f>
        <v>475</v>
      </c>
      <c r="CM8" s="74">
        <f>VLOOKUP($H$8&amp;$F$1,'Input RM sheet'!$A:$DD,CL1,0)</f>
        <v>475</v>
      </c>
      <c r="CN8" s="74">
        <f>VLOOKUP($H$8&amp;$F$1,'Input RM sheet'!$A:$DD,CM1,0)</f>
        <v>460</v>
      </c>
      <c r="CO8" s="74">
        <f>VLOOKUP($H$8&amp;$F$1,'Input RM sheet'!$A:$DD,CN1,0)</f>
        <v>460</v>
      </c>
      <c r="CP8" s="74">
        <f>VLOOKUP($H$8&amp;$F$1,'Input RM sheet'!$A:$DD,CO1,0)</f>
        <v>460</v>
      </c>
      <c r="CQ8" s="74">
        <f>VLOOKUP($H$8&amp;$F$1,'Input RM sheet'!$A:$DD,CP1,0)</f>
        <v>450</v>
      </c>
      <c r="CR8" s="74">
        <f>VLOOKUP($H$8&amp;$F$1,'Input RM sheet'!$A:$DD,CQ1,0)</f>
        <v>445</v>
      </c>
      <c r="CS8" s="74">
        <f>VLOOKUP($H$8&amp;$F$1,'Input RM sheet'!$A:$DD,CR1,0)</f>
        <v>450</v>
      </c>
      <c r="CT8" s="74">
        <f>VLOOKUP($H$8&amp;$F$1,'Input RM sheet'!$A:$DD,CS1,0)</f>
        <v>445</v>
      </c>
      <c r="CU8" s="74">
        <f>VLOOKUP($H$8&amp;$F$1,'Input RM sheet'!$A:$DD,CT1,0)</f>
        <v>440</v>
      </c>
      <c r="CV8" s="74">
        <f>VLOOKUP($H$8&amp;$F$1,'Input RM sheet'!$A:$DD,CU1,0)</f>
        <v>437.5</v>
      </c>
      <c r="CW8" s="74">
        <f>VLOOKUP($H$8&amp;$F$1,'Input RM sheet'!$A:$DD,CV1,0)</f>
        <v>437.5</v>
      </c>
      <c r="CX8" s="74">
        <f>VLOOKUP($H$8&amp;$F$1,'Input RM sheet'!$A:$DD,CW1,0)</f>
        <v>440</v>
      </c>
      <c r="CY8" s="74">
        <f>VLOOKUP($H$8&amp;$F$1,'Input RM sheet'!$A:$DD,CX1,0)</f>
        <v>445</v>
      </c>
      <c r="CZ8" s="74">
        <f>VLOOKUP($H$8&amp;$F$1,'Input RM sheet'!$A:$ZZ,CY1,0)</f>
        <v>445</v>
      </c>
      <c r="DA8" s="74">
        <f>VLOOKUP($H$8&amp;$F$1,'Input RM sheet'!$A:$ZZ,CZ1,0)</f>
        <v>445</v>
      </c>
      <c r="DB8" s="74">
        <f>VLOOKUP($H$8&amp;$F$1,'Input RM sheet'!$A:$ZZ,DA1,0)</f>
        <v>452</v>
      </c>
      <c r="DC8" s="74">
        <f>VLOOKUP($H$8&amp;$F$1,'Input RM sheet'!$A:$ZZ,DB1,0)</f>
        <v>452</v>
      </c>
      <c r="DD8" s="74">
        <f>VLOOKUP($H$8&amp;$F$1,'Input RM sheet'!$A:$ZZ,DC1,0)</f>
        <v>442</v>
      </c>
      <c r="DE8" s="74">
        <f>VLOOKUP($H$8&amp;$F$1,'Input RM sheet'!$A:$ZZ,DD1,0)</f>
        <v>442</v>
      </c>
      <c r="DF8" s="74">
        <f>VLOOKUP($H$8&amp;$F$1,'Input RM sheet'!$A:$ZZ,DE1,0)</f>
        <v>440</v>
      </c>
      <c r="DG8" s="74">
        <f>VLOOKUP($H$8&amp;$F$1,'Input RM sheet'!$A:$ZZ,DF1,0)</f>
        <v>432.5</v>
      </c>
      <c r="DH8" s="74">
        <f>VLOOKUP($H$8&amp;$F$1,'Input RM sheet'!$A:$ZZ,DG1,0)</f>
        <v>432.5</v>
      </c>
      <c r="DI8" s="74">
        <f>VLOOKUP($H$8&amp;$F$1,'Input RM sheet'!$A:$ZZ,DH1,0)</f>
        <v>427.5</v>
      </c>
      <c r="DJ8" s="74">
        <f>VLOOKUP($H$8&amp;$F$1,'Input RM sheet'!$A:$ZZ,DI1,0)</f>
        <v>425</v>
      </c>
      <c r="DK8" s="74">
        <f>VLOOKUP($H$8&amp;$F$1,'Input RM sheet'!$A:$ZZ,DJ1,0)</f>
        <v>420</v>
      </c>
      <c r="DL8" s="74">
        <f>VLOOKUP($H$8&amp;$F$1,'Input RM sheet'!$A:$ZZ,DK1,0)</f>
        <v>417.5</v>
      </c>
      <c r="DM8" s="74">
        <f>VLOOKUP($H$8&amp;$F$1,'Input RM sheet'!$A:$ZZ,DL1,0)</f>
        <v>412.5</v>
      </c>
      <c r="DN8" s="74">
        <f>VLOOKUP($H$8&amp;$F$1,'Input RM sheet'!$A:$ZZ,DM1,0)</f>
        <v>407.5</v>
      </c>
      <c r="DO8" s="74">
        <f>VLOOKUP($H$8&amp;$F$1,'Input RM sheet'!$A:$ZZ,DN1,0)</f>
        <v>407.5</v>
      </c>
      <c r="DP8" s="74">
        <f>VLOOKUP($H$8&amp;$F$1,'Input RM sheet'!$A:$ZZ,DO1,0)</f>
        <v>407.5</v>
      </c>
      <c r="DQ8" s="74">
        <f>VLOOKUP($H$8&amp;$F$1,'Input RM sheet'!$A:$ZZ,DP1,0)</f>
        <v>407.5</v>
      </c>
      <c r="DR8" s="74">
        <f>VLOOKUP($H$8&amp;$F$1,'Input RM sheet'!$A:$ZZ,DQ1,0)</f>
        <v>405</v>
      </c>
      <c r="DS8" s="74">
        <f>VLOOKUP($H$8&amp;$F$1,'Input RM sheet'!$A:$ZZ,DR1,0)</f>
        <v>405</v>
      </c>
      <c r="DT8" s="74">
        <f>VLOOKUP($H$8&amp;$F$1,'Input RM sheet'!$A:$ZZ,DS1,0)</f>
        <v>0</v>
      </c>
      <c r="DU8" s="74">
        <f>VLOOKUP($H$8&amp;$F$1,'Input RM sheet'!$A:$ZZ,DT1,0)</f>
        <v>0</v>
      </c>
      <c r="DV8" s="74">
        <f>VLOOKUP($H$8&amp;$F$1,'Input RM sheet'!$A:$ZZ,DU1,0)</f>
        <v>0</v>
      </c>
      <c r="DW8" s="74">
        <f>VLOOKUP($H$8&amp;$F$1,'Input RM sheet'!$A:$ZZ,DV1,0)</f>
        <v>0</v>
      </c>
      <c r="DX8" s="74">
        <f>VLOOKUP($H$8&amp;$F$1,'Input RM sheet'!$A:$ZZ,DW1,0)</f>
        <v>0</v>
      </c>
      <c r="DY8" s="74">
        <f>VLOOKUP($H$8&amp;$F$1,'Input RM sheet'!$A:$ZZ,DX1,0)</f>
        <v>0</v>
      </c>
      <c r="DZ8" s="74">
        <f>VLOOKUP($H$8&amp;$F$1,'Input RM sheet'!$A:$ZZ,DY1,0)</f>
        <v>0</v>
      </c>
      <c r="EA8" s="74">
        <f>VLOOKUP($H$8&amp;$F$1,'Input RM sheet'!$A:$ZZ,DZ1,0)</f>
        <v>0</v>
      </c>
      <c r="EB8" s="74">
        <f>VLOOKUP($H$8&amp;$F$1,'Input RM sheet'!$A:$ZZ,EA1,0)</f>
        <v>0</v>
      </c>
      <c r="EC8" s="74">
        <f>VLOOKUP($H$8&amp;$F$1,'Input RM sheet'!$A:$ZZ,EB1,0)</f>
        <v>0</v>
      </c>
      <c r="ED8" s="74">
        <f>VLOOKUP($H$8&amp;$F$1,'Input RM sheet'!$A:$ZZ,EC1,0)</f>
        <v>0</v>
      </c>
      <c r="EE8" s="74">
        <f>VLOOKUP($H$8&amp;$F$1,'Input RM sheet'!$A:$ZZ,ED1,0)</f>
        <v>0</v>
      </c>
      <c r="EF8" s="74">
        <f>VLOOKUP($H$8&amp;$F$1,'Input RM sheet'!$A:$ZZ,EE1,0)</f>
        <v>0</v>
      </c>
      <c r="EG8" s="74">
        <f>VLOOKUP($H$8&amp;$F$1,'Input RM sheet'!$A:$ZZ,EF1,0)</f>
        <v>0</v>
      </c>
      <c r="EH8" s="74">
        <f>VLOOKUP($H$8&amp;$F$1,'Input RM sheet'!$A:$ZZ,EG1,0)</f>
        <v>0</v>
      </c>
      <c r="EI8" s="74">
        <f>VLOOKUP($H$8&amp;$F$1,'Input RM sheet'!$A:$ZZ,EH1,0)</f>
        <v>0</v>
      </c>
      <c r="EJ8" s="74">
        <f>VLOOKUP($H$8&amp;$F$1,'Input RM sheet'!$A:$ZZ,EI1,0)</f>
        <v>0</v>
      </c>
      <c r="EK8" s="74">
        <f>VLOOKUP($H$8&amp;$F$1,'Input RM sheet'!$A:$ZZ,EJ1,0)</f>
        <v>0</v>
      </c>
      <c r="EL8" s="74">
        <f>VLOOKUP($H$8&amp;$F$1,'Input RM sheet'!$A:$ZZ,EK1,0)</f>
        <v>0</v>
      </c>
      <c r="EM8" s="74">
        <f>VLOOKUP($H$8&amp;$F$1,'Input RM sheet'!$A:$ZZ,EL1,0)</f>
        <v>0</v>
      </c>
      <c r="EN8" s="74">
        <f>VLOOKUP($H$8&amp;$F$1,'Input RM sheet'!$A:$ZZ,EM1,0)</f>
        <v>0</v>
      </c>
      <c r="EO8" s="74">
        <f>VLOOKUP($H$8&amp;$F$1,'Input RM sheet'!$A:$ZZ,EN1,0)</f>
        <v>0</v>
      </c>
      <c r="EP8" s="74">
        <f>VLOOKUP($H$8&amp;$F$1,'Input RM sheet'!$A:$ZZ,EO1,0)</f>
        <v>0</v>
      </c>
    </row>
    <row r="9" spans="1:147" ht="26">
      <c r="A9" s="59" t="s">
        <v>395</v>
      </c>
      <c r="B9" s="59"/>
      <c r="C9" s="59" t="s">
        <v>379</v>
      </c>
      <c r="D9" s="98" t="s">
        <v>380</v>
      </c>
      <c r="E9" s="98" t="s">
        <v>381</v>
      </c>
      <c r="F9" s="59" t="s">
        <v>396</v>
      </c>
      <c r="H9" s="60" t="s">
        <v>399</v>
      </c>
      <c r="I9" s="84"/>
      <c r="J9" s="84"/>
      <c r="K9" s="84"/>
      <c r="L9" s="84"/>
      <c r="M9" s="84"/>
      <c r="N9" s="84"/>
      <c r="O9" s="84"/>
      <c r="P9" s="84"/>
      <c r="Q9" s="84"/>
      <c r="R9" s="84"/>
      <c r="S9" s="84"/>
      <c r="T9" s="84"/>
      <c r="U9" s="84"/>
      <c r="V9" s="84"/>
      <c r="W9" s="84"/>
      <c r="X9" s="84"/>
      <c r="Y9" s="84"/>
      <c r="Z9" s="84"/>
      <c r="AA9" s="84"/>
      <c r="AB9" s="84"/>
      <c r="AC9" s="84"/>
      <c r="AD9" s="84"/>
      <c r="AE9" s="84"/>
      <c r="AF9" s="84"/>
      <c r="AG9" s="84"/>
      <c r="AH9" s="84"/>
      <c r="AI9" s="84"/>
      <c r="AJ9" s="84"/>
      <c r="AK9" s="84"/>
      <c r="AL9" s="84"/>
      <c r="AM9" s="84"/>
      <c r="AN9" s="84"/>
      <c r="AO9" s="84"/>
      <c r="AP9" s="84"/>
      <c r="AQ9" s="84"/>
      <c r="AR9" s="84"/>
      <c r="AS9" s="84"/>
      <c r="AT9" s="84"/>
      <c r="AU9" s="84"/>
    </row>
    <row r="10" spans="1:147" ht="13">
      <c r="A10" s="107" t="s">
        <v>397</v>
      </c>
      <c r="B10" s="178" t="s">
        <v>78</v>
      </c>
      <c r="C10" s="60">
        <v>1</v>
      </c>
      <c r="D10" s="112">
        <v>74.12</v>
      </c>
      <c r="E10" s="60">
        <f>D10*C10</f>
        <v>74.12</v>
      </c>
      <c r="F10" s="65">
        <v>0.55000000000000004</v>
      </c>
      <c r="I10" s="74">
        <f>$F$10*(I7/1000)</f>
        <v>0.38032500000000002</v>
      </c>
      <c r="J10" s="74">
        <f t="shared" ref="J10:BU10" si="0">$F$10*(J7/1000)</f>
        <v>0.36643750000000003</v>
      </c>
      <c r="K10" s="74">
        <f t="shared" si="0"/>
        <v>0.35750000000000004</v>
      </c>
      <c r="L10" s="74">
        <f t="shared" si="0"/>
        <v>0.33165</v>
      </c>
      <c r="M10" s="74">
        <f t="shared" si="0"/>
        <v>0.33137500000000003</v>
      </c>
      <c r="N10" s="74">
        <f t="shared" si="0"/>
        <v>0.33687500000000004</v>
      </c>
      <c r="O10" s="74">
        <f t="shared" si="0"/>
        <v>0.34485000000000005</v>
      </c>
      <c r="P10" s="74">
        <f t="shared" si="0"/>
        <v>0.33962500000000007</v>
      </c>
      <c r="Q10" s="74">
        <f t="shared" si="0"/>
        <v>0.35131250000000003</v>
      </c>
      <c r="R10" s="74">
        <f t="shared" si="0"/>
        <v>0.38280000000000003</v>
      </c>
      <c r="S10" s="74">
        <f t="shared" si="0"/>
        <v>0.51356250000000003</v>
      </c>
      <c r="T10" s="74">
        <f t="shared" si="0"/>
        <v>0.59331250000000013</v>
      </c>
      <c r="U10" s="74">
        <f t="shared" si="0"/>
        <v>0.6813125000000001</v>
      </c>
      <c r="V10" s="74">
        <f t="shared" si="0"/>
        <v>0.75350000000000017</v>
      </c>
      <c r="W10" s="74">
        <f t="shared" si="0"/>
        <v>1.024375</v>
      </c>
      <c r="X10" s="74">
        <f t="shared" si="0"/>
        <v>0.91025000000000011</v>
      </c>
      <c r="Y10" s="74">
        <f t="shared" si="0"/>
        <v>0.98656250000000001</v>
      </c>
      <c r="Z10" s="74">
        <f t="shared" si="0"/>
        <v>1.0140625000000001</v>
      </c>
      <c r="AA10" s="74">
        <f t="shared" si="0"/>
        <v>1.034</v>
      </c>
      <c r="AB10" s="74">
        <f t="shared" si="0"/>
        <v>1.0725</v>
      </c>
      <c r="AC10" s="74">
        <f t="shared" si="0"/>
        <v>1.0669999999999999</v>
      </c>
      <c r="AD10" s="74">
        <f t="shared" si="0"/>
        <v>0.96250000000000013</v>
      </c>
      <c r="AE10" s="74">
        <f t="shared" si="0"/>
        <v>0.91437500000000016</v>
      </c>
      <c r="AF10" s="74">
        <f t="shared" si="0"/>
        <v>0.75418750000000012</v>
      </c>
      <c r="AG10" s="74">
        <f t="shared" si="0"/>
        <v>0.70125000000000004</v>
      </c>
      <c r="AH10" s="74">
        <f t="shared" si="0"/>
        <v>0.74937500000000012</v>
      </c>
      <c r="AI10" s="74">
        <f t="shared" si="0"/>
        <v>0.8085</v>
      </c>
      <c r="AJ10" s="74">
        <f t="shared" si="0"/>
        <v>0.80437500000000006</v>
      </c>
      <c r="AK10" s="74">
        <f t="shared" si="0"/>
        <v>0.8181250000000001</v>
      </c>
      <c r="AL10" s="74">
        <f t="shared" si="0"/>
        <v>0.77990000000000004</v>
      </c>
      <c r="AM10" s="74">
        <f t="shared" si="0"/>
        <v>0.61531250000000004</v>
      </c>
      <c r="AN10" s="74">
        <f t="shared" si="0"/>
        <v>0.52937500000000004</v>
      </c>
      <c r="AO10" s="74">
        <f t="shared" si="0"/>
        <v>0.51370000000000005</v>
      </c>
      <c r="AP10" s="74">
        <f t="shared" si="0"/>
        <v>0.52249999999999996</v>
      </c>
      <c r="AQ10" s="74">
        <f t="shared" si="0"/>
        <v>0.52249999999999996</v>
      </c>
      <c r="AR10" s="74">
        <f t="shared" si="0"/>
        <v>0.5142500000000001</v>
      </c>
      <c r="AS10" s="74">
        <f t="shared" si="0"/>
        <v>0.53625</v>
      </c>
      <c r="AT10" s="74">
        <f t="shared" si="0"/>
        <v>0.55274999999999996</v>
      </c>
      <c r="AU10" s="74">
        <f t="shared" si="0"/>
        <v>0.53625</v>
      </c>
      <c r="AV10" s="74">
        <f t="shared" si="0"/>
        <v>0.53900000000000003</v>
      </c>
      <c r="AW10" s="74">
        <f t="shared" si="0"/>
        <v>0.53625</v>
      </c>
      <c r="AX10" s="74">
        <f t="shared" si="0"/>
        <v>0.49500000000000005</v>
      </c>
      <c r="AY10" s="74">
        <f t="shared" si="0"/>
        <v>0.48400000000000004</v>
      </c>
      <c r="AZ10" s="74">
        <f t="shared" si="0"/>
        <v>0.47850000000000004</v>
      </c>
      <c r="BA10" s="74">
        <f t="shared" si="0"/>
        <v>0.47850000000000004</v>
      </c>
      <c r="BB10" s="74">
        <f t="shared" si="0"/>
        <v>0.47850000000000004</v>
      </c>
      <c r="BC10" s="74">
        <f t="shared" si="0"/>
        <v>0.48950000000000005</v>
      </c>
      <c r="BD10" s="74">
        <f t="shared" si="0"/>
        <v>0.49500000000000005</v>
      </c>
      <c r="BE10" s="74">
        <f t="shared" si="0"/>
        <v>0.49500000000000005</v>
      </c>
      <c r="BF10" s="74">
        <f t="shared" si="0"/>
        <v>0.49500000000000005</v>
      </c>
      <c r="BG10" s="74">
        <f t="shared" si="0"/>
        <v>0.57750000000000012</v>
      </c>
      <c r="BH10" s="74">
        <f t="shared" si="0"/>
        <v>0.57750000000000012</v>
      </c>
      <c r="BI10" s="74">
        <f t="shared" si="0"/>
        <v>0.57750000000000012</v>
      </c>
      <c r="BJ10" s="74">
        <f t="shared" si="0"/>
        <v>0.57750000000000012</v>
      </c>
      <c r="BK10" s="74">
        <f t="shared" si="0"/>
        <v>0.57750000000000012</v>
      </c>
      <c r="BL10" s="74">
        <f t="shared" si="0"/>
        <v>0.59125000000000005</v>
      </c>
      <c r="BM10" s="74">
        <f t="shared" si="0"/>
        <v>0.57750000000000012</v>
      </c>
      <c r="BN10" s="74">
        <f t="shared" si="0"/>
        <v>0.55000000000000004</v>
      </c>
      <c r="BO10" s="74">
        <f t="shared" si="0"/>
        <v>0.53625</v>
      </c>
      <c r="BP10" s="74">
        <f t="shared" si="0"/>
        <v>0.53625</v>
      </c>
      <c r="BQ10" s="74">
        <f t="shared" si="0"/>
        <v>0.53625</v>
      </c>
      <c r="BR10" s="74">
        <f t="shared" si="0"/>
        <v>0.53625</v>
      </c>
      <c r="BS10" s="74">
        <f t="shared" si="0"/>
        <v>0.53625</v>
      </c>
      <c r="BT10" s="74">
        <f t="shared" si="0"/>
        <v>0.53625</v>
      </c>
      <c r="BU10" s="74">
        <f t="shared" si="0"/>
        <v>0.55000000000000004</v>
      </c>
      <c r="BV10" s="74">
        <f>$F$10*(BV7/1000)</f>
        <v>0.55000000000000004</v>
      </c>
      <c r="BW10" s="74">
        <f>$F$10*(BW7/1000)</f>
        <v>0.58574999999999999</v>
      </c>
      <c r="BX10" s="74">
        <f>$F$10*(BX7/1000)</f>
        <v>0.59675</v>
      </c>
      <c r="BY10" s="74">
        <f>$F$10*(BY7/1000)</f>
        <v>0.59675</v>
      </c>
      <c r="BZ10" s="74">
        <f>$F$10*(BZ7/1000)</f>
        <v>0.59675</v>
      </c>
      <c r="CA10" s="74">
        <f t="shared" ref="CA10:CH10" si="1">$F$10*(CA7/1000)</f>
        <v>0.59675</v>
      </c>
      <c r="CB10" s="74">
        <f t="shared" si="1"/>
        <v>0.59675</v>
      </c>
      <c r="CC10" s="74">
        <f t="shared" si="1"/>
        <v>0.59675</v>
      </c>
      <c r="CD10" s="74">
        <f t="shared" si="1"/>
        <v>0.5953750000000001</v>
      </c>
      <c r="CE10" s="74">
        <f t="shared" si="1"/>
        <v>0.5953750000000001</v>
      </c>
      <c r="CF10" s="74">
        <f t="shared" si="1"/>
        <v>0.59125000000000005</v>
      </c>
      <c r="CG10" s="74">
        <f t="shared" si="1"/>
        <v>0.56650000000000011</v>
      </c>
      <c r="CH10" s="74">
        <f t="shared" si="1"/>
        <v>0.56650000000000011</v>
      </c>
      <c r="CI10" s="74">
        <f>$F$10*(CI7/1000)</f>
        <v>0.57584999999999997</v>
      </c>
      <c r="CJ10" s="74">
        <f>$F$10*(CJ7/1000)</f>
        <v>0.57584999999999997</v>
      </c>
      <c r="CK10" s="74">
        <f>$F$10*(CK7/1000)</f>
        <v>0.57584999999999997</v>
      </c>
      <c r="CL10" s="74">
        <f>$F$10*(CL7/1000)</f>
        <v>0.57474999999999998</v>
      </c>
      <c r="CM10" s="74">
        <f t="shared" ref="CM10:CZ10" si="2">$F$10*(CM7/1000)</f>
        <v>0.57200000000000006</v>
      </c>
      <c r="CN10" s="74">
        <f t="shared" si="2"/>
        <v>0.58684999999999998</v>
      </c>
      <c r="CO10" s="74">
        <f t="shared" si="2"/>
        <v>0.58684999999999998</v>
      </c>
      <c r="CP10" s="74">
        <f t="shared" si="2"/>
        <v>0.58684999999999998</v>
      </c>
      <c r="CQ10" s="74">
        <f t="shared" si="2"/>
        <v>0.58684999999999998</v>
      </c>
      <c r="CR10" s="74">
        <f t="shared" si="2"/>
        <v>0.58684999999999998</v>
      </c>
      <c r="CS10" s="74">
        <f t="shared" si="2"/>
        <v>0.59125000000000005</v>
      </c>
      <c r="CT10" s="74">
        <f t="shared" si="2"/>
        <v>0.59125000000000005</v>
      </c>
      <c r="CU10" s="74">
        <f t="shared" si="2"/>
        <v>0.59125000000000005</v>
      </c>
      <c r="CV10" s="74">
        <f t="shared" si="2"/>
        <v>0.59125000000000005</v>
      </c>
      <c r="CW10" s="74">
        <f t="shared" si="2"/>
        <v>0.59125000000000005</v>
      </c>
      <c r="CX10" s="74">
        <f t="shared" si="2"/>
        <v>0.57474999999999998</v>
      </c>
      <c r="CY10" s="74">
        <f t="shared" si="2"/>
        <v>0.56374999999999997</v>
      </c>
      <c r="CZ10" s="74">
        <f t="shared" si="2"/>
        <v>0.56374999999999997</v>
      </c>
      <c r="DA10" s="74">
        <f t="shared" ref="DA10:DJ10" si="3">$F$10*(DA7/1000)</f>
        <v>0.56374999999999997</v>
      </c>
      <c r="DB10" s="74">
        <f t="shared" si="3"/>
        <v>0.56374999999999997</v>
      </c>
      <c r="DC10" s="74">
        <f t="shared" si="3"/>
        <v>0.54449999999999998</v>
      </c>
      <c r="DD10" s="74">
        <f t="shared" si="3"/>
        <v>0.51700000000000002</v>
      </c>
      <c r="DE10" s="74">
        <f t="shared" si="3"/>
        <v>0.51700000000000002</v>
      </c>
      <c r="DF10" s="74">
        <f t="shared" si="3"/>
        <v>0.51700000000000002</v>
      </c>
      <c r="DG10" s="74">
        <f t="shared" si="3"/>
        <v>0.51700000000000002</v>
      </c>
      <c r="DH10" s="74">
        <f t="shared" si="3"/>
        <v>0.51700000000000002</v>
      </c>
      <c r="DI10" s="74">
        <f t="shared" si="3"/>
        <v>0.49500000000000005</v>
      </c>
      <c r="DJ10" s="74">
        <f t="shared" si="3"/>
        <v>0.50050000000000006</v>
      </c>
      <c r="DK10" s="74">
        <f t="shared" ref="DK10:EP10" si="4">$F$10*(DK7/1000)</f>
        <v>0.50050000000000006</v>
      </c>
      <c r="DL10" s="74">
        <f t="shared" si="4"/>
        <v>0.49775000000000008</v>
      </c>
      <c r="DM10" s="74">
        <f t="shared" si="4"/>
        <v>0.49775000000000008</v>
      </c>
      <c r="DN10" s="74">
        <f t="shared" si="4"/>
        <v>0.47575000000000001</v>
      </c>
      <c r="DO10" s="74">
        <f t="shared" si="4"/>
        <v>0.47575000000000001</v>
      </c>
      <c r="DP10" s="74">
        <f t="shared" si="4"/>
        <v>0.47575000000000001</v>
      </c>
      <c r="DQ10" s="74">
        <f t="shared" si="4"/>
        <v>0.47850000000000004</v>
      </c>
      <c r="DR10" s="74">
        <f t="shared" si="4"/>
        <v>0.47025</v>
      </c>
      <c r="DS10" s="74">
        <f t="shared" si="4"/>
        <v>0.46750000000000003</v>
      </c>
      <c r="DT10" s="74">
        <f t="shared" si="4"/>
        <v>0</v>
      </c>
      <c r="DU10" s="74">
        <f t="shared" si="4"/>
        <v>0</v>
      </c>
      <c r="DV10" s="74">
        <f t="shared" si="4"/>
        <v>0</v>
      </c>
      <c r="DW10" s="74">
        <f t="shared" si="4"/>
        <v>0</v>
      </c>
      <c r="DX10" s="74">
        <f t="shared" si="4"/>
        <v>0</v>
      </c>
      <c r="DY10" s="74">
        <f t="shared" si="4"/>
        <v>0</v>
      </c>
      <c r="DZ10" s="74">
        <f t="shared" si="4"/>
        <v>0</v>
      </c>
      <c r="EA10" s="74">
        <f t="shared" si="4"/>
        <v>0</v>
      </c>
      <c r="EB10" s="74">
        <f t="shared" si="4"/>
        <v>0</v>
      </c>
      <c r="EC10" s="74">
        <f t="shared" si="4"/>
        <v>0</v>
      </c>
      <c r="ED10" s="74">
        <f t="shared" si="4"/>
        <v>0</v>
      </c>
      <c r="EE10" s="74">
        <f t="shared" si="4"/>
        <v>0</v>
      </c>
      <c r="EF10" s="74">
        <f t="shared" si="4"/>
        <v>0</v>
      </c>
      <c r="EG10" s="74">
        <f t="shared" si="4"/>
        <v>0</v>
      </c>
      <c r="EH10" s="74">
        <f t="shared" si="4"/>
        <v>0</v>
      </c>
      <c r="EI10" s="74">
        <f t="shared" si="4"/>
        <v>0</v>
      </c>
      <c r="EJ10" s="74">
        <f t="shared" si="4"/>
        <v>0</v>
      </c>
      <c r="EK10" s="74">
        <f t="shared" si="4"/>
        <v>0</v>
      </c>
      <c r="EL10" s="74">
        <f t="shared" si="4"/>
        <v>0</v>
      </c>
      <c r="EM10" s="74">
        <f t="shared" si="4"/>
        <v>0</v>
      </c>
      <c r="EN10" s="74">
        <f t="shared" si="4"/>
        <v>0</v>
      </c>
      <c r="EO10" s="74">
        <f t="shared" si="4"/>
        <v>0</v>
      </c>
      <c r="EP10" s="74">
        <f t="shared" si="4"/>
        <v>0</v>
      </c>
    </row>
    <row r="11" spans="1:147">
      <c r="A11" s="67"/>
      <c r="B11" s="60" t="s">
        <v>86</v>
      </c>
      <c r="C11" s="60">
        <v>1</v>
      </c>
      <c r="D11" s="65">
        <v>60.052</v>
      </c>
      <c r="E11" s="60">
        <f>D11*C11</f>
        <v>60.052</v>
      </c>
      <c r="F11" s="65">
        <v>0.45</v>
      </c>
      <c r="I11" s="74">
        <f>$F$11*(I8/1000)</f>
        <v>0.16852500000000001</v>
      </c>
      <c r="J11" s="74">
        <f t="shared" ref="J11:BU11" si="5">$F$11*(J8/1000)</f>
        <v>0.16903124999999999</v>
      </c>
      <c r="K11" s="74">
        <f t="shared" si="5"/>
        <v>0.15300000000000002</v>
      </c>
      <c r="L11" s="74">
        <f t="shared" si="5"/>
        <v>0.14118749999999999</v>
      </c>
      <c r="M11" s="74">
        <f t="shared" si="5"/>
        <v>0.1467</v>
      </c>
      <c r="N11" s="74">
        <f t="shared" si="5"/>
        <v>0.14175000000000001</v>
      </c>
      <c r="O11" s="74">
        <f t="shared" si="5"/>
        <v>0.15187500000000001</v>
      </c>
      <c r="P11" s="74">
        <f t="shared" si="5"/>
        <v>0.15187500000000001</v>
      </c>
      <c r="Q11" s="74">
        <f t="shared" si="5"/>
        <v>0.1625625</v>
      </c>
      <c r="R11" s="74">
        <f t="shared" si="5"/>
        <v>0.173925</v>
      </c>
      <c r="S11" s="74">
        <f t="shared" si="5"/>
        <v>0.19181250000000002</v>
      </c>
      <c r="T11" s="74">
        <f t="shared" si="5"/>
        <v>0.3031875</v>
      </c>
      <c r="U11" s="74">
        <f t="shared" si="5"/>
        <v>0.29053125000000002</v>
      </c>
      <c r="V11" s="74">
        <f t="shared" si="5"/>
        <v>0.36562500000000003</v>
      </c>
      <c r="W11" s="74">
        <f t="shared" si="5"/>
        <v>0.43785000000000002</v>
      </c>
      <c r="X11" s="74">
        <f t="shared" si="5"/>
        <v>0.44864999999999999</v>
      </c>
      <c r="Y11" s="74">
        <f t="shared" si="5"/>
        <v>0.46800000000000003</v>
      </c>
      <c r="Z11" s="74">
        <f t="shared" si="5"/>
        <v>0.45843750000000005</v>
      </c>
      <c r="AA11" s="74">
        <f t="shared" si="5"/>
        <v>0.40365000000000001</v>
      </c>
      <c r="AB11" s="74">
        <f t="shared" si="5"/>
        <v>0.38756249999999998</v>
      </c>
      <c r="AC11" s="74">
        <f t="shared" si="5"/>
        <v>0.43818750000000001</v>
      </c>
      <c r="AD11" s="74">
        <f t="shared" si="5"/>
        <v>0.55215000000000003</v>
      </c>
      <c r="AE11" s="74">
        <f t="shared" si="5"/>
        <v>0.47362500000000002</v>
      </c>
      <c r="AF11" s="74">
        <f t="shared" si="5"/>
        <v>0.39853125</v>
      </c>
      <c r="AG11" s="74">
        <f t="shared" si="5"/>
        <v>0.36056250000000001</v>
      </c>
      <c r="AH11" s="74">
        <f t="shared" si="5"/>
        <v>0.31753124999999999</v>
      </c>
      <c r="AI11" s="74">
        <f t="shared" si="5"/>
        <v>0.31584375000000003</v>
      </c>
      <c r="AJ11" s="74">
        <f t="shared" si="5"/>
        <v>0.3528</v>
      </c>
      <c r="AK11" s="74">
        <f t="shared" si="5"/>
        <v>0.32850000000000001</v>
      </c>
      <c r="AL11" s="74">
        <f t="shared" si="5"/>
        <v>0.31668750000000001</v>
      </c>
      <c r="AM11" s="74">
        <f t="shared" si="5"/>
        <v>0.26145000000000002</v>
      </c>
      <c r="AN11" s="74">
        <f t="shared" si="5"/>
        <v>0.23906250000000001</v>
      </c>
      <c r="AO11" s="74">
        <f t="shared" si="5"/>
        <v>0.22297500000000001</v>
      </c>
      <c r="AP11" s="74">
        <f t="shared" si="5"/>
        <v>0.21431250000000002</v>
      </c>
      <c r="AQ11" s="74">
        <f t="shared" si="5"/>
        <v>0.21375</v>
      </c>
      <c r="AR11" s="74">
        <f t="shared" si="5"/>
        <v>0.19800000000000001</v>
      </c>
      <c r="AS11" s="74">
        <f t="shared" si="5"/>
        <v>0.19800000000000001</v>
      </c>
      <c r="AT11" s="74">
        <f t="shared" si="5"/>
        <v>0.20025000000000001</v>
      </c>
      <c r="AU11" s="74">
        <f t="shared" si="5"/>
        <v>0.2034</v>
      </c>
      <c r="AV11" s="74">
        <f t="shared" si="5"/>
        <v>0.201375</v>
      </c>
      <c r="AW11" s="74">
        <f t="shared" si="5"/>
        <v>0.20475000000000002</v>
      </c>
      <c r="AX11" s="74">
        <f t="shared" si="5"/>
        <v>0.20700000000000002</v>
      </c>
      <c r="AY11" s="74">
        <f t="shared" si="5"/>
        <v>0.18675</v>
      </c>
      <c r="AZ11" s="74">
        <f t="shared" si="5"/>
        <v>0.19575000000000001</v>
      </c>
      <c r="BA11" s="74">
        <f t="shared" si="5"/>
        <v>0.20025000000000001</v>
      </c>
      <c r="BB11" s="74">
        <f t="shared" si="5"/>
        <v>0.19125</v>
      </c>
      <c r="BC11" s="74">
        <f t="shared" si="5"/>
        <v>0.19125</v>
      </c>
      <c r="BD11" s="74">
        <f t="shared" si="5"/>
        <v>0.19800000000000001</v>
      </c>
      <c r="BE11" s="74">
        <f t="shared" si="5"/>
        <v>0.20925000000000002</v>
      </c>
      <c r="BF11" s="74">
        <f t="shared" si="5"/>
        <v>0.216</v>
      </c>
      <c r="BG11" s="74">
        <f t="shared" si="5"/>
        <v>0.22950000000000001</v>
      </c>
      <c r="BH11" s="74">
        <f t="shared" si="5"/>
        <v>0.235125</v>
      </c>
      <c r="BI11" s="74">
        <f t="shared" si="5"/>
        <v>0.262125</v>
      </c>
      <c r="BJ11" s="74">
        <f t="shared" si="5"/>
        <v>0.27562500000000001</v>
      </c>
      <c r="BK11" s="74">
        <f t="shared" si="5"/>
        <v>0.266625</v>
      </c>
      <c r="BL11" s="74">
        <f t="shared" si="5"/>
        <v>0.25379999999999997</v>
      </c>
      <c r="BM11" s="74">
        <f t="shared" si="5"/>
        <v>0.22950000000000001</v>
      </c>
      <c r="BN11" s="74">
        <f t="shared" si="5"/>
        <v>0.21375</v>
      </c>
      <c r="BO11" s="74">
        <f t="shared" si="5"/>
        <v>0.20475000000000002</v>
      </c>
      <c r="BP11" s="74">
        <f t="shared" si="5"/>
        <v>0.19575000000000001</v>
      </c>
      <c r="BQ11" s="74">
        <f t="shared" si="5"/>
        <v>0.19575000000000001</v>
      </c>
      <c r="BR11" s="74">
        <f t="shared" si="5"/>
        <v>0.19575000000000001</v>
      </c>
      <c r="BS11" s="74">
        <f t="shared" si="5"/>
        <v>0.19575000000000001</v>
      </c>
      <c r="BT11" s="74">
        <f t="shared" si="5"/>
        <v>0.216</v>
      </c>
      <c r="BU11" s="74">
        <f t="shared" si="5"/>
        <v>0.20250000000000001</v>
      </c>
      <c r="BV11" s="74">
        <f>$F$11*(BV8/1000)</f>
        <v>0.203625</v>
      </c>
      <c r="BW11" s="74">
        <f>$F$11*(BW8/1000)</f>
        <v>0.20250000000000001</v>
      </c>
      <c r="BX11" s="74">
        <f>$F$11*(BX8/1000)</f>
        <v>0.20025000000000001</v>
      </c>
      <c r="BY11" s="74">
        <f>$F$11*(BY8/1000)</f>
        <v>0.20025000000000001</v>
      </c>
      <c r="BZ11" s="74">
        <f>$F$11*(BZ8/1000)</f>
        <v>0.20475000000000002</v>
      </c>
      <c r="CA11" s="74">
        <f t="shared" ref="CA11:CH11" si="6">$F$11*(CA8/1000)</f>
        <v>0.20475000000000002</v>
      </c>
      <c r="CB11" s="74">
        <f t="shared" si="6"/>
        <v>0.2079</v>
      </c>
      <c r="CC11" s="74">
        <f t="shared" si="6"/>
        <v>0.205875</v>
      </c>
      <c r="CD11" s="74">
        <f t="shared" si="6"/>
        <v>0.20925000000000002</v>
      </c>
      <c r="CE11" s="74">
        <f t="shared" si="6"/>
        <v>0.20925000000000002</v>
      </c>
      <c r="CF11" s="74">
        <f t="shared" si="6"/>
        <v>0.20925000000000002</v>
      </c>
      <c r="CG11" s="74">
        <f t="shared" si="6"/>
        <v>0.20475000000000002</v>
      </c>
      <c r="CH11" s="74">
        <f t="shared" si="6"/>
        <v>0.203625</v>
      </c>
      <c r="CI11" s="74">
        <f>$F$11*(CI8/1000)</f>
        <v>0.21149999999999999</v>
      </c>
      <c r="CJ11" s="74">
        <f>$F$11*(CJ8/1000)</f>
        <v>0.21375</v>
      </c>
      <c r="CK11" s="74">
        <f>$F$11*(CK8/1000)</f>
        <v>0.21375</v>
      </c>
      <c r="CL11" s="74">
        <f>$F$11*(CL8/1000)</f>
        <v>0.21375</v>
      </c>
      <c r="CM11" s="74">
        <f t="shared" ref="CM11:CZ11" si="7">$F$11*(CM8/1000)</f>
        <v>0.21375</v>
      </c>
      <c r="CN11" s="74">
        <f t="shared" si="7"/>
        <v>0.20700000000000002</v>
      </c>
      <c r="CO11" s="74">
        <f t="shared" si="7"/>
        <v>0.20700000000000002</v>
      </c>
      <c r="CP11" s="74">
        <f t="shared" si="7"/>
        <v>0.20700000000000002</v>
      </c>
      <c r="CQ11" s="74">
        <f t="shared" si="7"/>
        <v>0.20250000000000001</v>
      </c>
      <c r="CR11" s="74">
        <f t="shared" si="7"/>
        <v>0.20025000000000001</v>
      </c>
      <c r="CS11" s="74">
        <f t="shared" si="7"/>
        <v>0.20250000000000001</v>
      </c>
      <c r="CT11" s="74">
        <f t="shared" si="7"/>
        <v>0.20025000000000001</v>
      </c>
      <c r="CU11" s="74">
        <f t="shared" si="7"/>
        <v>0.19800000000000001</v>
      </c>
      <c r="CV11" s="74">
        <f t="shared" si="7"/>
        <v>0.19687499999999999</v>
      </c>
      <c r="CW11" s="74">
        <f t="shared" si="7"/>
        <v>0.19687499999999999</v>
      </c>
      <c r="CX11" s="74">
        <f t="shared" si="7"/>
        <v>0.19800000000000001</v>
      </c>
      <c r="CY11" s="74">
        <f t="shared" si="7"/>
        <v>0.20025000000000001</v>
      </c>
      <c r="CZ11" s="74">
        <f t="shared" si="7"/>
        <v>0.20025000000000001</v>
      </c>
      <c r="DA11" s="74">
        <f t="shared" ref="DA11:DJ11" si="8">$F$11*(DA8/1000)</f>
        <v>0.20025000000000001</v>
      </c>
      <c r="DB11" s="74">
        <f t="shared" si="8"/>
        <v>0.2034</v>
      </c>
      <c r="DC11" s="74">
        <f t="shared" si="8"/>
        <v>0.2034</v>
      </c>
      <c r="DD11" s="74">
        <f t="shared" si="8"/>
        <v>0.19889999999999999</v>
      </c>
      <c r="DE11" s="74">
        <f t="shared" si="8"/>
        <v>0.19889999999999999</v>
      </c>
      <c r="DF11" s="74">
        <f t="shared" si="8"/>
        <v>0.19800000000000001</v>
      </c>
      <c r="DG11" s="74">
        <f t="shared" si="8"/>
        <v>0.19462499999999999</v>
      </c>
      <c r="DH11" s="74">
        <f t="shared" si="8"/>
        <v>0.19462499999999999</v>
      </c>
      <c r="DI11" s="74">
        <f t="shared" si="8"/>
        <v>0.19237499999999999</v>
      </c>
      <c r="DJ11" s="74">
        <f t="shared" si="8"/>
        <v>0.19125</v>
      </c>
      <c r="DK11" s="74">
        <f t="shared" ref="DK11:EP11" si="9">$F$11*(DK8/1000)</f>
        <v>0.189</v>
      </c>
      <c r="DL11" s="74">
        <f t="shared" si="9"/>
        <v>0.18787499999999999</v>
      </c>
      <c r="DM11" s="74">
        <f t="shared" si="9"/>
        <v>0.18562499999999998</v>
      </c>
      <c r="DN11" s="74">
        <f t="shared" si="9"/>
        <v>0.18337499999999998</v>
      </c>
      <c r="DO11" s="74">
        <f t="shared" si="9"/>
        <v>0.18337499999999998</v>
      </c>
      <c r="DP11" s="74">
        <f t="shared" si="9"/>
        <v>0.18337499999999998</v>
      </c>
      <c r="DQ11" s="74">
        <f t="shared" si="9"/>
        <v>0.18337499999999998</v>
      </c>
      <c r="DR11" s="74">
        <f t="shared" si="9"/>
        <v>0.18225000000000002</v>
      </c>
      <c r="DS11" s="74">
        <f t="shared" si="9"/>
        <v>0.18225000000000002</v>
      </c>
      <c r="DT11" s="74">
        <f t="shared" si="9"/>
        <v>0</v>
      </c>
      <c r="DU11" s="74">
        <f t="shared" si="9"/>
        <v>0</v>
      </c>
      <c r="DV11" s="74">
        <f t="shared" si="9"/>
        <v>0</v>
      </c>
      <c r="DW11" s="74">
        <f t="shared" si="9"/>
        <v>0</v>
      </c>
      <c r="DX11" s="74">
        <f t="shared" si="9"/>
        <v>0</v>
      </c>
      <c r="DY11" s="74">
        <f t="shared" si="9"/>
        <v>0</v>
      </c>
      <c r="DZ11" s="74">
        <f t="shared" si="9"/>
        <v>0</v>
      </c>
      <c r="EA11" s="74">
        <f t="shared" si="9"/>
        <v>0</v>
      </c>
      <c r="EB11" s="74">
        <f t="shared" si="9"/>
        <v>0</v>
      </c>
      <c r="EC11" s="74">
        <f t="shared" si="9"/>
        <v>0</v>
      </c>
      <c r="ED11" s="74">
        <f t="shared" si="9"/>
        <v>0</v>
      </c>
      <c r="EE11" s="74">
        <f t="shared" si="9"/>
        <v>0</v>
      </c>
      <c r="EF11" s="74">
        <f t="shared" si="9"/>
        <v>0</v>
      </c>
      <c r="EG11" s="74">
        <f t="shared" si="9"/>
        <v>0</v>
      </c>
      <c r="EH11" s="74">
        <f t="shared" si="9"/>
        <v>0</v>
      </c>
      <c r="EI11" s="74">
        <f t="shared" si="9"/>
        <v>0</v>
      </c>
      <c r="EJ11" s="74">
        <f t="shared" si="9"/>
        <v>0</v>
      </c>
      <c r="EK11" s="74">
        <f t="shared" si="9"/>
        <v>0</v>
      </c>
      <c r="EL11" s="74">
        <f t="shared" si="9"/>
        <v>0</v>
      </c>
      <c r="EM11" s="74">
        <f t="shared" si="9"/>
        <v>0</v>
      </c>
      <c r="EN11" s="74">
        <f t="shared" si="9"/>
        <v>0</v>
      </c>
      <c r="EO11" s="74">
        <f t="shared" si="9"/>
        <v>0</v>
      </c>
      <c r="EP11" s="74">
        <f t="shared" si="9"/>
        <v>0</v>
      </c>
    </row>
    <row r="12" spans="1:147" s="104" customFormat="1">
      <c r="A12" s="104" t="s">
        <v>400</v>
      </c>
      <c r="H12" s="60"/>
      <c r="I12" s="105">
        <f>SUM(I10:I11)</f>
        <v>0.54885000000000006</v>
      </c>
      <c r="J12" s="105">
        <f t="shared" ref="J12:BU12" si="10">SUM(J10:J11)</f>
        <v>0.53546875000000005</v>
      </c>
      <c r="K12" s="105">
        <f t="shared" si="10"/>
        <v>0.51050000000000006</v>
      </c>
      <c r="L12" s="105">
        <f t="shared" si="10"/>
        <v>0.47283750000000002</v>
      </c>
      <c r="M12" s="105">
        <f t="shared" si="10"/>
        <v>0.47807500000000003</v>
      </c>
      <c r="N12" s="105">
        <f t="shared" si="10"/>
        <v>0.47862500000000008</v>
      </c>
      <c r="O12" s="105">
        <f t="shared" si="10"/>
        <v>0.49672500000000008</v>
      </c>
      <c r="P12" s="105">
        <f t="shared" si="10"/>
        <v>0.49150000000000005</v>
      </c>
      <c r="Q12" s="105">
        <f t="shared" si="10"/>
        <v>0.51387500000000008</v>
      </c>
      <c r="R12" s="105">
        <f t="shared" si="10"/>
        <v>0.55672500000000003</v>
      </c>
      <c r="S12" s="105">
        <f t="shared" si="10"/>
        <v>0.70537500000000009</v>
      </c>
      <c r="T12" s="105">
        <f t="shared" si="10"/>
        <v>0.89650000000000007</v>
      </c>
      <c r="U12" s="105">
        <f t="shared" si="10"/>
        <v>0.97184375000000012</v>
      </c>
      <c r="V12" s="105">
        <f t="shared" si="10"/>
        <v>1.1191250000000001</v>
      </c>
      <c r="W12" s="105">
        <f t="shared" si="10"/>
        <v>1.4622250000000001</v>
      </c>
      <c r="X12" s="105">
        <f t="shared" si="10"/>
        <v>1.3589000000000002</v>
      </c>
      <c r="Y12" s="105">
        <f t="shared" si="10"/>
        <v>1.4545625</v>
      </c>
      <c r="Z12" s="105">
        <f t="shared" si="10"/>
        <v>1.4725000000000001</v>
      </c>
      <c r="AA12" s="105">
        <f t="shared" si="10"/>
        <v>1.4376500000000001</v>
      </c>
      <c r="AB12" s="105">
        <f t="shared" si="10"/>
        <v>1.4600625</v>
      </c>
      <c r="AC12" s="105">
        <f t="shared" si="10"/>
        <v>1.5051874999999999</v>
      </c>
      <c r="AD12" s="105">
        <f t="shared" si="10"/>
        <v>1.5146500000000001</v>
      </c>
      <c r="AE12" s="105">
        <f t="shared" si="10"/>
        <v>1.3880000000000001</v>
      </c>
      <c r="AF12" s="105">
        <f t="shared" si="10"/>
        <v>1.15271875</v>
      </c>
      <c r="AG12" s="105">
        <f t="shared" si="10"/>
        <v>1.0618125</v>
      </c>
      <c r="AH12" s="105">
        <f t="shared" si="10"/>
        <v>1.0669062500000002</v>
      </c>
      <c r="AI12" s="105">
        <f t="shared" si="10"/>
        <v>1.12434375</v>
      </c>
      <c r="AJ12" s="105">
        <f t="shared" si="10"/>
        <v>1.1571750000000001</v>
      </c>
      <c r="AK12" s="105">
        <f t="shared" si="10"/>
        <v>1.1466250000000002</v>
      </c>
      <c r="AL12" s="105">
        <f t="shared" si="10"/>
        <v>1.0965875</v>
      </c>
      <c r="AM12" s="105">
        <f t="shared" si="10"/>
        <v>0.87676250000000011</v>
      </c>
      <c r="AN12" s="105">
        <f t="shared" si="10"/>
        <v>0.76843750000000011</v>
      </c>
      <c r="AO12" s="105">
        <f t="shared" si="10"/>
        <v>0.73667500000000008</v>
      </c>
      <c r="AP12" s="105">
        <f t="shared" si="10"/>
        <v>0.73681249999999998</v>
      </c>
      <c r="AQ12" s="105">
        <f t="shared" si="10"/>
        <v>0.73624999999999996</v>
      </c>
      <c r="AR12" s="105">
        <f t="shared" si="10"/>
        <v>0.71225000000000005</v>
      </c>
      <c r="AS12" s="105">
        <f t="shared" si="10"/>
        <v>0.73425000000000007</v>
      </c>
      <c r="AT12" s="105">
        <f t="shared" si="10"/>
        <v>0.753</v>
      </c>
      <c r="AU12" s="105">
        <f t="shared" si="10"/>
        <v>0.73965000000000003</v>
      </c>
      <c r="AV12" s="105">
        <f t="shared" si="10"/>
        <v>0.74037500000000001</v>
      </c>
      <c r="AW12" s="105">
        <f t="shared" si="10"/>
        <v>0.74099999999999999</v>
      </c>
      <c r="AX12" s="105">
        <f t="shared" si="10"/>
        <v>0.70200000000000007</v>
      </c>
      <c r="AY12" s="105">
        <f t="shared" si="10"/>
        <v>0.67075000000000007</v>
      </c>
      <c r="AZ12" s="105">
        <f t="shared" si="10"/>
        <v>0.67425000000000002</v>
      </c>
      <c r="BA12" s="105">
        <f t="shared" si="10"/>
        <v>0.67875000000000008</v>
      </c>
      <c r="BB12" s="105">
        <f t="shared" si="10"/>
        <v>0.66975000000000007</v>
      </c>
      <c r="BC12" s="105">
        <f t="shared" si="10"/>
        <v>0.68075000000000008</v>
      </c>
      <c r="BD12" s="105">
        <f t="shared" si="10"/>
        <v>0.69300000000000006</v>
      </c>
      <c r="BE12" s="105">
        <f t="shared" si="10"/>
        <v>0.70425000000000004</v>
      </c>
      <c r="BF12" s="105">
        <f t="shared" si="10"/>
        <v>0.71100000000000008</v>
      </c>
      <c r="BG12" s="105">
        <f t="shared" si="10"/>
        <v>0.80700000000000016</v>
      </c>
      <c r="BH12" s="105">
        <f t="shared" si="10"/>
        <v>0.81262500000000015</v>
      </c>
      <c r="BI12" s="105">
        <f t="shared" si="10"/>
        <v>0.83962500000000007</v>
      </c>
      <c r="BJ12" s="105">
        <f t="shared" si="10"/>
        <v>0.85312500000000013</v>
      </c>
      <c r="BK12" s="105">
        <f t="shared" si="10"/>
        <v>0.84412500000000013</v>
      </c>
      <c r="BL12" s="105">
        <f t="shared" si="10"/>
        <v>0.84505000000000008</v>
      </c>
      <c r="BM12" s="105">
        <f t="shared" si="10"/>
        <v>0.80700000000000016</v>
      </c>
      <c r="BN12" s="105">
        <f t="shared" si="10"/>
        <v>0.76375000000000004</v>
      </c>
      <c r="BO12" s="105">
        <f t="shared" si="10"/>
        <v>0.74099999999999999</v>
      </c>
      <c r="BP12" s="105">
        <f t="shared" si="10"/>
        <v>0.73199999999999998</v>
      </c>
      <c r="BQ12" s="105">
        <f t="shared" si="10"/>
        <v>0.73199999999999998</v>
      </c>
      <c r="BR12" s="105">
        <f t="shared" si="10"/>
        <v>0.73199999999999998</v>
      </c>
      <c r="BS12" s="105">
        <f t="shared" si="10"/>
        <v>0.73199999999999998</v>
      </c>
      <c r="BT12" s="105">
        <f t="shared" si="10"/>
        <v>0.75224999999999997</v>
      </c>
      <c r="BU12" s="105">
        <f t="shared" si="10"/>
        <v>0.75250000000000006</v>
      </c>
      <c r="BV12" s="105">
        <f>SUM(BV10:BV11)</f>
        <v>0.75362499999999999</v>
      </c>
      <c r="BW12" s="105">
        <f>SUM(BW10:BW11)</f>
        <v>0.78825000000000001</v>
      </c>
      <c r="BX12" s="105">
        <f>SUM(BX10:BX11)</f>
        <v>0.79700000000000004</v>
      </c>
      <c r="BY12" s="105">
        <f>SUM(BY10:BY11)</f>
        <v>0.79700000000000004</v>
      </c>
      <c r="BZ12" s="105">
        <f>SUM(BZ10:BZ11)</f>
        <v>0.80149999999999999</v>
      </c>
      <c r="CA12" s="105">
        <f t="shared" ref="CA12:CH12" si="11">SUM(CA10:CA11)</f>
        <v>0.80149999999999999</v>
      </c>
      <c r="CB12" s="105">
        <f t="shared" si="11"/>
        <v>0.80464999999999998</v>
      </c>
      <c r="CC12" s="105">
        <f t="shared" si="11"/>
        <v>0.80262500000000003</v>
      </c>
      <c r="CD12" s="105">
        <f t="shared" si="11"/>
        <v>0.80462500000000015</v>
      </c>
      <c r="CE12" s="105">
        <f t="shared" si="11"/>
        <v>0.80462500000000015</v>
      </c>
      <c r="CF12" s="105">
        <f t="shared" si="11"/>
        <v>0.8005000000000001</v>
      </c>
      <c r="CG12" s="105">
        <f t="shared" si="11"/>
        <v>0.7712500000000001</v>
      </c>
      <c r="CH12" s="105">
        <f t="shared" si="11"/>
        <v>0.77012500000000017</v>
      </c>
      <c r="CI12" s="105">
        <f>SUM(CI10:CI11)</f>
        <v>0.78734999999999999</v>
      </c>
      <c r="CJ12" s="105">
        <f>SUM(CJ10:CJ11)</f>
        <v>0.78959999999999997</v>
      </c>
      <c r="CK12" s="105">
        <f>SUM(CK10:CK11)</f>
        <v>0.78959999999999997</v>
      </c>
      <c r="CL12" s="105">
        <f>SUM(CL10:CL11)</f>
        <v>0.78849999999999998</v>
      </c>
      <c r="CM12" s="105">
        <f t="shared" ref="CM12:CZ12" si="12">SUM(CM10:CM11)</f>
        <v>0.78575000000000006</v>
      </c>
      <c r="CN12" s="105">
        <f t="shared" si="12"/>
        <v>0.79384999999999994</v>
      </c>
      <c r="CO12" s="105">
        <f t="shared" si="12"/>
        <v>0.79384999999999994</v>
      </c>
      <c r="CP12" s="105">
        <f t="shared" si="12"/>
        <v>0.79384999999999994</v>
      </c>
      <c r="CQ12" s="105">
        <f t="shared" si="12"/>
        <v>0.78935</v>
      </c>
      <c r="CR12" s="105">
        <f t="shared" si="12"/>
        <v>0.78710000000000002</v>
      </c>
      <c r="CS12" s="105">
        <f t="shared" si="12"/>
        <v>0.79375000000000007</v>
      </c>
      <c r="CT12" s="105">
        <f t="shared" si="12"/>
        <v>0.79150000000000009</v>
      </c>
      <c r="CU12" s="105">
        <f t="shared" si="12"/>
        <v>0.78925000000000001</v>
      </c>
      <c r="CV12" s="105">
        <f t="shared" si="12"/>
        <v>0.78812500000000008</v>
      </c>
      <c r="CW12" s="105">
        <f t="shared" si="12"/>
        <v>0.78812500000000008</v>
      </c>
      <c r="CX12" s="105">
        <f t="shared" si="12"/>
        <v>0.77275000000000005</v>
      </c>
      <c r="CY12" s="105">
        <f t="shared" si="12"/>
        <v>0.76400000000000001</v>
      </c>
      <c r="CZ12" s="105">
        <f t="shared" si="12"/>
        <v>0.76400000000000001</v>
      </c>
      <c r="DA12" s="105">
        <f t="shared" ref="DA12:DJ12" si="13">SUM(DA10:DA11)</f>
        <v>0.76400000000000001</v>
      </c>
      <c r="DB12" s="105">
        <f t="shared" si="13"/>
        <v>0.76715</v>
      </c>
      <c r="DC12" s="105">
        <f t="shared" si="13"/>
        <v>0.74790000000000001</v>
      </c>
      <c r="DD12" s="105">
        <f t="shared" si="13"/>
        <v>0.71589999999999998</v>
      </c>
      <c r="DE12" s="105">
        <f t="shared" si="13"/>
        <v>0.71589999999999998</v>
      </c>
      <c r="DF12" s="105">
        <f t="shared" si="13"/>
        <v>0.71500000000000008</v>
      </c>
      <c r="DG12" s="105">
        <f t="shared" si="13"/>
        <v>0.71162499999999995</v>
      </c>
      <c r="DH12" s="105">
        <f t="shared" si="13"/>
        <v>0.71162499999999995</v>
      </c>
      <c r="DI12" s="105">
        <f t="shared" si="13"/>
        <v>0.68737500000000007</v>
      </c>
      <c r="DJ12" s="105">
        <f t="shared" si="13"/>
        <v>0.69175000000000009</v>
      </c>
      <c r="DK12" s="105">
        <f t="shared" ref="DK12:EP12" si="14">SUM(DK10:DK11)</f>
        <v>0.6895</v>
      </c>
      <c r="DL12" s="105">
        <f t="shared" si="14"/>
        <v>0.68562500000000004</v>
      </c>
      <c r="DM12" s="105">
        <f t="shared" si="14"/>
        <v>0.68337500000000007</v>
      </c>
      <c r="DN12" s="105">
        <f t="shared" si="14"/>
        <v>0.65912499999999996</v>
      </c>
      <c r="DO12" s="105">
        <f t="shared" si="14"/>
        <v>0.65912499999999996</v>
      </c>
      <c r="DP12" s="105">
        <f t="shared" si="14"/>
        <v>0.65912499999999996</v>
      </c>
      <c r="DQ12" s="105">
        <f t="shared" si="14"/>
        <v>0.66187499999999999</v>
      </c>
      <c r="DR12" s="105">
        <f t="shared" si="14"/>
        <v>0.65250000000000008</v>
      </c>
      <c r="DS12" s="105">
        <f t="shared" si="14"/>
        <v>0.64975000000000005</v>
      </c>
      <c r="DT12" s="105">
        <f t="shared" si="14"/>
        <v>0</v>
      </c>
      <c r="DU12" s="105">
        <f t="shared" si="14"/>
        <v>0</v>
      </c>
      <c r="DV12" s="105">
        <f t="shared" si="14"/>
        <v>0</v>
      </c>
      <c r="DW12" s="105">
        <f t="shared" si="14"/>
        <v>0</v>
      </c>
      <c r="DX12" s="105">
        <f t="shared" si="14"/>
        <v>0</v>
      </c>
      <c r="DY12" s="105">
        <f t="shared" si="14"/>
        <v>0</v>
      </c>
      <c r="DZ12" s="105">
        <f t="shared" si="14"/>
        <v>0</v>
      </c>
      <c r="EA12" s="105">
        <f t="shared" si="14"/>
        <v>0</v>
      </c>
      <c r="EB12" s="105">
        <f t="shared" si="14"/>
        <v>0</v>
      </c>
      <c r="EC12" s="105">
        <f t="shared" si="14"/>
        <v>0</v>
      </c>
      <c r="ED12" s="105">
        <f t="shared" si="14"/>
        <v>0</v>
      </c>
      <c r="EE12" s="105">
        <f t="shared" si="14"/>
        <v>0</v>
      </c>
      <c r="EF12" s="105">
        <f t="shared" si="14"/>
        <v>0</v>
      </c>
      <c r="EG12" s="105">
        <f t="shared" si="14"/>
        <v>0</v>
      </c>
      <c r="EH12" s="105">
        <f t="shared" si="14"/>
        <v>0</v>
      </c>
      <c r="EI12" s="105">
        <f t="shared" si="14"/>
        <v>0</v>
      </c>
      <c r="EJ12" s="105">
        <f t="shared" si="14"/>
        <v>0</v>
      </c>
      <c r="EK12" s="105">
        <f t="shared" si="14"/>
        <v>0</v>
      </c>
      <c r="EL12" s="105">
        <f t="shared" si="14"/>
        <v>0</v>
      </c>
      <c r="EM12" s="105">
        <f t="shared" si="14"/>
        <v>0</v>
      </c>
      <c r="EN12" s="105">
        <f t="shared" si="14"/>
        <v>0</v>
      </c>
      <c r="EO12" s="105">
        <f t="shared" si="14"/>
        <v>0</v>
      </c>
      <c r="EP12" s="105">
        <f t="shared" si="14"/>
        <v>0</v>
      </c>
    </row>
    <row r="13" spans="1:147">
      <c r="I13" s="74"/>
      <c r="J13" s="74"/>
      <c r="K13" s="74"/>
      <c r="L13" s="74"/>
      <c r="M13" s="74"/>
      <c r="N13" s="74"/>
      <c r="O13" s="74"/>
      <c r="P13" s="70"/>
      <c r="Q13" s="74"/>
      <c r="R13" s="74"/>
      <c r="S13" s="74"/>
      <c r="T13" s="74"/>
      <c r="U13" s="74"/>
      <c r="V13" s="74"/>
      <c r="W13" s="74"/>
      <c r="X13" s="74"/>
      <c r="Y13" s="74"/>
      <c r="Z13" s="74"/>
      <c r="AA13" s="74"/>
      <c r="AB13" s="74"/>
      <c r="AC13" s="74"/>
      <c r="AD13" s="74"/>
      <c r="AE13" s="74"/>
      <c r="AF13" s="74"/>
      <c r="AG13" s="74">
        <f>148/80</f>
        <v>1.85</v>
      </c>
      <c r="AH13" s="74">
        <f>148/80</f>
        <v>1.85</v>
      </c>
      <c r="AI13" s="74"/>
      <c r="AJ13" s="74"/>
      <c r="AK13" s="74">
        <f>140/80</f>
        <v>1.75</v>
      </c>
      <c r="AL13" s="74"/>
      <c r="AM13" s="74"/>
      <c r="AN13" s="74"/>
      <c r="AO13" s="74"/>
      <c r="AP13" s="74"/>
      <c r="AQ13" s="74"/>
      <c r="AR13" s="74"/>
      <c r="AS13" s="74"/>
      <c r="AT13" s="74"/>
      <c r="AU13" s="74">
        <f>108/82</f>
        <v>1.3170731707317074</v>
      </c>
      <c r="AV13" s="74"/>
      <c r="AW13" s="74">
        <f>108/82</f>
        <v>1.3170731707317074</v>
      </c>
      <c r="AY13" s="74">
        <f>108/82</f>
        <v>1.3170731707317074</v>
      </c>
      <c r="BD13" s="65">
        <f>116/83</f>
        <v>1.3975903614457832</v>
      </c>
      <c r="BL13" s="65">
        <f>116/83</f>
        <v>1.3975903614457832</v>
      </c>
      <c r="BR13" s="65"/>
    </row>
    <row r="14" spans="1:147" s="64" customFormat="1">
      <c r="H14" s="64" t="s">
        <v>763</v>
      </c>
      <c r="I14" s="74"/>
      <c r="J14" s="74"/>
      <c r="K14" s="74"/>
      <c r="L14" s="74"/>
      <c r="M14" s="74"/>
      <c r="N14" s="74"/>
      <c r="O14" s="74"/>
      <c r="P14" s="74"/>
      <c r="Q14" s="74"/>
      <c r="R14" s="74"/>
      <c r="S14" s="74"/>
      <c r="T14" s="74"/>
      <c r="U14" s="74"/>
      <c r="V14" s="74"/>
      <c r="W14" s="74"/>
      <c r="X14" s="74"/>
      <c r="Y14" s="74"/>
      <c r="Z14" s="74"/>
      <c r="AA14" s="74"/>
      <c r="AB14" s="74"/>
      <c r="AC14" s="74"/>
      <c r="AD14" s="74"/>
      <c r="AE14" s="74"/>
      <c r="AF14" s="74"/>
      <c r="AG14" s="74">
        <f>AG13-AG12</f>
        <v>0.78818750000000004</v>
      </c>
      <c r="AH14" s="74">
        <f>AH13-AH12</f>
        <v>0.78309374999999992</v>
      </c>
      <c r="AI14" s="74"/>
      <c r="AJ14" s="74"/>
      <c r="AK14" s="74">
        <f>AK13-AK12</f>
        <v>0.60337499999999977</v>
      </c>
      <c r="AL14" s="74"/>
      <c r="AM14" s="74"/>
      <c r="AN14" s="74"/>
      <c r="AO14" s="74"/>
      <c r="AP14" s="74"/>
      <c r="AQ14" s="74"/>
      <c r="AR14" s="74"/>
      <c r="AS14" s="74"/>
      <c r="AT14" s="74"/>
      <c r="AU14" s="74">
        <f>AU13-AU12</f>
        <v>0.57742317073170735</v>
      </c>
      <c r="AW14" s="74">
        <f>AW13-AW12</f>
        <v>0.57607317073170738</v>
      </c>
      <c r="AX14" s="74"/>
      <c r="AY14" s="74">
        <f>AY13-AY12</f>
        <v>0.64632317073170731</v>
      </c>
      <c r="BD14" s="74">
        <f>BD13-BD12</f>
        <v>0.70459036144578313</v>
      </c>
      <c r="BL14" s="74">
        <f>BL13-BL12</f>
        <v>0.55254036144578311</v>
      </c>
      <c r="BQ14" s="74"/>
    </row>
    <row r="15" spans="1:147">
      <c r="H15" s="60" t="s">
        <v>764</v>
      </c>
      <c r="P15" s="74"/>
      <c r="AC15" s="74"/>
      <c r="AE15" s="74"/>
      <c r="AO15" s="74"/>
      <c r="AQ15" s="74"/>
      <c r="AT15" s="74"/>
      <c r="BM15" s="74"/>
    </row>
    <row r="16" spans="1:147" ht="13" thickBot="1"/>
    <row r="17" spans="2:146" ht="13" thickBot="1">
      <c r="D17" s="259"/>
      <c r="H17" s="106" t="s">
        <v>407</v>
      </c>
      <c r="I17" s="109">
        <f>I12+0.55</f>
        <v>1.0988500000000001</v>
      </c>
      <c r="J17" s="109">
        <f t="shared" ref="J17:BU17" si="15">J12+0.55</f>
        <v>1.08546875</v>
      </c>
      <c r="K17" s="109">
        <f t="shared" si="15"/>
        <v>1.0605000000000002</v>
      </c>
      <c r="L17" s="109">
        <f t="shared" si="15"/>
        <v>1.0228375000000001</v>
      </c>
      <c r="M17" s="109">
        <f t="shared" si="15"/>
        <v>1.0280750000000001</v>
      </c>
      <c r="N17" s="109">
        <f t="shared" si="15"/>
        <v>1.0286250000000001</v>
      </c>
      <c r="O17" s="109">
        <f t="shared" si="15"/>
        <v>1.0467250000000001</v>
      </c>
      <c r="P17" s="109">
        <f t="shared" si="15"/>
        <v>1.0415000000000001</v>
      </c>
      <c r="Q17" s="109">
        <f t="shared" si="15"/>
        <v>1.0638750000000001</v>
      </c>
      <c r="R17" s="109">
        <f t="shared" si="15"/>
        <v>1.106725</v>
      </c>
      <c r="S17" s="109">
        <f t="shared" si="15"/>
        <v>1.2553750000000001</v>
      </c>
      <c r="T17" s="109">
        <f t="shared" si="15"/>
        <v>1.4465000000000001</v>
      </c>
      <c r="U17" s="109">
        <f t="shared" si="15"/>
        <v>1.5218437500000002</v>
      </c>
      <c r="V17" s="109">
        <f t="shared" si="15"/>
        <v>1.6691250000000002</v>
      </c>
      <c r="W17" s="109">
        <f t="shared" si="15"/>
        <v>2.0122249999999999</v>
      </c>
      <c r="X17" s="109">
        <f t="shared" si="15"/>
        <v>1.9089000000000003</v>
      </c>
      <c r="Y17" s="109">
        <f t="shared" si="15"/>
        <v>2.0045625</v>
      </c>
      <c r="Z17" s="109">
        <f t="shared" si="15"/>
        <v>2.0225</v>
      </c>
      <c r="AA17" s="109">
        <f t="shared" si="15"/>
        <v>1.9876500000000001</v>
      </c>
      <c r="AB17" s="109">
        <f t="shared" si="15"/>
        <v>2.0100625000000001</v>
      </c>
      <c r="AC17" s="109">
        <f t="shared" si="15"/>
        <v>2.0551874999999997</v>
      </c>
      <c r="AD17" s="109">
        <f t="shared" si="15"/>
        <v>2.0646500000000003</v>
      </c>
      <c r="AE17" s="109">
        <f t="shared" si="15"/>
        <v>1.9380000000000002</v>
      </c>
      <c r="AF17" s="109">
        <f t="shared" si="15"/>
        <v>1.7027187500000001</v>
      </c>
      <c r="AG17" s="109">
        <f t="shared" si="15"/>
        <v>1.6118125000000001</v>
      </c>
      <c r="AH17" s="109">
        <f t="shared" si="15"/>
        <v>1.6169062500000002</v>
      </c>
      <c r="AI17" s="109">
        <f t="shared" si="15"/>
        <v>1.67434375</v>
      </c>
      <c r="AJ17" s="109">
        <f t="shared" si="15"/>
        <v>1.7071750000000001</v>
      </c>
      <c r="AK17" s="109">
        <f t="shared" si="15"/>
        <v>1.6966250000000003</v>
      </c>
      <c r="AL17" s="109">
        <f t="shared" si="15"/>
        <v>1.6465875000000001</v>
      </c>
      <c r="AM17" s="109">
        <f t="shared" si="15"/>
        <v>1.4267625000000002</v>
      </c>
      <c r="AN17" s="109">
        <f t="shared" si="15"/>
        <v>1.3184375000000002</v>
      </c>
      <c r="AO17" s="109">
        <f t="shared" si="15"/>
        <v>1.2866750000000002</v>
      </c>
      <c r="AP17" s="109">
        <f t="shared" si="15"/>
        <v>1.2868124999999999</v>
      </c>
      <c r="AQ17" s="109">
        <f t="shared" si="15"/>
        <v>1.2862499999999999</v>
      </c>
      <c r="AR17" s="109">
        <f t="shared" si="15"/>
        <v>1.2622500000000001</v>
      </c>
      <c r="AS17" s="109">
        <f t="shared" si="15"/>
        <v>1.2842500000000001</v>
      </c>
      <c r="AT17" s="109">
        <f t="shared" si="15"/>
        <v>1.3029999999999999</v>
      </c>
      <c r="AU17" s="109">
        <f t="shared" si="15"/>
        <v>1.28965</v>
      </c>
      <c r="AV17" s="109">
        <f t="shared" si="15"/>
        <v>1.290375</v>
      </c>
      <c r="AW17" s="109">
        <f t="shared" si="15"/>
        <v>1.2909999999999999</v>
      </c>
      <c r="AX17" s="109">
        <f t="shared" si="15"/>
        <v>1.2520000000000002</v>
      </c>
      <c r="AY17" s="109">
        <f t="shared" si="15"/>
        <v>1.2207500000000002</v>
      </c>
      <c r="AZ17" s="109">
        <f t="shared" si="15"/>
        <v>1.2242500000000001</v>
      </c>
      <c r="BA17" s="109">
        <f t="shared" si="15"/>
        <v>1.2287500000000002</v>
      </c>
      <c r="BB17" s="109">
        <f t="shared" si="15"/>
        <v>1.2197500000000001</v>
      </c>
      <c r="BC17" s="109">
        <f t="shared" si="15"/>
        <v>1.23075</v>
      </c>
      <c r="BD17" s="109">
        <f t="shared" si="15"/>
        <v>1.2430000000000001</v>
      </c>
      <c r="BE17" s="109">
        <f t="shared" si="15"/>
        <v>1.2542500000000001</v>
      </c>
      <c r="BF17" s="109">
        <f t="shared" si="15"/>
        <v>1.2610000000000001</v>
      </c>
      <c r="BG17" s="109">
        <f t="shared" si="15"/>
        <v>1.3570000000000002</v>
      </c>
      <c r="BH17" s="109">
        <f t="shared" si="15"/>
        <v>1.3626250000000002</v>
      </c>
      <c r="BI17" s="109">
        <f t="shared" si="15"/>
        <v>1.3896250000000001</v>
      </c>
      <c r="BJ17" s="109">
        <f t="shared" si="15"/>
        <v>1.4031250000000002</v>
      </c>
      <c r="BK17" s="109">
        <f t="shared" si="15"/>
        <v>1.3941250000000003</v>
      </c>
      <c r="BL17" s="109">
        <f t="shared" si="15"/>
        <v>1.3950500000000001</v>
      </c>
      <c r="BM17" s="109">
        <f t="shared" si="15"/>
        <v>1.3570000000000002</v>
      </c>
      <c r="BN17" s="109">
        <f t="shared" si="15"/>
        <v>1.3137500000000002</v>
      </c>
      <c r="BO17" s="109">
        <f t="shared" si="15"/>
        <v>1.2909999999999999</v>
      </c>
      <c r="BP17" s="109">
        <f t="shared" si="15"/>
        <v>1.282</v>
      </c>
      <c r="BQ17" s="109">
        <f t="shared" si="15"/>
        <v>1.282</v>
      </c>
      <c r="BR17" s="109">
        <f t="shared" si="15"/>
        <v>1.282</v>
      </c>
      <c r="BS17" s="109">
        <f t="shared" si="15"/>
        <v>1.282</v>
      </c>
      <c r="BT17" s="109">
        <f t="shared" si="15"/>
        <v>1.3022499999999999</v>
      </c>
      <c r="BU17" s="109">
        <f t="shared" si="15"/>
        <v>1.3025000000000002</v>
      </c>
      <c r="BV17" s="109">
        <f>BV12+0.55</f>
        <v>1.303625</v>
      </c>
      <c r="BW17" s="109">
        <f>BW12+0.55</f>
        <v>1.3382499999999999</v>
      </c>
      <c r="BX17" s="109">
        <f>BX12+0.55</f>
        <v>1.347</v>
      </c>
      <c r="BY17" s="109">
        <f>BY12+0.55</f>
        <v>1.347</v>
      </c>
      <c r="BZ17" s="109">
        <f>BZ12+0.55</f>
        <v>1.3515000000000001</v>
      </c>
      <c r="CA17" s="109">
        <f t="shared" ref="CA17:CH17" si="16">CA12+0.55</f>
        <v>1.3515000000000001</v>
      </c>
      <c r="CB17" s="109">
        <f t="shared" si="16"/>
        <v>1.3546499999999999</v>
      </c>
      <c r="CC17" s="109">
        <f t="shared" si="16"/>
        <v>1.3526250000000002</v>
      </c>
      <c r="CD17" s="109">
        <f t="shared" si="16"/>
        <v>1.3546250000000002</v>
      </c>
      <c r="CE17" s="109">
        <f t="shared" si="16"/>
        <v>1.3546250000000002</v>
      </c>
      <c r="CF17" s="109">
        <f t="shared" si="16"/>
        <v>1.3505000000000003</v>
      </c>
      <c r="CG17" s="109">
        <f t="shared" si="16"/>
        <v>1.32125</v>
      </c>
      <c r="CH17" s="109">
        <f t="shared" si="16"/>
        <v>1.3201250000000002</v>
      </c>
      <c r="CI17" s="109">
        <f>CI12+0.55</f>
        <v>1.33735</v>
      </c>
      <c r="CJ17" s="109">
        <f>CJ12+0.55</f>
        <v>1.3395999999999999</v>
      </c>
      <c r="CK17" s="109">
        <f>CK12+0.55</f>
        <v>1.3395999999999999</v>
      </c>
      <c r="CL17" s="109">
        <f>CL12+0.55</f>
        <v>1.3385</v>
      </c>
      <c r="CM17" s="109">
        <f t="shared" ref="CM17:CZ17" si="17">CM12+0.55</f>
        <v>1.33575</v>
      </c>
      <c r="CN17" s="109">
        <f t="shared" si="17"/>
        <v>1.34385</v>
      </c>
      <c r="CO17" s="109">
        <f t="shared" si="17"/>
        <v>1.34385</v>
      </c>
      <c r="CP17" s="109">
        <f t="shared" si="17"/>
        <v>1.34385</v>
      </c>
      <c r="CQ17" s="109">
        <f t="shared" si="17"/>
        <v>1.33935</v>
      </c>
      <c r="CR17" s="109">
        <f t="shared" si="17"/>
        <v>1.3371</v>
      </c>
      <c r="CS17" s="109">
        <f t="shared" si="17"/>
        <v>1.34375</v>
      </c>
      <c r="CT17" s="109">
        <f t="shared" si="17"/>
        <v>1.3415000000000001</v>
      </c>
      <c r="CU17" s="109">
        <f t="shared" si="17"/>
        <v>1.3392500000000001</v>
      </c>
      <c r="CV17" s="109">
        <f t="shared" si="17"/>
        <v>1.3381250000000002</v>
      </c>
      <c r="CW17" s="109">
        <f t="shared" si="17"/>
        <v>1.3381250000000002</v>
      </c>
      <c r="CX17" s="109">
        <f t="shared" si="17"/>
        <v>1.3227500000000001</v>
      </c>
      <c r="CY17" s="109">
        <f t="shared" si="17"/>
        <v>1.3140000000000001</v>
      </c>
      <c r="CZ17" s="109">
        <f t="shared" si="17"/>
        <v>1.3140000000000001</v>
      </c>
      <c r="DA17" s="109">
        <f t="shared" ref="DA17:DJ17" si="18">DA12+0.55</f>
        <v>1.3140000000000001</v>
      </c>
      <c r="DB17" s="109">
        <f t="shared" si="18"/>
        <v>1.31715</v>
      </c>
      <c r="DC17" s="109">
        <f t="shared" si="18"/>
        <v>1.2979000000000001</v>
      </c>
      <c r="DD17" s="109">
        <f t="shared" si="18"/>
        <v>1.2659</v>
      </c>
      <c r="DE17" s="109">
        <f t="shared" si="18"/>
        <v>1.2659</v>
      </c>
      <c r="DF17" s="109">
        <f t="shared" si="18"/>
        <v>1.2650000000000001</v>
      </c>
      <c r="DG17" s="109">
        <f t="shared" si="18"/>
        <v>1.261625</v>
      </c>
      <c r="DH17" s="109">
        <f t="shared" si="18"/>
        <v>1.261625</v>
      </c>
      <c r="DI17" s="109">
        <f t="shared" si="18"/>
        <v>1.2373750000000001</v>
      </c>
      <c r="DJ17" s="109">
        <f t="shared" si="18"/>
        <v>1.2417500000000001</v>
      </c>
      <c r="DK17" s="109">
        <f t="shared" ref="DK17:EP17" si="19">DK12+0.55</f>
        <v>1.2395</v>
      </c>
      <c r="DL17" s="109">
        <f t="shared" si="19"/>
        <v>1.2356250000000002</v>
      </c>
      <c r="DM17" s="109">
        <f t="shared" si="19"/>
        <v>1.2333750000000001</v>
      </c>
      <c r="DN17" s="109">
        <f t="shared" si="19"/>
        <v>1.209125</v>
      </c>
      <c r="DO17" s="109">
        <f t="shared" si="19"/>
        <v>1.209125</v>
      </c>
      <c r="DP17" s="109">
        <f t="shared" si="19"/>
        <v>1.209125</v>
      </c>
      <c r="DQ17" s="109">
        <f t="shared" si="19"/>
        <v>1.211875</v>
      </c>
      <c r="DR17" s="109">
        <f t="shared" si="19"/>
        <v>1.2025000000000001</v>
      </c>
      <c r="DS17" s="109">
        <f t="shared" si="19"/>
        <v>1.1997500000000001</v>
      </c>
      <c r="DT17" s="109">
        <f t="shared" si="19"/>
        <v>0.55000000000000004</v>
      </c>
      <c r="DU17" s="109">
        <f t="shared" si="19"/>
        <v>0.55000000000000004</v>
      </c>
      <c r="DV17" s="109">
        <f t="shared" si="19"/>
        <v>0.55000000000000004</v>
      </c>
      <c r="DW17" s="109">
        <f t="shared" si="19"/>
        <v>0.55000000000000004</v>
      </c>
      <c r="DX17" s="109">
        <f t="shared" si="19"/>
        <v>0.55000000000000004</v>
      </c>
      <c r="DY17" s="109">
        <f t="shared" si="19"/>
        <v>0.55000000000000004</v>
      </c>
      <c r="DZ17" s="109">
        <f t="shared" si="19"/>
        <v>0.55000000000000004</v>
      </c>
      <c r="EA17" s="109">
        <f t="shared" si="19"/>
        <v>0.55000000000000004</v>
      </c>
      <c r="EB17" s="109">
        <f t="shared" si="19"/>
        <v>0.55000000000000004</v>
      </c>
      <c r="EC17" s="109">
        <f t="shared" si="19"/>
        <v>0.55000000000000004</v>
      </c>
      <c r="ED17" s="109">
        <f t="shared" si="19"/>
        <v>0.55000000000000004</v>
      </c>
      <c r="EE17" s="109">
        <f t="shared" si="19"/>
        <v>0.55000000000000004</v>
      </c>
      <c r="EF17" s="109">
        <f t="shared" si="19"/>
        <v>0.55000000000000004</v>
      </c>
      <c r="EG17" s="109">
        <f t="shared" si="19"/>
        <v>0.55000000000000004</v>
      </c>
      <c r="EH17" s="109">
        <f t="shared" si="19"/>
        <v>0.55000000000000004</v>
      </c>
      <c r="EI17" s="109">
        <f t="shared" si="19"/>
        <v>0.55000000000000004</v>
      </c>
      <c r="EJ17" s="109">
        <f t="shared" si="19"/>
        <v>0.55000000000000004</v>
      </c>
      <c r="EK17" s="109">
        <f t="shared" si="19"/>
        <v>0.55000000000000004</v>
      </c>
      <c r="EL17" s="109">
        <f t="shared" si="19"/>
        <v>0.55000000000000004</v>
      </c>
      <c r="EM17" s="109">
        <f t="shared" si="19"/>
        <v>0.55000000000000004</v>
      </c>
      <c r="EN17" s="109">
        <f t="shared" si="19"/>
        <v>0.55000000000000004</v>
      </c>
      <c r="EO17" s="109">
        <f t="shared" si="19"/>
        <v>0.55000000000000004</v>
      </c>
      <c r="EP17" s="109">
        <f t="shared" si="19"/>
        <v>0.55000000000000004</v>
      </c>
    </row>
    <row r="19" spans="2:146">
      <c r="B19" s="65"/>
      <c r="BL19" s="65"/>
    </row>
    <row r="24" spans="2:146" ht="15">
      <c r="AR24" s="11"/>
    </row>
    <row r="25" spans="2:146" ht="15">
      <c r="AR25" s="11"/>
    </row>
    <row r="26" spans="2:146" ht="15">
      <c r="AR26" s="260"/>
    </row>
  </sheetData>
  <conditionalFormatting sqref="I14 Z14:AB14 AF14 AI14:AJ14 AL14 AP14 AR14:AS14 Q14:X14 O14 K14:L14">
    <cfRule type="top10" dxfId="10" priority="1" bottom="1" rank="1"/>
  </conditionalFormatting>
  <pageMargins left="0.7" right="0.7" top="0.75" bottom="0.75" header="0.3" footer="0.3"/>
  <pageSetup orientation="portrait" r:id="rId1"/>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EV26"/>
  <sheetViews>
    <sheetView workbookViewId="0">
      <pane xSplit="8" ySplit="6" topLeftCell="BV7" activePane="bottomRight" state="frozen"/>
      <selection pane="topRight" activeCell="I1" sqref="I1"/>
      <selection pane="bottomLeft" activeCell="A7" sqref="A7"/>
      <selection pane="bottomRight" activeCell="BW17" sqref="BW17"/>
    </sheetView>
  </sheetViews>
  <sheetFormatPr baseColWidth="10" defaultColWidth="22.6640625" defaultRowHeight="12"/>
  <cols>
    <col min="1" max="1" width="13.33203125" style="60" bestFit="1" customWidth="1"/>
    <col min="2" max="2" width="13.5" style="60" bestFit="1" customWidth="1"/>
    <col min="3" max="3" width="4.83203125" style="60" bestFit="1" customWidth="1"/>
    <col min="4" max="4" width="12.33203125" style="60" bestFit="1" customWidth="1"/>
    <col min="5" max="5" width="7.5" style="60" bestFit="1" customWidth="1"/>
    <col min="6" max="6" width="6.5" style="60" bestFit="1" customWidth="1"/>
    <col min="7" max="7" width="3.33203125" style="60" bestFit="1" customWidth="1"/>
    <col min="8" max="8" width="14.5" style="60" bestFit="1" customWidth="1"/>
    <col min="9" max="10" width="5.5" style="60" bestFit="1" customWidth="1"/>
    <col min="11" max="11" width="5.6640625" style="60" bestFit="1" customWidth="1"/>
    <col min="12" max="12" width="5.5" style="60" bestFit="1" customWidth="1"/>
    <col min="13" max="13" width="5.83203125" style="60" bestFit="1" customWidth="1"/>
    <col min="14" max="18" width="5.5" style="60" bestFit="1" customWidth="1"/>
    <col min="19" max="19" width="5.6640625" style="60" bestFit="1" customWidth="1"/>
    <col min="20" max="22" width="5.5" style="60" bestFit="1" customWidth="1"/>
    <col min="23" max="23" width="5.6640625" style="60" bestFit="1" customWidth="1"/>
    <col min="24" max="24" width="5.5" style="60" bestFit="1" customWidth="1"/>
    <col min="25" max="25" width="5.83203125" style="60" bestFit="1" customWidth="1"/>
    <col min="26" max="30" width="5.5" style="60" bestFit="1" customWidth="1"/>
    <col min="31" max="31" width="5.6640625" style="60" bestFit="1" customWidth="1"/>
    <col min="32" max="34" width="5.5" style="60" bestFit="1" customWidth="1"/>
    <col min="35" max="35" width="5.6640625" style="60" bestFit="1" customWidth="1"/>
    <col min="36" max="36" width="5.5" style="60" bestFit="1" customWidth="1"/>
    <col min="37" max="37" width="5.83203125" style="60" bestFit="1" customWidth="1"/>
    <col min="38" max="42" width="5.5" style="60" bestFit="1" customWidth="1"/>
    <col min="43" max="43" width="5.6640625" style="60" bestFit="1" customWidth="1"/>
    <col min="44" max="46" width="5.5" style="60" bestFit="1" customWidth="1"/>
    <col min="47" max="47" width="5.6640625" style="60" bestFit="1" customWidth="1"/>
    <col min="48" max="48" width="5.5" style="60" bestFit="1" customWidth="1"/>
    <col min="49" max="49" width="5.83203125" style="60" bestFit="1" customWidth="1"/>
    <col min="50" max="51" width="5.5" style="60" bestFit="1" customWidth="1"/>
    <col min="52" max="54" width="7" style="60" bestFit="1" customWidth="1"/>
    <col min="55" max="56" width="5.5" style="60" bestFit="1" customWidth="1"/>
    <col min="57" max="58" width="5.83203125" style="60" bestFit="1" customWidth="1"/>
    <col min="59" max="70" width="5.6640625" style="60" bestFit="1" customWidth="1"/>
    <col min="71" max="82" width="5.5" style="60" bestFit="1" customWidth="1"/>
    <col min="83" max="83" width="6.1640625" style="60" bestFit="1" customWidth="1"/>
    <col min="84" max="86" width="5.6640625" style="60" bestFit="1" customWidth="1"/>
    <col min="87" max="90" width="5.5" style="60" bestFit="1" customWidth="1"/>
    <col min="91" max="95" width="6.33203125" style="60" bestFit="1" customWidth="1"/>
    <col min="96" max="99" width="6.1640625" style="60" bestFit="1" customWidth="1"/>
    <col min="100" max="103" width="5.5" style="60" bestFit="1" customWidth="1"/>
    <col min="104" max="107" width="5.83203125" style="60" bestFit="1" customWidth="1"/>
    <col min="108" max="111" width="5.6640625" style="60" bestFit="1" customWidth="1"/>
    <col min="112" max="152" width="6.5" style="60" bestFit="1" customWidth="1"/>
    <col min="153" max="16384" width="22.6640625" style="60"/>
  </cols>
  <sheetData>
    <row r="1" spans="1:152" ht="26">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c r="EM1" s="99">
        <v>141</v>
      </c>
      <c r="EN1" s="99">
        <v>142</v>
      </c>
      <c r="EO1" s="99">
        <v>143</v>
      </c>
      <c r="EP1" s="99">
        <v>144</v>
      </c>
      <c r="EQ1" s="99">
        <v>145</v>
      </c>
      <c r="ER1" s="99">
        <v>146</v>
      </c>
      <c r="ES1" s="99">
        <v>147</v>
      </c>
      <c r="ET1" s="99">
        <v>148</v>
      </c>
      <c r="EU1" s="99">
        <v>149</v>
      </c>
    </row>
    <row r="2" spans="1:152">
      <c r="A2" s="112" t="s">
        <v>270</v>
      </c>
      <c r="B2" s="112"/>
      <c r="C2" s="101">
        <v>1</v>
      </c>
      <c r="D2" s="282">
        <v>58.036099999999998</v>
      </c>
      <c r="E2" s="60">
        <f>D2*C2</f>
        <v>58.036099999999998</v>
      </c>
      <c r="K2" s="102"/>
      <c r="M2" s="102"/>
    </row>
    <row r="3" spans="1:152">
      <c r="A3" s="100"/>
      <c r="B3" s="64"/>
      <c r="D3" s="100"/>
      <c r="E3" s="64"/>
      <c r="F3" s="103"/>
    </row>
    <row r="4" spans="1:152">
      <c r="A4" s="64"/>
      <c r="B4" s="64"/>
      <c r="D4" s="64"/>
      <c r="E4" s="64"/>
      <c r="H4" s="60" t="s">
        <v>387</v>
      </c>
    </row>
    <row r="5" spans="1:152">
      <c r="A5" s="74"/>
      <c r="B5" s="74"/>
    </row>
    <row r="6" spans="1:152">
      <c r="A6" s="59"/>
      <c r="B6" s="59"/>
      <c r="C6" s="59"/>
      <c r="D6" s="98"/>
      <c r="E6" s="98"/>
      <c r="F6" s="59"/>
      <c r="H6" s="59" t="s">
        <v>416</v>
      </c>
      <c r="I6" s="59">
        <v>43831</v>
      </c>
      <c r="J6" s="59">
        <v>43862</v>
      </c>
      <c r="K6" s="59">
        <v>43891</v>
      </c>
      <c r="L6" s="59">
        <v>43922</v>
      </c>
      <c r="M6" s="59">
        <v>43952</v>
      </c>
      <c r="N6" s="59">
        <v>43983</v>
      </c>
      <c r="O6" s="59">
        <v>44013</v>
      </c>
      <c r="P6" s="59">
        <v>44044</v>
      </c>
      <c r="Q6" s="59">
        <v>44075</v>
      </c>
      <c r="R6" s="59">
        <v>44105</v>
      </c>
      <c r="S6" s="59">
        <v>44136</v>
      </c>
      <c r="T6" s="59">
        <v>44166</v>
      </c>
      <c r="U6" s="59">
        <v>44197</v>
      </c>
      <c r="V6" s="59">
        <v>44228</v>
      </c>
      <c r="W6" s="59">
        <v>44256</v>
      </c>
      <c r="X6" s="59">
        <v>44287</v>
      </c>
      <c r="Y6" s="59">
        <v>44317</v>
      </c>
      <c r="Z6" s="59">
        <v>44348</v>
      </c>
      <c r="AA6" s="59">
        <v>44378</v>
      </c>
      <c r="AB6" s="59">
        <v>44409</v>
      </c>
      <c r="AC6" s="59">
        <v>44440</v>
      </c>
      <c r="AD6" s="59">
        <v>44470</v>
      </c>
      <c r="AE6" s="59">
        <v>44501</v>
      </c>
      <c r="AF6" s="59">
        <v>44531</v>
      </c>
      <c r="AG6" s="59">
        <v>44562</v>
      </c>
      <c r="AH6" s="59">
        <v>44593</v>
      </c>
      <c r="AI6" s="59">
        <v>44621</v>
      </c>
      <c r="AJ6" s="59">
        <v>44652</v>
      </c>
      <c r="AK6" s="59">
        <v>44682</v>
      </c>
      <c r="AL6" s="59">
        <v>44713</v>
      </c>
      <c r="AM6" s="59">
        <v>44743</v>
      </c>
      <c r="AN6" s="59">
        <v>44774</v>
      </c>
      <c r="AO6" s="59">
        <v>44805</v>
      </c>
      <c r="AP6" s="59">
        <v>44835</v>
      </c>
      <c r="AQ6" s="59">
        <v>44866</v>
      </c>
      <c r="AR6" s="59">
        <v>44896</v>
      </c>
      <c r="AS6" s="59">
        <v>44927</v>
      </c>
      <c r="AT6" s="59">
        <v>44958</v>
      </c>
      <c r="AU6" s="59">
        <v>44986</v>
      </c>
      <c r="AV6" s="59">
        <v>45017</v>
      </c>
      <c r="AW6" s="59">
        <v>45047</v>
      </c>
      <c r="AX6" s="59">
        <v>45078</v>
      </c>
      <c r="AY6" s="59">
        <v>45108</v>
      </c>
      <c r="AZ6" s="59" t="s">
        <v>530</v>
      </c>
      <c r="BA6" s="59" t="s">
        <v>531</v>
      </c>
      <c r="BB6" s="59" t="s">
        <v>532</v>
      </c>
      <c r="BC6" s="59">
        <v>37104</v>
      </c>
      <c r="BD6" s="59">
        <v>37469</v>
      </c>
      <c r="BE6" s="59" t="s">
        <v>168</v>
      </c>
      <c r="BF6" s="59" t="s">
        <v>169</v>
      </c>
      <c r="BG6" s="59" t="s">
        <v>421</v>
      </c>
      <c r="BH6" s="59" t="s">
        <v>422</v>
      </c>
      <c r="BI6" s="59" t="s">
        <v>423</v>
      </c>
      <c r="BJ6" s="59" t="s">
        <v>424</v>
      </c>
      <c r="BK6" s="59" t="s">
        <v>435</v>
      </c>
      <c r="BL6" s="59" t="s">
        <v>436</v>
      </c>
      <c r="BM6" s="59" t="s">
        <v>437</v>
      </c>
      <c r="BN6" s="59" t="s">
        <v>438</v>
      </c>
      <c r="BO6" s="59">
        <v>37196</v>
      </c>
      <c r="BP6" s="59">
        <v>37561</v>
      </c>
      <c r="BQ6" s="59">
        <v>37926</v>
      </c>
      <c r="BR6" s="59">
        <v>38292</v>
      </c>
      <c r="BS6" s="59">
        <v>37226</v>
      </c>
      <c r="BT6" s="59">
        <v>37591</v>
      </c>
      <c r="BU6" s="59">
        <v>37956</v>
      </c>
      <c r="BV6" s="59">
        <v>38322</v>
      </c>
      <c r="BW6" s="59">
        <v>36892</v>
      </c>
      <c r="BX6" s="59">
        <v>37257</v>
      </c>
      <c r="BY6" s="59">
        <v>37622</v>
      </c>
      <c r="BZ6" s="59">
        <v>37987</v>
      </c>
      <c r="CA6" s="59">
        <v>36923</v>
      </c>
      <c r="CB6" s="59">
        <v>37288</v>
      </c>
      <c r="CC6" s="59">
        <v>37653</v>
      </c>
      <c r="CD6" s="59">
        <v>38018</v>
      </c>
      <c r="CE6" s="59" t="str">
        <f>Sheet8!A15</f>
        <v>Mar-w1</v>
      </c>
      <c r="CF6" s="59">
        <v>37316</v>
      </c>
      <c r="CG6" s="59">
        <v>37681</v>
      </c>
      <c r="CH6" s="59">
        <v>38047</v>
      </c>
      <c r="CI6" s="59" t="str">
        <f>Sheet8!E15</f>
        <v>Apr-w1</v>
      </c>
      <c r="CJ6" s="59" t="str">
        <f>Sheet8!F15</f>
        <v>Apr-w2</v>
      </c>
      <c r="CK6" s="59" t="str">
        <f>Sheet8!G15</f>
        <v>Apr-w3</v>
      </c>
      <c r="CL6" s="59" t="str">
        <f>Sheet8!H15</f>
        <v>Apr-w4</v>
      </c>
      <c r="CM6" s="59" t="str">
        <f>Sheet8!I15</f>
        <v>May-w1</v>
      </c>
      <c r="CN6" s="59" t="str">
        <f>Sheet8!J15</f>
        <v>May-w2</v>
      </c>
      <c r="CO6" s="59" t="str">
        <f>Sheet8!K15</f>
        <v>May-w3</v>
      </c>
      <c r="CP6" s="59" t="str">
        <f>Sheet8!L15</f>
        <v>May-w4</v>
      </c>
      <c r="CQ6" s="59" t="str">
        <f>Sheet8!M15</f>
        <v>May-w5</v>
      </c>
      <c r="CR6" s="59" t="str">
        <f>Sheet8!N15</f>
        <v>june-w1</v>
      </c>
      <c r="CS6" s="59" t="str">
        <f>Sheet8!O15</f>
        <v>june-w2</v>
      </c>
      <c r="CT6" s="59" t="str">
        <f>Sheet8!P15</f>
        <v>june-w3</v>
      </c>
      <c r="CU6" s="59" t="str">
        <f>Sheet8!Q15</f>
        <v>june-w4</v>
      </c>
      <c r="CV6" s="59" t="str">
        <f>Sheet8!R15</f>
        <v>Jul-w1</v>
      </c>
      <c r="CW6" s="59" t="str">
        <f>Sheet8!S15</f>
        <v>Jul-w2</v>
      </c>
      <c r="CX6" s="59" t="str">
        <f>Sheet8!T15</f>
        <v>Jul-w3</v>
      </c>
      <c r="CY6" s="59" t="str">
        <f>Sheet8!U15</f>
        <v>Jul-w4</v>
      </c>
      <c r="CZ6" s="59" t="str">
        <f>Sheet8!V15</f>
        <v>Aug-w1</v>
      </c>
      <c r="DA6" s="59" t="str">
        <f>Sheet8!W15</f>
        <v>Aug-w2</v>
      </c>
      <c r="DB6" s="59" t="str">
        <f>Sheet8!X15</f>
        <v>Aug-w3</v>
      </c>
      <c r="DC6" s="59" t="str">
        <f>Sheet8!Y15</f>
        <v>Aug-w4</v>
      </c>
      <c r="DD6" s="59" t="str">
        <f>Sheet8!Z15</f>
        <v>Sep-w1</v>
      </c>
      <c r="DE6" s="59" t="str">
        <f>Sheet8!AA15</f>
        <v>Sep-w2</v>
      </c>
      <c r="DF6" s="59" t="str">
        <f>Sheet8!AB15</f>
        <v>Sep-w3</v>
      </c>
      <c r="DG6" s="59" t="str">
        <f>Sheet8!AC15</f>
        <v>Sep-w4</v>
      </c>
      <c r="DH6" s="59" t="str">
        <f>Sheet8!AD15</f>
        <v>Oct-w1</v>
      </c>
      <c r="DI6" s="59" t="str">
        <f>Sheet8!AE15</f>
        <v>Oct-w2</v>
      </c>
      <c r="DJ6" s="59" t="str">
        <f>Sheet8!AF15</f>
        <v>Oct-w3</v>
      </c>
      <c r="DK6" s="59" t="str">
        <f>Sheet8!AG15</f>
        <v>Oct-w4</v>
      </c>
      <c r="DL6" s="59" t="str">
        <f>Sheet8!AH15</f>
        <v>Nov-w1</v>
      </c>
      <c r="DM6" s="59" t="str">
        <f>Sheet8!AI15</f>
        <v>Nov-w2</v>
      </c>
      <c r="DN6" s="59" t="str">
        <f>Sheet8!AJ15</f>
        <v>Nov-w3</v>
      </c>
      <c r="DO6" s="59" t="str">
        <f>Sheet8!AK15</f>
        <v>Nov-w4</v>
      </c>
      <c r="DP6" s="59" t="str">
        <f>Sheet8!AL15</f>
        <v>Dec-w1</v>
      </c>
      <c r="DQ6" s="59" t="str">
        <f>Sheet8!AM15</f>
        <v>Dec-w2</v>
      </c>
      <c r="DR6" s="59" t="str">
        <f>Sheet8!AN15</f>
        <v>Dec-w3</v>
      </c>
      <c r="DS6" s="59" t="str">
        <f>Sheet8!AO15</f>
        <v>Dec-w4</v>
      </c>
      <c r="DT6" s="59">
        <f>Sheet8!AP15</f>
        <v>0</v>
      </c>
      <c r="DU6" s="59">
        <f>Sheet8!AQ15</f>
        <v>0</v>
      </c>
      <c r="DV6" s="59">
        <f>Sheet8!AR15</f>
        <v>0</v>
      </c>
      <c r="DW6" s="59">
        <f>Sheet8!AS15</f>
        <v>0</v>
      </c>
      <c r="DX6" s="59">
        <f>Sheet8!AT15</f>
        <v>0</v>
      </c>
      <c r="DY6" s="59">
        <f>Sheet8!AU15</f>
        <v>0</v>
      </c>
      <c r="DZ6" s="59">
        <f>Sheet8!AV15</f>
        <v>0</v>
      </c>
      <c r="EA6" s="59">
        <f>Sheet8!AW15</f>
        <v>0</v>
      </c>
      <c r="EB6" s="59">
        <f>Sheet8!AX15</f>
        <v>0</v>
      </c>
      <c r="EC6" s="59">
        <f>Sheet8!AY15</f>
        <v>0</v>
      </c>
      <c r="ED6" s="59">
        <f>Sheet8!AZ15</f>
        <v>0</v>
      </c>
      <c r="EE6" s="59">
        <f>Sheet8!BA15</f>
        <v>0</v>
      </c>
      <c r="EF6" s="59">
        <f>Sheet8!BB15</f>
        <v>0</v>
      </c>
      <c r="EG6" s="59">
        <f>Sheet8!BC15</f>
        <v>0</v>
      </c>
      <c r="EH6" s="59">
        <f>Sheet8!BD15</f>
        <v>0</v>
      </c>
      <c r="EI6" s="59">
        <f>Sheet8!BE15</f>
        <v>0</v>
      </c>
      <c r="EJ6" s="59">
        <f>Sheet8!BF15</f>
        <v>0</v>
      </c>
      <c r="EK6" s="59">
        <f>Sheet8!BG15</f>
        <v>0</v>
      </c>
      <c r="EL6" s="59">
        <f>Sheet8!BH15</f>
        <v>0</v>
      </c>
      <c r="EM6" s="59">
        <f>Sheet8!BI15</f>
        <v>0</v>
      </c>
      <c r="EN6" s="59">
        <f>Sheet8!BJ15</f>
        <v>0</v>
      </c>
      <c r="EO6" s="59">
        <f>Sheet8!BK15</f>
        <v>0</v>
      </c>
      <c r="EP6" s="59">
        <f>Sheet8!BL15</f>
        <v>0</v>
      </c>
      <c r="EQ6" s="59">
        <f>Sheet8!BM15</f>
        <v>0</v>
      </c>
      <c r="ER6" s="59">
        <f>Sheet8!BN15</f>
        <v>0</v>
      </c>
      <c r="ES6" s="59">
        <f>Sheet8!BO15</f>
        <v>0</v>
      </c>
      <c r="ET6" s="59">
        <f>Sheet8!BP15</f>
        <v>0</v>
      </c>
      <c r="EU6" s="59">
        <f>Sheet8!BQ15</f>
        <v>0</v>
      </c>
      <c r="EV6" s="59">
        <f>Sheet8!BR15</f>
        <v>0</v>
      </c>
    </row>
    <row r="7" spans="1:152">
      <c r="B7" s="44"/>
      <c r="D7" s="44"/>
      <c r="F7" s="60" t="s">
        <v>651</v>
      </c>
      <c r="H7" s="178" t="s">
        <v>126</v>
      </c>
      <c r="I7" s="74">
        <f>VLOOKUP($H$7&amp;$F$1,'Input RM sheet'!$A:$BD,H1,0)</f>
        <v>585</v>
      </c>
      <c r="J7" s="74">
        <f>VLOOKUP($H$7&amp;$F$1,'Input RM sheet'!$A:$BD,I1,0)</f>
        <v>525</v>
      </c>
      <c r="K7" s="74">
        <f>VLOOKUP($H$7&amp;$F$1,'Input RM sheet'!$A:$BD,J1,0)</f>
        <v>405</v>
      </c>
      <c r="L7" s="74">
        <f>VLOOKUP($H$7&amp;$F$1,'Input RM sheet'!$A:$BD,K1,0)</f>
        <v>390</v>
      </c>
      <c r="M7" s="74">
        <f>VLOOKUP($H$7&amp;$F$1,'Input RM sheet'!$A:$BD,L1,0)</f>
        <v>407.5</v>
      </c>
      <c r="N7" s="74">
        <f>VLOOKUP($H$7&amp;$F$1,'Input RM sheet'!$A:$BD,M1,0)</f>
        <v>420</v>
      </c>
      <c r="O7" s="74">
        <f>VLOOKUP($H$7&amp;$F$1,'Input RM sheet'!$A:$BD,N1,0)</f>
        <v>420</v>
      </c>
      <c r="P7" s="74">
        <f>VLOOKUP($H$7&amp;$F$1,'Input RM sheet'!$A:$BD,O1,0)</f>
        <v>445</v>
      </c>
      <c r="Q7" s="74">
        <f>VLOOKUP($H$7&amp;$F$1,'Input RM sheet'!$A:$BD,P1,0)</f>
        <v>472.5</v>
      </c>
      <c r="R7" s="74">
        <f>VLOOKUP($H$7&amp;$F$1,'Input RM sheet'!$A:$BD,Q1,0)</f>
        <v>480</v>
      </c>
      <c r="S7" s="74">
        <f>VLOOKUP($H$7&amp;$F$1,'Input RM sheet'!$A:$BD,R1,0)</f>
        <v>472.5</v>
      </c>
      <c r="T7" s="74">
        <f>VLOOKUP($H$7&amp;$F$1,'Input RM sheet'!$A:$BD,S1,0)</f>
        <v>507.5</v>
      </c>
      <c r="U7" s="74">
        <f>VLOOKUP($H$7&amp;$F$1,'Input RM sheet'!$A:$BD,T1,0)</f>
        <v>597.5</v>
      </c>
      <c r="V7" s="74">
        <f>VLOOKUP($H$7&amp;$F$1,'Input RM sheet'!$A:$BD,U1,0)</f>
        <v>735</v>
      </c>
      <c r="W7" s="74">
        <f>VLOOKUP($H$7&amp;$F$1,'Input RM sheet'!$A:$BD,V1,0)</f>
        <v>750</v>
      </c>
      <c r="X7" s="74">
        <f>VLOOKUP($H$7&amp;$F$1,'Input RM sheet'!$A:$BD,W1,0)</f>
        <v>653</v>
      </c>
      <c r="Y7" s="74">
        <f>VLOOKUP($H$7&amp;$F$1,'Input RM sheet'!$A:$BD,X1,0)</f>
        <v>640</v>
      </c>
      <c r="Z7" s="74">
        <f>VLOOKUP($H$7&amp;$F$1,'Input RM sheet'!$A:$BD,Y1,0)</f>
        <v>635</v>
      </c>
      <c r="AA7" s="74">
        <f>VLOOKUP($H$7&amp;$F$1,'Input RM sheet'!$A:$BD,Z1,0)</f>
        <v>695</v>
      </c>
      <c r="AB7" s="74">
        <f>VLOOKUP($H$7&amp;$F$1,'Input RM sheet'!$A:$BD,AA1,0)</f>
        <v>670</v>
      </c>
      <c r="AC7" s="74">
        <f>VLOOKUP($H$7&amp;$F$1,'Input RM sheet'!$A:$BD,AB1,0)</f>
        <v>705</v>
      </c>
      <c r="AD7" s="74">
        <f>VLOOKUP($H$7&amp;$F$1,'Input RM sheet'!$A:$BD,AC1,0)</f>
        <v>900</v>
      </c>
      <c r="AE7" s="74">
        <f>VLOOKUP($H$7&amp;$F$1,'Input RM sheet'!$A:$BD,AD1,0)</f>
        <v>715</v>
      </c>
      <c r="AF7" s="74">
        <f>VLOOKUP($H$7&amp;$F$1,'Input RM sheet'!$A:$BD,AE1,0)</f>
        <v>640</v>
      </c>
      <c r="AG7" s="74">
        <f>VLOOKUP($H$7&amp;$F$1,'Input RM sheet'!$A:$BD,AF1,0)</f>
        <v>690</v>
      </c>
      <c r="AH7" s="74">
        <f>VLOOKUP($H$7&amp;$F$1,'Input RM sheet'!$A:$BD,AG1,0)</f>
        <v>697.5</v>
      </c>
      <c r="AI7" s="74">
        <f>VLOOKUP($H$7&amp;$F$1,'Input RM sheet'!$A:$BD,AH1,0)</f>
        <v>680</v>
      </c>
      <c r="AJ7" s="74">
        <f>VLOOKUP($H$7&amp;$F$1,'Input RM sheet'!$A:$BD,AI1,0)</f>
        <v>650</v>
      </c>
      <c r="AK7" s="74">
        <f>VLOOKUP($H$7&amp;$F$1,'Input RM sheet'!$A:$BD,AJ1,0)</f>
        <v>622.5</v>
      </c>
      <c r="AL7" s="74">
        <f>VLOOKUP($H$7&amp;$F$1,'Input RM sheet'!$A:$BD,AK1,0)</f>
        <v>632.5</v>
      </c>
      <c r="AM7" s="74">
        <f>VLOOKUP($H$7&amp;$F$1,'Input RM sheet'!$A:$BD,AL1,0)</f>
        <v>540</v>
      </c>
      <c r="AN7" s="74">
        <f>VLOOKUP($H$7&amp;$F$1,'Input RM sheet'!$A:$BD,AM1,0)</f>
        <v>500</v>
      </c>
      <c r="AO7" s="74">
        <f>VLOOKUP($H$7&amp;$F$1,'Input RM sheet'!$A:$BD,AN1,0)</f>
        <v>520</v>
      </c>
      <c r="AP7" s="74">
        <f>VLOOKUP($H$7&amp;$F$1,'Input RM sheet'!$A:$BD,AO1,0)</f>
        <v>470</v>
      </c>
      <c r="AQ7" s="74">
        <f>VLOOKUP($H$7&amp;$F$1,'Input RM sheet'!$A:$BD,AP1,0)</f>
        <v>457.5</v>
      </c>
      <c r="AR7" s="74">
        <f>VLOOKUP($H$7&amp;$F$1,'Input RM sheet'!$A:$BD,AQ1,0)</f>
        <v>482.5</v>
      </c>
      <c r="AS7" s="74">
        <f>VLOOKUP($H$7&amp;$F$1,'Input RM sheet'!$A:$BD,AR1,0)</f>
        <v>510</v>
      </c>
      <c r="AT7" s="74">
        <f>VLOOKUP($H$7&amp;$F$1,'Input RM sheet'!$A:$BD,AS1,0)</f>
        <v>520</v>
      </c>
      <c r="AU7" s="74">
        <f>VLOOKUP($H$7&amp;$F$1,'Input RM sheet'!$A:$BD,AT1,0)</f>
        <v>505</v>
      </c>
      <c r="AV7" s="74">
        <f>VLOOKUP($H$7&amp;$F$1,'Input RM sheet'!$A:$BD,AU1,0)</f>
        <v>512.5</v>
      </c>
      <c r="AW7" s="74">
        <f>VLOOKUP($H$7&amp;$F$1,'Input RM sheet'!$A:$BD,AV1,0)</f>
        <v>495</v>
      </c>
      <c r="AX7" s="74">
        <f>VLOOKUP($H$7&amp;$F$1,'Input RM sheet'!$A:$BD,AW1,0)</f>
        <v>455</v>
      </c>
      <c r="AY7" s="74">
        <f>VLOOKUP($H$7&amp;$F$1,'Input RM sheet'!$A:$BD,AX1,0)</f>
        <v>455</v>
      </c>
      <c r="AZ7" s="74">
        <f>VLOOKUP($H$7&amp;$F$1,'Input RM sheet'!$A:$BD,AY1,0)</f>
        <v>455</v>
      </c>
      <c r="BA7" s="74">
        <f>VLOOKUP($H$7&amp;$F$1,'Input RM sheet'!$A:$BD,AZ1,0)</f>
        <v>455</v>
      </c>
      <c r="BB7" s="74">
        <f>VLOOKUP($H$7&amp;$F$1,'Input RM sheet'!$A:$BD,BA1,0)</f>
        <v>455</v>
      </c>
      <c r="BC7" s="74">
        <f>VLOOKUP($H$7&amp;$F$1,'Input RM sheet'!$A:$BD,BB1,0)</f>
        <v>475</v>
      </c>
      <c r="BD7" s="74">
        <f>VLOOKUP($H$7&amp;$F$1,'Input RM sheet'!$A:$BD,BC1,0)</f>
        <v>475</v>
      </c>
      <c r="BE7" s="74">
        <f>VLOOKUP($H$7&amp;$F$1,'Input RM sheet'!$A:$BD,BD1,0)</f>
        <v>475</v>
      </c>
      <c r="BF7" s="74">
        <f>VLOOKUP($H$7&amp;$F$1,'Input RM sheet'!$A:$BD,BE1,0)</f>
        <v>475</v>
      </c>
      <c r="BG7" s="74">
        <f>VLOOKUP($H$7&amp;$F$1,'Input RM sheet'!$A:$DD,BF1,0)</f>
        <v>465</v>
      </c>
      <c r="BH7" s="74">
        <f>VLOOKUP($H$7&amp;$F$1,'Input RM sheet'!$A:$DD,BG1,0)</f>
        <v>497.5</v>
      </c>
      <c r="BI7" s="74">
        <f>VLOOKUP($H$7&amp;$F$1,'Input RM sheet'!$A:$DD,BH1,0)</f>
        <v>497.5</v>
      </c>
      <c r="BJ7" s="74">
        <f>VLOOKUP($H$7&amp;$F$1,'Input RM sheet'!$A:$DD,BI1,0)</f>
        <v>497.5</v>
      </c>
      <c r="BK7" s="74">
        <f>VLOOKUP($H$7&amp;$F$1,'Input RM sheet'!$A:$DD,BJ1,0)</f>
        <v>497.5</v>
      </c>
      <c r="BL7" s="74">
        <f>VLOOKUP($H$7&amp;$F$1,'Input RM sheet'!$A:$DD,BK1,0)</f>
        <v>497.5</v>
      </c>
      <c r="BM7" s="74">
        <f>VLOOKUP($H$7&amp;$F$1,'Input RM sheet'!$A:$DD,BL1,0)</f>
        <v>497.5</v>
      </c>
      <c r="BN7" s="74">
        <f>VLOOKUP($H$7&amp;$F$1,'Input RM sheet'!$A:$DD,BM1,0)</f>
        <v>462.5</v>
      </c>
      <c r="BO7" s="74">
        <f>VLOOKUP($H$7&amp;$F$1,'Input RM sheet'!$A:$DD,BN1,0)</f>
        <v>462.5</v>
      </c>
      <c r="BP7" s="74">
        <f>VLOOKUP($H$7&amp;$F$1,'Input RM sheet'!$A:$DD,BO1,0)</f>
        <v>462.5</v>
      </c>
      <c r="BQ7" s="74">
        <f>VLOOKUP($H$7&amp;$F$1,'Input RM sheet'!$A:$DD,BP1,0)</f>
        <v>462.5</v>
      </c>
      <c r="BR7" s="74">
        <f>VLOOKUP($H$7&amp;$F$1,'Input RM sheet'!$A:$DD,BQ1,0)</f>
        <v>485</v>
      </c>
      <c r="BS7" s="74">
        <f>VLOOKUP($H$7&amp;$F$1,'Input RM sheet'!$A:$DD,BR1,0)</f>
        <v>485</v>
      </c>
      <c r="BT7" s="74">
        <f>VLOOKUP($H$7&amp;$F$1,'Input RM sheet'!$A:$DD,BS1,0)</f>
        <v>485</v>
      </c>
      <c r="BU7" s="74">
        <f>VLOOKUP($H$7&amp;$F$1,'Input RM sheet'!$A:$DD,BT1,0)</f>
        <v>485</v>
      </c>
      <c r="BV7" s="74">
        <f>VLOOKUP($H$7&amp;$F$1,'Input RM sheet'!$A:$DD,BU1,0)</f>
        <v>485</v>
      </c>
      <c r="BW7" s="74">
        <f>VLOOKUP($H$7&amp;$F$1,'Input RM sheet'!$A:$DD,BV1,0)</f>
        <v>485</v>
      </c>
      <c r="BX7" s="74">
        <f>VLOOKUP($H$7&amp;$F$1,'Input RM sheet'!$A:$DD,BW1,0)</f>
        <v>485</v>
      </c>
      <c r="BY7" s="74">
        <f>VLOOKUP($H$7&amp;$F$1,'Input RM sheet'!$A:$DD,BX1,0)</f>
        <v>485</v>
      </c>
      <c r="BZ7" s="74">
        <f>VLOOKUP($H$7&amp;$F$1,'Input RM sheet'!$A:$DD,BY1,0)</f>
        <v>542.5</v>
      </c>
      <c r="CA7" s="74">
        <f>VLOOKUP($H$7&amp;$F$1,'Input RM sheet'!$A:$DD,BZ1,0)</f>
        <v>542.5</v>
      </c>
      <c r="CB7" s="74">
        <f>VLOOKUP($H$7&amp;$F$1,'Input RM sheet'!$A:$DD,CA1,0)</f>
        <v>542.5</v>
      </c>
      <c r="CC7" s="74">
        <f>VLOOKUP($H$7&amp;$F$1,'Input RM sheet'!$A:$DD,CB1,0)</f>
        <v>547.5</v>
      </c>
      <c r="CD7" s="74">
        <f>VLOOKUP($H$7&amp;$F$1,'Input RM sheet'!$A:$DD,CC1,0)</f>
        <v>547.5</v>
      </c>
      <c r="CE7" s="74">
        <f>VLOOKUP($H$7&amp;$F$1,'Input RM sheet'!$A:$DD,CD1,0)</f>
        <v>547.5</v>
      </c>
      <c r="CF7" s="74">
        <f>VLOOKUP($H$7&amp;$F$1,'Input RM sheet'!$A:$DD,CE1,0)</f>
        <v>547.5</v>
      </c>
      <c r="CG7" s="74">
        <f>VLOOKUP($H$7&amp;$F$1,'Input RM sheet'!$A:$DD,CF1,0)</f>
        <v>547.5</v>
      </c>
      <c r="CH7" s="74">
        <f>VLOOKUP($H$7&amp;$F$1,'Input RM sheet'!$A:$DD,CG1,0)</f>
        <v>530</v>
      </c>
      <c r="CI7" s="74">
        <f>VLOOKUP($H$7&amp;$F$1,'Input RM sheet'!$A:$DD,CH1,0)</f>
        <v>530</v>
      </c>
      <c r="CJ7" s="74">
        <f>VLOOKUP($H$7&amp;$F$1,'Input RM sheet'!$A:$DD,CI1,0)</f>
        <v>530</v>
      </c>
      <c r="CK7" s="74">
        <f>VLOOKUP($H$7&amp;$F$1,'Input RM sheet'!$A:$DD,CJ1,0)</f>
        <v>530</v>
      </c>
      <c r="CL7" s="74">
        <f>VLOOKUP($H$7&amp;$F$1,'Input RM sheet'!$A:$DD,CK1,0)</f>
        <v>517.5</v>
      </c>
      <c r="CM7" s="74">
        <f>VLOOKUP($H$7&amp;$F$1,'Input RM sheet'!$A:$DD,CL1,0)</f>
        <v>517.5</v>
      </c>
      <c r="CN7" s="74">
        <f>VLOOKUP($H$7&amp;$F$1,'Input RM sheet'!$A:$DD,CM1,0)</f>
        <v>517.5</v>
      </c>
      <c r="CO7" s="74">
        <f>VLOOKUP($H$7&amp;$F$1,'Input RM sheet'!$A:$DD,CN1,0)</f>
        <v>517.5</v>
      </c>
      <c r="CP7" s="74">
        <f>VLOOKUP($H$7&amp;$F$1,'Input RM sheet'!$A:$DD,CO1,0)</f>
        <v>517.5</v>
      </c>
      <c r="CQ7" s="74">
        <f>VLOOKUP($H$7&amp;$F$1,'Input RM sheet'!$A:$DD,CP1,0)</f>
        <v>517.5</v>
      </c>
      <c r="CR7" s="74">
        <f>VLOOKUP($H$7&amp;$F$1,'Input RM sheet'!$A:$ZZ,CQ1,0)</f>
        <v>525</v>
      </c>
      <c r="CS7" s="74">
        <f>VLOOKUP($H$7&amp;$F$1,'Input RM sheet'!$A:$ZZ,CR1,0)</f>
        <v>525</v>
      </c>
      <c r="CT7" s="74">
        <f>VLOOKUP($H$7&amp;$F$1,'Input RM sheet'!$A:$ZZ,CS1,0)</f>
        <v>525</v>
      </c>
      <c r="CU7" s="74">
        <f>VLOOKUP($H$7&amp;$F$1,'Input RM sheet'!$A:$ZZ,CT1,0)</f>
        <v>517.5</v>
      </c>
      <c r="CV7" s="74">
        <f>VLOOKUP($H$7&amp;$F$1,'Input RM sheet'!$A:$ZZ,CU1,0)</f>
        <v>517.5</v>
      </c>
      <c r="CW7" s="74">
        <f>VLOOKUP($H$7&amp;$F$1,'Input RM sheet'!$A:$ZZ,CV1,0)</f>
        <v>517.5</v>
      </c>
      <c r="CX7" s="74">
        <f>VLOOKUP($H$7&amp;$F$1,'Input RM sheet'!$A:$ZZ,CW1,0)</f>
        <v>517.5</v>
      </c>
      <c r="CY7" s="74">
        <f>VLOOKUP($H$7&amp;$F$1,'Input RM sheet'!$A:$ZZ,CX1,0)</f>
        <v>550</v>
      </c>
      <c r="CZ7" s="74">
        <f>VLOOKUP($H$7&amp;$F$1,'Input RM sheet'!$A:$ZZ,CY1,0)</f>
        <v>550</v>
      </c>
      <c r="DA7" s="74">
        <f>VLOOKUP($H$7&amp;$F$1,'Input RM sheet'!$A:$ZZ,CZ1,0)</f>
        <v>550</v>
      </c>
      <c r="DB7" s="74">
        <f>VLOOKUP($H$7&amp;$F$1,'Input RM sheet'!$A:$ZZ,DA1,0)</f>
        <v>550</v>
      </c>
      <c r="DC7" s="74">
        <f>VLOOKUP($H$7&amp;$F$1,'Input RM sheet'!$A:$ZZ,DB1,0)</f>
        <v>547.5</v>
      </c>
      <c r="DD7" s="74">
        <f>VLOOKUP($H$7&amp;$F$1,'Input RM sheet'!$A:$ZZ,DC1,0)</f>
        <v>547.5</v>
      </c>
      <c r="DE7" s="74">
        <f>VLOOKUP($H$7&amp;$F$1,'Input RM sheet'!$A:$ZZ,DD1,0)</f>
        <v>547.5</v>
      </c>
      <c r="DF7" s="74">
        <f>VLOOKUP($H$7&amp;$F$1,'Input RM sheet'!$A:$ZZ,DE1,0)</f>
        <v>547.5</v>
      </c>
      <c r="DG7" s="74">
        <f>VLOOKUP($H$7&amp;$F$1,'Input RM sheet'!$A:$ZZ,DF1,0)</f>
        <v>547.5</v>
      </c>
      <c r="DH7" s="74">
        <f>VLOOKUP($H$7&amp;$F$1,'Input RM sheet'!$A:$ZZ,DG1,0)</f>
        <v>532.5</v>
      </c>
      <c r="DI7" s="74">
        <f>VLOOKUP($H$7&amp;$F$1,'Input RM sheet'!$A:$ZZ,DH1,0)</f>
        <v>532.5</v>
      </c>
      <c r="DJ7" s="74">
        <f>VLOOKUP($H$7&amp;$F$1,'Input RM sheet'!$A:$ZZ,DI1,0)</f>
        <v>532.5</v>
      </c>
      <c r="DK7" s="74">
        <f>VLOOKUP($H$7&amp;$F$1,'Input RM sheet'!$A:$ZZ,DJ1,0)</f>
        <v>532.5</v>
      </c>
      <c r="DL7" s="74">
        <f>VLOOKUP($H$7&amp;$F$1,'Input RM sheet'!$A:$ZZ,DK1,0)</f>
        <v>532.5</v>
      </c>
      <c r="DM7" s="74">
        <f>VLOOKUP($H$7&amp;$F$1,'Input RM sheet'!$A:$ZZ,DL1,0)</f>
        <v>555</v>
      </c>
      <c r="DN7" s="74">
        <f>VLOOKUP($H$7&amp;$F$1,'Input RM sheet'!$A:$ZZ,DM1,0)</f>
        <v>555</v>
      </c>
      <c r="DO7" s="74">
        <f>VLOOKUP($H$7&amp;$F$1,'Input RM sheet'!$A:$ZZ,DN1,0)</f>
        <v>535</v>
      </c>
      <c r="DP7" s="74">
        <f>VLOOKUP($H$7&amp;$F$1,'Input RM sheet'!$A:$ZZ,DO1,0)</f>
        <v>535</v>
      </c>
      <c r="DQ7" s="74">
        <f>VLOOKUP($H$7&amp;$F$1,'Input RM sheet'!$A:$ZZ,DP1,0)</f>
        <v>535</v>
      </c>
      <c r="DR7" s="74">
        <f>VLOOKUP($H$7&amp;$F$1,'Input RM sheet'!$A:$ZZ,DQ1,0)</f>
        <v>535</v>
      </c>
      <c r="DS7" s="74">
        <f>VLOOKUP($H$7&amp;$F$1,'Input RM sheet'!$A:$ZZ,DR1,0)</f>
        <v>550</v>
      </c>
      <c r="DT7" s="74">
        <f>VLOOKUP($H$7&amp;$F$1,'Input RM sheet'!$A:$ZZ,DS1,0)</f>
        <v>0</v>
      </c>
      <c r="DU7" s="74">
        <f>VLOOKUP($H$7&amp;$F$1,'Input RM sheet'!$A:$ZZ,DT1,0)</f>
        <v>0</v>
      </c>
      <c r="DV7" s="74">
        <f>VLOOKUP($H$7&amp;$F$1,'Input RM sheet'!$A:$ZZ,DU1,0)</f>
        <v>0</v>
      </c>
      <c r="DW7" s="74">
        <f>VLOOKUP($H$7&amp;$F$1,'Input RM sheet'!$A:$ZZ,DV1,0)</f>
        <v>0</v>
      </c>
      <c r="DX7" s="74">
        <f>VLOOKUP($H$7&amp;$F$1,'Input RM sheet'!$A:$ZZ,DW1,0)</f>
        <v>0</v>
      </c>
      <c r="DY7" s="74">
        <f>VLOOKUP($H$7&amp;$F$1,'Input RM sheet'!$A:$ZZ,DX1,0)</f>
        <v>0</v>
      </c>
      <c r="DZ7" s="74">
        <f>VLOOKUP($H$7&amp;$F$1,'Input RM sheet'!$A:$ZZ,DY1,0)</f>
        <v>0</v>
      </c>
      <c r="EA7" s="74">
        <f>VLOOKUP($H$7&amp;$F$1,'Input RM sheet'!$A:$ZZ,DZ1,0)</f>
        <v>0</v>
      </c>
      <c r="EB7" s="74">
        <f>VLOOKUP($H$7&amp;$F$1,'Input RM sheet'!$A:$ZZ,EA1,0)</f>
        <v>0</v>
      </c>
      <c r="EC7" s="74">
        <f>VLOOKUP($H$7&amp;$F$1,'Input RM sheet'!$A:$ZZ,EB1,0)</f>
        <v>0</v>
      </c>
      <c r="ED7" s="74">
        <f>VLOOKUP($H$7&amp;$F$1,'Input RM sheet'!$A:$ZZ,EC1,0)</f>
        <v>0</v>
      </c>
      <c r="EE7" s="74">
        <f>VLOOKUP($H$7&amp;$F$1,'Input RM sheet'!$A:$ZZ,ED1,0)</f>
        <v>0</v>
      </c>
      <c r="EF7" s="74">
        <f>VLOOKUP($H$7&amp;$F$1,'Input RM sheet'!$A:$ZZ,EE1,0)</f>
        <v>0</v>
      </c>
      <c r="EG7" s="74">
        <f>VLOOKUP($H$7&amp;$F$1,'Input RM sheet'!$A:$ZZ,EF1,0)</f>
        <v>0</v>
      </c>
      <c r="EH7" s="74">
        <f>VLOOKUP($H$7&amp;$F$1,'Input RM sheet'!$A:$ZZ,EG1,0)</f>
        <v>0</v>
      </c>
      <c r="EI7" s="74">
        <f>VLOOKUP($H$7&amp;$F$1,'Input RM sheet'!$A:$ZZ,EH1,0)</f>
        <v>0</v>
      </c>
      <c r="EJ7" s="74">
        <f>VLOOKUP($H$7&amp;$F$1,'Input RM sheet'!$A:$ZZ,EI1,0)</f>
        <v>0</v>
      </c>
      <c r="EK7" s="74">
        <f>VLOOKUP($H$7&amp;$F$1,'Input RM sheet'!$A:$ZZ,EJ1,0)</f>
        <v>0</v>
      </c>
      <c r="EL7" s="74">
        <f>VLOOKUP($H$7&amp;$F$1,'Input RM sheet'!$A:$ZZ,EK1,0)</f>
        <v>0</v>
      </c>
      <c r="EM7" s="74">
        <f>VLOOKUP($H$7&amp;$F$1,'Input RM sheet'!$A:$ZZ,EL1,0)</f>
        <v>0</v>
      </c>
      <c r="EN7" s="74">
        <f>VLOOKUP($H$7&amp;$F$1,'Input RM sheet'!$A:$ZZ,EM1,0)</f>
        <v>0</v>
      </c>
      <c r="EO7" s="74">
        <f>VLOOKUP($H$7&amp;$F$1,'Input RM sheet'!$A:$ZZ,EN1,0)</f>
        <v>0</v>
      </c>
      <c r="EP7" s="74">
        <f>VLOOKUP($H$7&amp;$F$1,'Input RM sheet'!$A:$ZZ,EO1,0)</f>
        <v>0</v>
      </c>
      <c r="EQ7" s="74">
        <f>VLOOKUP($H$7&amp;$F$1,'Input RM sheet'!$A:$ZZ,EP1,0)</f>
        <v>0</v>
      </c>
      <c r="ER7" s="74">
        <f>VLOOKUP($H$7&amp;$F$1,'Input RM sheet'!$A:$ZZ,EQ1,0)</f>
        <v>0</v>
      </c>
      <c r="ES7" s="74">
        <f>VLOOKUP($H$7&amp;$F$1,'Input RM sheet'!$A:$ZZ,ER1,0)</f>
        <v>0</v>
      </c>
      <c r="ET7" s="74">
        <f>VLOOKUP($H$7&amp;$F$1,'Input RM sheet'!$A:$ZZ,ES1,0)</f>
        <v>0</v>
      </c>
      <c r="EU7" s="74">
        <f>VLOOKUP($H$7&amp;$F$1,'Input RM sheet'!$A:$ZZ,ET1,0)</f>
        <v>0</v>
      </c>
      <c r="EV7" s="74">
        <f>VLOOKUP($H$7&amp;$F$1,'Input RM sheet'!$A:$ZZ,EU1,0)</f>
        <v>0</v>
      </c>
    </row>
    <row r="8" spans="1:152">
      <c r="B8" s="44"/>
      <c r="D8" s="44"/>
      <c r="H8" s="60" t="s">
        <v>789</v>
      </c>
      <c r="I8" s="74"/>
      <c r="J8" s="74"/>
      <c r="K8" s="74"/>
      <c r="L8" s="74"/>
      <c r="M8" s="74"/>
      <c r="N8" s="74"/>
      <c r="O8" s="74"/>
      <c r="P8" s="74"/>
      <c r="Q8" s="74"/>
      <c r="R8" s="74"/>
      <c r="S8" s="74"/>
      <c r="T8" s="74"/>
      <c r="U8" s="74"/>
      <c r="V8" s="74"/>
      <c r="W8" s="74"/>
      <c r="X8" s="74"/>
      <c r="Y8" s="74"/>
      <c r="Z8" s="74"/>
      <c r="AA8" s="74"/>
      <c r="AB8" s="74"/>
      <c r="AC8" s="74"/>
      <c r="AD8" s="74"/>
      <c r="AE8" s="74"/>
      <c r="AF8" s="74"/>
      <c r="AG8" s="74"/>
      <c r="AH8" s="74"/>
      <c r="AI8" s="74"/>
      <c r="AJ8" s="74"/>
      <c r="AK8" s="74"/>
      <c r="AL8" s="74"/>
      <c r="AM8" s="74"/>
      <c r="AN8" s="74"/>
      <c r="AO8" s="74"/>
      <c r="AP8" s="74"/>
      <c r="AQ8" s="74"/>
      <c r="AR8" s="74"/>
      <c r="AS8" s="74"/>
      <c r="AT8" s="74"/>
      <c r="AU8" s="74"/>
      <c r="AV8" s="74"/>
      <c r="AW8" s="74"/>
      <c r="AX8" s="74"/>
      <c r="AY8" s="74"/>
      <c r="AZ8" s="74"/>
      <c r="BA8" s="74"/>
      <c r="BB8" s="74"/>
      <c r="BC8" s="74"/>
      <c r="BD8" s="74"/>
      <c r="BE8" s="74"/>
      <c r="BF8" s="74"/>
      <c r="BG8" s="74"/>
      <c r="BH8" s="74"/>
      <c r="BI8" s="74"/>
      <c r="BJ8" s="74"/>
      <c r="BK8" s="74"/>
      <c r="BL8" s="74"/>
      <c r="BM8" s="74"/>
      <c r="BN8" s="74"/>
      <c r="BO8" s="74"/>
      <c r="BP8" s="74"/>
      <c r="BQ8" s="74"/>
      <c r="BR8" s="74"/>
      <c r="BS8" s="74"/>
      <c r="BT8" s="74"/>
      <c r="BU8" s="74"/>
      <c r="BV8" s="74"/>
      <c r="BW8" s="74"/>
    </row>
    <row r="9" spans="1:152" ht="26">
      <c r="A9" s="59" t="s">
        <v>395</v>
      </c>
      <c r="B9" s="59"/>
      <c r="C9" s="59" t="s">
        <v>379</v>
      </c>
      <c r="D9" s="98" t="s">
        <v>380</v>
      </c>
      <c r="E9" s="98" t="s">
        <v>381</v>
      </c>
      <c r="F9" s="59" t="s">
        <v>396</v>
      </c>
      <c r="H9" s="60" t="s">
        <v>399</v>
      </c>
      <c r="I9" s="84"/>
      <c r="J9" s="84"/>
      <c r="K9" s="84"/>
      <c r="L9" s="84"/>
      <c r="M9" s="84"/>
      <c r="N9" s="84"/>
      <c r="O9" s="84"/>
      <c r="P9" s="84"/>
      <c r="Q9" s="84"/>
      <c r="R9" s="84"/>
      <c r="S9" s="84"/>
      <c r="T9" s="84"/>
      <c r="U9" s="84"/>
      <c r="V9" s="84"/>
      <c r="W9" s="84"/>
      <c r="X9" s="84"/>
      <c r="Y9" s="84"/>
      <c r="Z9" s="84"/>
      <c r="AA9" s="84"/>
      <c r="AB9" s="84"/>
      <c r="AC9" s="84"/>
      <c r="AD9" s="84"/>
      <c r="AE9" s="84"/>
      <c r="AF9" s="84"/>
      <c r="AG9" s="84"/>
      <c r="AH9" s="84"/>
      <c r="AI9" s="84"/>
      <c r="AJ9" s="84"/>
      <c r="AK9" s="84"/>
      <c r="AL9" s="84"/>
      <c r="AM9" s="84"/>
      <c r="AN9" s="84"/>
      <c r="AO9" s="84"/>
      <c r="AP9" s="84"/>
      <c r="AQ9" s="84"/>
      <c r="AR9" s="84"/>
      <c r="AS9" s="84"/>
      <c r="AT9" s="84"/>
      <c r="AU9" s="84"/>
    </row>
    <row r="10" spans="1:152" ht="13">
      <c r="A10" s="107" t="s">
        <v>397</v>
      </c>
      <c r="B10" s="178" t="s">
        <v>126</v>
      </c>
      <c r="C10" s="60">
        <v>2</v>
      </c>
      <c r="D10" s="107">
        <v>62.07</v>
      </c>
      <c r="E10" s="60">
        <f>D10*C10</f>
        <v>124.14</v>
      </c>
      <c r="F10" s="65">
        <f>(E10/E2)*40%</f>
        <v>0.85560539043802053</v>
      </c>
      <c r="I10" s="74">
        <f>$F$10*(I7/1000)</f>
        <v>0.50052915340624193</v>
      </c>
      <c r="J10" s="74">
        <f t="shared" ref="J10:BU10" si="0">$F$10*(J7/1000)</f>
        <v>0.44919282997996079</v>
      </c>
      <c r="K10" s="74">
        <f t="shared" si="0"/>
        <v>0.34652018312739835</v>
      </c>
      <c r="L10" s="74">
        <f t="shared" si="0"/>
        <v>0.33368610227082801</v>
      </c>
      <c r="M10" s="74">
        <f t="shared" si="0"/>
        <v>0.34865919660349332</v>
      </c>
      <c r="N10" s="74">
        <f t="shared" si="0"/>
        <v>0.35935426398396864</v>
      </c>
      <c r="O10" s="74">
        <f t="shared" si="0"/>
        <v>0.35935426398396864</v>
      </c>
      <c r="P10" s="74">
        <f t="shared" si="0"/>
        <v>0.38074439874491917</v>
      </c>
      <c r="Q10" s="74">
        <f t="shared" si="0"/>
        <v>0.40427354698196466</v>
      </c>
      <c r="R10" s="74">
        <f t="shared" si="0"/>
        <v>0.41069058741024983</v>
      </c>
      <c r="S10" s="74">
        <f t="shared" si="0"/>
        <v>0.40427354698196466</v>
      </c>
      <c r="T10" s="74">
        <f t="shared" si="0"/>
        <v>0.43421973564729538</v>
      </c>
      <c r="U10" s="74">
        <f t="shared" si="0"/>
        <v>0.51122422078671725</v>
      </c>
      <c r="V10" s="74">
        <f t="shared" si="0"/>
        <v>0.62886996197194511</v>
      </c>
      <c r="W10" s="74">
        <f t="shared" si="0"/>
        <v>0.64170404282851545</v>
      </c>
      <c r="X10" s="74">
        <f t="shared" si="0"/>
        <v>0.55871031995602738</v>
      </c>
      <c r="Y10" s="74">
        <f t="shared" si="0"/>
        <v>0.54758744988033314</v>
      </c>
      <c r="Z10" s="74">
        <f t="shared" si="0"/>
        <v>0.54330942292814299</v>
      </c>
      <c r="AA10" s="74">
        <f t="shared" si="0"/>
        <v>0.59464574635442424</v>
      </c>
      <c r="AB10" s="74">
        <f t="shared" si="0"/>
        <v>0.57325561159347382</v>
      </c>
      <c r="AC10" s="74">
        <f t="shared" si="0"/>
        <v>0.60320180025880443</v>
      </c>
      <c r="AD10" s="74">
        <f t="shared" si="0"/>
        <v>0.77004485139421852</v>
      </c>
      <c r="AE10" s="74">
        <f t="shared" si="0"/>
        <v>0.61175785416318462</v>
      </c>
      <c r="AF10" s="74">
        <f t="shared" si="0"/>
        <v>0.54758744988033314</v>
      </c>
      <c r="AG10" s="74">
        <f t="shared" si="0"/>
        <v>0.59036771940223409</v>
      </c>
      <c r="AH10" s="74">
        <f t="shared" si="0"/>
        <v>0.59678475983051937</v>
      </c>
      <c r="AI10" s="74">
        <f t="shared" si="0"/>
        <v>0.58181166549785401</v>
      </c>
      <c r="AJ10" s="74">
        <f t="shared" si="0"/>
        <v>0.55614350378471333</v>
      </c>
      <c r="AK10" s="74">
        <f t="shared" si="0"/>
        <v>0.53261435554766778</v>
      </c>
      <c r="AL10" s="74">
        <f t="shared" si="0"/>
        <v>0.54117040945204797</v>
      </c>
      <c r="AM10" s="74">
        <f t="shared" si="0"/>
        <v>0.46202691083653114</v>
      </c>
      <c r="AN10" s="74">
        <f t="shared" si="0"/>
        <v>0.42780269521901026</v>
      </c>
      <c r="AO10" s="74">
        <f t="shared" si="0"/>
        <v>0.4449148030277707</v>
      </c>
      <c r="AP10" s="74">
        <f t="shared" si="0"/>
        <v>0.40213453350586964</v>
      </c>
      <c r="AQ10" s="74">
        <f t="shared" si="0"/>
        <v>0.39143946612539443</v>
      </c>
      <c r="AR10" s="74">
        <f t="shared" si="0"/>
        <v>0.41282960088634491</v>
      </c>
      <c r="AS10" s="74">
        <f t="shared" si="0"/>
        <v>0.43635874912339045</v>
      </c>
      <c r="AT10" s="74">
        <f t="shared" si="0"/>
        <v>0.4449148030277707</v>
      </c>
      <c r="AU10" s="74">
        <f t="shared" si="0"/>
        <v>0.43208072217120036</v>
      </c>
      <c r="AV10" s="74">
        <f t="shared" si="0"/>
        <v>0.43849776259948547</v>
      </c>
      <c r="AW10" s="74">
        <f t="shared" si="0"/>
        <v>0.42352466826682017</v>
      </c>
      <c r="AX10" s="74">
        <f t="shared" si="0"/>
        <v>0.38930045264929936</v>
      </c>
      <c r="AY10" s="74">
        <f t="shared" si="0"/>
        <v>0.38930045264929936</v>
      </c>
      <c r="AZ10" s="74">
        <f t="shared" si="0"/>
        <v>0.38930045264929936</v>
      </c>
      <c r="BA10" s="74">
        <f t="shared" si="0"/>
        <v>0.38930045264929936</v>
      </c>
      <c r="BB10" s="74">
        <f t="shared" si="0"/>
        <v>0.38930045264929936</v>
      </c>
      <c r="BC10" s="74">
        <f t="shared" si="0"/>
        <v>0.40641256045805974</v>
      </c>
      <c r="BD10" s="74">
        <f t="shared" si="0"/>
        <v>0.40641256045805974</v>
      </c>
      <c r="BE10" s="74">
        <f t="shared" si="0"/>
        <v>0.40641256045805974</v>
      </c>
      <c r="BF10" s="74">
        <f t="shared" si="0"/>
        <v>0.40641256045805974</v>
      </c>
      <c r="BG10" s="74">
        <f t="shared" si="0"/>
        <v>0.39785650655367955</v>
      </c>
      <c r="BH10" s="74">
        <f t="shared" si="0"/>
        <v>0.42566368174291519</v>
      </c>
      <c r="BI10" s="74">
        <f t="shared" si="0"/>
        <v>0.42566368174291519</v>
      </c>
      <c r="BJ10" s="74">
        <f t="shared" si="0"/>
        <v>0.42566368174291519</v>
      </c>
      <c r="BK10" s="74">
        <f t="shared" si="0"/>
        <v>0.42566368174291519</v>
      </c>
      <c r="BL10" s="74">
        <f t="shared" si="0"/>
        <v>0.42566368174291519</v>
      </c>
      <c r="BM10" s="74">
        <f t="shared" si="0"/>
        <v>0.42566368174291519</v>
      </c>
      <c r="BN10" s="74">
        <f t="shared" si="0"/>
        <v>0.39571749307758453</v>
      </c>
      <c r="BO10" s="74">
        <f t="shared" si="0"/>
        <v>0.39571749307758453</v>
      </c>
      <c r="BP10" s="74">
        <f t="shared" si="0"/>
        <v>0.39571749307758453</v>
      </c>
      <c r="BQ10" s="74">
        <f t="shared" si="0"/>
        <v>0.39571749307758453</v>
      </c>
      <c r="BR10" s="74">
        <f t="shared" si="0"/>
        <v>0.41496861436243992</v>
      </c>
      <c r="BS10" s="74">
        <f t="shared" si="0"/>
        <v>0.41496861436243992</v>
      </c>
      <c r="BT10" s="74">
        <f t="shared" si="0"/>
        <v>0.41496861436243992</v>
      </c>
      <c r="BU10" s="74">
        <f t="shared" si="0"/>
        <v>0.41496861436243992</v>
      </c>
      <c r="BV10" s="74">
        <f>$F$10*(BV7/1000)</f>
        <v>0.41496861436243992</v>
      </c>
      <c r="BW10" s="74">
        <f>$F$10*(BW7/1000)</f>
        <v>0.41496861436243992</v>
      </c>
      <c r="BX10" s="74">
        <f>$F$10*(BX7/1000)</f>
        <v>0.41496861436243992</v>
      </c>
      <c r="BY10" s="74">
        <f>$F$10*(BY7/1000)</f>
        <v>0.41496861436243992</v>
      </c>
      <c r="BZ10" s="74">
        <f t="shared" ref="BZ10:CH10" si="1">$F$10*(BZ7/1000)</f>
        <v>0.4641659243126261</v>
      </c>
      <c r="CA10" s="74">
        <f t="shared" si="1"/>
        <v>0.4641659243126261</v>
      </c>
      <c r="CB10" s="74">
        <f t="shared" si="1"/>
        <v>0.4641659243126261</v>
      </c>
      <c r="CC10" s="74">
        <f t="shared" si="1"/>
        <v>0.46844395126481625</v>
      </c>
      <c r="CD10" s="74">
        <f t="shared" si="1"/>
        <v>0.46844395126481625</v>
      </c>
      <c r="CE10" s="74">
        <f t="shared" si="1"/>
        <v>0.46844395126481625</v>
      </c>
      <c r="CF10" s="74">
        <f t="shared" si="1"/>
        <v>0.46844395126481625</v>
      </c>
      <c r="CG10" s="74">
        <f t="shared" si="1"/>
        <v>0.46844395126481625</v>
      </c>
      <c r="CH10" s="74">
        <f t="shared" si="1"/>
        <v>0.45347085693215089</v>
      </c>
      <c r="CI10" s="74">
        <f t="shared" ref="CI10:CR10" si="2">$F$10*(CI7/1000)</f>
        <v>0.45347085693215089</v>
      </c>
      <c r="CJ10" s="74">
        <f t="shared" si="2"/>
        <v>0.45347085693215089</v>
      </c>
      <c r="CK10" s="74">
        <f t="shared" si="2"/>
        <v>0.45347085693215089</v>
      </c>
      <c r="CL10" s="74">
        <f t="shared" si="2"/>
        <v>0.44277578955167557</v>
      </c>
      <c r="CM10" s="74">
        <f t="shared" si="2"/>
        <v>0.44277578955167557</v>
      </c>
      <c r="CN10" s="74">
        <f t="shared" si="2"/>
        <v>0.44277578955167557</v>
      </c>
      <c r="CO10" s="74">
        <f t="shared" si="2"/>
        <v>0.44277578955167557</v>
      </c>
      <c r="CP10" s="74">
        <f t="shared" si="2"/>
        <v>0.44277578955167557</v>
      </c>
      <c r="CQ10" s="74">
        <f t="shared" si="2"/>
        <v>0.44277578955167557</v>
      </c>
      <c r="CR10" s="74">
        <f t="shared" si="2"/>
        <v>0.44919282997996079</v>
      </c>
      <c r="CS10" s="74">
        <f t="shared" ref="CS10:EV10" si="3">$F$10*(CS7/1000)</f>
        <v>0.44919282997996079</v>
      </c>
      <c r="CT10" s="74">
        <f t="shared" si="3"/>
        <v>0.44919282997996079</v>
      </c>
      <c r="CU10" s="74">
        <f t="shared" si="3"/>
        <v>0.44277578955167557</v>
      </c>
      <c r="CV10" s="74">
        <f t="shared" si="3"/>
        <v>0.44277578955167557</v>
      </c>
      <c r="CW10" s="74">
        <f t="shared" si="3"/>
        <v>0.44277578955167557</v>
      </c>
      <c r="CX10" s="74">
        <f t="shared" si="3"/>
        <v>0.44277578955167557</v>
      </c>
      <c r="CY10" s="74">
        <f t="shared" si="3"/>
        <v>0.47058296474091132</v>
      </c>
      <c r="CZ10" s="74">
        <f t="shared" si="3"/>
        <v>0.47058296474091132</v>
      </c>
      <c r="DA10" s="74">
        <f t="shared" si="3"/>
        <v>0.47058296474091132</v>
      </c>
      <c r="DB10" s="74">
        <f t="shared" si="3"/>
        <v>0.47058296474091132</v>
      </c>
      <c r="DC10" s="74">
        <f t="shared" si="3"/>
        <v>0.46844395126481625</v>
      </c>
      <c r="DD10" s="74">
        <f t="shared" si="3"/>
        <v>0.46844395126481625</v>
      </c>
      <c r="DE10" s="74">
        <f t="shared" si="3"/>
        <v>0.46844395126481625</v>
      </c>
      <c r="DF10" s="74">
        <f t="shared" si="3"/>
        <v>0.46844395126481625</v>
      </c>
      <c r="DG10" s="74">
        <f t="shared" si="3"/>
        <v>0.46844395126481625</v>
      </c>
      <c r="DH10" s="74">
        <f t="shared" si="3"/>
        <v>0.45560987040824591</v>
      </c>
      <c r="DI10" s="74">
        <f t="shared" si="3"/>
        <v>0.45560987040824591</v>
      </c>
      <c r="DJ10" s="74">
        <f t="shared" si="3"/>
        <v>0.45560987040824591</v>
      </c>
      <c r="DK10" s="74">
        <f t="shared" si="3"/>
        <v>0.45560987040824591</v>
      </c>
      <c r="DL10" s="74">
        <f t="shared" si="3"/>
        <v>0.45560987040824591</v>
      </c>
      <c r="DM10" s="74">
        <f t="shared" si="3"/>
        <v>0.47486099169310142</v>
      </c>
      <c r="DN10" s="74">
        <f t="shared" si="3"/>
        <v>0.47486099169310142</v>
      </c>
      <c r="DO10" s="74">
        <f t="shared" si="3"/>
        <v>0.45774888388434098</v>
      </c>
      <c r="DP10" s="74">
        <f t="shared" si="3"/>
        <v>0.45774888388434098</v>
      </c>
      <c r="DQ10" s="74">
        <f t="shared" si="3"/>
        <v>0.45774888388434098</v>
      </c>
      <c r="DR10" s="74">
        <f t="shared" si="3"/>
        <v>0.45774888388434098</v>
      </c>
      <c r="DS10" s="74">
        <f t="shared" si="3"/>
        <v>0.47058296474091132</v>
      </c>
      <c r="DT10" s="74">
        <f t="shared" si="3"/>
        <v>0</v>
      </c>
      <c r="DU10" s="74">
        <f t="shared" si="3"/>
        <v>0</v>
      </c>
      <c r="DV10" s="74">
        <f t="shared" si="3"/>
        <v>0</v>
      </c>
      <c r="DW10" s="74">
        <f t="shared" si="3"/>
        <v>0</v>
      </c>
      <c r="DX10" s="74">
        <f t="shared" si="3"/>
        <v>0</v>
      </c>
      <c r="DY10" s="74">
        <f t="shared" si="3"/>
        <v>0</v>
      </c>
      <c r="DZ10" s="74">
        <f t="shared" si="3"/>
        <v>0</v>
      </c>
      <c r="EA10" s="74">
        <f t="shared" si="3"/>
        <v>0</v>
      </c>
      <c r="EB10" s="74">
        <f t="shared" si="3"/>
        <v>0</v>
      </c>
      <c r="EC10" s="74">
        <f t="shared" si="3"/>
        <v>0</v>
      </c>
      <c r="ED10" s="74">
        <f t="shared" si="3"/>
        <v>0</v>
      </c>
      <c r="EE10" s="74">
        <f t="shared" si="3"/>
        <v>0</v>
      </c>
      <c r="EF10" s="74">
        <f t="shared" si="3"/>
        <v>0</v>
      </c>
      <c r="EG10" s="74">
        <f t="shared" si="3"/>
        <v>0</v>
      </c>
      <c r="EH10" s="74">
        <f t="shared" si="3"/>
        <v>0</v>
      </c>
      <c r="EI10" s="74">
        <f t="shared" si="3"/>
        <v>0</v>
      </c>
      <c r="EJ10" s="74">
        <f t="shared" si="3"/>
        <v>0</v>
      </c>
      <c r="EK10" s="74">
        <f t="shared" si="3"/>
        <v>0</v>
      </c>
      <c r="EL10" s="74">
        <f t="shared" si="3"/>
        <v>0</v>
      </c>
      <c r="EM10" s="74">
        <f t="shared" si="3"/>
        <v>0</v>
      </c>
      <c r="EN10" s="74">
        <f t="shared" si="3"/>
        <v>0</v>
      </c>
      <c r="EO10" s="74">
        <f t="shared" si="3"/>
        <v>0</v>
      </c>
      <c r="EP10" s="74">
        <f t="shared" si="3"/>
        <v>0</v>
      </c>
      <c r="EQ10" s="74">
        <f t="shared" si="3"/>
        <v>0</v>
      </c>
      <c r="ER10" s="74">
        <f t="shared" si="3"/>
        <v>0</v>
      </c>
      <c r="ES10" s="74">
        <f t="shared" si="3"/>
        <v>0</v>
      </c>
      <c r="ET10" s="74">
        <f t="shared" si="3"/>
        <v>0</v>
      </c>
      <c r="EU10" s="74">
        <f t="shared" si="3"/>
        <v>0</v>
      </c>
      <c r="EV10" s="74">
        <f t="shared" si="3"/>
        <v>0</v>
      </c>
    </row>
    <row r="11" spans="1:152">
      <c r="A11" s="67"/>
      <c r="D11" s="65"/>
      <c r="F11" s="65"/>
      <c r="I11" s="74">
        <f>$F$11*(I8/1000)</f>
        <v>0</v>
      </c>
      <c r="J11" s="74">
        <f t="shared" ref="J11:BU11" si="4">$F$11*(J8/1000)</f>
        <v>0</v>
      </c>
      <c r="K11" s="74">
        <f t="shared" si="4"/>
        <v>0</v>
      </c>
      <c r="L11" s="74">
        <f t="shared" si="4"/>
        <v>0</v>
      </c>
      <c r="M11" s="74">
        <f t="shared" si="4"/>
        <v>0</v>
      </c>
      <c r="N11" s="74">
        <f t="shared" si="4"/>
        <v>0</v>
      </c>
      <c r="O11" s="74">
        <f t="shared" si="4"/>
        <v>0</v>
      </c>
      <c r="P11" s="74">
        <f t="shared" si="4"/>
        <v>0</v>
      </c>
      <c r="Q11" s="74">
        <f t="shared" si="4"/>
        <v>0</v>
      </c>
      <c r="R11" s="74">
        <f t="shared" si="4"/>
        <v>0</v>
      </c>
      <c r="S11" s="74">
        <f t="shared" si="4"/>
        <v>0</v>
      </c>
      <c r="T11" s="74">
        <f t="shared" si="4"/>
        <v>0</v>
      </c>
      <c r="U11" s="74">
        <f t="shared" si="4"/>
        <v>0</v>
      </c>
      <c r="V11" s="74">
        <f t="shared" si="4"/>
        <v>0</v>
      </c>
      <c r="W11" s="74">
        <f t="shared" si="4"/>
        <v>0</v>
      </c>
      <c r="X11" s="74">
        <f t="shared" si="4"/>
        <v>0</v>
      </c>
      <c r="Y11" s="74">
        <f t="shared" si="4"/>
        <v>0</v>
      </c>
      <c r="Z11" s="74">
        <f t="shared" si="4"/>
        <v>0</v>
      </c>
      <c r="AA11" s="74">
        <f t="shared" si="4"/>
        <v>0</v>
      </c>
      <c r="AB11" s="74">
        <f t="shared" si="4"/>
        <v>0</v>
      </c>
      <c r="AC11" s="74">
        <f t="shared" si="4"/>
        <v>0</v>
      </c>
      <c r="AD11" s="74">
        <f t="shared" si="4"/>
        <v>0</v>
      </c>
      <c r="AE11" s="74">
        <f t="shared" si="4"/>
        <v>0</v>
      </c>
      <c r="AF11" s="74">
        <f t="shared" si="4"/>
        <v>0</v>
      </c>
      <c r="AG11" s="74">
        <f t="shared" si="4"/>
        <v>0</v>
      </c>
      <c r="AH11" s="74">
        <f t="shared" si="4"/>
        <v>0</v>
      </c>
      <c r="AI11" s="74">
        <f t="shared" si="4"/>
        <v>0</v>
      </c>
      <c r="AJ11" s="74">
        <f t="shared" si="4"/>
        <v>0</v>
      </c>
      <c r="AK11" s="74">
        <f t="shared" si="4"/>
        <v>0</v>
      </c>
      <c r="AL11" s="74">
        <f t="shared" si="4"/>
        <v>0</v>
      </c>
      <c r="AM11" s="74">
        <f t="shared" si="4"/>
        <v>0</v>
      </c>
      <c r="AN11" s="74">
        <f t="shared" si="4"/>
        <v>0</v>
      </c>
      <c r="AO11" s="74">
        <f t="shared" si="4"/>
        <v>0</v>
      </c>
      <c r="AP11" s="74">
        <f t="shared" si="4"/>
        <v>0</v>
      </c>
      <c r="AQ11" s="74">
        <f t="shared" si="4"/>
        <v>0</v>
      </c>
      <c r="AR11" s="74">
        <f t="shared" si="4"/>
        <v>0</v>
      </c>
      <c r="AS11" s="74">
        <f t="shared" si="4"/>
        <v>0</v>
      </c>
      <c r="AT11" s="74">
        <f t="shared" si="4"/>
        <v>0</v>
      </c>
      <c r="AU11" s="74">
        <f t="shared" si="4"/>
        <v>0</v>
      </c>
      <c r="AV11" s="74">
        <f t="shared" si="4"/>
        <v>0</v>
      </c>
      <c r="AW11" s="74">
        <f t="shared" si="4"/>
        <v>0</v>
      </c>
      <c r="AX11" s="74">
        <f>$F$11*(AX8/1000)</f>
        <v>0</v>
      </c>
      <c r="AY11" s="74">
        <f t="shared" si="4"/>
        <v>0</v>
      </c>
      <c r="AZ11" s="74">
        <f t="shared" si="4"/>
        <v>0</v>
      </c>
      <c r="BA11" s="74">
        <f t="shared" si="4"/>
        <v>0</v>
      </c>
      <c r="BB11" s="74">
        <f t="shared" si="4"/>
        <v>0</v>
      </c>
      <c r="BC11" s="74">
        <f t="shared" si="4"/>
        <v>0</v>
      </c>
      <c r="BD11" s="74">
        <f t="shared" si="4"/>
        <v>0</v>
      </c>
      <c r="BE11" s="74">
        <f t="shared" si="4"/>
        <v>0</v>
      </c>
      <c r="BF11" s="74">
        <f t="shared" si="4"/>
        <v>0</v>
      </c>
      <c r="BG11" s="74">
        <f t="shared" si="4"/>
        <v>0</v>
      </c>
      <c r="BH11" s="74">
        <f t="shared" si="4"/>
        <v>0</v>
      </c>
      <c r="BI11" s="74">
        <f t="shared" si="4"/>
        <v>0</v>
      </c>
      <c r="BJ11" s="74">
        <f t="shared" si="4"/>
        <v>0</v>
      </c>
      <c r="BK11" s="74">
        <f t="shared" si="4"/>
        <v>0</v>
      </c>
      <c r="BL11" s="74">
        <f t="shared" si="4"/>
        <v>0</v>
      </c>
      <c r="BM11" s="74">
        <f t="shared" si="4"/>
        <v>0</v>
      </c>
      <c r="BN11" s="74">
        <f t="shared" si="4"/>
        <v>0</v>
      </c>
      <c r="BO11" s="74">
        <f t="shared" si="4"/>
        <v>0</v>
      </c>
      <c r="BP11" s="74">
        <f t="shared" si="4"/>
        <v>0</v>
      </c>
      <c r="BQ11" s="74">
        <f t="shared" si="4"/>
        <v>0</v>
      </c>
      <c r="BR11" s="74">
        <f t="shared" si="4"/>
        <v>0</v>
      </c>
      <c r="BS11" s="74">
        <f t="shared" si="4"/>
        <v>0</v>
      </c>
      <c r="BT11" s="74">
        <f t="shared" si="4"/>
        <v>0</v>
      </c>
      <c r="BU11" s="74">
        <f t="shared" si="4"/>
        <v>0</v>
      </c>
      <c r="BV11" s="74">
        <f>$F$11*(BV8/1000)</f>
        <v>0</v>
      </c>
      <c r="BW11" s="74">
        <f>$F$11*(BW8/1000)</f>
        <v>0</v>
      </c>
      <c r="BX11" s="74">
        <f>$F$11*(BX8/1000)</f>
        <v>0</v>
      </c>
      <c r="BY11" s="74">
        <f>$F$11*(BY8/1000)</f>
        <v>0</v>
      </c>
      <c r="BZ11" s="74">
        <f t="shared" ref="BZ11:CH11" si="5">$F$11*(BZ8/1000)</f>
        <v>0</v>
      </c>
      <c r="CA11" s="74">
        <f t="shared" si="5"/>
        <v>0</v>
      </c>
      <c r="CB11" s="74">
        <f t="shared" si="5"/>
        <v>0</v>
      </c>
      <c r="CC11" s="74">
        <f t="shared" si="5"/>
        <v>0</v>
      </c>
      <c r="CD11" s="74">
        <f t="shared" si="5"/>
        <v>0</v>
      </c>
      <c r="CE11" s="74">
        <f t="shared" si="5"/>
        <v>0</v>
      </c>
      <c r="CF11" s="74">
        <f t="shared" si="5"/>
        <v>0</v>
      </c>
      <c r="CG11" s="74">
        <f t="shared" si="5"/>
        <v>0</v>
      </c>
      <c r="CH11" s="74">
        <f t="shared" si="5"/>
        <v>0</v>
      </c>
      <c r="CI11" s="74">
        <f t="shared" ref="CI11:CR11" si="6">$F$11*(CI8/1000)</f>
        <v>0</v>
      </c>
      <c r="CJ11" s="74">
        <f t="shared" si="6"/>
        <v>0</v>
      </c>
      <c r="CK11" s="74">
        <f t="shared" si="6"/>
        <v>0</v>
      </c>
      <c r="CL11" s="74">
        <f t="shared" si="6"/>
        <v>0</v>
      </c>
      <c r="CM11" s="74">
        <f t="shared" si="6"/>
        <v>0</v>
      </c>
      <c r="CN11" s="74">
        <f t="shared" si="6"/>
        <v>0</v>
      </c>
      <c r="CO11" s="74">
        <f t="shared" si="6"/>
        <v>0</v>
      </c>
      <c r="CP11" s="74">
        <f t="shared" si="6"/>
        <v>0</v>
      </c>
      <c r="CQ11" s="74">
        <f t="shared" si="6"/>
        <v>0</v>
      </c>
      <c r="CR11" s="74">
        <f t="shared" si="6"/>
        <v>0</v>
      </c>
      <c r="CS11" s="74">
        <f t="shared" ref="CS11:EV11" si="7">$F$11*(CS8/1000)</f>
        <v>0</v>
      </c>
      <c r="CT11" s="74">
        <f t="shared" si="7"/>
        <v>0</v>
      </c>
      <c r="CU11" s="74">
        <f t="shared" si="7"/>
        <v>0</v>
      </c>
      <c r="CV11" s="74">
        <f t="shared" si="7"/>
        <v>0</v>
      </c>
      <c r="CW11" s="74">
        <f t="shared" si="7"/>
        <v>0</v>
      </c>
      <c r="CX11" s="74">
        <f t="shared" si="7"/>
        <v>0</v>
      </c>
      <c r="CY11" s="74">
        <f t="shared" si="7"/>
        <v>0</v>
      </c>
      <c r="CZ11" s="74">
        <f t="shared" si="7"/>
        <v>0</v>
      </c>
      <c r="DA11" s="74">
        <f t="shared" si="7"/>
        <v>0</v>
      </c>
      <c r="DB11" s="74">
        <f t="shared" si="7"/>
        <v>0</v>
      </c>
      <c r="DC11" s="74">
        <f t="shared" si="7"/>
        <v>0</v>
      </c>
      <c r="DD11" s="74">
        <f t="shared" si="7"/>
        <v>0</v>
      </c>
      <c r="DE11" s="74">
        <f t="shared" si="7"/>
        <v>0</v>
      </c>
      <c r="DF11" s="74">
        <f t="shared" si="7"/>
        <v>0</v>
      </c>
      <c r="DG11" s="74">
        <f t="shared" si="7"/>
        <v>0</v>
      </c>
      <c r="DH11" s="74">
        <f t="shared" si="7"/>
        <v>0</v>
      </c>
      <c r="DI11" s="74">
        <f t="shared" si="7"/>
        <v>0</v>
      </c>
      <c r="DJ11" s="74">
        <f t="shared" si="7"/>
        <v>0</v>
      </c>
      <c r="DK11" s="74">
        <f t="shared" si="7"/>
        <v>0</v>
      </c>
      <c r="DL11" s="74">
        <f t="shared" si="7"/>
        <v>0</v>
      </c>
      <c r="DM11" s="74">
        <f t="shared" si="7"/>
        <v>0</v>
      </c>
      <c r="DN11" s="74">
        <f t="shared" si="7"/>
        <v>0</v>
      </c>
      <c r="DO11" s="74">
        <f t="shared" si="7"/>
        <v>0</v>
      </c>
      <c r="DP11" s="74">
        <f t="shared" si="7"/>
        <v>0</v>
      </c>
      <c r="DQ11" s="74">
        <f t="shared" si="7"/>
        <v>0</v>
      </c>
      <c r="DR11" s="74">
        <f t="shared" si="7"/>
        <v>0</v>
      </c>
      <c r="DS11" s="74">
        <f t="shared" si="7"/>
        <v>0</v>
      </c>
      <c r="DT11" s="74">
        <f t="shared" si="7"/>
        <v>0</v>
      </c>
      <c r="DU11" s="74">
        <f t="shared" si="7"/>
        <v>0</v>
      </c>
      <c r="DV11" s="74">
        <f t="shared" si="7"/>
        <v>0</v>
      </c>
      <c r="DW11" s="74">
        <f t="shared" si="7"/>
        <v>0</v>
      </c>
      <c r="DX11" s="74">
        <f t="shared" si="7"/>
        <v>0</v>
      </c>
      <c r="DY11" s="74">
        <f t="shared" si="7"/>
        <v>0</v>
      </c>
      <c r="DZ11" s="74">
        <f t="shared" si="7"/>
        <v>0</v>
      </c>
      <c r="EA11" s="74">
        <f t="shared" si="7"/>
        <v>0</v>
      </c>
      <c r="EB11" s="74">
        <f t="shared" si="7"/>
        <v>0</v>
      </c>
      <c r="EC11" s="74">
        <f t="shared" si="7"/>
        <v>0</v>
      </c>
      <c r="ED11" s="74">
        <f t="shared" si="7"/>
        <v>0</v>
      </c>
      <c r="EE11" s="74">
        <f t="shared" si="7"/>
        <v>0</v>
      </c>
      <c r="EF11" s="74">
        <f t="shared" si="7"/>
        <v>0</v>
      </c>
      <c r="EG11" s="74">
        <f t="shared" si="7"/>
        <v>0</v>
      </c>
      <c r="EH11" s="74">
        <f t="shared" si="7"/>
        <v>0</v>
      </c>
      <c r="EI11" s="74">
        <f t="shared" si="7"/>
        <v>0</v>
      </c>
      <c r="EJ11" s="74">
        <f t="shared" si="7"/>
        <v>0</v>
      </c>
      <c r="EK11" s="74">
        <f t="shared" si="7"/>
        <v>0</v>
      </c>
      <c r="EL11" s="74">
        <f t="shared" si="7"/>
        <v>0</v>
      </c>
      <c r="EM11" s="74">
        <f t="shared" si="7"/>
        <v>0</v>
      </c>
      <c r="EN11" s="74">
        <f t="shared" si="7"/>
        <v>0</v>
      </c>
      <c r="EO11" s="74">
        <f t="shared" si="7"/>
        <v>0</v>
      </c>
      <c r="EP11" s="74">
        <f t="shared" si="7"/>
        <v>0</v>
      </c>
      <c r="EQ11" s="74">
        <f t="shared" si="7"/>
        <v>0</v>
      </c>
      <c r="ER11" s="74">
        <f t="shared" si="7"/>
        <v>0</v>
      </c>
      <c r="ES11" s="74">
        <f t="shared" si="7"/>
        <v>0</v>
      </c>
      <c r="ET11" s="74">
        <f t="shared" si="7"/>
        <v>0</v>
      </c>
      <c r="EU11" s="74">
        <f t="shared" si="7"/>
        <v>0</v>
      </c>
      <c r="EV11" s="74">
        <f t="shared" si="7"/>
        <v>0</v>
      </c>
    </row>
    <row r="12" spans="1:152" s="104" customFormat="1">
      <c r="A12" s="104" t="s">
        <v>400</v>
      </c>
      <c r="H12" s="60"/>
      <c r="I12" s="105">
        <f>SUM(I10:I11)</f>
        <v>0.50052915340624193</v>
      </c>
      <c r="J12" s="105">
        <f t="shared" ref="J12:BU12" si="8">SUM(J10:J11)</f>
        <v>0.44919282997996079</v>
      </c>
      <c r="K12" s="105">
        <f t="shared" si="8"/>
        <v>0.34652018312739835</v>
      </c>
      <c r="L12" s="105">
        <f t="shared" si="8"/>
        <v>0.33368610227082801</v>
      </c>
      <c r="M12" s="105">
        <f t="shared" si="8"/>
        <v>0.34865919660349332</v>
      </c>
      <c r="N12" s="105">
        <f t="shared" si="8"/>
        <v>0.35935426398396864</v>
      </c>
      <c r="O12" s="105">
        <f t="shared" si="8"/>
        <v>0.35935426398396864</v>
      </c>
      <c r="P12" s="105">
        <f t="shared" si="8"/>
        <v>0.38074439874491917</v>
      </c>
      <c r="Q12" s="105">
        <f t="shared" si="8"/>
        <v>0.40427354698196466</v>
      </c>
      <c r="R12" s="105">
        <f t="shared" si="8"/>
        <v>0.41069058741024983</v>
      </c>
      <c r="S12" s="105">
        <f t="shared" si="8"/>
        <v>0.40427354698196466</v>
      </c>
      <c r="T12" s="105">
        <f t="shared" si="8"/>
        <v>0.43421973564729538</v>
      </c>
      <c r="U12" s="105">
        <f t="shared" si="8"/>
        <v>0.51122422078671725</v>
      </c>
      <c r="V12" s="105">
        <f t="shared" si="8"/>
        <v>0.62886996197194511</v>
      </c>
      <c r="W12" s="105">
        <f t="shared" si="8"/>
        <v>0.64170404282851545</v>
      </c>
      <c r="X12" s="105">
        <f t="shared" si="8"/>
        <v>0.55871031995602738</v>
      </c>
      <c r="Y12" s="105">
        <f t="shared" si="8"/>
        <v>0.54758744988033314</v>
      </c>
      <c r="Z12" s="105">
        <f t="shared" si="8"/>
        <v>0.54330942292814299</v>
      </c>
      <c r="AA12" s="105">
        <f t="shared" si="8"/>
        <v>0.59464574635442424</v>
      </c>
      <c r="AB12" s="105">
        <f t="shared" si="8"/>
        <v>0.57325561159347382</v>
      </c>
      <c r="AC12" s="105">
        <f t="shared" si="8"/>
        <v>0.60320180025880443</v>
      </c>
      <c r="AD12" s="105">
        <f t="shared" si="8"/>
        <v>0.77004485139421852</v>
      </c>
      <c r="AE12" s="105">
        <f t="shared" si="8"/>
        <v>0.61175785416318462</v>
      </c>
      <c r="AF12" s="105">
        <f t="shared" si="8"/>
        <v>0.54758744988033314</v>
      </c>
      <c r="AG12" s="105">
        <f t="shared" si="8"/>
        <v>0.59036771940223409</v>
      </c>
      <c r="AH12" s="105">
        <f t="shared" si="8"/>
        <v>0.59678475983051937</v>
      </c>
      <c r="AI12" s="105">
        <f t="shared" si="8"/>
        <v>0.58181166549785401</v>
      </c>
      <c r="AJ12" s="105">
        <f t="shared" si="8"/>
        <v>0.55614350378471333</v>
      </c>
      <c r="AK12" s="105">
        <f t="shared" si="8"/>
        <v>0.53261435554766778</v>
      </c>
      <c r="AL12" s="105">
        <f t="shared" si="8"/>
        <v>0.54117040945204797</v>
      </c>
      <c r="AM12" s="105">
        <f t="shared" si="8"/>
        <v>0.46202691083653114</v>
      </c>
      <c r="AN12" s="105">
        <f t="shared" si="8"/>
        <v>0.42780269521901026</v>
      </c>
      <c r="AO12" s="105">
        <f t="shared" si="8"/>
        <v>0.4449148030277707</v>
      </c>
      <c r="AP12" s="105">
        <f t="shared" si="8"/>
        <v>0.40213453350586964</v>
      </c>
      <c r="AQ12" s="105">
        <f t="shared" si="8"/>
        <v>0.39143946612539443</v>
      </c>
      <c r="AR12" s="105">
        <f t="shared" si="8"/>
        <v>0.41282960088634491</v>
      </c>
      <c r="AS12" s="105">
        <f t="shared" si="8"/>
        <v>0.43635874912339045</v>
      </c>
      <c r="AT12" s="105">
        <f t="shared" si="8"/>
        <v>0.4449148030277707</v>
      </c>
      <c r="AU12" s="105">
        <f t="shared" si="8"/>
        <v>0.43208072217120036</v>
      </c>
      <c r="AV12" s="105">
        <f t="shared" si="8"/>
        <v>0.43849776259948547</v>
      </c>
      <c r="AW12" s="105">
        <f t="shared" si="8"/>
        <v>0.42352466826682017</v>
      </c>
      <c r="AX12" s="105">
        <f t="shared" si="8"/>
        <v>0.38930045264929936</v>
      </c>
      <c r="AY12" s="105">
        <f t="shared" si="8"/>
        <v>0.38930045264929936</v>
      </c>
      <c r="AZ12" s="105">
        <f t="shared" si="8"/>
        <v>0.38930045264929936</v>
      </c>
      <c r="BA12" s="105">
        <f t="shared" si="8"/>
        <v>0.38930045264929936</v>
      </c>
      <c r="BB12" s="105">
        <f t="shared" si="8"/>
        <v>0.38930045264929936</v>
      </c>
      <c r="BC12" s="105">
        <f t="shared" si="8"/>
        <v>0.40641256045805974</v>
      </c>
      <c r="BD12" s="105">
        <f t="shared" si="8"/>
        <v>0.40641256045805974</v>
      </c>
      <c r="BE12" s="105">
        <f t="shared" si="8"/>
        <v>0.40641256045805974</v>
      </c>
      <c r="BF12" s="105">
        <f t="shared" si="8"/>
        <v>0.40641256045805974</v>
      </c>
      <c r="BG12" s="105">
        <f t="shared" si="8"/>
        <v>0.39785650655367955</v>
      </c>
      <c r="BH12" s="105">
        <f t="shared" si="8"/>
        <v>0.42566368174291519</v>
      </c>
      <c r="BI12" s="105">
        <f t="shared" si="8"/>
        <v>0.42566368174291519</v>
      </c>
      <c r="BJ12" s="105">
        <f t="shared" si="8"/>
        <v>0.42566368174291519</v>
      </c>
      <c r="BK12" s="105">
        <f t="shared" si="8"/>
        <v>0.42566368174291519</v>
      </c>
      <c r="BL12" s="105">
        <f t="shared" si="8"/>
        <v>0.42566368174291519</v>
      </c>
      <c r="BM12" s="105">
        <f t="shared" si="8"/>
        <v>0.42566368174291519</v>
      </c>
      <c r="BN12" s="105">
        <f t="shared" si="8"/>
        <v>0.39571749307758453</v>
      </c>
      <c r="BO12" s="105">
        <f t="shared" si="8"/>
        <v>0.39571749307758453</v>
      </c>
      <c r="BP12" s="105">
        <f t="shared" si="8"/>
        <v>0.39571749307758453</v>
      </c>
      <c r="BQ12" s="105">
        <f t="shared" si="8"/>
        <v>0.39571749307758453</v>
      </c>
      <c r="BR12" s="105">
        <f t="shared" si="8"/>
        <v>0.41496861436243992</v>
      </c>
      <c r="BS12" s="105">
        <f t="shared" si="8"/>
        <v>0.41496861436243992</v>
      </c>
      <c r="BT12" s="105">
        <f t="shared" si="8"/>
        <v>0.41496861436243992</v>
      </c>
      <c r="BU12" s="105">
        <f t="shared" si="8"/>
        <v>0.41496861436243992</v>
      </c>
      <c r="BV12" s="105">
        <f>SUM(BV10:BV11)</f>
        <v>0.41496861436243992</v>
      </c>
      <c r="BW12" s="105">
        <f>SUM(BW10:BW11)</f>
        <v>0.41496861436243992</v>
      </c>
      <c r="BX12" s="105">
        <f>SUM(BX10:BX11)</f>
        <v>0.41496861436243992</v>
      </c>
      <c r="BY12" s="105">
        <f>SUM(BY10:BY11)</f>
        <v>0.41496861436243992</v>
      </c>
      <c r="BZ12" s="105">
        <f t="shared" ref="BZ12:CH12" si="9">SUM(BZ10:BZ11)</f>
        <v>0.4641659243126261</v>
      </c>
      <c r="CA12" s="105">
        <f t="shared" si="9"/>
        <v>0.4641659243126261</v>
      </c>
      <c r="CB12" s="105">
        <f t="shared" si="9"/>
        <v>0.4641659243126261</v>
      </c>
      <c r="CC12" s="105">
        <f t="shared" si="9"/>
        <v>0.46844395126481625</v>
      </c>
      <c r="CD12" s="105">
        <f t="shared" si="9"/>
        <v>0.46844395126481625</v>
      </c>
      <c r="CE12" s="105">
        <f t="shared" si="9"/>
        <v>0.46844395126481625</v>
      </c>
      <c r="CF12" s="105">
        <f t="shared" si="9"/>
        <v>0.46844395126481625</v>
      </c>
      <c r="CG12" s="105">
        <f t="shared" si="9"/>
        <v>0.46844395126481625</v>
      </c>
      <c r="CH12" s="105">
        <f t="shared" si="9"/>
        <v>0.45347085693215089</v>
      </c>
      <c r="CI12" s="105">
        <f>SUM(CI10:CI11)</f>
        <v>0.45347085693215089</v>
      </c>
      <c r="CJ12" s="105">
        <f>SUM(CJ10:CJ11)</f>
        <v>0.45347085693215089</v>
      </c>
      <c r="CK12" s="105">
        <f>SUM(CK10:CK11)</f>
        <v>0.45347085693215089</v>
      </c>
      <c r="CL12" s="105">
        <f t="shared" ref="CL12:CQ12" si="10">SUM(CL10:CL11)</f>
        <v>0.44277578955167557</v>
      </c>
      <c r="CM12" s="105">
        <f t="shared" si="10"/>
        <v>0.44277578955167557</v>
      </c>
      <c r="CN12" s="105">
        <f t="shared" si="10"/>
        <v>0.44277578955167557</v>
      </c>
      <c r="CO12" s="105">
        <f t="shared" si="10"/>
        <v>0.44277578955167557</v>
      </c>
      <c r="CP12" s="105">
        <f t="shared" si="10"/>
        <v>0.44277578955167557</v>
      </c>
      <c r="CQ12" s="105">
        <f t="shared" si="10"/>
        <v>0.44277578955167557</v>
      </c>
      <c r="CR12" s="105">
        <f>SUM(CR10:CR11)</f>
        <v>0.44919282997996079</v>
      </c>
      <c r="CS12" s="105">
        <f t="shared" ref="CS12:EV12" si="11">SUM(CS10:CS11)</f>
        <v>0.44919282997996079</v>
      </c>
      <c r="CT12" s="105">
        <f t="shared" si="11"/>
        <v>0.44919282997996079</v>
      </c>
      <c r="CU12" s="105">
        <f t="shared" si="11"/>
        <v>0.44277578955167557</v>
      </c>
      <c r="CV12" s="105">
        <f t="shared" si="11"/>
        <v>0.44277578955167557</v>
      </c>
      <c r="CW12" s="105">
        <f t="shared" si="11"/>
        <v>0.44277578955167557</v>
      </c>
      <c r="CX12" s="105">
        <f t="shared" si="11"/>
        <v>0.44277578955167557</v>
      </c>
      <c r="CY12" s="105">
        <f t="shared" si="11"/>
        <v>0.47058296474091132</v>
      </c>
      <c r="CZ12" s="105">
        <f t="shared" si="11"/>
        <v>0.47058296474091132</v>
      </c>
      <c r="DA12" s="105">
        <f t="shared" si="11"/>
        <v>0.47058296474091132</v>
      </c>
      <c r="DB12" s="105">
        <f t="shared" si="11"/>
        <v>0.47058296474091132</v>
      </c>
      <c r="DC12" s="105">
        <f t="shared" si="11"/>
        <v>0.46844395126481625</v>
      </c>
      <c r="DD12" s="105">
        <f t="shared" si="11"/>
        <v>0.46844395126481625</v>
      </c>
      <c r="DE12" s="105">
        <f t="shared" si="11"/>
        <v>0.46844395126481625</v>
      </c>
      <c r="DF12" s="105">
        <f t="shared" si="11"/>
        <v>0.46844395126481625</v>
      </c>
      <c r="DG12" s="105">
        <f t="shared" si="11"/>
        <v>0.46844395126481625</v>
      </c>
      <c r="DH12" s="105">
        <f t="shared" si="11"/>
        <v>0.45560987040824591</v>
      </c>
      <c r="DI12" s="105">
        <f t="shared" si="11"/>
        <v>0.45560987040824591</v>
      </c>
      <c r="DJ12" s="105">
        <f t="shared" si="11"/>
        <v>0.45560987040824591</v>
      </c>
      <c r="DK12" s="105">
        <f t="shared" si="11"/>
        <v>0.45560987040824591</v>
      </c>
      <c r="DL12" s="105">
        <f t="shared" si="11"/>
        <v>0.45560987040824591</v>
      </c>
      <c r="DM12" s="105">
        <f t="shared" si="11"/>
        <v>0.47486099169310142</v>
      </c>
      <c r="DN12" s="105">
        <f t="shared" si="11"/>
        <v>0.47486099169310142</v>
      </c>
      <c r="DO12" s="105">
        <f t="shared" si="11"/>
        <v>0.45774888388434098</v>
      </c>
      <c r="DP12" s="105">
        <f t="shared" si="11"/>
        <v>0.45774888388434098</v>
      </c>
      <c r="DQ12" s="105">
        <f t="shared" si="11"/>
        <v>0.45774888388434098</v>
      </c>
      <c r="DR12" s="105">
        <f t="shared" si="11"/>
        <v>0.45774888388434098</v>
      </c>
      <c r="DS12" s="105">
        <f t="shared" si="11"/>
        <v>0.47058296474091132</v>
      </c>
      <c r="DT12" s="105">
        <f t="shared" si="11"/>
        <v>0</v>
      </c>
      <c r="DU12" s="105">
        <f t="shared" si="11"/>
        <v>0</v>
      </c>
      <c r="DV12" s="105">
        <f t="shared" si="11"/>
        <v>0</v>
      </c>
      <c r="DW12" s="105">
        <f t="shared" si="11"/>
        <v>0</v>
      </c>
      <c r="DX12" s="105">
        <f t="shared" si="11"/>
        <v>0</v>
      </c>
      <c r="DY12" s="105">
        <f t="shared" si="11"/>
        <v>0</v>
      </c>
      <c r="DZ12" s="105">
        <f t="shared" si="11"/>
        <v>0</v>
      </c>
      <c r="EA12" s="105">
        <f t="shared" si="11"/>
        <v>0</v>
      </c>
      <c r="EB12" s="105">
        <f t="shared" si="11"/>
        <v>0</v>
      </c>
      <c r="EC12" s="105">
        <f t="shared" si="11"/>
        <v>0</v>
      </c>
      <c r="ED12" s="105">
        <f t="shared" si="11"/>
        <v>0</v>
      </c>
      <c r="EE12" s="105">
        <f t="shared" si="11"/>
        <v>0</v>
      </c>
      <c r="EF12" s="105">
        <f t="shared" si="11"/>
        <v>0</v>
      </c>
      <c r="EG12" s="105">
        <f t="shared" si="11"/>
        <v>0</v>
      </c>
      <c r="EH12" s="105">
        <f t="shared" si="11"/>
        <v>0</v>
      </c>
      <c r="EI12" s="105">
        <f t="shared" si="11"/>
        <v>0</v>
      </c>
      <c r="EJ12" s="105">
        <f t="shared" si="11"/>
        <v>0</v>
      </c>
      <c r="EK12" s="105">
        <f t="shared" si="11"/>
        <v>0</v>
      </c>
      <c r="EL12" s="105">
        <f t="shared" si="11"/>
        <v>0</v>
      </c>
      <c r="EM12" s="105">
        <f t="shared" si="11"/>
        <v>0</v>
      </c>
      <c r="EN12" s="105">
        <f t="shared" si="11"/>
        <v>0</v>
      </c>
      <c r="EO12" s="105">
        <f t="shared" si="11"/>
        <v>0</v>
      </c>
      <c r="EP12" s="105">
        <f t="shared" si="11"/>
        <v>0</v>
      </c>
      <c r="EQ12" s="105">
        <f t="shared" si="11"/>
        <v>0</v>
      </c>
      <c r="ER12" s="105">
        <f t="shared" si="11"/>
        <v>0</v>
      </c>
      <c r="ES12" s="105">
        <f t="shared" si="11"/>
        <v>0</v>
      </c>
      <c r="ET12" s="105">
        <f t="shared" si="11"/>
        <v>0</v>
      </c>
      <c r="EU12" s="105">
        <f t="shared" si="11"/>
        <v>0</v>
      </c>
      <c r="EV12" s="105">
        <f t="shared" si="11"/>
        <v>0</v>
      </c>
    </row>
    <row r="13" spans="1:152">
      <c r="I13" s="74"/>
      <c r="J13" s="74"/>
      <c r="K13" s="74"/>
      <c r="L13" s="74"/>
      <c r="M13" s="74"/>
      <c r="N13" s="74"/>
      <c r="O13" s="74"/>
      <c r="P13" s="70"/>
      <c r="Q13" s="74"/>
      <c r="R13" s="74"/>
      <c r="S13" s="74"/>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Y13" s="74"/>
      <c r="BD13" s="65"/>
      <c r="BL13" s="65"/>
      <c r="BR13" s="65"/>
    </row>
    <row r="14" spans="1:152" s="64" customFormat="1">
      <c r="H14" s="64" t="s">
        <v>763</v>
      </c>
      <c r="I14" s="74"/>
      <c r="J14" s="74"/>
      <c r="K14" s="74"/>
      <c r="L14" s="74"/>
      <c r="M14" s="74"/>
      <c r="N14" s="74"/>
      <c r="O14" s="74"/>
      <c r="P14" s="74"/>
      <c r="Q14" s="74">
        <v>0.72</v>
      </c>
      <c r="R14" s="74"/>
      <c r="S14" s="74">
        <v>0.72</v>
      </c>
      <c r="T14" s="74">
        <v>0.94</v>
      </c>
      <c r="U14" s="74"/>
      <c r="V14" s="74"/>
      <c r="W14" s="74">
        <v>1.05</v>
      </c>
      <c r="X14" s="74"/>
      <c r="Y14" s="74">
        <v>1.02</v>
      </c>
      <c r="Z14" s="74"/>
      <c r="AA14" s="74"/>
      <c r="AB14" s="74"/>
      <c r="AC14" s="74"/>
      <c r="AD14" s="74"/>
      <c r="AE14" s="74"/>
      <c r="AF14" s="74"/>
      <c r="AG14" s="74"/>
      <c r="AH14" s="74"/>
      <c r="AI14" s="74">
        <v>1.04</v>
      </c>
      <c r="AJ14" s="74"/>
      <c r="AK14" s="74">
        <v>0.95</v>
      </c>
      <c r="AL14" s="74">
        <v>0.93</v>
      </c>
      <c r="AM14" s="74"/>
      <c r="AN14" s="74"/>
      <c r="AO14" s="74"/>
      <c r="AP14" s="74"/>
      <c r="AQ14" s="74"/>
      <c r="AR14" s="74">
        <v>0.78</v>
      </c>
      <c r="AS14" s="74"/>
      <c r="AT14" s="74"/>
      <c r="AU14" s="74"/>
      <c r="AV14" s="64">
        <v>0.67</v>
      </c>
      <c r="AW14" s="74"/>
      <c r="AX14" s="74"/>
      <c r="AY14" s="74"/>
      <c r="BA14" s="64">
        <v>0.65</v>
      </c>
      <c r="BD14" s="74"/>
      <c r="BI14" s="64">
        <v>0.65</v>
      </c>
      <c r="BL14" s="74"/>
      <c r="BN14" s="64">
        <v>0.63</v>
      </c>
      <c r="BQ14" s="74"/>
      <c r="BW14" s="60">
        <v>0.65</v>
      </c>
      <c r="DH14" s="64">
        <v>0.71</v>
      </c>
      <c r="DM14" s="64">
        <v>0.7</v>
      </c>
    </row>
    <row r="15" spans="1:152">
      <c r="H15" s="60" t="s">
        <v>764</v>
      </c>
      <c r="P15" s="74"/>
      <c r="Q15" s="65">
        <f>Q14-Q12</f>
        <v>0.31572645301803531</v>
      </c>
      <c r="R15" s="65"/>
      <c r="S15" s="65">
        <f>S14-S12</f>
        <v>0.31572645301803531</v>
      </c>
      <c r="T15" s="65">
        <f>T14-T12</f>
        <v>0.50578026435270451</v>
      </c>
      <c r="W15" s="65">
        <f>W14-W12</f>
        <v>0.40829595717148459</v>
      </c>
      <c r="Y15" s="65">
        <f>Y14-Y12</f>
        <v>0.47241255011966687</v>
      </c>
      <c r="AC15" s="74"/>
      <c r="AE15" s="74"/>
      <c r="AI15" s="65">
        <f>AI14-AI12</f>
        <v>0.45818833450214602</v>
      </c>
      <c r="AK15" s="65">
        <f>AK14-AK12</f>
        <v>0.41738564445233217</v>
      </c>
      <c r="AL15" s="65">
        <f>AL14-AL12</f>
        <v>0.38882959054795208</v>
      </c>
      <c r="AO15" s="74"/>
      <c r="AQ15" s="74"/>
      <c r="AR15" s="65">
        <f>AR14-AR12</f>
        <v>0.36717039911365512</v>
      </c>
      <c r="AT15" s="74"/>
      <c r="AV15" s="65">
        <f>AV14-AV12</f>
        <v>0.23150223740051457</v>
      </c>
      <c r="BA15" s="65">
        <f>BA14-BA12</f>
        <v>0.26069954735070067</v>
      </c>
      <c r="BI15" s="103">
        <f>BI14-BI12</f>
        <v>0.22433631825708483</v>
      </c>
      <c r="BM15" s="74"/>
      <c r="BN15" s="74">
        <f>BN14-BN12</f>
        <v>0.23428250692241548</v>
      </c>
      <c r="BW15" s="65">
        <f>BW14-BW12</f>
        <v>0.2350313856375601</v>
      </c>
      <c r="DH15" s="65">
        <f>DH14-DH12</f>
        <v>0.25439012959175406</v>
      </c>
      <c r="DM15" s="65">
        <f>DM14-DM12</f>
        <v>0.22513900830689854</v>
      </c>
    </row>
    <row r="16" spans="1:152" ht="13" thickBot="1"/>
    <row r="17" spans="2:152" ht="13" thickBot="1">
      <c r="D17" s="259"/>
      <c r="H17" s="106" t="s">
        <v>407</v>
      </c>
      <c r="I17" s="109">
        <f>I12+0.22</f>
        <v>0.72052915340624191</v>
      </c>
      <c r="J17" s="109">
        <f t="shared" ref="J17:BU17" si="12">J12+0.22</f>
        <v>0.66919282997996077</v>
      </c>
      <c r="K17" s="109">
        <f t="shared" si="12"/>
        <v>0.56652018312739838</v>
      </c>
      <c r="L17" s="109">
        <f t="shared" si="12"/>
        <v>0.55368610227082804</v>
      </c>
      <c r="M17" s="109">
        <f t="shared" si="12"/>
        <v>0.56865919660349329</v>
      </c>
      <c r="N17" s="109">
        <f t="shared" si="12"/>
        <v>0.57935426398396861</v>
      </c>
      <c r="O17" s="109">
        <f t="shared" si="12"/>
        <v>0.57935426398396861</v>
      </c>
      <c r="P17" s="109">
        <f t="shared" si="12"/>
        <v>0.60074439874491914</v>
      </c>
      <c r="Q17" s="109">
        <f t="shared" si="12"/>
        <v>0.62427354698196469</v>
      </c>
      <c r="R17" s="109">
        <f t="shared" si="12"/>
        <v>0.63069058741024986</v>
      </c>
      <c r="S17" s="109">
        <f t="shared" si="12"/>
        <v>0.62427354698196469</v>
      </c>
      <c r="T17" s="109">
        <f t="shared" si="12"/>
        <v>0.65421973564729541</v>
      </c>
      <c r="U17" s="109">
        <f t="shared" si="12"/>
        <v>0.73122422078671723</v>
      </c>
      <c r="V17" s="109">
        <f t="shared" si="12"/>
        <v>0.84886996197194509</v>
      </c>
      <c r="W17" s="109">
        <f t="shared" si="12"/>
        <v>0.86170404282851543</v>
      </c>
      <c r="X17" s="109">
        <f t="shared" si="12"/>
        <v>0.77871031995602735</v>
      </c>
      <c r="Y17" s="109">
        <f t="shared" si="12"/>
        <v>0.76758744988033312</v>
      </c>
      <c r="Z17" s="109">
        <f t="shared" si="12"/>
        <v>0.76330942292814297</v>
      </c>
      <c r="AA17" s="109">
        <f t="shared" si="12"/>
        <v>0.81464574635442422</v>
      </c>
      <c r="AB17" s="109">
        <f t="shared" si="12"/>
        <v>0.7932556115934738</v>
      </c>
      <c r="AC17" s="109">
        <f t="shared" si="12"/>
        <v>0.82320180025880441</v>
      </c>
      <c r="AD17" s="109">
        <f t="shared" si="12"/>
        <v>0.99004485139421849</v>
      </c>
      <c r="AE17" s="109">
        <f t="shared" si="12"/>
        <v>0.8317578541631846</v>
      </c>
      <c r="AF17" s="109">
        <f t="shared" si="12"/>
        <v>0.76758744988033312</v>
      </c>
      <c r="AG17" s="109">
        <f t="shared" si="12"/>
        <v>0.81036771940223407</v>
      </c>
      <c r="AH17" s="109">
        <f t="shared" si="12"/>
        <v>0.81678475983051935</v>
      </c>
      <c r="AI17" s="109">
        <f t="shared" si="12"/>
        <v>0.80181166549785399</v>
      </c>
      <c r="AJ17" s="109">
        <f t="shared" si="12"/>
        <v>0.77614350378471331</v>
      </c>
      <c r="AK17" s="109">
        <f t="shared" si="12"/>
        <v>0.75261435554766776</v>
      </c>
      <c r="AL17" s="109">
        <f t="shared" si="12"/>
        <v>0.76117040945204795</v>
      </c>
      <c r="AM17" s="109">
        <f t="shared" si="12"/>
        <v>0.68202691083653111</v>
      </c>
      <c r="AN17" s="109">
        <f t="shared" si="12"/>
        <v>0.64780269521901024</v>
      </c>
      <c r="AO17" s="109">
        <f t="shared" si="12"/>
        <v>0.66491480302777073</v>
      </c>
      <c r="AP17" s="109">
        <f t="shared" si="12"/>
        <v>0.62213453350586967</v>
      </c>
      <c r="AQ17" s="109">
        <f t="shared" si="12"/>
        <v>0.61143946612539446</v>
      </c>
      <c r="AR17" s="109">
        <f t="shared" si="12"/>
        <v>0.63282960088634488</v>
      </c>
      <c r="AS17" s="109">
        <f t="shared" si="12"/>
        <v>0.65635874912339043</v>
      </c>
      <c r="AT17" s="109">
        <f t="shared" si="12"/>
        <v>0.66491480302777073</v>
      </c>
      <c r="AU17" s="109">
        <f t="shared" si="12"/>
        <v>0.65208072217120039</v>
      </c>
      <c r="AV17" s="109">
        <f t="shared" si="12"/>
        <v>0.65849776259948545</v>
      </c>
      <c r="AW17" s="109">
        <f>AW12+0.22</f>
        <v>0.6435246682668202</v>
      </c>
      <c r="AX17" s="109">
        <f t="shared" si="12"/>
        <v>0.60930045264929933</v>
      </c>
      <c r="AY17" s="109">
        <f t="shared" si="12"/>
        <v>0.60930045264929933</v>
      </c>
      <c r="AZ17" s="109">
        <f t="shared" si="12"/>
        <v>0.60930045264929933</v>
      </c>
      <c r="BA17" s="109">
        <f t="shared" si="12"/>
        <v>0.60930045264929933</v>
      </c>
      <c r="BB17" s="109">
        <f t="shared" si="12"/>
        <v>0.60930045264929933</v>
      </c>
      <c r="BC17" s="109">
        <f t="shared" si="12"/>
        <v>0.62641256045805971</v>
      </c>
      <c r="BD17" s="109">
        <f t="shared" si="12"/>
        <v>0.62641256045805971</v>
      </c>
      <c r="BE17" s="109">
        <f t="shared" si="12"/>
        <v>0.62641256045805971</v>
      </c>
      <c r="BF17" s="109">
        <f t="shared" si="12"/>
        <v>0.62641256045805971</v>
      </c>
      <c r="BG17" s="109">
        <f t="shared" si="12"/>
        <v>0.61785650655367952</v>
      </c>
      <c r="BH17" s="109">
        <f t="shared" si="12"/>
        <v>0.64566368174291522</v>
      </c>
      <c r="BI17" s="109">
        <f t="shared" si="12"/>
        <v>0.64566368174291522</v>
      </c>
      <c r="BJ17" s="109">
        <f t="shared" si="12"/>
        <v>0.64566368174291522</v>
      </c>
      <c r="BK17" s="109">
        <f t="shared" si="12"/>
        <v>0.64566368174291522</v>
      </c>
      <c r="BL17" s="109">
        <f t="shared" si="12"/>
        <v>0.64566368174291522</v>
      </c>
      <c r="BM17" s="109">
        <f t="shared" si="12"/>
        <v>0.64566368174291522</v>
      </c>
      <c r="BN17" s="109">
        <f t="shared" si="12"/>
        <v>0.6157174930775845</v>
      </c>
      <c r="BO17" s="109">
        <f t="shared" si="12"/>
        <v>0.6157174930775845</v>
      </c>
      <c r="BP17" s="109">
        <f t="shared" si="12"/>
        <v>0.6157174930775845</v>
      </c>
      <c r="BQ17" s="109">
        <f t="shared" si="12"/>
        <v>0.6157174930775845</v>
      </c>
      <c r="BR17" s="109">
        <f t="shared" si="12"/>
        <v>0.6349686143624399</v>
      </c>
      <c r="BS17" s="109">
        <f t="shared" si="12"/>
        <v>0.6349686143624399</v>
      </c>
      <c r="BT17" s="109">
        <f t="shared" si="12"/>
        <v>0.6349686143624399</v>
      </c>
      <c r="BU17" s="109">
        <f t="shared" si="12"/>
        <v>0.6349686143624399</v>
      </c>
      <c r="BV17" s="109">
        <f>BV12+0.22</f>
        <v>0.6349686143624399</v>
      </c>
      <c r="BW17" s="109">
        <f>BW12+0.22</f>
        <v>0.6349686143624399</v>
      </c>
      <c r="BX17" s="109">
        <f>BX12+0.22</f>
        <v>0.6349686143624399</v>
      </c>
      <c r="BY17" s="109">
        <f>BY12+0.22</f>
        <v>0.6349686143624399</v>
      </c>
      <c r="BZ17" s="109">
        <f t="shared" ref="BZ17:CH17" si="13">BZ12+0.22</f>
        <v>0.68416592431262613</v>
      </c>
      <c r="CA17" s="109">
        <f t="shared" si="13"/>
        <v>0.68416592431262613</v>
      </c>
      <c r="CB17" s="109">
        <f t="shared" si="13"/>
        <v>0.68416592431262613</v>
      </c>
      <c r="CC17" s="109">
        <f t="shared" si="13"/>
        <v>0.68844395126481628</v>
      </c>
      <c r="CD17" s="109">
        <f t="shared" si="13"/>
        <v>0.68844395126481628</v>
      </c>
      <c r="CE17" s="109">
        <f t="shared" si="13"/>
        <v>0.68844395126481628</v>
      </c>
      <c r="CF17" s="109">
        <f t="shared" si="13"/>
        <v>0.68844395126481628</v>
      </c>
      <c r="CG17" s="109">
        <f t="shared" si="13"/>
        <v>0.68844395126481628</v>
      </c>
      <c r="CH17" s="109">
        <f t="shared" si="13"/>
        <v>0.67347085693215092</v>
      </c>
      <c r="CI17" s="109">
        <f>CI12+0.22</f>
        <v>0.67347085693215092</v>
      </c>
      <c r="CJ17" s="109">
        <f>CJ12+0.22</f>
        <v>0.67347085693215092</v>
      </c>
      <c r="CK17" s="109">
        <f>CK12+0.22</f>
        <v>0.67347085693215092</v>
      </c>
      <c r="CL17" s="109">
        <f t="shared" ref="CL17:CQ17" si="14">CL12+0.22</f>
        <v>0.6627757895516756</v>
      </c>
      <c r="CM17" s="109">
        <f t="shared" si="14"/>
        <v>0.6627757895516756</v>
      </c>
      <c r="CN17" s="109">
        <f t="shared" si="14"/>
        <v>0.6627757895516756</v>
      </c>
      <c r="CO17" s="109">
        <f t="shared" si="14"/>
        <v>0.6627757895516756</v>
      </c>
      <c r="CP17" s="109">
        <f t="shared" si="14"/>
        <v>0.6627757895516756</v>
      </c>
      <c r="CQ17" s="109">
        <f t="shared" si="14"/>
        <v>0.6627757895516756</v>
      </c>
      <c r="CR17" s="109">
        <f>CR12+0.22</f>
        <v>0.66919282997996077</v>
      </c>
      <c r="CS17" s="109">
        <f t="shared" ref="CS17:EV17" si="15">CS12+0.22</f>
        <v>0.66919282997996077</v>
      </c>
      <c r="CT17" s="109">
        <f t="shared" si="15"/>
        <v>0.66919282997996077</v>
      </c>
      <c r="CU17" s="109">
        <f t="shared" si="15"/>
        <v>0.6627757895516756</v>
      </c>
      <c r="CV17" s="109">
        <f t="shared" si="15"/>
        <v>0.6627757895516756</v>
      </c>
      <c r="CW17" s="109">
        <f t="shared" si="15"/>
        <v>0.6627757895516756</v>
      </c>
      <c r="CX17" s="109">
        <f t="shared" si="15"/>
        <v>0.6627757895516756</v>
      </c>
      <c r="CY17" s="109">
        <f t="shared" si="15"/>
        <v>0.6905829647409113</v>
      </c>
      <c r="CZ17" s="109">
        <f t="shared" si="15"/>
        <v>0.6905829647409113</v>
      </c>
      <c r="DA17" s="109">
        <f t="shared" si="15"/>
        <v>0.6905829647409113</v>
      </c>
      <c r="DB17" s="109">
        <f t="shared" si="15"/>
        <v>0.6905829647409113</v>
      </c>
      <c r="DC17" s="109">
        <f t="shared" si="15"/>
        <v>0.68844395126481628</v>
      </c>
      <c r="DD17" s="109">
        <f t="shared" si="15"/>
        <v>0.68844395126481628</v>
      </c>
      <c r="DE17" s="109">
        <f t="shared" si="15"/>
        <v>0.68844395126481628</v>
      </c>
      <c r="DF17" s="109">
        <f t="shared" si="15"/>
        <v>0.68844395126481628</v>
      </c>
      <c r="DG17" s="109">
        <f t="shared" si="15"/>
        <v>0.68844395126481628</v>
      </c>
      <c r="DH17" s="109">
        <f t="shared" si="15"/>
        <v>0.67560987040824594</v>
      </c>
      <c r="DI17" s="109">
        <f t="shared" si="15"/>
        <v>0.67560987040824594</v>
      </c>
      <c r="DJ17" s="109">
        <f t="shared" si="15"/>
        <v>0.67560987040824594</v>
      </c>
      <c r="DK17" s="109">
        <f t="shared" si="15"/>
        <v>0.67560987040824594</v>
      </c>
      <c r="DL17" s="109">
        <f t="shared" si="15"/>
        <v>0.67560987040824594</v>
      </c>
      <c r="DM17" s="109">
        <f t="shared" si="15"/>
        <v>0.69486099169310145</v>
      </c>
      <c r="DN17" s="109">
        <f t="shared" si="15"/>
        <v>0.69486099169310145</v>
      </c>
      <c r="DO17" s="109">
        <f t="shared" si="15"/>
        <v>0.67774888388434096</v>
      </c>
      <c r="DP17" s="109">
        <f t="shared" si="15"/>
        <v>0.67774888388434096</v>
      </c>
      <c r="DQ17" s="109">
        <f t="shared" si="15"/>
        <v>0.67774888388434096</v>
      </c>
      <c r="DR17" s="109">
        <f t="shared" si="15"/>
        <v>0.67774888388434096</v>
      </c>
      <c r="DS17" s="109">
        <f t="shared" si="15"/>
        <v>0.6905829647409113</v>
      </c>
      <c r="DT17" s="109">
        <f t="shared" si="15"/>
        <v>0.22</v>
      </c>
      <c r="DU17" s="109">
        <f t="shared" si="15"/>
        <v>0.22</v>
      </c>
      <c r="DV17" s="109">
        <f t="shared" si="15"/>
        <v>0.22</v>
      </c>
      <c r="DW17" s="109">
        <f t="shared" si="15"/>
        <v>0.22</v>
      </c>
      <c r="DX17" s="109">
        <f t="shared" si="15"/>
        <v>0.22</v>
      </c>
      <c r="DY17" s="109">
        <f t="shared" si="15"/>
        <v>0.22</v>
      </c>
      <c r="DZ17" s="109">
        <f t="shared" si="15"/>
        <v>0.22</v>
      </c>
      <c r="EA17" s="109">
        <f t="shared" si="15"/>
        <v>0.22</v>
      </c>
      <c r="EB17" s="109">
        <f t="shared" si="15"/>
        <v>0.22</v>
      </c>
      <c r="EC17" s="109">
        <f t="shared" si="15"/>
        <v>0.22</v>
      </c>
      <c r="ED17" s="109">
        <f t="shared" si="15"/>
        <v>0.22</v>
      </c>
      <c r="EE17" s="109">
        <f t="shared" si="15"/>
        <v>0.22</v>
      </c>
      <c r="EF17" s="109">
        <f t="shared" si="15"/>
        <v>0.22</v>
      </c>
      <c r="EG17" s="109">
        <f t="shared" si="15"/>
        <v>0.22</v>
      </c>
      <c r="EH17" s="109">
        <f t="shared" si="15"/>
        <v>0.22</v>
      </c>
      <c r="EI17" s="109">
        <f t="shared" si="15"/>
        <v>0.22</v>
      </c>
      <c r="EJ17" s="109">
        <f t="shared" si="15"/>
        <v>0.22</v>
      </c>
      <c r="EK17" s="109">
        <f t="shared" si="15"/>
        <v>0.22</v>
      </c>
      <c r="EL17" s="109">
        <f t="shared" si="15"/>
        <v>0.22</v>
      </c>
      <c r="EM17" s="109">
        <f t="shared" si="15"/>
        <v>0.22</v>
      </c>
      <c r="EN17" s="109">
        <f t="shared" si="15"/>
        <v>0.22</v>
      </c>
      <c r="EO17" s="109">
        <f t="shared" si="15"/>
        <v>0.22</v>
      </c>
      <c r="EP17" s="109">
        <f t="shared" si="15"/>
        <v>0.22</v>
      </c>
      <c r="EQ17" s="109">
        <f t="shared" si="15"/>
        <v>0.22</v>
      </c>
      <c r="ER17" s="109">
        <f t="shared" si="15"/>
        <v>0.22</v>
      </c>
      <c r="ES17" s="109">
        <f t="shared" si="15"/>
        <v>0.22</v>
      </c>
      <c r="ET17" s="109">
        <f t="shared" si="15"/>
        <v>0.22</v>
      </c>
      <c r="EU17" s="109">
        <f t="shared" si="15"/>
        <v>0.22</v>
      </c>
      <c r="EV17" s="109">
        <f t="shared" si="15"/>
        <v>0.22</v>
      </c>
    </row>
    <row r="19" spans="2:152">
      <c r="B19" s="65"/>
      <c r="BL19" s="65"/>
    </row>
    <row r="24" spans="2:152" ht="15">
      <c r="AR24" s="11"/>
    </row>
    <row r="25" spans="2:152" ht="15">
      <c r="AR25" s="11"/>
    </row>
    <row r="26" spans="2:152" ht="15">
      <c r="AR26" s="260"/>
    </row>
  </sheetData>
  <conditionalFormatting sqref="I14 Z14:AB14 AF14 AI14:AJ14 AL14 AP14 AS14 O14 K14:L14 T14:X14">
    <cfRule type="top10" dxfId="9" priority="1" bottom="1" rank="1"/>
  </conditionalFormatting>
  <pageMargins left="0.7" right="0.7" top="0.75" bottom="0.75" header="0.3" footer="0.3"/>
  <pageSetup orientation="portrait" r:id="rId1"/>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FQ26"/>
  <sheetViews>
    <sheetView workbookViewId="0">
      <pane xSplit="8" ySplit="6" topLeftCell="FH7" activePane="bottomRight" state="frozen"/>
      <selection pane="topRight" activeCell="I1" sqref="I1"/>
      <selection pane="bottomLeft" activeCell="A7" sqref="A7"/>
      <selection pane="bottomRight" activeCell="I17" sqref="I17:FQ17"/>
    </sheetView>
  </sheetViews>
  <sheetFormatPr baseColWidth="10" defaultColWidth="22.6640625" defaultRowHeight="12"/>
  <cols>
    <col min="1" max="1" width="13.33203125" style="60" bestFit="1" customWidth="1"/>
    <col min="2" max="2" width="11.33203125" style="60" bestFit="1" customWidth="1"/>
    <col min="3" max="3" width="4.83203125" style="60" bestFit="1" customWidth="1"/>
    <col min="4" max="4" width="12.33203125" style="60" bestFit="1" customWidth="1"/>
    <col min="5" max="5" width="7.5" style="60" bestFit="1" customWidth="1"/>
    <col min="6" max="6" width="6.5" style="60" bestFit="1" customWidth="1"/>
    <col min="7" max="7" width="3.33203125" style="60" bestFit="1" customWidth="1"/>
    <col min="8" max="8" width="14.5" style="60" bestFit="1" customWidth="1"/>
    <col min="9" max="10" width="5.5" style="60" bestFit="1" customWidth="1"/>
    <col min="11" max="11" width="5.6640625" style="60" bestFit="1" customWidth="1"/>
    <col min="12" max="12" width="5.5" style="60" bestFit="1" customWidth="1"/>
    <col min="13" max="13" width="5.83203125" style="60" bestFit="1" customWidth="1"/>
    <col min="14" max="18" width="5.5" style="60" bestFit="1" customWidth="1"/>
    <col min="19" max="19" width="5.6640625" style="60" bestFit="1" customWidth="1"/>
    <col min="20" max="22" width="5.5" style="60" bestFit="1" customWidth="1"/>
    <col min="23" max="43" width="6.1640625" style="60" bestFit="1" customWidth="1"/>
    <col min="44" max="45" width="5.5" style="60" bestFit="1" customWidth="1"/>
    <col min="46" max="46" width="6.1640625" style="60" bestFit="1" customWidth="1"/>
    <col min="47" max="47" width="5.6640625" style="60" bestFit="1" customWidth="1"/>
    <col min="48" max="48" width="5.5" style="60" bestFit="1" customWidth="1"/>
    <col min="49" max="49" width="5.83203125" style="60" bestFit="1" customWidth="1"/>
    <col min="50" max="51" width="5.5" style="60" bestFit="1" customWidth="1"/>
    <col min="52" max="54" width="7" style="60" bestFit="1" customWidth="1"/>
    <col min="55" max="56" width="5.5" style="60" bestFit="1" customWidth="1"/>
    <col min="57" max="58" width="5.83203125" style="60" bestFit="1" customWidth="1"/>
    <col min="59" max="59" width="5.6640625" style="60" bestFit="1" customWidth="1"/>
    <col min="60" max="65" width="6.1640625" style="60" bestFit="1" customWidth="1"/>
    <col min="66" max="70" width="5.6640625" style="60" bestFit="1" customWidth="1"/>
    <col min="71" max="82" width="5.5" style="60" bestFit="1" customWidth="1"/>
    <col min="83" max="86" width="6.1640625" style="60" bestFit="1" customWidth="1"/>
    <col min="87" max="90" width="5.5" style="60" bestFit="1" customWidth="1"/>
    <col min="91" max="95" width="6.33203125" style="60" bestFit="1" customWidth="1"/>
    <col min="96" max="99" width="6.1640625" style="60" bestFit="1" customWidth="1"/>
    <col min="100" max="173" width="6.5" style="60" bestFit="1" customWidth="1"/>
    <col min="174" max="16384" width="22.6640625" style="60"/>
  </cols>
  <sheetData>
    <row r="1" spans="1:173" ht="26">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c r="EM1" s="99">
        <v>141</v>
      </c>
      <c r="EN1" s="99">
        <v>142</v>
      </c>
      <c r="EO1" s="99">
        <v>143</v>
      </c>
      <c r="EP1" s="99">
        <v>144</v>
      </c>
      <c r="EQ1" s="99">
        <v>145</v>
      </c>
      <c r="ER1" s="99">
        <v>146</v>
      </c>
      <c r="ES1" s="99">
        <v>147</v>
      </c>
      <c r="ET1" s="99">
        <v>148</v>
      </c>
      <c r="EU1" s="99">
        <v>149</v>
      </c>
      <c r="EV1" s="99">
        <v>150</v>
      </c>
      <c r="EW1" s="99">
        <v>151</v>
      </c>
      <c r="EX1" s="99">
        <v>152</v>
      </c>
      <c r="EY1" s="99">
        <v>153</v>
      </c>
      <c r="EZ1" s="99">
        <v>154</v>
      </c>
      <c r="FA1" s="99">
        <v>155</v>
      </c>
      <c r="FB1" s="99">
        <v>156</v>
      </c>
      <c r="FC1" s="99">
        <v>157</v>
      </c>
      <c r="FD1" s="99">
        <v>158</v>
      </c>
      <c r="FE1" s="99">
        <v>159</v>
      </c>
      <c r="FF1" s="99">
        <v>160</v>
      </c>
      <c r="FG1" s="99">
        <v>161</v>
      </c>
      <c r="FH1" s="99">
        <v>162</v>
      </c>
      <c r="FI1" s="99">
        <v>163</v>
      </c>
      <c r="FJ1" s="99">
        <v>164</v>
      </c>
      <c r="FK1" s="99">
        <v>165</v>
      </c>
      <c r="FL1" s="99">
        <v>166</v>
      </c>
      <c r="FM1" s="99">
        <v>167</v>
      </c>
      <c r="FN1" s="99">
        <v>168</v>
      </c>
      <c r="FO1" s="99">
        <v>169</v>
      </c>
      <c r="FP1" s="99">
        <v>170</v>
      </c>
      <c r="FQ1" s="99">
        <v>171</v>
      </c>
    </row>
    <row r="2" spans="1:173">
      <c r="A2" s="327" t="s">
        <v>300</v>
      </c>
      <c r="B2" s="112"/>
      <c r="C2" s="101">
        <v>1</v>
      </c>
      <c r="D2" s="112">
        <v>262.43020000000001</v>
      </c>
      <c r="E2" s="60">
        <f>D2*C2</f>
        <v>262.43020000000001</v>
      </c>
      <c r="K2" s="102"/>
      <c r="M2" s="102"/>
    </row>
    <row r="3" spans="1:173">
      <c r="A3" s="100"/>
      <c r="B3" s="64"/>
      <c r="D3" s="100"/>
      <c r="E3" s="64"/>
      <c r="F3" s="103"/>
    </row>
    <row r="4" spans="1:173">
      <c r="A4" s="64"/>
      <c r="B4" s="64"/>
      <c r="D4" s="64"/>
      <c r="E4" s="64"/>
      <c r="H4" s="60" t="s">
        <v>387</v>
      </c>
    </row>
    <row r="5" spans="1:173">
      <c r="A5" s="74"/>
      <c r="B5" s="74"/>
    </row>
    <row r="6" spans="1:173">
      <c r="A6" s="59"/>
      <c r="B6" s="59"/>
      <c r="C6" s="59"/>
      <c r="D6" s="98"/>
      <c r="E6" s="98"/>
      <c r="F6" s="59"/>
      <c r="H6" s="59" t="s">
        <v>416</v>
      </c>
      <c r="I6" s="59">
        <v>43831</v>
      </c>
      <c r="J6" s="59">
        <v>43862</v>
      </c>
      <c r="K6" s="59">
        <v>43891</v>
      </c>
      <c r="L6" s="59">
        <v>43922</v>
      </c>
      <c r="M6" s="59">
        <v>43952</v>
      </c>
      <c r="N6" s="59">
        <v>43983</v>
      </c>
      <c r="O6" s="59">
        <v>44013</v>
      </c>
      <c r="P6" s="59">
        <v>44044</v>
      </c>
      <c r="Q6" s="59">
        <v>44075</v>
      </c>
      <c r="R6" s="59">
        <v>44105</v>
      </c>
      <c r="S6" s="59">
        <v>44136</v>
      </c>
      <c r="T6" s="59">
        <v>44166</v>
      </c>
      <c r="U6" s="59">
        <v>44197</v>
      </c>
      <c r="V6" s="59">
        <v>44228</v>
      </c>
      <c r="W6" s="59">
        <v>44256</v>
      </c>
      <c r="X6" s="59">
        <v>44287</v>
      </c>
      <c r="Y6" s="59">
        <v>44317</v>
      </c>
      <c r="Z6" s="59">
        <v>44348</v>
      </c>
      <c r="AA6" s="59">
        <v>44378</v>
      </c>
      <c r="AB6" s="59">
        <v>44409</v>
      </c>
      <c r="AC6" s="59">
        <v>44440</v>
      </c>
      <c r="AD6" s="59">
        <v>44470</v>
      </c>
      <c r="AE6" s="59">
        <v>44501</v>
      </c>
      <c r="AF6" s="59">
        <v>44531</v>
      </c>
      <c r="AG6" s="59">
        <v>44562</v>
      </c>
      <c r="AH6" s="59">
        <v>44593</v>
      </c>
      <c r="AI6" s="59">
        <v>44621</v>
      </c>
      <c r="AJ6" s="59">
        <v>44652</v>
      </c>
      <c r="AK6" s="59">
        <v>44682</v>
      </c>
      <c r="AL6" s="59">
        <v>44713</v>
      </c>
      <c r="AM6" s="59">
        <v>44743</v>
      </c>
      <c r="AN6" s="59">
        <v>44774</v>
      </c>
      <c r="AO6" s="59">
        <v>44805</v>
      </c>
      <c r="AP6" s="59">
        <v>44835</v>
      </c>
      <c r="AQ6" s="59">
        <v>44866</v>
      </c>
      <c r="AR6" s="59">
        <v>44896</v>
      </c>
      <c r="AS6" s="59">
        <v>44927</v>
      </c>
      <c r="AT6" s="59">
        <v>44958</v>
      </c>
      <c r="AU6" s="59">
        <v>44986</v>
      </c>
      <c r="AV6" s="59">
        <v>45017</v>
      </c>
      <c r="AW6" s="59">
        <v>45047</v>
      </c>
      <c r="AX6" s="59">
        <v>45078</v>
      </c>
      <c r="AY6" s="59">
        <v>45108</v>
      </c>
      <c r="AZ6" s="59" t="s">
        <v>530</v>
      </c>
      <c r="BA6" s="59" t="s">
        <v>531</v>
      </c>
      <c r="BB6" s="59" t="s">
        <v>532</v>
      </c>
      <c r="BC6" s="59">
        <v>37104</v>
      </c>
      <c r="BD6" s="59">
        <v>37469</v>
      </c>
      <c r="BE6" s="59" t="s">
        <v>168</v>
      </c>
      <c r="BF6" s="59" t="s">
        <v>169</v>
      </c>
      <c r="BG6" s="59" t="s">
        <v>421</v>
      </c>
      <c r="BH6" s="59" t="s">
        <v>422</v>
      </c>
      <c r="BI6" s="59" t="s">
        <v>423</v>
      </c>
      <c r="BJ6" s="59" t="s">
        <v>424</v>
      </c>
      <c r="BK6" s="59" t="s">
        <v>435</v>
      </c>
      <c r="BL6" s="59" t="s">
        <v>436</v>
      </c>
      <c r="BM6" s="59" t="s">
        <v>437</v>
      </c>
      <c r="BN6" s="59" t="s">
        <v>438</v>
      </c>
      <c r="BO6" s="59">
        <v>37196</v>
      </c>
      <c r="BP6" s="59">
        <v>37561</v>
      </c>
      <c r="BQ6" s="59">
        <v>37926</v>
      </c>
      <c r="BR6" s="59">
        <v>38292</v>
      </c>
      <c r="BS6" s="59">
        <v>37226</v>
      </c>
      <c r="BT6" s="59">
        <v>37591</v>
      </c>
      <c r="BU6" s="59">
        <v>37956</v>
      </c>
      <c r="BV6" s="59">
        <v>38322</v>
      </c>
      <c r="BW6" s="59">
        <v>36892</v>
      </c>
      <c r="BX6" s="59">
        <v>37257</v>
      </c>
      <c r="BY6" s="59">
        <v>37622</v>
      </c>
      <c r="BZ6" s="59">
        <v>37987</v>
      </c>
      <c r="CA6" s="59">
        <v>36923</v>
      </c>
      <c r="CB6" s="59">
        <v>37288</v>
      </c>
      <c r="CC6" s="59">
        <v>37653</v>
      </c>
      <c r="CD6" s="59">
        <v>38018</v>
      </c>
      <c r="CE6" s="59" t="str">
        <f>Sheet8!A15</f>
        <v>Mar-w1</v>
      </c>
      <c r="CF6" s="59" t="str">
        <f>Sheet8!B15</f>
        <v>Mar-w2</v>
      </c>
      <c r="CG6" s="59" t="str">
        <f>Sheet8!C15</f>
        <v>Mar-w3</v>
      </c>
      <c r="CH6" s="59" t="str">
        <f>Sheet8!D15</f>
        <v>Mar-w4</v>
      </c>
      <c r="CI6" s="59" t="str">
        <f>Sheet8!E15</f>
        <v>Apr-w1</v>
      </c>
      <c r="CJ6" s="59" t="str">
        <f>Sheet8!F15</f>
        <v>Apr-w2</v>
      </c>
      <c r="CK6" s="59" t="str">
        <f>Sheet8!G15</f>
        <v>Apr-w3</v>
      </c>
      <c r="CL6" s="59" t="str">
        <f>Sheet8!H15</f>
        <v>Apr-w4</v>
      </c>
      <c r="CM6" s="59" t="str">
        <f>Sheet8!I15</f>
        <v>May-w1</v>
      </c>
      <c r="CN6" s="59" t="str">
        <f>Sheet8!J15</f>
        <v>May-w2</v>
      </c>
      <c r="CO6" s="59" t="str">
        <f>Sheet8!K15</f>
        <v>May-w3</v>
      </c>
      <c r="CP6" s="59" t="str">
        <f>Sheet8!L15</f>
        <v>May-w4</v>
      </c>
      <c r="CQ6" s="59" t="str">
        <f>Sheet8!M15</f>
        <v>May-w5</v>
      </c>
      <c r="CR6" s="59" t="str">
        <f>Sheet8!N15</f>
        <v>june-w1</v>
      </c>
      <c r="CS6" s="59" t="str">
        <f>Sheet8!O15</f>
        <v>june-w2</v>
      </c>
      <c r="CT6" s="59" t="str">
        <f>Sheet8!P15</f>
        <v>june-w3</v>
      </c>
      <c r="CU6" s="59" t="str">
        <f>Sheet8!Q15</f>
        <v>june-w4</v>
      </c>
      <c r="CV6" s="59" t="str">
        <f>Sheet8!R15</f>
        <v>Jul-w1</v>
      </c>
      <c r="CW6" s="59" t="str">
        <f>Sheet8!S15</f>
        <v>Jul-w2</v>
      </c>
      <c r="CX6" s="59" t="str">
        <f>Sheet8!T15</f>
        <v>Jul-w3</v>
      </c>
      <c r="CY6" s="59" t="str">
        <f>Sheet8!U15</f>
        <v>Jul-w4</v>
      </c>
      <c r="CZ6" s="59" t="str">
        <f>Sheet8!V15</f>
        <v>Aug-w1</v>
      </c>
      <c r="DA6" s="59" t="str">
        <f>Sheet8!W15</f>
        <v>Aug-w2</v>
      </c>
      <c r="DB6" s="59" t="str">
        <f>Sheet8!X15</f>
        <v>Aug-w3</v>
      </c>
      <c r="DC6" s="59" t="str">
        <f>Sheet8!Y15</f>
        <v>Aug-w4</v>
      </c>
      <c r="DD6" s="59" t="str">
        <f>Sheet8!Z15</f>
        <v>Sep-w1</v>
      </c>
      <c r="DE6" s="59" t="str">
        <f>Sheet8!AA15</f>
        <v>Sep-w2</v>
      </c>
      <c r="DF6" s="59" t="str">
        <f>Sheet8!AB15</f>
        <v>Sep-w3</v>
      </c>
      <c r="DG6" s="59" t="str">
        <f>Sheet8!AC15</f>
        <v>Sep-w4</v>
      </c>
      <c r="DH6" s="59" t="str">
        <f>Sheet8!AD15</f>
        <v>Oct-w1</v>
      </c>
      <c r="DI6" s="59" t="str">
        <f>Sheet8!AE15</f>
        <v>Oct-w2</v>
      </c>
      <c r="DJ6" s="59" t="str">
        <f>Sheet8!AF15</f>
        <v>Oct-w3</v>
      </c>
      <c r="DK6" s="59" t="str">
        <f>Sheet8!AG15</f>
        <v>Oct-w4</v>
      </c>
      <c r="DL6" s="59" t="str">
        <f>Sheet8!AH15</f>
        <v>Nov-w1</v>
      </c>
      <c r="DM6" s="59" t="str">
        <f>Sheet8!AI15</f>
        <v>Nov-w2</v>
      </c>
      <c r="DN6" s="59" t="str">
        <f>Sheet8!AJ15</f>
        <v>Nov-w3</v>
      </c>
      <c r="DO6" s="59" t="str">
        <f>Sheet8!AK15</f>
        <v>Nov-w4</v>
      </c>
      <c r="DP6" s="59" t="str">
        <f>Sheet8!AL15</f>
        <v>Dec-w1</v>
      </c>
      <c r="DQ6" s="59" t="str">
        <f>Sheet8!AM15</f>
        <v>Dec-w2</v>
      </c>
      <c r="DR6" s="59" t="str">
        <f>Sheet8!AN15</f>
        <v>Dec-w3</v>
      </c>
      <c r="DS6" s="59" t="str">
        <f>Sheet8!AO15</f>
        <v>Dec-w4</v>
      </c>
      <c r="DT6" s="59">
        <f>Sheet8!AP15</f>
        <v>0</v>
      </c>
      <c r="DU6" s="59">
        <f>Sheet8!AQ15</f>
        <v>0</v>
      </c>
      <c r="DV6" s="59">
        <f>Sheet8!AR15</f>
        <v>0</v>
      </c>
      <c r="DW6" s="59">
        <f>Sheet8!AS15</f>
        <v>0</v>
      </c>
      <c r="DX6" s="59">
        <f>Sheet8!AT15</f>
        <v>0</v>
      </c>
      <c r="DY6" s="59">
        <f>Sheet8!AU15</f>
        <v>0</v>
      </c>
      <c r="DZ6" s="59">
        <f>Sheet8!AV15</f>
        <v>0</v>
      </c>
      <c r="EA6" s="59">
        <f>Sheet8!AW15</f>
        <v>0</v>
      </c>
      <c r="EB6" s="59">
        <f>Sheet8!AX15</f>
        <v>0</v>
      </c>
      <c r="EC6" s="59">
        <f>Sheet8!AY15</f>
        <v>0</v>
      </c>
      <c r="ED6" s="59">
        <f>Sheet8!AZ15</f>
        <v>0</v>
      </c>
      <c r="EE6" s="59">
        <f>Sheet8!BA15</f>
        <v>0</v>
      </c>
      <c r="EF6" s="59">
        <f>Sheet8!BB15</f>
        <v>0</v>
      </c>
      <c r="EG6" s="59">
        <f>Sheet8!BC15</f>
        <v>0</v>
      </c>
      <c r="EH6" s="59">
        <f>Sheet8!BD15</f>
        <v>0</v>
      </c>
      <c r="EI6" s="59">
        <f>Sheet8!BE15</f>
        <v>0</v>
      </c>
      <c r="EJ6" s="59">
        <f>Sheet8!BF15</f>
        <v>0</v>
      </c>
      <c r="EK6" s="59">
        <f>Sheet8!BG15</f>
        <v>0</v>
      </c>
      <c r="EL6" s="59">
        <f>Sheet8!BH15</f>
        <v>0</v>
      </c>
      <c r="EM6" s="59">
        <f>Sheet8!BI15</f>
        <v>0</v>
      </c>
      <c r="EN6" s="59">
        <f>Sheet8!BJ15</f>
        <v>0</v>
      </c>
      <c r="EO6" s="59">
        <f>Sheet8!BK15</f>
        <v>0</v>
      </c>
      <c r="EP6" s="59">
        <f>Sheet8!BL15</f>
        <v>0</v>
      </c>
      <c r="EQ6" s="59">
        <f>Sheet8!BM15</f>
        <v>0</v>
      </c>
      <c r="ER6" s="59">
        <f>Sheet8!BN15</f>
        <v>0</v>
      </c>
      <c r="ES6" s="59">
        <f>Sheet8!BO15</f>
        <v>0</v>
      </c>
      <c r="ET6" s="59">
        <f>Sheet8!BP15</f>
        <v>0</v>
      </c>
      <c r="EU6" s="59">
        <f>Sheet8!BQ15</f>
        <v>0</v>
      </c>
      <c r="EV6" s="59">
        <f>Sheet8!BR15</f>
        <v>0</v>
      </c>
      <c r="EW6" s="59">
        <f>Sheet8!BS15</f>
        <v>0</v>
      </c>
      <c r="EX6" s="59">
        <f>Sheet8!BT15</f>
        <v>0</v>
      </c>
      <c r="EY6" s="59">
        <f>Sheet8!BU15</f>
        <v>0</v>
      </c>
      <c r="EZ6" s="59">
        <f>Sheet8!BV15</f>
        <v>0</v>
      </c>
      <c r="FA6" s="59">
        <f>Sheet8!BW15</f>
        <v>0</v>
      </c>
      <c r="FB6" s="59">
        <f>Sheet8!BX15</f>
        <v>0</v>
      </c>
      <c r="FC6" s="59">
        <f>Sheet8!BY15</f>
        <v>0</v>
      </c>
      <c r="FD6" s="59">
        <f>Sheet8!BZ15</f>
        <v>0</v>
      </c>
      <c r="FE6" s="59">
        <f>Sheet8!CA15</f>
        <v>0</v>
      </c>
      <c r="FF6" s="59">
        <f>Sheet8!CB15</f>
        <v>0</v>
      </c>
      <c r="FG6" s="59">
        <f>Sheet8!CC15</f>
        <v>0</v>
      </c>
      <c r="FH6" s="59">
        <f>Sheet8!CD15</f>
        <v>0</v>
      </c>
      <c r="FI6" s="59">
        <f>Sheet8!CE15</f>
        <v>0</v>
      </c>
      <c r="FJ6" s="59">
        <f>Sheet8!CF15</f>
        <v>0</v>
      </c>
      <c r="FK6" s="59">
        <f>Sheet8!CG15</f>
        <v>0</v>
      </c>
      <c r="FL6" s="59">
        <f>Sheet8!CH15</f>
        <v>0</v>
      </c>
      <c r="FM6" s="59">
        <f>Sheet8!CI15</f>
        <v>0</v>
      </c>
      <c r="FN6" s="59">
        <f>Sheet8!CJ15</f>
        <v>0</v>
      </c>
      <c r="FO6" s="59">
        <f>Sheet8!CK15</f>
        <v>0</v>
      </c>
      <c r="FP6" s="59">
        <f>Sheet8!CL15</f>
        <v>0</v>
      </c>
      <c r="FQ6" s="59">
        <f>Sheet8!CM15</f>
        <v>0</v>
      </c>
    </row>
    <row r="7" spans="1:173">
      <c r="B7" s="44"/>
      <c r="D7" s="44"/>
      <c r="F7" s="60" t="s">
        <v>651</v>
      </c>
      <c r="H7" s="178" t="s">
        <v>67</v>
      </c>
      <c r="I7" s="74">
        <f>VLOOKUP($H$7&amp;$F$1,'Input RM sheet'!$A:$BD,H1,0)</f>
        <v>865</v>
      </c>
      <c r="J7" s="74">
        <f>VLOOKUP($H$7&amp;$F$1,'Input RM sheet'!$A:$BD,I1,0)</f>
        <v>920</v>
      </c>
      <c r="K7" s="74">
        <f>VLOOKUP($H$7&amp;$F$1,'Input RM sheet'!$A:$BD,J1,0)</f>
        <v>795</v>
      </c>
      <c r="L7" s="74">
        <f>VLOOKUP($H$7&amp;$F$1,'Input RM sheet'!$A:$BD,K1,0)</f>
        <v>665</v>
      </c>
      <c r="M7" s="74">
        <f>VLOOKUP($H$7&amp;$F$1,'Input RM sheet'!$A:$BD,L1,0)</f>
        <v>700</v>
      </c>
      <c r="N7" s="74">
        <f>VLOOKUP($H$7&amp;$F$1,'Input RM sheet'!$A:$BD,M1,0)</f>
        <v>840</v>
      </c>
      <c r="O7" s="74">
        <f>VLOOKUP($H$7&amp;$F$1,'Input RM sheet'!$A:$BD,N1,0)</f>
        <v>630</v>
      </c>
      <c r="P7" s="74">
        <f>VLOOKUP($H$7&amp;$F$1,'Input RM sheet'!$A:$BD,O1,0)</f>
        <v>625</v>
      </c>
      <c r="Q7" s="74">
        <f>VLOOKUP($H$7&amp;$F$1,'Input RM sheet'!$A:$BD,P1,0)</f>
        <v>625</v>
      </c>
      <c r="R7" s="74">
        <f>VLOOKUP($H$7&amp;$F$1,'Input RM sheet'!$A:$BD,Q1,0)</f>
        <v>645</v>
      </c>
      <c r="S7" s="74">
        <f>VLOOKUP($H$7&amp;$F$1,'Input RM sheet'!$A:$BD,R1,0)</f>
        <v>750</v>
      </c>
      <c r="T7" s="74">
        <f>VLOOKUP($H$7&amp;$F$1,'Input RM sheet'!$A:$BD,S1,0)</f>
        <v>850</v>
      </c>
      <c r="U7" s="74">
        <f>VLOOKUP($H$7&amp;$F$1,'Input RM sheet'!$A:$BD,T1,0)</f>
        <v>875</v>
      </c>
      <c r="V7" s="74">
        <f>VLOOKUP($H$7&amp;$F$1,'Input RM sheet'!$A:$BD,U1,0)</f>
        <v>925</v>
      </c>
      <c r="W7" s="74">
        <f>VLOOKUP($H$7&amp;$F$1,'Input RM sheet'!$A:$BD,V1,0)</f>
        <v>1150</v>
      </c>
      <c r="X7" s="74">
        <f>VLOOKUP($H$7&amp;$F$1,'Input RM sheet'!$A:$BD,W1,0)</f>
        <v>1200</v>
      </c>
      <c r="Y7" s="74">
        <f>VLOOKUP($H$7&amp;$F$1,'Input RM sheet'!$A:$BD,X1,0)</f>
        <v>1300</v>
      </c>
      <c r="Z7" s="74">
        <f>VLOOKUP($H$7&amp;$F$1,'Input RM sheet'!$A:$BD,Y1,0)</f>
        <v>1150</v>
      </c>
      <c r="AA7" s="74">
        <f>VLOOKUP($H$7&amp;$F$1,'Input RM sheet'!$A:$BD,Z1,0)</f>
        <v>1230</v>
      </c>
      <c r="AB7" s="74">
        <f>VLOOKUP($H$7&amp;$F$1,'Input RM sheet'!$A:$BD,AA1,0)</f>
        <v>1215</v>
      </c>
      <c r="AC7" s="74">
        <f>VLOOKUP($H$7&amp;$F$1,'Input RM sheet'!$A:$BD,AB1,0)</f>
        <v>1425</v>
      </c>
      <c r="AD7" s="74">
        <f>VLOOKUP($H$7&amp;$F$1,'Input RM sheet'!$A:$BD,AC1,0)</f>
        <v>1375</v>
      </c>
      <c r="AE7" s="74">
        <f>VLOOKUP($H$7&amp;$F$1,'Input RM sheet'!$A:$BD,AD1,0)</f>
        <v>1250</v>
      </c>
      <c r="AF7" s="74">
        <f>VLOOKUP($H$7&amp;$F$1,'Input RM sheet'!$A:$BD,AE1,0)</f>
        <v>1225</v>
      </c>
      <c r="AG7" s="74">
        <f>VLOOKUP($H$7&amp;$F$1,'Input RM sheet'!$A:$BD,AF1,0)</f>
        <v>1475</v>
      </c>
      <c r="AH7" s="74">
        <f>VLOOKUP($H$7&amp;$F$1,'Input RM sheet'!$A:$BD,AG1,0)</f>
        <v>1495</v>
      </c>
      <c r="AI7" s="74">
        <f>VLOOKUP($H$7&amp;$F$1,'Input RM sheet'!$A:$BD,AH1,0)</f>
        <v>1555</v>
      </c>
      <c r="AJ7" s="74">
        <f>VLOOKUP($H$7&amp;$F$1,'Input RM sheet'!$A:$BD,AI1,0)</f>
        <v>1455</v>
      </c>
      <c r="AK7" s="74">
        <f>VLOOKUP($H$7&amp;$F$1,'Input RM sheet'!$A:$BD,AJ1,0)</f>
        <v>1425</v>
      </c>
      <c r="AL7" s="74">
        <f>VLOOKUP($H$7&amp;$F$1,'Input RM sheet'!$A:$BD,AK1,0)</f>
        <v>1475</v>
      </c>
      <c r="AM7" s="74">
        <f>VLOOKUP($H$7&amp;$F$1,'Input RM sheet'!$A:$BD,AL1,0)</f>
        <v>1225</v>
      </c>
      <c r="AN7" s="74">
        <f>VLOOKUP($H$7&amp;$F$1,'Input RM sheet'!$A:$BD,AM1,0)</f>
        <v>1180</v>
      </c>
      <c r="AO7" s="74">
        <f>VLOOKUP($H$7&amp;$F$1,'Input RM sheet'!$A:$BD,AN1,0)</f>
        <v>1240</v>
      </c>
      <c r="AP7" s="74">
        <f>VLOOKUP($H$7&amp;$F$1,'Input RM sheet'!$A:$BD,AO1,0)</f>
        <v>1190</v>
      </c>
      <c r="AQ7" s="74">
        <f>VLOOKUP($H$7&amp;$F$1,'Input RM sheet'!$A:$BD,AP1,0)</f>
        <v>1075</v>
      </c>
      <c r="AR7" s="74">
        <f>VLOOKUP($H$7&amp;$F$1,'Input RM sheet'!$A:$BD,AQ1,0)</f>
        <v>955</v>
      </c>
      <c r="AS7" s="74">
        <f>VLOOKUP($H$7&amp;$F$1,'Input RM sheet'!$A:$BD,AR1,0)</f>
        <v>910</v>
      </c>
      <c r="AT7" s="74">
        <f>VLOOKUP($H$7&amp;$F$1,'Input RM sheet'!$A:$BD,AS1,0)</f>
        <v>1000</v>
      </c>
      <c r="AU7" s="74">
        <f>VLOOKUP($H$7&amp;$F$1,'Input RM sheet'!$A:$BD,AT1,0)</f>
        <v>940</v>
      </c>
      <c r="AV7" s="74">
        <f>VLOOKUP($H$7&amp;$F$1,'Input RM sheet'!$A:$BD,AU1,0)</f>
        <v>900</v>
      </c>
      <c r="AW7" s="74">
        <f>VLOOKUP($H$7&amp;$F$1,'Input RM sheet'!$A:$BD,AV1,0)</f>
        <v>880</v>
      </c>
      <c r="AX7" s="74">
        <f>VLOOKUP($H$7&amp;$F$1,'Input RM sheet'!$A:$BD,AW1,0)</f>
        <v>725</v>
      </c>
      <c r="AY7" s="74">
        <f>VLOOKUP($H$7&amp;$F$1,'Input RM sheet'!$A:$BD,AX1,0)</f>
        <v>725</v>
      </c>
      <c r="AZ7" s="74">
        <f>VLOOKUP($H$7&amp;$F$1,'Input RM sheet'!$A:$BD,AY1,0)</f>
        <v>725</v>
      </c>
      <c r="BA7" s="74">
        <f>VLOOKUP($H$7&amp;$F$1,'Input RM sheet'!$A:$BD,AZ1,0)</f>
        <v>725</v>
      </c>
      <c r="BB7" s="74">
        <f>VLOOKUP($H$7&amp;$F$1,'Input RM sheet'!$A:$BD,BA1,0)</f>
        <v>825</v>
      </c>
      <c r="BC7" s="74">
        <f>VLOOKUP($H$7&amp;$F$1,'Input RM sheet'!$A:$BD,BB1,0)</f>
        <v>825</v>
      </c>
      <c r="BD7" s="74">
        <f>VLOOKUP($H$7&amp;$F$1,'Input RM sheet'!$A:$BD,BC1,0)</f>
        <v>977.04</v>
      </c>
      <c r="BE7" s="74">
        <f>VLOOKUP($H$7&amp;$F$1,'Input RM sheet'!$A:$BD,BD1,0)</f>
        <v>925</v>
      </c>
      <c r="BF7" s="74">
        <f>VLOOKUP($H$7&amp;$F$1,'Input RM sheet'!$A:$BD,BE1,0)</f>
        <v>925</v>
      </c>
      <c r="BG7" s="74">
        <f>VLOOKUP($H$7&amp;$F$1,'Input RM sheet'!$A:$DD,BF1,0)</f>
        <v>925</v>
      </c>
      <c r="BH7" s="74">
        <f>VLOOKUP($H$7&amp;$F$1,'Input RM sheet'!$A:$DD,BG1,0)</f>
        <v>1050</v>
      </c>
      <c r="BI7" s="74">
        <f>VLOOKUP($H$7&amp;$F$1,'Input RM sheet'!$A:$DD,BH1,0)</f>
        <v>1050</v>
      </c>
      <c r="BJ7" s="74">
        <f>VLOOKUP($H$7&amp;$F$1,'Input RM sheet'!$A:$DD,BI1,0)</f>
        <v>1050</v>
      </c>
      <c r="BK7" s="74">
        <f>VLOOKUP($H$7&amp;$F$1,'Input RM sheet'!$A:$DD,BJ1,0)</f>
        <v>1075</v>
      </c>
      <c r="BL7" s="74">
        <f>VLOOKUP($H$7&amp;$F$1,'Input RM sheet'!$A:$DD,BK1,0)</f>
        <v>1075</v>
      </c>
      <c r="BM7" s="74">
        <f>VLOOKUP($H$7&amp;$F$1,'Input RM sheet'!$A:$DD,BL1,0)</f>
        <v>1075</v>
      </c>
      <c r="BN7" s="74">
        <f>VLOOKUP($H$7&amp;$F$1,'Input RM sheet'!$A:$DD,BM1,0)</f>
        <v>975</v>
      </c>
      <c r="BO7" s="74">
        <f>VLOOKUP($H$7&amp;$F$1,'Input RM sheet'!$A:$DD,BN1,0)</f>
        <v>925</v>
      </c>
      <c r="BP7" s="74">
        <f>VLOOKUP($H$7&amp;$F$1,'Input RM sheet'!$A:$DD,BO1,0)</f>
        <v>925</v>
      </c>
      <c r="BQ7" s="74">
        <f>VLOOKUP($H$7&amp;$F$1,'Input RM sheet'!$A:$DD,BP1,0)</f>
        <v>925</v>
      </c>
      <c r="BR7" s="74">
        <f>VLOOKUP($H$7&amp;$F$1,'Input RM sheet'!$A:$DD,BQ1,0)</f>
        <v>925</v>
      </c>
      <c r="BS7" s="74">
        <f>VLOOKUP($H$7&amp;$F$1,'Input RM sheet'!$A:$DD,BR1,0)</f>
        <v>925</v>
      </c>
      <c r="BT7" s="74">
        <f>VLOOKUP($H$7&amp;$F$1,'Input RM sheet'!$A:$DD,BS1,0)</f>
        <v>925</v>
      </c>
      <c r="BU7" s="74">
        <f>VLOOKUP($H$7&amp;$F$1,'Input RM sheet'!$A:$DD,BT1,0)</f>
        <v>905</v>
      </c>
      <c r="BV7" s="74">
        <f>VLOOKUP($H$7&amp;$F$1,'Input RM sheet'!$A:$DD,BU1,0)</f>
        <v>905</v>
      </c>
      <c r="BW7" s="74">
        <f>VLOOKUP($H$7&amp;$F$1,'Input RM sheet'!$A:$DD,BV1,0)</f>
        <v>905</v>
      </c>
      <c r="BX7" s="74">
        <f>VLOOKUP($H$7&amp;$F$1,'Input RM sheet'!$A:$DD,BW1,0)</f>
        <v>905</v>
      </c>
      <c r="BY7" s="74">
        <f>VLOOKUP($H$7&amp;$F$1,'Input RM sheet'!$A:$DD,BX1,0)</f>
        <v>905</v>
      </c>
      <c r="BZ7" s="74">
        <f>VLOOKUP($H$7&amp;$F$1,'Input RM sheet'!$A:$DD,BY1,0)</f>
        <v>865</v>
      </c>
      <c r="CA7" s="74">
        <f>VLOOKUP($H$7&amp;$F$1,'Input RM sheet'!$A:$DD,BZ1,0)</f>
        <v>865</v>
      </c>
      <c r="CB7" s="74">
        <f>VLOOKUP($H$7&amp;$F$1,'Input RM sheet'!$A:$DD,CA1,0)</f>
        <v>865</v>
      </c>
      <c r="CC7" s="74">
        <f>VLOOKUP($H$7&amp;$F$1,'Input RM sheet'!$A:$DD,CB1,0)</f>
        <v>940</v>
      </c>
      <c r="CD7" s="74">
        <f>VLOOKUP($H$7&amp;$F$1,'Input RM sheet'!$A:$DD,CC1,0)</f>
        <v>940</v>
      </c>
      <c r="CE7" s="74">
        <f>VLOOKUP($H$7&amp;$F$1,'Input RM sheet'!$A:$DD,CD1,0)</f>
        <v>940</v>
      </c>
      <c r="CF7" s="74">
        <f>VLOOKUP($H$7&amp;$F$1,'Input RM sheet'!$A:$DD,CE1,0)</f>
        <v>940</v>
      </c>
      <c r="CG7" s="74">
        <f>VLOOKUP($H$7&amp;$F$1,'Input RM sheet'!$A:$DD,CF1,0)</f>
        <v>940</v>
      </c>
      <c r="CH7" s="74">
        <f>VLOOKUP($H$7&amp;$F$1,'Input RM sheet'!$A:$DD,CG1,0)</f>
        <v>910</v>
      </c>
      <c r="CI7" s="74">
        <f>VLOOKUP($H$7&amp;$F$1,'Input RM sheet'!$A:$DD,CH1,0)</f>
        <v>910</v>
      </c>
      <c r="CJ7" s="74">
        <f>VLOOKUP($H$7&amp;$F$1,'Input RM sheet'!$A:$DD,CI1,0)</f>
        <v>910</v>
      </c>
      <c r="CK7" s="74">
        <f>VLOOKUP($H$7&amp;$F$1,'Input RM sheet'!$A:$DD,CJ1,0)</f>
        <v>910</v>
      </c>
      <c r="CL7" s="74">
        <f>VLOOKUP($H$7&amp;$F$1,'Input RM sheet'!$A:$DD,CK1,0)</f>
        <v>945</v>
      </c>
      <c r="CM7" s="74">
        <f>VLOOKUP($H$7&amp;$F$1,'Input RM sheet'!$A:$DD,CL1,0)</f>
        <v>945</v>
      </c>
      <c r="CN7" s="74">
        <f>VLOOKUP($H$7&amp;$F$1,'Input RM sheet'!$A:$DD,CM1,0)</f>
        <v>945</v>
      </c>
      <c r="CO7" s="74">
        <f>VLOOKUP($H$7&amp;$F$1,'Input RM sheet'!$A:$DD,CN1,0)</f>
        <v>945</v>
      </c>
      <c r="CP7" s="74">
        <f>VLOOKUP($H$7&amp;$F$1,'Input RM sheet'!$A:$DD,CO1,0)</f>
        <v>945</v>
      </c>
      <c r="CQ7" s="74">
        <f>VLOOKUP($H$7&amp;$F$1,'Input RM sheet'!$A:$DD,CP1,0)</f>
        <v>945</v>
      </c>
      <c r="CR7" s="74">
        <f>VLOOKUP($H$7&amp;$F$1,'Input RM sheet'!$A:$DD,CQ1,0)</f>
        <v>910</v>
      </c>
      <c r="CS7" s="74">
        <f>VLOOKUP($H$7&amp;$F$1,'Input RM sheet'!$A:$DD,CR1,0)</f>
        <v>910</v>
      </c>
      <c r="CT7" s="74">
        <f>VLOOKUP($H$7&amp;$F$1,'Input RM sheet'!$A:$ZZ,CS1,0)</f>
        <v>910</v>
      </c>
      <c r="CU7" s="74">
        <f>VLOOKUP($H$7&amp;$F$1,'Input RM sheet'!$A:$ZZ,CT1,0)</f>
        <v>930</v>
      </c>
      <c r="CV7" s="74">
        <f>VLOOKUP($H$7&amp;$F$1,'Input RM sheet'!$A:$ZZ,CU1,0)</f>
        <v>930</v>
      </c>
      <c r="CW7" s="74">
        <f>VLOOKUP($H$7&amp;$F$1,'Input RM sheet'!$A:$ZZ,CV1,0)</f>
        <v>930</v>
      </c>
      <c r="CX7" s="74">
        <f>VLOOKUP($H$7&amp;$F$1,'Input RM sheet'!$A:$ZZ,CW1,0)</f>
        <v>930</v>
      </c>
      <c r="CY7" s="74">
        <f>VLOOKUP($H$7&amp;$F$1,'Input RM sheet'!$A:$ZZ,CX1,0)</f>
        <v>970</v>
      </c>
      <c r="CZ7" s="74">
        <f>VLOOKUP($H$7&amp;$F$1,'Input RM sheet'!$A:$ZZ,CY1,0)</f>
        <v>1015</v>
      </c>
      <c r="DA7" s="74">
        <f>VLOOKUP($H$7&amp;$F$1,'Input RM sheet'!$A:$ZZ,CZ1,0)</f>
        <v>1015</v>
      </c>
      <c r="DB7" s="74">
        <f>VLOOKUP($H$7&amp;$F$1,'Input RM sheet'!$A:$ZZ,DA1,0)</f>
        <v>1010</v>
      </c>
      <c r="DC7" s="74">
        <f>VLOOKUP($H$7&amp;$F$1,'Input RM sheet'!$A:$ZZ,DB1,0)</f>
        <v>1090</v>
      </c>
      <c r="DD7" s="74">
        <f>VLOOKUP($H$7&amp;$F$1,'Input RM sheet'!$A:$ZZ,DC1,0)</f>
        <v>1090</v>
      </c>
      <c r="DE7" s="74">
        <f>VLOOKUP($H$7&amp;$F$1,'Input RM sheet'!$A:$ZZ,DD1,0)</f>
        <v>1090</v>
      </c>
      <c r="DF7" s="74">
        <f>VLOOKUP($H$7&amp;$F$1,'Input RM sheet'!$A:$ZZ,DE1,0)</f>
        <v>1025</v>
      </c>
      <c r="DG7" s="74">
        <f>VLOOKUP($H$7&amp;$F$1,'Input RM sheet'!$A:$ZZ,DF1,0)</f>
        <v>1025</v>
      </c>
      <c r="DH7" s="74">
        <f>VLOOKUP($H$7&amp;$F$1,'Input RM sheet'!$A:$ZZ,DG1,0)</f>
        <v>985</v>
      </c>
      <c r="DI7" s="74">
        <f>VLOOKUP($H$7&amp;$F$1,'Input RM sheet'!$A:$ZZ,DH1,0)</f>
        <v>955</v>
      </c>
      <c r="DJ7" s="74">
        <f>VLOOKUP($H$7&amp;$F$1,'Input RM sheet'!$A:$ZZ,DI1,0)</f>
        <v>905</v>
      </c>
      <c r="DK7" s="74">
        <f>VLOOKUP($H$7&amp;$F$1,'Input RM sheet'!$A:$ZZ,DJ1,0)</f>
        <v>895</v>
      </c>
      <c r="DL7" s="74">
        <f>VLOOKUP($H$7&amp;$F$1,'Input RM sheet'!$A:$ZZ,DK1,0)</f>
        <v>895</v>
      </c>
      <c r="DM7" s="74">
        <f>VLOOKUP($H$7&amp;$F$1,'Input RM sheet'!$A:$ZZ,DL1,0)</f>
        <v>900</v>
      </c>
      <c r="DN7" s="74">
        <f>VLOOKUP($H$7&amp;$F$1,'Input RM sheet'!$A:$ZZ,DM1,0)</f>
        <v>910</v>
      </c>
      <c r="DO7" s="74">
        <f>VLOOKUP($H$7&amp;$F$1,'Input RM sheet'!$A:$ZZ,DN1,0)</f>
        <v>895</v>
      </c>
      <c r="DP7" s="74">
        <f>VLOOKUP($H$7&amp;$F$1,'Input RM sheet'!$A:$ZZ,DO1,0)</f>
        <v>895</v>
      </c>
      <c r="DQ7" s="74">
        <f>VLOOKUP($H$7&amp;$F$1,'Input RM sheet'!$A:$ZZ,DP1,0)</f>
        <v>900</v>
      </c>
      <c r="DR7" s="74">
        <f>VLOOKUP($H$7&amp;$F$1,'Input RM sheet'!$A:$ZZ,DQ1,0)</f>
        <v>900</v>
      </c>
      <c r="DS7" s="74">
        <f>VLOOKUP($H$7&amp;$F$1,'Input RM sheet'!$A:$ZZ,DR1,0)</f>
        <v>900</v>
      </c>
      <c r="DT7" s="74">
        <f>VLOOKUP($H$7&amp;$F$1,'Input RM sheet'!$A:$ZZ,DS1,0)</f>
        <v>0</v>
      </c>
      <c r="DU7" s="74">
        <f>VLOOKUP($H$7&amp;$F$1,'Input RM sheet'!$A:$ZZ,DT1,0)</f>
        <v>0</v>
      </c>
      <c r="DV7" s="74">
        <f>VLOOKUP($H$7&amp;$F$1,'Input RM sheet'!$A:$ZZ,DU1,0)</f>
        <v>0</v>
      </c>
      <c r="DW7" s="74">
        <f>VLOOKUP($H$7&amp;$F$1,'Input RM sheet'!$A:$ZZ,DV1,0)</f>
        <v>0</v>
      </c>
      <c r="DX7" s="74">
        <f>VLOOKUP($H$7&amp;$F$1,'Input RM sheet'!$A:$ZZ,DW1,0)</f>
        <v>0</v>
      </c>
      <c r="DY7" s="74">
        <f>VLOOKUP($H$7&amp;$F$1,'Input RM sheet'!$A:$ZZ,DX1,0)</f>
        <v>0</v>
      </c>
      <c r="DZ7" s="74">
        <f>VLOOKUP($H$7&amp;$F$1,'Input RM sheet'!$A:$ZZ,DY1,0)</f>
        <v>0</v>
      </c>
      <c r="EA7" s="74">
        <f>VLOOKUP($H$7&amp;$F$1,'Input RM sheet'!$A:$ZZ,DZ1,0)</f>
        <v>0</v>
      </c>
      <c r="EB7" s="74">
        <f>VLOOKUP($H$7&amp;$F$1,'Input RM sheet'!$A:$ZZ,EA1,0)</f>
        <v>0</v>
      </c>
      <c r="EC7" s="74">
        <f>VLOOKUP($H$7&amp;$F$1,'Input RM sheet'!$A:$ZZ,EB1,0)</f>
        <v>0</v>
      </c>
      <c r="ED7" s="74">
        <f>VLOOKUP($H$7&amp;$F$1,'Input RM sheet'!$A:$ZZ,EC1,0)</f>
        <v>0</v>
      </c>
      <c r="EE7" s="74">
        <f>VLOOKUP($H$7&amp;$F$1,'Input RM sheet'!$A:$ZZ,ED1,0)</f>
        <v>0</v>
      </c>
      <c r="EF7" s="74">
        <f>VLOOKUP($H$7&amp;$F$1,'Input RM sheet'!$A:$ZZ,EE1,0)</f>
        <v>0</v>
      </c>
      <c r="EG7" s="74">
        <f>VLOOKUP($H$7&amp;$F$1,'Input RM sheet'!$A:$ZZ,EF1,0)</f>
        <v>0</v>
      </c>
      <c r="EH7" s="74">
        <f>VLOOKUP($H$7&amp;$F$1,'Input RM sheet'!$A:$ZZ,EG1,0)</f>
        <v>0</v>
      </c>
      <c r="EI7" s="74">
        <f>VLOOKUP($H$7&amp;$F$1,'Input RM sheet'!$A:$ZZ,EH1,0)</f>
        <v>0</v>
      </c>
      <c r="EJ7" s="74">
        <f>VLOOKUP($H$7&amp;$F$1,'Input RM sheet'!$A:$ZZ,EI1,0)</f>
        <v>0</v>
      </c>
      <c r="EK7" s="74">
        <f>VLOOKUP($H$7&amp;$F$1,'Input RM sheet'!$A:$ZZ,EJ1,0)</f>
        <v>0</v>
      </c>
      <c r="EL7" s="74">
        <f>VLOOKUP($H$7&amp;$F$1,'Input RM sheet'!$A:$ZZ,EK1,0)</f>
        <v>0</v>
      </c>
      <c r="EM7" s="74">
        <f>VLOOKUP($H$7&amp;$F$1,'Input RM sheet'!$A:$ZZ,EL1,0)</f>
        <v>0</v>
      </c>
      <c r="EN7" s="74">
        <f>VLOOKUP($H$7&amp;$F$1,'Input RM sheet'!$A:$ZZ,EM1,0)</f>
        <v>0</v>
      </c>
      <c r="EO7" s="74">
        <f>VLOOKUP($H$7&amp;$F$1,'Input RM sheet'!$A:$ZZ,EN1,0)</f>
        <v>0</v>
      </c>
      <c r="EP7" s="74">
        <f>VLOOKUP($H$7&amp;$F$1,'Input RM sheet'!$A:$ZZ,EO1,0)</f>
        <v>0</v>
      </c>
      <c r="EQ7" s="74">
        <f>VLOOKUP($H$7&amp;$F$1,'Input RM sheet'!$A:$ZZ,EP1,0)</f>
        <v>0</v>
      </c>
      <c r="ER7" s="74">
        <f>VLOOKUP($H$7&amp;$F$1,'Input RM sheet'!$A:$ZZ,EQ1,0)</f>
        <v>0</v>
      </c>
      <c r="ES7" s="74">
        <f>VLOOKUP($H$7&amp;$F$1,'Input RM sheet'!$A:$ZZ,ER1,0)</f>
        <v>0</v>
      </c>
      <c r="ET7" s="74">
        <f>VLOOKUP($H$7&amp;$F$1,'Input RM sheet'!$A:$ZZ,ES1,0)</f>
        <v>0</v>
      </c>
      <c r="EU7" s="74">
        <f>VLOOKUP($H$7&amp;$F$1,'Input RM sheet'!$A:$ZZ,ET1,0)</f>
        <v>0</v>
      </c>
      <c r="EV7" s="74">
        <f>VLOOKUP($H$7&amp;$F$1,'Input RM sheet'!$A:$ZZ,EU1,0)</f>
        <v>0</v>
      </c>
      <c r="EW7" s="74">
        <f>VLOOKUP($H$7&amp;$F$1,'Input RM sheet'!$A:$ZZ,EV1,0)</f>
        <v>0</v>
      </c>
      <c r="EX7" s="74">
        <f>VLOOKUP($H$7&amp;$F$1,'Input RM sheet'!$A:$ZZ,EW1,0)</f>
        <v>0</v>
      </c>
      <c r="EY7" s="74">
        <f>VLOOKUP($H$7&amp;$F$1,'Input RM sheet'!$A:$ZZ,EX1,0)</f>
        <v>0</v>
      </c>
      <c r="EZ7" s="74">
        <f>VLOOKUP($H$7&amp;$F$1,'Input RM sheet'!$A:$ZZ,EY1,0)</f>
        <v>0</v>
      </c>
      <c r="FA7" s="74">
        <f>VLOOKUP($H$7&amp;$F$1,'Input RM sheet'!$A:$ZZ,EZ1,0)</f>
        <v>0</v>
      </c>
      <c r="FB7" s="74">
        <f>VLOOKUP($H$7&amp;$F$1,'Input RM sheet'!$A:$ZZ,FA1,0)</f>
        <v>0</v>
      </c>
      <c r="FC7" s="74">
        <f>VLOOKUP($H$7&amp;$F$1,'Input RM sheet'!$A:$ZZ,FB1,0)</f>
        <v>0</v>
      </c>
      <c r="FD7" s="74">
        <f>VLOOKUP($H$7&amp;$F$1,'Input RM sheet'!$A:$ZZ,FC1,0)</f>
        <v>0</v>
      </c>
      <c r="FE7" s="74">
        <f>VLOOKUP($H$7&amp;$F$1,'Input RM sheet'!$A:$ZZ,FD1,0)</f>
        <v>0</v>
      </c>
      <c r="FF7" s="74">
        <f>VLOOKUP($H$7&amp;$F$1,'Input RM sheet'!$A:$ZZ,FE1,0)</f>
        <v>0</v>
      </c>
      <c r="FG7" s="74">
        <f>VLOOKUP($H$7&amp;$F$1,'Input RM sheet'!$A:$ZZ,FF1,0)</f>
        <v>0</v>
      </c>
      <c r="FH7" s="74">
        <f>VLOOKUP($H$7&amp;$F$1,'Input RM sheet'!$A:$ZZ,FG1,0)</f>
        <v>0</v>
      </c>
      <c r="FI7" s="74">
        <f>VLOOKUP($H$7&amp;$F$1,'Input RM sheet'!$A:$ZZ,FH1,0)</f>
        <v>0</v>
      </c>
      <c r="FJ7" s="74">
        <f>VLOOKUP($H$7&amp;$F$1,'Input RM sheet'!$A:$ZZ,FI1,0)</f>
        <v>0</v>
      </c>
      <c r="FK7" s="74">
        <f>VLOOKUP($H$7&amp;$F$1,'Input RM sheet'!$A:$ZZ,FJ1,0)</f>
        <v>0</v>
      </c>
      <c r="FL7" s="74">
        <f>VLOOKUP($H$7&amp;$F$1,'Input RM sheet'!$A:$ZZ,FK1,0)</f>
        <v>0</v>
      </c>
      <c r="FM7" s="74">
        <f>VLOOKUP($H$7&amp;$F$1,'Input RM sheet'!$A:$ZZ,FL1,0)</f>
        <v>0</v>
      </c>
      <c r="FN7" s="74">
        <f>VLOOKUP($H$7&amp;$F$1,'Input RM sheet'!$A:$ZZ,FM1,0)</f>
        <v>0</v>
      </c>
      <c r="FO7" s="74">
        <f>VLOOKUP($H$7&amp;$F$1,'Input RM sheet'!$A:$ZZ,FN1,0)</f>
        <v>0</v>
      </c>
      <c r="FP7" s="74">
        <f>VLOOKUP($H$7&amp;$F$1,'Input RM sheet'!$A:$ZZ,FO1,0)</f>
        <v>0</v>
      </c>
      <c r="FQ7" s="74">
        <f>VLOOKUP($H$7&amp;$F$1,'Input RM sheet'!$A:$ZZ,FP1,0)</f>
        <v>0</v>
      </c>
    </row>
    <row r="8" spans="1:173">
      <c r="B8" s="44"/>
      <c r="D8" s="44"/>
      <c r="H8" s="60" t="s">
        <v>789</v>
      </c>
      <c r="I8" s="74"/>
      <c r="J8" s="74"/>
      <c r="K8" s="74"/>
      <c r="L8" s="74"/>
      <c r="M8" s="74"/>
      <c r="N8" s="74"/>
      <c r="O8" s="74"/>
      <c r="P8" s="74"/>
      <c r="Q8" s="74"/>
      <c r="R8" s="74"/>
      <c r="S8" s="74"/>
      <c r="T8" s="74"/>
      <c r="U8" s="74"/>
      <c r="V8" s="74"/>
      <c r="W8" s="74"/>
      <c r="X8" s="74"/>
      <c r="Y8" s="74"/>
      <c r="Z8" s="74"/>
      <c r="AA8" s="74"/>
      <c r="AB8" s="74"/>
      <c r="AC8" s="74"/>
      <c r="AD8" s="74"/>
      <c r="AE8" s="74"/>
      <c r="AF8" s="74"/>
      <c r="AG8" s="74"/>
      <c r="AH8" s="74"/>
      <c r="AI8" s="74"/>
      <c r="AJ8" s="74"/>
      <c r="AK8" s="74"/>
      <c r="AL8" s="74"/>
      <c r="AM8" s="74"/>
      <c r="AN8" s="74"/>
      <c r="AO8" s="74"/>
      <c r="AP8" s="74"/>
      <c r="AQ8" s="74"/>
      <c r="AR8" s="74"/>
      <c r="AS8" s="74"/>
      <c r="AT8" s="74"/>
      <c r="AU8" s="74"/>
      <c r="AV8" s="74"/>
      <c r="AW8" s="74"/>
      <c r="AX8" s="74"/>
      <c r="AY8" s="74"/>
      <c r="AZ8" s="74"/>
      <c r="BA8" s="74"/>
      <c r="BB8" s="74"/>
      <c r="BC8" s="74"/>
      <c r="BD8" s="74"/>
      <c r="BE8" s="74"/>
      <c r="BF8" s="74"/>
      <c r="BG8" s="74"/>
      <c r="BH8" s="74"/>
      <c r="BI8" s="74"/>
      <c r="BJ8" s="74"/>
      <c r="BK8" s="74"/>
      <c r="BL8" s="74"/>
      <c r="BM8" s="74"/>
      <c r="BN8" s="74"/>
      <c r="BO8" s="74"/>
      <c r="BP8" s="74"/>
      <c r="BQ8" s="74"/>
      <c r="BR8" s="74"/>
      <c r="BS8" s="74"/>
      <c r="BT8" s="74"/>
      <c r="BU8" s="74"/>
      <c r="BV8" s="74"/>
      <c r="BW8" s="74"/>
    </row>
    <row r="9" spans="1:173" ht="26">
      <c r="A9" s="59" t="s">
        <v>395</v>
      </c>
      <c r="B9" s="59"/>
      <c r="C9" s="59" t="s">
        <v>379</v>
      </c>
      <c r="D9" s="98" t="s">
        <v>380</v>
      </c>
      <c r="E9" s="98" t="s">
        <v>381</v>
      </c>
      <c r="F9" s="59" t="s">
        <v>396</v>
      </c>
      <c r="H9" s="60" t="s">
        <v>399</v>
      </c>
      <c r="I9" s="84"/>
      <c r="J9" s="84"/>
      <c r="K9" s="84"/>
      <c r="L9" s="84"/>
      <c r="M9" s="84"/>
      <c r="N9" s="84"/>
      <c r="O9" s="84"/>
      <c r="P9" s="84"/>
      <c r="Q9" s="84"/>
      <c r="R9" s="84"/>
      <c r="S9" s="84"/>
      <c r="T9" s="84"/>
      <c r="U9" s="84"/>
      <c r="V9" s="84"/>
      <c r="W9" s="84"/>
      <c r="X9" s="84"/>
      <c r="Y9" s="84"/>
      <c r="Z9" s="84"/>
      <c r="AA9" s="84"/>
      <c r="AB9" s="84"/>
      <c r="AC9" s="84"/>
      <c r="AD9" s="84"/>
      <c r="AE9" s="84"/>
      <c r="AF9" s="84"/>
      <c r="AG9" s="84"/>
      <c r="AH9" s="84"/>
      <c r="AI9" s="84"/>
      <c r="AJ9" s="84"/>
      <c r="AK9" s="84"/>
      <c r="AL9" s="84"/>
      <c r="AM9" s="84"/>
      <c r="AN9" s="84"/>
      <c r="AO9" s="84"/>
      <c r="AP9" s="84"/>
      <c r="AQ9" s="84"/>
      <c r="AR9" s="84"/>
      <c r="AS9" s="84"/>
      <c r="AT9" s="84"/>
      <c r="AU9" s="84"/>
    </row>
    <row r="10" spans="1:173" ht="13">
      <c r="A10" s="107" t="s">
        <v>397</v>
      </c>
      <c r="B10" s="178" t="s">
        <v>301</v>
      </c>
      <c r="C10" s="60">
        <v>1</v>
      </c>
      <c r="D10" s="107">
        <v>94.11</v>
      </c>
      <c r="E10" s="60">
        <f>D10*C10</f>
        <v>94.11</v>
      </c>
      <c r="F10" s="65">
        <f>(E10/E2)</f>
        <v>0.35860964172568549</v>
      </c>
      <c r="I10" s="74">
        <f>$F$10*(I7/1000)</f>
        <v>0.31019734009271793</v>
      </c>
      <c r="J10" s="74">
        <f t="shared" ref="J10:BU10" si="0">$F$10*(J7/1000)</f>
        <v>0.32992087038763068</v>
      </c>
      <c r="K10" s="74">
        <f t="shared" si="0"/>
        <v>0.28509466517192</v>
      </c>
      <c r="L10" s="74">
        <f t="shared" si="0"/>
        <v>0.23847541174758086</v>
      </c>
      <c r="M10" s="74">
        <f t="shared" si="0"/>
        <v>0.25102674920797985</v>
      </c>
      <c r="N10" s="74">
        <f t="shared" si="0"/>
        <v>0.30123209904957582</v>
      </c>
      <c r="O10" s="74">
        <f t="shared" si="0"/>
        <v>0.22592407428718186</v>
      </c>
      <c r="P10" s="74">
        <f t="shared" si="0"/>
        <v>0.22413102607855342</v>
      </c>
      <c r="Q10" s="74">
        <f t="shared" si="0"/>
        <v>0.22413102607855342</v>
      </c>
      <c r="R10" s="74">
        <f t="shared" si="0"/>
        <v>0.23130321891306715</v>
      </c>
      <c r="S10" s="74">
        <f t="shared" si="0"/>
        <v>0.26895723129426413</v>
      </c>
      <c r="T10" s="74">
        <f t="shared" si="0"/>
        <v>0.30481819546683264</v>
      </c>
      <c r="U10" s="74">
        <f t="shared" si="0"/>
        <v>0.31378343650997481</v>
      </c>
      <c r="V10" s="74">
        <f t="shared" si="0"/>
        <v>0.33171391859625909</v>
      </c>
      <c r="W10" s="74">
        <f t="shared" si="0"/>
        <v>0.41240108798453828</v>
      </c>
      <c r="X10" s="74">
        <f t="shared" si="0"/>
        <v>0.43033157007082257</v>
      </c>
      <c r="Y10" s="74">
        <f t="shared" si="0"/>
        <v>0.46619253424339113</v>
      </c>
      <c r="Z10" s="74">
        <f t="shared" si="0"/>
        <v>0.41240108798453828</v>
      </c>
      <c r="AA10" s="74">
        <f t="shared" si="0"/>
        <v>0.44108985932259315</v>
      </c>
      <c r="AB10" s="74">
        <f t="shared" si="0"/>
        <v>0.43571071469670791</v>
      </c>
      <c r="AC10" s="74">
        <f t="shared" si="0"/>
        <v>0.51101873945910181</v>
      </c>
      <c r="AD10" s="74">
        <f t="shared" si="0"/>
        <v>0.49308825737281753</v>
      </c>
      <c r="AE10" s="74">
        <f t="shared" si="0"/>
        <v>0.44826205215710685</v>
      </c>
      <c r="AF10" s="74">
        <f t="shared" si="0"/>
        <v>0.43929681111396474</v>
      </c>
      <c r="AG10" s="74">
        <f t="shared" si="0"/>
        <v>0.52894922154538615</v>
      </c>
      <c r="AH10" s="74">
        <f t="shared" si="0"/>
        <v>0.5361214143798998</v>
      </c>
      <c r="AI10" s="74">
        <f t="shared" si="0"/>
        <v>0.55763799288344096</v>
      </c>
      <c r="AJ10" s="74">
        <f t="shared" si="0"/>
        <v>0.52177702871087239</v>
      </c>
      <c r="AK10" s="74">
        <f t="shared" si="0"/>
        <v>0.51101873945910181</v>
      </c>
      <c r="AL10" s="74">
        <f t="shared" si="0"/>
        <v>0.52894922154538615</v>
      </c>
      <c r="AM10" s="74">
        <f t="shared" si="0"/>
        <v>0.43929681111396474</v>
      </c>
      <c r="AN10" s="74">
        <f t="shared" si="0"/>
        <v>0.42315937723630886</v>
      </c>
      <c r="AO10" s="74">
        <f t="shared" si="0"/>
        <v>0.44467595573985003</v>
      </c>
      <c r="AP10" s="74">
        <f t="shared" si="0"/>
        <v>0.42674547365356569</v>
      </c>
      <c r="AQ10" s="74">
        <f t="shared" si="0"/>
        <v>0.38550536485511189</v>
      </c>
      <c r="AR10" s="74">
        <f t="shared" si="0"/>
        <v>0.34247220784802962</v>
      </c>
      <c r="AS10" s="74">
        <f t="shared" si="0"/>
        <v>0.3263347739703738</v>
      </c>
      <c r="AT10" s="74">
        <f t="shared" si="0"/>
        <v>0.35860964172568549</v>
      </c>
      <c r="AU10" s="74">
        <f t="shared" si="0"/>
        <v>0.33709306322214433</v>
      </c>
      <c r="AV10" s="74">
        <f t="shared" si="0"/>
        <v>0.32274867755311692</v>
      </c>
      <c r="AW10" s="74">
        <f t="shared" si="0"/>
        <v>0.31557648471860322</v>
      </c>
      <c r="AX10" s="74">
        <f t="shared" si="0"/>
        <v>0.25999199025112196</v>
      </c>
      <c r="AY10" s="74">
        <f t="shared" si="0"/>
        <v>0.25999199025112196</v>
      </c>
      <c r="AZ10" s="74">
        <f t="shared" si="0"/>
        <v>0.25999199025112196</v>
      </c>
      <c r="BA10" s="74">
        <f t="shared" si="0"/>
        <v>0.25999199025112196</v>
      </c>
      <c r="BB10" s="74">
        <f t="shared" si="0"/>
        <v>0.29585295442369053</v>
      </c>
      <c r="BC10" s="74">
        <f t="shared" si="0"/>
        <v>0.29585295442369053</v>
      </c>
      <c r="BD10" s="74">
        <f t="shared" si="0"/>
        <v>0.35037596435166374</v>
      </c>
      <c r="BE10" s="74">
        <f t="shared" si="0"/>
        <v>0.33171391859625909</v>
      </c>
      <c r="BF10" s="74">
        <f t="shared" si="0"/>
        <v>0.33171391859625909</v>
      </c>
      <c r="BG10" s="74">
        <f t="shared" si="0"/>
        <v>0.33171391859625909</v>
      </c>
      <c r="BH10" s="74">
        <f t="shared" si="0"/>
        <v>0.37654012381196977</v>
      </c>
      <c r="BI10" s="74">
        <f t="shared" si="0"/>
        <v>0.37654012381196977</v>
      </c>
      <c r="BJ10" s="74">
        <f t="shared" si="0"/>
        <v>0.37654012381196977</v>
      </c>
      <c r="BK10" s="74">
        <f t="shared" si="0"/>
        <v>0.38550536485511189</v>
      </c>
      <c r="BL10" s="74">
        <f t="shared" si="0"/>
        <v>0.38550536485511189</v>
      </c>
      <c r="BM10" s="74">
        <f t="shared" si="0"/>
        <v>0.38550536485511189</v>
      </c>
      <c r="BN10" s="74">
        <f t="shared" si="0"/>
        <v>0.34964440068254332</v>
      </c>
      <c r="BO10" s="74">
        <f t="shared" si="0"/>
        <v>0.33171391859625909</v>
      </c>
      <c r="BP10" s="74">
        <f t="shared" si="0"/>
        <v>0.33171391859625909</v>
      </c>
      <c r="BQ10" s="74">
        <f t="shared" si="0"/>
        <v>0.33171391859625909</v>
      </c>
      <c r="BR10" s="74">
        <f t="shared" si="0"/>
        <v>0.33171391859625909</v>
      </c>
      <c r="BS10" s="74">
        <f t="shared" si="0"/>
        <v>0.33171391859625909</v>
      </c>
      <c r="BT10" s="74">
        <f t="shared" si="0"/>
        <v>0.33171391859625909</v>
      </c>
      <c r="BU10" s="74">
        <f t="shared" si="0"/>
        <v>0.32454172576174539</v>
      </c>
      <c r="BV10" s="74">
        <f t="shared" ref="BV10:CK10" si="1">$F$10*(BV7/1000)</f>
        <v>0.32454172576174539</v>
      </c>
      <c r="BW10" s="74">
        <f t="shared" si="1"/>
        <v>0.32454172576174539</v>
      </c>
      <c r="BX10" s="74">
        <f t="shared" si="1"/>
        <v>0.32454172576174539</v>
      </c>
      <c r="BY10" s="74">
        <f t="shared" si="1"/>
        <v>0.32454172576174539</v>
      </c>
      <c r="BZ10" s="74">
        <f t="shared" si="1"/>
        <v>0.31019734009271793</v>
      </c>
      <c r="CA10" s="74">
        <f t="shared" si="1"/>
        <v>0.31019734009271793</v>
      </c>
      <c r="CB10" s="74">
        <f t="shared" si="1"/>
        <v>0.31019734009271793</v>
      </c>
      <c r="CC10" s="74">
        <f t="shared" si="1"/>
        <v>0.33709306322214433</v>
      </c>
      <c r="CD10" s="74">
        <f t="shared" si="1"/>
        <v>0.33709306322214433</v>
      </c>
      <c r="CE10" s="74">
        <f t="shared" si="1"/>
        <v>0.33709306322214433</v>
      </c>
      <c r="CF10" s="74">
        <f t="shared" si="1"/>
        <v>0.33709306322214433</v>
      </c>
      <c r="CG10" s="74">
        <f t="shared" si="1"/>
        <v>0.33709306322214433</v>
      </c>
      <c r="CH10" s="74">
        <f t="shared" si="1"/>
        <v>0.3263347739703738</v>
      </c>
      <c r="CI10" s="74">
        <f t="shared" si="1"/>
        <v>0.3263347739703738</v>
      </c>
      <c r="CJ10" s="74">
        <f t="shared" si="1"/>
        <v>0.3263347739703738</v>
      </c>
      <c r="CK10" s="74">
        <f t="shared" si="1"/>
        <v>0.3263347739703738</v>
      </c>
      <c r="CL10" s="74">
        <f t="shared" ref="CL10:CT10" si="2">$F$10*(CL7/1000)</f>
        <v>0.3388861114307728</v>
      </c>
      <c r="CM10" s="74">
        <f t="shared" si="2"/>
        <v>0.3388861114307728</v>
      </c>
      <c r="CN10" s="74">
        <f t="shared" si="2"/>
        <v>0.3388861114307728</v>
      </c>
      <c r="CO10" s="74">
        <f t="shared" si="2"/>
        <v>0.3388861114307728</v>
      </c>
      <c r="CP10" s="74">
        <f t="shared" si="2"/>
        <v>0.3388861114307728</v>
      </c>
      <c r="CQ10" s="74">
        <f t="shared" si="2"/>
        <v>0.3388861114307728</v>
      </c>
      <c r="CR10" s="74">
        <f t="shared" si="2"/>
        <v>0.3263347739703738</v>
      </c>
      <c r="CS10" s="74">
        <f t="shared" si="2"/>
        <v>0.3263347739703738</v>
      </c>
      <c r="CT10" s="74">
        <f t="shared" si="2"/>
        <v>0.3263347739703738</v>
      </c>
      <c r="CU10" s="74">
        <f>$F$10*(CU7/1000)</f>
        <v>0.33350696680488751</v>
      </c>
      <c r="CV10" s="74">
        <f t="shared" ref="CV10:FG10" si="3">$F$10*(CV7/1000)</f>
        <v>0.33350696680488751</v>
      </c>
      <c r="CW10" s="74">
        <f t="shared" si="3"/>
        <v>0.33350696680488751</v>
      </c>
      <c r="CX10" s="74">
        <f t="shared" si="3"/>
        <v>0.33350696680488751</v>
      </c>
      <c r="CY10" s="74">
        <f t="shared" si="3"/>
        <v>0.34785135247391491</v>
      </c>
      <c r="CZ10" s="74">
        <f t="shared" si="3"/>
        <v>0.36398878635157073</v>
      </c>
      <c r="DA10" s="74">
        <f t="shared" si="3"/>
        <v>0.36398878635157073</v>
      </c>
      <c r="DB10" s="74">
        <f t="shared" si="3"/>
        <v>0.36219573814294237</v>
      </c>
      <c r="DC10" s="74">
        <f t="shared" si="3"/>
        <v>0.39088450948099723</v>
      </c>
      <c r="DD10" s="74">
        <f t="shared" si="3"/>
        <v>0.39088450948099723</v>
      </c>
      <c r="DE10" s="74">
        <f t="shared" si="3"/>
        <v>0.39088450948099723</v>
      </c>
      <c r="DF10" s="74">
        <f t="shared" si="3"/>
        <v>0.3675748827688276</v>
      </c>
      <c r="DG10" s="74">
        <f t="shared" si="3"/>
        <v>0.3675748827688276</v>
      </c>
      <c r="DH10" s="74">
        <f t="shared" si="3"/>
        <v>0.3532304970998002</v>
      </c>
      <c r="DI10" s="74">
        <f t="shared" si="3"/>
        <v>0.34247220784802962</v>
      </c>
      <c r="DJ10" s="74">
        <f t="shared" si="3"/>
        <v>0.32454172576174539</v>
      </c>
      <c r="DK10" s="74">
        <f t="shared" si="3"/>
        <v>0.32095562934448851</v>
      </c>
      <c r="DL10" s="74">
        <f t="shared" si="3"/>
        <v>0.32095562934448851</v>
      </c>
      <c r="DM10" s="74">
        <f t="shared" si="3"/>
        <v>0.32274867755311692</v>
      </c>
      <c r="DN10" s="74">
        <f t="shared" si="3"/>
        <v>0.3263347739703738</v>
      </c>
      <c r="DO10" s="74">
        <f t="shared" si="3"/>
        <v>0.32095562934448851</v>
      </c>
      <c r="DP10" s="74">
        <f t="shared" si="3"/>
        <v>0.32095562934448851</v>
      </c>
      <c r="DQ10" s="74">
        <f t="shared" si="3"/>
        <v>0.32274867755311692</v>
      </c>
      <c r="DR10" s="74">
        <f t="shared" si="3"/>
        <v>0.32274867755311692</v>
      </c>
      <c r="DS10" s="74">
        <f t="shared" si="3"/>
        <v>0.32274867755311692</v>
      </c>
      <c r="DT10" s="74">
        <f t="shared" si="3"/>
        <v>0</v>
      </c>
      <c r="DU10" s="74">
        <f t="shared" si="3"/>
        <v>0</v>
      </c>
      <c r="DV10" s="74">
        <f t="shared" si="3"/>
        <v>0</v>
      </c>
      <c r="DW10" s="74">
        <f t="shared" si="3"/>
        <v>0</v>
      </c>
      <c r="DX10" s="74">
        <f t="shared" si="3"/>
        <v>0</v>
      </c>
      <c r="DY10" s="74">
        <f t="shared" si="3"/>
        <v>0</v>
      </c>
      <c r="DZ10" s="74">
        <f t="shared" si="3"/>
        <v>0</v>
      </c>
      <c r="EA10" s="74">
        <f t="shared" si="3"/>
        <v>0</v>
      </c>
      <c r="EB10" s="74">
        <f t="shared" si="3"/>
        <v>0</v>
      </c>
      <c r="EC10" s="74">
        <f t="shared" si="3"/>
        <v>0</v>
      </c>
      <c r="ED10" s="74">
        <f t="shared" si="3"/>
        <v>0</v>
      </c>
      <c r="EE10" s="74">
        <f t="shared" si="3"/>
        <v>0</v>
      </c>
      <c r="EF10" s="74">
        <f t="shared" si="3"/>
        <v>0</v>
      </c>
      <c r="EG10" s="74">
        <f t="shared" si="3"/>
        <v>0</v>
      </c>
      <c r="EH10" s="74">
        <f t="shared" si="3"/>
        <v>0</v>
      </c>
      <c r="EI10" s="74">
        <f t="shared" si="3"/>
        <v>0</v>
      </c>
      <c r="EJ10" s="74">
        <f t="shared" si="3"/>
        <v>0</v>
      </c>
      <c r="EK10" s="74">
        <f t="shared" si="3"/>
        <v>0</v>
      </c>
      <c r="EL10" s="74">
        <f t="shared" si="3"/>
        <v>0</v>
      </c>
      <c r="EM10" s="74">
        <f t="shared" si="3"/>
        <v>0</v>
      </c>
      <c r="EN10" s="74">
        <f t="shared" si="3"/>
        <v>0</v>
      </c>
      <c r="EO10" s="74">
        <f t="shared" si="3"/>
        <v>0</v>
      </c>
      <c r="EP10" s="74">
        <f t="shared" si="3"/>
        <v>0</v>
      </c>
      <c r="EQ10" s="74">
        <f t="shared" si="3"/>
        <v>0</v>
      </c>
      <c r="ER10" s="74">
        <f t="shared" si="3"/>
        <v>0</v>
      </c>
      <c r="ES10" s="74">
        <f t="shared" si="3"/>
        <v>0</v>
      </c>
      <c r="ET10" s="74">
        <f t="shared" si="3"/>
        <v>0</v>
      </c>
      <c r="EU10" s="74">
        <f t="shared" si="3"/>
        <v>0</v>
      </c>
      <c r="EV10" s="74">
        <f t="shared" si="3"/>
        <v>0</v>
      </c>
      <c r="EW10" s="74">
        <f t="shared" si="3"/>
        <v>0</v>
      </c>
      <c r="EX10" s="74">
        <f t="shared" si="3"/>
        <v>0</v>
      </c>
      <c r="EY10" s="74">
        <f t="shared" si="3"/>
        <v>0</v>
      </c>
      <c r="EZ10" s="74">
        <f t="shared" si="3"/>
        <v>0</v>
      </c>
      <c r="FA10" s="74">
        <f t="shared" si="3"/>
        <v>0</v>
      </c>
      <c r="FB10" s="74">
        <f t="shared" si="3"/>
        <v>0</v>
      </c>
      <c r="FC10" s="74">
        <f t="shared" si="3"/>
        <v>0</v>
      </c>
      <c r="FD10" s="74">
        <f t="shared" si="3"/>
        <v>0</v>
      </c>
      <c r="FE10" s="74">
        <f t="shared" si="3"/>
        <v>0</v>
      </c>
      <c r="FF10" s="74">
        <f t="shared" si="3"/>
        <v>0</v>
      </c>
      <c r="FG10" s="74">
        <f t="shared" si="3"/>
        <v>0</v>
      </c>
      <c r="FH10" s="74">
        <f t="shared" ref="FH10:FQ10" si="4">$F$10*(FH7/1000)</f>
        <v>0</v>
      </c>
      <c r="FI10" s="74">
        <f t="shared" si="4"/>
        <v>0</v>
      </c>
      <c r="FJ10" s="74">
        <f t="shared" si="4"/>
        <v>0</v>
      </c>
      <c r="FK10" s="74">
        <f t="shared" si="4"/>
        <v>0</v>
      </c>
      <c r="FL10" s="74">
        <f t="shared" si="4"/>
        <v>0</v>
      </c>
      <c r="FM10" s="74">
        <f t="shared" si="4"/>
        <v>0</v>
      </c>
      <c r="FN10" s="74">
        <f t="shared" si="4"/>
        <v>0</v>
      </c>
      <c r="FO10" s="74">
        <f t="shared" si="4"/>
        <v>0</v>
      </c>
      <c r="FP10" s="74">
        <f t="shared" si="4"/>
        <v>0</v>
      </c>
      <c r="FQ10" s="74">
        <f t="shared" si="4"/>
        <v>0</v>
      </c>
    </row>
    <row r="11" spans="1:173">
      <c r="A11" s="67"/>
      <c r="D11" s="65"/>
      <c r="F11" s="65"/>
      <c r="I11" s="74"/>
      <c r="J11" s="74"/>
      <c r="K11" s="74"/>
      <c r="L11" s="74"/>
      <c r="M11" s="74"/>
      <c r="N11" s="74"/>
      <c r="O11" s="74"/>
      <c r="P11" s="74"/>
      <c r="Q11" s="74"/>
      <c r="R11" s="74"/>
      <c r="S11" s="74"/>
      <c r="T11" s="74"/>
      <c r="U11" s="74"/>
      <c r="V11" s="74"/>
      <c r="W11" s="74"/>
      <c r="X11" s="74"/>
      <c r="Y11" s="74"/>
      <c r="Z11" s="74"/>
      <c r="AA11" s="74"/>
      <c r="AB11" s="74"/>
      <c r="AC11" s="74"/>
      <c r="AD11" s="74"/>
      <c r="AE11" s="74"/>
      <c r="AF11" s="74"/>
      <c r="AG11" s="74"/>
      <c r="AH11" s="74"/>
      <c r="AI11" s="74"/>
      <c r="AJ11" s="74"/>
      <c r="AK11" s="74"/>
      <c r="AL11" s="74"/>
      <c r="AM11" s="74"/>
      <c r="AN11" s="74"/>
      <c r="AO11" s="74"/>
      <c r="AP11" s="74"/>
      <c r="AQ11" s="74"/>
      <c r="AR11" s="74"/>
      <c r="AS11" s="74"/>
      <c r="AT11" s="74"/>
      <c r="AU11" s="74"/>
      <c r="AV11" s="74"/>
      <c r="AW11" s="74"/>
      <c r="AX11" s="74"/>
      <c r="AY11" s="74"/>
      <c r="AZ11" s="74"/>
      <c r="BA11" s="74"/>
      <c r="BB11" s="74"/>
      <c r="BC11" s="74"/>
      <c r="BD11" s="74"/>
      <c r="BE11" s="74"/>
      <c r="BF11" s="74"/>
      <c r="BG11" s="74"/>
      <c r="BH11" s="74"/>
      <c r="BI11" s="74"/>
      <c r="BJ11" s="74"/>
      <c r="BK11" s="74"/>
      <c r="BL11" s="74"/>
      <c r="BM11" s="74"/>
      <c r="BN11" s="74"/>
      <c r="BO11" s="74"/>
      <c r="BP11" s="74"/>
      <c r="BQ11" s="74"/>
      <c r="BR11" s="74"/>
      <c r="BS11" s="74"/>
      <c r="BT11" s="74"/>
      <c r="BU11" s="74"/>
      <c r="BV11" s="74"/>
      <c r="BW11" s="74"/>
      <c r="BX11" s="74"/>
      <c r="BY11" s="74"/>
      <c r="BZ11" s="74"/>
      <c r="CA11" s="74"/>
      <c r="CB11" s="74"/>
      <c r="CC11" s="74"/>
      <c r="CD11" s="74"/>
      <c r="CE11" s="74"/>
      <c r="CF11" s="74"/>
      <c r="CG11" s="74"/>
      <c r="CH11" s="74"/>
      <c r="CI11" s="74"/>
      <c r="CJ11" s="74"/>
      <c r="CK11" s="74"/>
      <c r="CL11" s="74"/>
      <c r="CM11" s="74"/>
      <c r="CN11" s="74"/>
      <c r="CO11" s="74"/>
      <c r="CP11" s="74"/>
      <c r="CQ11" s="74"/>
      <c r="CR11" s="74"/>
      <c r="CS11" s="74"/>
      <c r="CT11" s="74"/>
      <c r="CU11" s="74"/>
      <c r="CV11" s="74"/>
      <c r="CW11" s="74"/>
      <c r="CX11" s="74"/>
      <c r="CY11" s="74"/>
      <c r="CZ11" s="74"/>
      <c r="DA11" s="74"/>
      <c r="DB11" s="74"/>
      <c r="DC11" s="74"/>
      <c r="DD11" s="74"/>
      <c r="DE11" s="74"/>
      <c r="DF11" s="74"/>
      <c r="DG11" s="74"/>
      <c r="DH11" s="74"/>
      <c r="DI11" s="74"/>
      <c r="DJ11" s="74"/>
      <c r="DK11" s="74"/>
      <c r="DL11" s="74"/>
      <c r="DM11" s="74"/>
      <c r="DN11" s="74"/>
      <c r="DO11" s="74"/>
      <c r="DP11" s="74"/>
      <c r="DQ11" s="74"/>
      <c r="DR11" s="74"/>
      <c r="DS11" s="74"/>
      <c r="DT11" s="74"/>
      <c r="DU11" s="74"/>
      <c r="DV11" s="74"/>
      <c r="DW11" s="74"/>
      <c r="DX11" s="74"/>
      <c r="DY11" s="74"/>
      <c r="DZ11" s="74"/>
      <c r="EA11" s="74"/>
      <c r="EB11" s="74"/>
      <c r="EC11" s="74"/>
      <c r="ED11" s="74"/>
      <c r="EE11" s="74"/>
      <c r="EF11" s="74"/>
      <c r="EG11" s="74"/>
      <c r="EH11" s="74"/>
      <c r="EI11" s="74"/>
      <c r="EJ11" s="74"/>
      <c r="EK11" s="74"/>
      <c r="EL11" s="74"/>
      <c r="EM11" s="74"/>
      <c r="EN11" s="74"/>
      <c r="EO11" s="74"/>
      <c r="EP11" s="74"/>
      <c r="EQ11" s="74"/>
      <c r="ER11" s="74"/>
      <c r="ES11" s="74"/>
      <c r="ET11" s="74"/>
      <c r="EU11" s="74"/>
      <c r="EV11" s="74"/>
      <c r="EW11" s="74"/>
      <c r="EX11" s="74"/>
      <c r="EY11" s="74"/>
      <c r="EZ11" s="74"/>
      <c r="FA11" s="74"/>
      <c r="FB11" s="74"/>
      <c r="FC11" s="74"/>
      <c r="FD11" s="74"/>
      <c r="FE11" s="74"/>
      <c r="FF11" s="74"/>
      <c r="FG11" s="74"/>
      <c r="FH11" s="74"/>
      <c r="FI11" s="74"/>
      <c r="FJ11" s="74"/>
      <c r="FK11" s="74"/>
      <c r="FL11" s="74"/>
      <c r="FM11" s="74"/>
      <c r="FN11" s="74"/>
      <c r="FO11" s="74"/>
      <c r="FP11" s="74"/>
      <c r="FQ11" s="74"/>
    </row>
    <row r="12" spans="1:173" s="104" customFormat="1">
      <c r="A12" s="104" t="s">
        <v>400</v>
      </c>
      <c r="H12" s="60"/>
      <c r="I12" s="105">
        <f>SUM(I10:I11)</f>
        <v>0.31019734009271793</v>
      </c>
      <c r="J12" s="105">
        <f t="shared" ref="J12:BU12" si="5">SUM(J10:J11)</f>
        <v>0.32992087038763068</v>
      </c>
      <c r="K12" s="105">
        <f t="shared" si="5"/>
        <v>0.28509466517192</v>
      </c>
      <c r="L12" s="105">
        <f t="shared" si="5"/>
        <v>0.23847541174758086</v>
      </c>
      <c r="M12" s="105">
        <f t="shared" si="5"/>
        <v>0.25102674920797985</v>
      </c>
      <c r="N12" s="105">
        <f t="shared" si="5"/>
        <v>0.30123209904957582</v>
      </c>
      <c r="O12" s="105">
        <f t="shared" si="5"/>
        <v>0.22592407428718186</v>
      </c>
      <c r="P12" s="105">
        <f t="shared" si="5"/>
        <v>0.22413102607855342</v>
      </c>
      <c r="Q12" s="105">
        <f t="shared" si="5"/>
        <v>0.22413102607855342</v>
      </c>
      <c r="R12" s="105">
        <f t="shared" si="5"/>
        <v>0.23130321891306715</v>
      </c>
      <c r="S12" s="105">
        <f t="shared" si="5"/>
        <v>0.26895723129426413</v>
      </c>
      <c r="T12" s="105">
        <f t="shared" si="5"/>
        <v>0.30481819546683264</v>
      </c>
      <c r="U12" s="105">
        <f t="shared" si="5"/>
        <v>0.31378343650997481</v>
      </c>
      <c r="V12" s="105">
        <f t="shared" si="5"/>
        <v>0.33171391859625909</v>
      </c>
      <c r="W12" s="105">
        <f t="shared" si="5"/>
        <v>0.41240108798453828</v>
      </c>
      <c r="X12" s="105">
        <f t="shared" si="5"/>
        <v>0.43033157007082257</v>
      </c>
      <c r="Y12" s="105">
        <f t="shared" si="5"/>
        <v>0.46619253424339113</v>
      </c>
      <c r="Z12" s="105">
        <f t="shared" si="5"/>
        <v>0.41240108798453828</v>
      </c>
      <c r="AA12" s="105">
        <f t="shared" si="5"/>
        <v>0.44108985932259315</v>
      </c>
      <c r="AB12" s="105">
        <f t="shared" si="5"/>
        <v>0.43571071469670791</v>
      </c>
      <c r="AC12" s="105">
        <f t="shared" si="5"/>
        <v>0.51101873945910181</v>
      </c>
      <c r="AD12" s="105">
        <f t="shared" si="5"/>
        <v>0.49308825737281753</v>
      </c>
      <c r="AE12" s="105">
        <f t="shared" si="5"/>
        <v>0.44826205215710685</v>
      </c>
      <c r="AF12" s="105">
        <f t="shared" si="5"/>
        <v>0.43929681111396474</v>
      </c>
      <c r="AG12" s="105">
        <f t="shared" si="5"/>
        <v>0.52894922154538615</v>
      </c>
      <c r="AH12" s="105">
        <f t="shared" si="5"/>
        <v>0.5361214143798998</v>
      </c>
      <c r="AI12" s="105">
        <f t="shared" si="5"/>
        <v>0.55763799288344096</v>
      </c>
      <c r="AJ12" s="105">
        <f t="shared" si="5"/>
        <v>0.52177702871087239</v>
      </c>
      <c r="AK12" s="105">
        <f t="shared" si="5"/>
        <v>0.51101873945910181</v>
      </c>
      <c r="AL12" s="105">
        <f t="shared" si="5"/>
        <v>0.52894922154538615</v>
      </c>
      <c r="AM12" s="105">
        <f t="shared" si="5"/>
        <v>0.43929681111396474</v>
      </c>
      <c r="AN12" s="105">
        <f t="shared" si="5"/>
        <v>0.42315937723630886</v>
      </c>
      <c r="AO12" s="105">
        <f t="shared" si="5"/>
        <v>0.44467595573985003</v>
      </c>
      <c r="AP12" s="105">
        <f t="shared" si="5"/>
        <v>0.42674547365356569</v>
      </c>
      <c r="AQ12" s="105">
        <f t="shared" si="5"/>
        <v>0.38550536485511189</v>
      </c>
      <c r="AR12" s="105">
        <f t="shared" si="5"/>
        <v>0.34247220784802962</v>
      </c>
      <c r="AS12" s="105">
        <f t="shared" si="5"/>
        <v>0.3263347739703738</v>
      </c>
      <c r="AT12" s="105">
        <f t="shared" si="5"/>
        <v>0.35860964172568549</v>
      </c>
      <c r="AU12" s="105">
        <f t="shared" si="5"/>
        <v>0.33709306322214433</v>
      </c>
      <c r="AV12" s="105">
        <f t="shared" si="5"/>
        <v>0.32274867755311692</v>
      </c>
      <c r="AW12" s="105">
        <f t="shared" si="5"/>
        <v>0.31557648471860322</v>
      </c>
      <c r="AX12" s="105">
        <f t="shared" si="5"/>
        <v>0.25999199025112196</v>
      </c>
      <c r="AY12" s="105">
        <f t="shared" si="5"/>
        <v>0.25999199025112196</v>
      </c>
      <c r="AZ12" s="105">
        <f t="shared" si="5"/>
        <v>0.25999199025112196</v>
      </c>
      <c r="BA12" s="105">
        <f t="shared" si="5"/>
        <v>0.25999199025112196</v>
      </c>
      <c r="BB12" s="105">
        <f t="shared" si="5"/>
        <v>0.29585295442369053</v>
      </c>
      <c r="BC12" s="105">
        <f t="shared" si="5"/>
        <v>0.29585295442369053</v>
      </c>
      <c r="BD12" s="105">
        <f t="shared" si="5"/>
        <v>0.35037596435166374</v>
      </c>
      <c r="BE12" s="105">
        <f t="shared" si="5"/>
        <v>0.33171391859625909</v>
      </c>
      <c r="BF12" s="105">
        <f t="shared" si="5"/>
        <v>0.33171391859625909</v>
      </c>
      <c r="BG12" s="105">
        <f t="shared" si="5"/>
        <v>0.33171391859625909</v>
      </c>
      <c r="BH12" s="105">
        <f t="shared" si="5"/>
        <v>0.37654012381196977</v>
      </c>
      <c r="BI12" s="105">
        <f t="shared" si="5"/>
        <v>0.37654012381196977</v>
      </c>
      <c r="BJ12" s="105">
        <f t="shared" si="5"/>
        <v>0.37654012381196977</v>
      </c>
      <c r="BK12" s="105">
        <f t="shared" si="5"/>
        <v>0.38550536485511189</v>
      </c>
      <c r="BL12" s="105">
        <f t="shared" si="5"/>
        <v>0.38550536485511189</v>
      </c>
      <c r="BM12" s="105">
        <f t="shared" si="5"/>
        <v>0.38550536485511189</v>
      </c>
      <c r="BN12" s="105">
        <f t="shared" si="5"/>
        <v>0.34964440068254332</v>
      </c>
      <c r="BO12" s="105">
        <f t="shared" si="5"/>
        <v>0.33171391859625909</v>
      </c>
      <c r="BP12" s="105">
        <f t="shared" si="5"/>
        <v>0.33171391859625909</v>
      </c>
      <c r="BQ12" s="105">
        <f t="shared" si="5"/>
        <v>0.33171391859625909</v>
      </c>
      <c r="BR12" s="105">
        <f t="shared" si="5"/>
        <v>0.33171391859625909</v>
      </c>
      <c r="BS12" s="105">
        <f t="shared" si="5"/>
        <v>0.33171391859625909</v>
      </c>
      <c r="BT12" s="105">
        <f t="shared" si="5"/>
        <v>0.33171391859625909</v>
      </c>
      <c r="BU12" s="105">
        <f t="shared" si="5"/>
        <v>0.32454172576174539</v>
      </c>
      <c r="BV12" s="105">
        <f t="shared" ref="BV12:CK12" si="6">SUM(BV10:BV11)</f>
        <v>0.32454172576174539</v>
      </c>
      <c r="BW12" s="105">
        <f t="shared" si="6"/>
        <v>0.32454172576174539</v>
      </c>
      <c r="BX12" s="105">
        <f t="shared" si="6"/>
        <v>0.32454172576174539</v>
      </c>
      <c r="BY12" s="105">
        <f t="shared" si="6"/>
        <v>0.32454172576174539</v>
      </c>
      <c r="BZ12" s="105">
        <f t="shared" si="6"/>
        <v>0.31019734009271793</v>
      </c>
      <c r="CA12" s="105">
        <f t="shared" si="6"/>
        <v>0.31019734009271793</v>
      </c>
      <c r="CB12" s="105">
        <f t="shared" si="6"/>
        <v>0.31019734009271793</v>
      </c>
      <c r="CC12" s="105">
        <f t="shared" si="6"/>
        <v>0.33709306322214433</v>
      </c>
      <c r="CD12" s="105">
        <f t="shared" si="6"/>
        <v>0.33709306322214433</v>
      </c>
      <c r="CE12" s="105">
        <f t="shared" si="6"/>
        <v>0.33709306322214433</v>
      </c>
      <c r="CF12" s="105">
        <f t="shared" si="6"/>
        <v>0.33709306322214433</v>
      </c>
      <c r="CG12" s="105">
        <f t="shared" si="6"/>
        <v>0.33709306322214433</v>
      </c>
      <c r="CH12" s="105">
        <f t="shared" si="6"/>
        <v>0.3263347739703738</v>
      </c>
      <c r="CI12" s="105">
        <f t="shared" si="6"/>
        <v>0.3263347739703738</v>
      </c>
      <c r="CJ12" s="105">
        <f t="shared" si="6"/>
        <v>0.3263347739703738</v>
      </c>
      <c r="CK12" s="105">
        <f t="shared" si="6"/>
        <v>0.3263347739703738</v>
      </c>
      <c r="CL12" s="105">
        <f t="shared" ref="CL12:CT12" si="7">SUM(CL10:CL11)</f>
        <v>0.3388861114307728</v>
      </c>
      <c r="CM12" s="105">
        <f t="shared" si="7"/>
        <v>0.3388861114307728</v>
      </c>
      <c r="CN12" s="105">
        <f t="shared" si="7"/>
        <v>0.3388861114307728</v>
      </c>
      <c r="CO12" s="105">
        <f t="shared" si="7"/>
        <v>0.3388861114307728</v>
      </c>
      <c r="CP12" s="105">
        <f t="shared" si="7"/>
        <v>0.3388861114307728</v>
      </c>
      <c r="CQ12" s="105">
        <f t="shared" si="7"/>
        <v>0.3388861114307728</v>
      </c>
      <c r="CR12" s="105">
        <f t="shared" si="7"/>
        <v>0.3263347739703738</v>
      </c>
      <c r="CS12" s="105">
        <f t="shared" si="7"/>
        <v>0.3263347739703738</v>
      </c>
      <c r="CT12" s="105">
        <f t="shared" si="7"/>
        <v>0.3263347739703738</v>
      </c>
      <c r="CU12" s="105">
        <f>SUM(CU10:CU11)</f>
        <v>0.33350696680488751</v>
      </c>
      <c r="CV12" s="105">
        <f t="shared" ref="CV12:FG12" si="8">SUM(CV10:CV11)</f>
        <v>0.33350696680488751</v>
      </c>
      <c r="CW12" s="105">
        <f>SUM(CW10:CW11)</f>
        <v>0.33350696680488751</v>
      </c>
      <c r="CX12" s="105">
        <f t="shared" si="8"/>
        <v>0.33350696680488751</v>
      </c>
      <c r="CY12" s="105">
        <f t="shared" si="8"/>
        <v>0.34785135247391491</v>
      </c>
      <c r="CZ12" s="105">
        <f t="shared" si="8"/>
        <v>0.36398878635157073</v>
      </c>
      <c r="DA12" s="105">
        <f t="shared" si="8"/>
        <v>0.36398878635157073</v>
      </c>
      <c r="DB12" s="105">
        <f t="shared" si="8"/>
        <v>0.36219573814294237</v>
      </c>
      <c r="DC12" s="105">
        <f t="shared" si="8"/>
        <v>0.39088450948099723</v>
      </c>
      <c r="DD12" s="105">
        <f t="shared" si="8"/>
        <v>0.39088450948099723</v>
      </c>
      <c r="DE12" s="105">
        <f t="shared" si="8"/>
        <v>0.39088450948099723</v>
      </c>
      <c r="DF12" s="105">
        <f t="shared" si="8"/>
        <v>0.3675748827688276</v>
      </c>
      <c r="DG12" s="105">
        <f t="shared" si="8"/>
        <v>0.3675748827688276</v>
      </c>
      <c r="DH12" s="105">
        <f t="shared" si="8"/>
        <v>0.3532304970998002</v>
      </c>
      <c r="DI12" s="105">
        <f t="shared" si="8"/>
        <v>0.34247220784802962</v>
      </c>
      <c r="DJ12" s="105">
        <f t="shared" si="8"/>
        <v>0.32454172576174539</v>
      </c>
      <c r="DK12" s="105">
        <f t="shared" si="8"/>
        <v>0.32095562934448851</v>
      </c>
      <c r="DL12" s="105">
        <f t="shared" si="8"/>
        <v>0.32095562934448851</v>
      </c>
      <c r="DM12" s="105">
        <f t="shared" si="8"/>
        <v>0.32274867755311692</v>
      </c>
      <c r="DN12" s="105">
        <f t="shared" si="8"/>
        <v>0.3263347739703738</v>
      </c>
      <c r="DO12" s="105">
        <f t="shared" si="8"/>
        <v>0.32095562934448851</v>
      </c>
      <c r="DP12" s="105">
        <f t="shared" si="8"/>
        <v>0.32095562934448851</v>
      </c>
      <c r="DQ12" s="105">
        <f t="shared" si="8"/>
        <v>0.32274867755311692</v>
      </c>
      <c r="DR12" s="105">
        <f t="shared" si="8"/>
        <v>0.32274867755311692</v>
      </c>
      <c r="DS12" s="105">
        <f t="shared" si="8"/>
        <v>0.32274867755311692</v>
      </c>
      <c r="DT12" s="105">
        <f t="shared" si="8"/>
        <v>0</v>
      </c>
      <c r="DU12" s="105">
        <f t="shared" si="8"/>
        <v>0</v>
      </c>
      <c r="DV12" s="105">
        <f t="shared" si="8"/>
        <v>0</v>
      </c>
      <c r="DW12" s="105">
        <f t="shared" si="8"/>
        <v>0</v>
      </c>
      <c r="DX12" s="105">
        <f t="shared" si="8"/>
        <v>0</v>
      </c>
      <c r="DY12" s="105">
        <f t="shared" si="8"/>
        <v>0</v>
      </c>
      <c r="DZ12" s="105">
        <f t="shared" si="8"/>
        <v>0</v>
      </c>
      <c r="EA12" s="105">
        <f t="shared" si="8"/>
        <v>0</v>
      </c>
      <c r="EB12" s="105">
        <f t="shared" si="8"/>
        <v>0</v>
      </c>
      <c r="EC12" s="105">
        <f t="shared" si="8"/>
        <v>0</v>
      </c>
      <c r="ED12" s="105">
        <f t="shared" si="8"/>
        <v>0</v>
      </c>
      <c r="EE12" s="105">
        <f t="shared" si="8"/>
        <v>0</v>
      </c>
      <c r="EF12" s="105">
        <f t="shared" si="8"/>
        <v>0</v>
      </c>
      <c r="EG12" s="105">
        <f t="shared" si="8"/>
        <v>0</v>
      </c>
      <c r="EH12" s="105">
        <f t="shared" si="8"/>
        <v>0</v>
      </c>
      <c r="EI12" s="105">
        <f t="shared" si="8"/>
        <v>0</v>
      </c>
      <c r="EJ12" s="105">
        <f t="shared" si="8"/>
        <v>0</v>
      </c>
      <c r="EK12" s="105">
        <f t="shared" si="8"/>
        <v>0</v>
      </c>
      <c r="EL12" s="105">
        <f t="shared" si="8"/>
        <v>0</v>
      </c>
      <c r="EM12" s="105">
        <f t="shared" si="8"/>
        <v>0</v>
      </c>
      <c r="EN12" s="105">
        <f t="shared" si="8"/>
        <v>0</v>
      </c>
      <c r="EO12" s="105">
        <f t="shared" si="8"/>
        <v>0</v>
      </c>
      <c r="EP12" s="105">
        <f t="shared" si="8"/>
        <v>0</v>
      </c>
      <c r="EQ12" s="105">
        <f t="shared" si="8"/>
        <v>0</v>
      </c>
      <c r="ER12" s="105">
        <f t="shared" si="8"/>
        <v>0</v>
      </c>
      <c r="ES12" s="105">
        <f t="shared" si="8"/>
        <v>0</v>
      </c>
      <c r="ET12" s="105">
        <f t="shared" si="8"/>
        <v>0</v>
      </c>
      <c r="EU12" s="105">
        <f t="shared" si="8"/>
        <v>0</v>
      </c>
      <c r="EV12" s="105">
        <f t="shared" si="8"/>
        <v>0</v>
      </c>
      <c r="EW12" s="105">
        <f t="shared" si="8"/>
        <v>0</v>
      </c>
      <c r="EX12" s="105">
        <f t="shared" si="8"/>
        <v>0</v>
      </c>
      <c r="EY12" s="105">
        <f t="shared" si="8"/>
        <v>0</v>
      </c>
      <c r="EZ12" s="105">
        <f t="shared" si="8"/>
        <v>0</v>
      </c>
      <c r="FA12" s="105">
        <f t="shared" si="8"/>
        <v>0</v>
      </c>
      <c r="FB12" s="105">
        <f t="shared" si="8"/>
        <v>0</v>
      </c>
      <c r="FC12" s="105">
        <f t="shared" si="8"/>
        <v>0</v>
      </c>
      <c r="FD12" s="105">
        <f t="shared" si="8"/>
        <v>0</v>
      </c>
      <c r="FE12" s="105">
        <f t="shared" si="8"/>
        <v>0</v>
      </c>
      <c r="FF12" s="105">
        <f t="shared" si="8"/>
        <v>0</v>
      </c>
      <c r="FG12" s="105">
        <f t="shared" si="8"/>
        <v>0</v>
      </c>
      <c r="FH12" s="105">
        <f t="shared" ref="FH12:FQ12" si="9">SUM(FH10:FH11)</f>
        <v>0</v>
      </c>
      <c r="FI12" s="105">
        <f t="shared" si="9"/>
        <v>0</v>
      </c>
      <c r="FJ12" s="105">
        <f t="shared" si="9"/>
        <v>0</v>
      </c>
      <c r="FK12" s="105">
        <f t="shared" si="9"/>
        <v>0</v>
      </c>
      <c r="FL12" s="105">
        <f t="shared" si="9"/>
        <v>0</v>
      </c>
      <c r="FM12" s="105">
        <f t="shared" si="9"/>
        <v>0</v>
      </c>
      <c r="FN12" s="105">
        <f t="shared" si="9"/>
        <v>0</v>
      </c>
      <c r="FO12" s="105">
        <f t="shared" si="9"/>
        <v>0</v>
      </c>
      <c r="FP12" s="105">
        <f t="shared" si="9"/>
        <v>0</v>
      </c>
      <c r="FQ12" s="105">
        <f t="shared" si="9"/>
        <v>0</v>
      </c>
    </row>
    <row r="13" spans="1:173">
      <c r="I13" s="74"/>
      <c r="J13" s="74"/>
      <c r="K13" s="74"/>
      <c r="L13" s="74"/>
      <c r="M13" s="74"/>
      <c r="N13" s="74"/>
      <c r="O13" s="74"/>
      <c r="P13" s="70"/>
      <c r="Q13" s="74"/>
      <c r="R13" s="74"/>
      <c r="S13" s="74"/>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Y13" s="74"/>
      <c r="BD13" s="65"/>
      <c r="BL13" s="65"/>
      <c r="BR13" s="65"/>
    </row>
    <row r="14" spans="1:173" s="64" customFormat="1">
      <c r="H14" s="64" t="s">
        <v>763</v>
      </c>
      <c r="I14" s="74"/>
      <c r="J14" s="74"/>
      <c r="K14" s="74"/>
      <c r="L14" s="74"/>
      <c r="M14" s="74"/>
      <c r="N14" s="74"/>
      <c r="O14" s="74">
        <f>142/73</f>
        <v>1.9452054794520548</v>
      </c>
      <c r="P14" s="74"/>
      <c r="Q14" s="74">
        <f>140/73</f>
        <v>1.9178082191780821</v>
      </c>
      <c r="R14" s="74"/>
      <c r="S14" s="74"/>
      <c r="T14" s="74"/>
      <c r="U14" s="74"/>
      <c r="V14" s="74"/>
      <c r="W14" s="74"/>
      <c r="X14" s="74"/>
      <c r="Y14" s="74"/>
      <c r="Z14" s="74"/>
      <c r="AA14" s="74"/>
      <c r="AB14" s="74"/>
      <c r="AC14" s="74"/>
      <c r="AD14" s="74"/>
      <c r="AE14" s="74"/>
      <c r="AF14" s="74"/>
      <c r="AG14" s="74"/>
      <c r="AH14" s="74"/>
      <c r="AI14" s="74"/>
      <c r="AJ14" s="74"/>
      <c r="AK14" s="74"/>
      <c r="AL14" s="74"/>
      <c r="AM14" s="74"/>
      <c r="AN14" s="74"/>
      <c r="AO14" s="74"/>
      <c r="AP14" s="74"/>
      <c r="AQ14" s="74"/>
      <c r="AR14" s="74"/>
      <c r="AS14" s="74"/>
      <c r="AT14" s="74"/>
      <c r="AU14" s="74"/>
      <c r="AW14" s="74"/>
      <c r="AX14" s="74"/>
      <c r="AY14" s="74"/>
      <c r="BD14" s="74"/>
      <c r="BL14" s="74"/>
      <c r="BQ14" s="74"/>
      <c r="BW14" s="60"/>
      <c r="CB14" s="64">
        <f>270/83</f>
        <v>3.2530120481927711</v>
      </c>
    </row>
    <row r="15" spans="1:173">
      <c r="H15" s="60" t="s">
        <v>764</v>
      </c>
      <c r="O15" s="74">
        <f>O14-O12</f>
        <v>1.7192814051648728</v>
      </c>
      <c r="P15" s="74"/>
      <c r="Q15" s="74">
        <f>Q14-Q12</f>
        <v>1.6936771930995287</v>
      </c>
      <c r="R15" s="65"/>
      <c r="S15" s="65"/>
      <c r="T15" s="65"/>
      <c r="W15" s="65"/>
      <c r="Y15" s="65"/>
      <c r="AC15" s="74"/>
      <c r="AE15" s="74"/>
      <c r="AI15" s="65"/>
      <c r="AK15" s="65"/>
      <c r="AL15" s="65"/>
      <c r="AO15" s="74"/>
      <c r="AQ15" s="74"/>
      <c r="AR15" s="65"/>
      <c r="AT15" s="74"/>
      <c r="AV15" s="65"/>
      <c r="BA15" s="65"/>
      <c r="BI15" s="103"/>
      <c r="BM15" s="74"/>
      <c r="BN15" s="74"/>
      <c r="BW15" s="65"/>
      <c r="CB15" s="65">
        <f>CB14-CB12</f>
        <v>2.9428147081000531</v>
      </c>
    </row>
    <row r="16" spans="1:173" ht="13" thickBot="1"/>
    <row r="17" spans="2:173" ht="13" thickBot="1">
      <c r="D17" s="259"/>
      <c r="H17" s="106" t="s">
        <v>407</v>
      </c>
      <c r="I17" s="109">
        <f>I12+1.69</f>
        <v>2.000197340092718</v>
      </c>
      <c r="J17" s="109">
        <f t="shared" ref="J17:BU17" si="10">J12+1.69</f>
        <v>2.0199208703876308</v>
      </c>
      <c r="K17" s="109">
        <f t="shared" si="10"/>
        <v>1.9750946651719199</v>
      </c>
      <c r="L17" s="109">
        <f t="shared" si="10"/>
        <v>1.9284754117475809</v>
      </c>
      <c r="M17" s="109">
        <f t="shared" si="10"/>
        <v>1.9410267492079798</v>
      </c>
      <c r="N17" s="109">
        <f t="shared" si="10"/>
        <v>1.9912320990495758</v>
      </c>
      <c r="O17" s="109">
        <f t="shared" si="10"/>
        <v>1.9159240742871817</v>
      </c>
      <c r="P17" s="109">
        <f t="shared" si="10"/>
        <v>1.9141310260785533</v>
      </c>
      <c r="Q17" s="109">
        <f t="shared" si="10"/>
        <v>1.9141310260785533</v>
      </c>
      <c r="R17" s="109">
        <f t="shared" si="10"/>
        <v>1.9213032189130672</v>
      </c>
      <c r="S17" s="109">
        <f t="shared" si="10"/>
        <v>1.958957231294264</v>
      </c>
      <c r="T17" s="109">
        <f t="shared" si="10"/>
        <v>1.9948181954668325</v>
      </c>
      <c r="U17" s="109">
        <f t="shared" si="10"/>
        <v>2.0037834365099747</v>
      </c>
      <c r="V17" s="109">
        <f t="shared" si="10"/>
        <v>2.0217139185962592</v>
      </c>
      <c r="W17" s="109">
        <f t="shared" si="10"/>
        <v>2.1024010879845383</v>
      </c>
      <c r="X17" s="109">
        <f t="shared" si="10"/>
        <v>2.1203315700708227</v>
      </c>
      <c r="Y17" s="109">
        <f t="shared" si="10"/>
        <v>2.1561925342433912</v>
      </c>
      <c r="Z17" s="109">
        <f t="shared" si="10"/>
        <v>2.1024010879845383</v>
      </c>
      <c r="AA17" s="109">
        <f t="shared" si="10"/>
        <v>2.1310898593225929</v>
      </c>
      <c r="AB17" s="109">
        <f t="shared" si="10"/>
        <v>2.1257107146967078</v>
      </c>
      <c r="AC17" s="109">
        <f t="shared" si="10"/>
        <v>2.2010187394591019</v>
      </c>
      <c r="AD17" s="109">
        <f t="shared" si="10"/>
        <v>2.1830882573728174</v>
      </c>
      <c r="AE17" s="109">
        <f t="shared" si="10"/>
        <v>2.1382620521571067</v>
      </c>
      <c r="AF17" s="109">
        <f t="shared" si="10"/>
        <v>2.1292968111139645</v>
      </c>
      <c r="AG17" s="109">
        <f t="shared" si="10"/>
        <v>2.2189492215453859</v>
      </c>
      <c r="AH17" s="109">
        <f t="shared" si="10"/>
        <v>2.2261214143798997</v>
      </c>
      <c r="AI17" s="109">
        <f t="shared" si="10"/>
        <v>2.2476379928834409</v>
      </c>
      <c r="AJ17" s="109">
        <f t="shared" si="10"/>
        <v>2.2117770287108725</v>
      </c>
      <c r="AK17" s="109">
        <f t="shared" si="10"/>
        <v>2.2010187394591019</v>
      </c>
      <c r="AL17" s="109">
        <f t="shared" si="10"/>
        <v>2.2189492215453859</v>
      </c>
      <c r="AM17" s="109">
        <f t="shared" si="10"/>
        <v>2.1292968111139645</v>
      </c>
      <c r="AN17" s="109">
        <f t="shared" si="10"/>
        <v>2.1131593772363089</v>
      </c>
      <c r="AO17" s="109">
        <f t="shared" si="10"/>
        <v>2.13467595573985</v>
      </c>
      <c r="AP17" s="109">
        <f t="shared" si="10"/>
        <v>2.1167454736535656</v>
      </c>
      <c r="AQ17" s="109">
        <f t="shared" si="10"/>
        <v>2.0755053648551121</v>
      </c>
      <c r="AR17" s="109">
        <f t="shared" si="10"/>
        <v>2.0324722078480297</v>
      </c>
      <c r="AS17" s="109">
        <f t="shared" si="10"/>
        <v>2.0163347739703736</v>
      </c>
      <c r="AT17" s="109">
        <f t="shared" si="10"/>
        <v>2.0486096417256854</v>
      </c>
      <c r="AU17" s="109">
        <f t="shared" si="10"/>
        <v>2.0270930632221442</v>
      </c>
      <c r="AV17" s="109">
        <f t="shared" si="10"/>
        <v>2.0127486775531169</v>
      </c>
      <c r="AW17" s="109">
        <f t="shared" si="10"/>
        <v>2.0055764847186031</v>
      </c>
      <c r="AX17" s="109">
        <f t="shared" si="10"/>
        <v>1.9499919902511218</v>
      </c>
      <c r="AY17" s="109">
        <f t="shared" si="10"/>
        <v>1.9499919902511218</v>
      </c>
      <c r="AZ17" s="109">
        <f t="shared" si="10"/>
        <v>1.9499919902511218</v>
      </c>
      <c r="BA17" s="109">
        <f t="shared" si="10"/>
        <v>1.9499919902511218</v>
      </c>
      <c r="BB17" s="109">
        <f t="shared" si="10"/>
        <v>1.9858529544236905</v>
      </c>
      <c r="BC17" s="109">
        <f t="shared" si="10"/>
        <v>1.9858529544236905</v>
      </c>
      <c r="BD17" s="109">
        <f t="shared" si="10"/>
        <v>2.0403759643516635</v>
      </c>
      <c r="BE17" s="109">
        <f t="shared" si="10"/>
        <v>2.0217139185962592</v>
      </c>
      <c r="BF17" s="109">
        <f t="shared" si="10"/>
        <v>2.0217139185962592</v>
      </c>
      <c r="BG17" s="109">
        <f t="shared" si="10"/>
        <v>2.0217139185962592</v>
      </c>
      <c r="BH17" s="109">
        <f t="shared" si="10"/>
        <v>2.0665401238119698</v>
      </c>
      <c r="BI17" s="109">
        <f t="shared" si="10"/>
        <v>2.0665401238119698</v>
      </c>
      <c r="BJ17" s="109">
        <f t="shared" si="10"/>
        <v>2.0665401238119698</v>
      </c>
      <c r="BK17" s="109">
        <f t="shared" si="10"/>
        <v>2.0755053648551121</v>
      </c>
      <c r="BL17" s="109">
        <f t="shared" si="10"/>
        <v>2.0755053648551121</v>
      </c>
      <c r="BM17" s="109">
        <f t="shared" si="10"/>
        <v>2.0755053648551121</v>
      </c>
      <c r="BN17" s="109">
        <f t="shared" si="10"/>
        <v>2.0396444006825432</v>
      </c>
      <c r="BO17" s="109">
        <f t="shared" si="10"/>
        <v>2.0217139185962592</v>
      </c>
      <c r="BP17" s="109">
        <f t="shared" si="10"/>
        <v>2.0217139185962592</v>
      </c>
      <c r="BQ17" s="109">
        <f t="shared" si="10"/>
        <v>2.0217139185962592</v>
      </c>
      <c r="BR17" s="109">
        <f t="shared" si="10"/>
        <v>2.0217139185962592</v>
      </c>
      <c r="BS17" s="109">
        <f t="shared" si="10"/>
        <v>2.0217139185962592</v>
      </c>
      <c r="BT17" s="109">
        <f t="shared" si="10"/>
        <v>2.0217139185962592</v>
      </c>
      <c r="BU17" s="109">
        <f t="shared" si="10"/>
        <v>2.0145417257617453</v>
      </c>
      <c r="BV17" s="109">
        <f t="shared" ref="BV17:EG17" si="11">BV12+1.69</f>
        <v>2.0145417257617453</v>
      </c>
      <c r="BW17" s="109">
        <f t="shared" si="11"/>
        <v>2.0145417257617453</v>
      </c>
      <c r="BX17" s="109">
        <f t="shared" si="11"/>
        <v>2.0145417257617453</v>
      </c>
      <c r="BY17" s="109">
        <f t="shared" si="11"/>
        <v>2.0145417257617453</v>
      </c>
      <c r="BZ17" s="109">
        <f t="shared" si="11"/>
        <v>2.000197340092718</v>
      </c>
      <c r="CA17" s="109">
        <f t="shared" si="11"/>
        <v>2.000197340092718</v>
      </c>
      <c r="CB17" s="109">
        <f t="shared" si="11"/>
        <v>2.000197340092718</v>
      </c>
      <c r="CC17" s="109">
        <f t="shared" si="11"/>
        <v>2.0270930632221442</v>
      </c>
      <c r="CD17" s="109">
        <f t="shared" si="11"/>
        <v>2.0270930632221442</v>
      </c>
      <c r="CE17" s="109">
        <f t="shared" si="11"/>
        <v>2.0270930632221442</v>
      </c>
      <c r="CF17" s="109">
        <f t="shared" si="11"/>
        <v>2.0270930632221442</v>
      </c>
      <c r="CG17" s="109">
        <f t="shared" si="11"/>
        <v>2.0270930632221442</v>
      </c>
      <c r="CH17" s="109">
        <f t="shared" si="11"/>
        <v>2.0163347739703736</v>
      </c>
      <c r="CI17" s="109">
        <f t="shared" si="11"/>
        <v>2.0163347739703736</v>
      </c>
      <c r="CJ17" s="109">
        <f t="shared" si="11"/>
        <v>2.0163347739703736</v>
      </c>
      <c r="CK17" s="109">
        <f t="shared" si="11"/>
        <v>2.0163347739703736</v>
      </c>
      <c r="CL17" s="109">
        <f t="shared" si="11"/>
        <v>2.0288861114307726</v>
      </c>
      <c r="CM17" s="109">
        <f t="shared" si="11"/>
        <v>2.0288861114307726</v>
      </c>
      <c r="CN17" s="109">
        <f t="shared" si="11"/>
        <v>2.0288861114307726</v>
      </c>
      <c r="CO17" s="109">
        <f t="shared" si="11"/>
        <v>2.0288861114307726</v>
      </c>
      <c r="CP17" s="109">
        <f t="shared" si="11"/>
        <v>2.0288861114307726</v>
      </c>
      <c r="CQ17" s="109">
        <f t="shared" si="11"/>
        <v>2.0288861114307726</v>
      </c>
      <c r="CR17" s="109">
        <f t="shared" si="11"/>
        <v>2.0163347739703736</v>
      </c>
      <c r="CS17" s="109">
        <f t="shared" si="11"/>
        <v>2.0163347739703736</v>
      </c>
      <c r="CT17" s="109">
        <f t="shared" si="11"/>
        <v>2.0163347739703736</v>
      </c>
      <c r="CU17" s="109">
        <f t="shared" si="11"/>
        <v>2.0235069668048875</v>
      </c>
      <c r="CV17" s="109">
        <f t="shared" si="11"/>
        <v>2.0235069668048875</v>
      </c>
      <c r="CW17" s="109">
        <f t="shared" si="11"/>
        <v>2.0235069668048875</v>
      </c>
      <c r="CX17" s="109">
        <f t="shared" si="11"/>
        <v>2.0235069668048875</v>
      </c>
      <c r="CY17" s="109">
        <f t="shared" si="11"/>
        <v>2.0378513524739148</v>
      </c>
      <c r="CZ17" s="109">
        <f t="shared" si="11"/>
        <v>2.0539887863515709</v>
      </c>
      <c r="DA17" s="109">
        <f t="shared" si="11"/>
        <v>2.0539887863515709</v>
      </c>
      <c r="DB17" s="109">
        <f t="shared" si="11"/>
        <v>2.0521957381429425</v>
      </c>
      <c r="DC17" s="109">
        <f t="shared" si="11"/>
        <v>2.0808845094809971</v>
      </c>
      <c r="DD17" s="109">
        <f t="shared" si="11"/>
        <v>2.0808845094809971</v>
      </c>
      <c r="DE17" s="109">
        <f t="shared" si="11"/>
        <v>2.0808845094809971</v>
      </c>
      <c r="DF17" s="109">
        <f t="shared" si="11"/>
        <v>2.0575748827688276</v>
      </c>
      <c r="DG17" s="109">
        <f t="shared" si="11"/>
        <v>2.0575748827688276</v>
      </c>
      <c r="DH17" s="109">
        <f t="shared" si="11"/>
        <v>2.0432304970998003</v>
      </c>
      <c r="DI17" s="109">
        <f t="shared" si="11"/>
        <v>2.0324722078480297</v>
      </c>
      <c r="DJ17" s="109">
        <f t="shared" si="11"/>
        <v>2.0145417257617453</v>
      </c>
      <c r="DK17" s="109">
        <f t="shared" si="11"/>
        <v>2.0109556293444886</v>
      </c>
      <c r="DL17" s="109">
        <f t="shared" si="11"/>
        <v>2.0109556293444886</v>
      </c>
      <c r="DM17" s="109">
        <f t="shared" si="11"/>
        <v>2.0127486775531169</v>
      </c>
      <c r="DN17" s="109">
        <f t="shared" si="11"/>
        <v>2.0163347739703736</v>
      </c>
      <c r="DO17" s="109">
        <f t="shared" si="11"/>
        <v>2.0109556293444886</v>
      </c>
      <c r="DP17" s="109">
        <f t="shared" si="11"/>
        <v>2.0109556293444886</v>
      </c>
      <c r="DQ17" s="109">
        <f t="shared" si="11"/>
        <v>2.0127486775531169</v>
      </c>
      <c r="DR17" s="109">
        <f t="shared" si="11"/>
        <v>2.0127486775531169</v>
      </c>
      <c r="DS17" s="109">
        <f t="shared" si="11"/>
        <v>2.0127486775531169</v>
      </c>
      <c r="DT17" s="109">
        <f t="shared" si="11"/>
        <v>1.69</v>
      </c>
      <c r="DU17" s="109">
        <f t="shared" si="11"/>
        <v>1.69</v>
      </c>
      <c r="DV17" s="109">
        <f t="shared" si="11"/>
        <v>1.69</v>
      </c>
      <c r="DW17" s="109">
        <f t="shared" si="11"/>
        <v>1.69</v>
      </c>
      <c r="DX17" s="109">
        <f t="shared" si="11"/>
        <v>1.69</v>
      </c>
      <c r="DY17" s="109">
        <f t="shared" si="11"/>
        <v>1.69</v>
      </c>
      <c r="DZ17" s="109">
        <f t="shared" si="11"/>
        <v>1.69</v>
      </c>
      <c r="EA17" s="109">
        <f t="shared" si="11"/>
        <v>1.69</v>
      </c>
      <c r="EB17" s="109">
        <f t="shared" si="11"/>
        <v>1.69</v>
      </c>
      <c r="EC17" s="109">
        <f t="shared" si="11"/>
        <v>1.69</v>
      </c>
      <c r="ED17" s="109">
        <f t="shared" si="11"/>
        <v>1.69</v>
      </c>
      <c r="EE17" s="109">
        <f t="shared" si="11"/>
        <v>1.69</v>
      </c>
      <c r="EF17" s="109">
        <f t="shared" si="11"/>
        <v>1.69</v>
      </c>
      <c r="EG17" s="109">
        <f t="shared" si="11"/>
        <v>1.69</v>
      </c>
      <c r="EH17" s="109">
        <f t="shared" ref="EH17:FQ17" si="12">EH12+1.69</f>
        <v>1.69</v>
      </c>
      <c r="EI17" s="109">
        <f t="shared" si="12"/>
        <v>1.69</v>
      </c>
      <c r="EJ17" s="109">
        <f t="shared" si="12"/>
        <v>1.69</v>
      </c>
      <c r="EK17" s="109">
        <f t="shared" si="12"/>
        <v>1.69</v>
      </c>
      <c r="EL17" s="109">
        <f t="shared" si="12"/>
        <v>1.69</v>
      </c>
      <c r="EM17" s="109">
        <f t="shared" si="12"/>
        <v>1.69</v>
      </c>
      <c r="EN17" s="109">
        <f t="shared" si="12"/>
        <v>1.69</v>
      </c>
      <c r="EO17" s="109">
        <f t="shared" si="12"/>
        <v>1.69</v>
      </c>
      <c r="EP17" s="109">
        <f t="shared" si="12"/>
        <v>1.69</v>
      </c>
      <c r="EQ17" s="109">
        <f t="shared" si="12"/>
        <v>1.69</v>
      </c>
      <c r="ER17" s="109">
        <f t="shared" si="12"/>
        <v>1.69</v>
      </c>
      <c r="ES17" s="109">
        <f t="shared" si="12"/>
        <v>1.69</v>
      </c>
      <c r="ET17" s="109">
        <f t="shared" si="12"/>
        <v>1.69</v>
      </c>
      <c r="EU17" s="109">
        <f t="shared" si="12"/>
        <v>1.69</v>
      </c>
      <c r="EV17" s="109">
        <f t="shared" si="12"/>
        <v>1.69</v>
      </c>
      <c r="EW17" s="109">
        <f t="shared" si="12"/>
        <v>1.69</v>
      </c>
      <c r="EX17" s="109">
        <f t="shared" si="12"/>
        <v>1.69</v>
      </c>
      <c r="EY17" s="109">
        <f t="shared" si="12"/>
        <v>1.69</v>
      </c>
      <c r="EZ17" s="109">
        <f t="shared" si="12"/>
        <v>1.69</v>
      </c>
      <c r="FA17" s="109">
        <f t="shared" si="12"/>
        <v>1.69</v>
      </c>
      <c r="FB17" s="109">
        <f t="shared" si="12"/>
        <v>1.69</v>
      </c>
      <c r="FC17" s="109">
        <f t="shared" si="12"/>
        <v>1.69</v>
      </c>
      <c r="FD17" s="109">
        <f t="shared" si="12"/>
        <v>1.69</v>
      </c>
      <c r="FE17" s="109">
        <f t="shared" si="12"/>
        <v>1.69</v>
      </c>
      <c r="FF17" s="109">
        <f t="shared" si="12"/>
        <v>1.69</v>
      </c>
      <c r="FG17" s="109">
        <f t="shared" si="12"/>
        <v>1.69</v>
      </c>
      <c r="FH17" s="109">
        <f t="shared" si="12"/>
        <v>1.69</v>
      </c>
      <c r="FI17" s="109">
        <f t="shared" si="12"/>
        <v>1.69</v>
      </c>
      <c r="FJ17" s="109">
        <f t="shared" si="12"/>
        <v>1.69</v>
      </c>
      <c r="FK17" s="109">
        <f t="shared" si="12"/>
        <v>1.69</v>
      </c>
      <c r="FL17" s="109">
        <f t="shared" si="12"/>
        <v>1.69</v>
      </c>
      <c r="FM17" s="109">
        <f t="shared" si="12"/>
        <v>1.69</v>
      </c>
      <c r="FN17" s="109">
        <f t="shared" si="12"/>
        <v>1.69</v>
      </c>
      <c r="FO17" s="109">
        <f t="shared" si="12"/>
        <v>1.69</v>
      </c>
      <c r="FP17" s="109">
        <f t="shared" si="12"/>
        <v>1.69</v>
      </c>
      <c r="FQ17" s="109">
        <f t="shared" si="12"/>
        <v>1.69</v>
      </c>
    </row>
    <row r="19" spans="2:173">
      <c r="B19" s="65"/>
      <c r="BL19" s="65"/>
    </row>
    <row r="24" spans="2:173" ht="15">
      <c r="AR24" s="11"/>
    </row>
    <row r="25" spans="2:173" ht="15">
      <c r="AR25" s="11"/>
    </row>
    <row r="26" spans="2:173" ht="15">
      <c r="AR26" s="260"/>
    </row>
  </sheetData>
  <conditionalFormatting sqref="I14 Z14:AB14 AF14 AI14:AJ14 AL14 AP14 AS14 K14:L14 T14:X14">
    <cfRule type="top10" dxfId="8" priority="1" bottom="1" rank="1"/>
  </conditionalFormatting>
  <pageMargins left="0.7" right="0.7" top="0.75" bottom="0.75" header="0.3" footer="0.3"/>
  <pageSetup orientation="portrait" r:id="rId1"/>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EF27"/>
  <sheetViews>
    <sheetView workbookViewId="0">
      <pane xSplit="9" ySplit="6" topLeftCell="N7" activePane="bottomRight" state="frozen"/>
      <selection pane="topRight" activeCell="J1" sqref="J1"/>
      <selection pane="bottomLeft" activeCell="A7" sqref="A7"/>
      <selection pane="bottomRight" activeCell="N15" sqref="N15"/>
    </sheetView>
  </sheetViews>
  <sheetFormatPr baseColWidth="10" defaultColWidth="22.6640625" defaultRowHeight="12"/>
  <cols>
    <col min="1" max="1" width="16" style="60" bestFit="1" customWidth="1"/>
    <col min="2" max="2" width="11.33203125" style="60" bestFit="1" customWidth="1"/>
    <col min="3" max="3" width="4.83203125" style="60" bestFit="1" customWidth="1"/>
    <col min="4" max="4" width="12.33203125" style="60" bestFit="1" customWidth="1"/>
    <col min="5" max="5" width="7.5" style="60" bestFit="1" customWidth="1"/>
    <col min="6" max="6" width="6.5" style="60" bestFit="1" customWidth="1"/>
    <col min="7" max="7" width="3.33203125" style="60" bestFit="1" customWidth="1"/>
    <col min="8" max="8" width="17.6640625" style="60" bestFit="1" customWidth="1"/>
    <col min="9" max="12" width="6.1640625" style="60" bestFit="1" customWidth="1"/>
    <col min="13" max="13" width="5.83203125" style="60" bestFit="1" customWidth="1"/>
    <col min="14" max="51" width="6.1640625" style="60" bestFit="1" customWidth="1"/>
    <col min="52" max="54" width="7" style="60" bestFit="1" customWidth="1"/>
    <col min="55" max="90" width="6.1640625" style="60" bestFit="1" customWidth="1"/>
    <col min="91" max="95" width="6.33203125" style="60" bestFit="1" customWidth="1"/>
    <col min="96" max="100" width="6.1640625" style="60" bestFit="1" customWidth="1"/>
    <col min="101" max="103" width="5.1640625" style="60" bestFit="1" customWidth="1"/>
    <col min="104" max="107" width="5.83203125" style="60" bestFit="1" customWidth="1"/>
    <col min="108" max="115" width="5.6640625" style="60" bestFit="1" customWidth="1"/>
    <col min="116" max="119" width="6.1640625" style="60" bestFit="1" customWidth="1"/>
    <col min="120" max="123" width="5.83203125" style="60" bestFit="1" customWidth="1"/>
    <col min="124" max="136" width="5.1640625" style="60" bestFit="1" customWidth="1"/>
    <col min="137" max="16384" width="22.6640625" style="60"/>
  </cols>
  <sheetData>
    <row r="1" spans="1:136" ht="26">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row>
    <row r="2" spans="1:136">
      <c r="A2" s="327" t="s">
        <v>790</v>
      </c>
      <c r="B2" s="112"/>
      <c r="C2" s="101">
        <v>1</v>
      </c>
      <c r="D2" s="329">
        <v>120.15</v>
      </c>
      <c r="E2" s="60">
        <f>D2*C2</f>
        <v>120.15</v>
      </c>
      <c r="K2" s="102"/>
      <c r="M2" s="102"/>
    </row>
    <row r="3" spans="1:136">
      <c r="A3" s="100"/>
      <c r="B3" s="64"/>
      <c r="D3" s="100"/>
      <c r="E3" s="64"/>
      <c r="F3" s="103"/>
    </row>
    <row r="4" spans="1:136">
      <c r="A4" s="64"/>
      <c r="B4" s="64"/>
      <c r="D4" s="64"/>
      <c r="E4" s="64"/>
      <c r="H4" s="60" t="s">
        <v>387</v>
      </c>
    </row>
    <row r="5" spans="1:136">
      <c r="A5" s="74"/>
      <c r="B5" s="74"/>
    </row>
    <row r="6" spans="1:136">
      <c r="A6" s="59"/>
      <c r="B6" s="59"/>
      <c r="C6" s="59"/>
      <c r="D6" s="98"/>
      <c r="E6" s="98"/>
      <c r="F6" s="59"/>
      <c r="H6" s="59" t="s">
        <v>416</v>
      </c>
      <c r="I6" s="59">
        <v>43831</v>
      </c>
      <c r="J6" s="59">
        <v>43862</v>
      </c>
      <c r="K6" s="59">
        <v>43891</v>
      </c>
      <c r="L6" s="59">
        <v>43922</v>
      </c>
      <c r="M6" s="59">
        <v>43952</v>
      </c>
      <c r="N6" s="59">
        <v>43983</v>
      </c>
      <c r="O6" s="59">
        <v>44013</v>
      </c>
      <c r="P6" s="59">
        <v>44044</v>
      </c>
      <c r="Q6" s="59">
        <v>44075</v>
      </c>
      <c r="R6" s="59">
        <v>44105</v>
      </c>
      <c r="S6" s="59">
        <v>44136</v>
      </c>
      <c r="T6" s="59">
        <v>44166</v>
      </c>
      <c r="U6" s="59">
        <v>44197</v>
      </c>
      <c r="V6" s="59">
        <v>44228</v>
      </c>
      <c r="W6" s="59">
        <v>44256</v>
      </c>
      <c r="X6" s="59">
        <v>44287</v>
      </c>
      <c r="Y6" s="59">
        <v>44317</v>
      </c>
      <c r="Z6" s="59">
        <v>44348</v>
      </c>
      <c r="AA6" s="59">
        <v>44378</v>
      </c>
      <c r="AB6" s="59">
        <v>44409</v>
      </c>
      <c r="AC6" s="59">
        <v>44440</v>
      </c>
      <c r="AD6" s="59">
        <v>44470</v>
      </c>
      <c r="AE6" s="59">
        <v>44501</v>
      </c>
      <c r="AF6" s="59">
        <v>44531</v>
      </c>
      <c r="AG6" s="59">
        <v>44562</v>
      </c>
      <c r="AH6" s="59">
        <v>44593</v>
      </c>
      <c r="AI6" s="59">
        <v>44621</v>
      </c>
      <c r="AJ6" s="59">
        <v>44652</v>
      </c>
      <c r="AK6" s="59">
        <v>44682</v>
      </c>
      <c r="AL6" s="59">
        <v>44713</v>
      </c>
      <c r="AM6" s="59">
        <v>44743</v>
      </c>
      <c r="AN6" s="59">
        <v>44774</v>
      </c>
      <c r="AO6" s="59">
        <v>44805</v>
      </c>
      <c r="AP6" s="59">
        <v>44835</v>
      </c>
      <c r="AQ6" s="59">
        <v>44866</v>
      </c>
      <c r="AR6" s="59">
        <v>44896</v>
      </c>
      <c r="AS6" s="59">
        <v>44927</v>
      </c>
      <c r="AT6" s="59">
        <v>44958</v>
      </c>
      <c r="AU6" s="59">
        <v>44986</v>
      </c>
      <c r="AV6" s="59">
        <v>45017</v>
      </c>
      <c r="AW6" s="59">
        <v>45047</v>
      </c>
      <c r="AX6" s="59">
        <v>45078</v>
      </c>
      <c r="AY6" s="59">
        <v>45108</v>
      </c>
      <c r="AZ6" s="59" t="s">
        <v>530</v>
      </c>
      <c r="BA6" s="59" t="s">
        <v>531</v>
      </c>
      <c r="BB6" s="59" t="s">
        <v>532</v>
      </c>
      <c r="BC6" s="59">
        <v>37104</v>
      </c>
      <c r="BD6" s="59">
        <v>37469</v>
      </c>
      <c r="BE6" s="59" t="s">
        <v>168</v>
      </c>
      <c r="BF6" s="59" t="s">
        <v>169</v>
      </c>
      <c r="BG6" s="59" t="s">
        <v>421</v>
      </c>
      <c r="BH6" s="59" t="s">
        <v>422</v>
      </c>
      <c r="BI6" s="59" t="s">
        <v>423</v>
      </c>
      <c r="BJ6" s="59" t="s">
        <v>424</v>
      </c>
      <c r="BK6" s="59" t="s">
        <v>435</v>
      </c>
      <c r="BL6" s="59" t="s">
        <v>436</v>
      </c>
      <c r="BM6" s="59" t="s">
        <v>437</v>
      </c>
      <c r="BN6" s="59" t="s">
        <v>438</v>
      </c>
      <c r="BO6" s="59">
        <v>37196</v>
      </c>
      <c r="BP6" s="59">
        <v>37561</v>
      </c>
      <c r="BQ6" s="59">
        <v>37926</v>
      </c>
      <c r="BR6" s="59">
        <v>38292</v>
      </c>
      <c r="BS6" s="59">
        <v>37226</v>
      </c>
      <c r="BT6" s="59">
        <v>37591</v>
      </c>
      <c r="BU6" s="59">
        <v>37956</v>
      </c>
      <c r="BV6" s="59">
        <v>38322</v>
      </c>
      <c r="BW6" s="59">
        <v>36892</v>
      </c>
      <c r="BX6" s="59">
        <v>37257</v>
      </c>
      <c r="BY6" s="59">
        <v>37622</v>
      </c>
      <c r="BZ6" s="59">
        <v>37987</v>
      </c>
      <c r="CA6" s="59">
        <v>36923</v>
      </c>
      <c r="CB6" s="59">
        <v>37288</v>
      </c>
      <c r="CC6" s="59">
        <v>37653</v>
      </c>
      <c r="CD6" s="59">
        <v>38018</v>
      </c>
      <c r="CE6" s="59" t="str">
        <f>Sheet8!A15</f>
        <v>Mar-w1</v>
      </c>
      <c r="CF6" s="59" t="str">
        <f>Sheet8!B15</f>
        <v>Mar-w2</v>
      </c>
      <c r="CG6" s="59" t="str">
        <f>Sheet8!C15</f>
        <v>Mar-w3</v>
      </c>
      <c r="CH6" s="59" t="str">
        <f>Sheet8!D15</f>
        <v>Mar-w4</v>
      </c>
      <c r="CI6" s="59" t="str">
        <f>Sheet8!E15</f>
        <v>Apr-w1</v>
      </c>
      <c r="CJ6" s="59" t="str">
        <f>Sheet8!F15</f>
        <v>Apr-w2</v>
      </c>
      <c r="CK6" s="59" t="str">
        <f>Sheet8!G15</f>
        <v>Apr-w3</v>
      </c>
      <c r="CL6" s="59" t="str">
        <f>Sheet8!H15</f>
        <v>Apr-w4</v>
      </c>
      <c r="CM6" s="59" t="str">
        <f>Sheet8!I15</f>
        <v>May-w1</v>
      </c>
      <c r="CN6" s="59" t="str">
        <f>Sheet8!J15</f>
        <v>May-w2</v>
      </c>
      <c r="CO6" s="59" t="str">
        <f>Sheet8!K15</f>
        <v>May-w3</v>
      </c>
      <c r="CP6" s="59" t="str">
        <f>Sheet8!L15</f>
        <v>May-w4</v>
      </c>
      <c r="CQ6" s="59" t="str">
        <f>Sheet8!M15</f>
        <v>May-w5</v>
      </c>
      <c r="CR6" s="59" t="str">
        <f>Sheet8!N15</f>
        <v>june-w1</v>
      </c>
      <c r="CS6" s="59" t="str">
        <f>Sheet8!O15</f>
        <v>june-w2</v>
      </c>
      <c r="CT6" s="59" t="str">
        <f>Sheet8!P15</f>
        <v>june-w3</v>
      </c>
      <c r="CU6" s="59" t="str">
        <f>Sheet8!Q15</f>
        <v>june-w4</v>
      </c>
      <c r="CV6" s="59" t="str">
        <f>Sheet8!R15</f>
        <v>Jul-w1</v>
      </c>
      <c r="CW6" s="59" t="str">
        <f>Sheet8!S15</f>
        <v>Jul-w2</v>
      </c>
      <c r="CX6" s="59" t="str">
        <f>Sheet8!T15</f>
        <v>Jul-w3</v>
      </c>
      <c r="CY6" s="59" t="str">
        <f>Sheet8!U15</f>
        <v>Jul-w4</v>
      </c>
      <c r="CZ6" s="59" t="str">
        <f>Sheet8!V15</f>
        <v>Aug-w1</v>
      </c>
      <c r="DA6" s="59" t="str">
        <f>Sheet8!W15</f>
        <v>Aug-w2</v>
      </c>
      <c r="DB6" s="59" t="str">
        <f>Sheet8!X15</f>
        <v>Aug-w3</v>
      </c>
      <c r="DC6" s="59" t="str">
        <f>Sheet8!Y15</f>
        <v>Aug-w4</v>
      </c>
      <c r="DD6" s="59" t="str">
        <f>Sheet8!Z15</f>
        <v>Sep-w1</v>
      </c>
      <c r="DE6" s="59" t="str">
        <f>Sheet8!AA15</f>
        <v>Sep-w2</v>
      </c>
      <c r="DF6" s="59" t="str">
        <f>Sheet8!AB15</f>
        <v>Sep-w3</v>
      </c>
      <c r="DG6" s="59" t="str">
        <f>Sheet8!AC15</f>
        <v>Sep-w4</v>
      </c>
      <c r="DH6" s="59" t="str">
        <f>Sheet8!AD15</f>
        <v>Oct-w1</v>
      </c>
      <c r="DI6" s="59" t="str">
        <f>Sheet8!AE15</f>
        <v>Oct-w2</v>
      </c>
      <c r="DJ6" s="59" t="str">
        <f>Sheet8!AF15</f>
        <v>Oct-w3</v>
      </c>
      <c r="DK6" s="59" t="str">
        <f>Sheet8!AG15</f>
        <v>Oct-w4</v>
      </c>
      <c r="DL6" s="59" t="str">
        <f>Sheet8!AH15</f>
        <v>Nov-w1</v>
      </c>
      <c r="DM6" s="59" t="str">
        <f>Sheet8!AI15</f>
        <v>Nov-w2</v>
      </c>
      <c r="DN6" s="59" t="str">
        <f>Sheet8!AJ15</f>
        <v>Nov-w3</v>
      </c>
      <c r="DO6" s="59" t="str">
        <f>Sheet8!AK15</f>
        <v>Nov-w4</v>
      </c>
      <c r="DP6" s="59" t="str">
        <f>Sheet8!AL15</f>
        <v>Dec-w1</v>
      </c>
      <c r="DQ6" s="59" t="str">
        <f>Sheet8!AM15</f>
        <v>Dec-w2</v>
      </c>
      <c r="DR6" s="59" t="str">
        <f>Sheet8!AN15</f>
        <v>Dec-w3</v>
      </c>
      <c r="DS6" s="59" t="str">
        <f>Sheet8!AO15</f>
        <v>Dec-w4</v>
      </c>
      <c r="DT6" s="59">
        <f>Sheet8!AP15</f>
        <v>0</v>
      </c>
      <c r="DU6" s="59">
        <f>Sheet8!AQ15</f>
        <v>0</v>
      </c>
      <c r="DV6" s="59">
        <f>Sheet8!AR15</f>
        <v>0</v>
      </c>
      <c r="DW6" s="59">
        <f>Sheet8!AS15</f>
        <v>0</v>
      </c>
      <c r="DX6" s="59">
        <f>Sheet8!AT15</f>
        <v>0</v>
      </c>
      <c r="DY6" s="59">
        <f>Sheet8!AU15</f>
        <v>0</v>
      </c>
      <c r="DZ6" s="59">
        <f>Sheet8!AV15</f>
        <v>0</v>
      </c>
      <c r="EA6" s="59">
        <f>Sheet8!AW15</f>
        <v>0</v>
      </c>
      <c r="EB6" s="59">
        <f>Sheet8!AX15</f>
        <v>0</v>
      </c>
      <c r="EC6" s="59">
        <f>Sheet8!AY15</f>
        <v>0</v>
      </c>
      <c r="ED6" s="59">
        <f>Sheet8!AZ15</f>
        <v>0</v>
      </c>
      <c r="EE6" s="59">
        <f>Sheet8!BA15</f>
        <v>0</v>
      </c>
      <c r="EF6" s="59">
        <f>Sheet8!BB15</f>
        <v>0</v>
      </c>
    </row>
    <row r="7" spans="1:136">
      <c r="B7" s="44"/>
      <c r="D7" s="44"/>
      <c r="F7" s="60" t="s">
        <v>651</v>
      </c>
      <c r="H7" s="178" t="s">
        <v>49</v>
      </c>
      <c r="I7" s="74">
        <f>VLOOKUP($H$7&amp;$F$1,'Input RM sheet'!$A:$BD,H1,0)</f>
        <v>1317</v>
      </c>
      <c r="J7" s="74">
        <f>VLOOKUP($H$7&amp;$F$1,'Input RM sheet'!$A:$BD,I1,0)</f>
        <v>1295</v>
      </c>
      <c r="K7" s="74">
        <f>VLOOKUP($H$7&amp;$F$1,'Input RM sheet'!$A:$BD,J1,0)</f>
        <v>1269</v>
      </c>
      <c r="L7" s="74">
        <f>VLOOKUP($H$7&amp;$F$1,'Input RM sheet'!$A:$BD,K1,0)</f>
        <v>1072</v>
      </c>
      <c r="M7" s="74">
        <f>VLOOKUP($H$7&amp;$F$1,'Input RM sheet'!$A:$BD,L1,0)</f>
        <v>990.17</v>
      </c>
      <c r="N7" s="74">
        <f>VLOOKUP($H$7&amp;$F$1,'Input RM sheet'!$A:$BD,M1,0)</f>
        <v>1074</v>
      </c>
      <c r="O7" s="74">
        <f>VLOOKUP($H$7&amp;$F$1,'Input RM sheet'!$A:$BD,N1,0)</f>
        <v>1170</v>
      </c>
      <c r="P7" s="74">
        <f>VLOOKUP($H$7&amp;$F$1,'Input RM sheet'!$A:$BD,O1,0)</f>
        <v>1228</v>
      </c>
      <c r="Q7" s="74">
        <f>VLOOKUP($H$7&amp;$F$1,'Input RM sheet'!$A:$BD,P1,0)</f>
        <v>1223</v>
      </c>
      <c r="R7" s="74">
        <f>VLOOKUP($H$7&amp;$F$1,'Input RM sheet'!$A:$BD,Q1,0)</f>
        <v>1212</v>
      </c>
      <c r="S7" s="74">
        <f>VLOOKUP($H$7&amp;$F$1,'Input RM sheet'!$A:$BD,R1,0)</f>
        <v>1220</v>
      </c>
      <c r="T7" s="74">
        <f>VLOOKUP($H$7&amp;$F$1,'Input RM sheet'!$A:$BD,S1,0)</f>
        <v>1273</v>
      </c>
      <c r="U7" s="74">
        <f>VLOOKUP($H$7&amp;$F$1,'Input RM sheet'!$A:$BD,T1,0)</f>
        <v>1312</v>
      </c>
      <c r="V7" s="74">
        <f>VLOOKUP($H$7&amp;$F$1,'Input RM sheet'!$A:$BD,U1,0)</f>
        <v>1371</v>
      </c>
      <c r="W7" s="74">
        <f>VLOOKUP($H$7&amp;$F$1,'Input RM sheet'!$A:$BD,V1,0)</f>
        <v>1421</v>
      </c>
      <c r="X7" s="74">
        <f>VLOOKUP($H$7&amp;$F$1,'Input RM sheet'!$A:$BD,W1,0)</f>
        <v>1466</v>
      </c>
      <c r="Y7" s="74">
        <f>VLOOKUP($H$7&amp;$F$1,'Input RM sheet'!$A:$BD,X1,0)</f>
        <v>1494</v>
      </c>
      <c r="Z7" s="74">
        <f>VLOOKUP($H$7&amp;$F$1,'Input RM sheet'!$A:$BD,Y1,0)</f>
        <v>1509</v>
      </c>
      <c r="AA7" s="74">
        <f>VLOOKUP($H$7&amp;$F$1,'Input RM sheet'!$A:$BD,Z1,0)</f>
        <v>1521</v>
      </c>
      <c r="AB7" s="74">
        <f>VLOOKUP($H$7&amp;$F$1,'Input RM sheet'!$A:$BD,AA1,0)</f>
        <v>1563</v>
      </c>
      <c r="AC7" s="74">
        <f>VLOOKUP($H$7&amp;$F$1,'Input RM sheet'!$A:$BD,AB1,0)</f>
        <v>1556</v>
      </c>
      <c r="AD7" s="74">
        <f>VLOOKUP($H$7&amp;$F$1,'Input RM sheet'!$A:$BD,AC1,0)</f>
        <v>1556</v>
      </c>
      <c r="AE7" s="74">
        <f>VLOOKUP($H$7&amp;$F$1,'Input RM sheet'!$A:$BD,AD1,0)</f>
        <v>1615</v>
      </c>
      <c r="AF7" s="74">
        <f>VLOOKUP($H$7&amp;$F$1,'Input RM sheet'!$A:$BD,AE1,0)</f>
        <v>1592</v>
      </c>
      <c r="AG7" s="74">
        <f>VLOOKUP($H$7&amp;$F$1,'Input RM sheet'!$A:$BD,AF1,0)</f>
        <v>1594</v>
      </c>
      <c r="AH7" s="74">
        <f>VLOOKUP($H$7&amp;$F$1,'Input RM sheet'!$A:$BD,AG1,0)</f>
        <v>1658</v>
      </c>
      <c r="AI7" s="74">
        <f>VLOOKUP($H$7&amp;$F$1,'Input RM sheet'!$A:$BD,AH1,0)</f>
        <v>1693</v>
      </c>
      <c r="AJ7" s="74">
        <f>VLOOKUP($H$7&amp;$F$1,'Input RM sheet'!$A:$BD,AI1,0)</f>
        <v>1916</v>
      </c>
      <c r="AK7" s="74">
        <f>VLOOKUP($H$7&amp;$F$1,'Input RM sheet'!$A:$BD,AJ1,0)</f>
        <v>1815</v>
      </c>
      <c r="AL7" s="74">
        <f>VLOOKUP($H$7&amp;$F$1,'Input RM sheet'!$A:$BD,AK1,0)</f>
        <v>1813</v>
      </c>
      <c r="AM7" s="74">
        <f>VLOOKUP($H$7&amp;$F$1,'Input RM sheet'!$A:$BD,AL1,0)</f>
        <v>1668</v>
      </c>
      <c r="AN7" s="74">
        <f>VLOOKUP($H$7&amp;$F$1,'Input RM sheet'!$A:$BD,AM1,0)</f>
        <v>1599</v>
      </c>
      <c r="AO7" s="74">
        <f>VLOOKUP($H$7&amp;$F$1,'Input RM sheet'!$A:$BD,AN1,0)</f>
        <v>1472</v>
      </c>
      <c r="AP7" s="74">
        <f>VLOOKUP($H$7&amp;$F$1,'Input RM sheet'!$A:$BD,AO1,0)</f>
        <v>1423</v>
      </c>
      <c r="AQ7" s="74">
        <f>VLOOKUP($H$7&amp;$F$1,'Input RM sheet'!$A:$BD,AP1,0)</f>
        <v>1507</v>
      </c>
      <c r="AR7" s="74">
        <f>VLOOKUP($H$7&amp;$F$1,'Input RM sheet'!$A:$BD,AQ1,0)</f>
        <v>1542</v>
      </c>
      <c r="AS7" s="74">
        <f>VLOOKUP($H$7&amp;$F$1,'Input RM sheet'!$A:$BD,AR1,0)</f>
        <v>1488</v>
      </c>
      <c r="AT7" s="74">
        <f>VLOOKUP($H$7&amp;$F$1,'Input RM sheet'!$A:$BD,AS1,0)</f>
        <v>1549</v>
      </c>
      <c r="AU7" s="74">
        <f>VLOOKUP($H$7&amp;$F$1,'Input RM sheet'!$A:$BD,AT1,0)</f>
        <v>1574</v>
      </c>
      <c r="AV7" s="74">
        <f>VLOOKUP($H$7&amp;$F$1,'Input RM sheet'!$A:$BD,AU1,0)</f>
        <v>1561</v>
      </c>
      <c r="AW7" s="74">
        <f>VLOOKUP($H$7&amp;$F$1,'Input RM sheet'!$A:$BD,AV1,0)</f>
        <v>1537</v>
      </c>
      <c r="AX7" s="74">
        <f>VLOOKUP($H$7&amp;$F$1,'Input RM sheet'!$A:$BD,AW1,0)</f>
        <v>1460</v>
      </c>
      <c r="AY7" s="74">
        <f>VLOOKUP($H$7&amp;$F$1,'Input RM sheet'!$A:$BD,AX1,0)</f>
        <v>1460</v>
      </c>
      <c r="AZ7" s="74">
        <f>VLOOKUP($H$7&amp;$F$1,'Input RM sheet'!$A:$BD,AY1,0)</f>
        <v>1460</v>
      </c>
      <c r="BA7" s="74">
        <f>VLOOKUP($H$7&amp;$F$1,'Input RM sheet'!$A:$BD,AZ1,0)</f>
        <v>1460</v>
      </c>
      <c r="BB7" s="74">
        <f>VLOOKUP($H$7&amp;$F$1,'Input RM sheet'!$A:$BD,BA1,0)</f>
        <v>1433</v>
      </c>
      <c r="BC7" s="74">
        <f>VLOOKUP($H$7&amp;$F$1,'Input RM sheet'!$A:$BD,BB1,0)</f>
        <v>1433</v>
      </c>
      <c r="BD7" s="74">
        <f>VLOOKUP($H$7&amp;$F$1,'Input RM sheet'!$A:$BD,BC1,0)</f>
        <v>1433</v>
      </c>
      <c r="BE7" s="74">
        <f>VLOOKUP($H$7&amp;$F$1,'Input RM sheet'!$A:$BD,BD1,0)</f>
        <v>1433</v>
      </c>
      <c r="BF7" s="74">
        <f>VLOOKUP($H$7&amp;$F$1,'Input RM sheet'!$A:$BD,BE1,0)</f>
        <v>1433</v>
      </c>
      <c r="BG7" s="74">
        <f>VLOOKUP($H$7&amp;$F$1,'Input RM sheet'!$A:$DD,BF1,0)</f>
        <v>1414</v>
      </c>
      <c r="BH7" s="74">
        <f>VLOOKUP($H$7&amp;$F$1,'Input RM sheet'!$A:$DD,BG1,0)</f>
        <v>1414</v>
      </c>
      <c r="BI7" s="74">
        <f>VLOOKUP($H$7&amp;$F$1,'Input RM sheet'!$A:$DD,BH1,0)</f>
        <v>1449</v>
      </c>
      <c r="BJ7" s="74">
        <f>VLOOKUP($H$7&amp;$F$1,'Input RM sheet'!$A:$DD,BI1,0)</f>
        <v>1449</v>
      </c>
      <c r="BK7" s="74">
        <f>VLOOKUP($H$7&amp;$F$1,'Input RM sheet'!$A:$DD,BJ1,0)</f>
        <v>1449</v>
      </c>
      <c r="BL7" s="74">
        <f>VLOOKUP($H$7&amp;$F$1,'Input RM sheet'!$A:$DD,BK1,0)</f>
        <v>1449</v>
      </c>
      <c r="BM7" s="74">
        <f>VLOOKUP($H$7&amp;$F$1,'Input RM sheet'!$A:$DD,BL1,0)</f>
        <v>1449</v>
      </c>
      <c r="BN7" s="74">
        <f>VLOOKUP($H$7&amp;$F$1,'Input RM sheet'!$A:$DD,BM1,0)</f>
        <v>1488</v>
      </c>
      <c r="BO7" s="74">
        <f>VLOOKUP($H$7&amp;$F$1,'Input RM sheet'!$A:$DD,BN1,0)</f>
        <v>1488</v>
      </c>
      <c r="BP7" s="74">
        <f>VLOOKUP($H$7&amp;$F$1,'Input RM sheet'!$A:$DD,BO1,0)</f>
        <v>1488</v>
      </c>
      <c r="BQ7" s="74">
        <f>VLOOKUP($H$7&amp;$F$1,'Input RM sheet'!$A:$DD,BP1,0)</f>
        <v>1488</v>
      </c>
      <c r="BR7" s="74">
        <f>VLOOKUP($H$7&amp;$F$1,'Input RM sheet'!$A:$DD,BQ1,0)</f>
        <v>1488</v>
      </c>
      <c r="BS7" s="74">
        <f>VLOOKUP($H$7&amp;$F$1,'Input RM sheet'!$A:$DD,BR1,0)</f>
        <v>1470</v>
      </c>
      <c r="BT7" s="74">
        <f>VLOOKUP($H$7&amp;$F$1,'Input RM sheet'!$A:$DD,BS1,0)</f>
        <v>1463</v>
      </c>
      <c r="BU7" s="74">
        <f>VLOOKUP($H$7&amp;$F$1,'Input RM sheet'!$A:$DD,BT1,0)</f>
        <v>1466</v>
      </c>
      <c r="BV7" s="74">
        <f>VLOOKUP($H$7&amp;$F$1,'Input RM sheet'!$A:$DD,BU1,0)</f>
        <v>1472</v>
      </c>
      <c r="BW7" s="74">
        <f>VLOOKUP($H$7&amp;$F$1,'Input RM sheet'!$A:$DD,BV1,0)</f>
        <v>1472</v>
      </c>
      <c r="BX7" s="74">
        <f>VLOOKUP($H$7&amp;$F$1,'Input RM sheet'!$A:$DD,BW1,0)</f>
        <v>1472</v>
      </c>
      <c r="BY7" s="74">
        <f>VLOOKUP($H$7&amp;$F$1,'Input RM sheet'!$A:$DD,BX1,0)</f>
        <v>1472</v>
      </c>
      <c r="BZ7" s="74">
        <f>VLOOKUP($H$7&amp;$F$1,'Input RM sheet'!$A:$DD,BY1,0)</f>
        <v>1430</v>
      </c>
      <c r="CA7" s="74">
        <f>VLOOKUP($H$7&amp;$F$1,'Input RM sheet'!$A:$DD,BZ1,0)</f>
        <v>1430</v>
      </c>
      <c r="CB7" s="74">
        <f>VLOOKUP($H$7&amp;$F$1,'Input RM sheet'!$A:$DD,CA1,0)</f>
        <v>1430</v>
      </c>
      <c r="CC7" s="74">
        <f>VLOOKUP($H$7&amp;$F$1,'Input RM sheet'!$A:$DD,CB1,0)</f>
        <v>1430</v>
      </c>
      <c r="CD7" s="74">
        <f>VLOOKUP($H$7&amp;$F$1,'Input RM sheet'!$A:$DD,CC1,0)</f>
        <v>1430</v>
      </c>
      <c r="CE7" s="74">
        <f>VLOOKUP($H$7&amp;$F$1,'Input RM sheet'!$A:$DD,CD1,0)</f>
        <v>1416</v>
      </c>
      <c r="CF7" s="74">
        <f>VLOOKUP($H$7&amp;$F$1,'Input RM sheet'!$A:$DD,CE1,0)</f>
        <v>1416</v>
      </c>
      <c r="CG7" s="74">
        <f>VLOOKUP($H$7&amp;$F$1,'Input RM sheet'!$A:$DD,CF1,0)</f>
        <v>1416</v>
      </c>
      <c r="CH7" s="74">
        <f>VLOOKUP($H$7&amp;$F$1,'Input RM sheet'!$A:$DD,CG1,0)</f>
        <v>1452</v>
      </c>
      <c r="CI7" s="74">
        <f>VLOOKUP($H$7&amp;$F$1,'Input RM sheet'!$A:$DD,CH1,0)</f>
        <v>1452</v>
      </c>
      <c r="CJ7" s="74">
        <f>VLOOKUP($H$7&amp;$F$1,'Input RM sheet'!$A:$DD,CI1,0)</f>
        <v>1452</v>
      </c>
      <c r="CK7" s="74">
        <f>VLOOKUP($H$7&amp;$F$1,'Input RM sheet'!$A:$DD,CJ1,0)</f>
        <v>1452</v>
      </c>
      <c r="CL7" s="74">
        <f>VLOOKUP($H$7&amp;$F$1,'Input RM sheet'!$A:$DD,CK1,0)</f>
        <v>1457</v>
      </c>
      <c r="CM7" s="74">
        <f>VLOOKUP($H$7&amp;$F$1,'Input RM sheet'!$A:$DD,CL1,0)</f>
        <v>1457</v>
      </c>
      <c r="CN7" s="74">
        <f>VLOOKUP($H$7&amp;$F$1,'Input RM sheet'!$A:$DD,CM1,0)</f>
        <v>1465</v>
      </c>
      <c r="CO7" s="74">
        <f>VLOOKUP($H$7&amp;$F$1,'Input RM sheet'!$A:$DD,CN1,0)</f>
        <v>1465</v>
      </c>
      <c r="CP7" s="74">
        <f>VLOOKUP($H$7&amp;$F$1,'Input RM sheet'!$A:$DD,CO1,0)</f>
        <v>1465</v>
      </c>
      <c r="CQ7" s="74">
        <f>VLOOKUP($H$7&amp;$F$1,'Input RM sheet'!$A:$DD,CP1,0)</f>
        <v>1465</v>
      </c>
      <c r="CR7" s="74">
        <f>VLOOKUP($H$7&amp;$F$1,'Input RM sheet'!$A:$DD,CQ1,0)</f>
        <v>1470</v>
      </c>
      <c r="CS7" s="74">
        <f>VLOOKUP($H$7&amp;$F$1,'Input RM sheet'!$A:$DD,CR1,0)</f>
        <v>1470</v>
      </c>
      <c r="CT7" s="74">
        <f>VLOOKUP($H$7&amp;$F$1,'Input RM sheet'!$A:$DD,CS1,0)</f>
        <v>1470</v>
      </c>
      <c r="CU7" s="74">
        <f>VLOOKUP($H$7&amp;$F$1,'Input RM sheet'!$A:$DD,CT1,0)</f>
        <v>1438</v>
      </c>
      <c r="CV7" s="74">
        <f>VLOOKUP($H$7&amp;$F$1,'Input RM sheet'!$A:$DD,CU1,0)</f>
        <v>1438</v>
      </c>
      <c r="CW7" s="74">
        <f>VLOOKUP($H$7&amp;$F$1,'Input RM sheet'!$A:$ZZ,CV1,0)</f>
        <v>1438</v>
      </c>
      <c r="CX7" s="74">
        <f>VLOOKUP($H$7&amp;$F$1,'Input RM sheet'!$A:$ZZ,CW1,0)</f>
        <v>1438</v>
      </c>
      <c r="CY7" s="74">
        <f>VLOOKUP($H$7&amp;$F$1,'Input RM sheet'!$A:$ZZ,CX1,0)</f>
        <v>1450</v>
      </c>
      <c r="CZ7" s="74">
        <f>VLOOKUP($H$7&amp;$F$1,'Input RM sheet'!$A:$ZZ,CY1,0)</f>
        <v>1450</v>
      </c>
      <c r="DA7" s="74">
        <f>VLOOKUP($H$7&amp;$F$1,'Input RM sheet'!$A:$ZZ,CZ1,0)</f>
        <v>1450</v>
      </c>
      <c r="DB7" s="74">
        <f>VLOOKUP($H$7&amp;$F$1,'Input RM sheet'!$A:$ZZ,DA1,0)</f>
        <v>1450</v>
      </c>
      <c r="DC7" s="74">
        <f>VLOOKUP($H$7&amp;$F$1,'Input RM sheet'!$A:$ZZ,DB1,0)</f>
        <v>1450</v>
      </c>
      <c r="DD7" s="74">
        <f>VLOOKUP($H$7&amp;$F$1,'Input RM sheet'!$A:$ZZ,DC1,0)</f>
        <v>1489</v>
      </c>
      <c r="DE7" s="74">
        <f>VLOOKUP($H$7&amp;$F$1,'Input RM sheet'!$A:$ZZ,DD1,0)</f>
        <v>1489</v>
      </c>
      <c r="DF7" s="74">
        <f>VLOOKUP($H$7&amp;$F$1,'Input RM sheet'!$A:$ZZ,DE1,0)</f>
        <v>1489</v>
      </c>
      <c r="DG7" s="74">
        <f>VLOOKUP($H$7&amp;$F$1,'Input RM sheet'!$A:$ZZ,DF1,0)</f>
        <v>1489</v>
      </c>
      <c r="DH7" s="74">
        <f>VLOOKUP($H$7&amp;$F$1,'Input RM sheet'!$A:$ZZ,DG1,0)</f>
        <v>1480</v>
      </c>
      <c r="DI7" s="74">
        <f>VLOOKUP($H$7&amp;$F$1,'Input RM sheet'!$A:$ZZ,DH1,0)</f>
        <v>1480</v>
      </c>
      <c r="DJ7" s="74">
        <f>VLOOKUP($H$7&amp;$F$1,'Input RM sheet'!$A:$ZZ,DI1,0)</f>
        <v>1480</v>
      </c>
      <c r="DK7" s="74">
        <f>VLOOKUP($H$7&amp;$F$1,'Input RM sheet'!$A:$ZZ,DJ1,0)</f>
        <v>1480</v>
      </c>
      <c r="DL7" s="74">
        <f>VLOOKUP($H$7&amp;$F$1,'Input RM sheet'!$A:$ZZ,DK1,0)</f>
        <v>1424</v>
      </c>
      <c r="DM7" s="74">
        <f>VLOOKUP($H$7&amp;$F$1,'Input RM sheet'!$A:$ZZ,DL1,0)</f>
        <v>1437</v>
      </c>
      <c r="DN7" s="74">
        <f>VLOOKUP($H$7&amp;$F$1,'Input RM sheet'!$A:$ZZ,DM1,0)</f>
        <v>1416</v>
      </c>
      <c r="DO7" s="74">
        <f>VLOOKUP($H$7&amp;$F$1,'Input RM sheet'!$A:$ZZ,DN1,0)</f>
        <v>1413</v>
      </c>
      <c r="DP7" s="74">
        <f>VLOOKUP($H$7&amp;$F$1,'Input RM sheet'!$A:$ZZ,DO1,0)</f>
        <v>1413</v>
      </c>
      <c r="DQ7" s="74">
        <f>VLOOKUP($H$7&amp;$F$1,'Input RM sheet'!$A:$ZZ,DP1,0)</f>
        <v>1413</v>
      </c>
      <c r="DR7" s="74">
        <f>VLOOKUP($H$7&amp;$F$1,'Input RM sheet'!$A:$ZZ,DQ1,0)</f>
        <v>1413</v>
      </c>
      <c r="DS7" s="74">
        <f>VLOOKUP($H$7&amp;$F$1,'Input RM sheet'!$A:$ZZ,DR1,0)</f>
        <v>1395</v>
      </c>
      <c r="DT7" s="74">
        <f>VLOOKUP($H$7&amp;$F$1,'Input RM sheet'!$A:$ZZ,DS1,0)</f>
        <v>0</v>
      </c>
      <c r="DU7" s="74">
        <f>VLOOKUP($H$7&amp;$F$1,'Input RM sheet'!$A:$ZZ,DT1,0)</f>
        <v>0</v>
      </c>
      <c r="DV7" s="74">
        <f>VLOOKUP($H$7&amp;$F$1,'Input RM sheet'!$A:$ZZ,DU1,0)</f>
        <v>0</v>
      </c>
      <c r="DW7" s="74">
        <f>VLOOKUP($H$7&amp;$F$1,'Input RM sheet'!$A:$ZZ,DV1,0)</f>
        <v>0</v>
      </c>
      <c r="DX7" s="74">
        <f>VLOOKUP($H$7&amp;$F$1,'Input RM sheet'!$A:$ZZ,DW1,0)</f>
        <v>0</v>
      </c>
      <c r="DY7" s="74">
        <f>VLOOKUP($H$7&amp;$F$1,'Input RM sheet'!$A:$ZZ,DX1,0)</f>
        <v>0</v>
      </c>
      <c r="DZ7" s="74">
        <f>VLOOKUP($H$7&amp;$F$1,'Input RM sheet'!$A:$ZZ,DY1,0)</f>
        <v>0</v>
      </c>
      <c r="EA7" s="74">
        <f>VLOOKUP($H$7&amp;$F$1,'Input RM sheet'!$A:$ZZ,DZ1,0)</f>
        <v>0</v>
      </c>
      <c r="EB7" s="74">
        <f>VLOOKUP($H$7&amp;$F$1,'Input RM sheet'!$A:$ZZ,EA1,0)</f>
        <v>0</v>
      </c>
      <c r="EC7" s="74">
        <f>VLOOKUP($H$7&amp;$F$1,'Input RM sheet'!$A:$ZZ,EB1,0)</f>
        <v>0</v>
      </c>
      <c r="ED7" s="74">
        <f>VLOOKUP($H$7&amp;$F$1,'Input RM sheet'!$A:$ZZ,EC1,0)</f>
        <v>0</v>
      </c>
      <c r="EE7" s="74">
        <f>VLOOKUP($H$7&amp;$F$1,'Input RM sheet'!$A:$ZZ,ED1,0)</f>
        <v>0</v>
      </c>
      <c r="EF7" s="74">
        <f>VLOOKUP($H$7&amp;$F$1,'Input RM sheet'!$A:$ZZ,EE1,0)</f>
        <v>0</v>
      </c>
    </row>
    <row r="8" spans="1:136">
      <c r="B8" s="44"/>
      <c r="D8" s="44"/>
      <c r="H8" s="178" t="s">
        <v>36</v>
      </c>
      <c r="I8" s="74">
        <f>VLOOKUP($H$8&amp;$F$1,'Input RM sheet'!$A:$BD,H1,0)</f>
        <v>262.5</v>
      </c>
      <c r="J8" s="74">
        <f>VLOOKUP($H$8&amp;$F$1,'Input RM sheet'!$A:$BD,I1,0)</f>
        <v>322.5</v>
      </c>
      <c r="K8" s="74">
        <f>VLOOKUP($H$8&amp;$F$1,'Input RM sheet'!$A:$BD,J1,0)</f>
        <v>285</v>
      </c>
      <c r="L8" s="74">
        <f>VLOOKUP($H$8&amp;$F$1,'Input RM sheet'!$A:$BD,K1,0)</f>
        <v>210</v>
      </c>
      <c r="M8" s="74">
        <f>VLOOKUP($H$8&amp;$F$1,'Input RM sheet'!$A:$BD,L1,0)</f>
        <v>175</v>
      </c>
      <c r="N8" s="74">
        <f>VLOOKUP($H$8&amp;$F$1,'Input RM sheet'!$A:$BD,M1,0)</f>
        <v>167.5</v>
      </c>
      <c r="O8" s="74">
        <f>VLOOKUP($H$8&amp;$F$1,'Input RM sheet'!$A:$BD,N1,0)</f>
        <v>180</v>
      </c>
      <c r="P8" s="74">
        <f>VLOOKUP($H$8&amp;$F$1,'Input RM sheet'!$A:$BD,O1,0)</f>
        <v>220</v>
      </c>
      <c r="Q8" s="74">
        <f>VLOOKUP($H$8&amp;$F$1,'Input RM sheet'!$A:$BD,P1,0)</f>
        <v>230</v>
      </c>
      <c r="R8" s="74">
        <f>VLOOKUP($H$8&amp;$F$1,'Input RM sheet'!$A:$BD,Q1,0)</f>
        <v>240</v>
      </c>
      <c r="S8" s="74">
        <f>VLOOKUP($H$8&amp;$F$1,'Input RM sheet'!$A:$BD,R1,0)</f>
        <v>270</v>
      </c>
      <c r="T8" s="74">
        <f>VLOOKUP($H$8&amp;$F$1,'Input RM sheet'!$A:$BD,S1,0)</f>
        <v>300</v>
      </c>
      <c r="U8" s="74">
        <f>VLOOKUP($H$8&amp;$F$1,'Input RM sheet'!$A:$BD,T1,0)</f>
        <v>360</v>
      </c>
      <c r="V8" s="74">
        <f>VLOOKUP($H$8&amp;$F$1,'Input RM sheet'!$A:$BD,U1,0)</f>
        <v>365</v>
      </c>
      <c r="W8" s="74">
        <f>VLOOKUP($H$8&amp;$F$1,'Input RM sheet'!$A:$BD,V1,0)</f>
        <v>355</v>
      </c>
      <c r="X8" s="74">
        <f>VLOOKUP($H$8&amp;$F$1,'Input RM sheet'!$A:$BD,W1,0)</f>
        <v>340</v>
      </c>
      <c r="Y8" s="74">
        <f>VLOOKUP($H$8&amp;$F$1,'Input RM sheet'!$A:$BD,X1,0)</f>
        <v>347.5</v>
      </c>
      <c r="Z8" s="74">
        <f>VLOOKUP($H$8&amp;$F$1,'Input RM sheet'!$A:$BD,Y1,0)</f>
        <v>357.5</v>
      </c>
      <c r="AA8" s="74">
        <f>VLOOKUP($H$8&amp;$F$1,'Input RM sheet'!$A:$BD,Z1,0)</f>
        <v>360</v>
      </c>
      <c r="AB8" s="74">
        <f>VLOOKUP($H$8&amp;$F$1,'Input RM sheet'!$A:$BD,AA1,0)</f>
        <v>370</v>
      </c>
      <c r="AC8" s="74">
        <f>VLOOKUP($H$8&amp;$F$1,'Input RM sheet'!$A:$BD,AB1,0)</f>
        <v>390</v>
      </c>
      <c r="AD8" s="74">
        <f>VLOOKUP($H$8&amp;$F$1,'Input RM sheet'!$A:$BD,AC1,0)</f>
        <v>467.5</v>
      </c>
      <c r="AE8" s="74">
        <f>VLOOKUP($H$8&amp;$F$1,'Input RM sheet'!$A:$BD,AD1,0)</f>
        <v>392.5</v>
      </c>
      <c r="AF8" s="74">
        <f>VLOOKUP($H$8&amp;$F$1,'Input RM sheet'!$A:$BD,AE1,0)</f>
        <v>340</v>
      </c>
      <c r="AG8" s="74">
        <f>VLOOKUP($H$8&amp;$F$1,'Input RM sheet'!$A:$BD,AF1,0)</f>
        <v>310</v>
      </c>
      <c r="AH8" s="74">
        <f>VLOOKUP($H$8&amp;$F$1,'Input RM sheet'!$A:$BD,AG1,0)</f>
        <v>390</v>
      </c>
      <c r="AI8" s="74">
        <f>VLOOKUP($H$8&amp;$F$1,'Input RM sheet'!$A:$BD,AH1,0)</f>
        <v>430</v>
      </c>
      <c r="AJ8" s="74">
        <f>VLOOKUP($H$8&amp;$F$1,'Input RM sheet'!$A:$BD,AI1,0)</f>
        <v>390</v>
      </c>
      <c r="AK8" s="74">
        <f>VLOOKUP($H$8&amp;$F$1,'Input RM sheet'!$A:$BD,AJ1,0)</f>
        <v>350</v>
      </c>
      <c r="AL8" s="74">
        <f>VLOOKUP($H$8&amp;$F$1,'Input RM sheet'!$A:$BD,AK1,0)</f>
        <v>340</v>
      </c>
      <c r="AM8" s="74">
        <f>VLOOKUP($H$8&amp;$F$1,'Input RM sheet'!$A:$BD,AL1,0)</f>
        <v>315</v>
      </c>
      <c r="AN8" s="74">
        <f>VLOOKUP($H$8&amp;$F$1,'Input RM sheet'!$A:$BD,AM1,0)</f>
        <v>315</v>
      </c>
      <c r="AO8" s="74">
        <f>VLOOKUP($H$8&amp;$F$1,'Input RM sheet'!$A:$BD,AN1,0)</f>
        <v>315</v>
      </c>
      <c r="AP8" s="74">
        <f>VLOOKUP($H$8&amp;$F$1,'Input RM sheet'!$A:$BD,AO1,0)</f>
        <v>325</v>
      </c>
      <c r="AQ8" s="74">
        <f>VLOOKUP($H$8&amp;$F$1,'Input RM sheet'!$A:$BD,AP1,0)</f>
        <v>325</v>
      </c>
      <c r="AR8" s="74">
        <f>VLOOKUP($H$8&amp;$F$1,'Input RM sheet'!$A:$BD,AQ1,0)</f>
        <v>315</v>
      </c>
      <c r="AS8" s="74">
        <f>VLOOKUP($H$8&amp;$F$1,'Input RM sheet'!$A:$BD,AR1,0)</f>
        <v>325</v>
      </c>
      <c r="AT8" s="74">
        <f>VLOOKUP($H$8&amp;$F$1,'Input RM sheet'!$A:$BD,AS1,0)</f>
        <v>347.5</v>
      </c>
      <c r="AU8" s="74">
        <f>VLOOKUP($H$8&amp;$F$1,'Input RM sheet'!$A:$BD,AT1,0)</f>
        <v>362.5</v>
      </c>
      <c r="AV8" s="74">
        <f>VLOOKUP($H$8&amp;$F$1,'Input RM sheet'!$A:$BD,AU1,0)</f>
        <v>335</v>
      </c>
      <c r="AW8" s="74">
        <f>VLOOKUP($H$8&amp;$F$1,'Input RM sheet'!$A:$BD,AV1,0)</f>
        <v>310</v>
      </c>
      <c r="AX8" s="74">
        <f>VLOOKUP($H$8&amp;$F$1,'Input RM sheet'!$A:$BD,AW1,0)</f>
        <v>300</v>
      </c>
      <c r="AY8" s="74">
        <f>VLOOKUP($H$8&amp;$F$1,'Input RM sheet'!$A:$BD,AX1,0)</f>
        <v>300</v>
      </c>
      <c r="AZ8" s="74">
        <f>VLOOKUP($H$8&amp;$F$1,'Input RM sheet'!$A:$BD,AY1,0)</f>
        <v>290</v>
      </c>
      <c r="BA8" s="74">
        <f>VLOOKUP($H$8&amp;$F$1,'Input RM sheet'!$A:$BD,AZ1,0)</f>
        <v>290</v>
      </c>
      <c r="BB8" s="74">
        <f>VLOOKUP($H$8&amp;$F$1,'Input RM sheet'!$A:$BD,BA1,0)</f>
        <v>290</v>
      </c>
      <c r="BC8" s="74">
        <f>VLOOKUP($H$8&amp;$F$1,'Input RM sheet'!$A:$BD,BB1,0)</f>
        <v>290</v>
      </c>
      <c r="BD8" s="74">
        <f>VLOOKUP($H$8&amp;$F$1,'Input RM sheet'!$A:$BD,BC1,0)</f>
        <v>310</v>
      </c>
      <c r="BE8" s="74">
        <f>VLOOKUP($H$8&amp;$F$1,'Input RM sheet'!$A:$ZD,BD1,0)</f>
        <v>310</v>
      </c>
      <c r="BF8" s="74">
        <f>VLOOKUP($H$8&amp;$F$1,'Input RM sheet'!$A:$ZD,BE1,0)</f>
        <v>310</v>
      </c>
      <c r="BG8" s="74">
        <f>VLOOKUP($H$8&amp;$F$1,'Input RM sheet'!$A:$ZD,BF1,0)</f>
        <v>310</v>
      </c>
      <c r="BH8" s="74">
        <f>VLOOKUP($H$8&amp;$F$1,'Input RM sheet'!$A:$ZD,BG1,0)</f>
        <v>310</v>
      </c>
      <c r="BI8" s="74">
        <f>VLOOKUP($H$8&amp;$F$1,'Input RM sheet'!$A:$ZD,BH1,0)</f>
        <v>330</v>
      </c>
      <c r="BJ8" s="74">
        <f>VLOOKUP($H$8&amp;$F$1,'Input RM sheet'!$A:$ZD,BI1,0)</f>
        <v>330</v>
      </c>
      <c r="BK8" s="74">
        <f>VLOOKUP($H$8&amp;$F$1,'Input RM sheet'!$A:$ZD,BJ1,0)</f>
        <v>330</v>
      </c>
      <c r="BL8" s="74">
        <f>VLOOKUP($H$8&amp;$F$1,'Input RM sheet'!$A:$ZD,BK1,0)</f>
        <v>330</v>
      </c>
      <c r="BM8" s="74">
        <f>VLOOKUP($H$8&amp;$F$1,'Input RM sheet'!$A:$ZD,BL1,0)</f>
        <v>330</v>
      </c>
      <c r="BN8" s="74">
        <f>VLOOKUP($H$8&amp;$F$1,'Input RM sheet'!$A:$ZD,BM1,0)</f>
        <v>330</v>
      </c>
      <c r="BO8" s="74">
        <f>VLOOKUP($H$8&amp;$F$1,'Input RM sheet'!$A:$ZD,BN1,0)</f>
        <v>330</v>
      </c>
      <c r="BP8" s="74">
        <f>VLOOKUP($H$8&amp;$F$1,'Input RM sheet'!$A:$ZD,BO1,0)</f>
        <v>315</v>
      </c>
      <c r="BQ8" s="74">
        <f>VLOOKUP($H$8&amp;$F$1,'Input RM sheet'!$A:$ZD,BP1,0)</f>
        <v>315</v>
      </c>
      <c r="BR8" s="74">
        <f>VLOOKUP($H$8&amp;$F$1,'Input RM sheet'!$A:$ZD,BQ1,0)</f>
        <v>315</v>
      </c>
      <c r="BS8" s="74">
        <f>VLOOKUP($H$8&amp;$F$1,'Input RM sheet'!$A:$ZD,BR1,0)</f>
        <v>315</v>
      </c>
      <c r="BT8" s="74">
        <f>VLOOKUP($H$8&amp;$F$1,'Input RM sheet'!$A:$ZD,BS1,0)</f>
        <v>335</v>
      </c>
      <c r="BU8" s="74">
        <f>VLOOKUP($H$8&amp;$F$1,'Input RM sheet'!$A:$ZD,BT1,0)</f>
        <v>335</v>
      </c>
      <c r="BV8" s="74">
        <f>VLOOKUP($H$8&amp;$F$1,'Input RM sheet'!$A:$ZD,BU1,0)</f>
        <v>335</v>
      </c>
      <c r="BW8" s="74">
        <f>VLOOKUP($H$8&amp;$F$1,'Input RM sheet'!$A:$ZD,BV1,0)</f>
        <v>337.5</v>
      </c>
      <c r="BX8" s="74">
        <f>VLOOKUP($H$8&amp;$F$1,'Input RM sheet'!$A:$ZD,BW1,0)</f>
        <v>337.5</v>
      </c>
      <c r="BY8" s="74">
        <f>VLOOKUP($H$8&amp;$F$1,'Input RM sheet'!$A:$ZD,BX1,0)</f>
        <v>337.5</v>
      </c>
      <c r="BZ8" s="74">
        <f>VLOOKUP($H$8&amp;$F$1,'Input RM sheet'!$A:$ZD,BY1,0)</f>
        <v>347.5</v>
      </c>
      <c r="CA8" s="74">
        <f>VLOOKUP($H$8&amp;$F$1,'Input RM sheet'!$A:$ZD,BZ1,0)</f>
        <v>347.5</v>
      </c>
      <c r="CB8" s="74">
        <f>VLOOKUP($H$8&amp;$F$1,'Input RM sheet'!$A:$ZD,CA1,0)</f>
        <v>347.5</v>
      </c>
      <c r="CC8" s="74">
        <f>VLOOKUP($H$8&amp;$F$1,'Input RM sheet'!$A:$ZD,CB1,0)</f>
        <v>347.5</v>
      </c>
      <c r="CD8" s="74">
        <f>VLOOKUP($H$8&amp;$F$1,'Input RM sheet'!$A:$ZD,CC1,0)</f>
        <v>347.5</v>
      </c>
      <c r="CE8" s="74">
        <f>VLOOKUP($H$8&amp;$F$1,'Input RM sheet'!$A:$ZD,CD1,0)</f>
        <v>347.5</v>
      </c>
      <c r="CF8" s="74">
        <f>VLOOKUP($H$8&amp;$F$1,'Input RM sheet'!$A:$ZD,CE1,0)</f>
        <v>347.5</v>
      </c>
      <c r="CG8" s="74">
        <f>VLOOKUP($H$8&amp;$F$1,'Input RM sheet'!$A:$ZD,CF1,0)</f>
        <v>355</v>
      </c>
      <c r="CH8" s="74">
        <f>VLOOKUP($H$8&amp;$F$1,'Input RM sheet'!$A:$ZD,CG1,0)</f>
        <v>355</v>
      </c>
      <c r="CI8" s="74">
        <f>VLOOKUP($H$8&amp;$F$1,'Input RM sheet'!$A:$ZD,CH1,0)</f>
        <v>345</v>
      </c>
      <c r="CJ8" s="74">
        <f>VLOOKUP($H$8&amp;$F$1,'Input RM sheet'!$A:$ZD,CI1,0)</f>
        <v>345</v>
      </c>
      <c r="CK8" s="74">
        <f>VLOOKUP($H$8&amp;$F$1,'Input RM sheet'!$A:$ZD,CJ1,0)</f>
        <v>345</v>
      </c>
      <c r="CL8" s="74">
        <f>VLOOKUP($H$8&amp;$F$1,'Input RM sheet'!$A:$ZD,CK1,0)</f>
        <v>345</v>
      </c>
      <c r="CM8" s="74">
        <f>VLOOKUP($H$8&amp;$F$1,'Input RM sheet'!$A:$ZD,CL1,0)</f>
        <v>342.5</v>
      </c>
      <c r="CN8" s="74">
        <f>VLOOKUP($H$8&amp;$F$1,'Input RM sheet'!$A:$ZD,CM1,0)</f>
        <v>342.5</v>
      </c>
      <c r="CO8" s="74">
        <f>VLOOKUP($H$8&amp;$F$1,'Input RM sheet'!$A:$ZD,CN1,0)</f>
        <v>342.5</v>
      </c>
      <c r="CP8" s="74">
        <f>VLOOKUP($H$8&amp;$F$1,'Input RM sheet'!$A:$ZD,CO1,0)</f>
        <v>342.5</v>
      </c>
      <c r="CQ8" s="74">
        <f>VLOOKUP($H$8&amp;$F$1,'Input RM sheet'!$A:$ZD,CP1,0)</f>
        <v>342.5</v>
      </c>
      <c r="CR8" s="74">
        <f>VLOOKUP($H$8&amp;$F$1,'Input RM sheet'!$A:$ZD,CQ1,0)</f>
        <v>342.5</v>
      </c>
      <c r="CS8" s="74">
        <f>VLOOKUP($H$8&amp;$F$1,'Input RM sheet'!$A:$ZD,CR1,0)</f>
        <v>340</v>
      </c>
      <c r="CT8" s="74">
        <f>VLOOKUP($H$8&amp;$F$1,'Input RM sheet'!$A:$ZD,CS1,0)</f>
        <v>340</v>
      </c>
      <c r="CU8" s="74">
        <f>VLOOKUP($H$8&amp;$F$1,'Input RM sheet'!$A:$ZD,CT1,0)</f>
        <v>340</v>
      </c>
      <c r="CV8" s="74">
        <f>VLOOKUP($H$8&amp;$F$1,'Input RM sheet'!$A:$ZD,CU1,0)</f>
        <v>340</v>
      </c>
      <c r="CW8" s="74">
        <f>VLOOKUP($H$8&amp;$F$1,'Input RM sheet'!$A:$ZZ,CV1,0)</f>
        <v>335</v>
      </c>
      <c r="CX8" s="74">
        <f>VLOOKUP($H$8&amp;$F$1,'Input RM sheet'!$A:$ZZ,CW1,0)</f>
        <v>335</v>
      </c>
      <c r="CY8" s="74">
        <f>VLOOKUP($H$8&amp;$F$1,'Input RM sheet'!$A:$ZZ,CX1,0)</f>
        <v>335</v>
      </c>
      <c r="CZ8" s="74">
        <f>VLOOKUP($H$8&amp;$F$1,'Input RM sheet'!$A:$ZZ,CY1,0)</f>
        <v>335</v>
      </c>
      <c r="DA8" s="74">
        <f>VLOOKUP($H$8&amp;$F$1,'Input RM sheet'!$A:$ZZ,CZ1,0)</f>
        <v>335</v>
      </c>
      <c r="DB8" s="74">
        <f>VLOOKUP($H$8&amp;$F$1,'Input RM sheet'!$A:$ZZ,DA1,0)</f>
        <v>335</v>
      </c>
      <c r="DC8" s="74">
        <f>VLOOKUP($H$8&amp;$F$1,'Input RM sheet'!$A:$ZZ,DB1,0)</f>
        <v>335</v>
      </c>
      <c r="DD8" s="74">
        <f>VLOOKUP($H$8&amp;$F$1,'Input RM sheet'!$A:$ZZ,DC1,0)</f>
        <v>335</v>
      </c>
      <c r="DE8" s="74">
        <f>VLOOKUP($H$8&amp;$F$1,'Input RM sheet'!$A:$ZZ,DD1,0)</f>
        <v>335</v>
      </c>
      <c r="DF8" s="74">
        <f>VLOOKUP($H$8&amp;$F$1,'Input RM sheet'!$A:$ZZ,DE1,0)</f>
        <v>335</v>
      </c>
      <c r="DG8" s="74">
        <f>VLOOKUP($H$8&amp;$F$1,'Input RM sheet'!$A:$ZZ,DF1,0)</f>
        <v>335</v>
      </c>
      <c r="DH8" s="74">
        <f>VLOOKUP($H$8&amp;$F$1,'Input RM sheet'!$A:$ZZ,DG1,0)</f>
        <v>335</v>
      </c>
      <c r="DI8" s="74">
        <f>VLOOKUP($H$8&amp;$F$1,'Input RM sheet'!$A:$ZZ,DH1,0)</f>
        <v>335</v>
      </c>
      <c r="DJ8" s="74">
        <f>VLOOKUP($H$8&amp;$F$1,'Input RM sheet'!$A:$ZZ,DI1,0)</f>
        <v>345</v>
      </c>
      <c r="DK8" s="74">
        <f>VLOOKUP($H$8&amp;$F$1,'Input RM sheet'!$A:$ZZ,DJ1,0)</f>
        <v>345</v>
      </c>
      <c r="DL8" s="74">
        <f>VLOOKUP($H$8&amp;$F$1,'Input RM sheet'!$A:$ZZ,DK1,0)</f>
        <v>345</v>
      </c>
      <c r="DM8" s="74">
        <f>VLOOKUP($H$8&amp;$F$1,'Input RM sheet'!$A:$ZZ,DL1,0)</f>
        <v>345</v>
      </c>
      <c r="DN8" s="74">
        <f>VLOOKUP($H$8&amp;$F$1,'Input RM sheet'!$A:$ZZ,DM1,0)</f>
        <v>330</v>
      </c>
      <c r="DO8" s="74">
        <f>VLOOKUP($H$8&amp;$F$1,'Input RM sheet'!$A:$ZZ,DN1,0)</f>
        <v>330</v>
      </c>
      <c r="DP8" s="74">
        <f>VLOOKUP($H$8&amp;$F$1,'Input RM sheet'!$A:$ZZ,DO1,0)</f>
        <v>330</v>
      </c>
      <c r="DQ8" s="74">
        <f>VLOOKUP($H$8&amp;$F$1,'Input RM sheet'!$A:$ZZ,DP1,0)</f>
        <v>330</v>
      </c>
      <c r="DR8" s="74">
        <f>VLOOKUP($H$8&amp;$F$1,'Input RM sheet'!$A:$ZZ,DQ1,0)</f>
        <v>330</v>
      </c>
      <c r="DS8" s="74">
        <f>VLOOKUP($H$8&amp;$F$1,'Input RM sheet'!$A:$ZZ,DR1,0)</f>
        <v>347.5</v>
      </c>
      <c r="DT8" s="74">
        <f>VLOOKUP($H$8&amp;$F$1,'Input RM sheet'!$A:$ZZ,DS1,0)</f>
        <v>0</v>
      </c>
      <c r="DU8" s="74">
        <f>VLOOKUP($H$8&amp;$F$1,'Input RM sheet'!$A:$ZZ,DT1,0)</f>
        <v>0</v>
      </c>
      <c r="DV8" s="74">
        <f>VLOOKUP($H$8&amp;$F$1,'Input RM sheet'!$A:$ZZ,DU1,0)</f>
        <v>0</v>
      </c>
      <c r="DW8" s="74">
        <f>VLOOKUP($H$8&amp;$F$1,'Input RM sheet'!$A:$ZZ,DV1,0)</f>
        <v>0</v>
      </c>
      <c r="DX8" s="74">
        <f>VLOOKUP($H$8&amp;$F$1,'Input RM sheet'!$A:$ZZ,DW1,0)</f>
        <v>0</v>
      </c>
      <c r="DY8" s="74">
        <f>VLOOKUP($H$8&amp;$F$1,'Input RM sheet'!$A:$ZZ,DX1,0)</f>
        <v>0</v>
      </c>
      <c r="DZ8" s="74">
        <f>VLOOKUP($H$8&amp;$F$1,'Input RM sheet'!$A:$ZZ,DY1,0)</f>
        <v>0</v>
      </c>
      <c r="EA8" s="74">
        <f>VLOOKUP($H$8&amp;$F$1,'Input RM sheet'!$A:$ZZ,DZ1,0)</f>
        <v>0</v>
      </c>
      <c r="EB8" s="74">
        <f>VLOOKUP($H$8&amp;$F$1,'Input RM sheet'!$A:$ZZ,EA1,0)</f>
        <v>0</v>
      </c>
      <c r="EC8" s="74">
        <f>VLOOKUP($H$8&amp;$F$1,'Input RM sheet'!$A:$ZZ,EB1,0)</f>
        <v>0</v>
      </c>
      <c r="ED8" s="74">
        <f>VLOOKUP($H$8&amp;$F$1,'Input RM sheet'!$A:$ZZ,EC1,0)</f>
        <v>0</v>
      </c>
      <c r="EE8" s="74">
        <f>VLOOKUP($H$8&amp;$F$1,'Input RM sheet'!$A:$ZZ,ED1,0)</f>
        <v>0</v>
      </c>
      <c r="EF8" s="74">
        <f>VLOOKUP($H$8&amp;$F$1,'Input RM sheet'!$A:$ZZ,EE1,0)</f>
        <v>0</v>
      </c>
    </row>
    <row r="9" spans="1:136">
      <c r="B9" s="44"/>
      <c r="D9" s="44"/>
      <c r="H9" s="60" t="s">
        <v>789</v>
      </c>
      <c r="I9" s="74"/>
      <c r="J9" s="74"/>
      <c r="K9" s="74"/>
      <c r="L9" s="74"/>
      <c r="M9" s="74"/>
      <c r="N9" s="74"/>
      <c r="O9" s="74"/>
      <c r="P9" s="74"/>
      <c r="Q9" s="74"/>
      <c r="R9" s="74"/>
      <c r="S9" s="74"/>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74"/>
      <c r="BG9" s="74"/>
      <c r="BH9" s="74"/>
      <c r="BI9" s="74"/>
      <c r="BJ9" s="74"/>
      <c r="BK9" s="74"/>
      <c r="BL9" s="74"/>
      <c r="BM9" s="74"/>
      <c r="BN9" s="74"/>
      <c r="BO9" s="74"/>
      <c r="BP9" s="74"/>
      <c r="BQ9" s="74"/>
      <c r="BR9" s="74"/>
      <c r="BS9" s="74"/>
      <c r="BT9" s="74"/>
      <c r="BU9" s="74"/>
      <c r="BV9" s="74"/>
      <c r="BW9" s="74"/>
    </row>
    <row r="10" spans="1:136" ht="26">
      <c r="A10" s="59" t="s">
        <v>395</v>
      </c>
      <c r="B10" s="59"/>
      <c r="C10" s="59" t="s">
        <v>379</v>
      </c>
      <c r="D10" s="98" t="s">
        <v>380</v>
      </c>
      <c r="E10" s="98" t="s">
        <v>381</v>
      </c>
      <c r="F10" s="59" t="s">
        <v>396</v>
      </c>
      <c r="H10" s="60" t="s">
        <v>399</v>
      </c>
      <c r="I10" s="84"/>
      <c r="J10" s="84"/>
      <c r="K10" s="84"/>
      <c r="L10" s="84"/>
      <c r="M10" s="84"/>
      <c r="N10" s="84"/>
      <c r="O10" s="84"/>
      <c r="P10" s="84"/>
      <c r="Q10" s="84"/>
      <c r="R10" s="84"/>
      <c r="S10" s="84"/>
      <c r="T10" s="84"/>
      <c r="U10" s="84"/>
      <c r="V10" s="84"/>
      <c r="W10" s="84"/>
      <c r="X10" s="84"/>
      <c r="Y10" s="84"/>
      <c r="Z10" s="84"/>
      <c r="AA10" s="84"/>
      <c r="AB10" s="84"/>
      <c r="AC10" s="84"/>
      <c r="AD10" s="84"/>
      <c r="AE10" s="84"/>
      <c r="AF10" s="84"/>
      <c r="AG10" s="84"/>
      <c r="AH10" s="84"/>
      <c r="AI10" s="84"/>
      <c r="AJ10" s="84"/>
      <c r="AK10" s="84"/>
      <c r="AL10" s="84"/>
      <c r="AM10" s="84"/>
      <c r="AN10" s="84"/>
      <c r="AO10" s="84"/>
      <c r="AP10" s="84"/>
      <c r="AQ10" s="84"/>
      <c r="AR10" s="84"/>
      <c r="AS10" s="84"/>
      <c r="AT10" s="84"/>
      <c r="AU10" s="84"/>
    </row>
    <row r="11" spans="1:136" ht="13">
      <c r="A11" s="107" t="s">
        <v>397</v>
      </c>
      <c r="B11" s="178" t="s">
        <v>314</v>
      </c>
      <c r="C11" s="60">
        <v>2</v>
      </c>
      <c r="D11" s="107">
        <v>44.05</v>
      </c>
      <c r="E11" s="60">
        <f>D11*C11</f>
        <v>88.1</v>
      </c>
      <c r="F11" s="65">
        <f>(E11/E2)</f>
        <v>0.73325010403662083</v>
      </c>
      <c r="I11" s="74">
        <f>$F$11*(I7/1000)</f>
        <v>0.96569038701622956</v>
      </c>
      <c r="J11" s="74">
        <f t="shared" ref="J11:BU11" si="0">$F$11*(J7/1000)</f>
        <v>0.94955888472742389</v>
      </c>
      <c r="K11" s="74">
        <f t="shared" si="0"/>
        <v>0.93049438202247181</v>
      </c>
      <c r="L11" s="74">
        <f t="shared" si="0"/>
        <v>0.78604411152725762</v>
      </c>
      <c r="M11" s="74">
        <f t="shared" si="0"/>
        <v>0.72604225551394086</v>
      </c>
      <c r="N11" s="74">
        <f t="shared" si="0"/>
        <v>0.78751061173533077</v>
      </c>
      <c r="O11" s="74">
        <f t="shared" si="0"/>
        <v>0.85790262172284637</v>
      </c>
      <c r="P11" s="74">
        <f t="shared" si="0"/>
        <v>0.90043112775697032</v>
      </c>
      <c r="Q11" s="74">
        <f t="shared" si="0"/>
        <v>0.89676487723678733</v>
      </c>
      <c r="R11" s="74">
        <f t="shared" si="0"/>
        <v>0.88869912609238444</v>
      </c>
      <c r="S11" s="74">
        <f t="shared" si="0"/>
        <v>0.89456512692467738</v>
      </c>
      <c r="T11" s="74">
        <f t="shared" si="0"/>
        <v>0.93342738243861823</v>
      </c>
      <c r="U11" s="74">
        <f t="shared" si="0"/>
        <v>0.96202413649604657</v>
      </c>
      <c r="V11" s="74">
        <f t="shared" si="0"/>
        <v>1.0052858926342072</v>
      </c>
      <c r="W11" s="74">
        <f t="shared" si="0"/>
        <v>1.0419483978360382</v>
      </c>
      <c r="X11" s="74">
        <f t="shared" si="0"/>
        <v>1.074944652517686</v>
      </c>
      <c r="Y11" s="74">
        <f t="shared" si="0"/>
        <v>1.0954756554307115</v>
      </c>
      <c r="Z11" s="74">
        <f t="shared" si="0"/>
        <v>1.1064744069912607</v>
      </c>
      <c r="AA11" s="74">
        <f t="shared" si="0"/>
        <v>1.1152734082397002</v>
      </c>
      <c r="AB11" s="74">
        <f t="shared" si="0"/>
        <v>1.1460699126092384</v>
      </c>
      <c r="AC11" s="74">
        <f t="shared" si="0"/>
        <v>1.140937161880982</v>
      </c>
      <c r="AD11" s="74">
        <f t="shared" si="0"/>
        <v>1.140937161880982</v>
      </c>
      <c r="AE11" s="74">
        <f t="shared" si="0"/>
        <v>1.1841989180191426</v>
      </c>
      <c r="AF11" s="74">
        <f t="shared" si="0"/>
        <v>1.1673341656263003</v>
      </c>
      <c r="AG11" s="74">
        <f t="shared" si="0"/>
        <v>1.1688006658343737</v>
      </c>
      <c r="AH11" s="74">
        <f t="shared" si="0"/>
        <v>1.2157286724927172</v>
      </c>
      <c r="AI11" s="74">
        <f t="shared" si="0"/>
        <v>1.241392426133999</v>
      </c>
      <c r="AJ11" s="74">
        <f t="shared" si="0"/>
        <v>1.4049071993341655</v>
      </c>
      <c r="AK11" s="74">
        <f t="shared" si="0"/>
        <v>1.3308489388264668</v>
      </c>
      <c r="AL11" s="74">
        <f t="shared" si="0"/>
        <v>1.3293824386183934</v>
      </c>
      <c r="AM11" s="74">
        <f t="shared" si="0"/>
        <v>1.2230611735330834</v>
      </c>
      <c r="AN11" s="74">
        <f t="shared" si="0"/>
        <v>1.1724669163545567</v>
      </c>
      <c r="AO11" s="74">
        <f t="shared" si="0"/>
        <v>1.0793441531419059</v>
      </c>
      <c r="AP11" s="74">
        <f t="shared" si="0"/>
        <v>1.0434148980441116</v>
      </c>
      <c r="AQ11" s="74">
        <f t="shared" si="0"/>
        <v>1.1050079067831875</v>
      </c>
      <c r="AR11" s="74">
        <f t="shared" si="0"/>
        <v>1.1306716604244693</v>
      </c>
      <c r="AS11" s="74">
        <f t="shared" si="0"/>
        <v>1.0910761548064918</v>
      </c>
      <c r="AT11" s="74">
        <f t="shared" si="0"/>
        <v>1.1358044111527257</v>
      </c>
      <c r="AU11" s="74">
        <f t="shared" si="0"/>
        <v>1.1541356637536413</v>
      </c>
      <c r="AV11" s="74">
        <f t="shared" si="0"/>
        <v>1.144603412401165</v>
      </c>
      <c r="AW11" s="74">
        <f t="shared" si="0"/>
        <v>1.1270054099042861</v>
      </c>
      <c r="AX11" s="74">
        <f t="shared" si="0"/>
        <v>1.0705451518934663</v>
      </c>
      <c r="AY11" s="74">
        <f t="shared" si="0"/>
        <v>1.0705451518934663</v>
      </c>
      <c r="AZ11" s="74">
        <f t="shared" si="0"/>
        <v>1.0705451518934663</v>
      </c>
      <c r="BA11" s="74">
        <f t="shared" si="0"/>
        <v>1.0705451518934663</v>
      </c>
      <c r="BB11" s="74">
        <f t="shared" si="0"/>
        <v>1.0507473990844778</v>
      </c>
      <c r="BC11" s="74">
        <f t="shared" si="0"/>
        <v>1.0507473990844778</v>
      </c>
      <c r="BD11" s="74">
        <f t="shared" si="0"/>
        <v>1.0507473990844778</v>
      </c>
      <c r="BE11" s="74">
        <f t="shared" si="0"/>
        <v>1.0507473990844778</v>
      </c>
      <c r="BF11" s="74">
        <f t="shared" si="0"/>
        <v>1.0507473990844778</v>
      </c>
      <c r="BG11" s="74">
        <f t="shared" si="0"/>
        <v>1.0368156471077818</v>
      </c>
      <c r="BH11" s="74">
        <f t="shared" si="0"/>
        <v>1.0368156471077818</v>
      </c>
      <c r="BI11" s="74">
        <f t="shared" si="0"/>
        <v>1.0624794007490637</v>
      </c>
      <c r="BJ11" s="74">
        <f t="shared" si="0"/>
        <v>1.0624794007490637</v>
      </c>
      <c r="BK11" s="74">
        <f t="shared" si="0"/>
        <v>1.0624794007490637</v>
      </c>
      <c r="BL11" s="74">
        <f t="shared" si="0"/>
        <v>1.0624794007490637</v>
      </c>
      <c r="BM11" s="74">
        <f t="shared" si="0"/>
        <v>1.0624794007490637</v>
      </c>
      <c r="BN11" s="74">
        <f t="shared" si="0"/>
        <v>1.0910761548064918</v>
      </c>
      <c r="BO11" s="74">
        <f t="shared" si="0"/>
        <v>1.0910761548064918</v>
      </c>
      <c r="BP11" s="74">
        <f t="shared" si="0"/>
        <v>1.0910761548064918</v>
      </c>
      <c r="BQ11" s="74">
        <f t="shared" si="0"/>
        <v>1.0910761548064918</v>
      </c>
      <c r="BR11" s="74">
        <f t="shared" si="0"/>
        <v>1.0910761548064918</v>
      </c>
      <c r="BS11" s="74">
        <f t="shared" si="0"/>
        <v>1.0778776529338325</v>
      </c>
      <c r="BT11" s="74">
        <f t="shared" si="0"/>
        <v>1.0727449022055764</v>
      </c>
      <c r="BU11" s="74">
        <f t="shared" si="0"/>
        <v>1.074944652517686</v>
      </c>
      <c r="BV11" s="74">
        <f t="shared" ref="BV11:CD11" si="1">$F$11*(BV7/1000)</f>
        <v>1.0793441531419059</v>
      </c>
      <c r="BW11" s="74">
        <f t="shared" si="1"/>
        <v>1.0793441531419059</v>
      </c>
      <c r="BX11" s="74">
        <f t="shared" si="1"/>
        <v>1.0793441531419059</v>
      </c>
      <c r="BY11" s="74">
        <f t="shared" si="1"/>
        <v>1.0793441531419059</v>
      </c>
      <c r="BZ11" s="74">
        <f t="shared" si="1"/>
        <v>1.0485476487723677</v>
      </c>
      <c r="CA11" s="74">
        <f t="shared" si="1"/>
        <v>1.0485476487723677</v>
      </c>
      <c r="CB11" s="74">
        <f t="shared" si="1"/>
        <v>1.0485476487723677</v>
      </c>
      <c r="CC11" s="74">
        <f t="shared" si="1"/>
        <v>1.0485476487723677</v>
      </c>
      <c r="CD11" s="74">
        <f t="shared" si="1"/>
        <v>1.0485476487723677</v>
      </c>
      <c r="CE11" s="74">
        <f t="shared" ref="CE11:CK11" si="2">$F$11*(CE7/1000)</f>
        <v>1.038282147315855</v>
      </c>
      <c r="CF11" s="74">
        <f t="shared" si="2"/>
        <v>1.038282147315855</v>
      </c>
      <c r="CG11" s="74">
        <f t="shared" si="2"/>
        <v>1.038282147315855</v>
      </c>
      <c r="CH11" s="74">
        <f t="shared" si="2"/>
        <v>1.0646791510611735</v>
      </c>
      <c r="CI11" s="74">
        <f t="shared" si="2"/>
        <v>1.0646791510611735</v>
      </c>
      <c r="CJ11" s="74">
        <f t="shared" si="2"/>
        <v>1.0646791510611735</v>
      </c>
      <c r="CK11" s="74">
        <f t="shared" si="2"/>
        <v>1.0646791510611735</v>
      </c>
      <c r="CL11" s="74">
        <f t="shared" ref="CL11:CW11" si="3">$F$11*(CL7/1000)</f>
        <v>1.0683454015813567</v>
      </c>
      <c r="CM11" s="74">
        <f t="shared" si="3"/>
        <v>1.0683454015813567</v>
      </c>
      <c r="CN11" s="74">
        <f t="shared" si="3"/>
        <v>1.0742114024136495</v>
      </c>
      <c r="CO11" s="74">
        <f t="shared" si="3"/>
        <v>1.0742114024136495</v>
      </c>
      <c r="CP11" s="74">
        <f t="shared" si="3"/>
        <v>1.0742114024136495</v>
      </c>
      <c r="CQ11" s="74">
        <f t="shared" si="3"/>
        <v>1.0742114024136495</v>
      </c>
      <c r="CR11" s="74">
        <f t="shared" si="3"/>
        <v>1.0778776529338325</v>
      </c>
      <c r="CS11" s="74">
        <f t="shared" si="3"/>
        <v>1.0778776529338325</v>
      </c>
      <c r="CT11" s="74">
        <f t="shared" si="3"/>
        <v>1.0778776529338325</v>
      </c>
      <c r="CU11" s="74">
        <f t="shared" si="3"/>
        <v>1.0544136496046608</v>
      </c>
      <c r="CV11" s="74">
        <f t="shared" si="3"/>
        <v>1.0544136496046608</v>
      </c>
      <c r="CW11" s="74">
        <f t="shared" si="3"/>
        <v>1.0544136496046608</v>
      </c>
      <c r="CX11" s="74">
        <f t="shared" ref="CX11:DO11" si="4">$F$11*(CX7/1000)</f>
        <v>1.0544136496046608</v>
      </c>
      <c r="CY11" s="74">
        <f t="shared" si="4"/>
        <v>1.0632126508531001</v>
      </c>
      <c r="CZ11" s="74">
        <f t="shared" si="4"/>
        <v>1.0632126508531001</v>
      </c>
      <c r="DA11" s="74">
        <f t="shared" si="4"/>
        <v>1.0632126508531001</v>
      </c>
      <c r="DB11" s="74">
        <f t="shared" si="4"/>
        <v>1.0632126508531001</v>
      </c>
      <c r="DC11" s="74">
        <f t="shared" si="4"/>
        <v>1.0632126508531001</v>
      </c>
      <c r="DD11" s="74">
        <f t="shared" si="4"/>
        <v>1.0918094049105285</v>
      </c>
      <c r="DE11" s="74">
        <f t="shared" si="4"/>
        <v>1.0918094049105285</v>
      </c>
      <c r="DF11" s="74">
        <f t="shared" si="4"/>
        <v>1.0918094049105285</v>
      </c>
      <c r="DG11" s="74">
        <f t="shared" si="4"/>
        <v>1.0918094049105285</v>
      </c>
      <c r="DH11" s="74">
        <f t="shared" si="4"/>
        <v>1.0852101539741987</v>
      </c>
      <c r="DI11" s="74">
        <f t="shared" si="4"/>
        <v>1.0852101539741987</v>
      </c>
      <c r="DJ11" s="74">
        <f t="shared" si="4"/>
        <v>1.0852101539741987</v>
      </c>
      <c r="DK11" s="74">
        <f t="shared" si="4"/>
        <v>1.0852101539741987</v>
      </c>
      <c r="DL11" s="74">
        <f t="shared" si="4"/>
        <v>1.044148148148148</v>
      </c>
      <c r="DM11" s="74">
        <f t="shared" si="4"/>
        <v>1.0536803995006241</v>
      </c>
      <c r="DN11" s="74">
        <f t="shared" si="4"/>
        <v>1.038282147315855</v>
      </c>
      <c r="DO11" s="74">
        <f t="shared" si="4"/>
        <v>1.0360823970037452</v>
      </c>
      <c r="DP11" s="74">
        <f t="shared" ref="DP11:EF11" si="5">$F$11*(DP7/1000)</f>
        <v>1.0360823970037452</v>
      </c>
      <c r="DQ11" s="74">
        <f t="shared" si="5"/>
        <v>1.0360823970037452</v>
      </c>
      <c r="DR11" s="74">
        <f t="shared" si="5"/>
        <v>1.0360823970037452</v>
      </c>
      <c r="DS11" s="74">
        <f t="shared" si="5"/>
        <v>1.0228838951310861</v>
      </c>
      <c r="DT11" s="74">
        <f t="shared" si="5"/>
        <v>0</v>
      </c>
      <c r="DU11" s="74">
        <f t="shared" si="5"/>
        <v>0</v>
      </c>
      <c r="DV11" s="74">
        <f t="shared" si="5"/>
        <v>0</v>
      </c>
      <c r="DW11" s="74">
        <f t="shared" si="5"/>
        <v>0</v>
      </c>
      <c r="DX11" s="74">
        <f t="shared" si="5"/>
        <v>0</v>
      </c>
      <c r="DY11" s="74">
        <f t="shared" si="5"/>
        <v>0</v>
      </c>
      <c r="DZ11" s="74">
        <f t="shared" si="5"/>
        <v>0</v>
      </c>
      <c r="EA11" s="74">
        <f t="shared" si="5"/>
        <v>0</v>
      </c>
      <c r="EB11" s="74">
        <f t="shared" si="5"/>
        <v>0</v>
      </c>
      <c r="EC11" s="74">
        <f t="shared" si="5"/>
        <v>0</v>
      </c>
      <c r="ED11" s="74">
        <f t="shared" si="5"/>
        <v>0</v>
      </c>
      <c r="EE11" s="74">
        <f t="shared" si="5"/>
        <v>0</v>
      </c>
      <c r="EF11" s="74">
        <f t="shared" si="5"/>
        <v>0</v>
      </c>
    </row>
    <row r="12" spans="1:136">
      <c r="A12" s="67"/>
      <c r="B12" s="178" t="s">
        <v>36</v>
      </c>
      <c r="C12" s="60">
        <v>1</v>
      </c>
      <c r="D12" s="65">
        <v>32.04</v>
      </c>
      <c r="E12" s="60">
        <f>D12*C12</f>
        <v>32.04</v>
      </c>
      <c r="F12" s="65">
        <f>E12/E2</f>
        <v>0.26666666666666666</v>
      </c>
      <c r="I12" s="74">
        <f>$F$12*(I8/1000)</f>
        <v>7.0000000000000007E-2</v>
      </c>
      <c r="J12" s="74">
        <f t="shared" ref="J12:BU12" si="6">$F$12*(J8/1000)</f>
        <v>8.6000000000000007E-2</v>
      </c>
      <c r="K12" s="74">
        <f t="shared" si="6"/>
        <v>7.5999999999999998E-2</v>
      </c>
      <c r="L12" s="74">
        <f t="shared" si="6"/>
        <v>5.5999999999999994E-2</v>
      </c>
      <c r="M12" s="74">
        <f t="shared" si="6"/>
        <v>4.6666666666666662E-2</v>
      </c>
      <c r="N12" s="74">
        <f t="shared" si="6"/>
        <v>4.4666666666666667E-2</v>
      </c>
      <c r="O12" s="74">
        <f t="shared" si="6"/>
        <v>4.8000000000000001E-2</v>
      </c>
      <c r="P12" s="74">
        <f t="shared" si="6"/>
        <v>5.8666666666666666E-2</v>
      </c>
      <c r="Q12" s="74">
        <f t="shared" si="6"/>
        <v>6.1333333333333337E-2</v>
      </c>
      <c r="R12" s="74">
        <f t="shared" si="6"/>
        <v>6.4000000000000001E-2</v>
      </c>
      <c r="S12" s="74">
        <f t="shared" si="6"/>
        <v>7.2000000000000008E-2</v>
      </c>
      <c r="T12" s="74">
        <f t="shared" si="6"/>
        <v>0.08</v>
      </c>
      <c r="U12" s="74">
        <f t="shared" si="6"/>
        <v>9.6000000000000002E-2</v>
      </c>
      <c r="V12" s="74">
        <f t="shared" si="6"/>
        <v>9.7333333333333327E-2</v>
      </c>
      <c r="W12" s="74">
        <f t="shared" si="6"/>
        <v>9.4666666666666663E-2</v>
      </c>
      <c r="X12" s="74">
        <f t="shared" si="6"/>
        <v>9.0666666666666673E-2</v>
      </c>
      <c r="Y12" s="74">
        <f t="shared" si="6"/>
        <v>9.2666666666666661E-2</v>
      </c>
      <c r="Z12" s="74">
        <f t="shared" si="6"/>
        <v>9.5333333333333325E-2</v>
      </c>
      <c r="AA12" s="74">
        <f t="shared" si="6"/>
        <v>9.6000000000000002E-2</v>
      </c>
      <c r="AB12" s="74">
        <f t="shared" si="6"/>
        <v>9.8666666666666666E-2</v>
      </c>
      <c r="AC12" s="74">
        <f t="shared" si="6"/>
        <v>0.104</v>
      </c>
      <c r="AD12" s="74">
        <f t="shared" si="6"/>
        <v>0.12466666666666668</v>
      </c>
      <c r="AE12" s="74">
        <f t="shared" si="6"/>
        <v>0.10466666666666667</v>
      </c>
      <c r="AF12" s="74">
        <f t="shared" si="6"/>
        <v>9.0666666666666673E-2</v>
      </c>
      <c r="AG12" s="74">
        <f t="shared" si="6"/>
        <v>8.2666666666666666E-2</v>
      </c>
      <c r="AH12" s="74">
        <f t="shared" si="6"/>
        <v>0.104</v>
      </c>
      <c r="AI12" s="74">
        <f t="shared" si="6"/>
        <v>0.11466666666666667</v>
      </c>
      <c r="AJ12" s="74">
        <f t="shared" si="6"/>
        <v>0.104</v>
      </c>
      <c r="AK12" s="74">
        <f t="shared" si="6"/>
        <v>9.3333333333333324E-2</v>
      </c>
      <c r="AL12" s="74">
        <f t="shared" si="6"/>
        <v>9.0666666666666673E-2</v>
      </c>
      <c r="AM12" s="74">
        <f t="shared" si="6"/>
        <v>8.4000000000000005E-2</v>
      </c>
      <c r="AN12" s="74">
        <f t="shared" si="6"/>
        <v>8.4000000000000005E-2</v>
      </c>
      <c r="AO12" s="74">
        <f t="shared" si="6"/>
        <v>8.4000000000000005E-2</v>
      </c>
      <c r="AP12" s="74">
        <f t="shared" si="6"/>
        <v>8.666666666666667E-2</v>
      </c>
      <c r="AQ12" s="74">
        <f t="shared" si="6"/>
        <v>8.666666666666667E-2</v>
      </c>
      <c r="AR12" s="74">
        <f t="shared" si="6"/>
        <v>8.4000000000000005E-2</v>
      </c>
      <c r="AS12" s="74">
        <f t="shared" si="6"/>
        <v>8.666666666666667E-2</v>
      </c>
      <c r="AT12" s="74">
        <f t="shared" si="6"/>
        <v>9.2666666666666661E-2</v>
      </c>
      <c r="AU12" s="74">
        <f t="shared" si="6"/>
        <v>9.6666666666666665E-2</v>
      </c>
      <c r="AV12" s="74">
        <f t="shared" si="6"/>
        <v>8.9333333333333334E-2</v>
      </c>
      <c r="AW12" s="74">
        <f t="shared" si="6"/>
        <v>8.2666666666666666E-2</v>
      </c>
      <c r="AX12" s="74">
        <f t="shared" si="6"/>
        <v>0.08</v>
      </c>
      <c r="AY12" s="74">
        <f t="shared" si="6"/>
        <v>0.08</v>
      </c>
      <c r="AZ12" s="74">
        <f t="shared" si="6"/>
        <v>7.7333333333333323E-2</v>
      </c>
      <c r="BA12" s="74">
        <f t="shared" si="6"/>
        <v>7.7333333333333323E-2</v>
      </c>
      <c r="BB12" s="74">
        <f t="shared" si="6"/>
        <v>7.7333333333333323E-2</v>
      </c>
      <c r="BC12" s="74">
        <f t="shared" si="6"/>
        <v>7.7333333333333323E-2</v>
      </c>
      <c r="BD12" s="74">
        <f t="shared" si="6"/>
        <v>8.2666666666666666E-2</v>
      </c>
      <c r="BE12" s="74">
        <f t="shared" si="6"/>
        <v>8.2666666666666666E-2</v>
      </c>
      <c r="BF12" s="74">
        <f t="shared" si="6"/>
        <v>8.2666666666666666E-2</v>
      </c>
      <c r="BG12" s="74">
        <f t="shared" si="6"/>
        <v>8.2666666666666666E-2</v>
      </c>
      <c r="BH12" s="74">
        <f t="shared" si="6"/>
        <v>8.2666666666666666E-2</v>
      </c>
      <c r="BI12" s="74">
        <f t="shared" si="6"/>
        <v>8.8000000000000009E-2</v>
      </c>
      <c r="BJ12" s="74">
        <f t="shared" si="6"/>
        <v>8.8000000000000009E-2</v>
      </c>
      <c r="BK12" s="74">
        <f t="shared" si="6"/>
        <v>8.8000000000000009E-2</v>
      </c>
      <c r="BL12" s="74">
        <f t="shared" si="6"/>
        <v>8.8000000000000009E-2</v>
      </c>
      <c r="BM12" s="74">
        <f t="shared" si="6"/>
        <v>8.8000000000000009E-2</v>
      </c>
      <c r="BN12" s="74">
        <f t="shared" si="6"/>
        <v>8.8000000000000009E-2</v>
      </c>
      <c r="BO12" s="74">
        <f t="shared" si="6"/>
        <v>8.8000000000000009E-2</v>
      </c>
      <c r="BP12" s="74">
        <f t="shared" si="6"/>
        <v>8.4000000000000005E-2</v>
      </c>
      <c r="BQ12" s="74">
        <f t="shared" si="6"/>
        <v>8.4000000000000005E-2</v>
      </c>
      <c r="BR12" s="74">
        <f t="shared" si="6"/>
        <v>8.4000000000000005E-2</v>
      </c>
      <c r="BS12" s="74">
        <f t="shared" si="6"/>
        <v>8.4000000000000005E-2</v>
      </c>
      <c r="BT12" s="74">
        <f t="shared" si="6"/>
        <v>8.9333333333333334E-2</v>
      </c>
      <c r="BU12" s="74">
        <f t="shared" si="6"/>
        <v>8.9333333333333334E-2</v>
      </c>
      <c r="BV12" s="74">
        <f t="shared" ref="BV12:CD12" si="7">$F$12*(BV8/1000)</f>
        <v>8.9333333333333334E-2</v>
      </c>
      <c r="BW12" s="74">
        <f t="shared" si="7"/>
        <v>9.0000000000000011E-2</v>
      </c>
      <c r="BX12" s="74">
        <f t="shared" si="7"/>
        <v>9.0000000000000011E-2</v>
      </c>
      <c r="BY12" s="74">
        <f t="shared" si="7"/>
        <v>9.0000000000000011E-2</v>
      </c>
      <c r="BZ12" s="74">
        <f t="shared" si="7"/>
        <v>9.2666666666666661E-2</v>
      </c>
      <c r="CA12" s="74">
        <f t="shared" si="7"/>
        <v>9.2666666666666661E-2</v>
      </c>
      <c r="CB12" s="74">
        <f t="shared" si="7"/>
        <v>9.2666666666666661E-2</v>
      </c>
      <c r="CC12" s="74">
        <f t="shared" si="7"/>
        <v>9.2666666666666661E-2</v>
      </c>
      <c r="CD12" s="74">
        <f t="shared" si="7"/>
        <v>9.2666666666666661E-2</v>
      </c>
      <c r="CE12" s="74">
        <f t="shared" ref="CE12:CK12" si="8">$F$12*(CE8/1000)</f>
        <v>9.2666666666666661E-2</v>
      </c>
      <c r="CF12" s="74">
        <f t="shared" si="8"/>
        <v>9.2666666666666661E-2</v>
      </c>
      <c r="CG12" s="74">
        <f t="shared" si="8"/>
        <v>9.4666666666666663E-2</v>
      </c>
      <c r="CH12" s="74">
        <f t="shared" si="8"/>
        <v>9.4666666666666663E-2</v>
      </c>
      <c r="CI12" s="74">
        <f t="shared" si="8"/>
        <v>9.1999999999999998E-2</v>
      </c>
      <c r="CJ12" s="74">
        <f t="shared" si="8"/>
        <v>9.1999999999999998E-2</v>
      </c>
      <c r="CK12" s="74">
        <f t="shared" si="8"/>
        <v>9.1999999999999998E-2</v>
      </c>
      <c r="CL12" s="74">
        <f t="shared" ref="CL12:CW12" si="9">$F$12*(CL8/1000)</f>
        <v>9.1999999999999998E-2</v>
      </c>
      <c r="CM12" s="74">
        <f t="shared" si="9"/>
        <v>9.1333333333333336E-2</v>
      </c>
      <c r="CN12" s="74">
        <f t="shared" si="9"/>
        <v>9.1333333333333336E-2</v>
      </c>
      <c r="CO12" s="74">
        <f t="shared" si="9"/>
        <v>9.1333333333333336E-2</v>
      </c>
      <c r="CP12" s="74">
        <f t="shared" si="9"/>
        <v>9.1333333333333336E-2</v>
      </c>
      <c r="CQ12" s="74">
        <f t="shared" si="9"/>
        <v>9.1333333333333336E-2</v>
      </c>
      <c r="CR12" s="74">
        <f t="shared" si="9"/>
        <v>9.1333333333333336E-2</v>
      </c>
      <c r="CS12" s="74">
        <f t="shared" si="9"/>
        <v>9.0666666666666673E-2</v>
      </c>
      <c r="CT12" s="74">
        <f t="shared" si="9"/>
        <v>9.0666666666666673E-2</v>
      </c>
      <c r="CU12" s="74">
        <f t="shared" si="9"/>
        <v>9.0666666666666673E-2</v>
      </c>
      <c r="CV12" s="74">
        <f t="shared" si="9"/>
        <v>9.0666666666666673E-2</v>
      </c>
      <c r="CW12" s="74">
        <f t="shared" si="9"/>
        <v>8.9333333333333334E-2</v>
      </c>
      <c r="CX12" s="74">
        <f t="shared" ref="CX12:DO12" si="10">$F$12*(CX8/1000)</f>
        <v>8.9333333333333334E-2</v>
      </c>
      <c r="CY12" s="74">
        <f t="shared" si="10"/>
        <v>8.9333333333333334E-2</v>
      </c>
      <c r="CZ12" s="74">
        <f t="shared" si="10"/>
        <v>8.9333333333333334E-2</v>
      </c>
      <c r="DA12" s="74">
        <f t="shared" si="10"/>
        <v>8.9333333333333334E-2</v>
      </c>
      <c r="DB12" s="74">
        <f t="shared" si="10"/>
        <v>8.9333333333333334E-2</v>
      </c>
      <c r="DC12" s="74">
        <f t="shared" si="10"/>
        <v>8.9333333333333334E-2</v>
      </c>
      <c r="DD12" s="74">
        <f t="shared" si="10"/>
        <v>8.9333333333333334E-2</v>
      </c>
      <c r="DE12" s="74">
        <f t="shared" si="10"/>
        <v>8.9333333333333334E-2</v>
      </c>
      <c r="DF12" s="74">
        <f t="shared" si="10"/>
        <v>8.9333333333333334E-2</v>
      </c>
      <c r="DG12" s="74">
        <f t="shared" si="10"/>
        <v>8.9333333333333334E-2</v>
      </c>
      <c r="DH12" s="74">
        <f t="shared" si="10"/>
        <v>8.9333333333333334E-2</v>
      </c>
      <c r="DI12" s="74">
        <f t="shared" si="10"/>
        <v>8.9333333333333334E-2</v>
      </c>
      <c r="DJ12" s="74">
        <f t="shared" si="10"/>
        <v>9.1999999999999998E-2</v>
      </c>
      <c r="DK12" s="74">
        <f t="shared" si="10"/>
        <v>9.1999999999999998E-2</v>
      </c>
      <c r="DL12" s="74">
        <f t="shared" si="10"/>
        <v>9.1999999999999998E-2</v>
      </c>
      <c r="DM12" s="74">
        <f t="shared" si="10"/>
        <v>9.1999999999999998E-2</v>
      </c>
      <c r="DN12" s="74">
        <f t="shared" si="10"/>
        <v>8.8000000000000009E-2</v>
      </c>
      <c r="DO12" s="74">
        <f t="shared" si="10"/>
        <v>8.8000000000000009E-2</v>
      </c>
      <c r="DP12" s="74">
        <f t="shared" ref="DP12:EF12" si="11">$F$12*(DP8/1000)</f>
        <v>8.8000000000000009E-2</v>
      </c>
      <c r="DQ12" s="74">
        <f t="shared" si="11"/>
        <v>8.8000000000000009E-2</v>
      </c>
      <c r="DR12" s="74">
        <f t="shared" si="11"/>
        <v>8.8000000000000009E-2</v>
      </c>
      <c r="DS12" s="74">
        <f t="shared" si="11"/>
        <v>9.2666666666666661E-2</v>
      </c>
      <c r="DT12" s="74">
        <f t="shared" si="11"/>
        <v>0</v>
      </c>
      <c r="DU12" s="74">
        <f t="shared" si="11"/>
        <v>0</v>
      </c>
      <c r="DV12" s="74">
        <f t="shared" si="11"/>
        <v>0</v>
      </c>
      <c r="DW12" s="74">
        <f t="shared" si="11"/>
        <v>0</v>
      </c>
      <c r="DX12" s="74">
        <f t="shared" si="11"/>
        <v>0</v>
      </c>
      <c r="DY12" s="74">
        <f t="shared" si="11"/>
        <v>0</v>
      </c>
      <c r="DZ12" s="74">
        <f t="shared" si="11"/>
        <v>0</v>
      </c>
      <c r="EA12" s="74">
        <f t="shared" si="11"/>
        <v>0</v>
      </c>
      <c r="EB12" s="74">
        <f t="shared" si="11"/>
        <v>0</v>
      </c>
      <c r="EC12" s="74">
        <f t="shared" si="11"/>
        <v>0</v>
      </c>
      <c r="ED12" s="74">
        <f t="shared" si="11"/>
        <v>0</v>
      </c>
      <c r="EE12" s="74">
        <f t="shared" si="11"/>
        <v>0</v>
      </c>
      <c r="EF12" s="74">
        <f t="shared" si="11"/>
        <v>0</v>
      </c>
    </row>
    <row r="13" spans="1:136" s="104" customFormat="1">
      <c r="A13" s="104" t="s">
        <v>400</v>
      </c>
      <c r="H13" s="60"/>
      <c r="I13" s="105">
        <f>SUM(I11:I12)</f>
        <v>1.0356903870162295</v>
      </c>
      <c r="J13" s="105">
        <f t="shared" ref="J13:BU13" si="12">SUM(J11:J12)</f>
        <v>1.035558884727424</v>
      </c>
      <c r="K13" s="105">
        <f t="shared" si="12"/>
        <v>1.0064943820224719</v>
      </c>
      <c r="L13" s="105">
        <f t="shared" si="12"/>
        <v>0.84204411152725767</v>
      </c>
      <c r="M13" s="105">
        <f t="shared" si="12"/>
        <v>0.77270892218060749</v>
      </c>
      <c r="N13" s="105">
        <f t="shared" si="12"/>
        <v>0.8321772784019974</v>
      </c>
      <c r="O13" s="105">
        <f t="shared" si="12"/>
        <v>0.90590262172284641</v>
      </c>
      <c r="P13" s="105">
        <f t="shared" si="12"/>
        <v>0.95909779442363696</v>
      </c>
      <c r="Q13" s="105">
        <f t="shared" si="12"/>
        <v>0.95809821057012068</v>
      </c>
      <c r="R13" s="105">
        <f t="shared" si="12"/>
        <v>0.9526991260923845</v>
      </c>
      <c r="S13" s="105">
        <f t="shared" si="12"/>
        <v>0.96656512692467733</v>
      </c>
      <c r="T13" s="105">
        <f t="shared" si="12"/>
        <v>1.0134273824386182</v>
      </c>
      <c r="U13" s="105">
        <f t="shared" si="12"/>
        <v>1.0580241364960465</v>
      </c>
      <c r="V13" s="105">
        <f t="shared" si="12"/>
        <v>1.1026192259675405</v>
      </c>
      <c r="W13" s="105">
        <f t="shared" si="12"/>
        <v>1.1366150645027049</v>
      </c>
      <c r="X13" s="105">
        <f t="shared" si="12"/>
        <v>1.1656113191843527</v>
      </c>
      <c r="Y13" s="105">
        <f t="shared" si="12"/>
        <v>1.1881423220973781</v>
      </c>
      <c r="Z13" s="105">
        <f t="shared" si="12"/>
        <v>1.2018077403245939</v>
      </c>
      <c r="AA13" s="105">
        <f t="shared" si="12"/>
        <v>1.2112734082397003</v>
      </c>
      <c r="AB13" s="105">
        <f t="shared" si="12"/>
        <v>1.2447365792759051</v>
      </c>
      <c r="AC13" s="105">
        <f t="shared" si="12"/>
        <v>1.2449371618809821</v>
      </c>
      <c r="AD13" s="105">
        <f t="shared" si="12"/>
        <v>1.2656038285476487</v>
      </c>
      <c r="AE13" s="105">
        <f t="shared" si="12"/>
        <v>1.2888655846858093</v>
      </c>
      <c r="AF13" s="105">
        <f t="shared" si="12"/>
        <v>1.258000832292967</v>
      </c>
      <c r="AG13" s="105">
        <f t="shared" si="12"/>
        <v>1.2514673325010404</v>
      </c>
      <c r="AH13" s="105">
        <f t="shared" si="12"/>
        <v>1.3197286724927173</v>
      </c>
      <c r="AI13" s="105">
        <f t="shared" si="12"/>
        <v>1.3560590928006657</v>
      </c>
      <c r="AJ13" s="105">
        <f t="shared" si="12"/>
        <v>1.5089071993341656</v>
      </c>
      <c r="AK13" s="105">
        <f t="shared" si="12"/>
        <v>1.4241822721598001</v>
      </c>
      <c r="AL13" s="105">
        <f t="shared" si="12"/>
        <v>1.4200491052850601</v>
      </c>
      <c r="AM13" s="105">
        <f t="shared" si="12"/>
        <v>1.3070611735330835</v>
      </c>
      <c r="AN13" s="105">
        <f t="shared" si="12"/>
        <v>1.2564669163545568</v>
      </c>
      <c r="AO13" s="105">
        <f t="shared" si="12"/>
        <v>1.163344153141906</v>
      </c>
      <c r="AP13" s="105">
        <f t="shared" si="12"/>
        <v>1.1300815647107783</v>
      </c>
      <c r="AQ13" s="105">
        <f t="shared" si="12"/>
        <v>1.1916745734498542</v>
      </c>
      <c r="AR13" s="105">
        <f t="shared" si="12"/>
        <v>1.2146716604244694</v>
      </c>
      <c r="AS13" s="105">
        <f t="shared" si="12"/>
        <v>1.1777428214731585</v>
      </c>
      <c r="AT13" s="105">
        <f t="shared" si="12"/>
        <v>1.2284710778193924</v>
      </c>
      <c r="AU13" s="105">
        <f t="shared" si="12"/>
        <v>1.250802330420308</v>
      </c>
      <c r="AV13" s="105">
        <f t="shared" si="12"/>
        <v>1.2339367457344983</v>
      </c>
      <c r="AW13" s="105">
        <f t="shared" si="12"/>
        <v>1.2096720765709528</v>
      </c>
      <c r="AX13" s="105">
        <f t="shared" si="12"/>
        <v>1.1505451518934664</v>
      </c>
      <c r="AY13" s="105">
        <f t="shared" si="12"/>
        <v>1.1505451518934664</v>
      </c>
      <c r="AZ13" s="105">
        <f t="shared" si="12"/>
        <v>1.1478784852267996</v>
      </c>
      <c r="BA13" s="105">
        <f t="shared" si="12"/>
        <v>1.1478784852267996</v>
      </c>
      <c r="BB13" s="105">
        <f t="shared" si="12"/>
        <v>1.128080732417811</v>
      </c>
      <c r="BC13" s="105">
        <f t="shared" si="12"/>
        <v>1.128080732417811</v>
      </c>
      <c r="BD13" s="105">
        <f t="shared" si="12"/>
        <v>1.1334140657511445</v>
      </c>
      <c r="BE13" s="105">
        <f t="shared" si="12"/>
        <v>1.1334140657511445</v>
      </c>
      <c r="BF13" s="105">
        <f t="shared" si="12"/>
        <v>1.1334140657511445</v>
      </c>
      <c r="BG13" s="105">
        <f t="shared" si="12"/>
        <v>1.1194823137744485</v>
      </c>
      <c r="BH13" s="105">
        <f t="shared" si="12"/>
        <v>1.1194823137744485</v>
      </c>
      <c r="BI13" s="105">
        <f t="shared" si="12"/>
        <v>1.1504794007490637</v>
      </c>
      <c r="BJ13" s="105">
        <f t="shared" si="12"/>
        <v>1.1504794007490637</v>
      </c>
      <c r="BK13" s="105">
        <f t="shared" si="12"/>
        <v>1.1504794007490637</v>
      </c>
      <c r="BL13" s="105">
        <f t="shared" si="12"/>
        <v>1.1504794007490637</v>
      </c>
      <c r="BM13" s="105">
        <f t="shared" si="12"/>
        <v>1.1504794007490637</v>
      </c>
      <c r="BN13" s="105">
        <f t="shared" si="12"/>
        <v>1.1790761548064919</v>
      </c>
      <c r="BO13" s="105">
        <f t="shared" si="12"/>
        <v>1.1790761548064919</v>
      </c>
      <c r="BP13" s="105">
        <f t="shared" si="12"/>
        <v>1.1750761548064919</v>
      </c>
      <c r="BQ13" s="105">
        <f t="shared" si="12"/>
        <v>1.1750761548064919</v>
      </c>
      <c r="BR13" s="105">
        <f t="shared" si="12"/>
        <v>1.1750761548064919</v>
      </c>
      <c r="BS13" s="105">
        <f t="shared" si="12"/>
        <v>1.1618776529338326</v>
      </c>
      <c r="BT13" s="105">
        <f t="shared" si="12"/>
        <v>1.1620782355389097</v>
      </c>
      <c r="BU13" s="105">
        <f t="shared" si="12"/>
        <v>1.1642779858510193</v>
      </c>
      <c r="BV13" s="105">
        <f t="shared" ref="BV13:CD13" si="13">SUM(BV11:BV12)</f>
        <v>1.1686774864752392</v>
      </c>
      <c r="BW13" s="105">
        <f t="shared" si="13"/>
        <v>1.169344153141906</v>
      </c>
      <c r="BX13" s="105">
        <f t="shared" si="13"/>
        <v>1.169344153141906</v>
      </c>
      <c r="BY13" s="105">
        <f t="shared" si="13"/>
        <v>1.169344153141906</v>
      </c>
      <c r="BZ13" s="105">
        <f t="shared" si="13"/>
        <v>1.1412143154390344</v>
      </c>
      <c r="CA13" s="105">
        <f t="shared" si="13"/>
        <v>1.1412143154390344</v>
      </c>
      <c r="CB13" s="105">
        <f t="shared" si="13"/>
        <v>1.1412143154390344</v>
      </c>
      <c r="CC13" s="105">
        <f t="shared" si="13"/>
        <v>1.1412143154390344</v>
      </c>
      <c r="CD13" s="105">
        <f t="shared" si="13"/>
        <v>1.1412143154390344</v>
      </c>
      <c r="CE13" s="105">
        <f t="shared" ref="CE13:CK13" si="14">SUM(CE11:CE12)</f>
        <v>1.1309488139825217</v>
      </c>
      <c r="CF13" s="105">
        <f t="shared" si="14"/>
        <v>1.1309488139825217</v>
      </c>
      <c r="CG13" s="105">
        <f t="shared" si="14"/>
        <v>1.1329488139825217</v>
      </c>
      <c r="CH13" s="105">
        <f t="shared" si="14"/>
        <v>1.1593458177278402</v>
      </c>
      <c r="CI13" s="105">
        <f t="shared" si="14"/>
        <v>1.1566791510611736</v>
      </c>
      <c r="CJ13" s="105">
        <f t="shared" si="14"/>
        <v>1.1566791510611736</v>
      </c>
      <c r="CK13" s="105">
        <f t="shared" si="14"/>
        <v>1.1566791510611736</v>
      </c>
      <c r="CL13" s="105">
        <f t="shared" ref="CL13:CW13" si="15">SUM(CL11:CL12)</f>
        <v>1.1603454015813568</v>
      </c>
      <c r="CM13" s="105">
        <f t="shared" si="15"/>
        <v>1.15967873491469</v>
      </c>
      <c r="CN13" s="105">
        <f t="shared" si="15"/>
        <v>1.1655447357469828</v>
      </c>
      <c r="CO13" s="105">
        <f t="shared" si="15"/>
        <v>1.1655447357469828</v>
      </c>
      <c r="CP13" s="105">
        <f t="shared" si="15"/>
        <v>1.1655447357469828</v>
      </c>
      <c r="CQ13" s="105">
        <f t="shared" si="15"/>
        <v>1.1655447357469828</v>
      </c>
      <c r="CR13" s="105">
        <f t="shared" si="15"/>
        <v>1.1692109862671658</v>
      </c>
      <c r="CS13" s="105">
        <f t="shared" si="15"/>
        <v>1.1685443196004992</v>
      </c>
      <c r="CT13" s="105">
        <f t="shared" si="15"/>
        <v>1.1685443196004992</v>
      </c>
      <c r="CU13" s="105">
        <f t="shared" si="15"/>
        <v>1.1450803162713274</v>
      </c>
      <c r="CV13" s="105">
        <f t="shared" si="15"/>
        <v>1.1450803162713274</v>
      </c>
      <c r="CW13" s="105">
        <f t="shared" si="15"/>
        <v>1.143746982937994</v>
      </c>
      <c r="CX13" s="105">
        <f t="shared" ref="CX13:DO13" si="16">SUM(CX11:CX12)</f>
        <v>1.143746982937994</v>
      </c>
      <c r="CY13" s="105">
        <f t="shared" si="16"/>
        <v>1.1525459841864334</v>
      </c>
      <c r="CZ13" s="105">
        <f t="shared" si="16"/>
        <v>1.1525459841864334</v>
      </c>
      <c r="DA13" s="105">
        <f t="shared" si="16"/>
        <v>1.1525459841864334</v>
      </c>
      <c r="DB13" s="105">
        <f t="shared" si="16"/>
        <v>1.1525459841864334</v>
      </c>
      <c r="DC13" s="105">
        <f t="shared" si="16"/>
        <v>1.1525459841864334</v>
      </c>
      <c r="DD13" s="105">
        <f t="shared" si="16"/>
        <v>1.1811427382438617</v>
      </c>
      <c r="DE13" s="105">
        <f t="shared" si="16"/>
        <v>1.1811427382438617</v>
      </c>
      <c r="DF13" s="105">
        <f t="shared" si="16"/>
        <v>1.1811427382438617</v>
      </c>
      <c r="DG13" s="105">
        <f t="shared" si="16"/>
        <v>1.1811427382438617</v>
      </c>
      <c r="DH13" s="105">
        <f t="shared" si="16"/>
        <v>1.174543487307532</v>
      </c>
      <c r="DI13" s="105">
        <f t="shared" si="16"/>
        <v>1.174543487307532</v>
      </c>
      <c r="DJ13" s="105">
        <f t="shared" si="16"/>
        <v>1.1772101539741988</v>
      </c>
      <c r="DK13" s="105">
        <f t="shared" si="16"/>
        <v>1.1772101539741988</v>
      </c>
      <c r="DL13" s="105">
        <f t="shared" si="16"/>
        <v>1.1361481481481481</v>
      </c>
      <c r="DM13" s="105">
        <f t="shared" si="16"/>
        <v>1.1456803995006242</v>
      </c>
      <c r="DN13" s="105">
        <f t="shared" si="16"/>
        <v>1.1262821473158551</v>
      </c>
      <c r="DO13" s="105">
        <f t="shared" si="16"/>
        <v>1.1240823970037452</v>
      </c>
      <c r="DP13" s="105">
        <f t="shared" ref="DP13:EF13" si="17">SUM(DP11:DP12)</f>
        <v>1.1240823970037452</v>
      </c>
      <c r="DQ13" s="105">
        <f t="shared" si="17"/>
        <v>1.1240823970037452</v>
      </c>
      <c r="DR13" s="105">
        <f t="shared" si="17"/>
        <v>1.1240823970037452</v>
      </c>
      <c r="DS13" s="105">
        <f t="shared" si="17"/>
        <v>1.1155505617977528</v>
      </c>
      <c r="DT13" s="105">
        <f t="shared" si="17"/>
        <v>0</v>
      </c>
      <c r="DU13" s="105">
        <f t="shared" si="17"/>
        <v>0</v>
      </c>
      <c r="DV13" s="105">
        <f t="shared" si="17"/>
        <v>0</v>
      </c>
      <c r="DW13" s="105">
        <f t="shared" si="17"/>
        <v>0</v>
      </c>
      <c r="DX13" s="105">
        <f t="shared" si="17"/>
        <v>0</v>
      </c>
      <c r="DY13" s="105">
        <f t="shared" si="17"/>
        <v>0</v>
      </c>
      <c r="DZ13" s="105">
        <f t="shared" si="17"/>
        <v>0</v>
      </c>
      <c r="EA13" s="105">
        <f t="shared" si="17"/>
        <v>0</v>
      </c>
      <c r="EB13" s="105">
        <f t="shared" si="17"/>
        <v>0</v>
      </c>
      <c r="EC13" s="105">
        <f t="shared" si="17"/>
        <v>0</v>
      </c>
      <c r="ED13" s="105">
        <f t="shared" si="17"/>
        <v>0</v>
      </c>
      <c r="EE13" s="105">
        <f t="shared" si="17"/>
        <v>0</v>
      </c>
      <c r="EF13" s="105">
        <f t="shared" si="17"/>
        <v>0</v>
      </c>
    </row>
    <row r="14" spans="1:136" ht="16">
      <c r="A14" s="330" t="s">
        <v>791</v>
      </c>
      <c r="I14" s="74"/>
      <c r="J14" s="74"/>
      <c r="K14" s="74"/>
      <c r="L14" s="74"/>
      <c r="M14" s="74"/>
      <c r="N14" s="74"/>
      <c r="O14" s="74"/>
      <c r="P14" s="70"/>
      <c r="Q14" s="74"/>
      <c r="R14" s="74"/>
      <c r="S14" s="74"/>
      <c r="T14" s="74"/>
      <c r="U14" s="74"/>
      <c r="V14" s="74">
        <v>1.44</v>
      </c>
      <c r="W14" s="74"/>
      <c r="X14" s="74"/>
      <c r="Y14" s="74"/>
      <c r="Z14" s="74"/>
      <c r="AA14" s="74"/>
      <c r="AB14" s="74"/>
      <c r="AC14" s="74">
        <f>168/74</f>
        <v>2.2702702702702702</v>
      </c>
      <c r="AD14" s="74"/>
      <c r="AE14" s="74">
        <v>2.5</v>
      </c>
      <c r="AF14" s="74">
        <v>1.9</v>
      </c>
      <c r="AG14" s="74"/>
      <c r="AH14" s="74">
        <v>1.87</v>
      </c>
      <c r="AI14" s="74">
        <v>1.87</v>
      </c>
      <c r="AJ14" s="74"/>
      <c r="AK14" s="74"/>
      <c r="AL14" s="74"/>
      <c r="AM14" s="74"/>
      <c r="AN14" s="74">
        <v>1.83</v>
      </c>
      <c r="AO14" s="74">
        <v>1.7</v>
      </c>
      <c r="AP14" s="74"/>
      <c r="AQ14" s="74">
        <v>1.63</v>
      </c>
      <c r="AR14" s="74"/>
      <c r="AS14" s="74"/>
      <c r="AT14" s="74"/>
      <c r="AU14" s="74"/>
      <c r="AV14" s="74"/>
      <c r="AW14" s="74"/>
      <c r="AY14" s="74"/>
      <c r="BD14" s="65"/>
      <c r="BL14" s="65"/>
      <c r="BR14" s="65"/>
    </row>
    <row r="15" spans="1:136" s="64" customFormat="1">
      <c r="H15" s="64" t="s">
        <v>763</v>
      </c>
      <c r="I15" s="74"/>
      <c r="J15" s="74"/>
      <c r="K15" s="74"/>
      <c r="L15" s="74"/>
      <c r="M15" s="74"/>
      <c r="N15" s="74"/>
      <c r="O15" s="74"/>
      <c r="P15" s="74"/>
      <c r="Q15" s="74"/>
      <c r="R15" s="74"/>
      <c r="S15" s="74"/>
      <c r="T15" s="74"/>
      <c r="U15" s="74"/>
      <c r="V15" s="74">
        <f>V14-V13</f>
        <v>0.33738077403245947</v>
      </c>
      <c r="W15" s="74"/>
      <c r="X15" s="74"/>
      <c r="Y15" s="74"/>
      <c r="Z15" s="74"/>
      <c r="AA15" s="74"/>
      <c r="AB15" s="74"/>
      <c r="AC15" s="74">
        <f>AC14-AC13</f>
        <v>1.025333108389288</v>
      </c>
      <c r="AD15" s="74"/>
      <c r="AE15" s="74">
        <f>AE14-AE13</f>
        <v>1.2111344153141907</v>
      </c>
      <c r="AF15" s="74">
        <f>AF14-AF13</f>
        <v>0.64199916770703291</v>
      </c>
      <c r="AG15" s="74"/>
      <c r="AH15" s="74">
        <f>AH14-AH13</f>
        <v>0.5502713275072828</v>
      </c>
      <c r="AI15" s="74">
        <f>AI14-AI13</f>
        <v>0.51394090719933438</v>
      </c>
      <c r="AJ15" s="74"/>
      <c r="AK15" s="74"/>
      <c r="AL15" s="74"/>
      <c r="AM15" s="74"/>
      <c r="AN15" s="74">
        <f>AN14-AN13</f>
        <v>0.57353308364544331</v>
      </c>
      <c r="AO15" s="74">
        <f>AO14-AO13</f>
        <v>0.53665584685809398</v>
      </c>
      <c r="AP15" s="74"/>
      <c r="AQ15" s="74">
        <f>AQ14-AQ13</f>
        <v>0.43832542655014572</v>
      </c>
      <c r="AR15" s="74"/>
      <c r="AS15" s="74"/>
      <c r="AT15" s="74"/>
      <c r="AU15" s="74"/>
      <c r="AW15" s="74"/>
      <c r="AX15" s="74"/>
      <c r="AY15" s="74"/>
      <c r="BD15" s="74"/>
      <c r="BL15" s="74"/>
      <c r="BQ15" s="74"/>
      <c r="BW15" s="60"/>
    </row>
    <row r="16" spans="1:136">
      <c r="H16" s="60" t="s">
        <v>764</v>
      </c>
      <c r="O16" s="74"/>
      <c r="P16" s="74"/>
      <c r="Q16" s="74"/>
      <c r="R16" s="65"/>
      <c r="S16" s="65"/>
      <c r="T16" s="65"/>
      <c r="W16" s="65"/>
      <c r="Y16" s="65"/>
      <c r="AC16" s="74"/>
      <c r="AE16" s="74"/>
      <c r="AI16" s="65"/>
      <c r="AK16" s="65"/>
      <c r="AL16" s="65"/>
      <c r="AO16" s="74"/>
      <c r="AQ16" s="74"/>
      <c r="AR16" s="65"/>
      <c r="AT16" s="74"/>
      <c r="AV16" s="65"/>
      <c r="BA16" s="65"/>
      <c r="BI16" s="103"/>
      <c r="BM16" s="74"/>
      <c r="BN16" s="74"/>
      <c r="BW16" s="65"/>
    </row>
    <row r="17" spans="2:136" ht="13" thickBot="1"/>
    <row r="18" spans="2:136" ht="13" thickBot="1">
      <c r="D18" s="259"/>
      <c r="H18" s="106" t="s">
        <v>407</v>
      </c>
      <c r="I18" s="109">
        <f>I13+0.34</f>
        <v>1.3756903870162296</v>
      </c>
      <c r="J18" s="109">
        <f t="shared" ref="J18:BU18" si="18">J13+0.34</f>
        <v>1.375558884727424</v>
      </c>
      <c r="K18" s="109">
        <f t="shared" si="18"/>
        <v>1.346494382022472</v>
      </c>
      <c r="L18" s="109">
        <f t="shared" si="18"/>
        <v>1.1820441115272577</v>
      </c>
      <c r="M18" s="109">
        <f t="shared" si="18"/>
        <v>1.1127089221806075</v>
      </c>
      <c r="N18" s="109">
        <f t="shared" si="18"/>
        <v>1.1721772784019975</v>
      </c>
      <c r="O18" s="109">
        <f t="shared" si="18"/>
        <v>1.2459026217228464</v>
      </c>
      <c r="P18" s="109">
        <f t="shared" si="18"/>
        <v>1.299097794423637</v>
      </c>
      <c r="Q18" s="109">
        <f t="shared" si="18"/>
        <v>1.2980982105701206</v>
      </c>
      <c r="R18" s="109">
        <f t="shared" si="18"/>
        <v>1.2926991260923846</v>
      </c>
      <c r="S18" s="109">
        <f t="shared" si="18"/>
        <v>1.3065651269246774</v>
      </c>
      <c r="T18" s="109">
        <f t="shared" si="18"/>
        <v>1.3534273824386183</v>
      </c>
      <c r="U18" s="109">
        <f t="shared" si="18"/>
        <v>1.3980241364960466</v>
      </c>
      <c r="V18" s="109">
        <f t="shared" si="18"/>
        <v>1.4426192259675406</v>
      </c>
      <c r="W18" s="109">
        <f t="shared" si="18"/>
        <v>1.476615064502705</v>
      </c>
      <c r="X18" s="109">
        <f t="shared" si="18"/>
        <v>1.5056113191843528</v>
      </c>
      <c r="Y18" s="109">
        <f t="shared" si="18"/>
        <v>1.5281423220973782</v>
      </c>
      <c r="Z18" s="109">
        <f t="shared" si="18"/>
        <v>1.541807740324594</v>
      </c>
      <c r="AA18" s="109">
        <f t="shared" si="18"/>
        <v>1.5512734082397004</v>
      </c>
      <c r="AB18" s="109">
        <f t="shared" si="18"/>
        <v>1.5847365792759052</v>
      </c>
      <c r="AC18" s="109">
        <f t="shared" si="18"/>
        <v>1.5849371618809822</v>
      </c>
      <c r="AD18" s="109">
        <f t="shared" si="18"/>
        <v>1.6056038285476488</v>
      </c>
      <c r="AE18" s="109">
        <f t="shared" si="18"/>
        <v>1.6288655846858093</v>
      </c>
      <c r="AF18" s="109">
        <f t="shared" si="18"/>
        <v>1.5980008322929671</v>
      </c>
      <c r="AG18" s="109">
        <f t="shared" si="18"/>
        <v>1.5914673325010404</v>
      </c>
      <c r="AH18" s="109">
        <f t="shared" si="18"/>
        <v>1.6597286724927174</v>
      </c>
      <c r="AI18" s="109">
        <f t="shared" si="18"/>
        <v>1.6960590928006658</v>
      </c>
      <c r="AJ18" s="109">
        <f t="shared" si="18"/>
        <v>1.8489071993341657</v>
      </c>
      <c r="AK18" s="109">
        <f t="shared" si="18"/>
        <v>1.7641822721598002</v>
      </c>
      <c r="AL18" s="109">
        <f t="shared" si="18"/>
        <v>1.7600491052850602</v>
      </c>
      <c r="AM18" s="109">
        <f t="shared" si="18"/>
        <v>1.6470611735330836</v>
      </c>
      <c r="AN18" s="109">
        <f t="shared" si="18"/>
        <v>1.5964669163545568</v>
      </c>
      <c r="AO18" s="109">
        <f t="shared" si="18"/>
        <v>1.5033441531419061</v>
      </c>
      <c r="AP18" s="109">
        <f t="shared" si="18"/>
        <v>1.4700815647107783</v>
      </c>
      <c r="AQ18" s="109">
        <f t="shared" si="18"/>
        <v>1.5316745734498542</v>
      </c>
      <c r="AR18" s="109">
        <f t="shared" si="18"/>
        <v>1.5546716604244695</v>
      </c>
      <c r="AS18" s="109">
        <f t="shared" si="18"/>
        <v>1.5177428214731585</v>
      </c>
      <c r="AT18" s="109">
        <f t="shared" si="18"/>
        <v>1.5684710778193924</v>
      </c>
      <c r="AU18" s="109">
        <f t="shared" si="18"/>
        <v>1.5908023304203081</v>
      </c>
      <c r="AV18" s="109">
        <f t="shared" si="18"/>
        <v>1.5739367457344984</v>
      </c>
      <c r="AW18" s="109">
        <f t="shared" si="18"/>
        <v>1.5496720765709529</v>
      </c>
      <c r="AX18" s="109">
        <f t="shared" si="18"/>
        <v>1.4905451518934665</v>
      </c>
      <c r="AY18" s="109">
        <f t="shared" si="18"/>
        <v>1.4905451518934665</v>
      </c>
      <c r="AZ18" s="109">
        <f t="shared" si="18"/>
        <v>1.4878784852267997</v>
      </c>
      <c r="BA18" s="109">
        <f t="shared" si="18"/>
        <v>1.4878784852267997</v>
      </c>
      <c r="BB18" s="109">
        <f t="shared" si="18"/>
        <v>1.4680807324178111</v>
      </c>
      <c r="BC18" s="109">
        <f t="shared" si="18"/>
        <v>1.4680807324178111</v>
      </c>
      <c r="BD18" s="109">
        <f t="shared" si="18"/>
        <v>1.4734140657511445</v>
      </c>
      <c r="BE18" s="109">
        <f t="shared" si="18"/>
        <v>1.4734140657511445</v>
      </c>
      <c r="BF18" s="109">
        <f t="shared" si="18"/>
        <v>1.4734140657511445</v>
      </c>
      <c r="BG18" s="109">
        <f t="shared" si="18"/>
        <v>1.4594823137744486</v>
      </c>
      <c r="BH18" s="109">
        <f t="shared" si="18"/>
        <v>1.4594823137744486</v>
      </c>
      <c r="BI18" s="109">
        <f t="shared" si="18"/>
        <v>1.4904794007490638</v>
      </c>
      <c r="BJ18" s="109">
        <f t="shared" si="18"/>
        <v>1.4904794007490638</v>
      </c>
      <c r="BK18" s="109">
        <f t="shared" si="18"/>
        <v>1.4904794007490638</v>
      </c>
      <c r="BL18" s="109">
        <f t="shared" si="18"/>
        <v>1.4904794007490638</v>
      </c>
      <c r="BM18" s="109">
        <f t="shared" si="18"/>
        <v>1.4904794007490638</v>
      </c>
      <c r="BN18" s="109">
        <f t="shared" si="18"/>
        <v>1.5190761548064919</v>
      </c>
      <c r="BO18" s="109">
        <f t="shared" si="18"/>
        <v>1.5190761548064919</v>
      </c>
      <c r="BP18" s="109">
        <f t="shared" si="18"/>
        <v>1.5150761548064919</v>
      </c>
      <c r="BQ18" s="109">
        <f t="shared" si="18"/>
        <v>1.5150761548064919</v>
      </c>
      <c r="BR18" s="109">
        <f t="shared" si="18"/>
        <v>1.5150761548064919</v>
      </c>
      <c r="BS18" s="109">
        <f t="shared" si="18"/>
        <v>1.5018776529338327</v>
      </c>
      <c r="BT18" s="109">
        <f t="shared" si="18"/>
        <v>1.5020782355389097</v>
      </c>
      <c r="BU18" s="109">
        <f t="shared" si="18"/>
        <v>1.5042779858510194</v>
      </c>
      <c r="BV18" s="109">
        <f t="shared" ref="BV18:CK18" si="19">BV13+0.34</f>
        <v>1.5086774864752392</v>
      </c>
      <c r="BW18" s="109">
        <f t="shared" si="19"/>
        <v>1.5093441531419061</v>
      </c>
      <c r="BX18" s="109">
        <f t="shared" si="19"/>
        <v>1.5093441531419061</v>
      </c>
      <c r="BY18" s="109">
        <f t="shared" si="19"/>
        <v>1.5093441531419061</v>
      </c>
      <c r="BZ18" s="109">
        <f t="shared" si="19"/>
        <v>1.4812143154390345</v>
      </c>
      <c r="CA18" s="109">
        <f t="shared" si="19"/>
        <v>1.4812143154390345</v>
      </c>
      <c r="CB18" s="109">
        <f t="shared" si="19"/>
        <v>1.4812143154390345</v>
      </c>
      <c r="CC18" s="109">
        <f t="shared" si="19"/>
        <v>1.4812143154390345</v>
      </c>
      <c r="CD18" s="109">
        <f t="shared" si="19"/>
        <v>1.4812143154390345</v>
      </c>
      <c r="CE18" s="109">
        <f t="shared" si="19"/>
        <v>1.4709488139825218</v>
      </c>
      <c r="CF18" s="109">
        <f t="shared" si="19"/>
        <v>1.4709488139825218</v>
      </c>
      <c r="CG18" s="109">
        <f t="shared" si="19"/>
        <v>1.4729488139825218</v>
      </c>
      <c r="CH18" s="109">
        <f t="shared" si="19"/>
        <v>1.4993458177278403</v>
      </c>
      <c r="CI18" s="109">
        <f t="shared" si="19"/>
        <v>1.4966791510611737</v>
      </c>
      <c r="CJ18" s="109">
        <f t="shared" si="19"/>
        <v>1.4966791510611737</v>
      </c>
      <c r="CK18" s="109">
        <f t="shared" si="19"/>
        <v>1.4966791510611737</v>
      </c>
      <c r="CL18" s="109">
        <f t="shared" ref="CL18:CW18" si="20">CL13+0.34</f>
        <v>1.5003454015813569</v>
      </c>
      <c r="CM18" s="109">
        <f t="shared" si="20"/>
        <v>1.4996787349146901</v>
      </c>
      <c r="CN18" s="109">
        <f t="shared" si="20"/>
        <v>1.5055447357469829</v>
      </c>
      <c r="CO18" s="109">
        <f t="shared" si="20"/>
        <v>1.5055447357469829</v>
      </c>
      <c r="CP18" s="109">
        <f t="shared" si="20"/>
        <v>1.5055447357469829</v>
      </c>
      <c r="CQ18" s="109">
        <f t="shared" si="20"/>
        <v>1.5055447357469829</v>
      </c>
      <c r="CR18" s="109">
        <f t="shared" si="20"/>
        <v>1.5092109862671659</v>
      </c>
      <c r="CS18" s="109">
        <f t="shared" si="20"/>
        <v>1.5085443196004993</v>
      </c>
      <c r="CT18" s="109">
        <f t="shared" si="20"/>
        <v>1.5085443196004993</v>
      </c>
      <c r="CU18" s="109">
        <f t="shared" si="20"/>
        <v>1.4850803162713275</v>
      </c>
      <c r="CV18" s="109">
        <f t="shared" si="20"/>
        <v>1.4850803162713275</v>
      </c>
      <c r="CW18" s="109">
        <f t="shared" si="20"/>
        <v>1.4837469829379941</v>
      </c>
      <c r="CX18" s="109">
        <f t="shared" ref="CX18:DO18" si="21">CX13+0.34</f>
        <v>1.4837469829379941</v>
      </c>
      <c r="CY18" s="109">
        <f t="shared" si="21"/>
        <v>1.4925459841864335</v>
      </c>
      <c r="CZ18" s="109">
        <f t="shared" si="21"/>
        <v>1.4925459841864335</v>
      </c>
      <c r="DA18" s="109">
        <f t="shared" si="21"/>
        <v>1.4925459841864335</v>
      </c>
      <c r="DB18" s="109">
        <f t="shared" si="21"/>
        <v>1.4925459841864335</v>
      </c>
      <c r="DC18" s="109">
        <f t="shared" si="21"/>
        <v>1.4925459841864335</v>
      </c>
      <c r="DD18" s="109">
        <f t="shared" si="21"/>
        <v>1.5211427382438618</v>
      </c>
      <c r="DE18" s="109">
        <f t="shared" si="21"/>
        <v>1.5211427382438618</v>
      </c>
      <c r="DF18" s="109">
        <f t="shared" si="21"/>
        <v>1.5211427382438618</v>
      </c>
      <c r="DG18" s="109">
        <f t="shared" si="21"/>
        <v>1.5211427382438618</v>
      </c>
      <c r="DH18" s="109">
        <f t="shared" si="21"/>
        <v>1.5145434873075321</v>
      </c>
      <c r="DI18" s="109">
        <f t="shared" si="21"/>
        <v>1.5145434873075321</v>
      </c>
      <c r="DJ18" s="109">
        <f t="shared" si="21"/>
        <v>1.5172101539741989</v>
      </c>
      <c r="DK18" s="109">
        <f t="shared" si="21"/>
        <v>1.5172101539741989</v>
      </c>
      <c r="DL18" s="109">
        <f t="shared" si="21"/>
        <v>1.4761481481481482</v>
      </c>
      <c r="DM18" s="109">
        <f t="shared" si="21"/>
        <v>1.4856803995006242</v>
      </c>
      <c r="DN18" s="109">
        <f t="shared" si="21"/>
        <v>1.4662821473158552</v>
      </c>
      <c r="DO18" s="109">
        <f t="shared" si="21"/>
        <v>1.4640823970037453</v>
      </c>
      <c r="DP18" s="109">
        <f t="shared" ref="DP18:EF18" si="22">DP13+0.34</f>
        <v>1.4640823970037453</v>
      </c>
      <c r="DQ18" s="109">
        <f t="shared" si="22"/>
        <v>1.4640823970037453</v>
      </c>
      <c r="DR18" s="109">
        <f t="shared" si="22"/>
        <v>1.4640823970037453</v>
      </c>
      <c r="DS18" s="109">
        <f t="shared" si="22"/>
        <v>1.4555505617977529</v>
      </c>
      <c r="DT18" s="109">
        <f t="shared" si="22"/>
        <v>0.34</v>
      </c>
      <c r="DU18" s="109">
        <f t="shared" si="22"/>
        <v>0.34</v>
      </c>
      <c r="DV18" s="109">
        <f t="shared" si="22"/>
        <v>0.34</v>
      </c>
      <c r="DW18" s="109">
        <f t="shared" si="22"/>
        <v>0.34</v>
      </c>
      <c r="DX18" s="109">
        <f t="shared" si="22"/>
        <v>0.34</v>
      </c>
      <c r="DY18" s="109">
        <f t="shared" si="22"/>
        <v>0.34</v>
      </c>
      <c r="DZ18" s="109">
        <f t="shared" si="22"/>
        <v>0.34</v>
      </c>
      <c r="EA18" s="109">
        <f t="shared" si="22"/>
        <v>0.34</v>
      </c>
      <c r="EB18" s="109">
        <f t="shared" si="22"/>
        <v>0.34</v>
      </c>
      <c r="EC18" s="109">
        <f t="shared" si="22"/>
        <v>0.34</v>
      </c>
      <c r="ED18" s="109">
        <f t="shared" si="22"/>
        <v>0.34</v>
      </c>
      <c r="EE18" s="109">
        <f t="shared" si="22"/>
        <v>0.34</v>
      </c>
      <c r="EF18" s="109">
        <f t="shared" si="22"/>
        <v>0.34</v>
      </c>
    </row>
    <row r="20" spans="2:136">
      <c r="B20" s="65"/>
      <c r="BL20" s="65"/>
    </row>
    <row r="25" spans="2:136" ht="15">
      <c r="AR25" s="11"/>
    </row>
    <row r="26" spans="2:136" ht="15">
      <c r="AR26" s="11"/>
    </row>
    <row r="27" spans="2:136" ht="15">
      <c r="AR27" s="260"/>
    </row>
  </sheetData>
  <conditionalFormatting sqref="I15 AL15 AS15 K15:L15 T15:X15 Z15:AC15 AE15:AF15 AH15:AJ15 AO15:AQ15">
    <cfRule type="top10" dxfId="7" priority="2" bottom="1" rank="1"/>
  </conditionalFormatting>
  <conditionalFormatting sqref="AN15">
    <cfRule type="top10" dxfId="6" priority="1" bottom="1" rank="1"/>
  </conditionalFormatting>
  <pageMargins left="0.7" right="0.7" top="0.75" bottom="0.75" header="0.3" footer="0.3"/>
  <pageSetup orientation="portrait" r:id="rId1"/>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EN27"/>
  <sheetViews>
    <sheetView workbookViewId="0">
      <pane xSplit="8" ySplit="6" topLeftCell="BM7" activePane="bottomRight" state="frozen"/>
      <selection pane="topRight" activeCell="I1" sqref="I1"/>
      <selection pane="bottomLeft" activeCell="A7" sqref="A7"/>
      <selection pane="bottomRight" activeCell="BN18" sqref="BN18"/>
    </sheetView>
  </sheetViews>
  <sheetFormatPr baseColWidth="10" defaultColWidth="22.6640625" defaultRowHeight="12"/>
  <cols>
    <col min="1" max="1" width="13.5" style="60" bestFit="1" customWidth="1"/>
    <col min="2" max="2" width="11.33203125" style="60" bestFit="1" customWidth="1"/>
    <col min="3" max="3" width="4.83203125" style="60" bestFit="1" customWidth="1"/>
    <col min="4" max="4" width="12.33203125" style="60" bestFit="1" customWidth="1"/>
    <col min="5" max="5" width="7.5" style="60" bestFit="1" customWidth="1"/>
    <col min="6" max="6" width="6.5" style="60" bestFit="1" customWidth="1"/>
    <col min="7" max="7" width="3.33203125" style="60" bestFit="1" customWidth="1"/>
    <col min="8" max="8" width="14.5" style="60" bestFit="1" customWidth="1"/>
    <col min="9" max="10" width="5.5" style="60" bestFit="1" customWidth="1"/>
    <col min="11" max="11" width="5.6640625" style="60" bestFit="1" customWidth="1"/>
    <col min="12" max="12" width="5.5" style="60" bestFit="1" customWidth="1"/>
    <col min="13" max="13" width="5.83203125" style="60" bestFit="1" customWidth="1"/>
    <col min="14" max="18" width="5.5" style="60" bestFit="1" customWidth="1"/>
    <col min="19" max="51" width="6.1640625" style="60" bestFit="1" customWidth="1"/>
    <col min="52" max="54" width="7" style="60" bestFit="1" customWidth="1"/>
    <col min="55" max="90" width="6.1640625" style="60" bestFit="1" customWidth="1"/>
    <col min="91" max="95" width="6.33203125" style="60" bestFit="1" customWidth="1"/>
    <col min="96" max="100" width="6.1640625" style="60" bestFit="1" customWidth="1"/>
    <col min="101" max="103" width="5.1640625" style="60" bestFit="1" customWidth="1"/>
    <col min="104" max="105" width="5.83203125" style="60" bestFit="1" customWidth="1"/>
    <col min="106" max="106" width="6.1640625" style="60" bestFit="1" customWidth="1"/>
    <col min="107" max="107" width="5.83203125" style="60" bestFit="1" customWidth="1"/>
    <col min="108" max="115" width="5.6640625" style="60" bestFit="1" customWidth="1"/>
    <col min="116" max="119" width="6.1640625" style="60" bestFit="1" customWidth="1"/>
    <col min="120" max="123" width="5.83203125" style="60" bestFit="1" customWidth="1"/>
    <col min="124" max="140" width="5.1640625" style="60" bestFit="1" customWidth="1"/>
    <col min="141" max="144" width="3.33203125" style="60" bestFit="1" customWidth="1"/>
    <col min="145" max="16384" width="22.6640625" style="60"/>
  </cols>
  <sheetData>
    <row r="1" spans="1:144" ht="26">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c r="EM1" s="99">
        <v>141</v>
      </c>
      <c r="EN1" s="99">
        <v>142</v>
      </c>
    </row>
    <row r="2" spans="1:144">
      <c r="A2" s="327" t="s">
        <v>303</v>
      </c>
      <c r="B2" s="112"/>
      <c r="C2" s="101">
        <v>1</v>
      </c>
      <c r="D2" s="282">
        <v>175.22</v>
      </c>
      <c r="E2" s="60">
        <f>D2*C2</f>
        <v>175.22</v>
      </c>
      <c r="K2" s="102"/>
      <c r="M2" s="102"/>
    </row>
    <row r="3" spans="1:144">
      <c r="A3" s="100"/>
      <c r="B3" s="64"/>
      <c r="D3" s="100"/>
      <c r="E3" s="64"/>
      <c r="F3" s="103"/>
    </row>
    <row r="4" spans="1:144">
      <c r="A4" s="64"/>
      <c r="B4" s="64"/>
      <c r="D4" s="64"/>
      <c r="E4" s="64"/>
      <c r="H4" s="60" t="s">
        <v>387</v>
      </c>
    </row>
    <row r="5" spans="1:144">
      <c r="A5" s="74"/>
      <c r="B5" s="74"/>
    </row>
    <row r="6" spans="1:144">
      <c r="A6" s="59"/>
      <c r="B6" s="59"/>
      <c r="C6" s="59"/>
      <c r="D6" s="98"/>
      <c r="E6" s="98"/>
      <c r="F6" s="59"/>
      <c r="H6" s="59" t="s">
        <v>416</v>
      </c>
      <c r="I6" s="59">
        <v>43831</v>
      </c>
      <c r="J6" s="59">
        <v>43862</v>
      </c>
      <c r="K6" s="59">
        <v>43891</v>
      </c>
      <c r="L6" s="59">
        <v>43922</v>
      </c>
      <c r="M6" s="59">
        <v>43952</v>
      </c>
      <c r="N6" s="59">
        <v>43983</v>
      </c>
      <c r="O6" s="59">
        <v>44013</v>
      </c>
      <c r="P6" s="59">
        <v>44044</v>
      </c>
      <c r="Q6" s="59">
        <v>44075</v>
      </c>
      <c r="R6" s="59">
        <v>44105</v>
      </c>
      <c r="S6" s="59">
        <v>44136</v>
      </c>
      <c r="T6" s="59">
        <v>44166</v>
      </c>
      <c r="U6" s="59">
        <v>44197</v>
      </c>
      <c r="V6" s="59">
        <v>44228</v>
      </c>
      <c r="W6" s="59">
        <v>44256</v>
      </c>
      <c r="X6" s="59">
        <v>44287</v>
      </c>
      <c r="Y6" s="59">
        <v>44317</v>
      </c>
      <c r="Z6" s="59">
        <v>44348</v>
      </c>
      <c r="AA6" s="59">
        <v>44378</v>
      </c>
      <c r="AB6" s="59">
        <v>44409</v>
      </c>
      <c r="AC6" s="59">
        <v>44440</v>
      </c>
      <c r="AD6" s="59">
        <v>44470</v>
      </c>
      <c r="AE6" s="59">
        <v>44501</v>
      </c>
      <c r="AF6" s="59">
        <v>44531</v>
      </c>
      <c r="AG6" s="59">
        <v>44562</v>
      </c>
      <c r="AH6" s="59">
        <v>44593</v>
      </c>
      <c r="AI6" s="59">
        <v>44621</v>
      </c>
      <c r="AJ6" s="59">
        <v>44652</v>
      </c>
      <c r="AK6" s="59">
        <v>44682</v>
      </c>
      <c r="AL6" s="59">
        <v>44713</v>
      </c>
      <c r="AM6" s="59">
        <v>44743</v>
      </c>
      <c r="AN6" s="59">
        <v>44774</v>
      </c>
      <c r="AO6" s="59">
        <v>44805</v>
      </c>
      <c r="AP6" s="59">
        <v>44835</v>
      </c>
      <c r="AQ6" s="59">
        <v>44866</v>
      </c>
      <c r="AR6" s="59">
        <v>44896</v>
      </c>
      <c r="AS6" s="59">
        <v>44927</v>
      </c>
      <c r="AT6" s="59">
        <v>44958</v>
      </c>
      <c r="AU6" s="59">
        <v>44986</v>
      </c>
      <c r="AV6" s="59">
        <v>45017</v>
      </c>
      <c r="AW6" s="59">
        <v>45047</v>
      </c>
      <c r="AX6" s="59">
        <v>45078</v>
      </c>
      <c r="AY6" s="59">
        <v>45108</v>
      </c>
      <c r="AZ6" s="59" t="s">
        <v>530</v>
      </c>
      <c r="BA6" s="59" t="s">
        <v>531</v>
      </c>
      <c r="BB6" s="59" t="s">
        <v>532</v>
      </c>
      <c r="BC6" s="59">
        <v>37104</v>
      </c>
      <c r="BD6" s="59">
        <v>37469</v>
      </c>
      <c r="BE6" s="59" t="s">
        <v>168</v>
      </c>
      <c r="BF6" s="59" t="s">
        <v>169</v>
      </c>
      <c r="BG6" s="59" t="s">
        <v>421</v>
      </c>
      <c r="BH6" s="59" t="s">
        <v>422</v>
      </c>
      <c r="BI6" s="59" t="s">
        <v>423</v>
      </c>
      <c r="BJ6" s="59" t="s">
        <v>424</v>
      </c>
      <c r="BK6" s="59" t="s">
        <v>435</v>
      </c>
      <c r="BL6" s="59" t="s">
        <v>436</v>
      </c>
      <c r="BM6" s="59" t="s">
        <v>437</v>
      </c>
      <c r="BN6" s="59" t="s">
        <v>438</v>
      </c>
      <c r="BO6" s="59">
        <v>37196</v>
      </c>
      <c r="BP6" s="59">
        <v>37561</v>
      </c>
      <c r="BQ6" s="59">
        <v>37926</v>
      </c>
      <c r="BR6" s="59">
        <v>38292</v>
      </c>
      <c r="BS6" s="59">
        <v>37226</v>
      </c>
      <c r="BT6" s="59">
        <v>37591</v>
      </c>
      <c r="BU6" s="59">
        <v>37956</v>
      </c>
      <c r="BV6" s="59">
        <v>38322</v>
      </c>
      <c r="BW6" s="59">
        <v>36892</v>
      </c>
      <c r="BX6" s="59">
        <v>37257</v>
      </c>
      <c r="BY6" s="59">
        <v>37622</v>
      </c>
      <c r="BZ6" s="59">
        <v>37987</v>
      </c>
      <c r="CA6" s="59">
        <v>36923</v>
      </c>
      <c r="CB6" s="59">
        <v>37288</v>
      </c>
      <c r="CC6" s="59">
        <v>37653</v>
      </c>
      <c r="CD6" s="59">
        <v>38018</v>
      </c>
      <c r="CE6" s="59" t="str">
        <f>Sheet8!A15</f>
        <v>Mar-w1</v>
      </c>
      <c r="CF6" s="59" t="str">
        <f>Sheet8!B15</f>
        <v>Mar-w2</v>
      </c>
      <c r="CG6" s="59" t="str">
        <f>Sheet8!C15</f>
        <v>Mar-w3</v>
      </c>
      <c r="CH6" s="59" t="str">
        <f>Sheet8!D15</f>
        <v>Mar-w4</v>
      </c>
      <c r="CI6" s="59" t="str">
        <f>Sheet8!E15</f>
        <v>Apr-w1</v>
      </c>
      <c r="CJ6" s="59" t="str">
        <f>Sheet8!F15</f>
        <v>Apr-w2</v>
      </c>
      <c r="CK6" s="59" t="str">
        <f>Sheet8!G15</f>
        <v>Apr-w3</v>
      </c>
      <c r="CL6" s="59" t="str">
        <f>Sheet8!H15</f>
        <v>Apr-w4</v>
      </c>
      <c r="CM6" s="59" t="str">
        <f>Sheet8!I15</f>
        <v>May-w1</v>
      </c>
      <c r="CN6" s="59" t="str">
        <f>Sheet8!J15</f>
        <v>May-w2</v>
      </c>
      <c r="CO6" s="59" t="str">
        <f>Sheet8!K15</f>
        <v>May-w3</v>
      </c>
      <c r="CP6" s="59" t="str">
        <f>Sheet8!L15</f>
        <v>May-w4</v>
      </c>
      <c r="CQ6" s="59" t="str">
        <f>Sheet8!M15</f>
        <v>May-w5</v>
      </c>
      <c r="CR6" s="59" t="str">
        <f>Sheet8!N15</f>
        <v>june-w1</v>
      </c>
      <c r="CS6" s="59" t="str">
        <f>Sheet8!O15</f>
        <v>june-w2</v>
      </c>
      <c r="CT6" s="59" t="str">
        <f>Sheet8!P15</f>
        <v>june-w3</v>
      </c>
      <c r="CU6" s="59" t="str">
        <f>Sheet8!Q15</f>
        <v>june-w4</v>
      </c>
      <c r="CV6" s="59" t="str">
        <f>Sheet8!R15</f>
        <v>Jul-w1</v>
      </c>
      <c r="CW6" s="59" t="str">
        <f>Sheet8!S15</f>
        <v>Jul-w2</v>
      </c>
      <c r="CX6" s="59" t="str">
        <f>Sheet8!T15</f>
        <v>Jul-w3</v>
      </c>
      <c r="CY6" s="59" t="str">
        <f>Sheet8!U15</f>
        <v>Jul-w4</v>
      </c>
      <c r="CZ6" s="59" t="str">
        <f>Sheet8!V15</f>
        <v>Aug-w1</v>
      </c>
      <c r="DA6" s="59" t="str">
        <f>Sheet8!W15</f>
        <v>Aug-w2</v>
      </c>
      <c r="DB6" s="59" t="str">
        <f>Sheet8!X15</f>
        <v>Aug-w3</v>
      </c>
      <c r="DC6" s="59" t="str">
        <f>Sheet8!Y15</f>
        <v>Aug-w4</v>
      </c>
      <c r="DD6" s="59" t="str">
        <f>Sheet8!Z15</f>
        <v>Sep-w1</v>
      </c>
      <c r="DE6" s="59" t="str">
        <f>Sheet8!AA15</f>
        <v>Sep-w2</v>
      </c>
      <c r="DF6" s="59" t="str">
        <f>Sheet8!AB15</f>
        <v>Sep-w3</v>
      </c>
      <c r="DG6" s="59" t="str">
        <f>Sheet8!AC15</f>
        <v>Sep-w4</v>
      </c>
      <c r="DH6" s="59" t="str">
        <f>Sheet8!AD15</f>
        <v>Oct-w1</v>
      </c>
      <c r="DI6" s="59" t="str">
        <f>Sheet8!AE15</f>
        <v>Oct-w2</v>
      </c>
      <c r="DJ6" s="59" t="str">
        <f>Sheet8!AF15</f>
        <v>Oct-w3</v>
      </c>
      <c r="DK6" s="59" t="str">
        <f>Sheet8!AG15</f>
        <v>Oct-w4</v>
      </c>
      <c r="DL6" s="59" t="str">
        <f>Sheet8!AH15</f>
        <v>Nov-w1</v>
      </c>
      <c r="DM6" s="59" t="str">
        <f>Sheet8!AI15</f>
        <v>Nov-w2</v>
      </c>
      <c r="DN6" s="59" t="str">
        <f>Sheet8!AJ15</f>
        <v>Nov-w3</v>
      </c>
      <c r="DO6" s="59" t="str">
        <f>Sheet8!AK15</f>
        <v>Nov-w4</v>
      </c>
      <c r="DP6" s="59" t="str">
        <f>Sheet8!AL15</f>
        <v>Dec-w1</v>
      </c>
      <c r="DQ6" s="59" t="str">
        <f>Sheet8!AM15</f>
        <v>Dec-w2</v>
      </c>
      <c r="DR6" s="59" t="str">
        <f>Sheet8!AN15</f>
        <v>Dec-w3</v>
      </c>
      <c r="DS6" s="59" t="str">
        <f>Sheet8!AO15</f>
        <v>Dec-w4</v>
      </c>
      <c r="DT6" s="59">
        <f>Sheet8!AP15</f>
        <v>0</v>
      </c>
      <c r="DU6" s="59">
        <f>Sheet8!AQ15</f>
        <v>0</v>
      </c>
      <c r="DV6" s="59">
        <f>Sheet8!AR15</f>
        <v>0</v>
      </c>
      <c r="DW6" s="59">
        <f>Sheet8!AS15</f>
        <v>0</v>
      </c>
      <c r="DX6" s="59">
        <f>Sheet8!AT15</f>
        <v>0</v>
      </c>
      <c r="DY6" s="59">
        <f>Sheet8!AU15</f>
        <v>0</v>
      </c>
      <c r="DZ6" s="59">
        <f>Sheet8!AV15</f>
        <v>0</v>
      </c>
      <c r="EA6" s="59">
        <f>Sheet8!AW15</f>
        <v>0</v>
      </c>
      <c r="EB6" s="59">
        <f>Sheet8!AX15</f>
        <v>0</v>
      </c>
      <c r="EC6" s="59">
        <f>Sheet8!AY15</f>
        <v>0</v>
      </c>
      <c r="ED6" s="59">
        <f>Sheet8!AZ15</f>
        <v>0</v>
      </c>
      <c r="EE6" s="59">
        <f>Sheet8!BA15</f>
        <v>0</v>
      </c>
      <c r="EF6" s="59">
        <f>Sheet8!BB15</f>
        <v>0</v>
      </c>
      <c r="EG6" s="59">
        <f>Sheet8!BC15</f>
        <v>0</v>
      </c>
      <c r="EH6" s="59">
        <f>Sheet8!BD15</f>
        <v>0</v>
      </c>
      <c r="EI6" s="59">
        <f>Sheet8!BE15</f>
        <v>0</v>
      </c>
      <c r="EJ6" s="59">
        <f>Sheet8!BF15</f>
        <v>0</v>
      </c>
    </row>
    <row r="7" spans="1:144">
      <c r="B7" s="44"/>
      <c r="D7" s="44"/>
      <c r="F7" s="60" t="s">
        <v>651</v>
      </c>
      <c r="H7" s="178" t="s">
        <v>106</v>
      </c>
      <c r="I7" s="74">
        <f>VLOOKUP($H$7&amp;$F$1,'Input RM sheet'!$A:$BD,H1,0)</f>
        <v>858</v>
      </c>
      <c r="J7" s="74">
        <f>VLOOKUP($H$7&amp;$F$1,'Input RM sheet'!$A:$BD,I1,0)</f>
        <v>866.875</v>
      </c>
      <c r="K7" s="74">
        <f>VLOOKUP($H$7&amp;$F$1,'Input RM sheet'!$A:$BD,J1,0)</f>
        <v>815.625</v>
      </c>
      <c r="L7" s="74">
        <f>VLOOKUP($H$7&amp;$F$1,'Input RM sheet'!$A:$BD,K1,0)</f>
        <v>680</v>
      </c>
      <c r="M7" s="74">
        <f>VLOOKUP($H$7&amp;$F$1,'Input RM sheet'!$A:$BD,L1,0)</f>
        <v>719.375</v>
      </c>
      <c r="N7" s="74">
        <f>VLOOKUP($H$7&amp;$F$1,'Input RM sheet'!$A:$BD,M1,0)</f>
        <v>762.5</v>
      </c>
      <c r="O7" s="74">
        <f>VLOOKUP($H$7&amp;$F$1,'Input RM sheet'!$A:$BD,N1,0)</f>
        <v>821</v>
      </c>
      <c r="P7" s="74">
        <f>VLOOKUP($H$7&amp;$F$1,'Input RM sheet'!$A:$BD,O1,0)</f>
        <v>825.625</v>
      </c>
      <c r="Q7" s="74">
        <f>VLOOKUP($H$7&amp;$F$1,'Input RM sheet'!$A:$BD,P1,0)</f>
        <v>843.125</v>
      </c>
      <c r="R7" s="74">
        <f>VLOOKUP($H$7&amp;$F$1,'Input RM sheet'!$A:$BD,Q1,0)</f>
        <v>867.5</v>
      </c>
      <c r="S7" s="74">
        <f>VLOOKUP($H$7&amp;$F$1,'Input RM sheet'!$A:$BD,R1,0)</f>
        <v>1078.75</v>
      </c>
      <c r="T7" s="74">
        <f>VLOOKUP($H$7&amp;$F$1,'Input RM sheet'!$A:$BD,S1,0)</f>
        <v>1266.25</v>
      </c>
      <c r="U7" s="74">
        <f>VLOOKUP($H$7&amp;$F$1,'Input RM sheet'!$A:$BD,T1,0)</f>
        <v>1347.5</v>
      </c>
      <c r="V7" s="74">
        <f>VLOOKUP($H$7&amp;$F$1,'Input RM sheet'!$A:$BD,U1,0)</f>
        <v>1542</v>
      </c>
      <c r="W7" s="74">
        <f>VLOOKUP($H$7&amp;$F$1,'Input RM sheet'!$A:$BD,V1,0)</f>
        <v>1886</v>
      </c>
      <c r="X7" s="74">
        <f>VLOOKUP($H$7&amp;$F$1,'Input RM sheet'!$A:$BD,W1,0)</f>
        <v>1673</v>
      </c>
      <c r="Y7" s="74">
        <f>VLOOKUP($H$7&amp;$F$1,'Input RM sheet'!$A:$BD,X1,0)</f>
        <v>1893.75</v>
      </c>
      <c r="Z7" s="74">
        <f>VLOOKUP($H$7&amp;$F$1,'Input RM sheet'!$A:$BD,Y1,0)</f>
        <v>1911.25</v>
      </c>
      <c r="AA7" s="74">
        <f>VLOOKUP($H$7&amp;$F$1,'Input RM sheet'!$A:$BD,Z1,0)</f>
        <v>1999</v>
      </c>
      <c r="AB7" s="74">
        <f>VLOOKUP($H$7&amp;$F$1,'Input RM sheet'!$A:$BD,AA1,0)</f>
        <v>2094</v>
      </c>
      <c r="AC7" s="74">
        <f>VLOOKUP($H$7&amp;$F$1,'Input RM sheet'!$A:$BD,AB1,0)</f>
        <v>1984</v>
      </c>
      <c r="AD7" s="74">
        <f>VLOOKUP($H$7&amp;$F$1,'Input RM sheet'!$A:$BD,AC1,0)</f>
        <v>1753.75</v>
      </c>
      <c r="AE7" s="74">
        <f>VLOOKUP($H$7&amp;$F$1,'Input RM sheet'!$A:$BD,AD1,0)</f>
        <v>1732.5</v>
      </c>
      <c r="AF7" s="74">
        <f>VLOOKUP($H$7&amp;$F$1,'Input RM sheet'!$A:$BD,AE1,0)</f>
        <v>1550</v>
      </c>
      <c r="AG7" s="74">
        <f>VLOOKUP($H$7&amp;$F$1,'Input RM sheet'!$A:$BD,AF1,0)</f>
        <v>1487.5</v>
      </c>
      <c r="AH7" s="74">
        <f>VLOOKUP($H$7&amp;$F$1,'Input RM sheet'!$A:$BD,AG1,0)</f>
        <v>1678.75</v>
      </c>
      <c r="AI7" s="74">
        <f>VLOOKUP($H$7&amp;$F$1,'Input RM sheet'!$A:$BD,AH1,0)</f>
        <v>1756</v>
      </c>
      <c r="AJ7" s="74">
        <f>VLOOKUP($H$7&amp;$F$1,'Input RM sheet'!$A:$BD,AI1,0)</f>
        <v>1750</v>
      </c>
      <c r="AK7" s="74">
        <f>VLOOKUP($H$7&amp;$F$1,'Input RM sheet'!$A:$BD,AJ1,0)</f>
        <v>1718.75</v>
      </c>
      <c r="AL7" s="74">
        <f>VLOOKUP($H$7&amp;$F$1,'Input RM sheet'!$A:$BD,AK1,0)</f>
        <v>1490</v>
      </c>
      <c r="AM7" s="74">
        <f>VLOOKUP($H$7&amp;$F$1,'Input RM sheet'!$A:$BD,AL1,0)</f>
        <v>1145</v>
      </c>
      <c r="AN7" s="74">
        <f>VLOOKUP($H$7&amp;$F$1,'Input RM sheet'!$A:$BD,AM1,0)</f>
        <v>1105</v>
      </c>
      <c r="AO7" s="74">
        <f>VLOOKUP($H$7&amp;$F$1,'Input RM sheet'!$A:$BD,AN1,0)</f>
        <v>1149.5</v>
      </c>
      <c r="AP7" s="74">
        <f>VLOOKUP($H$7&amp;$F$1,'Input RM sheet'!$A:$BD,AO1,0)</f>
        <v>1160</v>
      </c>
      <c r="AQ7" s="74">
        <f>VLOOKUP($H$7&amp;$F$1,'Input RM sheet'!$A:$BD,AP1,0)</f>
        <v>1150</v>
      </c>
      <c r="AR7" s="74">
        <f>VLOOKUP($H$7&amp;$F$1,'Input RM sheet'!$A:$BD,AQ1,0)</f>
        <v>1130</v>
      </c>
      <c r="AS7" s="74">
        <f>VLOOKUP($H$7&amp;$F$1,'Input RM sheet'!$A:$BD,AR1,0)</f>
        <v>1210</v>
      </c>
      <c r="AT7" s="74">
        <f>VLOOKUP($H$7&amp;$F$1,'Input RM sheet'!$A:$BD,AS1,0)</f>
        <v>1238.75</v>
      </c>
      <c r="AU7" s="74">
        <f>VLOOKUP($H$7&amp;$F$1,'Input RM sheet'!$A:$BD,AT1,0)</f>
        <v>1185</v>
      </c>
      <c r="AV7" s="74">
        <f>VLOOKUP($H$7&amp;$F$1,'Input RM sheet'!$A:$BD,AU1,0)</f>
        <v>1175</v>
      </c>
      <c r="AW7" s="74">
        <f>VLOOKUP($H$7&amp;$F$1,'Input RM sheet'!$A:$BD,AV1,0)</f>
        <v>1200</v>
      </c>
      <c r="AX7" s="74">
        <f>VLOOKUP($H$7&amp;$F$1,'Input RM sheet'!$A:$BD,AW1,0)</f>
        <v>1240</v>
      </c>
      <c r="AY7" s="74">
        <f>VLOOKUP($H$7&amp;$F$1,'Input RM sheet'!$A:$BD,AX1,0)</f>
        <v>1110</v>
      </c>
      <c r="AZ7" s="74">
        <f>VLOOKUP($H$7&amp;$F$1,'Input RM sheet'!$A:$BD,AY1,0)</f>
        <v>1110</v>
      </c>
      <c r="BA7" s="74">
        <f>VLOOKUP($H$7&amp;$F$1,'Input RM sheet'!$A:$BD,AZ1,0)</f>
        <v>1120</v>
      </c>
      <c r="BB7" s="74">
        <f>VLOOKUP($H$7&amp;$F$1,'Input RM sheet'!$A:$BD,BA1,0)</f>
        <v>1150</v>
      </c>
      <c r="BC7" s="74">
        <f>VLOOKUP($H$7&amp;$F$1,'Input RM sheet'!$A:$BD,BB1,0)</f>
        <v>1240</v>
      </c>
      <c r="BD7" s="74">
        <f>VLOOKUP($H$7&amp;$F$1,'Input RM sheet'!$A:$BD,BC1,0)</f>
        <v>1305</v>
      </c>
      <c r="BE7" s="74">
        <f>VLOOKUP($H$7&amp;$F$1,'Input RM sheet'!$A:$BD,BD1,0)</f>
        <v>1345</v>
      </c>
      <c r="BF7" s="74">
        <f>VLOOKUP($H$7&amp;$F$1,'Input RM sheet'!$A:$BD,BE1,0)</f>
        <v>1350</v>
      </c>
      <c r="BG7" s="74">
        <f>VLOOKUP($H$7&amp;$F$1,'Input RM sheet'!$A:$DD,BF1,0)</f>
        <v>1435</v>
      </c>
      <c r="BH7" s="74">
        <f>VLOOKUP($H$7&amp;$F$1,'Input RM sheet'!$A:$DD,BG1,0)</f>
        <v>1435</v>
      </c>
      <c r="BI7" s="74">
        <f>VLOOKUP($H$7&amp;$F$1,'Input RM sheet'!$A:$DD,BH1,0)</f>
        <v>1340</v>
      </c>
      <c r="BJ7" s="74">
        <f>VLOOKUP($H$7&amp;$F$1,'Input RM sheet'!$A:$DD,BI1,0)</f>
        <v>1404</v>
      </c>
      <c r="BK7" s="74">
        <f>VLOOKUP($H$7&amp;$F$1,'Input RM sheet'!$A:$DD,BJ1,0)</f>
        <v>1385</v>
      </c>
      <c r="BL7" s="74">
        <f>VLOOKUP($H$7&amp;$F$1,'Input RM sheet'!$A:$DD,BK1,0)</f>
        <v>1340</v>
      </c>
      <c r="BM7" s="74">
        <f>VLOOKUP($H$7&amp;$F$1,'Input RM sheet'!$A:$DD,BL1,0)</f>
        <v>1330</v>
      </c>
      <c r="BN7" s="74">
        <f>VLOOKUP($H$7&amp;$F$1,'Input RM sheet'!$A:$DD,BM1,0)</f>
        <v>1290</v>
      </c>
      <c r="BO7" s="74">
        <f>VLOOKUP($H$7&amp;$F$1,'Input RM sheet'!$A:$DD,BN1,0)</f>
        <v>1290</v>
      </c>
      <c r="BP7" s="74">
        <f>VLOOKUP($H$7&amp;$F$1,'Input RM sheet'!$A:$DD,BO1,0)</f>
        <v>1290</v>
      </c>
      <c r="BQ7" s="74">
        <f>VLOOKUP($H$7&amp;$F$1,'Input RM sheet'!$A:$DD,BP1,0)</f>
        <v>1290</v>
      </c>
      <c r="BR7" s="74">
        <f>VLOOKUP($H$7&amp;$F$1,'Input RM sheet'!$A:$DD,BQ1,0)</f>
        <v>1270</v>
      </c>
      <c r="BS7" s="74">
        <f>VLOOKUP($H$7&amp;$F$1,'Input RM sheet'!$A:$DD,BR1,0)</f>
        <v>1270</v>
      </c>
      <c r="BT7" s="74">
        <f>VLOOKUP($H$7&amp;$F$1,'Input RM sheet'!$A:$DD,BS1,0)</f>
        <v>1285</v>
      </c>
      <c r="BU7" s="74">
        <f>VLOOKUP($H$7&amp;$F$1,'Input RM sheet'!$A:$DD,BT1,0)</f>
        <v>1340</v>
      </c>
      <c r="BV7" s="74">
        <f>VLOOKUP($H$7&amp;$F$1,'Input RM sheet'!$A:$DD,BU1,0)</f>
        <v>1340</v>
      </c>
      <c r="BW7" s="74">
        <f>VLOOKUP($H$7&amp;$F$1,'Input RM sheet'!$A:$DD,BV1,0)</f>
        <v>1465</v>
      </c>
      <c r="BX7" s="74">
        <f>VLOOKUP($H$7&amp;$F$1,'Input RM sheet'!$A:$DD,BW1,0)</f>
        <v>1515</v>
      </c>
      <c r="BY7" s="74">
        <f>VLOOKUP($H$7&amp;$F$1,'Input RM sheet'!$A:$DD,BX1,0)</f>
        <v>1515</v>
      </c>
      <c r="BZ7" s="74">
        <f>VLOOKUP($H$7&amp;$F$1,'Input RM sheet'!$A:$DD,BY1,0)</f>
        <v>1510</v>
      </c>
      <c r="CA7" s="74">
        <f>VLOOKUP($H$7&amp;$F$1,'Input RM sheet'!$A:$DD,BZ1,0)</f>
        <v>1510</v>
      </c>
      <c r="CB7" s="74">
        <f>VLOOKUP($H$7&amp;$F$1,'Input RM sheet'!$A:$DD,CA1,0)</f>
        <v>1510</v>
      </c>
      <c r="CC7" s="74">
        <f>VLOOKUP($H$7&amp;$F$1,'Input RM sheet'!$A:$DD,CB1,0)</f>
        <v>1480</v>
      </c>
      <c r="CD7" s="74">
        <f>VLOOKUP($H$7&amp;$F$1,'Input RM sheet'!$A:$DD,CC1,0)</f>
        <v>1485</v>
      </c>
      <c r="CE7" s="74">
        <f>VLOOKUP($H$7&amp;$F$1,'Input RM sheet'!$A:$DD,CD1,0)</f>
        <v>1495</v>
      </c>
      <c r="CF7" s="74">
        <f>VLOOKUP($H$7&amp;$F$1,'Input RM sheet'!$A:$DD,CE1,0)</f>
        <v>1475</v>
      </c>
      <c r="CG7" s="74">
        <f>VLOOKUP($H$7&amp;$F$1,'Input RM sheet'!$A:$DD,CF1,0)</f>
        <v>1415</v>
      </c>
      <c r="CH7" s="74">
        <f>VLOOKUP($H$7&amp;$F$1,'Input RM sheet'!$A:$DD,CG1,0)</f>
        <v>1375</v>
      </c>
      <c r="CI7" s="74">
        <f>VLOOKUP($H$7&amp;$F$1,'Input RM sheet'!$A:$DD,CH1,0)</f>
        <v>1355</v>
      </c>
      <c r="CJ7" s="74">
        <f>VLOOKUP($H$7&amp;$F$1,'Input RM sheet'!$A:$DD,CI1,0)</f>
        <v>1325</v>
      </c>
      <c r="CK7" s="74">
        <f>VLOOKUP($H$7&amp;$F$1,'Input RM sheet'!$A:$DD,CJ1,0)</f>
        <v>1325</v>
      </c>
      <c r="CL7" s="74">
        <f>VLOOKUP($H$7&amp;$F$1,'Input RM sheet'!$A:$DD,CK1,0)</f>
        <v>1305</v>
      </c>
      <c r="CM7" s="74">
        <f>VLOOKUP($H$7&amp;$F$1,'Input RM sheet'!$A:$DD,CL1,0)</f>
        <v>1275</v>
      </c>
      <c r="CN7" s="74">
        <f>VLOOKUP($H$7&amp;$F$1,'Input RM sheet'!$A:$DD,CM1,0)</f>
        <v>1265</v>
      </c>
      <c r="CO7" s="74">
        <f>VLOOKUP($H$7&amp;$F$1,'Input RM sheet'!$A:$DD,CN1,0)</f>
        <v>1265</v>
      </c>
      <c r="CP7" s="74">
        <f>VLOOKUP($H$7&amp;$F$1,'Input RM sheet'!$A:$DD,CO1,0)</f>
        <v>1265</v>
      </c>
      <c r="CQ7" s="74">
        <f>VLOOKUP($H$7&amp;$F$1,'Input RM sheet'!$A:$DD,CP1,0)</f>
        <v>1265</v>
      </c>
      <c r="CR7" s="74">
        <f>VLOOKUP($H$7&amp;$F$1,'Input RM sheet'!$A:$ZZ,CQ1,0)</f>
        <v>1265</v>
      </c>
      <c r="CS7" s="74">
        <f>VLOOKUP($H$7&amp;$F$1,'Input RM sheet'!$A:$ZZ,CR1,0)</f>
        <v>1315</v>
      </c>
      <c r="CT7" s="74">
        <f>VLOOKUP($H$7&amp;$F$1,'Input RM sheet'!$A:$ZZ,CS1,0)</f>
        <v>1235</v>
      </c>
      <c r="CU7" s="74">
        <f>VLOOKUP($H$7&amp;$F$1,'Input RM sheet'!$A:$ZZ,CT1,0)</f>
        <v>1190</v>
      </c>
      <c r="CV7" s="74">
        <f>VLOOKUP($H$7&amp;$F$1,'Input RM sheet'!$A:$ZZ,CU1,0)</f>
        <v>1195</v>
      </c>
      <c r="CW7" s="74">
        <f>VLOOKUP($H$7&amp;$F$1,'Input RM sheet'!$A:$ZZ,CV1,0)</f>
        <v>1167</v>
      </c>
      <c r="CX7" s="74">
        <f>VLOOKUP($H$7&amp;$F$1,'Input RM sheet'!$A:$ZZ,CW1,0)</f>
        <v>1152</v>
      </c>
      <c r="CY7" s="74">
        <f>VLOOKUP($H$7&amp;$F$1,'Input RM sheet'!$A:$ZZ,CX1,0)</f>
        <v>1161</v>
      </c>
      <c r="CZ7" s="74">
        <f>VLOOKUP($H$7&amp;$F$1,'Input RM sheet'!$A:$ZZ,CY1,0)</f>
        <v>1115</v>
      </c>
      <c r="DA7" s="74">
        <f>VLOOKUP($H$7&amp;$F$1,'Input RM sheet'!$A:$ZZ,CZ1,0)</f>
        <v>1110</v>
      </c>
      <c r="DB7" s="74">
        <f>VLOOKUP($H$7&amp;$F$1,'Input RM sheet'!$A:$ZZ,DA1,0)</f>
        <v>1085</v>
      </c>
      <c r="DC7" s="74">
        <f>VLOOKUP($H$7&amp;$F$1,'Input RM sheet'!$A:$ZZ,DB1,0)</f>
        <v>970</v>
      </c>
      <c r="DD7" s="74">
        <f>VLOOKUP($H$7&amp;$F$1,'Input RM sheet'!$A:$ZZ,DC1,0)</f>
        <v>990</v>
      </c>
      <c r="DE7" s="74">
        <f>VLOOKUP($H$7&amp;$F$1,'Input RM sheet'!$A:$ZZ,DD1,0)</f>
        <v>990</v>
      </c>
      <c r="DF7" s="74">
        <f>VLOOKUP($H$7&amp;$F$1,'Input RM sheet'!$A:$ZZ,DE1,0)</f>
        <v>990</v>
      </c>
      <c r="DG7" s="74">
        <f>VLOOKUP($H$7&amp;$F$1,'Input RM sheet'!$A:$ZZ,DF1,0)</f>
        <v>1000</v>
      </c>
      <c r="DH7" s="74">
        <f>VLOOKUP($H$7&amp;$F$1,'Input RM sheet'!$A:$ZZ,DG1,0)</f>
        <v>1015</v>
      </c>
      <c r="DI7" s="74">
        <f>VLOOKUP($H$7&amp;$F$1,'Input RM sheet'!$A:$ZZ,DH1,0)</f>
        <v>1100</v>
      </c>
      <c r="DJ7" s="74">
        <f>VLOOKUP($H$7&amp;$F$1,'Input RM sheet'!$A:$ZZ,DI1,0)</f>
        <v>1110</v>
      </c>
      <c r="DK7" s="74">
        <f>VLOOKUP($H$7&amp;$F$1,'Input RM sheet'!$A:$ZZ,DJ1,0)</f>
        <v>1110</v>
      </c>
      <c r="DL7" s="74">
        <f>VLOOKUP($H$7&amp;$F$1,'Input RM sheet'!$A:$ZZ,DK1,0)</f>
        <v>1095</v>
      </c>
      <c r="DM7" s="74">
        <f>VLOOKUP($H$7&amp;$F$1,'Input RM sheet'!$A:$ZZ,DL1,0)</f>
        <v>1095</v>
      </c>
      <c r="DN7" s="74">
        <f>VLOOKUP($H$7&amp;$F$1,'Input RM sheet'!$A:$ZZ,DM1,0)</f>
        <v>1110</v>
      </c>
      <c r="DO7" s="74">
        <f>VLOOKUP($H$7&amp;$F$1,'Input RM sheet'!$A:$ZZ,DN1,0)</f>
        <v>1105</v>
      </c>
      <c r="DP7" s="74">
        <f>VLOOKUP($H$7&amp;$F$1,'Input RM sheet'!$A:$ZZ,DO1,0)</f>
        <v>1105</v>
      </c>
      <c r="DQ7" s="74">
        <f>VLOOKUP($H$7&amp;$F$1,'Input RM sheet'!$A:$ZZ,DP1,0)</f>
        <v>1065</v>
      </c>
      <c r="DR7" s="74">
        <f>VLOOKUP($H$7&amp;$F$1,'Input RM sheet'!$A:$ZZ,DQ1,0)</f>
        <v>1045</v>
      </c>
      <c r="DS7" s="74">
        <f>VLOOKUP($H$7&amp;$F$1,'Input RM sheet'!$A:$ZZ,DR1,0)</f>
        <v>1010</v>
      </c>
      <c r="DT7" s="74">
        <f>VLOOKUP($H$7&amp;$F$1,'Input RM sheet'!$A:$ZZ,DS1,0)</f>
        <v>0</v>
      </c>
      <c r="DU7" s="74">
        <f>VLOOKUP($H$7&amp;$F$1,'Input RM sheet'!$A:$ZZ,DT1,0)</f>
        <v>0</v>
      </c>
      <c r="DV7" s="74">
        <f>VLOOKUP($H$7&amp;$F$1,'Input RM sheet'!$A:$ZZ,DU1,0)</f>
        <v>0</v>
      </c>
      <c r="DW7" s="74">
        <f>VLOOKUP($H$7&amp;$F$1,'Input RM sheet'!$A:$ZZ,DV1,0)</f>
        <v>0</v>
      </c>
      <c r="DX7" s="74">
        <f>VLOOKUP($H$7&amp;$F$1,'Input RM sheet'!$A:$ZZ,DW1,0)</f>
        <v>0</v>
      </c>
      <c r="DY7" s="74">
        <f>VLOOKUP($H$7&amp;$F$1,'Input RM sheet'!$A:$ZZ,DX1,0)</f>
        <v>0</v>
      </c>
      <c r="DZ7" s="74">
        <f>VLOOKUP($H$7&amp;$F$1,'Input RM sheet'!$A:$ZZ,DY1,0)</f>
        <v>0</v>
      </c>
      <c r="EA7" s="74">
        <f>VLOOKUP($H$7&amp;$F$1,'Input RM sheet'!$A:$ZZ,DZ1,0)</f>
        <v>0</v>
      </c>
      <c r="EB7" s="74">
        <f>VLOOKUP($H$7&amp;$F$1,'Input RM sheet'!$A:$ZZ,EA1,0)</f>
        <v>0</v>
      </c>
      <c r="EC7" s="74">
        <f>VLOOKUP($H$7&amp;$F$1,'Input RM sheet'!$A:$ZZ,EB1,0)</f>
        <v>0</v>
      </c>
      <c r="ED7" s="74">
        <f>VLOOKUP($H$7&amp;$F$1,'Input RM sheet'!$A:$ZZ,EC1,0)</f>
        <v>0</v>
      </c>
      <c r="EE7" s="74">
        <f>VLOOKUP($H$7&amp;$F$1,'Input RM sheet'!$A:$ZZ,ED1,0)</f>
        <v>0</v>
      </c>
      <c r="EF7" s="74">
        <f>VLOOKUP($H$7&amp;$F$1,'Input RM sheet'!$A:$ZZ,EE1,0)</f>
        <v>0</v>
      </c>
      <c r="EG7" s="74">
        <f>VLOOKUP($H$7&amp;$F$1,'Input RM sheet'!$A:$ZZ,EF1,0)</f>
        <v>0</v>
      </c>
      <c r="EH7" s="74">
        <f>VLOOKUP($H$7&amp;$F$1,'Input RM sheet'!$A:$ZZ,EG1,0)</f>
        <v>0</v>
      </c>
      <c r="EI7" s="74">
        <f>VLOOKUP($H$7&amp;$F$1,'Input RM sheet'!$A:$ZZ,EH1,0)</f>
        <v>0</v>
      </c>
      <c r="EJ7" s="74">
        <f>VLOOKUP($H$7&amp;$F$1,'Input RM sheet'!$A:$ZZ,EI1,0)</f>
        <v>0</v>
      </c>
    </row>
    <row r="8" spans="1:144">
      <c r="B8" s="44"/>
      <c r="D8" s="44"/>
      <c r="H8" s="178"/>
      <c r="I8" s="74"/>
      <c r="J8" s="74"/>
      <c r="K8" s="74"/>
      <c r="L8" s="74"/>
      <c r="M8" s="74"/>
      <c r="N8" s="74"/>
      <c r="O8" s="74"/>
      <c r="P8" s="74"/>
      <c r="Q8" s="74"/>
      <c r="R8" s="74"/>
      <c r="S8" s="74"/>
      <c r="T8" s="74"/>
      <c r="U8" s="74"/>
      <c r="V8" s="74"/>
      <c r="W8" s="74"/>
      <c r="X8" s="74"/>
      <c r="Y8" s="74"/>
      <c r="Z8" s="74"/>
      <c r="AA8" s="74"/>
      <c r="AB8" s="74"/>
      <c r="AC8" s="74"/>
      <c r="AD8" s="74"/>
      <c r="AE8" s="74"/>
      <c r="AF8" s="74"/>
      <c r="AG8" s="74"/>
      <c r="AH8" s="74"/>
      <c r="AI8" s="74"/>
      <c r="AJ8" s="74"/>
      <c r="AK8" s="74"/>
      <c r="AL8" s="74"/>
      <c r="AM8" s="74"/>
      <c r="AN8" s="74"/>
      <c r="AO8" s="74"/>
      <c r="AP8" s="74"/>
      <c r="AQ8" s="74"/>
      <c r="AR8" s="74"/>
      <c r="AS8" s="74"/>
      <c r="AT8" s="74"/>
      <c r="AU8" s="74"/>
      <c r="AV8" s="74"/>
      <c r="AW8" s="74"/>
      <c r="AX8" s="74"/>
      <c r="AY8" s="74"/>
      <c r="AZ8" s="74"/>
      <c r="BA8" s="74"/>
      <c r="BB8" s="74"/>
      <c r="BC8" s="74"/>
      <c r="BD8" s="74"/>
      <c r="BE8" s="74"/>
      <c r="BF8" s="74"/>
      <c r="BG8" s="74"/>
      <c r="BH8" s="74"/>
      <c r="BI8" s="74"/>
      <c r="BJ8" s="74"/>
      <c r="BK8" s="74"/>
      <c r="BL8" s="74"/>
      <c r="BM8" s="74"/>
      <c r="BN8" s="74"/>
      <c r="BO8" s="74"/>
      <c r="BP8" s="74"/>
      <c r="BQ8" s="74"/>
      <c r="BR8" s="74"/>
      <c r="BS8" s="74"/>
      <c r="BT8" s="74"/>
      <c r="BU8" s="74"/>
      <c r="BV8" s="74"/>
      <c r="BW8" s="74"/>
      <c r="BX8" s="74"/>
      <c r="BY8" s="74"/>
      <c r="BZ8" s="74"/>
      <c r="CA8" s="74"/>
      <c r="CB8" s="74"/>
      <c r="CC8" s="74"/>
      <c r="CD8" s="74"/>
      <c r="CE8" s="74"/>
      <c r="CF8" s="74"/>
      <c r="CG8" s="74"/>
      <c r="CH8" s="74"/>
      <c r="CI8" s="74"/>
      <c r="CJ8" s="74"/>
      <c r="CK8" s="74"/>
      <c r="CL8" s="74"/>
      <c r="CM8" s="74"/>
      <c r="CN8" s="74"/>
      <c r="CO8" s="74"/>
      <c r="CP8" s="74"/>
      <c r="CQ8" s="74"/>
      <c r="CR8" s="74"/>
      <c r="CS8" s="74"/>
      <c r="CT8" s="74"/>
      <c r="CU8" s="74"/>
      <c r="CV8" s="74"/>
      <c r="CW8" s="74"/>
      <c r="CX8" s="74"/>
      <c r="CY8" s="74"/>
      <c r="CZ8" s="74"/>
      <c r="DA8" s="74"/>
      <c r="DB8" s="74"/>
      <c r="DC8" s="74"/>
      <c r="DD8" s="74"/>
      <c r="DE8" s="74"/>
      <c r="DF8" s="74"/>
      <c r="DG8" s="74"/>
      <c r="DH8" s="74"/>
      <c r="DI8" s="74"/>
      <c r="DJ8" s="74"/>
      <c r="DK8" s="74"/>
      <c r="DL8" s="74"/>
      <c r="DM8" s="74"/>
      <c r="DN8" s="74"/>
      <c r="DO8" s="74"/>
      <c r="DP8" s="74"/>
      <c r="DQ8" s="74"/>
      <c r="DR8" s="74"/>
      <c r="DS8" s="74"/>
      <c r="DT8" s="74"/>
      <c r="DU8" s="74"/>
      <c r="DV8" s="74"/>
      <c r="DW8" s="74"/>
      <c r="DX8" s="74"/>
      <c r="DY8" s="74"/>
      <c r="DZ8" s="74"/>
      <c r="EA8" s="74"/>
      <c r="EB8" s="74"/>
      <c r="EC8" s="74"/>
      <c r="ED8" s="74"/>
      <c r="EE8" s="74"/>
      <c r="EF8" s="74"/>
      <c r="EG8" s="74"/>
      <c r="EH8" s="74"/>
      <c r="EI8" s="74"/>
      <c r="EJ8" s="74"/>
    </row>
    <row r="9" spans="1:144">
      <c r="B9" s="44"/>
      <c r="D9" s="44"/>
      <c r="H9" s="60" t="s">
        <v>789</v>
      </c>
      <c r="I9" s="74"/>
      <c r="J9" s="74"/>
      <c r="K9" s="74"/>
      <c r="L9" s="74"/>
      <c r="M9" s="74"/>
      <c r="N9" s="74"/>
      <c r="O9" s="74"/>
      <c r="P9" s="74"/>
      <c r="Q9" s="74"/>
      <c r="R9" s="74"/>
      <c r="S9" s="74"/>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74"/>
      <c r="BG9" s="74"/>
      <c r="BH9" s="74"/>
      <c r="BI9" s="74"/>
      <c r="BJ9" s="74"/>
      <c r="BK9" s="74"/>
      <c r="BL9" s="74"/>
      <c r="BM9" s="74"/>
      <c r="BN9" s="74"/>
      <c r="BO9" s="74"/>
      <c r="BP9" s="74"/>
      <c r="BQ9" s="74"/>
      <c r="BR9" s="74"/>
      <c r="BS9" s="74"/>
      <c r="BT9" s="74"/>
      <c r="BU9" s="74"/>
      <c r="BV9" s="74"/>
      <c r="BW9" s="74"/>
    </row>
    <row r="10" spans="1:144" ht="26">
      <c r="A10" s="59" t="s">
        <v>395</v>
      </c>
      <c r="B10" s="59"/>
      <c r="C10" s="59" t="s">
        <v>379</v>
      </c>
      <c r="D10" s="98" t="s">
        <v>380</v>
      </c>
      <c r="E10" s="98" t="s">
        <v>381</v>
      </c>
      <c r="F10" s="59" t="s">
        <v>396</v>
      </c>
      <c r="H10" s="60" t="s">
        <v>399</v>
      </c>
      <c r="I10" s="84"/>
      <c r="J10" s="84"/>
      <c r="K10" s="84"/>
      <c r="L10" s="84"/>
      <c r="M10" s="84"/>
      <c r="N10" s="84"/>
      <c r="O10" s="84"/>
      <c r="P10" s="84"/>
      <c r="Q10" s="84"/>
      <c r="R10" s="84"/>
      <c r="S10" s="84"/>
      <c r="T10" s="84"/>
      <c r="U10" s="84"/>
      <c r="V10" s="84"/>
      <c r="W10" s="84"/>
      <c r="X10" s="84"/>
      <c r="Y10" s="84"/>
      <c r="Z10" s="84"/>
      <c r="AA10" s="84"/>
      <c r="AB10" s="84"/>
      <c r="AC10" s="84"/>
      <c r="AD10" s="84"/>
      <c r="AE10" s="84"/>
      <c r="AF10" s="84"/>
      <c r="AG10" s="84"/>
      <c r="AH10" s="84"/>
      <c r="AI10" s="84"/>
      <c r="AJ10" s="84"/>
      <c r="AK10" s="84"/>
      <c r="AL10" s="84"/>
      <c r="AM10" s="84"/>
      <c r="AN10" s="84"/>
      <c r="AO10" s="84"/>
      <c r="AP10" s="84"/>
      <c r="AQ10" s="84"/>
      <c r="AR10" s="84"/>
      <c r="AS10" s="84"/>
      <c r="AT10" s="84"/>
      <c r="AU10" s="84"/>
    </row>
    <row r="11" spans="1:144" ht="13">
      <c r="A11" s="107" t="s">
        <v>397</v>
      </c>
      <c r="B11" s="112" t="s">
        <v>792</v>
      </c>
      <c r="C11" s="60">
        <v>1</v>
      </c>
      <c r="D11" s="112">
        <v>130.22790000000001</v>
      </c>
      <c r="E11" s="60">
        <f>D11*C11</f>
        <v>130.22790000000001</v>
      </c>
      <c r="F11" s="328">
        <f>(E11/E2)</f>
        <v>0.74322508846022151</v>
      </c>
      <c r="I11" s="74">
        <f>$F$11*(I7/1000)</f>
        <v>0.63768712589887</v>
      </c>
      <c r="J11" s="74">
        <f t="shared" ref="J11:BU11" si="0">$F$11*(J7/1000)</f>
        <v>0.64428324855895447</v>
      </c>
      <c r="K11" s="74">
        <f t="shared" si="0"/>
        <v>0.60619296277536816</v>
      </c>
      <c r="L11" s="74">
        <f t="shared" si="0"/>
        <v>0.50539306015295071</v>
      </c>
      <c r="M11" s="74">
        <f t="shared" si="0"/>
        <v>0.53465754801107179</v>
      </c>
      <c r="N11" s="74">
        <f t="shared" si="0"/>
        <v>0.56670912995091882</v>
      </c>
      <c r="O11" s="74">
        <f t="shared" si="0"/>
        <v>0.61018779762584185</v>
      </c>
      <c r="P11" s="74">
        <f t="shared" si="0"/>
        <v>0.61362521365997047</v>
      </c>
      <c r="Q11" s="74">
        <f t="shared" si="0"/>
        <v>0.62663165270802423</v>
      </c>
      <c r="R11" s="74">
        <f t="shared" si="0"/>
        <v>0.64474776423924218</v>
      </c>
      <c r="S11" s="74">
        <f t="shared" si="0"/>
        <v>0.801754064176464</v>
      </c>
      <c r="T11" s="74">
        <f t="shared" si="0"/>
        <v>0.94110876826275558</v>
      </c>
      <c r="U11" s="74">
        <f t="shared" si="0"/>
        <v>1.0014958067001485</v>
      </c>
      <c r="V11" s="74">
        <f t="shared" si="0"/>
        <v>1.1460530864056615</v>
      </c>
      <c r="W11" s="74">
        <f t="shared" si="0"/>
        <v>1.4017225168359777</v>
      </c>
      <c r="X11" s="74">
        <f t="shared" si="0"/>
        <v>1.2434155729939507</v>
      </c>
      <c r="Y11" s="74">
        <f t="shared" si="0"/>
        <v>1.4074825112715446</v>
      </c>
      <c r="Z11" s="74">
        <f t="shared" si="0"/>
        <v>1.4204889503195983</v>
      </c>
      <c r="AA11" s="74">
        <f t="shared" si="0"/>
        <v>1.485706951831983</v>
      </c>
      <c r="AB11" s="74">
        <f t="shared" si="0"/>
        <v>1.5563133352357037</v>
      </c>
      <c r="AC11" s="74">
        <f t="shared" si="0"/>
        <v>1.4745585755050794</v>
      </c>
      <c r="AD11" s="74">
        <f t="shared" si="0"/>
        <v>1.3034309988871133</v>
      </c>
      <c r="AE11" s="74">
        <f t="shared" si="0"/>
        <v>1.2876374657573337</v>
      </c>
      <c r="AF11" s="74">
        <f t="shared" si="0"/>
        <v>1.1519988871133433</v>
      </c>
      <c r="AG11" s="74">
        <f t="shared" si="0"/>
        <v>1.1055473190845795</v>
      </c>
      <c r="AH11" s="74">
        <f t="shared" si="0"/>
        <v>1.2476891172525968</v>
      </c>
      <c r="AI11" s="74">
        <f t="shared" si="0"/>
        <v>1.305103255336149</v>
      </c>
      <c r="AJ11" s="74">
        <f t="shared" si="0"/>
        <v>1.3006439048053877</v>
      </c>
      <c r="AK11" s="74">
        <f t="shared" si="0"/>
        <v>1.2774181207910058</v>
      </c>
      <c r="AL11" s="74">
        <f t="shared" si="0"/>
        <v>1.1074053818057301</v>
      </c>
      <c r="AM11" s="74">
        <f t="shared" si="0"/>
        <v>0.85099272628695366</v>
      </c>
      <c r="AN11" s="74">
        <f t="shared" si="0"/>
        <v>0.82126372274854476</v>
      </c>
      <c r="AO11" s="74">
        <f t="shared" si="0"/>
        <v>0.85433723918502458</v>
      </c>
      <c r="AP11" s="74">
        <f t="shared" si="0"/>
        <v>0.8621411026138569</v>
      </c>
      <c r="AQ11" s="74">
        <f t="shared" si="0"/>
        <v>0.8547088517292547</v>
      </c>
      <c r="AR11" s="74">
        <f t="shared" si="0"/>
        <v>0.8398443499600502</v>
      </c>
      <c r="AS11" s="74">
        <f t="shared" si="0"/>
        <v>0.89930235703686801</v>
      </c>
      <c r="AT11" s="74">
        <f t="shared" si="0"/>
        <v>0.9206700783300994</v>
      </c>
      <c r="AU11" s="74">
        <f t="shared" si="0"/>
        <v>0.88072172982536256</v>
      </c>
      <c r="AV11" s="74">
        <f t="shared" si="0"/>
        <v>0.87328947894076026</v>
      </c>
      <c r="AW11" s="74">
        <f t="shared" si="0"/>
        <v>0.89187010615226581</v>
      </c>
      <c r="AX11" s="74">
        <f t="shared" si="0"/>
        <v>0.92159910969067471</v>
      </c>
      <c r="AY11" s="74">
        <f t="shared" si="0"/>
        <v>0.82497984819084591</v>
      </c>
      <c r="AZ11" s="74">
        <f t="shared" si="0"/>
        <v>0.82497984819084591</v>
      </c>
      <c r="BA11" s="74">
        <f t="shared" si="0"/>
        <v>0.83241209907544822</v>
      </c>
      <c r="BB11" s="74">
        <f t="shared" si="0"/>
        <v>0.8547088517292547</v>
      </c>
      <c r="BC11" s="74">
        <f t="shared" si="0"/>
        <v>0.92159910969067471</v>
      </c>
      <c r="BD11" s="74">
        <f t="shared" si="0"/>
        <v>0.96990874044058906</v>
      </c>
      <c r="BE11" s="74">
        <f t="shared" si="0"/>
        <v>0.99963774397899785</v>
      </c>
      <c r="BF11" s="74">
        <f t="shared" si="0"/>
        <v>1.0033538694212991</v>
      </c>
      <c r="BG11" s="74">
        <f t="shared" si="0"/>
        <v>1.066528001940418</v>
      </c>
      <c r="BH11" s="74">
        <f t="shared" si="0"/>
        <v>1.066528001940418</v>
      </c>
      <c r="BI11" s="74">
        <f t="shared" si="0"/>
        <v>0.99592161853669692</v>
      </c>
      <c r="BJ11" s="74">
        <f t="shared" si="0"/>
        <v>1.043488024198151</v>
      </c>
      <c r="BK11" s="74">
        <f t="shared" si="0"/>
        <v>1.0293667475174069</v>
      </c>
      <c r="BL11" s="74">
        <f t="shared" si="0"/>
        <v>0.99592161853669692</v>
      </c>
      <c r="BM11" s="74">
        <f t="shared" si="0"/>
        <v>0.98848936765209461</v>
      </c>
      <c r="BN11" s="74">
        <f t="shared" si="0"/>
        <v>0.95876036411368581</v>
      </c>
      <c r="BO11" s="74">
        <f t="shared" si="0"/>
        <v>0.95876036411368581</v>
      </c>
      <c r="BP11" s="74">
        <f t="shared" si="0"/>
        <v>0.95876036411368581</v>
      </c>
      <c r="BQ11" s="74">
        <f t="shared" si="0"/>
        <v>0.95876036411368581</v>
      </c>
      <c r="BR11" s="74">
        <f t="shared" si="0"/>
        <v>0.94389586234448131</v>
      </c>
      <c r="BS11" s="74">
        <f t="shared" si="0"/>
        <v>0.94389586234448131</v>
      </c>
      <c r="BT11" s="74">
        <f t="shared" si="0"/>
        <v>0.95504423867138455</v>
      </c>
      <c r="BU11" s="74">
        <f t="shared" si="0"/>
        <v>0.99592161853669692</v>
      </c>
      <c r="BV11" s="74">
        <f t="shared" ref="BV11:CK11" si="1">$F$11*(BV7/1000)</f>
        <v>0.99592161853669692</v>
      </c>
      <c r="BW11" s="74">
        <f t="shared" si="1"/>
        <v>1.0888247545942247</v>
      </c>
      <c r="BX11" s="74">
        <f t="shared" si="1"/>
        <v>1.1259860090172356</v>
      </c>
      <c r="BY11" s="74">
        <f t="shared" si="1"/>
        <v>1.1259860090172356</v>
      </c>
      <c r="BZ11" s="74">
        <f t="shared" si="1"/>
        <v>1.1222698835749345</v>
      </c>
      <c r="CA11" s="74">
        <f t="shared" si="1"/>
        <v>1.1222698835749345</v>
      </c>
      <c r="CB11" s="74">
        <f t="shared" si="1"/>
        <v>1.1222698835749345</v>
      </c>
      <c r="CC11" s="74">
        <f t="shared" si="1"/>
        <v>1.0999731309211278</v>
      </c>
      <c r="CD11" s="74">
        <f t="shared" si="1"/>
        <v>1.1036892563634291</v>
      </c>
      <c r="CE11" s="74">
        <f t="shared" si="1"/>
        <v>1.1111215072480312</v>
      </c>
      <c r="CF11" s="74">
        <f t="shared" si="1"/>
        <v>1.0962570054788268</v>
      </c>
      <c r="CG11" s="74">
        <f t="shared" si="1"/>
        <v>1.0516635001712134</v>
      </c>
      <c r="CH11" s="74">
        <f t="shared" si="1"/>
        <v>1.0219344966328046</v>
      </c>
      <c r="CI11" s="74">
        <f t="shared" si="1"/>
        <v>1.0070699948636002</v>
      </c>
      <c r="CJ11" s="74">
        <f t="shared" si="1"/>
        <v>0.98477324220979345</v>
      </c>
      <c r="CK11" s="74">
        <f t="shared" si="1"/>
        <v>0.98477324220979345</v>
      </c>
      <c r="CL11" s="74">
        <f t="shared" ref="CL11:CU11" si="2">$F$11*(CL7/1000)</f>
        <v>0.96990874044058906</v>
      </c>
      <c r="CM11" s="74">
        <f t="shared" si="2"/>
        <v>0.94761198778678235</v>
      </c>
      <c r="CN11" s="74">
        <f t="shared" si="2"/>
        <v>0.94017973690218015</v>
      </c>
      <c r="CO11" s="74">
        <f t="shared" si="2"/>
        <v>0.94017973690218015</v>
      </c>
      <c r="CP11" s="74">
        <f t="shared" si="2"/>
        <v>0.94017973690218015</v>
      </c>
      <c r="CQ11" s="74">
        <f t="shared" si="2"/>
        <v>0.94017973690218015</v>
      </c>
      <c r="CR11" s="74">
        <f t="shared" si="2"/>
        <v>0.94017973690218015</v>
      </c>
      <c r="CS11" s="74">
        <f t="shared" si="2"/>
        <v>0.97734099132519126</v>
      </c>
      <c r="CT11" s="74">
        <f t="shared" si="2"/>
        <v>0.91788298424837367</v>
      </c>
      <c r="CU11" s="74">
        <f t="shared" si="2"/>
        <v>0.8844378552676635</v>
      </c>
      <c r="CV11" s="74">
        <f>$F$11*(CV7/1000)</f>
        <v>0.88815398070996476</v>
      </c>
      <c r="CW11" s="74">
        <f>$F$11*(CW7/1000)</f>
        <v>0.86734367823307856</v>
      </c>
      <c r="CX11" s="74">
        <f>$F$11*(CX7/1000)</f>
        <v>0.8561953019061751</v>
      </c>
      <c r="CY11" s="74">
        <f t="shared" ref="CY11:EJ11" si="3">$F$11*(CY7/1000)</f>
        <v>0.86288432770231716</v>
      </c>
      <c r="CZ11" s="74">
        <f t="shared" si="3"/>
        <v>0.82869597363314695</v>
      </c>
      <c r="DA11" s="74">
        <f t="shared" si="3"/>
        <v>0.82497984819084591</v>
      </c>
      <c r="DB11" s="74">
        <f t="shared" si="3"/>
        <v>0.80639922097934036</v>
      </c>
      <c r="DC11" s="74">
        <f t="shared" si="3"/>
        <v>0.7209283358064148</v>
      </c>
      <c r="DD11" s="74">
        <f t="shared" si="3"/>
        <v>0.73579283757561931</v>
      </c>
      <c r="DE11" s="74">
        <f t="shared" si="3"/>
        <v>0.73579283757561931</v>
      </c>
      <c r="DF11" s="74">
        <f t="shared" si="3"/>
        <v>0.73579283757561931</v>
      </c>
      <c r="DG11" s="74">
        <f t="shared" si="3"/>
        <v>0.74322508846022151</v>
      </c>
      <c r="DH11" s="74">
        <f t="shared" si="3"/>
        <v>0.75437346478712475</v>
      </c>
      <c r="DI11" s="74">
        <f t="shared" si="3"/>
        <v>0.81754759730624371</v>
      </c>
      <c r="DJ11" s="74">
        <f t="shared" si="3"/>
        <v>0.82497984819084591</v>
      </c>
      <c r="DK11" s="74">
        <f t="shared" si="3"/>
        <v>0.82497984819084591</v>
      </c>
      <c r="DL11" s="74">
        <f t="shared" si="3"/>
        <v>0.81383147186394256</v>
      </c>
      <c r="DM11" s="74">
        <f t="shared" si="3"/>
        <v>0.81383147186394256</v>
      </c>
      <c r="DN11" s="74">
        <f t="shared" si="3"/>
        <v>0.82497984819084591</v>
      </c>
      <c r="DO11" s="74">
        <f t="shared" si="3"/>
        <v>0.82126372274854476</v>
      </c>
      <c r="DP11" s="74">
        <f t="shared" si="3"/>
        <v>0.82126372274854476</v>
      </c>
      <c r="DQ11" s="74">
        <f t="shared" si="3"/>
        <v>0.79153471921013585</v>
      </c>
      <c r="DR11" s="74">
        <f t="shared" si="3"/>
        <v>0.77667021744093145</v>
      </c>
      <c r="DS11" s="74">
        <f t="shared" si="3"/>
        <v>0.7506573393448237</v>
      </c>
      <c r="DT11" s="74">
        <f t="shared" si="3"/>
        <v>0</v>
      </c>
      <c r="DU11" s="74">
        <f t="shared" si="3"/>
        <v>0</v>
      </c>
      <c r="DV11" s="74">
        <f t="shared" si="3"/>
        <v>0</v>
      </c>
      <c r="DW11" s="74">
        <f t="shared" si="3"/>
        <v>0</v>
      </c>
      <c r="DX11" s="74">
        <f t="shared" si="3"/>
        <v>0</v>
      </c>
      <c r="DY11" s="74">
        <f t="shared" si="3"/>
        <v>0</v>
      </c>
      <c r="DZ11" s="74">
        <f t="shared" si="3"/>
        <v>0</v>
      </c>
      <c r="EA11" s="74">
        <f t="shared" si="3"/>
        <v>0</v>
      </c>
      <c r="EB11" s="74">
        <f t="shared" si="3"/>
        <v>0</v>
      </c>
      <c r="EC11" s="74">
        <f t="shared" si="3"/>
        <v>0</v>
      </c>
      <c r="ED11" s="74">
        <f t="shared" si="3"/>
        <v>0</v>
      </c>
      <c r="EE11" s="74">
        <f t="shared" si="3"/>
        <v>0</v>
      </c>
      <c r="EF11" s="74">
        <f t="shared" si="3"/>
        <v>0</v>
      </c>
      <c r="EG11" s="74">
        <f t="shared" si="3"/>
        <v>0</v>
      </c>
      <c r="EH11" s="74">
        <f t="shared" si="3"/>
        <v>0</v>
      </c>
      <c r="EI11" s="74">
        <f t="shared" si="3"/>
        <v>0</v>
      </c>
      <c r="EJ11" s="74">
        <f t="shared" si="3"/>
        <v>0</v>
      </c>
    </row>
    <row r="12" spans="1:144">
      <c r="A12" s="67"/>
      <c r="B12" s="178"/>
      <c r="D12" s="65"/>
      <c r="F12" s="65"/>
      <c r="I12" s="74"/>
      <c r="J12" s="74"/>
      <c r="K12" s="74"/>
      <c r="L12" s="74"/>
      <c r="M12" s="74"/>
      <c r="N12" s="74"/>
      <c r="O12" s="74"/>
      <c r="P12" s="74"/>
      <c r="Q12" s="74"/>
      <c r="R12" s="74"/>
      <c r="S12" s="74"/>
      <c r="T12" s="74"/>
      <c r="U12" s="74"/>
      <c r="V12" s="74"/>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c r="BL12" s="74"/>
      <c r="BM12" s="74"/>
      <c r="BN12" s="74"/>
      <c r="BO12" s="74"/>
      <c r="BP12" s="74"/>
      <c r="BQ12" s="74"/>
      <c r="BR12" s="74"/>
      <c r="BS12" s="74"/>
      <c r="BT12" s="74"/>
      <c r="BU12" s="74"/>
      <c r="BV12" s="74"/>
      <c r="BW12" s="74"/>
      <c r="BX12" s="74"/>
      <c r="BY12" s="74"/>
      <c r="BZ12" s="74"/>
      <c r="CA12" s="74"/>
      <c r="CB12" s="74"/>
      <c r="CC12" s="74"/>
      <c r="CD12" s="74"/>
      <c r="CE12" s="74"/>
      <c r="CF12" s="74"/>
      <c r="CG12" s="74"/>
      <c r="CH12" s="74"/>
      <c r="CI12" s="74"/>
      <c r="CJ12" s="74"/>
      <c r="CK12" s="74"/>
      <c r="CL12" s="74"/>
      <c r="CM12" s="74"/>
      <c r="CN12" s="74"/>
      <c r="CO12" s="74"/>
      <c r="CP12" s="74"/>
      <c r="CQ12" s="74"/>
      <c r="CR12" s="74"/>
      <c r="CS12" s="74"/>
      <c r="CT12" s="74"/>
      <c r="CU12" s="74"/>
      <c r="CV12" s="74"/>
      <c r="CW12" s="74"/>
      <c r="CX12" s="74"/>
      <c r="CY12" s="74"/>
      <c r="CZ12" s="74"/>
      <c r="DA12" s="74"/>
      <c r="DB12" s="74"/>
      <c r="DC12" s="74"/>
      <c r="DD12" s="74"/>
      <c r="DE12" s="74"/>
      <c r="DF12" s="74"/>
      <c r="DG12" s="74"/>
      <c r="DH12" s="74"/>
      <c r="DI12" s="74"/>
      <c r="DJ12" s="74"/>
      <c r="DK12" s="74"/>
      <c r="DL12" s="74"/>
      <c r="DM12" s="74"/>
      <c r="DN12" s="74"/>
      <c r="DO12" s="74"/>
      <c r="DP12" s="74"/>
      <c r="DQ12" s="74"/>
      <c r="DR12" s="74"/>
      <c r="DS12" s="74"/>
      <c r="DT12" s="74"/>
      <c r="DU12" s="74"/>
      <c r="DV12" s="74"/>
      <c r="DW12" s="74"/>
      <c r="DX12" s="74"/>
      <c r="DY12" s="74"/>
      <c r="DZ12" s="74"/>
      <c r="EA12" s="74"/>
      <c r="EB12" s="74"/>
      <c r="EC12" s="74"/>
      <c r="ED12" s="74"/>
      <c r="EE12" s="74"/>
      <c r="EF12" s="74"/>
      <c r="EG12" s="74"/>
      <c r="EH12" s="74"/>
      <c r="EI12" s="74"/>
      <c r="EJ12" s="74"/>
    </row>
    <row r="13" spans="1:144" s="104" customFormat="1">
      <c r="A13" s="104" t="s">
        <v>400</v>
      </c>
      <c r="H13" s="60"/>
      <c r="I13" s="105">
        <f>SUM(I11:I12)</f>
        <v>0.63768712589887</v>
      </c>
      <c r="J13" s="105">
        <f t="shared" ref="J13:BU13" si="4">SUM(J11:J12)</f>
        <v>0.64428324855895447</v>
      </c>
      <c r="K13" s="105">
        <f t="shared" si="4"/>
        <v>0.60619296277536816</v>
      </c>
      <c r="L13" s="105">
        <f t="shared" si="4"/>
        <v>0.50539306015295071</v>
      </c>
      <c r="M13" s="105">
        <f t="shared" si="4"/>
        <v>0.53465754801107179</v>
      </c>
      <c r="N13" s="105">
        <f t="shared" si="4"/>
        <v>0.56670912995091882</v>
      </c>
      <c r="O13" s="105">
        <f t="shared" si="4"/>
        <v>0.61018779762584185</v>
      </c>
      <c r="P13" s="105">
        <f t="shared" si="4"/>
        <v>0.61362521365997047</v>
      </c>
      <c r="Q13" s="105">
        <f t="shared" si="4"/>
        <v>0.62663165270802423</v>
      </c>
      <c r="R13" s="105">
        <f t="shared" si="4"/>
        <v>0.64474776423924218</v>
      </c>
      <c r="S13" s="105">
        <f t="shared" si="4"/>
        <v>0.801754064176464</v>
      </c>
      <c r="T13" s="105">
        <f t="shared" si="4"/>
        <v>0.94110876826275558</v>
      </c>
      <c r="U13" s="105">
        <f t="shared" si="4"/>
        <v>1.0014958067001485</v>
      </c>
      <c r="V13" s="105">
        <f t="shared" si="4"/>
        <v>1.1460530864056615</v>
      </c>
      <c r="W13" s="105">
        <f t="shared" si="4"/>
        <v>1.4017225168359777</v>
      </c>
      <c r="X13" s="105">
        <f t="shared" si="4"/>
        <v>1.2434155729939507</v>
      </c>
      <c r="Y13" s="105">
        <f t="shared" si="4"/>
        <v>1.4074825112715446</v>
      </c>
      <c r="Z13" s="105">
        <f t="shared" si="4"/>
        <v>1.4204889503195983</v>
      </c>
      <c r="AA13" s="105">
        <f t="shared" si="4"/>
        <v>1.485706951831983</v>
      </c>
      <c r="AB13" s="105">
        <f t="shared" si="4"/>
        <v>1.5563133352357037</v>
      </c>
      <c r="AC13" s="105">
        <f t="shared" si="4"/>
        <v>1.4745585755050794</v>
      </c>
      <c r="AD13" s="105">
        <f t="shared" si="4"/>
        <v>1.3034309988871133</v>
      </c>
      <c r="AE13" s="105">
        <f t="shared" si="4"/>
        <v>1.2876374657573337</v>
      </c>
      <c r="AF13" s="105">
        <f t="shared" si="4"/>
        <v>1.1519988871133433</v>
      </c>
      <c r="AG13" s="105">
        <f t="shared" si="4"/>
        <v>1.1055473190845795</v>
      </c>
      <c r="AH13" s="105">
        <f t="shared" si="4"/>
        <v>1.2476891172525968</v>
      </c>
      <c r="AI13" s="105">
        <f t="shared" si="4"/>
        <v>1.305103255336149</v>
      </c>
      <c r="AJ13" s="105">
        <f t="shared" si="4"/>
        <v>1.3006439048053877</v>
      </c>
      <c r="AK13" s="105">
        <f t="shared" si="4"/>
        <v>1.2774181207910058</v>
      </c>
      <c r="AL13" s="105">
        <f t="shared" si="4"/>
        <v>1.1074053818057301</v>
      </c>
      <c r="AM13" s="105">
        <f t="shared" si="4"/>
        <v>0.85099272628695366</v>
      </c>
      <c r="AN13" s="105">
        <f t="shared" si="4"/>
        <v>0.82126372274854476</v>
      </c>
      <c r="AO13" s="105">
        <f t="shared" si="4"/>
        <v>0.85433723918502458</v>
      </c>
      <c r="AP13" s="105">
        <f t="shared" si="4"/>
        <v>0.8621411026138569</v>
      </c>
      <c r="AQ13" s="105">
        <f t="shared" si="4"/>
        <v>0.8547088517292547</v>
      </c>
      <c r="AR13" s="105">
        <f t="shared" si="4"/>
        <v>0.8398443499600502</v>
      </c>
      <c r="AS13" s="105">
        <f t="shared" si="4"/>
        <v>0.89930235703686801</v>
      </c>
      <c r="AT13" s="105">
        <f t="shared" si="4"/>
        <v>0.9206700783300994</v>
      </c>
      <c r="AU13" s="105">
        <f t="shared" si="4"/>
        <v>0.88072172982536256</v>
      </c>
      <c r="AV13" s="105">
        <f t="shared" si="4"/>
        <v>0.87328947894076026</v>
      </c>
      <c r="AW13" s="105">
        <f t="shared" si="4"/>
        <v>0.89187010615226581</v>
      </c>
      <c r="AX13" s="105">
        <f t="shared" si="4"/>
        <v>0.92159910969067471</v>
      </c>
      <c r="AY13" s="105">
        <f t="shared" si="4"/>
        <v>0.82497984819084591</v>
      </c>
      <c r="AZ13" s="105">
        <f t="shared" si="4"/>
        <v>0.82497984819084591</v>
      </c>
      <c r="BA13" s="105">
        <f t="shared" si="4"/>
        <v>0.83241209907544822</v>
      </c>
      <c r="BB13" s="105">
        <f t="shared" si="4"/>
        <v>0.8547088517292547</v>
      </c>
      <c r="BC13" s="105">
        <f t="shared" si="4"/>
        <v>0.92159910969067471</v>
      </c>
      <c r="BD13" s="105">
        <f t="shared" si="4"/>
        <v>0.96990874044058906</v>
      </c>
      <c r="BE13" s="105">
        <f t="shared" si="4"/>
        <v>0.99963774397899785</v>
      </c>
      <c r="BF13" s="105">
        <f t="shared" si="4"/>
        <v>1.0033538694212991</v>
      </c>
      <c r="BG13" s="105">
        <f t="shared" si="4"/>
        <v>1.066528001940418</v>
      </c>
      <c r="BH13" s="105">
        <f t="shared" si="4"/>
        <v>1.066528001940418</v>
      </c>
      <c r="BI13" s="105">
        <f t="shared" si="4"/>
        <v>0.99592161853669692</v>
      </c>
      <c r="BJ13" s="105">
        <f t="shared" si="4"/>
        <v>1.043488024198151</v>
      </c>
      <c r="BK13" s="105">
        <f t="shared" si="4"/>
        <v>1.0293667475174069</v>
      </c>
      <c r="BL13" s="105">
        <f t="shared" si="4"/>
        <v>0.99592161853669692</v>
      </c>
      <c r="BM13" s="105">
        <f t="shared" si="4"/>
        <v>0.98848936765209461</v>
      </c>
      <c r="BN13" s="105">
        <f t="shared" si="4"/>
        <v>0.95876036411368581</v>
      </c>
      <c r="BO13" s="105">
        <f t="shared" si="4"/>
        <v>0.95876036411368581</v>
      </c>
      <c r="BP13" s="105">
        <f t="shared" si="4"/>
        <v>0.95876036411368581</v>
      </c>
      <c r="BQ13" s="105">
        <f t="shared" si="4"/>
        <v>0.95876036411368581</v>
      </c>
      <c r="BR13" s="105">
        <f t="shared" si="4"/>
        <v>0.94389586234448131</v>
      </c>
      <c r="BS13" s="105">
        <f t="shared" si="4"/>
        <v>0.94389586234448131</v>
      </c>
      <c r="BT13" s="105">
        <f t="shared" si="4"/>
        <v>0.95504423867138455</v>
      </c>
      <c r="BU13" s="105">
        <f t="shared" si="4"/>
        <v>0.99592161853669692</v>
      </c>
      <c r="BV13" s="105">
        <f t="shared" ref="BV13:CK13" si="5">SUM(BV11:BV12)</f>
        <v>0.99592161853669692</v>
      </c>
      <c r="BW13" s="105">
        <f t="shared" si="5"/>
        <v>1.0888247545942247</v>
      </c>
      <c r="BX13" s="105">
        <f t="shared" si="5"/>
        <v>1.1259860090172356</v>
      </c>
      <c r="BY13" s="105">
        <f t="shared" si="5"/>
        <v>1.1259860090172356</v>
      </c>
      <c r="BZ13" s="105">
        <f t="shared" si="5"/>
        <v>1.1222698835749345</v>
      </c>
      <c r="CA13" s="105">
        <f t="shared" si="5"/>
        <v>1.1222698835749345</v>
      </c>
      <c r="CB13" s="105">
        <f t="shared" si="5"/>
        <v>1.1222698835749345</v>
      </c>
      <c r="CC13" s="105">
        <f t="shared" si="5"/>
        <v>1.0999731309211278</v>
      </c>
      <c r="CD13" s="105">
        <f t="shared" si="5"/>
        <v>1.1036892563634291</v>
      </c>
      <c r="CE13" s="105">
        <f t="shared" si="5"/>
        <v>1.1111215072480312</v>
      </c>
      <c r="CF13" s="105">
        <f t="shared" si="5"/>
        <v>1.0962570054788268</v>
      </c>
      <c r="CG13" s="105">
        <f t="shared" si="5"/>
        <v>1.0516635001712134</v>
      </c>
      <c r="CH13" s="105">
        <f t="shared" si="5"/>
        <v>1.0219344966328046</v>
      </c>
      <c r="CI13" s="105">
        <f t="shared" si="5"/>
        <v>1.0070699948636002</v>
      </c>
      <c r="CJ13" s="105">
        <f t="shared" si="5"/>
        <v>0.98477324220979345</v>
      </c>
      <c r="CK13" s="105">
        <f t="shared" si="5"/>
        <v>0.98477324220979345</v>
      </c>
      <c r="CL13" s="105">
        <f t="shared" ref="CL13:CU13" si="6">SUM(CL11:CL12)</f>
        <v>0.96990874044058906</v>
      </c>
      <c r="CM13" s="105">
        <f t="shared" si="6"/>
        <v>0.94761198778678235</v>
      </c>
      <c r="CN13" s="105">
        <f t="shared" si="6"/>
        <v>0.94017973690218015</v>
      </c>
      <c r="CO13" s="105">
        <f t="shared" si="6"/>
        <v>0.94017973690218015</v>
      </c>
      <c r="CP13" s="105">
        <f t="shared" si="6"/>
        <v>0.94017973690218015</v>
      </c>
      <c r="CQ13" s="105">
        <f t="shared" si="6"/>
        <v>0.94017973690218015</v>
      </c>
      <c r="CR13" s="105">
        <f t="shared" si="6"/>
        <v>0.94017973690218015</v>
      </c>
      <c r="CS13" s="105">
        <f t="shared" si="6"/>
        <v>0.97734099132519126</v>
      </c>
      <c r="CT13" s="105">
        <f t="shared" si="6"/>
        <v>0.91788298424837367</v>
      </c>
      <c r="CU13" s="105">
        <f t="shared" si="6"/>
        <v>0.8844378552676635</v>
      </c>
      <c r="CV13" s="105">
        <f>SUM(CV11:CV12)</f>
        <v>0.88815398070996476</v>
      </c>
      <c r="CW13" s="105">
        <f>SUM(CW11:CW12)</f>
        <v>0.86734367823307856</v>
      </c>
      <c r="CX13" s="105">
        <f>SUM(CX11:CX12)</f>
        <v>0.8561953019061751</v>
      </c>
      <c r="CY13" s="105">
        <f t="shared" ref="CY13:EJ13" si="7">SUM(CY11:CY12)</f>
        <v>0.86288432770231716</v>
      </c>
      <c r="CZ13" s="105">
        <f t="shared" si="7"/>
        <v>0.82869597363314695</v>
      </c>
      <c r="DA13" s="105">
        <f t="shared" si="7"/>
        <v>0.82497984819084591</v>
      </c>
      <c r="DB13" s="105">
        <f t="shared" si="7"/>
        <v>0.80639922097934036</v>
      </c>
      <c r="DC13" s="105">
        <f t="shared" si="7"/>
        <v>0.7209283358064148</v>
      </c>
      <c r="DD13" s="105">
        <f t="shared" si="7"/>
        <v>0.73579283757561931</v>
      </c>
      <c r="DE13" s="105">
        <f t="shared" si="7"/>
        <v>0.73579283757561931</v>
      </c>
      <c r="DF13" s="105">
        <f t="shared" si="7"/>
        <v>0.73579283757561931</v>
      </c>
      <c r="DG13" s="105">
        <f t="shared" si="7"/>
        <v>0.74322508846022151</v>
      </c>
      <c r="DH13" s="105">
        <f t="shared" si="7"/>
        <v>0.75437346478712475</v>
      </c>
      <c r="DI13" s="105">
        <f t="shared" si="7"/>
        <v>0.81754759730624371</v>
      </c>
      <c r="DJ13" s="105">
        <f t="shared" si="7"/>
        <v>0.82497984819084591</v>
      </c>
      <c r="DK13" s="105">
        <f t="shared" si="7"/>
        <v>0.82497984819084591</v>
      </c>
      <c r="DL13" s="105">
        <f t="shared" si="7"/>
        <v>0.81383147186394256</v>
      </c>
      <c r="DM13" s="105">
        <f t="shared" si="7"/>
        <v>0.81383147186394256</v>
      </c>
      <c r="DN13" s="105">
        <f t="shared" si="7"/>
        <v>0.82497984819084591</v>
      </c>
      <c r="DO13" s="105">
        <f t="shared" si="7"/>
        <v>0.82126372274854476</v>
      </c>
      <c r="DP13" s="105">
        <f t="shared" si="7"/>
        <v>0.82126372274854476</v>
      </c>
      <c r="DQ13" s="105">
        <f t="shared" si="7"/>
        <v>0.79153471921013585</v>
      </c>
      <c r="DR13" s="105">
        <f t="shared" si="7"/>
        <v>0.77667021744093145</v>
      </c>
      <c r="DS13" s="105">
        <f t="shared" si="7"/>
        <v>0.7506573393448237</v>
      </c>
      <c r="DT13" s="105">
        <f t="shared" si="7"/>
        <v>0</v>
      </c>
      <c r="DU13" s="105">
        <f t="shared" si="7"/>
        <v>0</v>
      </c>
      <c r="DV13" s="105">
        <f t="shared" si="7"/>
        <v>0</v>
      </c>
      <c r="DW13" s="105">
        <f t="shared" si="7"/>
        <v>0</v>
      </c>
      <c r="DX13" s="105">
        <f t="shared" si="7"/>
        <v>0</v>
      </c>
      <c r="DY13" s="105">
        <f t="shared" si="7"/>
        <v>0</v>
      </c>
      <c r="DZ13" s="105">
        <f t="shared" si="7"/>
        <v>0</v>
      </c>
      <c r="EA13" s="105">
        <f t="shared" si="7"/>
        <v>0</v>
      </c>
      <c r="EB13" s="105">
        <f t="shared" si="7"/>
        <v>0</v>
      </c>
      <c r="EC13" s="105">
        <f t="shared" si="7"/>
        <v>0</v>
      </c>
      <c r="ED13" s="105">
        <f t="shared" si="7"/>
        <v>0</v>
      </c>
      <c r="EE13" s="105">
        <f t="shared" si="7"/>
        <v>0</v>
      </c>
      <c r="EF13" s="105">
        <f t="shared" si="7"/>
        <v>0</v>
      </c>
      <c r="EG13" s="105">
        <f t="shared" si="7"/>
        <v>0</v>
      </c>
      <c r="EH13" s="105">
        <f t="shared" si="7"/>
        <v>0</v>
      </c>
      <c r="EI13" s="105">
        <f t="shared" si="7"/>
        <v>0</v>
      </c>
      <c r="EJ13" s="105">
        <f t="shared" si="7"/>
        <v>0</v>
      </c>
    </row>
    <row r="14" spans="1:144" ht="16">
      <c r="A14" s="330"/>
      <c r="I14" s="74">
        <f>82/74</f>
        <v>1.1081081081081081</v>
      </c>
      <c r="J14" s="74"/>
      <c r="K14" s="74"/>
      <c r="L14" s="74"/>
      <c r="M14" s="74"/>
      <c r="N14" s="74"/>
      <c r="O14" s="74">
        <f>78/74</f>
        <v>1.0540540540540539</v>
      </c>
      <c r="P14" s="74">
        <f>78/74</f>
        <v>1.0540540540540539</v>
      </c>
      <c r="Q14" s="74">
        <f>72/74</f>
        <v>0.97297297297297303</v>
      </c>
      <c r="R14" s="74">
        <f>78/74</f>
        <v>1.0540540540540539</v>
      </c>
      <c r="S14" s="74"/>
      <c r="T14" s="74"/>
      <c r="U14" s="74"/>
      <c r="V14" s="74"/>
      <c r="W14" s="74"/>
      <c r="X14" s="74"/>
      <c r="Y14" s="74">
        <f>133/82</f>
        <v>1.6219512195121952</v>
      </c>
      <c r="Z14" s="74">
        <f>145/82</f>
        <v>1.7682926829268293</v>
      </c>
      <c r="AA14" s="74">
        <f>154/82</f>
        <v>1.8780487804878048</v>
      </c>
      <c r="AB14" s="74"/>
      <c r="AC14" s="74">
        <f>174/82</f>
        <v>2.1219512195121952</v>
      </c>
      <c r="AD14" s="74"/>
      <c r="AE14" s="74"/>
      <c r="AF14" s="74"/>
      <c r="AG14" s="74"/>
      <c r="AH14" s="74"/>
      <c r="AI14" s="74"/>
      <c r="AJ14" s="74"/>
      <c r="AK14" s="74"/>
      <c r="AL14" s="74"/>
      <c r="AM14" s="74"/>
      <c r="AN14" s="74"/>
      <c r="AO14" s="74"/>
      <c r="AP14" s="74"/>
      <c r="AQ14" s="74"/>
      <c r="AR14" s="74"/>
      <c r="AS14" s="74"/>
      <c r="AT14" s="74"/>
      <c r="AU14" s="74"/>
      <c r="AV14" s="74"/>
      <c r="AW14" s="74">
        <f>160/83</f>
        <v>1.927710843373494</v>
      </c>
      <c r="AY14" s="74"/>
      <c r="BD14" s="65"/>
      <c r="BL14" s="65"/>
      <c r="BM14" s="60">
        <v>1.375</v>
      </c>
      <c r="BR14" s="65"/>
      <c r="BV14" s="74">
        <f>142/83</f>
        <v>1.7108433734939759</v>
      </c>
    </row>
    <row r="15" spans="1:144" s="64" customFormat="1" ht="13">
      <c r="A15" s="331" t="s">
        <v>793</v>
      </c>
      <c r="H15" s="64" t="s">
        <v>763</v>
      </c>
      <c r="I15" s="74">
        <f>I14-I13</f>
        <v>0.47042098220923811</v>
      </c>
      <c r="J15" s="74"/>
      <c r="K15" s="74"/>
      <c r="L15" s="74"/>
      <c r="M15" s="74"/>
      <c r="N15" s="74"/>
      <c r="O15" s="74">
        <f>O14-O13</f>
        <v>0.44386625642821209</v>
      </c>
      <c r="P15" s="74">
        <f>P14-P13</f>
        <v>0.44042884039408348</v>
      </c>
      <c r="Q15" s="74">
        <f>Q14-Q13</f>
        <v>0.34634132026494879</v>
      </c>
      <c r="R15" s="74">
        <f>R14-R13</f>
        <v>0.40930628981481176</v>
      </c>
      <c r="S15" s="74"/>
      <c r="T15" s="74"/>
      <c r="U15" s="74"/>
      <c r="V15" s="74"/>
      <c r="W15" s="74"/>
      <c r="X15" s="74"/>
      <c r="Y15" s="74">
        <f>Y14-Y13</f>
        <v>0.21446870824065067</v>
      </c>
      <c r="Z15" s="74">
        <f>Z14-Z13</f>
        <v>0.34780373260723096</v>
      </c>
      <c r="AA15" s="74">
        <f>AA14-AA13</f>
        <v>0.39234182865582179</v>
      </c>
      <c r="AB15" s="74"/>
      <c r="AC15" s="74">
        <f>AC14-AC13</f>
        <v>0.64739264400711583</v>
      </c>
      <c r="AD15" s="74"/>
      <c r="AE15" s="74"/>
      <c r="AF15" s="74"/>
      <c r="AG15" s="74"/>
      <c r="AH15" s="74"/>
      <c r="AI15" s="74"/>
      <c r="AJ15" s="74"/>
      <c r="AK15" s="74"/>
      <c r="AL15" s="74"/>
      <c r="AM15" s="74"/>
      <c r="AN15" s="74"/>
      <c r="AO15" s="74"/>
      <c r="AP15" s="74"/>
      <c r="AQ15" s="74"/>
      <c r="AR15" s="74"/>
      <c r="AS15" s="74"/>
      <c r="AT15" s="74"/>
      <c r="AU15" s="74"/>
      <c r="AW15" s="74">
        <f>AW14-AW13</f>
        <v>1.0358407372212282</v>
      </c>
      <c r="AX15" s="74"/>
      <c r="AY15" s="74"/>
      <c r="BD15" s="74"/>
      <c r="BL15" s="74"/>
      <c r="BM15" s="74">
        <f>BM14-BM13</f>
        <v>0.38651063234790539</v>
      </c>
      <c r="BQ15" s="74"/>
      <c r="BV15" s="74">
        <f>BV14-BV13</f>
        <v>0.71492175495727894</v>
      </c>
      <c r="BW15" s="60"/>
      <c r="CU15" s="60">
        <f>148/83</f>
        <v>1.7831325301204819</v>
      </c>
      <c r="CX15" s="64">
        <f>153.6/84</f>
        <v>1.8285714285714285</v>
      </c>
      <c r="DH15" s="64">
        <f>130/84</f>
        <v>1.5476190476190477</v>
      </c>
      <c r="DL15" s="64">
        <f>121.5/84</f>
        <v>1.4464285714285714</v>
      </c>
    </row>
    <row r="16" spans="1:144">
      <c r="H16" s="60" t="s">
        <v>764</v>
      </c>
      <c r="O16" s="74"/>
      <c r="P16" s="74"/>
      <c r="Q16" s="74"/>
      <c r="R16" s="65"/>
      <c r="S16" s="65"/>
      <c r="T16" s="65"/>
      <c r="W16" s="65"/>
      <c r="Y16" s="65"/>
      <c r="AC16" s="74"/>
      <c r="AE16" s="74"/>
      <c r="AI16" s="65"/>
      <c r="AK16" s="65"/>
      <c r="AL16" s="65"/>
      <c r="AO16" s="74"/>
      <c r="AQ16" s="74"/>
      <c r="AR16" s="65"/>
      <c r="AT16" s="74"/>
      <c r="AV16" s="65"/>
      <c r="BA16" s="65"/>
      <c r="BI16" s="103"/>
      <c r="BM16" s="74"/>
      <c r="BN16" s="74"/>
      <c r="BW16" s="65"/>
      <c r="CU16" s="65">
        <f>CU15-CU13</f>
        <v>0.8986946748528184</v>
      </c>
      <c r="CX16" s="65">
        <f>CX15-CX13</f>
        <v>0.97237612666525342</v>
      </c>
      <c r="DH16" s="65">
        <f>DH15-DH13</f>
        <v>0.79324558283192292</v>
      </c>
      <c r="DL16" s="65">
        <f>DL15-DL13</f>
        <v>0.63259709956462884</v>
      </c>
    </row>
    <row r="17" spans="2:140" ht="13" thickBot="1"/>
    <row r="18" spans="2:140" ht="13" thickBot="1">
      <c r="D18" s="259"/>
      <c r="H18" s="106" t="s">
        <v>407</v>
      </c>
      <c r="I18" s="109">
        <f>I13+0.21</f>
        <v>0.84768712589886996</v>
      </c>
      <c r="J18" s="109">
        <f t="shared" ref="J18:BU18" si="8">J13+0.21</f>
        <v>0.85428324855895443</v>
      </c>
      <c r="K18" s="109">
        <f t="shared" si="8"/>
        <v>0.81619296277536812</v>
      </c>
      <c r="L18" s="109">
        <f t="shared" si="8"/>
        <v>0.71539306015295068</v>
      </c>
      <c r="M18" s="109">
        <f t="shared" si="8"/>
        <v>0.74465754801107176</v>
      </c>
      <c r="N18" s="109">
        <f t="shared" si="8"/>
        <v>0.77670912995091879</v>
      </c>
      <c r="O18" s="109">
        <f t="shared" si="8"/>
        <v>0.82018779762584182</v>
      </c>
      <c r="P18" s="109">
        <f t="shared" si="8"/>
        <v>0.82362521365997043</v>
      </c>
      <c r="Q18" s="109">
        <f t="shared" si="8"/>
        <v>0.8366316527080242</v>
      </c>
      <c r="R18" s="109">
        <f t="shared" si="8"/>
        <v>0.85474776423924215</v>
      </c>
      <c r="S18" s="109">
        <f>S13+0.21</f>
        <v>1.011754064176464</v>
      </c>
      <c r="T18" s="109">
        <f t="shared" si="8"/>
        <v>1.1511087682627557</v>
      </c>
      <c r="U18" s="109">
        <f t="shared" si="8"/>
        <v>1.2114958067001484</v>
      </c>
      <c r="V18" s="109">
        <f t="shared" si="8"/>
        <v>1.3560530864056615</v>
      </c>
      <c r="W18" s="109">
        <f t="shared" si="8"/>
        <v>1.6117225168359777</v>
      </c>
      <c r="X18" s="109">
        <f t="shared" si="8"/>
        <v>1.4534155729939506</v>
      </c>
      <c r="Y18" s="109">
        <f t="shared" si="8"/>
        <v>1.6174825112715445</v>
      </c>
      <c r="Z18" s="109">
        <f>Z13+0.21</f>
        <v>1.6304889503195983</v>
      </c>
      <c r="AA18" s="109">
        <f t="shared" si="8"/>
        <v>1.6957069518319829</v>
      </c>
      <c r="AB18" s="109">
        <f t="shared" si="8"/>
        <v>1.7663133352357037</v>
      </c>
      <c r="AC18" s="109">
        <f t="shared" si="8"/>
        <v>1.6845585755050794</v>
      </c>
      <c r="AD18" s="109">
        <f t="shared" si="8"/>
        <v>1.5134309988871133</v>
      </c>
      <c r="AE18" s="109">
        <f t="shared" si="8"/>
        <v>1.4976374657573337</v>
      </c>
      <c r="AF18" s="109">
        <f t="shared" si="8"/>
        <v>1.3619988871133433</v>
      </c>
      <c r="AG18" s="109">
        <f t="shared" si="8"/>
        <v>1.3155473190845794</v>
      </c>
      <c r="AH18" s="109">
        <f t="shared" si="8"/>
        <v>1.4576891172525968</v>
      </c>
      <c r="AI18" s="109">
        <f t="shared" si="8"/>
        <v>1.515103255336149</v>
      </c>
      <c r="AJ18" s="109">
        <f t="shared" si="8"/>
        <v>1.5106439048053877</v>
      </c>
      <c r="AK18" s="109">
        <f t="shared" si="8"/>
        <v>1.4874181207910058</v>
      </c>
      <c r="AL18" s="109">
        <f t="shared" si="8"/>
        <v>1.3174053818057301</v>
      </c>
      <c r="AM18" s="109">
        <f t="shared" si="8"/>
        <v>1.0609927262869536</v>
      </c>
      <c r="AN18" s="109">
        <f t="shared" si="8"/>
        <v>1.0312637227485448</v>
      </c>
      <c r="AO18" s="109">
        <f t="shared" si="8"/>
        <v>1.0643372391850245</v>
      </c>
      <c r="AP18" s="109">
        <f t="shared" si="8"/>
        <v>1.072141102613857</v>
      </c>
      <c r="AQ18" s="109">
        <f t="shared" si="8"/>
        <v>1.0647088517292547</v>
      </c>
      <c r="AR18" s="109">
        <f t="shared" si="8"/>
        <v>1.0498443499600503</v>
      </c>
      <c r="AS18" s="109">
        <f t="shared" si="8"/>
        <v>1.1093023570368681</v>
      </c>
      <c r="AT18" s="109">
        <f t="shared" si="8"/>
        <v>1.1306700783300994</v>
      </c>
      <c r="AU18" s="109">
        <f t="shared" si="8"/>
        <v>1.0907217298253626</v>
      </c>
      <c r="AV18" s="109">
        <f t="shared" si="8"/>
        <v>1.0832894789407603</v>
      </c>
      <c r="AW18" s="109">
        <f t="shared" si="8"/>
        <v>1.1018701061522658</v>
      </c>
      <c r="AX18" s="109">
        <f t="shared" si="8"/>
        <v>1.1315991096906748</v>
      </c>
      <c r="AY18" s="109">
        <f t="shared" si="8"/>
        <v>1.0349798481908459</v>
      </c>
      <c r="AZ18" s="109">
        <f t="shared" si="8"/>
        <v>1.0349798481908459</v>
      </c>
      <c r="BA18" s="109">
        <f t="shared" si="8"/>
        <v>1.0424120990754482</v>
      </c>
      <c r="BB18" s="109">
        <f t="shared" si="8"/>
        <v>1.0647088517292547</v>
      </c>
      <c r="BC18" s="109">
        <f t="shared" si="8"/>
        <v>1.1315991096906748</v>
      </c>
      <c r="BD18" s="109">
        <f t="shared" si="8"/>
        <v>1.179908740440589</v>
      </c>
      <c r="BE18" s="109">
        <f t="shared" si="8"/>
        <v>1.2096377439789978</v>
      </c>
      <c r="BF18" s="109">
        <f t="shared" si="8"/>
        <v>1.2133538694212991</v>
      </c>
      <c r="BG18" s="109">
        <f t="shared" si="8"/>
        <v>1.2765280019404179</v>
      </c>
      <c r="BH18" s="109">
        <f t="shared" si="8"/>
        <v>1.2765280019404179</v>
      </c>
      <c r="BI18" s="109">
        <f t="shared" si="8"/>
        <v>1.205921618536697</v>
      </c>
      <c r="BJ18" s="109">
        <f t="shared" si="8"/>
        <v>1.253488024198151</v>
      </c>
      <c r="BK18" s="109">
        <f t="shared" si="8"/>
        <v>1.2393667475174068</v>
      </c>
      <c r="BL18" s="109">
        <f t="shared" si="8"/>
        <v>1.205921618536697</v>
      </c>
      <c r="BM18" s="109">
        <f t="shared" si="8"/>
        <v>1.1984893676520947</v>
      </c>
      <c r="BN18" s="109">
        <f t="shared" si="8"/>
        <v>1.1687603641136859</v>
      </c>
      <c r="BO18" s="109">
        <f t="shared" si="8"/>
        <v>1.1687603641136859</v>
      </c>
      <c r="BP18" s="109">
        <f t="shared" si="8"/>
        <v>1.1687603641136859</v>
      </c>
      <c r="BQ18" s="109">
        <f t="shared" si="8"/>
        <v>1.1687603641136859</v>
      </c>
      <c r="BR18" s="109">
        <f t="shared" si="8"/>
        <v>1.1538958623444813</v>
      </c>
      <c r="BS18" s="109">
        <f t="shared" si="8"/>
        <v>1.1538958623444813</v>
      </c>
      <c r="BT18" s="109">
        <f t="shared" si="8"/>
        <v>1.1650442386713846</v>
      </c>
      <c r="BU18" s="109">
        <f t="shared" si="8"/>
        <v>1.205921618536697</v>
      </c>
      <c r="BV18" s="109">
        <f t="shared" ref="BV18:CK18" si="9">BV13+0.21</f>
        <v>1.205921618536697</v>
      </c>
      <c r="BW18" s="109">
        <f t="shared" si="9"/>
        <v>1.2988247545942246</v>
      </c>
      <c r="BX18" s="109">
        <f t="shared" si="9"/>
        <v>1.3359860090172355</v>
      </c>
      <c r="BY18" s="109">
        <f t="shared" si="9"/>
        <v>1.3359860090172355</v>
      </c>
      <c r="BZ18" s="109">
        <f t="shared" si="9"/>
        <v>1.3322698835749345</v>
      </c>
      <c r="CA18" s="109">
        <f t="shared" si="9"/>
        <v>1.3322698835749345</v>
      </c>
      <c r="CB18" s="109">
        <f t="shared" si="9"/>
        <v>1.3322698835749345</v>
      </c>
      <c r="CC18" s="109">
        <f t="shared" si="9"/>
        <v>1.3099731309211278</v>
      </c>
      <c r="CD18" s="109">
        <f t="shared" si="9"/>
        <v>1.313689256363429</v>
      </c>
      <c r="CE18" s="109">
        <f t="shared" si="9"/>
        <v>1.3211215072480311</v>
      </c>
      <c r="CF18" s="109">
        <f t="shared" si="9"/>
        <v>1.3062570054788267</v>
      </c>
      <c r="CG18" s="109">
        <f t="shared" si="9"/>
        <v>1.2616635001712133</v>
      </c>
      <c r="CH18" s="109">
        <f t="shared" si="9"/>
        <v>1.2319344966328045</v>
      </c>
      <c r="CI18" s="109">
        <f t="shared" si="9"/>
        <v>1.2170699948636001</v>
      </c>
      <c r="CJ18" s="109">
        <f t="shared" si="9"/>
        <v>1.1947732422097934</v>
      </c>
      <c r="CK18" s="109">
        <f t="shared" si="9"/>
        <v>1.1947732422097934</v>
      </c>
      <c r="CL18" s="109">
        <f t="shared" ref="CL18:CU18" si="10">CL13+0.21</f>
        <v>1.179908740440589</v>
      </c>
      <c r="CM18" s="109">
        <f t="shared" si="10"/>
        <v>1.1576119877867823</v>
      </c>
      <c r="CN18" s="109">
        <f t="shared" si="10"/>
        <v>1.1501797369021802</v>
      </c>
      <c r="CO18" s="109">
        <f t="shared" si="10"/>
        <v>1.1501797369021802</v>
      </c>
      <c r="CP18" s="109">
        <f t="shared" si="10"/>
        <v>1.1501797369021802</v>
      </c>
      <c r="CQ18" s="109">
        <f t="shared" si="10"/>
        <v>1.1501797369021802</v>
      </c>
      <c r="CR18" s="109">
        <f t="shared" si="10"/>
        <v>1.1501797369021802</v>
      </c>
      <c r="CS18" s="109">
        <f t="shared" si="10"/>
        <v>1.1873409913251913</v>
      </c>
      <c r="CT18" s="109">
        <f t="shared" si="10"/>
        <v>1.1278829842483737</v>
      </c>
      <c r="CU18" s="109">
        <f t="shared" si="10"/>
        <v>1.0944378552676635</v>
      </c>
      <c r="CV18" s="109">
        <f>CV13+0.21</f>
        <v>1.0981539807099647</v>
      </c>
      <c r="CW18" s="109">
        <f>CW13+0.21</f>
        <v>1.0773436782330785</v>
      </c>
      <c r="CX18" s="109">
        <f>CX13+0.21</f>
        <v>1.0661953019061752</v>
      </c>
      <c r="CY18" s="109">
        <f t="shared" ref="CY18:EJ18" si="11">CY13+0.21</f>
        <v>1.0728843277023172</v>
      </c>
      <c r="CZ18" s="109">
        <f t="shared" si="11"/>
        <v>1.0386959736331469</v>
      </c>
      <c r="DA18" s="109">
        <f t="shared" si="11"/>
        <v>1.0349798481908459</v>
      </c>
      <c r="DB18" s="109">
        <f t="shared" si="11"/>
        <v>1.0163992209793404</v>
      </c>
      <c r="DC18" s="109">
        <f t="shared" si="11"/>
        <v>0.93092833580641476</v>
      </c>
      <c r="DD18" s="109">
        <f t="shared" si="11"/>
        <v>0.94579283757561927</v>
      </c>
      <c r="DE18" s="109">
        <f t="shared" si="11"/>
        <v>0.94579283757561927</v>
      </c>
      <c r="DF18" s="109">
        <f t="shared" si="11"/>
        <v>0.94579283757561927</v>
      </c>
      <c r="DG18" s="109">
        <f t="shared" si="11"/>
        <v>0.95322508846022147</v>
      </c>
      <c r="DH18" s="109">
        <f t="shared" si="11"/>
        <v>0.96437346478712471</v>
      </c>
      <c r="DI18" s="109">
        <f t="shared" si="11"/>
        <v>1.0275475973062438</v>
      </c>
      <c r="DJ18" s="109">
        <f t="shared" si="11"/>
        <v>1.0349798481908459</v>
      </c>
      <c r="DK18" s="109">
        <f t="shared" si="11"/>
        <v>1.0349798481908459</v>
      </c>
      <c r="DL18" s="109">
        <f t="shared" si="11"/>
        <v>1.0238314718639425</v>
      </c>
      <c r="DM18" s="109">
        <f t="shared" si="11"/>
        <v>1.0238314718639425</v>
      </c>
      <c r="DN18" s="109">
        <f t="shared" si="11"/>
        <v>1.0349798481908459</v>
      </c>
      <c r="DO18" s="109">
        <f t="shared" si="11"/>
        <v>1.0312637227485448</v>
      </c>
      <c r="DP18" s="109">
        <f t="shared" si="11"/>
        <v>1.0312637227485448</v>
      </c>
      <c r="DQ18" s="109">
        <f t="shared" si="11"/>
        <v>1.0015347192101358</v>
      </c>
      <c r="DR18" s="109">
        <f t="shared" si="11"/>
        <v>0.98667021744093142</v>
      </c>
      <c r="DS18" s="109">
        <f t="shared" si="11"/>
        <v>0.96065733934482367</v>
      </c>
      <c r="DT18" s="109">
        <f t="shared" si="11"/>
        <v>0.21</v>
      </c>
      <c r="DU18" s="109">
        <f t="shared" si="11"/>
        <v>0.21</v>
      </c>
      <c r="DV18" s="109">
        <f t="shared" si="11"/>
        <v>0.21</v>
      </c>
      <c r="DW18" s="109">
        <f t="shared" si="11"/>
        <v>0.21</v>
      </c>
      <c r="DX18" s="109">
        <f t="shared" si="11"/>
        <v>0.21</v>
      </c>
      <c r="DY18" s="109">
        <f t="shared" si="11"/>
        <v>0.21</v>
      </c>
      <c r="DZ18" s="109">
        <f t="shared" si="11"/>
        <v>0.21</v>
      </c>
      <c r="EA18" s="109">
        <f t="shared" si="11"/>
        <v>0.21</v>
      </c>
      <c r="EB18" s="109">
        <f t="shared" si="11"/>
        <v>0.21</v>
      </c>
      <c r="EC18" s="109">
        <f t="shared" si="11"/>
        <v>0.21</v>
      </c>
      <c r="ED18" s="109">
        <f t="shared" si="11"/>
        <v>0.21</v>
      </c>
      <c r="EE18" s="109">
        <f t="shared" si="11"/>
        <v>0.21</v>
      </c>
      <c r="EF18" s="109">
        <f t="shared" si="11"/>
        <v>0.21</v>
      </c>
      <c r="EG18" s="109">
        <f t="shared" si="11"/>
        <v>0.21</v>
      </c>
      <c r="EH18" s="109">
        <f t="shared" si="11"/>
        <v>0.21</v>
      </c>
      <c r="EI18" s="109">
        <f t="shared" si="11"/>
        <v>0.21</v>
      </c>
      <c r="EJ18" s="109">
        <f t="shared" si="11"/>
        <v>0.21</v>
      </c>
    </row>
    <row r="20" spans="2:140">
      <c r="B20" s="65"/>
      <c r="BL20" s="65"/>
    </row>
    <row r="25" spans="2:140" ht="15">
      <c r="AR25" s="11"/>
    </row>
    <row r="26" spans="2:140" ht="15">
      <c r="AR26" s="11"/>
    </row>
    <row r="27" spans="2:140" ht="15">
      <c r="AR27" s="260"/>
    </row>
  </sheetData>
  <conditionalFormatting sqref="AN15">
    <cfRule type="top10" dxfId="5" priority="1" bottom="1" rank="1"/>
  </conditionalFormatting>
  <conditionalFormatting sqref="AS15 K15:L15 T15:X15 AB15 AE15:AF15 AH15:AJ15 AP15:AQ15">
    <cfRule type="top10" dxfId="4" priority="2" bottom="1" rank="1"/>
  </conditionalFormatting>
  <pageMargins left="0.7" right="0.7" top="0.75" bottom="0.75" header="0.3" footer="0.3"/>
  <pageSetup orientation="portrait" r:id="rId1"/>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EN26"/>
  <sheetViews>
    <sheetView workbookViewId="0">
      <pane xSplit="8" ySplit="6" topLeftCell="AN7" activePane="bottomRight" state="frozen"/>
      <selection pane="topRight" activeCell="I1" sqref="I1"/>
      <selection pane="bottomLeft" activeCell="A7" sqref="A7"/>
      <selection pane="bottomRight" activeCell="AX15" sqref="AX15"/>
    </sheetView>
  </sheetViews>
  <sheetFormatPr baseColWidth="10" defaultColWidth="22.6640625" defaultRowHeight="12"/>
  <cols>
    <col min="1" max="1" width="13.33203125" style="60" bestFit="1" customWidth="1"/>
    <col min="2" max="2" width="11.33203125" style="60" bestFit="1" customWidth="1"/>
    <col min="3" max="3" width="4.83203125" style="60" bestFit="1" customWidth="1"/>
    <col min="4" max="4" width="12.33203125" style="60" bestFit="1" customWidth="1"/>
    <col min="5" max="5" width="7.5" style="60" bestFit="1" customWidth="1"/>
    <col min="6" max="6" width="6.5" style="60" bestFit="1" customWidth="1"/>
    <col min="7" max="7" width="3.33203125" style="60" bestFit="1" customWidth="1"/>
    <col min="8" max="8" width="14.5" style="60" bestFit="1" customWidth="1"/>
    <col min="9" max="10" width="5.5" style="60" bestFit="1" customWidth="1"/>
    <col min="11" max="11" width="5.6640625" style="60" bestFit="1" customWidth="1"/>
    <col min="12" max="12" width="5.5" style="60" bestFit="1" customWidth="1"/>
    <col min="13" max="13" width="5.83203125" style="60" bestFit="1" customWidth="1"/>
    <col min="14" max="18" width="5.5" style="60" bestFit="1" customWidth="1"/>
    <col min="19" max="19" width="5.6640625" style="60" bestFit="1" customWidth="1"/>
    <col min="20" max="39" width="6.1640625" style="60" bestFit="1" customWidth="1"/>
    <col min="40" max="42" width="5.5" style="60" bestFit="1" customWidth="1"/>
    <col min="43" max="43" width="5.6640625" style="60" bestFit="1" customWidth="1"/>
    <col min="44" max="45" width="5.5" style="60" bestFit="1" customWidth="1"/>
    <col min="46" max="46" width="6.1640625" style="60" bestFit="1" customWidth="1"/>
    <col min="47" max="47" width="5.6640625" style="60" bestFit="1" customWidth="1"/>
    <col min="48" max="48" width="5.5" style="60" bestFit="1" customWidth="1"/>
    <col min="49" max="49" width="5.83203125" style="60" bestFit="1" customWidth="1"/>
    <col min="50" max="51" width="5.5" style="60" bestFit="1" customWidth="1"/>
    <col min="52" max="54" width="7" style="60" bestFit="1" customWidth="1"/>
    <col min="55" max="56" width="5.5" style="60" bestFit="1" customWidth="1"/>
    <col min="57" max="58" width="5.83203125" style="60" bestFit="1" customWidth="1"/>
    <col min="59" max="66" width="6.1640625" style="60" bestFit="1" customWidth="1"/>
    <col min="67" max="70" width="5.6640625" style="60" bestFit="1" customWidth="1"/>
    <col min="71" max="72" width="5.5" style="60" bestFit="1" customWidth="1"/>
    <col min="73" max="90" width="6.1640625" style="60" bestFit="1" customWidth="1"/>
    <col min="91" max="95" width="6.33203125" style="60" bestFit="1" customWidth="1"/>
    <col min="96" max="100" width="6.1640625" style="60" bestFit="1" customWidth="1"/>
    <col min="101" max="103" width="5.1640625" style="60" bestFit="1" customWidth="1"/>
    <col min="104" max="107" width="5.83203125" style="60" bestFit="1" customWidth="1"/>
    <col min="108" max="115" width="5.6640625" style="60" bestFit="1" customWidth="1"/>
    <col min="116" max="119" width="6.1640625" style="60" bestFit="1" customWidth="1"/>
    <col min="120" max="123" width="5.83203125" style="60" bestFit="1" customWidth="1"/>
    <col min="124" max="143" width="5.1640625" style="60" bestFit="1" customWidth="1"/>
    <col min="144" max="144" width="3.33203125" style="60" bestFit="1" customWidth="1"/>
    <col min="145" max="16384" width="22.6640625" style="60"/>
  </cols>
  <sheetData>
    <row r="1" spans="1:144" ht="26">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c r="EM1" s="99">
        <v>141</v>
      </c>
      <c r="EN1" s="99">
        <v>142</v>
      </c>
    </row>
    <row r="2" spans="1:144">
      <c r="A2" s="112" t="s">
        <v>304</v>
      </c>
      <c r="B2" s="112"/>
      <c r="C2" s="101">
        <v>1</v>
      </c>
      <c r="D2" s="112">
        <v>128.16900000000001</v>
      </c>
      <c r="E2" s="60">
        <f>D2*C2</f>
        <v>128.16900000000001</v>
      </c>
      <c r="K2" s="102"/>
      <c r="M2" s="102"/>
    </row>
    <row r="3" spans="1:144">
      <c r="A3" s="100"/>
      <c r="B3" s="64"/>
      <c r="D3" s="100"/>
      <c r="E3" s="64"/>
      <c r="F3" s="103"/>
    </row>
    <row r="4" spans="1:144">
      <c r="A4" s="64"/>
      <c r="B4" s="64"/>
      <c r="D4" s="64"/>
      <c r="E4" s="64"/>
      <c r="H4" s="60" t="s">
        <v>387</v>
      </c>
    </row>
    <row r="5" spans="1:144">
      <c r="A5" s="74"/>
      <c r="B5" s="74"/>
    </row>
    <row r="6" spans="1:144">
      <c r="A6" s="59"/>
      <c r="B6" s="59"/>
      <c r="C6" s="59"/>
      <c r="D6" s="98"/>
      <c r="E6" s="98"/>
      <c r="F6" s="59"/>
      <c r="H6" s="59" t="s">
        <v>416</v>
      </c>
      <c r="I6" s="59">
        <v>43831</v>
      </c>
      <c r="J6" s="59">
        <v>43862</v>
      </c>
      <c r="K6" s="59">
        <v>43891</v>
      </c>
      <c r="L6" s="59">
        <v>43922</v>
      </c>
      <c r="M6" s="59">
        <v>43952</v>
      </c>
      <c r="N6" s="59">
        <v>43983</v>
      </c>
      <c r="O6" s="59">
        <v>44013</v>
      </c>
      <c r="P6" s="59">
        <v>44044</v>
      </c>
      <c r="Q6" s="59">
        <v>44075</v>
      </c>
      <c r="R6" s="59">
        <v>44105</v>
      </c>
      <c r="S6" s="59">
        <v>44136</v>
      </c>
      <c r="T6" s="59">
        <v>44166</v>
      </c>
      <c r="U6" s="59">
        <v>44197</v>
      </c>
      <c r="V6" s="59">
        <v>44228</v>
      </c>
      <c r="W6" s="59">
        <v>44256</v>
      </c>
      <c r="X6" s="59">
        <v>44287</v>
      </c>
      <c r="Y6" s="59">
        <v>44317</v>
      </c>
      <c r="Z6" s="59">
        <v>44348</v>
      </c>
      <c r="AA6" s="59">
        <v>44378</v>
      </c>
      <c r="AB6" s="59">
        <v>44409</v>
      </c>
      <c r="AC6" s="59">
        <v>44440</v>
      </c>
      <c r="AD6" s="59">
        <v>44470</v>
      </c>
      <c r="AE6" s="59">
        <v>44501</v>
      </c>
      <c r="AF6" s="59">
        <v>44531</v>
      </c>
      <c r="AG6" s="59">
        <v>44562</v>
      </c>
      <c r="AH6" s="59">
        <v>44593</v>
      </c>
      <c r="AI6" s="59">
        <v>44621</v>
      </c>
      <c r="AJ6" s="59">
        <v>44652</v>
      </c>
      <c r="AK6" s="59">
        <v>44682</v>
      </c>
      <c r="AL6" s="59">
        <v>44713</v>
      </c>
      <c r="AM6" s="59">
        <v>44743</v>
      </c>
      <c r="AN6" s="59">
        <v>44774</v>
      </c>
      <c r="AO6" s="59">
        <v>44805</v>
      </c>
      <c r="AP6" s="59">
        <v>44835</v>
      </c>
      <c r="AQ6" s="59">
        <v>44866</v>
      </c>
      <c r="AR6" s="59">
        <v>44896</v>
      </c>
      <c r="AS6" s="59">
        <v>44927</v>
      </c>
      <c r="AT6" s="59">
        <v>44958</v>
      </c>
      <c r="AU6" s="59">
        <v>44986</v>
      </c>
      <c r="AV6" s="59">
        <v>45017</v>
      </c>
      <c r="AW6" s="59">
        <v>45047</v>
      </c>
      <c r="AX6" s="59">
        <v>45078</v>
      </c>
      <c r="AY6" s="59">
        <v>45108</v>
      </c>
      <c r="AZ6" s="59" t="s">
        <v>530</v>
      </c>
      <c r="BA6" s="59" t="s">
        <v>531</v>
      </c>
      <c r="BB6" s="59" t="s">
        <v>532</v>
      </c>
      <c r="BC6" s="59">
        <v>37104</v>
      </c>
      <c r="BD6" s="59">
        <v>37469</v>
      </c>
      <c r="BE6" s="59" t="s">
        <v>168</v>
      </c>
      <c r="BF6" s="59" t="s">
        <v>169</v>
      </c>
      <c r="BG6" s="59" t="s">
        <v>421</v>
      </c>
      <c r="BH6" s="59" t="s">
        <v>422</v>
      </c>
      <c r="BI6" s="59" t="s">
        <v>423</v>
      </c>
      <c r="BJ6" s="59" t="s">
        <v>424</v>
      </c>
      <c r="BK6" s="59" t="s">
        <v>435</v>
      </c>
      <c r="BL6" s="59" t="s">
        <v>436</v>
      </c>
      <c r="BM6" s="59" t="s">
        <v>437</v>
      </c>
      <c r="BN6" s="59" t="s">
        <v>438</v>
      </c>
      <c r="BO6" s="59">
        <v>37196</v>
      </c>
      <c r="BP6" s="59">
        <v>37561</v>
      </c>
      <c r="BQ6" s="59">
        <v>37926</v>
      </c>
      <c r="BR6" s="59">
        <v>38292</v>
      </c>
      <c r="BS6" s="59">
        <v>37226</v>
      </c>
      <c r="BT6" s="59">
        <v>37591</v>
      </c>
      <c r="BU6" s="59">
        <v>37956</v>
      </c>
      <c r="BV6" s="59">
        <v>38322</v>
      </c>
      <c r="BW6" s="59">
        <v>36892</v>
      </c>
      <c r="BX6" s="59">
        <v>37257</v>
      </c>
      <c r="BY6" s="59">
        <v>37622</v>
      </c>
      <c r="BZ6" s="59">
        <v>37987</v>
      </c>
      <c r="CA6" s="59">
        <v>36923</v>
      </c>
      <c r="CB6" s="59">
        <v>37288</v>
      </c>
      <c r="CC6" s="59">
        <v>37653</v>
      </c>
      <c r="CD6" s="59">
        <v>38018</v>
      </c>
      <c r="CE6" s="59" t="str">
        <f>[9]Sheet8!A15</f>
        <v>Mar-w1</v>
      </c>
      <c r="CF6" s="59">
        <v>37316</v>
      </c>
      <c r="CG6" s="59">
        <v>37681</v>
      </c>
      <c r="CH6" s="59">
        <v>38047</v>
      </c>
      <c r="CI6" s="59" t="str">
        <f>Sheet8!E15</f>
        <v>Apr-w1</v>
      </c>
      <c r="CJ6" s="59" t="str">
        <f>Sheet8!F15</f>
        <v>Apr-w2</v>
      </c>
      <c r="CK6" s="59" t="str">
        <f>Sheet8!G15</f>
        <v>Apr-w3</v>
      </c>
      <c r="CL6" s="59" t="str">
        <f>Sheet8!H15</f>
        <v>Apr-w4</v>
      </c>
      <c r="CM6" s="59" t="str">
        <f>Sheet8!I15</f>
        <v>May-w1</v>
      </c>
      <c r="CN6" s="59" t="str">
        <f>Sheet8!J15</f>
        <v>May-w2</v>
      </c>
      <c r="CO6" s="59" t="str">
        <f>Sheet8!K15</f>
        <v>May-w3</v>
      </c>
      <c r="CP6" s="59" t="str">
        <f>Sheet8!L15</f>
        <v>May-w4</v>
      </c>
      <c r="CQ6" s="59" t="str">
        <f>Sheet8!M15</f>
        <v>May-w5</v>
      </c>
      <c r="CR6" s="59" t="str">
        <f>Sheet8!N15</f>
        <v>june-w1</v>
      </c>
      <c r="CS6" s="59" t="str">
        <f>Sheet8!O15</f>
        <v>june-w2</v>
      </c>
      <c r="CT6" s="59" t="str">
        <f>Sheet8!P15</f>
        <v>june-w3</v>
      </c>
      <c r="CU6" s="59" t="str">
        <f>Sheet8!Q15</f>
        <v>june-w4</v>
      </c>
      <c r="CV6" s="59" t="str">
        <f>Sheet8!R15</f>
        <v>Jul-w1</v>
      </c>
      <c r="CW6" s="59" t="str">
        <f>Sheet8!S15</f>
        <v>Jul-w2</v>
      </c>
      <c r="CX6" s="59" t="str">
        <f>Sheet8!T15</f>
        <v>Jul-w3</v>
      </c>
      <c r="CY6" s="59" t="str">
        <f>Sheet8!U15</f>
        <v>Jul-w4</v>
      </c>
      <c r="CZ6" s="59" t="str">
        <f>Sheet8!V15</f>
        <v>Aug-w1</v>
      </c>
      <c r="DA6" s="59" t="str">
        <f>Sheet8!W15</f>
        <v>Aug-w2</v>
      </c>
      <c r="DB6" s="59" t="str">
        <f>Sheet8!X15</f>
        <v>Aug-w3</v>
      </c>
      <c r="DC6" s="59" t="str">
        <f>Sheet8!Y15</f>
        <v>Aug-w4</v>
      </c>
      <c r="DD6" s="59" t="str">
        <f>Sheet8!Z15</f>
        <v>Sep-w1</v>
      </c>
      <c r="DE6" s="59" t="str">
        <f>Sheet8!AA15</f>
        <v>Sep-w2</v>
      </c>
      <c r="DF6" s="59" t="str">
        <f>Sheet8!AB15</f>
        <v>Sep-w3</v>
      </c>
      <c r="DG6" s="59" t="str">
        <f>Sheet8!AC15</f>
        <v>Sep-w4</v>
      </c>
      <c r="DH6" s="59" t="str">
        <f>Sheet8!AD15</f>
        <v>Oct-w1</v>
      </c>
      <c r="DI6" s="59" t="str">
        <f>Sheet8!AE15</f>
        <v>Oct-w2</v>
      </c>
      <c r="DJ6" s="59" t="str">
        <f>Sheet8!AF15</f>
        <v>Oct-w3</v>
      </c>
      <c r="DK6" s="59" t="str">
        <f>Sheet8!AG15</f>
        <v>Oct-w4</v>
      </c>
      <c r="DL6" s="59" t="str">
        <f>Sheet8!AH15</f>
        <v>Nov-w1</v>
      </c>
      <c r="DM6" s="59" t="str">
        <f>Sheet8!AI15</f>
        <v>Nov-w2</v>
      </c>
      <c r="DN6" s="59" t="str">
        <f>Sheet8!AJ15</f>
        <v>Nov-w3</v>
      </c>
      <c r="DO6" s="59" t="str">
        <f>Sheet8!AK15</f>
        <v>Nov-w4</v>
      </c>
      <c r="DP6" s="59" t="str">
        <f>Sheet8!AL15</f>
        <v>Dec-w1</v>
      </c>
      <c r="DQ6" s="59" t="str">
        <f>Sheet8!AM15</f>
        <v>Dec-w2</v>
      </c>
      <c r="DR6" s="59" t="str">
        <f>Sheet8!AN15</f>
        <v>Dec-w3</v>
      </c>
      <c r="DS6" s="59" t="str">
        <f>Sheet8!AO15</f>
        <v>Dec-w4</v>
      </c>
      <c r="DT6" s="59">
        <f>Sheet8!AP15</f>
        <v>0</v>
      </c>
      <c r="DU6" s="59">
        <f>Sheet8!AQ15</f>
        <v>0</v>
      </c>
      <c r="DV6" s="59">
        <f>Sheet8!AR15</f>
        <v>0</v>
      </c>
      <c r="DW6" s="59">
        <f>Sheet8!AS15</f>
        <v>0</v>
      </c>
      <c r="DX6" s="59">
        <f>Sheet8!AT15</f>
        <v>0</v>
      </c>
      <c r="DY6" s="59">
        <f>Sheet8!AU15</f>
        <v>0</v>
      </c>
      <c r="DZ6" s="59">
        <f>Sheet8!AV15</f>
        <v>0</v>
      </c>
      <c r="EA6" s="59">
        <f>Sheet8!AW15</f>
        <v>0</v>
      </c>
      <c r="EB6" s="59">
        <f>Sheet8!AX15</f>
        <v>0</v>
      </c>
      <c r="EC6" s="59">
        <f>Sheet8!AY15</f>
        <v>0</v>
      </c>
      <c r="ED6" s="59">
        <f>Sheet8!AZ15</f>
        <v>0</v>
      </c>
      <c r="EE6" s="59">
        <f>Sheet8!BA15</f>
        <v>0</v>
      </c>
      <c r="EF6" s="59">
        <f>Sheet8!BB15</f>
        <v>0</v>
      </c>
      <c r="EG6" s="59">
        <f>Sheet8!BC15</f>
        <v>0</v>
      </c>
      <c r="EH6" s="59">
        <f>Sheet8!BD15</f>
        <v>0</v>
      </c>
      <c r="EI6" s="59">
        <f>Sheet8!BE15</f>
        <v>0</v>
      </c>
      <c r="EJ6" s="59">
        <f>Sheet8!BF15</f>
        <v>0</v>
      </c>
      <c r="EK6" s="59">
        <f>Sheet8!BG15</f>
        <v>0</v>
      </c>
      <c r="EL6" s="59">
        <f>Sheet8!BH15</f>
        <v>0</v>
      </c>
      <c r="EM6" s="59">
        <f>Sheet8!BI15</f>
        <v>0</v>
      </c>
    </row>
    <row r="7" spans="1:144">
      <c r="B7" s="44"/>
      <c r="D7" s="44"/>
      <c r="F7" s="60" t="s">
        <v>651</v>
      </c>
      <c r="H7" s="178" t="s">
        <v>78</v>
      </c>
      <c r="I7" s="74">
        <f>VLOOKUP($H$7&amp;$F$1,'Input RM sheet'!$A:$DD,H1,0)</f>
        <v>691.5</v>
      </c>
      <c r="J7" s="74">
        <f>VLOOKUP($H$7&amp;$F$1,'Input RM sheet'!$A:$DD,I1,0)</f>
        <v>666.25</v>
      </c>
      <c r="K7" s="74">
        <f>VLOOKUP($H$7&amp;$F$1,'Input RM sheet'!$A:$DD,J1,0)</f>
        <v>650</v>
      </c>
      <c r="L7" s="74">
        <f>VLOOKUP($H$7&amp;$F$1,'Input RM sheet'!$A:$DD,K1,0)</f>
        <v>603</v>
      </c>
      <c r="M7" s="74">
        <f>VLOOKUP($H$7&amp;$F$1,'Input RM sheet'!$A:$DD,L1,0)</f>
        <v>602.5</v>
      </c>
      <c r="N7" s="74">
        <f>VLOOKUP($H$7&amp;$F$1,'Input RM sheet'!$A:$DD,M1,0)</f>
        <v>612.5</v>
      </c>
      <c r="O7" s="74">
        <f>VLOOKUP($H$7&amp;$F$1,'Input RM sheet'!$A:$DD,N1,0)</f>
        <v>627</v>
      </c>
      <c r="P7" s="74">
        <f>VLOOKUP($H$7&amp;$F$1,'Input RM sheet'!$A:$DD,O1,0)</f>
        <v>617.5</v>
      </c>
      <c r="Q7" s="74">
        <f>VLOOKUP($H$7&amp;$F$1,'Input RM sheet'!$A:$DD,P1,0)</f>
        <v>638.75</v>
      </c>
      <c r="R7" s="74">
        <f>VLOOKUP($H$7&amp;$F$1,'Input RM sheet'!$A:$DD,Q1,0)</f>
        <v>696</v>
      </c>
      <c r="S7" s="74">
        <f>VLOOKUP($H$7&amp;$F$1,'Input RM sheet'!$A:$DD,R1,0)</f>
        <v>933.75</v>
      </c>
      <c r="T7" s="74">
        <f>VLOOKUP($H$7&amp;$F$1,'Input RM sheet'!$A:$DD,S1,0)</f>
        <v>1078.75</v>
      </c>
      <c r="U7" s="74">
        <f>VLOOKUP($H$7&amp;$F$1,'Input RM sheet'!$A:$DD,T1,0)</f>
        <v>1238.75</v>
      </c>
      <c r="V7" s="74">
        <f>VLOOKUP($H$7&amp;$F$1,'Input RM sheet'!$A:$DD,U1,0)</f>
        <v>1370</v>
      </c>
      <c r="W7" s="74">
        <f>VLOOKUP($H$7&amp;$F$1,'Input RM sheet'!$A:$DD,V1,0)</f>
        <v>1862.5</v>
      </c>
      <c r="X7" s="74">
        <f>VLOOKUP($H$7&amp;$F$1,'Input RM sheet'!$A:$DD,W1,0)</f>
        <v>1655</v>
      </c>
      <c r="Y7" s="74">
        <f>VLOOKUP($H$7&amp;$F$1,'Input RM sheet'!$A:$DD,X1,0)</f>
        <v>1793.75</v>
      </c>
      <c r="Z7" s="74">
        <f>VLOOKUP($H$7&amp;$F$1,'Input RM sheet'!$A:$DD,Y1,0)</f>
        <v>1843.75</v>
      </c>
      <c r="AA7" s="74">
        <f>VLOOKUP($H$7&amp;$F$1,'Input RM sheet'!$A:$DD,Z1,0)</f>
        <v>1880</v>
      </c>
      <c r="AB7" s="74">
        <f>VLOOKUP($H$7&amp;$F$1,'Input RM sheet'!$A:$DD,AA1,0)</f>
        <v>1950</v>
      </c>
      <c r="AC7" s="74">
        <f>VLOOKUP($H$7&amp;$F$1,'Input RM sheet'!$A:$DD,AB1,0)</f>
        <v>1940</v>
      </c>
      <c r="AD7" s="74">
        <f>VLOOKUP($H$7&amp;$F$1,'Input RM sheet'!$A:$DD,AC1,0)</f>
        <v>1750</v>
      </c>
      <c r="AE7" s="74">
        <f>VLOOKUP($H$7&amp;$F$1,'Input RM sheet'!$A:$DD,AD1,0)</f>
        <v>1662.5</v>
      </c>
      <c r="AF7" s="74">
        <f>VLOOKUP($H$7&amp;$F$1,'Input RM sheet'!$A:$DD,AE1,0)</f>
        <v>1371.25</v>
      </c>
      <c r="AG7" s="74">
        <f>VLOOKUP($H$7&amp;$F$1,'Input RM sheet'!$A:$DD,AF1,0)</f>
        <v>1275</v>
      </c>
      <c r="AH7" s="74">
        <f>VLOOKUP($H$7&amp;$F$1,'Input RM sheet'!$A:$DD,AG1,0)</f>
        <v>1362.5</v>
      </c>
      <c r="AI7" s="74">
        <f>VLOOKUP($H$7&amp;$F$1,'Input RM sheet'!$A:$DD,AH1,0)</f>
        <v>1470</v>
      </c>
      <c r="AJ7" s="74">
        <f>VLOOKUP($H$7&amp;$F$1,'Input RM sheet'!$A:$DD,AI1,0)</f>
        <v>1462.5</v>
      </c>
      <c r="AK7" s="74">
        <f>VLOOKUP($H$7&amp;$F$1,'Input RM sheet'!$A:$DD,AJ1,0)</f>
        <v>1487.5</v>
      </c>
      <c r="AL7" s="74">
        <f>VLOOKUP($H$7&amp;$F$1,'Input RM sheet'!$A:$DD,AK1,0)</f>
        <v>1418</v>
      </c>
      <c r="AM7" s="74">
        <f>VLOOKUP($H$7&amp;$F$1,'Input RM sheet'!$A:$DD,AL1,0)</f>
        <v>1118.75</v>
      </c>
      <c r="AN7" s="74">
        <f>VLOOKUP($H$7&amp;$F$1,'Input RM sheet'!$A:$DD,AM1,0)</f>
        <v>962.5</v>
      </c>
      <c r="AO7" s="74">
        <f>VLOOKUP($H$7&amp;$F$1,'Input RM sheet'!$A:$DD,AN1,0)</f>
        <v>934</v>
      </c>
      <c r="AP7" s="74">
        <f>VLOOKUP($H$7&amp;$F$1,'Input RM sheet'!$A:$DD,AO1,0)</f>
        <v>950</v>
      </c>
      <c r="AQ7" s="74">
        <f>VLOOKUP($H$7&amp;$F$1,'Input RM sheet'!$A:$DD,AP1,0)</f>
        <v>950</v>
      </c>
      <c r="AR7" s="74">
        <f>VLOOKUP($H$7&amp;$F$1,'Input RM sheet'!$A:$DD,AQ1,0)</f>
        <v>935</v>
      </c>
      <c r="AS7" s="74">
        <f>VLOOKUP($H$7&amp;$F$1,'Input RM sheet'!$A:$DD,AR1,0)</f>
        <v>975</v>
      </c>
      <c r="AT7" s="74">
        <f>VLOOKUP($H$7&amp;$F$1,'Input RM sheet'!$A:$DD,AS1,0)</f>
        <v>1005</v>
      </c>
      <c r="AU7" s="74">
        <f>VLOOKUP($H$7&amp;$F$1,'Input RM sheet'!$A:$DD,AT1,0)</f>
        <v>975</v>
      </c>
      <c r="AV7" s="74">
        <f>VLOOKUP($H$7&amp;$F$1,'Input RM sheet'!$A:$DD,AU1,0)</f>
        <v>980</v>
      </c>
      <c r="AW7" s="74">
        <f>VLOOKUP($H$7&amp;$F$1,'Input RM sheet'!$A:$DD,AV1,0)</f>
        <v>975</v>
      </c>
      <c r="AX7" s="74">
        <f>VLOOKUP($H$7&amp;$F$1,'Input RM sheet'!$A:$DD,AW1,0)</f>
        <v>900</v>
      </c>
      <c r="AY7" s="74">
        <f>VLOOKUP($H$7&amp;$F$1,'Input RM sheet'!$A:$DD,AX1,0)</f>
        <v>880</v>
      </c>
      <c r="AZ7" s="74">
        <f>VLOOKUP($H$7&amp;$F$1,'Input RM sheet'!$A:$DD,AY1,0)</f>
        <v>870</v>
      </c>
      <c r="BA7" s="74">
        <f>VLOOKUP($H$7&amp;$F$1,'Input RM sheet'!$A:$DD,AZ1,0)</f>
        <v>870</v>
      </c>
      <c r="BB7" s="74">
        <f>VLOOKUP($H$7&amp;$F$1,'Input RM sheet'!$A:$DD,BA1,0)</f>
        <v>870</v>
      </c>
      <c r="BC7" s="74">
        <f>VLOOKUP($H$7&amp;$F$1,'Input RM sheet'!$A:$DD,BB1,0)</f>
        <v>890</v>
      </c>
      <c r="BD7" s="74">
        <f>VLOOKUP($H$7&amp;$F$1,'Input RM sheet'!$A:$DD,BC1,0)</f>
        <v>900</v>
      </c>
      <c r="BE7" s="74">
        <f>VLOOKUP($H$7&amp;$F$1,'Input RM sheet'!$A:$DD,BD1,0)</f>
        <v>900</v>
      </c>
      <c r="BF7" s="74">
        <f>VLOOKUP($H$7&amp;$F$1,'Input RM sheet'!$A:$DD,BE1,0)</f>
        <v>900</v>
      </c>
      <c r="BG7" s="74">
        <f>VLOOKUP($H$7&amp;$F$1,'Input RM sheet'!$A:$DD,BF1,0)</f>
        <v>1050</v>
      </c>
      <c r="BH7" s="74">
        <f>VLOOKUP($H$7&amp;$F$1,'Input RM sheet'!$A:$DD,BG1,0)</f>
        <v>1050</v>
      </c>
      <c r="BI7" s="74">
        <f>VLOOKUP($H$7&amp;$F$1,'Input RM sheet'!$A:$DD,BH1,0)</f>
        <v>1050</v>
      </c>
      <c r="BJ7" s="74">
        <f>VLOOKUP($H$7&amp;$F$1,'Input RM sheet'!$A:$DD,BI1,0)</f>
        <v>1050</v>
      </c>
      <c r="BK7" s="74">
        <f>VLOOKUP($H$7&amp;$F$1,'Input RM sheet'!$A:$DD,BJ1,0)</f>
        <v>1050</v>
      </c>
      <c r="BL7" s="74">
        <f>VLOOKUP($H$7&amp;$F$1,'Input RM sheet'!$A:$DD,BK1,0)</f>
        <v>1075</v>
      </c>
      <c r="BM7" s="74">
        <f>VLOOKUP($H$7&amp;$F$1,'Input RM sheet'!$A:$DD,BL1,0)</f>
        <v>1050</v>
      </c>
      <c r="BN7" s="74">
        <f>VLOOKUP($H$7&amp;$F$1,'Input RM sheet'!$A:$DD,BM1,0)</f>
        <v>1000</v>
      </c>
      <c r="BO7" s="74">
        <f>VLOOKUP($H$7&amp;$F$1,'Input RM sheet'!$A:$DD,BN1,0)</f>
        <v>975</v>
      </c>
      <c r="BP7" s="74">
        <f>VLOOKUP($H$7&amp;$F$1,'Input RM sheet'!$A:$DD,BO1,0)</f>
        <v>975</v>
      </c>
      <c r="BQ7" s="74">
        <f>VLOOKUP($H$7&amp;$F$1,'Input RM sheet'!$A:$DD,BP1,0)</f>
        <v>975</v>
      </c>
      <c r="BR7" s="74">
        <f>VLOOKUP($H$7&amp;$F$1,'Input RM sheet'!$A:$DD,BQ1,0)</f>
        <v>975</v>
      </c>
      <c r="BS7" s="74">
        <f>VLOOKUP($H$7&amp;$F$1,'Input RM sheet'!$A:$DD,BR1,0)</f>
        <v>975</v>
      </c>
      <c r="BT7" s="74">
        <f>VLOOKUP($H$7&amp;$F$1,'Input RM sheet'!$A:$DD,BS1,0)</f>
        <v>975</v>
      </c>
      <c r="BU7" s="74">
        <f>VLOOKUP($H$7&amp;$F$1,'Input RM sheet'!$A:$DD,BT1,0)</f>
        <v>1000</v>
      </c>
      <c r="BV7" s="74">
        <f>VLOOKUP($H$7&amp;$F$1,'Input RM sheet'!$A:$DD,BU1,0)</f>
        <v>1000</v>
      </c>
      <c r="BW7" s="74">
        <f>VLOOKUP($H$7&amp;$F$1,'Input RM sheet'!$A:$DD,BV1,0)</f>
        <v>1065</v>
      </c>
      <c r="BX7" s="74">
        <f>VLOOKUP($H$7&amp;$F$1,'Input RM sheet'!$A:$DD,BW1,0)</f>
        <v>1085</v>
      </c>
      <c r="BY7" s="74">
        <f>VLOOKUP($H$7&amp;$F$1,'Input RM sheet'!$A:$DD,BX1,0)</f>
        <v>1085</v>
      </c>
      <c r="BZ7" s="74">
        <f>VLOOKUP($H$7&amp;$F$1,'Input RM sheet'!$A:$DD,BY1,0)</f>
        <v>1085</v>
      </c>
      <c r="CA7" s="74">
        <f>VLOOKUP($H$7&amp;$F$1,'Input RM sheet'!$A:$DD,BZ1,0)</f>
        <v>1085</v>
      </c>
      <c r="CB7" s="74">
        <f>VLOOKUP($H$7&amp;$F$1,'Input RM sheet'!$A:$DD,CA1,0)</f>
        <v>1085</v>
      </c>
      <c r="CC7" s="74">
        <f>VLOOKUP($H$7&amp;$F$1,'Input RM sheet'!$A:$DD,CB1,0)</f>
        <v>1085</v>
      </c>
      <c r="CD7" s="74">
        <f>VLOOKUP($H$7&amp;$F$1,'Input RM sheet'!$A:$DD,CC1,0)</f>
        <v>1082.5</v>
      </c>
      <c r="CE7" s="74">
        <f>VLOOKUP($H$7&amp;$F$1,'Input RM sheet'!$A:$DD,CD1,0)</f>
        <v>1082.5</v>
      </c>
      <c r="CF7" s="74">
        <f>VLOOKUP($H$7&amp;$F$1,'Input RM sheet'!$A:$DD,CE1,0)</f>
        <v>1075</v>
      </c>
      <c r="CG7" s="74">
        <f>VLOOKUP($H$7&amp;$F$1,'Input RM sheet'!$A:$DD,CF1,0)</f>
        <v>1030</v>
      </c>
      <c r="CH7" s="74">
        <f>VLOOKUP($H$7&amp;$F$1,'Input RM sheet'!$A:$DD,CG1,0)</f>
        <v>1030</v>
      </c>
      <c r="CI7" s="74">
        <f>VLOOKUP($H$7&amp;$F$1,'Input RM sheet'!$A:$DD,CH1,0)</f>
        <v>1047</v>
      </c>
      <c r="CJ7" s="74">
        <f>VLOOKUP($H$7&amp;$F$1,'Input RM sheet'!$A:$DD,CI1,0)</f>
        <v>1047</v>
      </c>
      <c r="CK7" s="74">
        <f>VLOOKUP($H$7&amp;$F$1,'Input RM sheet'!$A:$DD,CJ1,0)</f>
        <v>1047</v>
      </c>
      <c r="CL7" s="74">
        <f>VLOOKUP($H$7&amp;$F$1,'Input RM sheet'!$A:$DD,CK1,0)</f>
        <v>1045</v>
      </c>
      <c r="CM7" s="74">
        <f>VLOOKUP($H$7&amp;$F$1,'Input RM sheet'!$A:$DD,CL1,0)</f>
        <v>1040</v>
      </c>
      <c r="CN7" s="74">
        <f>VLOOKUP($H$7&amp;$F$1,'Input RM sheet'!$A:$DD,CM1,0)</f>
        <v>1067</v>
      </c>
      <c r="CO7" s="74">
        <f>VLOOKUP($H$7&amp;$F$1,'Input RM sheet'!$A:$DD,CN1,0)</f>
        <v>1067</v>
      </c>
      <c r="CP7" s="74">
        <f>VLOOKUP($H$7&amp;$F$1,'Input RM sheet'!$A:$DD,CO1,0)</f>
        <v>1067</v>
      </c>
      <c r="CQ7" s="74">
        <f>VLOOKUP($H$7&amp;$F$1,'Input RM sheet'!$A:$DD,CP1,0)</f>
        <v>1067</v>
      </c>
      <c r="CR7" s="74">
        <f>VLOOKUP($H$7&amp;$F$1,'Input RM sheet'!$A:$DD,CQ1,0)</f>
        <v>1067</v>
      </c>
      <c r="CS7" s="74">
        <f>VLOOKUP($H$7&amp;$F$1,'Input RM sheet'!$A:$ZZ,CR1,0)</f>
        <v>1075</v>
      </c>
      <c r="CT7" s="74">
        <f>VLOOKUP($H$7&amp;$F$1,'Input RM sheet'!$A:$ZZ,CS1,0)</f>
        <v>1075</v>
      </c>
      <c r="CU7" s="74">
        <f>VLOOKUP($H$7&amp;$F$1,'Input RM sheet'!$A:$ZZ,CT1,0)</f>
        <v>1075</v>
      </c>
      <c r="CV7" s="74">
        <f>VLOOKUP($H$7&amp;$F$1,'Input RM sheet'!$A:$ZZ,CU1,0)</f>
        <v>1075</v>
      </c>
      <c r="CW7" s="74">
        <f>VLOOKUP($H$7&amp;$F$1,'Input RM sheet'!$A:$ZZ,CV1,0)</f>
        <v>1075</v>
      </c>
      <c r="CX7" s="74">
        <f>VLOOKUP($H$7&amp;$F$1,'Input RM sheet'!$A:$ZZ,CW1,0)</f>
        <v>1045</v>
      </c>
      <c r="CY7" s="74">
        <f>VLOOKUP($H$7&amp;$F$1,'Input RM sheet'!$A:$ZZ,CX1,0)</f>
        <v>1025</v>
      </c>
      <c r="CZ7" s="74">
        <f>VLOOKUP($H$7&amp;$F$1,'Input RM sheet'!$A:$ZZ,CY1,0)</f>
        <v>1025</v>
      </c>
      <c r="DA7" s="74">
        <f>VLOOKUP($H$7&amp;$F$1,'Input RM sheet'!$A:$ZZ,CZ1,0)</f>
        <v>1025</v>
      </c>
      <c r="DB7" s="74">
        <f>VLOOKUP($H$7&amp;$F$1,'Input RM sheet'!$A:$ZZ,DA1,0)</f>
        <v>1025</v>
      </c>
      <c r="DC7" s="74">
        <f>VLOOKUP($H$7&amp;$F$1,'Input RM sheet'!$A:$ZZ,DB1,0)</f>
        <v>990</v>
      </c>
      <c r="DD7" s="74">
        <f>VLOOKUP($H$7&amp;$F$1,'Input RM sheet'!$A:$ZZ,DC1,0)</f>
        <v>940</v>
      </c>
      <c r="DE7" s="74">
        <f>VLOOKUP($H$7&amp;$F$1,'Input RM sheet'!$A:$ZZ,DD1,0)</f>
        <v>940</v>
      </c>
      <c r="DF7" s="74">
        <f>VLOOKUP($H$7&amp;$F$1,'Input RM sheet'!$A:$ZZ,DE1,0)</f>
        <v>940</v>
      </c>
      <c r="DG7" s="74">
        <f>VLOOKUP($H$7&amp;$F$1,'Input RM sheet'!$A:$ZZ,DF1,0)</f>
        <v>940</v>
      </c>
      <c r="DH7" s="74">
        <f>VLOOKUP($H$7&amp;$F$1,'Input RM sheet'!$A:$ZZ,DG1,0)</f>
        <v>940</v>
      </c>
      <c r="DI7" s="74">
        <f>VLOOKUP($H$7&amp;$F$1,'Input RM sheet'!$A:$ZZ,DH1,0)</f>
        <v>900</v>
      </c>
      <c r="DJ7" s="74">
        <f>VLOOKUP($H$7&amp;$F$1,'Input RM sheet'!$A:$ZZ,DI1,0)</f>
        <v>910</v>
      </c>
      <c r="DK7" s="74">
        <f>VLOOKUP($H$7&amp;$F$1,'Input RM sheet'!$A:$ZZ,DJ1,0)</f>
        <v>910</v>
      </c>
      <c r="DL7" s="74">
        <f>VLOOKUP($H$7&amp;$F$1,'Input RM sheet'!$A:$ZZ,DK1,0)</f>
        <v>905</v>
      </c>
      <c r="DM7" s="74">
        <f>VLOOKUP($H$7&amp;$F$1,'Input RM sheet'!$A:$ZZ,DL1,0)</f>
        <v>905</v>
      </c>
      <c r="DN7" s="74">
        <f>VLOOKUP($H$7&amp;$F$1,'Input RM sheet'!$A:$ZZ,DM1,0)</f>
        <v>865</v>
      </c>
      <c r="DO7" s="74">
        <f>VLOOKUP($H$7&amp;$F$1,'Input RM sheet'!$A:$ZZ,DN1,0)</f>
        <v>865</v>
      </c>
      <c r="DP7" s="74">
        <f>VLOOKUP($H$7&amp;$F$1,'Input RM sheet'!$A:$ZZ,DO1,0)</f>
        <v>865</v>
      </c>
      <c r="DQ7" s="74">
        <f>VLOOKUP($H$7&amp;$F$1,'Input RM sheet'!$A:$ZZ,DP1,0)</f>
        <v>870</v>
      </c>
      <c r="DR7" s="74">
        <f>VLOOKUP($H$7&amp;$F$1,'Input RM sheet'!$A:$ZZ,DQ1,0)</f>
        <v>855</v>
      </c>
      <c r="DS7" s="74">
        <f>VLOOKUP($H$7&amp;$F$1,'Input RM sheet'!$A:$ZZ,DR1,0)</f>
        <v>850</v>
      </c>
      <c r="DT7" s="74">
        <f>VLOOKUP($H$7&amp;$F$1,'Input RM sheet'!$A:$ZZ,DS1,0)</f>
        <v>0</v>
      </c>
      <c r="DU7" s="74">
        <f>VLOOKUP($H$7&amp;$F$1,'Input RM sheet'!$A:$ZZ,DT1,0)</f>
        <v>0</v>
      </c>
      <c r="DV7" s="74">
        <f>VLOOKUP($H$7&amp;$F$1,'Input RM sheet'!$A:$ZZ,DU1,0)</f>
        <v>0</v>
      </c>
      <c r="DW7" s="74">
        <f>VLOOKUP($H$7&amp;$F$1,'Input RM sheet'!$A:$ZZ,DV1,0)</f>
        <v>0</v>
      </c>
      <c r="DX7" s="74">
        <f>VLOOKUP($H$7&amp;$F$1,'Input RM sheet'!$A:$ZZ,DW1,0)</f>
        <v>0</v>
      </c>
      <c r="DY7" s="74">
        <f>VLOOKUP($H$7&amp;$F$1,'Input RM sheet'!$A:$ZZ,DX1,0)</f>
        <v>0</v>
      </c>
      <c r="DZ7" s="74">
        <f>VLOOKUP($H$7&amp;$F$1,'Input RM sheet'!$A:$ZZ,DY1,0)</f>
        <v>0</v>
      </c>
      <c r="EA7" s="74">
        <f>VLOOKUP($H$7&amp;$F$1,'Input RM sheet'!$A:$ZZ,DZ1,0)</f>
        <v>0</v>
      </c>
      <c r="EB7" s="74">
        <f>VLOOKUP($H$7&amp;$F$1,'Input RM sheet'!$A:$ZZ,EA1,0)</f>
        <v>0</v>
      </c>
      <c r="EC7" s="74">
        <f>VLOOKUP($H$7&amp;$F$1,'Input RM sheet'!$A:$ZZ,EB1,0)</f>
        <v>0</v>
      </c>
      <c r="ED7" s="74">
        <f>VLOOKUP($H$7&amp;$F$1,'Input RM sheet'!$A:$ZZ,EC1,0)</f>
        <v>0</v>
      </c>
      <c r="EE7" s="74">
        <f>VLOOKUP($H$7&amp;$F$1,'Input RM sheet'!$A:$ZZ,ED1,0)</f>
        <v>0</v>
      </c>
      <c r="EF7" s="74">
        <f>VLOOKUP($H$7&amp;$F$1,'Input RM sheet'!$A:$ZZ,EE1,0)</f>
        <v>0</v>
      </c>
      <c r="EG7" s="74">
        <f>VLOOKUP($H$7&amp;$F$1,'Input RM sheet'!$A:$ZZ,EF1,0)</f>
        <v>0</v>
      </c>
      <c r="EH7" s="74">
        <f>VLOOKUP($H$7&amp;$F$1,'Input RM sheet'!$A:$ZZ,EG1,0)</f>
        <v>0</v>
      </c>
      <c r="EI7" s="74">
        <f>VLOOKUP($H$7&amp;$F$1,'Input RM sheet'!$A:$ZZ,EH1,0)</f>
        <v>0</v>
      </c>
      <c r="EJ7" s="74">
        <f>VLOOKUP($H$7&amp;$F$1,'Input RM sheet'!$A:$ZZ,EI1,0)</f>
        <v>0</v>
      </c>
      <c r="EK7" s="74">
        <f>VLOOKUP($H$7&amp;$F$1,'Input RM sheet'!$A:$ZZ,EJ1,0)</f>
        <v>0</v>
      </c>
      <c r="EL7" s="74">
        <f>VLOOKUP($H$7&amp;$F$1,'Input RM sheet'!$A:$ZZ,EK1,0)</f>
        <v>0</v>
      </c>
      <c r="EM7" s="74">
        <f>VLOOKUP($H$7&amp;$F$1,'Input RM sheet'!$A:$ZZ,EL1,0)</f>
        <v>0</v>
      </c>
    </row>
    <row r="8" spans="1:144">
      <c r="B8" s="44"/>
      <c r="D8" s="44"/>
      <c r="I8" s="74"/>
      <c r="J8" s="74"/>
      <c r="K8" s="74"/>
      <c r="L8" s="74"/>
      <c r="M8" s="74"/>
      <c r="N8" s="74"/>
      <c r="O8" s="74"/>
      <c r="P8" s="74"/>
      <c r="Q8" s="74"/>
      <c r="R8" s="74"/>
      <c r="S8" s="74"/>
      <c r="T8" s="74"/>
      <c r="U8" s="74"/>
      <c r="V8" s="74"/>
      <c r="W8" s="74"/>
      <c r="X8" s="74"/>
      <c r="Y8" s="74"/>
      <c r="Z8" s="74"/>
      <c r="AA8" s="74"/>
      <c r="AB8" s="74"/>
      <c r="AC8" s="74"/>
      <c r="AD8" s="74"/>
      <c r="AE8" s="74"/>
      <c r="AF8" s="74"/>
      <c r="AG8" s="74"/>
      <c r="AH8" s="74"/>
      <c r="AI8" s="74"/>
      <c r="AJ8" s="74"/>
      <c r="AK8" s="74"/>
      <c r="AL8" s="74"/>
      <c r="AM8" s="74"/>
      <c r="AN8" s="74"/>
      <c r="AO8" s="74"/>
      <c r="AP8" s="74"/>
      <c r="AQ8" s="74"/>
      <c r="AR8" s="74"/>
      <c r="AS8" s="74"/>
      <c r="AT8" s="74"/>
      <c r="AU8" s="74"/>
      <c r="AV8" s="74"/>
      <c r="AW8" s="74"/>
      <c r="AX8" s="74"/>
      <c r="AY8" s="74"/>
      <c r="AZ8" s="74"/>
      <c r="BA8" s="74"/>
      <c r="BB8" s="74"/>
      <c r="BC8" s="74"/>
      <c r="BD8" s="74"/>
      <c r="BE8" s="74"/>
      <c r="BF8" s="74"/>
      <c r="BG8" s="74"/>
      <c r="BH8" s="74"/>
      <c r="BI8" s="74"/>
      <c r="BJ8" s="74"/>
      <c r="BK8" s="74"/>
      <c r="BL8" s="74"/>
      <c r="BM8" s="74"/>
      <c r="BN8" s="74"/>
      <c r="BO8" s="74"/>
      <c r="BP8" s="74"/>
      <c r="BQ8" s="74"/>
      <c r="BR8" s="74"/>
      <c r="BS8" s="74"/>
      <c r="BT8" s="74"/>
      <c r="BU8" s="74"/>
      <c r="BV8" s="74"/>
      <c r="BW8" s="74"/>
      <c r="BX8" s="74"/>
      <c r="BY8" s="74"/>
      <c r="BZ8" s="74"/>
      <c r="CA8" s="74"/>
      <c r="CB8" s="74"/>
      <c r="CC8" s="74"/>
      <c r="CD8" s="74"/>
      <c r="CE8" s="74"/>
      <c r="CF8" s="74"/>
      <c r="CG8" s="74"/>
      <c r="CH8" s="74"/>
      <c r="CI8" s="74"/>
      <c r="CJ8" s="74"/>
      <c r="CK8" s="74"/>
      <c r="CL8" s="74"/>
      <c r="CM8" s="74"/>
      <c r="CN8" s="74"/>
      <c r="CO8" s="74"/>
      <c r="CP8" s="74"/>
      <c r="CQ8" s="74"/>
      <c r="CR8" s="74"/>
      <c r="CS8" s="74"/>
      <c r="CT8" s="74"/>
      <c r="CU8" s="74"/>
      <c r="CV8" s="74"/>
      <c r="CW8" s="74"/>
      <c r="CX8" s="74"/>
      <c r="CY8" s="74"/>
      <c r="CZ8" s="74"/>
      <c r="DA8" s="74"/>
      <c r="DB8" s="74"/>
      <c r="DC8" s="74"/>
      <c r="DD8" s="74"/>
      <c r="DE8" s="74"/>
      <c r="DF8" s="74"/>
      <c r="DG8" s="74"/>
      <c r="DH8" s="74"/>
      <c r="DI8" s="74"/>
      <c r="DJ8" s="74"/>
      <c r="DK8" s="74"/>
      <c r="DL8" s="74"/>
      <c r="DM8" s="74"/>
      <c r="DN8" s="74"/>
      <c r="DO8" s="74"/>
      <c r="DP8" s="74"/>
      <c r="DQ8" s="74"/>
      <c r="DR8" s="74"/>
      <c r="DS8" s="74"/>
      <c r="DT8" s="74"/>
      <c r="DU8" s="74"/>
      <c r="DV8" s="74"/>
      <c r="DW8" s="74"/>
      <c r="DX8" s="74"/>
      <c r="DY8" s="74"/>
      <c r="DZ8" s="74"/>
      <c r="EA8" s="74"/>
      <c r="EB8" s="74"/>
      <c r="EC8" s="74"/>
      <c r="ED8" s="74"/>
      <c r="EE8" s="74"/>
      <c r="EF8" s="74"/>
      <c r="EG8" s="74"/>
      <c r="EH8" s="74"/>
      <c r="EI8" s="74"/>
      <c r="EJ8" s="74"/>
      <c r="EK8" s="74"/>
      <c r="EL8" s="74"/>
      <c r="EM8" s="74"/>
    </row>
    <row r="9" spans="1:144" ht="26">
      <c r="A9" s="59" t="s">
        <v>395</v>
      </c>
      <c r="B9" s="59"/>
      <c r="C9" s="59" t="s">
        <v>379</v>
      </c>
      <c r="D9" s="98" t="s">
        <v>380</v>
      </c>
      <c r="E9" s="98" t="s">
        <v>381</v>
      </c>
      <c r="F9" s="59" t="s">
        <v>396</v>
      </c>
      <c r="H9" s="60" t="s">
        <v>399</v>
      </c>
      <c r="I9" s="84"/>
      <c r="J9" s="84"/>
      <c r="K9" s="84"/>
      <c r="L9" s="84"/>
      <c r="M9" s="84"/>
      <c r="N9" s="84"/>
      <c r="O9" s="84"/>
      <c r="P9" s="84"/>
      <c r="Q9" s="84"/>
      <c r="R9" s="84"/>
      <c r="S9" s="84"/>
      <c r="T9" s="84"/>
      <c r="U9" s="84"/>
      <c r="V9" s="84"/>
      <c r="W9" s="84"/>
      <c r="X9" s="84"/>
      <c r="Y9" s="84"/>
      <c r="Z9" s="84"/>
      <c r="AA9" s="84"/>
      <c r="AB9" s="84"/>
      <c r="AC9" s="84"/>
      <c r="AD9" s="84"/>
      <c r="AE9" s="84"/>
      <c r="AF9" s="84"/>
      <c r="AG9" s="84"/>
      <c r="AH9" s="84"/>
      <c r="AI9" s="84"/>
      <c r="AJ9" s="84"/>
      <c r="AK9" s="84"/>
      <c r="AL9" s="84"/>
      <c r="AM9" s="84"/>
      <c r="AN9" s="84"/>
      <c r="AO9" s="84"/>
      <c r="AP9" s="84"/>
      <c r="AQ9" s="84"/>
      <c r="AR9" s="84"/>
      <c r="AS9" s="84"/>
      <c r="AT9" s="84"/>
      <c r="AU9" s="84"/>
    </row>
    <row r="10" spans="1:144" ht="13">
      <c r="A10" s="107" t="s">
        <v>397</v>
      </c>
      <c r="B10" s="178" t="s">
        <v>78</v>
      </c>
      <c r="C10" s="60">
        <v>1</v>
      </c>
      <c r="D10" s="112">
        <v>74.12</v>
      </c>
      <c r="E10" s="60">
        <f>D10*C10</f>
        <v>74.12</v>
      </c>
      <c r="F10" s="65">
        <f>E10/E2</f>
        <v>0.57829896464823782</v>
      </c>
      <c r="I10" s="74">
        <f>$F$10*(I7/1000)</f>
        <v>0.39989373405425643</v>
      </c>
      <c r="J10" s="74">
        <f t="shared" ref="J10:BU10" si="0">$F$10*(J7/1000)</f>
        <v>0.38529168519688844</v>
      </c>
      <c r="K10" s="74">
        <f t="shared" si="0"/>
        <v>0.37589432702135461</v>
      </c>
      <c r="L10" s="74">
        <f t="shared" si="0"/>
        <v>0.34871427568288738</v>
      </c>
      <c r="M10" s="74">
        <f t="shared" si="0"/>
        <v>0.34842512620056332</v>
      </c>
      <c r="N10" s="74">
        <f t="shared" si="0"/>
        <v>0.3542081158470457</v>
      </c>
      <c r="O10" s="74">
        <f t="shared" si="0"/>
        <v>0.36259345083444511</v>
      </c>
      <c r="P10" s="74">
        <f t="shared" si="0"/>
        <v>0.35709961067028689</v>
      </c>
      <c r="Q10" s="74">
        <f t="shared" si="0"/>
        <v>0.36938846366906192</v>
      </c>
      <c r="R10" s="74">
        <f t="shared" si="0"/>
        <v>0.40249607939517351</v>
      </c>
      <c r="S10" s="74">
        <f t="shared" si="0"/>
        <v>0.53998665824029202</v>
      </c>
      <c r="T10" s="74">
        <f t="shared" si="0"/>
        <v>0.62384000811428664</v>
      </c>
      <c r="U10" s="74">
        <f t="shared" si="0"/>
        <v>0.71636784245800467</v>
      </c>
      <c r="V10" s="74">
        <f t="shared" si="0"/>
        <v>0.79226958156808591</v>
      </c>
      <c r="W10" s="74">
        <f t="shared" si="0"/>
        <v>1.077081821657343</v>
      </c>
      <c r="X10" s="74">
        <f t="shared" si="0"/>
        <v>0.95708478649283357</v>
      </c>
      <c r="Y10" s="74">
        <f t="shared" si="0"/>
        <v>1.0373237678377765</v>
      </c>
      <c r="Z10" s="74">
        <f t="shared" si="0"/>
        <v>1.0662387160701885</v>
      </c>
      <c r="AA10" s="74">
        <f t="shared" si="0"/>
        <v>1.087202053538687</v>
      </c>
      <c r="AB10" s="74">
        <f t="shared" si="0"/>
        <v>1.1276829810640638</v>
      </c>
      <c r="AC10" s="74">
        <f t="shared" si="0"/>
        <v>1.1218999914175813</v>
      </c>
      <c r="AD10" s="74">
        <f t="shared" si="0"/>
        <v>1.0120231881344162</v>
      </c>
      <c r="AE10" s="74">
        <f t="shared" si="0"/>
        <v>0.96142202872769544</v>
      </c>
      <c r="AF10" s="74">
        <f t="shared" si="0"/>
        <v>0.79299245527389617</v>
      </c>
      <c r="AG10" s="74">
        <f t="shared" si="0"/>
        <v>0.73733117992650321</v>
      </c>
      <c r="AH10" s="74">
        <f t="shared" si="0"/>
        <v>0.78793233933322404</v>
      </c>
      <c r="AI10" s="74">
        <f t="shared" si="0"/>
        <v>0.85009947803290964</v>
      </c>
      <c r="AJ10" s="74">
        <f t="shared" si="0"/>
        <v>0.84576223579804777</v>
      </c>
      <c r="AK10" s="74">
        <f t="shared" si="0"/>
        <v>0.86021970991425378</v>
      </c>
      <c r="AL10" s="74">
        <f t="shared" si="0"/>
        <v>0.82002793187120115</v>
      </c>
      <c r="AM10" s="74">
        <f t="shared" si="0"/>
        <v>0.64697196670021606</v>
      </c>
      <c r="AN10" s="74">
        <f t="shared" si="0"/>
        <v>0.55661275347392891</v>
      </c>
      <c r="AO10" s="74">
        <f t="shared" si="0"/>
        <v>0.54013123298145416</v>
      </c>
      <c r="AP10" s="74">
        <f t="shared" si="0"/>
        <v>0.5493840164158259</v>
      </c>
      <c r="AQ10" s="74">
        <f t="shared" si="0"/>
        <v>0.5493840164158259</v>
      </c>
      <c r="AR10" s="74">
        <f t="shared" si="0"/>
        <v>0.54070953194610238</v>
      </c>
      <c r="AS10" s="74">
        <f t="shared" si="0"/>
        <v>0.56384149053203192</v>
      </c>
      <c r="AT10" s="74">
        <f t="shared" si="0"/>
        <v>0.58119045947147896</v>
      </c>
      <c r="AU10" s="74">
        <f t="shared" si="0"/>
        <v>0.56384149053203192</v>
      </c>
      <c r="AV10" s="74">
        <f t="shared" si="0"/>
        <v>0.56673298535527306</v>
      </c>
      <c r="AW10" s="74">
        <f t="shared" si="0"/>
        <v>0.56384149053203192</v>
      </c>
      <c r="AX10" s="74">
        <f t="shared" si="0"/>
        <v>0.5204690681834141</v>
      </c>
      <c r="AY10" s="74">
        <f t="shared" si="0"/>
        <v>0.50890308889044933</v>
      </c>
      <c r="AZ10" s="74">
        <f t="shared" si="0"/>
        <v>0.50312009924396695</v>
      </c>
      <c r="BA10" s="74">
        <f t="shared" si="0"/>
        <v>0.50312009924396695</v>
      </c>
      <c r="BB10" s="74">
        <f t="shared" si="0"/>
        <v>0.50312009924396695</v>
      </c>
      <c r="BC10" s="74">
        <f t="shared" si="0"/>
        <v>0.51468607853693171</v>
      </c>
      <c r="BD10" s="74">
        <f t="shared" si="0"/>
        <v>0.5204690681834141</v>
      </c>
      <c r="BE10" s="74">
        <f t="shared" si="0"/>
        <v>0.5204690681834141</v>
      </c>
      <c r="BF10" s="74">
        <f t="shared" si="0"/>
        <v>0.5204690681834141</v>
      </c>
      <c r="BG10" s="74">
        <f t="shared" si="0"/>
        <v>0.60721391288064974</v>
      </c>
      <c r="BH10" s="74">
        <f t="shared" si="0"/>
        <v>0.60721391288064974</v>
      </c>
      <c r="BI10" s="74">
        <f t="shared" si="0"/>
        <v>0.60721391288064974</v>
      </c>
      <c r="BJ10" s="74">
        <f t="shared" si="0"/>
        <v>0.60721391288064974</v>
      </c>
      <c r="BK10" s="74">
        <f t="shared" si="0"/>
        <v>0.60721391288064974</v>
      </c>
      <c r="BL10" s="74">
        <f t="shared" si="0"/>
        <v>0.62167138699685565</v>
      </c>
      <c r="BM10" s="74">
        <f t="shared" si="0"/>
        <v>0.60721391288064974</v>
      </c>
      <c r="BN10" s="74">
        <f t="shared" si="0"/>
        <v>0.57829896464823782</v>
      </c>
      <c r="BO10" s="74">
        <f t="shared" si="0"/>
        <v>0.56384149053203192</v>
      </c>
      <c r="BP10" s="74">
        <f t="shared" si="0"/>
        <v>0.56384149053203192</v>
      </c>
      <c r="BQ10" s="74">
        <f t="shared" si="0"/>
        <v>0.56384149053203192</v>
      </c>
      <c r="BR10" s="74">
        <f t="shared" si="0"/>
        <v>0.56384149053203192</v>
      </c>
      <c r="BS10" s="74">
        <f t="shared" si="0"/>
        <v>0.56384149053203192</v>
      </c>
      <c r="BT10" s="74">
        <f t="shared" si="0"/>
        <v>0.56384149053203192</v>
      </c>
      <c r="BU10" s="74">
        <f t="shared" si="0"/>
        <v>0.57829896464823782</v>
      </c>
      <c r="BV10" s="74">
        <f>$F$10*(BV7/1000)</f>
        <v>0.57829896464823782</v>
      </c>
      <c r="BW10" s="74">
        <f>$F$10*(BW7/1000)</f>
        <v>0.61588839735037326</v>
      </c>
      <c r="BX10" s="74">
        <f>$F$10*(BX7/1000)</f>
        <v>0.62745437664333803</v>
      </c>
      <c r="BY10" s="74">
        <f>$F$10*(BY7/1000)</f>
        <v>0.62745437664333803</v>
      </c>
      <c r="BZ10" s="74">
        <f>$F$10*(BZ7/1000)</f>
        <v>0.62745437664333803</v>
      </c>
      <c r="CA10" s="74">
        <f t="shared" ref="CA10:CH10" si="1">$F$10*(CA7/1000)</f>
        <v>0.62745437664333803</v>
      </c>
      <c r="CB10" s="74">
        <f t="shared" si="1"/>
        <v>0.62745437664333803</v>
      </c>
      <c r="CC10" s="74">
        <f t="shared" si="1"/>
        <v>0.62745437664333803</v>
      </c>
      <c r="CD10" s="74">
        <f t="shared" si="1"/>
        <v>0.62600862923171741</v>
      </c>
      <c r="CE10" s="74">
        <f t="shared" si="1"/>
        <v>0.62600862923171741</v>
      </c>
      <c r="CF10" s="74">
        <f t="shared" si="1"/>
        <v>0.62167138699685565</v>
      </c>
      <c r="CG10" s="74">
        <f t="shared" si="1"/>
        <v>0.59564793358768497</v>
      </c>
      <c r="CH10" s="74">
        <f t="shared" si="1"/>
        <v>0.59564793358768497</v>
      </c>
      <c r="CI10" s="74">
        <f>$F$10*(CI7/1000)</f>
        <v>0.60547901598670495</v>
      </c>
      <c r="CJ10" s="74">
        <f>$F$10*(CJ7/1000)</f>
        <v>0.60547901598670495</v>
      </c>
      <c r="CK10" s="74">
        <f>$F$10*(CK7/1000)</f>
        <v>0.60547901598670495</v>
      </c>
      <c r="CL10" s="74">
        <f>$F$10*(CL7/1000)</f>
        <v>0.60432241805740849</v>
      </c>
      <c r="CM10" s="74">
        <f t="shared" ref="CM10:CS10" si="2">$F$10*(CM7/1000)</f>
        <v>0.60143092323416736</v>
      </c>
      <c r="CN10" s="74">
        <f t="shared" si="2"/>
        <v>0.61704499527966972</v>
      </c>
      <c r="CO10" s="74">
        <f t="shared" si="2"/>
        <v>0.61704499527966972</v>
      </c>
      <c r="CP10" s="74">
        <f t="shared" si="2"/>
        <v>0.61704499527966972</v>
      </c>
      <c r="CQ10" s="74">
        <f t="shared" si="2"/>
        <v>0.61704499527966972</v>
      </c>
      <c r="CR10" s="74">
        <f t="shared" si="2"/>
        <v>0.61704499527966972</v>
      </c>
      <c r="CS10" s="74">
        <f t="shared" si="2"/>
        <v>0.62167138699685565</v>
      </c>
      <c r="CT10" s="74">
        <f t="shared" ref="CT10:EM10" si="3">$F$10*(CT7/1000)</f>
        <v>0.62167138699685565</v>
      </c>
      <c r="CU10" s="74">
        <f t="shared" si="3"/>
        <v>0.62167138699685565</v>
      </c>
      <c r="CV10" s="74">
        <f t="shared" si="3"/>
        <v>0.62167138699685565</v>
      </c>
      <c r="CW10" s="74">
        <f t="shared" si="3"/>
        <v>0.62167138699685565</v>
      </c>
      <c r="CX10" s="74">
        <f t="shared" si="3"/>
        <v>0.60432241805740849</v>
      </c>
      <c r="CY10" s="74">
        <f t="shared" si="3"/>
        <v>0.59275643876444373</v>
      </c>
      <c r="CZ10" s="74">
        <f t="shared" si="3"/>
        <v>0.59275643876444373</v>
      </c>
      <c r="DA10" s="74">
        <f t="shared" si="3"/>
        <v>0.59275643876444373</v>
      </c>
      <c r="DB10" s="74">
        <f t="shared" si="3"/>
        <v>0.59275643876444373</v>
      </c>
      <c r="DC10" s="74">
        <f t="shared" si="3"/>
        <v>0.57251597500175544</v>
      </c>
      <c r="DD10" s="74">
        <f t="shared" si="3"/>
        <v>0.54360102676934352</v>
      </c>
      <c r="DE10" s="74">
        <f t="shared" si="3"/>
        <v>0.54360102676934352</v>
      </c>
      <c r="DF10" s="74">
        <f t="shared" si="3"/>
        <v>0.54360102676934352</v>
      </c>
      <c r="DG10" s="74">
        <f t="shared" si="3"/>
        <v>0.54360102676934352</v>
      </c>
      <c r="DH10" s="74">
        <f t="shared" si="3"/>
        <v>0.54360102676934352</v>
      </c>
      <c r="DI10" s="74">
        <f t="shared" si="3"/>
        <v>0.5204690681834141</v>
      </c>
      <c r="DJ10" s="74">
        <f t="shared" si="3"/>
        <v>0.52625205782989648</v>
      </c>
      <c r="DK10" s="74">
        <f t="shared" si="3"/>
        <v>0.52625205782989648</v>
      </c>
      <c r="DL10" s="74">
        <f t="shared" si="3"/>
        <v>0.52336056300665523</v>
      </c>
      <c r="DM10" s="74">
        <f t="shared" si="3"/>
        <v>0.52336056300665523</v>
      </c>
      <c r="DN10" s="74">
        <f t="shared" si="3"/>
        <v>0.5002286044207257</v>
      </c>
      <c r="DO10" s="74">
        <f t="shared" si="3"/>
        <v>0.5002286044207257</v>
      </c>
      <c r="DP10" s="74">
        <f t="shared" si="3"/>
        <v>0.5002286044207257</v>
      </c>
      <c r="DQ10" s="74">
        <f t="shared" si="3"/>
        <v>0.50312009924396695</v>
      </c>
      <c r="DR10" s="74">
        <f t="shared" si="3"/>
        <v>0.49444561477424331</v>
      </c>
      <c r="DS10" s="74">
        <f t="shared" si="3"/>
        <v>0.49155411995100212</v>
      </c>
      <c r="DT10" s="74">
        <f t="shared" si="3"/>
        <v>0</v>
      </c>
      <c r="DU10" s="74">
        <f t="shared" si="3"/>
        <v>0</v>
      </c>
      <c r="DV10" s="74">
        <f t="shared" si="3"/>
        <v>0</v>
      </c>
      <c r="DW10" s="74">
        <f t="shared" si="3"/>
        <v>0</v>
      </c>
      <c r="DX10" s="74">
        <f t="shared" si="3"/>
        <v>0</v>
      </c>
      <c r="DY10" s="74">
        <f t="shared" si="3"/>
        <v>0</v>
      </c>
      <c r="DZ10" s="74">
        <f t="shared" si="3"/>
        <v>0</v>
      </c>
      <c r="EA10" s="74">
        <f t="shared" si="3"/>
        <v>0</v>
      </c>
      <c r="EB10" s="74">
        <f t="shared" si="3"/>
        <v>0</v>
      </c>
      <c r="EC10" s="74">
        <f t="shared" si="3"/>
        <v>0</v>
      </c>
      <c r="ED10" s="74">
        <f t="shared" si="3"/>
        <v>0</v>
      </c>
      <c r="EE10" s="74">
        <f t="shared" si="3"/>
        <v>0</v>
      </c>
      <c r="EF10" s="74">
        <f t="shared" si="3"/>
        <v>0</v>
      </c>
      <c r="EG10" s="74">
        <f t="shared" si="3"/>
        <v>0</v>
      </c>
      <c r="EH10" s="74">
        <f t="shared" si="3"/>
        <v>0</v>
      </c>
      <c r="EI10" s="74">
        <f t="shared" si="3"/>
        <v>0</v>
      </c>
      <c r="EJ10" s="74">
        <f t="shared" si="3"/>
        <v>0</v>
      </c>
      <c r="EK10" s="74">
        <f t="shared" si="3"/>
        <v>0</v>
      </c>
      <c r="EL10" s="74">
        <f t="shared" si="3"/>
        <v>0</v>
      </c>
      <c r="EM10" s="74">
        <f t="shared" si="3"/>
        <v>0</v>
      </c>
    </row>
    <row r="11" spans="1:144">
      <c r="A11" s="67"/>
      <c r="D11" s="65"/>
      <c r="F11" s="65"/>
      <c r="I11" s="74"/>
      <c r="J11" s="74"/>
      <c r="K11" s="74"/>
      <c r="L11" s="74"/>
      <c r="M11" s="74"/>
      <c r="N11" s="74"/>
      <c r="O11" s="74"/>
      <c r="P11" s="74"/>
      <c r="Q11" s="74"/>
      <c r="R11" s="74"/>
      <c r="S11" s="74"/>
      <c r="T11" s="74"/>
      <c r="U11" s="74"/>
      <c r="V11" s="74"/>
      <c r="W11" s="74"/>
      <c r="X11" s="74"/>
      <c r="Y11" s="74"/>
      <c r="Z11" s="74"/>
      <c r="AA11" s="74"/>
      <c r="AB11" s="74"/>
      <c r="AC11" s="74"/>
      <c r="AD11" s="74"/>
      <c r="AE11" s="74"/>
      <c r="AF11" s="74"/>
      <c r="AG11" s="74"/>
      <c r="AH11" s="74"/>
      <c r="AI11" s="74"/>
      <c r="AJ11" s="74"/>
      <c r="AK11" s="74"/>
      <c r="AL11" s="74"/>
      <c r="AM11" s="74"/>
      <c r="AN11" s="74"/>
      <c r="AO11" s="74"/>
      <c r="AP11" s="74"/>
      <c r="AQ11" s="74"/>
      <c r="AR11" s="74"/>
      <c r="AS11" s="74"/>
      <c r="AT11" s="74"/>
      <c r="AU11" s="74"/>
      <c r="AV11" s="74"/>
      <c r="AW11" s="74"/>
      <c r="AX11" s="74"/>
      <c r="AY11" s="74"/>
      <c r="AZ11" s="74"/>
      <c r="BA11" s="74"/>
      <c r="BB11" s="74"/>
      <c r="BC11" s="74"/>
      <c r="BD11" s="74"/>
      <c r="BE11" s="74"/>
      <c r="BF11" s="74"/>
      <c r="BG11" s="74"/>
      <c r="BH11" s="74"/>
      <c r="BI11" s="74"/>
      <c r="BJ11" s="74"/>
      <c r="BK11" s="74"/>
      <c r="BL11" s="74"/>
      <c r="BM11" s="74"/>
      <c r="BN11" s="74"/>
      <c r="BO11" s="74"/>
      <c r="BP11" s="74"/>
      <c r="BQ11" s="74"/>
      <c r="BR11" s="74"/>
      <c r="BS11" s="74"/>
      <c r="BT11" s="74"/>
      <c r="BU11" s="74"/>
      <c r="BV11" s="74"/>
      <c r="BW11" s="74"/>
      <c r="BX11" s="74"/>
      <c r="BY11" s="74"/>
      <c r="BZ11" s="74"/>
      <c r="CA11" s="74"/>
      <c r="CB11" s="74"/>
      <c r="CC11" s="74"/>
      <c r="CD11" s="74"/>
      <c r="CE11" s="74"/>
      <c r="CF11" s="74"/>
      <c r="CG11" s="74"/>
      <c r="CH11" s="74"/>
      <c r="CI11" s="74"/>
      <c r="CJ11" s="74"/>
      <c r="CK11" s="74"/>
      <c r="CL11" s="74"/>
      <c r="CM11" s="74"/>
      <c r="CN11" s="74"/>
      <c r="CO11" s="74"/>
      <c r="CP11" s="74"/>
      <c r="CQ11" s="74"/>
      <c r="CR11" s="74"/>
      <c r="CS11" s="74"/>
      <c r="CT11" s="74"/>
      <c r="CU11" s="74"/>
      <c r="CV11" s="74"/>
      <c r="CW11" s="74"/>
      <c r="CX11" s="74"/>
      <c r="CY11" s="74"/>
      <c r="CZ11" s="74"/>
      <c r="DA11" s="74"/>
      <c r="DB11" s="74"/>
      <c r="DC11" s="74"/>
      <c r="DD11" s="74"/>
      <c r="DE11" s="74"/>
      <c r="DF11" s="74"/>
      <c r="DG11" s="74"/>
      <c r="DH11" s="74"/>
      <c r="DI11" s="74"/>
      <c r="DJ11" s="74"/>
      <c r="DK11" s="74"/>
      <c r="DL11" s="74"/>
      <c r="DM11" s="74"/>
      <c r="DN11" s="74"/>
      <c r="DO11" s="74"/>
      <c r="DP11" s="74"/>
      <c r="DQ11" s="74"/>
      <c r="DR11" s="74"/>
      <c r="DS11" s="74"/>
      <c r="DT11" s="74"/>
      <c r="DU11" s="74"/>
      <c r="DV11" s="74"/>
      <c r="DW11" s="74"/>
      <c r="DX11" s="74"/>
      <c r="DY11" s="74"/>
      <c r="DZ11" s="74"/>
      <c r="EA11" s="74"/>
      <c r="EB11" s="74"/>
      <c r="EC11" s="74"/>
      <c r="ED11" s="74"/>
      <c r="EE11" s="74"/>
      <c r="EF11" s="74"/>
      <c r="EG11" s="74"/>
      <c r="EH11" s="74"/>
      <c r="EI11" s="74"/>
      <c r="EJ11" s="74"/>
      <c r="EK11" s="74"/>
      <c r="EL11" s="74"/>
      <c r="EM11" s="74"/>
    </row>
    <row r="12" spans="1:144" s="104" customFormat="1">
      <c r="A12" s="104" t="s">
        <v>400</v>
      </c>
      <c r="H12" s="60"/>
      <c r="I12" s="105">
        <f>SUM(I10:I11)</f>
        <v>0.39989373405425643</v>
      </c>
      <c r="J12" s="105">
        <f t="shared" ref="J12:BU12" si="4">SUM(J10:J11)</f>
        <v>0.38529168519688844</v>
      </c>
      <c r="K12" s="105">
        <f t="shared" si="4"/>
        <v>0.37589432702135461</v>
      </c>
      <c r="L12" s="105">
        <f t="shared" si="4"/>
        <v>0.34871427568288738</v>
      </c>
      <c r="M12" s="105">
        <f t="shared" si="4"/>
        <v>0.34842512620056332</v>
      </c>
      <c r="N12" s="105">
        <f t="shared" si="4"/>
        <v>0.3542081158470457</v>
      </c>
      <c r="O12" s="105">
        <f t="shared" si="4"/>
        <v>0.36259345083444511</v>
      </c>
      <c r="P12" s="105">
        <f t="shared" si="4"/>
        <v>0.35709961067028689</v>
      </c>
      <c r="Q12" s="105">
        <f t="shared" si="4"/>
        <v>0.36938846366906192</v>
      </c>
      <c r="R12" s="105">
        <f t="shared" si="4"/>
        <v>0.40249607939517351</v>
      </c>
      <c r="S12" s="105">
        <f t="shared" si="4"/>
        <v>0.53998665824029202</v>
      </c>
      <c r="T12" s="105">
        <f t="shared" si="4"/>
        <v>0.62384000811428664</v>
      </c>
      <c r="U12" s="105">
        <f t="shared" si="4"/>
        <v>0.71636784245800467</v>
      </c>
      <c r="V12" s="105">
        <f t="shared" si="4"/>
        <v>0.79226958156808591</v>
      </c>
      <c r="W12" s="105">
        <f t="shared" si="4"/>
        <v>1.077081821657343</v>
      </c>
      <c r="X12" s="105">
        <f t="shared" si="4"/>
        <v>0.95708478649283357</v>
      </c>
      <c r="Y12" s="105">
        <f t="shared" si="4"/>
        <v>1.0373237678377765</v>
      </c>
      <c r="Z12" s="105">
        <f t="shared" si="4"/>
        <v>1.0662387160701885</v>
      </c>
      <c r="AA12" s="105">
        <f t="shared" si="4"/>
        <v>1.087202053538687</v>
      </c>
      <c r="AB12" s="105">
        <f t="shared" si="4"/>
        <v>1.1276829810640638</v>
      </c>
      <c r="AC12" s="105">
        <f t="shared" si="4"/>
        <v>1.1218999914175813</v>
      </c>
      <c r="AD12" s="105">
        <f t="shared" si="4"/>
        <v>1.0120231881344162</v>
      </c>
      <c r="AE12" s="105">
        <f t="shared" si="4"/>
        <v>0.96142202872769544</v>
      </c>
      <c r="AF12" s="105">
        <f t="shared" si="4"/>
        <v>0.79299245527389617</v>
      </c>
      <c r="AG12" s="105">
        <f t="shared" si="4"/>
        <v>0.73733117992650321</v>
      </c>
      <c r="AH12" s="105">
        <f t="shared" si="4"/>
        <v>0.78793233933322404</v>
      </c>
      <c r="AI12" s="105">
        <f t="shared" si="4"/>
        <v>0.85009947803290964</v>
      </c>
      <c r="AJ12" s="105">
        <f t="shared" si="4"/>
        <v>0.84576223579804777</v>
      </c>
      <c r="AK12" s="105">
        <f t="shared" si="4"/>
        <v>0.86021970991425378</v>
      </c>
      <c r="AL12" s="105">
        <f t="shared" si="4"/>
        <v>0.82002793187120115</v>
      </c>
      <c r="AM12" s="105">
        <f t="shared" si="4"/>
        <v>0.64697196670021606</v>
      </c>
      <c r="AN12" s="105">
        <f t="shared" si="4"/>
        <v>0.55661275347392891</v>
      </c>
      <c r="AO12" s="105">
        <f t="shared" si="4"/>
        <v>0.54013123298145416</v>
      </c>
      <c r="AP12" s="105">
        <f t="shared" si="4"/>
        <v>0.5493840164158259</v>
      </c>
      <c r="AQ12" s="105">
        <f t="shared" si="4"/>
        <v>0.5493840164158259</v>
      </c>
      <c r="AR12" s="105">
        <f t="shared" si="4"/>
        <v>0.54070953194610238</v>
      </c>
      <c r="AS12" s="105">
        <f t="shared" si="4"/>
        <v>0.56384149053203192</v>
      </c>
      <c r="AT12" s="105">
        <f t="shared" si="4"/>
        <v>0.58119045947147896</v>
      </c>
      <c r="AU12" s="105">
        <f t="shared" si="4"/>
        <v>0.56384149053203192</v>
      </c>
      <c r="AV12" s="105">
        <f t="shared" si="4"/>
        <v>0.56673298535527306</v>
      </c>
      <c r="AW12" s="105">
        <f t="shared" si="4"/>
        <v>0.56384149053203192</v>
      </c>
      <c r="AX12" s="105">
        <f t="shared" si="4"/>
        <v>0.5204690681834141</v>
      </c>
      <c r="AY12" s="105">
        <f t="shared" si="4"/>
        <v>0.50890308889044933</v>
      </c>
      <c r="AZ12" s="105">
        <f t="shared" si="4"/>
        <v>0.50312009924396695</v>
      </c>
      <c r="BA12" s="105">
        <f t="shared" si="4"/>
        <v>0.50312009924396695</v>
      </c>
      <c r="BB12" s="105">
        <f t="shared" si="4"/>
        <v>0.50312009924396695</v>
      </c>
      <c r="BC12" s="105">
        <f t="shared" si="4"/>
        <v>0.51468607853693171</v>
      </c>
      <c r="BD12" s="105">
        <f t="shared" si="4"/>
        <v>0.5204690681834141</v>
      </c>
      <c r="BE12" s="105">
        <f t="shared" si="4"/>
        <v>0.5204690681834141</v>
      </c>
      <c r="BF12" s="105">
        <f t="shared" si="4"/>
        <v>0.5204690681834141</v>
      </c>
      <c r="BG12" s="105">
        <f t="shared" si="4"/>
        <v>0.60721391288064974</v>
      </c>
      <c r="BH12" s="105">
        <f t="shared" si="4"/>
        <v>0.60721391288064974</v>
      </c>
      <c r="BI12" s="105">
        <f t="shared" si="4"/>
        <v>0.60721391288064974</v>
      </c>
      <c r="BJ12" s="105">
        <f t="shared" si="4"/>
        <v>0.60721391288064974</v>
      </c>
      <c r="BK12" s="105">
        <f t="shared" si="4"/>
        <v>0.60721391288064974</v>
      </c>
      <c r="BL12" s="105">
        <f t="shared" si="4"/>
        <v>0.62167138699685565</v>
      </c>
      <c r="BM12" s="105">
        <f t="shared" si="4"/>
        <v>0.60721391288064974</v>
      </c>
      <c r="BN12" s="105">
        <f t="shared" si="4"/>
        <v>0.57829896464823782</v>
      </c>
      <c r="BO12" s="105">
        <f t="shared" si="4"/>
        <v>0.56384149053203192</v>
      </c>
      <c r="BP12" s="105">
        <f t="shared" si="4"/>
        <v>0.56384149053203192</v>
      </c>
      <c r="BQ12" s="105">
        <f t="shared" si="4"/>
        <v>0.56384149053203192</v>
      </c>
      <c r="BR12" s="105">
        <f t="shared" si="4"/>
        <v>0.56384149053203192</v>
      </c>
      <c r="BS12" s="105">
        <f t="shared" si="4"/>
        <v>0.56384149053203192</v>
      </c>
      <c r="BT12" s="105">
        <f t="shared" si="4"/>
        <v>0.56384149053203192</v>
      </c>
      <c r="BU12" s="105">
        <f t="shared" si="4"/>
        <v>0.57829896464823782</v>
      </c>
      <c r="BV12" s="105">
        <f>SUM(BV10:BV11)</f>
        <v>0.57829896464823782</v>
      </c>
      <c r="BW12" s="105">
        <f>SUM(BW10:BW11)</f>
        <v>0.61588839735037326</v>
      </c>
      <c r="BX12" s="105">
        <f>SUM(BX10:BX11)</f>
        <v>0.62745437664333803</v>
      </c>
      <c r="BY12" s="105">
        <f>SUM(BY10:BY11)</f>
        <v>0.62745437664333803</v>
      </c>
      <c r="BZ12" s="105">
        <f>SUM(BZ10:BZ11)</f>
        <v>0.62745437664333803</v>
      </c>
      <c r="CA12" s="105">
        <f t="shared" ref="CA12:CH12" si="5">SUM(CA10:CA11)</f>
        <v>0.62745437664333803</v>
      </c>
      <c r="CB12" s="105">
        <f t="shared" si="5"/>
        <v>0.62745437664333803</v>
      </c>
      <c r="CC12" s="105">
        <f t="shared" si="5"/>
        <v>0.62745437664333803</v>
      </c>
      <c r="CD12" s="105">
        <f t="shared" si="5"/>
        <v>0.62600862923171741</v>
      </c>
      <c r="CE12" s="105">
        <f t="shared" si="5"/>
        <v>0.62600862923171741</v>
      </c>
      <c r="CF12" s="105">
        <f t="shared" si="5"/>
        <v>0.62167138699685565</v>
      </c>
      <c r="CG12" s="105">
        <f t="shared" si="5"/>
        <v>0.59564793358768497</v>
      </c>
      <c r="CH12" s="105">
        <f t="shared" si="5"/>
        <v>0.59564793358768497</v>
      </c>
      <c r="CI12" s="105">
        <f>SUM(CI10:CI11)</f>
        <v>0.60547901598670495</v>
      </c>
      <c r="CJ12" s="105">
        <f>SUM(CJ10:CJ11)</f>
        <v>0.60547901598670495</v>
      </c>
      <c r="CK12" s="105">
        <f>SUM(CK10:CK11)</f>
        <v>0.60547901598670495</v>
      </c>
      <c r="CL12" s="105">
        <f>SUM(CL10:CL11)</f>
        <v>0.60432241805740849</v>
      </c>
      <c r="CM12" s="105">
        <f t="shared" ref="CM12:CS12" si="6">SUM(CM10:CM11)</f>
        <v>0.60143092323416736</v>
      </c>
      <c r="CN12" s="105">
        <f t="shared" si="6"/>
        <v>0.61704499527966972</v>
      </c>
      <c r="CO12" s="105">
        <f t="shared" si="6"/>
        <v>0.61704499527966972</v>
      </c>
      <c r="CP12" s="105">
        <f t="shared" si="6"/>
        <v>0.61704499527966972</v>
      </c>
      <c r="CQ12" s="105">
        <f t="shared" si="6"/>
        <v>0.61704499527966972</v>
      </c>
      <c r="CR12" s="105">
        <f t="shared" si="6"/>
        <v>0.61704499527966972</v>
      </c>
      <c r="CS12" s="105">
        <f t="shared" si="6"/>
        <v>0.62167138699685565</v>
      </c>
      <c r="CT12" s="105">
        <f t="shared" ref="CT12:EM12" si="7">SUM(CT10:CT11)</f>
        <v>0.62167138699685565</v>
      </c>
      <c r="CU12" s="105">
        <f t="shared" si="7"/>
        <v>0.62167138699685565</v>
      </c>
      <c r="CV12" s="105">
        <f t="shared" si="7"/>
        <v>0.62167138699685565</v>
      </c>
      <c r="CW12" s="105">
        <f t="shared" si="7"/>
        <v>0.62167138699685565</v>
      </c>
      <c r="CX12" s="105">
        <f t="shared" si="7"/>
        <v>0.60432241805740849</v>
      </c>
      <c r="CY12" s="105">
        <f t="shared" si="7"/>
        <v>0.59275643876444373</v>
      </c>
      <c r="CZ12" s="105">
        <f t="shared" si="7"/>
        <v>0.59275643876444373</v>
      </c>
      <c r="DA12" s="105">
        <f t="shared" si="7"/>
        <v>0.59275643876444373</v>
      </c>
      <c r="DB12" s="105">
        <f t="shared" si="7"/>
        <v>0.59275643876444373</v>
      </c>
      <c r="DC12" s="105">
        <f t="shared" si="7"/>
        <v>0.57251597500175544</v>
      </c>
      <c r="DD12" s="105">
        <f t="shared" si="7"/>
        <v>0.54360102676934352</v>
      </c>
      <c r="DE12" s="105">
        <f t="shared" si="7"/>
        <v>0.54360102676934352</v>
      </c>
      <c r="DF12" s="105">
        <f t="shared" si="7"/>
        <v>0.54360102676934352</v>
      </c>
      <c r="DG12" s="105">
        <f t="shared" si="7"/>
        <v>0.54360102676934352</v>
      </c>
      <c r="DH12" s="105">
        <f t="shared" si="7"/>
        <v>0.54360102676934352</v>
      </c>
      <c r="DI12" s="105">
        <f t="shared" si="7"/>
        <v>0.5204690681834141</v>
      </c>
      <c r="DJ12" s="105">
        <f t="shared" si="7"/>
        <v>0.52625205782989648</v>
      </c>
      <c r="DK12" s="105">
        <f t="shared" si="7"/>
        <v>0.52625205782989648</v>
      </c>
      <c r="DL12" s="105">
        <f t="shared" si="7"/>
        <v>0.52336056300665523</v>
      </c>
      <c r="DM12" s="105">
        <f t="shared" si="7"/>
        <v>0.52336056300665523</v>
      </c>
      <c r="DN12" s="105">
        <f t="shared" si="7"/>
        <v>0.5002286044207257</v>
      </c>
      <c r="DO12" s="105">
        <f t="shared" si="7"/>
        <v>0.5002286044207257</v>
      </c>
      <c r="DP12" s="105">
        <f t="shared" si="7"/>
        <v>0.5002286044207257</v>
      </c>
      <c r="DQ12" s="105">
        <f t="shared" si="7"/>
        <v>0.50312009924396695</v>
      </c>
      <c r="DR12" s="105">
        <f t="shared" si="7"/>
        <v>0.49444561477424331</v>
      </c>
      <c r="DS12" s="105">
        <f t="shared" si="7"/>
        <v>0.49155411995100212</v>
      </c>
      <c r="DT12" s="105">
        <f t="shared" si="7"/>
        <v>0</v>
      </c>
      <c r="DU12" s="105">
        <f t="shared" si="7"/>
        <v>0</v>
      </c>
      <c r="DV12" s="105">
        <f t="shared" si="7"/>
        <v>0</v>
      </c>
      <c r="DW12" s="105">
        <f t="shared" si="7"/>
        <v>0</v>
      </c>
      <c r="DX12" s="105">
        <f t="shared" si="7"/>
        <v>0</v>
      </c>
      <c r="DY12" s="105">
        <f t="shared" si="7"/>
        <v>0</v>
      </c>
      <c r="DZ12" s="105">
        <f t="shared" si="7"/>
        <v>0</v>
      </c>
      <c r="EA12" s="105">
        <f t="shared" si="7"/>
        <v>0</v>
      </c>
      <c r="EB12" s="105">
        <f t="shared" si="7"/>
        <v>0</v>
      </c>
      <c r="EC12" s="105">
        <f t="shared" si="7"/>
        <v>0</v>
      </c>
      <c r="ED12" s="105">
        <f t="shared" si="7"/>
        <v>0</v>
      </c>
      <c r="EE12" s="105">
        <f t="shared" si="7"/>
        <v>0</v>
      </c>
      <c r="EF12" s="105">
        <f t="shared" si="7"/>
        <v>0</v>
      </c>
      <c r="EG12" s="105">
        <f t="shared" si="7"/>
        <v>0</v>
      </c>
      <c r="EH12" s="105">
        <f t="shared" si="7"/>
        <v>0</v>
      </c>
      <c r="EI12" s="105">
        <f t="shared" si="7"/>
        <v>0</v>
      </c>
      <c r="EJ12" s="105">
        <f t="shared" si="7"/>
        <v>0</v>
      </c>
      <c r="EK12" s="105">
        <f t="shared" si="7"/>
        <v>0</v>
      </c>
      <c r="EL12" s="105">
        <f t="shared" si="7"/>
        <v>0</v>
      </c>
      <c r="EM12" s="105">
        <f t="shared" si="7"/>
        <v>0</v>
      </c>
    </row>
    <row r="13" spans="1:144">
      <c r="I13" s="74"/>
      <c r="J13" s="74"/>
      <c r="K13" s="74"/>
      <c r="L13" s="74"/>
      <c r="M13" s="74"/>
      <c r="N13" s="74"/>
      <c r="O13" s="74"/>
      <c r="P13" s="70"/>
      <c r="Q13" s="74"/>
      <c r="R13" s="74"/>
      <c r="S13" s="74"/>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Y13" s="74"/>
      <c r="BD13" s="65"/>
      <c r="BL13" s="65"/>
      <c r="BR13" s="65"/>
    </row>
    <row r="14" spans="1:144" s="64" customFormat="1">
      <c r="H14" s="114" t="s">
        <v>763</v>
      </c>
      <c r="I14" s="74"/>
      <c r="J14" s="74"/>
      <c r="K14" s="74"/>
      <c r="L14" s="74"/>
      <c r="M14" s="74"/>
      <c r="N14" s="74"/>
      <c r="O14" s="74"/>
      <c r="P14" s="74"/>
      <c r="Q14" s="74"/>
      <c r="R14" s="74"/>
      <c r="S14" s="74"/>
      <c r="T14" s="74"/>
      <c r="U14" s="74"/>
      <c r="V14" s="74"/>
      <c r="W14" s="74">
        <f>270/74</f>
        <v>3.6486486486486487</v>
      </c>
      <c r="X14" s="74"/>
      <c r="Y14" s="74">
        <f>230/74</f>
        <v>3.1081081081081079</v>
      </c>
      <c r="Z14" s="74">
        <f>212/73</f>
        <v>2.904109589041096</v>
      </c>
      <c r="AA14" s="74">
        <f>245/74</f>
        <v>3.310810810810811</v>
      </c>
      <c r="AB14" s="74"/>
      <c r="AC14" s="74"/>
      <c r="AD14" s="74"/>
      <c r="AE14" s="74"/>
      <c r="AF14" s="74"/>
      <c r="AG14" s="74"/>
      <c r="AH14" s="74"/>
      <c r="AI14" s="74"/>
      <c r="AJ14" s="74">
        <f>197/82</f>
        <v>2.4024390243902438</v>
      </c>
      <c r="AK14" s="74"/>
      <c r="AL14" s="74">
        <f>186/82</f>
        <v>2.2682926829268291</v>
      </c>
      <c r="AM14" s="74">
        <f>160/82</f>
        <v>1.9512195121951219</v>
      </c>
      <c r="AN14" s="74"/>
      <c r="AO14" s="74">
        <f>135/82</f>
        <v>1.6463414634146341</v>
      </c>
      <c r="AP14" s="74"/>
      <c r="AQ14" s="74"/>
      <c r="AR14" s="74">
        <f>115/82</f>
        <v>1.4024390243902438</v>
      </c>
      <c r="AS14" s="74"/>
      <c r="AT14" s="74"/>
      <c r="AU14" s="74"/>
      <c r="AW14" s="74"/>
      <c r="AX14" s="74">
        <f>90/83</f>
        <v>1.0843373493975903</v>
      </c>
      <c r="AY14" s="74"/>
      <c r="BA14" s="74">
        <f>115/83</f>
        <v>1.3855421686746987</v>
      </c>
      <c r="BD14" s="74"/>
      <c r="BL14" s="74"/>
      <c r="BQ14" s="74"/>
      <c r="CG14" s="247">
        <f>142/83</f>
        <v>1.7108433734939759</v>
      </c>
    </row>
    <row r="15" spans="1:144">
      <c r="H15" s="60" t="s">
        <v>764</v>
      </c>
      <c r="P15" s="74"/>
      <c r="W15" s="74">
        <f>W14-W12</f>
        <v>2.5715668269913055</v>
      </c>
      <c r="Y15" s="74">
        <f>Y14-Y12</f>
        <v>2.0707843402703316</v>
      </c>
      <c r="Z15" s="74">
        <f>Z14-Z12</f>
        <v>1.8378708729709075</v>
      </c>
      <c r="AA15" s="74">
        <f>AA14-AA12</f>
        <v>2.2236087572721237</v>
      </c>
      <c r="AC15" s="74"/>
      <c r="AE15" s="74"/>
      <c r="AJ15" s="74">
        <f>AJ14-AJ12</f>
        <v>1.5566767885921959</v>
      </c>
      <c r="AL15" s="74">
        <f>AL14-AL12</f>
        <v>1.4482647510556279</v>
      </c>
      <c r="AM15" s="74">
        <f>AM14-AM12</f>
        <v>1.3042475454949058</v>
      </c>
      <c r="AO15" s="74">
        <f>AO14-AO12</f>
        <v>1.10621023043318</v>
      </c>
      <c r="AQ15" s="74"/>
      <c r="AR15" s="74">
        <f>AR14-AR12</f>
        <v>0.86172949244414143</v>
      </c>
      <c r="AT15" s="74"/>
      <c r="AX15" s="74">
        <f>AX14-AX12</f>
        <v>0.5638682812141762</v>
      </c>
      <c r="BA15" s="74">
        <f>BA14-BA12</f>
        <v>0.88242206943073176</v>
      </c>
      <c r="BM15" s="74"/>
      <c r="CG15" s="74">
        <f>CG14-CG12</f>
        <v>1.1151954399062909</v>
      </c>
    </row>
    <row r="16" spans="1:144" ht="13" thickBot="1"/>
    <row r="17" spans="2:143" ht="13" thickBot="1">
      <c r="D17" s="259"/>
      <c r="H17" s="106" t="s">
        <v>407</v>
      </c>
      <c r="I17" s="109">
        <f>I12+0.56</f>
        <v>0.95989373405425649</v>
      </c>
      <c r="J17" s="109">
        <f t="shared" ref="J17:BU17" si="8">J12+0.56</f>
        <v>0.94529168519688844</v>
      </c>
      <c r="K17" s="109">
        <f t="shared" si="8"/>
        <v>0.93589432702135467</v>
      </c>
      <c r="L17" s="109">
        <f t="shared" si="8"/>
        <v>0.90871427568288743</v>
      </c>
      <c r="M17" s="109">
        <f t="shared" si="8"/>
        <v>0.90842512620056337</v>
      </c>
      <c r="N17" s="109">
        <f t="shared" si="8"/>
        <v>0.91420811584704575</v>
      </c>
      <c r="O17" s="109">
        <f t="shared" si="8"/>
        <v>0.92259345083444511</v>
      </c>
      <c r="P17" s="109">
        <f t="shared" si="8"/>
        <v>0.91709961067028689</v>
      </c>
      <c r="Q17" s="109">
        <f t="shared" si="8"/>
        <v>0.92938846366906191</v>
      </c>
      <c r="R17" s="109">
        <f t="shared" si="8"/>
        <v>0.96249607939517356</v>
      </c>
      <c r="S17" s="109">
        <f t="shared" si="8"/>
        <v>1.099986658240292</v>
      </c>
      <c r="T17" s="109">
        <f t="shared" si="8"/>
        <v>1.1838400081142866</v>
      </c>
      <c r="U17" s="109">
        <f t="shared" si="8"/>
        <v>1.2763678424580047</v>
      </c>
      <c r="V17" s="109">
        <f t="shared" si="8"/>
        <v>1.3522695815680859</v>
      </c>
      <c r="W17" s="109">
        <f>W12+0.56</f>
        <v>1.6370818216573431</v>
      </c>
      <c r="X17" s="109">
        <f t="shared" si="8"/>
        <v>1.5170847864928336</v>
      </c>
      <c r="Y17" s="109">
        <f t="shared" si="8"/>
        <v>1.5973237678377765</v>
      </c>
      <c r="Z17" s="109">
        <f t="shared" si="8"/>
        <v>1.6262387160701886</v>
      </c>
      <c r="AA17" s="109">
        <f t="shared" si="8"/>
        <v>1.6472020535386871</v>
      </c>
      <c r="AB17" s="109">
        <f t="shared" si="8"/>
        <v>1.6876829810640639</v>
      </c>
      <c r="AC17" s="109">
        <f t="shared" si="8"/>
        <v>1.6818999914175814</v>
      </c>
      <c r="AD17" s="109">
        <f t="shared" si="8"/>
        <v>1.5720231881344162</v>
      </c>
      <c r="AE17" s="109">
        <f t="shared" si="8"/>
        <v>1.5214220287276956</v>
      </c>
      <c r="AF17" s="109">
        <f t="shared" si="8"/>
        <v>1.3529924552738963</v>
      </c>
      <c r="AG17" s="109">
        <f t="shared" si="8"/>
        <v>1.2973311799265033</v>
      </c>
      <c r="AH17" s="109">
        <f t="shared" si="8"/>
        <v>1.3479323393332241</v>
      </c>
      <c r="AI17" s="109">
        <f t="shared" si="8"/>
        <v>1.4100994780329097</v>
      </c>
      <c r="AJ17" s="109">
        <f t="shared" si="8"/>
        <v>1.4057622357980479</v>
      </c>
      <c r="AK17" s="109">
        <f t="shared" si="8"/>
        <v>1.4202197099142539</v>
      </c>
      <c r="AL17" s="109">
        <f t="shared" si="8"/>
        <v>1.3800279318712012</v>
      </c>
      <c r="AM17" s="109">
        <f t="shared" si="8"/>
        <v>1.2069719667002161</v>
      </c>
      <c r="AN17" s="109">
        <f t="shared" si="8"/>
        <v>1.116612753473929</v>
      </c>
      <c r="AO17" s="109">
        <f t="shared" si="8"/>
        <v>1.1001312329814543</v>
      </c>
      <c r="AP17" s="109">
        <f t="shared" si="8"/>
        <v>1.109384016415826</v>
      </c>
      <c r="AQ17" s="109">
        <f t="shared" si="8"/>
        <v>1.109384016415826</v>
      </c>
      <c r="AR17" s="109">
        <f t="shared" si="8"/>
        <v>1.1007095319461024</v>
      </c>
      <c r="AS17" s="109">
        <f t="shared" si="8"/>
        <v>1.123841490532032</v>
      </c>
      <c r="AT17" s="109">
        <f t="shared" si="8"/>
        <v>1.141190459471479</v>
      </c>
      <c r="AU17" s="109">
        <f t="shared" si="8"/>
        <v>1.123841490532032</v>
      </c>
      <c r="AV17" s="109">
        <f t="shared" si="8"/>
        <v>1.126732985355273</v>
      </c>
      <c r="AW17" s="109">
        <f t="shared" si="8"/>
        <v>1.123841490532032</v>
      </c>
      <c r="AX17" s="109">
        <f t="shared" si="8"/>
        <v>1.0804690681834141</v>
      </c>
      <c r="AY17" s="109">
        <f t="shared" si="8"/>
        <v>1.0689030888904494</v>
      </c>
      <c r="AZ17" s="109">
        <f t="shared" si="8"/>
        <v>1.0631200992439669</v>
      </c>
      <c r="BA17" s="109">
        <f t="shared" si="8"/>
        <v>1.0631200992439669</v>
      </c>
      <c r="BB17" s="109">
        <f t="shared" si="8"/>
        <v>1.0631200992439669</v>
      </c>
      <c r="BC17" s="109">
        <f t="shared" si="8"/>
        <v>1.0746860785369319</v>
      </c>
      <c r="BD17" s="109">
        <f t="shared" si="8"/>
        <v>1.0804690681834141</v>
      </c>
      <c r="BE17" s="109">
        <f t="shared" si="8"/>
        <v>1.0804690681834141</v>
      </c>
      <c r="BF17" s="109">
        <f t="shared" si="8"/>
        <v>1.0804690681834141</v>
      </c>
      <c r="BG17" s="109">
        <f t="shared" si="8"/>
        <v>1.1672139128806498</v>
      </c>
      <c r="BH17" s="109">
        <f t="shared" si="8"/>
        <v>1.1672139128806498</v>
      </c>
      <c r="BI17" s="109">
        <f t="shared" si="8"/>
        <v>1.1672139128806498</v>
      </c>
      <c r="BJ17" s="109">
        <f t="shared" si="8"/>
        <v>1.1672139128806498</v>
      </c>
      <c r="BK17" s="109">
        <f t="shared" si="8"/>
        <v>1.1672139128806498</v>
      </c>
      <c r="BL17" s="109">
        <f t="shared" si="8"/>
        <v>1.1816713869968556</v>
      </c>
      <c r="BM17" s="109">
        <f t="shared" si="8"/>
        <v>1.1672139128806498</v>
      </c>
      <c r="BN17" s="109">
        <f t="shared" si="8"/>
        <v>1.138298964648238</v>
      </c>
      <c r="BO17" s="109">
        <f t="shared" si="8"/>
        <v>1.123841490532032</v>
      </c>
      <c r="BP17" s="109">
        <f t="shared" si="8"/>
        <v>1.123841490532032</v>
      </c>
      <c r="BQ17" s="109">
        <f t="shared" si="8"/>
        <v>1.123841490532032</v>
      </c>
      <c r="BR17" s="109">
        <f t="shared" si="8"/>
        <v>1.123841490532032</v>
      </c>
      <c r="BS17" s="109">
        <f t="shared" si="8"/>
        <v>1.123841490532032</v>
      </c>
      <c r="BT17" s="109">
        <f t="shared" si="8"/>
        <v>1.123841490532032</v>
      </c>
      <c r="BU17" s="109">
        <f t="shared" si="8"/>
        <v>1.138298964648238</v>
      </c>
      <c r="BV17" s="109">
        <f t="shared" ref="BV17:CL17" si="9">BV12+0.56</f>
        <v>1.138298964648238</v>
      </c>
      <c r="BW17" s="109">
        <f t="shared" si="9"/>
        <v>1.1758883973503733</v>
      </c>
      <c r="BX17" s="109">
        <f t="shared" si="9"/>
        <v>1.1874543766433381</v>
      </c>
      <c r="BY17" s="109">
        <f t="shared" si="9"/>
        <v>1.1874543766433381</v>
      </c>
      <c r="BZ17" s="109">
        <f t="shared" si="9"/>
        <v>1.1874543766433381</v>
      </c>
      <c r="CA17" s="109">
        <f t="shared" si="9"/>
        <v>1.1874543766433381</v>
      </c>
      <c r="CB17" s="109">
        <f t="shared" si="9"/>
        <v>1.1874543766433381</v>
      </c>
      <c r="CC17" s="109">
        <f t="shared" si="9"/>
        <v>1.1874543766433381</v>
      </c>
      <c r="CD17" s="109">
        <f t="shared" si="9"/>
        <v>1.1860086292317176</v>
      </c>
      <c r="CE17" s="109">
        <f t="shared" si="9"/>
        <v>1.1860086292317176</v>
      </c>
      <c r="CF17" s="109">
        <f t="shared" si="9"/>
        <v>1.1816713869968556</v>
      </c>
      <c r="CG17" s="109">
        <f t="shared" si="9"/>
        <v>1.155647933587685</v>
      </c>
      <c r="CH17" s="109">
        <f t="shared" si="9"/>
        <v>1.155647933587685</v>
      </c>
      <c r="CI17" s="109">
        <f t="shared" si="9"/>
        <v>1.165479015986705</v>
      </c>
      <c r="CJ17" s="109">
        <f t="shared" si="9"/>
        <v>1.165479015986705</v>
      </c>
      <c r="CK17" s="109">
        <f t="shared" si="9"/>
        <v>1.165479015986705</v>
      </c>
      <c r="CL17" s="109">
        <f t="shared" si="9"/>
        <v>1.1643224180574085</v>
      </c>
      <c r="CM17" s="109">
        <f t="shared" ref="CM17:CS17" si="10">CM12+0.56</f>
        <v>1.1614309232341675</v>
      </c>
      <c r="CN17" s="109">
        <f t="shared" si="10"/>
        <v>1.1770449952796698</v>
      </c>
      <c r="CO17" s="109">
        <f t="shared" si="10"/>
        <v>1.1770449952796698</v>
      </c>
      <c r="CP17" s="109">
        <f t="shared" si="10"/>
        <v>1.1770449952796698</v>
      </c>
      <c r="CQ17" s="109">
        <f t="shared" si="10"/>
        <v>1.1770449952796698</v>
      </c>
      <c r="CR17" s="109">
        <f t="shared" si="10"/>
        <v>1.1770449952796698</v>
      </c>
      <c r="CS17" s="109">
        <f t="shared" si="10"/>
        <v>1.1816713869968556</v>
      </c>
      <c r="CT17" s="109">
        <f t="shared" ref="CT17:EM17" si="11">CT12+0.56</f>
        <v>1.1816713869968556</v>
      </c>
      <c r="CU17" s="109">
        <f t="shared" si="11"/>
        <v>1.1816713869968556</v>
      </c>
      <c r="CV17" s="109">
        <f t="shared" si="11"/>
        <v>1.1816713869968556</v>
      </c>
      <c r="CW17" s="109">
        <f t="shared" si="11"/>
        <v>1.1816713869968556</v>
      </c>
      <c r="CX17" s="109">
        <f t="shared" si="11"/>
        <v>1.1643224180574085</v>
      </c>
      <c r="CY17" s="109">
        <f t="shared" si="11"/>
        <v>1.1527564387644438</v>
      </c>
      <c r="CZ17" s="109">
        <f t="shared" si="11"/>
        <v>1.1527564387644438</v>
      </c>
      <c r="DA17" s="109">
        <f t="shared" si="11"/>
        <v>1.1527564387644438</v>
      </c>
      <c r="DB17" s="109">
        <f t="shared" si="11"/>
        <v>1.1527564387644438</v>
      </c>
      <c r="DC17" s="109">
        <f t="shared" si="11"/>
        <v>1.1325159750017555</v>
      </c>
      <c r="DD17" s="109">
        <f t="shared" si="11"/>
        <v>1.1036010267693435</v>
      </c>
      <c r="DE17" s="109">
        <f t="shared" si="11"/>
        <v>1.1036010267693435</v>
      </c>
      <c r="DF17" s="109">
        <f t="shared" si="11"/>
        <v>1.1036010267693435</v>
      </c>
      <c r="DG17" s="109">
        <f t="shared" si="11"/>
        <v>1.1036010267693435</v>
      </c>
      <c r="DH17" s="109">
        <f t="shared" si="11"/>
        <v>1.1036010267693435</v>
      </c>
      <c r="DI17" s="109">
        <f t="shared" si="11"/>
        <v>1.0804690681834141</v>
      </c>
      <c r="DJ17" s="109">
        <f t="shared" si="11"/>
        <v>1.0862520578298964</v>
      </c>
      <c r="DK17" s="109">
        <f t="shared" si="11"/>
        <v>1.0862520578298964</v>
      </c>
      <c r="DL17" s="109">
        <f t="shared" si="11"/>
        <v>1.0833605630066554</v>
      </c>
      <c r="DM17" s="109">
        <f t="shared" si="11"/>
        <v>1.0833605630066554</v>
      </c>
      <c r="DN17" s="109">
        <f t="shared" si="11"/>
        <v>1.0602286044207259</v>
      </c>
      <c r="DO17" s="109">
        <f t="shared" si="11"/>
        <v>1.0602286044207259</v>
      </c>
      <c r="DP17" s="109">
        <f t="shared" si="11"/>
        <v>1.0602286044207259</v>
      </c>
      <c r="DQ17" s="109">
        <f t="shared" si="11"/>
        <v>1.0631200992439669</v>
      </c>
      <c r="DR17" s="109">
        <f t="shared" si="11"/>
        <v>1.0544456147742434</v>
      </c>
      <c r="DS17" s="109">
        <f t="shared" si="11"/>
        <v>1.0515541199510021</v>
      </c>
      <c r="DT17" s="109">
        <f t="shared" si="11"/>
        <v>0.56000000000000005</v>
      </c>
      <c r="DU17" s="109">
        <f t="shared" si="11"/>
        <v>0.56000000000000005</v>
      </c>
      <c r="DV17" s="109">
        <f t="shared" si="11"/>
        <v>0.56000000000000005</v>
      </c>
      <c r="DW17" s="109">
        <f t="shared" si="11"/>
        <v>0.56000000000000005</v>
      </c>
      <c r="DX17" s="109">
        <f t="shared" si="11"/>
        <v>0.56000000000000005</v>
      </c>
      <c r="DY17" s="109">
        <f t="shared" si="11"/>
        <v>0.56000000000000005</v>
      </c>
      <c r="DZ17" s="109">
        <f t="shared" si="11"/>
        <v>0.56000000000000005</v>
      </c>
      <c r="EA17" s="109">
        <f t="shared" si="11"/>
        <v>0.56000000000000005</v>
      </c>
      <c r="EB17" s="109">
        <f t="shared" si="11"/>
        <v>0.56000000000000005</v>
      </c>
      <c r="EC17" s="109">
        <f t="shared" si="11"/>
        <v>0.56000000000000005</v>
      </c>
      <c r="ED17" s="109">
        <f t="shared" si="11"/>
        <v>0.56000000000000005</v>
      </c>
      <c r="EE17" s="109">
        <f t="shared" si="11"/>
        <v>0.56000000000000005</v>
      </c>
      <c r="EF17" s="109">
        <f t="shared" si="11"/>
        <v>0.56000000000000005</v>
      </c>
      <c r="EG17" s="109">
        <f t="shared" si="11"/>
        <v>0.56000000000000005</v>
      </c>
      <c r="EH17" s="109">
        <f t="shared" si="11"/>
        <v>0.56000000000000005</v>
      </c>
      <c r="EI17" s="109">
        <f t="shared" si="11"/>
        <v>0.56000000000000005</v>
      </c>
      <c r="EJ17" s="109">
        <f t="shared" si="11"/>
        <v>0.56000000000000005</v>
      </c>
      <c r="EK17" s="109">
        <f t="shared" si="11"/>
        <v>0.56000000000000005</v>
      </c>
      <c r="EL17" s="109">
        <f t="shared" si="11"/>
        <v>0.56000000000000005</v>
      </c>
      <c r="EM17" s="109">
        <f t="shared" si="11"/>
        <v>0.56000000000000005</v>
      </c>
    </row>
    <row r="19" spans="2:143">
      <c r="B19" s="65"/>
      <c r="BL19" s="65"/>
    </row>
    <row r="24" spans="2:143" ht="15">
      <c r="AR24" s="11"/>
    </row>
    <row r="25" spans="2:143" ht="15">
      <c r="AR25" s="11"/>
    </row>
    <row r="26" spans="2:143" ht="15">
      <c r="AR26" s="260"/>
    </row>
  </sheetData>
  <conditionalFormatting sqref="I14 AF14 AI14 AP14 AS14 Q14:V14 O14 K14:L14 AB14 X14">
    <cfRule type="top10" dxfId="3" priority="1" bottom="1" rank="1"/>
  </conditionalFormatting>
  <pageMargins left="0.7" right="0.7" top="0.75" bottom="0.75" header="0.3" footer="0.3"/>
  <pageSetup orientation="portrait" r:id="rId1"/>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FJ16"/>
  <sheetViews>
    <sheetView workbookViewId="0">
      <pane xSplit="11" ySplit="7" topLeftCell="AD8" activePane="bottomRight" state="frozen"/>
      <selection pane="topRight" activeCell="L1" sqref="L1"/>
      <selection pane="bottomLeft" activeCell="A7" sqref="A7"/>
      <selection pane="bottomRight" activeCell="I10" sqref="I10"/>
    </sheetView>
  </sheetViews>
  <sheetFormatPr baseColWidth="10" defaultColWidth="22.6640625" defaultRowHeight="12"/>
  <cols>
    <col min="1" max="1" width="13.33203125" style="60" bestFit="1" customWidth="1"/>
    <col min="2" max="2" width="11.33203125" style="60" bestFit="1" customWidth="1"/>
    <col min="3" max="3" width="4.83203125" style="60" bestFit="1" customWidth="1"/>
    <col min="4" max="4" width="12.33203125" style="60" bestFit="1" customWidth="1"/>
    <col min="5" max="5" width="11.83203125" style="60" bestFit="1" customWidth="1"/>
    <col min="6" max="6" width="6.5" style="60" bestFit="1" customWidth="1"/>
    <col min="7" max="7" width="4.1640625" style="60" bestFit="1" customWidth="1"/>
    <col min="8" max="8" width="22.83203125" style="60" bestFit="1" customWidth="1"/>
    <col min="9" max="10" width="5.5" style="60" bestFit="1" customWidth="1"/>
    <col min="11" max="11" width="5.6640625" style="60" bestFit="1" customWidth="1"/>
    <col min="12" max="12" width="5.5" style="60" bestFit="1" customWidth="1"/>
    <col min="13" max="13" width="5.83203125" style="60" bestFit="1" customWidth="1"/>
    <col min="14" max="18" width="5.5" style="60" bestFit="1" customWidth="1"/>
    <col min="19" max="19" width="5.6640625" style="60" bestFit="1" customWidth="1"/>
    <col min="20" max="22" width="5.5" style="60" bestFit="1" customWidth="1"/>
    <col min="23" max="23" width="5.6640625" style="60" bestFit="1" customWidth="1"/>
    <col min="24" max="24" width="5.5" style="60" bestFit="1" customWidth="1"/>
    <col min="25" max="25" width="5.83203125" style="60" bestFit="1" customWidth="1"/>
    <col min="26" max="30" width="5.5" style="60" bestFit="1" customWidth="1"/>
    <col min="31" max="31" width="5.6640625" style="60" bestFit="1" customWidth="1"/>
    <col min="32" max="34" width="5.5" style="60" bestFit="1" customWidth="1"/>
    <col min="35" max="35" width="5.6640625" style="60" bestFit="1" customWidth="1"/>
    <col min="36" max="36" width="5.5" style="60" bestFit="1" customWidth="1"/>
    <col min="37" max="37" width="5.83203125" style="60" bestFit="1" customWidth="1"/>
    <col min="38" max="42" width="5.5" style="60" bestFit="1" customWidth="1"/>
    <col min="43" max="43" width="5.6640625" style="60" bestFit="1" customWidth="1"/>
    <col min="44" max="46" width="5.5" style="60" bestFit="1" customWidth="1"/>
    <col min="47" max="47" width="5.6640625" style="60" bestFit="1" customWidth="1"/>
    <col min="48" max="48" width="5.5" style="60" bestFit="1" customWidth="1"/>
    <col min="49" max="49" width="5.83203125" style="60" bestFit="1" customWidth="1"/>
    <col min="50" max="51" width="5.5" style="60" bestFit="1" customWidth="1"/>
    <col min="52" max="54" width="7" style="60" bestFit="1" customWidth="1"/>
    <col min="55" max="56" width="5.5" style="60" bestFit="1" customWidth="1"/>
    <col min="57" max="58" width="5.83203125" style="60" bestFit="1" customWidth="1"/>
    <col min="59" max="70" width="5.6640625" style="60" bestFit="1" customWidth="1"/>
    <col min="71" max="82" width="5.5" style="60" bestFit="1" customWidth="1"/>
    <col min="83" max="83" width="6.1640625" style="60" bestFit="1" customWidth="1"/>
    <col min="84" max="86" width="5.6640625" style="60" bestFit="1" customWidth="1"/>
    <col min="87" max="90" width="5.5" style="60" bestFit="1" customWidth="1"/>
    <col min="91" max="95" width="6.33203125" style="60" bestFit="1" customWidth="1"/>
    <col min="96" max="99" width="6.1640625" style="60" bestFit="1" customWidth="1"/>
    <col min="100" max="100" width="5.5" style="60" bestFit="1" customWidth="1"/>
    <col min="101" max="101" width="5.1640625" style="60" bestFit="1" customWidth="1"/>
    <col min="102" max="166" width="6.5" style="60" bestFit="1" customWidth="1"/>
    <col min="167" max="16384" width="22.6640625" style="60"/>
  </cols>
  <sheetData>
    <row r="1" spans="1:166" ht="13">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c r="EM1" s="99">
        <v>141</v>
      </c>
      <c r="EN1" s="99">
        <v>142</v>
      </c>
      <c r="EO1" s="99">
        <v>143</v>
      </c>
      <c r="EP1" s="99">
        <v>144</v>
      </c>
      <c r="EQ1" s="99">
        <v>145</v>
      </c>
      <c r="ER1" s="99">
        <v>146</v>
      </c>
      <c r="ES1" s="99">
        <v>147</v>
      </c>
      <c r="ET1" s="99">
        <v>148</v>
      </c>
      <c r="EU1" s="99">
        <v>149</v>
      </c>
      <c r="EV1" s="99">
        <v>150</v>
      </c>
      <c r="EW1" s="99">
        <v>151</v>
      </c>
      <c r="EX1" s="99">
        <v>152</v>
      </c>
      <c r="EY1" s="99">
        <v>153</v>
      </c>
      <c r="EZ1" s="99">
        <v>154</v>
      </c>
      <c r="FA1" s="99">
        <v>155</v>
      </c>
      <c r="FB1" s="99">
        <v>156</v>
      </c>
      <c r="FC1" s="99">
        <v>157</v>
      </c>
      <c r="FD1" s="99">
        <v>158</v>
      </c>
      <c r="FE1" s="99">
        <v>159</v>
      </c>
      <c r="FF1" s="99">
        <v>160</v>
      </c>
      <c r="FG1" s="99">
        <v>161</v>
      </c>
      <c r="FH1" s="99">
        <v>162</v>
      </c>
      <c r="FI1" s="99">
        <v>163</v>
      </c>
      <c r="FJ1" s="99">
        <v>164</v>
      </c>
    </row>
    <row r="2" spans="1:166">
      <c r="A2" s="59"/>
      <c r="B2" s="59"/>
      <c r="C2" s="59"/>
      <c r="D2" s="98"/>
      <c r="E2" s="98"/>
      <c r="F2" s="59"/>
      <c r="H2" s="99"/>
      <c r="I2" s="99"/>
      <c r="J2" s="99"/>
      <c r="K2" s="99"/>
      <c r="L2" s="99"/>
      <c r="M2" s="99"/>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99"/>
      <c r="AP2" s="99"/>
      <c r="AQ2" s="99"/>
      <c r="AR2" s="99"/>
      <c r="AS2" s="99"/>
      <c r="AT2" s="99"/>
      <c r="AU2" s="99"/>
      <c r="AV2" s="99"/>
      <c r="AW2" s="99"/>
      <c r="AX2" s="99"/>
      <c r="AY2" s="99"/>
      <c r="AZ2" s="99"/>
      <c r="BA2" s="99"/>
      <c r="BB2" s="99"/>
      <c r="BC2" s="99"/>
      <c r="BD2" s="99"/>
      <c r="BE2" s="99"/>
      <c r="BF2" s="99"/>
      <c r="BG2" s="99"/>
      <c r="BH2" s="99"/>
      <c r="BI2" s="99"/>
      <c r="BJ2" s="99"/>
      <c r="BK2" s="99"/>
      <c r="BL2" s="99"/>
      <c r="BM2" s="99"/>
      <c r="BN2" s="99"/>
      <c r="BO2" s="99"/>
      <c r="BP2" s="99"/>
      <c r="BQ2" s="99"/>
      <c r="BR2" s="99"/>
      <c r="BS2" s="99"/>
      <c r="BT2" s="99"/>
      <c r="BU2" s="99"/>
      <c r="BV2" s="99"/>
      <c r="BW2" s="99"/>
      <c r="BX2" s="99"/>
      <c r="BY2" s="99"/>
      <c r="BZ2" s="99"/>
      <c r="CA2" s="99"/>
      <c r="CB2" s="99"/>
      <c r="CC2" s="99"/>
      <c r="CD2" s="99"/>
      <c r="CE2" s="99"/>
      <c r="CF2" s="99"/>
      <c r="CG2" s="99"/>
      <c r="CH2" s="99"/>
      <c r="CI2" s="99"/>
      <c r="CJ2" s="99"/>
      <c r="CK2" s="99"/>
      <c r="CL2" s="99"/>
      <c r="CM2" s="99"/>
      <c r="CN2" s="99"/>
    </row>
    <row r="3" spans="1:166" ht="13">
      <c r="A3" s="100" t="s">
        <v>305</v>
      </c>
      <c r="B3" s="100"/>
      <c r="C3" s="101"/>
      <c r="D3" s="60">
        <v>30.03</v>
      </c>
      <c r="K3" s="102"/>
      <c r="M3" s="102"/>
    </row>
    <row r="4" spans="1:166">
      <c r="A4" s="36"/>
      <c r="B4" s="64"/>
      <c r="D4" s="100"/>
      <c r="E4" s="64"/>
      <c r="F4" s="103"/>
    </row>
    <row r="5" spans="1:166">
      <c r="A5" s="64"/>
      <c r="B5" s="64"/>
      <c r="D5" s="64"/>
      <c r="E5" s="64"/>
      <c r="H5" s="60" t="s">
        <v>387</v>
      </c>
    </row>
    <row r="6" spans="1:166">
      <c r="A6" s="74"/>
      <c r="B6" s="74"/>
    </row>
    <row r="7" spans="1:166">
      <c r="A7" s="59"/>
      <c r="B7" s="59"/>
      <c r="C7" s="59"/>
      <c r="D7" s="98"/>
      <c r="E7" s="98"/>
      <c r="F7" s="59"/>
      <c r="H7" s="59" t="s">
        <v>416</v>
      </c>
      <c r="I7" s="59">
        <v>43831</v>
      </c>
      <c r="J7" s="59">
        <v>43862</v>
      </c>
      <c r="K7" s="59">
        <v>43891</v>
      </c>
      <c r="L7" s="59">
        <v>43922</v>
      </c>
      <c r="M7" s="59">
        <v>43952</v>
      </c>
      <c r="N7" s="59">
        <v>43983</v>
      </c>
      <c r="O7" s="59">
        <v>44013</v>
      </c>
      <c r="P7" s="59">
        <v>44044</v>
      </c>
      <c r="Q7" s="59">
        <v>44075</v>
      </c>
      <c r="R7" s="59">
        <v>44105</v>
      </c>
      <c r="S7" s="59">
        <v>44136</v>
      </c>
      <c r="T7" s="59">
        <v>44166</v>
      </c>
      <c r="U7" s="59">
        <v>44197</v>
      </c>
      <c r="V7" s="59">
        <v>44228</v>
      </c>
      <c r="W7" s="59">
        <v>44256</v>
      </c>
      <c r="X7" s="59">
        <v>44287</v>
      </c>
      <c r="Y7" s="59">
        <v>44317</v>
      </c>
      <c r="Z7" s="59">
        <v>44348</v>
      </c>
      <c r="AA7" s="59">
        <v>44378</v>
      </c>
      <c r="AB7" s="59">
        <v>44409</v>
      </c>
      <c r="AC7" s="59">
        <v>44440</v>
      </c>
      <c r="AD7" s="59">
        <v>44470</v>
      </c>
      <c r="AE7" s="59">
        <v>44501</v>
      </c>
      <c r="AF7" s="59">
        <v>44531</v>
      </c>
      <c r="AG7" s="59">
        <v>44562</v>
      </c>
      <c r="AH7" s="59">
        <v>44593</v>
      </c>
      <c r="AI7" s="59">
        <v>44621</v>
      </c>
      <c r="AJ7" s="59">
        <v>44652</v>
      </c>
      <c r="AK7" s="59">
        <v>44682</v>
      </c>
      <c r="AL7" s="59">
        <v>44713</v>
      </c>
      <c r="AM7" s="59">
        <v>44743</v>
      </c>
      <c r="AN7" s="59">
        <v>44774</v>
      </c>
      <c r="AO7" s="59">
        <v>44805</v>
      </c>
      <c r="AP7" s="59">
        <v>44835</v>
      </c>
      <c r="AQ7" s="59">
        <v>44866</v>
      </c>
      <c r="AR7" s="59">
        <v>44896</v>
      </c>
      <c r="AS7" s="59">
        <v>44927</v>
      </c>
      <c r="AT7" s="59">
        <v>44958</v>
      </c>
      <c r="AU7" s="59">
        <v>44986</v>
      </c>
      <c r="AV7" s="59">
        <v>45017</v>
      </c>
      <c r="AW7" s="59">
        <v>45047</v>
      </c>
      <c r="AX7" s="59">
        <v>45078</v>
      </c>
      <c r="AY7" s="59">
        <v>45108</v>
      </c>
      <c r="AZ7" s="59" t="s">
        <v>530</v>
      </c>
      <c r="BA7" s="59" t="s">
        <v>531</v>
      </c>
      <c r="BB7" s="59" t="s">
        <v>532</v>
      </c>
      <c r="BC7" s="59">
        <v>37104</v>
      </c>
      <c r="BD7" s="59">
        <v>37469</v>
      </c>
      <c r="BE7" s="59" t="s">
        <v>168</v>
      </c>
      <c r="BF7" s="59" t="s">
        <v>169</v>
      </c>
      <c r="BG7" s="59" t="s">
        <v>195</v>
      </c>
      <c r="BH7" s="59" t="s">
        <v>196</v>
      </c>
      <c r="BI7" s="59" t="s">
        <v>197</v>
      </c>
      <c r="BJ7" s="59" t="s">
        <v>198</v>
      </c>
      <c r="BK7" s="59" t="s">
        <v>199</v>
      </c>
      <c r="BL7" s="59" t="s">
        <v>200</v>
      </c>
      <c r="BM7" s="59" t="s">
        <v>201</v>
      </c>
      <c r="BN7" s="59" t="s">
        <v>202</v>
      </c>
      <c r="BO7" s="59">
        <v>37196</v>
      </c>
      <c r="BP7" s="59">
        <v>37561</v>
      </c>
      <c r="BQ7" s="59">
        <v>37926</v>
      </c>
      <c r="BR7" s="59">
        <v>38292</v>
      </c>
      <c r="BS7" s="59">
        <v>37226</v>
      </c>
      <c r="BT7" s="59">
        <v>37591</v>
      </c>
      <c r="BU7" s="59">
        <v>37956</v>
      </c>
      <c r="BV7" s="59">
        <v>38322</v>
      </c>
      <c r="BW7" s="59">
        <v>36892</v>
      </c>
      <c r="BX7" s="59">
        <v>37257</v>
      </c>
      <c r="BY7" s="59">
        <v>37622</v>
      </c>
      <c r="BZ7" s="59">
        <v>37987</v>
      </c>
      <c r="CA7" s="59">
        <v>36923</v>
      </c>
      <c r="CB7" s="59">
        <v>37288</v>
      </c>
      <c r="CC7" s="59">
        <v>37653</v>
      </c>
      <c r="CD7" s="59">
        <v>38018</v>
      </c>
      <c r="CE7" s="59" t="str">
        <f>Sheet8!A15</f>
        <v>Mar-w1</v>
      </c>
      <c r="CF7" s="59">
        <v>37316</v>
      </c>
      <c r="CG7" s="59">
        <v>37681</v>
      </c>
      <c r="CH7" s="59">
        <v>38047</v>
      </c>
      <c r="CI7" s="59" t="str">
        <f>Sheet8!E15</f>
        <v>Apr-w1</v>
      </c>
      <c r="CJ7" s="59" t="str">
        <f>Sheet8!F15</f>
        <v>Apr-w2</v>
      </c>
      <c r="CK7" s="59" t="str">
        <f>Sheet8!G15</f>
        <v>Apr-w3</v>
      </c>
      <c r="CL7" s="59" t="str">
        <f>Sheet8!H15</f>
        <v>Apr-w4</v>
      </c>
      <c r="CM7" s="59" t="str">
        <f>Sheet8!I15</f>
        <v>May-w1</v>
      </c>
      <c r="CN7" s="59" t="str">
        <f>Sheet8!J15</f>
        <v>May-w2</v>
      </c>
      <c r="CO7" s="59" t="str">
        <f>Sheet8!K15</f>
        <v>May-w3</v>
      </c>
      <c r="CP7" s="59" t="str">
        <f>Sheet8!L15</f>
        <v>May-w4</v>
      </c>
      <c r="CQ7" s="59" t="str">
        <f>Sheet8!M15</f>
        <v>May-w5</v>
      </c>
      <c r="CR7" s="59" t="str">
        <f>Sheet8!N15</f>
        <v>june-w1</v>
      </c>
      <c r="CS7" s="59" t="str">
        <f>Sheet8!O15</f>
        <v>june-w2</v>
      </c>
      <c r="CT7" s="59" t="str">
        <f>Sheet8!P15</f>
        <v>june-w3</v>
      </c>
      <c r="CU7" s="59" t="str">
        <f>Sheet8!Q15</f>
        <v>june-w4</v>
      </c>
      <c r="CV7" s="59" t="str">
        <f>Sheet8!R15</f>
        <v>Jul-w1</v>
      </c>
      <c r="CW7" s="59" t="str">
        <f>Sheet8!S15</f>
        <v>Jul-w2</v>
      </c>
      <c r="CX7" s="59" t="str">
        <f>Sheet8!T15</f>
        <v>Jul-w3</v>
      </c>
      <c r="CY7" s="59" t="str">
        <f>Sheet8!U15</f>
        <v>Jul-w4</v>
      </c>
      <c r="CZ7" s="59" t="str">
        <f>Sheet8!V15</f>
        <v>Aug-w1</v>
      </c>
      <c r="DA7" s="59" t="str">
        <f>Sheet8!W15</f>
        <v>Aug-w2</v>
      </c>
      <c r="DB7" s="59" t="str">
        <f>Sheet8!X15</f>
        <v>Aug-w3</v>
      </c>
      <c r="DC7" s="59" t="str">
        <f>Sheet8!Y15</f>
        <v>Aug-w4</v>
      </c>
      <c r="DD7" s="59" t="str">
        <f>Sheet8!Z15</f>
        <v>Sep-w1</v>
      </c>
      <c r="DE7" s="59" t="str">
        <f>Sheet8!AA15</f>
        <v>Sep-w2</v>
      </c>
      <c r="DF7" s="59" t="str">
        <f>Sheet8!AB15</f>
        <v>Sep-w3</v>
      </c>
      <c r="DG7" s="59" t="str">
        <f>Sheet8!AC15</f>
        <v>Sep-w4</v>
      </c>
      <c r="DH7" s="59" t="str">
        <f>Sheet8!AD15</f>
        <v>Oct-w1</v>
      </c>
      <c r="DI7" s="59" t="str">
        <f>Sheet8!AE15</f>
        <v>Oct-w2</v>
      </c>
      <c r="DJ7" s="59" t="str">
        <f>Sheet8!AF15</f>
        <v>Oct-w3</v>
      </c>
      <c r="DK7" s="59" t="str">
        <f>Sheet8!AG15</f>
        <v>Oct-w4</v>
      </c>
      <c r="DL7" s="59" t="str">
        <f>Sheet8!AH15</f>
        <v>Nov-w1</v>
      </c>
      <c r="DM7" s="59" t="str">
        <f>Sheet8!AI15</f>
        <v>Nov-w2</v>
      </c>
      <c r="DN7" s="59" t="str">
        <f>Sheet8!AJ15</f>
        <v>Nov-w3</v>
      </c>
      <c r="DO7" s="59" t="str">
        <f>Sheet8!AK15</f>
        <v>Nov-w4</v>
      </c>
      <c r="DP7" s="59" t="str">
        <f>Sheet8!AL15</f>
        <v>Dec-w1</v>
      </c>
      <c r="DQ7" s="59" t="str">
        <f>Sheet8!AM15</f>
        <v>Dec-w2</v>
      </c>
      <c r="DR7" s="59" t="str">
        <f>Sheet8!AN15</f>
        <v>Dec-w3</v>
      </c>
      <c r="DS7" s="59" t="str">
        <f>Sheet8!AO15</f>
        <v>Dec-w4</v>
      </c>
      <c r="DT7" s="59">
        <f>Sheet8!AP15</f>
        <v>0</v>
      </c>
      <c r="DU7" s="59">
        <f>Sheet8!AQ15</f>
        <v>0</v>
      </c>
      <c r="DV7" s="59">
        <f>Sheet8!AR15</f>
        <v>0</v>
      </c>
      <c r="DW7" s="59">
        <f>Sheet8!AS15</f>
        <v>0</v>
      </c>
      <c r="DX7" s="59">
        <f>Sheet8!AT15</f>
        <v>0</v>
      </c>
      <c r="DY7" s="59">
        <f>Sheet8!AU15</f>
        <v>0</v>
      </c>
      <c r="DZ7" s="59">
        <f>Sheet8!AV15</f>
        <v>0</v>
      </c>
      <c r="EA7" s="59">
        <f>Sheet8!AW15</f>
        <v>0</v>
      </c>
      <c r="EB7" s="59">
        <f>Sheet8!AX15</f>
        <v>0</v>
      </c>
      <c r="EC7" s="59">
        <f>Sheet8!AY15</f>
        <v>0</v>
      </c>
      <c r="ED7" s="59">
        <f>Sheet8!AZ15</f>
        <v>0</v>
      </c>
      <c r="EE7" s="59">
        <f>Sheet8!BA15</f>
        <v>0</v>
      </c>
      <c r="EF7" s="59">
        <f>Sheet8!BB15</f>
        <v>0</v>
      </c>
      <c r="EG7" s="59">
        <f>Sheet8!BC15</f>
        <v>0</v>
      </c>
      <c r="EH7" s="59">
        <f>Sheet8!BD15</f>
        <v>0</v>
      </c>
      <c r="EI7" s="59">
        <f>Sheet8!BE15</f>
        <v>0</v>
      </c>
      <c r="EJ7" s="59">
        <f>Sheet8!BF15</f>
        <v>0</v>
      </c>
      <c r="EK7" s="59">
        <f>Sheet8!BG15</f>
        <v>0</v>
      </c>
      <c r="EL7" s="59">
        <f>Sheet8!BH15</f>
        <v>0</v>
      </c>
      <c r="EM7" s="59">
        <f>Sheet8!BI15</f>
        <v>0</v>
      </c>
      <c r="EN7" s="59">
        <f>Sheet8!BJ15</f>
        <v>0</v>
      </c>
      <c r="EO7" s="59">
        <f>Sheet8!BK15</f>
        <v>0</v>
      </c>
      <c r="EP7" s="59">
        <f>Sheet8!BL15</f>
        <v>0</v>
      </c>
      <c r="EQ7" s="59">
        <f>Sheet8!BM15</f>
        <v>0</v>
      </c>
      <c r="ER7" s="59">
        <f>Sheet8!BN15</f>
        <v>0</v>
      </c>
      <c r="ES7" s="59">
        <f>Sheet8!BO15</f>
        <v>0</v>
      </c>
      <c r="ET7" s="59">
        <f>Sheet8!BP15</f>
        <v>0</v>
      </c>
      <c r="EU7" s="59">
        <f>Sheet8!BQ15</f>
        <v>0</v>
      </c>
      <c r="EV7" s="59">
        <f>Sheet8!BR15</f>
        <v>0</v>
      </c>
      <c r="EW7" s="59">
        <f>Sheet8!BS15</f>
        <v>0</v>
      </c>
      <c r="EX7" s="59">
        <f>Sheet8!BT15</f>
        <v>0</v>
      </c>
      <c r="EY7" s="59">
        <f>Sheet8!BU15</f>
        <v>0</v>
      </c>
      <c r="EZ7" s="59">
        <f>Sheet8!BV15</f>
        <v>0</v>
      </c>
      <c r="FA7" s="59">
        <f>Sheet8!BW15</f>
        <v>0</v>
      </c>
      <c r="FB7" s="59">
        <f>Sheet8!BX15</f>
        <v>0</v>
      </c>
      <c r="FC7" s="59">
        <f>Sheet8!BY15</f>
        <v>0</v>
      </c>
      <c r="FD7" s="59">
        <f>Sheet8!BZ15</f>
        <v>0</v>
      </c>
      <c r="FE7" s="59">
        <f>Sheet8!CA15</f>
        <v>0</v>
      </c>
      <c r="FF7" s="59">
        <f>Sheet8!CB15</f>
        <v>0</v>
      </c>
      <c r="FG7" s="59">
        <f>Sheet8!CC15</f>
        <v>0</v>
      </c>
      <c r="FH7" s="59">
        <f>Sheet8!CD15</f>
        <v>0</v>
      </c>
      <c r="FI7" s="59">
        <f>Sheet8!CE15</f>
        <v>0</v>
      </c>
      <c r="FJ7" s="59">
        <f>Sheet8!CF15</f>
        <v>0</v>
      </c>
    </row>
    <row r="8" spans="1:166">
      <c r="F8" s="60" t="s">
        <v>651</v>
      </c>
      <c r="H8" s="60" t="s">
        <v>36</v>
      </c>
      <c r="I8" s="74">
        <f>VLOOKUP($H$8&amp;$F$1,'Input RM sheet'!$A:$BD,H1,0)</f>
        <v>262.5</v>
      </c>
      <c r="J8" s="74">
        <f>VLOOKUP($H$8&amp;$F$1,'Input RM sheet'!$A:$BD,I1,0)</f>
        <v>322.5</v>
      </c>
      <c r="K8" s="74">
        <f>VLOOKUP($H$8&amp;$F$1,'Input RM sheet'!$A:$DD,J1,0)</f>
        <v>285</v>
      </c>
      <c r="L8" s="74">
        <f>VLOOKUP($H$8&amp;$F$1,'Input RM sheet'!$A:$DD,K1,0)</f>
        <v>210</v>
      </c>
      <c r="M8" s="74">
        <f>VLOOKUP($H$8&amp;$F$1,'Input RM sheet'!$A:$DD,L1,0)</f>
        <v>175</v>
      </c>
      <c r="N8" s="74">
        <f>VLOOKUP($H$8&amp;$F$1,'Input RM sheet'!$A:$DD,M1,0)</f>
        <v>167.5</v>
      </c>
      <c r="O8" s="74">
        <f>VLOOKUP($H$8&amp;$F$1,'Input RM sheet'!$A:$DD,N1,0)</f>
        <v>180</v>
      </c>
      <c r="P8" s="74">
        <f>VLOOKUP($H$8&amp;$F$1,'Input RM sheet'!$A:$DD,O1,0)</f>
        <v>220</v>
      </c>
      <c r="Q8" s="74">
        <f>VLOOKUP($H$8&amp;$F$1,'Input RM sheet'!$A:$DD,P1,0)</f>
        <v>230</v>
      </c>
      <c r="R8" s="74">
        <f>VLOOKUP($H$8&amp;$F$1,'Input RM sheet'!$A:$DD,Q1,0)</f>
        <v>240</v>
      </c>
      <c r="S8" s="74">
        <f>VLOOKUP($H$8&amp;$F$1,'Input RM sheet'!$A:$DD,R1,0)</f>
        <v>270</v>
      </c>
      <c r="T8" s="74">
        <f>VLOOKUP($H$8&amp;$F$1,'Input RM sheet'!$A:$DD,S1,0)</f>
        <v>300</v>
      </c>
      <c r="U8" s="74">
        <f>VLOOKUP($H$8&amp;$F$1,'Input RM sheet'!$A:$DD,T1,0)</f>
        <v>360</v>
      </c>
      <c r="V8" s="74">
        <f>VLOOKUP($H$8&amp;$F$1,'Input RM sheet'!$A:$DD,U1,0)</f>
        <v>365</v>
      </c>
      <c r="W8" s="74">
        <f>VLOOKUP($H$8&amp;$F$1,'Input RM sheet'!$A:$DD,V1,0)</f>
        <v>355</v>
      </c>
      <c r="X8" s="74">
        <f>VLOOKUP($H$8&amp;$F$1,'Input RM sheet'!$A:$DD,W1,0)</f>
        <v>340</v>
      </c>
      <c r="Y8" s="74">
        <f>VLOOKUP($H$8&amp;$F$1,'Input RM sheet'!$A:$DD,X1,0)</f>
        <v>347.5</v>
      </c>
      <c r="Z8" s="74">
        <f>VLOOKUP($H$8&amp;$F$1,'Input RM sheet'!$A:$DD,Y1,0)</f>
        <v>357.5</v>
      </c>
      <c r="AA8" s="74">
        <f>VLOOKUP($H$8&amp;$F$1,'Input RM sheet'!$A:$DD,Z1,0)</f>
        <v>360</v>
      </c>
      <c r="AB8" s="74">
        <f>VLOOKUP($H$8&amp;$F$1,'Input RM sheet'!$A:$DD,AA1,0)</f>
        <v>370</v>
      </c>
      <c r="AC8" s="74">
        <f>VLOOKUP($H$8&amp;$F$1,'Input RM sheet'!$A:$DD,AB1,0)</f>
        <v>390</v>
      </c>
      <c r="AD8" s="74">
        <f>VLOOKUP($H$8&amp;$F$1,'Input RM sheet'!$A:$DD,AC1,0)</f>
        <v>467.5</v>
      </c>
      <c r="AE8" s="74">
        <f>VLOOKUP($H$8&amp;$F$1,'Input RM sheet'!$A:$DD,AD1,0)</f>
        <v>392.5</v>
      </c>
      <c r="AF8" s="74">
        <f>VLOOKUP($H$8&amp;$F$1,'Input RM sheet'!$A:$DD,AE1,0)</f>
        <v>340</v>
      </c>
      <c r="AG8" s="74">
        <f>VLOOKUP($H$8&amp;$F$1,'Input RM sheet'!$A:$DD,AF1,0)</f>
        <v>310</v>
      </c>
      <c r="AH8" s="74">
        <f>VLOOKUP($H$8&amp;$F$1,'Input RM sheet'!$A:$DD,AG1,0)</f>
        <v>390</v>
      </c>
      <c r="AI8" s="74">
        <f>VLOOKUP($H$8&amp;$F$1,'Input RM sheet'!$A:$DD,AH1,0)</f>
        <v>430</v>
      </c>
      <c r="AJ8" s="74">
        <f>VLOOKUP($H$8&amp;$F$1,'Input RM sheet'!$A:$DD,AI1,0)</f>
        <v>390</v>
      </c>
      <c r="AK8" s="74">
        <f>VLOOKUP($H$8&amp;$F$1,'Input RM sheet'!$A:$DD,AJ1,0)</f>
        <v>350</v>
      </c>
      <c r="AL8" s="74">
        <f>VLOOKUP($H$8&amp;$F$1,'Input RM sheet'!$A:$DD,AK1,0)</f>
        <v>340</v>
      </c>
      <c r="AM8" s="74">
        <f>VLOOKUP($H$8&amp;$F$1,'Input RM sheet'!$A:$DD,AL1,0)</f>
        <v>315</v>
      </c>
      <c r="AN8" s="74">
        <f>VLOOKUP($H$8&amp;$F$1,'Input RM sheet'!$A:$DD,AM1,0)</f>
        <v>315</v>
      </c>
      <c r="AO8" s="74">
        <f>VLOOKUP($H$8&amp;$F$1,'Input RM sheet'!$A:$DD,AN1,0)</f>
        <v>315</v>
      </c>
      <c r="AP8" s="74">
        <f>VLOOKUP($H$8&amp;$F$1,'Input RM sheet'!$A:$DD,AO1,0)</f>
        <v>325</v>
      </c>
      <c r="AQ8" s="74">
        <f>VLOOKUP($H$8&amp;$F$1,'Input RM sheet'!$A:$DD,AP1,0)</f>
        <v>325</v>
      </c>
      <c r="AR8" s="74">
        <f>VLOOKUP($H$8&amp;$F$1,'Input RM sheet'!$A:$DD,AQ1,0)</f>
        <v>315</v>
      </c>
      <c r="AS8" s="74">
        <f>VLOOKUP($H$8&amp;$F$1,'Input RM sheet'!$A:$DD,AR1,0)</f>
        <v>325</v>
      </c>
      <c r="AT8" s="74">
        <f>VLOOKUP($H$8&amp;$F$1,'Input RM sheet'!$A:$DD,AS1,0)</f>
        <v>347.5</v>
      </c>
      <c r="AU8" s="74">
        <f>VLOOKUP($H$8&amp;$F$1,'Input RM sheet'!$A:$DD,AT1,0)</f>
        <v>362.5</v>
      </c>
      <c r="AV8" s="74">
        <f>VLOOKUP($H$8&amp;$F$1,'Input RM sheet'!$A:$DD,AU1,0)</f>
        <v>335</v>
      </c>
      <c r="AW8" s="74">
        <f>VLOOKUP($H$8&amp;$F$1,'Input RM sheet'!$A:$DD,AV1,0)</f>
        <v>310</v>
      </c>
      <c r="AX8" s="74">
        <f>VLOOKUP($H$8&amp;$F$1,'Input RM sheet'!$A:$DD,AW1,0)</f>
        <v>300</v>
      </c>
      <c r="AY8" s="74">
        <f>VLOOKUP($H$8&amp;$F$1,'Input RM sheet'!$A:$DD,AX1,0)</f>
        <v>300</v>
      </c>
      <c r="AZ8" s="74">
        <f>VLOOKUP($H$8&amp;$F$1,'Input RM sheet'!$A:$DD,AY1,0)</f>
        <v>290</v>
      </c>
      <c r="BA8" s="74">
        <f>VLOOKUP($H$8&amp;$F$1,'Input RM sheet'!$A:$DD,AZ1,0)</f>
        <v>290</v>
      </c>
      <c r="BB8" s="74">
        <f>VLOOKUP($H$8&amp;$F$1,'Input RM sheet'!$A:$DD,BA1,0)</f>
        <v>290</v>
      </c>
      <c r="BC8" s="74">
        <f>VLOOKUP($H$8&amp;$F$1,'Input RM sheet'!$A:$DD,BB1,0)</f>
        <v>290</v>
      </c>
      <c r="BD8" s="74">
        <f>VLOOKUP($H$8&amp;$F$1,'Input RM sheet'!$A:$DD,BC1,0)</f>
        <v>310</v>
      </c>
      <c r="BE8" s="74">
        <f>VLOOKUP($H$8&amp;$F$1,'Input RM sheet'!$A:$DD,BD1,0)</f>
        <v>310</v>
      </c>
      <c r="BF8" s="74">
        <f>VLOOKUP($H$8&amp;$F$1,'Input RM sheet'!$A:$DD,BE1,0)</f>
        <v>310</v>
      </c>
      <c r="BG8" s="74">
        <f>VLOOKUP($H$8&amp;$F$1,'Input RM sheet'!$A:$DD,BF1,0)</f>
        <v>310</v>
      </c>
      <c r="BH8" s="74">
        <f>VLOOKUP($H$8&amp;$F$1,'Input RM sheet'!$A:$DD,BG1,0)</f>
        <v>310</v>
      </c>
      <c r="BI8" s="74">
        <f>VLOOKUP($H$8&amp;$F$1,'Input RM sheet'!$A:$DD,BH1,0)</f>
        <v>330</v>
      </c>
      <c r="BJ8" s="74">
        <f>VLOOKUP($H$8&amp;$F$1,'Input RM sheet'!$A:$DD,BI1,0)</f>
        <v>330</v>
      </c>
      <c r="BK8" s="74">
        <f>VLOOKUP($H$8&amp;$F$1,'Input RM sheet'!$A:$DD,BJ1,0)</f>
        <v>330</v>
      </c>
      <c r="BL8" s="74">
        <f>VLOOKUP($H$8&amp;$F$1,'Input RM sheet'!$A:$DD,BK1,0)</f>
        <v>330</v>
      </c>
      <c r="BM8" s="74">
        <f>VLOOKUP($H$8&amp;$F$1,'Input RM sheet'!$A:$DD,BL1,0)</f>
        <v>330</v>
      </c>
      <c r="BN8" s="74">
        <f>VLOOKUP($H$8&amp;$F$1,'Input RM sheet'!$A:$DD,BM1,0)</f>
        <v>330</v>
      </c>
      <c r="BO8" s="74">
        <f>VLOOKUP($H$8&amp;$F$1,'Input RM sheet'!$A:$DD,BN1,0)</f>
        <v>330</v>
      </c>
      <c r="BP8" s="74">
        <f>VLOOKUP($H$8&amp;$F$1,'Input RM sheet'!$A:$DD,BO1,0)</f>
        <v>315</v>
      </c>
      <c r="BQ8" s="74">
        <f>VLOOKUP($H$8&amp;$F$1,'Input RM sheet'!$A:$DD,BP1,0)</f>
        <v>315</v>
      </c>
      <c r="BR8" s="74">
        <f>VLOOKUP($H$8&amp;$F$1,'Input RM sheet'!$A:$DD,BQ1,0)</f>
        <v>315</v>
      </c>
      <c r="BS8" s="74">
        <f>VLOOKUP($H$8&amp;$F$1,'Input RM sheet'!$A:$DD,BR1,0)</f>
        <v>315</v>
      </c>
      <c r="BT8" s="74">
        <f>VLOOKUP($H$8&amp;$F$1,'Input RM sheet'!$A:$DD,BS1,0)</f>
        <v>335</v>
      </c>
      <c r="BU8" s="74">
        <f>VLOOKUP($H$8&amp;$F$1,'Input RM sheet'!$A:$DD,BT1,0)</f>
        <v>335</v>
      </c>
      <c r="BV8" s="74">
        <f>VLOOKUP($H$8&amp;$F$1,'Input RM sheet'!$A:$DD,BU1,0)</f>
        <v>335</v>
      </c>
      <c r="BW8" s="74">
        <f>VLOOKUP($H$8&amp;$F$1,'Input RM sheet'!$A:$DD,BV1,0)</f>
        <v>337.5</v>
      </c>
      <c r="BX8" s="74">
        <f>VLOOKUP($H$8&amp;$F$1,'Input RM sheet'!$A:$DD,BW1,0)</f>
        <v>337.5</v>
      </c>
      <c r="BY8" s="74">
        <f>VLOOKUP($H$8&amp;$F$1,'Input RM sheet'!$A:$DD,BX1,0)</f>
        <v>337.5</v>
      </c>
      <c r="BZ8" s="74">
        <f>VLOOKUP($H$8&amp;$F$1,'Input RM sheet'!$A:$DD,BY1,0)</f>
        <v>347.5</v>
      </c>
      <c r="CA8" s="74">
        <f>VLOOKUP($H$8&amp;$F$1,'Input RM sheet'!$A:$DD,BZ1,0)</f>
        <v>347.5</v>
      </c>
      <c r="CB8" s="74">
        <f>VLOOKUP($H$8&amp;$F$1,'Input RM sheet'!$A:$DD,CA1,0)</f>
        <v>347.5</v>
      </c>
      <c r="CC8" s="74">
        <f>VLOOKUP($H$8&amp;$F$1,'Input RM sheet'!$A:$DD,CB1,0)</f>
        <v>347.5</v>
      </c>
      <c r="CD8" s="74">
        <f>VLOOKUP($H$8&amp;$F$1,'Input RM sheet'!$A:$DD,CC1,0)</f>
        <v>347.5</v>
      </c>
      <c r="CE8" s="74">
        <f>VLOOKUP($H$8&amp;$F$1,'Input RM sheet'!$A:$DD,CD1,0)</f>
        <v>347.5</v>
      </c>
      <c r="CF8" s="74">
        <f>VLOOKUP($H$8&amp;$F$1,'Input RM sheet'!$A:$DD,CE1,0)</f>
        <v>347.5</v>
      </c>
      <c r="CG8" s="74">
        <f>VLOOKUP($H$8&amp;$F$1,'Input RM sheet'!$A:$DD,CF1,0)</f>
        <v>355</v>
      </c>
      <c r="CH8" s="74">
        <f>VLOOKUP($H$8&amp;$F$1,'Input RM sheet'!$A:$DD,CG1,0)</f>
        <v>355</v>
      </c>
      <c r="CI8" s="74">
        <f>VLOOKUP($H$8&amp;$F$1,'Input RM sheet'!$A:$DD,CH1,0)</f>
        <v>345</v>
      </c>
      <c r="CJ8" s="74">
        <f>VLOOKUP($H$8&amp;$F$1,'Input RM sheet'!$A:$DD,CI1,0)</f>
        <v>345</v>
      </c>
      <c r="CK8" s="74">
        <f>VLOOKUP($H$8&amp;$F$1,'Input RM sheet'!$A:$DD,CJ1,0)</f>
        <v>345</v>
      </c>
      <c r="CL8" s="74">
        <f>VLOOKUP($H$8&amp;$F$1,'Input RM sheet'!$A:$DD,CK1,0)</f>
        <v>345</v>
      </c>
      <c r="CM8" s="74">
        <f>VLOOKUP($H$8&amp;$F$1,'Input RM sheet'!$A:$DD,CL1,0)</f>
        <v>342.5</v>
      </c>
      <c r="CN8" s="74">
        <f>VLOOKUP($H$8&amp;$F$1,'Input RM sheet'!$A:$DD,CM1,0)</f>
        <v>342.5</v>
      </c>
      <c r="CO8" s="74">
        <f>VLOOKUP($H$8&amp;$F$1,'Input RM sheet'!$A:$DD,CN1,0)</f>
        <v>342.5</v>
      </c>
      <c r="CP8" s="74">
        <f>VLOOKUP($H$8&amp;$F$1,'Input RM sheet'!$A:$ZZ,CO1,0)</f>
        <v>342.5</v>
      </c>
      <c r="CQ8" s="74">
        <f>VLOOKUP($H$8&amp;$F$1,'Input RM sheet'!$A:$ZZ,CP1,0)</f>
        <v>342.5</v>
      </c>
      <c r="CR8" s="74">
        <f>VLOOKUP($H$8&amp;$F$1,'Input RM sheet'!$A:$ZZ,CQ1,0)</f>
        <v>342.5</v>
      </c>
      <c r="CS8" s="74">
        <f>VLOOKUP($H$8&amp;$F$1,'Input RM sheet'!$A:$ZZ,CR1,0)</f>
        <v>340</v>
      </c>
      <c r="CT8" s="74">
        <f>VLOOKUP($H$8&amp;$F$1,'Input RM sheet'!$A:$ZZ,CS1,0)</f>
        <v>340</v>
      </c>
      <c r="CU8" s="74">
        <f>VLOOKUP($H$8&amp;$F$1,'Input RM sheet'!$A:$ZZ,CT1,0)</f>
        <v>340</v>
      </c>
      <c r="CV8" s="74">
        <f>VLOOKUP($H$8&amp;$F$1,'Input RM sheet'!$A:$ZZ,CU1,0)</f>
        <v>340</v>
      </c>
      <c r="CW8" s="74">
        <f>VLOOKUP($H$8&amp;$F$1,'Input RM sheet'!$A:$ZZ,CV1,0)</f>
        <v>335</v>
      </c>
      <c r="CX8" s="74">
        <f>VLOOKUP($H$8&amp;$F$1,'Input RM sheet'!$A:$ZZ,CW1,0)</f>
        <v>335</v>
      </c>
      <c r="CY8" s="74">
        <f>VLOOKUP($H$8&amp;$F$1,'Input RM sheet'!$A:$ZZ,CX1,0)</f>
        <v>335</v>
      </c>
      <c r="CZ8" s="74">
        <f>VLOOKUP($H$8&amp;$F$1,'Input RM sheet'!$A:$ZZ,CY1,0)</f>
        <v>335</v>
      </c>
      <c r="DA8" s="74">
        <f>VLOOKUP($H$8&amp;$F$1,'Input RM sheet'!$A:$ZZ,CZ1,0)</f>
        <v>335</v>
      </c>
      <c r="DB8" s="74">
        <f>VLOOKUP($H$8&amp;$F$1,'Input RM sheet'!$A:$ZZ,DA1,0)</f>
        <v>335</v>
      </c>
      <c r="DC8" s="74">
        <f>VLOOKUP($H$8&amp;$F$1,'Input RM sheet'!$A:$ZZ,DB1,0)</f>
        <v>335</v>
      </c>
      <c r="DD8" s="74">
        <f>VLOOKUP($H$8&amp;$F$1,'Input RM sheet'!$A:$ZZ,DC1,0)</f>
        <v>335</v>
      </c>
      <c r="DE8" s="74">
        <f>VLOOKUP($H$8&amp;$F$1,'Input RM sheet'!$A:$ZZ,DD1,0)</f>
        <v>335</v>
      </c>
      <c r="DF8" s="74">
        <f>VLOOKUP($H$8&amp;$F$1,'Input RM sheet'!$A:$ZZ,DE1,0)</f>
        <v>335</v>
      </c>
      <c r="DG8" s="74">
        <f>VLOOKUP($H$8&amp;$F$1,'Input RM sheet'!$A:$ZZ,DF1,0)</f>
        <v>335</v>
      </c>
      <c r="DH8" s="74">
        <f>VLOOKUP($H$8&amp;$F$1,'Input RM sheet'!$A:$ZZ,DG1,0)</f>
        <v>335</v>
      </c>
      <c r="DI8" s="74">
        <f>VLOOKUP($H$8&amp;$F$1,'Input RM sheet'!$A:$ZZ,DH1,0)</f>
        <v>335</v>
      </c>
      <c r="DJ8" s="74">
        <f>VLOOKUP($H$8&amp;$F$1,'Input RM sheet'!$A:$ZZ,DI1,0)</f>
        <v>345</v>
      </c>
      <c r="DK8" s="74">
        <f>VLOOKUP($H$8&amp;$F$1,'Input RM sheet'!$A:$ZZ,DJ1,0)</f>
        <v>345</v>
      </c>
      <c r="DL8" s="74">
        <f>VLOOKUP($H$8&amp;$F$1,'Input RM sheet'!$A:$ZZ,DK1,0)</f>
        <v>345</v>
      </c>
      <c r="DM8" s="74">
        <f>VLOOKUP($H$8&amp;$F$1,'Input RM sheet'!$A:$ZZ,DL1,0)</f>
        <v>345</v>
      </c>
      <c r="DN8" s="74">
        <f>VLOOKUP($H$8&amp;$F$1,'Input RM sheet'!$A:$ZZ,DM1,0)</f>
        <v>330</v>
      </c>
      <c r="DO8" s="74">
        <f>VLOOKUP($H$8&amp;$F$1,'Input RM sheet'!$A:$ZZ,DN1,0)</f>
        <v>330</v>
      </c>
      <c r="DP8" s="74">
        <f>VLOOKUP($H$8&amp;$F$1,'Input RM sheet'!$A:$ZZ,DO1,0)</f>
        <v>330</v>
      </c>
      <c r="DQ8" s="74">
        <f>VLOOKUP($H$8&amp;$F$1,'Input RM sheet'!$A:$ZZ,DP1,0)</f>
        <v>330</v>
      </c>
      <c r="DR8" s="74">
        <f>VLOOKUP($H$8&amp;$F$1,'Input RM sheet'!$A:$ZZ,DQ1,0)</f>
        <v>330</v>
      </c>
      <c r="DS8" s="74">
        <f>VLOOKUP($H$8&amp;$F$1,'Input RM sheet'!$A:$ZZ,DR1,0)</f>
        <v>347.5</v>
      </c>
      <c r="DT8" s="74">
        <f>VLOOKUP($H$8&amp;$F$1,'Input RM sheet'!$A:$ZZ,DS1,0)</f>
        <v>0</v>
      </c>
      <c r="DU8" s="74">
        <f>VLOOKUP($H$8&amp;$F$1,'Input RM sheet'!$A:$ZZ,DT1,0)</f>
        <v>0</v>
      </c>
      <c r="DV8" s="74">
        <f>VLOOKUP($H$8&amp;$F$1,'Input RM sheet'!$A:$ZZ,DU1,0)</f>
        <v>0</v>
      </c>
      <c r="DW8" s="74">
        <f>VLOOKUP($H$8&amp;$F$1,'Input RM sheet'!$A:$ZZ,DV1,0)</f>
        <v>0</v>
      </c>
      <c r="DX8" s="74">
        <f>VLOOKUP($H$8&amp;$F$1,'Input RM sheet'!$A:$ZZ,DW1,0)</f>
        <v>0</v>
      </c>
      <c r="DY8" s="74">
        <f>VLOOKUP($H$8&amp;$F$1,'Input RM sheet'!$A:$ZZ,DX1,0)</f>
        <v>0</v>
      </c>
      <c r="DZ8" s="74">
        <f>VLOOKUP($H$8&amp;$F$1,'Input RM sheet'!$A:$ZZ,DY1,0)</f>
        <v>0</v>
      </c>
      <c r="EA8" s="74">
        <f>VLOOKUP($H$8&amp;$F$1,'Input RM sheet'!$A:$ZZ,DZ1,0)</f>
        <v>0</v>
      </c>
      <c r="EB8" s="74">
        <f>VLOOKUP($H$8&amp;$F$1,'Input RM sheet'!$A:$ZZ,EA1,0)</f>
        <v>0</v>
      </c>
      <c r="EC8" s="74">
        <f>VLOOKUP($H$8&amp;$F$1,'Input RM sheet'!$A:$ZZ,EB1,0)</f>
        <v>0</v>
      </c>
      <c r="ED8" s="74">
        <f>VLOOKUP($H$8&amp;$F$1,'Input RM sheet'!$A:$ZZ,EC1,0)</f>
        <v>0</v>
      </c>
      <c r="EE8" s="74">
        <f>VLOOKUP($H$8&amp;$F$1,'Input RM sheet'!$A:$ZZ,ED1,0)</f>
        <v>0</v>
      </c>
      <c r="EF8" s="74">
        <f>VLOOKUP($H$8&amp;$F$1,'Input RM sheet'!$A:$ZZ,EE1,0)</f>
        <v>0</v>
      </c>
      <c r="EG8" s="74">
        <f>VLOOKUP($H$8&amp;$F$1,'Input RM sheet'!$A:$ZZ,EF1,0)</f>
        <v>0</v>
      </c>
      <c r="EH8" s="74">
        <f>VLOOKUP($H$8&amp;$F$1,'Input RM sheet'!$A:$ZZ,EG1,0)</f>
        <v>0</v>
      </c>
      <c r="EI8" s="74">
        <f>VLOOKUP($H$8&amp;$F$1,'Input RM sheet'!$A:$ZZ,EH1,0)</f>
        <v>0</v>
      </c>
      <c r="EJ8" s="74">
        <f>VLOOKUP($H$8&amp;$F$1,'Input RM sheet'!$A:$ZZ,EI1,0)</f>
        <v>0</v>
      </c>
      <c r="EK8" s="74">
        <f>VLOOKUP($H$8&amp;$F$1,'Input RM sheet'!$A:$ZZ,EJ1,0)</f>
        <v>0</v>
      </c>
      <c r="EL8" s="74">
        <f>VLOOKUP($H$8&amp;$F$1,'Input RM sheet'!$A:$ZZ,EK1,0)</f>
        <v>0</v>
      </c>
      <c r="EM8" s="74">
        <f>VLOOKUP($H$8&amp;$F$1,'Input RM sheet'!$A:$ZZ,EL1,0)</f>
        <v>0</v>
      </c>
      <c r="EN8" s="74">
        <f>VLOOKUP($H$8&amp;$F$1,'Input RM sheet'!$A:$ZZ,EM1,0)</f>
        <v>0</v>
      </c>
      <c r="EO8" s="74">
        <f>VLOOKUP($H$8&amp;$F$1,'Input RM sheet'!$A:$ZZ,EN1,0)</f>
        <v>0</v>
      </c>
      <c r="EP8" s="74">
        <f>VLOOKUP($H$8&amp;$F$1,'Input RM sheet'!$A:$ZZ,EO1,0)</f>
        <v>0</v>
      </c>
      <c r="EQ8" s="74">
        <f>VLOOKUP($H$8&amp;$F$1,'Input RM sheet'!$A:$ZZ,EP1,0)</f>
        <v>0</v>
      </c>
      <c r="ER8" s="74">
        <f>VLOOKUP($H$8&amp;$F$1,'Input RM sheet'!$A:$ZZ,EQ1,0)</f>
        <v>0</v>
      </c>
      <c r="ES8" s="74">
        <f>VLOOKUP($H$8&amp;$F$1,'Input RM sheet'!$A:$ZZ,ER1,0)</f>
        <v>0</v>
      </c>
      <c r="ET8" s="74">
        <f>VLOOKUP($H$8&amp;$F$1,'Input RM sheet'!$A:$ZZ,ES1,0)</f>
        <v>0</v>
      </c>
      <c r="EU8" s="74">
        <f>VLOOKUP($H$8&amp;$F$1,'Input RM sheet'!$A:$ZZ,ET1,0)</f>
        <v>0</v>
      </c>
      <c r="EV8" s="74">
        <f>VLOOKUP($H$8&amp;$F$1,'Input RM sheet'!$A:$ZZ,EU1,0)</f>
        <v>0</v>
      </c>
      <c r="EW8" s="74">
        <f>VLOOKUP($H$8&amp;$F$1,'Input RM sheet'!$A:$ZZ,EV1,0)</f>
        <v>0</v>
      </c>
      <c r="EX8" s="74">
        <f>VLOOKUP($H$8&amp;$F$1,'Input RM sheet'!$A:$ZZ,EW1,0)</f>
        <v>0</v>
      </c>
      <c r="EY8" s="74">
        <f>VLOOKUP($H$8&amp;$F$1,'Input RM sheet'!$A:$ZZ,EX1,0)</f>
        <v>0</v>
      </c>
      <c r="EZ8" s="74">
        <f>VLOOKUP($H$8&amp;$F$1,'Input RM sheet'!$A:$ZZ,EY1,0)</f>
        <v>0</v>
      </c>
      <c r="FA8" s="74">
        <f>VLOOKUP($H$8&amp;$F$1,'Input RM sheet'!$A:$ZZ,EZ1,0)</f>
        <v>0</v>
      </c>
      <c r="FB8" s="74">
        <f>VLOOKUP($H$8&amp;$F$1,'Input RM sheet'!$A:$ZZ,FA1,0)</f>
        <v>0</v>
      </c>
      <c r="FC8" s="74">
        <f>VLOOKUP($H$8&amp;$F$1,'Input RM sheet'!$A:$ZZ,FB1,0)</f>
        <v>0</v>
      </c>
      <c r="FD8" s="74">
        <f>VLOOKUP($H$8&amp;$F$1,'Input RM sheet'!$A:$ZZ,FC1,0)</f>
        <v>0</v>
      </c>
      <c r="FE8" s="74">
        <f>VLOOKUP($H$8&amp;$F$1,'Input RM sheet'!$A:$ZZ,FD1,0)</f>
        <v>0</v>
      </c>
      <c r="FF8" s="74">
        <f>VLOOKUP($H$8&amp;$F$1,'Input RM sheet'!$A:$ZZ,FE1,0)</f>
        <v>0</v>
      </c>
      <c r="FG8" s="74">
        <f>VLOOKUP($H$8&amp;$F$1,'Input RM sheet'!$A:$ZZ,FF1,0)</f>
        <v>0</v>
      </c>
      <c r="FH8" s="74">
        <f>VLOOKUP($H$8&amp;$F$1,'Input RM sheet'!$A:$ZZ,FG1,0)</f>
        <v>0</v>
      </c>
      <c r="FI8" s="74">
        <f>VLOOKUP($H$8&amp;$F$1,'Input RM sheet'!$A:$ZZ,FH1,0)</f>
        <v>0</v>
      </c>
      <c r="FJ8" s="74">
        <f>VLOOKUP($H$8&amp;$F$1,'Input RM sheet'!$A:$ZZ,FI1,0)</f>
        <v>0</v>
      </c>
    </row>
    <row r="9" spans="1:166" ht="13">
      <c r="A9" s="59" t="s">
        <v>395</v>
      </c>
      <c r="B9" s="59"/>
      <c r="C9" s="59" t="s">
        <v>379</v>
      </c>
      <c r="D9" s="98" t="s">
        <v>380</v>
      </c>
      <c r="E9" s="98" t="s">
        <v>381</v>
      </c>
      <c r="F9" s="59" t="s">
        <v>396</v>
      </c>
      <c r="I9" s="84"/>
      <c r="J9" s="84"/>
      <c r="K9" s="84"/>
      <c r="L9" s="84"/>
      <c r="M9" s="84"/>
      <c r="N9" s="84"/>
      <c r="O9" s="84"/>
      <c r="P9" s="84"/>
      <c r="Q9" s="84"/>
      <c r="R9" s="84"/>
      <c r="S9" s="84"/>
      <c r="T9" s="84"/>
      <c r="U9" s="84"/>
      <c r="V9" s="84"/>
      <c r="W9" s="84"/>
      <c r="X9" s="84"/>
      <c r="Y9" s="84"/>
      <c r="Z9" s="84"/>
      <c r="AA9" s="84"/>
      <c r="AB9" s="84"/>
      <c r="AC9" s="84"/>
      <c r="AD9" s="84"/>
      <c r="AE9" s="84"/>
      <c r="AF9" s="84"/>
      <c r="AG9" s="84"/>
      <c r="AH9" s="84"/>
      <c r="AI9" s="84"/>
      <c r="AJ9" s="84"/>
      <c r="AK9" s="84"/>
      <c r="AL9" s="84"/>
      <c r="AM9" s="84"/>
      <c r="AN9" s="84"/>
      <c r="AO9" s="84"/>
      <c r="AP9" s="84"/>
      <c r="AQ9" s="84"/>
      <c r="AR9" s="84"/>
      <c r="AS9" s="84"/>
      <c r="AT9" s="84"/>
      <c r="AU9" s="84"/>
      <c r="AV9" s="84"/>
      <c r="AW9" s="84"/>
      <c r="AX9" s="84"/>
      <c r="AY9" s="84"/>
      <c r="AZ9" s="84"/>
      <c r="BA9" s="84"/>
      <c r="BB9" s="84"/>
      <c r="BC9" s="84"/>
      <c r="BD9" s="84"/>
      <c r="BE9" s="84"/>
      <c r="BF9" s="84"/>
      <c r="BG9" s="84"/>
      <c r="BH9" s="84"/>
      <c r="BI9" s="84"/>
      <c r="BJ9" s="84"/>
      <c r="BK9" s="84"/>
      <c r="BL9" s="84"/>
      <c r="BM9" s="84"/>
      <c r="BN9" s="84"/>
      <c r="BO9" s="84"/>
      <c r="BP9" s="84"/>
      <c r="BQ9" s="84"/>
      <c r="BR9" s="84"/>
      <c r="BS9" s="84"/>
      <c r="BT9" s="84"/>
      <c r="BU9" s="84"/>
      <c r="BV9" s="84"/>
      <c r="BW9" s="84"/>
      <c r="BX9" s="84"/>
      <c r="BY9" s="84"/>
      <c r="BZ9" s="84"/>
      <c r="CA9" s="84"/>
      <c r="CB9" s="84"/>
      <c r="CC9" s="84"/>
      <c r="CD9" s="84"/>
      <c r="CE9" s="84"/>
      <c r="CF9" s="84"/>
      <c r="CG9" s="84"/>
      <c r="CH9" s="84"/>
      <c r="CI9" s="84"/>
      <c r="CJ9" s="84"/>
      <c r="CK9" s="84"/>
      <c r="CL9" s="84"/>
      <c r="CM9" s="84"/>
      <c r="CN9" s="84"/>
      <c r="CO9" s="84"/>
      <c r="CP9" s="84"/>
      <c r="CQ9" s="84"/>
      <c r="CR9" s="84"/>
      <c r="CS9" s="84"/>
      <c r="CT9" s="84"/>
      <c r="CU9" s="84"/>
      <c r="CV9" s="84"/>
      <c r="CW9" s="84"/>
      <c r="CX9" s="84"/>
      <c r="CY9" s="84"/>
      <c r="CZ9" s="84"/>
      <c r="DA9" s="84"/>
      <c r="DB9" s="84"/>
      <c r="DC9" s="84"/>
      <c r="DD9" s="84"/>
      <c r="DE9" s="84"/>
      <c r="DF9" s="84"/>
      <c r="DG9" s="84"/>
      <c r="DH9" s="84"/>
      <c r="DI9" s="84"/>
      <c r="DJ9" s="84"/>
      <c r="DK9" s="84"/>
      <c r="DL9" s="84"/>
      <c r="DM9" s="84"/>
      <c r="DN9" s="84"/>
      <c r="DO9" s="84"/>
      <c r="DP9" s="84"/>
      <c r="DQ9" s="84"/>
      <c r="DR9" s="84"/>
      <c r="DS9" s="84"/>
      <c r="DT9" s="84"/>
      <c r="DU9" s="84"/>
      <c r="DV9" s="84"/>
      <c r="DW9" s="84"/>
      <c r="DX9" s="84"/>
      <c r="DY9" s="84"/>
      <c r="DZ9" s="84"/>
      <c r="EA9" s="84"/>
      <c r="EB9" s="84"/>
      <c r="EC9" s="84"/>
      <c r="ED9" s="84"/>
      <c r="EE9" s="84"/>
      <c r="EF9" s="84"/>
      <c r="EG9" s="84"/>
      <c r="EH9" s="84"/>
      <c r="EI9" s="84"/>
      <c r="EJ9" s="84"/>
      <c r="EK9" s="84"/>
      <c r="EL9" s="84"/>
      <c r="EM9" s="84"/>
      <c r="EN9" s="84"/>
      <c r="EO9" s="84"/>
      <c r="EP9" s="84"/>
      <c r="EQ9" s="84"/>
      <c r="ER9" s="84"/>
      <c r="ES9" s="84"/>
      <c r="ET9" s="84"/>
      <c r="EU9" s="84"/>
      <c r="EV9" s="84"/>
      <c r="EW9" s="84"/>
      <c r="EX9" s="84"/>
      <c r="EY9" s="84"/>
      <c r="EZ9" s="84"/>
      <c r="FA9" s="84"/>
      <c r="FB9" s="84"/>
      <c r="FC9" s="84"/>
      <c r="FD9" s="84"/>
      <c r="FE9" s="84"/>
      <c r="FF9" s="84"/>
      <c r="FG9" s="84"/>
      <c r="FH9" s="84"/>
      <c r="FI9" s="84"/>
      <c r="FJ9" s="84"/>
    </row>
    <row r="10" spans="1:166" ht="13">
      <c r="A10" s="107" t="s">
        <v>397</v>
      </c>
      <c r="B10" s="100" t="s">
        <v>36</v>
      </c>
      <c r="C10" s="60">
        <v>1</v>
      </c>
      <c r="D10" s="64">
        <v>32.04</v>
      </c>
      <c r="E10" s="60">
        <f>D10*C10</f>
        <v>32.04</v>
      </c>
      <c r="F10" s="65">
        <f>(E10/D3)*37%</f>
        <v>0.39476523476523473</v>
      </c>
      <c r="H10" s="60" t="s">
        <v>399</v>
      </c>
      <c r="I10" s="74">
        <f>$F$10*(I8/1000)</f>
        <v>0.10362587412587412</v>
      </c>
      <c r="J10" s="74">
        <f t="shared" ref="J10:BU10" si="0">$F$10*(J8/1000)</f>
        <v>0.12731178821178821</v>
      </c>
      <c r="K10" s="74">
        <f t="shared" si="0"/>
        <v>0.11250809190809188</v>
      </c>
      <c r="L10" s="74">
        <f t="shared" si="0"/>
        <v>8.2900699300699293E-2</v>
      </c>
      <c r="M10" s="74">
        <f t="shared" si="0"/>
        <v>6.9083916083916078E-2</v>
      </c>
      <c r="N10" s="74">
        <f t="shared" si="0"/>
        <v>6.6123176823176824E-2</v>
      </c>
      <c r="O10" s="74">
        <f t="shared" si="0"/>
        <v>7.1057742257742251E-2</v>
      </c>
      <c r="P10" s="74">
        <f t="shared" si="0"/>
        <v>8.684835164835164E-2</v>
      </c>
      <c r="Q10" s="74">
        <f t="shared" si="0"/>
        <v>9.0796003996003988E-2</v>
      </c>
      <c r="R10" s="74">
        <f t="shared" si="0"/>
        <v>9.4743656343656335E-2</v>
      </c>
      <c r="S10" s="74">
        <f t="shared" si="0"/>
        <v>0.10658661338661339</v>
      </c>
      <c r="T10" s="74">
        <f t="shared" si="0"/>
        <v>0.11842957042957042</v>
      </c>
      <c r="U10" s="74">
        <f t="shared" si="0"/>
        <v>0.1421154845154845</v>
      </c>
      <c r="V10" s="74">
        <f t="shared" si="0"/>
        <v>0.14408931068931066</v>
      </c>
      <c r="W10" s="74">
        <f t="shared" si="0"/>
        <v>0.14014165834165832</v>
      </c>
      <c r="X10" s="74">
        <f t="shared" si="0"/>
        <v>0.13422017982017981</v>
      </c>
      <c r="Y10" s="74">
        <f t="shared" si="0"/>
        <v>0.13718091908091906</v>
      </c>
      <c r="Z10" s="74">
        <f t="shared" si="0"/>
        <v>0.14112857142857141</v>
      </c>
      <c r="AA10" s="74">
        <f t="shared" si="0"/>
        <v>0.1421154845154845</v>
      </c>
      <c r="AB10" s="74">
        <f t="shared" si="0"/>
        <v>0.14606313686313685</v>
      </c>
      <c r="AC10" s="74">
        <f t="shared" si="0"/>
        <v>0.15395844155844154</v>
      </c>
      <c r="AD10" s="74">
        <f t="shared" si="0"/>
        <v>0.18455274725274726</v>
      </c>
      <c r="AE10" s="74">
        <f t="shared" si="0"/>
        <v>0.15494535464535464</v>
      </c>
      <c r="AF10" s="74">
        <f t="shared" si="0"/>
        <v>0.13422017982017981</v>
      </c>
      <c r="AG10" s="74">
        <f t="shared" si="0"/>
        <v>0.12237722277722277</v>
      </c>
      <c r="AH10" s="74">
        <f t="shared" si="0"/>
        <v>0.15395844155844154</v>
      </c>
      <c r="AI10" s="74">
        <f t="shared" si="0"/>
        <v>0.16974905094905093</v>
      </c>
      <c r="AJ10" s="74">
        <f t="shared" si="0"/>
        <v>0.15395844155844154</v>
      </c>
      <c r="AK10" s="74">
        <f t="shared" si="0"/>
        <v>0.13816783216783216</v>
      </c>
      <c r="AL10" s="74">
        <f t="shared" si="0"/>
        <v>0.13422017982017981</v>
      </c>
      <c r="AM10" s="74">
        <f t="shared" si="0"/>
        <v>0.12435104895104894</v>
      </c>
      <c r="AN10" s="74">
        <f t="shared" si="0"/>
        <v>0.12435104895104894</v>
      </c>
      <c r="AO10" s="74">
        <f t="shared" si="0"/>
        <v>0.12435104895104894</v>
      </c>
      <c r="AP10" s="74">
        <f t="shared" si="0"/>
        <v>0.1282987012987013</v>
      </c>
      <c r="AQ10" s="74">
        <f t="shared" si="0"/>
        <v>0.1282987012987013</v>
      </c>
      <c r="AR10" s="74">
        <f t="shared" si="0"/>
        <v>0.12435104895104894</v>
      </c>
      <c r="AS10" s="74">
        <f t="shared" si="0"/>
        <v>0.1282987012987013</v>
      </c>
      <c r="AT10" s="74">
        <f t="shared" si="0"/>
        <v>0.13718091908091906</v>
      </c>
      <c r="AU10" s="74">
        <f t="shared" si="0"/>
        <v>0.1431023976023976</v>
      </c>
      <c r="AV10" s="74">
        <f t="shared" si="0"/>
        <v>0.13224635364635365</v>
      </c>
      <c r="AW10" s="74">
        <f t="shared" si="0"/>
        <v>0.12237722277722277</v>
      </c>
      <c r="AX10" s="74">
        <f t="shared" si="0"/>
        <v>0.11842957042957042</v>
      </c>
      <c r="AY10" s="74">
        <f t="shared" si="0"/>
        <v>0.11842957042957042</v>
      </c>
      <c r="AZ10" s="74">
        <f t="shared" si="0"/>
        <v>0.11448191808191806</v>
      </c>
      <c r="BA10" s="74">
        <f t="shared" si="0"/>
        <v>0.11448191808191806</v>
      </c>
      <c r="BB10" s="74">
        <f t="shared" si="0"/>
        <v>0.11448191808191806</v>
      </c>
      <c r="BC10" s="74">
        <f t="shared" si="0"/>
        <v>0.11448191808191806</v>
      </c>
      <c r="BD10" s="74">
        <f t="shared" si="0"/>
        <v>0.12237722277722277</v>
      </c>
      <c r="BE10" s="74">
        <f t="shared" si="0"/>
        <v>0.12237722277722277</v>
      </c>
      <c r="BF10" s="74">
        <f t="shared" si="0"/>
        <v>0.12237722277722277</v>
      </c>
      <c r="BG10" s="74">
        <f t="shared" si="0"/>
        <v>0.12237722277722277</v>
      </c>
      <c r="BH10" s="74">
        <f t="shared" si="0"/>
        <v>0.12237722277722277</v>
      </c>
      <c r="BI10" s="74">
        <f t="shared" si="0"/>
        <v>0.13027252747252746</v>
      </c>
      <c r="BJ10" s="74">
        <f t="shared" si="0"/>
        <v>0.13027252747252746</v>
      </c>
      <c r="BK10" s="74">
        <f t="shared" si="0"/>
        <v>0.13027252747252746</v>
      </c>
      <c r="BL10" s="74">
        <f t="shared" si="0"/>
        <v>0.13027252747252746</v>
      </c>
      <c r="BM10" s="74">
        <f t="shared" si="0"/>
        <v>0.13027252747252746</v>
      </c>
      <c r="BN10" s="74">
        <f t="shared" si="0"/>
        <v>0.13027252747252746</v>
      </c>
      <c r="BO10" s="74">
        <f t="shared" si="0"/>
        <v>0.13027252747252746</v>
      </c>
      <c r="BP10" s="74">
        <f t="shared" si="0"/>
        <v>0.12435104895104894</v>
      </c>
      <c r="BQ10" s="74">
        <f t="shared" si="0"/>
        <v>0.12435104895104894</v>
      </c>
      <c r="BR10" s="74">
        <f t="shared" si="0"/>
        <v>0.12435104895104894</v>
      </c>
      <c r="BS10" s="74">
        <f t="shared" si="0"/>
        <v>0.12435104895104894</v>
      </c>
      <c r="BT10" s="74">
        <f t="shared" si="0"/>
        <v>0.13224635364635365</v>
      </c>
      <c r="BU10" s="74">
        <f t="shared" si="0"/>
        <v>0.13224635364635365</v>
      </c>
      <c r="BV10" s="74">
        <f t="shared" ref="BV10:CL10" si="1">$F$10*(BV8/1000)</f>
        <v>0.13224635364635365</v>
      </c>
      <c r="BW10" s="74">
        <f t="shared" si="1"/>
        <v>0.13323326673326674</v>
      </c>
      <c r="BX10" s="74">
        <f t="shared" si="1"/>
        <v>0.13323326673326674</v>
      </c>
      <c r="BY10" s="74">
        <f t="shared" si="1"/>
        <v>0.13323326673326674</v>
      </c>
      <c r="BZ10" s="74">
        <f t="shared" si="1"/>
        <v>0.13718091908091906</v>
      </c>
      <c r="CA10" s="74">
        <f t="shared" si="1"/>
        <v>0.13718091908091906</v>
      </c>
      <c r="CB10" s="74">
        <f t="shared" si="1"/>
        <v>0.13718091908091906</v>
      </c>
      <c r="CC10" s="74">
        <f t="shared" si="1"/>
        <v>0.13718091908091906</v>
      </c>
      <c r="CD10" s="74">
        <f t="shared" si="1"/>
        <v>0.13718091908091906</v>
      </c>
      <c r="CE10" s="74">
        <f t="shared" si="1"/>
        <v>0.13718091908091906</v>
      </c>
      <c r="CF10" s="74">
        <f t="shared" si="1"/>
        <v>0.13718091908091906</v>
      </c>
      <c r="CG10" s="74">
        <f t="shared" si="1"/>
        <v>0.14014165834165832</v>
      </c>
      <c r="CH10" s="74">
        <f t="shared" si="1"/>
        <v>0.14014165834165832</v>
      </c>
      <c r="CI10" s="74">
        <f t="shared" si="1"/>
        <v>0.13619400599400597</v>
      </c>
      <c r="CJ10" s="74">
        <f t="shared" si="1"/>
        <v>0.13619400599400597</v>
      </c>
      <c r="CK10" s="74">
        <f t="shared" si="1"/>
        <v>0.13619400599400597</v>
      </c>
      <c r="CL10" s="74">
        <f t="shared" si="1"/>
        <v>0.13619400599400597</v>
      </c>
      <c r="CM10" s="74">
        <f>$F$10*(CM8/1000)</f>
        <v>0.1352070929070929</v>
      </c>
      <c r="CN10" s="74">
        <f>$F$10*(CN8/1000)</f>
        <v>0.1352070929070929</v>
      </c>
      <c r="CO10" s="74">
        <f>$F$10*(CO8/1000)</f>
        <v>0.1352070929070929</v>
      </c>
      <c r="CP10" s="74">
        <f>$F$10*(CP8/1000)</f>
        <v>0.1352070929070929</v>
      </c>
      <c r="CQ10" s="74">
        <f t="shared" ref="CQ10:FB10" si="2">$F$10*(CQ8/1000)</f>
        <v>0.1352070929070929</v>
      </c>
      <c r="CR10" s="74">
        <f t="shared" si="2"/>
        <v>0.1352070929070929</v>
      </c>
      <c r="CS10" s="74">
        <f t="shared" si="2"/>
        <v>0.13422017982017981</v>
      </c>
      <c r="CT10" s="74">
        <f t="shared" si="2"/>
        <v>0.13422017982017981</v>
      </c>
      <c r="CU10" s="74">
        <f t="shared" si="2"/>
        <v>0.13422017982017981</v>
      </c>
      <c r="CV10" s="74">
        <f t="shared" si="2"/>
        <v>0.13422017982017981</v>
      </c>
      <c r="CW10" s="74">
        <f t="shared" si="2"/>
        <v>0.13224635364635365</v>
      </c>
      <c r="CX10" s="74">
        <f t="shared" si="2"/>
        <v>0.13224635364635365</v>
      </c>
      <c r="CY10" s="74">
        <f t="shared" si="2"/>
        <v>0.13224635364635365</v>
      </c>
      <c r="CZ10" s="74">
        <f t="shared" si="2"/>
        <v>0.13224635364635365</v>
      </c>
      <c r="DA10" s="74">
        <f t="shared" si="2"/>
        <v>0.13224635364635365</v>
      </c>
      <c r="DB10" s="74">
        <f t="shared" si="2"/>
        <v>0.13224635364635365</v>
      </c>
      <c r="DC10" s="74">
        <f t="shared" si="2"/>
        <v>0.13224635364635365</v>
      </c>
      <c r="DD10" s="74">
        <f t="shared" si="2"/>
        <v>0.13224635364635365</v>
      </c>
      <c r="DE10" s="74">
        <f t="shared" si="2"/>
        <v>0.13224635364635365</v>
      </c>
      <c r="DF10" s="74">
        <f t="shared" si="2"/>
        <v>0.13224635364635365</v>
      </c>
      <c r="DG10" s="74">
        <f t="shared" si="2"/>
        <v>0.13224635364635365</v>
      </c>
      <c r="DH10" s="74">
        <f t="shared" si="2"/>
        <v>0.13224635364635365</v>
      </c>
      <c r="DI10" s="74">
        <f t="shared" si="2"/>
        <v>0.13224635364635365</v>
      </c>
      <c r="DJ10" s="74">
        <f t="shared" si="2"/>
        <v>0.13619400599400597</v>
      </c>
      <c r="DK10" s="74">
        <f t="shared" si="2"/>
        <v>0.13619400599400597</v>
      </c>
      <c r="DL10" s="74">
        <f t="shared" si="2"/>
        <v>0.13619400599400597</v>
      </c>
      <c r="DM10" s="74">
        <f t="shared" si="2"/>
        <v>0.13619400599400597</v>
      </c>
      <c r="DN10" s="74">
        <f t="shared" si="2"/>
        <v>0.13027252747252746</v>
      </c>
      <c r="DO10" s="74">
        <f t="shared" si="2"/>
        <v>0.13027252747252746</v>
      </c>
      <c r="DP10" s="74">
        <f t="shared" si="2"/>
        <v>0.13027252747252746</v>
      </c>
      <c r="DQ10" s="74">
        <f t="shared" si="2"/>
        <v>0.13027252747252746</v>
      </c>
      <c r="DR10" s="74">
        <f t="shared" si="2"/>
        <v>0.13027252747252746</v>
      </c>
      <c r="DS10" s="74">
        <f t="shared" si="2"/>
        <v>0.13718091908091906</v>
      </c>
      <c r="DT10" s="74">
        <f t="shared" si="2"/>
        <v>0</v>
      </c>
      <c r="DU10" s="74">
        <f t="shared" si="2"/>
        <v>0</v>
      </c>
      <c r="DV10" s="74">
        <f t="shared" si="2"/>
        <v>0</v>
      </c>
      <c r="DW10" s="74">
        <f t="shared" si="2"/>
        <v>0</v>
      </c>
      <c r="DX10" s="74">
        <f t="shared" si="2"/>
        <v>0</v>
      </c>
      <c r="DY10" s="74">
        <f t="shared" si="2"/>
        <v>0</v>
      </c>
      <c r="DZ10" s="74">
        <f t="shared" si="2"/>
        <v>0</v>
      </c>
      <c r="EA10" s="74">
        <f t="shared" si="2"/>
        <v>0</v>
      </c>
      <c r="EB10" s="74">
        <f t="shared" si="2"/>
        <v>0</v>
      </c>
      <c r="EC10" s="74">
        <f t="shared" si="2"/>
        <v>0</v>
      </c>
      <c r="ED10" s="74">
        <f t="shared" si="2"/>
        <v>0</v>
      </c>
      <c r="EE10" s="74">
        <f t="shared" si="2"/>
        <v>0</v>
      </c>
      <c r="EF10" s="74">
        <f t="shared" si="2"/>
        <v>0</v>
      </c>
      <c r="EG10" s="74">
        <f t="shared" si="2"/>
        <v>0</v>
      </c>
      <c r="EH10" s="74">
        <f t="shared" si="2"/>
        <v>0</v>
      </c>
      <c r="EI10" s="74">
        <f t="shared" si="2"/>
        <v>0</v>
      </c>
      <c r="EJ10" s="74">
        <f t="shared" si="2"/>
        <v>0</v>
      </c>
      <c r="EK10" s="74">
        <f t="shared" si="2"/>
        <v>0</v>
      </c>
      <c r="EL10" s="74">
        <f t="shared" si="2"/>
        <v>0</v>
      </c>
      <c r="EM10" s="74">
        <f t="shared" si="2"/>
        <v>0</v>
      </c>
      <c r="EN10" s="74">
        <f t="shared" si="2"/>
        <v>0</v>
      </c>
      <c r="EO10" s="74">
        <f t="shared" si="2"/>
        <v>0</v>
      </c>
      <c r="EP10" s="74">
        <f t="shared" si="2"/>
        <v>0</v>
      </c>
      <c r="EQ10" s="74">
        <f t="shared" si="2"/>
        <v>0</v>
      </c>
      <c r="ER10" s="74">
        <f t="shared" si="2"/>
        <v>0</v>
      </c>
      <c r="ES10" s="74">
        <f t="shared" si="2"/>
        <v>0</v>
      </c>
      <c r="ET10" s="74">
        <f t="shared" si="2"/>
        <v>0</v>
      </c>
      <c r="EU10" s="74">
        <f t="shared" si="2"/>
        <v>0</v>
      </c>
      <c r="EV10" s="74">
        <f t="shared" si="2"/>
        <v>0</v>
      </c>
      <c r="EW10" s="74">
        <f t="shared" si="2"/>
        <v>0</v>
      </c>
      <c r="EX10" s="74">
        <f t="shared" si="2"/>
        <v>0</v>
      </c>
      <c r="EY10" s="74">
        <f t="shared" si="2"/>
        <v>0</v>
      </c>
      <c r="EZ10" s="74">
        <f t="shared" si="2"/>
        <v>0</v>
      </c>
      <c r="FA10" s="74">
        <f t="shared" si="2"/>
        <v>0</v>
      </c>
      <c r="FB10" s="74">
        <f t="shared" si="2"/>
        <v>0</v>
      </c>
      <c r="FC10" s="74">
        <f t="shared" ref="FC10:FJ10" si="3">$F$10*(FC8/1000)</f>
        <v>0</v>
      </c>
      <c r="FD10" s="74">
        <f t="shared" si="3"/>
        <v>0</v>
      </c>
      <c r="FE10" s="74">
        <f t="shared" si="3"/>
        <v>0</v>
      </c>
      <c r="FF10" s="74">
        <f t="shared" si="3"/>
        <v>0</v>
      </c>
      <c r="FG10" s="74">
        <f t="shared" si="3"/>
        <v>0</v>
      </c>
      <c r="FH10" s="74">
        <f t="shared" si="3"/>
        <v>0</v>
      </c>
      <c r="FI10" s="74">
        <f t="shared" si="3"/>
        <v>0</v>
      </c>
      <c r="FJ10" s="74">
        <f t="shared" si="3"/>
        <v>0</v>
      </c>
    </row>
    <row r="11" spans="1:166" s="104" customFormat="1">
      <c r="A11" s="104" t="s">
        <v>400</v>
      </c>
      <c r="I11" s="105">
        <f>SUM(I10:I10)</f>
        <v>0.10362587412587412</v>
      </c>
      <c r="J11" s="105">
        <f t="shared" ref="J11:BU11" si="4">SUM(J10:J10)</f>
        <v>0.12731178821178821</v>
      </c>
      <c r="K11" s="105">
        <f t="shared" si="4"/>
        <v>0.11250809190809188</v>
      </c>
      <c r="L11" s="105">
        <f t="shared" si="4"/>
        <v>8.2900699300699293E-2</v>
      </c>
      <c r="M11" s="105">
        <f t="shared" si="4"/>
        <v>6.9083916083916078E-2</v>
      </c>
      <c r="N11" s="105">
        <f t="shared" si="4"/>
        <v>6.6123176823176824E-2</v>
      </c>
      <c r="O11" s="105">
        <f t="shared" si="4"/>
        <v>7.1057742257742251E-2</v>
      </c>
      <c r="P11" s="105">
        <f t="shared" si="4"/>
        <v>8.684835164835164E-2</v>
      </c>
      <c r="Q11" s="105">
        <f t="shared" si="4"/>
        <v>9.0796003996003988E-2</v>
      </c>
      <c r="R11" s="105">
        <f t="shared" si="4"/>
        <v>9.4743656343656335E-2</v>
      </c>
      <c r="S11" s="105">
        <f t="shared" si="4"/>
        <v>0.10658661338661339</v>
      </c>
      <c r="T11" s="105">
        <f t="shared" si="4"/>
        <v>0.11842957042957042</v>
      </c>
      <c r="U11" s="105">
        <f t="shared" si="4"/>
        <v>0.1421154845154845</v>
      </c>
      <c r="V11" s="105">
        <f t="shared" si="4"/>
        <v>0.14408931068931066</v>
      </c>
      <c r="W11" s="105">
        <f t="shared" si="4"/>
        <v>0.14014165834165832</v>
      </c>
      <c r="X11" s="105">
        <f t="shared" si="4"/>
        <v>0.13422017982017981</v>
      </c>
      <c r="Y11" s="105">
        <f t="shared" si="4"/>
        <v>0.13718091908091906</v>
      </c>
      <c r="Z11" s="105">
        <f t="shared" si="4"/>
        <v>0.14112857142857141</v>
      </c>
      <c r="AA11" s="105">
        <f t="shared" si="4"/>
        <v>0.1421154845154845</v>
      </c>
      <c r="AB11" s="105">
        <f t="shared" si="4"/>
        <v>0.14606313686313685</v>
      </c>
      <c r="AC11" s="105">
        <f t="shared" si="4"/>
        <v>0.15395844155844154</v>
      </c>
      <c r="AD11" s="105">
        <f t="shared" si="4"/>
        <v>0.18455274725274726</v>
      </c>
      <c r="AE11" s="105">
        <f t="shared" si="4"/>
        <v>0.15494535464535464</v>
      </c>
      <c r="AF11" s="105">
        <f t="shared" si="4"/>
        <v>0.13422017982017981</v>
      </c>
      <c r="AG11" s="105">
        <f t="shared" si="4"/>
        <v>0.12237722277722277</v>
      </c>
      <c r="AH11" s="105">
        <f t="shared" si="4"/>
        <v>0.15395844155844154</v>
      </c>
      <c r="AI11" s="105">
        <f t="shared" si="4"/>
        <v>0.16974905094905093</v>
      </c>
      <c r="AJ11" s="105">
        <f t="shared" si="4"/>
        <v>0.15395844155844154</v>
      </c>
      <c r="AK11" s="105">
        <f t="shared" si="4"/>
        <v>0.13816783216783216</v>
      </c>
      <c r="AL11" s="105">
        <f t="shared" si="4"/>
        <v>0.13422017982017981</v>
      </c>
      <c r="AM11" s="105">
        <f t="shared" si="4"/>
        <v>0.12435104895104894</v>
      </c>
      <c r="AN11" s="105">
        <f t="shared" si="4"/>
        <v>0.12435104895104894</v>
      </c>
      <c r="AO11" s="105">
        <f t="shared" si="4"/>
        <v>0.12435104895104894</v>
      </c>
      <c r="AP11" s="105">
        <f t="shared" si="4"/>
        <v>0.1282987012987013</v>
      </c>
      <c r="AQ11" s="105">
        <f t="shared" si="4"/>
        <v>0.1282987012987013</v>
      </c>
      <c r="AR11" s="105">
        <f t="shared" si="4"/>
        <v>0.12435104895104894</v>
      </c>
      <c r="AS11" s="105">
        <f t="shared" si="4"/>
        <v>0.1282987012987013</v>
      </c>
      <c r="AT11" s="105">
        <f t="shared" si="4"/>
        <v>0.13718091908091906</v>
      </c>
      <c r="AU11" s="105">
        <f t="shared" si="4"/>
        <v>0.1431023976023976</v>
      </c>
      <c r="AV11" s="105">
        <f t="shared" si="4"/>
        <v>0.13224635364635365</v>
      </c>
      <c r="AW11" s="105">
        <f t="shared" si="4"/>
        <v>0.12237722277722277</v>
      </c>
      <c r="AX11" s="105">
        <f t="shared" si="4"/>
        <v>0.11842957042957042</v>
      </c>
      <c r="AY11" s="105">
        <f t="shared" si="4"/>
        <v>0.11842957042957042</v>
      </c>
      <c r="AZ11" s="105">
        <f t="shared" si="4"/>
        <v>0.11448191808191806</v>
      </c>
      <c r="BA11" s="105">
        <f t="shared" si="4"/>
        <v>0.11448191808191806</v>
      </c>
      <c r="BB11" s="105">
        <f t="shared" si="4"/>
        <v>0.11448191808191806</v>
      </c>
      <c r="BC11" s="105">
        <f t="shared" si="4"/>
        <v>0.11448191808191806</v>
      </c>
      <c r="BD11" s="105">
        <f t="shared" si="4"/>
        <v>0.12237722277722277</v>
      </c>
      <c r="BE11" s="105">
        <f t="shared" si="4"/>
        <v>0.12237722277722277</v>
      </c>
      <c r="BF11" s="105">
        <f t="shared" si="4"/>
        <v>0.12237722277722277</v>
      </c>
      <c r="BG11" s="105">
        <f t="shared" si="4"/>
        <v>0.12237722277722277</v>
      </c>
      <c r="BH11" s="105">
        <f t="shared" si="4"/>
        <v>0.12237722277722277</v>
      </c>
      <c r="BI11" s="105">
        <f t="shared" si="4"/>
        <v>0.13027252747252746</v>
      </c>
      <c r="BJ11" s="105">
        <f t="shared" si="4"/>
        <v>0.13027252747252746</v>
      </c>
      <c r="BK11" s="105">
        <f t="shared" si="4"/>
        <v>0.13027252747252746</v>
      </c>
      <c r="BL11" s="105">
        <f t="shared" si="4"/>
        <v>0.13027252747252746</v>
      </c>
      <c r="BM11" s="105">
        <f t="shared" si="4"/>
        <v>0.13027252747252746</v>
      </c>
      <c r="BN11" s="105">
        <f t="shared" si="4"/>
        <v>0.13027252747252746</v>
      </c>
      <c r="BO11" s="105">
        <f t="shared" si="4"/>
        <v>0.13027252747252746</v>
      </c>
      <c r="BP11" s="105">
        <f t="shared" si="4"/>
        <v>0.12435104895104894</v>
      </c>
      <c r="BQ11" s="105">
        <f t="shared" si="4"/>
        <v>0.12435104895104894</v>
      </c>
      <c r="BR11" s="105">
        <f t="shared" si="4"/>
        <v>0.12435104895104894</v>
      </c>
      <c r="BS11" s="105">
        <f t="shared" si="4"/>
        <v>0.12435104895104894</v>
      </c>
      <c r="BT11" s="105">
        <f t="shared" si="4"/>
        <v>0.13224635364635365</v>
      </c>
      <c r="BU11" s="105">
        <f t="shared" si="4"/>
        <v>0.13224635364635365</v>
      </c>
      <c r="BV11" s="105">
        <f t="shared" ref="BV11:CL11" si="5">SUM(BV10:BV10)</f>
        <v>0.13224635364635365</v>
      </c>
      <c r="BW11" s="105">
        <f t="shared" si="5"/>
        <v>0.13323326673326674</v>
      </c>
      <c r="BX11" s="105">
        <f t="shared" si="5"/>
        <v>0.13323326673326674</v>
      </c>
      <c r="BY11" s="105">
        <f t="shared" si="5"/>
        <v>0.13323326673326674</v>
      </c>
      <c r="BZ11" s="105">
        <f t="shared" si="5"/>
        <v>0.13718091908091906</v>
      </c>
      <c r="CA11" s="105">
        <f t="shared" si="5"/>
        <v>0.13718091908091906</v>
      </c>
      <c r="CB11" s="105">
        <f t="shared" si="5"/>
        <v>0.13718091908091906</v>
      </c>
      <c r="CC11" s="105">
        <f t="shared" si="5"/>
        <v>0.13718091908091906</v>
      </c>
      <c r="CD11" s="105">
        <f t="shared" si="5"/>
        <v>0.13718091908091906</v>
      </c>
      <c r="CE11" s="105">
        <f t="shared" si="5"/>
        <v>0.13718091908091906</v>
      </c>
      <c r="CF11" s="105">
        <f t="shared" si="5"/>
        <v>0.13718091908091906</v>
      </c>
      <c r="CG11" s="105">
        <f t="shared" si="5"/>
        <v>0.14014165834165832</v>
      </c>
      <c r="CH11" s="105">
        <f t="shared" si="5"/>
        <v>0.14014165834165832</v>
      </c>
      <c r="CI11" s="105">
        <f t="shared" si="5"/>
        <v>0.13619400599400597</v>
      </c>
      <c r="CJ11" s="105">
        <f t="shared" si="5"/>
        <v>0.13619400599400597</v>
      </c>
      <c r="CK11" s="105">
        <f t="shared" si="5"/>
        <v>0.13619400599400597</v>
      </c>
      <c r="CL11" s="105">
        <f t="shared" si="5"/>
        <v>0.13619400599400597</v>
      </c>
      <c r="CM11" s="105">
        <f>SUM(CM10:CM10)</f>
        <v>0.1352070929070929</v>
      </c>
      <c r="CN11" s="105">
        <f>SUM(CN10:CN10)</f>
        <v>0.1352070929070929</v>
      </c>
      <c r="CO11" s="105">
        <f>SUM(CO10:CO10)</f>
        <v>0.1352070929070929</v>
      </c>
      <c r="CP11" s="105">
        <f>SUM(CP10:CP10)</f>
        <v>0.1352070929070929</v>
      </c>
      <c r="CQ11" s="105">
        <f t="shared" ref="CQ11:FB11" si="6">SUM(CQ10:CQ10)</f>
        <v>0.1352070929070929</v>
      </c>
      <c r="CR11" s="105">
        <f t="shared" si="6"/>
        <v>0.1352070929070929</v>
      </c>
      <c r="CS11" s="105">
        <f t="shared" si="6"/>
        <v>0.13422017982017981</v>
      </c>
      <c r="CT11" s="105">
        <f t="shared" si="6"/>
        <v>0.13422017982017981</v>
      </c>
      <c r="CU11" s="105">
        <f t="shared" si="6"/>
        <v>0.13422017982017981</v>
      </c>
      <c r="CV11" s="105">
        <f t="shared" si="6"/>
        <v>0.13422017982017981</v>
      </c>
      <c r="CW11" s="105">
        <f t="shared" si="6"/>
        <v>0.13224635364635365</v>
      </c>
      <c r="CX11" s="105">
        <f t="shared" si="6"/>
        <v>0.13224635364635365</v>
      </c>
      <c r="CY11" s="105">
        <f t="shared" si="6"/>
        <v>0.13224635364635365</v>
      </c>
      <c r="CZ11" s="105">
        <f t="shared" si="6"/>
        <v>0.13224635364635365</v>
      </c>
      <c r="DA11" s="105">
        <f t="shared" si="6"/>
        <v>0.13224635364635365</v>
      </c>
      <c r="DB11" s="105">
        <f t="shared" si="6"/>
        <v>0.13224635364635365</v>
      </c>
      <c r="DC11" s="105">
        <f t="shared" si="6"/>
        <v>0.13224635364635365</v>
      </c>
      <c r="DD11" s="105">
        <f t="shared" si="6"/>
        <v>0.13224635364635365</v>
      </c>
      <c r="DE11" s="105">
        <f t="shared" si="6"/>
        <v>0.13224635364635365</v>
      </c>
      <c r="DF11" s="105">
        <f t="shared" si="6"/>
        <v>0.13224635364635365</v>
      </c>
      <c r="DG11" s="105">
        <f t="shared" si="6"/>
        <v>0.13224635364635365</v>
      </c>
      <c r="DH11" s="105">
        <f t="shared" si="6"/>
        <v>0.13224635364635365</v>
      </c>
      <c r="DI11" s="105">
        <f t="shared" si="6"/>
        <v>0.13224635364635365</v>
      </c>
      <c r="DJ11" s="105">
        <f t="shared" si="6"/>
        <v>0.13619400599400597</v>
      </c>
      <c r="DK11" s="105">
        <f t="shared" si="6"/>
        <v>0.13619400599400597</v>
      </c>
      <c r="DL11" s="105">
        <f t="shared" si="6"/>
        <v>0.13619400599400597</v>
      </c>
      <c r="DM11" s="105">
        <f t="shared" si="6"/>
        <v>0.13619400599400597</v>
      </c>
      <c r="DN11" s="105">
        <f t="shared" si="6"/>
        <v>0.13027252747252746</v>
      </c>
      <c r="DO11" s="105">
        <f t="shared" si="6"/>
        <v>0.13027252747252746</v>
      </c>
      <c r="DP11" s="105">
        <f t="shared" si="6"/>
        <v>0.13027252747252746</v>
      </c>
      <c r="DQ11" s="105">
        <f t="shared" si="6"/>
        <v>0.13027252747252746</v>
      </c>
      <c r="DR11" s="105">
        <f t="shared" si="6"/>
        <v>0.13027252747252746</v>
      </c>
      <c r="DS11" s="105">
        <f t="shared" si="6"/>
        <v>0.13718091908091906</v>
      </c>
      <c r="DT11" s="105">
        <f t="shared" si="6"/>
        <v>0</v>
      </c>
      <c r="DU11" s="105">
        <f t="shared" si="6"/>
        <v>0</v>
      </c>
      <c r="DV11" s="105">
        <f t="shared" si="6"/>
        <v>0</v>
      </c>
      <c r="DW11" s="105">
        <f t="shared" si="6"/>
        <v>0</v>
      </c>
      <c r="DX11" s="105">
        <f t="shared" si="6"/>
        <v>0</v>
      </c>
      <c r="DY11" s="105">
        <f t="shared" si="6"/>
        <v>0</v>
      </c>
      <c r="DZ11" s="105">
        <f t="shared" si="6"/>
        <v>0</v>
      </c>
      <c r="EA11" s="105">
        <f t="shared" si="6"/>
        <v>0</v>
      </c>
      <c r="EB11" s="105">
        <f t="shared" si="6"/>
        <v>0</v>
      </c>
      <c r="EC11" s="105">
        <f t="shared" si="6"/>
        <v>0</v>
      </c>
      <c r="ED11" s="105">
        <f t="shared" si="6"/>
        <v>0</v>
      </c>
      <c r="EE11" s="105">
        <f t="shared" si="6"/>
        <v>0</v>
      </c>
      <c r="EF11" s="105">
        <f t="shared" si="6"/>
        <v>0</v>
      </c>
      <c r="EG11" s="105">
        <f t="shared" si="6"/>
        <v>0</v>
      </c>
      <c r="EH11" s="105">
        <f t="shared" si="6"/>
        <v>0</v>
      </c>
      <c r="EI11" s="105">
        <f t="shared" si="6"/>
        <v>0</v>
      </c>
      <c r="EJ11" s="105">
        <f t="shared" si="6"/>
        <v>0</v>
      </c>
      <c r="EK11" s="105">
        <f t="shared" si="6"/>
        <v>0</v>
      </c>
      <c r="EL11" s="105">
        <f t="shared" si="6"/>
        <v>0</v>
      </c>
      <c r="EM11" s="105">
        <f t="shared" si="6"/>
        <v>0</v>
      </c>
      <c r="EN11" s="105">
        <f t="shared" si="6"/>
        <v>0</v>
      </c>
      <c r="EO11" s="105">
        <f t="shared" si="6"/>
        <v>0</v>
      </c>
      <c r="EP11" s="105">
        <f t="shared" si="6"/>
        <v>0</v>
      </c>
      <c r="EQ11" s="105">
        <f t="shared" si="6"/>
        <v>0</v>
      </c>
      <c r="ER11" s="105">
        <f t="shared" si="6"/>
        <v>0</v>
      </c>
      <c r="ES11" s="105">
        <f t="shared" si="6"/>
        <v>0</v>
      </c>
      <c r="ET11" s="105">
        <f t="shared" si="6"/>
        <v>0</v>
      </c>
      <c r="EU11" s="105">
        <f t="shared" si="6"/>
        <v>0</v>
      </c>
      <c r="EV11" s="105">
        <f t="shared" si="6"/>
        <v>0</v>
      </c>
      <c r="EW11" s="105">
        <f t="shared" si="6"/>
        <v>0</v>
      </c>
      <c r="EX11" s="105">
        <f t="shared" si="6"/>
        <v>0</v>
      </c>
      <c r="EY11" s="105">
        <f t="shared" si="6"/>
        <v>0</v>
      </c>
      <c r="EZ11" s="105">
        <f t="shared" si="6"/>
        <v>0</v>
      </c>
      <c r="FA11" s="105">
        <f t="shared" si="6"/>
        <v>0</v>
      </c>
      <c r="FB11" s="105">
        <f t="shared" si="6"/>
        <v>0</v>
      </c>
      <c r="FC11" s="105">
        <f t="shared" ref="FC11:FJ11" si="7">SUM(FC10:FC10)</f>
        <v>0</v>
      </c>
      <c r="FD11" s="105">
        <f t="shared" si="7"/>
        <v>0</v>
      </c>
      <c r="FE11" s="105">
        <f t="shared" si="7"/>
        <v>0</v>
      </c>
      <c r="FF11" s="105">
        <f t="shared" si="7"/>
        <v>0</v>
      </c>
      <c r="FG11" s="105">
        <f t="shared" si="7"/>
        <v>0</v>
      </c>
      <c r="FH11" s="105">
        <f t="shared" si="7"/>
        <v>0</v>
      </c>
      <c r="FI11" s="105">
        <f t="shared" si="7"/>
        <v>0</v>
      </c>
      <c r="FJ11" s="105">
        <f t="shared" si="7"/>
        <v>0</v>
      </c>
    </row>
    <row r="12" spans="1:166">
      <c r="H12" s="60" t="s">
        <v>429</v>
      </c>
      <c r="I12" s="74">
        <f>21/70</f>
        <v>0.3</v>
      </c>
      <c r="J12" s="74"/>
      <c r="K12" s="74"/>
      <c r="L12" s="74"/>
      <c r="M12" s="74">
        <f>21/70</f>
        <v>0.3</v>
      </c>
      <c r="N12" s="74"/>
      <c r="O12" s="74"/>
      <c r="P12" s="74"/>
      <c r="Q12" s="74"/>
      <c r="R12" s="74"/>
      <c r="S12" s="74">
        <f>27/70</f>
        <v>0.38571428571428573</v>
      </c>
      <c r="T12" s="74">
        <f>27/70</f>
        <v>0.38571428571428573</v>
      </c>
      <c r="U12" s="74"/>
      <c r="V12" s="74"/>
      <c r="W12" s="74">
        <f>26.5/74</f>
        <v>0.35810810810810811</v>
      </c>
      <c r="X12" s="74"/>
      <c r="Y12" s="74"/>
      <c r="Z12" s="74"/>
      <c r="AA12" s="74">
        <f>26.5/74</f>
        <v>0.35810810810810811</v>
      </c>
      <c r="AB12" s="74"/>
      <c r="AC12" s="74"/>
      <c r="AD12" s="74"/>
      <c r="AE12" s="74"/>
      <c r="AF12" s="74"/>
      <c r="AG12" s="74"/>
      <c r="AH12" s="74"/>
      <c r="AI12" s="74"/>
      <c r="AJ12" s="74">
        <f>28/74</f>
        <v>0.3783783783783784</v>
      </c>
      <c r="AK12" s="74">
        <f>29/74</f>
        <v>0.39189189189189189</v>
      </c>
      <c r="AL12" s="74">
        <f>28/74</f>
        <v>0.3783783783783784</v>
      </c>
      <c r="AM12" s="74"/>
      <c r="AN12" s="74"/>
      <c r="AO12" s="74"/>
      <c r="AP12" s="74"/>
      <c r="AQ12" s="74">
        <f>21/74</f>
        <v>0.28378378378378377</v>
      </c>
      <c r="AR12" s="74"/>
      <c r="AS12" s="74">
        <f>21/82.5</f>
        <v>0.25454545454545452</v>
      </c>
      <c r="AT12" s="74"/>
      <c r="AU12" s="74"/>
      <c r="AV12" s="74"/>
      <c r="AW12" s="74"/>
      <c r="AX12" s="74">
        <f>20/82.5</f>
        <v>0.24242424242424243</v>
      </c>
      <c r="AY12" s="74">
        <f>20/82.5</f>
        <v>0.24242424242424243</v>
      </c>
      <c r="AZ12" s="74"/>
      <c r="BA12" s="74"/>
      <c r="BB12" s="74"/>
      <c r="BC12" s="74">
        <f>20/82.5</f>
        <v>0.24242424242424243</v>
      </c>
      <c r="BD12" s="74"/>
      <c r="BE12" s="74"/>
      <c r="BF12" s="74"/>
      <c r="BG12" s="74"/>
      <c r="BH12" s="74"/>
      <c r="BI12" s="74"/>
      <c r="BJ12" s="74"/>
      <c r="BK12" s="74"/>
      <c r="BL12" s="74"/>
      <c r="BM12" s="74"/>
      <c r="BN12" s="74"/>
      <c r="BO12" s="74"/>
      <c r="BP12" s="74">
        <f>20/82.5</f>
        <v>0.24242424242424243</v>
      </c>
      <c r="BQ12" s="74"/>
      <c r="BR12" s="74"/>
      <c r="BS12" s="74"/>
      <c r="BT12" s="74">
        <f>22/82.5</f>
        <v>0.26666666666666666</v>
      </c>
      <c r="BU12" s="74"/>
      <c r="BV12" s="74"/>
      <c r="BW12" s="74"/>
      <c r="BX12" s="74">
        <f>22/83.5</f>
        <v>0.26347305389221559</v>
      </c>
      <c r="BY12" s="74"/>
      <c r="BZ12" s="74"/>
      <c r="CA12" s="74"/>
      <c r="CB12" s="74">
        <f>22.5/83.5</f>
        <v>0.26946107784431139</v>
      </c>
      <c r="CC12" s="74"/>
      <c r="CD12" s="74"/>
      <c r="CE12" s="74"/>
      <c r="CF12" s="74"/>
      <c r="CG12" s="74"/>
      <c r="CH12" s="74"/>
      <c r="CI12" s="74">
        <f>22.5/83.5</f>
        <v>0.26946107784431139</v>
      </c>
      <c r="CJ12" s="74"/>
      <c r="CK12" s="74"/>
      <c r="CL12" s="74"/>
      <c r="CM12" s="74"/>
      <c r="CN12" s="74"/>
      <c r="CO12" s="74"/>
      <c r="CP12" s="74"/>
      <c r="CQ12" s="74"/>
      <c r="CR12" s="74"/>
      <c r="CS12" s="74"/>
      <c r="CT12" s="74"/>
      <c r="CU12" s="74"/>
      <c r="CV12" s="74"/>
      <c r="CW12" s="74"/>
      <c r="CX12" s="74"/>
      <c r="CY12" s="74"/>
      <c r="CZ12" s="74"/>
      <c r="DA12" s="74"/>
      <c r="DB12" s="74"/>
      <c r="DC12" s="74"/>
      <c r="DD12" s="74"/>
      <c r="DE12" s="74"/>
      <c r="DF12" s="74"/>
      <c r="DG12" s="74"/>
      <c r="DH12" s="74"/>
      <c r="DI12" s="74"/>
      <c r="DJ12" s="74"/>
      <c r="DK12" s="74"/>
      <c r="DL12" s="74"/>
      <c r="DM12" s="74"/>
      <c r="DN12" s="74"/>
      <c r="DO12" s="74"/>
      <c r="DP12" s="74"/>
      <c r="DQ12" s="74"/>
      <c r="DR12" s="74"/>
      <c r="DS12" s="74"/>
      <c r="DT12" s="74"/>
      <c r="DU12" s="74"/>
      <c r="DV12" s="74"/>
      <c r="DW12" s="74"/>
      <c r="DX12" s="74"/>
      <c r="DY12" s="74"/>
      <c r="DZ12" s="74"/>
      <c r="EA12" s="74"/>
      <c r="EB12" s="74"/>
      <c r="EC12" s="74"/>
      <c r="ED12" s="74"/>
      <c r="EE12" s="74"/>
      <c r="EF12" s="74"/>
      <c r="EG12" s="74"/>
      <c r="EH12" s="74"/>
      <c r="EI12" s="74"/>
      <c r="EJ12" s="74"/>
      <c r="EK12" s="74"/>
      <c r="EL12" s="74"/>
      <c r="EM12" s="74"/>
      <c r="EN12" s="74"/>
      <c r="EO12" s="74"/>
      <c r="EP12" s="74"/>
      <c r="EQ12" s="74"/>
      <c r="ER12" s="74"/>
      <c r="ES12" s="74"/>
      <c r="ET12" s="74"/>
      <c r="EU12" s="74"/>
      <c r="EV12" s="74"/>
      <c r="EW12" s="74"/>
      <c r="EX12" s="74"/>
      <c r="EY12" s="74"/>
      <c r="EZ12" s="74"/>
      <c r="FA12" s="74"/>
      <c r="FB12" s="74"/>
      <c r="FC12" s="74"/>
      <c r="FD12" s="74"/>
      <c r="FE12" s="74"/>
      <c r="FF12" s="74"/>
      <c r="FG12" s="74"/>
      <c r="FH12" s="74"/>
      <c r="FI12" s="74"/>
      <c r="FJ12" s="74"/>
    </row>
    <row r="13" spans="1:166">
      <c r="H13" s="60" t="s">
        <v>406</v>
      </c>
      <c r="I13" s="74">
        <f>I12-I11</f>
        <v>0.19637412587412587</v>
      </c>
      <c r="J13" s="108"/>
      <c r="K13" s="74"/>
      <c r="L13" s="74"/>
      <c r="M13" s="74">
        <f>M12-M11</f>
        <v>0.23091608391608393</v>
      </c>
      <c r="N13" s="74"/>
      <c r="O13" s="74"/>
      <c r="P13" s="74"/>
      <c r="Q13" s="74"/>
      <c r="R13" s="74"/>
      <c r="S13" s="74">
        <f>S12-S11</f>
        <v>0.27912767232767233</v>
      </c>
      <c r="T13" s="74">
        <f>T12-T11</f>
        <v>0.26728471528471531</v>
      </c>
      <c r="U13" s="74"/>
      <c r="V13" s="74"/>
      <c r="W13" s="74">
        <f>W12-W11</f>
        <v>0.2179664497664498</v>
      </c>
      <c r="X13" s="74"/>
      <c r="Y13" s="74"/>
      <c r="Z13" s="74"/>
      <c r="AA13" s="74">
        <f>AA12-AA11</f>
        <v>0.21599262359262361</v>
      </c>
      <c r="AB13" s="74"/>
      <c r="AC13" s="74"/>
      <c r="AD13" s="74"/>
      <c r="AE13" s="74"/>
      <c r="AF13" s="74"/>
      <c r="AG13" s="74"/>
      <c r="AH13" s="74"/>
      <c r="AI13" s="74"/>
      <c r="AJ13" s="74">
        <f>AJ12-AJ11</f>
        <v>0.22441993681993685</v>
      </c>
      <c r="AK13" s="74">
        <f>AK12-AK11</f>
        <v>0.25372405972405976</v>
      </c>
      <c r="AL13" s="74">
        <f>AL12-AL11</f>
        <v>0.24415819855819859</v>
      </c>
      <c r="AM13" s="74"/>
      <c r="AN13" s="74"/>
      <c r="AO13" s="74"/>
      <c r="AP13" s="74"/>
      <c r="AQ13" s="74">
        <f>AQ12-AQ11</f>
        <v>0.15548508248508247</v>
      </c>
      <c r="AR13" s="74"/>
      <c r="AS13" s="74">
        <f>AS12-AS11</f>
        <v>0.12624675324675322</v>
      </c>
      <c r="AT13" s="74"/>
      <c r="AU13" s="74"/>
      <c r="AV13" s="74"/>
      <c r="AW13" s="74"/>
      <c r="AX13" s="74">
        <f>AX12-AX11</f>
        <v>0.12399467199467201</v>
      </c>
      <c r="AY13" s="74">
        <f>AY12-AY11</f>
        <v>0.12399467199467201</v>
      </c>
      <c r="AZ13" s="74"/>
      <c r="BA13" s="74"/>
      <c r="BB13" s="74"/>
      <c r="BC13" s="74">
        <f>BC12-BC11</f>
        <v>0.12794232434232439</v>
      </c>
      <c r="BD13" s="74"/>
      <c r="BE13" s="74"/>
      <c r="BF13" s="74"/>
      <c r="BG13" s="74"/>
      <c r="BH13" s="74"/>
      <c r="BI13" s="74"/>
      <c r="BJ13" s="74"/>
      <c r="BK13" s="74"/>
      <c r="BL13" s="74"/>
      <c r="BM13" s="74"/>
      <c r="BN13" s="74"/>
      <c r="BO13" s="74"/>
      <c r="BP13" s="74">
        <f>BP12-BP11</f>
        <v>0.11807319347319349</v>
      </c>
      <c r="BQ13" s="74"/>
      <c r="BR13" s="74"/>
      <c r="BS13" s="74"/>
      <c r="BT13" s="74">
        <f>BT12-BT11</f>
        <v>0.13442031302031301</v>
      </c>
      <c r="BU13" s="74"/>
      <c r="BV13" s="74"/>
      <c r="BW13" s="74"/>
      <c r="BX13" s="74">
        <f>BX12-BX11</f>
        <v>0.13023978715894885</v>
      </c>
      <c r="BY13" s="74"/>
      <c r="BZ13" s="74"/>
      <c r="CA13" s="74"/>
      <c r="CB13" s="74">
        <f>CB12-CB11</f>
        <v>0.13228015876339233</v>
      </c>
      <c r="CC13" s="74"/>
      <c r="CD13" s="74"/>
      <c r="CE13" s="74"/>
      <c r="CF13" s="74"/>
      <c r="CG13" s="74"/>
      <c r="CH13" s="74"/>
      <c r="CI13" s="74">
        <f>CI12-CI11</f>
        <v>0.13326707185030542</v>
      </c>
      <c r="CJ13" s="74"/>
      <c r="CK13" s="74"/>
      <c r="CL13" s="74"/>
      <c r="CM13" s="74"/>
      <c r="CN13" s="74"/>
      <c r="CO13" s="74"/>
      <c r="CP13" s="74"/>
      <c r="CQ13" s="74"/>
      <c r="CR13" s="74"/>
      <c r="CS13" s="74"/>
      <c r="CT13" s="74"/>
      <c r="CU13" s="74"/>
      <c r="CV13" s="74"/>
      <c r="CW13" s="74"/>
      <c r="CX13" s="74"/>
      <c r="CY13" s="74"/>
      <c r="CZ13" s="74"/>
      <c r="DA13" s="74"/>
      <c r="DB13" s="74"/>
      <c r="DC13" s="74"/>
      <c r="DD13" s="74"/>
      <c r="DE13" s="74"/>
      <c r="DF13" s="74"/>
      <c r="DG13" s="74"/>
      <c r="DH13" s="74"/>
      <c r="DI13" s="74"/>
      <c r="DJ13" s="74"/>
      <c r="DK13" s="74"/>
      <c r="DL13" s="74"/>
      <c r="DM13" s="74"/>
      <c r="DN13" s="74"/>
      <c r="DO13" s="74"/>
      <c r="DP13" s="74"/>
      <c r="DQ13" s="74"/>
      <c r="DR13" s="74"/>
      <c r="DS13" s="74"/>
      <c r="DT13" s="74"/>
      <c r="DU13" s="74"/>
      <c r="DV13" s="74"/>
      <c r="DW13" s="74"/>
      <c r="DX13" s="74"/>
      <c r="DY13" s="74"/>
      <c r="DZ13" s="74"/>
      <c r="EA13" s="74"/>
      <c r="EB13" s="74"/>
      <c r="EC13" s="74"/>
      <c r="ED13" s="74"/>
      <c r="EE13" s="74"/>
      <c r="EF13" s="74"/>
      <c r="EG13" s="74"/>
      <c r="EH13" s="74"/>
      <c r="EI13" s="74"/>
      <c r="EJ13" s="74"/>
      <c r="EK13" s="74"/>
      <c r="EL13" s="74"/>
      <c r="EM13" s="74"/>
      <c r="EN13" s="74"/>
      <c r="EO13" s="74"/>
      <c r="EP13" s="74"/>
      <c r="EQ13" s="74"/>
      <c r="ER13" s="74"/>
      <c r="ES13" s="74"/>
      <c r="ET13" s="74"/>
      <c r="EU13" s="74"/>
      <c r="EV13" s="74"/>
      <c r="EW13" s="74"/>
      <c r="EX13" s="74"/>
      <c r="EY13" s="74"/>
      <c r="EZ13" s="74"/>
      <c r="FA13" s="74"/>
      <c r="FB13" s="74"/>
      <c r="FC13" s="74"/>
      <c r="FD13" s="74"/>
      <c r="FE13" s="74"/>
      <c r="FF13" s="74"/>
      <c r="FG13" s="74"/>
      <c r="FH13" s="74"/>
      <c r="FI13" s="74"/>
      <c r="FJ13" s="74"/>
    </row>
    <row r="15" spans="1:166" ht="13" thickBot="1"/>
    <row r="16" spans="1:166" s="73" customFormat="1" ht="13" thickBot="1">
      <c r="H16" s="257" t="s">
        <v>407</v>
      </c>
      <c r="I16" s="258">
        <f>0.12+I11</f>
        <v>0.22362587412587412</v>
      </c>
      <c r="J16" s="258">
        <f t="shared" ref="J16:BU16" si="8">0.12+J11</f>
        <v>0.2473117882117882</v>
      </c>
      <c r="K16" s="258">
        <f t="shared" si="8"/>
        <v>0.23250809190809188</v>
      </c>
      <c r="L16" s="258">
        <f t="shared" si="8"/>
        <v>0.20290069930069929</v>
      </c>
      <c r="M16" s="258">
        <f t="shared" si="8"/>
        <v>0.18908391608391606</v>
      </c>
      <c r="N16" s="258">
        <f t="shared" si="8"/>
        <v>0.18612317682317681</v>
      </c>
      <c r="O16" s="258">
        <f t="shared" si="8"/>
        <v>0.19105774225774225</v>
      </c>
      <c r="P16" s="258">
        <f t="shared" si="8"/>
        <v>0.20684835164835164</v>
      </c>
      <c r="Q16" s="258">
        <f t="shared" si="8"/>
        <v>0.21079600399600398</v>
      </c>
      <c r="R16" s="258">
        <f t="shared" si="8"/>
        <v>0.21474365634365633</v>
      </c>
      <c r="S16" s="258">
        <f t="shared" si="8"/>
        <v>0.2265866133866134</v>
      </c>
      <c r="T16" s="258">
        <f t="shared" si="8"/>
        <v>0.23842957042957041</v>
      </c>
      <c r="U16" s="258">
        <f t="shared" si="8"/>
        <v>0.2621154845154845</v>
      </c>
      <c r="V16" s="258">
        <f t="shared" si="8"/>
        <v>0.26408931068931063</v>
      </c>
      <c r="W16" s="258">
        <f t="shared" si="8"/>
        <v>0.26014165834165831</v>
      </c>
      <c r="X16" s="258">
        <f t="shared" si="8"/>
        <v>0.2542201798201798</v>
      </c>
      <c r="Y16" s="258">
        <f t="shared" si="8"/>
        <v>0.25718091908091906</v>
      </c>
      <c r="Z16" s="258">
        <f t="shared" si="8"/>
        <v>0.26112857142857138</v>
      </c>
      <c r="AA16" s="258">
        <f t="shared" si="8"/>
        <v>0.2621154845154845</v>
      </c>
      <c r="AB16" s="258">
        <f t="shared" si="8"/>
        <v>0.26606313686313687</v>
      </c>
      <c r="AC16" s="258">
        <f t="shared" si="8"/>
        <v>0.27395844155844151</v>
      </c>
      <c r="AD16" s="258">
        <f t="shared" si="8"/>
        <v>0.30455274725274728</v>
      </c>
      <c r="AE16" s="258">
        <f t="shared" si="8"/>
        <v>0.27494535464535463</v>
      </c>
      <c r="AF16" s="258">
        <f t="shared" si="8"/>
        <v>0.2542201798201798</v>
      </c>
      <c r="AG16" s="258">
        <f t="shared" si="8"/>
        <v>0.24237722277722276</v>
      </c>
      <c r="AH16" s="258">
        <f t="shared" si="8"/>
        <v>0.27395844155844151</v>
      </c>
      <c r="AI16" s="258">
        <f t="shared" si="8"/>
        <v>0.2897490509490509</v>
      </c>
      <c r="AJ16" s="258">
        <f t="shared" si="8"/>
        <v>0.27395844155844151</v>
      </c>
      <c r="AK16" s="258">
        <f t="shared" si="8"/>
        <v>0.25816783216783212</v>
      </c>
      <c r="AL16" s="258">
        <f t="shared" si="8"/>
        <v>0.2542201798201798</v>
      </c>
      <c r="AM16" s="258">
        <f t="shared" si="8"/>
        <v>0.24435104895104892</v>
      </c>
      <c r="AN16" s="258">
        <f t="shared" si="8"/>
        <v>0.24435104895104892</v>
      </c>
      <c r="AO16" s="258">
        <f t="shared" si="8"/>
        <v>0.24435104895104892</v>
      </c>
      <c r="AP16" s="258">
        <f t="shared" si="8"/>
        <v>0.2482987012987013</v>
      </c>
      <c r="AQ16" s="258">
        <f t="shared" si="8"/>
        <v>0.2482987012987013</v>
      </c>
      <c r="AR16" s="258">
        <f t="shared" si="8"/>
        <v>0.24435104895104892</v>
      </c>
      <c r="AS16" s="258">
        <f t="shared" si="8"/>
        <v>0.2482987012987013</v>
      </c>
      <c r="AT16" s="258">
        <f t="shared" si="8"/>
        <v>0.25718091908091906</v>
      </c>
      <c r="AU16" s="258">
        <f t="shared" si="8"/>
        <v>0.26310239760239762</v>
      </c>
      <c r="AV16" s="258">
        <f t="shared" si="8"/>
        <v>0.25224635364635362</v>
      </c>
      <c r="AW16" s="258">
        <f t="shared" si="8"/>
        <v>0.24237722277722276</v>
      </c>
      <c r="AX16" s="258">
        <f t="shared" si="8"/>
        <v>0.23842957042957041</v>
      </c>
      <c r="AY16" s="258">
        <f t="shared" si="8"/>
        <v>0.23842957042957041</v>
      </c>
      <c r="AZ16" s="258">
        <f t="shared" si="8"/>
        <v>0.23448191808191804</v>
      </c>
      <c r="BA16" s="258">
        <f t="shared" si="8"/>
        <v>0.23448191808191804</v>
      </c>
      <c r="BB16" s="258">
        <f t="shared" si="8"/>
        <v>0.23448191808191804</v>
      </c>
      <c r="BC16" s="258">
        <f t="shared" si="8"/>
        <v>0.23448191808191804</v>
      </c>
      <c r="BD16" s="258">
        <f t="shared" si="8"/>
        <v>0.24237722277722276</v>
      </c>
      <c r="BE16" s="258">
        <f t="shared" si="8"/>
        <v>0.24237722277722276</v>
      </c>
      <c r="BF16" s="258">
        <f t="shared" si="8"/>
        <v>0.24237722277722276</v>
      </c>
      <c r="BG16" s="258">
        <f t="shared" si="8"/>
        <v>0.24237722277722276</v>
      </c>
      <c r="BH16" s="258">
        <f t="shared" si="8"/>
        <v>0.24237722277722276</v>
      </c>
      <c r="BI16" s="258">
        <f t="shared" si="8"/>
        <v>0.25027252747252748</v>
      </c>
      <c r="BJ16" s="258">
        <f t="shared" si="8"/>
        <v>0.25027252747252748</v>
      </c>
      <c r="BK16" s="258">
        <f t="shared" si="8"/>
        <v>0.25027252747252748</v>
      </c>
      <c r="BL16" s="258">
        <f t="shared" si="8"/>
        <v>0.25027252747252748</v>
      </c>
      <c r="BM16" s="258">
        <f t="shared" si="8"/>
        <v>0.25027252747252748</v>
      </c>
      <c r="BN16" s="258">
        <f t="shared" si="8"/>
        <v>0.25027252747252748</v>
      </c>
      <c r="BO16" s="258">
        <f t="shared" si="8"/>
        <v>0.25027252747252748</v>
      </c>
      <c r="BP16" s="258">
        <f t="shared" si="8"/>
        <v>0.24435104895104892</v>
      </c>
      <c r="BQ16" s="258">
        <f t="shared" si="8"/>
        <v>0.24435104895104892</v>
      </c>
      <c r="BR16" s="258">
        <f t="shared" si="8"/>
        <v>0.24435104895104892</v>
      </c>
      <c r="BS16" s="258">
        <f t="shared" si="8"/>
        <v>0.24435104895104892</v>
      </c>
      <c r="BT16" s="258">
        <f t="shared" si="8"/>
        <v>0.25224635364635362</v>
      </c>
      <c r="BU16" s="258">
        <f t="shared" si="8"/>
        <v>0.25224635364635362</v>
      </c>
      <c r="BV16" s="258">
        <f t="shared" ref="BV16:EG16" si="9">0.12+BV11</f>
        <v>0.25224635364635362</v>
      </c>
      <c r="BW16" s="258">
        <f t="shared" si="9"/>
        <v>0.25323326673326674</v>
      </c>
      <c r="BX16" s="258">
        <f t="shared" si="9"/>
        <v>0.25323326673326674</v>
      </c>
      <c r="BY16" s="258">
        <f t="shared" si="9"/>
        <v>0.25323326673326674</v>
      </c>
      <c r="BZ16" s="258">
        <f t="shared" si="9"/>
        <v>0.25718091908091906</v>
      </c>
      <c r="CA16" s="258">
        <f t="shared" si="9"/>
        <v>0.25718091908091906</v>
      </c>
      <c r="CB16" s="258">
        <f t="shared" si="9"/>
        <v>0.25718091908091906</v>
      </c>
      <c r="CC16" s="258">
        <f t="shared" si="9"/>
        <v>0.25718091908091906</v>
      </c>
      <c r="CD16" s="258">
        <f t="shared" si="9"/>
        <v>0.25718091908091906</v>
      </c>
      <c r="CE16" s="258">
        <f t="shared" si="9"/>
        <v>0.25718091908091906</v>
      </c>
      <c r="CF16" s="258">
        <f t="shared" si="9"/>
        <v>0.25718091908091906</v>
      </c>
      <c r="CG16" s="258">
        <f t="shared" si="9"/>
        <v>0.26014165834165831</v>
      </c>
      <c r="CH16" s="258">
        <f t="shared" si="9"/>
        <v>0.26014165834165831</v>
      </c>
      <c r="CI16" s="258">
        <f t="shared" si="9"/>
        <v>0.25619400599400599</v>
      </c>
      <c r="CJ16" s="258">
        <f t="shared" si="9"/>
        <v>0.25619400599400599</v>
      </c>
      <c r="CK16" s="258">
        <f t="shared" si="9"/>
        <v>0.25619400599400599</v>
      </c>
      <c r="CL16" s="258">
        <f t="shared" si="9"/>
        <v>0.25619400599400599</v>
      </c>
      <c r="CM16" s="258">
        <f t="shared" si="9"/>
        <v>0.25520709290709287</v>
      </c>
      <c r="CN16" s="258">
        <f t="shared" si="9"/>
        <v>0.25520709290709287</v>
      </c>
      <c r="CO16" s="258">
        <f t="shared" si="9"/>
        <v>0.25520709290709287</v>
      </c>
      <c r="CP16" s="258">
        <f t="shared" si="9"/>
        <v>0.25520709290709287</v>
      </c>
      <c r="CQ16" s="258">
        <f t="shared" si="9"/>
        <v>0.25520709290709287</v>
      </c>
      <c r="CR16" s="258">
        <f t="shared" si="9"/>
        <v>0.25520709290709287</v>
      </c>
      <c r="CS16" s="258">
        <f t="shared" si="9"/>
        <v>0.2542201798201798</v>
      </c>
      <c r="CT16" s="258">
        <f t="shared" si="9"/>
        <v>0.2542201798201798</v>
      </c>
      <c r="CU16" s="258">
        <f t="shared" si="9"/>
        <v>0.2542201798201798</v>
      </c>
      <c r="CV16" s="258">
        <f t="shared" si="9"/>
        <v>0.2542201798201798</v>
      </c>
      <c r="CW16" s="258">
        <f t="shared" si="9"/>
        <v>0.25224635364635362</v>
      </c>
      <c r="CX16" s="258">
        <f t="shared" si="9"/>
        <v>0.25224635364635362</v>
      </c>
      <c r="CY16" s="258">
        <f t="shared" si="9"/>
        <v>0.25224635364635362</v>
      </c>
      <c r="CZ16" s="258">
        <f t="shared" si="9"/>
        <v>0.25224635364635362</v>
      </c>
      <c r="DA16" s="258">
        <f t="shared" si="9"/>
        <v>0.25224635364635362</v>
      </c>
      <c r="DB16" s="258">
        <f t="shared" si="9"/>
        <v>0.25224635364635362</v>
      </c>
      <c r="DC16" s="258">
        <f t="shared" si="9"/>
        <v>0.25224635364635362</v>
      </c>
      <c r="DD16" s="258">
        <f t="shared" si="9"/>
        <v>0.25224635364635362</v>
      </c>
      <c r="DE16" s="258">
        <f t="shared" si="9"/>
        <v>0.25224635364635362</v>
      </c>
      <c r="DF16" s="258">
        <f t="shared" si="9"/>
        <v>0.25224635364635362</v>
      </c>
      <c r="DG16" s="258">
        <f t="shared" si="9"/>
        <v>0.25224635364635362</v>
      </c>
      <c r="DH16" s="258">
        <f t="shared" si="9"/>
        <v>0.25224635364635362</v>
      </c>
      <c r="DI16" s="258">
        <f t="shared" si="9"/>
        <v>0.25224635364635362</v>
      </c>
      <c r="DJ16" s="258">
        <f t="shared" si="9"/>
        <v>0.25619400599400599</v>
      </c>
      <c r="DK16" s="258">
        <f t="shared" si="9"/>
        <v>0.25619400599400599</v>
      </c>
      <c r="DL16" s="258">
        <f t="shared" si="9"/>
        <v>0.25619400599400599</v>
      </c>
      <c r="DM16" s="258">
        <f t="shared" si="9"/>
        <v>0.25619400599400599</v>
      </c>
      <c r="DN16" s="258">
        <f t="shared" si="9"/>
        <v>0.25027252747252748</v>
      </c>
      <c r="DO16" s="258">
        <f t="shared" si="9"/>
        <v>0.25027252747252748</v>
      </c>
      <c r="DP16" s="258">
        <f t="shared" si="9"/>
        <v>0.25027252747252748</v>
      </c>
      <c r="DQ16" s="258">
        <f t="shared" si="9"/>
        <v>0.25027252747252748</v>
      </c>
      <c r="DR16" s="258">
        <f t="shared" si="9"/>
        <v>0.25027252747252748</v>
      </c>
      <c r="DS16" s="258">
        <f t="shared" si="9"/>
        <v>0.25718091908091906</v>
      </c>
      <c r="DT16" s="258">
        <f t="shared" si="9"/>
        <v>0.12</v>
      </c>
      <c r="DU16" s="258">
        <f t="shared" si="9"/>
        <v>0.12</v>
      </c>
      <c r="DV16" s="258">
        <f t="shared" si="9"/>
        <v>0.12</v>
      </c>
      <c r="DW16" s="258">
        <f t="shared" si="9"/>
        <v>0.12</v>
      </c>
      <c r="DX16" s="258">
        <f t="shared" si="9"/>
        <v>0.12</v>
      </c>
      <c r="DY16" s="258">
        <f t="shared" si="9"/>
        <v>0.12</v>
      </c>
      <c r="DZ16" s="258">
        <f t="shared" si="9"/>
        <v>0.12</v>
      </c>
      <c r="EA16" s="258">
        <f t="shared" si="9"/>
        <v>0.12</v>
      </c>
      <c r="EB16" s="258">
        <f t="shared" si="9"/>
        <v>0.12</v>
      </c>
      <c r="EC16" s="258">
        <f t="shared" si="9"/>
        <v>0.12</v>
      </c>
      <c r="ED16" s="258">
        <f t="shared" si="9"/>
        <v>0.12</v>
      </c>
      <c r="EE16" s="258">
        <f t="shared" si="9"/>
        <v>0.12</v>
      </c>
      <c r="EF16" s="258">
        <f t="shared" si="9"/>
        <v>0.12</v>
      </c>
      <c r="EG16" s="258">
        <f t="shared" si="9"/>
        <v>0.12</v>
      </c>
      <c r="EH16" s="258">
        <f t="shared" ref="EH16:FJ16" si="10">0.12+EH11</f>
        <v>0.12</v>
      </c>
      <c r="EI16" s="258">
        <f t="shared" si="10"/>
        <v>0.12</v>
      </c>
      <c r="EJ16" s="258">
        <f t="shared" si="10"/>
        <v>0.12</v>
      </c>
      <c r="EK16" s="258">
        <f t="shared" si="10"/>
        <v>0.12</v>
      </c>
      <c r="EL16" s="258">
        <f t="shared" si="10"/>
        <v>0.12</v>
      </c>
      <c r="EM16" s="258">
        <f t="shared" si="10"/>
        <v>0.12</v>
      </c>
      <c r="EN16" s="258">
        <f t="shared" si="10"/>
        <v>0.12</v>
      </c>
      <c r="EO16" s="258">
        <f t="shared" si="10"/>
        <v>0.12</v>
      </c>
      <c r="EP16" s="258">
        <f t="shared" si="10"/>
        <v>0.12</v>
      </c>
      <c r="EQ16" s="258">
        <f t="shared" si="10"/>
        <v>0.12</v>
      </c>
      <c r="ER16" s="258">
        <f t="shared" si="10"/>
        <v>0.12</v>
      </c>
      <c r="ES16" s="258">
        <f t="shared" si="10"/>
        <v>0.12</v>
      </c>
      <c r="ET16" s="258">
        <f t="shared" si="10"/>
        <v>0.12</v>
      </c>
      <c r="EU16" s="258">
        <f t="shared" si="10"/>
        <v>0.12</v>
      </c>
      <c r="EV16" s="258">
        <f t="shared" si="10"/>
        <v>0.12</v>
      </c>
      <c r="EW16" s="258">
        <f t="shared" si="10"/>
        <v>0.12</v>
      </c>
      <c r="EX16" s="258">
        <f t="shared" si="10"/>
        <v>0.12</v>
      </c>
      <c r="EY16" s="258">
        <f t="shared" si="10"/>
        <v>0.12</v>
      </c>
      <c r="EZ16" s="258">
        <f t="shared" si="10"/>
        <v>0.12</v>
      </c>
      <c r="FA16" s="258">
        <f t="shared" si="10"/>
        <v>0.12</v>
      </c>
      <c r="FB16" s="258">
        <f t="shared" si="10"/>
        <v>0.12</v>
      </c>
      <c r="FC16" s="258">
        <f t="shared" si="10"/>
        <v>0.12</v>
      </c>
      <c r="FD16" s="258">
        <f t="shared" si="10"/>
        <v>0.12</v>
      </c>
      <c r="FE16" s="258">
        <f t="shared" si="10"/>
        <v>0.12</v>
      </c>
      <c r="FF16" s="258">
        <f t="shared" si="10"/>
        <v>0.12</v>
      </c>
      <c r="FG16" s="258">
        <f t="shared" si="10"/>
        <v>0.12</v>
      </c>
      <c r="FH16" s="258">
        <f t="shared" si="10"/>
        <v>0.12</v>
      </c>
      <c r="FI16" s="258">
        <f t="shared" si="10"/>
        <v>0.12</v>
      </c>
      <c r="FJ16" s="258">
        <f t="shared" si="10"/>
        <v>0.12</v>
      </c>
    </row>
  </sheetData>
  <pageMargins left="0.7" right="0.7" top="0.75" bottom="0.75" header="0.3" footer="0.3"/>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EJ16"/>
  <sheetViews>
    <sheetView workbookViewId="0">
      <pane xSplit="11" ySplit="7" topLeftCell="BX8" activePane="bottomRight" state="frozen"/>
      <selection pane="topRight" activeCell="L1" sqref="L1"/>
      <selection pane="bottomLeft" activeCell="A7" sqref="A7"/>
      <selection pane="bottomRight" activeCell="CE13" sqref="CE13"/>
    </sheetView>
  </sheetViews>
  <sheetFormatPr baseColWidth="10" defaultColWidth="22.6640625" defaultRowHeight="12"/>
  <cols>
    <col min="1" max="1" width="23.1640625" style="60" bestFit="1" customWidth="1"/>
    <col min="2" max="2" width="11.33203125" style="60" bestFit="1" customWidth="1"/>
    <col min="3" max="3" width="4.83203125" style="60" bestFit="1" customWidth="1"/>
    <col min="4" max="4" width="12.33203125" style="60" bestFit="1" customWidth="1"/>
    <col min="5" max="5" width="11.83203125" style="60" bestFit="1" customWidth="1"/>
    <col min="6" max="6" width="6.5" style="60" bestFit="1" customWidth="1"/>
    <col min="7" max="7" width="4.1640625" style="60" bestFit="1" customWidth="1"/>
    <col min="8" max="8" width="22.83203125" style="60" bestFit="1" customWidth="1"/>
    <col min="9" max="10" width="5.5" style="60" bestFit="1" customWidth="1"/>
    <col min="11" max="11" width="5.6640625" style="60" bestFit="1" customWidth="1"/>
    <col min="12" max="12" width="5.5" style="60" bestFit="1" customWidth="1"/>
    <col min="13" max="13" width="5.83203125" style="60" bestFit="1" customWidth="1"/>
    <col min="14" max="18" width="5.5" style="60" bestFit="1" customWidth="1"/>
    <col min="19" max="51" width="6.1640625" style="60" bestFit="1" customWidth="1"/>
    <col min="52" max="54" width="7" style="60" bestFit="1" customWidth="1"/>
    <col min="55" max="90" width="6.1640625" style="60" bestFit="1" customWidth="1"/>
    <col min="91" max="95" width="6.33203125" style="60" bestFit="1" customWidth="1"/>
    <col min="96" max="99" width="6.1640625" style="60" bestFit="1" customWidth="1"/>
    <col min="100" max="140" width="6.5" style="60" bestFit="1" customWidth="1"/>
    <col min="141" max="16384" width="22.6640625" style="60"/>
  </cols>
  <sheetData>
    <row r="1" spans="1:140" ht="13">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row>
    <row r="2" spans="1:140">
      <c r="A2" s="59"/>
      <c r="B2" s="59"/>
      <c r="C2" s="59"/>
      <c r="D2" s="98"/>
      <c r="E2" s="98"/>
      <c r="F2" s="59"/>
      <c r="H2" s="99"/>
      <c r="I2" s="99"/>
      <c r="J2" s="99"/>
      <c r="K2" s="99"/>
      <c r="L2" s="99"/>
      <c r="M2" s="99"/>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99"/>
      <c r="AP2" s="99"/>
      <c r="AQ2" s="99"/>
      <c r="AR2" s="99"/>
      <c r="AS2" s="99"/>
      <c r="AT2" s="99"/>
      <c r="AU2" s="99"/>
      <c r="AV2" s="99"/>
      <c r="AW2" s="99"/>
      <c r="AX2" s="99"/>
      <c r="AY2" s="99"/>
      <c r="AZ2" s="99"/>
      <c r="BA2" s="99"/>
      <c r="BB2" s="99"/>
      <c r="BC2" s="99"/>
      <c r="BD2" s="99"/>
      <c r="BE2" s="99"/>
      <c r="BF2" s="99"/>
      <c r="BG2" s="99"/>
      <c r="BH2" s="99"/>
      <c r="BI2" s="99"/>
      <c r="BJ2" s="99"/>
      <c r="BK2" s="99"/>
      <c r="BL2" s="99"/>
      <c r="BM2" s="99"/>
      <c r="BN2" s="99"/>
      <c r="BO2" s="99"/>
      <c r="BP2" s="99"/>
      <c r="BQ2" s="99"/>
      <c r="BR2" s="99"/>
      <c r="BS2" s="99"/>
      <c r="BT2" s="99"/>
      <c r="BU2" s="99"/>
      <c r="BV2" s="99"/>
      <c r="BW2" s="99"/>
      <c r="BX2" s="99"/>
      <c r="BY2" s="99"/>
      <c r="BZ2" s="99"/>
      <c r="CA2" s="99"/>
      <c r="CB2" s="99"/>
      <c r="CC2" s="99"/>
      <c r="CD2" s="99"/>
      <c r="CE2" s="99"/>
      <c r="CF2" s="99"/>
      <c r="CG2" s="99"/>
      <c r="CH2" s="99"/>
      <c r="CI2" s="99"/>
      <c r="CJ2" s="99"/>
      <c r="CK2" s="99"/>
      <c r="CL2" s="99"/>
      <c r="CM2" s="99"/>
      <c r="CN2" s="99"/>
    </row>
    <row r="3" spans="1:140" ht="15">
      <c r="A3" s="1" t="s">
        <v>306</v>
      </c>
      <c r="B3" s="100"/>
      <c r="C3" s="101"/>
      <c r="D3" s="60">
        <v>129.25</v>
      </c>
      <c r="K3" s="102"/>
      <c r="M3" s="102"/>
    </row>
    <row r="4" spans="1:140">
      <c r="A4" s="36"/>
      <c r="B4" s="64"/>
      <c r="D4" s="100"/>
      <c r="E4" s="64"/>
      <c r="F4" s="103"/>
    </row>
    <row r="5" spans="1:140">
      <c r="A5" s="64"/>
      <c r="B5" s="64"/>
      <c r="D5" s="64"/>
      <c r="E5" s="64"/>
      <c r="H5" s="60" t="s">
        <v>387</v>
      </c>
    </row>
    <row r="6" spans="1:140">
      <c r="A6" s="74"/>
      <c r="B6" s="74"/>
    </row>
    <row r="7" spans="1:140">
      <c r="A7" s="59"/>
      <c r="B7" s="59"/>
      <c r="C7" s="59"/>
      <c r="D7" s="98"/>
      <c r="E7" s="98"/>
      <c r="F7" s="59"/>
      <c r="H7" s="59" t="s">
        <v>416</v>
      </c>
      <c r="I7" s="59">
        <v>43831</v>
      </c>
      <c r="J7" s="59">
        <v>43862</v>
      </c>
      <c r="K7" s="59">
        <v>43891</v>
      </c>
      <c r="L7" s="59">
        <v>43922</v>
      </c>
      <c r="M7" s="59">
        <v>43952</v>
      </c>
      <c r="N7" s="59">
        <v>43983</v>
      </c>
      <c r="O7" s="59">
        <v>44013</v>
      </c>
      <c r="P7" s="59">
        <v>44044</v>
      </c>
      <c r="Q7" s="59">
        <v>44075</v>
      </c>
      <c r="R7" s="59">
        <v>44105</v>
      </c>
      <c r="S7" s="59">
        <v>44136</v>
      </c>
      <c r="T7" s="59">
        <v>44166</v>
      </c>
      <c r="U7" s="59">
        <v>44197</v>
      </c>
      <c r="V7" s="59">
        <v>44228</v>
      </c>
      <c r="W7" s="59">
        <v>44256</v>
      </c>
      <c r="X7" s="59">
        <v>44287</v>
      </c>
      <c r="Y7" s="59">
        <v>44317</v>
      </c>
      <c r="Z7" s="59">
        <v>44348</v>
      </c>
      <c r="AA7" s="59">
        <v>44378</v>
      </c>
      <c r="AB7" s="59">
        <v>44409</v>
      </c>
      <c r="AC7" s="59">
        <v>44440</v>
      </c>
      <c r="AD7" s="59">
        <v>44470</v>
      </c>
      <c r="AE7" s="59">
        <v>44501</v>
      </c>
      <c r="AF7" s="59">
        <v>44531</v>
      </c>
      <c r="AG7" s="59">
        <v>44562</v>
      </c>
      <c r="AH7" s="59">
        <v>44593</v>
      </c>
      <c r="AI7" s="59">
        <v>44621</v>
      </c>
      <c r="AJ7" s="59">
        <v>44652</v>
      </c>
      <c r="AK7" s="59">
        <v>44682</v>
      </c>
      <c r="AL7" s="59">
        <v>44713</v>
      </c>
      <c r="AM7" s="59">
        <v>44743</v>
      </c>
      <c r="AN7" s="59">
        <v>44774</v>
      </c>
      <c r="AO7" s="59">
        <v>44805</v>
      </c>
      <c r="AP7" s="59">
        <v>44835</v>
      </c>
      <c r="AQ7" s="59">
        <v>44866</v>
      </c>
      <c r="AR7" s="59">
        <v>44896</v>
      </c>
      <c r="AS7" s="59">
        <v>44927</v>
      </c>
      <c r="AT7" s="59">
        <v>44958</v>
      </c>
      <c r="AU7" s="59">
        <v>44986</v>
      </c>
      <c r="AV7" s="59">
        <v>45017</v>
      </c>
      <c r="AW7" s="59">
        <v>45047</v>
      </c>
      <c r="AX7" s="59">
        <v>45078</v>
      </c>
      <c r="AY7" s="59">
        <v>45108</v>
      </c>
      <c r="AZ7" s="59" t="s">
        <v>530</v>
      </c>
      <c r="BA7" s="59" t="s">
        <v>531</v>
      </c>
      <c r="BB7" s="59" t="s">
        <v>532</v>
      </c>
      <c r="BC7" s="59">
        <v>37104</v>
      </c>
      <c r="BD7" s="59">
        <v>37469</v>
      </c>
      <c r="BE7" s="59" t="s">
        <v>168</v>
      </c>
      <c r="BF7" s="59" t="s">
        <v>169</v>
      </c>
      <c r="BG7" s="59" t="s">
        <v>195</v>
      </c>
      <c r="BH7" s="59" t="s">
        <v>196</v>
      </c>
      <c r="BI7" s="59" t="s">
        <v>197</v>
      </c>
      <c r="BJ7" s="59" t="s">
        <v>198</v>
      </c>
      <c r="BK7" s="59" t="s">
        <v>199</v>
      </c>
      <c r="BL7" s="59" t="s">
        <v>200</v>
      </c>
      <c r="BM7" s="59" t="s">
        <v>201</v>
      </c>
      <c r="BN7" s="59" t="s">
        <v>202</v>
      </c>
      <c r="BO7" s="59">
        <v>37196</v>
      </c>
      <c r="BP7" s="59">
        <v>37561</v>
      </c>
      <c r="BQ7" s="59">
        <v>37926</v>
      </c>
      <c r="BR7" s="59">
        <v>38292</v>
      </c>
      <c r="BS7" s="59">
        <v>37226</v>
      </c>
      <c r="BT7" s="59">
        <v>37591</v>
      </c>
      <c r="BU7" s="59">
        <v>37956</v>
      </c>
      <c r="BV7" s="59">
        <v>38322</v>
      </c>
      <c r="BW7" s="59">
        <v>36892</v>
      </c>
      <c r="BX7" s="59">
        <v>37257</v>
      </c>
      <c r="BY7" s="59">
        <v>37622</v>
      </c>
      <c r="BZ7" s="59">
        <v>37987</v>
      </c>
      <c r="CA7" s="59">
        <v>36923</v>
      </c>
      <c r="CB7" s="59">
        <v>37288</v>
      </c>
      <c r="CC7" s="59">
        <v>37653</v>
      </c>
      <c r="CD7" s="59">
        <v>38018</v>
      </c>
      <c r="CE7" s="59" t="str">
        <f>Sheet8!A15</f>
        <v>Mar-w1</v>
      </c>
      <c r="CF7" s="59">
        <v>37316</v>
      </c>
      <c r="CG7" s="59">
        <v>37681</v>
      </c>
      <c r="CH7" s="59">
        <v>38047</v>
      </c>
      <c r="CI7" s="59" t="str">
        <f>Sheet8!E15</f>
        <v>Apr-w1</v>
      </c>
      <c r="CJ7" s="59" t="str">
        <f>Sheet8!F15</f>
        <v>Apr-w2</v>
      </c>
      <c r="CK7" s="59" t="str">
        <f>Sheet8!G15</f>
        <v>Apr-w3</v>
      </c>
      <c r="CL7" s="59" t="str">
        <f>Sheet8!H15</f>
        <v>Apr-w4</v>
      </c>
      <c r="CM7" s="59" t="str">
        <f>Sheet8!I15</f>
        <v>May-w1</v>
      </c>
      <c r="CN7" s="59" t="str">
        <f>Sheet8!J15</f>
        <v>May-w2</v>
      </c>
      <c r="CO7" s="59" t="str">
        <f>Sheet8!K15</f>
        <v>May-w3</v>
      </c>
      <c r="CP7" s="59" t="str">
        <f>Sheet8!L15</f>
        <v>May-w4</v>
      </c>
      <c r="CQ7" s="59" t="str">
        <f>Sheet8!M15</f>
        <v>May-w5</v>
      </c>
      <c r="CR7" s="59" t="str">
        <f>Sheet8!N15</f>
        <v>june-w1</v>
      </c>
      <c r="CS7" s="59" t="str">
        <f>Sheet8!O15</f>
        <v>june-w2</v>
      </c>
      <c r="CT7" s="59" t="str">
        <f>Sheet8!P15</f>
        <v>june-w3</v>
      </c>
      <c r="CU7" s="59" t="str">
        <f>Sheet8!Q15</f>
        <v>june-w4</v>
      </c>
      <c r="CV7" s="59" t="str">
        <f>Sheet8!R15</f>
        <v>Jul-w1</v>
      </c>
      <c r="CW7" s="59" t="str">
        <f>Sheet8!S15</f>
        <v>Jul-w2</v>
      </c>
      <c r="CX7" s="59" t="str">
        <f>Sheet8!T15</f>
        <v>Jul-w3</v>
      </c>
      <c r="CY7" s="59" t="str">
        <f>Sheet8!U15</f>
        <v>Jul-w4</v>
      </c>
      <c r="CZ7" s="59" t="str">
        <f>Sheet8!V15</f>
        <v>Aug-w1</v>
      </c>
      <c r="DA7" s="59" t="str">
        <f>Sheet8!W15</f>
        <v>Aug-w2</v>
      </c>
      <c r="DB7" s="59" t="str">
        <f>Sheet8!X15</f>
        <v>Aug-w3</v>
      </c>
      <c r="DC7" s="59" t="str">
        <f>Sheet8!Y15</f>
        <v>Aug-w4</v>
      </c>
      <c r="DD7" s="59" t="str">
        <f>Sheet8!Z15</f>
        <v>Sep-w1</v>
      </c>
      <c r="DE7" s="59" t="str">
        <f>Sheet8!AA15</f>
        <v>Sep-w2</v>
      </c>
      <c r="DF7" s="59" t="str">
        <f>Sheet8!AB15</f>
        <v>Sep-w3</v>
      </c>
      <c r="DG7" s="59" t="str">
        <f>Sheet8!AC15</f>
        <v>Sep-w4</v>
      </c>
      <c r="DH7" s="59" t="str">
        <f>Sheet8!AD15</f>
        <v>Oct-w1</v>
      </c>
      <c r="DI7" s="59" t="str">
        <f>Sheet8!AE15</f>
        <v>Oct-w2</v>
      </c>
      <c r="DJ7" s="59" t="str">
        <f>Sheet8!AF15</f>
        <v>Oct-w3</v>
      </c>
      <c r="DK7" s="59" t="str">
        <f>Sheet8!AG15</f>
        <v>Oct-w4</v>
      </c>
      <c r="DL7" s="59" t="str">
        <f>Sheet8!AH15</f>
        <v>Nov-w1</v>
      </c>
      <c r="DM7" s="59" t="str">
        <f>Sheet8!AI15</f>
        <v>Nov-w2</v>
      </c>
      <c r="DN7" s="59" t="str">
        <f>Sheet8!AJ15</f>
        <v>Nov-w3</v>
      </c>
      <c r="DO7" s="59" t="str">
        <f>Sheet8!AK15</f>
        <v>Nov-w4</v>
      </c>
      <c r="DP7" s="59" t="str">
        <f>Sheet8!AL15</f>
        <v>Dec-w1</v>
      </c>
      <c r="DQ7" s="59" t="str">
        <f>Sheet8!AM15</f>
        <v>Dec-w2</v>
      </c>
      <c r="DR7" s="59" t="str">
        <f>Sheet8!AN15</f>
        <v>Dec-w3</v>
      </c>
      <c r="DS7" s="59" t="str">
        <f>Sheet8!AO15</f>
        <v>Dec-w4</v>
      </c>
      <c r="DT7" s="59">
        <f>Sheet8!AP15</f>
        <v>0</v>
      </c>
      <c r="DU7" s="59">
        <f>Sheet8!AQ15</f>
        <v>0</v>
      </c>
      <c r="DV7" s="59">
        <f>Sheet8!AR15</f>
        <v>0</v>
      </c>
      <c r="DW7" s="59">
        <f>Sheet8!AS15</f>
        <v>0</v>
      </c>
      <c r="DX7" s="59">
        <f>Sheet8!AT15</f>
        <v>0</v>
      </c>
      <c r="DY7" s="59">
        <f>Sheet8!AU15</f>
        <v>0</v>
      </c>
      <c r="DZ7" s="59">
        <f>Sheet8!AV15</f>
        <v>0</v>
      </c>
      <c r="EA7" s="59">
        <f>Sheet8!AW15</f>
        <v>0</v>
      </c>
      <c r="EB7" s="59">
        <f>Sheet8!AX15</f>
        <v>0</v>
      </c>
      <c r="EC7" s="59">
        <f>Sheet8!AY15</f>
        <v>0</v>
      </c>
      <c r="ED7" s="59">
        <f>Sheet8!AZ15</f>
        <v>0</v>
      </c>
      <c r="EE7" s="59">
        <f>Sheet8!BA15</f>
        <v>0</v>
      </c>
      <c r="EF7" s="59">
        <f>Sheet8!BB15</f>
        <v>0</v>
      </c>
      <c r="EG7" s="59">
        <f>Sheet8!BC15</f>
        <v>0</v>
      </c>
      <c r="EH7" s="59">
        <f>Sheet8!BD15</f>
        <v>0</v>
      </c>
      <c r="EI7" s="59">
        <f>Sheet8!BE15</f>
        <v>0</v>
      </c>
      <c r="EJ7" s="59">
        <f>Sheet8!BF15</f>
        <v>0</v>
      </c>
    </row>
    <row r="8" spans="1:140">
      <c r="F8" s="60" t="s">
        <v>651</v>
      </c>
      <c r="H8" s="178" t="s">
        <v>106</v>
      </c>
      <c r="I8" s="74">
        <f>VLOOKUP($H$8&amp;$F$1,'Input RM sheet'!$A:$BD,H1,0)</f>
        <v>858</v>
      </c>
      <c r="J8" s="74">
        <f>VLOOKUP($H$8&amp;$F$1,'Input RM sheet'!$A:$BD,I1,0)</f>
        <v>866.875</v>
      </c>
      <c r="K8" s="74">
        <f>VLOOKUP($H$8&amp;$F$1,'Input RM sheet'!$A:$DD,J1,0)</f>
        <v>815.625</v>
      </c>
      <c r="L8" s="74">
        <f>VLOOKUP($H$8&amp;$F$1,'Input RM sheet'!$A:$DD,K1,0)</f>
        <v>680</v>
      </c>
      <c r="M8" s="74">
        <f>VLOOKUP($H$8&amp;$F$1,'Input RM sheet'!$A:$DD,L1,0)</f>
        <v>719.375</v>
      </c>
      <c r="N8" s="74">
        <f>VLOOKUP($H$8&amp;$F$1,'Input RM sheet'!$A:$DD,M1,0)</f>
        <v>762.5</v>
      </c>
      <c r="O8" s="74">
        <f>VLOOKUP($H$8&amp;$F$1,'Input RM sheet'!$A:$DD,N1,0)</f>
        <v>821</v>
      </c>
      <c r="P8" s="74">
        <f>VLOOKUP($H$8&amp;$F$1,'Input RM sheet'!$A:$DD,O1,0)</f>
        <v>825.625</v>
      </c>
      <c r="Q8" s="74">
        <f>VLOOKUP($H$8&amp;$F$1,'Input RM sheet'!$A:$DD,P1,0)</f>
        <v>843.125</v>
      </c>
      <c r="R8" s="74">
        <f>VLOOKUP($H$8&amp;$F$1,'Input RM sheet'!$A:$DD,Q1,0)</f>
        <v>867.5</v>
      </c>
      <c r="S8" s="74">
        <f>VLOOKUP($H$8&amp;$F$1,'Input RM sheet'!$A:$DD,R1,0)</f>
        <v>1078.75</v>
      </c>
      <c r="T8" s="74">
        <f>VLOOKUP($H$8&amp;$F$1,'Input RM sheet'!$A:$DD,S1,0)</f>
        <v>1266.25</v>
      </c>
      <c r="U8" s="74">
        <f>VLOOKUP($H$8&amp;$F$1,'Input RM sheet'!$A:$DD,T1,0)</f>
        <v>1347.5</v>
      </c>
      <c r="V8" s="74">
        <f>VLOOKUP($H$8&amp;$F$1,'Input RM sheet'!$A:$DD,U1,0)</f>
        <v>1542</v>
      </c>
      <c r="W8" s="74">
        <f>VLOOKUP($H$8&amp;$F$1,'Input RM sheet'!$A:$DD,V1,0)</f>
        <v>1886</v>
      </c>
      <c r="X8" s="74">
        <f>VLOOKUP($H$8&amp;$F$1,'Input RM sheet'!$A:$DD,W1,0)</f>
        <v>1673</v>
      </c>
      <c r="Y8" s="74">
        <f>VLOOKUP($H$8&amp;$F$1,'Input RM sheet'!$A:$DD,X1,0)</f>
        <v>1893.75</v>
      </c>
      <c r="Z8" s="74">
        <f>VLOOKUP($H$8&amp;$F$1,'Input RM sheet'!$A:$DD,Y1,0)</f>
        <v>1911.25</v>
      </c>
      <c r="AA8" s="74">
        <f>VLOOKUP($H$8&amp;$F$1,'Input RM sheet'!$A:$DD,Z1,0)</f>
        <v>1999</v>
      </c>
      <c r="AB8" s="74">
        <f>VLOOKUP($H$8&amp;$F$1,'Input RM sheet'!$A:$DD,AA1,0)</f>
        <v>2094</v>
      </c>
      <c r="AC8" s="74">
        <f>VLOOKUP($H$8&amp;$F$1,'Input RM sheet'!$A:$DD,AB1,0)</f>
        <v>1984</v>
      </c>
      <c r="AD8" s="74">
        <f>VLOOKUP($H$8&amp;$F$1,'Input RM sheet'!$A:$DD,AC1,0)</f>
        <v>1753.75</v>
      </c>
      <c r="AE8" s="74">
        <f>VLOOKUP($H$8&amp;$F$1,'Input RM sheet'!$A:$DD,AD1,0)</f>
        <v>1732.5</v>
      </c>
      <c r="AF8" s="74">
        <f>VLOOKUP($H$8&amp;$F$1,'Input RM sheet'!$A:$DD,AE1,0)</f>
        <v>1550</v>
      </c>
      <c r="AG8" s="74">
        <f>VLOOKUP($H$8&amp;$F$1,'Input RM sheet'!$A:$DD,AF1,0)</f>
        <v>1487.5</v>
      </c>
      <c r="AH8" s="74">
        <f>VLOOKUP($H$8&amp;$F$1,'Input RM sheet'!$A:$DD,AG1,0)</f>
        <v>1678.75</v>
      </c>
      <c r="AI8" s="74">
        <f>VLOOKUP($H$8&amp;$F$1,'Input RM sheet'!$A:$DD,AH1,0)</f>
        <v>1756</v>
      </c>
      <c r="AJ8" s="74">
        <f>VLOOKUP($H$8&amp;$F$1,'Input RM sheet'!$A:$DD,AI1,0)</f>
        <v>1750</v>
      </c>
      <c r="AK8" s="74">
        <f>VLOOKUP($H$8&amp;$F$1,'Input RM sheet'!$A:$DD,AJ1,0)</f>
        <v>1718.75</v>
      </c>
      <c r="AL8" s="74">
        <f>VLOOKUP($H$8&amp;$F$1,'Input RM sheet'!$A:$DD,AK1,0)</f>
        <v>1490</v>
      </c>
      <c r="AM8" s="74">
        <f>VLOOKUP($H$8&amp;$F$1,'Input RM sheet'!$A:$DD,AL1,0)</f>
        <v>1145</v>
      </c>
      <c r="AN8" s="74">
        <f>VLOOKUP($H$8&amp;$F$1,'Input RM sheet'!$A:$DD,AM1,0)</f>
        <v>1105</v>
      </c>
      <c r="AO8" s="74">
        <f>VLOOKUP($H$8&amp;$F$1,'Input RM sheet'!$A:$DD,AN1,0)</f>
        <v>1149.5</v>
      </c>
      <c r="AP8" s="74">
        <f>VLOOKUP($H$8&amp;$F$1,'Input RM sheet'!$A:$DD,AO1,0)</f>
        <v>1160</v>
      </c>
      <c r="AQ8" s="74">
        <f>VLOOKUP($H$8&amp;$F$1,'Input RM sheet'!$A:$DD,AP1,0)</f>
        <v>1150</v>
      </c>
      <c r="AR8" s="74">
        <f>VLOOKUP($H$8&amp;$F$1,'Input RM sheet'!$A:$DD,AQ1,0)</f>
        <v>1130</v>
      </c>
      <c r="AS8" s="74">
        <f>VLOOKUP($H$8&amp;$F$1,'Input RM sheet'!$A:$DD,AR1,0)</f>
        <v>1210</v>
      </c>
      <c r="AT8" s="74">
        <f>VLOOKUP($H$8&amp;$F$1,'Input RM sheet'!$A:$DD,AS1,0)</f>
        <v>1238.75</v>
      </c>
      <c r="AU8" s="74">
        <f>VLOOKUP($H$8&amp;$F$1,'Input RM sheet'!$A:$DD,AT1,0)</f>
        <v>1185</v>
      </c>
      <c r="AV8" s="74">
        <f>VLOOKUP($H$8&amp;$F$1,'Input RM sheet'!$A:$DD,AU1,0)</f>
        <v>1175</v>
      </c>
      <c r="AW8" s="74">
        <f>VLOOKUP($H$8&amp;$F$1,'Input RM sheet'!$A:$DD,AV1,0)</f>
        <v>1200</v>
      </c>
      <c r="AX8" s="74">
        <f>VLOOKUP($H$8&amp;$F$1,'Input RM sheet'!$A:$DD,AW1,0)</f>
        <v>1240</v>
      </c>
      <c r="AY8" s="74">
        <f>VLOOKUP($H$8&amp;$F$1,'Input RM sheet'!$A:$DD,AX1,0)</f>
        <v>1110</v>
      </c>
      <c r="AZ8" s="74">
        <f>VLOOKUP($H$8&amp;$F$1,'Input RM sheet'!$A:$DD,AY1,0)</f>
        <v>1110</v>
      </c>
      <c r="BA8" s="74">
        <f>VLOOKUP($H$8&amp;$F$1,'Input RM sheet'!$A:$DD,AZ1,0)</f>
        <v>1120</v>
      </c>
      <c r="BB8" s="74">
        <f>VLOOKUP($H$8&amp;$F$1,'Input RM sheet'!$A:$DD,BA1,0)</f>
        <v>1150</v>
      </c>
      <c r="BC8" s="74">
        <f>VLOOKUP($H$8&amp;$F$1,'Input RM sheet'!$A:$DD,BB1,0)</f>
        <v>1240</v>
      </c>
      <c r="BD8" s="74">
        <f>VLOOKUP($H$8&amp;$F$1,'Input RM sheet'!$A:$DD,BC1,0)</f>
        <v>1305</v>
      </c>
      <c r="BE8" s="74">
        <f>VLOOKUP($H$8&amp;$F$1,'Input RM sheet'!$A:$DD,BD1,0)</f>
        <v>1345</v>
      </c>
      <c r="BF8" s="74">
        <f>VLOOKUP($H$8&amp;$F$1,'Input RM sheet'!$A:$DD,BE1,0)</f>
        <v>1350</v>
      </c>
      <c r="BG8" s="74">
        <f>VLOOKUP($H$8&amp;$F$1,'Input RM sheet'!$A:$DD,BF1,0)</f>
        <v>1435</v>
      </c>
      <c r="BH8" s="74">
        <f>VLOOKUP($H$8&amp;$F$1,'Input RM sheet'!$A:$DD,BG1,0)</f>
        <v>1435</v>
      </c>
      <c r="BI8" s="74">
        <f>VLOOKUP($H$8&amp;$F$1,'Input RM sheet'!$A:$DD,BH1,0)</f>
        <v>1340</v>
      </c>
      <c r="BJ8" s="74">
        <f>VLOOKUP($H$8&amp;$F$1,'Input RM sheet'!$A:$DD,BI1,0)</f>
        <v>1404</v>
      </c>
      <c r="BK8" s="74">
        <f>VLOOKUP($H$8&amp;$F$1,'Input RM sheet'!$A:$DD,BJ1,0)</f>
        <v>1385</v>
      </c>
      <c r="BL8" s="74">
        <f>VLOOKUP($H$8&amp;$F$1,'Input RM sheet'!$A:$DD,BK1,0)</f>
        <v>1340</v>
      </c>
      <c r="BM8" s="74">
        <f>VLOOKUP($H$8&amp;$F$1,'Input RM sheet'!$A:$DD,BL1,0)</f>
        <v>1330</v>
      </c>
      <c r="BN8" s="74">
        <f>VLOOKUP($H$8&amp;$F$1,'Input RM sheet'!$A:$DD,BM1,0)</f>
        <v>1290</v>
      </c>
      <c r="BO8" s="74">
        <f>VLOOKUP($H$8&amp;$F$1,'Input RM sheet'!$A:$DD,BN1,0)</f>
        <v>1290</v>
      </c>
      <c r="BP8" s="74">
        <f>VLOOKUP($H$8&amp;$F$1,'Input RM sheet'!$A:$DD,BO1,0)</f>
        <v>1290</v>
      </c>
      <c r="BQ8" s="74">
        <f>VLOOKUP($H$8&amp;$F$1,'Input RM sheet'!$A:$DD,BP1,0)</f>
        <v>1290</v>
      </c>
      <c r="BR8" s="74">
        <f>VLOOKUP($H$8&amp;$F$1,'Input RM sheet'!$A:$DD,BQ1,0)</f>
        <v>1270</v>
      </c>
      <c r="BS8" s="74">
        <f>VLOOKUP($H$8&amp;$F$1,'Input RM sheet'!$A:$DD,BR1,0)</f>
        <v>1270</v>
      </c>
      <c r="BT8" s="74">
        <f>VLOOKUP($H$8&amp;$F$1,'Input RM sheet'!$A:$DD,BS1,0)</f>
        <v>1285</v>
      </c>
      <c r="BU8" s="74">
        <f>VLOOKUP($H$8&amp;$F$1,'Input RM sheet'!$A:$DD,BT1,0)</f>
        <v>1340</v>
      </c>
      <c r="BV8" s="74">
        <f>VLOOKUP($H$8&amp;$F$1,'Input RM sheet'!$A:$DD,BU1,0)</f>
        <v>1340</v>
      </c>
      <c r="BW8" s="74">
        <f>VLOOKUP($H$8&amp;$F$1,'Input RM sheet'!$A:$DD,BV1,0)</f>
        <v>1465</v>
      </c>
      <c r="BX8" s="74">
        <f>VLOOKUP($H$8&amp;$F$1,'Input RM sheet'!$A:$DD,BW1,0)</f>
        <v>1515</v>
      </c>
      <c r="BY8" s="74">
        <f>VLOOKUP($H$8&amp;$F$1,'Input RM sheet'!$A:$DD,BX1,0)</f>
        <v>1515</v>
      </c>
      <c r="BZ8" s="74">
        <f>VLOOKUP($H$8&amp;$F$1,'Input RM sheet'!$A:$DD,BY1,0)</f>
        <v>1510</v>
      </c>
      <c r="CA8" s="74">
        <f>VLOOKUP($H$8&amp;$F$1,'Input RM sheet'!$A:$DD,BZ1,0)</f>
        <v>1510</v>
      </c>
      <c r="CB8" s="74">
        <f>VLOOKUP($H$8&amp;$F$1,'Input RM sheet'!$A:$DD,CA1,0)</f>
        <v>1510</v>
      </c>
      <c r="CC8" s="74">
        <f>VLOOKUP($H$8&amp;$F$1,'Input RM sheet'!$A:$DD,CB1,0)</f>
        <v>1480</v>
      </c>
      <c r="CD8" s="74">
        <f>VLOOKUP($H$8&amp;$F$1,'Input RM sheet'!$A:$DD,CC1,0)</f>
        <v>1485</v>
      </c>
      <c r="CE8" s="74">
        <f>VLOOKUP($H$8&amp;$F$1,'Input RM sheet'!$A:$DD,CD1,0)</f>
        <v>1495</v>
      </c>
      <c r="CF8" s="74">
        <f>VLOOKUP($H$8&amp;$F$1,'Input RM sheet'!$A:$DD,CE1,0)</f>
        <v>1475</v>
      </c>
      <c r="CG8" s="74">
        <f>VLOOKUP($H$8&amp;$F$1,'Input RM sheet'!$A:$DD,CF1,0)</f>
        <v>1415</v>
      </c>
      <c r="CH8" s="74">
        <f>VLOOKUP($H$8&amp;$F$1,'Input RM sheet'!$A:$DD,CG1,0)</f>
        <v>1375</v>
      </c>
      <c r="CI8" s="74">
        <f>VLOOKUP($H$8&amp;$F$1,'Input RM sheet'!$A:$DD,CH1,0)</f>
        <v>1355</v>
      </c>
      <c r="CJ8" s="74">
        <f>VLOOKUP($H$8&amp;$F$1,'Input RM sheet'!$A:$DD,CI1,0)</f>
        <v>1325</v>
      </c>
      <c r="CK8" s="74">
        <f>VLOOKUP($H$8&amp;$F$1,'Input RM sheet'!$A:$DD,CJ1,0)</f>
        <v>1325</v>
      </c>
      <c r="CL8" s="74">
        <f>VLOOKUP($H$8&amp;$F$1,'Input RM sheet'!$A:$DD,CK1,0)</f>
        <v>1305</v>
      </c>
      <c r="CM8" s="74">
        <f>VLOOKUP($H$8&amp;$F$1,'Input RM sheet'!$A:$DD,CL1,0)</f>
        <v>1275</v>
      </c>
      <c r="CN8" s="74">
        <f>VLOOKUP($H$8&amp;$F$1,'Input RM sheet'!$A:$DD,CM1,0)</f>
        <v>1265</v>
      </c>
      <c r="CO8" s="74">
        <f>VLOOKUP($H$8&amp;$F$1,'Input RM sheet'!$A:$DD,CN1,0)</f>
        <v>1265</v>
      </c>
      <c r="CP8" s="74">
        <f>VLOOKUP($H$8&amp;$F$1,'Input RM sheet'!$A:$DD,CO1,0)</f>
        <v>1265</v>
      </c>
      <c r="CQ8" s="74">
        <f>VLOOKUP($H$8&amp;$F$1,'Input RM sheet'!$A:$DD,CP1,0)</f>
        <v>1265</v>
      </c>
      <c r="CR8" s="74">
        <f>VLOOKUP($H$8&amp;$F$1,'Input RM sheet'!$A:$DD,CQ1,0)</f>
        <v>1265</v>
      </c>
      <c r="CS8" s="74">
        <f>VLOOKUP($H$8&amp;$F$1,'Input RM sheet'!$A:$DD,CR1,0)</f>
        <v>1315</v>
      </c>
      <c r="CT8" s="74">
        <f>VLOOKUP($H$8&amp;$F$1,'Input RM sheet'!$A:$ZZ,CS1,0)</f>
        <v>1235</v>
      </c>
      <c r="CU8" s="74">
        <f>VLOOKUP($H$8&amp;$F$1,'Input RM sheet'!$A:$ZZ,CT1,0)</f>
        <v>1190</v>
      </c>
      <c r="CV8" s="74">
        <f>VLOOKUP($H$8&amp;$F$1,'Input RM sheet'!$A:$ZZ,CU1,0)</f>
        <v>1195</v>
      </c>
      <c r="CW8" s="74">
        <f>VLOOKUP($H$8&amp;$F$1,'Input RM sheet'!$A:$ZZ,CV1,0)</f>
        <v>1167</v>
      </c>
      <c r="CX8" s="74">
        <f>VLOOKUP($H$8&amp;$F$1,'Input RM sheet'!$A:$ZZ,CW1,0)</f>
        <v>1152</v>
      </c>
      <c r="CY8" s="74">
        <f>VLOOKUP($H$8&amp;$F$1,'Input RM sheet'!$A:$ZZ,CX1,0)</f>
        <v>1161</v>
      </c>
      <c r="CZ8" s="74">
        <f>VLOOKUP($H$8&amp;$F$1,'Input RM sheet'!$A:$ZZ,CY1,0)</f>
        <v>1115</v>
      </c>
      <c r="DA8" s="74">
        <f>VLOOKUP($H$8&amp;$F$1,'Input RM sheet'!$A:$ZZ,CZ1,0)</f>
        <v>1110</v>
      </c>
      <c r="DB8" s="74">
        <f>VLOOKUP($H$8&amp;$F$1,'Input RM sheet'!$A:$ZZ,DA1,0)</f>
        <v>1085</v>
      </c>
      <c r="DC8" s="74">
        <f>VLOOKUP($H$8&amp;$F$1,'Input RM sheet'!$A:$ZZ,DB1,0)</f>
        <v>970</v>
      </c>
      <c r="DD8" s="74">
        <f>VLOOKUP($H$8&amp;$F$1,'Input RM sheet'!$A:$ZZ,DC1,0)</f>
        <v>990</v>
      </c>
      <c r="DE8" s="74">
        <f>VLOOKUP($H$8&amp;$F$1,'Input RM sheet'!$A:$ZZ,DD1,0)</f>
        <v>990</v>
      </c>
      <c r="DF8" s="74">
        <f>VLOOKUP($H$8&amp;$F$1,'Input RM sheet'!$A:$ZZ,DE1,0)</f>
        <v>990</v>
      </c>
      <c r="DG8" s="74">
        <f>VLOOKUP($H$8&amp;$F$1,'Input RM sheet'!$A:$ZZ,DF1,0)</f>
        <v>1000</v>
      </c>
      <c r="DH8" s="74">
        <f>VLOOKUP($H$8&amp;$F$1,'Input RM sheet'!$A:$ZZ,DG1,0)</f>
        <v>1015</v>
      </c>
      <c r="DI8" s="74">
        <f>VLOOKUP($H$8&amp;$F$1,'Input RM sheet'!$A:$ZZ,DH1,0)</f>
        <v>1100</v>
      </c>
      <c r="DJ8" s="74">
        <f>VLOOKUP($H$8&amp;$F$1,'Input RM sheet'!$A:$ZZ,DI1,0)</f>
        <v>1110</v>
      </c>
      <c r="DK8" s="74">
        <f>VLOOKUP($H$8&amp;$F$1,'Input RM sheet'!$A:$ZZ,DJ1,0)</f>
        <v>1110</v>
      </c>
      <c r="DL8" s="74">
        <f>VLOOKUP($H$8&amp;$F$1,'Input RM sheet'!$A:$ZZ,DK1,0)</f>
        <v>1095</v>
      </c>
      <c r="DM8" s="74">
        <f>VLOOKUP($H$8&amp;$F$1,'Input RM sheet'!$A:$ZZ,DL1,0)</f>
        <v>1095</v>
      </c>
      <c r="DN8" s="74">
        <f>VLOOKUP($H$8&amp;$F$1,'Input RM sheet'!$A:$ZZ,DM1,0)</f>
        <v>1110</v>
      </c>
      <c r="DO8" s="74">
        <f>VLOOKUP($H$8&amp;$F$1,'Input RM sheet'!$A:$ZZ,DN1,0)</f>
        <v>1105</v>
      </c>
      <c r="DP8" s="74">
        <f>VLOOKUP($H$8&amp;$F$1,'Input RM sheet'!$A:$ZZ,DO1,0)</f>
        <v>1105</v>
      </c>
      <c r="DQ8" s="74">
        <f>VLOOKUP($H$8&amp;$F$1,'Input RM sheet'!$A:$ZZ,DP1,0)</f>
        <v>1065</v>
      </c>
      <c r="DR8" s="74">
        <f>VLOOKUP($H$8&amp;$F$1,'Input RM sheet'!$A:$ZZ,DQ1,0)</f>
        <v>1045</v>
      </c>
      <c r="DS8" s="74">
        <f>VLOOKUP($H$8&amp;$F$1,'Input RM sheet'!$A:$ZZ,DR1,0)</f>
        <v>1010</v>
      </c>
      <c r="DT8" s="74">
        <f>VLOOKUP($H$8&amp;$F$1,'Input RM sheet'!$A:$ZZ,DS1,0)</f>
        <v>0</v>
      </c>
      <c r="DU8" s="74">
        <f>VLOOKUP($H$8&amp;$F$1,'Input RM sheet'!$A:$ZZ,DT1,0)</f>
        <v>0</v>
      </c>
      <c r="DV8" s="74">
        <f>VLOOKUP($H$8&amp;$F$1,'Input RM sheet'!$A:$ZZ,DU1,0)</f>
        <v>0</v>
      </c>
      <c r="DW8" s="74">
        <f>VLOOKUP($H$8&amp;$F$1,'Input RM sheet'!$A:$ZZ,DV1,0)</f>
        <v>0</v>
      </c>
      <c r="DX8" s="74">
        <f>VLOOKUP($H$8&amp;$F$1,'Input RM sheet'!$A:$ZZ,DW1,0)</f>
        <v>0</v>
      </c>
      <c r="DY8" s="74">
        <f>VLOOKUP($H$8&amp;$F$1,'Input RM sheet'!$A:$ZZ,DX1,0)</f>
        <v>0</v>
      </c>
      <c r="DZ8" s="74">
        <f>VLOOKUP($H$8&amp;$F$1,'Input RM sheet'!$A:$ZZ,DY1,0)</f>
        <v>0</v>
      </c>
      <c r="EA8" s="74">
        <f>VLOOKUP($H$8&amp;$F$1,'Input RM sheet'!$A:$ZZ,DZ1,0)</f>
        <v>0</v>
      </c>
      <c r="EB8" s="74">
        <f>VLOOKUP($H$8&amp;$F$1,'Input RM sheet'!$A:$ZZ,EA1,0)</f>
        <v>0</v>
      </c>
      <c r="EC8" s="74">
        <f>VLOOKUP($H$8&amp;$F$1,'Input RM sheet'!$A:$ZZ,EB1,0)</f>
        <v>0</v>
      </c>
      <c r="ED8" s="74">
        <f>VLOOKUP($H$8&amp;$F$1,'Input RM sheet'!$A:$ZZ,EC1,0)</f>
        <v>0</v>
      </c>
      <c r="EE8" s="74">
        <f>VLOOKUP($H$8&amp;$F$1,'Input RM sheet'!$A:$ZZ,ED1,0)</f>
        <v>0</v>
      </c>
      <c r="EF8" s="74">
        <f>VLOOKUP($H$8&amp;$F$1,'Input RM sheet'!$A:$ZZ,EE1,0)</f>
        <v>0</v>
      </c>
      <c r="EG8" s="74">
        <f>VLOOKUP($H$8&amp;$F$1,'Input RM sheet'!$A:$ZZ,EF1,0)</f>
        <v>0</v>
      </c>
      <c r="EH8" s="74">
        <f>VLOOKUP($H$8&amp;$F$1,'Input RM sheet'!$A:$ZZ,EG1,0)</f>
        <v>0</v>
      </c>
      <c r="EI8" s="74">
        <f>VLOOKUP($H$8&amp;$F$1,'Input RM sheet'!$A:$ZZ,EH1,0)</f>
        <v>0</v>
      </c>
      <c r="EJ8" s="74">
        <f>VLOOKUP($H$8&amp;$F$1,'Input RM sheet'!$A:$ZZ,EI1,0)</f>
        <v>0</v>
      </c>
    </row>
    <row r="9" spans="1:140" ht="13">
      <c r="A9" s="59" t="s">
        <v>395</v>
      </c>
      <c r="B9" s="59"/>
      <c r="C9" s="59" t="s">
        <v>379</v>
      </c>
      <c r="D9" s="98" t="s">
        <v>380</v>
      </c>
      <c r="E9" s="98" t="s">
        <v>381</v>
      </c>
      <c r="F9" s="59" t="s">
        <v>396</v>
      </c>
      <c r="I9" s="84"/>
      <c r="J9" s="84"/>
      <c r="K9" s="84"/>
      <c r="L9" s="84"/>
      <c r="M9" s="84"/>
      <c r="N9" s="84"/>
      <c r="O9" s="84"/>
      <c r="P9" s="84"/>
      <c r="Q9" s="84"/>
      <c r="R9" s="84"/>
      <c r="S9" s="84"/>
      <c r="T9" s="84"/>
      <c r="U9" s="84"/>
      <c r="V9" s="84"/>
      <c r="W9" s="84"/>
      <c r="X9" s="84"/>
      <c r="Y9" s="84"/>
      <c r="Z9" s="84"/>
      <c r="AA9" s="84"/>
      <c r="AB9" s="84"/>
      <c r="AC9" s="84"/>
      <c r="AD9" s="84"/>
      <c r="AE9" s="84"/>
      <c r="AF9" s="84"/>
      <c r="AG9" s="84"/>
      <c r="AH9" s="84"/>
      <c r="AI9" s="84"/>
      <c r="AJ9" s="84"/>
      <c r="AK9" s="84"/>
      <c r="AL9" s="84"/>
      <c r="AM9" s="84"/>
      <c r="AN9" s="84"/>
      <c r="AO9" s="84"/>
      <c r="AP9" s="84"/>
      <c r="AQ9" s="84"/>
      <c r="AR9" s="84"/>
      <c r="AS9" s="84"/>
      <c r="AT9" s="84"/>
      <c r="AU9" s="84"/>
      <c r="AV9" s="84"/>
      <c r="AW9" s="84"/>
      <c r="AX9" s="84"/>
      <c r="AY9" s="84"/>
      <c r="AZ9" s="84"/>
      <c r="BA9" s="84"/>
      <c r="BB9" s="84"/>
      <c r="BC9" s="84"/>
      <c r="BD9" s="84"/>
      <c r="BE9" s="84"/>
      <c r="BF9" s="84"/>
      <c r="BG9" s="84"/>
      <c r="BH9" s="84"/>
      <c r="BI9" s="84"/>
      <c r="BJ9" s="84"/>
      <c r="BK9" s="84"/>
      <c r="BL9" s="84"/>
      <c r="BM9" s="84"/>
      <c r="BN9" s="84"/>
      <c r="BO9" s="84"/>
      <c r="BP9" s="84"/>
      <c r="BQ9" s="84"/>
      <c r="BR9" s="84"/>
      <c r="BS9" s="84"/>
      <c r="BT9" s="84"/>
      <c r="BU9" s="84"/>
      <c r="BV9" s="84"/>
      <c r="BW9" s="84"/>
      <c r="BX9" s="84"/>
      <c r="BY9" s="84"/>
      <c r="BZ9" s="84"/>
      <c r="CA9" s="84"/>
      <c r="CB9" s="84"/>
      <c r="CC9" s="84"/>
      <c r="CD9" s="84"/>
      <c r="CE9" s="84"/>
      <c r="CF9" s="84"/>
      <c r="CG9" s="84"/>
      <c r="CH9" s="84"/>
      <c r="CI9" s="84"/>
      <c r="CJ9" s="84"/>
      <c r="CK9" s="84"/>
      <c r="CL9" s="84"/>
      <c r="CM9" s="84"/>
      <c r="CN9" s="84"/>
      <c r="CO9" s="84"/>
      <c r="CP9" s="84"/>
      <c r="CQ9" s="84"/>
      <c r="CR9" s="84"/>
      <c r="CS9" s="84"/>
      <c r="CT9" s="84"/>
      <c r="CU9" s="84"/>
      <c r="CV9" s="84"/>
      <c r="CW9" s="84"/>
      <c r="CX9" s="84"/>
      <c r="CY9" s="84"/>
      <c r="CZ9" s="84"/>
      <c r="DA9" s="84"/>
      <c r="DB9" s="84"/>
      <c r="DC9" s="84"/>
      <c r="DD9" s="84"/>
      <c r="DE9" s="84"/>
      <c r="DF9" s="84"/>
      <c r="DG9" s="84"/>
      <c r="DH9" s="84"/>
      <c r="DI9" s="84"/>
      <c r="DJ9" s="84"/>
      <c r="DK9" s="84"/>
      <c r="DL9" s="84"/>
      <c r="DM9" s="84"/>
      <c r="DN9" s="84"/>
      <c r="DO9" s="84"/>
      <c r="DP9" s="84"/>
      <c r="DQ9" s="84"/>
      <c r="DR9" s="84"/>
      <c r="DS9" s="84"/>
      <c r="DT9" s="84"/>
      <c r="DU9" s="84"/>
      <c r="DV9" s="84"/>
      <c r="DW9" s="84"/>
      <c r="DX9" s="84"/>
      <c r="DY9" s="84"/>
      <c r="DZ9" s="84"/>
      <c r="EA9" s="84"/>
      <c r="EB9" s="84"/>
      <c r="EC9" s="84"/>
      <c r="ED9" s="84"/>
      <c r="EE9" s="84"/>
      <c r="EF9" s="84"/>
      <c r="EG9" s="84"/>
      <c r="EH9" s="84"/>
      <c r="EI9" s="84"/>
      <c r="EJ9" s="84"/>
    </row>
    <row r="10" spans="1:140" ht="13">
      <c r="A10" s="107" t="s">
        <v>397</v>
      </c>
      <c r="B10" s="100" t="s">
        <v>758</v>
      </c>
      <c r="C10" s="60">
        <v>1</v>
      </c>
      <c r="D10" s="64">
        <v>130.22999999999999</v>
      </c>
      <c r="E10" s="60">
        <f>D10*C10</f>
        <v>130.22999999999999</v>
      </c>
      <c r="F10" s="65">
        <f>(E10/D3)</f>
        <v>1.0075822050290135</v>
      </c>
      <c r="H10" s="60" t="s">
        <v>399</v>
      </c>
      <c r="I10" s="74">
        <f>$F$10*(I8/1000)</f>
        <v>0.86450553191489354</v>
      </c>
      <c r="J10" s="74">
        <f t="shared" ref="J10:BU10" si="0">$F$10*(J8/1000)</f>
        <v>0.87344782398452603</v>
      </c>
      <c r="K10" s="74">
        <f t="shared" si="0"/>
        <v>0.82180923597678923</v>
      </c>
      <c r="L10" s="74">
        <f t="shared" si="0"/>
        <v>0.68515589941972921</v>
      </c>
      <c r="M10" s="74">
        <f t="shared" si="0"/>
        <v>0.72482944874274657</v>
      </c>
      <c r="N10" s="74">
        <f t="shared" si="0"/>
        <v>0.76828143133462279</v>
      </c>
      <c r="O10" s="74">
        <f t="shared" si="0"/>
        <v>0.82722499032882002</v>
      </c>
      <c r="P10" s="74">
        <f t="shared" si="0"/>
        <v>0.83188505802707935</v>
      </c>
      <c r="Q10" s="74">
        <f t="shared" si="0"/>
        <v>0.84951774661508705</v>
      </c>
      <c r="R10" s="74">
        <f t="shared" si="0"/>
        <v>0.87407756286266924</v>
      </c>
      <c r="S10" s="74">
        <f t="shared" si="0"/>
        <v>1.0869293036750485</v>
      </c>
      <c r="T10" s="74">
        <f t="shared" si="0"/>
        <v>1.2758509671179885</v>
      </c>
      <c r="U10" s="74">
        <f t="shared" si="0"/>
        <v>1.3577170212765957</v>
      </c>
      <c r="V10" s="74">
        <f t="shared" si="0"/>
        <v>1.5536917601547389</v>
      </c>
      <c r="W10" s="74">
        <f t="shared" si="0"/>
        <v>1.9003000386847193</v>
      </c>
      <c r="X10" s="74">
        <f t="shared" si="0"/>
        <v>1.6856850290135397</v>
      </c>
      <c r="Y10" s="74">
        <f t="shared" si="0"/>
        <v>1.9081088007736944</v>
      </c>
      <c r="Z10" s="74">
        <f t="shared" si="0"/>
        <v>1.925741489361702</v>
      </c>
      <c r="AA10" s="74">
        <f t="shared" si="0"/>
        <v>2.014156827852998</v>
      </c>
      <c r="AB10" s="74">
        <f t="shared" si="0"/>
        <v>2.1098771373307543</v>
      </c>
      <c r="AC10" s="74">
        <f t="shared" si="0"/>
        <v>1.9990430947775628</v>
      </c>
      <c r="AD10" s="74">
        <f t="shared" si="0"/>
        <v>1.7670472920696323</v>
      </c>
      <c r="AE10" s="74">
        <f t="shared" si="0"/>
        <v>1.7456361702127658</v>
      </c>
      <c r="AF10" s="74">
        <f t="shared" si="0"/>
        <v>1.5617524177949711</v>
      </c>
      <c r="AG10" s="74">
        <f t="shared" si="0"/>
        <v>1.4987785299806577</v>
      </c>
      <c r="AH10" s="74">
        <f t="shared" si="0"/>
        <v>1.6914786266924564</v>
      </c>
      <c r="AI10" s="74">
        <f t="shared" si="0"/>
        <v>1.7693143520309478</v>
      </c>
      <c r="AJ10" s="74">
        <f t="shared" si="0"/>
        <v>1.7632688588007737</v>
      </c>
      <c r="AK10" s="74">
        <f t="shared" si="0"/>
        <v>1.7317819148936171</v>
      </c>
      <c r="AL10" s="74">
        <f t="shared" si="0"/>
        <v>1.5012974854932302</v>
      </c>
      <c r="AM10" s="74">
        <f t="shared" si="0"/>
        <v>1.1536816247582204</v>
      </c>
      <c r="AN10" s="74">
        <f t="shared" si="0"/>
        <v>1.11337833655706</v>
      </c>
      <c r="AO10" s="74">
        <f t="shared" si="0"/>
        <v>1.158215744680851</v>
      </c>
      <c r="AP10" s="74">
        <f t="shared" si="0"/>
        <v>1.1687953578336556</v>
      </c>
      <c r="AQ10" s="74">
        <f t="shared" si="0"/>
        <v>1.1587195357833655</v>
      </c>
      <c r="AR10" s="74">
        <f t="shared" si="0"/>
        <v>1.1385678916827853</v>
      </c>
      <c r="AS10" s="74">
        <f t="shared" si="0"/>
        <v>1.2191744680851064</v>
      </c>
      <c r="AT10" s="74">
        <f t="shared" si="0"/>
        <v>1.2481424564796906</v>
      </c>
      <c r="AU10" s="74">
        <f t="shared" si="0"/>
        <v>1.1939849129593811</v>
      </c>
      <c r="AV10" s="74">
        <f t="shared" si="0"/>
        <v>1.183909090909091</v>
      </c>
      <c r="AW10" s="74">
        <f t="shared" si="0"/>
        <v>1.2090986460348161</v>
      </c>
      <c r="AX10" s="74">
        <f t="shared" si="0"/>
        <v>1.2494019342359768</v>
      </c>
      <c r="AY10" s="74">
        <f t="shared" si="0"/>
        <v>1.118416247582205</v>
      </c>
      <c r="AZ10" s="74">
        <f t="shared" si="0"/>
        <v>1.118416247582205</v>
      </c>
      <c r="BA10" s="74">
        <f t="shared" si="0"/>
        <v>1.1284920696324952</v>
      </c>
      <c r="BB10" s="74">
        <f t="shared" si="0"/>
        <v>1.1587195357833655</v>
      </c>
      <c r="BC10" s="74">
        <f t="shared" si="0"/>
        <v>1.2494019342359768</v>
      </c>
      <c r="BD10" s="74">
        <f t="shared" si="0"/>
        <v>1.3148947775628625</v>
      </c>
      <c r="BE10" s="74">
        <f t="shared" si="0"/>
        <v>1.3551980657640232</v>
      </c>
      <c r="BF10" s="74">
        <f t="shared" si="0"/>
        <v>1.3602359767891683</v>
      </c>
      <c r="BG10" s="74">
        <f t="shared" si="0"/>
        <v>1.4458804642166345</v>
      </c>
      <c r="BH10" s="74">
        <f t="shared" si="0"/>
        <v>1.4458804642166345</v>
      </c>
      <c r="BI10" s="74">
        <f t="shared" si="0"/>
        <v>1.3501601547388782</v>
      </c>
      <c r="BJ10" s="74">
        <f t="shared" si="0"/>
        <v>1.4146454158607349</v>
      </c>
      <c r="BK10" s="74">
        <f t="shared" si="0"/>
        <v>1.3955013539651837</v>
      </c>
      <c r="BL10" s="74">
        <f t="shared" si="0"/>
        <v>1.3501601547388782</v>
      </c>
      <c r="BM10" s="74">
        <f t="shared" si="0"/>
        <v>1.3400843326885881</v>
      </c>
      <c r="BN10" s="74">
        <f t="shared" si="0"/>
        <v>1.2997810444874274</v>
      </c>
      <c r="BO10" s="74">
        <f t="shared" si="0"/>
        <v>1.2997810444874274</v>
      </c>
      <c r="BP10" s="74">
        <f t="shared" si="0"/>
        <v>1.2997810444874274</v>
      </c>
      <c r="BQ10" s="74">
        <f t="shared" si="0"/>
        <v>1.2997810444874274</v>
      </c>
      <c r="BR10" s="74">
        <f t="shared" si="0"/>
        <v>1.2796294003868471</v>
      </c>
      <c r="BS10" s="74">
        <f t="shared" si="0"/>
        <v>1.2796294003868471</v>
      </c>
      <c r="BT10" s="74">
        <f t="shared" si="0"/>
        <v>1.2947431334622823</v>
      </c>
      <c r="BU10" s="74">
        <f t="shared" si="0"/>
        <v>1.3501601547388782</v>
      </c>
      <c r="BV10" s="74">
        <f t="shared" ref="BV10:CL10" si="1">$F$10*(BV8/1000)</f>
        <v>1.3501601547388782</v>
      </c>
      <c r="BW10" s="74">
        <f t="shared" si="1"/>
        <v>1.4761079303675049</v>
      </c>
      <c r="BX10" s="74">
        <f t="shared" si="1"/>
        <v>1.5264870406189555</v>
      </c>
      <c r="BY10" s="74">
        <f t="shared" si="1"/>
        <v>1.5264870406189555</v>
      </c>
      <c r="BZ10" s="74">
        <f t="shared" si="1"/>
        <v>1.5214491295938104</v>
      </c>
      <c r="CA10" s="74">
        <f t="shared" si="1"/>
        <v>1.5214491295938104</v>
      </c>
      <c r="CB10" s="74">
        <f t="shared" si="1"/>
        <v>1.5214491295938104</v>
      </c>
      <c r="CC10" s="74">
        <f t="shared" si="1"/>
        <v>1.49122166344294</v>
      </c>
      <c r="CD10" s="74">
        <f t="shared" si="1"/>
        <v>1.4962595744680851</v>
      </c>
      <c r="CE10" s="74">
        <f t="shared" si="1"/>
        <v>1.5063353965183752</v>
      </c>
      <c r="CF10" s="74">
        <f t="shared" si="1"/>
        <v>1.486183752417795</v>
      </c>
      <c r="CG10" s="74">
        <f t="shared" si="1"/>
        <v>1.4257288201160541</v>
      </c>
      <c r="CH10" s="74">
        <f t="shared" si="1"/>
        <v>1.3854255319148936</v>
      </c>
      <c r="CI10" s="74">
        <f t="shared" si="1"/>
        <v>1.3652738878143134</v>
      </c>
      <c r="CJ10" s="74">
        <f t="shared" si="1"/>
        <v>1.3350464216634428</v>
      </c>
      <c r="CK10" s="74">
        <f t="shared" si="1"/>
        <v>1.3350464216634428</v>
      </c>
      <c r="CL10" s="74">
        <f t="shared" si="1"/>
        <v>1.3148947775628625</v>
      </c>
      <c r="CM10" s="74">
        <f t="shared" ref="CM10:CT10" si="2">$F$10*(CM8/1000)</f>
        <v>1.2846673114119922</v>
      </c>
      <c r="CN10" s="74">
        <f t="shared" si="2"/>
        <v>1.2745914893617021</v>
      </c>
      <c r="CO10" s="74">
        <f t="shared" si="2"/>
        <v>1.2745914893617021</v>
      </c>
      <c r="CP10" s="74">
        <f t="shared" si="2"/>
        <v>1.2745914893617021</v>
      </c>
      <c r="CQ10" s="74">
        <f t="shared" si="2"/>
        <v>1.2745914893617021</v>
      </c>
      <c r="CR10" s="74">
        <f t="shared" si="2"/>
        <v>1.2745914893617021</v>
      </c>
      <c r="CS10" s="74">
        <f t="shared" si="2"/>
        <v>1.3249705996131527</v>
      </c>
      <c r="CT10" s="74">
        <f t="shared" si="2"/>
        <v>1.2443640232108317</v>
      </c>
      <c r="CU10" s="74">
        <f t="shared" ref="CU10:EJ10" si="3">$F$10*(CU8/1000)</f>
        <v>1.199022823984526</v>
      </c>
      <c r="CV10" s="74">
        <f t="shared" si="3"/>
        <v>1.2040607350096713</v>
      </c>
      <c r="CW10" s="74">
        <f t="shared" si="3"/>
        <v>1.1758484332688588</v>
      </c>
      <c r="CX10" s="74">
        <f t="shared" si="3"/>
        <v>1.1607347001934234</v>
      </c>
      <c r="CY10" s="74">
        <f t="shared" si="3"/>
        <v>1.1698029400386847</v>
      </c>
      <c r="CZ10" s="74">
        <f t="shared" si="3"/>
        <v>1.1234541586073501</v>
      </c>
      <c r="DA10" s="74">
        <f t="shared" si="3"/>
        <v>1.118416247582205</v>
      </c>
      <c r="DB10" s="74">
        <f t="shared" si="3"/>
        <v>1.0932266924564797</v>
      </c>
      <c r="DC10" s="74">
        <f t="shared" si="3"/>
        <v>0.97735473887814306</v>
      </c>
      <c r="DD10" s="74">
        <f t="shared" si="3"/>
        <v>0.9975063829787234</v>
      </c>
      <c r="DE10" s="74">
        <f t="shared" si="3"/>
        <v>0.9975063829787234</v>
      </c>
      <c r="DF10" s="74">
        <f t="shared" si="3"/>
        <v>0.9975063829787234</v>
      </c>
      <c r="DG10" s="74">
        <f t="shared" si="3"/>
        <v>1.0075822050290135</v>
      </c>
      <c r="DH10" s="74">
        <f t="shared" si="3"/>
        <v>1.0226959381044487</v>
      </c>
      <c r="DI10" s="74">
        <f t="shared" si="3"/>
        <v>1.1083404255319149</v>
      </c>
      <c r="DJ10" s="74">
        <f t="shared" si="3"/>
        <v>1.118416247582205</v>
      </c>
      <c r="DK10" s="74">
        <f t="shared" si="3"/>
        <v>1.118416247582205</v>
      </c>
      <c r="DL10" s="74">
        <f t="shared" si="3"/>
        <v>1.1033025145067699</v>
      </c>
      <c r="DM10" s="74">
        <f t="shared" si="3"/>
        <v>1.1033025145067699</v>
      </c>
      <c r="DN10" s="74">
        <f t="shared" si="3"/>
        <v>1.118416247582205</v>
      </c>
      <c r="DO10" s="74">
        <f t="shared" si="3"/>
        <v>1.11337833655706</v>
      </c>
      <c r="DP10" s="74">
        <f t="shared" si="3"/>
        <v>1.11337833655706</v>
      </c>
      <c r="DQ10" s="74">
        <f t="shared" si="3"/>
        <v>1.0730750483558993</v>
      </c>
      <c r="DR10" s="74">
        <f t="shared" si="3"/>
        <v>1.0529234042553191</v>
      </c>
      <c r="DS10" s="74">
        <f t="shared" si="3"/>
        <v>1.0176580270793036</v>
      </c>
      <c r="DT10" s="74">
        <f t="shared" si="3"/>
        <v>0</v>
      </c>
      <c r="DU10" s="74">
        <f t="shared" si="3"/>
        <v>0</v>
      </c>
      <c r="DV10" s="74">
        <f t="shared" si="3"/>
        <v>0</v>
      </c>
      <c r="DW10" s="74">
        <f t="shared" si="3"/>
        <v>0</v>
      </c>
      <c r="DX10" s="74">
        <f t="shared" si="3"/>
        <v>0</v>
      </c>
      <c r="DY10" s="74">
        <f t="shared" si="3"/>
        <v>0</v>
      </c>
      <c r="DZ10" s="74">
        <f t="shared" si="3"/>
        <v>0</v>
      </c>
      <c r="EA10" s="74">
        <f t="shared" si="3"/>
        <v>0</v>
      </c>
      <c r="EB10" s="74">
        <f t="shared" si="3"/>
        <v>0</v>
      </c>
      <c r="EC10" s="74">
        <f t="shared" si="3"/>
        <v>0</v>
      </c>
      <c r="ED10" s="74">
        <f t="shared" si="3"/>
        <v>0</v>
      </c>
      <c r="EE10" s="74">
        <f t="shared" si="3"/>
        <v>0</v>
      </c>
      <c r="EF10" s="74">
        <f t="shared" si="3"/>
        <v>0</v>
      </c>
      <c r="EG10" s="74">
        <f t="shared" si="3"/>
        <v>0</v>
      </c>
      <c r="EH10" s="74">
        <f t="shared" si="3"/>
        <v>0</v>
      </c>
      <c r="EI10" s="74">
        <f t="shared" si="3"/>
        <v>0</v>
      </c>
      <c r="EJ10" s="74">
        <f t="shared" si="3"/>
        <v>0</v>
      </c>
    </row>
    <row r="11" spans="1:140" s="104" customFormat="1">
      <c r="A11" s="104" t="s">
        <v>400</v>
      </c>
      <c r="H11" s="60"/>
      <c r="I11" s="105">
        <f>SUM(I10:I10)</f>
        <v>0.86450553191489354</v>
      </c>
      <c r="J11" s="105">
        <f t="shared" ref="J11:BU11" si="4">SUM(J10:J10)</f>
        <v>0.87344782398452603</v>
      </c>
      <c r="K11" s="105">
        <f t="shared" si="4"/>
        <v>0.82180923597678923</v>
      </c>
      <c r="L11" s="105">
        <f t="shared" si="4"/>
        <v>0.68515589941972921</v>
      </c>
      <c r="M11" s="105">
        <f t="shared" si="4"/>
        <v>0.72482944874274657</v>
      </c>
      <c r="N11" s="105">
        <f t="shared" si="4"/>
        <v>0.76828143133462279</v>
      </c>
      <c r="O11" s="105">
        <f t="shared" si="4"/>
        <v>0.82722499032882002</v>
      </c>
      <c r="P11" s="105">
        <f t="shared" si="4"/>
        <v>0.83188505802707935</v>
      </c>
      <c r="Q11" s="105">
        <f t="shared" si="4"/>
        <v>0.84951774661508705</v>
      </c>
      <c r="R11" s="105">
        <f t="shared" si="4"/>
        <v>0.87407756286266924</v>
      </c>
      <c r="S11" s="105">
        <f t="shared" si="4"/>
        <v>1.0869293036750485</v>
      </c>
      <c r="T11" s="105">
        <f t="shared" si="4"/>
        <v>1.2758509671179885</v>
      </c>
      <c r="U11" s="105">
        <f t="shared" si="4"/>
        <v>1.3577170212765957</v>
      </c>
      <c r="V11" s="105">
        <f t="shared" si="4"/>
        <v>1.5536917601547389</v>
      </c>
      <c r="W11" s="105">
        <f t="shared" si="4"/>
        <v>1.9003000386847193</v>
      </c>
      <c r="X11" s="105">
        <f t="shared" si="4"/>
        <v>1.6856850290135397</v>
      </c>
      <c r="Y11" s="105">
        <f t="shared" si="4"/>
        <v>1.9081088007736944</v>
      </c>
      <c r="Z11" s="105">
        <f t="shared" si="4"/>
        <v>1.925741489361702</v>
      </c>
      <c r="AA11" s="105">
        <f t="shared" si="4"/>
        <v>2.014156827852998</v>
      </c>
      <c r="AB11" s="105">
        <f t="shared" si="4"/>
        <v>2.1098771373307543</v>
      </c>
      <c r="AC11" s="105">
        <f t="shared" si="4"/>
        <v>1.9990430947775628</v>
      </c>
      <c r="AD11" s="105">
        <f t="shared" si="4"/>
        <v>1.7670472920696323</v>
      </c>
      <c r="AE11" s="105">
        <f t="shared" si="4"/>
        <v>1.7456361702127658</v>
      </c>
      <c r="AF11" s="105">
        <f t="shared" si="4"/>
        <v>1.5617524177949711</v>
      </c>
      <c r="AG11" s="105">
        <f t="shared" si="4"/>
        <v>1.4987785299806577</v>
      </c>
      <c r="AH11" s="105">
        <f t="shared" si="4"/>
        <v>1.6914786266924564</v>
      </c>
      <c r="AI11" s="105">
        <f t="shared" si="4"/>
        <v>1.7693143520309478</v>
      </c>
      <c r="AJ11" s="105">
        <f t="shared" si="4"/>
        <v>1.7632688588007737</v>
      </c>
      <c r="AK11" s="105">
        <f t="shared" si="4"/>
        <v>1.7317819148936171</v>
      </c>
      <c r="AL11" s="105">
        <f t="shared" si="4"/>
        <v>1.5012974854932302</v>
      </c>
      <c r="AM11" s="105">
        <f t="shared" si="4"/>
        <v>1.1536816247582204</v>
      </c>
      <c r="AN11" s="105">
        <f t="shared" si="4"/>
        <v>1.11337833655706</v>
      </c>
      <c r="AO11" s="105">
        <f t="shared" si="4"/>
        <v>1.158215744680851</v>
      </c>
      <c r="AP11" s="105">
        <f t="shared" si="4"/>
        <v>1.1687953578336556</v>
      </c>
      <c r="AQ11" s="105">
        <f t="shared" si="4"/>
        <v>1.1587195357833655</v>
      </c>
      <c r="AR11" s="105">
        <f t="shared" si="4"/>
        <v>1.1385678916827853</v>
      </c>
      <c r="AS11" s="105">
        <f t="shared" si="4"/>
        <v>1.2191744680851064</v>
      </c>
      <c r="AT11" s="105">
        <f t="shared" si="4"/>
        <v>1.2481424564796906</v>
      </c>
      <c r="AU11" s="105">
        <f t="shared" si="4"/>
        <v>1.1939849129593811</v>
      </c>
      <c r="AV11" s="105">
        <f t="shared" si="4"/>
        <v>1.183909090909091</v>
      </c>
      <c r="AW11" s="105">
        <f t="shared" si="4"/>
        <v>1.2090986460348161</v>
      </c>
      <c r="AX11" s="105">
        <f t="shared" si="4"/>
        <v>1.2494019342359768</v>
      </c>
      <c r="AY11" s="105">
        <f t="shared" si="4"/>
        <v>1.118416247582205</v>
      </c>
      <c r="AZ11" s="105">
        <f t="shared" si="4"/>
        <v>1.118416247582205</v>
      </c>
      <c r="BA11" s="105">
        <f t="shared" si="4"/>
        <v>1.1284920696324952</v>
      </c>
      <c r="BB11" s="105">
        <f t="shared" si="4"/>
        <v>1.1587195357833655</v>
      </c>
      <c r="BC11" s="105">
        <f t="shared" si="4"/>
        <v>1.2494019342359768</v>
      </c>
      <c r="BD11" s="105">
        <f t="shared" si="4"/>
        <v>1.3148947775628625</v>
      </c>
      <c r="BE11" s="105">
        <f t="shared" si="4"/>
        <v>1.3551980657640232</v>
      </c>
      <c r="BF11" s="105">
        <f t="shared" si="4"/>
        <v>1.3602359767891683</v>
      </c>
      <c r="BG11" s="105">
        <f t="shared" si="4"/>
        <v>1.4458804642166345</v>
      </c>
      <c r="BH11" s="105">
        <f t="shared" si="4"/>
        <v>1.4458804642166345</v>
      </c>
      <c r="BI11" s="105">
        <f t="shared" si="4"/>
        <v>1.3501601547388782</v>
      </c>
      <c r="BJ11" s="105">
        <f t="shared" si="4"/>
        <v>1.4146454158607349</v>
      </c>
      <c r="BK11" s="105">
        <f t="shared" si="4"/>
        <v>1.3955013539651837</v>
      </c>
      <c r="BL11" s="105">
        <f t="shared" si="4"/>
        <v>1.3501601547388782</v>
      </c>
      <c r="BM11" s="105">
        <f t="shared" si="4"/>
        <v>1.3400843326885881</v>
      </c>
      <c r="BN11" s="105">
        <f t="shared" si="4"/>
        <v>1.2997810444874274</v>
      </c>
      <c r="BO11" s="105">
        <f t="shared" si="4"/>
        <v>1.2997810444874274</v>
      </c>
      <c r="BP11" s="105">
        <f t="shared" si="4"/>
        <v>1.2997810444874274</v>
      </c>
      <c r="BQ11" s="105">
        <f t="shared" si="4"/>
        <v>1.2997810444874274</v>
      </c>
      <c r="BR11" s="105">
        <f t="shared" si="4"/>
        <v>1.2796294003868471</v>
      </c>
      <c r="BS11" s="105">
        <f t="shared" si="4"/>
        <v>1.2796294003868471</v>
      </c>
      <c r="BT11" s="105">
        <f t="shared" si="4"/>
        <v>1.2947431334622823</v>
      </c>
      <c r="BU11" s="105">
        <f t="shared" si="4"/>
        <v>1.3501601547388782</v>
      </c>
      <c r="BV11" s="105">
        <f t="shared" ref="BV11:CL11" si="5">SUM(BV10:BV10)</f>
        <v>1.3501601547388782</v>
      </c>
      <c r="BW11" s="105">
        <f t="shared" si="5"/>
        <v>1.4761079303675049</v>
      </c>
      <c r="BX11" s="105">
        <f t="shared" si="5"/>
        <v>1.5264870406189555</v>
      </c>
      <c r="BY11" s="105">
        <f t="shared" si="5"/>
        <v>1.5264870406189555</v>
      </c>
      <c r="BZ11" s="105">
        <f t="shared" si="5"/>
        <v>1.5214491295938104</v>
      </c>
      <c r="CA11" s="105">
        <f t="shared" si="5"/>
        <v>1.5214491295938104</v>
      </c>
      <c r="CB11" s="105">
        <f t="shared" si="5"/>
        <v>1.5214491295938104</v>
      </c>
      <c r="CC11" s="105">
        <f t="shared" si="5"/>
        <v>1.49122166344294</v>
      </c>
      <c r="CD11" s="105">
        <f t="shared" si="5"/>
        <v>1.4962595744680851</v>
      </c>
      <c r="CE11" s="105">
        <f t="shared" si="5"/>
        <v>1.5063353965183752</v>
      </c>
      <c r="CF11" s="105">
        <f t="shared" si="5"/>
        <v>1.486183752417795</v>
      </c>
      <c r="CG11" s="105">
        <f t="shared" si="5"/>
        <v>1.4257288201160541</v>
      </c>
      <c r="CH11" s="105">
        <f t="shared" si="5"/>
        <v>1.3854255319148936</v>
      </c>
      <c r="CI11" s="105">
        <f t="shared" si="5"/>
        <v>1.3652738878143134</v>
      </c>
      <c r="CJ11" s="105">
        <f t="shared" si="5"/>
        <v>1.3350464216634428</v>
      </c>
      <c r="CK11" s="105">
        <f t="shared" si="5"/>
        <v>1.3350464216634428</v>
      </c>
      <c r="CL11" s="105">
        <f t="shared" si="5"/>
        <v>1.3148947775628625</v>
      </c>
      <c r="CM11" s="105">
        <f t="shared" ref="CM11:CT11" si="6">SUM(CM10:CM10)</f>
        <v>1.2846673114119922</v>
      </c>
      <c r="CN11" s="105">
        <f t="shared" si="6"/>
        <v>1.2745914893617021</v>
      </c>
      <c r="CO11" s="105">
        <f t="shared" si="6"/>
        <v>1.2745914893617021</v>
      </c>
      <c r="CP11" s="105">
        <f t="shared" si="6"/>
        <v>1.2745914893617021</v>
      </c>
      <c r="CQ11" s="105">
        <f t="shared" si="6"/>
        <v>1.2745914893617021</v>
      </c>
      <c r="CR11" s="105">
        <f t="shared" si="6"/>
        <v>1.2745914893617021</v>
      </c>
      <c r="CS11" s="105">
        <f t="shared" si="6"/>
        <v>1.3249705996131527</v>
      </c>
      <c r="CT11" s="105">
        <f t="shared" si="6"/>
        <v>1.2443640232108317</v>
      </c>
      <c r="CU11" s="105">
        <f t="shared" ref="CU11:EJ11" si="7">SUM(CU10:CU10)</f>
        <v>1.199022823984526</v>
      </c>
      <c r="CV11" s="105">
        <f t="shared" si="7"/>
        <v>1.2040607350096713</v>
      </c>
      <c r="CW11" s="105">
        <f t="shared" si="7"/>
        <v>1.1758484332688588</v>
      </c>
      <c r="CX11" s="105">
        <f t="shared" si="7"/>
        <v>1.1607347001934234</v>
      </c>
      <c r="CY11" s="105">
        <f t="shared" si="7"/>
        <v>1.1698029400386847</v>
      </c>
      <c r="CZ11" s="105">
        <f t="shared" si="7"/>
        <v>1.1234541586073501</v>
      </c>
      <c r="DA11" s="105">
        <f t="shared" si="7"/>
        <v>1.118416247582205</v>
      </c>
      <c r="DB11" s="105">
        <f t="shared" si="7"/>
        <v>1.0932266924564797</v>
      </c>
      <c r="DC11" s="105">
        <f t="shared" si="7"/>
        <v>0.97735473887814306</v>
      </c>
      <c r="DD11" s="105">
        <f t="shared" si="7"/>
        <v>0.9975063829787234</v>
      </c>
      <c r="DE11" s="105">
        <f t="shared" si="7"/>
        <v>0.9975063829787234</v>
      </c>
      <c r="DF11" s="105">
        <f t="shared" si="7"/>
        <v>0.9975063829787234</v>
      </c>
      <c r="DG11" s="105">
        <f t="shared" si="7"/>
        <v>1.0075822050290135</v>
      </c>
      <c r="DH11" s="105">
        <f t="shared" si="7"/>
        <v>1.0226959381044487</v>
      </c>
      <c r="DI11" s="105">
        <f t="shared" si="7"/>
        <v>1.1083404255319149</v>
      </c>
      <c r="DJ11" s="105">
        <f t="shared" si="7"/>
        <v>1.118416247582205</v>
      </c>
      <c r="DK11" s="105">
        <f t="shared" si="7"/>
        <v>1.118416247582205</v>
      </c>
      <c r="DL11" s="105">
        <f t="shared" si="7"/>
        <v>1.1033025145067699</v>
      </c>
      <c r="DM11" s="105">
        <f t="shared" si="7"/>
        <v>1.1033025145067699</v>
      </c>
      <c r="DN11" s="105">
        <f t="shared" si="7"/>
        <v>1.118416247582205</v>
      </c>
      <c r="DO11" s="105">
        <f t="shared" si="7"/>
        <v>1.11337833655706</v>
      </c>
      <c r="DP11" s="105">
        <f t="shared" si="7"/>
        <v>1.11337833655706</v>
      </c>
      <c r="DQ11" s="105">
        <f t="shared" si="7"/>
        <v>1.0730750483558993</v>
      </c>
      <c r="DR11" s="105">
        <f t="shared" si="7"/>
        <v>1.0529234042553191</v>
      </c>
      <c r="DS11" s="105">
        <f t="shared" si="7"/>
        <v>1.0176580270793036</v>
      </c>
      <c r="DT11" s="105">
        <f t="shared" si="7"/>
        <v>0</v>
      </c>
      <c r="DU11" s="105">
        <f t="shared" si="7"/>
        <v>0</v>
      </c>
      <c r="DV11" s="105">
        <f t="shared" si="7"/>
        <v>0</v>
      </c>
      <c r="DW11" s="105">
        <f t="shared" si="7"/>
        <v>0</v>
      </c>
      <c r="DX11" s="105">
        <f t="shared" si="7"/>
        <v>0</v>
      </c>
      <c r="DY11" s="105">
        <f t="shared" si="7"/>
        <v>0</v>
      </c>
      <c r="DZ11" s="105">
        <f t="shared" si="7"/>
        <v>0</v>
      </c>
      <c r="EA11" s="105">
        <f t="shared" si="7"/>
        <v>0</v>
      </c>
      <c r="EB11" s="105">
        <f t="shared" si="7"/>
        <v>0</v>
      </c>
      <c r="EC11" s="105">
        <f t="shared" si="7"/>
        <v>0</v>
      </c>
      <c r="ED11" s="105">
        <f t="shared" si="7"/>
        <v>0</v>
      </c>
      <c r="EE11" s="105">
        <f t="shared" si="7"/>
        <v>0</v>
      </c>
      <c r="EF11" s="105">
        <f t="shared" si="7"/>
        <v>0</v>
      </c>
      <c r="EG11" s="105">
        <f t="shared" si="7"/>
        <v>0</v>
      </c>
      <c r="EH11" s="105">
        <f t="shared" si="7"/>
        <v>0</v>
      </c>
      <c r="EI11" s="105">
        <f t="shared" si="7"/>
        <v>0</v>
      </c>
      <c r="EJ11" s="105">
        <f t="shared" si="7"/>
        <v>0</v>
      </c>
    </row>
    <row r="12" spans="1:140">
      <c r="H12" s="60" t="s">
        <v>429</v>
      </c>
      <c r="I12" s="74"/>
      <c r="J12" s="74"/>
      <c r="K12" s="74"/>
      <c r="L12" s="74"/>
      <c r="M12" s="74"/>
      <c r="N12" s="74"/>
      <c r="O12" s="74"/>
      <c r="P12" s="74"/>
      <c r="Q12" s="74"/>
      <c r="R12" s="74"/>
      <c r="S12" s="74"/>
      <c r="T12" s="74"/>
      <c r="U12" s="74"/>
      <c r="V12" s="74"/>
      <c r="W12" s="74"/>
      <c r="X12" s="74"/>
      <c r="Y12" s="74"/>
      <c r="Z12" s="74"/>
      <c r="AA12" s="74"/>
      <c r="AB12" s="74"/>
      <c r="AC12" s="74"/>
      <c r="AD12" s="74"/>
      <c r="AE12" s="74"/>
      <c r="AF12" s="74"/>
      <c r="AG12" s="74"/>
      <c r="AH12" s="74"/>
      <c r="AI12" s="74"/>
      <c r="AJ12" s="74"/>
      <c r="AK12" s="74"/>
      <c r="AL12" s="74">
        <v>3.25</v>
      </c>
      <c r="AM12" s="74"/>
      <c r="AN12" s="74"/>
      <c r="AO12" s="74"/>
      <c r="AP12" s="74"/>
      <c r="AQ12" s="74"/>
      <c r="AR12" s="74">
        <f>255/74</f>
        <v>3.4459459459459461</v>
      </c>
      <c r="AS12" s="74"/>
      <c r="AT12" s="74"/>
      <c r="AU12" s="74">
        <f>255/82.5</f>
        <v>3.0909090909090908</v>
      </c>
      <c r="AV12" s="74"/>
      <c r="AW12" s="74">
        <f>215/82.5</f>
        <v>2.606060606060606</v>
      </c>
      <c r="AX12" s="74"/>
      <c r="AY12" s="74"/>
      <c r="AZ12" s="74"/>
      <c r="BA12" s="74"/>
      <c r="BB12" s="74"/>
      <c r="BC12" s="74"/>
      <c r="BD12" s="74"/>
      <c r="BE12" s="74"/>
      <c r="BF12" s="74"/>
      <c r="BG12" s="74"/>
      <c r="BH12" s="74"/>
      <c r="BI12" s="74"/>
      <c r="BJ12" s="74"/>
      <c r="BK12" s="74">
        <f>265/82.5</f>
        <v>3.2121212121212119</v>
      </c>
      <c r="BL12" s="74"/>
      <c r="BM12" s="74"/>
      <c r="BN12" s="74"/>
      <c r="BO12" s="74"/>
      <c r="BP12" s="74"/>
      <c r="BQ12" s="74"/>
      <c r="BR12" s="74"/>
      <c r="BS12" s="74"/>
      <c r="BT12" s="74"/>
      <c r="BU12" s="74"/>
      <c r="BV12" s="74"/>
      <c r="BW12" s="74">
        <v>2.6</v>
      </c>
      <c r="BX12" s="74"/>
      <c r="BY12" s="74"/>
      <c r="BZ12" s="74"/>
      <c r="CA12" s="74"/>
      <c r="CB12" s="74"/>
      <c r="CC12" s="74"/>
      <c r="CD12" s="74"/>
      <c r="CE12" s="74"/>
      <c r="CF12" s="74"/>
      <c r="CG12" s="74"/>
      <c r="CH12" s="74"/>
      <c r="CI12" s="74"/>
      <c r="CJ12" s="74"/>
      <c r="CK12" s="74"/>
      <c r="CL12" s="74">
        <f>227.72/83.5</f>
        <v>2.7271856287425149</v>
      </c>
      <c r="CM12" s="74"/>
      <c r="CN12" s="74"/>
      <c r="CO12" s="74"/>
      <c r="CP12" s="74"/>
      <c r="CQ12" s="74"/>
      <c r="CR12" s="74"/>
      <c r="CS12" s="74"/>
      <c r="CT12" s="74"/>
      <c r="CU12" s="74"/>
      <c r="CV12" s="74"/>
      <c r="CW12" s="74"/>
      <c r="CX12" s="74"/>
      <c r="CY12" s="74"/>
      <c r="CZ12" s="74"/>
      <c r="DA12" s="74"/>
      <c r="DB12" s="74"/>
      <c r="DC12" s="74"/>
      <c r="DD12" s="74"/>
      <c r="DE12" s="74"/>
      <c r="DF12" s="74"/>
      <c r="DG12" s="74"/>
      <c r="DH12" s="74"/>
      <c r="DI12" s="74"/>
      <c r="DJ12" s="74"/>
      <c r="DK12" s="74"/>
      <c r="DL12" s="74"/>
      <c r="DM12" s="74"/>
      <c r="DN12" s="74"/>
      <c r="DO12" s="74"/>
      <c r="DP12" s="74"/>
      <c r="DQ12" s="74"/>
      <c r="DR12" s="74"/>
      <c r="DS12" s="74"/>
      <c r="DT12" s="74"/>
      <c r="DU12" s="74"/>
      <c r="DV12" s="74"/>
      <c r="DW12" s="74"/>
      <c r="DX12" s="74"/>
      <c r="DY12" s="74"/>
      <c r="DZ12" s="74"/>
      <c r="EA12" s="74"/>
      <c r="EB12" s="74"/>
      <c r="EC12" s="74"/>
      <c r="ED12" s="74"/>
      <c r="EE12" s="74"/>
      <c r="EF12" s="74"/>
      <c r="EG12" s="74"/>
      <c r="EH12" s="74"/>
      <c r="EI12" s="74"/>
      <c r="EJ12" s="74"/>
    </row>
    <row r="13" spans="1:140">
      <c r="H13" s="60" t="s">
        <v>406</v>
      </c>
      <c r="I13" s="74"/>
      <c r="J13" s="108"/>
      <c r="K13" s="74"/>
      <c r="L13" s="74"/>
      <c r="M13" s="74"/>
      <c r="N13" s="74"/>
      <c r="O13" s="74"/>
      <c r="P13" s="74"/>
      <c r="Q13" s="74"/>
      <c r="R13" s="74"/>
      <c r="S13" s="74"/>
      <c r="T13" s="74"/>
      <c r="U13" s="74"/>
      <c r="V13" s="74"/>
      <c r="W13" s="74"/>
      <c r="X13" s="74"/>
      <c r="Y13" s="74"/>
      <c r="Z13" s="74"/>
      <c r="AA13" s="74"/>
      <c r="AB13" s="74"/>
      <c r="AC13" s="74"/>
      <c r="AD13" s="74"/>
      <c r="AE13" s="74"/>
      <c r="AF13" s="74"/>
      <c r="AG13" s="74"/>
      <c r="AH13" s="74"/>
      <c r="AI13" s="74"/>
      <c r="AJ13" s="74"/>
      <c r="AK13" s="74"/>
      <c r="AL13" s="74">
        <f>AL12-AL11</f>
        <v>1.7487025145067698</v>
      </c>
      <c r="AM13" s="74"/>
      <c r="AN13" s="74"/>
      <c r="AO13" s="74"/>
      <c r="AP13" s="74"/>
      <c r="AQ13" s="74"/>
      <c r="AR13" s="74">
        <f>AR12-AR11</f>
        <v>2.307378054263161</v>
      </c>
      <c r="AS13" s="74"/>
      <c r="AT13" s="74"/>
      <c r="AU13" s="74">
        <f>AU12-AU11</f>
        <v>1.8969241779497097</v>
      </c>
      <c r="AV13" s="74"/>
      <c r="AW13" s="74">
        <f>AW12-AW11</f>
        <v>1.3969619600257899</v>
      </c>
      <c r="AX13" s="74"/>
      <c r="AY13" s="74"/>
      <c r="AZ13" s="74"/>
      <c r="BA13" s="74"/>
      <c r="BB13" s="74"/>
      <c r="BC13" s="74"/>
      <c r="BD13" s="74"/>
      <c r="BE13" s="74"/>
      <c r="BF13" s="74"/>
      <c r="BG13" s="74"/>
      <c r="BH13" s="74"/>
      <c r="BI13" s="74"/>
      <c r="BJ13" s="74"/>
      <c r="BK13" s="74">
        <f>BK12-BK11</f>
        <v>1.8166198581560282</v>
      </c>
      <c r="BL13" s="74"/>
      <c r="BM13" s="74"/>
      <c r="BN13" s="74"/>
      <c r="BO13" s="74"/>
      <c r="BP13" s="74"/>
      <c r="BQ13" s="74"/>
      <c r="BR13" s="74"/>
      <c r="BS13" s="74"/>
      <c r="BT13" s="74"/>
      <c r="BU13" s="74"/>
      <c r="BV13" s="74"/>
      <c r="BW13" s="74">
        <f>BW12-BW11</f>
        <v>1.1238920696324952</v>
      </c>
      <c r="BX13" s="74"/>
      <c r="BY13" s="74"/>
      <c r="BZ13" s="74"/>
      <c r="CA13" s="74"/>
      <c r="CB13" s="74"/>
      <c r="CC13" s="74"/>
      <c r="CD13" s="74"/>
      <c r="CE13" s="74"/>
      <c r="CF13" s="74"/>
      <c r="CG13" s="74"/>
      <c r="CH13" s="74"/>
      <c r="CI13" s="74"/>
      <c r="CJ13" s="74"/>
      <c r="CK13" s="74"/>
      <c r="CL13" s="74">
        <f>CL12-CL11</f>
        <v>1.4122908511796524</v>
      </c>
      <c r="CM13" s="74"/>
      <c r="CN13" s="74"/>
      <c r="CO13" s="74"/>
      <c r="CP13" s="74"/>
      <c r="CQ13" s="74"/>
      <c r="CR13" s="74"/>
      <c r="CS13" s="74"/>
      <c r="CT13" s="74"/>
      <c r="CU13" s="74"/>
      <c r="CV13" s="74"/>
      <c r="CW13" s="74"/>
      <c r="CX13" s="74"/>
      <c r="CY13" s="74"/>
      <c r="CZ13" s="74"/>
      <c r="DA13" s="74"/>
      <c r="DB13" s="74"/>
      <c r="DC13" s="74"/>
      <c r="DD13" s="74"/>
      <c r="DE13" s="74"/>
      <c r="DF13" s="74"/>
      <c r="DG13" s="74"/>
      <c r="DH13" s="74"/>
      <c r="DI13" s="74"/>
      <c r="DJ13" s="74"/>
      <c r="DK13" s="74"/>
      <c r="DL13" s="74"/>
      <c r="DM13" s="74"/>
      <c r="DN13" s="74"/>
      <c r="DO13" s="74"/>
      <c r="DP13" s="74"/>
      <c r="DQ13" s="74"/>
      <c r="DR13" s="74"/>
      <c r="DS13" s="74"/>
      <c r="DT13" s="74"/>
      <c r="DU13" s="74"/>
      <c r="DV13" s="74"/>
      <c r="DW13" s="74"/>
      <c r="DX13" s="74"/>
      <c r="DY13" s="74"/>
      <c r="DZ13" s="74"/>
      <c r="EA13" s="74"/>
      <c r="EB13" s="74"/>
      <c r="EC13" s="74"/>
      <c r="ED13" s="74"/>
      <c r="EE13" s="74"/>
      <c r="EF13" s="74"/>
      <c r="EG13" s="74"/>
      <c r="EH13" s="74"/>
      <c r="EI13" s="74"/>
      <c r="EJ13" s="74"/>
    </row>
    <row r="15" spans="1:140" ht="13" thickBot="1"/>
    <row r="16" spans="1:140" s="73" customFormat="1" ht="13" thickBot="1">
      <c r="H16" s="257" t="s">
        <v>407</v>
      </c>
      <c r="I16" s="258">
        <f>1.12+I11</f>
        <v>1.9845055319148937</v>
      </c>
      <c r="J16" s="258">
        <f t="shared" ref="J16:BU16" si="8">1.12+J11</f>
        <v>1.9934478239845261</v>
      </c>
      <c r="K16" s="258">
        <f t="shared" si="8"/>
        <v>1.9418092359767893</v>
      </c>
      <c r="L16" s="258">
        <f t="shared" si="8"/>
        <v>1.8051558994197294</v>
      </c>
      <c r="M16" s="258">
        <f t="shared" si="8"/>
        <v>1.8448294487427468</v>
      </c>
      <c r="N16" s="258">
        <f t="shared" si="8"/>
        <v>1.8882814313346228</v>
      </c>
      <c r="O16" s="258">
        <f t="shared" si="8"/>
        <v>1.9472249903288201</v>
      </c>
      <c r="P16" s="258">
        <f t="shared" si="8"/>
        <v>1.9518850580270795</v>
      </c>
      <c r="Q16" s="258">
        <f t="shared" si="8"/>
        <v>1.9695177466150873</v>
      </c>
      <c r="R16" s="258">
        <f t="shared" si="8"/>
        <v>1.9940775628626692</v>
      </c>
      <c r="S16" s="258">
        <f t="shared" si="8"/>
        <v>2.2069293036750484</v>
      </c>
      <c r="T16" s="258">
        <f t="shared" si="8"/>
        <v>2.3958509671179886</v>
      </c>
      <c r="U16" s="258">
        <f t="shared" si="8"/>
        <v>2.4777170212765958</v>
      </c>
      <c r="V16" s="258">
        <f t="shared" si="8"/>
        <v>2.673691760154739</v>
      </c>
      <c r="W16" s="258">
        <f t="shared" si="8"/>
        <v>3.0203000386847192</v>
      </c>
      <c r="X16" s="258">
        <f t="shared" si="8"/>
        <v>2.8056850290135396</v>
      </c>
      <c r="Y16" s="258">
        <f t="shared" si="8"/>
        <v>3.0281088007736945</v>
      </c>
      <c r="Z16" s="258">
        <f t="shared" si="8"/>
        <v>3.0457414893617019</v>
      </c>
      <c r="AA16" s="258">
        <f t="shared" si="8"/>
        <v>3.1341568278529981</v>
      </c>
      <c r="AB16" s="258">
        <f t="shared" si="8"/>
        <v>3.2298771373307544</v>
      </c>
      <c r="AC16" s="258">
        <f t="shared" si="8"/>
        <v>3.1190430947775631</v>
      </c>
      <c r="AD16" s="258">
        <f t="shared" si="8"/>
        <v>2.8870472920696324</v>
      </c>
      <c r="AE16" s="258">
        <f t="shared" si="8"/>
        <v>2.865636170212766</v>
      </c>
      <c r="AF16" s="258">
        <f t="shared" si="8"/>
        <v>2.6817524177949714</v>
      </c>
      <c r="AG16" s="258">
        <f t="shared" si="8"/>
        <v>2.6187785299806579</v>
      </c>
      <c r="AH16" s="258">
        <f t="shared" si="8"/>
        <v>2.8114786266924563</v>
      </c>
      <c r="AI16" s="258">
        <f t="shared" si="8"/>
        <v>2.8893143520309481</v>
      </c>
      <c r="AJ16" s="258">
        <f t="shared" si="8"/>
        <v>2.8832688588007738</v>
      </c>
      <c r="AK16" s="258">
        <f t="shared" si="8"/>
        <v>2.8517819148936172</v>
      </c>
      <c r="AL16" s="258">
        <f t="shared" si="8"/>
        <v>2.6212974854932303</v>
      </c>
      <c r="AM16" s="258">
        <f t="shared" si="8"/>
        <v>2.2736816247582206</v>
      </c>
      <c r="AN16" s="258">
        <f t="shared" si="8"/>
        <v>2.2333783365570601</v>
      </c>
      <c r="AO16" s="258">
        <f t="shared" si="8"/>
        <v>2.2782157446808511</v>
      </c>
      <c r="AP16" s="258">
        <f t="shared" si="8"/>
        <v>2.2887953578336555</v>
      </c>
      <c r="AQ16" s="258">
        <f t="shared" si="8"/>
        <v>2.2787195357833658</v>
      </c>
      <c r="AR16" s="258">
        <f t="shared" si="8"/>
        <v>2.2585678916827856</v>
      </c>
      <c r="AS16" s="258">
        <f t="shared" si="8"/>
        <v>2.3391744680851065</v>
      </c>
      <c r="AT16" s="258">
        <f t="shared" si="8"/>
        <v>2.3681424564796907</v>
      </c>
      <c r="AU16" s="258">
        <f t="shared" si="8"/>
        <v>2.3139849129593815</v>
      </c>
      <c r="AV16" s="258">
        <f t="shared" si="8"/>
        <v>2.3039090909090909</v>
      </c>
      <c r="AW16" s="258">
        <f t="shared" si="8"/>
        <v>2.329098646034816</v>
      </c>
      <c r="AX16" s="258">
        <f t="shared" si="8"/>
        <v>2.3694019342359769</v>
      </c>
      <c r="AY16" s="258">
        <f t="shared" si="8"/>
        <v>2.2384162475822054</v>
      </c>
      <c r="AZ16" s="258">
        <f t="shared" si="8"/>
        <v>2.2384162475822054</v>
      </c>
      <c r="BA16" s="258">
        <f t="shared" si="8"/>
        <v>2.248492069632495</v>
      </c>
      <c r="BB16" s="258">
        <f t="shared" si="8"/>
        <v>2.2787195357833658</v>
      </c>
      <c r="BC16" s="258">
        <f t="shared" si="8"/>
        <v>2.3694019342359769</v>
      </c>
      <c r="BD16" s="258">
        <f t="shared" si="8"/>
        <v>2.4348947775628629</v>
      </c>
      <c r="BE16" s="258">
        <f t="shared" si="8"/>
        <v>2.4751980657640233</v>
      </c>
      <c r="BF16" s="258">
        <f t="shared" si="8"/>
        <v>2.4802359767891682</v>
      </c>
      <c r="BG16" s="258">
        <f t="shared" si="8"/>
        <v>2.5658804642166348</v>
      </c>
      <c r="BH16" s="258">
        <f t="shared" si="8"/>
        <v>2.5658804642166348</v>
      </c>
      <c r="BI16" s="258">
        <f t="shared" si="8"/>
        <v>2.4701601547388785</v>
      </c>
      <c r="BJ16" s="258">
        <f t="shared" si="8"/>
        <v>2.534645415860735</v>
      </c>
      <c r="BK16" s="258">
        <f t="shared" si="8"/>
        <v>2.5155013539651838</v>
      </c>
      <c r="BL16" s="258">
        <f t="shared" si="8"/>
        <v>2.4701601547388785</v>
      </c>
      <c r="BM16" s="258">
        <f t="shared" si="8"/>
        <v>2.4600843326885879</v>
      </c>
      <c r="BN16" s="258">
        <f t="shared" si="8"/>
        <v>2.4197810444874275</v>
      </c>
      <c r="BO16" s="258">
        <f t="shared" si="8"/>
        <v>2.4197810444874275</v>
      </c>
      <c r="BP16" s="258">
        <f t="shared" si="8"/>
        <v>2.4197810444874275</v>
      </c>
      <c r="BQ16" s="258">
        <f t="shared" si="8"/>
        <v>2.4197810444874275</v>
      </c>
      <c r="BR16" s="258">
        <f t="shared" si="8"/>
        <v>2.3996294003868472</v>
      </c>
      <c r="BS16" s="258">
        <f t="shared" si="8"/>
        <v>2.3996294003868472</v>
      </c>
      <c r="BT16" s="258">
        <f t="shared" si="8"/>
        <v>2.4147431334622826</v>
      </c>
      <c r="BU16" s="258">
        <f t="shared" si="8"/>
        <v>2.4701601547388785</v>
      </c>
      <c r="BV16" s="258">
        <f>1.12+BV11</f>
        <v>2.4701601547388785</v>
      </c>
      <c r="BW16" s="258">
        <f>1.12+BW11</f>
        <v>2.5961079303675048</v>
      </c>
      <c r="BX16" s="258">
        <f>1.12+BX11</f>
        <v>2.6464870406189558</v>
      </c>
      <c r="BY16" s="258">
        <f t="shared" ref="BY16:EJ16" si="9">1.12+BY11</f>
        <v>2.6464870406189558</v>
      </c>
      <c r="BZ16" s="258">
        <f t="shared" si="9"/>
        <v>2.6414491295938105</v>
      </c>
      <c r="CA16" s="258">
        <f t="shared" si="9"/>
        <v>2.6414491295938105</v>
      </c>
      <c r="CB16" s="258">
        <f t="shared" si="9"/>
        <v>2.6414491295938105</v>
      </c>
      <c r="CC16" s="258">
        <f t="shared" si="9"/>
        <v>2.6112216634429402</v>
      </c>
      <c r="CD16" s="258">
        <f t="shared" si="9"/>
        <v>2.616259574468085</v>
      </c>
      <c r="CE16" s="258">
        <f t="shared" si="9"/>
        <v>2.6263353965183756</v>
      </c>
      <c r="CF16" s="258">
        <f t="shared" si="9"/>
        <v>2.6061837524177953</v>
      </c>
      <c r="CG16" s="258">
        <f t="shared" si="9"/>
        <v>2.5457288201160542</v>
      </c>
      <c r="CH16" s="258">
        <f t="shared" si="9"/>
        <v>2.5054255319148937</v>
      </c>
      <c r="CI16" s="258">
        <f t="shared" si="9"/>
        <v>2.4852738878143135</v>
      </c>
      <c r="CJ16" s="258">
        <f t="shared" si="9"/>
        <v>2.4550464216634431</v>
      </c>
      <c r="CK16" s="258">
        <f t="shared" si="9"/>
        <v>2.4550464216634431</v>
      </c>
      <c r="CL16" s="258">
        <f t="shared" si="9"/>
        <v>2.4348947775628629</v>
      </c>
      <c r="CM16" s="258">
        <f t="shared" si="9"/>
        <v>2.4046673114119921</v>
      </c>
      <c r="CN16" s="258">
        <f t="shared" si="9"/>
        <v>2.3945914893617024</v>
      </c>
      <c r="CO16" s="258">
        <f t="shared" si="9"/>
        <v>2.3945914893617024</v>
      </c>
      <c r="CP16" s="258">
        <f t="shared" si="9"/>
        <v>2.3945914893617024</v>
      </c>
      <c r="CQ16" s="258">
        <f t="shared" si="9"/>
        <v>2.3945914893617024</v>
      </c>
      <c r="CR16" s="258">
        <f t="shared" si="9"/>
        <v>2.3945914893617024</v>
      </c>
      <c r="CS16" s="258">
        <f t="shared" si="9"/>
        <v>2.4449705996131526</v>
      </c>
      <c r="CT16" s="258">
        <f t="shared" si="9"/>
        <v>2.3643640232108316</v>
      </c>
      <c r="CU16" s="258">
        <f t="shared" si="9"/>
        <v>2.3190228239845263</v>
      </c>
      <c r="CV16" s="258">
        <f t="shared" si="9"/>
        <v>2.3240607350096711</v>
      </c>
      <c r="CW16" s="258">
        <f t="shared" si="9"/>
        <v>2.2958484332688589</v>
      </c>
      <c r="CX16" s="258">
        <f t="shared" si="9"/>
        <v>2.2807347001934235</v>
      </c>
      <c r="CY16" s="258">
        <f t="shared" si="9"/>
        <v>2.289802940038685</v>
      </c>
      <c r="CZ16" s="258">
        <f t="shared" si="9"/>
        <v>2.2434541586073502</v>
      </c>
      <c r="DA16" s="258">
        <f t="shared" si="9"/>
        <v>2.2384162475822054</v>
      </c>
      <c r="DB16" s="258">
        <f t="shared" si="9"/>
        <v>2.2132266924564798</v>
      </c>
      <c r="DC16" s="258">
        <f t="shared" si="9"/>
        <v>2.0973547388781433</v>
      </c>
      <c r="DD16" s="258">
        <f t="shared" si="9"/>
        <v>2.1175063829787235</v>
      </c>
      <c r="DE16" s="258">
        <f t="shared" si="9"/>
        <v>2.1175063829787235</v>
      </c>
      <c r="DF16" s="258">
        <f t="shared" si="9"/>
        <v>2.1175063829787235</v>
      </c>
      <c r="DG16" s="258">
        <f t="shared" si="9"/>
        <v>2.1275822050290136</v>
      </c>
      <c r="DH16" s="258">
        <f t="shared" si="9"/>
        <v>2.142695938104449</v>
      </c>
      <c r="DI16" s="258">
        <f t="shared" si="9"/>
        <v>2.2283404255319148</v>
      </c>
      <c r="DJ16" s="258">
        <f t="shared" si="9"/>
        <v>2.2384162475822054</v>
      </c>
      <c r="DK16" s="258">
        <f t="shared" si="9"/>
        <v>2.2384162475822054</v>
      </c>
      <c r="DL16" s="258">
        <f t="shared" si="9"/>
        <v>2.22330251450677</v>
      </c>
      <c r="DM16" s="258">
        <f t="shared" si="9"/>
        <v>2.22330251450677</v>
      </c>
      <c r="DN16" s="258">
        <f t="shared" si="9"/>
        <v>2.2384162475822054</v>
      </c>
      <c r="DO16" s="258">
        <f t="shared" si="9"/>
        <v>2.2333783365570601</v>
      </c>
      <c r="DP16" s="258">
        <f t="shared" si="9"/>
        <v>2.2333783365570601</v>
      </c>
      <c r="DQ16" s="258">
        <f t="shared" si="9"/>
        <v>2.1930750483558992</v>
      </c>
      <c r="DR16" s="258">
        <f t="shared" si="9"/>
        <v>2.1729234042553189</v>
      </c>
      <c r="DS16" s="258">
        <f t="shared" si="9"/>
        <v>2.1376580270793037</v>
      </c>
      <c r="DT16" s="258">
        <f t="shared" si="9"/>
        <v>1.1200000000000001</v>
      </c>
      <c r="DU16" s="258">
        <f t="shared" si="9"/>
        <v>1.1200000000000001</v>
      </c>
      <c r="DV16" s="258">
        <f t="shared" si="9"/>
        <v>1.1200000000000001</v>
      </c>
      <c r="DW16" s="258">
        <f t="shared" si="9"/>
        <v>1.1200000000000001</v>
      </c>
      <c r="DX16" s="258">
        <f t="shared" si="9"/>
        <v>1.1200000000000001</v>
      </c>
      <c r="DY16" s="258">
        <f t="shared" si="9"/>
        <v>1.1200000000000001</v>
      </c>
      <c r="DZ16" s="258">
        <f t="shared" si="9"/>
        <v>1.1200000000000001</v>
      </c>
      <c r="EA16" s="258">
        <f t="shared" si="9"/>
        <v>1.1200000000000001</v>
      </c>
      <c r="EB16" s="258">
        <f t="shared" si="9"/>
        <v>1.1200000000000001</v>
      </c>
      <c r="EC16" s="258">
        <f t="shared" si="9"/>
        <v>1.1200000000000001</v>
      </c>
      <c r="ED16" s="258">
        <f t="shared" si="9"/>
        <v>1.1200000000000001</v>
      </c>
      <c r="EE16" s="258">
        <f t="shared" si="9"/>
        <v>1.1200000000000001</v>
      </c>
      <c r="EF16" s="258">
        <f t="shared" si="9"/>
        <v>1.1200000000000001</v>
      </c>
      <c r="EG16" s="258">
        <f t="shared" si="9"/>
        <v>1.1200000000000001</v>
      </c>
      <c r="EH16" s="258">
        <f t="shared" si="9"/>
        <v>1.1200000000000001</v>
      </c>
      <c r="EI16" s="258">
        <f t="shared" si="9"/>
        <v>1.1200000000000001</v>
      </c>
      <c r="EJ16" s="258">
        <f t="shared" si="9"/>
        <v>1.1200000000000001</v>
      </c>
    </row>
  </sheetData>
  <pageMargins left="0.7" right="0.7" top="0.75" bottom="0.75" header="0.3" footer="0.3"/>
  <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FL20"/>
  <sheetViews>
    <sheetView workbookViewId="0">
      <pane xSplit="11" ySplit="7" topLeftCell="CA8" activePane="bottomRight" state="frozen"/>
      <selection pane="topRight" activeCell="L1" sqref="L1"/>
      <selection pane="bottomLeft" activeCell="A7" sqref="A7"/>
      <selection pane="bottomRight" activeCell="CF16" sqref="CF16"/>
    </sheetView>
  </sheetViews>
  <sheetFormatPr baseColWidth="10" defaultColWidth="22.6640625" defaultRowHeight="12"/>
  <cols>
    <col min="1" max="1" width="13.33203125" style="60" bestFit="1" customWidth="1"/>
    <col min="2" max="2" width="11.33203125" style="60" bestFit="1" customWidth="1"/>
    <col min="3" max="3" width="4.83203125" style="60" bestFit="1" customWidth="1"/>
    <col min="4" max="4" width="12.33203125" style="60" bestFit="1" customWidth="1"/>
    <col min="5" max="5" width="11.83203125" style="60" bestFit="1" customWidth="1"/>
    <col min="6" max="6" width="6.5" style="60" bestFit="1" customWidth="1"/>
    <col min="7" max="7" width="4.1640625" style="60" bestFit="1" customWidth="1"/>
    <col min="8" max="8" width="22.83203125" style="60" bestFit="1" customWidth="1"/>
    <col min="9" max="9" width="5.1640625" style="60" hidden="1" customWidth="1"/>
    <col min="10" max="10" width="5.5" style="60" hidden="1" customWidth="1"/>
    <col min="11" max="11" width="5.6640625" style="60" hidden="1" customWidth="1"/>
    <col min="12" max="12" width="5.33203125" style="60" hidden="1" customWidth="1"/>
    <col min="13" max="13" width="5.83203125" style="60" hidden="1" customWidth="1"/>
    <col min="14" max="14" width="5.1640625" style="60" hidden="1" customWidth="1"/>
    <col min="15" max="15" width="4.6640625" style="60" hidden="1" customWidth="1"/>
    <col min="16" max="18" width="5.5" style="60" hidden="1" customWidth="1"/>
    <col min="19" max="19" width="5.6640625" style="60" hidden="1" customWidth="1"/>
    <col min="20" max="20" width="5.5" style="60" hidden="1" customWidth="1"/>
    <col min="21" max="21" width="5.1640625" style="60" hidden="1" customWidth="1"/>
    <col min="22" max="22" width="5.5" style="60" hidden="1" customWidth="1"/>
    <col min="23" max="23" width="5.6640625" style="60" hidden="1" customWidth="1"/>
    <col min="24" max="24" width="5.33203125" style="60" hidden="1" customWidth="1"/>
    <col min="25" max="25" width="5.83203125" style="60" hidden="1" customWidth="1"/>
    <col min="26" max="26" width="5.1640625" style="60" hidden="1" customWidth="1"/>
    <col min="27" max="27" width="4.6640625" style="60" hidden="1" customWidth="1"/>
    <col min="28" max="28" width="6.1640625" style="60" hidden="1" customWidth="1"/>
    <col min="29" max="51" width="6.1640625" style="60" bestFit="1" customWidth="1"/>
    <col min="52" max="54" width="7" style="60" bestFit="1" customWidth="1"/>
    <col min="55" max="90" width="6.1640625" style="60" bestFit="1" customWidth="1"/>
    <col min="91" max="95" width="6.33203125" style="60" bestFit="1" customWidth="1"/>
    <col min="96" max="100" width="6.1640625" style="60" bestFit="1" customWidth="1"/>
    <col min="101" max="103" width="5.1640625" style="60" bestFit="1" customWidth="1"/>
    <col min="104" max="107" width="5.83203125" style="60" bestFit="1" customWidth="1"/>
    <col min="108" max="115" width="5.6640625" style="60" bestFit="1" customWidth="1"/>
    <col min="116" max="119" width="6.1640625" style="60" bestFit="1" customWidth="1"/>
    <col min="120" max="123" width="5.83203125" style="60" bestFit="1" customWidth="1"/>
    <col min="124" max="151" width="5.1640625" style="60" bestFit="1" customWidth="1"/>
    <col min="152" max="168" width="3.33203125" style="60" bestFit="1" customWidth="1"/>
    <col min="169" max="16384" width="22.6640625" style="60"/>
  </cols>
  <sheetData>
    <row r="1" spans="1:168" ht="13">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c r="EM1" s="99">
        <v>141</v>
      </c>
      <c r="EN1" s="99">
        <v>142</v>
      </c>
      <c r="EO1" s="99">
        <v>143</v>
      </c>
      <c r="EP1" s="99">
        <v>144</v>
      </c>
      <c r="EQ1" s="99">
        <v>145</v>
      </c>
      <c r="ER1" s="99">
        <v>146</v>
      </c>
      <c r="ES1" s="99">
        <v>147</v>
      </c>
      <c r="ET1" s="99">
        <v>148</v>
      </c>
      <c r="EU1" s="99">
        <v>149</v>
      </c>
      <c r="EV1" s="99">
        <v>150</v>
      </c>
      <c r="EW1" s="99">
        <v>151</v>
      </c>
      <c r="EX1" s="99">
        <v>152</v>
      </c>
      <c r="EY1" s="99">
        <v>153</v>
      </c>
      <c r="EZ1" s="99">
        <v>154</v>
      </c>
      <c r="FA1" s="99">
        <v>155</v>
      </c>
      <c r="FB1" s="99">
        <v>156</v>
      </c>
      <c r="FC1" s="99">
        <v>157</v>
      </c>
      <c r="FD1" s="99">
        <v>158</v>
      </c>
      <c r="FE1" s="99">
        <v>159</v>
      </c>
      <c r="FF1" s="99">
        <v>160</v>
      </c>
      <c r="FG1" s="99">
        <v>161</v>
      </c>
      <c r="FH1" s="99">
        <v>162</v>
      </c>
      <c r="FI1" s="99">
        <v>163</v>
      </c>
      <c r="FJ1" s="99">
        <v>164</v>
      </c>
      <c r="FK1" s="99">
        <v>165</v>
      </c>
      <c r="FL1" s="99">
        <v>166</v>
      </c>
    </row>
    <row r="2" spans="1:168">
      <c r="A2" s="59"/>
      <c r="B2" s="59"/>
      <c r="C2" s="59"/>
      <c r="D2" s="98"/>
      <c r="E2" s="98"/>
      <c r="F2" s="59"/>
      <c r="H2" s="99"/>
      <c r="I2" s="99"/>
      <c r="J2" s="99"/>
      <c r="K2" s="99"/>
      <c r="L2" s="99"/>
      <c r="M2" s="99"/>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99"/>
      <c r="AP2" s="99"/>
      <c r="AQ2" s="99"/>
      <c r="AR2" s="99"/>
      <c r="AS2" s="99"/>
      <c r="AT2" s="99"/>
      <c r="AU2" s="99"/>
      <c r="AV2" s="99"/>
      <c r="AW2" s="99"/>
      <c r="AX2" s="99"/>
      <c r="AY2" s="99"/>
      <c r="AZ2" s="99"/>
      <c r="BA2" s="99"/>
      <c r="BB2" s="99"/>
      <c r="BC2" s="99"/>
      <c r="BD2" s="99"/>
      <c r="BE2" s="99"/>
      <c r="BF2" s="99"/>
      <c r="BG2" s="99"/>
      <c r="BH2" s="99"/>
      <c r="BI2" s="99"/>
      <c r="BJ2" s="99"/>
      <c r="BK2" s="99"/>
      <c r="BL2" s="99"/>
      <c r="BM2" s="99"/>
      <c r="BN2" s="99"/>
      <c r="BO2" s="99"/>
      <c r="BP2" s="99"/>
      <c r="BQ2" s="99"/>
      <c r="BR2" s="99"/>
      <c r="BS2" s="99"/>
      <c r="BT2" s="99"/>
      <c r="BU2" s="99"/>
      <c r="BV2" s="99"/>
      <c r="BW2" s="99"/>
      <c r="BX2" s="99"/>
      <c r="BY2" s="99"/>
      <c r="BZ2" s="99"/>
      <c r="CA2" s="99"/>
      <c r="CB2" s="99"/>
      <c r="CC2" s="99"/>
      <c r="CD2" s="99"/>
      <c r="CE2" s="99"/>
      <c r="CF2" s="99"/>
      <c r="CG2" s="99"/>
      <c r="CH2" s="99"/>
      <c r="CI2" s="99"/>
      <c r="CJ2" s="99"/>
      <c r="CK2" s="99"/>
      <c r="CL2" s="99"/>
      <c r="CM2" s="99"/>
      <c r="CN2" s="99"/>
    </row>
    <row r="3" spans="1:168" ht="15">
      <c r="A3" s="1" t="s">
        <v>310</v>
      </c>
      <c r="B3" s="100"/>
      <c r="C3" s="101"/>
      <c r="D3" s="77">
        <v>89.136200000000002</v>
      </c>
      <c r="K3" s="102"/>
      <c r="M3" s="102"/>
    </row>
    <row r="4" spans="1:168">
      <c r="A4" s="36"/>
      <c r="B4" s="64"/>
      <c r="D4" s="100"/>
      <c r="E4" s="64"/>
      <c r="F4" s="103"/>
    </row>
    <row r="5" spans="1:168">
      <c r="A5" s="64"/>
      <c r="B5" s="64"/>
      <c r="D5" s="64"/>
      <c r="E5" s="64"/>
      <c r="H5" s="60" t="s">
        <v>387</v>
      </c>
    </row>
    <row r="6" spans="1:168">
      <c r="A6" s="74"/>
      <c r="B6" s="74"/>
    </row>
    <row r="7" spans="1:168">
      <c r="A7" s="59"/>
      <c r="B7" s="59"/>
      <c r="C7" s="59"/>
      <c r="D7" s="98"/>
      <c r="E7" s="98"/>
      <c r="F7" s="59"/>
      <c r="H7" s="59" t="s">
        <v>416</v>
      </c>
      <c r="I7" s="59">
        <v>43831</v>
      </c>
      <c r="J7" s="59">
        <v>43862</v>
      </c>
      <c r="K7" s="59">
        <v>43891</v>
      </c>
      <c r="L7" s="59">
        <v>43922</v>
      </c>
      <c r="M7" s="59">
        <v>43952</v>
      </c>
      <c r="N7" s="59">
        <v>43983</v>
      </c>
      <c r="O7" s="59">
        <v>44013</v>
      </c>
      <c r="P7" s="59">
        <v>44044</v>
      </c>
      <c r="Q7" s="59">
        <v>44075</v>
      </c>
      <c r="R7" s="59">
        <v>44105</v>
      </c>
      <c r="S7" s="59">
        <v>44136</v>
      </c>
      <c r="T7" s="59">
        <v>44166</v>
      </c>
      <c r="U7" s="59">
        <v>44197</v>
      </c>
      <c r="V7" s="59">
        <v>44228</v>
      </c>
      <c r="W7" s="59">
        <v>44256</v>
      </c>
      <c r="X7" s="59">
        <v>44287</v>
      </c>
      <c r="Y7" s="59">
        <v>44317</v>
      </c>
      <c r="Z7" s="59">
        <v>44348</v>
      </c>
      <c r="AA7" s="59">
        <v>44378</v>
      </c>
      <c r="AB7" s="59">
        <v>44409</v>
      </c>
      <c r="AC7" s="59">
        <v>44440</v>
      </c>
      <c r="AD7" s="59">
        <v>44470</v>
      </c>
      <c r="AE7" s="59">
        <v>44501</v>
      </c>
      <c r="AF7" s="59">
        <v>44531</v>
      </c>
      <c r="AG7" s="59">
        <v>44562</v>
      </c>
      <c r="AH7" s="59">
        <v>44593</v>
      </c>
      <c r="AI7" s="59">
        <v>44621</v>
      </c>
      <c r="AJ7" s="59">
        <v>44652</v>
      </c>
      <c r="AK7" s="59">
        <v>44682</v>
      </c>
      <c r="AL7" s="59">
        <v>44713</v>
      </c>
      <c r="AM7" s="59">
        <v>44743</v>
      </c>
      <c r="AN7" s="59">
        <v>44774</v>
      </c>
      <c r="AO7" s="59">
        <v>44805</v>
      </c>
      <c r="AP7" s="59">
        <v>44835</v>
      </c>
      <c r="AQ7" s="59">
        <v>44866</v>
      </c>
      <c r="AR7" s="59">
        <v>44896</v>
      </c>
      <c r="AS7" s="59">
        <v>44927</v>
      </c>
      <c r="AT7" s="59">
        <v>44958</v>
      </c>
      <c r="AU7" s="59">
        <v>44986</v>
      </c>
      <c r="AV7" s="59">
        <v>45017</v>
      </c>
      <c r="AW7" s="59">
        <v>45047</v>
      </c>
      <c r="AX7" s="59">
        <v>45078</v>
      </c>
      <c r="AY7" s="59">
        <v>45108</v>
      </c>
      <c r="AZ7" s="59" t="s">
        <v>530</v>
      </c>
      <c r="BA7" s="59" t="s">
        <v>531</v>
      </c>
      <c r="BB7" s="59" t="s">
        <v>532</v>
      </c>
      <c r="BC7" s="59">
        <v>37104</v>
      </c>
      <c r="BD7" s="59">
        <v>37469</v>
      </c>
      <c r="BE7" s="59" t="s">
        <v>168</v>
      </c>
      <c r="BF7" s="59" t="s">
        <v>169</v>
      </c>
      <c r="BG7" s="59" t="s">
        <v>195</v>
      </c>
      <c r="BH7" s="59" t="s">
        <v>196</v>
      </c>
      <c r="BI7" s="59" t="s">
        <v>197</v>
      </c>
      <c r="BJ7" s="59" t="s">
        <v>198</v>
      </c>
      <c r="BK7" s="59" t="s">
        <v>199</v>
      </c>
      <c r="BL7" s="59" t="s">
        <v>200</v>
      </c>
      <c r="BM7" s="59" t="s">
        <v>201</v>
      </c>
      <c r="BN7" s="59" t="s">
        <v>202</v>
      </c>
      <c r="BO7" s="59">
        <v>37196</v>
      </c>
      <c r="BP7" s="59">
        <v>37561</v>
      </c>
      <c r="BQ7" s="59">
        <v>37926</v>
      </c>
      <c r="BR7" s="59">
        <v>38292</v>
      </c>
      <c r="BS7" s="59">
        <v>37226</v>
      </c>
      <c r="BT7" s="59">
        <v>37591</v>
      </c>
      <c r="BU7" s="59">
        <v>37956</v>
      </c>
      <c r="BV7" s="59">
        <v>38322</v>
      </c>
      <c r="BW7" s="59">
        <v>36892</v>
      </c>
      <c r="BX7" s="59">
        <v>37257</v>
      </c>
      <c r="BY7" s="59">
        <v>37622</v>
      </c>
      <c r="BZ7" s="59">
        <v>37987</v>
      </c>
      <c r="CA7" s="59">
        <v>36923</v>
      </c>
      <c r="CB7" s="59">
        <v>37288</v>
      </c>
      <c r="CC7" s="59">
        <v>37653</v>
      </c>
      <c r="CD7" s="59">
        <v>38018</v>
      </c>
      <c r="CE7" s="59" t="str">
        <f>Sheet8!A15</f>
        <v>Mar-w1</v>
      </c>
      <c r="CF7" s="59">
        <v>37316</v>
      </c>
      <c r="CG7" s="59">
        <v>37681</v>
      </c>
      <c r="CH7" s="59">
        <v>38047</v>
      </c>
      <c r="CI7" s="59" t="str">
        <f>Sheet8!E15</f>
        <v>Apr-w1</v>
      </c>
      <c r="CJ7" s="59" t="str">
        <f>Sheet8!F15</f>
        <v>Apr-w2</v>
      </c>
      <c r="CK7" s="59" t="str">
        <f>Sheet8!G15</f>
        <v>Apr-w3</v>
      </c>
      <c r="CL7" s="59" t="str">
        <f>Sheet8!H15</f>
        <v>Apr-w4</v>
      </c>
      <c r="CM7" s="59" t="str">
        <f>Sheet8!I15</f>
        <v>May-w1</v>
      </c>
      <c r="CN7" s="59" t="str">
        <f>Sheet8!J15</f>
        <v>May-w2</v>
      </c>
      <c r="CO7" s="59" t="str">
        <f>Sheet8!K15</f>
        <v>May-w3</v>
      </c>
      <c r="CP7" s="59" t="str">
        <f>Sheet8!L15</f>
        <v>May-w4</v>
      </c>
      <c r="CQ7" s="59" t="str">
        <f>Sheet8!M15</f>
        <v>May-w5</v>
      </c>
      <c r="CR7" s="59" t="str">
        <f>Sheet8!N15</f>
        <v>june-w1</v>
      </c>
      <c r="CS7" s="59" t="str">
        <f>Sheet8!O15</f>
        <v>june-w2</v>
      </c>
      <c r="CT7" s="59" t="str">
        <f>Sheet8!P15</f>
        <v>june-w3</v>
      </c>
      <c r="CU7" s="59" t="str">
        <f>Sheet8!Q15</f>
        <v>june-w4</v>
      </c>
      <c r="CV7" s="59" t="str">
        <f>Sheet8!R15</f>
        <v>Jul-w1</v>
      </c>
      <c r="CW7" s="59" t="str">
        <f>Sheet8!S15</f>
        <v>Jul-w2</v>
      </c>
      <c r="CX7" s="59" t="str">
        <f>Sheet8!T15</f>
        <v>Jul-w3</v>
      </c>
      <c r="CY7" s="59" t="str">
        <f>Sheet8!U15</f>
        <v>Jul-w4</v>
      </c>
      <c r="CZ7" s="59" t="str">
        <f>Sheet8!V15</f>
        <v>Aug-w1</v>
      </c>
      <c r="DA7" s="59" t="str">
        <f>Sheet8!W15</f>
        <v>Aug-w2</v>
      </c>
      <c r="DB7" s="59" t="str">
        <f>Sheet8!X15</f>
        <v>Aug-w3</v>
      </c>
      <c r="DC7" s="59" t="str">
        <f>Sheet8!Y15</f>
        <v>Aug-w4</v>
      </c>
      <c r="DD7" s="59" t="str">
        <f>Sheet8!Z15</f>
        <v>Sep-w1</v>
      </c>
      <c r="DE7" s="59" t="str">
        <f>Sheet8!AA15</f>
        <v>Sep-w2</v>
      </c>
      <c r="DF7" s="59" t="str">
        <f>Sheet8!AB15</f>
        <v>Sep-w3</v>
      </c>
      <c r="DG7" s="59" t="str">
        <f>Sheet8!AC15</f>
        <v>Sep-w4</v>
      </c>
      <c r="DH7" s="59" t="str">
        <f>Sheet8!AD15</f>
        <v>Oct-w1</v>
      </c>
      <c r="DI7" s="59" t="str">
        <f>Sheet8!AE15</f>
        <v>Oct-w2</v>
      </c>
      <c r="DJ7" s="59" t="str">
        <f>Sheet8!AF15</f>
        <v>Oct-w3</v>
      </c>
      <c r="DK7" s="59" t="str">
        <f>Sheet8!AG15</f>
        <v>Oct-w4</v>
      </c>
      <c r="DL7" s="59" t="str">
        <f>Sheet8!AH15</f>
        <v>Nov-w1</v>
      </c>
      <c r="DM7" s="59" t="str">
        <f>Sheet8!AI15</f>
        <v>Nov-w2</v>
      </c>
      <c r="DN7" s="59" t="str">
        <f>Sheet8!AJ15</f>
        <v>Nov-w3</v>
      </c>
      <c r="DO7" s="59" t="str">
        <f>Sheet8!AK15</f>
        <v>Nov-w4</v>
      </c>
      <c r="DP7" s="59" t="str">
        <f>Sheet8!AL15</f>
        <v>Dec-w1</v>
      </c>
      <c r="DQ7" s="59" t="str">
        <f>Sheet8!AM15</f>
        <v>Dec-w2</v>
      </c>
      <c r="DR7" s="59" t="str">
        <f>Sheet8!AN15</f>
        <v>Dec-w3</v>
      </c>
      <c r="DS7" s="59" t="str">
        <f>Sheet8!AO15</f>
        <v>Dec-w4</v>
      </c>
      <c r="DT7" s="59">
        <f>Sheet8!AP15</f>
        <v>0</v>
      </c>
      <c r="DU7" s="59">
        <f>Sheet8!AQ15</f>
        <v>0</v>
      </c>
      <c r="DV7" s="59">
        <f>Sheet8!AR15</f>
        <v>0</v>
      </c>
      <c r="DW7" s="59">
        <f>Sheet8!AS15</f>
        <v>0</v>
      </c>
      <c r="DX7" s="59">
        <f>Sheet8!AT15</f>
        <v>0</v>
      </c>
      <c r="DY7" s="59">
        <f>Sheet8!AU15</f>
        <v>0</v>
      </c>
      <c r="DZ7" s="59">
        <f>Sheet8!AV15</f>
        <v>0</v>
      </c>
      <c r="EA7" s="59">
        <f>Sheet8!AW15</f>
        <v>0</v>
      </c>
      <c r="EB7" s="59">
        <f>Sheet8!AX15</f>
        <v>0</v>
      </c>
      <c r="EC7" s="59">
        <f>Sheet8!AY15</f>
        <v>0</v>
      </c>
      <c r="ED7" s="59">
        <f>Sheet8!AZ15</f>
        <v>0</v>
      </c>
      <c r="EE7" s="59">
        <f>Sheet8!BA15</f>
        <v>0</v>
      </c>
      <c r="EF7" s="59">
        <f>Sheet8!BB15</f>
        <v>0</v>
      </c>
      <c r="EG7" s="59">
        <f>Sheet8!BC15</f>
        <v>0</v>
      </c>
      <c r="EH7" s="59">
        <f>Sheet8!BD15</f>
        <v>0</v>
      </c>
      <c r="EI7" s="59">
        <f>Sheet8!BE15</f>
        <v>0</v>
      </c>
      <c r="EJ7" s="59">
        <f>Sheet8!BF15</f>
        <v>0</v>
      </c>
      <c r="EK7" s="59">
        <f>Sheet8!BG15</f>
        <v>0</v>
      </c>
      <c r="EL7" s="59">
        <f>Sheet8!BH15</f>
        <v>0</v>
      </c>
      <c r="EM7" s="59">
        <f>Sheet8!BI15</f>
        <v>0</v>
      </c>
      <c r="EN7" s="59">
        <f>Sheet8!BJ15</f>
        <v>0</v>
      </c>
      <c r="EO7" s="59">
        <f>Sheet8!BK15</f>
        <v>0</v>
      </c>
      <c r="EP7" s="59">
        <f>Sheet8!BL15</f>
        <v>0</v>
      </c>
      <c r="EQ7" s="59">
        <f>Sheet8!BM15</f>
        <v>0</v>
      </c>
      <c r="ER7" s="59">
        <f>Sheet8!BN15</f>
        <v>0</v>
      </c>
      <c r="ES7" s="59">
        <f>Sheet8!BO15</f>
        <v>0</v>
      </c>
      <c r="ET7" s="59">
        <f>Sheet8!BP15</f>
        <v>0</v>
      </c>
      <c r="EU7" s="59">
        <f>Sheet8!BQ15</f>
        <v>0</v>
      </c>
    </row>
    <row r="8" spans="1:168">
      <c r="F8" s="60" t="s">
        <v>651</v>
      </c>
      <c r="H8" s="178" t="s">
        <v>131</v>
      </c>
      <c r="I8" s="74">
        <f>VLOOKUP($H$8&amp;$F$1,'Input RM sheet'!$A:$BD,H1,0)</f>
        <v>0</v>
      </c>
      <c r="J8" s="74">
        <f>VLOOKUP($H$8&amp;$F$1,'Input RM sheet'!$A:$BD,I1,0)</f>
        <v>0</v>
      </c>
      <c r="K8" s="74">
        <f>VLOOKUP($H$8&amp;$F$1,'Input RM sheet'!$A:$DD,J1,0)</f>
        <v>0</v>
      </c>
      <c r="L8" s="74">
        <f>VLOOKUP($H$8&amp;$F$1,'Input RM sheet'!$A:$DD,K1,0)</f>
        <v>0</v>
      </c>
      <c r="M8" s="74">
        <f>VLOOKUP($H$8&amp;$F$1,'Input RM sheet'!$A:$DD,L1,0)</f>
        <v>0</v>
      </c>
      <c r="N8" s="74">
        <f>VLOOKUP($H$8&amp;$F$1,'Input RM sheet'!$A:$DD,M1,0)</f>
        <v>0</v>
      </c>
      <c r="O8" s="74">
        <f>VLOOKUP($H$8&amp;$F$1,'Input RM sheet'!$A:$DD,N1,0)</f>
        <v>0</v>
      </c>
      <c r="P8" s="74">
        <f>VLOOKUP($H$8&amp;$F$1,'Input RM sheet'!$A:$DD,O1,0)</f>
        <v>0</v>
      </c>
      <c r="Q8" s="74">
        <f>VLOOKUP($H$8&amp;$F$1,'Input RM sheet'!$A:$DD,P1,0)</f>
        <v>0</v>
      </c>
      <c r="R8" s="74">
        <f>VLOOKUP($H$8&amp;$F$1,'Input RM sheet'!$A:$DD,Q1,0)</f>
        <v>0</v>
      </c>
      <c r="S8" s="74">
        <f>VLOOKUP($H$8&amp;$F$1,'Input RM sheet'!$A:$DD,R1,0)</f>
        <v>0</v>
      </c>
      <c r="T8" s="74">
        <f>VLOOKUP($H$8&amp;$F$1,'Input RM sheet'!$A:$DD,S1,0)</f>
        <v>0</v>
      </c>
      <c r="U8" s="74">
        <f>VLOOKUP($H$8&amp;$F$1,'Input RM sheet'!$A:$DD,T1,0)</f>
        <v>0</v>
      </c>
      <c r="V8" s="74">
        <f>VLOOKUP($H$8&amp;$F$1,'Input RM sheet'!$A:$DD,U1,0)</f>
        <v>0</v>
      </c>
      <c r="W8" s="74">
        <f>VLOOKUP($H$8&amp;$F$1,'Input RM sheet'!$A:$DD,V1,0)</f>
        <v>0</v>
      </c>
      <c r="X8" s="74">
        <f>VLOOKUP($H$8&amp;$F$1,'Input RM sheet'!$A:$DD,W1,0)</f>
        <v>0</v>
      </c>
      <c r="Y8" s="74">
        <f>VLOOKUP($H$8&amp;$F$1,'Input RM sheet'!$A:$DD,X1,0)</f>
        <v>0</v>
      </c>
      <c r="Z8" s="74">
        <f>VLOOKUP($H$8&amp;$F$1,'Input RM sheet'!$A:$DD,Y1,0)</f>
        <v>0</v>
      </c>
      <c r="AA8" s="74">
        <f>VLOOKUP($H$8&amp;$F$1,'Input RM sheet'!$A:$DD,Z1,0)</f>
        <v>0</v>
      </c>
      <c r="AB8" s="74">
        <f>VLOOKUP($H$8&amp;$F$1,'Input RM sheet'!$A:$DD,AA1,0)</f>
        <v>1251.25</v>
      </c>
      <c r="AC8" s="74">
        <f>VLOOKUP($H$8&amp;$F$1,'Input RM sheet'!$A:$DD,AB1,0)</f>
        <v>1230</v>
      </c>
      <c r="AD8" s="74">
        <f>VLOOKUP($H$8&amp;$F$1,'Input RM sheet'!$A:$DD,AC1,0)</f>
        <v>1307.5</v>
      </c>
      <c r="AE8" s="74">
        <f>VLOOKUP($H$8&amp;$F$1,'Input RM sheet'!$A:$DD,AD1,0)</f>
        <v>1325</v>
      </c>
      <c r="AF8" s="74">
        <f>VLOOKUP($H$8&amp;$F$1,'Input RM sheet'!$A:$DD,AE1,0)</f>
        <v>1301.25</v>
      </c>
      <c r="AG8" s="74">
        <f>VLOOKUP($H$8&amp;$F$1,'Input RM sheet'!$A:$DD,AF1,0)</f>
        <v>1275</v>
      </c>
      <c r="AH8" s="74">
        <f>VLOOKUP($H$8&amp;$F$1,'Input RM sheet'!$A:$DD,AG1,0)</f>
        <v>1291.6669999999999</v>
      </c>
      <c r="AI8" s="74">
        <f>VLOOKUP($H$8&amp;$F$1,'Input RM sheet'!$A:$DD,AH1,0)</f>
        <v>1345</v>
      </c>
      <c r="AJ8" s="74">
        <f>VLOOKUP($H$8&amp;$F$1,'Input RM sheet'!$A:$DD,AI1,0)</f>
        <v>1375</v>
      </c>
      <c r="AK8" s="74">
        <f>VLOOKUP($H$8&amp;$F$1,'Input RM sheet'!$A:$DD,AJ1,0)</f>
        <v>1412.5</v>
      </c>
      <c r="AL8" s="74">
        <f>VLOOKUP($H$8&amp;$F$1,'Input RM sheet'!$A:$DD,AK1,0)</f>
        <v>1308</v>
      </c>
      <c r="AM8" s="74">
        <f>VLOOKUP($H$8&amp;$F$1,'Input RM sheet'!$A:$DD,AL1,0)</f>
        <v>1232.5</v>
      </c>
      <c r="AN8" s="74">
        <f>VLOOKUP($H$8&amp;$F$1,'Input RM sheet'!$A:$DD,AM1,0)</f>
        <v>1159</v>
      </c>
      <c r="AO8" s="74">
        <f>VLOOKUP($H$8&amp;$F$1,'Input RM sheet'!$A:$DD,AN1,0)</f>
        <v>1081.25</v>
      </c>
      <c r="AP8" s="74">
        <f>VLOOKUP($H$8&amp;$F$1,'Input RM sheet'!$A:$DD,AO1,0)</f>
        <v>1048.75</v>
      </c>
      <c r="AQ8" s="74">
        <f>VLOOKUP($H$8&amp;$F$1,'Input RM sheet'!$A:$DD,AP1,0)</f>
        <v>1040</v>
      </c>
      <c r="AR8" s="74">
        <f>VLOOKUP($H$8&amp;$F$1,'Input RM sheet'!$A:$DD,AQ1,0)</f>
        <v>1040</v>
      </c>
      <c r="AS8" s="74">
        <f>VLOOKUP($H$8&amp;$F$1,'Input RM sheet'!$A:$DD,AR1,0)</f>
        <v>1040</v>
      </c>
      <c r="AT8" s="74">
        <f>VLOOKUP($H$8&amp;$F$1,'Input RM sheet'!$A:$DD,AS1,0)</f>
        <v>1116.25</v>
      </c>
      <c r="AU8" s="74">
        <f>VLOOKUP($H$8&amp;$F$1,'Input RM sheet'!$A:$DD,AT1,0)</f>
        <v>1230</v>
      </c>
      <c r="AV8" s="74">
        <f>VLOOKUP($H$8&amp;$F$1,'Input RM sheet'!$A:$DD,AU1,0)</f>
        <v>1250</v>
      </c>
      <c r="AW8" s="74">
        <f>VLOOKUP($H$8&amp;$F$1,'Input RM sheet'!$A:$DD,AV1,0)</f>
        <v>1195</v>
      </c>
      <c r="AX8" s="74">
        <f>VLOOKUP($H$8&amp;$F$1,'Input RM sheet'!$A:$DD,AW1,0)</f>
        <v>1175</v>
      </c>
      <c r="AY8" s="74">
        <f>VLOOKUP($H$8&amp;$F$1,'Input RM sheet'!$A:$DD,AX1,0)</f>
        <v>1175</v>
      </c>
      <c r="AZ8" s="74">
        <f>VLOOKUP($H$8&amp;$F$1,'Input RM sheet'!$A:$DD,AY1,0)</f>
        <v>1175</v>
      </c>
      <c r="BA8" s="74">
        <f>VLOOKUP($H$8&amp;$F$1,'Input RM sheet'!$A:$DD,AZ1,0)</f>
        <v>1125</v>
      </c>
      <c r="BB8" s="74">
        <f>VLOOKUP($H$8&amp;$F$1,'Input RM sheet'!$A:$DD,BA1,0)</f>
        <v>1125</v>
      </c>
      <c r="BC8" s="74">
        <f>VLOOKUP($H$8&amp;$F$1,'Input RM sheet'!$A:$DD,BB1,0)</f>
        <v>1000</v>
      </c>
      <c r="BD8" s="74">
        <f>VLOOKUP($H$8&amp;$F$1,'Input RM sheet'!$A:$DD,BC1,0)</f>
        <v>1000</v>
      </c>
      <c r="BE8" s="74">
        <f>VLOOKUP($H$8&amp;$F$1,'Input RM sheet'!$A:$DD,BD1,0)</f>
        <v>1000</v>
      </c>
      <c r="BF8" s="74">
        <f>VLOOKUP($H$8&amp;$F$1,'Input RM sheet'!$A:$DD,BE1,0)</f>
        <v>1000</v>
      </c>
      <c r="BG8" s="74">
        <f>VLOOKUP($H$8&amp;$F$1,'Input RM sheet'!$A:$DD,BF1,0)</f>
        <v>1025</v>
      </c>
      <c r="BH8" s="74">
        <f>VLOOKUP($H$8&amp;$F$1,'Input RM sheet'!$A:$DD,BG1,0)</f>
        <v>1025</v>
      </c>
      <c r="BI8" s="74">
        <f>VLOOKUP($H$8&amp;$F$1,'Input RM sheet'!$A:$DD,BH1,0)</f>
        <v>1225</v>
      </c>
      <c r="BJ8" s="74">
        <f>VLOOKUP($H$8&amp;$F$1,'Input RM sheet'!$A:$DD,BI1,0)</f>
        <v>1225</v>
      </c>
      <c r="BK8" s="74">
        <f>VLOOKUP($H$8&amp;$F$1,'Input RM sheet'!$A:$DD,BJ1,0)</f>
        <v>1200</v>
      </c>
      <c r="BL8" s="74">
        <f>VLOOKUP($H$8&amp;$F$1,'Input RM sheet'!$A:$DD,BK1,0)</f>
        <v>1200</v>
      </c>
      <c r="BM8" s="74">
        <f>VLOOKUP($H$8&amp;$F$1,'Input RM sheet'!$A:$DD,BL1,0)</f>
        <v>1200</v>
      </c>
      <c r="BN8" s="74">
        <f>VLOOKUP($H$8&amp;$F$1,'Input RM sheet'!$A:$DD,BM1,0)</f>
        <v>1200</v>
      </c>
      <c r="BO8" s="74">
        <f>VLOOKUP($H$8&amp;$F$1,'Input RM sheet'!$A:$DD,BN1,0)</f>
        <v>1200</v>
      </c>
      <c r="BP8" s="74">
        <f>VLOOKUP($H$8&amp;$F$1,'Input RM sheet'!$A:$DD,BO1,0)</f>
        <v>1150</v>
      </c>
      <c r="BQ8" s="74">
        <f>VLOOKUP($H$8&amp;$F$1,'Input RM sheet'!$A:$DD,BP1,0)</f>
        <v>1150</v>
      </c>
      <c r="BR8" s="74">
        <f>VLOOKUP($H$8&amp;$F$1,'Input RM sheet'!$A:$DD,BQ1,0)</f>
        <v>1125</v>
      </c>
      <c r="BS8" s="74">
        <f>VLOOKUP($H$8&amp;$F$1,'Input RM sheet'!$A:$DD,BR1,0)</f>
        <v>1125</v>
      </c>
      <c r="BT8" s="74">
        <f>VLOOKUP($H$8&amp;$F$1,'Input RM sheet'!$A:$DD,BS1,0)</f>
        <v>1125</v>
      </c>
      <c r="BU8" s="74">
        <f>VLOOKUP($H$8&amp;$F$1,'Input RM sheet'!$A:$DD,BT1,0)</f>
        <v>1125</v>
      </c>
      <c r="BV8" s="74">
        <f>VLOOKUP($H$8&amp;$F$1,'Input RM sheet'!$A:$DD,BU1,0)</f>
        <v>1125</v>
      </c>
      <c r="BW8" s="74">
        <f>VLOOKUP($H$8&amp;$F$1,'Input RM sheet'!$A:$DD,BV1,0)</f>
        <v>1125</v>
      </c>
      <c r="BX8" s="74">
        <f>VLOOKUP($H$8&amp;$F$1,'Input RM sheet'!$A:$DD,BW1,0)</f>
        <v>1125</v>
      </c>
      <c r="BY8" s="74">
        <f>VLOOKUP($H$8&amp;$F$1,'Input RM sheet'!$A:$DD,BX1,0)</f>
        <v>1125</v>
      </c>
      <c r="BZ8" s="74">
        <f>VLOOKUP($H$8&amp;$F$1,'Input RM sheet'!$A:$DD,BY1,0)</f>
        <v>1125</v>
      </c>
      <c r="CA8" s="74">
        <f>VLOOKUP($H$8&amp;$F$1,'Input RM sheet'!$A:$DD,BZ1,0)</f>
        <v>1125</v>
      </c>
      <c r="CB8" s="74">
        <f>VLOOKUP($H$8&amp;$F$1,'Input RM sheet'!$A:$DD,CA1,0)</f>
        <v>1125</v>
      </c>
      <c r="CC8" s="74">
        <f>VLOOKUP($H$8&amp;$F$1,'Input RM sheet'!$A:$DD,CB1,0)</f>
        <v>1125</v>
      </c>
      <c r="CD8" s="74">
        <f>VLOOKUP($H$8&amp;$F$1,'Input RM sheet'!$A:$DD,CC1,0)</f>
        <v>1050</v>
      </c>
      <c r="CE8" s="74">
        <f>VLOOKUP($H$8&amp;$F$1,'Input RM sheet'!$A:$DD,CD1,0)</f>
        <v>1050</v>
      </c>
      <c r="CF8" s="74">
        <f>VLOOKUP($H$8&amp;$F$1,'Input RM sheet'!$A:$DD,CE1,0)</f>
        <v>1050</v>
      </c>
      <c r="CG8" s="74">
        <f>VLOOKUP($H$8&amp;$F$1,'Input RM sheet'!$A:$DD,CF1,0)</f>
        <v>1050</v>
      </c>
      <c r="CH8" s="74">
        <f>VLOOKUP($H$8&amp;$F$1,'Input RM sheet'!$A:$DD,CG1,0)</f>
        <v>1100</v>
      </c>
      <c r="CI8" s="74">
        <f>VLOOKUP($H$8&amp;$F$1,'Input RM sheet'!$A:$DD,CH1,0)</f>
        <v>1100</v>
      </c>
      <c r="CJ8" s="74">
        <f>VLOOKUP($H$8&amp;$F$1,'Input RM sheet'!$A:$DD,CI1,0)</f>
        <v>1100</v>
      </c>
      <c r="CK8" s="74">
        <f>VLOOKUP($H$8&amp;$F$1,'Input RM sheet'!$A:$DD,CJ1,0)</f>
        <v>1150</v>
      </c>
      <c r="CL8" s="74">
        <f>VLOOKUP($H$8&amp;$F$1,'Input RM sheet'!$A:$DD,CK1,0)</f>
        <v>1150</v>
      </c>
      <c r="CM8" s="74">
        <f>VLOOKUP($H$8&amp;$F$1,'Input RM sheet'!$A:$DD,CL1,0)</f>
        <v>1150</v>
      </c>
      <c r="CN8" s="74">
        <f>VLOOKUP($H$8&amp;$F$1,'Input RM sheet'!$A:$DD,CM1,0)</f>
        <v>1150</v>
      </c>
      <c r="CO8" s="74">
        <f>VLOOKUP($H$8&amp;$F$1,'Input RM sheet'!$A:$DD,CN1,0)</f>
        <v>1150</v>
      </c>
      <c r="CP8" s="74">
        <f>VLOOKUP($H$8&amp;$F$1,'Input RM sheet'!$A:$DD,CO1,0)</f>
        <v>1150</v>
      </c>
      <c r="CQ8" s="74">
        <f>VLOOKUP($H$8&amp;$F$1,'Input RM sheet'!$A:$DD,CP1,0)</f>
        <v>1150</v>
      </c>
      <c r="CR8" s="74">
        <f>VLOOKUP($H$8&amp;$F$1,'Input RM sheet'!$A:$ZZ,CQ1,0)</f>
        <v>1150</v>
      </c>
      <c r="CS8" s="74">
        <f>VLOOKUP($H$8&amp;$F$1,'Input RM sheet'!$A:$ZZ,CR1,0)</f>
        <v>1100</v>
      </c>
      <c r="CT8" s="74">
        <f>VLOOKUP($H$8&amp;$F$1,'Input RM sheet'!$A:$ZZ,CS1,0)</f>
        <v>1075</v>
      </c>
      <c r="CU8" s="74">
        <f>VLOOKUP($H$8&amp;$F$1,'Input RM sheet'!$A:$ZZ,CT1,0)</f>
        <v>1075</v>
      </c>
      <c r="CV8" s="74">
        <f>VLOOKUP($H$8&amp;$F$1,'Input RM sheet'!$A:$ZZ,CU1,0)</f>
        <v>1075</v>
      </c>
      <c r="CW8" s="74">
        <f>VLOOKUP($H$8&amp;$F$1,'Input RM sheet'!$A:$ZZ,CV1,0)</f>
        <v>900</v>
      </c>
      <c r="CX8" s="74">
        <f>VLOOKUP($H$8&amp;$F$1,'Input RM sheet'!$A:$ZZ,CW1,0)</f>
        <v>900</v>
      </c>
      <c r="CY8" s="74">
        <f>VLOOKUP($H$8&amp;$F$1,'Input RM sheet'!$A:$ZZ,CX1,0)</f>
        <v>900</v>
      </c>
      <c r="CZ8" s="74">
        <f>VLOOKUP($H$8&amp;$F$1,'Input RM sheet'!$A:$ZZ,CY1,0)</f>
        <v>900</v>
      </c>
      <c r="DA8" s="74">
        <f>VLOOKUP($H$8&amp;$F$1,'Input RM sheet'!$A:$ZZ,CZ1,0)</f>
        <v>900</v>
      </c>
      <c r="DB8" s="74">
        <f>VLOOKUP($H$8&amp;$F$1,'Input RM sheet'!$A:$ZZ,DA1,0)</f>
        <v>850</v>
      </c>
      <c r="DC8" s="74">
        <f>VLOOKUP($H$8&amp;$F$1,'Input RM sheet'!$A:$ZZ,DB1,0)</f>
        <v>850</v>
      </c>
      <c r="DD8" s="74">
        <f>VLOOKUP($H$8&amp;$F$1,'Input RM sheet'!$A:$ZZ,DC1,0)</f>
        <v>850</v>
      </c>
      <c r="DE8" s="74">
        <f>VLOOKUP($H$8&amp;$F$1,'Input RM sheet'!$A:$ZZ,DD1,0)</f>
        <v>850</v>
      </c>
      <c r="DF8" s="74">
        <f>VLOOKUP($H$8&amp;$F$1,'Input RM sheet'!$A:$ZZ,DE1,0)</f>
        <v>850</v>
      </c>
      <c r="DG8" s="74">
        <f>VLOOKUP($H$8&amp;$F$1,'Input RM sheet'!$A:$ZZ,DF1,0)</f>
        <v>850</v>
      </c>
      <c r="DH8" s="74">
        <f>VLOOKUP($H$8&amp;$F$1,'Input RM sheet'!$A:$ZZ,DG1,0)</f>
        <v>850</v>
      </c>
      <c r="DI8" s="74">
        <f>VLOOKUP($H$8&amp;$F$1,'Input RM sheet'!$A:$ZZ,DH1,0)</f>
        <v>850</v>
      </c>
      <c r="DJ8" s="74">
        <f>VLOOKUP($H$8&amp;$F$1,'Input RM sheet'!$A:$ZZ,DI1,0)</f>
        <v>850</v>
      </c>
      <c r="DK8" s="74">
        <f>VLOOKUP($H$8&amp;$F$1,'Input RM sheet'!$A:$ZZ,DJ1,0)</f>
        <v>850</v>
      </c>
      <c r="DL8" s="74">
        <f>VLOOKUP($H$8&amp;$F$1,'Input RM sheet'!$A:$ZZ,DK1,0)</f>
        <v>800</v>
      </c>
      <c r="DM8" s="74">
        <f>VLOOKUP($H$8&amp;$F$1,'Input RM sheet'!$A:$ZZ,DL1,0)</f>
        <v>800</v>
      </c>
      <c r="DN8" s="74">
        <f>VLOOKUP($H$8&amp;$F$1,'Input RM sheet'!$A:$ZZ,DM1,0)</f>
        <v>800</v>
      </c>
      <c r="DO8" s="74">
        <f>VLOOKUP($H$8&amp;$F$1,'Input RM sheet'!$A:$ZZ,DN1,0)</f>
        <v>800</v>
      </c>
      <c r="DP8" s="74">
        <f>VLOOKUP($H$8&amp;$F$1,'Input RM sheet'!$A:$ZZ,DO1,0)</f>
        <v>800</v>
      </c>
      <c r="DQ8" s="74">
        <f>VLOOKUP($H$8&amp;$F$1,'Input RM sheet'!$A:$ZZ,DP1,0)</f>
        <v>800</v>
      </c>
      <c r="DR8" s="74">
        <f>VLOOKUP($H$8&amp;$F$1,'Input RM sheet'!$A:$ZZ,DQ1,0)</f>
        <v>675</v>
      </c>
      <c r="DS8" s="74">
        <f>VLOOKUP($H$8&amp;$F$1,'Input RM sheet'!$A:$ZZ,DR1,0)</f>
        <v>675</v>
      </c>
      <c r="DT8" s="74">
        <f>VLOOKUP($H$8&amp;$F$1,'Input RM sheet'!$A:$ZZ,DS1,0)</f>
        <v>0</v>
      </c>
      <c r="DU8" s="74">
        <f>VLOOKUP($H$8&amp;$F$1,'Input RM sheet'!$A:$ZZ,DT1,0)</f>
        <v>0</v>
      </c>
      <c r="DV8" s="74">
        <f>VLOOKUP($H$8&amp;$F$1,'Input RM sheet'!$A:$ZZ,DU1,0)</f>
        <v>0</v>
      </c>
      <c r="DW8" s="74">
        <f>VLOOKUP($H$8&amp;$F$1,'Input RM sheet'!$A:$ZZ,DV1,0)</f>
        <v>0</v>
      </c>
      <c r="DX8" s="74">
        <f>VLOOKUP($H$8&amp;$F$1,'Input RM sheet'!$A:$ZZ,DW1,0)</f>
        <v>0</v>
      </c>
      <c r="DY8" s="74">
        <f>VLOOKUP($H$8&amp;$F$1,'Input RM sheet'!$A:$ZZ,DX1,0)</f>
        <v>0</v>
      </c>
      <c r="DZ8" s="74">
        <f>VLOOKUP($H$8&amp;$F$1,'Input RM sheet'!$A:$ZZ,DY1,0)</f>
        <v>0</v>
      </c>
      <c r="EA8" s="74">
        <f>VLOOKUP($H$8&amp;$F$1,'Input RM sheet'!$A:$ZZ,DZ1,0)</f>
        <v>0</v>
      </c>
      <c r="EB8" s="74">
        <f>VLOOKUP($H$8&amp;$F$1,'Input RM sheet'!$A:$ZZ,EA1,0)</f>
        <v>0</v>
      </c>
      <c r="EC8" s="74">
        <f>VLOOKUP($H$8&amp;$F$1,'Input RM sheet'!$A:$ZZ,EB1,0)</f>
        <v>0</v>
      </c>
      <c r="ED8" s="74">
        <f>VLOOKUP($H$8&amp;$F$1,'Input RM sheet'!$A:$ZZ,EC1,0)</f>
        <v>0</v>
      </c>
      <c r="EE8" s="74">
        <f>VLOOKUP($H$8&amp;$F$1,'Input RM sheet'!$A:$ZZ,ED1,0)</f>
        <v>0</v>
      </c>
      <c r="EF8" s="74">
        <f>VLOOKUP($H$8&amp;$F$1,'Input RM sheet'!$A:$ZZ,EE1,0)</f>
        <v>0</v>
      </c>
      <c r="EG8" s="74">
        <f>VLOOKUP($H$8&amp;$F$1,'Input RM sheet'!$A:$ZZ,EF1,0)</f>
        <v>0</v>
      </c>
      <c r="EH8" s="74">
        <f>VLOOKUP($H$8&amp;$F$1,'Input RM sheet'!$A:$ZZ,EG1,0)</f>
        <v>0</v>
      </c>
      <c r="EI8" s="74">
        <f>VLOOKUP($H$8&amp;$F$1,'Input RM sheet'!$A:$ZZ,EH1,0)</f>
        <v>0</v>
      </c>
      <c r="EJ8" s="74">
        <f>VLOOKUP($H$8&amp;$F$1,'Input RM sheet'!$A:$ZZ,EI1,0)</f>
        <v>0</v>
      </c>
      <c r="EK8" s="74">
        <f>VLOOKUP($H$8&amp;$F$1,'Input RM sheet'!$A:$ZZ,EJ1,0)</f>
        <v>0</v>
      </c>
      <c r="EL8" s="74">
        <f>VLOOKUP($H$8&amp;$F$1,'Input RM sheet'!$A:$ZZ,EK1,0)</f>
        <v>0</v>
      </c>
      <c r="EM8" s="74">
        <f>VLOOKUP($H$8&amp;$F$1,'Input RM sheet'!$A:$ZZ,EL1,0)</f>
        <v>0</v>
      </c>
      <c r="EN8" s="74">
        <f>VLOOKUP($H$8&amp;$F$1,'Input RM sheet'!$A:$ZZ,EM1,0)</f>
        <v>0</v>
      </c>
      <c r="EO8" s="74">
        <f>VLOOKUP($H$8&amp;$F$1,'Input RM sheet'!$A:$ZZ,EN1,0)</f>
        <v>0</v>
      </c>
      <c r="EP8" s="74">
        <f>VLOOKUP($H$8&amp;$F$1,'Input RM sheet'!$A:$ZZ,EO1,0)</f>
        <v>0</v>
      </c>
      <c r="EQ8" s="74">
        <f>VLOOKUP($H$8&amp;$F$1,'Input RM sheet'!$A:$ZZ,EP1,0)</f>
        <v>0</v>
      </c>
      <c r="ER8" s="74">
        <f>VLOOKUP($H$8&amp;$F$1,'Input RM sheet'!$A:$ZZ,EQ1,0)</f>
        <v>0</v>
      </c>
      <c r="ES8" s="74">
        <f>VLOOKUP($H$8&amp;$F$1,'Input RM sheet'!$A:$ZZ,ER1,0)</f>
        <v>0</v>
      </c>
      <c r="ET8" s="74">
        <f>VLOOKUP($H$8&amp;$F$1,'Input RM sheet'!$A:$ZZ,ES1,0)</f>
        <v>0</v>
      </c>
      <c r="EU8" s="74">
        <f>VLOOKUP($H$8&amp;$F$1,'Input RM sheet'!$A:$ZZ,ET1,0)</f>
        <v>0</v>
      </c>
    </row>
    <row r="9" spans="1:168">
      <c r="H9" s="44" t="s">
        <v>132</v>
      </c>
      <c r="I9" s="74">
        <f>VLOOKUP($H$9&amp;$F$1,'Input RM sheet'!$A:$ZZ,H1,0)</f>
        <v>0</v>
      </c>
      <c r="J9" s="74">
        <f>VLOOKUP($H$9&amp;$F$1,'Input RM sheet'!$A:$ZZ,I1,0)</f>
        <v>0</v>
      </c>
      <c r="K9" s="74">
        <f>VLOOKUP($H$9&amp;$F$1,'Input RM sheet'!$A:$ZZ,J1,0)</f>
        <v>0</v>
      </c>
      <c r="L9" s="74">
        <f>VLOOKUP($H$9&amp;$F$1,'Input RM sheet'!$A:$ZZ,K1,0)</f>
        <v>0</v>
      </c>
      <c r="M9" s="74">
        <f>VLOOKUP($H$9&amp;$F$1,'Input RM sheet'!$A:$ZZ,L1,0)</f>
        <v>0</v>
      </c>
      <c r="N9" s="74">
        <f>VLOOKUP($H$9&amp;$F$1,'Input RM sheet'!$A:$ZZ,M1,0)</f>
        <v>0</v>
      </c>
      <c r="O9" s="74">
        <f>VLOOKUP($H$9&amp;$F$1,'Input RM sheet'!$A:$ZZ,N1,0)</f>
        <v>0</v>
      </c>
      <c r="P9" s="74">
        <f>VLOOKUP($H$9&amp;$F$1,'Input RM sheet'!$A:$ZZ,O1,0)</f>
        <v>0</v>
      </c>
      <c r="Q9" s="74">
        <f>VLOOKUP($H$9&amp;$F$1,'Input RM sheet'!$A:$ZZ,P1,0)</f>
        <v>0</v>
      </c>
      <c r="R9" s="74">
        <f>VLOOKUP($H$9&amp;$F$1,'Input RM sheet'!$A:$ZZ,Q1,0)</f>
        <v>0</v>
      </c>
      <c r="S9" s="74">
        <f>VLOOKUP($H$9&amp;$F$1,'Input RM sheet'!$A:$ZZ,R1,0)</f>
        <v>0</v>
      </c>
      <c r="T9" s="74">
        <f>VLOOKUP($H$9&amp;$F$1,'Input RM sheet'!$A:$ZZ,S1,0)</f>
        <v>0</v>
      </c>
      <c r="U9" s="74">
        <f>VLOOKUP($H$9&amp;$F$1,'Input RM sheet'!$A:$ZZ,T1,0)</f>
        <v>0</v>
      </c>
      <c r="V9" s="74">
        <f>VLOOKUP($H$9&amp;$F$1,'Input RM sheet'!$A:$ZZ,U1,0)</f>
        <v>0</v>
      </c>
      <c r="W9" s="74">
        <f>VLOOKUP($H$9&amp;$F$1,'Input RM sheet'!$A:$ZZ,V1,0)</f>
        <v>0</v>
      </c>
      <c r="X9" s="74">
        <f>VLOOKUP($H$9&amp;$F$1,'Input RM sheet'!$A:$ZZ,W1,0)</f>
        <v>0</v>
      </c>
      <c r="Y9" s="74">
        <f>VLOOKUP($H$9&amp;$F$1,'Input RM sheet'!$A:$ZZ,X1,0)</f>
        <v>0</v>
      </c>
      <c r="Z9" s="74">
        <f>VLOOKUP($H$9&amp;$F$1,'Input RM sheet'!$A:$ZZ,Y1,0)</f>
        <v>0</v>
      </c>
      <c r="AA9" s="74">
        <f>VLOOKUP($H$9&amp;$F$1,'Input RM sheet'!$A:$ZZ,Z1,0)</f>
        <v>0</v>
      </c>
      <c r="AB9" s="74">
        <f>VLOOKUP($H$9&amp;$F$1,'Input RM sheet'!$A:$ZZ,AA1,0)</f>
        <v>0</v>
      </c>
      <c r="AC9" s="74">
        <f>VLOOKUP($H$9&amp;$F$1,'Input RM sheet'!$A:$ZZ,AB1,0)</f>
        <v>1325</v>
      </c>
      <c r="AD9" s="74">
        <f>VLOOKUP($H$9&amp;$F$1,'Input RM sheet'!$A:$ZZ,AC1,0)</f>
        <v>1360</v>
      </c>
      <c r="AE9" s="74">
        <f>VLOOKUP($H$9&amp;$F$1,'Input RM sheet'!$A:$ZZ,AD1,0)</f>
        <v>1360</v>
      </c>
      <c r="AF9" s="74">
        <f>VLOOKUP($H$9&amp;$F$1,'Input RM sheet'!$A:$ZZ,AE1,0)</f>
        <v>1317.5</v>
      </c>
      <c r="AG9" s="74">
        <f>VLOOKUP($H$9&amp;$F$1,'Input RM sheet'!$A:$ZZ,AF1,0)</f>
        <v>1317.5</v>
      </c>
      <c r="AH9" s="74">
        <f>VLOOKUP($H$9&amp;$F$1,'Input RM sheet'!$A:$ZZ,AG1,0)</f>
        <v>1358.3333333333333</v>
      </c>
      <c r="AI9" s="74">
        <f>VLOOKUP($H$9&amp;$F$1,'Input RM sheet'!$A:$ZZ,AH1,0)</f>
        <v>1395</v>
      </c>
      <c r="AJ9" s="74">
        <f>VLOOKUP($H$9&amp;$F$1,'Input RM sheet'!$A:$ZZ,AI1,0)</f>
        <v>1450</v>
      </c>
      <c r="AK9" s="74">
        <f>VLOOKUP($H$9&amp;$F$1,'Input RM sheet'!$A:$ZZ,AJ1,0)</f>
        <v>1443.75</v>
      </c>
      <c r="AL9" s="74">
        <f>VLOOKUP($H$9&amp;$F$1,'Input RM sheet'!$A:$ZZ,AK1,0)</f>
        <v>1365</v>
      </c>
      <c r="AM9" s="74">
        <f>VLOOKUP($H$9&amp;$F$1,'Input RM sheet'!$A:$ZZ,AL1,0)</f>
        <v>1325</v>
      </c>
      <c r="AN9" s="74">
        <f>VLOOKUP($H$9&amp;$F$1,'Input RM sheet'!$A:$ZZ,AM1,0)</f>
        <v>1255</v>
      </c>
      <c r="AO9" s="74">
        <f>VLOOKUP($H$9&amp;$F$1,'Input RM sheet'!$A:$ZZ,AN1,0)</f>
        <v>1187.5</v>
      </c>
      <c r="AP9" s="74">
        <f>VLOOKUP($H$9&amp;$F$1,'Input RM sheet'!$A:$ZZ,AO1,0)</f>
        <v>1175</v>
      </c>
      <c r="AQ9" s="74">
        <f>VLOOKUP($H$9&amp;$F$1,'Input RM sheet'!$A:$ZZ,AP1,0)</f>
        <v>1170</v>
      </c>
      <c r="AR9" s="74">
        <f>VLOOKUP($H$9&amp;$F$1,'Input RM sheet'!$A:$ZZ,AQ1,0)</f>
        <v>1083.3333333333333</v>
      </c>
      <c r="AS9" s="74">
        <f>VLOOKUP($H$9&amp;$F$1,'Input RM sheet'!$A:$ZZ,AR1,0)</f>
        <v>1050</v>
      </c>
      <c r="AT9" s="74">
        <f>VLOOKUP($H$9&amp;$F$1,'Input RM sheet'!$A:$ZZ,AS1,0)</f>
        <v>1147.5</v>
      </c>
      <c r="AU9" s="74">
        <f>VLOOKUP($H$9&amp;$F$1,'Input RM sheet'!$A:$ZZ,AT1,0)</f>
        <v>1300</v>
      </c>
      <c r="AV9" s="74">
        <f>VLOOKUP($H$9&amp;$F$1,'Input RM sheet'!$A:$ZZ,AU1,0)</f>
        <v>1300</v>
      </c>
      <c r="AW9" s="74">
        <f>VLOOKUP($H$9&amp;$F$1,'Input RM sheet'!$A:$ZZ,AV1,0)</f>
        <v>1255</v>
      </c>
      <c r="AX9" s="74">
        <f>VLOOKUP($H$9&amp;$F$1,'Input RM sheet'!$A:$ZZ,AW1,0)</f>
        <v>1225</v>
      </c>
      <c r="AY9" s="74">
        <f>VLOOKUP($H$9&amp;$F$1,'Input RM sheet'!$A:$ZZ,AX1,0)</f>
        <v>1225</v>
      </c>
      <c r="AZ9" s="74">
        <f>VLOOKUP($H$9&amp;$F$1,'Input RM sheet'!$A:$ZZ,AY1,0)</f>
        <v>1225</v>
      </c>
      <c r="BA9" s="74">
        <f>VLOOKUP($H$9&amp;$F$1,'Input RM sheet'!$A:$ZZ,AZ1,0)</f>
        <v>1225</v>
      </c>
      <c r="BB9" s="74">
        <f>VLOOKUP($H$9&amp;$F$1,'Input RM sheet'!$A:$ZZ,BA1,0)</f>
        <v>1225</v>
      </c>
      <c r="BC9" s="74">
        <f>VLOOKUP($H$9&amp;$F$1,'Input RM sheet'!$A:$ZZ,BB1,0)</f>
        <v>1250</v>
      </c>
      <c r="BD9" s="74">
        <f>VLOOKUP($H$9&amp;$F$1,'Input RM sheet'!$A:$ZZ,BC1,0)</f>
        <v>1250</v>
      </c>
      <c r="BE9" s="74">
        <f>VLOOKUP($H$9&amp;$F$1,'Input RM sheet'!$A:$ZZ,BD1,0)</f>
        <v>1275</v>
      </c>
      <c r="BF9" s="74">
        <f>VLOOKUP($H$9&amp;$F$1,'Input RM sheet'!$A:$ZZ,BE1,0)</f>
        <v>1275</v>
      </c>
      <c r="BG9" s="74">
        <f>VLOOKUP($H$9&amp;$F$1,'Input RM sheet'!$A:$ZZ,BF1,0)</f>
        <v>1275</v>
      </c>
      <c r="BH9" s="74">
        <f>VLOOKUP($H$9&amp;$F$1,'Input RM sheet'!$A:$ZZ,BG1,0)</f>
        <v>1275</v>
      </c>
      <c r="BI9" s="74">
        <f>VLOOKUP($H$9&amp;$F$1,'Input RM sheet'!$A:$ZZ,BH1,0)</f>
        <v>1275</v>
      </c>
      <c r="BJ9" s="74">
        <f>VLOOKUP($H$9&amp;$F$1,'Input RM sheet'!$A:$ZZ,BI1,0)</f>
        <v>1275</v>
      </c>
      <c r="BK9" s="74">
        <f>VLOOKUP($H$9&amp;$F$1,'Input RM sheet'!$A:$ZZ,BJ1,0)</f>
        <v>1250</v>
      </c>
      <c r="BL9" s="74">
        <f>VLOOKUP($H$9&amp;$F$1,'Input RM sheet'!$A:$ZZ,BK1,0)</f>
        <v>1250</v>
      </c>
      <c r="BM9" s="74">
        <f>VLOOKUP($H$9&amp;$F$1,'Input RM sheet'!$A:$ZZ,BL1,0)</f>
        <v>1250</v>
      </c>
      <c r="BN9" s="74">
        <f>VLOOKUP($H$9&amp;$F$1,'Input RM sheet'!$A:$ZZ,BM1,0)</f>
        <v>1250</v>
      </c>
      <c r="BO9" s="74">
        <f>VLOOKUP($H$9&amp;$F$1,'Input RM sheet'!$A:$ZZ,BN1,0)</f>
        <v>1250</v>
      </c>
      <c r="BP9" s="74">
        <f>VLOOKUP($H$9&amp;$F$1,'Input RM sheet'!$A:$ZZ,BO1,0)</f>
        <v>1225</v>
      </c>
      <c r="BQ9" s="74">
        <f>VLOOKUP($H$9&amp;$F$1,'Input RM sheet'!$A:$ZZ,BP1,0)</f>
        <v>1200</v>
      </c>
      <c r="BR9" s="74">
        <f>VLOOKUP($H$9&amp;$F$1,'Input RM sheet'!$A:$ZZ,BQ1,0)</f>
        <v>1200</v>
      </c>
      <c r="BS9" s="74">
        <f>VLOOKUP($H$9&amp;$F$1,'Input RM sheet'!$A:$ZZ,BR1,0)</f>
        <v>1200</v>
      </c>
      <c r="BT9" s="74">
        <f>VLOOKUP($H$9&amp;$F$1,'Input RM sheet'!$A:$ZZ,BS1,0)</f>
        <v>1200</v>
      </c>
      <c r="BU9" s="74">
        <f>VLOOKUP($H$9&amp;$F$1,'Input RM sheet'!$A:$ZZ,BT1,0)</f>
        <v>1175</v>
      </c>
      <c r="BV9" s="74">
        <f>VLOOKUP($H$9&amp;$F$1,'Input RM sheet'!$A:$ZZ,BU1,0)</f>
        <v>1175</v>
      </c>
      <c r="BW9" s="74">
        <f>VLOOKUP($H$9&amp;$F$1,'Input RM sheet'!$A:$ZZ,BV1,0)</f>
        <v>1175</v>
      </c>
      <c r="BX9" s="74">
        <f>VLOOKUP($H$9&amp;$F$1,'Input RM sheet'!$A:$ZZ,BW1,0)</f>
        <v>1175</v>
      </c>
      <c r="BY9" s="74">
        <f>VLOOKUP($H$9&amp;$F$1,'Input RM sheet'!$A:$ZZ,BX1,0)</f>
        <v>1175</v>
      </c>
      <c r="BZ9" s="74">
        <f>VLOOKUP($H$9&amp;$F$1,'Input RM sheet'!$A:$ZZ,BY1,0)</f>
        <v>1175</v>
      </c>
      <c r="CA9" s="74">
        <f>VLOOKUP($H$9&amp;$F$1,'Input RM sheet'!$A:$ZZ,BZ1,0)</f>
        <v>1175</v>
      </c>
      <c r="CB9" s="74">
        <f>VLOOKUP($H$9&amp;$F$1,'Input RM sheet'!$A:$ZZ,CA1,0)</f>
        <v>1175</v>
      </c>
      <c r="CC9" s="74">
        <f>VLOOKUP($H$9&amp;$F$1,'Input RM sheet'!$A:$ZZ,CB1,0)</f>
        <v>1175</v>
      </c>
      <c r="CD9" s="74">
        <f>VLOOKUP($H$9&amp;$F$1,'Input RM sheet'!$A:$ZZ,CC1,0)</f>
        <v>1175</v>
      </c>
      <c r="CE9" s="74">
        <f>VLOOKUP($H$9&amp;$F$1,'Input RM sheet'!$A:$ZZ,CD1,0)</f>
        <v>1175</v>
      </c>
      <c r="CF9" s="74">
        <f>VLOOKUP($H$9&amp;$F$1,'Input RM sheet'!$A:$ZZ,CE1,0)</f>
        <v>1175</v>
      </c>
      <c r="CG9" s="74">
        <f>VLOOKUP($H$9&amp;$F$1,'Input RM sheet'!$A:$ZZ,CF1,0)</f>
        <v>1200</v>
      </c>
      <c r="CH9" s="74">
        <f>VLOOKUP($H$9&amp;$F$1,'Input RM sheet'!$A:$ZZ,CG1,0)</f>
        <v>1200</v>
      </c>
      <c r="CI9" s="74">
        <f>VLOOKUP($H$9&amp;$F$1,'Input RM sheet'!$A:$ZZ,CH1,0)</f>
        <v>1200</v>
      </c>
      <c r="CJ9" s="74">
        <f>VLOOKUP($H$9&amp;$F$1,'Input RM sheet'!$A:$ZZ,CI1,0)</f>
        <v>1200</v>
      </c>
      <c r="CK9" s="74">
        <f>VLOOKUP($H$9&amp;$F$1,'Input RM sheet'!$A:$ZZ,CJ1,0)</f>
        <v>1200</v>
      </c>
      <c r="CL9" s="74">
        <f>VLOOKUP($H$9&amp;$F$1,'Input RM sheet'!$A:$ZZ,CK1,0)</f>
        <v>1300</v>
      </c>
      <c r="CM9" s="74">
        <f>VLOOKUP($H$9&amp;$F$1,'Input RM sheet'!$A:$ZZ,CL1,0)</f>
        <v>1300</v>
      </c>
      <c r="CN9" s="74">
        <f>VLOOKUP($H$9&amp;$F$1,'Input RM sheet'!$A:$ZZ,CM1,0)</f>
        <v>1300</v>
      </c>
      <c r="CO9" s="74">
        <f>VLOOKUP($H$9&amp;$F$1,'Input RM sheet'!$A:$ZZ,CN1,0)</f>
        <v>1300</v>
      </c>
      <c r="CP9" s="74">
        <f>VLOOKUP($H$9&amp;$F$1,'Input RM sheet'!$A:$ZZ,CO1,0)</f>
        <v>1300</v>
      </c>
      <c r="CQ9" s="74">
        <f>VLOOKUP($H$9&amp;$F$1,'Input RM sheet'!$A:$ZZ,CP1,0)</f>
        <v>1300</v>
      </c>
      <c r="CR9" s="74">
        <f>VLOOKUP($H$9&amp;$F$1,'Input RM sheet'!$A:$ZZ,CQ1,0)</f>
        <v>1250</v>
      </c>
      <c r="CS9" s="74">
        <f>VLOOKUP($H$9&amp;$F$1,'Input RM sheet'!$A:$ZZ,CR1,0)</f>
        <v>1200</v>
      </c>
      <c r="CT9" s="74">
        <f>VLOOKUP($H$9&amp;$F$1,'Input RM sheet'!$A:$ZZ,CS1,0)</f>
        <v>1175</v>
      </c>
      <c r="CU9" s="74">
        <f>VLOOKUP($H$9&amp;$F$1,'Input RM sheet'!$A:$ZZ,CT1,0)</f>
        <v>1175</v>
      </c>
      <c r="CV9" s="74">
        <f>VLOOKUP($H$9&amp;$F$1,'Input RM sheet'!$A:$ZZ,CU1,0)</f>
        <v>1175</v>
      </c>
      <c r="CW9" s="74">
        <f>VLOOKUP($H$9&amp;$F$1,'Input RM sheet'!$A:$ZZ,CV1,0)</f>
        <v>1050</v>
      </c>
      <c r="CX9" s="74">
        <f>VLOOKUP($H$9&amp;$F$1,'Input RM sheet'!$A:$ZZ,CW1,0)</f>
        <v>1050</v>
      </c>
      <c r="CY9" s="74">
        <f>VLOOKUP($H$9&amp;$F$1,'Input RM sheet'!$A:$ZZ,CX1,0)</f>
        <v>1050</v>
      </c>
      <c r="CZ9" s="74">
        <f>VLOOKUP($H$9&amp;$F$1,'Input RM sheet'!$A:$ZZ,CY1,0)</f>
        <v>1100</v>
      </c>
      <c r="DA9" s="74">
        <f>VLOOKUP($H$9&amp;$F$1,'Input RM sheet'!$A:$ZZ,CZ1,0)</f>
        <v>1100</v>
      </c>
      <c r="DB9" s="74">
        <f>VLOOKUP($H$9&amp;$F$1,'Input RM sheet'!$A:$ZZ,DA1,0)</f>
        <v>1100</v>
      </c>
      <c r="DC9" s="74">
        <f>VLOOKUP($H$9&amp;$F$1,'Input RM sheet'!$A:$ZZ,DB1,0)</f>
        <v>1050</v>
      </c>
      <c r="DD9" s="74">
        <f>VLOOKUP($H$9&amp;$F$1,'Input RM sheet'!$A:$ZZ,DC1,0)</f>
        <v>1050</v>
      </c>
      <c r="DE9" s="74">
        <f>VLOOKUP($H$9&amp;$F$1,'Input RM sheet'!$A:$ZZ,DD1,0)</f>
        <v>1050</v>
      </c>
      <c r="DF9" s="74">
        <f>VLOOKUP($H$9&amp;$F$1,'Input RM sheet'!$A:$ZZ,DE1,0)</f>
        <v>1050</v>
      </c>
      <c r="DG9" s="74">
        <f>VLOOKUP($H$9&amp;$F$1,'Input RM sheet'!$A:$ZZ,DF1,0)</f>
        <v>1050</v>
      </c>
      <c r="DH9" s="74">
        <f>VLOOKUP($H$9&amp;$F$1,'Input RM sheet'!$A:$ZZ,DG1,0)</f>
        <v>1050</v>
      </c>
      <c r="DI9" s="74">
        <f>VLOOKUP($H$9&amp;$F$1,'Input RM sheet'!$A:$ZZ,DH1,0)</f>
        <v>1050</v>
      </c>
      <c r="DJ9" s="74">
        <f>VLOOKUP($H$9&amp;$F$1,'Input RM sheet'!$A:$ZZ,DI1,0)</f>
        <v>1050</v>
      </c>
      <c r="DK9" s="74">
        <f>VLOOKUP($H$9&amp;$F$1,'Input RM sheet'!$A:$ZZ,DJ1,0)</f>
        <v>1050</v>
      </c>
      <c r="DL9" s="74">
        <f>VLOOKUP($H$9&amp;$F$1,'Input RM sheet'!$A:$ZZ,DK1,0)</f>
        <v>1050</v>
      </c>
      <c r="DM9" s="74">
        <f>VLOOKUP($H$9&amp;$F$1,'Input RM sheet'!$A:$ZZ,DL1,0)</f>
        <v>1050</v>
      </c>
      <c r="DN9" s="74">
        <f>VLOOKUP($H$9&amp;$F$1,'Input RM sheet'!$A:$ZZ,DM1,0)</f>
        <v>1050</v>
      </c>
      <c r="DO9" s="74">
        <f>VLOOKUP($H$9&amp;$F$1,'Input RM sheet'!$A:$ZZ,DN1,0)</f>
        <v>1050</v>
      </c>
      <c r="DP9" s="74">
        <f>VLOOKUP($H$9&amp;$F$1,'Input RM sheet'!$A:$ZZ,DO1,0)</f>
        <v>1050</v>
      </c>
      <c r="DQ9" s="74">
        <f>VLOOKUP($H$9&amp;$F$1,'Input RM sheet'!$A:$ZZ,DP1,0)</f>
        <v>1050</v>
      </c>
      <c r="DR9" s="74">
        <f>VLOOKUP($H$9&amp;$F$1,'Input RM sheet'!$A:$ZZ,DQ1,0)</f>
        <v>1000</v>
      </c>
      <c r="DS9" s="74">
        <f>VLOOKUP($H$9&amp;$F$1,'Input RM sheet'!$A:$ZZ,DR1,0)</f>
        <v>1000</v>
      </c>
      <c r="DT9" s="74">
        <f>VLOOKUP($H$9&amp;$F$1,'Input RM sheet'!$A:$ZZ,DS1,0)</f>
        <v>0</v>
      </c>
      <c r="DU9" s="74">
        <f>VLOOKUP($H$9&amp;$F$1,'Input RM sheet'!$A:$ZZ,DT1,0)</f>
        <v>0</v>
      </c>
      <c r="DV9" s="74">
        <f>VLOOKUP($H$9&amp;$F$1,'Input RM sheet'!$A:$ZZ,DU1,0)</f>
        <v>0</v>
      </c>
      <c r="DW9" s="74">
        <f>VLOOKUP($H$9&amp;$F$1,'Input RM sheet'!$A:$ZZ,DV1,0)</f>
        <v>0</v>
      </c>
      <c r="DX9" s="74">
        <f>VLOOKUP($H$9&amp;$F$1,'Input RM sheet'!$A:$ZZ,DW1,0)</f>
        <v>0</v>
      </c>
      <c r="DY9" s="74">
        <f>VLOOKUP($H$9&amp;$F$1,'Input RM sheet'!$A:$ZZ,DX1,0)</f>
        <v>0</v>
      </c>
      <c r="DZ9" s="74">
        <f>VLOOKUP($H$9&amp;$F$1,'Input RM sheet'!$A:$ZZ,DY1,0)</f>
        <v>0</v>
      </c>
      <c r="EA9" s="74">
        <f>VLOOKUP($H$9&amp;$F$1,'Input RM sheet'!$A:$ZZ,DZ1,0)</f>
        <v>0</v>
      </c>
      <c r="EB9" s="74">
        <f>VLOOKUP($H$9&amp;$F$1,'Input RM sheet'!$A:$ZZ,EA1,0)</f>
        <v>0</v>
      </c>
      <c r="EC9" s="74">
        <f>VLOOKUP($H$9&amp;$F$1,'Input RM sheet'!$A:$ZZ,EB1,0)</f>
        <v>0</v>
      </c>
      <c r="ED9" s="74">
        <f>VLOOKUP($H$9&amp;$F$1,'Input RM sheet'!$A:$ZZ,EC1,0)</f>
        <v>0</v>
      </c>
      <c r="EE9" s="74">
        <f>VLOOKUP($H$9&amp;$F$1,'Input RM sheet'!$A:$ZZ,ED1,0)</f>
        <v>0</v>
      </c>
      <c r="EF9" s="74">
        <f>VLOOKUP($H$9&amp;$F$1,'Input RM sheet'!$A:$ZZ,EE1,0)</f>
        <v>0</v>
      </c>
      <c r="EG9" s="74">
        <f>VLOOKUP($H$9&amp;$F$1,'Input RM sheet'!$A:$ZZ,EF1,0)</f>
        <v>0</v>
      </c>
      <c r="EH9" s="74">
        <f>VLOOKUP($H$9&amp;$F$1,'Input RM sheet'!$A:$ZZ,EG1,0)</f>
        <v>0</v>
      </c>
      <c r="EI9" s="74">
        <f>VLOOKUP($H$9&amp;$F$1,'Input RM sheet'!$A:$ZZ,EH1,0)</f>
        <v>0</v>
      </c>
      <c r="EJ9" s="74">
        <f>VLOOKUP($H$9&amp;$F$1,'Input RM sheet'!$A:$ZZ,EI1,0)</f>
        <v>0</v>
      </c>
      <c r="EK9" s="74">
        <f>VLOOKUP($H$9&amp;$F$1,'Input RM sheet'!$A:$ZZ,EJ1,0)</f>
        <v>0</v>
      </c>
      <c r="EL9" s="74">
        <f>VLOOKUP($H$9&amp;$F$1,'Input RM sheet'!$A:$ZZ,EK1,0)</f>
        <v>0</v>
      </c>
      <c r="EM9" s="74">
        <f>VLOOKUP($H$9&amp;$F$1,'Input RM sheet'!$A:$ZZ,EL1,0)</f>
        <v>0</v>
      </c>
      <c r="EN9" s="74">
        <f>VLOOKUP($H$9&amp;$F$1,'Input RM sheet'!$A:$ZZ,EM1,0)</f>
        <v>0</v>
      </c>
      <c r="EO9" s="74">
        <f>VLOOKUP($H$9&amp;$F$1,'Input RM sheet'!$A:$ZZ,EN1,0)</f>
        <v>0</v>
      </c>
      <c r="EP9" s="74">
        <f>VLOOKUP($H$9&amp;$F$1,'Input RM sheet'!$A:$ZZ,EO1,0)</f>
        <v>0</v>
      </c>
      <c r="EQ9" s="74">
        <f>VLOOKUP($H$9&amp;$F$1,'Input RM sheet'!$A:$ZZ,EP1,0)</f>
        <v>0</v>
      </c>
      <c r="ER9" s="74">
        <f>VLOOKUP($H$9&amp;$F$1,'Input RM sheet'!$A:$ZZ,EQ1,0)</f>
        <v>0</v>
      </c>
      <c r="ES9" s="74">
        <f>VLOOKUP($H$9&amp;$F$1,'Input RM sheet'!$A:$ZZ,ER1,0)</f>
        <v>0</v>
      </c>
      <c r="ET9" s="74">
        <f>VLOOKUP($H$9&amp;$F$1,'Input RM sheet'!$A:$ZZ,ES1,0)</f>
        <v>0</v>
      </c>
      <c r="EU9" s="74">
        <f>VLOOKUP($H$9&amp;$F$1,'Input RM sheet'!$A:$ZZ,ET1,0)</f>
        <v>0</v>
      </c>
    </row>
    <row r="10" spans="1:168" ht="13">
      <c r="A10" s="59" t="s">
        <v>395</v>
      </c>
      <c r="B10" s="59"/>
      <c r="C10" s="59" t="s">
        <v>379</v>
      </c>
      <c r="D10" s="98" t="s">
        <v>380</v>
      </c>
      <c r="E10" s="98" t="s">
        <v>381</v>
      </c>
      <c r="F10" s="59" t="s">
        <v>396</v>
      </c>
      <c r="I10" s="84"/>
      <c r="J10" s="84"/>
      <c r="K10" s="84"/>
      <c r="L10" s="84"/>
      <c r="M10" s="84"/>
      <c r="N10" s="84"/>
      <c r="O10" s="84"/>
      <c r="P10" s="84"/>
      <c r="Q10" s="84"/>
      <c r="R10" s="84"/>
      <c r="S10" s="84"/>
      <c r="T10" s="84"/>
      <c r="U10" s="84"/>
      <c r="V10" s="84"/>
      <c r="W10" s="84"/>
      <c r="X10" s="84"/>
      <c r="Y10" s="84"/>
      <c r="Z10" s="84"/>
      <c r="AA10" s="84"/>
      <c r="AB10" s="84"/>
      <c r="AC10" s="84"/>
      <c r="AD10" s="84"/>
      <c r="AE10" s="84"/>
      <c r="AF10" s="84"/>
      <c r="AG10" s="84"/>
      <c r="AH10" s="84"/>
      <c r="AI10" s="84"/>
      <c r="AJ10" s="84"/>
      <c r="AK10" s="84"/>
      <c r="AL10" s="84"/>
      <c r="AM10" s="84"/>
      <c r="AN10" s="84"/>
      <c r="AO10" s="84"/>
      <c r="AP10" s="84"/>
      <c r="AQ10" s="84"/>
      <c r="AR10" s="84"/>
      <c r="AS10" s="84"/>
      <c r="AT10" s="84"/>
      <c r="AU10" s="84"/>
      <c r="AV10" s="84"/>
      <c r="AW10" s="84"/>
      <c r="AX10" s="84"/>
      <c r="AY10" s="84"/>
      <c r="AZ10" s="84"/>
      <c r="BA10" s="84"/>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84"/>
      <c r="CE10" s="84"/>
      <c r="CF10" s="84"/>
      <c r="CG10" s="84"/>
      <c r="CH10" s="84"/>
      <c r="CI10" s="84"/>
      <c r="CJ10" s="84"/>
      <c r="CK10" s="84"/>
      <c r="CL10" s="84"/>
      <c r="CM10" s="84"/>
      <c r="CN10" s="84"/>
      <c r="CO10" s="84"/>
      <c r="CP10" s="84"/>
      <c r="CQ10" s="84"/>
      <c r="CR10" s="84"/>
      <c r="CS10" s="84"/>
      <c r="CT10" s="84"/>
      <c r="CU10" s="84"/>
      <c r="CV10" s="84"/>
      <c r="CW10" s="84"/>
      <c r="CX10" s="84"/>
      <c r="CY10" s="84"/>
      <c r="CZ10" s="84"/>
      <c r="DA10" s="84"/>
      <c r="DB10" s="84"/>
      <c r="DC10" s="84"/>
      <c r="DD10" s="84"/>
      <c r="DE10" s="84"/>
      <c r="DF10" s="84"/>
      <c r="DG10" s="84"/>
      <c r="DH10" s="84"/>
      <c r="DI10" s="84"/>
      <c r="DJ10" s="84"/>
      <c r="DK10" s="84"/>
      <c r="DL10" s="84"/>
      <c r="DM10" s="84"/>
      <c r="DN10" s="84"/>
      <c r="DO10" s="84"/>
      <c r="DP10" s="84"/>
      <c r="DQ10" s="84"/>
      <c r="DR10" s="84"/>
      <c r="DS10" s="84"/>
      <c r="DT10" s="84"/>
      <c r="DU10" s="84"/>
      <c r="DV10" s="84"/>
      <c r="DW10" s="84"/>
      <c r="DX10" s="84"/>
      <c r="DY10" s="84"/>
      <c r="DZ10" s="84"/>
      <c r="EA10" s="84"/>
      <c r="EB10" s="84"/>
      <c r="EC10" s="84"/>
      <c r="ED10" s="84"/>
      <c r="EE10" s="84"/>
      <c r="EF10" s="84"/>
      <c r="EG10" s="84"/>
      <c r="EH10" s="84"/>
      <c r="EI10" s="84"/>
      <c r="EJ10" s="84"/>
      <c r="EK10" s="84"/>
      <c r="EL10" s="84"/>
      <c r="EM10" s="84"/>
      <c r="EN10" s="84"/>
      <c r="EO10" s="84"/>
      <c r="EP10" s="84"/>
      <c r="EQ10" s="84"/>
      <c r="ER10" s="84"/>
      <c r="ES10" s="84"/>
      <c r="ET10" s="84"/>
      <c r="EU10" s="84"/>
    </row>
    <row r="11" spans="1:168" ht="13">
      <c r="A11" s="107" t="s">
        <v>397</v>
      </c>
      <c r="B11" s="100" t="s">
        <v>131</v>
      </c>
      <c r="C11" s="60">
        <v>1</v>
      </c>
      <c r="D11" s="77">
        <v>73.136799999999994</v>
      </c>
      <c r="E11" s="60">
        <f>D11*C11</f>
        <v>73.136799999999994</v>
      </c>
      <c r="F11" s="65">
        <f>(E11/D3)*85%</f>
        <v>0.69743022475716931</v>
      </c>
      <c r="H11" s="60" t="s">
        <v>399</v>
      </c>
      <c r="I11" s="74">
        <f>$F$11*(I8/1000)</f>
        <v>0</v>
      </c>
      <c r="J11" s="74">
        <f t="shared" ref="J11:BU11" si="0">$F$11*(J8/1000)</f>
        <v>0</v>
      </c>
      <c r="K11" s="74">
        <f t="shared" si="0"/>
        <v>0</v>
      </c>
      <c r="L11" s="74">
        <f t="shared" si="0"/>
        <v>0</v>
      </c>
      <c r="M11" s="74">
        <f t="shared" si="0"/>
        <v>0</v>
      </c>
      <c r="N11" s="74">
        <f t="shared" si="0"/>
        <v>0</v>
      </c>
      <c r="O11" s="74">
        <f t="shared" si="0"/>
        <v>0</v>
      </c>
      <c r="P11" s="74">
        <f t="shared" si="0"/>
        <v>0</v>
      </c>
      <c r="Q11" s="74">
        <f t="shared" si="0"/>
        <v>0</v>
      </c>
      <c r="R11" s="74">
        <f t="shared" si="0"/>
        <v>0</v>
      </c>
      <c r="S11" s="74">
        <f t="shared" si="0"/>
        <v>0</v>
      </c>
      <c r="T11" s="74">
        <f t="shared" si="0"/>
        <v>0</v>
      </c>
      <c r="U11" s="74">
        <f t="shared" si="0"/>
        <v>0</v>
      </c>
      <c r="V11" s="74">
        <f t="shared" si="0"/>
        <v>0</v>
      </c>
      <c r="W11" s="74">
        <f t="shared" si="0"/>
        <v>0</v>
      </c>
      <c r="X11" s="74">
        <f t="shared" si="0"/>
        <v>0</v>
      </c>
      <c r="Y11" s="74">
        <f t="shared" si="0"/>
        <v>0</v>
      </c>
      <c r="Z11" s="74">
        <f t="shared" si="0"/>
        <v>0</v>
      </c>
      <c r="AA11" s="74">
        <f t="shared" si="0"/>
        <v>0</v>
      </c>
      <c r="AB11" s="74">
        <f t="shared" si="0"/>
        <v>0.87265956872740813</v>
      </c>
      <c r="AC11" s="74">
        <f t="shared" si="0"/>
        <v>0.85783917645131824</v>
      </c>
      <c r="AD11" s="74">
        <f t="shared" si="0"/>
        <v>0.91189001886999899</v>
      </c>
      <c r="AE11" s="74">
        <f t="shared" si="0"/>
        <v>0.92409504780324936</v>
      </c>
      <c r="AF11" s="74">
        <f t="shared" si="0"/>
        <v>0.90753107996526661</v>
      </c>
      <c r="AG11" s="74">
        <f t="shared" si="0"/>
        <v>0.88922353656539077</v>
      </c>
      <c r="AH11" s="74">
        <f t="shared" si="0"/>
        <v>0.90084760612141856</v>
      </c>
      <c r="AI11" s="74">
        <f t="shared" si="0"/>
        <v>0.93804365229839271</v>
      </c>
      <c r="AJ11" s="74">
        <f t="shared" si="0"/>
        <v>0.95896655904110784</v>
      </c>
      <c r="AK11" s="74">
        <f t="shared" si="0"/>
        <v>0.98512019246950167</v>
      </c>
      <c r="AL11" s="74">
        <f t="shared" si="0"/>
        <v>0.91223873398237754</v>
      </c>
      <c r="AM11" s="74">
        <f t="shared" si="0"/>
        <v>0.8595827520132111</v>
      </c>
      <c r="AN11" s="74">
        <f t="shared" si="0"/>
        <v>0.80832163049355921</v>
      </c>
      <c r="AO11" s="74">
        <f t="shared" si="0"/>
        <v>0.75409643051868935</v>
      </c>
      <c r="AP11" s="74">
        <f t="shared" si="0"/>
        <v>0.73142994821408136</v>
      </c>
      <c r="AQ11" s="74">
        <f t="shared" si="0"/>
        <v>0.72532743374745612</v>
      </c>
      <c r="AR11" s="74">
        <f t="shared" si="0"/>
        <v>0.72532743374745612</v>
      </c>
      <c r="AS11" s="74">
        <f t="shared" si="0"/>
        <v>0.72532743374745612</v>
      </c>
      <c r="AT11" s="74">
        <f t="shared" si="0"/>
        <v>0.77850648838519021</v>
      </c>
      <c r="AU11" s="74">
        <f t="shared" si="0"/>
        <v>0.85783917645131824</v>
      </c>
      <c r="AV11" s="74">
        <f t="shared" si="0"/>
        <v>0.87178778094646159</v>
      </c>
      <c r="AW11" s="74">
        <f t="shared" si="0"/>
        <v>0.83342911858481739</v>
      </c>
      <c r="AX11" s="74">
        <f t="shared" si="0"/>
        <v>0.81948051408967393</v>
      </c>
      <c r="AY11" s="74">
        <f t="shared" si="0"/>
        <v>0.81948051408967393</v>
      </c>
      <c r="AZ11" s="74">
        <f t="shared" si="0"/>
        <v>0.81948051408967393</v>
      </c>
      <c r="BA11" s="74">
        <f t="shared" si="0"/>
        <v>0.78460900285181545</v>
      </c>
      <c r="BB11" s="74">
        <f t="shared" si="0"/>
        <v>0.78460900285181545</v>
      </c>
      <c r="BC11" s="74">
        <f t="shared" si="0"/>
        <v>0.69743022475716931</v>
      </c>
      <c r="BD11" s="74">
        <f t="shared" si="0"/>
        <v>0.69743022475716931</v>
      </c>
      <c r="BE11" s="74">
        <f t="shared" si="0"/>
        <v>0.69743022475716931</v>
      </c>
      <c r="BF11" s="74">
        <f t="shared" si="0"/>
        <v>0.69743022475716931</v>
      </c>
      <c r="BG11" s="74">
        <f t="shared" si="0"/>
        <v>0.7148659803760985</v>
      </c>
      <c r="BH11" s="74">
        <f t="shared" si="0"/>
        <v>0.7148659803760985</v>
      </c>
      <c r="BI11" s="74">
        <f t="shared" si="0"/>
        <v>0.85435202532753252</v>
      </c>
      <c r="BJ11" s="74">
        <f t="shared" si="0"/>
        <v>0.85435202532753252</v>
      </c>
      <c r="BK11" s="74">
        <f t="shared" si="0"/>
        <v>0.83691626970860311</v>
      </c>
      <c r="BL11" s="74">
        <f t="shared" si="0"/>
        <v>0.83691626970860311</v>
      </c>
      <c r="BM11" s="74">
        <f t="shared" si="0"/>
        <v>0.83691626970860311</v>
      </c>
      <c r="BN11" s="74">
        <f t="shared" si="0"/>
        <v>0.83691626970860311</v>
      </c>
      <c r="BO11" s="74">
        <f t="shared" si="0"/>
        <v>0.83691626970860311</v>
      </c>
      <c r="BP11" s="74">
        <f t="shared" si="0"/>
        <v>0.80204475847074463</v>
      </c>
      <c r="BQ11" s="74">
        <f t="shared" si="0"/>
        <v>0.80204475847074463</v>
      </c>
      <c r="BR11" s="74">
        <f t="shared" si="0"/>
        <v>0.78460900285181545</v>
      </c>
      <c r="BS11" s="74">
        <f t="shared" si="0"/>
        <v>0.78460900285181545</v>
      </c>
      <c r="BT11" s="74">
        <f t="shared" si="0"/>
        <v>0.78460900285181545</v>
      </c>
      <c r="BU11" s="74">
        <f t="shared" si="0"/>
        <v>0.78460900285181545</v>
      </c>
      <c r="BV11" s="74">
        <f t="shared" ref="BV11:CL11" si="1">$F$11*(BV8/1000)</f>
        <v>0.78460900285181545</v>
      </c>
      <c r="BW11" s="74">
        <f t="shared" si="1"/>
        <v>0.78460900285181545</v>
      </c>
      <c r="BX11" s="74">
        <f t="shared" si="1"/>
        <v>0.78460900285181545</v>
      </c>
      <c r="BY11" s="74">
        <f t="shared" si="1"/>
        <v>0.78460900285181545</v>
      </c>
      <c r="BZ11" s="74">
        <f t="shared" si="1"/>
        <v>0.78460900285181545</v>
      </c>
      <c r="CA11" s="74">
        <f t="shared" si="1"/>
        <v>0.78460900285181545</v>
      </c>
      <c r="CB11" s="74">
        <f t="shared" si="1"/>
        <v>0.78460900285181545</v>
      </c>
      <c r="CC11" s="74">
        <f t="shared" si="1"/>
        <v>0.78460900285181545</v>
      </c>
      <c r="CD11" s="74">
        <f t="shared" si="1"/>
        <v>0.73230173599502779</v>
      </c>
      <c r="CE11" s="74">
        <f t="shared" si="1"/>
        <v>0.73230173599502779</v>
      </c>
      <c r="CF11" s="74">
        <f t="shared" si="1"/>
        <v>0.73230173599502779</v>
      </c>
      <c r="CG11" s="74">
        <f t="shared" si="1"/>
        <v>0.73230173599502779</v>
      </c>
      <c r="CH11" s="74">
        <f t="shared" si="1"/>
        <v>0.76717324723288627</v>
      </c>
      <c r="CI11" s="74">
        <f t="shared" si="1"/>
        <v>0.76717324723288627</v>
      </c>
      <c r="CJ11" s="74">
        <f t="shared" si="1"/>
        <v>0.76717324723288627</v>
      </c>
      <c r="CK11" s="74">
        <f t="shared" si="1"/>
        <v>0.80204475847074463</v>
      </c>
      <c r="CL11" s="74">
        <f t="shared" si="1"/>
        <v>0.80204475847074463</v>
      </c>
      <c r="CM11" s="74">
        <f t="shared" ref="CM11:CR11" si="2">$F$11*(CM8/1000)</f>
        <v>0.80204475847074463</v>
      </c>
      <c r="CN11" s="74">
        <f t="shared" si="2"/>
        <v>0.80204475847074463</v>
      </c>
      <c r="CO11" s="74">
        <f t="shared" si="2"/>
        <v>0.80204475847074463</v>
      </c>
      <c r="CP11" s="74">
        <f t="shared" si="2"/>
        <v>0.80204475847074463</v>
      </c>
      <c r="CQ11" s="74">
        <f t="shared" si="2"/>
        <v>0.80204475847074463</v>
      </c>
      <c r="CR11" s="74">
        <f t="shared" si="2"/>
        <v>0.80204475847074463</v>
      </c>
      <c r="CS11" s="74">
        <f t="shared" ref="CS11:EU11" si="3">$F$11*(CS8/1000)</f>
        <v>0.76717324723288627</v>
      </c>
      <c r="CT11" s="74">
        <f t="shared" si="3"/>
        <v>0.74973749161395697</v>
      </c>
      <c r="CU11" s="74">
        <f t="shared" si="3"/>
        <v>0.74973749161395697</v>
      </c>
      <c r="CV11" s="74">
        <f t="shared" si="3"/>
        <v>0.74973749161395697</v>
      </c>
      <c r="CW11" s="74">
        <f t="shared" si="3"/>
        <v>0.62768720228145236</v>
      </c>
      <c r="CX11" s="74">
        <f t="shared" si="3"/>
        <v>0.62768720228145236</v>
      </c>
      <c r="CY11" s="74">
        <f t="shared" si="3"/>
        <v>0.62768720228145236</v>
      </c>
      <c r="CZ11" s="74">
        <f t="shared" si="3"/>
        <v>0.62768720228145236</v>
      </c>
      <c r="DA11" s="74">
        <f t="shared" si="3"/>
        <v>0.62768720228145236</v>
      </c>
      <c r="DB11" s="74">
        <f t="shared" si="3"/>
        <v>0.59281569104359388</v>
      </c>
      <c r="DC11" s="74">
        <f t="shared" si="3"/>
        <v>0.59281569104359388</v>
      </c>
      <c r="DD11" s="74">
        <f t="shared" si="3"/>
        <v>0.59281569104359388</v>
      </c>
      <c r="DE11" s="74">
        <f t="shared" si="3"/>
        <v>0.59281569104359388</v>
      </c>
      <c r="DF11" s="74">
        <f t="shared" si="3"/>
        <v>0.59281569104359388</v>
      </c>
      <c r="DG11" s="74">
        <f t="shared" si="3"/>
        <v>0.59281569104359388</v>
      </c>
      <c r="DH11" s="74">
        <f t="shared" si="3"/>
        <v>0.59281569104359388</v>
      </c>
      <c r="DI11" s="74">
        <f t="shared" si="3"/>
        <v>0.59281569104359388</v>
      </c>
      <c r="DJ11" s="74">
        <f t="shared" si="3"/>
        <v>0.59281569104359388</v>
      </c>
      <c r="DK11" s="74">
        <f t="shared" si="3"/>
        <v>0.59281569104359388</v>
      </c>
      <c r="DL11" s="74">
        <f t="shared" si="3"/>
        <v>0.55794417980573552</v>
      </c>
      <c r="DM11" s="74">
        <f t="shared" si="3"/>
        <v>0.55794417980573552</v>
      </c>
      <c r="DN11" s="74">
        <f t="shared" si="3"/>
        <v>0.55794417980573552</v>
      </c>
      <c r="DO11" s="74">
        <f t="shared" si="3"/>
        <v>0.55794417980573552</v>
      </c>
      <c r="DP11" s="74">
        <f t="shared" si="3"/>
        <v>0.55794417980573552</v>
      </c>
      <c r="DQ11" s="74">
        <f t="shared" si="3"/>
        <v>0.55794417980573552</v>
      </c>
      <c r="DR11" s="74">
        <f t="shared" si="3"/>
        <v>0.47076540171108933</v>
      </c>
      <c r="DS11" s="74">
        <f t="shared" si="3"/>
        <v>0.47076540171108933</v>
      </c>
      <c r="DT11" s="74">
        <f t="shared" si="3"/>
        <v>0</v>
      </c>
      <c r="DU11" s="74">
        <f t="shared" si="3"/>
        <v>0</v>
      </c>
      <c r="DV11" s="74">
        <f t="shared" si="3"/>
        <v>0</v>
      </c>
      <c r="DW11" s="74">
        <f t="shared" si="3"/>
        <v>0</v>
      </c>
      <c r="DX11" s="74">
        <f t="shared" si="3"/>
        <v>0</v>
      </c>
      <c r="DY11" s="74">
        <f t="shared" si="3"/>
        <v>0</v>
      </c>
      <c r="DZ11" s="74">
        <f t="shared" si="3"/>
        <v>0</v>
      </c>
      <c r="EA11" s="74">
        <f t="shared" si="3"/>
        <v>0</v>
      </c>
      <c r="EB11" s="74">
        <f t="shared" si="3"/>
        <v>0</v>
      </c>
      <c r="EC11" s="74">
        <f t="shared" si="3"/>
        <v>0</v>
      </c>
      <c r="ED11" s="74">
        <f t="shared" si="3"/>
        <v>0</v>
      </c>
      <c r="EE11" s="74">
        <f t="shared" si="3"/>
        <v>0</v>
      </c>
      <c r="EF11" s="74">
        <f t="shared" si="3"/>
        <v>0</v>
      </c>
      <c r="EG11" s="74">
        <f t="shared" si="3"/>
        <v>0</v>
      </c>
      <c r="EH11" s="74">
        <f t="shared" si="3"/>
        <v>0</v>
      </c>
      <c r="EI11" s="74">
        <f t="shared" si="3"/>
        <v>0</v>
      </c>
      <c r="EJ11" s="74">
        <f t="shared" si="3"/>
        <v>0</v>
      </c>
      <c r="EK11" s="74">
        <f t="shared" si="3"/>
        <v>0</v>
      </c>
      <c r="EL11" s="74">
        <f t="shared" si="3"/>
        <v>0</v>
      </c>
      <c r="EM11" s="74">
        <f t="shared" si="3"/>
        <v>0</v>
      </c>
      <c r="EN11" s="74">
        <f t="shared" si="3"/>
        <v>0</v>
      </c>
      <c r="EO11" s="74">
        <f t="shared" si="3"/>
        <v>0</v>
      </c>
      <c r="EP11" s="74">
        <f t="shared" si="3"/>
        <v>0</v>
      </c>
      <c r="EQ11" s="74">
        <f t="shared" si="3"/>
        <v>0</v>
      </c>
      <c r="ER11" s="74">
        <f t="shared" si="3"/>
        <v>0</v>
      </c>
      <c r="ES11" s="74">
        <f t="shared" si="3"/>
        <v>0</v>
      </c>
      <c r="ET11" s="74">
        <f t="shared" si="3"/>
        <v>0</v>
      </c>
      <c r="EU11" s="74">
        <f t="shared" si="3"/>
        <v>0</v>
      </c>
    </row>
    <row r="12" spans="1:168" ht="13">
      <c r="A12" s="67"/>
      <c r="B12" s="100" t="s">
        <v>132</v>
      </c>
      <c r="C12" s="60">
        <v>1</v>
      </c>
      <c r="D12" s="77">
        <v>101.19</v>
      </c>
      <c r="E12" s="60">
        <f>D12*C12</f>
        <v>101.19</v>
      </c>
      <c r="F12" s="65">
        <f>(E12/D3)*85%</f>
        <v>0.96494465772604165</v>
      </c>
      <c r="H12" s="60" t="s">
        <v>399</v>
      </c>
      <c r="I12" s="74">
        <f>$F$12*(I9/1000)</f>
        <v>0</v>
      </c>
      <c r="J12" s="74">
        <f t="shared" ref="J12:BU12" si="4">$F$12*(J9/1000)</f>
        <v>0</v>
      </c>
      <c r="K12" s="74">
        <f t="shared" si="4"/>
        <v>0</v>
      </c>
      <c r="L12" s="74">
        <f t="shared" si="4"/>
        <v>0</v>
      </c>
      <c r="M12" s="74">
        <f t="shared" si="4"/>
        <v>0</v>
      </c>
      <c r="N12" s="74">
        <f t="shared" si="4"/>
        <v>0</v>
      </c>
      <c r="O12" s="74">
        <f t="shared" si="4"/>
        <v>0</v>
      </c>
      <c r="P12" s="74">
        <f t="shared" si="4"/>
        <v>0</v>
      </c>
      <c r="Q12" s="74">
        <f t="shared" si="4"/>
        <v>0</v>
      </c>
      <c r="R12" s="74">
        <f t="shared" si="4"/>
        <v>0</v>
      </c>
      <c r="S12" s="74">
        <f t="shared" si="4"/>
        <v>0</v>
      </c>
      <c r="T12" s="74">
        <f t="shared" si="4"/>
        <v>0</v>
      </c>
      <c r="U12" s="74">
        <f t="shared" si="4"/>
        <v>0</v>
      </c>
      <c r="V12" s="74">
        <f t="shared" si="4"/>
        <v>0</v>
      </c>
      <c r="W12" s="74">
        <f t="shared" si="4"/>
        <v>0</v>
      </c>
      <c r="X12" s="74">
        <f t="shared" si="4"/>
        <v>0</v>
      </c>
      <c r="Y12" s="74">
        <f t="shared" si="4"/>
        <v>0</v>
      </c>
      <c r="Z12" s="74">
        <f t="shared" si="4"/>
        <v>0</v>
      </c>
      <c r="AA12" s="74">
        <f t="shared" si="4"/>
        <v>0</v>
      </c>
      <c r="AB12" s="74">
        <f t="shared" si="4"/>
        <v>0</v>
      </c>
      <c r="AC12" s="74">
        <f>$F$12*(AC9/1000)</f>
        <v>1.2785516714870051</v>
      </c>
      <c r="AD12" s="74">
        <f t="shared" si="4"/>
        <v>1.3123247345074167</v>
      </c>
      <c r="AE12" s="74">
        <f t="shared" si="4"/>
        <v>1.3123247345074167</v>
      </c>
      <c r="AF12" s="74">
        <f t="shared" si="4"/>
        <v>1.2713145865540598</v>
      </c>
      <c r="AG12" s="74">
        <f t="shared" si="4"/>
        <v>1.2713145865540598</v>
      </c>
      <c r="AH12" s="74">
        <f t="shared" si="4"/>
        <v>1.3107164934112063</v>
      </c>
      <c r="AI12" s="74">
        <f t="shared" si="4"/>
        <v>1.3460977975278281</v>
      </c>
      <c r="AJ12" s="74">
        <f t="shared" si="4"/>
        <v>1.3991697537027603</v>
      </c>
      <c r="AK12" s="74">
        <f t="shared" si="4"/>
        <v>1.3931388495919728</v>
      </c>
      <c r="AL12" s="74">
        <f t="shared" si="4"/>
        <v>1.3171494577960468</v>
      </c>
      <c r="AM12" s="74">
        <f t="shared" si="4"/>
        <v>1.2785516714870051</v>
      </c>
      <c r="AN12" s="74">
        <f t="shared" si="4"/>
        <v>1.2110055454461821</v>
      </c>
      <c r="AO12" s="74">
        <f t="shared" si="4"/>
        <v>1.1458717810496744</v>
      </c>
      <c r="AP12" s="74">
        <f t="shared" si="4"/>
        <v>1.133809972828099</v>
      </c>
      <c r="AQ12" s="74">
        <f t="shared" si="4"/>
        <v>1.1289852495394688</v>
      </c>
      <c r="AR12" s="74">
        <f t="shared" si="4"/>
        <v>1.0453567125365451</v>
      </c>
      <c r="AS12" s="74">
        <f t="shared" si="4"/>
        <v>1.0131918906123438</v>
      </c>
      <c r="AT12" s="74">
        <f t="shared" si="4"/>
        <v>1.1072739947406327</v>
      </c>
      <c r="AU12" s="74">
        <f t="shared" si="4"/>
        <v>1.2544280550438542</v>
      </c>
      <c r="AV12" s="74">
        <f t="shared" si="4"/>
        <v>1.2544280550438542</v>
      </c>
      <c r="AW12" s="74">
        <f t="shared" si="4"/>
        <v>1.2110055454461821</v>
      </c>
      <c r="AX12" s="74">
        <f t="shared" si="4"/>
        <v>1.1820572057144012</v>
      </c>
      <c r="AY12" s="74">
        <f t="shared" si="4"/>
        <v>1.1820572057144012</v>
      </c>
      <c r="AZ12" s="74">
        <f t="shared" si="4"/>
        <v>1.1820572057144012</v>
      </c>
      <c r="BA12" s="74">
        <f t="shared" si="4"/>
        <v>1.1820572057144012</v>
      </c>
      <c r="BB12" s="74">
        <f t="shared" si="4"/>
        <v>1.1820572057144012</v>
      </c>
      <c r="BC12" s="74">
        <f t="shared" si="4"/>
        <v>1.2061808221575521</v>
      </c>
      <c r="BD12" s="74">
        <f t="shared" si="4"/>
        <v>1.2061808221575521</v>
      </c>
      <c r="BE12" s="74">
        <f t="shared" si="4"/>
        <v>1.2303044386007029</v>
      </c>
      <c r="BF12" s="74">
        <f t="shared" si="4"/>
        <v>1.2303044386007029</v>
      </c>
      <c r="BG12" s="74">
        <f t="shared" si="4"/>
        <v>1.2303044386007029</v>
      </c>
      <c r="BH12" s="74">
        <f t="shared" si="4"/>
        <v>1.2303044386007029</v>
      </c>
      <c r="BI12" s="74">
        <f t="shared" si="4"/>
        <v>1.2303044386007029</v>
      </c>
      <c r="BJ12" s="74">
        <f t="shared" si="4"/>
        <v>1.2303044386007029</v>
      </c>
      <c r="BK12" s="74">
        <f t="shared" si="4"/>
        <v>1.2061808221575521</v>
      </c>
      <c r="BL12" s="74">
        <f t="shared" si="4"/>
        <v>1.2061808221575521</v>
      </c>
      <c r="BM12" s="74">
        <f t="shared" si="4"/>
        <v>1.2061808221575521</v>
      </c>
      <c r="BN12" s="74">
        <f t="shared" si="4"/>
        <v>1.2061808221575521</v>
      </c>
      <c r="BO12" s="74">
        <f t="shared" si="4"/>
        <v>1.2061808221575521</v>
      </c>
      <c r="BP12" s="74">
        <f t="shared" si="4"/>
        <v>1.1820572057144012</v>
      </c>
      <c r="BQ12" s="74">
        <f t="shared" si="4"/>
        <v>1.1579335892712499</v>
      </c>
      <c r="BR12" s="74">
        <f t="shared" si="4"/>
        <v>1.1579335892712499</v>
      </c>
      <c r="BS12" s="74">
        <f t="shared" si="4"/>
        <v>1.1579335892712499</v>
      </c>
      <c r="BT12" s="74">
        <f t="shared" si="4"/>
        <v>1.1579335892712499</v>
      </c>
      <c r="BU12" s="74">
        <f t="shared" si="4"/>
        <v>1.133809972828099</v>
      </c>
      <c r="BV12" s="74">
        <f t="shared" ref="BV12:CL12" si="5">$F$12*(BV9/1000)</f>
        <v>1.133809972828099</v>
      </c>
      <c r="BW12" s="74">
        <f t="shared" si="5"/>
        <v>1.133809972828099</v>
      </c>
      <c r="BX12" s="74">
        <f t="shared" si="5"/>
        <v>1.133809972828099</v>
      </c>
      <c r="BY12" s="74">
        <f t="shared" si="5"/>
        <v>1.133809972828099</v>
      </c>
      <c r="BZ12" s="74">
        <f t="shared" si="5"/>
        <v>1.133809972828099</v>
      </c>
      <c r="CA12" s="74">
        <f t="shared" si="5"/>
        <v>1.133809972828099</v>
      </c>
      <c r="CB12" s="74">
        <f t="shared" si="5"/>
        <v>1.133809972828099</v>
      </c>
      <c r="CC12" s="74">
        <f t="shared" si="5"/>
        <v>1.133809972828099</v>
      </c>
      <c r="CD12" s="74">
        <f t="shared" si="5"/>
        <v>1.133809972828099</v>
      </c>
      <c r="CE12" s="74">
        <f t="shared" si="5"/>
        <v>1.133809972828099</v>
      </c>
      <c r="CF12" s="74">
        <f t="shared" si="5"/>
        <v>1.133809972828099</v>
      </c>
      <c r="CG12" s="74">
        <f t="shared" si="5"/>
        <v>1.1579335892712499</v>
      </c>
      <c r="CH12" s="74">
        <f t="shared" si="5"/>
        <v>1.1579335892712499</v>
      </c>
      <c r="CI12" s="74">
        <f t="shared" si="5"/>
        <v>1.1579335892712499</v>
      </c>
      <c r="CJ12" s="74">
        <f t="shared" si="5"/>
        <v>1.1579335892712499</v>
      </c>
      <c r="CK12" s="74">
        <f t="shared" si="5"/>
        <v>1.1579335892712499</v>
      </c>
      <c r="CL12" s="74">
        <f t="shared" si="5"/>
        <v>1.2544280550438542</v>
      </c>
      <c r="CM12" s="74">
        <f t="shared" ref="CM12:CR12" si="6">$F$12*(CM9/1000)</f>
        <v>1.2544280550438542</v>
      </c>
      <c r="CN12" s="74">
        <f t="shared" si="6"/>
        <v>1.2544280550438542</v>
      </c>
      <c r="CO12" s="74">
        <f t="shared" si="6"/>
        <v>1.2544280550438542</v>
      </c>
      <c r="CP12" s="74">
        <f t="shared" si="6"/>
        <v>1.2544280550438542</v>
      </c>
      <c r="CQ12" s="74">
        <f t="shared" si="6"/>
        <v>1.2544280550438542</v>
      </c>
      <c r="CR12" s="74">
        <f t="shared" si="6"/>
        <v>1.2061808221575521</v>
      </c>
      <c r="CS12" s="74">
        <f t="shared" ref="CS12:EU12" si="7">$F$12*(CS9/1000)</f>
        <v>1.1579335892712499</v>
      </c>
      <c r="CT12" s="74">
        <f t="shared" si="7"/>
        <v>1.133809972828099</v>
      </c>
      <c r="CU12" s="74">
        <f t="shared" si="7"/>
        <v>1.133809972828099</v>
      </c>
      <c r="CV12" s="74">
        <f t="shared" si="7"/>
        <v>1.133809972828099</v>
      </c>
      <c r="CW12" s="74">
        <f t="shared" si="7"/>
        <v>1.0131918906123438</v>
      </c>
      <c r="CX12" s="74">
        <f t="shared" si="7"/>
        <v>1.0131918906123438</v>
      </c>
      <c r="CY12" s="74">
        <f t="shared" si="7"/>
        <v>1.0131918906123438</v>
      </c>
      <c r="CZ12" s="74">
        <f t="shared" si="7"/>
        <v>1.061439123498646</v>
      </c>
      <c r="DA12" s="74">
        <f t="shared" si="7"/>
        <v>1.061439123498646</v>
      </c>
      <c r="DB12" s="74">
        <f t="shared" si="7"/>
        <v>1.061439123498646</v>
      </c>
      <c r="DC12" s="74">
        <f t="shared" si="7"/>
        <v>1.0131918906123438</v>
      </c>
      <c r="DD12" s="74">
        <f t="shared" si="7"/>
        <v>1.0131918906123438</v>
      </c>
      <c r="DE12" s="74">
        <f t="shared" si="7"/>
        <v>1.0131918906123438</v>
      </c>
      <c r="DF12" s="74">
        <f t="shared" si="7"/>
        <v>1.0131918906123438</v>
      </c>
      <c r="DG12" s="74">
        <f t="shared" si="7"/>
        <v>1.0131918906123438</v>
      </c>
      <c r="DH12" s="74">
        <f t="shared" si="7"/>
        <v>1.0131918906123438</v>
      </c>
      <c r="DI12" s="74">
        <f t="shared" si="7"/>
        <v>1.0131918906123438</v>
      </c>
      <c r="DJ12" s="74">
        <f t="shared" si="7"/>
        <v>1.0131918906123438</v>
      </c>
      <c r="DK12" s="74">
        <f t="shared" si="7"/>
        <v>1.0131918906123438</v>
      </c>
      <c r="DL12" s="74">
        <f t="shared" si="7"/>
        <v>1.0131918906123438</v>
      </c>
      <c r="DM12" s="74">
        <f t="shared" si="7"/>
        <v>1.0131918906123438</v>
      </c>
      <c r="DN12" s="74">
        <f t="shared" si="7"/>
        <v>1.0131918906123438</v>
      </c>
      <c r="DO12" s="74">
        <f t="shared" si="7"/>
        <v>1.0131918906123438</v>
      </c>
      <c r="DP12" s="74">
        <f t="shared" si="7"/>
        <v>1.0131918906123438</v>
      </c>
      <c r="DQ12" s="74">
        <f t="shared" si="7"/>
        <v>1.0131918906123438</v>
      </c>
      <c r="DR12" s="74">
        <f t="shared" si="7"/>
        <v>0.96494465772604165</v>
      </c>
      <c r="DS12" s="74">
        <f t="shared" si="7"/>
        <v>0.96494465772604165</v>
      </c>
      <c r="DT12" s="74">
        <f t="shared" si="7"/>
        <v>0</v>
      </c>
      <c r="DU12" s="74">
        <f t="shared" si="7"/>
        <v>0</v>
      </c>
      <c r="DV12" s="74">
        <f t="shared" si="7"/>
        <v>0</v>
      </c>
      <c r="DW12" s="74">
        <f t="shared" si="7"/>
        <v>0</v>
      </c>
      <c r="DX12" s="74">
        <f t="shared" si="7"/>
        <v>0</v>
      </c>
      <c r="DY12" s="74">
        <f t="shared" si="7"/>
        <v>0</v>
      </c>
      <c r="DZ12" s="74">
        <f t="shared" si="7"/>
        <v>0</v>
      </c>
      <c r="EA12" s="74">
        <f t="shared" si="7"/>
        <v>0</v>
      </c>
      <c r="EB12" s="74">
        <f t="shared" si="7"/>
        <v>0</v>
      </c>
      <c r="EC12" s="74">
        <f t="shared" si="7"/>
        <v>0</v>
      </c>
      <c r="ED12" s="74">
        <f t="shared" si="7"/>
        <v>0</v>
      </c>
      <c r="EE12" s="74">
        <f t="shared" si="7"/>
        <v>0</v>
      </c>
      <c r="EF12" s="74">
        <f t="shared" si="7"/>
        <v>0</v>
      </c>
      <c r="EG12" s="74">
        <f t="shared" si="7"/>
        <v>0</v>
      </c>
      <c r="EH12" s="74">
        <f t="shared" si="7"/>
        <v>0</v>
      </c>
      <c r="EI12" s="74">
        <f t="shared" si="7"/>
        <v>0</v>
      </c>
      <c r="EJ12" s="74">
        <f t="shared" si="7"/>
        <v>0</v>
      </c>
      <c r="EK12" s="74">
        <f t="shared" si="7"/>
        <v>0</v>
      </c>
      <c r="EL12" s="74">
        <f t="shared" si="7"/>
        <v>0</v>
      </c>
      <c r="EM12" s="74">
        <f t="shared" si="7"/>
        <v>0</v>
      </c>
      <c r="EN12" s="74">
        <f t="shared" si="7"/>
        <v>0</v>
      </c>
      <c r="EO12" s="74">
        <f t="shared" si="7"/>
        <v>0</v>
      </c>
      <c r="EP12" s="74">
        <f t="shared" si="7"/>
        <v>0</v>
      </c>
      <c r="EQ12" s="74">
        <f t="shared" si="7"/>
        <v>0</v>
      </c>
      <c r="ER12" s="74">
        <f t="shared" si="7"/>
        <v>0</v>
      </c>
      <c r="ES12" s="74">
        <f t="shared" si="7"/>
        <v>0</v>
      </c>
      <c r="ET12" s="74">
        <f t="shared" si="7"/>
        <v>0</v>
      </c>
      <c r="EU12" s="74">
        <f t="shared" si="7"/>
        <v>0</v>
      </c>
    </row>
    <row r="13" spans="1:168" s="104" customFormat="1">
      <c r="A13" s="104" t="s">
        <v>794</v>
      </c>
      <c r="H13" s="60"/>
      <c r="I13" s="105">
        <f>SUM(I11:I11)</f>
        <v>0</v>
      </c>
      <c r="J13" s="105">
        <f t="shared" ref="J13:BU13" si="8">SUM(J11:J11)</f>
        <v>0</v>
      </c>
      <c r="K13" s="105">
        <f t="shared" si="8"/>
        <v>0</v>
      </c>
      <c r="L13" s="105">
        <f t="shared" si="8"/>
        <v>0</v>
      </c>
      <c r="M13" s="105">
        <f t="shared" si="8"/>
        <v>0</v>
      </c>
      <c r="N13" s="105">
        <f t="shared" si="8"/>
        <v>0</v>
      </c>
      <c r="O13" s="105">
        <f t="shared" si="8"/>
        <v>0</v>
      </c>
      <c r="P13" s="105">
        <f t="shared" si="8"/>
        <v>0</v>
      </c>
      <c r="Q13" s="105">
        <f t="shared" si="8"/>
        <v>0</v>
      </c>
      <c r="R13" s="105">
        <f t="shared" si="8"/>
        <v>0</v>
      </c>
      <c r="S13" s="105">
        <f t="shared" si="8"/>
        <v>0</v>
      </c>
      <c r="T13" s="105">
        <f t="shared" si="8"/>
        <v>0</v>
      </c>
      <c r="U13" s="105">
        <f t="shared" si="8"/>
        <v>0</v>
      </c>
      <c r="V13" s="105">
        <f t="shared" si="8"/>
        <v>0</v>
      </c>
      <c r="W13" s="105">
        <f t="shared" si="8"/>
        <v>0</v>
      </c>
      <c r="X13" s="105">
        <f t="shared" si="8"/>
        <v>0</v>
      </c>
      <c r="Y13" s="105">
        <f t="shared" si="8"/>
        <v>0</v>
      </c>
      <c r="Z13" s="105">
        <f t="shared" si="8"/>
        <v>0</v>
      </c>
      <c r="AA13" s="105">
        <f t="shared" si="8"/>
        <v>0</v>
      </c>
      <c r="AB13" s="105">
        <f t="shared" si="8"/>
        <v>0.87265956872740813</v>
      </c>
      <c r="AC13" s="105">
        <f t="shared" si="8"/>
        <v>0.85783917645131824</v>
      </c>
      <c r="AD13" s="105">
        <f t="shared" si="8"/>
        <v>0.91189001886999899</v>
      </c>
      <c r="AE13" s="105">
        <f t="shared" si="8"/>
        <v>0.92409504780324936</v>
      </c>
      <c r="AF13" s="105">
        <f t="shared" si="8"/>
        <v>0.90753107996526661</v>
      </c>
      <c r="AG13" s="105">
        <f t="shared" si="8"/>
        <v>0.88922353656539077</v>
      </c>
      <c r="AH13" s="105">
        <f t="shared" si="8"/>
        <v>0.90084760612141856</v>
      </c>
      <c r="AI13" s="105">
        <f t="shared" si="8"/>
        <v>0.93804365229839271</v>
      </c>
      <c r="AJ13" s="105">
        <f t="shared" si="8"/>
        <v>0.95896655904110784</v>
      </c>
      <c r="AK13" s="105">
        <f t="shared" si="8"/>
        <v>0.98512019246950167</v>
      </c>
      <c r="AL13" s="105">
        <f t="shared" si="8"/>
        <v>0.91223873398237754</v>
      </c>
      <c r="AM13" s="105">
        <f t="shared" si="8"/>
        <v>0.8595827520132111</v>
      </c>
      <c r="AN13" s="105">
        <f t="shared" si="8"/>
        <v>0.80832163049355921</v>
      </c>
      <c r="AO13" s="105">
        <f t="shared" si="8"/>
        <v>0.75409643051868935</v>
      </c>
      <c r="AP13" s="105">
        <f t="shared" si="8"/>
        <v>0.73142994821408136</v>
      </c>
      <c r="AQ13" s="105">
        <f t="shared" si="8"/>
        <v>0.72532743374745612</v>
      </c>
      <c r="AR13" s="105">
        <f t="shared" si="8"/>
        <v>0.72532743374745612</v>
      </c>
      <c r="AS13" s="105">
        <f t="shared" si="8"/>
        <v>0.72532743374745612</v>
      </c>
      <c r="AT13" s="105">
        <f t="shared" si="8"/>
        <v>0.77850648838519021</v>
      </c>
      <c r="AU13" s="105">
        <f t="shared" si="8"/>
        <v>0.85783917645131824</v>
      </c>
      <c r="AV13" s="105">
        <f t="shared" si="8"/>
        <v>0.87178778094646159</v>
      </c>
      <c r="AW13" s="105">
        <f t="shared" si="8"/>
        <v>0.83342911858481739</v>
      </c>
      <c r="AX13" s="105">
        <f t="shared" si="8"/>
        <v>0.81948051408967393</v>
      </c>
      <c r="AY13" s="105">
        <f t="shared" si="8"/>
        <v>0.81948051408967393</v>
      </c>
      <c r="AZ13" s="105">
        <f t="shared" si="8"/>
        <v>0.81948051408967393</v>
      </c>
      <c r="BA13" s="105">
        <f t="shared" si="8"/>
        <v>0.78460900285181545</v>
      </c>
      <c r="BB13" s="105">
        <f t="shared" si="8"/>
        <v>0.78460900285181545</v>
      </c>
      <c r="BC13" s="105">
        <f t="shared" si="8"/>
        <v>0.69743022475716931</v>
      </c>
      <c r="BD13" s="105">
        <f t="shared" si="8"/>
        <v>0.69743022475716931</v>
      </c>
      <c r="BE13" s="105">
        <f t="shared" si="8"/>
        <v>0.69743022475716931</v>
      </c>
      <c r="BF13" s="105">
        <f t="shared" si="8"/>
        <v>0.69743022475716931</v>
      </c>
      <c r="BG13" s="105">
        <f t="shared" si="8"/>
        <v>0.7148659803760985</v>
      </c>
      <c r="BH13" s="105">
        <f t="shared" si="8"/>
        <v>0.7148659803760985</v>
      </c>
      <c r="BI13" s="105">
        <f t="shared" si="8"/>
        <v>0.85435202532753252</v>
      </c>
      <c r="BJ13" s="105">
        <f t="shared" si="8"/>
        <v>0.85435202532753252</v>
      </c>
      <c r="BK13" s="105">
        <f t="shared" si="8"/>
        <v>0.83691626970860311</v>
      </c>
      <c r="BL13" s="105">
        <f t="shared" si="8"/>
        <v>0.83691626970860311</v>
      </c>
      <c r="BM13" s="105">
        <f t="shared" si="8"/>
        <v>0.83691626970860311</v>
      </c>
      <c r="BN13" s="105">
        <f t="shared" si="8"/>
        <v>0.83691626970860311</v>
      </c>
      <c r="BO13" s="105">
        <f t="shared" si="8"/>
        <v>0.83691626970860311</v>
      </c>
      <c r="BP13" s="105">
        <f t="shared" si="8"/>
        <v>0.80204475847074463</v>
      </c>
      <c r="BQ13" s="105">
        <f t="shared" si="8"/>
        <v>0.80204475847074463</v>
      </c>
      <c r="BR13" s="105">
        <f t="shared" si="8"/>
        <v>0.78460900285181545</v>
      </c>
      <c r="BS13" s="105">
        <f t="shared" si="8"/>
        <v>0.78460900285181545</v>
      </c>
      <c r="BT13" s="105">
        <f t="shared" si="8"/>
        <v>0.78460900285181545</v>
      </c>
      <c r="BU13" s="105">
        <f t="shared" si="8"/>
        <v>0.78460900285181545</v>
      </c>
      <c r="BV13" s="105">
        <f t="shared" ref="BV13:CL13" si="9">SUM(BV11:BV11)</f>
        <v>0.78460900285181545</v>
      </c>
      <c r="BW13" s="105">
        <f t="shared" si="9"/>
        <v>0.78460900285181545</v>
      </c>
      <c r="BX13" s="105">
        <f t="shared" si="9"/>
        <v>0.78460900285181545</v>
      </c>
      <c r="BY13" s="105">
        <f t="shared" si="9"/>
        <v>0.78460900285181545</v>
      </c>
      <c r="BZ13" s="105">
        <f t="shared" si="9"/>
        <v>0.78460900285181545</v>
      </c>
      <c r="CA13" s="105">
        <f t="shared" si="9"/>
        <v>0.78460900285181545</v>
      </c>
      <c r="CB13" s="105">
        <f t="shared" si="9"/>
        <v>0.78460900285181545</v>
      </c>
      <c r="CC13" s="105">
        <f t="shared" si="9"/>
        <v>0.78460900285181545</v>
      </c>
      <c r="CD13" s="105">
        <f t="shared" si="9"/>
        <v>0.73230173599502779</v>
      </c>
      <c r="CE13" s="105">
        <f t="shared" si="9"/>
        <v>0.73230173599502779</v>
      </c>
      <c r="CF13" s="105">
        <f t="shared" si="9"/>
        <v>0.73230173599502779</v>
      </c>
      <c r="CG13" s="105">
        <f t="shared" si="9"/>
        <v>0.73230173599502779</v>
      </c>
      <c r="CH13" s="105">
        <f t="shared" si="9"/>
        <v>0.76717324723288627</v>
      </c>
      <c r="CI13" s="105">
        <f t="shared" si="9"/>
        <v>0.76717324723288627</v>
      </c>
      <c r="CJ13" s="105">
        <f t="shared" si="9"/>
        <v>0.76717324723288627</v>
      </c>
      <c r="CK13" s="105">
        <f t="shared" si="9"/>
        <v>0.80204475847074463</v>
      </c>
      <c r="CL13" s="105">
        <f t="shared" si="9"/>
        <v>0.80204475847074463</v>
      </c>
      <c r="CM13" s="105">
        <f t="shared" ref="CM13:CR13" si="10">SUM(CM11:CM11)</f>
        <v>0.80204475847074463</v>
      </c>
      <c r="CN13" s="105">
        <f t="shared" si="10"/>
        <v>0.80204475847074463</v>
      </c>
      <c r="CO13" s="105">
        <f t="shared" si="10"/>
        <v>0.80204475847074463</v>
      </c>
      <c r="CP13" s="105">
        <f t="shared" si="10"/>
        <v>0.80204475847074463</v>
      </c>
      <c r="CQ13" s="105">
        <f t="shared" si="10"/>
        <v>0.80204475847074463</v>
      </c>
      <c r="CR13" s="105">
        <f t="shared" si="10"/>
        <v>0.80204475847074463</v>
      </c>
      <c r="CS13" s="105">
        <f t="shared" ref="CS13:EU13" si="11">SUM(CS11:CS11)</f>
        <v>0.76717324723288627</v>
      </c>
      <c r="CT13" s="105">
        <f t="shared" si="11"/>
        <v>0.74973749161395697</v>
      </c>
      <c r="CU13" s="105">
        <f t="shared" si="11"/>
        <v>0.74973749161395697</v>
      </c>
      <c r="CV13" s="105">
        <f t="shared" si="11"/>
        <v>0.74973749161395697</v>
      </c>
      <c r="CW13" s="105">
        <f t="shared" si="11"/>
        <v>0.62768720228145236</v>
      </c>
      <c r="CX13" s="105">
        <f t="shared" si="11"/>
        <v>0.62768720228145236</v>
      </c>
      <c r="CY13" s="105">
        <f t="shared" si="11"/>
        <v>0.62768720228145236</v>
      </c>
      <c r="CZ13" s="105">
        <f t="shared" si="11"/>
        <v>0.62768720228145236</v>
      </c>
      <c r="DA13" s="105">
        <f t="shared" si="11"/>
        <v>0.62768720228145236</v>
      </c>
      <c r="DB13" s="105">
        <f t="shared" si="11"/>
        <v>0.59281569104359388</v>
      </c>
      <c r="DC13" s="105">
        <f t="shared" si="11"/>
        <v>0.59281569104359388</v>
      </c>
      <c r="DD13" s="105">
        <f t="shared" si="11"/>
        <v>0.59281569104359388</v>
      </c>
      <c r="DE13" s="105">
        <f t="shared" si="11"/>
        <v>0.59281569104359388</v>
      </c>
      <c r="DF13" s="105">
        <f t="shared" si="11"/>
        <v>0.59281569104359388</v>
      </c>
      <c r="DG13" s="105">
        <f t="shared" si="11"/>
        <v>0.59281569104359388</v>
      </c>
      <c r="DH13" s="105">
        <f t="shared" si="11"/>
        <v>0.59281569104359388</v>
      </c>
      <c r="DI13" s="105">
        <f t="shared" si="11"/>
        <v>0.59281569104359388</v>
      </c>
      <c r="DJ13" s="105">
        <f t="shared" si="11"/>
        <v>0.59281569104359388</v>
      </c>
      <c r="DK13" s="105">
        <f t="shared" si="11"/>
        <v>0.59281569104359388</v>
      </c>
      <c r="DL13" s="105">
        <f t="shared" si="11"/>
        <v>0.55794417980573552</v>
      </c>
      <c r="DM13" s="105">
        <f t="shared" si="11"/>
        <v>0.55794417980573552</v>
      </c>
      <c r="DN13" s="105">
        <f t="shared" si="11"/>
        <v>0.55794417980573552</v>
      </c>
      <c r="DO13" s="105">
        <f t="shared" si="11"/>
        <v>0.55794417980573552</v>
      </c>
      <c r="DP13" s="105">
        <f t="shared" si="11"/>
        <v>0.55794417980573552</v>
      </c>
      <c r="DQ13" s="105">
        <f t="shared" si="11"/>
        <v>0.55794417980573552</v>
      </c>
      <c r="DR13" s="105">
        <f t="shared" si="11"/>
        <v>0.47076540171108933</v>
      </c>
      <c r="DS13" s="105">
        <f t="shared" si="11"/>
        <v>0.47076540171108933</v>
      </c>
      <c r="DT13" s="105">
        <f t="shared" si="11"/>
        <v>0</v>
      </c>
      <c r="DU13" s="105">
        <f t="shared" si="11"/>
        <v>0</v>
      </c>
      <c r="DV13" s="105">
        <f t="shared" si="11"/>
        <v>0</v>
      </c>
      <c r="DW13" s="105">
        <f t="shared" si="11"/>
        <v>0</v>
      </c>
      <c r="DX13" s="105">
        <f t="shared" si="11"/>
        <v>0</v>
      </c>
      <c r="DY13" s="105">
        <f t="shared" si="11"/>
        <v>0</v>
      </c>
      <c r="DZ13" s="105">
        <f t="shared" si="11"/>
        <v>0</v>
      </c>
      <c r="EA13" s="105">
        <f t="shared" si="11"/>
        <v>0</v>
      </c>
      <c r="EB13" s="105">
        <f t="shared" si="11"/>
        <v>0</v>
      </c>
      <c r="EC13" s="105">
        <f t="shared" si="11"/>
        <v>0</v>
      </c>
      <c r="ED13" s="105">
        <f t="shared" si="11"/>
        <v>0</v>
      </c>
      <c r="EE13" s="105">
        <f t="shared" si="11"/>
        <v>0</v>
      </c>
      <c r="EF13" s="105">
        <f t="shared" si="11"/>
        <v>0</v>
      </c>
      <c r="EG13" s="105">
        <f t="shared" si="11"/>
        <v>0</v>
      </c>
      <c r="EH13" s="105">
        <f t="shared" si="11"/>
        <v>0</v>
      </c>
      <c r="EI13" s="105">
        <f t="shared" si="11"/>
        <v>0</v>
      </c>
      <c r="EJ13" s="105">
        <f t="shared" si="11"/>
        <v>0</v>
      </c>
      <c r="EK13" s="105">
        <f t="shared" si="11"/>
        <v>0</v>
      </c>
      <c r="EL13" s="105">
        <f t="shared" si="11"/>
        <v>0</v>
      </c>
      <c r="EM13" s="105">
        <f t="shared" si="11"/>
        <v>0</v>
      </c>
      <c r="EN13" s="105">
        <f t="shared" si="11"/>
        <v>0</v>
      </c>
      <c r="EO13" s="105">
        <f t="shared" si="11"/>
        <v>0</v>
      </c>
      <c r="EP13" s="105">
        <f t="shared" si="11"/>
        <v>0</v>
      </c>
      <c r="EQ13" s="105">
        <f t="shared" si="11"/>
        <v>0</v>
      </c>
      <c r="ER13" s="105">
        <f t="shared" si="11"/>
        <v>0</v>
      </c>
      <c r="ES13" s="105">
        <f t="shared" si="11"/>
        <v>0</v>
      </c>
      <c r="ET13" s="105">
        <f t="shared" si="11"/>
        <v>0</v>
      </c>
      <c r="EU13" s="105">
        <f t="shared" si="11"/>
        <v>0</v>
      </c>
    </row>
    <row r="14" spans="1:168" s="104" customFormat="1">
      <c r="A14" s="104" t="s">
        <v>795</v>
      </c>
      <c r="H14" s="60"/>
      <c r="I14" s="105">
        <f>I12</f>
        <v>0</v>
      </c>
      <c r="J14" s="105">
        <f t="shared" ref="J14:BU14" si="12">J12</f>
        <v>0</v>
      </c>
      <c r="K14" s="105">
        <f t="shared" si="12"/>
        <v>0</v>
      </c>
      <c r="L14" s="105">
        <f t="shared" si="12"/>
        <v>0</v>
      </c>
      <c r="M14" s="105">
        <f t="shared" si="12"/>
        <v>0</v>
      </c>
      <c r="N14" s="105">
        <f t="shared" si="12"/>
        <v>0</v>
      </c>
      <c r="O14" s="105">
        <f t="shared" si="12"/>
        <v>0</v>
      </c>
      <c r="P14" s="105">
        <f t="shared" si="12"/>
        <v>0</v>
      </c>
      <c r="Q14" s="105">
        <f t="shared" si="12"/>
        <v>0</v>
      </c>
      <c r="R14" s="105">
        <f t="shared" si="12"/>
        <v>0</v>
      </c>
      <c r="S14" s="105">
        <f t="shared" si="12"/>
        <v>0</v>
      </c>
      <c r="T14" s="105">
        <f t="shared" si="12"/>
        <v>0</v>
      </c>
      <c r="U14" s="105">
        <f t="shared" si="12"/>
        <v>0</v>
      </c>
      <c r="V14" s="105">
        <f t="shared" si="12"/>
        <v>0</v>
      </c>
      <c r="W14" s="105">
        <f t="shared" si="12"/>
        <v>0</v>
      </c>
      <c r="X14" s="105">
        <f t="shared" si="12"/>
        <v>0</v>
      </c>
      <c r="Y14" s="105">
        <f t="shared" si="12"/>
        <v>0</v>
      </c>
      <c r="Z14" s="105">
        <f t="shared" si="12"/>
        <v>0</v>
      </c>
      <c r="AA14" s="105">
        <f t="shared" si="12"/>
        <v>0</v>
      </c>
      <c r="AB14" s="105">
        <f t="shared" si="12"/>
        <v>0</v>
      </c>
      <c r="AC14" s="105">
        <f t="shared" si="12"/>
        <v>1.2785516714870051</v>
      </c>
      <c r="AD14" s="105">
        <f t="shared" si="12"/>
        <v>1.3123247345074167</v>
      </c>
      <c r="AE14" s="105">
        <f t="shared" si="12"/>
        <v>1.3123247345074167</v>
      </c>
      <c r="AF14" s="105">
        <f t="shared" si="12"/>
        <v>1.2713145865540598</v>
      </c>
      <c r="AG14" s="105">
        <f t="shared" si="12"/>
        <v>1.2713145865540598</v>
      </c>
      <c r="AH14" s="105">
        <f t="shared" si="12"/>
        <v>1.3107164934112063</v>
      </c>
      <c r="AI14" s="105">
        <f t="shared" si="12"/>
        <v>1.3460977975278281</v>
      </c>
      <c r="AJ14" s="105">
        <f t="shared" si="12"/>
        <v>1.3991697537027603</v>
      </c>
      <c r="AK14" s="105">
        <f t="shared" si="12"/>
        <v>1.3931388495919728</v>
      </c>
      <c r="AL14" s="105">
        <f t="shared" si="12"/>
        <v>1.3171494577960468</v>
      </c>
      <c r="AM14" s="105">
        <f t="shared" si="12"/>
        <v>1.2785516714870051</v>
      </c>
      <c r="AN14" s="105">
        <f t="shared" si="12"/>
        <v>1.2110055454461821</v>
      </c>
      <c r="AO14" s="105">
        <f t="shared" si="12"/>
        <v>1.1458717810496744</v>
      </c>
      <c r="AP14" s="105">
        <f t="shared" si="12"/>
        <v>1.133809972828099</v>
      </c>
      <c r="AQ14" s="105">
        <f t="shared" si="12"/>
        <v>1.1289852495394688</v>
      </c>
      <c r="AR14" s="105">
        <f t="shared" si="12"/>
        <v>1.0453567125365451</v>
      </c>
      <c r="AS14" s="105">
        <f t="shared" si="12"/>
        <v>1.0131918906123438</v>
      </c>
      <c r="AT14" s="105">
        <f t="shared" si="12"/>
        <v>1.1072739947406327</v>
      </c>
      <c r="AU14" s="105">
        <f t="shared" si="12"/>
        <v>1.2544280550438542</v>
      </c>
      <c r="AV14" s="105">
        <f t="shared" si="12"/>
        <v>1.2544280550438542</v>
      </c>
      <c r="AW14" s="105">
        <f t="shared" si="12"/>
        <v>1.2110055454461821</v>
      </c>
      <c r="AX14" s="105">
        <f t="shared" si="12"/>
        <v>1.1820572057144012</v>
      </c>
      <c r="AY14" s="105">
        <f t="shared" si="12"/>
        <v>1.1820572057144012</v>
      </c>
      <c r="AZ14" s="105">
        <f t="shared" si="12"/>
        <v>1.1820572057144012</v>
      </c>
      <c r="BA14" s="105">
        <f t="shared" si="12"/>
        <v>1.1820572057144012</v>
      </c>
      <c r="BB14" s="105">
        <f t="shared" si="12"/>
        <v>1.1820572057144012</v>
      </c>
      <c r="BC14" s="105">
        <f t="shared" si="12"/>
        <v>1.2061808221575521</v>
      </c>
      <c r="BD14" s="105">
        <f t="shared" si="12"/>
        <v>1.2061808221575521</v>
      </c>
      <c r="BE14" s="105">
        <f t="shared" si="12"/>
        <v>1.2303044386007029</v>
      </c>
      <c r="BF14" s="105">
        <f t="shared" si="12"/>
        <v>1.2303044386007029</v>
      </c>
      <c r="BG14" s="105">
        <f t="shared" si="12"/>
        <v>1.2303044386007029</v>
      </c>
      <c r="BH14" s="105">
        <f t="shared" si="12"/>
        <v>1.2303044386007029</v>
      </c>
      <c r="BI14" s="105">
        <f t="shared" si="12"/>
        <v>1.2303044386007029</v>
      </c>
      <c r="BJ14" s="105">
        <f t="shared" si="12"/>
        <v>1.2303044386007029</v>
      </c>
      <c r="BK14" s="105">
        <f t="shared" si="12"/>
        <v>1.2061808221575521</v>
      </c>
      <c r="BL14" s="105">
        <f t="shared" si="12"/>
        <v>1.2061808221575521</v>
      </c>
      <c r="BM14" s="105">
        <f t="shared" si="12"/>
        <v>1.2061808221575521</v>
      </c>
      <c r="BN14" s="105">
        <f t="shared" si="12"/>
        <v>1.2061808221575521</v>
      </c>
      <c r="BO14" s="105">
        <f t="shared" si="12"/>
        <v>1.2061808221575521</v>
      </c>
      <c r="BP14" s="105">
        <f t="shared" si="12"/>
        <v>1.1820572057144012</v>
      </c>
      <c r="BQ14" s="105">
        <f t="shared" si="12"/>
        <v>1.1579335892712499</v>
      </c>
      <c r="BR14" s="105">
        <f t="shared" si="12"/>
        <v>1.1579335892712499</v>
      </c>
      <c r="BS14" s="105">
        <f t="shared" si="12"/>
        <v>1.1579335892712499</v>
      </c>
      <c r="BT14" s="105">
        <f t="shared" si="12"/>
        <v>1.1579335892712499</v>
      </c>
      <c r="BU14" s="105">
        <f t="shared" si="12"/>
        <v>1.133809972828099</v>
      </c>
      <c r="BV14" s="105">
        <f t="shared" ref="BV14:CL14" si="13">BV12</f>
        <v>1.133809972828099</v>
      </c>
      <c r="BW14" s="105">
        <f t="shared" si="13"/>
        <v>1.133809972828099</v>
      </c>
      <c r="BX14" s="105">
        <f t="shared" si="13"/>
        <v>1.133809972828099</v>
      </c>
      <c r="BY14" s="105">
        <f t="shared" si="13"/>
        <v>1.133809972828099</v>
      </c>
      <c r="BZ14" s="105">
        <f t="shared" si="13"/>
        <v>1.133809972828099</v>
      </c>
      <c r="CA14" s="105">
        <f t="shared" si="13"/>
        <v>1.133809972828099</v>
      </c>
      <c r="CB14" s="105">
        <f t="shared" si="13"/>
        <v>1.133809972828099</v>
      </c>
      <c r="CC14" s="105">
        <f t="shared" si="13"/>
        <v>1.133809972828099</v>
      </c>
      <c r="CD14" s="105">
        <f t="shared" si="13"/>
        <v>1.133809972828099</v>
      </c>
      <c r="CE14" s="105">
        <f t="shared" si="13"/>
        <v>1.133809972828099</v>
      </c>
      <c r="CF14" s="105">
        <f t="shared" si="13"/>
        <v>1.133809972828099</v>
      </c>
      <c r="CG14" s="105">
        <f t="shared" si="13"/>
        <v>1.1579335892712499</v>
      </c>
      <c r="CH14" s="105">
        <f t="shared" si="13"/>
        <v>1.1579335892712499</v>
      </c>
      <c r="CI14" s="105">
        <f t="shared" si="13"/>
        <v>1.1579335892712499</v>
      </c>
      <c r="CJ14" s="105">
        <f t="shared" si="13"/>
        <v>1.1579335892712499</v>
      </c>
      <c r="CK14" s="105">
        <f t="shared" si="13"/>
        <v>1.1579335892712499</v>
      </c>
      <c r="CL14" s="105">
        <f t="shared" si="13"/>
        <v>1.2544280550438542</v>
      </c>
      <c r="CM14" s="105">
        <f t="shared" ref="CM14:CR14" si="14">CM12</f>
        <v>1.2544280550438542</v>
      </c>
      <c r="CN14" s="105">
        <f t="shared" si="14"/>
        <v>1.2544280550438542</v>
      </c>
      <c r="CO14" s="105">
        <f t="shared" si="14"/>
        <v>1.2544280550438542</v>
      </c>
      <c r="CP14" s="105">
        <f t="shared" si="14"/>
        <v>1.2544280550438542</v>
      </c>
      <c r="CQ14" s="105">
        <f t="shared" si="14"/>
        <v>1.2544280550438542</v>
      </c>
      <c r="CR14" s="105">
        <f t="shared" si="14"/>
        <v>1.2061808221575521</v>
      </c>
      <c r="CS14" s="105">
        <f t="shared" ref="CS14:EU14" si="15">CS12</f>
        <v>1.1579335892712499</v>
      </c>
      <c r="CT14" s="105">
        <f t="shared" si="15"/>
        <v>1.133809972828099</v>
      </c>
      <c r="CU14" s="105">
        <f t="shared" si="15"/>
        <v>1.133809972828099</v>
      </c>
      <c r="CV14" s="105">
        <f t="shared" si="15"/>
        <v>1.133809972828099</v>
      </c>
      <c r="CW14" s="105">
        <f t="shared" si="15"/>
        <v>1.0131918906123438</v>
      </c>
      <c r="CX14" s="105">
        <f t="shared" si="15"/>
        <v>1.0131918906123438</v>
      </c>
      <c r="CY14" s="105">
        <f t="shared" si="15"/>
        <v>1.0131918906123438</v>
      </c>
      <c r="CZ14" s="105">
        <f t="shared" si="15"/>
        <v>1.061439123498646</v>
      </c>
      <c r="DA14" s="105">
        <f t="shared" si="15"/>
        <v>1.061439123498646</v>
      </c>
      <c r="DB14" s="105">
        <f t="shared" si="15"/>
        <v>1.061439123498646</v>
      </c>
      <c r="DC14" s="105">
        <f t="shared" si="15"/>
        <v>1.0131918906123438</v>
      </c>
      <c r="DD14" s="105">
        <f t="shared" si="15"/>
        <v>1.0131918906123438</v>
      </c>
      <c r="DE14" s="105">
        <f t="shared" si="15"/>
        <v>1.0131918906123438</v>
      </c>
      <c r="DF14" s="105">
        <f t="shared" si="15"/>
        <v>1.0131918906123438</v>
      </c>
      <c r="DG14" s="105">
        <f t="shared" si="15"/>
        <v>1.0131918906123438</v>
      </c>
      <c r="DH14" s="105">
        <f t="shared" si="15"/>
        <v>1.0131918906123438</v>
      </c>
      <c r="DI14" s="105">
        <f t="shared" si="15"/>
        <v>1.0131918906123438</v>
      </c>
      <c r="DJ14" s="105">
        <f t="shared" si="15"/>
        <v>1.0131918906123438</v>
      </c>
      <c r="DK14" s="105">
        <f t="shared" si="15"/>
        <v>1.0131918906123438</v>
      </c>
      <c r="DL14" s="105">
        <f t="shared" si="15"/>
        <v>1.0131918906123438</v>
      </c>
      <c r="DM14" s="105">
        <f t="shared" si="15"/>
        <v>1.0131918906123438</v>
      </c>
      <c r="DN14" s="105">
        <f t="shared" si="15"/>
        <v>1.0131918906123438</v>
      </c>
      <c r="DO14" s="105">
        <f t="shared" si="15"/>
        <v>1.0131918906123438</v>
      </c>
      <c r="DP14" s="105">
        <f t="shared" si="15"/>
        <v>1.0131918906123438</v>
      </c>
      <c r="DQ14" s="105">
        <f t="shared" si="15"/>
        <v>1.0131918906123438</v>
      </c>
      <c r="DR14" s="105">
        <f t="shared" si="15"/>
        <v>0.96494465772604165</v>
      </c>
      <c r="DS14" s="105">
        <f t="shared" si="15"/>
        <v>0.96494465772604165</v>
      </c>
      <c r="DT14" s="105">
        <f t="shared" si="15"/>
        <v>0</v>
      </c>
      <c r="DU14" s="105">
        <f t="shared" si="15"/>
        <v>0</v>
      </c>
      <c r="DV14" s="105">
        <f t="shared" si="15"/>
        <v>0</v>
      </c>
      <c r="DW14" s="105">
        <f t="shared" si="15"/>
        <v>0</v>
      </c>
      <c r="DX14" s="105">
        <f t="shared" si="15"/>
        <v>0</v>
      </c>
      <c r="DY14" s="105">
        <f t="shared" si="15"/>
        <v>0</v>
      </c>
      <c r="DZ14" s="105">
        <f t="shared" si="15"/>
        <v>0</v>
      </c>
      <c r="EA14" s="105">
        <f t="shared" si="15"/>
        <v>0</v>
      </c>
      <c r="EB14" s="105">
        <f t="shared" si="15"/>
        <v>0</v>
      </c>
      <c r="EC14" s="105">
        <f t="shared" si="15"/>
        <v>0</v>
      </c>
      <c r="ED14" s="105">
        <f t="shared" si="15"/>
        <v>0</v>
      </c>
      <c r="EE14" s="105">
        <f t="shared" si="15"/>
        <v>0</v>
      </c>
      <c r="EF14" s="105">
        <f t="shared" si="15"/>
        <v>0</v>
      </c>
      <c r="EG14" s="105">
        <f t="shared" si="15"/>
        <v>0</v>
      </c>
      <c r="EH14" s="105">
        <f t="shared" si="15"/>
        <v>0</v>
      </c>
      <c r="EI14" s="105">
        <f t="shared" si="15"/>
        <v>0</v>
      </c>
      <c r="EJ14" s="105">
        <f t="shared" si="15"/>
        <v>0</v>
      </c>
      <c r="EK14" s="105">
        <f t="shared" si="15"/>
        <v>0</v>
      </c>
      <c r="EL14" s="105">
        <f t="shared" si="15"/>
        <v>0</v>
      </c>
      <c r="EM14" s="105">
        <f t="shared" si="15"/>
        <v>0</v>
      </c>
      <c r="EN14" s="105">
        <f t="shared" si="15"/>
        <v>0</v>
      </c>
      <c r="EO14" s="105">
        <f t="shared" si="15"/>
        <v>0</v>
      </c>
      <c r="EP14" s="105">
        <f t="shared" si="15"/>
        <v>0</v>
      </c>
      <c r="EQ14" s="105">
        <f t="shared" si="15"/>
        <v>0</v>
      </c>
      <c r="ER14" s="105">
        <f t="shared" si="15"/>
        <v>0</v>
      </c>
      <c r="ES14" s="105">
        <f t="shared" si="15"/>
        <v>0</v>
      </c>
      <c r="ET14" s="105">
        <f t="shared" si="15"/>
        <v>0</v>
      </c>
      <c r="EU14" s="105">
        <f t="shared" si="15"/>
        <v>0</v>
      </c>
    </row>
    <row r="15" spans="1:168">
      <c r="H15" s="60" t="s">
        <v>429</v>
      </c>
      <c r="I15" s="74">
        <f>289/70</f>
        <v>4.128571428571429</v>
      </c>
      <c r="J15" s="74"/>
      <c r="K15" s="74"/>
      <c r="L15" s="74"/>
      <c r="M15" s="74"/>
      <c r="N15" s="74"/>
      <c r="O15" s="74"/>
      <c r="P15" s="74"/>
      <c r="Q15" s="74"/>
      <c r="R15" s="74"/>
      <c r="S15" s="74"/>
      <c r="T15" s="74"/>
      <c r="U15" s="74"/>
      <c r="V15" s="74"/>
      <c r="W15" s="74"/>
      <c r="X15" s="74"/>
      <c r="Y15" s="74"/>
      <c r="Z15" s="74"/>
      <c r="AA15" s="74"/>
      <c r="AB15" s="74"/>
      <c r="AC15" s="74"/>
      <c r="AD15" s="74">
        <f>347/74</f>
        <v>4.6891891891891895</v>
      </c>
      <c r="AE15" s="74"/>
      <c r="AF15" s="74">
        <f>395/74</f>
        <v>5.3378378378378377</v>
      </c>
      <c r="AG15" s="74">
        <f>395/82.5</f>
        <v>4.7878787878787881</v>
      </c>
      <c r="AH15" s="74"/>
      <c r="AI15" s="74">
        <f>407/82.5</f>
        <v>4.9333333333333336</v>
      </c>
      <c r="AJ15" s="74"/>
      <c r="AK15" s="74"/>
      <c r="AL15" s="74"/>
      <c r="AM15" s="74">
        <f>398/82.5</f>
        <v>4.8242424242424242</v>
      </c>
      <c r="AN15" s="74"/>
      <c r="AO15" s="74"/>
      <c r="AP15" s="74"/>
      <c r="AQ15" s="74"/>
      <c r="AR15" s="74">
        <f>350/82.5</f>
        <v>4.2424242424242422</v>
      </c>
      <c r="AS15" s="74"/>
      <c r="AT15" s="74"/>
      <c r="AU15" s="74">
        <f>355/83.5</f>
        <v>4.2514970059880239</v>
      </c>
      <c r="AV15" s="74">
        <f>350/83.5</f>
        <v>4.1916167664670656</v>
      </c>
      <c r="AW15" s="74"/>
      <c r="AX15" s="74"/>
      <c r="AY15" s="74">
        <f>368/83.5</f>
        <v>4.4071856287425151</v>
      </c>
      <c r="AZ15" s="74"/>
      <c r="BA15" s="74"/>
      <c r="BB15" s="74"/>
      <c r="BC15" s="74"/>
      <c r="BD15" s="74"/>
      <c r="BE15" s="74"/>
      <c r="BF15" s="74"/>
      <c r="BG15" s="74"/>
      <c r="BH15" s="74"/>
      <c r="BI15" s="74"/>
      <c r="BJ15" s="74"/>
      <c r="BK15" s="74"/>
      <c r="BL15" s="74"/>
      <c r="BM15" s="74"/>
      <c r="BN15" s="74"/>
      <c r="BO15" s="74"/>
      <c r="BP15" s="74"/>
      <c r="BQ15" s="74"/>
      <c r="BR15" s="74"/>
      <c r="BS15" s="74"/>
      <c r="BT15" s="74"/>
      <c r="BU15" s="74"/>
      <c r="BV15" s="74"/>
      <c r="BW15" s="74"/>
      <c r="BX15" s="74"/>
      <c r="BY15" s="74"/>
      <c r="BZ15" s="74"/>
      <c r="CA15" s="74">
        <f>368/83.5</f>
        <v>4.4071856287425151</v>
      </c>
      <c r="CB15" s="74"/>
      <c r="CC15" s="74"/>
      <c r="CD15" s="74"/>
      <c r="CE15" s="74">
        <v>3.97</v>
      </c>
      <c r="CF15" s="74"/>
      <c r="CG15" s="74"/>
      <c r="CH15" s="74"/>
      <c r="CI15" s="74"/>
      <c r="CJ15" s="74"/>
      <c r="CK15" s="74"/>
      <c r="CL15" s="74"/>
      <c r="CM15" s="74"/>
      <c r="CN15" s="74"/>
      <c r="CO15" s="74"/>
      <c r="CP15" s="74"/>
      <c r="CQ15" s="74"/>
      <c r="CR15" s="74"/>
      <c r="CS15" s="74"/>
      <c r="CT15" s="74"/>
      <c r="CU15" s="74"/>
      <c r="CV15" s="74"/>
      <c r="CW15" s="74"/>
      <c r="CX15" s="74"/>
      <c r="CY15" s="74"/>
      <c r="CZ15" s="74"/>
      <c r="DA15" s="74"/>
      <c r="DB15" s="74"/>
      <c r="DC15" s="74"/>
      <c r="DD15" s="74"/>
      <c r="DE15" s="74"/>
      <c r="DF15" s="74"/>
      <c r="DG15" s="74"/>
      <c r="DH15" s="74"/>
      <c r="DI15" s="74"/>
      <c r="DJ15" s="74"/>
      <c r="DK15" s="74"/>
      <c r="DL15" s="74"/>
      <c r="DM15" s="74"/>
      <c r="DN15" s="74"/>
      <c r="DO15" s="74"/>
      <c r="DP15" s="74"/>
      <c r="DQ15" s="74"/>
      <c r="DR15" s="74"/>
      <c r="DS15" s="74"/>
      <c r="DT15" s="74"/>
      <c r="DU15" s="74"/>
      <c r="DV15" s="74"/>
      <c r="DW15" s="74"/>
      <c r="DX15" s="74"/>
      <c r="DY15" s="74"/>
      <c r="DZ15" s="74"/>
      <c r="EA15" s="74"/>
      <c r="EB15" s="74"/>
      <c r="EC15" s="74"/>
      <c r="ED15" s="74"/>
      <c r="EE15" s="74"/>
      <c r="EF15" s="74"/>
      <c r="EG15" s="74"/>
      <c r="EH15" s="74"/>
      <c r="EI15" s="74"/>
      <c r="EJ15" s="74"/>
      <c r="EK15" s="74"/>
      <c r="EL15" s="74"/>
      <c r="EM15" s="74"/>
      <c r="EN15" s="74"/>
      <c r="EO15" s="74"/>
      <c r="EP15" s="74"/>
      <c r="EQ15" s="74"/>
      <c r="ER15" s="74"/>
      <c r="ES15" s="74"/>
      <c r="ET15" s="74"/>
      <c r="EU15" s="74"/>
    </row>
    <row r="16" spans="1:168">
      <c r="H16" s="60" t="s">
        <v>406</v>
      </c>
      <c r="I16" s="74">
        <f>I15-I13</f>
        <v>4.128571428571429</v>
      </c>
      <c r="J16" s="108"/>
      <c r="K16" s="74"/>
      <c r="L16" s="74"/>
      <c r="M16" s="74"/>
      <c r="N16" s="74"/>
      <c r="O16" s="74"/>
      <c r="P16" s="74"/>
      <c r="Q16" s="74"/>
      <c r="R16" s="74"/>
      <c r="S16" s="74"/>
      <c r="T16" s="74"/>
      <c r="U16" s="74"/>
      <c r="V16" s="74"/>
      <c r="W16" s="74"/>
      <c r="X16" s="74"/>
      <c r="Y16" s="74"/>
      <c r="Z16" s="74"/>
      <c r="AA16" s="74"/>
      <c r="AB16" s="74"/>
      <c r="AC16" s="74"/>
      <c r="AD16" s="74">
        <f>AD15-AD13</f>
        <v>3.7772991703191905</v>
      </c>
      <c r="AE16" s="74"/>
      <c r="AF16" s="74">
        <f>AF15-AF13</f>
        <v>4.4303067578725708</v>
      </c>
      <c r="AG16" s="74">
        <f>AG15-AG13</f>
        <v>3.8986552513133974</v>
      </c>
      <c r="AH16" s="74"/>
      <c r="AI16" s="74">
        <f>AI15-AI13</f>
        <v>3.995289681034941</v>
      </c>
      <c r="AJ16" s="74"/>
      <c r="AK16" s="74"/>
      <c r="AL16" s="74"/>
      <c r="AM16" s="74">
        <f>AM15-AM13</f>
        <v>3.9646596722292129</v>
      </c>
      <c r="AN16" s="74"/>
      <c r="AO16" s="74"/>
      <c r="AP16" s="74"/>
      <c r="AQ16" s="74"/>
      <c r="AR16" s="74">
        <f>AR15-AR13</f>
        <v>3.517096808676786</v>
      </c>
      <c r="AS16" s="74"/>
      <c r="AT16" s="74"/>
      <c r="AU16" s="74">
        <f>AU15-AU13</f>
        <v>3.3936578295367057</v>
      </c>
      <c r="AV16" s="74">
        <f>AV15-AV13</f>
        <v>3.319828985520604</v>
      </c>
      <c r="AW16" s="74"/>
      <c r="AX16" s="74"/>
      <c r="AY16" s="74">
        <f>AY15-AY13</f>
        <v>3.5877051146528411</v>
      </c>
      <c r="AZ16" s="74"/>
      <c r="BA16" s="74"/>
      <c r="BB16" s="74"/>
      <c r="BC16" s="74"/>
      <c r="BD16" s="74"/>
      <c r="BE16" s="74"/>
      <c r="BF16" s="74"/>
      <c r="BG16" s="74"/>
      <c r="BH16" s="74"/>
      <c r="BI16" s="74"/>
      <c r="BJ16" s="74"/>
      <c r="BK16" s="74"/>
      <c r="BL16" s="74"/>
      <c r="BM16" s="74"/>
      <c r="BN16" s="74"/>
      <c r="BO16" s="74"/>
      <c r="BP16" s="74"/>
      <c r="BQ16" s="74"/>
      <c r="BR16" s="74"/>
      <c r="BS16" s="74"/>
      <c r="BT16" s="74"/>
      <c r="BU16" s="74"/>
      <c r="BV16" s="74"/>
      <c r="BW16" s="74"/>
      <c r="BX16" s="74"/>
      <c r="BY16" s="74"/>
      <c r="BZ16" s="74"/>
      <c r="CA16" s="74">
        <f>CA15-CA13</f>
        <v>3.6225766258906997</v>
      </c>
      <c r="CB16" s="74"/>
      <c r="CC16" s="74"/>
      <c r="CD16" s="74"/>
      <c r="CE16" s="74">
        <f>CE15-CE13</f>
        <v>3.2376982640049725</v>
      </c>
      <c r="CF16" s="74"/>
      <c r="CG16" s="74"/>
      <c r="CH16" s="74"/>
      <c r="CI16" s="74"/>
      <c r="CJ16" s="74"/>
      <c r="CK16" s="74"/>
      <c r="CL16" s="74"/>
      <c r="CM16" s="74"/>
      <c r="CN16" s="74"/>
      <c r="CO16" s="74"/>
      <c r="CP16" s="74"/>
      <c r="CQ16" s="74"/>
      <c r="CR16" s="74"/>
      <c r="CS16" s="74"/>
      <c r="CT16" s="74"/>
      <c r="CU16" s="74"/>
      <c r="CV16" s="74"/>
      <c r="CW16" s="74"/>
      <c r="CX16" s="74"/>
      <c r="CY16" s="74"/>
      <c r="CZ16" s="74"/>
      <c r="DA16" s="74"/>
      <c r="DB16" s="74"/>
      <c r="DC16" s="74"/>
      <c r="DD16" s="74"/>
      <c r="DE16" s="74"/>
      <c r="DF16" s="74"/>
      <c r="DG16" s="74"/>
      <c r="DH16" s="74"/>
      <c r="DI16" s="74"/>
      <c r="DJ16" s="74"/>
      <c r="DK16" s="74"/>
      <c r="DL16" s="74"/>
      <c r="DM16" s="74"/>
      <c r="DN16" s="74"/>
      <c r="DO16" s="74"/>
      <c r="DP16" s="74"/>
      <c r="DQ16" s="74"/>
      <c r="DR16" s="74"/>
      <c r="DS16" s="74"/>
      <c r="DT16" s="74"/>
      <c r="DU16" s="74"/>
      <c r="DV16" s="74"/>
      <c r="DW16" s="74"/>
      <c r="DX16" s="74"/>
      <c r="DY16" s="74"/>
      <c r="DZ16" s="74"/>
      <c r="EA16" s="74"/>
      <c r="EB16" s="74"/>
      <c r="EC16" s="74"/>
      <c r="ED16" s="74"/>
      <c r="EE16" s="74"/>
      <c r="EF16" s="74"/>
      <c r="EG16" s="74"/>
      <c r="EH16" s="74"/>
      <c r="EI16" s="74"/>
      <c r="EJ16" s="74"/>
      <c r="EK16" s="74"/>
      <c r="EL16" s="74"/>
      <c r="EM16" s="74"/>
      <c r="EN16" s="74"/>
      <c r="EO16" s="74"/>
      <c r="EP16" s="74"/>
      <c r="EQ16" s="74"/>
      <c r="ER16" s="74"/>
      <c r="ES16" s="74"/>
      <c r="ET16" s="74"/>
      <c r="EU16" s="74"/>
    </row>
    <row r="17" spans="8:152">
      <c r="I17" s="65">
        <f>I16-I14</f>
        <v>4.128571428571429</v>
      </c>
      <c r="AD17" s="65">
        <f>AD15-AD14</f>
        <v>3.3768644546817725</v>
      </c>
      <c r="AF17" s="65">
        <f>AF15-AF14</f>
        <v>4.0665232512837779</v>
      </c>
      <c r="AG17" s="65">
        <f>AG15-AG14</f>
        <v>3.5165642013247282</v>
      </c>
      <c r="AI17" s="65">
        <f>AI15-AI14</f>
        <v>3.5872355358055055</v>
      </c>
      <c r="AM17" s="65">
        <f>AM15-AM14</f>
        <v>3.5456907527554193</v>
      </c>
      <c r="AR17" s="65">
        <f>AR15-AR14</f>
        <v>3.1970675298876969</v>
      </c>
      <c r="AU17" s="65">
        <f>AU15-AU14</f>
        <v>2.9970689509441697</v>
      </c>
      <c r="AV17" s="65">
        <f>AV15-AV14</f>
        <v>2.9371887114232114</v>
      </c>
      <c r="AY17" s="65">
        <f>AY15-AY14</f>
        <v>3.2251284230281136</v>
      </c>
      <c r="CA17" s="65">
        <f>CA15-CA14</f>
        <v>3.2733756559144158</v>
      </c>
      <c r="CE17" s="65">
        <f>CE15-CE14</f>
        <v>2.8361900271719014</v>
      </c>
    </row>
    <row r="18" spans="8:152" ht="13" thickBot="1"/>
    <row r="19" spans="8:152" s="73" customFormat="1" ht="13" thickBot="1">
      <c r="H19" s="257" t="s">
        <v>796</v>
      </c>
      <c r="I19" s="258">
        <f>0+I13</f>
        <v>0</v>
      </c>
      <c r="J19" s="258">
        <f t="shared" ref="J19:AB19" si="16">0+J13</f>
        <v>0</v>
      </c>
      <c r="K19" s="258">
        <f t="shared" si="16"/>
        <v>0</v>
      </c>
      <c r="L19" s="258">
        <f t="shared" si="16"/>
        <v>0</v>
      </c>
      <c r="M19" s="258">
        <f t="shared" si="16"/>
        <v>0</v>
      </c>
      <c r="N19" s="258">
        <f t="shared" si="16"/>
        <v>0</v>
      </c>
      <c r="O19" s="258">
        <f t="shared" si="16"/>
        <v>0</v>
      </c>
      <c r="P19" s="258">
        <f t="shared" si="16"/>
        <v>0</v>
      </c>
      <c r="Q19" s="258">
        <f t="shared" si="16"/>
        <v>0</v>
      </c>
      <c r="R19" s="258">
        <f t="shared" si="16"/>
        <v>0</v>
      </c>
      <c r="S19" s="258">
        <f t="shared" si="16"/>
        <v>0</v>
      </c>
      <c r="T19" s="258">
        <f t="shared" si="16"/>
        <v>0</v>
      </c>
      <c r="U19" s="258">
        <f t="shared" si="16"/>
        <v>0</v>
      </c>
      <c r="V19" s="258">
        <f t="shared" si="16"/>
        <v>0</v>
      </c>
      <c r="W19" s="258">
        <f t="shared" si="16"/>
        <v>0</v>
      </c>
      <c r="X19" s="258">
        <f t="shared" si="16"/>
        <v>0</v>
      </c>
      <c r="Y19" s="258">
        <f t="shared" si="16"/>
        <v>0</v>
      </c>
      <c r="Z19" s="258">
        <f t="shared" si="16"/>
        <v>0</v>
      </c>
      <c r="AA19" s="258">
        <f t="shared" si="16"/>
        <v>0</v>
      </c>
      <c r="AB19" s="258">
        <f t="shared" si="16"/>
        <v>0.87265956872740813</v>
      </c>
      <c r="AC19" s="258">
        <f>3.24+AC13</f>
        <v>4.097839176451318</v>
      </c>
      <c r="AD19" s="258">
        <f>3.24+AD13</f>
        <v>4.1518900188699988</v>
      </c>
      <c r="AE19" s="258">
        <f t="shared" ref="AE19:CD19" si="17">3.24+AE13</f>
        <v>4.1640950478032499</v>
      </c>
      <c r="AF19" s="258">
        <f t="shared" si="17"/>
        <v>4.1475310799652672</v>
      </c>
      <c r="AG19" s="258">
        <f t="shared" si="17"/>
        <v>4.1292235365653909</v>
      </c>
      <c r="AH19" s="258">
        <f t="shared" si="17"/>
        <v>4.1408476061214188</v>
      </c>
      <c r="AI19" s="258">
        <f t="shared" si="17"/>
        <v>4.1780436522983928</v>
      </c>
      <c r="AJ19" s="258">
        <f t="shared" si="17"/>
        <v>4.198966559041108</v>
      </c>
      <c r="AK19" s="258">
        <f t="shared" si="17"/>
        <v>4.2251201924695021</v>
      </c>
      <c r="AL19" s="258">
        <f t="shared" si="17"/>
        <v>4.1522387339823776</v>
      </c>
      <c r="AM19" s="258">
        <f t="shared" si="17"/>
        <v>4.0995827520132115</v>
      </c>
      <c r="AN19" s="258">
        <f t="shared" si="17"/>
        <v>4.0483216304935592</v>
      </c>
      <c r="AO19" s="258">
        <f t="shared" si="17"/>
        <v>3.9940964305186895</v>
      </c>
      <c r="AP19" s="258">
        <f t="shared" si="17"/>
        <v>3.9714299482140816</v>
      </c>
      <c r="AQ19" s="258">
        <f t="shared" si="17"/>
        <v>3.9653274337474564</v>
      </c>
      <c r="AR19" s="258">
        <f t="shared" si="17"/>
        <v>3.9653274337474564</v>
      </c>
      <c r="AS19" s="258">
        <f t="shared" si="17"/>
        <v>3.9653274337474564</v>
      </c>
      <c r="AT19" s="258">
        <f t="shared" si="17"/>
        <v>4.0185064883851904</v>
      </c>
      <c r="AU19" s="258">
        <f t="shared" si="17"/>
        <v>4.097839176451318</v>
      </c>
      <c r="AV19" s="258">
        <f t="shared" si="17"/>
        <v>4.1117877809464618</v>
      </c>
      <c r="AW19" s="258">
        <f t="shared" si="17"/>
        <v>4.0734291185848175</v>
      </c>
      <c r="AX19" s="258">
        <f t="shared" si="17"/>
        <v>4.0594805140896746</v>
      </c>
      <c r="AY19" s="258">
        <f t="shared" si="17"/>
        <v>4.0594805140896746</v>
      </c>
      <c r="AZ19" s="258">
        <f>3.24+AZ13</f>
        <v>4.0594805140896746</v>
      </c>
      <c r="BA19" s="258">
        <f t="shared" si="17"/>
        <v>4.0246090028518156</v>
      </c>
      <c r="BB19" s="258">
        <f t="shared" si="17"/>
        <v>4.0246090028518156</v>
      </c>
      <c r="BC19" s="258">
        <f t="shared" si="17"/>
        <v>3.9374302247571693</v>
      </c>
      <c r="BD19" s="258">
        <f t="shared" si="17"/>
        <v>3.9374302247571693</v>
      </c>
      <c r="BE19" s="258">
        <f t="shared" si="17"/>
        <v>3.9374302247571693</v>
      </c>
      <c r="BF19" s="258">
        <f t="shared" si="17"/>
        <v>3.9374302247571693</v>
      </c>
      <c r="BG19" s="258">
        <f t="shared" si="17"/>
        <v>3.9548659803760988</v>
      </c>
      <c r="BH19" s="258">
        <f t="shared" si="17"/>
        <v>3.9548659803760988</v>
      </c>
      <c r="BI19" s="258">
        <f t="shared" si="17"/>
        <v>4.0943520253275327</v>
      </c>
      <c r="BJ19" s="258">
        <f t="shared" si="17"/>
        <v>4.0943520253275327</v>
      </c>
      <c r="BK19" s="258">
        <f t="shared" si="17"/>
        <v>4.0769162697086037</v>
      </c>
      <c r="BL19" s="258">
        <f t="shared" si="17"/>
        <v>4.0769162697086037</v>
      </c>
      <c r="BM19" s="258">
        <f t="shared" si="17"/>
        <v>4.0769162697086037</v>
      </c>
      <c r="BN19" s="258">
        <f t="shared" si="17"/>
        <v>4.0769162697086037</v>
      </c>
      <c r="BO19" s="258">
        <f t="shared" si="17"/>
        <v>4.0769162697086037</v>
      </c>
      <c r="BP19" s="258">
        <f t="shared" si="17"/>
        <v>4.0420447584707446</v>
      </c>
      <c r="BQ19" s="258">
        <f t="shared" si="17"/>
        <v>4.0420447584707446</v>
      </c>
      <c r="BR19" s="258">
        <f t="shared" si="17"/>
        <v>4.0246090028518156</v>
      </c>
      <c r="BS19" s="258">
        <f t="shared" si="17"/>
        <v>4.0246090028518156</v>
      </c>
      <c r="BT19" s="258">
        <f t="shared" si="17"/>
        <v>4.0246090028518156</v>
      </c>
      <c r="BU19" s="258">
        <f t="shared" si="17"/>
        <v>4.0246090028518156</v>
      </c>
      <c r="BV19" s="258">
        <f t="shared" si="17"/>
        <v>4.0246090028518156</v>
      </c>
      <c r="BW19" s="258">
        <f t="shared" si="17"/>
        <v>4.0246090028518156</v>
      </c>
      <c r="BX19" s="258">
        <f t="shared" si="17"/>
        <v>4.0246090028518156</v>
      </c>
      <c r="BY19" s="258">
        <f t="shared" si="17"/>
        <v>4.0246090028518156</v>
      </c>
      <c r="BZ19" s="258">
        <f t="shared" si="17"/>
        <v>4.0246090028518156</v>
      </c>
      <c r="CA19" s="258">
        <f t="shared" si="17"/>
        <v>4.0246090028518156</v>
      </c>
      <c r="CB19" s="258">
        <f t="shared" si="17"/>
        <v>4.0246090028518156</v>
      </c>
      <c r="CC19" s="258">
        <f t="shared" si="17"/>
        <v>4.0246090028518156</v>
      </c>
      <c r="CD19" s="258">
        <f t="shared" si="17"/>
        <v>3.9723017359950279</v>
      </c>
      <c r="CE19" s="258">
        <f>3.24+CE13</f>
        <v>3.9723017359950279</v>
      </c>
      <c r="CF19" s="258">
        <f t="shared" ref="CF19:EQ19" si="18">3.24+CF13</f>
        <v>3.9723017359950279</v>
      </c>
      <c r="CG19" s="258">
        <f t="shared" si="18"/>
        <v>3.9723017359950279</v>
      </c>
      <c r="CH19" s="258">
        <f t="shared" si="18"/>
        <v>4.0071732472328865</v>
      </c>
      <c r="CI19" s="258">
        <f t="shared" si="18"/>
        <v>4.0071732472328865</v>
      </c>
      <c r="CJ19" s="258">
        <f t="shared" si="18"/>
        <v>4.0071732472328865</v>
      </c>
      <c r="CK19" s="258">
        <f t="shared" si="18"/>
        <v>4.0420447584707446</v>
      </c>
      <c r="CL19" s="258">
        <f t="shared" si="18"/>
        <v>4.0420447584707446</v>
      </c>
      <c r="CM19" s="258">
        <f t="shared" si="18"/>
        <v>4.0420447584707446</v>
      </c>
      <c r="CN19" s="258">
        <f t="shared" si="18"/>
        <v>4.0420447584707446</v>
      </c>
      <c r="CO19" s="258">
        <f t="shared" si="18"/>
        <v>4.0420447584707446</v>
      </c>
      <c r="CP19" s="258">
        <f t="shared" si="18"/>
        <v>4.0420447584707446</v>
      </c>
      <c r="CQ19" s="258">
        <f t="shared" si="18"/>
        <v>4.0420447584707446</v>
      </c>
      <c r="CR19" s="258">
        <f t="shared" si="18"/>
        <v>4.0420447584707446</v>
      </c>
      <c r="CS19" s="258">
        <f t="shared" si="18"/>
        <v>4.0071732472328865</v>
      </c>
      <c r="CT19" s="258">
        <f t="shared" si="18"/>
        <v>3.9897374916139574</v>
      </c>
      <c r="CU19" s="258">
        <f t="shared" si="18"/>
        <v>3.9897374916139574</v>
      </c>
      <c r="CV19" s="258">
        <f t="shared" si="18"/>
        <v>3.9897374916139574</v>
      </c>
      <c r="CW19" s="258">
        <f t="shared" si="18"/>
        <v>3.8676872022814526</v>
      </c>
      <c r="CX19" s="258">
        <f t="shared" si="18"/>
        <v>3.8676872022814526</v>
      </c>
      <c r="CY19" s="258">
        <f t="shared" si="18"/>
        <v>3.8676872022814526</v>
      </c>
      <c r="CZ19" s="258">
        <f t="shared" si="18"/>
        <v>3.8676872022814526</v>
      </c>
      <c r="DA19" s="258">
        <f t="shared" si="18"/>
        <v>3.8676872022814526</v>
      </c>
      <c r="DB19" s="258">
        <f t="shared" si="18"/>
        <v>3.832815691043594</v>
      </c>
      <c r="DC19" s="258">
        <f t="shared" si="18"/>
        <v>3.832815691043594</v>
      </c>
      <c r="DD19" s="258">
        <f t="shared" si="18"/>
        <v>3.832815691043594</v>
      </c>
      <c r="DE19" s="258">
        <f t="shared" si="18"/>
        <v>3.832815691043594</v>
      </c>
      <c r="DF19" s="258">
        <f t="shared" si="18"/>
        <v>3.832815691043594</v>
      </c>
      <c r="DG19" s="258">
        <f t="shared" si="18"/>
        <v>3.832815691043594</v>
      </c>
      <c r="DH19" s="258">
        <f t="shared" si="18"/>
        <v>3.832815691043594</v>
      </c>
      <c r="DI19" s="258">
        <f t="shared" si="18"/>
        <v>3.832815691043594</v>
      </c>
      <c r="DJ19" s="258">
        <f t="shared" si="18"/>
        <v>3.832815691043594</v>
      </c>
      <c r="DK19" s="258">
        <f t="shared" si="18"/>
        <v>3.832815691043594</v>
      </c>
      <c r="DL19" s="258">
        <f t="shared" si="18"/>
        <v>3.7979441798057358</v>
      </c>
      <c r="DM19" s="258">
        <f t="shared" si="18"/>
        <v>3.7979441798057358</v>
      </c>
      <c r="DN19" s="258">
        <f t="shared" si="18"/>
        <v>3.7979441798057358</v>
      </c>
      <c r="DO19" s="258">
        <f t="shared" si="18"/>
        <v>3.7979441798057358</v>
      </c>
      <c r="DP19" s="258">
        <f t="shared" si="18"/>
        <v>3.7979441798057358</v>
      </c>
      <c r="DQ19" s="258">
        <f t="shared" si="18"/>
        <v>3.7979441798057358</v>
      </c>
      <c r="DR19" s="258">
        <f t="shared" si="18"/>
        <v>3.7107654017110896</v>
      </c>
      <c r="DS19" s="258">
        <f t="shared" si="18"/>
        <v>3.7107654017110896</v>
      </c>
      <c r="DT19" s="258">
        <f t="shared" si="18"/>
        <v>3.24</v>
      </c>
      <c r="DU19" s="258">
        <f t="shared" si="18"/>
        <v>3.24</v>
      </c>
      <c r="DV19" s="258">
        <f t="shared" si="18"/>
        <v>3.24</v>
      </c>
      <c r="DW19" s="258">
        <f t="shared" si="18"/>
        <v>3.24</v>
      </c>
      <c r="DX19" s="258">
        <f t="shared" si="18"/>
        <v>3.24</v>
      </c>
      <c r="DY19" s="258">
        <f t="shared" si="18"/>
        <v>3.24</v>
      </c>
      <c r="DZ19" s="258">
        <f t="shared" si="18"/>
        <v>3.24</v>
      </c>
      <c r="EA19" s="258">
        <f t="shared" si="18"/>
        <v>3.24</v>
      </c>
      <c r="EB19" s="258">
        <f t="shared" si="18"/>
        <v>3.24</v>
      </c>
      <c r="EC19" s="258">
        <f t="shared" si="18"/>
        <v>3.24</v>
      </c>
      <c r="ED19" s="258">
        <f t="shared" si="18"/>
        <v>3.24</v>
      </c>
      <c r="EE19" s="258">
        <f t="shared" si="18"/>
        <v>3.24</v>
      </c>
      <c r="EF19" s="258">
        <f t="shared" si="18"/>
        <v>3.24</v>
      </c>
      <c r="EG19" s="258">
        <f t="shared" si="18"/>
        <v>3.24</v>
      </c>
      <c r="EH19" s="258">
        <f t="shared" si="18"/>
        <v>3.24</v>
      </c>
      <c r="EI19" s="258">
        <f t="shared" si="18"/>
        <v>3.24</v>
      </c>
      <c r="EJ19" s="258">
        <f t="shared" si="18"/>
        <v>3.24</v>
      </c>
      <c r="EK19" s="258">
        <f t="shared" si="18"/>
        <v>3.24</v>
      </c>
      <c r="EL19" s="258">
        <f t="shared" si="18"/>
        <v>3.24</v>
      </c>
      <c r="EM19" s="258">
        <f t="shared" si="18"/>
        <v>3.24</v>
      </c>
      <c r="EN19" s="258">
        <f t="shared" si="18"/>
        <v>3.24</v>
      </c>
      <c r="EO19" s="258">
        <f t="shared" si="18"/>
        <v>3.24</v>
      </c>
      <c r="EP19" s="258">
        <f t="shared" si="18"/>
        <v>3.24</v>
      </c>
      <c r="EQ19" s="258">
        <f t="shared" si="18"/>
        <v>3.24</v>
      </c>
      <c r="ER19" s="258">
        <f>3.24+ER13</f>
        <v>3.24</v>
      </c>
      <c r="ES19" s="258">
        <f>3.24+ES13</f>
        <v>3.24</v>
      </c>
      <c r="ET19" s="258">
        <f>3.24+ET13</f>
        <v>3.24</v>
      </c>
      <c r="EU19" s="258">
        <f>3.24+EU13</f>
        <v>3.24</v>
      </c>
      <c r="EV19" s="258">
        <f>3.24+EV13</f>
        <v>3.24</v>
      </c>
    </row>
    <row r="20" spans="8:152" ht="13" thickBot="1">
      <c r="H20" s="257" t="s">
        <v>797</v>
      </c>
      <c r="I20" s="258">
        <f t="shared" ref="I20:AB20" si="19">I14+0</f>
        <v>0</v>
      </c>
      <c r="J20" s="258">
        <f t="shared" si="19"/>
        <v>0</v>
      </c>
      <c r="K20" s="258">
        <f t="shared" si="19"/>
        <v>0</v>
      </c>
      <c r="L20" s="258">
        <f t="shared" si="19"/>
        <v>0</v>
      </c>
      <c r="M20" s="258">
        <f t="shared" si="19"/>
        <v>0</v>
      </c>
      <c r="N20" s="258">
        <f t="shared" si="19"/>
        <v>0</v>
      </c>
      <c r="O20" s="258">
        <f t="shared" si="19"/>
        <v>0</v>
      </c>
      <c r="P20" s="258">
        <f t="shared" si="19"/>
        <v>0</v>
      </c>
      <c r="Q20" s="258">
        <f t="shared" si="19"/>
        <v>0</v>
      </c>
      <c r="R20" s="258">
        <f t="shared" si="19"/>
        <v>0</v>
      </c>
      <c r="S20" s="258">
        <f t="shared" si="19"/>
        <v>0</v>
      </c>
      <c r="T20" s="258">
        <f t="shared" si="19"/>
        <v>0</v>
      </c>
      <c r="U20" s="258">
        <f t="shared" si="19"/>
        <v>0</v>
      </c>
      <c r="V20" s="258">
        <f t="shared" si="19"/>
        <v>0</v>
      </c>
      <c r="W20" s="258">
        <f t="shared" si="19"/>
        <v>0</v>
      </c>
      <c r="X20" s="258">
        <f t="shared" si="19"/>
        <v>0</v>
      </c>
      <c r="Y20" s="258">
        <f t="shared" si="19"/>
        <v>0</v>
      </c>
      <c r="Z20" s="258">
        <f t="shared" si="19"/>
        <v>0</v>
      </c>
      <c r="AA20" s="258">
        <f t="shared" si="19"/>
        <v>0</v>
      </c>
      <c r="AB20" s="258">
        <f t="shared" si="19"/>
        <v>0</v>
      </c>
      <c r="AC20" s="258">
        <f>AC14+2.84</f>
        <v>4.1185516714870047</v>
      </c>
      <c r="AD20" s="258">
        <f>AD14+2.84</f>
        <v>4.1523247345074168</v>
      </c>
      <c r="AE20" s="258">
        <f t="shared" ref="AE20:CD20" si="20">AE14+2.84</f>
        <v>4.1523247345074168</v>
      </c>
      <c r="AF20" s="258">
        <f t="shared" si="20"/>
        <v>4.1113145865540597</v>
      </c>
      <c r="AG20" s="258">
        <f t="shared" si="20"/>
        <v>4.1113145865540597</v>
      </c>
      <c r="AH20" s="258">
        <f t="shared" si="20"/>
        <v>4.1507164934112062</v>
      </c>
      <c r="AI20" s="258">
        <f t="shared" si="20"/>
        <v>4.186097797527828</v>
      </c>
      <c r="AJ20" s="258">
        <f t="shared" si="20"/>
        <v>4.2391697537027602</v>
      </c>
      <c r="AK20" s="258">
        <f t="shared" si="20"/>
        <v>4.2331388495919722</v>
      </c>
      <c r="AL20" s="258">
        <f t="shared" si="20"/>
        <v>4.1571494577960468</v>
      </c>
      <c r="AM20" s="258">
        <f t="shared" si="20"/>
        <v>4.1185516714870047</v>
      </c>
      <c r="AN20" s="258">
        <f t="shared" si="20"/>
        <v>4.0510055454461824</v>
      </c>
      <c r="AO20" s="258">
        <f t="shared" si="20"/>
        <v>3.9858717810496742</v>
      </c>
      <c r="AP20" s="258">
        <f t="shared" si="20"/>
        <v>3.9738099728280991</v>
      </c>
      <c r="AQ20" s="258">
        <f t="shared" si="20"/>
        <v>3.9689852495394686</v>
      </c>
      <c r="AR20" s="258">
        <f t="shared" si="20"/>
        <v>3.8853567125365451</v>
      </c>
      <c r="AS20" s="258">
        <f t="shared" si="20"/>
        <v>3.8531918906123437</v>
      </c>
      <c r="AT20" s="258">
        <f t="shared" si="20"/>
        <v>3.9472739947406326</v>
      </c>
      <c r="AU20" s="258">
        <f t="shared" si="20"/>
        <v>4.0944280550438545</v>
      </c>
      <c r="AV20" s="258">
        <f t="shared" si="20"/>
        <v>4.0944280550438545</v>
      </c>
      <c r="AW20" s="258">
        <f t="shared" si="20"/>
        <v>4.0510055454461824</v>
      </c>
      <c r="AX20" s="258">
        <f t="shared" si="20"/>
        <v>4.0220572057144013</v>
      </c>
      <c r="AY20" s="258">
        <f t="shared" si="20"/>
        <v>4.0220572057144013</v>
      </c>
      <c r="AZ20" s="258">
        <f>AZ14+2.84</f>
        <v>4.0220572057144013</v>
      </c>
      <c r="BA20" s="258">
        <f t="shared" si="20"/>
        <v>4.0220572057144013</v>
      </c>
      <c r="BB20" s="258">
        <f t="shared" si="20"/>
        <v>4.0220572057144013</v>
      </c>
      <c r="BC20" s="258">
        <f t="shared" si="20"/>
        <v>4.0461808221575524</v>
      </c>
      <c r="BD20" s="258">
        <f t="shared" si="20"/>
        <v>4.0461808221575524</v>
      </c>
      <c r="BE20" s="258">
        <f t="shared" si="20"/>
        <v>4.0703044386007026</v>
      </c>
      <c r="BF20" s="258">
        <f t="shared" si="20"/>
        <v>4.0703044386007026</v>
      </c>
      <c r="BG20" s="258">
        <f t="shared" si="20"/>
        <v>4.0703044386007026</v>
      </c>
      <c r="BH20" s="258">
        <f t="shared" si="20"/>
        <v>4.0703044386007026</v>
      </c>
      <c r="BI20" s="258">
        <f t="shared" si="20"/>
        <v>4.0703044386007026</v>
      </c>
      <c r="BJ20" s="258">
        <f t="shared" si="20"/>
        <v>4.0703044386007026</v>
      </c>
      <c r="BK20" s="258">
        <f t="shared" si="20"/>
        <v>4.0461808221575524</v>
      </c>
      <c r="BL20" s="258">
        <f t="shared" si="20"/>
        <v>4.0461808221575524</v>
      </c>
      <c r="BM20" s="258">
        <f t="shared" si="20"/>
        <v>4.0461808221575524</v>
      </c>
      <c r="BN20" s="258">
        <f t="shared" si="20"/>
        <v>4.0461808221575524</v>
      </c>
      <c r="BO20" s="258">
        <f t="shared" si="20"/>
        <v>4.0461808221575524</v>
      </c>
      <c r="BP20" s="258">
        <f t="shared" si="20"/>
        <v>4.0220572057144013</v>
      </c>
      <c r="BQ20" s="258">
        <f t="shared" si="20"/>
        <v>3.9979335892712498</v>
      </c>
      <c r="BR20" s="258">
        <f t="shared" si="20"/>
        <v>3.9979335892712498</v>
      </c>
      <c r="BS20" s="258">
        <f t="shared" si="20"/>
        <v>3.9979335892712498</v>
      </c>
      <c r="BT20" s="258">
        <f t="shared" si="20"/>
        <v>3.9979335892712498</v>
      </c>
      <c r="BU20" s="258">
        <f t="shared" si="20"/>
        <v>3.9738099728280991</v>
      </c>
      <c r="BV20" s="258">
        <f t="shared" si="20"/>
        <v>3.9738099728280991</v>
      </c>
      <c r="BW20" s="258">
        <f t="shared" si="20"/>
        <v>3.9738099728280991</v>
      </c>
      <c r="BX20" s="258">
        <f t="shared" si="20"/>
        <v>3.9738099728280991</v>
      </c>
      <c r="BY20" s="258">
        <f t="shared" si="20"/>
        <v>3.9738099728280991</v>
      </c>
      <c r="BZ20" s="258">
        <f t="shared" si="20"/>
        <v>3.9738099728280991</v>
      </c>
      <c r="CA20" s="258">
        <f t="shared" si="20"/>
        <v>3.9738099728280991</v>
      </c>
      <c r="CB20" s="258">
        <f t="shared" si="20"/>
        <v>3.9738099728280991</v>
      </c>
      <c r="CC20" s="258">
        <f t="shared" si="20"/>
        <v>3.9738099728280991</v>
      </c>
      <c r="CD20" s="258">
        <f t="shared" si="20"/>
        <v>3.9738099728280991</v>
      </c>
      <c r="CE20" s="258">
        <f>CE14+2.84</f>
        <v>3.9738099728280991</v>
      </c>
      <c r="CF20" s="258">
        <f t="shared" ref="CF20:EQ20" si="21">CF14+2.84</f>
        <v>3.9738099728280991</v>
      </c>
      <c r="CG20" s="258">
        <f t="shared" si="21"/>
        <v>3.9979335892712498</v>
      </c>
      <c r="CH20" s="258">
        <f t="shared" si="21"/>
        <v>3.9979335892712498</v>
      </c>
      <c r="CI20" s="258">
        <f t="shared" si="21"/>
        <v>3.9979335892712498</v>
      </c>
      <c r="CJ20" s="258">
        <f t="shared" si="21"/>
        <v>3.9979335892712498</v>
      </c>
      <c r="CK20" s="258">
        <f t="shared" si="21"/>
        <v>3.9979335892712498</v>
      </c>
      <c r="CL20" s="258">
        <f t="shared" si="21"/>
        <v>4.0944280550438545</v>
      </c>
      <c r="CM20" s="258">
        <f t="shared" si="21"/>
        <v>4.0944280550438545</v>
      </c>
      <c r="CN20" s="258">
        <f t="shared" si="21"/>
        <v>4.0944280550438545</v>
      </c>
      <c r="CO20" s="258">
        <f t="shared" si="21"/>
        <v>4.0944280550438545</v>
      </c>
      <c r="CP20" s="258">
        <f t="shared" si="21"/>
        <v>4.0944280550438545</v>
      </c>
      <c r="CQ20" s="258">
        <f t="shared" si="21"/>
        <v>4.0944280550438545</v>
      </c>
      <c r="CR20" s="258">
        <f t="shared" si="21"/>
        <v>4.0461808221575524</v>
      </c>
      <c r="CS20" s="258">
        <f t="shared" si="21"/>
        <v>3.9979335892712498</v>
      </c>
      <c r="CT20" s="258">
        <f t="shared" si="21"/>
        <v>3.9738099728280991</v>
      </c>
      <c r="CU20" s="258">
        <f t="shared" si="21"/>
        <v>3.9738099728280991</v>
      </c>
      <c r="CV20" s="258">
        <f t="shared" si="21"/>
        <v>3.9738099728280991</v>
      </c>
      <c r="CW20" s="258">
        <f t="shared" si="21"/>
        <v>3.8531918906123437</v>
      </c>
      <c r="CX20" s="258">
        <f t="shared" si="21"/>
        <v>3.8531918906123437</v>
      </c>
      <c r="CY20" s="258">
        <f t="shared" si="21"/>
        <v>3.8531918906123437</v>
      </c>
      <c r="CZ20" s="258">
        <f t="shared" si="21"/>
        <v>3.9014391234986459</v>
      </c>
      <c r="DA20" s="258">
        <f t="shared" si="21"/>
        <v>3.9014391234986459</v>
      </c>
      <c r="DB20" s="258">
        <f t="shared" si="21"/>
        <v>3.9014391234986459</v>
      </c>
      <c r="DC20" s="258">
        <f t="shared" si="21"/>
        <v>3.8531918906123437</v>
      </c>
      <c r="DD20" s="258">
        <f t="shared" si="21"/>
        <v>3.8531918906123437</v>
      </c>
      <c r="DE20" s="258">
        <f t="shared" si="21"/>
        <v>3.8531918906123437</v>
      </c>
      <c r="DF20" s="258">
        <f t="shared" si="21"/>
        <v>3.8531918906123437</v>
      </c>
      <c r="DG20" s="258">
        <f t="shared" si="21"/>
        <v>3.8531918906123437</v>
      </c>
      <c r="DH20" s="258">
        <f t="shared" si="21"/>
        <v>3.8531918906123437</v>
      </c>
      <c r="DI20" s="258">
        <f t="shared" si="21"/>
        <v>3.8531918906123437</v>
      </c>
      <c r="DJ20" s="258">
        <f t="shared" si="21"/>
        <v>3.8531918906123437</v>
      </c>
      <c r="DK20" s="258">
        <f t="shared" si="21"/>
        <v>3.8531918906123437</v>
      </c>
      <c r="DL20" s="258">
        <f t="shared" si="21"/>
        <v>3.8531918906123437</v>
      </c>
      <c r="DM20" s="258">
        <f t="shared" si="21"/>
        <v>3.8531918906123437</v>
      </c>
      <c r="DN20" s="258">
        <f t="shared" si="21"/>
        <v>3.8531918906123437</v>
      </c>
      <c r="DO20" s="258">
        <f t="shared" si="21"/>
        <v>3.8531918906123437</v>
      </c>
      <c r="DP20" s="258">
        <f t="shared" si="21"/>
        <v>3.8531918906123437</v>
      </c>
      <c r="DQ20" s="258">
        <f t="shared" si="21"/>
        <v>3.8531918906123437</v>
      </c>
      <c r="DR20" s="258">
        <f t="shared" si="21"/>
        <v>3.8049446577260415</v>
      </c>
      <c r="DS20" s="258">
        <f t="shared" si="21"/>
        <v>3.8049446577260415</v>
      </c>
      <c r="DT20" s="258">
        <f t="shared" si="21"/>
        <v>2.84</v>
      </c>
      <c r="DU20" s="258">
        <f t="shared" si="21"/>
        <v>2.84</v>
      </c>
      <c r="DV20" s="258">
        <f t="shared" si="21"/>
        <v>2.84</v>
      </c>
      <c r="DW20" s="258">
        <f t="shared" si="21"/>
        <v>2.84</v>
      </c>
      <c r="DX20" s="258">
        <f t="shared" si="21"/>
        <v>2.84</v>
      </c>
      <c r="DY20" s="258">
        <f t="shared" si="21"/>
        <v>2.84</v>
      </c>
      <c r="DZ20" s="258">
        <f t="shared" si="21"/>
        <v>2.84</v>
      </c>
      <c r="EA20" s="258">
        <f t="shared" si="21"/>
        <v>2.84</v>
      </c>
      <c r="EB20" s="258">
        <f t="shared" si="21"/>
        <v>2.84</v>
      </c>
      <c r="EC20" s="258">
        <f t="shared" si="21"/>
        <v>2.84</v>
      </c>
      <c r="ED20" s="258">
        <f t="shared" si="21"/>
        <v>2.84</v>
      </c>
      <c r="EE20" s="258">
        <f t="shared" si="21"/>
        <v>2.84</v>
      </c>
      <c r="EF20" s="258">
        <f t="shared" si="21"/>
        <v>2.84</v>
      </c>
      <c r="EG20" s="258">
        <f t="shared" si="21"/>
        <v>2.84</v>
      </c>
      <c r="EH20" s="258">
        <f t="shared" si="21"/>
        <v>2.84</v>
      </c>
      <c r="EI20" s="258">
        <f t="shared" si="21"/>
        <v>2.84</v>
      </c>
      <c r="EJ20" s="258">
        <f t="shared" si="21"/>
        <v>2.84</v>
      </c>
      <c r="EK20" s="258">
        <f t="shared" si="21"/>
        <v>2.84</v>
      </c>
      <c r="EL20" s="258">
        <f t="shared" si="21"/>
        <v>2.84</v>
      </c>
      <c r="EM20" s="258">
        <f t="shared" si="21"/>
        <v>2.84</v>
      </c>
      <c r="EN20" s="258">
        <f t="shared" si="21"/>
        <v>2.84</v>
      </c>
      <c r="EO20" s="258">
        <f t="shared" si="21"/>
        <v>2.84</v>
      </c>
      <c r="EP20" s="258">
        <f t="shared" si="21"/>
        <v>2.84</v>
      </c>
      <c r="EQ20" s="258">
        <f t="shared" si="21"/>
        <v>2.84</v>
      </c>
      <c r="ER20" s="258">
        <f>ER14+2.84</f>
        <v>2.84</v>
      </c>
      <c r="ES20" s="258">
        <f>ES14+2.84</f>
        <v>2.84</v>
      </c>
      <c r="ET20" s="258">
        <f>ET14+2.84</f>
        <v>2.84</v>
      </c>
      <c r="EU20" s="258">
        <f>EU14+2.84</f>
        <v>2.84</v>
      </c>
      <c r="EV20" s="258">
        <f>EV14+2.84</f>
        <v>2.84</v>
      </c>
    </row>
  </sheetData>
  <pageMargins left="0.7" right="0.7" top="0.75" bottom="0.75" header="0.3" footer="0.3"/>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FE19"/>
  <sheetViews>
    <sheetView workbookViewId="0">
      <pane xSplit="11" ySplit="7" topLeftCell="DE8" activePane="bottomRight" state="frozen"/>
      <selection pane="topRight" activeCell="L1" sqref="L1"/>
      <selection pane="bottomLeft" activeCell="A7" sqref="A7"/>
      <selection pane="bottomRight" activeCell="DH21" sqref="DH21"/>
    </sheetView>
  </sheetViews>
  <sheetFormatPr baseColWidth="10" defaultColWidth="22.6640625" defaultRowHeight="12"/>
  <cols>
    <col min="1" max="1" width="13.33203125" style="60" bestFit="1" customWidth="1"/>
    <col min="2" max="2" width="11.33203125" style="60" bestFit="1" customWidth="1"/>
    <col min="3" max="3" width="4.83203125" style="60" bestFit="1" customWidth="1"/>
    <col min="4" max="4" width="12.33203125" style="60" bestFit="1" customWidth="1"/>
    <col min="5" max="5" width="11.83203125" style="60" bestFit="1" customWidth="1"/>
    <col min="6" max="6" width="6.5" style="60" bestFit="1" customWidth="1"/>
    <col min="7" max="7" width="4.1640625" style="60" bestFit="1" customWidth="1"/>
    <col min="8" max="8" width="22.83203125" style="60" bestFit="1" customWidth="1"/>
    <col min="9" max="10" width="5.5" style="60" bestFit="1" customWidth="1"/>
    <col min="11" max="11" width="5.6640625" style="60" bestFit="1" customWidth="1"/>
    <col min="12" max="12" width="5.5" style="60" bestFit="1" customWidth="1"/>
    <col min="13" max="13" width="5.83203125" style="60" bestFit="1" customWidth="1"/>
    <col min="14" max="18" width="5.5" style="60" bestFit="1" customWidth="1"/>
    <col min="19" max="19" width="5.6640625" style="60" bestFit="1" customWidth="1"/>
    <col min="20" max="20" width="6.1640625" style="60" bestFit="1" customWidth="1"/>
    <col min="21" max="21" width="5.5" style="60" bestFit="1" customWidth="1"/>
    <col min="22" max="26" width="6.1640625" style="60" bestFit="1" customWidth="1"/>
    <col min="27" max="30" width="5.5" style="60" bestFit="1" customWidth="1"/>
    <col min="31" max="31" width="5.6640625" style="60" bestFit="1" customWidth="1"/>
    <col min="32" max="34" width="5.5" style="60" bestFit="1" customWidth="1"/>
    <col min="35" max="35" width="5.6640625" style="60" bestFit="1" customWidth="1"/>
    <col min="36" max="36" width="5.5" style="60" bestFit="1" customWidth="1"/>
    <col min="37" max="37" width="5.83203125" style="60" bestFit="1" customWidth="1"/>
    <col min="38" max="42" width="5.5" style="60" bestFit="1" customWidth="1"/>
    <col min="43" max="43" width="5.6640625" style="60" bestFit="1" customWidth="1"/>
    <col min="44" max="46" width="5.5" style="60" bestFit="1" customWidth="1"/>
    <col min="47" max="47" width="5.6640625" style="60" bestFit="1" customWidth="1"/>
    <col min="48" max="48" width="5.5" style="60" bestFit="1" customWidth="1"/>
    <col min="49" max="49" width="5.83203125" style="60" bestFit="1" customWidth="1"/>
    <col min="50" max="51" width="5.5" style="60" bestFit="1" customWidth="1"/>
    <col min="52" max="54" width="7" style="60" bestFit="1" customWidth="1"/>
    <col min="55" max="56" width="5.5" style="60" bestFit="1" customWidth="1"/>
    <col min="57" max="58" width="5.83203125" style="60" bestFit="1" customWidth="1"/>
    <col min="59" max="70" width="5.6640625" style="60" bestFit="1" customWidth="1"/>
    <col min="71" max="80" width="5.5" style="60" bestFit="1" customWidth="1"/>
    <col min="81" max="90" width="6.1640625" style="60" bestFit="1" customWidth="1"/>
    <col min="91" max="95" width="6.33203125" style="60" bestFit="1" customWidth="1"/>
    <col min="96" max="100" width="6.1640625" style="60" bestFit="1" customWidth="1"/>
    <col min="101" max="101" width="5.1640625" style="60" bestFit="1" customWidth="1"/>
    <col min="102" max="102" width="6.1640625" style="60" bestFit="1" customWidth="1"/>
    <col min="103" max="103" width="5.1640625" style="60" bestFit="1" customWidth="1"/>
    <col min="104" max="107" width="5.83203125" style="60" bestFit="1" customWidth="1"/>
    <col min="108" max="115" width="5.6640625" style="60" bestFit="1" customWidth="1"/>
    <col min="116" max="119" width="6.1640625" style="60" bestFit="1" customWidth="1"/>
    <col min="120" max="123" width="5.83203125" style="60" bestFit="1" customWidth="1"/>
    <col min="124" max="159" width="5.1640625" style="60" bestFit="1" customWidth="1"/>
    <col min="160" max="161" width="3.33203125" style="60" bestFit="1" customWidth="1"/>
    <col min="162" max="16384" width="22.6640625" style="60"/>
  </cols>
  <sheetData>
    <row r="1" spans="1:161" ht="13">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c r="EM1" s="99">
        <v>141</v>
      </c>
      <c r="EN1" s="99">
        <v>142</v>
      </c>
      <c r="EO1" s="99">
        <v>143</v>
      </c>
      <c r="EP1" s="99">
        <v>144</v>
      </c>
      <c r="EQ1" s="99">
        <v>145</v>
      </c>
      <c r="ER1" s="99">
        <v>146</v>
      </c>
      <c r="ES1" s="99">
        <v>147</v>
      </c>
      <c r="ET1" s="99">
        <v>148</v>
      </c>
      <c r="EU1" s="99">
        <v>149</v>
      </c>
      <c r="EV1" s="99">
        <v>150</v>
      </c>
      <c r="EW1" s="99">
        <v>151</v>
      </c>
      <c r="EX1" s="99">
        <v>152</v>
      </c>
      <c r="EY1" s="99">
        <v>153</v>
      </c>
      <c r="EZ1" s="99">
        <v>154</v>
      </c>
      <c r="FA1" s="99">
        <v>155</v>
      </c>
      <c r="FB1" s="99">
        <v>156</v>
      </c>
      <c r="FC1" s="99">
        <v>157</v>
      </c>
      <c r="FD1" s="99">
        <v>158</v>
      </c>
      <c r="FE1" s="99">
        <v>159</v>
      </c>
    </row>
    <row r="2" spans="1:161">
      <c r="A2" s="59"/>
      <c r="B2" s="59"/>
      <c r="C2" s="59"/>
      <c r="D2" s="98"/>
      <c r="E2" s="98"/>
      <c r="F2" s="59"/>
      <c r="H2" s="99"/>
      <c r="I2" s="99"/>
      <c r="J2" s="99"/>
      <c r="K2" s="99"/>
      <c r="L2" s="99"/>
      <c r="M2" s="99"/>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99"/>
      <c r="AP2" s="99"/>
      <c r="AQ2" s="99"/>
      <c r="AR2" s="99"/>
      <c r="AS2" s="99"/>
      <c r="AT2" s="99"/>
      <c r="AU2" s="99"/>
      <c r="AV2" s="99"/>
      <c r="AW2" s="99"/>
      <c r="AX2" s="99"/>
      <c r="AY2" s="99"/>
      <c r="AZ2" s="99"/>
      <c r="BA2" s="99"/>
      <c r="BB2" s="99"/>
      <c r="BC2" s="99"/>
      <c r="BD2" s="99"/>
      <c r="BE2" s="99"/>
      <c r="BF2" s="99"/>
      <c r="BG2" s="99"/>
      <c r="BH2" s="99"/>
      <c r="BI2" s="99"/>
      <c r="BJ2" s="99"/>
      <c r="BK2" s="99"/>
      <c r="BL2" s="99"/>
      <c r="BM2" s="99"/>
      <c r="BN2" s="99"/>
      <c r="BO2" s="99"/>
      <c r="BP2" s="99"/>
      <c r="BQ2" s="99"/>
      <c r="BR2" s="99"/>
      <c r="BS2" s="99"/>
      <c r="BT2" s="99"/>
      <c r="BU2" s="99"/>
      <c r="BV2" s="99"/>
      <c r="BW2" s="99"/>
      <c r="BX2" s="99"/>
      <c r="BY2" s="99"/>
      <c r="BZ2" s="99"/>
      <c r="CA2" s="99"/>
      <c r="CB2" s="99"/>
      <c r="CC2" s="99"/>
      <c r="CD2" s="99"/>
      <c r="CE2" s="99"/>
      <c r="CF2" s="99"/>
      <c r="CG2" s="99"/>
      <c r="CH2" s="99"/>
      <c r="CI2" s="99"/>
      <c r="CJ2" s="99"/>
      <c r="CK2" s="99"/>
      <c r="CL2" s="99"/>
      <c r="CM2" s="99"/>
      <c r="CN2" s="99"/>
    </row>
    <row r="3" spans="1:161" ht="13">
      <c r="A3" s="107" t="s">
        <v>798</v>
      </c>
      <c r="B3" s="100"/>
      <c r="C3" s="101"/>
      <c r="D3" s="282">
        <v>172.24</v>
      </c>
      <c r="K3" s="102"/>
      <c r="M3" s="102"/>
    </row>
    <row r="4" spans="1:161">
      <c r="A4" s="36"/>
      <c r="B4" s="64"/>
      <c r="D4" s="100"/>
      <c r="E4" s="64"/>
      <c r="F4" s="103"/>
    </row>
    <row r="5" spans="1:161">
      <c r="A5" s="64"/>
      <c r="B5" s="64"/>
      <c r="D5" s="64"/>
      <c r="E5" s="64"/>
      <c r="H5" s="60" t="s">
        <v>387</v>
      </c>
    </row>
    <row r="6" spans="1:161">
      <c r="A6" s="74"/>
      <c r="B6" s="74"/>
    </row>
    <row r="7" spans="1:161">
      <c r="A7" s="59"/>
      <c r="B7" s="59"/>
      <c r="C7" s="59"/>
      <c r="D7" s="98"/>
      <c r="E7" s="98"/>
      <c r="F7" s="59"/>
      <c r="H7" s="59" t="s">
        <v>416</v>
      </c>
      <c r="I7" s="59">
        <v>43831</v>
      </c>
      <c r="J7" s="59">
        <v>43862</v>
      </c>
      <c r="K7" s="59">
        <v>43891</v>
      </c>
      <c r="L7" s="59">
        <v>43922</v>
      </c>
      <c r="M7" s="59">
        <v>43952</v>
      </c>
      <c r="N7" s="59">
        <v>43983</v>
      </c>
      <c r="O7" s="59">
        <v>44013</v>
      </c>
      <c r="P7" s="59">
        <v>44044</v>
      </c>
      <c r="Q7" s="59">
        <v>44075</v>
      </c>
      <c r="R7" s="59">
        <v>44105</v>
      </c>
      <c r="S7" s="59">
        <v>44136</v>
      </c>
      <c r="T7" s="59">
        <v>44166</v>
      </c>
      <c r="U7" s="59">
        <v>44197</v>
      </c>
      <c r="V7" s="59">
        <v>44228</v>
      </c>
      <c r="W7" s="59">
        <v>44256</v>
      </c>
      <c r="X7" s="59">
        <v>44287</v>
      </c>
      <c r="Y7" s="59">
        <v>44317</v>
      </c>
      <c r="Z7" s="59">
        <v>44348</v>
      </c>
      <c r="AA7" s="59">
        <v>44378</v>
      </c>
      <c r="AB7" s="59">
        <v>44409</v>
      </c>
      <c r="AC7" s="59">
        <v>44440</v>
      </c>
      <c r="AD7" s="59">
        <v>44470</v>
      </c>
      <c r="AE7" s="59">
        <v>44501</v>
      </c>
      <c r="AF7" s="59">
        <v>44531</v>
      </c>
      <c r="AG7" s="59">
        <v>44562</v>
      </c>
      <c r="AH7" s="59">
        <v>44593</v>
      </c>
      <c r="AI7" s="59">
        <v>44621</v>
      </c>
      <c r="AJ7" s="59">
        <v>44652</v>
      </c>
      <c r="AK7" s="59">
        <v>44682</v>
      </c>
      <c r="AL7" s="59">
        <v>44713</v>
      </c>
      <c r="AM7" s="59">
        <v>44743</v>
      </c>
      <c r="AN7" s="59">
        <v>44774</v>
      </c>
      <c r="AO7" s="59">
        <v>44805</v>
      </c>
      <c r="AP7" s="59">
        <v>44835</v>
      </c>
      <c r="AQ7" s="59">
        <v>44866</v>
      </c>
      <c r="AR7" s="59">
        <v>44896</v>
      </c>
      <c r="AS7" s="59">
        <v>44927</v>
      </c>
      <c r="AT7" s="59">
        <v>44958</v>
      </c>
      <c r="AU7" s="59">
        <v>44986</v>
      </c>
      <c r="AV7" s="59">
        <v>45017</v>
      </c>
      <c r="AW7" s="59">
        <v>45047</v>
      </c>
      <c r="AX7" s="59">
        <v>45078</v>
      </c>
      <c r="AY7" s="59">
        <v>45108</v>
      </c>
      <c r="AZ7" s="59" t="s">
        <v>530</v>
      </c>
      <c r="BA7" s="59" t="s">
        <v>531</v>
      </c>
      <c r="BB7" s="59" t="s">
        <v>532</v>
      </c>
      <c r="BC7" s="59">
        <v>37104</v>
      </c>
      <c r="BD7" s="59">
        <v>37469</v>
      </c>
      <c r="BE7" s="59" t="s">
        <v>168</v>
      </c>
      <c r="BF7" s="59" t="s">
        <v>169</v>
      </c>
      <c r="BG7" s="59" t="s">
        <v>195</v>
      </c>
      <c r="BH7" s="59" t="s">
        <v>196</v>
      </c>
      <c r="BI7" s="59" t="s">
        <v>197</v>
      </c>
      <c r="BJ7" s="59" t="s">
        <v>198</v>
      </c>
      <c r="BK7" s="59" t="s">
        <v>199</v>
      </c>
      <c r="BL7" s="59" t="s">
        <v>200</v>
      </c>
      <c r="BM7" s="59" t="s">
        <v>201</v>
      </c>
      <c r="BN7" s="59" t="s">
        <v>202</v>
      </c>
      <c r="BO7" s="59">
        <v>37196</v>
      </c>
      <c r="BP7" s="59">
        <v>37561</v>
      </c>
      <c r="BQ7" s="59">
        <v>37926</v>
      </c>
      <c r="BR7" s="59">
        <v>38292</v>
      </c>
      <c r="BS7" s="59">
        <v>37226</v>
      </c>
      <c r="BT7" s="59">
        <v>37591</v>
      </c>
      <c r="BU7" s="59">
        <v>37956</v>
      </c>
      <c r="BV7" s="59">
        <v>38322</v>
      </c>
      <c r="BW7" s="59">
        <v>36892</v>
      </c>
      <c r="BX7" s="59">
        <v>37257</v>
      </c>
      <c r="BY7" s="59">
        <v>37622</v>
      </c>
      <c r="BZ7" s="59">
        <v>37987</v>
      </c>
      <c r="CA7" s="59">
        <v>36923</v>
      </c>
      <c r="CB7" s="59">
        <v>37288</v>
      </c>
      <c r="CC7" s="59">
        <v>37653</v>
      </c>
      <c r="CD7" s="59">
        <v>38018</v>
      </c>
      <c r="CE7" s="59" t="str">
        <f>Sheet8!A15</f>
        <v>Mar-w1</v>
      </c>
      <c r="CF7" s="59">
        <v>37316</v>
      </c>
      <c r="CG7" s="59">
        <v>37681</v>
      </c>
      <c r="CH7" s="59">
        <v>38047</v>
      </c>
      <c r="CI7" s="59" t="str">
        <f>Sheet8!E15</f>
        <v>Apr-w1</v>
      </c>
      <c r="CJ7" s="59" t="str">
        <f>Sheet8!F15</f>
        <v>Apr-w2</v>
      </c>
      <c r="CK7" s="59" t="str">
        <f>Sheet8!G15</f>
        <v>Apr-w3</v>
      </c>
      <c r="CL7" s="59" t="str">
        <f>Sheet8!H15</f>
        <v>Apr-w4</v>
      </c>
      <c r="CM7" s="59" t="str">
        <f>Sheet8!I15</f>
        <v>May-w1</v>
      </c>
      <c r="CN7" s="59" t="str">
        <f>Sheet8!J15</f>
        <v>May-w2</v>
      </c>
      <c r="CO7" s="59" t="str">
        <f>Sheet8!K15</f>
        <v>May-w3</v>
      </c>
      <c r="CP7" s="59" t="str">
        <f>Sheet8!L15</f>
        <v>May-w4</v>
      </c>
      <c r="CQ7" s="59" t="str">
        <f>Sheet8!M15</f>
        <v>May-w5</v>
      </c>
      <c r="CR7" s="59" t="str">
        <f>Sheet8!N15</f>
        <v>june-w1</v>
      </c>
      <c r="CS7" s="59" t="str">
        <f>Sheet8!O15</f>
        <v>june-w2</v>
      </c>
      <c r="CT7" s="59" t="str">
        <f>Sheet8!P15</f>
        <v>june-w3</v>
      </c>
      <c r="CU7" s="59" t="str">
        <f>Sheet8!Q15</f>
        <v>june-w4</v>
      </c>
      <c r="CV7" s="59" t="str">
        <f>Sheet8!R15</f>
        <v>Jul-w1</v>
      </c>
      <c r="CW7" s="59" t="str">
        <f>Sheet8!S15</f>
        <v>Jul-w2</v>
      </c>
      <c r="CX7" s="59" t="str">
        <f>Sheet8!T15</f>
        <v>Jul-w3</v>
      </c>
      <c r="CY7" s="59" t="str">
        <f>Sheet8!U15</f>
        <v>Jul-w4</v>
      </c>
      <c r="CZ7" s="59" t="str">
        <f>Sheet8!V15</f>
        <v>Aug-w1</v>
      </c>
      <c r="DA7" s="59" t="str">
        <f>Sheet8!W15</f>
        <v>Aug-w2</v>
      </c>
      <c r="DB7" s="59" t="str">
        <f>Sheet8!X15</f>
        <v>Aug-w3</v>
      </c>
      <c r="DC7" s="59" t="str">
        <f>Sheet8!Y15</f>
        <v>Aug-w4</v>
      </c>
      <c r="DD7" s="59" t="str">
        <f>Sheet8!Z15</f>
        <v>Sep-w1</v>
      </c>
      <c r="DE7" s="59" t="str">
        <f>Sheet8!AA15</f>
        <v>Sep-w2</v>
      </c>
      <c r="DF7" s="59" t="str">
        <f>Sheet8!AB15</f>
        <v>Sep-w3</v>
      </c>
      <c r="DG7" s="59" t="str">
        <f>Sheet8!AC15</f>
        <v>Sep-w4</v>
      </c>
      <c r="DH7" s="59" t="str">
        <f>Sheet8!AD15</f>
        <v>Oct-w1</v>
      </c>
      <c r="DI7" s="59" t="str">
        <f>Sheet8!AE15</f>
        <v>Oct-w2</v>
      </c>
      <c r="DJ7" s="59" t="str">
        <f>Sheet8!AF15</f>
        <v>Oct-w3</v>
      </c>
      <c r="DK7" s="59" t="str">
        <f>Sheet8!AG15</f>
        <v>Oct-w4</v>
      </c>
      <c r="DL7" s="59" t="str">
        <f>Sheet8!AH15</f>
        <v>Nov-w1</v>
      </c>
      <c r="DM7" s="59" t="str">
        <f>Sheet8!AI15</f>
        <v>Nov-w2</v>
      </c>
      <c r="DN7" s="59" t="str">
        <f>Sheet8!AJ15</f>
        <v>Nov-w3</v>
      </c>
      <c r="DO7" s="59" t="str">
        <f>Sheet8!AK15</f>
        <v>Nov-w4</v>
      </c>
      <c r="DP7" s="59" t="str">
        <f>Sheet8!AL15</f>
        <v>Dec-w1</v>
      </c>
      <c r="DQ7" s="59" t="str">
        <f>Sheet8!AM15</f>
        <v>Dec-w2</v>
      </c>
      <c r="DR7" s="59" t="str">
        <f>Sheet8!AN15</f>
        <v>Dec-w3</v>
      </c>
      <c r="DS7" s="59" t="str">
        <f>Sheet8!AO15</f>
        <v>Dec-w4</v>
      </c>
      <c r="DT7" s="59">
        <f>Sheet8!AP15</f>
        <v>0</v>
      </c>
      <c r="DU7" s="59">
        <f>Sheet8!AQ15</f>
        <v>0</v>
      </c>
      <c r="DV7" s="59">
        <f>Sheet8!AR15</f>
        <v>0</v>
      </c>
      <c r="DW7" s="59">
        <f>Sheet8!AS15</f>
        <v>0</v>
      </c>
      <c r="DX7" s="59">
        <f>Sheet8!AT15</f>
        <v>0</v>
      </c>
      <c r="DY7" s="59">
        <f>Sheet8!AU15</f>
        <v>0</v>
      </c>
      <c r="DZ7" s="59">
        <f>Sheet8!AV15</f>
        <v>0</v>
      </c>
      <c r="EA7" s="59">
        <f>Sheet8!AW15</f>
        <v>0</v>
      </c>
      <c r="EB7" s="59">
        <f>Sheet8!AX15</f>
        <v>0</v>
      </c>
      <c r="EC7" s="59">
        <f>Sheet8!AY15</f>
        <v>0</v>
      </c>
      <c r="ED7" s="59">
        <f>Sheet8!AZ15</f>
        <v>0</v>
      </c>
      <c r="EE7" s="59">
        <f>Sheet8!BA15</f>
        <v>0</v>
      </c>
      <c r="EF7" s="59">
        <f>Sheet8!BB15</f>
        <v>0</v>
      </c>
      <c r="EG7" s="59">
        <f>Sheet8!BC15</f>
        <v>0</v>
      </c>
      <c r="EH7" s="59">
        <f>Sheet8!BD15</f>
        <v>0</v>
      </c>
      <c r="EI7" s="59">
        <f>Sheet8!BE15</f>
        <v>0</v>
      </c>
      <c r="EJ7" s="59">
        <f>Sheet8!BF15</f>
        <v>0</v>
      </c>
      <c r="EK7" s="59">
        <f>Sheet8!BG15</f>
        <v>0</v>
      </c>
      <c r="EL7" s="59">
        <f>Sheet8!BH15</f>
        <v>0</v>
      </c>
      <c r="EM7" s="59">
        <f>Sheet8!BI15</f>
        <v>0</v>
      </c>
      <c r="EN7" s="59">
        <f>Sheet8!BJ15</f>
        <v>0</v>
      </c>
      <c r="EO7" s="59">
        <f>Sheet8!BK15</f>
        <v>0</v>
      </c>
      <c r="EP7" s="59">
        <f>Sheet8!BL15</f>
        <v>0</v>
      </c>
      <c r="EQ7" s="59">
        <f>Sheet8!BM15</f>
        <v>0</v>
      </c>
      <c r="ER7" s="59">
        <f>Sheet8!BN15</f>
        <v>0</v>
      </c>
      <c r="ES7" s="59">
        <f>Sheet8!BO15</f>
        <v>0</v>
      </c>
      <c r="ET7" s="59">
        <f>Sheet8!BP15</f>
        <v>0</v>
      </c>
      <c r="EU7" s="59">
        <f>Sheet8!BQ15</f>
        <v>0</v>
      </c>
      <c r="EV7" s="59">
        <f>Sheet8!BR15</f>
        <v>0</v>
      </c>
      <c r="EW7" s="59">
        <f>Sheet8!BS15</f>
        <v>0</v>
      </c>
      <c r="EX7" s="59">
        <f>Sheet8!BT15</f>
        <v>0</v>
      </c>
      <c r="EY7" s="59">
        <f>Sheet8!BU15</f>
        <v>0</v>
      </c>
      <c r="EZ7" s="59">
        <f>Sheet8!BV15</f>
        <v>0</v>
      </c>
      <c r="FA7" s="59">
        <f>Sheet8!BW15</f>
        <v>0</v>
      </c>
      <c r="FB7" s="59">
        <f>Sheet8!BX15</f>
        <v>0</v>
      </c>
      <c r="FC7" s="59">
        <f>Sheet8!BY15</f>
        <v>0</v>
      </c>
    </row>
    <row r="8" spans="1:161">
      <c r="F8" s="60" t="s">
        <v>651</v>
      </c>
      <c r="H8" s="178" t="s">
        <v>64</v>
      </c>
      <c r="I8" s="74">
        <f>VLOOKUP($H$8&amp;$F$1,'Input RM sheet'!$A:$BD,H1,0)</f>
        <v>684</v>
      </c>
      <c r="J8" s="74">
        <f>VLOOKUP($H$8&amp;$F$1,'Input RM sheet'!$A:$BD,I1,0)</f>
        <v>706.3</v>
      </c>
      <c r="K8" s="74">
        <f>VLOOKUP($H$8&amp;$F$1,'Input RM sheet'!$A:$DD,J1,0)</f>
        <v>643.79999999999995</v>
      </c>
      <c r="L8" s="74">
        <f>VLOOKUP($H$8&amp;$F$1,'Input RM sheet'!$A:$DD,K1,0)</f>
        <v>590</v>
      </c>
      <c r="M8" s="74">
        <f>VLOOKUP($H$8&amp;$F$1,'Input RM sheet'!$A:$DD,L1,0)</f>
        <v>784</v>
      </c>
      <c r="N8" s="74">
        <f>VLOOKUP($H$8&amp;$F$1,'Input RM sheet'!$A:$DD,M1,0)</f>
        <v>928.8</v>
      </c>
      <c r="O8" s="74">
        <f>VLOOKUP($H$8&amp;$F$1,'Input RM sheet'!$A:$DD,N1,0)</f>
        <v>953.5</v>
      </c>
      <c r="P8" s="74">
        <f>VLOOKUP($H$8&amp;$F$1,'Input RM sheet'!$A:$DD,O1,0)</f>
        <v>892.5</v>
      </c>
      <c r="Q8" s="74">
        <f>VLOOKUP($H$8&amp;$F$1,'Input RM sheet'!$A:$DD,P1,0)</f>
        <v>885</v>
      </c>
      <c r="R8" s="74">
        <f>VLOOKUP($H$8&amp;$F$1,'Input RM sheet'!$A:$DD,Q1,0)</f>
        <v>908</v>
      </c>
      <c r="S8" s="74">
        <f>VLOOKUP($H$8&amp;$F$1,'Input RM sheet'!$A:$DD,R1,0)</f>
        <v>963.8</v>
      </c>
      <c r="T8" s="74">
        <f>VLOOKUP($H$8&amp;$F$1,'Input RM sheet'!$A:$DD,S1,0)</f>
        <v>1053.8</v>
      </c>
      <c r="U8" s="74">
        <f>VLOOKUP($H$8&amp;$F$1,'Input RM sheet'!$A:$DD,T1,0)</f>
        <v>992.5</v>
      </c>
      <c r="V8" s="74">
        <f>VLOOKUP($H$8&amp;$F$1,'Input RM sheet'!$A:$DD,U1,0)</f>
        <v>1085</v>
      </c>
      <c r="W8" s="74">
        <f>VLOOKUP($H$8&amp;$F$1,'Input RM sheet'!$A:$DD,V1,0)</f>
        <v>1280</v>
      </c>
      <c r="X8" s="74">
        <f>VLOOKUP($H$8&amp;$F$1,'Input RM sheet'!$A:$DD,W1,0)</f>
        <v>1305</v>
      </c>
      <c r="Y8" s="74">
        <f>VLOOKUP($H$8&amp;$F$1,'Input RM sheet'!$A:$DD,X1,0)</f>
        <v>1237.5</v>
      </c>
      <c r="Z8" s="74">
        <f>VLOOKUP($H$8&amp;$F$1,'Input RM sheet'!$A:$DD,Y1,0)</f>
        <v>1028.8</v>
      </c>
      <c r="AA8" s="74">
        <f>VLOOKUP($H$8&amp;$F$1,'Input RM sheet'!$A:$DD,Z1,0)</f>
        <v>864</v>
      </c>
      <c r="AB8" s="74">
        <f>VLOOKUP($H$8&amp;$F$1,'Input RM sheet'!$A:$DD,AA1,0)</f>
        <v>822.5</v>
      </c>
      <c r="AC8" s="74">
        <f>VLOOKUP($H$8&amp;$F$1,'Input RM sheet'!$A:$DD,AB1,0)</f>
        <v>839</v>
      </c>
      <c r="AD8" s="74">
        <f>VLOOKUP($H$8&amp;$F$1,'Input RM sheet'!$A:$DD,AC1,0)</f>
        <v>902</v>
      </c>
      <c r="AE8" s="74">
        <f>VLOOKUP($H$8&amp;$F$1,'Input RM sheet'!$A:$DD,AD1,0)</f>
        <v>893.8</v>
      </c>
      <c r="AF8" s="74">
        <f>VLOOKUP($H$8&amp;$F$1,'Input RM sheet'!$A:$DD,AE1,0)</f>
        <v>835</v>
      </c>
      <c r="AG8" s="74">
        <f>VLOOKUP($H$8&amp;$F$1,'Input RM sheet'!$A:$DD,AF1,0)</f>
        <v>822.5</v>
      </c>
      <c r="AH8" s="74">
        <f>VLOOKUP($H$8&amp;$F$1,'Input RM sheet'!$A:$DD,AG1,0)</f>
        <v>875</v>
      </c>
      <c r="AI8" s="74">
        <f>VLOOKUP($H$8&amp;$F$1,'Input RM sheet'!$A:$DD,AH1,0)</f>
        <v>986.3</v>
      </c>
      <c r="AJ8" s="74">
        <f>VLOOKUP($H$8&amp;$F$1,'Input RM sheet'!$A:$DD,AI1,0)</f>
        <v>962</v>
      </c>
      <c r="AK8" s="74">
        <f>VLOOKUP($H$8&amp;$F$1,'Input RM sheet'!$A:$DD,AJ1,0)</f>
        <v>955</v>
      </c>
      <c r="AL8" s="74">
        <f>VLOOKUP($H$8&amp;$F$1,'Input RM sheet'!$A:$DD,AK1,0)</f>
        <v>960</v>
      </c>
      <c r="AM8" s="74">
        <f>VLOOKUP($H$8&amp;$F$1,'Input RM sheet'!$A:$DD,AL1,0)</f>
        <v>952</v>
      </c>
      <c r="AN8" s="74">
        <f>VLOOKUP($H$8&amp;$F$1,'Input RM sheet'!$A:$DD,AM1,0)</f>
        <v>875</v>
      </c>
      <c r="AO8" s="74">
        <f>VLOOKUP($H$8&amp;$F$1,'Input RM sheet'!$A:$DD,AN1,0)</f>
        <v>837.5</v>
      </c>
      <c r="AP8" s="74">
        <f>VLOOKUP($H$8&amp;$F$1,'Input RM sheet'!$A:$DD,AO1,0)</f>
        <v>818.8</v>
      </c>
      <c r="AQ8" s="74">
        <f>VLOOKUP($H$8&amp;$F$1,'Input RM sheet'!$A:$DD,AP1,0)</f>
        <v>785</v>
      </c>
      <c r="AR8" s="74">
        <f>VLOOKUP($H$8&amp;$F$1,'Input RM sheet'!$A:$DD,AQ1,0)</f>
        <v>790</v>
      </c>
      <c r="AS8" s="74">
        <f>VLOOKUP($H$8&amp;$F$1,'Input RM sheet'!$A:$DD,AR1,0)</f>
        <v>790</v>
      </c>
      <c r="AT8" s="74">
        <f>VLOOKUP($H$8&amp;$F$1,'Input RM sheet'!$A:$DD,AS1,0)</f>
        <v>833.8</v>
      </c>
      <c r="AU8" s="74">
        <f>VLOOKUP($H$8&amp;$F$1,'Input RM sheet'!$A:$DD,AT1,0)</f>
        <v>915</v>
      </c>
      <c r="AV8" s="74">
        <f>VLOOKUP($H$8&amp;$F$1,'Input RM sheet'!$A:$DD,AU1,0)</f>
        <v>915</v>
      </c>
      <c r="AW8" s="74">
        <f>VLOOKUP($H$8&amp;$F$1,'Input RM sheet'!$A:$DD,AV1,0)</f>
        <v>932.5</v>
      </c>
      <c r="AX8" s="74">
        <f>VLOOKUP($H$8&amp;$F$1,'Input RM sheet'!$A:$DD,AW1,0)</f>
        <v>922.5</v>
      </c>
      <c r="AY8" s="74">
        <f>VLOOKUP($H$8&amp;$F$1,'Input RM sheet'!$A:$DD,AX1,0)</f>
        <v>800</v>
      </c>
      <c r="AZ8" s="74">
        <f>VLOOKUP($H$8&amp;$F$1,'Input RM sheet'!$A:$DD,AY1,0)</f>
        <v>815</v>
      </c>
      <c r="BA8" s="74">
        <f>VLOOKUP($H$8&amp;$F$1,'Input RM sheet'!$A:$DD,AZ1,0)</f>
        <v>815</v>
      </c>
      <c r="BB8" s="74">
        <f>VLOOKUP($H$8&amp;$F$1,'Input RM sheet'!$A:$DD,BA1,0)</f>
        <v>825</v>
      </c>
      <c r="BC8" s="74">
        <f>VLOOKUP($H$8&amp;$F$1,'Input RM sheet'!$A:$DD,BB1,0)</f>
        <v>845</v>
      </c>
      <c r="BD8" s="74">
        <f>VLOOKUP($H$8&amp;$F$1,'Input RM sheet'!$A:$DD,BC1,0)</f>
        <v>860</v>
      </c>
      <c r="BE8" s="74">
        <f>VLOOKUP($H$8&amp;$F$1,'Input RM sheet'!$A:$DD,BD1,0)</f>
        <v>865</v>
      </c>
      <c r="BF8" s="74">
        <f>VLOOKUP($H$8&amp;$F$1,'Input RM sheet'!$A:$DD,BE1,0)</f>
        <v>865</v>
      </c>
      <c r="BG8" s="74">
        <f>VLOOKUP($H$8&amp;$F$1,'Input RM sheet'!$A:$DD,BF1,0)</f>
        <v>865</v>
      </c>
      <c r="BH8" s="74">
        <f>VLOOKUP($H$8&amp;$F$1,'Input RM sheet'!$A:$DD,BG1,0)</f>
        <v>875</v>
      </c>
      <c r="BI8" s="74">
        <f>VLOOKUP($H$8&amp;$F$1,'Input RM sheet'!$A:$DD,BH1,0)</f>
        <v>875</v>
      </c>
      <c r="BJ8" s="74">
        <f>VLOOKUP($H$8&amp;$F$1,'Input RM sheet'!$A:$DD,BI1,0)</f>
        <v>925</v>
      </c>
      <c r="BK8" s="74">
        <f>VLOOKUP($H$8&amp;$F$1,'Input RM sheet'!$A:$DD,BJ1,0)</f>
        <v>940</v>
      </c>
      <c r="BL8" s="74">
        <f>VLOOKUP($H$8&amp;$F$1,'Input RM sheet'!$A:$DD,BK1,0)</f>
        <v>950</v>
      </c>
      <c r="BM8" s="74">
        <f>VLOOKUP($H$8&amp;$F$1,'Input RM sheet'!$A:$DD,BL1,0)</f>
        <v>920</v>
      </c>
      <c r="BN8" s="74">
        <f>VLOOKUP($H$8&amp;$F$1,'Input RM sheet'!$A:$DD,BM1,0)</f>
        <v>920</v>
      </c>
      <c r="BO8" s="74">
        <f>VLOOKUP($H$8&amp;$F$1,'Input RM sheet'!$A:$DD,BN1,0)</f>
        <v>920</v>
      </c>
      <c r="BP8" s="74">
        <f>VLOOKUP($H$8&amp;$F$1,'Input RM sheet'!$A:$DD,BO1,0)</f>
        <v>930</v>
      </c>
      <c r="BQ8" s="74">
        <f>VLOOKUP($H$8&amp;$F$1,'Input RM sheet'!$A:$DD,BP1,0)</f>
        <v>930</v>
      </c>
      <c r="BR8" s="74">
        <f>VLOOKUP($H$8&amp;$F$1,'Input RM sheet'!$A:$DD,BQ1,0)</f>
        <v>930</v>
      </c>
      <c r="BS8" s="74">
        <f>VLOOKUP($H$8&amp;$F$1,'Input RM sheet'!$A:$DD,BR1,0)</f>
        <v>905</v>
      </c>
      <c r="BT8" s="74">
        <f>VLOOKUP($H$8&amp;$F$1,'Input RM sheet'!$A:$DD,BS1,0)</f>
        <v>905</v>
      </c>
      <c r="BU8" s="74">
        <f>VLOOKUP($H$8&amp;$F$1,'Input RM sheet'!$A:$DD,BT1,0)</f>
        <v>905</v>
      </c>
      <c r="BV8" s="74">
        <f>VLOOKUP($H$8&amp;$F$1,'Input RM sheet'!$A:$DD,BU1,0)</f>
        <v>905</v>
      </c>
      <c r="BW8" s="74">
        <f>VLOOKUP($H$8&amp;$F$1,'Input RM sheet'!$A:$DD,BV1,0)</f>
        <v>930</v>
      </c>
      <c r="BX8" s="74">
        <f>VLOOKUP($H$8&amp;$F$1,'Input RM sheet'!$A:$DD,BW1,0)</f>
        <v>925</v>
      </c>
      <c r="BY8" s="74">
        <f>VLOOKUP($H$8&amp;$F$1,'Input RM sheet'!$A:$DD,BX1,0)</f>
        <v>925</v>
      </c>
      <c r="BZ8" s="74">
        <f>VLOOKUP($H$8&amp;$F$1,'Input RM sheet'!$A:$DD,BY1,0)</f>
        <v>960</v>
      </c>
      <c r="CA8" s="74">
        <f>VLOOKUP($H$8&amp;$F$1,'Input RM sheet'!$A:$DD,BZ1,0)</f>
        <v>960</v>
      </c>
      <c r="CB8" s="74">
        <f>VLOOKUP($H$8&amp;$F$1,'Input RM sheet'!$A:$DD,CA1,0)</f>
        <v>980</v>
      </c>
      <c r="CC8" s="74">
        <f>VLOOKUP($H$8&amp;$F$1,'Input RM sheet'!$A:$DD,CB1,0)</f>
        <v>1030</v>
      </c>
      <c r="CD8" s="74">
        <f>VLOOKUP($H$8&amp;$F$1,'Input RM sheet'!$A:$DD,CC1,0)</f>
        <v>1030</v>
      </c>
      <c r="CE8" s="74">
        <f>VLOOKUP($H$8&amp;$F$1,'Input RM sheet'!$A:$DD,CD1,0)</f>
        <v>1030</v>
      </c>
      <c r="CF8" s="74">
        <f>VLOOKUP($H$8&amp;$F$1,'Input RM sheet'!$A:$DD,CE1,0)</f>
        <v>1030</v>
      </c>
      <c r="CG8" s="74">
        <f>VLOOKUP($H$8&amp;$F$1,'Input RM sheet'!$A:$DD,CF1,0)</f>
        <v>1040</v>
      </c>
      <c r="CH8" s="74">
        <f>VLOOKUP($H$8&amp;$F$1,'Input RM sheet'!$A:$DD,CG1,0)</f>
        <v>1040</v>
      </c>
      <c r="CI8" s="74">
        <f>VLOOKUP($H$8&amp;$F$1,'Input RM sheet'!$A:$DD,CH1,0)</f>
        <v>1040</v>
      </c>
      <c r="CJ8" s="74">
        <f>VLOOKUP($H$8&amp;$F$1,'Input RM sheet'!$A:$DD,CI1,0)</f>
        <v>1040</v>
      </c>
      <c r="CK8" s="74">
        <f>VLOOKUP($H$8&amp;$F$1,'Input RM sheet'!$A:$DD,CJ1,0)</f>
        <v>1040</v>
      </c>
      <c r="CL8" s="74">
        <f>VLOOKUP($H$8&amp;$F$1,'Input RM sheet'!$A:$DD,CK1,0)</f>
        <v>1060</v>
      </c>
      <c r="CM8" s="74">
        <f>VLOOKUP($H$8&amp;$F$1,'Input RM sheet'!$A:$DD,CL1,0)</f>
        <v>1060</v>
      </c>
      <c r="CN8" s="74">
        <f>VLOOKUP($H$8&amp;$F$1,'Input RM sheet'!$A:$DD,CM1,0)</f>
        <v>1070</v>
      </c>
      <c r="CO8" s="74">
        <f>VLOOKUP($H$8&amp;$F$1,'Input RM sheet'!$A:$DD,CN1,0)</f>
        <v>1070</v>
      </c>
      <c r="CP8" s="74">
        <f>VLOOKUP($H$8&amp;$F$1,'Input RM sheet'!$A:$DD,CO1,0)</f>
        <v>1070</v>
      </c>
      <c r="CQ8" s="74">
        <f>VLOOKUP($H$8&amp;$F$1,'Input RM sheet'!$A:$DD,CP1,0)</f>
        <v>1070</v>
      </c>
      <c r="CR8" s="74">
        <f>VLOOKUP($H$8&amp;$F$1,'Input RM sheet'!$A:$ZZ,CQ1,0)</f>
        <v>1070</v>
      </c>
      <c r="CS8" s="74">
        <f>VLOOKUP($H$8&amp;$F$1,'Input RM sheet'!$A:$ZZ,CR1,0)</f>
        <v>1065</v>
      </c>
      <c r="CT8" s="74">
        <f>VLOOKUP($H$8&amp;$F$1,'Input RM sheet'!$A:$ZZ,CS1,0)</f>
        <v>1075</v>
      </c>
      <c r="CU8" s="74">
        <f>VLOOKUP($H$8&amp;$F$1,'Input RM sheet'!$A:$ZZ,CT1,0)</f>
        <v>1070</v>
      </c>
      <c r="CV8" s="74">
        <f>VLOOKUP($H$8&amp;$F$1,'Input RM sheet'!$A:$ZZ,CU1,0)</f>
        <v>1070</v>
      </c>
      <c r="CW8" s="74">
        <f>VLOOKUP($H$8&amp;$F$1,'Input RM sheet'!$A:$ZZ,CV1,0)</f>
        <v>1070</v>
      </c>
      <c r="CX8" s="74">
        <f>VLOOKUP($H$8&amp;$F$1,'Input RM sheet'!$A:$ZZ,CW1,0)</f>
        <v>1040</v>
      </c>
      <c r="CY8" s="74">
        <f>VLOOKUP($H$8&amp;$F$1,'Input RM sheet'!$A:$ZZ,CX1,0)</f>
        <v>1020</v>
      </c>
      <c r="CZ8" s="74">
        <f>VLOOKUP($H$8&amp;$F$1,'Input RM sheet'!$A:$ZZ,CY1,0)</f>
        <v>1020</v>
      </c>
      <c r="DA8" s="74">
        <f>VLOOKUP($H$8&amp;$F$1,'Input RM sheet'!$A:$ZZ,CZ1,0)</f>
        <v>1020</v>
      </c>
      <c r="DB8" s="74">
        <f>VLOOKUP($H$8&amp;$F$1,'Input RM sheet'!$A:$ZZ,DA1,0)</f>
        <v>1020</v>
      </c>
      <c r="DC8" s="74">
        <f>VLOOKUP($H$8&amp;$F$1,'Input RM sheet'!$A:$ZZ,DB1,0)</f>
        <v>1012.5</v>
      </c>
      <c r="DD8" s="74">
        <f>VLOOKUP($H$8&amp;$F$1,'Input RM sheet'!$A:$ZZ,DC1,0)</f>
        <v>960</v>
      </c>
      <c r="DE8" s="74">
        <f>VLOOKUP($H$8&amp;$F$1,'Input RM sheet'!$A:$ZZ,DD1,0)</f>
        <v>955</v>
      </c>
      <c r="DF8" s="74">
        <f>VLOOKUP($H$8&amp;$F$1,'Input RM sheet'!$A:$ZZ,DE1,0)</f>
        <v>875</v>
      </c>
      <c r="DG8" s="74">
        <f>VLOOKUP($H$8&amp;$F$1,'Input RM sheet'!$A:$ZZ,DF1,0)</f>
        <v>850</v>
      </c>
      <c r="DH8" s="74">
        <f>VLOOKUP($H$8&amp;$F$1,'Input RM sheet'!$A:$ZZ,DG1,0)</f>
        <v>865</v>
      </c>
      <c r="DI8" s="74">
        <f>VLOOKUP($H$8&amp;$F$1,'Input RM sheet'!$A:$ZZ,DH1,0)</f>
        <v>855</v>
      </c>
      <c r="DJ8" s="74">
        <f>VLOOKUP($H$8&amp;$F$1,'Input RM sheet'!$A:$ZZ,DI1,0)</f>
        <v>840</v>
      </c>
      <c r="DK8" s="74">
        <f>VLOOKUP($H$8&amp;$F$1,'Input RM sheet'!$A:$ZZ,DJ1,0)</f>
        <v>840</v>
      </c>
      <c r="DL8" s="74">
        <f>VLOOKUP($H$8&amp;$F$1,'Input RM sheet'!$A:$ZZ,DK1,0)</f>
        <v>840</v>
      </c>
      <c r="DM8" s="74">
        <f>VLOOKUP($H$8&amp;$F$1,'Input RM sheet'!$A:$ZZ,DL1,0)</f>
        <v>820</v>
      </c>
      <c r="DN8" s="74">
        <f>VLOOKUP($H$8&amp;$F$1,'Input RM sheet'!$A:$ZZ,DM1,0)</f>
        <v>790</v>
      </c>
      <c r="DO8" s="74">
        <f>VLOOKUP($H$8&amp;$F$1,'Input RM sheet'!$A:$ZZ,DN1,0)</f>
        <v>780</v>
      </c>
      <c r="DP8" s="74">
        <f>VLOOKUP($H$8&amp;$F$1,'Input RM sheet'!$A:$ZZ,DO1,0)</f>
        <v>780</v>
      </c>
      <c r="DQ8" s="74">
        <f>VLOOKUP($H$8&amp;$F$1,'Input RM sheet'!$A:$ZZ,DP1,0)</f>
        <v>760</v>
      </c>
      <c r="DR8" s="74">
        <f>VLOOKUP($H$8&amp;$F$1,'Input RM sheet'!$A:$ZZ,DQ1,0)</f>
        <v>750</v>
      </c>
      <c r="DS8" s="74">
        <f>VLOOKUP($H$8&amp;$F$1,'Input RM sheet'!$A:$ZZ,DR1,0)</f>
        <v>745</v>
      </c>
      <c r="DT8" s="74">
        <f>VLOOKUP($H$8&amp;$F$1,'Input RM sheet'!$A:$ZZ,DS1,0)</f>
        <v>0</v>
      </c>
      <c r="DU8" s="74">
        <f>VLOOKUP($H$8&amp;$F$1,'Input RM sheet'!$A:$ZZ,DT1,0)</f>
        <v>0</v>
      </c>
      <c r="DV8" s="74">
        <f>VLOOKUP($H$8&amp;$F$1,'Input RM sheet'!$A:$ZZ,DU1,0)</f>
        <v>0</v>
      </c>
      <c r="DW8" s="74">
        <f>VLOOKUP($H$8&amp;$F$1,'Input RM sheet'!$A:$ZZ,DV1,0)</f>
        <v>0</v>
      </c>
      <c r="DX8" s="74">
        <f>VLOOKUP($H$8&amp;$F$1,'Input RM sheet'!$A:$ZZ,DW1,0)</f>
        <v>0</v>
      </c>
      <c r="DY8" s="74">
        <f>VLOOKUP($H$8&amp;$F$1,'Input RM sheet'!$A:$ZZ,DX1,0)</f>
        <v>0</v>
      </c>
      <c r="DZ8" s="74">
        <f>VLOOKUP($H$8&amp;$F$1,'Input RM sheet'!$A:$ZZ,DY1,0)</f>
        <v>0</v>
      </c>
      <c r="EA8" s="74">
        <f>VLOOKUP($H$8&amp;$F$1,'Input RM sheet'!$A:$ZZ,DZ1,0)</f>
        <v>0</v>
      </c>
      <c r="EB8" s="74">
        <f>VLOOKUP($H$8&amp;$F$1,'Input RM sheet'!$A:$ZZ,EA1,0)</f>
        <v>0</v>
      </c>
      <c r="EC8" s="74">
        <f>VLOOKUP($H$8&amp;$F$1,'Input RM sheet'!$A:$ZZ,EB1,0)</f>
        <v>0</v>
      </c>
      <c r="ED8" s="74">
        <f>VLOOKUP($H$8&amp;$F$1,'Input RM sheet'!$A:$ZZ,EC1,0)</f>
        <v>0</v>
      </c>
      <c r="EE8" s="74">
        <f>VLOOKUP($H$8&amp;$F$1,'Input RM sheet'!$A:$ZZ,ED1,0)</f>
        <v>0</v>
      </c>
      <c r="EF8" s="74">
        <f>VLOOKUP($H$8&amp;$F$1,'Input RM sheet'!$A:$ZZ,EE1,0)</f>
        <v>0</v>
      </c>
      <c r="EG8" s="74">
        <f>VLOOKUP($H$8&amp;$F$1,'Input RM sheet'!$A:$ZZ,EF1,0)</f>
        <v>0</v>
      </c>
      <c r="EH8" s="74">
        <f>VLOOKUP($H$8&amp;$F$1,'Input RM sheet'!$A:$ZZ,EG1,0)</f>
        <v>0</v>
      </c>
      <c r="EI8" s="74">
        <f>VLOOKUP($H$8&amp;$F$1,'Input RM sheet'!$A:$ZZ,EH1,0)</f>
        <v>0</v>
      </c>
      <c r="EJ8" s="74">
        <f>VLOOKUP($H$8&amp;$F$1,'Input RM sheet'!$A:$ZZ,EI1,0)</f>
        <v>0</v>
      </c>
      <c r="EK8" s="74">
        <f>VLOOKUP($H$8&amp;$F$1,'Input RM sheet'!$A:$ZZ,EJ1,0)</f>
        <v>0</v>
      </c>
      <c r="EL8" s="74">
        <f>VLOOKUP($H$8&amp;$F$1,'Input RM sheet'!$A:$ZZ,EK1,0)</f>
        <v>0</v>
      </c>
      <c r="EM8" s="74">
        <f>VLOOKUP($H$8&amp;$F$1,'Input RM sheet'!$A:$ZZ,EL1,0)</f>
        <v>0</v>
      </c>
      <c r="EN8" s="74">
        <f>VLOOKUP($H$8&amp;$F$1,'Input RM sheet'!$A:$ZZ,EM1,0)</f>
        <v>0</v>
      </c>
      <c r="EO8" s="74">
        <f>VLOOKUP($H$8&amp;$F$1,'Input RM sheet'!$A:$ZZ,EN1,0)</f>
        <v>0</v>
      </c>
      <c r="EP8" s="74">
        <f>VLOOKUP($H$8&amp;$F$1,'Input RM sheet'!$A:$ZZ,EO1,0)</f>
        <v>0</v>
      </c>
      <c r="EQ8" s="74">
        <f>VLOOKUP($H$8&amp;$F$1,'Input RM sheet'!$A:$ZZ,EP1,0)</f>
        <v>0</v>
      </c>
      <c r="ER8" s="74">
        <f>VLOOKUP($H$8&amp;$F$1,'Input RM sheet'!$A:$ZZ,EQ1,0)</f>
        <v>0</v>
      </c>
      <c r="ES8" s="74">
        <f>VLOOKUP($H$8&amp;$F$1,'Input RM sheet'!$A:$ZZ,ER1,0)</f>
        <v>0</v>
      </c>
      <c r="ET8" s="74">
        <f>VLOOKUP($H$8&amp;$F$1,'Input RM sheet'!$A:$ZZ,ES1,0)</f>
        <v>0</v>
      </c>
      <c r="EU8" s="74">
        <f>VLOOKUP($H$8&amp;$F$1,'Input RM sheet'!$A:$ZZ,ET1,0)</f>
        <v>0</v>
      </c>
      <c r="EV8" s="74">
        <f>VLOOKUP($H$8&amp;$F$1,'Input RM sheet'!$A:$ZZ,EU1,0)</f>
        <v>0</v>
      </c>
      <c r="EW8" s="74">
        <f>VLOOKUP($H$8&amp;$F$1,'Input RM sheet'!$A:$ZZ,EV1,0)</f>
        <v>0</v>
      </c>
      <c r="EX8" s="74">
        <f>VLOOKUP($H$8&amp;$F$1,'Input RM sheet'!$A:$ZZ,EW1,0)</f>
        <v>0</v>
      </c>
      <c r="EY8" s="74">
        <f>VLOOKUP($H$8&amp;$F$1,'Input RM sheet'!$A:$ZZ,EX1,0)</f>
        <v>0</v>
      </c>
      <c r="EZ8" s="74">
        <f>VLOOKUP($H$8&amp;$F$1,'Input RM sheet'!$A:$ZZ,EY1,0)</f>
        <v>0</v>
      </c>
      <c r="FA8" s="74">
        <f>VLOOKUP($H$8&amp;$F$1,'Input RM sheet'!$A:$ZZ,EZ1,0)</f>
        <v>0</v>
      </c>
      <c r="FB8" s="74">
        <f>VLOOKUP($H$8&amp;$F$1,'Input RM sheet'!$A:$ZZ,FA1,0)</f>
        <v>0</v>
      </c>
      <c r="FC8" s="74">
        <f>VLOOKUP($H$8&amp;$F$1,'Input RM sheet'!$A:$ZZ,FB1,0)</f>
        <v>0</v>
      </c>
    </row>
    <row r="9" spans="1:161">
      <c r="H9" s="44"/>
      <c r="I9" s="74"/>
      <c r="J9" s="74"/>
      <c r="K9" s="74"/>
      <c r="L9" s="74"/>
      <c r="M9" s="74"/>
      <c r="N9" s="74"/>
      <c r="O9" s="74"/>
      <c r="P9" s="74"/>
      <c r="Q9" s="74"/>
      <c r="R9" s="74"/>
      <c r="S9" s="74"/>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74"/>
      <c r="BG9" s="74"/>
      <c r="BH9" s="74"/>
      <c r="BI9" s="74"/>
      <c r="BJ9" s="74"/>
      <c r="BK9" s="74"/>
      <c r="BL9" s="74"/>
      <c r="BM9" s="74"/>
      <c r="BN9" s="74"/>
      <c r="BO9" s="74"/>
      <c r="BP9" s="74"/>
      <c r="BQ9" s="74"/>
      <c r="BR9" s="74"/>
      <c r="BS9" s="74"/>
      <c r="BT9" s="74"/>
      <c r="BU9" s="74"/>
      <c r="BV9" s="74"/>
      <c r="BW9" s="74"/>
      <c r="BX9" s="74"/>
      <c r="BY9" s="74"/>
      <c r="BZ9" s="74"/>
      <c r="CA9" s="74"/>
      <c r="CB9" s="74"/>
      <c r="CC9" s="74"/>
      <c r="CD9" s="74"/>
      <c r="CE9" s="74"/>
      <c r="CF9" s="74"/>
      <c r="CG9" s="74"/>
      <c r="CH9" s="74"/>
      <c r="CI9" s="74"/>
      <c r="CJ9" s="74"/>
      <c r="CK9" s="74"/>
      <c r="CL9" s="74"/>
      <c r="CM9" s="74"/>
      <c r="CN9" s="74"/>
      <c r="CO9" s="74"/>
      <c r="CP9" s="74"/>
      <c r="CQ9" s="74"/>
      <c r="CR9" s="74"/>
      <c r="CS9" s="74"/>
      <c r="CT9" s="74"/>
      <c r="CU9" s="74"/>
      <c r="CV9" s="74"/>
      <c r="CW9" s="74"/>
      <c r="CX9" s="74"/>
      <c r="CY9" s="74"/>
      <c r="CZ9" s="74"/>
      <c r="DA9" s="74"/>
      <c r="DB9" s="74"/>
      <c r="DC9" s="74"/>
      <c r="DD9" s="74"/>
      <c r="DE9" s="74"/>
      <c r="DF9" s="74"/>
      <c r="DG9" s="74"/>
      <c r="DH9" s="74"/>
      <c r="DI9" s="74"/>
      <c r="DJ9" s="74"/>
      <c r="DK9" s="74"/>
      <c r="DL9" s="74"/>
      <c r="DM9" s="74"/>
      <c r="DN9" s="74"/>
      <c r="DO9" s="74"/>
      <c r="DP9" s="74"/>
      <c r="DQ9" s="74"/>
      <c r="DR9" s="74"/>
      <c r="DS9" s="74"/>
      <c r="DT9" s="74"/>
      <c r="DU9" s="74"/>
      <c r="DV9" s="74"/>
      <c r="DW9" s="74"/>
      <c r="DX9" s="74"/>
      <c r="DY9" s="74"/>
      <c r="DZ9" s="74"/>
      <c r="EA9" s="74"/>
      <c r="EB9" s="74"/>
      <c r="EC9" s="74"/>
      <c r="ED9" s="74"/>
      <c r="EE9" s="74"/>
      <c r="EF9" s="74"/>
      <c r="EG9" s="74"/>
      <c r="EH9" s="74"/>
      <c r="EI9" s="74"/>
      <c r="EJ9" s="74"/>
      <c r="EK9" s="74"/>
      <c r="EL9" s="74"/>
      <c r="EM9" s="74"/>
      <c r="EN9" s="74"/>
      <c r="EO9" s="74"/>
      <c r="EP9" s="74"/>
      <c r="EQ9" s="74"/>
      <c r="ER9" s="74"/>
      <c r="ES9" s="74"/>
      <c r="ET9" s="74"/>
      <c r="EU9" s="74"/>
      <c r="EV9" s="74"/>
      <c r="EW9" s="74"/>
      <c r="EX9" s="74"/>
      <c r="EY9" s="74"/>
      <c r="EZ9" s="74"/>
      <c r="FA9" s="74"/>
      <c r="FB9" s="74"/>
      <c r="FC9" s="74"/>
    </row>
    <row r="10" spans="1:161" ht="13">
      <c r="A10" s="59" t="s">
        <v>395</v>
      </c>
      <c r="B10" s="59"/>
      <c r="C10" s="59" t="s">
        <v>379</v>
      </c>
      <c r="D10" s="98" t="s">
        <v>380</v>
      </c>
      <c r="E10" s="98" t="s">
        <v>381</v>
      </c>
      <c r="F10" s="59" t="s">
        <v>396</v>
      </c>
      <c r="I10" s="84"/>
      <c r="J10" s="84"/>
      <c r="K10" s="84"/>
      <c r="L10" s="84"/>
      <c r="M10" s="84"/>
      <c r="N10" s="84"/>
      <c r="O10" s="84"/>
      <c r="P10" s="84"/>
      <c r="Q10" s="84"/>
      <c r="R10" s="84"/>
      <c r="S10" s="84"/>
      <c r="T10" s="84"/>
      <c r="U10" s="84"/>
      <c r="V10" s="84"/>
      <c r="W10" s="84"/>
      <c r="X10" s="84"/>
      <c r="Y10" s="84"/>
      <c r="Z10" s="84"/>
      <c r="AA10" s="84"/>
      <c r="AB10" s="84"/>
      <c r="AC10" s="84"/>
      <c r="AD10" s="84"/>
      <c r="AE10" s="84"/>
      <c r="AF10" s="84"/>
      <c r="AG10" s="84"/>
      <c r="AH10" s="84"/>
      <c r="AI10" s="84"/>
      <c r="AJ10" s="84"/>
      <c r="AK10" s="84"/>
      <c r="AL10" s="84"/>
      <c r="AM10" s="84"/>
      <c r="AN10" s="84"/>
      <c r="AO10" s="84"/>
      <c r="AP10" s="84"/>
      <c r="AQ10" s="84"/>
      <c r="AR10" s="84"/>
      <c r="AS10" s="84"/>
      <c r="AT10" s="84"/>
      <c r="AU10" s="84"/>
      <c r="AV10" s="84"/>
      <c r="AW10" s="84"/>
      <c r="AX10" s="84"/>
      <c r="AY10" s="84"/>
      <c r="AZ10" s="84"/>
      <c r="BA10" s="84"/>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84"/>
      <c r="CE10" s="84"/>
      <c r="CF10" s="84"/>
      <c r="CG10" s="84"/>
      <c r="CH10" s="84"/>
      <c r="CI10" s="84"/>
      <c r="CJ10" s="84"/>
      <c r="CK10" s="84"/>
      <c r="CL10" s="84"/>
      <c r="CM10" s="84"/>
      <c r="CN10" s="84"/>
      <c r="CO10" s="84"/>
      <c r="CP10" s="84"/>
      <c r="CQ10" s="84"/>
      <c r="CR10" s="84"/>
      <c r="CS10" s="84"/>
      <c r="CT10" s="84"/>
      <c r="CU10" s="84"/>
      <c r="CV10" s="84"/>
      <c r="CW10" s="84"/>
      <c r="CX10" s="84"/>
      <c r="CY10" s="84"/>
      <c r="CZ10" s="84"/>
      <c r="DA10" s="84"/>
      <c r="DB10" s="84"/>
      <c r="DC10" s="84"/>
      <c r="DD10" s="84"/>
      <c r="DE10" s="84"/>
      <c r="DF10" s="84"/>
      <c r="DG10" s="84"/>
      <c r="DH10" s="84"/>
      <c r="DI10" s="84"/>
      <c r="DJ10" s="84"/>
      <c r="DK10" s="84"/>
      <c r="DL10" s="84"/>
      <c r="DM10" s="84"/>
      <c r="DN10" s="84"/>
      <c r="DO10" s="84"/>
      <c r="DP10" s="84"/>
      <c r="DQ10" s="84"/>
      <c r="DR10" s="84"/>
      <c r="DS10" s="84"/>
      <c r="DT10" s="84"/>
      <c r="DU10" s="84"/>
      <c r="DV10" s="84"/>
      <c r="DW10" s="84"/>
      <c r="DX10" s="84"/>
      <c r="DY10" s="84"/>
      <c r="DZ10" s="84"/>
      <c r="EA10" s="84"/>
      <c r="EB10" s="84"/>
      <c r="EC10" s="84"/>
      <c r="ED10" s="84"/>
      <c r="EE10" s="84"/>
      <c r="EF10" s="84"/>
      <c r="EG10" s="84"/>
      <c r="EH10" s="84"/>
      <c r="EI10" s="84"/>
      <c r="EJ10" s="84"/>
      <c r="EK10" s="84"/>
      <c r="EL10" s="84"/>
      <c r="EM10" s="84"/>
      <c r="EN10" s="84"/>
      <c r="EO10" s="84"/>
      <c r="EP10" s="84"/>
      <c r="EQ10" s="84"/>
      <c r="ER10" s="84"/>
      <c r="ES10" s="84"/>
      <c r="ET10" s="84"/>
      <c r="EU10" s="84"/>
      <c r="EV10" s="84"/>
      <c r="EW10" s="84"/>
      <c r="EX10" s="84"/>
      <c r="EY10" s="84"/>
      <c r="EZ10" s="84"/>
      <c r="FA10" s="84"/>
      <c r="FB10" s="84"/>
      <c r="FC10" s="84"/>
    </row>
    <row r="11" spans="1:161" ht="13">
      <c r="A11" s="107" t="s">
        <v>397</v>
      </c>
      <c r="B11" s="178" t="s">
        <v>64</v>
      </c>
      <c r="C11" s="60">
        <v>6</v>
      </c>
      <c r="D11" s="77">
        <v>58.08</v>
      </c>
      <c r="E11" s="60">
        <f>D11*C11</f>
        <v>348.48</v>
      </c>
      <c r="F11" s="65">
        <f>(E11/D3)</f>
        <v>2.0232234091964703</v>
      </c>
      <c r="H11" s="60" t="s">
        <v>399</v>
      </c>
      <c r="I11" s="74">
        <f>$F$11*(I8/1000)</f>
        <v>1.3838848118903857</v>
      </c>
      <c r="J11" s="74">
        <f t="shared" ref="J11:BU11" si="0">$F$11*(J8/1000)</f>
        <v>1.4290026939154667</v>
      </c>
      <c r="K11" s="74">
        <f t="shared" si="0"/>
        <v>1.3025512308406875</v>
      </c>
      <c r="L11" s="74">
        <f t="shared" si="0"/>
        <v>1.1937018114259175</v>
      </c>
      <c r="M11" s="74">
        <f t="shared" si="0"/>
        <v>1.5862071528100328</v>
      </c>
      <c r="N11" s="74">
        <f t="shared" si="0"/>
        <v>1.8791699024616815</v>
      </c>
      <c r="O11" s="74">
        <f t="shared" si="0"/>
        <v>1.9291435206688343</v>
      </c>
      <c r="P11" s="74">
        <f t="shared" si="0"/>
        <v>1.8057268927078496</v>
      </c>
      <c r="Q11" s="74">
        <f t="shared" si="0"/>
        <v>1.7905527171388762</v>
      </c>
      <c r="R11" s="74">
        <f t="shared" si="0"/>
        <v>1.837086855550395</v>
      </c>
      <c r="S11" s="74">
        <f t="shared" si="0"/>
        <v>1.9499827217835579</v>
      </c>
      <c r="T11" s="74">
        <f t="shared" si="0"/>
        <v>2.13207282861124</v>
      </c>
      <c r="U11" s="74">
        <f t="shared" si="0"/>
        <v>2.0080492336274967</v>
      </c>
      <c r="V11" s="74">
        <f t="shared" si="0"/>
        <v>2.1951973989781703</v>
      </c>
      <c r="W11" s="74">
        <f t="shared" si="0"/>
        <v>2.5897259637714818</v>
      </c>
      <c r="X11" s="74">
        <f t="shared" si="0"/>
        <v>2.6403065490013935</v>
      </c>
      <c r="Y11" s="74">
        <f t="shared" si="0"/>
        <v>2.503738968880632</v>
      </c>
      <c r="Z11" s="74">
        <f t="shared" si="0"/>
        <v>2.0814922433813283</v>
      </c>
      <c r="AA11" s="74">
        <f t="shared" si="0"/>
        <v>1.7480650255457504</v>
      </c>
      <c r="AB11" s="74">
        <f t="shared" si="0"/>
        <v>1.6641012540640967</v>
      </c>
      <c r="AC11" s="74">
        <f t="shared" si="0"/>
        <v>1.6974844403158384</v>
      </c>
      <c r="AD11" s="74">
        <f t="shared" si="0"/>
        <v>1.8249475150952161</v>
      </c>
      <c r="AE11" s="74">
        <f t="shared" si="0"/>
        <v>1.808357083139805</v>
      </c>
      <c r="AF11" s="74">
        <f t="shared" si="0"/>
        <v>1.6893915466790526</v>
      </c>
      <c r="AG11" s="74">
        <f t="shared" si="0"/>
        <v>1.6641012540640967</v>
      </c>
      <c r="AH11" s="74">
        <f t="shared" si="0"/>
        <v>1.7703204830469115</v>
      </c>
      <c r="AI11" s="74">
        <f t="shared" si="0"/>
        <v>1.9955052484904785</v>
      </c>
      <c r="AJ11" s="74">
        <f t="shared" si="0"/>
        <v>1.9463409196470043</v>
      </c>
      <c r="AK11" s="74">
        <f t="shared" si="0"/>
        <v>1.9321783557826291</v>
      </c>
      <c r="AL11" s="74">
        <f t="shared" si="0"/>
        <v>1.9422944728286113</v>
      </c>
      <c r="AM11" s="74">
        <f t="shared" si="0"/>
        <v>1.9261086855550396</v>
      </c>
      <c r="AN11" s="74">
        <f t="shared" si="0"/>
        <v>1.7703204830469115</v>
      </c>
      <c r="AO11" s="74">
        <f t="shared" si="0"/>
        <v>1.6944496052020439</v>
      </c>
      <c r="AP11" s="74">
        <f t="shared" si="0"/>
        <v>1.6566153274500699</v>
      </c>
      <c r="AQ11" s="74">
        <f t="shared" si="0"/>
        <v>1.5882303762192291</v>
      </c>
      <c r="AR11" s="74">
        <f t="shared" si="0"/>
        <v>1.5983464932652116</v>
      </c>
      <c r="AS11" s="74">
        <f t="shared" si="0"/>
        <v>1.5983464932652116</v>
      </c>
      <c r="AT11" s="74">
        <f t="shared" si="0"/>
        <v>1.6869636785880169</v>
      </c>
      <c r="AU11" s="74">
        <f t="shared" si="0"/>
        <v>1.8512494194147704</v>
      </c>
      <c r="AV11" s="74">
        <f t="shared" si="0"/>
        <v>1.8512494194147704</v>
      </c>
      <c r="AW11" s="74">
        <f t="shared" si="0"/>
        <v>1.8866558290757085</v>
      </c>
      <c r="AX11" s="74">
        <f t="shared" si="0"/>
        <v>1.8664235949837438</v>
      </c>
      <c r="AY11" s="74">
        <f t="shared" si="0"/>
        <v>1.6185787273571763</v>
      </c>
      <c r="AZ11" s="74">
        <f t="shared" si="0"/>
        <v>1.6489270784951231</v>
      </c>
      <c r="BA11" s="74">
        <f t="shared" si="0"/>
        <v>1.6489270784951231</v>
      </c>
      <c r="BB11" s="74">
        <f t="shared" si="0"/>
        <v>1.6691593125870878</v>
      </c>
      <c r="BC11" s="74">
        <f t="shared" si="0"/>
        <v>1.7096237807710173</v>
      </c>
      <c r="BD11" s="74">
        <f t="shared" si="0"/>
        <v>1.7399721319089645</v>
      </c>
      <c r="BE11" s="74">
        <f t="shared" si="0"/>
        <v>1.7500882489549467</v>
      </c>
      <c r="BF11" s="74">
        <f t="shared" si="0"/>
        <v>1.7500882489549467</v>
      </c>
      <c r="BG11" s="74">
        <f t="shared" si="0"/>
        <v>1.7500882489549467</v>
      </c>
      <c r="BH11" s="74">
        <f t="shared" si="0"/>
        <v>1.7703204830469115</v>
      </c>
      <c r="BI11" s="74">
        <f t="shared" si="0"/>
        <v>1.7703204830469115</v>
      </c>
      <c r="BJ11" s="74">
        <f t="shared" si="0"/>
        <v>1.8714816535067351</v>
      </c>
      <c r="BK11" s="74">
        <f t="shared" si="0"/>
        <v>1.9018300046446819</v>
      </c>
      <c r="BL11" s="74">
        <f t="shared" si="0"/>
        <v>1.9220622387366466</v>
      </c>
      <c r="BM11" s="74">
        <f t="shared" si="0"/>
        <v>1.8613655364607526</v>
      </c>
      <c r="BN11" s="74">
        <f t="shared" si="0"/>
        <v>1.8613655364607526</v>
      </c>
      <c r="BO11" s="74">
        <f t="shared" si="0"/>
        <v>1.8613655364607526</v>
      </c>
      <c r="BP11" s="74">
        <f t="shared" si="0"/>
        <v>1.8815977705527174</v>
      </c>
      <c r="BQ11" s="74">
        <f t="shared" si="0"/>
        <v>1.8815977705527174</v>
      </c>
      <c r="BR11" s="74">
        <f t="shared" si="0"/>
        <v>1.8815977705527174</v>
      </c>
      <c r="BS11" s="74">
        <f t="shared" si="0"/>
        <v>1.8310171853228057</v>
      </c>
      <c r="BT11" s="74">
        <f t="shared" si="0"/>
        <v>1.8310171853228057</v>
      </c>
      <c r="BU11" s="74">
        <f t="shared" si="0"/>
        <v>1.8310171853228057</v>
      </c>
      <c r="BV11" s="74">
        <f t="shared" ref="BV11:CR11" si="1">$F$11*(BV8/1000)</f>
        <v>1.8310171853228057</v>
      </c>
      <c r="BW11" s="74">
        <f t="shared" si="1"/>
        <v>1.8815977705527174</v>
      </c>
      <c r="BX11" s="74">
        <f t="shared" si="1"/>
        <v>1.8714816535067351</v>
      </c>
      <c r="BY11" s="74">
        <f t="shared" si="1"/>
        <v>1.8714816535067351</v>
      </c>
      <c r="BZ11" s="74">
        <f t="shared" si="1"/>
        <v>1.9422944728286113</v>
      </c>
      <c r="CA11" s="74">
        <f t="shared" si="1"/>
        <v>1.9422944728286113</v>
      </c>
      <c r="CB11" s="74">
        <f t="shared" si="1"/>
        <v>1.9827589410125408</v>
      </c>
      <c r="CC11" s="74">
        <f t="shared" si="1"/>
        <v>2.0839201114723642</v>
      </c>
      <c r="CD11" s="74">
        <f t="shared" si="1"/>
        <v>2.0839201114723642</v>
      </c>
      <c r="CE11" s="74">
        <f t="shared" si="1"/>
        <v>2.0839201114723642</v>
      </c>
      <c r="CF11" s="74">
        <f t="shared" si="1"/>
        <v>2.0839201114723642</v>
      </c>
      <c r="CG11" s="74">
        <f t="shared" si="1"/>
        <v>2.1041523455643292</v>
      </c>
      <c r="CH11" s="74">
        <f t="shared" si="1"/>
        <v>2.1041523455643292</v>
      </c>
      <c r="CI11" s="74">
        <f t="shared" si="1"/>
        <v>2.1041523455643292</v>
      </c>
      <c r="CJ11" s="74">
        <f t="shared" si="1"/>
        <v>2.1041523455643292</v>
      </c>
      <c r="CK11" s="74">
        <f t="shared" si="1"/>
        <v>2.1041523455643292</v>
      </c>
      <c r="CL11" s="74">
        <f t="shared" si="1"/>
        <v>2.1446168137482586</v>
      </c>
      <c r="CM11" s="74">
        <f t="shared" si="1"/>
        <v>2.1446168137482586</v>
      </c>
      <c r="CN11" s="74">
        <f t="shared" si="1"/>
        <v>2.1648490478402231</v>
      </c>
      <c r="CO11" s="74">
        <f t="shared" si="1"/>
        <v>2.1648490478402231</v>
      </c>
      <c r="CP11" s="74">
        <f t="shared" si="1"/>
        <v>2.1648490478402231</v>
      </c>
      <c r="CQ11" s="74">
        <f t="shared" si="1"/>
        <v>2.1648490478402231</v>
      </c>
      <c r="CR11" s="74">
        <f t="shared" si="1"/>
        <v>2.1648490478402231</v>
      </c>
      <c r="CS11" s="74">
        <f t="shared" ref="CS11:FC11" si="2">$F$11*(CS8/1000)</f>
        <v>2.1547329307942409</v>
      </c>
      <c r="CT11" s="74">
        <f t="shared" si="2"/>
        <v>2.1749651648862054</v>
      </c>
      <c r="CU11" s="74">
        <f t="shared" si="2"/>
        <v>2.1648490478402231</v>
      </c>
      <c r="CV11" s="74">
        <f t="shared" si="2"/>
        <v>2.1648490478402231</v>
      </c>
      <c r="CW11" s="74">
        <f t="shared" si="2"/>
        <v>2.1648490478402231</v>
      </c>
      <c r="CX11" s="74">
        <f t="shared" si="2"/>
        <v>2.1041523455643292</v>
      </c>
      <c r="CY11" s="74">
        <f t="shared" si="2"/>
        <v>2.0636878773803997</v>
      </c>
      <c r="CZ11" s="74">
        <f t="shared" si="2"/>
        <v>2.0636878773803997</v>
      </c>
      <c r="DA11" s="74">
        <f t="shared" si="2"/>
        <v>2.0636878773803997</v>
      </c>
      <c r="DB11" s="74">
        <f t="shared" si="2"/>
        <v>2.0636878773803997</v>
      </c>
      <c r="DC11" s="74">
        <f t="shared" si="2"/>
        <v>2.0485137018114261</v>
      </c>
      <c r="DD11" s="74">
        <f t="shared" si="2"/>
        <v>1.9422944728286113</v>
      </c>
      <c r="DE11" s="74">
        <f t="shared" si="2"/>
        <v>1.9321783557826291</v>
      </c>
      <c r="DF11" s="74">
        <f t="shared" si="2"/>
        <v>1.7703204830469115</v>
      </c>
      <c r="DG11" s="74">
        <f t="shared" si="2"/>
        <v>1.7197398978169998</v>
      </c>
      <c r="DH11" s="74">
        <f t="shared" si="2"/>
        <v>1.7500882489549467</v>
      </c>
      <c r="DI11" s="74">
        <f t="shared" si="2"/>
        <v>1.729856014862982</v>
      </c>
      <c r="DJ11" s="74">
        <f t="shared" si="2"/>
        <v>1.699507663725035</v>
      </c>
      <c r="DK11" s="74">
        <f t="shared" si="2"/>
        <v>1.699507663725035</v>
      </c>
      <c r="DL11" s="74">
        <f t="shared" si="2"/>
        <v>1.699507663725035</v>
      </c>
      <c r="DM11" s="74">
        <f t="shared" si="2"/>
        <v>1.6590431955411056</v>
      </c>
      <c r="DN11" s="74">
        <f t="shared" si="2"/>
        <v>1.5983464932652116</v>
      </c>
      <c r="DO11" s="74">
        <f t="shared" si="2"/>
        <v>1.5781142591732469</v>
      </c>
      <c r="DP11" s="74">
        <f t="shared" si="2"/>
        <v>1.5781142591732469</v>
      </c>
      <c r="DQ11" s="74">
        <f t="shared" si="2"/>
        <v>1.5376497909893174</v>
      </c>
      <c r="DR11" s="74">
        <f t="shared" si="2"/>
        <v>1.5174175568973527</v>
      </c>
      <c r="DS11" s="74">
        <f t="shared" si="2"/>
        <v>1.5073014398513704</v>
      </c>
      <c r="DT11" s="74">
        <f t="shared" si="2"/>
        <v>0</v>
      </c>
      <c r="DU11" s="74">
        <f t="shared" si="2"/>
        <v>0</v>
      </c>
      <c r="DV11" s="74">
        <f t="shared" si="2"/>
        <v>0</v>
      </c>
      <c r="DW11" s="74">
        <f t="shared" si="2"/>
        <v>0</v>
      </c>
      <c r="DX11" s="74">
        <f t="shared" si="2"/>
        <v>0</v>
      </c>
      <c r="DY11" s="74">
        <f t="shared" si="2"/>
        <v>0</v>
      </c>
      <c r="DZ11" s="74">
        <f t="shared" si="2"/>
        <v>0</v>
      </c>
      <c r="EA11" s="74">
        <f t="shared" si="2"/>
        <v>0</v>
      </c>
      <c r="EB11" s="74">
        <f t="shared" si="2"/>
        <v>0</v>
      </c>
      <c r="EC11" s="74">
        <f t="shared" si="2"/>
        <v>0</v>
      </c>
      <c r="ED11" s="74">
        <f t="shared" si="2"/>
        <v>0</v>
      </c>
      <c r="EE11" s="74">
        <f t="shared" si="2"/>
        <v>0</v>
      </c>
      <c r="EF11" s="74">
        <f t="shared" si="2"/>
        <v>0</v>
      </c>
      <c r="EG11" s="74">
        <f t="shared" si="2"/>
        <v>0</v>
      </c>
      <c r="EH11" s="74">
        <f t="shared" si="2"/>
        <v>0</v>
      </c>
      <c r="EI11" s="74">
        <f t="shared" si="2"/>
        <v>0</v>
      </c>
      <c r="EJ11" s="74">
        <f t="shared" si="2"/>
        <v>0</v>
      </c>
      <c r="EK11" s="74">
        <f t="shared" si="2"/>
        <v>0</v>
      </c>
      <c r="EL11" s="74">
        <f t="shared" si="2"/>
        <v>0</v>
      </c>
      <c r="EM11" s="74">
        <f t="shared" si="2"/>
        <v>0</v>
      </c>
      <c r="EN11" s="74">
        <f t="shared" si="2"/>
        <v>0</v>
      </c>
      <c r="EO11" s="74">
        <f t="shared" si="2"/>
        <v>0</v>
      </c>
      <c r="EP11" s="74">
        <f t="shared" si="2"/>
        <v>0</v>
      </c>
      <c r="EQ11" s="74">
        <f t="shared" si="2"/>
        <v>0</v>
      </c>
      <c r="ER11" s="74">
        <f t="shared" si="2"/>
        <v>0</v>
      </c>
      <c r="ES11" s="74">
        <f t="shared" si="2"/>
        <v>0</v>
      </c>
      <c r="ET11" s="74">
        <f t="shared" si="2"/>
        <v>0</v>
      </c>
      <c r="EU11" s="74">
        <f t="shared" si="2"/>
        <v>0</v>
      </c>
      <c r="EV11" s="74">
        <f t="shared" si="2"/>
        <v>0</v>
      </c>
      <c r="EW11" s="74">
        <f t="shared" si="2"/>
        <v>0</v>
      </c>
      <c r="EX11" s="74">
        <f t="shared" si="2"/>
        <v>0</v>
      </c>
      <c r="EY11" s="74">
        <f t="shared" si="2"/>
        <v>0</v>
      </c>
      <c r="EZ11" s="74">
        <f t="shared" si="2"/>
        <v>0</v>
      </c>
      <c r="FA11" s="74">
        <f t="shared" si="2"/>
        <v>0</v>
      </c>
      <c r="FB11" s="74">
        <f t="shared" si="2"/>
        <v>0</v>
      </c>
      <c r="FC11" s="74">
        <f t="shared" si="2"/>
        <v>0</v>
      </c>
    </row>
    <row r="12" spans="1:161">
      <c r="A12" s="67"/>
      <c r="B12" s="100"/>
      <c r="D12" s="77"/>
      <c r="F12" s="65"/>
      <c r="I12" s="74"/>
      <c r="J12" s="74"/>
      <c r="K12" s="74"/>
      <c r="L12" s="74"/>
      <c r="M12" s="74"/>
      <c r="N12" s="74"/>
      <c r="O12" s="74"/>
      <c r="P12" s="74"/>
      <c r="Q12" s="74"/>
      <c r="R12" s="74"/>
      <c r="S12" s="74"/>
      <c r="T12" s="74"/>
      <c r="U12" s="74"/>
      <c r="V12" s="74"/>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c r="BL12" s="74"/>
      <c r="BM12" s="74"/>
      <c r="BN12" s="74"/>
      <c r="BO12" s="74"/>
      <c r="BP12" s="74"/>
      <c r="BQ12" s="74"/>
      <c r="BR12" s="74"/>
      <c r="BS12" s="74"/>
      <c r="BT12" s="74"/>
      <c r="BU12" s="74"/>
      <c r="BV12" s="74"/>
      <c r="BW12" s="74"/>
      <c r="BX12" s="74"/>
      <c r="BY12" s="74"/>
      <c r="BZ12" s="74"/>
      <c r="CA12" s="74"/>
      <c r="CB12" s="74"/>
      <c r="CC12" s="74"/>
      <c r="CD12" s="74"/>
      <c r="CE12" s="74"/>
      <c r="CF12" s="74"/>
      <c r="CG12" s="74"/>
      <c r="CH12" s="74"/>
      <c r="CI12" s="74"/>
      <c r="CJ12" s="74"/>
      <c r="CK12" s="74"/>
      <c r="CL12" s="74"/>
      <c r="CM12" s="74"/>
      <c r="CN12" s="74"/>
      <c r="CO12" s="74"/>
      <c r="CP12" s="74"/>
      <c r="CQ12" s="74"/>
      <c r="CR12" s="74"/>
      <c r="CS12" s="74"/>
      <c r="CT12" s="74"/>
      <c r="CU12" s="74"/>
      <c r="CV12" s="74"/>
      <c r="CW12" s="74"/>
      <c r="CX12" s="74"/>
      <c r="CY12" s="74"/>
      <c r="CZ12" s="74"/>
      <c r="DA12" s="74"/>
      <c r="DB12" s="74"/>
      <c r="DC12" s="74"/>
      <c r="DD12" s="74"/>
      <c r="DE12" s="74"/>
      <c r="DF12" s="74"/>
      <c r="DG12" s="74"/>
      <c r="DH12" s="74"/>
      <c r="DI12" s="74"/>
      <c r="DJ12" s="74"/>
      <c r="DK12" s="74"/>
      <c r="DL12" s="74"/>
      <c r="DM12" s="74"/>
      <c r="DN12" s="74"/>
      <c r="DO12" s="74"/>
      <c r="DP12" s="74"/>
      <c r="DQ12" s="74"/>
      <c r="DR12" s="74"/>
      <c r="DS12" s="74"/>
      <c r="DT12" s="74"/>
      <c r="DU12" s="74"/>
      <c r="DV12" s="74"/>
      <c r="DW12" s="74"/>
      <c r="DX12" s="74"/>
      <c r="DY12" s="74"/>
      <c r="DZ12" s="74"/>
      <c r="EA12" s="74"/>
      <c r="EB12" s="74"/>
      <c r="EC12" s="74"/>
      <c r="ED12" s="74"/>
      <c r="EE12" s="74"/>
      <c r="EF12" s="74"/>
      <c r="EG12" s="74"/>
      <c r="EH12" s="74"/>
      <c r="EI12" s="74"/>
      <c r="EJ12" s="74"/>
      <c r="EK12" s="74"/>
      <c r="EL12" s="74"/>
      <c r="EM12" s="74"/>
      <c r="EN12" s="74"/>
      <c r="EO12" s="74"/>
      <c r="EP12" s="74"/>
      <c r="EQ12" s="74"/>
      <c r="ER12" s="74"/>
      <c r="ES12" s="74"/>
      <c r="ET12" s="74"/>
      <c r="EU12" s="74"/>
      <c r="EV12" s="74"/>
      <c r="EW12" s="74"/>
      <c r="EX12" s="74"/>
      <c r="EY12" s="74"/>
      <c r="EZ12" s="74"/>
      <c r="FA12" s="74"/>
      <c r="FB12" s="74"/>
      <c r="FC12" s="74"/>
    </row>
    <row r="13" spans="1:161" s="104" customFormat="1">
      <c r="H13" s="104" t="s">
        <v>799</v>
      </c>
      <c r="I13" s="105">
        <f>SUM(I11:I11)</f>
        <v>1.3838848118903857</v>
      </c>
      <c r="J13" s="105">
        <f t="shared" ref="J13:BU13" si="3">SUM(J11:J11)</f>
        <v>1.4290026939154667</v>
      </c>
      <c r="K13" s="105">
        <f t="shared" si="3"/>
        <v>1.3025512308406875</v>
      </c>
      <c r="L13" s="105">
        <f t="shared" si="3"/>
        <v>1.1937018114259175</v>
      </c>
      <c r="M13" s="105">
        <f t="shared" si="3"/>
        <v>1.5862071528100328</v>
      </c>
      <c r="N13" s="105">
        <f t="shared" si="3"/>
        <v>1.8791699024616815</v>
      </c>
      <c r="O13" s="105">
        <f t="shared" si="3"/>
        <v>1.9291435206688343</v>
      </c>
      <c r="P13" s="105">
        <f t="shared" si="3"/>
        <v>1.8057268927078496</v>
      </c>
      <c r="Q13" s="105">
        <f t="shared" si="3"/>
        <v>1.7905527171388762</v>
      </c>
      <c r="R13" s="105">
        <f t="shared" si="3"/>
        <v>1.837086855550395</v>
      </c>
      <c r="S13" s="105">
        <f t="shared" si="3"/>
        <v>1.9499827217835579</v>
      </c>
      <c r="T13" s="105">
        <f t="shared" si="3"/>
        <v>2.13207282861124</v>
      </c>
      <c r="U13" s="105">
        <f t="shared" si="3"/>
        <v>2.0080492336274967</v>
      </c>
      <c r="V13" s="105">
        <f t="shared" si="3"/>
        <v>2.1951973989781703</v>
      </c>
      <c r="W13" s="105">
        <f t="shared" si="3"/>
        <v>2.5897259637714818</v>
      </c>
      <c r="X13" s="105">
        <f t="shared" si="3"/>
        <v>2.6403065490013935</v>
      </c>
      <c r="Y13" s="105">
        <f t="shared" si="3"/>
        <v>2.503738968880632</v>
      </c>
      <c r="Z13" s="105">
        <f t="shared" si="3"/>
        <v>2.0814922433813283</v>
      </c>
      <c r="AA13" s="105">
        <f t="shared" si="3"/>
        <v>1.7480650255457504</v>
      </c>
      <c r="AB13" s="105">
        <f t="shared" si="3"/>
        <v>1.6641012540640967</v>
      </c>
      <c r="AC13" s="105">
        <f t="shared" si="3"/>
        <v>1.6974844403158384</v>
      </c>
      <c r="AD13" s="105">
        <f t="shared" si="3"/>
        <v>1.8249475150952161</v>
      </c>
      <c r="AE13" s="105">
        <f t="shared" si="3"/>
        <v>1.808357083139805</v>
      </c>
      <c r="AF13" s="105">
        <f t="shared" si="3"/>
        <v>1.6893915466790526</v>
      </c>
      <c r="AG13" s="105">
        <f t="shared" si="3"/>
        <v>1.6641012540640967</v>
      </c>
      <c r="AH13" s="105">
        <f t="shared" si="3"/>
        <v>1.7703204830469115</v>
      </c>
      <c r="AI13" s="105">
        <f t="shared" si="3"/>
        <v>1.9955052484904785</v>
      </c>
      <c r="AJ13" s="105">
        <f t="shared" si="3"/>
        <v>1.9463409196470043</v>
      </c>
      <c r="AK13" s="105">
        <f t="shared" si="3"/>
        <v>1.9321783557826291</v>
      </c>
      <c r="AL13" s="105">
        <f t="shared" si="3"/>
        <v>1.9422944728286113</v>
      </c>
      <c r="AM13" s="105">
        <f t="shared" si="3"/>
        <v>1.9261086855550396</v>
      </c>
      <c r="AN13" s="105">
        <f t="shared" si="3"/>
        <v>1.7703204830469115</v>
      </c>
      <c r="AO13" s="105">
        <f t="shared" si="3"/>
        <v>1.6944496052020439</v>
      </c>
      <c r="AP13" s="105">
        <f t="shared" si="3"/>
        <v>1.6566153274500699</v>
      </c>
      <c r="AQ13" s="105">
        <f t="shared" si="3"/>
        <v>1.5882303762192291</v>
      </c>
      <c r="AR13" s="105">
        <f t="shared" si="3"/>
        <v>1.5983464932652116</v>
      </c>
      <c r="AS13" s="105">
        <f t="shared" si="3"/>
        <v>1.5983464932652116</v>
      </c>
      <c r="AT13" s="105">
        <f t="shared" si="3"/>
        <v>1.6869636785880169</v>
      </c>
      <c r="AU13" s="105">
        <f t="shared" si="3"/>
        <v>1.8512494194147704</v>
      </c>
      <c r="AV13" s="105">
        <f t="shared" si="3"/>
        <v>1.8512494194147704</v>
      </c>
      <c r="AW13" s="105">
        <f t="shared" si="3"/>
        <v>1.8866558290757085</v>
      </c>
      <c r="AX13" s="105">
        <f t="shared" si="3"/>
        <v>1.8664235949837438</v>
      </c>
      <c r="AY13" s="105">
        <f t="shared" si="3"/>
        <v>1.6185787273571763</v>
      </c>
      <c r="AZ13" s="105">
        <f t="shared" si="3"/>
        <v>1.6489270784951231</v>
      </c>
      <c r="BA13" s="105">
        <f t="shared" si="3"/>
        <v>1.6489270784951231</v>
      </c>
      <c r="BB13" s="105">
        <f t="shared" si="3"/>
        <v>1.6691593125870878</v>
      </c>
      <c r="BC13" s="105">
        <f t="shared" si="3"/>
        <v>1.7096237807710173</v>
      </c>
      <c r="BD13" s="105">
        <f t="shared" si="3"/>
        <v>1.7399721319089645</v>
      </c>
      <c r="BE13" s="105">
        <f t="shared" si="3"/>
        <v>1.7500882489549467</v>
      </c>
      <c r="BF13" s="105">
        <f t="shared" si="3"/>
        <v>1.7500882489549467</v>
      </c>
      <c r="BG13" s="105">
        <f t="shared" si="3"/>
        <v>1.7500882489549467</v>
      </c>
      <c r="BH13" s="105">
        <f t="shared" si="3"/>
        <v>1.7703204830469115</v>
      </c>
      <c r="BI13" s="105">
        <f t="shared" si="3"/>
        <v>1.7703204830469115</v>
      </c>
      <c r="BJ13" s="105">
        <f t="shared" si="3"/>
        <v>1.8714816535067351</v>
      </c>
      <c r="BK13" s="105">
        <f t="shared" si="3"/>
        <v>1.9018300046446819</v>
      </c>
      <c r="BL13" s="105">
        <f t="shared" si="3"/>
        <v>1.9220622387366466</v>
      </c>
      <c r="BM13" s="105">
        <f t="shared" si="3"/>
        <v>1.8613655364607526</v>
      </c>
      <c r="BN13" s="105">
        <f t="shared" si="3"/>
        <v>1.8613655364607526</v>
      </c>
      <c r="BO13" s="105">
        <f t="shared" si="3"/>
        <v>1.8613655364607526</v>
      </c>
      <c r="BP13" s="105">
        <f t="shared" si="3"/>
        <v>1.8815977705527174</v>
      </c>
      <c r="BQ13" s="105">
        <f t="shared" si="3"/>
        <v>1.8815977705527174</v>
      </c>
      <c r="BR13" s="105">
        <f t="shared" si="3"/>
        <v>1.8815977705527174</v>
      </c>
      <c r="BS13" s="105">
        <f t="shared" si="3"/>
        <v>1.8310171853228057</v>
      </c>
      <c r="BT13" s="105">
        <f t="shared" si="3"/>
        <v>1.8310171853228057</v>
      </c>
      <c r="BU13" s="105">
        <f t="shared" si="3"/>
        <v>1.8310171853228057</v>
      </c>
      <c r="BV13" s="105">
        <f t="shared" ref="BV13:CR13" si="4">SUM(BV11:BV11)</f>
        <v>1.8310171853228057</v>
      </c>
      <c r="BW13" s="105">
        <f t="shared" si="4"/>
        <v>1.8815977705527174</v>
      </c>
      <c r="BX13" s="105">
        <f t="shared" si="4"/>
        <v>1.8714816535067351</v>
      </c>
      <c r="BY13" s="105">
        <f t="shared" si="4"/>
        <v>1.8714816535067351</v>
      </c>
      <c r="BZ13" s="105">
        <f t="shared" si="4"/>
        <v>1.9422944728286113</v>
      </c>
      <c r="CA13" s="105">
        <f t="shared" si="4"/>
        <v>1.9422944728286113</v>
      </c>
      <c r="CB13" s="105">
        <f t="shared" si="4"/>
        <v>1.9827589410125408</v>
      </c>
      <c r="CC13" s="105">
        <f t="shared" si="4"/>
        <v>2.0839201114723642</v>
      </c>
      <c r="CD13" s="105">
        <f t="shared" si="4"/>
        <v>2.0839201114723642</v>
      </c>
      <c r="CE13" s="105">
        <f t="shared" si="4"/>
        <v>2.0839201114723642</v>
      </c>
      <c r="CF13" s="105">
        <f t="shared" si="4"/>
        <v>2.0839201114723642</v>
      </c>
      <c r="CG13" s="105">
        <f t="shared" si="4"/>
        <v>2.1041523455643292</v>
      </c>
      <c r="CH13" s="105">
        <f t="shared" si="4"/>
        <v>2.1041523455643292</v>
      </c>
      <c r="CI13" s="105">
        <f t="shared" si="4"/>
        <v>2.1041523455643292</v>
      </c>
      <c r="CJ13" s="105">
        <f t="shared" si="4"/>
        <v>2.1041523455643292</v>
      </c>
      <c r="CK13" s="105">
        <f t="shared" si="4"/>
        <v>2.1041523455643292</v>
      </c>
      <c r="CL13" s="105">
        <f t="shared" si="4"/>
        <v>2.1446168137482586</v>
      </c>
      <c r="CM13" s="105">
        <f t="shared" si="4"/>
        <v>2.1446168137482586</v>
      </c>
      <c r="CN13" s="105">
        <f t="shared" si="4"/>
        <v>2.1648490478402231</v>
      </c>
      <c r="CO13" s="105">
        <f t="shared" si="4"/>
        <v>2.1648490478402231</v>
      </c>
      <c r="CP13" s="105">
        <f t="shared" si="4"/>
        <v>2.1648490478402231</v>
      </c>
      <c r="CQ13" s="105">
        <f t="shared" si="4"/>
        <v>2.1648490478402231</v>
      </c>
      <c r="CR13" s="105">
        <f t="shared" si="4"/>
        <v>2.1648490478402231</v>
      </c>
      <c r="CS13" s="105">
        <f t="shared" ref="CS13:FC13" si="5">SUM(CS11:CS11)</f>
        <v>2.1547329307942409</v>
      </c>
      <c r="CT13" s="105">
        <f t="shared" si="5"/>
        <v>2.1749651648862054</v>
      </c>
      <c r="CU13" s="105">
        <f t="shared" si="5"/>
        <v>2.1648490478402231</v>
      </c>
      <c r="CV13" s="105">
        <f t="shared" si="5"/>
        <v>2.1648490478402231</v>
      </c>
      <c r="CW13" s="105">
        <f t="shared" si="5"/>
        <v>2.1648490478402231</v>
      </c>
      <c r="CX13" s="105">
        <f t="shared" si="5"/>
        <v>2.1041523455643292</v>
      </c>
      <c r="CY13" s="105">
        <f t="shared" si="5"/>
        <v>2.0636878773803997</v>
      </c>
      <c r="CZ13" s="105">
        <f t="shared" si="5"/>
        <v>2.0636878773803997</v>
      </c>
      <c r="DA13" s="105">
        <f t="shared" si="5"/>
        <v>2.0636878773803997</v>
      </c>
      <c r="DB13" s="105">
        <f t="shared" si="5"/>
        <v>2.0636878773803997</v>
      </c>
      <c r="DC13" s="105">
        <f t="shared" si="5"/>
        <v>2.0485137018114261</v>
      </c>
      <c r="DD13" s="105">
        <f t="shared" si="5"/>
        <v>1.9422944728286113</v>
      </c>
      <c r="DE13" s="105">
        <f t="shared" si="5"/>
        <v>1.9321783557826291</v>
      </c>
      <c r="DF13" s="105">
        <f t="shared" si="5"/>
        <v>1.7703204830469115</v>
      </c>
      <c r="DG13" s="105">
        <f t="shared" si="5"/>
        <v>1.7197398978169998</v>
      </c>
      <c r="DH13" s="105">
        <f t="shared" si="5"/>
        <v>1.7500882489549467</v>
      </c>
      <c r="DI13" s="105">
        <f t="shared" si="5"/>
        <v>1.729856014862982</v>
      </c>
      <c r="DJ13" s="105">
        <f t="shared" si="5"/>
        <v>1.699507663725035</v>
      </c>
      <c r="DK13" s="105">
        <f t="shared" si="5"/>
        <v>1.699507663725035</v>
      </c>
      <c r="DL13" s="105">
        <f t="shared" si="5"/>
        <v>1.699507663725035</v>
      </c>
      <c r="DM13" s="105">
        <f t="shared" si="5"/>
        <v>1.6590431955411056</v>
      </c>
      <c r="DN13" s="105">
        <f t="shared" si="5"/>
        <v>1.5983464932652116</v>
      </c>
      <c r="DO13" s="105">
        <f t="shared" si="5"/>
        <v>1.5781142591732469</v>
      </c>
      <c r="DP13" s="105">
        <f t="shared" si="5"/>
        <v>1.5781142591732469</v>
      </c>
      <c r="DQ13" s="105">
        <f t="shared" si="5"/>
        <v>1.5376497909893174</v>
      </c>
      <c r="DR13" s="105">
        <f t="shared" si="5"/>
        <v>1.5174175568973527</v>
      </c>
      <c r="DS13" s="105">
        <f t="shared" si="5"/>
        <v>1.5073014398513704</v>
      </c>
      <c r="DT13" s="105">
        <f t="shared" si="5"/>
        <v>0</v>
      </c>
      <c r="DU13" s="105">
        <f t="shared" si="5"/>
        <v>0</v>
      </c>
      <c r="DV13" s="105">
        <f t="shared" si="5"/>
        <v>0</v>
      </c>
      <c r="DW13" s="105">
        <f t="shared" si="5"/>
        <v>0</v>
      </c>
      <c r="DX13" s="105">
        <f t="shared" si="5"/>
        <v>0</v>
      </c>
      <c r="DY13" s="105">
        <f t="shared" si="5"/>
        <v>0</v>
      </c>
      <c r="DZ13" s="105">
        <f t="shared" si="5"/>
        <v>0</v>
      </c>
      <c r="EA13" s="105">
        <f t="shared" si="5"/>
        <v>0</v>
      </c>
      <c r="EB13" s="105">
        <f t="shared" si="5"/>
        <v>0</v>
      </c>
      <c r="EC13" s="105">
        <f t="shared" si="5"/>
        <v>0</v>
      </c>
      <c r="ED13" s="105">
        <f t="shared" si="5"/>
        <v>0</v>
      </c>
      <c r="EE13" s="105">
        <f t="shared" si="5"/>
        <v>0</v>
      </c>
      <c r="EF13" s="105">
        <f t="shared" si="5"/>
        <v>0</v>
      </c>
      <c r="EG13" s="105">
        <f t="shared" si="5"/>
        <v>0</v>
      </c>
      <c r="EH13" s="105">
        <f t="shared" si="5"/>
        <v>0</v>
      </c>
      <c r="EI13" s="105">
        <f t="shared" si="5"/>
        <v>0</v>
      </c>
      <c r="EJ13" s="105">
        <f t="shared" si="5"/>
        <v>0</v>
      </c>
      <c r="EK13" s="105">
        <f t="shared" si="5"/>
        <v>0</v>
      </c>
      <c r="EL13" s="105">
        <f t="shared" si="5"/>
        <v>0</v>
      </c>
      <c r="EM13" s="105">
        <f t="shared" si="5"/>
        <v>0</v>
      </c>
      <c r="EN13" s="105">
        <f t="shared" si="5"/>
        <v>0</v>
      </c>
      <c r="EO13" s="105">
        <f t="shared" si="5"/>
        <v>0</v>
      </c>
      <c r="EP13" s="105">
        <f t="shared" si="5"/>
        <v>0</v>
      </c>
      <c r="EQ13" s="105">
        <f t="shared" si="5"/>
        <v>0</v>
      </c>
      <c r="ER13" s="105">
        <f t="shared" si="5"/>
        <v>0</v>
      </c>
      <c r="ES13" s="105">
        <f t="shared" si="5"/>
        <v>0</v>
      </c>
      <c r="ET13" s="105">
        <f t="shared" si="5"/>
        <v>0</v>
      </c>
      <c r="EU13" s="105">
        <f t="shared" si="5"/>
        <v>0</v>
      </c>
      <c r="EV13" s="105">
        <f t="shared" si="5"/>
        <v>0</v>
      </c>
      <c r="EW13" s="105">
        <f t="shared" si="5"/>
        <v>0</v>
      </c>
      <c r="EX13" s="105">
        <f t="shared" si="5"/>
        <v>0</v>
      </c>
      <c r="EY13" s="105">
        <f t="shared" si="5"/>
        <v>0</v>
      </c>
      <c r="EZ13" s="105">
        <f t="shared" si="5"/>
        <v>0</v>
      </c>
      <c r="FA13" s="105">
        <f t="shared" si="5"/>
        <v>0</v>
      </c>
      <c r="FB13" s="105">
        <f t="shared" si="5"/>
        <v>0</v>
      </c>
      <c r="FC13" s="105">
        <f t="shared" si="5"/>
        <v>0</v>
      </c>
    </row>
    <row r="14" spans="1:161" s="104" customFormat="1" hidden="1">
      <c r="H14" s="60"/>
      <c r="I14" s="105"/>
      <c r="J14" s="105"/>
      <c r="K14" s="105"/>
      <c r="L14" s="105"/>
      <c r="M14" s="105"/>
      <c r="N14" s="105"/>
      <c r="O14" s="105"/>
      <c r="P14" s="105"/>
      <c r="Q14" s="105"/>
      <c r="R14" s="105"/>
      <c r="S14" s="105"/>
      <c r="T14" s="105"/>
      <c r="U14" s="105"/>
      <c r="V14" s="105"/>
      <c r="W14" s="105"/>
      <c r="X14" s="105"/>
      <c r="Y14" s="105"/>
      <c r="Z14" s="105"/>
      <c r="AA14" s="105"/>
      <c r="AB14" s="105"/>
      <c r="AC14" s="105"/>
      <c r="AD14" s="105"/>
      <c r="AE14" s="105"/>
      <c r="AF14" s="105"/>
      <c r="AG14" s="105"/>
      <c r="AH14" s="105"/>
      <c r="AI14" s="105"/>
      <c r="AJ14" s="105"/>
      <c r="AK14" s="105"/>
      <c r="AL14" s="105"/>
      <c r="AM14" s="105"/>
      <c r="AN14" s="105"/>
      <c r="AO14" s="105"/>
      <c r="AP14" s="105"/>
      <c r="AQ14" s="105"/>
      <c r="AR14" s="105"/>
      <c r="AS14" s="105"/>
      <c r="AT14" s="105"/>
      <c r="AU14" s="105"/>
      <c r="AV14" s="105"/>
      <c r="AW14" s="105"/>
      <c r="AX14" s="105"/>
      <c r="AY14" s="105"/>
      <c r="AZ14" s="105"/>
      <c r="BA14" s="105"/>
      <c r="BB14" s="105"/>
      <c r="BC14" s="105"/>
      <c r="BD14" s="105"/>
      <c r="BE14" s="105"/>
      <c r="BF14" s="105"/>
      <c r="BG14" s="105"/>
      <c r="BH14" s="105"/>
      <c r="BI14" s="105"/>
      <c r="BJ14" s="105"/>
      <c r="BK14" s="105"/>
      <c r="BL14" s="105"/>
      <c r="BM14" s="105"/>
      <c r="BN14" s="105"/>
      <c r="BO14" s="105"/>
      <c r="BP14" s="105"/>
      <c r="BQ14" s="105"/>
      <c r="BR14" s="105"/>
      <c r="BS14" s="105"/>
      <c r="BT14" s="105"/>
      <c r="BU14" s="105"/>
      <c r="BV14" s="105"/>
      <c r="BW14" s="105"/>
      <c r="BX14" s="105"/>
      <c r="BY14" s="105"/>
      <c r="BZ14" s="105"/>
      <c r="CA14" s="105"/>
      <c r="CB14" s="105"/>
      <c r="CC14" s="105"/>
      <c r="CD14" s="105"/>
      <c r="CE14" s="105"/>
      <c r="CF14" s="105"/>
      <c r="CG14" s="105"/>
      <c r="CH14" s="105"/>
      <c r="CI14" s="105"/>
      <c r="CJ14" s="105"/>
      <c r="CK14" s="105"/>
      <c r="CL14" s="105"/>
      <c r="CM14" s="105"/>
      <c r="CN14" s="105"/>
      <c r="CO14" s="105"/>
      <c r="CP14" s="105"/>
      <c r="CQ14" s="105"/>
      <c r="CR14" s="105"/>
      <c r="CS14" s="105"/>
      <c r="CT14" s="105"/>
      <c r="CU14" s="105"/>
      <c r="CV14" s="105"/>
      <c r="CW14" s="105"/>
      <c r="CX14" s="105"/>
      <c r="CY14" s="105"/>
      <c r="CZ14" s="105"/>
      <c r="DA14" s="105"/>
      <c r="DB14" s="105"/>
      <c r="DC14" s="105"/>
      <c r="DD14" s="105"/>
      <c r="DE14" s="105"/>
      <c r="DF14" s="105"/>
      <c r="DG14" s="105"/>
      <c r="DH14" s="105"/>
      <c r="DI14" s="105"/>
      <c r="DJ14" s="105"/>
      <c r="DK14" s="105"/>
      <c r="DL14" s="105"/>
      <c r="DM14" s="105"/>
      <c r="DN14" s="105"/>
      <c r="DO14" s="105"/>
      <c r="DP14" s="105"/>
      <c r="DQ14" s="105"/>
      <c r="DR14" s="105"/>
      <c r="DS14" s="105"/>
      <c r="DT14" s="105"/>
      <c r="DU14" s="105"/>
      <c r="DV14" s="105"/>
      <c r="DW14" s="105"/>
      <c r="DX14" s="105"/>
      <c r="DY14" s="105"/>
      <c r="DZ14" s="105"/>
      <c r="EA14" s="105"/>
      <c r="EB14" s="105"/>
      <c r="EC14" s="105"/>
      <c r="ED14" s="105"/>
      <c r="EE14" s="105"/>
      <c r="EF14" s="105"/>
      <c r="EG14" s="105"/>
      <c r="EH14" s="105"/>
      <c r="EI14" s="105"/>
      <c r="EJ14" s="105"/>
      <c r="EK14" s="105"/>
      <c r="EL14" s="105"/>
      <c r="EM14" s="105"/>
      <c r="EN14" s="105"/>
      <c r="EO14" s="105"/>
      <c r="EP14" s="105"/>
      <c r="EQ14" s="105"/>
      <c r="ER14" s="105"/>
      <c r="ES14" s="105"/>
      <c r="ET14" s="105"/>
      <c r="EU14" s="105"/>
      <c r="EV14" s="105"/>
      <c r="EW14" s="105"/>
      <c r="EX14" s="105"/>
      <c r="EY14" s="105"/>
      <c r="EZ14" s="105"/>
      <c r="FA14" s="105"/>
      <c r="FB14" s="105"/>
      <c r="FC14" s="105"/>
    </row>
    <row r="15" spans="1:161">
      <c r="H15" s="60" t="s">
        <v>429</v>
      </c>
      <c r="I15" s="74"/>
      <c r="J15" s="74"/>
      <c r="K15" s="74"/>
      <c r="L15" s="74"/>
      <c r="M15" s="74"/>
      <c r="N15" s="74"/>
      <c r="O15" s="74"/>
      <c r="P15" s="74"/>
      <c r="Q15" s="74"/>
      <c r="R15" s="74"/>
      <c r="S15" s="74"/>
      <c r="T15" s="74"/>
      <c r="U15" s="74"/>
      <c r="V15" s="74"/>
      <c r="W15" s="74"/>
      <c r="X15" s="74"/>
      <c r="Y15" s="74"/>
      <c r="Z15" s="74"/>
      <c r="AA15" s="74"/>
      <c r="AB15" s="74"/>
      <c r="AC15" s="74"/>
      <c r="AD15" s="74"/>
      <c r="AE15" s="74"/>
      <c r="AF15" s="74"/>
      <c r="AG15" s="74"/>
      <c r="AH15" s="74">
        <v>8.25</v>
      </c>
      <c r="AI15" s="74">
        <v>8</v>
      </c>
      <c r="AK15" s="74"/>
      <c r="AL15" s="74">
        <v>6.75</v>
      </c>
      <c r="AM15" s="74"/>
      <c r="AN15" s="74"/>
      <c r="AO15" s="74">
        <v>5.3</v>
      </c>
      <c r="AP15" s="74"/>
      <c r="AQ15" s="74"/>
      <c r="AR15" s="74"/>
      <c r="AS15" s="74"/>
      <c r="AT15" s="74"/>
      <c r="AU15" s="74">
        <v>4.5</v>
      </c>
      <c r="AV15" s="74"/>
      <c r="AW15" s="74"/>
      <c r="AX15" s="74"/>
      <c r="AY15" s="74">
        <v>4</v>
      </c>
      <c r="AZ15" s="74"/>
      <c r="BA15" s="74"/>
      <c r="BB15" s="74"/>
      <c r="BC15" s="74">
        <f>348/82.5</f>
        <v>4.2181818181818178</v>
      </c>
      <c r="BD15" s="74"/>
      <c r="BE15" s="74"/>
      <c r="BF15" s="74"/>
      <c r="BG15" s="74"/>
      <c r="BH15" s="74"/>
      <c r="BI15" s="74"/>
      <c r="BJ15" s="74"/>
      <c r="BK15" s="74">
        <v>4.0999999999999996</v>
      </c>
      <c r="BL15" s="74"/>
      <c r="BM15" s="74"/>
      <c r="BN15" s="74"/>
      <c r="BO15" s="74"/>
      <c r="BP15" s="74"/>
      <c r="BQ15" s="74"/>
      <c r="BR15" s="74"/>
      <c r="BS15" s="74"/>
      <c r="BT15" s="74"/>
      <c r="BU15" s="74"/>
      <c r="BV15" s="74"/>
      <c r="BW15" s="74">
        <f>320/83.4</f>
        <v>3.8369304556354913</v>
      </c>
      <c r="BX15" s="74"/>
      <c r="BY15" s="74"/>
      <c r="BZ15" s="74"/>
      <c r="CA15" s="74"/>
      <c r="CB15" s="74"/>
      <c r="CC15" s="74"/>
      <c r="CD15" s="74"/>
      <c r="CE15" s="74"/>
      <c r="CF15" s="74"/>
      <c r="CG15" s="74"/>
      <c r="CH15" s="74"/>
      <c r="CI15" s="74"/>
      <c r="CJ15" s="74">
        <f>320/83.4</f>
        <v>3.8369304556354913</v>
      </c>
      <c r="CK15" s="74"/>
      <c r="CL15" s="74"/>
      <c r="CM15" s="74"/>
      <c r="CN15" s="74"/>
      <c r="CO15" s="74"/>
      <c r="CP15" s="74"/>
      <c r="CQ15" s="74"/>
      <c r="CR15" s="74"/>
      <c r="CS15" s="74"/>
      <c r="CT15" s="74"/>
      <c r="CU15" s="74"/>
      <c r="CV15" s="74"/>
      <c r="CW15" s="74"/>
      <c r="CX15" s="74"/>
      <c r="CY15" s="74"/>
      <c r="CZ15" s="74"/>
      <c r="DA15" s="74"/>
      <c r="DB15" s="74"/>
      <c r="DC15" s="74"/>
      <c r="DD15" s="74"/>
      <c r="DE15" s="74"/>
      <c r="DF15" s="74"/>
      <c r="DG15" s="74"/>
      <c r="DH15" s="74"/>
      <c r="DI15" s="74"/>
      <c r="DJ15" s="74"/>
      <c r="DK15" s="74"/>
      <c r="DL15" s="74"/>
      <c r="DM15" s="74"/>
      <c r="DN15" s="74"/>
      <c r="DO15" s="74"/>
      <c r="DP15" s="74"/>
      <c r="DQ15" s="74"/>
      <c r="DR15" s="74"/>
      <c r="DS15" s="74"/>
      <c r="DT15" s="74"/>
      <c r="DU15" s="74"/>
      <c r="DV15" s="74"/>
      <c r="DW15" s="74"/>
      <c r="DX15" s="74"/>
      <c r="DY15" s="74"/>
      <c r="DZ15" s="74"/>
      <c r="EA15" s="74"/>
      <c r="EB15" s="74"/>
      <c r="EC15" s="74"/>
      <c r="ED15" s="74"/>
      <c r="EE15" s="74"/>
      <c r="EF15" s="74"/>
      <c r="EG15" s="74"/>
      <c r="EH15" s="74"/>
      <c r="EI15" s="74"/>
      <c r="EJ15" s="74"/>
      <c r="EK15" s="74"/>
      <c r="EL15" s="74"/>
      <c r="EM15" s="74"/>
      <c r="EN15" s="74"/>
      <c r="EO15" s="74"/>
      <c r="EP15" s="74"/>
      <c r="EQ15" s="74"/>
      <c r="ER15" s="74"/>
      <c r="ES15" s="74"/>
      <c r="ET15" s="74"/>
      <c r="EU15" s="74"/>
      <c r="EV15" s="74"/>
      <c r="EW15" s="74"/>
      <c r="EX15" s="74"/>
      <c r="EY15" s="74"/>
      <c r="EZ15" s="74"/>
      <c r="FA15" s="74"/>
      <c r="FB15" s="74"/>
      <c r="FC15" s="74"/>
    </row>
    <row r="16" spans="1:161">
      <c r="H16" s="60" t="s">
        <v>406</v>
      </c>
      <c r="I16" s="74"/>
      <c r="J16" s="74"/>
      <c r="K16" s="74"/>
      <c r="L16" s="74"/>
      <c r="M16" s="74"/>
      <c r="N16" s="74"/>
      <c r="O16" s="74"/>
      <c r="P16" s="74"/>
      <c r="Q16" s="74"/>
      <c r="R16" s="74"/>
      <c r="S16" s="74"/>
      <c r="T16" s="74"/>
      <c r="U16" s="74"/>
      <c r="V16" s="74"/>
      <c r="W16" s="74"/>
      <c r="X16" s="74"/>
      <c r="Y16" s="74"/>
      <c r="Z16" s="74"/>
      <c r="AA16" s="74"/>
      <c r="AB16" s="74"/>
      <c r="AC16" s="74"/>
      <c r="AD16" s="74"/>
      <c r="AE16" s="74"/>
      <c r="AF16" s="74"/>
      <c r="AG16" s="74"/>
      <c r="AH16" s="74">
        <f>AH15-AH13</f>
        <v>6.4796795169530883</v>
      </c>
      <c r="AI16" s="74">
        <f>AI15-AI13</f>
        <v>6.0044947515095215</v>
      </c>
      <c r="AK16" s="74"/>
      <c r="AL16" s="74">
        <f>AL15-AL13</f>
        <v>4.8077055271713887</v>
      </c>
      <c r="AM16" s="74"/>
      <c r="AN16" s="74"/>
      <c r="AO16" s="74">
        <f>AO15-AO13</f>
        <v>3.6055503947979561</v>
      </c>
      <c r="AP16" s="74"/>
      <c r="AQ16" s="74"/>
      <c r="AR16" s="74"/>
      <c r="AS16" s="74"/>
      <c r="AT16" s="74"/>
      <c r="AU16" s="74">
        <f>AU15-AU13</f>
        <v>2.6487505805852294</v>
      </c>
      <c r="AV16" s="74"/>
      <c r="AW16" s="74"/>
      <c r="AX16" s="74"/>
      <c r="AY16" s="74">
        <f>AY15-AY13</f>
        <v>2.3814212726428234</v>
      </c>
      <c r="AZ16" s="74"/>
      <c r="BA16" s="74"/>
      <c r="BB16" s="74"/>
      <c r="BC16" s="74">
        <f>BC15-BC13</f>
        <v>2.5085580374108005</v>
      </c>
      <c r="BD16" s="74"/>
      <c r="BE16" s="74"/>
      <c r="BF16" s="74"/>
      <c r="BG16" s="74"/>
      <c r="BH16" s="74"/>
      <c r="BI16" s="74"/>
      <c r="BJ16" s="74"/>
      <c r="BK16" s="74">
        <f>BK15-BK13</f>
        <v>2.1981699953553178</v>
      </c>
      <c r="BL16" s="74"/>
      <c r="BM16" s="74"/>
      <c r="BN16" s="74"/>
      <c r="BO16" s="74"/>
      <c r="BP16" s="74"/>
      <c r="BQ16" s="74"/>
      <c r="BR16" s="74"/>
      <c r="BS16" s="74"/>
      <c r="BT16" s="74"/>
      <c r="BU16" s="74"/>
      <c r="BV16" s="74"/>
      <c r="BW16" s="74">
        <f>BW15-BW13</f>
        <v>1.9553326850827739</v>
      </c>
      <c r="BX16" s="74"/>
      <c r="BY16" s="74"/>
      <c r="BZ16" s="74"/>
      <c r="CA16" s="74"/>
      <c r="CB16" s="74"/>
      <c r="CC16" s="74"/>
      <c r="CD16" s="74"/>
      <c r="CE16" s="74"/>
      <c r="CF16" s="74"/>
      <c r="CG16" s="74"/>
      <c r="CH16" s="74"/>
      <c r="CI16" s="74"/>
      <c r="CJ16" s="74">
        <f>CJ15-AJ13</f>
        <v>1.890589535988487</v>
      </c>
      <c r="CK16" s="74"/>
      <c r="CL16" s="74"/>
      <c r="CM16" s="74"/>
      <c r="CN16" s="74"/>
      <c r="CO16" s="74"/>
      <c r="CP16" s="74"/>
      <c r="CQ16" s="74"/>
      <c r="CR16" s="74"/>
      <c r="CS16" s="74"/>
      <c r="CT16" s="74"/>
      <c r="CU16" s="74"/>
      <c r="CV16" s="74"/>
      <c r="CW16" s="74"/>
      <c r="CX16" s="74"/>
      <c r="CY16" s="74"/>
      <c r="CZ16" s="74"/>
      <c r="DA16" s="74"/>
      <c r="DB16" s="74"/>
      <c r="DC16" s="74"/>
      <c r="DD16" s="74"/>
      <c r="DE16" s="74"/>
      <c r="DF16" s="74"/>
      <c r="DG16" s="74"/>
      <c r="DH16" s="74"/>
      <c r="DI16" s="74"/>
      <c r="DJ16" s="74"/>
      <c r="DK16" s="74"/>
      <c r="DL16" s="74"/>
      <c r="DM16" s="74"/>
      <c r="DN16" s="74"/>
      <c r="DO16" s="74"/>
      <c r="DP16" s="74"/>
      <c r="DQ16" s="74"/>
      <c r="DR16" s="74"/>
      <c r="DS16" s="74"/>
      <c r="DT16" s="74"/>
      <c r="DU16" s="74"/>
      <c r="DV16" s="74"/>
      <c r="DW16" s="74"/>
      <c r="DX16" s="74"/>
      <c r="DY16" s="74"/>
      <c r="DZ16" s="74"/>
      <c r="EA16" s="74"/>
      <c r="EB16" s="74"/>
      <c r="EC16" s="74"/>
      <c r="ED16" s="74"/>
      <c r="EE16" s="74"/>
      <c r="EF16" s="74"/>
      <c r="EG16" s="74"/>
      <c r="EH16" s="74"/>
      <c r="EI16" s="74"/>
      <c r="EJ16" s="74"/>
      <c r="EK16" s="74"/>
      <c r="EL16" s="74"/>
      <c r="EM16" s="74"/>
      <c r="EN16" s="74"/>
      <c r="EO16" s="74"/>
      <c r="EP16" s="74"/>
      <c r="EQ16" s="74"/>
      <c r="ER16" s="74"/>
      <c r="ES16" s="74"/>
      <c r="ET16" s="74"/>
      <c r="EU16" s="74"/>
      <c r="EV16" s="74"/>
      <c r="EW16" s="74"/>
      <c r="EX16" s="74"/>
      <c r="EY16" s="74"/>
      <c r="EZ16" s="74"/>
      <c r="FA16" s="74"/>
      <c r="FB16" s="74"/>
      <c r="FC16" s="74"/>
    </row>
    <row r="18" spans="8:159" ht="13" thickBot="1"/>
    <row r="19" spans="8:159" s="73" customFormat="1" ht="13" thickBot="1">
      <c r="H19" s="257" t="s">
        <v>800</v>
      </c>
      <c r="I19" s="258">
        <f>1.89+I13</f>
        <v>3.2738848118903858</v>
      </c>
      <c r="J19" s="258">
        <f t="shared" ref="J19:BU19" si="6">1.89+J13</f>
        <v>3.3190026939154667</v>
      </c>
      <c r="K19" s="258">
        <f t="shared" si="6"/>
        <v>3.1925512308406874</v>
      </c>
      <c r="L19" s="258">
        <f t="shared" si="6"/>
        <v>3.0837018114259171</v>
      </c>
      <c r="M19" s="258">
        <f t="shared" si="6"/>
        <v>3.4762071528100327</v>
      </c>
      <c r="N19" s="258">
        <f t="shared" si="6"/>
        <v>3.7691699024616812</v>
      </c>
      <c r="O19" s="258">
        <f t="shared" si="6"/>
        <v>3.8191435206688342</v>
      </c>
      <c r="P19" s="258">
        <f t="shared" si="6"/>
        <v>3.6957268927078495</v>
      </c>
      <c r="Q19" s="258">
        <f t="shared" si="6"/>
        <v>3.6805527171388759</v>
      </c>
      <c r="R19" s="258">
        <f t="shared" si="6"/>
        <v>3.7270868555503949</v>
      </c>
      <c r="S19" s="258">
        <f t="shared" si="6"/>
        <v>3.8399827217835578</v>
      </c>
      <c r="T19" s="258">
        <f t="shared" si="6"/>
        <v>4.0220728286112397</v>
      </c>
      <c r="U19" s="258">
        <f t="shared" si="6"/>
        <v>3.8980492336274963</v>
      </c>
      <c r="V19" s="258">
        <f t="shared" si="6"/>
        <v>4.0851973989781705</v>
      </c>
      <c r="W19" s="258">
        <f t="shared" si="6"/>
        <v>4.4797259637714815</v>
      </c>
      <c r="X19" s="258">
        <f t="shared" si="6"/>
        <v>4.5303065490013932</v>
      </c>
      <c r="Y19" s="258">
        <f t="shared" si="6"/>
        <v>4.3937389688806316</v>
      </c>
      <c r="Z19" s="258">
        <f t="shared" si="6"/>
        <v>3.971492243381328</v>
      </c>
      <c r="AA19" s="258">
        <f t="shared" si="6"/>
        <v>3.6380650255457505</v>
      </c>
      <c r="AB19" s="258">
        <f t="shared" si="6"/>
        <v>3.5541012540640966</v>
      </c>
      <c r="AC19" s="258">
        <f t="shared" si="6"/>
        <v>3.5874844403158384</v>
      </c>
      <c r="AD19" s="258">
        <f t="shared" si="6"/>
        <v>3.7149475150952158</v>
      </c>
      <c r="AE19" s="258">
        <f t="shared" si="6"/>
        <v>3.6983570831398049</v>
      </c>
      <c r="AF19" s="258">
        <f t="shared" si="6"/>
        <v>3.5793915466790525</v>
      </c>
      <c r="AG19" s="258">
        <f t="shared" si="6"/>
        <v>3.5541012540640966</v>
      </c>
      <c r="AH19" s="258">
        <f t="shared" si="6"/>
        <v>3.6603204830469114</v>
      </c>
      <c r="AI19" s="258">
        <f t="shared" si="6"/>
        <v>3.8855052484904782</v>
      </c>
      <c r="AJ19" s="258">
        <f t="shared" si="6"/>
        <v>3.8363409196470042</v>
      </c>
      <c r="AK19" s="258">
        <f t="shared" si="6"/>
        <v>3.8221783557826292</v>
      </c>
      <c r="AL19" s="258">
        <f t="shared" si="6"/>
        <v>3.832294472828611</v>
      </c>
      <c r="AM19" s="258">
        <f t="shared" si="6"/>
        <v>3.8161086855550392</v>
      </c>
      <c r="AN19" s="258">
        <f t="shared" si="6"/>
        <v>3.6603204830469114</v>
      </c>
      <c r="AO19" s="258">
        <f t="shared" si="6"/>
        <v>3.5844496052020438</v>
      </c>
      <c r="AP19" s="258">
        <f t="shared" si="6"/>
        <v>3.5466153274500698</v>
      </c>
      <c r="AQ19" s="258">
        <f t="shared" si="6"/>
        <v>3.478230376219229</v>
      </c>
      <c r="AR19" s="258">
        <f t="shared" si="6"/>
        <v>3.4883464932652117</v>
      </c>
      <c r="AS19" s="258">
        <f t="shared" si="6"/>
        <v>3.4883464932652117</v>
      </c>
      <c r="AT19" s="258">
        <f t="shared" si="6"/>
        <v>3.576963678588017</v>
      </c>
      <c r="AU19" s="258">
        <f t="shared" si="6"/>
        <v>3.7412494194147703</v>
      </c>
      <c r="AV19" s="258">
        <f t="shared" si="6"/>
        <v>3.7412494194147703</v>
      </c>
      <c r="AW19" s="258">
        <f t="shared" si="6"/>
        <v>3.7766558290757084</v>
      </c>
      <c r="AX19" s="258">
        <f t="shared" si="6"/>
        <v>3.7564235949837439</v>
      </c>
      <c r="AY19" s="258">
        <f t="shared" si="6"/>
        <v>3.5085787273571762</v>
      </c>
      <c r="AZ19" s="258">
        <f t="shared" si="6"/>
        <v>3.538927078495123</v>
      </c>
      <c r="BA19" s="258">
        <f t="shared" si="6"/>
        <v>3.538927078495123</v>
      </c>
      <c r="BB19" s="258">
        <f t="shared" si="6"/>
        <v>3.559159312587088</v>
      </c>
      <c r="BC19" s="258">
        <f t="shared" si="6"/>
        <v>3.599623780771017</v>
      </c>
      <c r="BD19" s="258">
        <f t="shared" si="6"/>
        <v>3.6299721319089642</v>
      </c>
      <c r="BE19" s="258">
        <f t="shared" si="6"/>
        <v>3.6400882489549469</v>
      </c>
      <c r="BF19" s="258">
        <f t="shared" si="6"/>
        <v>3.6400882489549469</v>
      </c>
      <c r="BG19" s="258">
        <f t="shared" si="6"/>
        <v>3.6400882489549469</v>
      </c>
      <c r="BH19" s="258">
        <f t="shared" si="6"/>
        <v>3.6603204830469114</v>
      </c>
      <c r="BI19" s="258">
        <f t="shared" si="6"/>
        <v>3.6603204830469114</v>
      </c>
      <c r="BJ19" s="258">
        <f t="shared" si="6"/>
        <v>3.7614816535067348</v>
      </c>
      <c r="BK19" s="258">
        <f t="shared" si="6"/>
        <v>3.791830004644682</v>
      </c>
      <c r="BL19" s="258">
        <f t="shared" si="6"/>
        <v>3.8120622387366465</v>
      </c>
      <c r="BM19" s="258">
        <f t="shared" si="6"/>
        <v>3.7513655364607525</v>
      </c>
      <c r="BN19" s="258">
        <f t="shared" si="6"/>
        <v>3.7513655364607525</v>
      </c>
      <c r="BO19" s="258">
        <f t="shared" si="6"/>
        <v>3.7513655364607525</v>
      </c>
      <c r="BP19" s="258">
        <f t="shared" si="6"/>
        <v>3.7715977705527175</v>
      </c>
      <c r="BQ19" s="258">
        <f t="shared" si="6"/>
        <v>3.7715977705527175</v>
      </c>
      <c r="BR19" s="258">
        <f t="shared" si="6"/>
        <v>3.7715977705527175</v>
      </c>
      <c r="BS19" s="258">
        <f t="shared" si="6"/>
        <v>3.7210171853228058</v>
      </c>
      <c r="BT19" s="258">
        <f t="shared" si="6"/>
        <v>3.7210171853228058</v>
      </c>
      <c r="BU19" s="258">
        <f t="shared" si="6"/>
        <v>3.7210171853228058</v>
      </c>
      <c r="BV19" s="258">
        <f t="shared" ref="BV19:CR19" si="7">1.89+BV13</f>
        <v>3.7210171853228058</v>
      </c>
      <c r="BW19" s="258">
        <f t="shared" si="7"/>
        <v>3.7715977705527175</v>
      </c>
      <c r="BX19" s="258">
        <f t="shared" si="7"/>
        <v>3.7614816535067348</v>
      </c>
      <c r="BY19" s="258">
        <f t="shared" si="7"/>
        <v>3.7614816535067348</v>
      </c>
      <c r="BZ19" s="258">
        <f t="shared" si="7"/>
        <v>3.832294472828611</v>
      </c>
      <c r="CA19" s="258">
        <f t="shared" si="7"/>
        <v>3.832294472828611</v>
      </c>
      <c r="CB19" s="258">
        <f t="shared" si="7"/>
        <v>3.8727589410125409</v>
      </c>
      <c r="CC19" s="258">
        <f t="shared" si="7"/>
        <v>3.9739201114723643</v>
      </c>
      <c r="CD19" s="258">
        <f t="shared" si="7"/>
        <v>3.9739201114723643</v>
      </c>
      <c r="CE19" s="258">
        <f t="shared" si="7"/>
        <v>3.9739201114723643</v>
      </c>
      <c r="CF19" s="258">
        <f t="shared" si="7"/>
        <v>3.9739201114723643</v>
      </c>
      <c r="CG19" s="258">
        <f t="shared" si="7"/>
        <v>3.9941523455643289</v>
      </c>
      <c r="CH19" s="258">
        <f t="shared" si="7"/>
        <v>3.9941523455643289</v>
      </c>
      <c r="CI19" s="258">
        <f t="shared" si="7"/>
        <v>3.9941523455643289</v>
      </c>
      <c r="CJ19" s="258">
        <f t="shared" si="7"/>
        <v>3.9941523455643289</v>
      </c>
      <c r="CK19" s="258">
        <f t="shared" si="7"/>
        <v>3.9941523455643289</v>
      </c>
      <c r="CL19" s="258">
        <f t="shared" si="7"/>
        <v>4.0346168137482588</v>
      </c>
      <c r="CM19" s="258">
        <f t="shared" si="7"/>
        <v>4.0346168137482588</v>
      </c>
      <c r="CN19" s="258">
        <f t="shared" si="7"/>
        <v>4.0548490478402233</v>
      </c>
      <c r="CO19" s="258">
        <f t="shared" si="7"/>
        <v>4.0548490478402233</v>
      </c>
      <c r="CP19" s="258">
        <f t="shared" si="7"/>
        <v>4.0548490478402233</v>
      </c>
      <c r="CQ19" s="258">
        <f t="shared" si="7"/>
        <v>4.0548490478402233</v>
      </c>
      <c r="CR19" s="258">
        <f t="shared" si="7"/>
        <v>4.0548490478402233</v>
      </c>
      <c r="CS19" s="258">
        <f t="shared" ref="CS19:FC19" si="8">1.89+CS13</f>
        <v>4.0447329307942406</v>
      </c>
      <c r="CT19" s="258">
        <f t="shared" si="8"/>
        <v>4.0649651648862051</v>
      </c>
      <c r="CU19" s="258">
        <f t="shared" si="8"/>
        <v>4.0548490478402233</v>
      </c>
      <c r="CV19" s="258">
        <f t="shared" si="8"/>
        <v>4.0548490478402233</v>
      </c>
      <c r="CW19" s="258">
        <f t="shared" si="8"/>
        <v>4.0548490478402233</v>
      </c>
      <c r="CX19" s="258">
        <f t="shared" si="8"/>
        <v>3.9941523455643289</v>
      </c>
      <c r="CY19" s="258">
        <f t="shared" si="8"/>
        <v>3.9536878773803998</v>
      </c>
      <c r="CZ19" s="258">
        <f t="shared" si="8"/>
        <v>3.9536878773803998</v>
      </c>
      <c r="DA19" s="258">
        <f t="shared" si="8"/>
        <v>3.9536878773803998</v>
      </c>
      <c r="DB19" s="258">
        <f t="shared" si="8"/>
        <v>3.9536878773803998</v>
      </c>
      <c r="DC19" s="258">
        <f t="shared" si="8"/>
        <v>3.9385137018114262</v>
      </c>
      <c r="DD19" s="258">
        <f t="shared" si="8"/>
        <v>3.832294472828611</v>
      </c>
      <c r="DE19" s="258">
        <f t="shared" si="8"/>
        <v>3.8221783557826292</v>
      </c>
      <c r="DF19" s="258">
        <f t="shared" si="8"/>
        <v>3.6603204830469114</v>
      </c>
      <c r="DG19" s="258">
        <f t="shared" si="8"/>
        <v>3.6097398978169997</v>
      </c>
      <c r="DH19" s="258">
        <f t="shared" si="8"/>
        <v>3.6400882489549469</v>
      </c>
      <c r="DI19" s="258">
        <f t="shared" si="8"/>
        <v>3.6198560148629819</v>
      </c>
      <c r="DJ19" s="258">
        <f t="shared" si="8"/>
        <v>3.5895076637250352</v>
      </c>
      <c r="DK19" s="258">
        <f t="shared" si="8"/>
        <v>3.5895076637250352</v>
      </c>
      <c r="DL19" s="258">
        <f t="shared" si="8"/>
        <v>3.5895076637250352</v>
      </c>
      <c r="DM19" s="258">
        <f t="shared" si="8"/>
        <v>3.5490431955411053</v>
      </c>
      <c r="DN19" s="258">
        <f t="shared" si="8"/>
        <v>3.4883464932652117</v>
      </c>
      <c r="DO19" s="258">
        <f t="shared" si="8"/>
        <v>3.4681142591732468</v>
      </c>
      <c r="DP19" s="258">
        <f t="shared" si="8"/>
        <v>3.4681142591732468</v>
      </c>
      <c r="DQ19" s="258">
        <f t="shared" si="8"/>
        <v>3.4276497909893173</v>
      </c>
      <c r="DR19" s="258">
        <f t="shared" si="8"/>
        <v>3.4074175568973528</v>
      </c>
      <c r="DS19" s="258">
        <f t="shared" si="8"/>
        <v>3.3973014398513701</v>
      </c>
      <c r="DT19" s="258">
        <f t="shared" si="8"/>
        <v>1.89</v>
      </c>
      <c r="DU19" s="258">
        <f t="shared" si="8"/>
        <v>1.89</v>
      </c>
      <c r="DV19" s="258">
        <f t="shared" si="8"/>
        <v>1.89</v>
      </c>
      <c r="DW19" s="258">
        <f t="shared" si="8"/>
        <v>1.89</v>
      </c>
      <c r="DX19" s="258">
        <f t="shared" si="8"/>
        <v>1.89</v>
      </c>
      <c r="DY19" s="258">
        <f t="shared" si="8"/>
        <v>1.89</v>
      </c>
      <c r="DZ19" s="258">
        <f t="shared" si="8"/>
        <v>1.89</v>
      </c>
      <c r="EA19" s="258">
        <f t="shared" si="8"/>
        <v>1.89</v>
      </c>
      <c r="EB19" s="258">
        <f t="shared" si="8"/>
        <v>1.89</v>
      </c>
      <c r="EC19" s="258">
        <f t="shared" si="8"/>
        <v>1.89</v>
      </c>
      <c r="ED19" s="258">
        <f t="shared" si="8"/>
        <v>1.89</v>
      </c>
      <c r="EE19" s="258">
        <f t="shared" si="8"/>
        <v>1.89</v>
      </c>
      <c r="EF19" s="258">
        <f t="shared" si="8"/>
        <v>1.89</v>
      </c>
      <c r="EG19" s="258">
        <f t="shared" si="8"/>
        <v>1.89</v>
      </c>
      <c r="EH19" s="258">
        <f t="shared" si="8"/>
        <v>1.89</v>
      </c>
      <c r="EI19" s="258">
        <f t="shared" si="8"/>
        <v>1.89</v>
      </c>
      <c r="EJ19" s="258">
        <f t="shared" si="8"/>
        <v>1.89</v>
      </c>
      <c r="EK19" s="258">
        <f t="shared" si="8"/>
        <v>1.89</v>
      </c>
      <c r="EL19" s="258">
        <f t="shared" si="8"/>
        <v>1.89</v>
      </c>
      <c r="EM19" s="258">
        <f t="shared" si="8"/>
        <v>1.89</v>
      </c>
      <c r="EN19" s="258">
        <f t="shared" si="8"/>
        <v>1.89</v>
      </c>
      <c r="EO19" s="258">
        <f t="shared" si="8"/>
        <v>1.89</v>
      </c>
      <c r="EP19" s="258">
        <f t="shared" si="8"/>
        <v>1.89</v>
      </c>
      <c r="EQ19" s="258">
        <f t="shared" si="8"/>
        <v>1.89</v>
      </c>
      <c r="ER19" s="258">
        <f t="shared" si="8"/>
        <v>1.89</v>
      </c>
      <c r="ES19" s="258">
        <f t="shared" si="8"/>
        <v>1.89</v>
      </c>
      <c r="ET19" s="258">
        <f t="shared" si="8"/>
        <v>1.89</v>
      </c>
      <c r="EU19" s="258">
        <f t="shared" si="8"/>
        <v>1.89</v>
      </c>
      <c r="EV19" s="258">
        <f t="shared" si="8"/>
        <v>1.89</v>
      </c>
      <c r="EW19" s="258">
        <f t="shared" si="8"/>
        <v>1.89</v>
      </c>
      <c r="EX19" s="258">
        <f t="shared" si="8"/>
        <v>1.89</v>
      </c>
      <c r="EY19" s="258">
        <f t="shared" si="8"/>
        <v>1.89</v>
      </c>
      <c r="EZ19" s="258">
        <f t="shared" si="8"/>
        <v>1.89</v>
      </c>
      <c r="FA19" s="258">
        <f t="shared" si="8"/>
        <v>1.89</v>
      </c>
      <c r="FB19" s="258">
        <f t="shared" si="8"/>
        <v>1.89</v>
      </c>
      <c r="FC19" s="258">
        <f t="shared" si="8"/>
        <v>1.89</v>
      </c>
    </row>
  </sheetData>
  <pageMargins left="0.7" right="0.7" top="0.75" bottom="0.75" header="0.3" footer="0.3"/>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CZ19"/>
  <sheetViews>
    <sheetView workbookViewId="0">
      <pane xSplit="11" ySplit="7" topLeftCell="L8" activePane="bottomRight" state="frozen"/>
      <selection pane="topRight" activeCell="L1" sqref="L1"/>
      <selection pane="bottomLeft" activeCell="A7" sqref="A7"/>
      <selection pane="bottomRight" activeCell="H9" sqref="H9"/>
    </sheetView>
  </sheetViews>
  <sheetFormatPr baseColWidth="10" defaultColWidth="22.6640625" defaultRowHeight="12"/>
  <cols>
    <col min="1" max="1" width="16.1640625" style="60" bestFit="1" customWidth="1"/>
    <col min="2" max="2" width="11.33203125" style="60" bestFit="1" customWidth="1"/>
    <col min="3" max="3" width="4.83203125" style="60" bestFit="1" customWidth="1"/>
    <col min="4" max="4" width="12.33203125" style="60" bestFit="1" customWidth="1"/>
    <col min="5" max="5" width="18.83203125" style="60" bestFit="1" customWidth="1"/>
    <col min="6" max="6" width="6.5" style="60" bestFit="1" customWidth="1"/>
    <col min="7" max="7" width="4.1640625" style="60" bestFit="1" customWidth="1"/>
    <col min="8" max="8" width="22.83203125" style="60" bestFit="1" customWidth="1"/>
    <col min="9" max="10" width="5.5" style="60" bestFit="1" customWidth="1"/>
    <col min="11" max="11" width="5.6640625" style="60" bestFit="1" customWidth="1"/>
    <col min="12" max="12" width="5.5" style="60" bestFit="1" customWidth="1"/>
    <col min="13" max="13" width="5.83203125" style="60" bestFit="1" customWidth="1"/>
    <col min="14" max="18" width="5.5" style="60" bestFit="1" customWidth="1"/>
    <col min="19" max="19" width="5.6640625" style="60" bestFit="1" customWidth="1"/>
    <col min="20" max="20" width="6.1640625" style="60" bestFit="1" customWidth="1"/>
    <col min="21" max="21" width="5.5" style="60" bestFit="1" customWidth="1"/>
    <col min="22" max="26" width="6.1640625" style="60" bestFit="1" customWidth="1"/>
    <col min="27" max="30" width="5.5" style="60" bestFit="1" customWidth="1"/>
    <col min="31" max="31" width="5.6640625" style="60" bestFit="1" customWidth="1"/>
    <col min="32" max="34" width="5.5" style="60" bestFit="1" customWidth="1"/>
    <col min="35" max="35" width="5.6640625" style="60" bestFit="1" customWidth="1"/>
    <col min="36" max="36" width="5.5" style="60" bestFit="1" customWidth="1"/>
    <col min="37" max="37" width="5.83203125" style="60" bestFit="1" customWidth="1"/>
    <col min="38" max="42" width="5.5" style="60" bestFit="1" customWidth="1"/>
    <col min="43" max="43" width="5.6640625" style="60" bestFit="1" customWidth="1"/>
    <col min="44" max="46" width="5.5" style="60" bestFit="1" customWidth="1"/>
    <col min="47" max="47" width="5.6640625" style="60" bestFit="1" customWidth="1"/>
    <col min="48" max="48" width="5.5" style="60" bestFit="1" customWidth="1"/>
    <col min="49" max="49" width="5.83203125" style="60" bestFit="1" customWidth="1"/>
    <col min="50" max="51" width="5.5" style="60" bestFit="1" customWidth="1"/>
    <col min="52" max="54" width="7" style="60" bestFit="1" customWidth="1"/>
    <col min="55" max="56" width="5.5" style="60" bestFit="1" customWidth="1"/>
    <col min="57" max="58" width="5.83203125" style="60" bestFit="1" customWidth="1"/>
    <col min="59" max="70" width="5.6640625" style="60" bestFit="1" customWidth="1"/>
    <col min="71" max="80" width="5.5" style="60" bestFit="1" customWidth="1"/>
    <col min="81" max="90" width="6.1640625" style="60" bestFit="1" customWidth="1"/>
    <col min="91" max="95" width="6.33203125" style="60" bestFit="1" customWidth="1"/>
    <col min="96" max="99" width="6.1640625" style="60" bestFit="1" customWidth="1"/>
    <col min="100" max="104" width="5.1640625" style="60" bestFit="1" customWidth="1"/>
    <col min="105" max="16384" width="22.6640625" style="60"/>
  </cols>
  <sheetData>
    <row r="1" spans="1:104" ht="13">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row>
    <row r="2" spans="1:104">
      <c r="A2" s="59"/>
      <c r="B2" s="59"/>
      <c r="C2" s="59"/>
      <c r="D2" s="98"/>
      <c r="E2" s="98"/>
      <c r="F2" s="59"/>
      <c r="H2" s="99"/>
      <c r="I2" s="99"/>
      <c r="J2" s="99"/>
      <c r="K2" s="99"/>
      <c r="L2" s="99"/>
      <c r="M2" s="99"/>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99"/>
      <c r="AP2" s="99"/>
      <c r="AQ2" s="99"/>
      <c r="AR2" s="99"/>
      <c r="AS2" s="99"/>
      <c r="AT2" s="99"/>
      <c r="AU2" s="99"/>
      <c r="AV2" s="99"/>
      <c r="AW2" s="99"/>
      <c r="AX2" s="99"/>
      <c r="AY2" s="99"/>
      <c r="AZ2" s="99"/>
      <c r="BA2" s="99"/>
      <c r="BB2" s="99"/>
      <c r="BC2" s="99"/>
      <c r="BD2" s="99"/>
      <c r="BE2" s="99"/>
      <c r="BF2" s="99"/>
      <c r="BG2" s="99"/>
      <c r="BH2" s="99"/>
      <c r="BI2" s="99"/>
      <c r="BJ2" s="99"/>
      <c r="BK2" s="99"/>
      <c r="BL2" s="99"/>
      <c r="BM2" s="99"/>
      <c r="BN2" s="99"/>
      <c r="BO2" s="99"/>
      <c r="BP2" s="99"/>
      <c r="BQ2" s="99"/>
      <c r="BR2" s="99"/>
      <c r="BS2" s="99"/>
      <c r="BT2" s="99"/>
      <c r="BU2" s="99"/>
      <c r="BV2" s="99"/>
      <c r="BW2" s="99"/>
      <c r="BX2" s="99"/>
      <c r="BY2" s="99"/>
      <c r="BZ2" s="99"/>
      <c r="CA2" s="99"/>
      <c r="CB2" s="99"/>
      <c r="CC2" s="99"/>
      <c r="CD2" s="99"/>
      <c r="CE2" s="99"/>
      <c r="CF2" s="99"/>
      <c r="CG2" s="99"/>
      <c r="CH2" s="99"/>
      <c r="CI2" s="99"/>
      <c r="CJ2" s="99"/>
      <c r="CK2" s="99"/>
      <c r="CL2" s="99"/>
      <c r="CM2" s="99"/>
      <c r="CN2" s="99"/>
    </row>
    <row r="3" spans="1:104" ht="15">
      <c r="A3" t="s">
        <v>801</v>
      </c>
      <c r="B3" s="100"/>
      <c r="C3" s="101"/>
      <c r="D3" s="282">
        <v>172.24</v>
      </c>
      <c r="K3" s="102"/>
      <c r="M3" s="102"/>
    </row>
    <row r="4" spans="1:104">
      <c r="A4" s="36"/>
      <c r="B4" s="64"/>
      <c r="D4" s="100"/>
      <c r="E4" s="64"/>
      <c r="F4" s="103"/>
    </row>
    <row r="5" spans="1:104">
      <c r="A5" s="64"/>
      <c r="B5" s="64"/>
      <c r="D5" s="64"/>
      <c r="E5" s="64"/>
      <c r="H5" s="60" t="s">
        <v>387</v>
      </c>
    </row>
    <row r="6" spans="1:104">
      <c r="A6" s="74"/>
      <c r="B6" s="74"/>
    </row>
    <row r="7" spans="1:104">
      <c r="A7" s="59"/>
      <c r="B7" s="59"/>
      <c r="C7" s="59"/>
      <c r="D7" s="98"/>
      <c r="E7" s="98"/>
      <c r="F7" s="59"/>
      <c r="H7" s="59" t="s">
        <v>416</v>
      </c>
      <c r="I7" s="59">
        <v>43831</v>
      </c>
      <c r="J7" s="59">
        <v>43862</v>
      </c>
      <c r="K7" s="59">
        <v>43891</v>
      </c>
      <c r="L7" s="59">
        <v>43922</v>
      </c>
      <c r="M7" s="59">
        <v>43952</v>
      </c>
      <c r="N7" s="59">
        <v>43983</v>
      </c>
      <c r="O7" s="59">
        <v>44013</v>
      </c>
      <c r="P7" s="59">
        <v>44044</v>
      </c>
      <c r="Q7" s="59">
        <v>44075</v>
      </c>
      <c r="R7" s="59">
        <v>44105</v>
      </c>
      <c r="S7" s="59">
        <v>44136</v>
      </c>
      <c r="T7" s="59">
        <v>44166</v>
      </c>
      <c r="U7" s="59">
        <v>44197</v>
      </c>
      <c r="V7" s="59">
        <v>44228</v>
      </c>
      <c r="W7" s="59">
        <v>44256</v>
      </c>
      <c r="X7" s="59">
        <v>44287</v>
      </c>
      <c r="Y7" s="59">
        <v>44317</v>
      </c>
      <c r="Z7" s="59">
        <v>44348</v>
      </c>
      <c r="AA7" s="59">
        <v>44378</v>
      </c>
      <c r="AB7" s="59">
        <v>44409</v>
      </c>
      <c r="AC7" s="59">
        <v>44440</v>
      </c>
      <c r="AD7" s="59">
        <v>44470</v>
      </c>
      <c r="AE7" s="59">
        <v>44501</v>
      </c>
      <c r="AF7" s="59">
        <v>44531</v>
      </c>
      <c r="AG7" s="59">
        <v>44562</v>
      </c>
      <c r="AH7" s="59">
        <v>44593</v>
      </c>
      <c r="AI7" s="59">
        <v>44621</v>
      </c>
      <c r="AJ7" s="59">
        <v>44652</v>
      </c>
      <c r="AK7" s="59">
        <v>44682</v>
      </c>
      <c r="AL7" s="59">
        <v>44713</v>
      </c>
      <c r="AM7" s="59">
        <v>44743</v>
      </c>
      <c r="AN7" s="59">
        <v>44774</v>
      </c>
      <c r="AO7" s="59">
        <v>44805</v>
      </c>
      <c r="AP7" s="59">
        <v>44835</v>
      </c>
      <c r="AQ7" s="59">
        <v>44866</v>
      </c>
      <c r="AR7" s="59">
        <v>44896</v>
      </c>
      <c r="AS7" s="59">
        <v>44927</v>
      </c>
      <c r="AT7" s="59">
        <v>44958</v>
      </c>
      <c r="AU7" s="59">
        <v>44986</v>
      </c>
      <c r="AV7" s="59">
        <v>45017</v>
      </c>
      <c r="AW7" s="59">
        <v>45047</v>
      </c>
      <c r="AX7" s="59">
        <v>45078</v>
      </c>
      <c r="AY7" s="59">
        <v>45108</v>
      </c>
      <c r="AZ7" s="59" t="s">
        <v>530</v>
      </c>
      <c r="BA7" s="59" t="s">
        <v>531</v>
      </c>
      <c r="BB7" s="59" t="s">
        <v>532</v>
      </c>
      <c r="BC7" s="59">
        <v>37104</v>
      </c>
      <c r="BD7" s="59">
        <v>37469</v>
      </c>
      <c r="BE7" s="59" t="s">
        <v>168</v>
      </c>
      <c r="BF7" s="59" t="s">
        <v>169</v>
      </c>
      <c r="BG7" s="59" t="s">
        <v>195</v>
      </c>
      <c r="BH7" s="59" t="s">
        <v>196</v>
      </c>
      <c r="BI7" s="59" t="s">
        <v>197</v>
      </c>
      <c r="BJ7" s="59" t="s">
        <v>198</v>
      </c>
      <c r="BK7" s="59" t="s">
        <v>199</v>
      </c>
      <c r="BL7" s="59" t="s">
        <v>200</v>
      </c>
      <c r="BM7" s="59" t="s">
        <v>201</v>
      </c>
      <c r="BN7" s="59" t="s">
        <v>202</v>
      </c>
      <c r="BO7" s="59">
        <v>37196</v>
      </c>
      <c r="BP7" s="59">
        <v>37561</v>
      </c>
      <c r="BQ7" s="59">
        <v>37926</v>
      </c>
      <c r="BR7" s="59">
        <v>38292</v>
      </c>
      <c r="BS7" s="59">
        <v>37226</v>
      </c>
      <c r="BT7" s="59">
        <v>37591</v>
      </c>
      <c r="BU7" s="59">
        <v>37956</v>
      </c>
      <c r="BV7" s="59">
        <v>38322</v>
      </c>
      <c r="BW7" s="59">
        <v>36892</v>
      </c>
      <c r="BX7" s="59">
        <v>37257</v>
      </c>
      <c r="BY7" s="59">
        <v>37622</v>
      </c>
      <c r="BZ7" s="59">
        <v>37987</v>
      </c>
      <c r="CA7" s="59">
        <v>36923</v>
      </c>
      <c r="CB7" s="59">
        <v>37288</v>
      </c>
      <c r="CC7" s="59">
        <v>37653</v>
      </c>
      <c r="CD7" s="59">
        <v>38018</v>
      </c>
      <c r="CE7" s="59" t="str">
        <f>Sheet8!A15</f>
        <v>Mar-w1</v>
      </c>
      <c r="CF7" s="59">
        <v>37316</v>
      </c>
      <c r="CG7" s="59">
        <v>37681</v>
      </c>
      <c r="CH7" s="59">
        <v>38047</v>
      </c>
      <c r="CI7" s="59" t="str">
        <f>Sheet8!E15</f>
        <v>Apr-w1</v>
      </c>
      <c r="CJ7" s="59" t="str">
        <f>Sheet8!F15</f>
        <v>Apr-w2</v>
      </c>
      <c r="CK7" s="59" t="str">
        <f>Sheet8!G15</f>
        <v>Apr-w3</v>
      </c>
      <c r="CL7" s="59" t="str">
        <f>Sheet8!H15</f>
        <v>Apr-w4</v>
      </c>
      <c r="CM7" s="59" t="str">
        <f>Sheet8!I15</f>
        <v>May-w1</v>
      </c>
      <c r="CN7" s="59" t="str">
        <f>Sheet8!J15</f>
        <v>May-w2</v>
      </c>
      <c r="CO7" s="59" t="str">
        <f>Sheet8!K15</f>
        <v>May-w3</v>
      </c>
      <c r="CP7" s="59" t="str">
        <f>Sheet8!L15</f>
        <v>May-w4</v>
      </c>
      <c r="CQ7" s="59" t="str">
        <f>Sheet8!M15</f>
        <v>May-w5</v>
      </c>
      <c r="CR7" s="59" t="str">
        <f>Sheet8!N15</f>
        <v>june-w1</v>
      </c>
      <c r="CS7" s="59" t="str">
        <f>Sheet8!O15</f>
        <v>june-w2</v>
      </c>
      <c r="CT7" s="59" t="str">
        <f>Sheet8!P15</f>
        <v>june-w3</v>
      </c>
      <c r="CU7" s="59" t="str">
        <f>Sheet8!Q15</f>
        <v>june-w4</v>
      </c>
      <c r="CV7" s="59" t="str">
        <f>Sheet8!R15</f>
        <v>Jul-w1</v>
      </c>
      <c r="CW7" s="59" t="str">
        <f>Sheet8!S15</f>
        <v>Jul-w2</v>
      </c>
      <c r="CX7" s="59" t="str">
        <f>Sheet8!T15</f>
        <v>Jul-w3</v>
      </c>
      <c r="CY7" s="59" t="str">
        <f>Sheet8!U15</f>
        <v>Jul-w4</v>
      </c>
      <c r="CZ7" s="59" t="str">
        <f>Sheet8!V15</f>
        <v>Aug-w1</v>
      </c>
    </row>
    <row r="8" spans="1:104">
      <c r="F8" s="60" t="s">
        <v>651</v>
      </c>
      <c r="H8" s="178" t="s">
        <v>802</v>
      </c>
      <c r="I8" s="74" t="e">
        <f>VLOOKUP($H$8&amp;$F$1,'Input RM sheet'!$A:$BD,H1,0)</f>
        <v>#N/A</v>
      </c>
      <c r="J8" s="74" t="e">
        <f>VLOOKUP($H$8&amp;$F$1,'Input RM sheet'!$A:$BD,I1,0)</f>
        <v>#N/A</v>
      </c>
      <c r="K8" s="74" t="e">
        <f>VLOOKUP($H$8&amp;$F$1,'Input RM sheet'!$A:$DD,J1,0)</f>
        <v>#N/A</v>
      </c>
      <c r="L8" s="74" t="e">
        <f>VLOOKUP($H$8&amp;$F$1,'Input RM sheet'!$A:$DD,K1,0)</f>
        <v>#N/A</v>
      </c>
      <c r="M8" s="74" t="e">
        <f>VLOOKUP($H$8&amp;$F$1,'Input RM sheet'!$A:$DD,L1,0)</f>
        <v>#N/A</v>
      </c>
      <c r="N8" s="74" t="e">
        <f>VLOOKUP($H$8&amp;$F$1,'Input RM sheet'!$A:$DD,M1,0)</f>
        <v>#N/A</v>
      </c>
      <c r="O8" s="74" t="e">
        <f>VLOOKUP($H$8&amp;$F$1,'Input RM sheet'!$A:$DD,N1,0)</f>
        <v>#N/A</v>
      </c>
      <c r="P8" s="74" t="e">
        <f>VLOOKUP($H$8&amp;$F$1,'Input RM sheet'!$A:$DD,O1,0)</f>
        <v>#N/A</v>
      </c>
      <c r="Q8" s="74" t="e">
        <f>VLOOKUP($H$8&amp;$F$1,'Input RM sheet'!$A:$DD,P1,0)</f>
        <v>#N/A</v>
      </c>
      <c r="R8" s="74" t="e">
        <f>VLOOKUP($H$8&amp;$F$1,'Input RM sheet'!$A:$DD,Q1,0)</f>
        <v>#N/A</v>
      </c>
      <c r="S8" s="74" t="e">
        <f>VLOOKUP($H$8&amp;$F$1,'Input RM sheet'!$A:$DD,R1,0)</f>
        <v>#N/A</v>
      </c>
      <c r="T8" s="74" t="e">
        <f>VLOOKUP($H$8&amp;$F$1,'Input RM sheet'!$A:$DD,S1,0)</f>
        <v>#N/A</v>
      </c>
      <c r="U8" s="74" t="e">
        <f>VLOOKUP($H$8&amp;$F$1,'Input RM sheet'!$A:$DD,T1,0)</f>
        <v>#N/A</v>
      </c>
      <c r="V8" s="74" t="e">
        <f>VLOOKUP($H$8&amp;$F$1,'Input RM sheet'!$A:$DD,U1,0)</f>
        <v>#N/A</v>
      </c>
      <c r="W8" s="74" t="e">
        <f>VLOOKUP($H$8&amp;$F$1,'Input RM sheet'!$A:$DD,V1,0)</f>
        <v>#N/A</v>
      </c>
      <c r="X8" s="74" t="e">
        <f>VLOOKUP($H$8&amp;$F$1,'Input RM sheet'!$A:$DD,W1,0)</f>
        <v>#N/A</v>
      </c>
      <c r="Y8" s="74" t="e">
        <f>VLOOKUP($H$8&amp;$F$1,'Input RM sheet'!$A:$DD,X1,0)</f>
        <v>#N/A</v>
      </c>
      <c r="Z8" s="74" t="e">
        <f>VLOOKUP($H$8&amp;$F$1,'Input RM sheet'!$A:$DD,Y1,0)</f>
        <v>#N/A</v>
      </c>
      <c r="AA8" s="74" t="e">
        <f>VLOOKUP($H$8&amp;$F$1,'Input RM sheet'!$A:$DD,Z1,0)</f>
        <v>#N/A</v>
      </c>
      <c r="AB8" s="74" t="e">
        <f>VLOOKUP($H$8&amp;$F$1,'Input RM sheet'!$A:$DD,AA1,0)</f>
        <v>#N/A</v>
      </c>
      <c r="AC8" s="74" t="e">
        <f>VLOOKUP($H$8&amp;$F$1,'Input RM sheet'!$A:$DD,AB1,0)</f>
        <v>#N/A</v>
      </c>
      <c r="AD8" s="74" t="e">
        <f>VLOOKUP($H$8&amp;$F$1,'Input RM sheet'!$A:$DD,AC1,0)</f>
        <v>#N/A</v>
      </c>
      <c r="AE8" s="74" t="e">
        <f>VLOOKUP($H$8&amp;$F$1,'Input RM sheet'!$A:$DD,AD1,0)</f>
        <v>#N/A</v>
      </c>
      <c r="AF8" s="74" t="e">
        <f>VLOOKUP($H$8&amp;$F$1,'Input RM sheet'!$A:$DD,AE1,0)</f>
        <v>#N/A</v>
      </c>
      <c r="AG8" s="74" t="e">
        <f>VLOOKUP($H$8&amp;$F$1,'Input RM sheet'!$A:$DD,AF1,0)</f>
        <v>#N/A</v>
      </c>
      <c r="AH8" s="74" t="e">
        <f>VLOOKUP($H$8&amp;$F$1,'Input RM sheet'!$A:$DD,AG1,0)</f>
        <v>#N/A</v>
      </c>
      <c r="AI8" s="74" t="e">
        <f>VLOOKUP($H$8&amp;$F$1,'Input RM sheet'!$A:$DD,AH1,0)</f>
        <v>#N/A</v>
      </c>
      <c r="AJ8" s="74" t="e">
        <f>VLOOKUP($H$8&amp;$F$1,'Input RM sheet'!$A:$DD,AI1,0)</f>
        <v>#N/A</v>
      </c>
      <c r="AK8" s="74" t="e">
        <f>VLOOKUP($H$8&amp;$F$1,'Input RM sheet'!$A:$DD,AJ1,0)</f>
        <v>#N/A</v>
      </c>
      <c r="AL8" s="74" t="e">
        <f>VLOOKUP($H$8&amp;$F$1,'Input RM sheet'!$A:$DD,AK1,0)</f>
        <v>#N/A</v>
      </c>
      <c r="AM8" s="74" t="e">
        <f>VLOOKUP($H$8&amp;$F$1,'Input RM sheet'!$A:$DD,AL1,0)</f>
        <v>#N/A</v>
      </c>
      <c r="AN8" s="74" t="e">
        <f>VLOOKUP($H$8&amp;$F$1,'Input RM sheet'!$A:$DD,AM1,0)</f>
        <v>#N/A</v>
      </c>
      <c r="AO8" s="74" t="e">
        <f>VLOOKUP($H$8&amp;$F$1,'Input RM sheet'!$A:$DD,AN1,0)</f>
        <v>#N/A</v>
      </c>
      <c r="AP8" s="74" t="e">
        <f>VLOOKUP($H$8&amp;$F$1,'Input RM sheet'!$A:$DD,AO1,0)</f>
        <v>#N/A</v>
      </c>
      <c r="AQ8" s="74" t="e">
        <f>VLOOKUP($H$8&amp;$F$1,'Input RM sheet'!$A:$DD,AP1,0)</f>
        <v>#N/A</v>
      </c>
      <c r="AR8" s="74" t="e">
        <f>VLOOKUP($H$8&amp;$F$1,'Input RM sheet'!$A:$DD,AQ1,0)</f>
        <v>#N/A</v>
      </c>
      <c r="AS8" s="74" t="e">
        <f>VLOOKUP($H$8&amp;$F$1,'Input RM sheet'!$A:$DD,AR1,0)</f>
        <v>#N/A</v>
      </c>
      <c r="AT8" s="74" t="e">
        <f>VLOOKUP($H$8&amp;$F$1,'Input RM sheet'!$A:$DD,AS1,0)</f>
        <v>#N/A</v>
      </c>
      <c r="AU8" s="74" t="e">
        <f>VLOOKUP($H$8&amp;$F$1,'Input RM sheet'!$A:$DD,AT1,0)</f>
        <v>#N/A</v>
      </c>
      <c r="AV8" s="74" t="e">
        <f>VLOOKUP($H$8&amp;$F$1,'Input RM sheet'!$A:$DD,AU1,0)</f>
        <v>#N/A</v>
      </c>
      <c r="AW8" s="74" t="e">
        <f>VLOOKUP($H$8&amp;$F$1,'Input RM sheet'!$A:$DD,AV1,0)</f>
        <v>#N/A</v>
      </c>
      <c r="AX8" s="74" t="e">
        <f>VLOOKUP($H$8&amp;$F$1,'Input RM sheet'!$A:$DD,AW1,0)</f>
        <v>#N/A</v>
      </c>
      <c r="AY8" s="74" t="e">
        <f>VLOOKUP($H$8&amp;$F$1,'Input RM sheet'!$A:$DD,AX1,0)</f>
        <v>#N/A</v>
      </c>
      <c r="AZ8" s="74" t="e">
        <f>VLOOKUP($H$8&amp;$F$1,'Input RM sheet'!$A:$DD,AY1,0)</f>
        <v>#N/A</v>
      </c>
      <c r="BA8" s="74" t="e">
        <f>VLOOKUP($H$8&amp;$F$1,'Input RM sheet'!$A:$DD,AZ1,0)</f>
        <v>#N/A</v>
      </c>
      <c r="BB8" s="74" t="e">
        <f>VLOOKUP($H$8&amp;$F$1,'Input RM sheet'!$A:$DD,BA1,0)</f>
        <v>#N/A</v>
      </c>
      <c r="BC8" s="74" t="e">
        <f>VLOOKUP($H$8&amp;$F$1,'Input RM sheet'!$A:$DD,BB1,0)</f>
        <v>#N/A</v>
      </c>
      <c r="BD8" s="74" t="e">
        <f>VLOOKUP($H$8&amp;$F$1,'Input RM sheet'!$A:$DD,BC1,0)</f>
        <v>#N/A</v>
      </c>
      <c r="BE8" s="74" t="e">
        <f>VLOOKUP($H$8&amp;$F$1,'Input RM sheet'!$A:$DD,BD1,0)</f>
        <v>#N/A</v>
      </c>
      <c r="BF8" s="74" t="e">
        <f>VLOOKUP($H$8&amp;$F$1,'Input RM sheet'!$A:$DD,BE1,0)</f>
        <v>#N/A</v>
      </c>
      <c r="BG8" s="74" t="e">
        <f>VLOOKUP($H$8&amp;$F$1,'Input RM sheet'!$A:$DD,BF1,0)</f>
        <v>#N/A</v>
      </c>
      <c r="BH8" s="74" t="e">
        <f>VLOOKUP($H$8&amp;$F$1,'Input RM sheet'!$A:$DD,BG1,0)</f>
        <v>#N/A</v>
      </c>
      <c r="BI8" s="74" t="e">
        <f>VLOOKUP($H$8&amp;$F$1,'Input RM sheet'!$A:$DD,BH1,0)</f>
        <v>#N/A</v>
      </c>
      <c r="BJ8" s="74" t="e">
        <f>VLOOKUP($H$8&amp;$F$1,'Input RM sheet'!$A:$DD,BI1,0)</f>
        <v>#N/A</v>
      </c>
      <c r="BK8" s="74" t="e">
        <f>VLOOKUP($H$8&amp;$F$1,'Input RM sheet'!$A:$DD,BJ1,0)</f>
        <v>#N/A</v>
      </c>
      <c r="BL8" s="74" t="e">
        <f>VLOOKUP($H$8&amp;$F$1,'Input RM sheet'!$A:$DD,BK1,0)</f>
        <v>#N/A</v>
      </c>
      <c r="BM8" s="74" t="e">
        <f>VLOOKUP($H$8&amp;$F$1,'Input RM sheet'!$A:$DD,BL1,0)</f>
        <v>#N/A</v>
      </c>
      <c r="BN8" s="74" t="e">
        <f>VLOOKUP($H$8&amp;$F$1,'Input RM sheet'!$A:$DD,BM1,0)</f>
        <v>#N/A</v>
      </c>
      <c r="BO8" s="74" t="e">
        <f>VLOOKUP($H$8&amp;$F$1,'Input RM sheet'!$A:$DD,BN1,0)</f>
        <v>#N/A</v>
      </c>
      <c r="BP8" s="74" t="e">
        <f>VLOOKUP($H$8&amp;$F$1,'Input RM sheet'!$A:$DD,BO1,0)</f>
        <v>#N/A</v>
      </c>
      <c r="BQ8" s="74" t="e">
        <f>VLOOKUP($H$8&amp;$F$1,'Input RM sheet'!$A:$DD,BP1,0)</f>
        <v>#N/A</v>
      </c>
      <c r="BR8" s="74" t="e">
        <f>VLOOKUP($H$8&amp;$F$1,'Input RM sheet'!$A:$DD,BQ1,0)</f>
        <v>#N/A</v>
      </c>
      <c r="BS8" s="74" t="e">
        <f>VLOOKUP($H$8&amp;$F$1,'Input RM sheet'!$A:$DD,BR1,0)</f>
        <v>#N/A</v>
      </c>
      <c r="BT8" s="74" t="e">
        <f>VLOOKUP($H$8&amp;$F$1,'Input RM sheet'!$A:$DD,BS1,0)</f>
        <v>#N/A</v>
      </c>
      <c r="BU8" s="74" t="e">
        <f>VLOOKUP($H$8&amp;$F$1,'Input RM sheet'!$A:$DD,BT1,0)</f>
        <v>#N/A</v>
      </c>
      <c r="BV8" s="74" t="e">
        <f>VLOOKUP($H$8&amp;$F$1,'Input RM sheet'!$A:$DD,BU1,0)</f>
        <v>#N/A</v>
      </c>
      <c r="BW8" s="74" t="e">
        <f>VLOOKUP($H$8&amp;$F$1,'Input RM sheet'!$A:$DD,BV1,0)</f>
        <v>#N/A</v>
      </c>
      <c r="BX8" s="74" t="e">
        <f>VLOOKUP($H$8&amp;$F$1,'Input RM sheet'!$A:$DD,BW1,0)</f>
        <v>#N/A</v>
      </c>
      <c r="BY8" s="74" t="e">
        <f>VLOOKUP($H$8&amp;$F$1,'Input RM sheet'!$A:$DD,BX1,0)</f>
        <v>#N/A</v>
      </c>
      <c r="BZ8" s="74" t="e">
        <f>VLOOKUP($H$8&amp;$F$1,'Input RM sheet'!$A:$DD,BY1,0)</f>
        <v>#N/A</v>
      </c>
      <c r="CA8" s="74" t="e">
        <f>VLOOKUP($H$8&amp;$F$1,'Input RM sheet'!$A:$DD,BZ1,0)</f>
        <v>#N/A</v>
      </c>
      <c r="CB8" s="74" t="e">
        <f>VLOOKUP($H$8&amp;$F$1,'Input RM sheet'!$A:$DD,CA1,0)</f>
        <v>#N/A</v>
      </c>
      <c r="CC8" s="74" t="e">
        <f>VLOOKUP($H$8&amp;$F$1,'Input RM sheet'!$A:$DD,CB1,0)</f>
        <v>#N/A</v>
      </c>
      <c r="CD8" s="74" t="e">
        <f>VLOOKUP($H$8&amp;$F$1,'Input RM sheet'!$A:$DD,CC1,0)</f>
        <v>#N/A</v>
      </c>
      <c r="CE8" s="74" t="e">
        <f>VLOOKUP($H$8&amp;$F$1,'Input RM sheet'!$A:$DD,CD1,0)</f>
        <v>#N/A</v>
      </c>
      <c r="CF8" s="74" t="e">
        <f>VLOOKUP($H$8&amp;$F$1,'Input RM sheet'!$A:$DD,CE1,0)</f>
        <v>#N/A</v>
      </c>
      <c r="CG8" s="74" t="e">
        <f>VLOOKUP($H$8&amp;$F$1,'Input RM sheet'!$A:$DD,CF1,0)</f>
        <v>#N/A</v>
      </c>
      <c r="CH8" s="74" t="e">
        <f>VLOOKUP($H$8&amp;$F$1,'Input RM sheet'!$A:$DD,CG1,0)</f>
        <v>#N/A</v>
      </c>
      <c r="CI8" s="74" t="e">
        <f>VLOOKUP($H$8&amp;$F$1,'Input RM sheet'!$A:$DD,CH1,0)</f>
        <v>#N/A</v>
      </c>
      <c r="CJ8" s="74" t="e">
        <f>VLOOKUP($H$8&amp;$F$1,'Input RM sheet'!$A:$DD,CI1,0)</f>
        <v>#N/A</v>
      </c>
      <c r="CK8" s="74" t="e">
        <f>VLOOKUP($H$8&amp;$F$1,'Input RM sheet'!$A:$DD,CJ1,0)</f>
        <v>#N/A</v>
      </c>
      <c r="CL8" s="74" t="e">
        <f>VLOOKUP($H$8&amp;$F$1,'Input RM sheet'!$A:$DD,CK1,0)</f>
        <v>#N/A</v>
      </c>
      <c r="CM8" s="74" t="e">
        <f>VLOOKUP($H$8&amp;$F$1,'Input RM sheet'!$A:$DD,CL1,0)</f>
        <v>#N/A</v>
      </c>
      <c r="CN8" s="74" t="e">
        <f>VLOOKUP($H$8&amp;$F$1,'Input RM sheet'!$A:$DD,CM1,0)</f>
        <v>#N/A</v>
      </c>
      <c r="CO8" s="74" t="e">
        <f>VLOOKUP($H$8&amp;$F$1,'Input RM sheet'!$A:$DD,CN1,0)</f>
        <v>#N/A</v>
      </c>
      <c r="CP8" s="74" t="e">
        <f>VLOOKUP($H$8&amp;$F$1,'Input RM sheet'!$A:$DD,CO1,0)</f>
        <v>#N/A</v>
      </c>
      <c r="CQ8" s="74" t="e">
        <f>VLOOKUP($H$8&amp;$F$1,'Input RM sheet'!$A:$DD,CP1,0)</f>
        <v>#N/A</v>
      </c>
      <c r="CR8" s="74" t="e">
        <f>VLOOKUP($H$8&amp;$F$1,'Input RM sheet'!$A:$DD,CQ1,0)</f>
        <v>#N/A</v>
      </c>
    </row>
    <row r="9" spans="1:104">
      <c r="H9" s="107"/>
      <c r="I9" s="74"/>
      <c r="J9" s="74"/>
      <c r="K9" s="74"/>
      <c r="L9" s="74"/>
      <c r="M9" s="74"/>
      <c r="N9" s="74"/>
      <c r="O9" s="74"/>
      <c r="P9" s="74"/>
      <c r="Q9" s="74"/>
      <c r="R9" s="74"/>
      <c r="S9" s="74"/>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74"/>
      <c r="BG9" s="74"/>
      <c r="BH9" s="74"/>
      <c r="BI9" s="74"/>
      <c r="BJ9" s="74"/>
      <c r="BK9" s="74"/>
      <c r="BL9" s="74"/>
      <c r="BM9" s="74"/>
      <c r="BN9" s="74"/>
      <c r="BO9" s="74"/>
      <c r="BP9" s="74"/>
      <c r="BQ9" s="74"/>
      <c r="BR9" s="74"/>
      <c r="BS9" s="74"/>
      <c r="BT9" s="74"/>
      <c r="BU9" s="74"/>
      <c r="BV9" s="74"/>
      <c r="BW9" s="74"/>
      <c r="BX9" s="74"/>
      <c r="BY9" s="74"/>
      <c r="BZ9" s="74"/>
      <c r="CA9" s="74"/>
      <c r="CB9" s="74"/>
      <c r="CC9" s="74"/>
      <c r="CD9" s="74"/>
      <c r="CE9" s="74"/>
      <c r="CF9" s="74"/>
      <c r="CG9" s="74"/>
      <c r="CH9" s="74"/>
      <c r="CI9" s="74"/>
      <c r="CJ9" s="74"/>
      <c r="CK9" s="74"/>
      <c r="CL9" s="74"/>
      <c r="CM9" s="74"/>
      <c r="CN9" s="74"/>
      <c r="CO9" s="74"/>
      <c r="CP9" s="74"/>
      <c r="CQ9" s="74"/>
      <c r="CR9" s="74"/>
    </row>
    <row r="10" spans="1:104" ht="13">
      <c r="A10" s="59" t="s">
        <v>395</v>
      </c>
      <c r="B10" s="59"/>
      <c r="C10" s="59" t="s">
        <v>379</v>
      </c>
      <c r="D10" s="98" t="s">
        <v>380</v>
      </c>
      <c r="E10" s="98" t="s">
        <v>381</v>
      </c>
      <c r="F10" s="59" t="s">
        <v>396</v>
      </c>
      <c r="I10" s="84"/>
      <c r="J10" s="84"/>
      <c r="K10" s="84"/>
      <c r="L10" s="84"/>
      <c r="M10" s="84"/>
      <c r="N10" s="84"/>
      <c r="O10" s="84"/>
      <c r="P10" s="84"/>
      <c r="Q10" s="84"/>
      <c r="R10" s="84"/>
      <c r="S10" s="84"/>
      <c r="T10" s="84"/>
      <c r="U10" s="84"/>
      <c r="V10" s="84"/>
      <c r="W10" s="84"/>
      <c r="X10" s="84"/>
      <c r="Y10" s="84"/>
      <c r="Z10" s="84"/>
      <c r="AA10" s="84"/>
      <c r="AB10" s="84"/>
      <c r="AC10" s="84"/>
      <c r="AD10" s="84"/>
      <c r="AE10" s="84"/>
      <c r="AF10" s="84"/>
      <c r="AG10" s="84"/>
      <c r="AH10" s="84"/>
      <c r="AI10" s="84"/>
      <c r="AJ10" s="84"/>
      <c r="AK10" s="84"/>
      <c r="AL10" s="84"/>
      <c r="AM10" s="84"/>
      <c r="AN10" s="84"/>
      <c r="AO10" s="84"/>
      <c r="AP10" s="84"/>
      <c r="AQ10" s="84"/>
      <c r="AR10" s="84"/>
      <c r="AS10" s="84"/>
      <c r="AT10" s="84"/>
      <c r="AU10" s="84"/>
      <c r="AV10" s="84"/>
      <c r="AW10" s="84"/>
      <c r="AX10" s="84"/>
      <c r="AY10" s="84"/>
      <c r="AZ10" s="84"/>
      <c r="BA10" s="84"/>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84"/>
      <c r="CE10" s="84"/>
      <c r="CF10" s="84"/>
      <c r="CG10" s="84"/>
      <c r="CH10" s="84"/>
      <c r="CI10" s="84"/>
      <c r="CJ10" s="84"/>
      <c r="CK10" s="84"/>
      <c r="CL10" s="84"/>
      <c r="CM10" s="84"/>
      <c r="CN10" s="84"/>
      <c r="CO10" s="84"/>
      <c r="CP10" s="84"/>
      <c r="CQ10" s="84"/>
      <c r="CR10" s="84"/>
    </row>
    <row r="11" spans="1:104" ht="13">
      <c r="A11" s="107" t="s">
        <v>397</v>
      </c>
      <c r="B11" s="107" t="s">
        <v>351</v>
      </c>
      <c r="D11" s="77"/>
      <c r="F11" s="65">
        <v>1.538</v>
      </c>
      <c r="H11" s="60" t="s">
        <v>399</v>
      </c>
      <c r="I11" s="74" t="e">
        <f>$F$11*(I8/1000)</f>
        <v>#N/A</v>
      </c>
      <c r="J11" s="74" t="e">
        <f t="shared" ref="J11:BU11" si="0">$F$11*(J8/1000)</f>
        <v>#N/A</v>
      </c>
      <c r="K11" s="74" t="e">
        <f t="shared" si="0"/>
        <v>#N/A</v>
      </c>
      <c r="L11" s="74" t="e">
        <f t="shared" si="0"/>
        <v>#N/A</v>
      </c>
      <c r="M11" s="74" t="e">
        <f t="shared" si="0"/>
        <v>#N/A</v>
      </c>
      <c r="N11" s="74" t="e">
        <f t="shared" si="0"/>
        <v>#N/A</v>
      </c>
      <c r="O11" s="74" t="e">
        <f t="shared" si="0"/>
        <v>#N/A</v>
      </c>
      <c r="P11" s="74" t="e">
        <f t="shared" si="0"/>
        <v>#N/A</v>
      </c>
      <c r="Q11" s="74" t="e">
        <f t="shared" si="0"/>
        <v>#N/A</v>
      </c>
      <c r="R11" s="74" t="e">
        <f t="shared" si="0"/>
        <v>#N/A</v>
      </c>
      <c r="S11" s="74" t="e">
        <f t="shared" si="0"/>
        <v>#N/A</v>
      </c>
      <c r="T11" s="74" t="e">
        <f t="shared" si="0"/>
        <v>#N/A</v>
      </c>
      <c r="U11" s="74" t="e">
        <f t="shared" si="0"/>
        <v>#N/A</v>
      </c>
      <c r="V11" s="74" t="e">
        <f t="shared" si="0"/>
        <v>#N/A</v>
      </c>
      <c r="W11" s="74" t="e">
        <f t="shared" si="0"/>
        <v>#N/A</v>
      </c>
      <c r="X11" s="74" t="e">
        <f t="shared" si="0"/>
        <v>#N/A</v>
      </c>
      <c r="Y11" s="74" t="e">
        <f t="shared" si="0"/>
        <v>#N/A</v>
      </c>
      <c r="Z11" s="74" t="e">
        <f t="shared" si="0"/>
        <v>#N/A</v>
      </c>
      <c r="AA11" s="74" t="e">
        <f t="shared" si="0"/>
        <v>#N/A</v>
      </c>
      <c r="AB11" s="74" t="e">
        <f t="shared" si="0"/>
        <v>#N/A</v>
      </c>
      <c r="AC11" s="74" t="e">
        <f t="shared" si="0"/>
        <v>#N/A</v>
      </c>
      <c r="AD11" s="74" t="e">
        <f t="shared" si="0"/>
        <v>#N/A</v>
      </c>
      <c r="AE11" s="74" t="e">
        <f t="shared" si="0"/>
        <v>#N/A</v>
      </c>
      <c r="AF11" s="74" t="e">
        <f t="shared" si="0"/>
        <v>#N/A</v>
      </c>
      <c r="AG11" s="74" t="e">
        <f t="shared" si="0"/>
        <v>#N/A</v>
      </c>
      <c r="AH11" s="74" t="e">
        <f t="shared" si="0"/>
        <v>#N/A</v>
      </c>
      <c r="AI11" s="74" t="e">
        <f t="shared" si="0"/>
        <v>#N/A</v>
      </c>
      <c r="AJ11" s="74" t="e">
        <f t="shared" si="0"/>
        <v>#N/A</v>
      </c>
      <c r="AK11" s="74" t="e">
        <f t="shared" si="0"/>
        <v>#N/A</v>
      </c>
      <c r="AL11" s="74" t="e">
        <f t="shared" si="0"/>
        <v>#N/A</v>
      </c>
      <c r="AM11" s="74" t="e">
        <f t="shared" si="0"/>
        <v>#N/A</v>
      </c>
      <c r="AN11" s="74" t="e">
        <f t="shared" si="0"/>
        <v>#N/A</v>
      </c>
      <c r="AO11" s="74" t="e">
        <f t="shared" si="0"/>
        <v>#N/A</v>
      </c>
      <c r="AP11" s="74" t="e">
        <f t="shared" si="0"/>
        <v>#N/A</v>
      </c>
      <c r="AQ11" s="74" t="e">
        <f t="shared" si="0"/>
        <v>#N/A</v>
      </c>
      <c r="AR11" s="74" t="e">
        <f t="shared" si="0"/>
        <v>#N/A</v>
      </c>
      <c r="AS11" s="74" t="e">
        <f t="shared" si="0"/>
        <v>#N/A</v>
      </c>
      <c r="AT11" s="74" t="e">
        <f t="shared" si="0"/>
        <v>#N/A</v>
      </c>
      <c r="AU11" s="74" t="e">
        <f t="shared" si="0"/>
        <v>#N/A</v>
      </c>
      <c r="AV11" s="74" t="e">
        <f t="shared" si="0"/>
        <v>#N/A</v>
      </c>
      <c r="AW11" s="74" t="e">
        <f t="shared" si="0"/>
        <v>#N/A</v>
      </c>
      <c r="AX11" s="74" t="e">
        <f t="shared" si="0"/>
        <v>#N/A</v>
      </c>
      <c r="AY11" s="74" t="e">
        <f t="shared" si="0"/>
        <v>#N/A</v>
      </c>
      <c r="AZ11" s="74" t="e">
        <f t="shared" si="0"/>
        <v>#N/A</v>
      </c>
      <c r="BA11" s="74" t="e">
        <f t="shared" si="0"/>
        <v>#N/A</v>
      </c>
      <c r="BB11" s="74" t="e">
        <f t="shared" si="0"/>
        <v>#N/A</v>
      </c>
      <c r="BC11" s="74" t="e">
        <f t="shared" si="0"/>
        <v>#N/A</v>
      </c>
      <c r="BD11" s="74" t="e">
        <f t="shared" si="0"/>
        <v>#N/A</v>
      </c>
      <c r="BE11" s="74" t="e">
        <f t="shared" si="0"/>
        <v>#N/A</v>
      </c>
      <c r="BF11" s="74" t="e">
        <f t="shared" si="0"/>
        <v>#N/A</v>
      </c>
      <c r="BG11" s="74" t="e">
        <f t="shared" si="0"/>
        <v>#N/A</v>
      </c>
      <c r="BH11" s="74" t="e">
        <f t="shared" si="0"/>
        <v>#N/A</v>
      </c>
      <c r="BI11" s="74" t="e">
        <f t="shared" si="0"/>
        <v>#N/A</v>
      </c>
      <c r="BJ11" s="74" t="e">
        <f t="shared" si="0"/>
        <v>#N/A</v>
      </c>
      <c r="BK11" s="74" t="e">
        <f t="shared" si="0"/>
        <v>#N/A</v>
      </c>
      <c r="BL11" s="74" t="e">
        <f t="shared" si="0"/>
        <v>#N/A</v>
      </c>
      <c r="BM11" s="74" t="e">
        <f t="shared" si="0"/>
        <v>#N/A</v>
      </c>
      <c r="BN11" s="74" t="e">
        <f t="shared" si="0"/>
        <v>#N/A</v>
      </c>
      <c r="BO11" s="74" t="e">
        <f t="shared" si="0"/>
        <v>#N/A</v>
      </c>
      <c r="BP11" s="74" t="e">
        <f t="shared" si="0"/>
        <v>#N/A</v>
      </c>
      <c r="BQ11" s="74" t="e">
        <f t="shared" si="0"/>
        <v>#N/A</v>
      </c>
      <c r="BR11" s="74" t="e">
        <f t="shared" si="0"/>
        <v>#N/A</v>
      </c>
      <c r="BS11" s="74" t="e">
        <f t="shared" si="0"/>
        <v>#N/A</v>
      </c>
      <c r="BT11" s="74" t="e">
        <f t="shared" si="0"/>
        <v>#N/A</v>
      </c>
      <c r="BU11" s="74" t="e">
        <f t="shared" si="0"/>
        <v>#N/A</v>
      </c>
      <c r="BV11" s="74" t="e">
        <f t="shared" ref="BV11:CR11" si="1">$F$11*(BV8/1000)</f>
        <v>#N/A</v>
      </c>
      <c r="BW11" s="74" t="e">
        <f t="shared" si="1"/>
        <v>#N/A</v>
      </c>
      <c r="BX11" s="74" t="e">
        <f t="shared" si="1"/>
        <v>#N/A</v>
      </c>
      <c r="BY11" s="74" t="e">
        <f t="shared" si="1"/>
        <v>#N/A</v>
      </c>
      <c r="BZ11" s="74" t="e">
        <f t="shared" si="1"/>
        <v>#N/A</v>
      </c>
      <c r="CA11" s="74" t="e">
        <f t="shared" si="1"/>
        <v>#N/A</v>
      </c>
      <c r="CB11" s="74" t="e">
        <f t="shared" si="1"/>
        <v>#N/A</v>
      </c>
      <c r="CC11" s="74" t="e">
        <f t="shared" si="1"/>
        <v>#N/A</v>
      </c>
      <c r="CD11" s="74" t="e">
        <f t="shared" si="1"/>
        <v>#N/A</v>
      </c>
      <c r="CE11" s="74" t="e">
        <f t="shared" si="1"/>
        <v>#N/A</v>
      </c>
      <c r="CF11" s="74" t="e">
        <f t="shared" si="1"/>
        <v>#N/A</v>
      </c>
      <c r="CG11" s="74" t="e">
        <f t="shared" si="1"/>
        <v>#N/A</v>
      </c>
      <c r="CH11" s="74" t="e">
        <f t="shared" si="1"/>
        <v>#N/A</v>
      </c>
      <c r="CI11" s="74" t="e">
        <f t="shared" si="1"/>
        <v>#N/A</v>
      </c>
      <c r="CJ11" s="74" t="e">
        <f t="shared" si="1"/>
        <v>#N/A</v>
      </c>
      <c r="CK11" s="74" t="e">
        <f t="shared" si="1"/>
        <v>#N/A</v>
      </c>
      <c r="CL11" s="74" t="e">
        <f t="shared" si="1"/>
        <v>#N/A</v>
      </c>
      <c r="CM11" s="74" t="e">
        <f t="shared" si="1"/>
        <v>#N/A</v>
      </c>
      <c r="CN11" s="74" t="e">
        <f t="shared" si="1"/>
        <v>#N/A</v>
      </c>
      <c r="CO11" s="74" t="e">
        <f t="shared" si="1"/>
        <v>#N/A</v>
      </c>
      <c r="CP11" s="74" t="e">
        <f t="shared" si="1"/>
        <v>#N/A</v>
      </c>
      <c r="CQ11" s="74" t="e">
        <f t="shared" si="1"/>
        <v>#N/A</v>
      </c>
      <c r="CR11" s="74" t="e">
        <f t="shared" si="1"/>
        <v>#N/A</v>
      </c>
    </row>
    <row r="12" spans="1:104" ht="13">
      <c r="A12" s="67"/>
      <c r="B12" s="100" t="s">
        <v>352</v>
      </c>
      <c r="D12" s="77"/>
      <c r="F12" s="65">
        <v>1.887</v>
      </c>
      <c r="I12" s="74"/>
      <c r="J12" s="74"/>
      <c r="K12" s="74"/>
      <c r="L12" s="74"/>
      <c r="M12" s="74"/>
      <c r="N12" s="74"/>
      <c r="O12" s="74"/>
      <c r="P12" s="74"/>
      <c r="Q12" s="74"/>
      <c r="R12" s="74"/>
      <c r="S12" s="74"/>
      <c r="T12" s="74"/>
      <c r="U12" s="74"/>
      <c r="V12" s="74"/>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c r="BL12" s="74"/>
      <c r="BM12" s="74"/>
      <c r="BN12" s="74"/>
      <c r="BO12" s="74"/>
      <c r="BP12" s="74"/>
      <c r="BQ12" s="74"/>
      <c r="BR12" s="74"/>
      <c r="BS12" s="74"/>
      <c r="BT12" s="74"/>
      <c r="BU12" s="74"/>
      <c r="BV12" s="74"/>
      <c r="BW12" s="74"/>
      <c r="BX12" s="74"/>
      <c r="BY12" s="74"/>
      <c r="BZ12" s="74"/>
      <c r="CA12" s="74"/>
      <c r="CB12" s="74"/>
      <c r="CC12" s="74"/>
      <c r="CD12" s="74"/>
      <c r="CE12" s="74"/>
      <c r="CF12" s="74"/>
      <c r="CG12" s="74"/>
      <c r="CH12" s="74"/>
      <c r="CI12" s="74"/>
      <c r="CJ12" s="74"/>
      <c r="CK12" s="74"/>
      <c r="CL12" s="74"/>
      <c r="CM12" s="74"/>
      <c r="CN12" s="74"/>
      <c r="CO12" s="74"/>
      <c r="CP12" s="74"/>
      <c r="CQ12" s="74"/>
      <c r="CR12" s="74"/>
    </row>
    <row r="13" spans="1:104" s="104" customFormat="1">
      <c r="H13" s="104" t="s">
        <v>799</v>
      </c>
      <c r="I13" s="105" t="e">
        <f>SUM(I11:I11)</f>
        <v>#N/A</v>
      </c>
      <c r="J13" s="105" t="e">
        <f t="shared" ref="J13:BU13" si="2">SUM(J11:J11)</f>
        <v>#N/A</v>
      </c>
      <c r="K13" s="105" t="e">
        <f t="shared" si="2"/>
        <v>#N/A</v>
      </c>
      <c r="L13" s="105" t="e">
        <f t="shared" si="2"/>
        <v>#N/A</v>
      </c>
      <c r="M13" s="105" t="e">
        <f t="shared" si="2"/>
        <v>#N/A</v>
      </c>
      <c r="N13" s="105" t="e">
        <f t="shared" si="2"/>
        <v>#N/A</v>
      </c>
      <c r="O13" s="105" t="e">
        <f t="shared" si="2"/>
        <v>#N/A</v>
      </c>
      <c r="P13" s="105" t="e">
        <f t="shared" si="2"/>
        <v>#N/A</v>
      </c>
      <c r="Q13" s="105" t="e">
        <f t="shared" si="2"/>
        <v>#N/A</v>
      </c>
      <c r="R13" s="105" t="e">
        <f t="shared" si="2"/>
        <v>#N/A</v>
      </c>
      <c r="S13" s="105" t="e">
        <f t="shared" si="2"/>
        <v>#N/A</v>
      </c>
      <c r="T13" s="105" t="e">
        <f t="shared" si="2"/>
        <v>#N/A</v>
      </c>
      <c r="U13" s="105" t="e">
        <f t="shared" si="2"/>
        <v>#N/A</v>
      </c>
      <c r="V13" s="105" t="e">
        <f t="shared" si="2"/>
        <v>#N/A</v>
      </c>
      <c r="W13" s="105" t="e">
        <f t="shared" si="2"/>
        <v>#N/A</v>
      </c>
      <c r="X13" s="105" t="e">
        <f t="shared" si="2"/>
        <v>#N/A</v>
      </c>
      <c r="Y13" s="105" t="e">
        <f t="shared" si="2"/>
        <v>#N/A</v>
      </c>
      <c r="Z13" s="105" t="e">
        <f t="shared" si="2"/>
        <v>#N/A</v>
      </c>
      <c r="AA13" s="105" t="e">
        <f t="shared" si="2"/>
        <v>#N/A</v>
      </c>
      <c r="AB13" s="105" t="e">
        <f t="shared" si="2"/>
        <v>#N/A</v>
      </c>
      <c r="AC13" s="105" t="e">
        <f t="shared" si="2"/>
        <v>#N/A</v>
      </c>
      <c r="AD13" s="105" t="e">
        <f t="shared" si="2"/>
        <v>#N/A</v>
      </c>
      <c r="AE13" s="105" t="e">
        <f t="shared" si="2"/>
        <v>#N/A</v>
      </c>
      <c r="AF13" s="105" t="e">
        <f t="shared" si="2"/>
        <v>#N/A</v>
      </c>
      <c r="AG13" s="105" t="e">
        <f t="shared" si="2"/>
        <v>#N/A</v>
      </c>
      <c r="AH13" s="105" t="e">
        <f t="shared" si="2"/>
        <v>#N/A</v>
      </c>
      <c r="AI13" s="105" t="e">
        <f t="shared" si="2"/>
        <v>#N/A</v>
      </c>
      <c r="AJ13" s="105" t="e">
        <f t="shared" si="2"/>
        <v>#N/A</v>
      </c>
      <c r="AK13" s="105" t="e">
        <f t="shared" si="2"/>
        <v>#N/A</v>
      </c>
      <c r="AL13" s="105" t="e">
        <f t="shared" si="2"/>
        <v>#N/A</v>
      </c>
      <c r="AM13" s="105" t="e">
        <f t="shared" si="2"/>
        <v>#N/A</v>
      </c>
      <c r="AN13" s="105" t="e">
        <f t="shared" si="2"/>
        <v>#N/A</v>
      </c>
      <c r="AO13" s="105" t="e">
        <f t="shared" si="2"/>
        <v>#N/A</v>
      </c>
      <c r="AP13" s="105" t="e">
        <f t="shared" si="2"/>
        <v>#N/A</v>
      </c>
      <c r="AQ13" s="105" t="e">
        <f t="shared" si="2"/>
        <v>#N/A</v>
      </c>
      <c r="AR13" s="105" t="e">
        <f t="shared" si="2"/>
        <v>#N/A</v>
      </c>
      <c r="AS13" s="105" t="e">
        <f t="shared" si="2"/>
        <v>#N/A</v>
      </c>
      <c r="AT13" s="105" t="e">
        <f t="shared" si="2"/>
        <v>#N/A</v>
      </c>
      <c r="AU13" s="105" t="e">
        <f t="shared" si="2"/>
        <v>#N/A</v>
      </c>
      <c r="AV13" s="105" t="e">
        <f t="shared" si="2"/>
        <v>#N/A</v>
      </c>
      <c r="AW13" s="105" t="e">
        <f t="shared" si="2"/>
        <v>#N/A</v>
      </c>
      <c r="AX13" s="105" t="e">
        <f t="shared" si="2"/>
        <v>#N/A</v>
      </c>
      <c r="AY13" s="105" t="e">
        <f t="shared" si="2"/>
        <v>#N/A</v>
      </c>
      <c r="AZ13" s="105" t="e">
        <f t="shared" si="2"/>
        <v>#N/A</v>
      </c>
      <c r="BA13" s="105" t="e">
        <f t="shared" si="2"/>
        <v>#N/A</v>
      </c>
      <c r="BB13" s="105" t="e">
        <f t="shared" si="2"/>
        <v>#N/A</v>
      </c>
      <c r="BC13" s="105" t="e">
        <f t="shared" si="2"/>
        <v>#N/A</v>
      </c>
      <c r="BD13" s="105" t="e">
        <f t="shared" si="2"/>
        <v>#N/A</v>
      </c>
      <c r="BE13" s="105" t="e">
        <f t="shared" si="2"/>
        <v>#N/A</v>
      </c>
      <c r="BF13" s="105" t="e">
        <f t="shared" si="2"/>
        <v>#N/A</v>
      </c>
      <c r="BG13" s="105" t="e">
        <f t="shared" si="2"/>
        <v>#N/A</v>
      </c>
      <c r="BH13" s="105" t="e">
        <f t="shared" si="2"/>
        <v>#N/A</v>
      </c>
      <c r="BI13" s="105" t="e">
        <f t="shared" si="2"/>
        <v>#N/A</v>
      </c>
      <c r="BJ13" s="105" t="e">
        <f t="shared" si="2"/>
        <v>#N/A</v>
      </c>
      <c r="BK13" s="105" t="e">
        <f t="shared" si="2"/>
        <v>#N/A</v>
      </c>
      <c r="BL13" s="105" t="e">
        <f t="shared" si="2"/>
        <v>#N/A</v>
      </c>
      <c r="BM13" s="105" t="e">
        <f t="shared" si="2"/>
        <v>#N/A</v>
      </c>
      <c r="BN13" s="105" t="e">
        <f t="shared" si="2"/>
        <v>#N/A</v>
      </c>
      <c r="BO13" s="105" t="e">
        <f t="shared" si="2"/>
        <v>#N/A</v>
      </c>
      <c r="BP13" s="105" t="e">
        <f t="shared" si="2"/>
        <v>#N/A</v>
      </c>
      <c r="BQ13" s="105" t="e">
        <f t="shared" si="2"/>
        <v>#N/A</v>
      </c>
      <c r="BR13" s="105" t="e">
        <f t="shared" si="2"/>
        <v>#N/A</v>
      </c>
      <c r="BS13" s="105" t="e">
        <f t="shared" si="2"/>
        <v>#N/A</v>
      </c>
      <c r="BT13" s="105" t="e">
        <f t="shared" si="2"/>
        <v>#N/A</v>
      </c>
      <c r="BU13" s="105" t="e">
        <f t="shared" si="2"/>
        <v>#N/A</v>
      </c>
      <c r="BV13" s="105" t="e">
        <f t="shared" ref="BV13:CR13" si="3">SUM(BV11:BV11)</f>
        <v>#N/A</v>
      </c>
      <c r="BW13" s="105" t="e">
        <f t="shared" si="3"/>
        <v>#N/A</v>
      </c>
      <c r="BX13" s="105" t="e">
        <f t="shared" si="3"/>
        <v>#N/A</v>
      </c>
      <c r="BY13" s="105" t="e">
        <f t="shared" si="3"/>
        <v>#N/A</v>
      </c>
      <c r="BZ13" s="105" t="e">
        <f t="shared" si="3"/>
        <v>#N/A</v>
      </c>
      <c r="CA13" s="105" t="e">
        <f t="shared" si="3"/>
        <v>#N/A</v>
      </c>
      <c r="CB13" s="105" t="e">
        <f t="shared" si="3"/>
        <v>#N/A</v>
      </c>
      <c r="CC13" s="105" t="e">
        <f t="shared" si="3"/>
        <v>#N/A</v>
      </c>
      <c r="CD13" s="105" t="e">
        <f t="shared" si="3"/>
        <v>#N/A</v>
      </c>
      <c r="CE13" s="105" t="e">
        <f t="shared" si="3"/>
        <v>#N/A</v>
      </c>
      <c r="CF13" s="105" t="e">
        <f t="shared" si="3"/>
        <v>#N/A</v>
      </c>
      <c r="CG13" s="105" t="e">
        <f t="shared" si="3"/>
        <v>#N/A</v>
      </c>
      <c r="CH13" s="105" t="e">
        <f t="shared" si="3"/>
        <v>#N/A</v>
      </c>
      <c r="CI13" s="105" t="e">
        <f t="shared" si="3"/>
        <v>#N/A</v>
      </c>
      <c r="CJ13" s="105" t="e">
        <f t="shared" si="3"/>
        <v>#N/A</v>
      </c>
      <c r="CK13" s="105" t="e">
        <f t="shared" si="3"/>
        <v>#N/A</v>
      </c>
      <c r="CL13" s="105" t="e">
        <f t="shared" si="3"/>
        <v>#N/A</v>
      </c>
      <c r="CM13" s="105" t="e">
        <f t="shared" si="3"/>
        <v>#N/A</v>
      </c>
      <c r="CN13" s="105" t="e">
        <f t="shared" si="3"/>
        <v>#N/A</v>
      </c>
      <c r="CO13" s="105" t="e">
        <f t="shared" si="3"/>
        <v>#N/A</v>
      </c>
      <c r="CP13" s="105" t="e">
        <f t="shared" si="3"/>
        <v>#N/A</v>
      </c>
      <c r="CQ13" s="105" t="e">
        <f t="shared" si="3"/>
        <v>#N/A</v>
      </c>
      <c r="CR13" s="105" t="e">
        <f t="shared" si="3"/>
        <v>#N/A</v>
      </c>
    </row>
    <row r="14" spans="1:104" s="104" customFormat="1" hidden="1">
      <c r="H14" s="60"/>
      <c r="I14" s="105"/>
      <c r="J14" s="105"/>
      <c r="K14" s="105"/>
      <c r="L14" s="105"/>
      <c r="M14" s="105"/>
      <c r="N14" s="105"/>
      <c r="O14" s="105"/>
      <c r="P14" s="105"/>
      <c r="Q14" s="105"/>
      <c r="R14" s="105"/>
      <c r="S14" s="105"/>
      <c r="T14" s="105"/>
      <c r="U14" s="105"/>
      <c r="V14" s="105"/>
      <c r="W14" s="105"/>
      <c r="X14" s="105"/>
      <c r="Y14" s="105"/>
      <c r="Z14" s="105"/>
      <c r="AA14" s="105"/>
      <c r="AB14" s="105"/>
      <c r="AC14" s="105"/>
      <c r="AD14" s="105"/>
      <c r="AE14" s="105"/>
      <c r="AF14" s="105"/>
      <c r="AG14" s="105"/>
      <c r="AH14" s="105"/>
      <c r="AI14" s="105"/>
      <c r="AJ14" s="105"/>
      <c r="AK14" s="105"/>
      <c r="AL14" s="105"/>
      <c r="AM14" s="105"/>
      <c r="AN14" s="105"/>
      <c r="AO14" s="105"/>
      <c r="AP14" s="105"/>
      <c r="AQ14" s="105"/>
      <c r="AR14" s="105"/>
      <c r="AS14" s="105"/>
      <c r="AT14" s="105"/>
      <c r="AU14" s="105"/>
      <c r="AV14" s="105"/>
      <c r="AW14" s="105"/>
      <c r="AX14" s="105"/>
      <c r="AY14" s="105"/>
      <c r="AZ14" s="105"/>
      <c r="BA14" s="105"/>
      <c r="BB14" s="105"/>
      <c r="BC14" s="105"/>
      <c r="BD14" s="105"/>
      <c r="BE14" s="105"/>
      <c r="BF14" s="105"/>
      <c r="BG14" s="105"/>
      <c r="BH14" s="105"/>
      <c r="BI14" s="105"/>
      <c r="BJ14" s="105"/>
      <c r="BK14" s="105"/>
      <c r="BL14" s="105"/>
      <c r="BM14" s="105"/>
      <c r="BN14" s="105"/>
      <c r="BO14" s="105"/>
      <c r="BP14" s="105"/>
      <c r="BQ14" s="105"/>
      <c r="BR14" s="105"/>
      <c r="BS14" s="105"/>
      <c r="BT14" s="105"/>
      <c r="BU14" s="105"/>
      <c r="BV14" s="105"/>
      <c r="BW14" s="105"/>
      <c r="BX14" s="105"/>
      <c r="BY14" s="105"/>
      <c r="BZ14" s="105"/>
      <c r="CA14" s="105"/>
      <c r="CB14" s="105"/>
      <c r="CC14" s="105"/>
      <c r="CD14" s="105"/>
      <c r="CE14" s="105"/>
      <c r="CF14" s="105"/>
      <c r="CG14" s="105"/>
      <c r="CH14" s="105"/>
      <c r="CI14" s="105"/>
      <c r="CJ14" s="105"/>
      <c r="CK14" s="105"/>
      <c r="CL14" s="105"/>
      <c r="CM14" s="105"/>
      <c r="CN14" s="105"/>
      <c r="CO14" s="105"/>
      <c r="CP14" s="105"/>
      <c r="CQ14" s="105"/>
      <c r="CR14" s="105"/>
    </row>
    <row r="15" spans="1:104">
      <c r="H15" s="60" t="s">
        <v>429</v>
      </c>
      <c r="I15" s="74"/>
      <c r="J15" s="74"/>
      <c r="K15" s="74"/>
      <c r="L15" s="74"/>
      <c r="M15" s="74"/>
      <c r="N15" s="74"/>
      <c r="O15" s="74"/>
      <c r="P15" s="74"/>
      <c r="Q15" s="74"/>
      <c r="R15" s="74"/>
      <c r="S15" s="74"/>
      <c r="T15" s="74"/>
      <c r="U15" s="74"/>
      <c r="V15" s="74"/>
      <c r="W15" s="74"/>
      <c r="X15" s="74"/>
      <c r="Y15" s="74"/>
      <c r="Z15" s="74"/>
      <c r="AA15" s="74"/>
      <c r="AB15" s="74"/>
      <c r="AC15" s="74"/>
      <c r="AD15" s="74"/>
      <c r="AE15" s="74"/>
      <c r="AF15" s="74"/>
      <c r="AG15" s="74"/>
      <c r="AH15" s="74"/>
      <c r="AI15" s="74"/>
      <c r="AK15" s="74"/>
      <c r="AL15" s="74"/>
      <c r="AM15" s="74"/>
      <c r="AN15" s="74"/>
      <c r="AO15" s="74"/>
      <c r="AP15" s="74"/>
      <c r="AQ15" s="74"/>
      <c r="AR15" s="74"/>
      <c r="AS15" s="74"/>
      <c r="AT15" s="74"/>
      <c r="AU15" s="74"/>
      <c r="AV15" s="74"/>
      <c r="AW15" s="74"/>
      <c r="AX15" s="74"/>
      <c r="AY15" s="74"/>
      <c r="AZ15" s="74"/>
      <c r="BA15" s="74"/>
      <c r="BB15" s="74"/>
      <c r="BC15" s="74"/>
      <c r="BD15" s="74"/>
      <c r="BE15" s="74"/>
      <c r="BF15" s="74"/>
      <c r="BG15" s="74"/>
      <c r="BH15" s="74"/>
      <c r="BI15" s="74"/>
      <c r="BJ15" s="74"/>
      <c r="BK15" s="74"/>
      <c r="BL15" s="74"/>
      <c r="BM15" s="74"/>
      <c r="BN15" s="74"/>
      <c r="BO15" s="74"/>
      <c r="BP15" s="74"/>
      <c r="BQ15" s="74"/>
      <c r="BR15" s="74"/>
      <c r="BS15" s="74"/>
      <c r="BT15" s="74"/>
      <c r="BU15" s="74"/>
      <c r="BV15" s="74"/>
      <c r="BW15" s="74"/>
      <c r="BX15" s="74"/>
      <c r="BY15" s="74"/>
      <c r="BZ15" s="74"/>
      <c r="CA15" s="74"/>
      <c r="CB15" s="74"/>
      <c r="CC15" s="74"/>
      <c r="CD15" s="74"/>
      <c r="CE15" s="74"/>
      <c r="CF15" s="74"/>
      <c r="CG15" s="74"/>
      <c r="CH15" s="74"/>
      <c r="CI15" s="74"/>
      <c r="CJ15" s="74"/>
      <c r="CK15" s="74"/>
      <c r="CL15" s="74"/>
      <c r="CM15" s="74"/>
      <c r="CN15" s="74"/>
      <c r="CO15" s="74"/>
      <c r="CP15" s="74"/>
      <c r="CQ15" s="74"/>
      <c r="CR15" s="74"/>
    </row>
    <row r="16" spans="1:104">
      <c r="H16" s="60" t="s">
        <v>406</v>
      </c>
      <c r="I16" s="74"/>
      <c r="J16" s="74"/>
      <c r="K16" s="74"/>
      <c r="L16" s="74"/>
      <c r="M16" s="74"/>
      <c r="N16" s="74"/>
      <c r="O16" s="74"/>
      <c r="P16" s="74"/>
      <c r="Q16" s="74"/>
      <c r="R16" s="74"/>
      <c r="S16" s="74"/>
      <c r="T16" s="74"/>
      <c r="U16" s="74"/>
      <c r="V16" s="74"/>
      <c r="W16" s="74"/>
      <c r="X16" s="74"/>
      <c r="Y16" s="74"/>
      <c r="Z16" s="74"/>
      <c r="AA16" s="74"/>
      <c r="AB16" s="74"/>
      <c r="AC16" s="74"/>
      <c r="AD16" s="74"/>
      <c r="AE16" s="74"/>
      <c r="AF16" s="74"/>
      <c r="AG16" s="74"/>
      <c r="AH16" s="74"/>
      <c r="AI16" s="74"/>
      <c r="AK16" s="74"/>
      <c r="AL16" s="74"/>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c r="BM16" s="74"/>
      <c r="BN16" s="74"/>
      <c r="BO16" s="74"/>
      <c r="BP16" s="74"/>
      <c r="BQ16" s="74"/>
      <c r="BR16" s="74"/>
      <c r="BS16" s="74"/>
      <c r="BT16" s="74"/>
      <c r="BU16" s="74"/>
      <c r="BV16" s="74"/>
      <c r="BW16" s="74"/>
      <c r="BX16" s="74"/>
      <c r="BY16" s="74"/>
      <c r="BZ16" s="74"/>
      <c r="CA16" s="74"/>
      <c r="CB16" s="74"/>
      <c r="CC16" s="74"/>
      <c r="CD16" s="74"/>
      <c r="CE16" s="74"/>
      <c r="CF16" s="74"/>
      <c r="CG16" s="74"/>
      <c r="CH16" s="74"/>
      <c r="CI16" s="74"/>
      <c r="CJ16" s="74"/>
      <c r="CK16" s="74"/>
      <c r="CL16" s="74"/>
      <c r="CM16" s="74"/>
      <c r="CN16" s="74"/>
      <c r="CO16" s="74"/>
      <c r="CP16" s="74"/>
      <c r="CQ16" s="74"/>
      <c r="CR16" s="74"/>
    </row>
    <row r="18" spans="8:97" ht="13" thickBot="1"/>
    <row r="19" spans="8:97" s="73" customFormat="1" ht="13" thickBot="1">
      <c r="H19" s="257" t="s">
        <v>800</v>
      </c>
      <c r="I19" s="258" t="e">
        <f>+I13</f>
        <v>#N/A</v>
      </c>
      <c r="J19" s="258" t="e">
        <f t="shared" ref="J19:BU19" si="4">+J13</f>
        <v>#N/A</v>
      </c>
      <c r="K19" s="258" t="e">
        <f t="shared" si="4"/>
        <v>#N/A</v>
      </c>
      <c r="L19" s="258" t="e">
        <f t="shared" si="4"/>
        <v>#N/A</v>
      </c>
      <c r="M19" s="258" t="e">
        <f t="shared" si="4"/>
        <v>#N/A</v>
      </c>
      <c r="N19" s="258" t="e">
        <f t="shared" si="4"/>
        <v>#N/A</v>
      </c>
      <c r="O19" s="258" t="e">
        <f t="shared" si="4"/>
        <v>#N/A</v>
      </c>
      <c r="P19" s="258" t="e">
        <f t="shared" si="4"/>
        <v>#N/A</v>
      </c>
      <c r="Q19" s="258" t="e">
        <f t="shared" si="4"/>
        <v>#N/A</v>
      </c>
      <c r="R19" s="258" t="e">
        <f t="shared" si="4"/>
        <v>#N/A</v>
      </c>
      <c r="S19" s="258" t="e">
        <f t="shared" si="4"/>
        <v>#N/A</v>
      </c>
      <c r="T19" s="258" t="e">
        <f t="shared" si="4"/>
        <v>#N/A</v>
      </c>
      <c r="U19" s="258" t="e">
        <f t="shared" si="4"/>
        <v>#N/A</v>
      </c>
      <c r="V19" s="258" t="e">
        <f t="shared" si="4"/>
        <v>#N/A</v>
      </c>
      <c r="W19" s="258" t="e">
        <f t="shared" si="4"/>
        <v>#N/A</v>
      </c>
      <c r="X19" s="258" t="e">
        <f t="shared" si="4"/>
        <v>#N/A</v>
      </c>
      <c r="Y19" s="258" t="e">
        <f t="shared" si="4"/>
        <v>#N/A</v>
      </c>
      <c r="Z19" s="258" t="e">
        <f t="shared" si="4"/>
        <v>#N/A</v>
      </c>
      <c r="AA19" s="258" t="e">
        <f t="shared" si="4"/>
        <v>#N/A</v>
      </c>
      <c r="AB19" s="258" t="e">
        <f t="shared" si="4"/>
        <v>#N/A</v>
      </c>
      <c r="AC19" s="258" t="e">
        <f t="shared" si="4"/>
        <v>#N/A</v>
      </c>
      <c r="AD19" s="258" t="e">
        <f t="shared" si="4"/>
        <v>#N/A</v>
      </c>
      <c r="AE19" s="258" t="e">
        <f t="shared" si="4"/>
        <v>#N/A</v>
      </c>
      <c r="AF19" s="258" t="e">
        <f t="shared" si="4"/>
        <v>#N/A</v>
      </c>
      <c r="AG19" s="258" t="e">
        <f t="shared" si="4"/>
        <v>#N/A</v>
      </c>
      <c r="AH19" s="258" t="e">
        <f t="shared" si="4"/>
        <v>#N/A</v>
      </c>
      <c r="AI19" s="258" t="e">
        <f t="shared" si="4"/>
        <v>#N/A</v>
      </c>
      <c r="AJ19" s="258" t="e">
        <f t="shared" si="4"/>
        <v>#N/A</v>
      </c>
      <c r="AK19" s="258" t="e">
        <f t="shared" si="4"/>
        <v>#N/A</v>
      </c>
      <c r="AL19" s="258" t="e">
        <f t="shared" si="4"/>
        <v>#N/A</v>
      </c>
      <c r="AM19" s="258" t="e">
        <f t="shared" si="4"/>
        <v>#N/A</v>
      </c>
      <c r="AN19" s="258" t="e">
        <f t="shared" si="4"/>
        <v>#N/A</v>
      </c>
      <c r="AO19" s="258" t="e">
        <f t="shared" si="4"/>
        <v>#N/A</v>
      </c>
      <c r="AP19" s="258" t="e">
        <f t="shared" si="4"/>
        <v>#N/A</v>
      </c>
      <c r="AQ19" s="258" t="e">
        <f t="shared" si="4"/>
        <v>#N/A</v>
      </c>
      <c r="AR19" s="258" t="e">
        <f t="shared" si="4"/>
        <v>#N/A</v>
      </c>
      <c r="AS19" s="258" t="e">
        <f t="shared" si="4"/>
        <v>#N/A</v>
      </c>
      <c r="AT19" s="258" t="e">
        <f t="shared" si="4"/>
        <v>#N/A</v>
      </c>
      <c r="AU19" s="258" t="e">
        <f t="shared" si="4"/>
        <v>#N/A</v>
      </c>
      <c r="AV19" s="258" t="e">
        <f t="shared" si="4"/>
        <v>#N/A</v>
      </c>
      <c r="AW19" s="258" t="e">
        <f t="shared" si="4"/>
        <v>#N/A</v>
      </c>
      <c r="AX19" s="258" t="e">
        <f t="shared" si="4"/>
        <v>#N/A</v>
      </c>
      <c r="AY19" s="258" t="e">
        <f t="shared" si="4"/>
        <v>#N/A</v>
      </c>
      <c r="AZ19" s="258" t="e">
        <f t="shared" si="4"/>
        <v>#N/A</v>
      </c>
      <c r="BA19" s="258" t="e">
        <f t="shared" si="4"/>
        <v>#N/A</v>
      </c>
      <c r="BB19" s="258" t="e">
        <f t="shared" si="4"/>
        <v>#N/A</v>
      </c>
      <c r="BC19" s="258" t="e">
        <f t="shared" si="4"/>
        <v>#N/A</v>
      </c>
      <c r="BD19" s="258" t="e">
        <f t="shared" si="4"/>
        <v>#N/A</v>
      </c>
      <c r="BE19" s="258" t="e">
        <f t="shared" si="4"/>
        <v>#N/A</v>
      </c>
      <c r="BF19" s="258" t="e">
        <f t="shared" si="4"/>
        <v>#N/A</v>
      </c>
      <c r="BG19" s="258" t="e">
        <f t="shared" si="4"/>
        <v>#N/A</v>
      </c>
      <c r="BH19" s="258" t="e">
        <f t="shared" si="4"/>
        <v>#N/A</v>
      </c>
      <c r="BI19" s="258" t="e">
        <f t="shared" si="4"/>
        <v>#N/A</v>
      </c>
      <c r="BJ19" s="258" t="e">
        <f t="shared" si="4"/>
        <v>#N/A</v>
      </c>
      <c r="BK19" s="258" t="e">
        <f t="shared" si="4"/>
        <v>#N/A</v>
      </c>
      <c r="BL19" s="258" t="e">
        <f t="shared" si="4"/>
        <v>#N/A</v>
      </c>
      <c r="BM19" s="258" t="e">
        <f t="shared" si="4"/>
        <v>#N/A</v>
      </c>
      <c r="BN19" s="258" t="e">
        <f t="shared" si="4"/>
        <v>#N/A</v>
      </c>
      <c r="BO19" s="258" t="e">
        <f t="shared" si="4"/>
        <v>#N/A</v>
      </c>
      <c r="BP19" s="258" t="e">
        <f t="shared" si="4"/>
        <v>#N/A</v>
      </c>
      <c r="BQ19" s="258" t="e">
        <f t="shared" si="4"/>
        <v>#N/A</v>
      </c>
      <c r="BR19" s="258" t="e">
        <f t="shared" si="4"/>
        <v>#N/A</v>
      </c>
      <c r="BS19" s="258" t="e">
        <f t="shared" si="4"/>
        <v>#N/A</v>
      </c>
      <c r="BT19" s="258" t="e">
        <f t="shared" si="4"/>
        <v>#N/A</v>
      </c>
      <c r="BU19" s="258" t="e">
        <f t="shared" si="4"/>
        <v>#N/A</v>
      </c>
      <c r="BV19" s="258" t="e">
        <f t="shared" ref="BV19:CS19" si="5">+BV13</f>
        <v>#N/A</v>
      </c>
      <c r="BW19" s="258" t="e">
        <f t="shared" si="5"/>
        <v>#N/A</v>
      </c>
      <c r="BX19" s="258" t="e">
        <f t="shared" si="5"/>
        <v>#N/A</v>
      </c>
      <c r="BY19" s="258" t="e">
        <f t="shared" si="5"/>
        <v>#N/A</v>
      </c>
      <c r="BZ19" s="258" t="e">
        <f t="shared" si="5"/>
        <v>#N/A</v>
      </c>
      <c r="CA19" s="258" t="e">
        <f t="shared" si="5"/>
        <v>#N/A</v>
      </c>
      <c r="CB19" s="258" t="e">
        <f t="shared" si="5"/>
        <v>#N/A</v>
      </c>
      <c r="CC19" s="258" t="e">
        <f t="shared" si="5"/>
        <v>#N/A</v>
      </c>
      <c r="CD19" s="258" t="e">
        <f t="shared" si="5"/>
        <v>#N/A</v>
      </c>
      <c r="CE19" s="258" t="e">
        <f t="shared" si="5"/>
        <v>#N/A</v>
      </c>
      <c r="CF19" s="258" t="e">
        <f t="shared" si="5"/>
        <v>#N/A</v>
      </c>
      <c r="CG19" s="258" t="e">
        <f t="shared" si="5"/>
        <v>#N/A</v>
      </c>
      <c r="CH19" s="258" t="e">
        <f t="shared" si="5"/>
        <v>#N/A</v>
      </c>
      <c r="CI19" s="258" t="e">
        <f t="shared" si="5"/>
        <v>#N/A</v>
      </c>
      <c r="CJ19" s="258" t="e">
        <f t="shared" si="5"/>
        <v>#N/A</v>
      </c>
      <c r="CK19" s="258" t="e">
        <f t="shared" si="5"/>
        <v>#N/A</v>
      </c>
      <c r="CL19" s="258" t="e">
        <f t="shared" si="5"/>
        <v>#N/A</v>
      </c>
      <c r="CM19" s="258" t="e">
        <f t="shared" si="5"/>
        <v>#N/A</v>
      </c>
      <c r="CN19" s="258" t="e">
        <f t="shared" si="5"/>
        <v>#N/A</v>
      </c>
      <c r="CO19" s="258" t="e">
        <f t="shared" si="5"/>
        <v>#N/A</v>
      </c>
      <c r="CP19" s="258" t="e">
        <f t="shared" si="5"/>
        <v>#N/A</v>
      </c>
      <c r="CQ19" s="258" t="e">
        <f t="shared" si="5"/>
        <v>#N/A</v>
      </c>
      <c r="CR19" s="258" t="e">
        <f t="shared" si="5"/>
        <v>#N/A</v>
      </c>
      <c r="CS19" s="258">
        <f t="shared" si="5"/>
        <v>0</v>
      </c>
    </row>
  </sheetData>
  <pageMargins left="0.7" right="0.7" top="0.75" bottom="0.75" header="0.3" footer="0.3"/>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EW19"/>
  <sheetViews>
    <sheetView workbookViewId="0">
      <pane xSplit="11" ySplit="7" topLeftCell="AM8" activePane="bottomRight" state="frozen"/>
      <selection pane="topRight" activeCell="L1" sqref="L1"/>
      <selection pane="bottomLeft" activeCell="A7" sqref="A7"/>
      <selection pane="bottomRight" activeCell="AX8" sqref="AX8"/>
    </sheetView>
  </sheetViews>
  <sheetFormatPr baseColWidth="10" defaultColWidth="22.6640625" defaultRowHeight="12"/>
  <cols>
    <col min="1" max="1" width="16.1640625" style="60" bestFit="1" customWidth="1"/>
    <col min="2" max="2" width="11.33203125" style="60" bestFit="1" customWidth="1"/>
    <col min="3" max="3" width="4.83203125" style="60" bestFit="1" customWidth="1"/>
    <col min="4" max="4" width="12.33203125" style="60" bestFit="1" customWidth="1"/>
    <col min="5" max="5" width="18.83203125" style="60" bestFit="1" customWidth="1"/>
    <col min="6" max="6" width="6.5" style="60" bestFit="1" customWidth="1"/>
    <col min="7" max="7" width="4.1640625" style="60" bestFit="1" customWidth="1"/>
    <col min="8" max="8" width="22.83203125" style="60" bestFit="1" customWidth="1"/>
    <col min="9" max="10" width="5.5" style="60" hidden="1" customWidth="1"/>
    <col min="11" max="11" width="5.6640625" style="60" hidden="1" customWidth="1"/>
    <col min="12" max="12" width="5.5" style="60" hidden="1" customWidth="1"/>
    <col min="13" max="13" width="5.83203125" style="60" hidden="1" customWidth="1"/>
    <col min="14" max="18" width="5.5" style="60" hidden="1" customWidth="1"/>
    <col min="19" max="19" width="5.6640625" style="60" hidden="1" customWidth="1"/>
    <col min="20" max="20" width="6.1640625" style="60" bestFit="1" customWidth="1"/>
    <col min="21" max="21" width="5.5" style="60" bestFit="1" customWidth="1"/>
    <col min="22" max="26" width="6.1640625" style="60" bestFit="1" customWidth="1"/>
    <col min="27" max="30" width="5.5" style="60" bestFit="1" customWidth="1"/>
    <col min="31" max="31" width="5.6640625" style="60" bestFit="1" customWidth="1"/>
    <col min="32" max="34" width="5.5" style="60" bestFit="1" customWidth="1"/>
    <col min="35" max="35" width="5.6640625" style="60" bestFit="1" customWidth="1"/>
    <col min="36" max="36" width="5.5" style="60" bestFit="1" customWidth="1"/>
    <col min="37" max="37" width="5.83203125" style="60" bestFit="1" customWidth="1"/>
    <col min="38" max="42" width="5.5" style="60" bestFit="1" customWidth="1"/>
    <col min="43" max="43" width="5.6640625" style="60" bestFit="1" customWidth="1"/>
    <col min="44" max="46" width="5.5" style="60" bestFit="1" customWidth="1"/>
    <col min="47" max="47" width="5.6640625" style="60" bestFit="1" customWidth="1"/>
    <col min="48" max="48" width="5.5" style="60" bestFit="1" customWidth="1"/>
    <col min="49" max="49" width="5.83203125" style="60" bestFit="1" customWidth="1"/>
    <col min="50" max="51" width="5.5" style="60" bestFit="1" customWidth="1"/>
    <col min="52" max="54" width="7" style="60" bestFit="1" customWidth="1"/>
    <col min="55" max="56" width="5.5" style="60" bestFit="1" customWidth="1"/>
    <col min="57" max="58" width="5.83203125" style="60" bestFit="1" customWidth="1"/>
    <col min="59" max="70" width="5.6640625" style="60" bestFit="1" customWidth="1"/>
    <col min="71" max="80" width="5.5" style="60" bestFit="1" customWidth="1"/>
    <col min="81" max="90" width="6.1640625" style="60" bestFit="1" customWidth="1"/>
    <col min="91" max="95" width="6.33203125" style="60" bestFit="1" customWidth="1"/>
    <col min="96" max="97" width="6.1640625" style="60" bestFit="1" customWidth="1"/>
    <col min="98" max="99" width="6.5" style="60" bestFit="1" customWidth="1"/>
    <col min="100" max="100" width="5.1640625" style="60" bestFit="1" customWidth="1"/>
    <col min="101" max="101" width="6.5" style="60" bestFit="1" customWidth="1"/>
    <col min="102" max="104" width="5.1640625" style="60" bestFit="1" customWidth="1"/>
    <col min="105" max="16384" width="22.6640625" style="60"/>
  </cols>
  <sheetData>
    <row r="1" spans="1:153" ht="13">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row>
    <row r="2" spans="1:153">
      <c r="A2" s="59"/>
      <c r="B2" s="59"/>
      <c r="C2" s="59"/>
      <c r="D2" s="98"/>
      <c r="E2" s="98"/>
      <c r="F2" s="59"/>
      <c r="H2" s="99"/>
      <c r="I2" s="99"/>
      <c r="J2" s="99"/>
      <c r="K2" s="99"/>
      <c r="L2" s="99"/>
      <c r="M2" s="99"/>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99"/>
      <c r="AP2" s="99"/>
      <c r="AQ2" s="99"/>
      <c r="AR2" s="99"/>
      <c r="AS2" s="99"/>
      <c r="AT2" s="99"/>
      <c r="AU2" s="99"/>
      <c r="AV2" s="99"/>
      <c r="AW2" s="99"/>
      <c r="AX2" s="99"/>
      <c r="AY2" s="99"/>
      <c r="AZ2" s="99"/>
      <c r="BA2" s="99"/>
      <c r="BB2" s="99"/>
      <c r="BC2" s="99"/>
      <c r="BD2" s="99"/>
      <c r="BE2" s="99"/>
      <c r="BF2" s="99"/>
      <c r="BG2" s="99"/>
      <c r="BH2" s="99"/>
      <c r="BI2" s="99"/>
      <c r="BJ2" s="99"/>
      <c r="BK2" s="99"/>
      <c r="BL2" s="99"/>
      <c r="BM2" s="99"/>
      <c r="BN2" s="99"/>
      <c r="BO2" s="99"/>
      <c r="BP2" s="99"/>
      <c r="BQ2" s="99"/>
      <c r="BR2" s="99"/>
      <c r="BS2" s="99"/>
      <c r="BT2" s="99"/>
      <c r="BU2" s="99"/>
      <c r="BV2" s="99"/>
      <c r="BW2" s="99"/>
      <c r="BX2" s="99"/>
      <c r="BY2" s="99"/>
      <c r="BZ2" s="99"/>
      <c r="CA2" s="99"/>
      <c r="CB2" s="99"/>
      <c r="CC2" s="99"/>
      <c r="CD2" s="99"/>
      <c r="CE2" s="99"/>
      <c r="CF2" s="99"/>
      <c r="CG2" s="99"/>
      <c r="CH2" s="99"/>
      <c r="CI2" s="99"/>
      <c r="CJ2" s="99"/>
      <c r="CK2" s="99"/>
      <c r="CL2" s="99"/>
      <c r="CM2" s="99"/>
      <c r="CN2" s="99"/>
    </row>
    <row r="3" spans="1:153" ht="15">
      <c r="A3" t="s">
        <v>803</v>
      </c>
      <c r="B3" s="100"/>
      <c r="C3" s="101"/>
      <c r="D3" s="282">
        <v>172.24</v>
      </c>
      <c r="K3" s="102"/>
      <c r="M3" s="102"/>
    </row>
    <row r="4" spans="1:153">
      <c r="A4" s="36"/>
      <c r="B4" s="64"/>
      <c r="D4" s="100"/>
      <c r="E4" s="64"/>
      <c r="F4" s="103"/>
    </row>
    <row r="5" spans="1:153">
      <c r="A5" s="64"/>
      <c r="B5" s="64"/>
      <c r="D5" s="64"/>
      <c r="E5" s="64"/>
      <c r="H5" s="60" t="s">
        <v>387</v>
      </c>
    </row>
    <row r="6" spans="1:153">
      <c r="A6" s="74"/>
      <c r="B6" s="74"/>
    </row>
    <row r="7" spans="1:153">
      <c r="A7" s="59"/>
      <c r="B7" s="59"/>
      <c r="C7" s="59"/>
      <c r="D7" s="98"/>
      <c r="E7" s="98"/>
      <c r="F7" s="59"/>
      <c r="H7" s="59" t="s">
        <v>416</v>
      </c>
      <c r="I7" s="59">
        <v>43831</v>
      </c>
      <c r="J7" s="59">
        <v>43862</v>
      </c>
      <c r="K7" s="59">
        <v>43891</v>
      </c>
      <c r="L7" s="59">
        <v>43922</v>
      </c>
      <c r="M7" s="59">
        <v>43952</v>
      </c>
      <c r="N7" s="59">
        <v>43983</v>
      </c>
      <c r="O7" s="59">
        <v>44013</v>
      </c>
      <c r="P7" s="59">
        <v>44044</v>
      </c>
      <c r="Q7" s="59">
        <v>44075</v>
      </c>
      <c r="R7" s="59">
        <v>44105</v>
      </c>
      <c r="S7" s="59">
        <v>44136</v>
      </c>
      <c r="T7" s="59">
        <v>44166</v>
      </c>
      <c r="U7" s="59">
        <v>44197</v>
      </c>
      <c r="V7" s="59">
        <v>44228</v>
      </c>
      <c r="W7" s="59">
        <v>44256</v>
      </c>
      <c r="X7" s="59">
        <v>44287</v>
      </c>
      <c r="Y7" s="59">
        <v>44317</v>
      </c>
      <c r="Z7" s="59">
        <v>44348</v>
      </c>
      <c r="AA7" s="59">
        <v>44378</v>
      </c>
      <c r="AB7" s="59">
        <v>44409</v>
      </c>
      <c r="AC7" s="59">
        <v>44440</v>
      </c>
      <c r="AD7" s="59">
        <v>44470</v>
      </c>
      <c r="AE7" s="59">
        <v>44501</v>
      </c>
      <c r="AF7" s="59">
        <v>44531</v>
      </c>
      <c r="AG7" s="59">
        <v>44562</v>
      </c>
      <c r="AH7" s="59">
        <v>44593</v>
      </c>
      <c r="AI7" s="59">
        <v>44621</v>
      </c>
      <c r="AJ7" s="59">
        <v>44652</v>
      </c>
      <c r="AK7" s="59">
        <v>44682</v>
      </c>
      <c r="AL7" s="59">
        <v>44713</v>
      </c>
      <c r="AM7" s="59">
        <v>44743</v>
      </c>
      <c r="AN7" s="59">
        <v>44774</v>
      </c>
      <c r="AO7" s="59">
        <v>44805</v>
      </c>
      <c r="AP7" s="59">
        <v>44835</v>
      </c>
      <c r="AQ7" s="59">
        <v>44866</v>
      </c>
      <c r="AR7" s="59">
        <v>44896</v>
      </c>
      <c r="AS7" s="59">
        <v>44927</v>
      </c>
      <c r="AT7" s="59">
        <v>44958</v>
      </c>
      <c r="AU7" s="59">
        <v>44986</v>
      </c>
      <c r="AV7" s="59">
        <v>45017</v>
      </c>
      <c r="AW7" s="59">
        <v>45047</v>
      </c>
      <c r="AX7" s="59">
        <v>45078</v>
      </c>
      <c r="AY7" s="59">
        <v>45108</v>
      </c>
      <c r="AZ7" s="59" t="s">
        <v>530</v>
      </c>
      <c r="BA7" s="59" t="s">
        <v>531</v>
      </c>
      <c r="BB7" s="59" t="s">
        <v>532</v>
      </c>
      <c r="BC7" s="59">
        <v>37104</v>
      </c>
      <c r="BD7" s="59">
        <v>37469</v>
      </c>
      <c r="BE7" s="59" t="s">
        <v>168</v>
      </c>
      <c r="BF7" s="59" t="s">
        <v>169</v>
      </c>
      <c r="BG7" s="59" t="s">
        <v>195</v>
      </c>
      <c r="BH7" s="59" t="s">
        <v>196</v>
      </c>
      <c r="BI7" s="59" t="s">
        <v>197</v>
      </c>
      <c r="BJ7" s="59" t="s">
        <v>198</v>
      </c>
      <c r="BK7" s="59" t="s">
        <v>199</v>
      </c>
      <c r="BL7" s="59" t="s">
        <v>200</v>
      </c>
      <c r="BM7" s="59" t="s">
        <v>201</v>
      </c>
      <c r="BN7" s="59" t="s">
        <v>202</v>
      </c>
      <c r="BO7" s="59">
        <v>37196</v>
      </c>
      <c r="BP7" s="59">
        <v>37561</v>
      </c>
      <c r="BQ7" s="59">
        <v>37926</v>
      </c>
      <c r="BR7" s="59">
        <v>38292</v>
      </c>
      <c r="BS7" s="59">
        <v>37226</v>
      </c>
      <c r="BT7" s="59">
        <v>37591</v>
      </c>
      <c r="BU7" s="59">
        <v>37956</v>
      </c>
      <c r="BV7" s="59">
        <v>38322</v>
      </c>
      <c r="BW7" s="59">
        <v>36892</v>
      </c>
      <c r="BX7" s="59">
        <v>37257</v>
      </c>
      <c r="BY7" s="59">
        <v>37622</v>
      </c>
      <c r="BZ7" s="59">
        <v>37987</v>
      </c>
      <c r="CA7" s="59">
        <v>36923</v>
      </c>
      <c r="CB7" s="59">
        <v>37288</v>
      </c>
      <c r="CC7" s="59">
        <v>37653</v>
      </c>
      <c r="CD7" s="59">
        <v>38018</v>
      </c>
      <c r="CE7" s="59" t="str">
        <f>Sheet8!A15</f>
        <v>Mar-w1</v>
      </c>
      <c r="CF7" s="59">
        <v>37316</v>
      </c>
      <c r="CG7" s="59">
        <v>37681</v>
      </c>
      <c r="CH7" s="59">
        <v>38047</v>
      </c>
      <c r="CI7" s="59" t="str">
        <f>Sheet8!E15</f>
        <v>Apr-w1</v>
      </c>
      <c r="CJ7" s="59" t="str">
        <f>Sheet8!F15</f>
        <v>Apr-w2</v>
      </c>
      <c r="CK7" s="59" t="str">
        <f>Sheet8!G15</f>
        <v>Apr-w3</v>
      </c>
      <c r="CL7" s="59" t="str">
        <f>Sheet8!H15</f>
        <v>Apr-w4</v>
      </c>
      <c r="CM7" s="59" t="str">
        <f>Sheet8!I15</f>
        <v>May-w1</v>
      </c>
      <c r="CN7" s="59" t="str">
        <f>Sheet8!J15</f>
        <v>May-w2</v>
      </c>
      <c r="CO7" s="59" t="str">
        <f>Sheet8!K15</f>
        <v>May-w3</v>
      </c>
      <c r="CP7" s="59" t="str">
        <f>Sheet8!L15</f>
        <v>May-w4</v>
      </c>
      <c r="CQ7" s="59" t="str">
        <f>Sheet8!M15</f>
        <v>May-w5</v>
      </c>
      <c r="CR7" s="59" t="str">
        <f>Sheet8!N15</f>
        <v>june-w1</v>
      </c>
      <c r="CS7" s="59" t="str">
        <f>Sheet8!O15</f>
        <v>june-w2</v>
      </c>
      <c r="CT7" s="59" t="str">
        <f>Sheet8!P15</f>
        <v>june-w3</v>
      </c>
      <c r="CU7" s="59" t="str">
        <f>Sheet8!Q15</f>
        <v>june-w4</v>
      </c>
      <c r="CV7" s="59" t="str">
        <f>Sheet8!R15</f>
        <v>Jul-w1</v>
      </c>
      <c r="CW7" s="59" t="str">
        <f>Sheet8!S15</f>
        <v>Jul-w2</v>
      </c>
      <c r="CX7" s="59" t="str">
        <f>Sheet8!T15</f>
        <v>Jul-w3</v>
      </c>
      <c r="CY7" s="59" t="str">
        <f>Sheet8!U15</f>
        <v>Jul-w4</v>
      </c>
      <c r="CZ7" s="59" t="str">
        <f>Sheet8!V15</f>
        <v>Aug-w1</v>
      </c>
      <c r="DA7" s="59" t="str">
        <f>Sheet8!W15</f>
        <v>Aug-w2</v>
      </c>
      <c r="DB7" s="59" t="str">
        <f>Sheet8!X15</f>
        <v>Aug-w3</v>
      </c>
      <c r="DC7" s="59" t="str">
        <f>Sheet8!Y15</f>
        <v>Aug-w4</v>
      </c>
      <c r="DD7" s="59" t="str">
        <f>Sheet8!Z15</f>
        <v>Sep-w1</v>
      </c>
      <c r="DE7" s="59" t="str">
        <f>Sheet8!AA15</f>
        <v>Sep-w2</v>
      </c>
      <c r="DF7" s="59" t="str">
        <f>Sheet8!AB15</f>
        <v>Sep-w3</v>
      </c>
      <c r="DG7" s="59" t="str">
        <f>Sheet8!AC15</f>
        <v>Sep-w4</v>
      </c>
      <c r="DH7" s="59" t="str">
        <f>Sheet8!AD15</f>
        <v>Oct-w1</v>
      </c>
      <c r="DI7" s="59" t="str">
        <f>Sheet8!AE15</f>
        <v>Oct-w2</v>
      </c>
      <c r="DJ7" s="59" t="str">
        <f>Sheet8!AF15</f>
        <v>Oct-w3</v>
      </c>
      <c r="DK7" s="59" t="str">
        <f>Sheet8!AG15</f>
        <v>Oct-w4</v>
      </c>
      <c r="DL7" s="59" t="str">
        <f>Sheet8!AH15</f>
        <v>Nov-w1</v>
      </c>
      <c r="DM7" s="59" t="str">
        <f>Sheet8!AI15</f>
        <v>Nov-w2</v>
      </c>
      <c r="DN7" s="59" t="str">
        <f>Sheet8!AJ15</f>
        <v>Nov-w3</v>
      </c>
      <c r="DO7" s="59" t="str">
        <f>Sheet8!AK15</f>
        <v>Nov-w4</v>
      </c>
      <c r="DP7" s="59" t="str">
        <f>Sheet8!AL15</f>
        <v>Dec-w1</v>
      </c>
      <c r="DQ7" s="59" t="str">
        <f>Sheet8!AM15</f>
        <v>Dec-w2</v>
      </c>
      <c r="DR7" s="59" t="str">
        <f>Sheet8!AN15</f>
        <v>Dec-w3</v>
      </c>
      <c r="DS7" s="59" t="str">
        <f>Sheet8!AO15</f>
        <v>Dec-w4</v>
      </c>
      <c r="DT7" s="59">
        <f>Sheet8!AP15</f>
        <v>0</v>
      </c>
      <c r="DU7" s="59">
        <f>Sheet8!AQ15</f>
        <v>0</v>
      </c>
      <c r="DV7" s="59">
        <f>Sheet8!AR15</f>
        <v>0</v>
      </c>
      <c r="DW7" s="59">
        <f>Sheet8!AS15</f>
        <v>0</v>
      </c>
      <c r="DX7" s="59">
        <f>Sheet8!AT15</f>
        <v>0</v>
      </c>
      <c r="DY7" s="59">
        <f>Sheet8!AU15</f>
        <v>0</v>
      </c>
      <c r="DZ7" s="59">
        <f>Sheet8!AV15</f>
        <v>0</v>
      </c>
      <c r="EA7" s="59">
        <f>Sheet8!AW15</f>
        <v>0</v>
      </c>
      <c r="EB7" s="59">
        <f>Sheet8!AX15</f>
        <v>0</v>
      </c>
      <c r="EC7" s="59">
        <f>Sheet8!AY15</f>
        <v>0</v>
      </c>
      <c r="ED7" s="59">
        <f>Sheet8!AZ15</f>
        <v>0</v>
      </c>
      <c r="EE7" s="59">
        <f>Sheet8!BA15</f>
        <v>0</v>
      </c>
      <c r="EF7" s="59">
        <f>Sheet8!BB15</f>
        <v>0</v>
      </c>
      <c r="EG7" s="59">
        <f>Sheet8!BC15</f>
        <v>0</v>
      </c>
      <c r="EH7" s="59">
        <f>Sheet8!BD15</f>
        <v>0</v>
      </c>
      <c r="EI7" s="59">
        <f>Sheet8!BE15</f>
        <v>0</v>
      </c>
      <c r="EJ7" s="59">
        <f>Sheet8!BF15</f>
        <v>0</v>
      </c>
      <c r="EK7" s="59">
        <f>Sheet8!BG15</f>
        <v>0</v>
      </c>
      <c r="EL7" s="59">
        <f>Sheet8!BH15</f>
        <v>0</v>
      </c>
      <c r="EM7" s="59">
        <f>Sheet8!BI15</f>
        <v>0</v>
      </c>
      <c r="EN7" s="59">
        <f>Sheet8!BJ15</f>
        <v>0</v>
      </c>
      <c r="EO7" s="59">
        <f>Sheet8!BK15</f>
        <v>0</v>
      </c>
      <c r="EP7" s="59">
        <f>Sheet8!BL15</f>
        <v>0</v>
      </c>
      <c r="EQ7" s="59">
        <f>Sheet8!BM15</f>
        <v>0</v>
      </c>
      <c r="ER7" s="59">
        <f>Sheet8!BN15</f>
        <v>0</v>
      </c>
      <c r="ES7" s="59">
        <f>Sheet8!BO15</f>
        <v>0</v>
      </c>
      <c r="ET7" s="59">
        <f>Sheet8!BP15</f>
        <v>0</v>
      </c>
      <c r="EU7" s="59">
        <f>Sheet8!BQ15</f>
        <v>0</v>
      </c>
      <c r="EV7" s="59">
        <f>Sheet8!BR15</f>
        <v>0</v>
      </c>
      <c r="EW7" s="59">
        <f>Sheet8!BS15</f>
        <v>0</v>
      </c>
    </row>
    <row r="8" spans="1:153">
      <c r="F8" s="60" t="s">
        <v>651</v>
      </c>
      <c r="H8" s="44" t="s">
        <v>313</v>
      </c>
      <c r="I8" s="74">
        <f>VLOOKUP($H$8&amp;$F$1,'Input RM sheet'!$A:$ZZ,H1,0)</f>
        <v>0</v>
      </c>
      <c r="J8" s="74">
        <f>VLOOKUP($H$8&amp;$F$1,'Input RM sheet'!$A:$ZZ,I1,0)</f>
        <v>0</v>
      </c>
      <c r="K8" s="74">
        <f>VLOOKUP($H$8&amp;$F$1,'Input RM sheet'!$A:$ZZ,J1,0)</f>
        <v>0</v>
      </c>
      <c r="L8" s="74">
        <f>VLOOKUP($H$8&amp;$F$1,'Input RM sheet'!$A:$ZZ,K1,0)</f>
        <v>0</v>
      </c>
      <c r="M8" s="74">
        <f>VLOOKUP($H$8&amp;$F$1,'Input RM sheet'!$A:$ZZ,L1,0)</f>
        <v>0</v>
      </c>
      <c r="N8" s="74">
        <f>VLOOKUP($H$8&amp;$F$1,'Input RM sheet'!$A:$ZZ,M1,0)</f>
        <v>0</v>
      </c>
      <c r="O8" s="74">
        <f>VLOOKUP($H$8&amp;$F$1,'Input RM sheet'!$A:$ZZ,N1,0)</f>
        <v>0</v>
      </c>
      <c r="P8" s="74">
        <f>VLOOKUP($H$8&amp;$F$1,'Input RM sheet'!$A:$ZZ,O1,0)</f>
        <v>0</v>
      </c>
      <c r="Q8" s="74">
        <f>VLOOKUP($H$8&amp;$F$1,'Input RM sheet'!$A:$ZZ,P1,0)</f>
        <v>0</v>
      </c>
      <c r="R8" s="74">
        <f>VLOOKUP($H$8&amp;$F$1,'Input RM sheet'!$A:$ZZ,Q1,0)</f>
        <v>0</v>
      </c>
      <c r="S8" s="74">
        <f>VLOOKUP($H$8&amp;$F$1,'Input RM sheet'!$A:$ZZ,R1,0)</f>
        <v>0</v>
      </c>
      <c r="T8" s="74">
        <f>VLOOKUP($H$8&amp;$F$1,'Input RM sheet'!$A:$ZZ,S1,0)</f>
        <v>0.83799999999999997</v>
      </c>
      <c r="U8" s="74">
        <f>VLOOKUP($H$8&amp;$F$1,'Input RM sheet'!$A:$ZZ,T1,0)</f>
        <v>0.93700000000000006</v>
      </c>
      <c r="V8" s="74">
        <f>VLOOKUP($H$8&amp;$F$1,'Input RM sheet'!$A:$ZZ,U1,0)</f>
        <v>0.97</v>
      </c>
      <c r="W8" s="74">
        <f>VLOOKUP($H$8&amp;$F$1,'Input RM sheet'!$A:$ZZ,V1,0)</f>
        <v>1.0755999999999999</v>
      </c>
      <c r="X8" s="74">
        <f>VLOOKUP($H$8&amp;$F$1,'Input RM sheet'!$A:$ZZ,W1,0)</f>
        <v>1.224</v>
      </c>
      <c r="Y8" s="74">
        <f>VLOOKUP($H$8&amp;$F$1,'Input RM sheet'!$A:$ZZ,X1,0)</f>
        <v>1.1881999999999999</v>
      </c>
      <c r="Z8" s="74">
        <f>VLOOKUP($H$8&amp;$F$1,'Input RM sheet'!$A:$ZZ,Y1,0)</f>
        <v>1.2569999999999999</v>
      </c>
      <c r="AA8" s="74">
        <f>VLOOKUP($H$8&amp;$F$1,'Input RM sheet'!$A:$ZZ,Z1,0)</f>
        <v>1.3076000000000001</v>
      </c>
      <c r="AB8" s="74">
        <f>VLOOKUP($H$8&amp;$F$1,'Input RM sheet'!$A:$ZZ,AA1,0)</f>
        <v>1.444</v>
      </c>
      <c r="AC8" s="74">
        <f>VLOOKUP($H$8&amp;$F$1,'Input RM sheet'!$A:$ZZ,AB1,0)</f>
        <v>1.5209999999999999</v>
      </c>
      <c r="AD8" s="74">
        <f>VLOOKUP($H$8&amp;$F$1,'Input RM sheet'!$A:$ZZ,AC1,0)</f>
        <v>1.4219999999999999</v>
      </c>
      <c r="AE8" s="74">
        <f>VLOOKUP($H$8&amp;$F$1,'Input RM sheet'!$A:$ZZ,AD1,0)</f>
        <v>1.532</v>
      </c>
      <c r="AF8" s="74">
        <f>VLOOKUP($H$8&amp;$F$1,'Input RM sheet'!$A:$ZZ,AE1,0)</f>
        <v>1.2769999999999999</v>
      </c>
      <c r="AG8" s="74">
        <f>VLOOKUP($H$8&amp;$F$1,'Input RM sheet'!$A:$ZZ,AF1,0)</f>
        <v>1.444</v>
      </c>
      <c r="AH8" s="74">
        <f>VLOOKUP($H$8&amp;$F$1,'Input RM sheet'!$A:$ZZ,AG1,0)</f>
        <v>1.5580000000000001</v>
      </c>
      <c r="AI8" s="74">
        <f>VLOOKUP($H$8&amp;$F$1,'Input RM sheet'!$A:$ZZ,AH1,0)</f>
        <v>1.653</v>
      </c>
      <c r="AJ8" s="74">
        <f>VLOOKUP($H$8&amp;$F$1,'Input RM sheet'!$A:$ZZ,AI1,0)</f>
        <v>1.609</v>
      </c>
      <c r="AK8" s="74">
        <f>VLOOKUP($H$8&amp;$F$1,'Input RM sheet'!$A:$ZZ,AJ1,0)</f>
        <v>1.7749999999999999</v>
      </c>
      <c r="AL8" s="74">
        <f>VLOOKUP($H$8&amp;$F$1,'Input RM sheet'!$A:$ZZ,AK1,0)</f>
        <v>1.7749999999999999</v>
      </c>
      <c r="AM8" s="74">
        <f>VLOOKUP($H$8&amp;$F$1,'Input RM sheet'!$A:$ZZ,AL1,0)</f>
        <v>1.8080000000000001</v>
      </c>
      <c r="AN8" s="74">
        <f>VLOOKUP($H$8&amp;$F$1,'Input RM sheet'!$A:$ZZ,AM1,0)</f>
        <v>1.7749999999999999</v>
      </c>
      <c r="AO8" s="74">
        <f>VLOOKUP($H$8&amp;$F$1,'Input RM sheet'!$A:$ZZ,AN1,0)</f>
        <v>1.786</v>
      </c>
      <c r="AP8" s="74">
        <f>VLOOKUP($H$8&amp;$F$1,'Input RM sheet'!$A:$ZZ,AO1,0)</f>
        <v>1.631</v>
      </c>
      <c r="AQ8" s="74">
        <f>VLOOKUP($H$8&amp;$F$1,'Input RM sheet'!$A:$ZZ,AP1,0)</f>
        <v>1.631</v>
      </c>
      <c r="AR8" s="74">
        <f>VLOOKUP($H$8&amp;$F$1,'Input RM sheet'!$A:$ZZ,AQ1,0)</f>
        <v>1.556</v>
      </c>
      <c r="AS8" s="74">
        <f>VLOOKUP($H$8&amp;$F$1,'Input RM sheet'!$A:$ZZ,AR1,0)</f>
        <v>1.5429999999999999</v>
      </c>
      <c r="AT8" s="74">
        <f>VLOOKUP($H$8&amp;$F$1,'Input RM sheet'!$A:$ZZ,AS1,0)</f>
        <v>1.337</v>
      </c>
      <c r="AU8" s="74">
        <f>VLOOKUP($H$8&amp;$F$1,'Input RM sheet'!$A:$ZZ,AT1,0)</f>
        <v>1.2350000000000001</v>
      </c>
      <c r="AV8" s="74">
        <f>VLOOKUP($H$8&amp;$F$1,'Input RM sheet'!$A:$ZZ,AU1,0)</f>
        <v>1.141</v>
      </c>
      <c r="AW8" s="74">
        <f>VLOOKUP($H$8&amp;$F$1,'Input RM sheet'!$A:$ZZ,AV1,0)</f>
        <v>1.25</v>
      </c>
      <c r="AX8" s="74">
        <f>VLOOKUP($H$8&amp;$F$1,'Input RM sheet'!$A:$ZZ,AW1,0)</f>
        <v>1.2569999999999999</v>
      </c>
      <c r="AY8" s="74">
        <f>VLOOKUP($H$8&amp;$F$1,'Input RM sheet'!$A:$ZZ,AX1,0)</f>
        <v>1.4</v>
      </c>
      <c r="AZ8" s="74">
        <f>VLOOKUP($H$8&amp;$F$1,'Input RM sheet'!$A:$ZZ,AY1,0)</f>
        <v>1.4330000000000001</v>
      </c>
      <c r="BA8" s="74">
        <f>VLOOKUP($H$8&amp;$F$1,'Input RM sheet'!$A:$ZZ,AZ1,0)</f>
        <v>1.4810000000000001</v>
      </c>
      <c r="BB8" s="74">
        <f>VLOOKUP($H$8&amp;$F$1,'Input RM sheet'!$A:$ZZ,BA1,0)</f>
        <v>1.488</v>
      </c>
      <c r="BC8" s="74">
        <f>VLOOKUP($H$8&amp;$F$1,'Input RM sheet'!$A:$ZZ,BB1,0)</f>
        <v>1.488</v>
      </c>
      <c r="BD8" s="74">
        <f>VLOOKUP($H$8&amp;$F$1,'Input RM sheet'!$A:$ZZ,BC1,0)</f>
        <v>1.5009999999999999</v>
      </c>
      <c r="BE8" s="74">
        <f>VLOOKUP($H$8&amp;$F$1,'Input RM sheet'!$A:$ZZ,BD1,0)</f>
        <v>1.5229999999999999</v>
      </c>
      <c r="BF8" s="74">
        <f>VLOOKUP($H$8&amp;$F$1,'Input RM sheet'!$A:$ZZ,BE1,0)</f>
        <v>1.532</v>
      </c>
      <c r="BG8" s="74">
        <f>VLOOKUP($H$8&amp;$F$1,'Input RM sheet'!$A:$ZZ,BF1,0)</f>
        <v>1.532</v>
      </c>
      <c r="BH8" s="74">
        <f>VLOOKUP($H$8&amp;$F$1,'Input RM sheet'!$A:$ZZ,BG1,0)</f>
        <v>1.532</v>
      </c>
      <c r="BI8" s="74">
        <f>VLOOKUP($H$8&amp;$F$1,'Input RM sheet'!$A:$ZZ,BH1,0)</f>
        <v>1.5389999999999999</v>
      </c>
      <c r="BJ8" s="74">
        <f>VLOOKUP($H$8&amp;$F$1,'Input RM sheet'!$A:$ZZ,BI1,0)</f>
        <v>1.5429999999999999</v>
      </c>
      <c r="BK8" s="74">
        <f>VLOOKUP($H$8&amp;$F$1,'Input RM sheet'!$A:$ZZ,BJ1,0)</f>
        <v>1.51</v>
      </c>
      <c r="BL8" s="74">
        <f>VLOOKUP($H$8&amp;$F$1,'Input RM sheet'!$A:$ZZ,BK1,0)</f>
        <v>1.4810000000000001</v>
      </c>
      <c r="BM8" s="74">
        <f>VLOOKUP($H$8&amp;$F$1,'Input RM sheet'!$A:$ZZ,BL1,0)</f>
        <v>1.369</v>
      </c>
      <c r="BN8" s="74">
        <f>VLOOKUP($H$8&amp;$F$1,'Input RM sheet'!$A:$ZZ,BM1,0)</f>
        <v>1.2789999999999999</v>
      </c>
      <c r="BO8" s="74">
        <f>VLOOKUP($H$8&amp;$F$1,'Input RM sheet'!$A:$ZZ,BN1,0)</f>
        <v>1.2110000000000001</v>
      </c>
      <c r="BP8" s="74">
        <f>VLOOKUP($H$8&amp;$F$1,'Input RM sheet'!$A:$ZZ,BO1,0)</f>
        <v>1.1779999999999999</v>
      </c>
      <c r="BQ8" s="74">
        <f>VLOOKUP($H$8&amp;$F$1,'Input RM sheet'!$A:$ZZ,BP1,0)</f>
        <v>1.1559999999999999</v>
      </c>
      <c r="BR8" s="74">
        <f>VLOOKUP($H$8&amp;$F$1,'Input RM sheet'!$A:$ZZ,BQ1,0)</f>
        <v>1.1240000000000001</v>
      </c>
      <c r="BS8" s="74">
        <f>VLOOKUP($H$8&amp;$F$1,'Input RM sheet'!$A:$ZZ,BR1,0)</f>
        <v>1.1240000000000001</v>
      </c>
      <c r="BT8" s="74">
        <f>VLOOKUP($H$8&amp;$F$1,'Input RM sheet'!$A:$ZZ,BS1,0)</f>
        <v>1.1240000000000001</v>
      </c>
      <c r="BU8" s="74">
        <f>VLOOKUP($H$8&amp;$F$1,'Input RM sheet'!$A:$ZZ,BT1,0)</f>
        <v>1.0580000000000001</v>
      </c>
      <c r="BV8" s="74">
        <f>VLOOKUP($H$8&amp;$F$1,'Input RM sheet'!$A:$ZZ,BU1,0)</f>
        <v>0.999</v>
      </c>
      <c r="BW8" s="74">
        <f>VLOOKUP($H$8&amp;$F$1,'Input RM sheet'!$A:$ZZ,BV1,0)</f>
        <v>0.96799999999999997</v>
      </c>
      <c r="BX8" s="74">
        <f>VLOOKUP($H$8&amp;$F$1,'Input RM sheet'!$A:$ZZ,BW1,0)</f>
        <v>0.95899999999999996</v>
      </c>
      <c r="BY8" s="74">
        <f>VLOOKUP($H$8&amp;$F$1,'Input RM sheet'!$A:$ZZ,BX1,0)</f>
        <v>0.95899999999999996</v>
      </c>
      <c r="BZ8" s="74">
        <f>VLOOKUP($H$8&amp;$F$1,'Input RM sheet'!$A:$ZZ,BY1,0)</f>
        <v>0.93899999999999995</v>
      </c>
      <c r="CA8" s="74">
        <f>VLOOKUP($H$8&amp;$F$1,'Input RM sheet'!$A:$ZZ,BZ1,0)</f>
        <v>0.92600000000000005</v>
      </c>
      <c r="CB8" s="74">
        <f>VLOOKUP($H$8&amp;$F$1,'Input RM sheet'!$A:$ZZ,CA1,0)</f>
        <v>0.92600000000000005</v>
      </c>
      <c r="CC8" s="74">
        <f>VLOOKUP($H$8&amp;$F$1,'Input RM sheet'!$A:$ZZ,CB1,0)</f>
        <v>0.89300000000000002</v>
      </c>
      <c r="CD8" s="74">
        <f>VLOOKUP($H$8&amp;$F$1,'Input RM sheet'!$A:$ZZ,CC1,0)</f>
        <v>0.88300000000000001</v>
      </c>
      <c r="CE8" s="74">
        <f>VLOOKUP($H$8&amp;$F$1,'Input RM sheet'!$A:$ZZ,CD1,0)</f>
        <v>0.92400000000000004</v>
      </c>
      <c r="CF8" s="74">
        <f>VLOOKUP($H$8&amp;$F$1,'Input RM sheet'!$A:$ZZ,CE1,0)</f>
        <v>0.92900000000000005</v>
      </c>
      <c r="CG8" s="74">
        <f>VLOOKUP($H$8&amp;$F$1,'Input RM sheet'!$A:$ZZ,CF1,0)</f>
        <v>0.92900000000000005</v>
      </c>
      <c r="CH8" s="74">
        <f>VLOOKUP($H$8&amp;$F$1,'Input RM sheet'!$A:$ZZ,CG1,0)</f>
        <v>0.93500000000000005</v>
      </c>
      <c r="CI8" s="74">
        <f>VLOOKUP($H$8&amp;$F$1,'Input RM sheet'!$A:$ZZ,CH1,0)</f>
        <v>0.95499999999999996</v>
      </c>
      <c r="CJ8" s="74">
        <f>VLOOKUP($H$8&amp;$F$1,'Input RM sheet'!$A:$ZZ,CI1,0)</f>
        <v>0.95899999999999996</v>
      </c>
      <c r="CK8" s="74">
        <f>VLOOKUP($H$8&amp;$F$1,'Input RM sheet'!$A:$ZZ,CJ1,0)</f>
        <v>0.95899999999999996</v>
      </c>
      <c r="CL8" s="74">
        <f>VLOOKUP($H$8&amp;$F$1,'Input RM sheet'!$A:$ZZ,CK1,0)</f>
        <v>0.95899999999999996</v>
      </c>
      <c r="CM8" s="74">
        <f>VLOOKUP($H$8&amp;$F$1,'Input RM sheet'!$A:$ZZ,CL1,0)</f>
        <v>0.95899999999999996</v>
      </c>
      <c r="CN8" s="74">
        <f>VLOOKUP($H$8&amp;$F$1,'Input RM sheet'!$A:$ZZ,CM1,0)</f>
        <v>0.95899999999999996</v>
      </c>
      <c r="CO8" s="74">
        <f>VLOOKUP($H$8&amp;$F$1,'Input RM sheet'!$A:$ZZ,CN1,0)</f>
        <v>0.93200000000000005</v>
      </c>
      <c r="CP8" s="74">
        <f>VLOOKUP($H$8&amp;$F$1,'Input RM sheet'!$A:$ZZ,CO1,0)</f>
        <v>0.89300000000000002</v>
      </c>
      <c r="CQ8" s="74">
        <f>VLOOKUP($H$8&amp;$F$1,'Input RM sheet'!$A:$ZZ,CP1,0)</f>
        <v>0.90600000000000003</v>
      </c>
      <c r="CR8" s="74">
        <f>VLOOKUP($H$8&amp;$F$1,'Input RM sheet'!$A:$ZZ,CQ1,0)</f>
        <v>0.92600000000000005</v>
      </c>
      <c r="CS8" s="74">
        <f>VLOOKUP($H$8&amp;$F$1,'Input RM sheet'!$A:$ZZ,CR1,0)</f>
        <v>0.94399999999999995</v>
      </c>
      <c r="CT8" s="74" t="e" vm="1">
        <f>VLOOKUP($H$8&amp;$F$1,'Input RM sheet'!$A:$ZZ,CS1,0)</f>
        <v>#VALUE!</v>
      </c>
      <c r="CU8" s="74" t="e" vm="1">
        <f>VLOOKUP($H$8&amp;$F$1,'Input RM sheet'!$A:$ZZ,CT1,0)</f>
        <v>#VALUE!</v>
      </c>
      <c r="CV8" s="74" t="e" vm="1">
        <f>VLOOKUP($H$8&amp;$F$1,'Input RM sheet'!$A:$ZZ,CU1,0)</f>
        <v>#VALUE!</v>
      </c>
      <c r="CW8" s="74" t="e" vm="1">
        <f>VLOOKUP($H$8&amp;$F$1,'Input RM sheet'!$A:$ZZ,CV1,0)</f>
        <v>#VALUE!</v>
      </c>
      <c r="CX8" s="74" t="e" vm="1">
        <f>VLOOKUP($H$8&amp;$F$1,'Input RM sheet'!$A:$ZZ,CW1,0)</f>
        <v>#VALUE!</v>
      </c>
      <c r="CY8" s="74" t="e" vm="1">
        <f>VLOOKUP($H$8&amp;$F$1,'Input RM sheet'!$A:$ZZ,CX1,0)</f>
        <v>#VALUE!</v>
      </c>
      <c r="CZ8" s="74" t="e" vm="1">
        <f>VLOOKUP($H$8&amp;$F$1,'Input RM sheet'!$A:$ZZ,CY1,0)</f>
        <v>#VALUE!</v>
      </c>
      <c r="DA8" s="74" t="e" vm="1">
        <f>VLOOKUP($H$8&amp;$F$1,'Input RM sheet'!$A:$ZZ,CZ1,0)</f>
        <v>#VALUE!</v>
      </c>
    </row>
    <row r="9" spans="1:153">
      <c r="H9" s="107"/>
      <c r="I9" s="74"/>
      <c r="J9" s="74"/>
      <c r="K9" s="74"/>
      <c r="L9" s="74"/>
      <c r="M9" s="74"/>
      <c r="N9" s="74"/>
      <c r="O9" s="74"/>
      <c r="P9" s="74"/>
      <c r="Q9" s="74"/>
      <c r="R9" s="74"/>
      <c r="S9" s="74"/>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74"/>
      <c r="BG9" s="74"/>
      <c r="BH9" s="74"/>
      <c r="BI9" s="74"/>
      <c r="BJ9" s="74"/>
      <c r="BK9" s="74"/>
      <c r="BL9" s="74"/>
      <c r="BM9" s="74"/>
      <c r="BN9" s="74"/>
      <c r="BO9" s="74"/>
      <c r="BP9" s="74"/>
      <c r="BQ9" s="74"/>
      <c r="BR9" s="74"/>
      <c r="BS9" s="74"/>
      <c r="BT9" s="74"/>
      <c r="BU9" s="74"/>
      <c r="BV9" s="74"/>
      <c r="BW9" s="74"/>
      <c r="BX9" s="74"/>
      <c r="BY9" s="74"/>
      <c r="BZ9" s="74"/>
      <c r="CA9" s="74"/>
      <c r="CB9" s="74"/>
      <c r="CC9" s="74"/>
      <c r="CD9" s="74"/>
      <c r="CE9" s="74"/>
      <c r="CF9" s="74"/>
      <c r="CG9" s="74"/>
      <c r="CH9" s="74"/>
      <c r="CI9" s="74"/>
      <c r="CJ9" s="74"/>
      <c r="CK9" s="74"/>
      <c r="CL9" s="74"/>
      <c r="CM9" s="74"/>
      <c r="CN9" s="74"/>
      <c r="CO9" s="74"/>
      <c r="CP9" s="74"/>
      <c r="CQ9" s="74"/>
      <c r="CR9" s="74"/>
    </row>
    <row r="10" spans="1:153" ht="13">
      <c r="A10" s="59" t="s">
        <v>395</v>
      </c>
      <c r="B10" s="59"/>
      <c r="C10" s="59" t="s">
        <v>379</v>
      </c>
      <c r="D10" s="98" t="s">
        <v>380</v>
      </c>
      <c r="E10" s="98" t="s">
        <v>381</v>
      </c>
      <c r="F10" s="59" t="s">
        <v>396</v>
      </c>
      <c r="I10" s="84"/>
      <c r="J10" s="84"/>
      <c r="K10" s="84"/>
      <c r="L10" s="84"/>
      <c r="M10" s="84"/>
      <c r="N10" s="84"/>
      <c r="O10" s="84"/>
      <c r="P10" s="84"/>
      <c r="Q10" s="84"/>
      <c r="R10" s="84"/>
      <c r="S10" s="84"/>
      <c r="T10" s="84"/>
      <c r="U10" s="84"/>
      <c r="V10" s="84"/>
      <c r="W10" s="84"/>
      <c r="X10" s="84"/>
      <c r="Y10" s="84"/>
      <c r="Z10" s="84"/>
      <c r="AA10" s="84"/>
      <c r="AB10" s="84"/>
      <c r="AC10" s="84"/>
      <c r="AD10" s="84"/>
      <c r="AE10" s="84"/>
      <c r="AF10" s="84"/>
      <c r="AG10" s="84"/>
      <c r="AH10" s="84"/>
      <c r="AI10" s="84"/>
      <c r="AJ10" s="84"/>
      <c r="AK10" s="84"/>
      <c r="AL10" s="84"/>
      <c r="AM10" s="84"/>
      <c r="AN10" s="84"/>
      <c r="AO10" s="84"/>
      <c r="AP10" s="84"/>
      <c r="AQ10" s="84"/>
      <c r="AR10" s="84"/>
      <c r="AS10" s="84"/>
      <c r="AT10" s="84"/>
      <c r="AU10" s="84"/>
      <c r="AV10" s="84"/>
      <c r="AW10" s="84"/>
      <c r="AX10" s="84"/>
      <c r="AY10" s="84"/>
      <c r="AZ10" s="84"/>
      <c r="BA10" s="84"/>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84"/>
      <c r="CE10" s="84"/>
      <c r="CF10" s="84"/>
      <c r="CG10" s="84"/>
      <c r="CH10" s="84"/>
      <c r="CI10" s="84"/>
      <c r="CJ10" s="84"/>
      <c r="CK10" s="84"/>
      <c r="CL10" s="84"/>
      <c r="CM10" s="84"/>
      <c r="CN10" s="84"/>
      <c r="CO10" s="84"/>
      <c r="CP10" s="84"/>
      <c r="CQ10" s="84"/>
      <c r="CR10" s="84"/>
    </row>
    <row r="11" spans="1:153" ht="26">
      <c r="A11" s="107" t="s">
        <v>397</v>
      </c>
      <c r="B11" s="107" t="s">
        <v>804</v>
      </c>
      <c r="D11" s="77"/>
      <c r="F11" s="65">
        <v>1</v>
      </c>
      <c r="H11" s="60" t="s">
        <v>399</v>
      </c>
      <c r="I11" s="74">
        <f>$F$11*I8</f>
        <v>0</v>
      </c>
      <c r="J11" s="74">
        <f t="shared" ref="J11:BU11" si="0">$F$11*J8</f>
        <v>0</v>
      </c>
      <c r="K11" s="74">
        <f t="shared" si="0"/>
        <v>0</v>
      </c>
      <c r="L11" s="74">
        <f t="shared" si="0"/>
        <v>0</v>
      </c>
      <c r="M11" s="74">
        <f t="shared" si="0"/>
        <v>0</v>
      </c>
      <c r="N11" s="74">
        <f t="shared" si="0"/>
        <v>0</v>
      </c>
      <c r="O11" s="74">
        <f t="shared" si="0"/>
        <v>0</v>
      </c>
      <c r="P11" s="74">
        <f t="shared" si="0"/>
        <v>0</v>
      </c>
      <c r="Q11" s="74">
        <f t="shared" si="0"/>
        <v>0</v>
      </c>
      <c r="R11" s="74">
        <f t="shared" si="0"/>
        <v>0</v>
      </c>
      <c r="S11" s="74">
        <f t="shared" si="0"/>
        <v>0</v>
      </c>
      <c r="T11" s="74">
        <f t="shared" si="0"/>
        <v>0.83799999999999997</v>
      </c>
      <c r="U11" s="74">
        <f t="shared" si="0"/>
        <v>0.93700000000000006</v>
      </c>
      <c r="V11" s="74">
        <f t="shared" si="0"/>
        <v>0.97</v>
      </c>
      <c r="W11" s="74">
        <f t="shared" si="0"/>
        <v>1.0755999999999999</v>
      </c>
      <c r="X11" s="74">
        <f t="shared" si="0"/>
        <v>1.224</v>
      </c>
      <c r="Y11" s="74">
        <f t="shared" si="0"/>
        <v>1.1881999999999999</v>
      </c>
      <c r="Z11" s="74">
        <f t="shared" si="0"/>
        <v>1.2569999999999999</v>
      </c>
      <c r="AA11" s="74">
        <f t="shared" si="0"/>
        <v>1.3076000000000001</v>
      </c>
      <c r="AB11" s="74">
        <f t="shared" si="0"/>
        <v>1.444</v>
      </c>
      <c r="AC11" s="74">
        <f t="shared" si="0"/>
        <v>1.5209999999999999</v>
      </c>
      <c r="AD11" s="74">
        <f t="shared" si="0"/>
        <v>1.4219999999999999</v>
      </c>
      <c r="AE11" s="74">
        <f t="shared" si="0"/>
        <v>1.532</v>
      </c>
      <c r="AF11" s="74">
        <f t="shared" si="0"/>
        <v>1.2769999999999999</v>
      </c>
      <c r="AG11" s="74">
        <f t="shared" si="0"/>
        <v>1.444</v>
      </c>
      <c r="AH11" s="74">
        <f t="shared" si="0"/>
        <v>1.5580000000000001</v>
      </c>
      <c r="AI11" s="74">
        <f t="shared" si="0"/>
        <v>1.653</v>
      </c>
      <c r="AJ11" s="74">
        <f t="shared" si="0"/>
        <v>1.609</v>
      </c>
      <c r="AK11" s="74">
        <f t="shared" si="0"/>
        <v>1.7749999999999999</v>
      </c>
      <c r="AL11" s="74">
        <f t="shared" si="0"/>
        <v>1.7749999999999999</v>
      </c>
      <c r="AM11" s="74">
        <f t="shared" si="0"/>
        <v>1.8080000000000001</v>
      </c>
      <c r="AN11" s="74">
        <f t="shared" si="0"/>
        <v>1.7749999999999999</v>
      </c>
      <c r="AO11" s="74">
        <f t="shared" si="0"/>
        <v>1.786</v>
      </c>
      <c r="AP11" s="74">
        <f t="shared" si="0"/>
        <v>1.631</v>
      </c>
      <c r="AQ11" s="74">
        <f t="shared" si="0"/>
        <v>1.631</v>
      </c>
      <c r="AR11" s="74">
        <f t="shared" si="0"/>
        <v>1.556</v>
      </c>
      <c r="AS11" s="74">
        <f t="shared" si="0"/>
        <v>1.5429999999999999</v>
      </c>
      <c r="AT11" s="74">
        <f t="shared" si="0"/>
        <v>1.337</v>
      </c>
      <c r="AU11" s="74">
        <f t="shared" si="0"/>
        <v>1.2350000000000001</v>
      </c>
      <c r="AV11" s="74">
        <f t="shared" si="0"/>
        <v>1.141</v>
      </c>
      <c r="AW11" s="74">
        <f t="shared" si="0"/>
        <v>1.25</v>
      </c>
      <c r="AX11" s="74">
        <f t="shared" si="0"/>
        <v>1.2569999999999999</v>
      </c>
      <c r="AY11" s="74">
        <f t="shared" si="0"/>
        <v>1.4</v>
      </c>
      <c r="AZ11" s="74">
        <f t="shared" si="0"/>
        <v>1.4330000000000001</v>
      </c>
      <c r="BA11" s="74">
        <f t="shared" si="0"/>
        <v>1.4810000000000001</v>
      </c>
      <c r="BB11" s="74">
        <f t="shared" si="0"/>
        <v>1.488</v>
      </c>
      <c r="BC11" s="74">
        <f t="shared" si="0"/>
        <v>1.488</v>
      </c>
      <c r="BD11" s="74">
        <f t="shared" si="0"/>
        <v>1.5009999999999999</v>
      </c>
      <c r="BE11" s="74">
        <f t="shared" si="0"/>
        <v>1.5229999999999999</v>
      </c>
      <c r="BF11" s="74">
        <f t="shared" si="0"/>
        <v>1.532</v>
      </c>
      <c r="BG11" s="74">
        <f t="shared" si="0"/>
        <v>1.532</v>
      </c>
      <c r="BH11" s="74">
        <f t="shared" si="0"/>
        <v>1.532</v>
      </c>
      <c r="BI11" s="74">
        <f t="shared" si="0"/>
        <v>1.5389999999999999</v>
      </c>
      <c r="BJ11" s="74">
        <f t="shared" si="0"/>
        <v>1.5429999999999999</v>
      </c>
      <c r="BK11" s="74">
        <f t="shared" si="0"/>
        <v>1.51</v>
      </c>
      <c r="BL11" s="74">
        <f t="shared" si="0"/>
        <v>1.4810000000000001</v>
      </c>
      <c r="BM11" s="74">
        <f t="shared" si="0"/>
        <v>1.369</v>
      </c>
      <c r="BN11" s="74">
        <f t="shared" si="0"/>
        <v>1.2789999999999999</v>
      </c>
      <c r="BO11" s="74">
        <f t="shared" si="0"/>
        <v>1.2110000000000001</v>
      </c>
      <c r="BP11" s="74">
        <f t="shared" si="0"/>
        <v>1.1779999999999999</v>
      </c>
      <c r="BQ11" s="74">
        <f t="shared" si="0"/>
        <v>1.1559999999999999</v>
      </c>
      <c r="BR11" s="74">
        <f t="shared" si="0"/>
        <v>1.1240000000000001</v>
      </c>
      <c r="BS11" s="74">
        <f t="shared" si="0"/>
        <v>1.1240000000000001</v>
      </c>
      <c r="BT11" s="74">
        <f t="shared" si="0"/>
        <v>1.1240000000000001</v>
      </c>
      <c r="BU11" s="74">
        <f t="shared" si="0"/>
        <v>1.0580000000000001</v>
      </c>
      <c r="BV11" s="74">
        <f t="shared" ref="BV11:EG11" si="1">$F$11*BV8</f>
        <v>0.999</v>
      </c>
      <c r="BW11" s="74">
        <f t="shared" si="1"/>
        <v>0.96799999999999997</v>
      </c>
      <c r="BX11" s="74">
        <f t="shared" si="1"/>
        <v>0.95899999999999996</v>
      </c>
      <c r="BY11" s="74">
        <f t="shared" si="1"/>
        <v>0.95899999999999996</v>
      </c>
      <c r="BZ11" s="74">
        <f t="shared" si="1"/>
        <v>0.93899999999999995</v>
      </c>
      <c r="CA11" s="74">
        <f t="shared" si="1"/>
        <v>0.92600000000000005</v>
      </c>
      <c r="CB11" s="74">
        <f t="shared" si="1"/>
        <v>0.92600000000000005</v>
      </c>
      <c r="CC11" s="74">
        <f t="shared" si="1"/>
        <v>0.89300000000000002</v>
      </c>
      <c r="CD11" s="74">
        <f t="shared" si="1"/>
        <v>0.88300000000000001</v>
      </c>
      <c r="CE11" s="74">
        <f t="shared" si="1"/>
        <v>0.92400000000000004</v>
      </c>
      <c r="CF11" s="74">
        <f t="shared" si="1"/>
        <v>0.92900000000000005</v>
      </c>
      <c r="CG11" s="74">
        <f t="shared" si="1"/>
        <v>0.92900000000000005</v>
      </c>
      <c r="CH11" s="74">
        <f t="shared" si="1"/>
        <v>0.93500000000000005</v>
      </c>
      <c r="CI11" s="74">
        <f t="shared" si="1"/>
        <v>0.95499999999999996</v>
      </c>
      <c r="CJ11" s="74">
        <f t="shared" si="1"/>
        <v>0.95899999999999996</v>
      </c>
      <c r="CK11" s="74">
        <f t="shared" si="1"/>
        <v>0.95899999999999996</v>
      </c>
      <c r="CL11" s="74">
        <f t="shared" si="1"/>
        <v>0.95899999999999996</v>
      </c>
      <c r="CM11" s="74">
        <f t="shared" si="1"/>
        <v>0.95899999999999996</v>
      </c>
      <c r="CN11" s="74">
        <f t="shared" si="1"/>
        <v>0.95899999999999996</v>
      </c>
      <c r="CO11" s="74">
        <f t="shared" si="1"/>
        <v>0.93200000000000005</v>
      </c>
      <c r="CP11" s="74">
        <f t="shared" si="1"/>
        <v>0.89300000000000002</v>
      </c>
      <c r="CQ11" s="74">
        <f t="shared" si="1"/>
        <v>0.90600000000000003</v>
      </c>
      <c r="CR11" s="74">
        <f t="shared" si="1"/>
        <v>0.92600000000000005</v>
      </c>
      <c r="CS11" s="74">
        <f t="shared" si="1"/>
        <v>0.94399999999999995</v>
      </c>
      <c r="CT11" s="74" t="e" vm="2">
        <f t="shared" si="1"/>
        <v>#VALUE!</v>
      </c>
      <c r="CU11" s="74" t="e" vm="2">
        <f t="shared" si="1"/>
        <v>#VALUE!</v>
      </c>
      <c r="CV11" s="74" t="e" vm="2">
        <f t="shared" si="1"/>
        <v>#VALUE!</v>
      </c>
      <c r="CW11" s="74" t="e" vm="2">
        <f t="shared" si="1"/>
        <v>#VALUE!</v>
      </c>
      <c r="CX11" s="74" t="e" vm="2">
        <f t="shared" si="1"/>
        <v>#VALUE!</v>
      </c>
      <c r="CY11" s="74" t="e" vm="2">
        <f t="shared" si="1"/>
        <v>#VALUE!</v>
      </c>
      <c r="CZ11" s="74" t="e" vm="2">
        <f t="shared" si="1"/>
        <v>#VALUE!</v>
      </c>
      <c r="DA11" s="74" t="e" vm="2">
        <f t="shared" si="1"/>
        <v>#VALUE!</v>
      </c>
      <c r="DB11" s="74">
        <f t="shared" si="1"/>
        <v>0</v>
      </c>
      <c r="DC11" s="74">
        <f t="shared" si="1"/>
        <v>0</v>
      </c>
      <c r="DD11" s="74">
        <f t="shared" si="1"/>
        <v>0</v>
      </c>
      <c r="DE11" s="74">
        <f t="shared" si="1"/>
        <v>0</v>
      </c>
      <c r="DF11" s="74">
        <f t="shared" si="1"/>
        <v>0</v>
      </c>
      <c r="DG11" s="74">
        <f t="shared" si="1"/>
        <v>0</v>
      </c>
      <c r="DH11" s="74">
        <f t="shared" si="1"/>
        <v>0</v>
      </c>
      <c r="DI11" s="74">
        <f t="shared" si="1"/>
        <v>0</v>
      </c>
      <c r="DJ11" s="74">
        <f t="shared" si="1"/>
        <v>0</v>
      </c>
      <c r="DK11" s="74">
        <f t="shared" si="1"/>
        <v>0</v>
      </c>
      <c r="DL11" s="74">
        <f t="shared" si="1"/>
        <v>0</v>
      </c>
      <c r="DM11" s="74">
        <f t="shared" si="1"/>
        <v>0</v>
      </c>
      <c r="DN11" s="74">
        <f t="shared" si="1"/>
        <v>0</v>
      </c>
      <c r="DO11" s="74">
        <f t="shared" si="1"/>
        <v>0</v>
      </c>
      <c r="DP11" s="74">
        <f t="shared" si="1"/>
        <v>0</v>
      </c>
      <c r="DQ11" s="74">
        <f t="shared" si="1"/>
        <v>0</v>
      </c>
      <c r="DR11" s="74">
        <f t="shared" si="1"/>
        <v>0</v>
      </c>
      <c r="DS11" s="74">
        <f t="shared" si="1"/>
        <v>0</v>
      </c>
      <c r="DT11" s="74">
        <f t="shared" si="1"/>
        <v>0</v>
      </c>
      <c r="DU11" s="74">
        <f t="shared" si="1"/>
        <v>0</v>
      </c>
      <c r="DV11" s="74">
        <f t="shared" si="1"/>
        <v>0</v>
      </c>
      <c r="DW11" s="74">
        <f t="shared" si="1"/>
        <v>0</v>
      </c>
      <c r="DX11" s="74">
        <f t="shared" si="1"/>
        <v>0</v>
      </c>
      <c r="DY11" s="74">
        <f t="shared" si="1"/>
        <v>0</v>
      </c>
      <c r="DZ11" s="74">
        <f t="shared" si="1"/>
        <v>0</v>
      </c>
      <c r="EA11" s="74">
        <f t="shared" si="1"/>
        <v>0</v>
      </c>
      <c r="EB11" s="74">
        <f t="shared" si="1"/>
        <v>0</v>
      </c>
      <c r="EC11" s="74">
        <f t="shared" si="1"/>
        <v>0</v>
      </c>
      <c r="ED11" s="74">
        <f t="shared" si="1"/>
        <v>0</v>
      </c>
      <c r="EE11" s="74">
        <f t="shared" si="1"/>
        <v>0</v>
      </c>
      <c r="EF11" s="74">
        <f t="shared" si="1"/>
        <v>0</v>
      </c>
      <c r="EG11" s="74">
        <f t="shared" si="1"/>
        <v>0</v>
      </c>
      <c r="EH11" s="74">
        <f t="shared" ref="EH11:EW11" si="2">$F$11*EH8</f>
        <v>0</v>
      </c>
      <c r="EI11" s="74">
        <f t="shared" si="2"/>
        <v>0</v>
      </c>
      <c r="EJ11" s="74">
        <f t="shared" si="2"/>
        <v>0</v>
      </c>
      <c r="EK11" s="74">
        <f t="shared" si="2"/>
        <v>0</v>
      </c>
      <c r="EL11" s="74">
        <f t="shared" si="2"/>
        <v>0</v>
      </c>
      <c r="EM11" s="74">
        <f t="shared" si="2"/>
        <v>0</v>
      </c>
      <c r="EN11" s="74">
        <f t="shared" si="2"/>
        <v>0</v>
      </c>
      <c r="EO11" s="74">
        <f t="shared" si="2"/>
        <v>0</v>
      </c>
      <c r="EP11" s="74">
        <f t="shared" si="2"/>
        <v>0</v>
      </c>
      <c r="EQ11" s="74">
        <f t="shared" si="2"/>
        <v>0</v>
      </c>
      <c r="ER11" s="74">
        <f t="shared" si="2"/>
        <v>0</v>
      </c>
      <c r="ES11" s="74">
        <f t="shared" si="2"/>
        <v>0</v>
      </c>
      <c r="ET11" s="74">
        <f t="shared" si="2"/>
        <v>0</v>
      </c>
      <c r="EU11" s="74">
        <f t="shared" si="2"/>
        <v>0</v>
      </c>
      <c r="EV11" s="74">
        <f t="shared" si="2"/>
        <v>0</v>
      </c>
      <c r="EW11" s="74">
        <f t="shared" si="2"/>
        <v>0</v>
      </c>
    </row>
    <row r="12" spans="1:153">
      <c r="A12" s="67"/>
      <c r="B12" s="100"/>
      <c r="D12" s="77"/>
      <c r="F12" s="65"/>
      <c r="I12" s="74"/>
      <c r="J12" s="74"/>
      <c r="K12" s="74"/>
      <c r="L12" s="74"/>
      <c r="M12" s="74"/>
      <c r="N12" s="74"/>
      <c r="O12" s="74"/>
      <c r="P12" s="74"/>
      <c r="Q12" s="74"/>
      <c r="R12" s="74"/>
      <c r="S12" s="74"/>
      <c r="T12" s="74"/>
      <c r="U12" s="74"/>
      <c r="V12" s="74"/>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c r="BL12" s="74"/>
      <c r="BM12" s="74"/>
      <c r="BN12" s="74"/>
      <c r="BO12" s="74"/>
      <c r="BP12" s="74"/>
      <c r="BQ12" s="74"/>
      <c r="BR12" s="74"/>
      <c r="BS12" s="74"/>
      <c r="BT12" s="74"/>
      <c r="BU12" s="74"/>
      <c r="BV12" s="74"/>
      <c r="BW12" s="74"/>
      <c r="BX12" s="74"/>
      <c r="BY12" s="74"/>
      <c r="BZ12" s="74"/>
      <c r="CA12" s="74"/>
      <c r="CB12" s="74"/>
      <c r="CC12" s="74"/>
      <c r="CD12" s="74"/>
      <c r="CE12" s="74"/>
      <c r="CF12" s="74"/>
      <c r="CG12" s="74"/>
      <c r="CH12" s="74"/>
      <c r="CI12" s="74"/>
      <c r="CJ12" s="74"/>
      <c r="CK12" s="74"/>
      <c r="CL12" s="74"/>
      <c r="CM12" s="74"/>
      <c r="CN12" s="74"/>
      <c r="CO12" s="74"/>
      <c r="CP12" s="74"/>
      <c r="CQ12" s="74"/>
      <c r="CR12" s="74"/>
    </row>
    <row r="13" spans="1:153" s="104" customFormat="1">
      <c r="H13" s="104" t="s">
        <v>799</v>
      </c>
      <c r="I13" s="105">
        <f>SUM(I11:I11)</f>
        <v>0</v>
      </c>
      <c r="J13" s="105">
        <f t="shared" ref="J13:BU13" si="3">SUM(J11:J11)</f>
        <v>0</v>
      </c>
      <c r="K13" s="105">
        <f t="shared" si="3"/>
        <v>0</v>
      </c>
      <c r="L13" s="105">
        <f t="shared" si="3"/>
        <v>0</v>
      </c>
      <c r="M13" s="105">
        <f t="shared" si="3"/>
        <v>0</v>
      </c>
      <c r="N13" s="105">
        <f t="shared" si="3"/>
        <v>0</v>
      </c>
      <c r="O13" s="105">
        <f t="shared" si="3"/>
        <v>0</v>
      </c>
      <c r="P13" s="105">
        <f t="shared" si="3"/>
        <v>0</v>
      </c>
      <c r="Q13" s="105">
        <f t="shared" si="3"/>
        <v>0</v>
      </c>
      <c r="R13" s="105">
        <f t="shared" si="3"/>
        <v>0</v>
      </c>
      <c r="S13" s="105">
        <f t="shared" si="3"/>
        <v>0</v>
      </c>
      <c r="T13" s="105">
        <f t="shared" si="3"/>
        <v>0.83799999999999997</v>
      </c>
      <c r="U13" s="105">
        <f t="shared" si="3"/>
        <v>0.93700000000000006</v>
      </c>
      <c r="V13" s="105">
        <f t="shared" si="3"/>
        <v>0.97</v>
      </c>
      <c r="W13" s="105">
        <f t="shared" si="3"/>
        <v>1.0755999999999999</v>
      </c>
      <c r="X13" s="105">
        <f t="shared" si="3"/>
        <v>1.224</v>
      </c>
      <c r="Y13" s="105">
        <f t="shared" si="3"/>
        <v>1.1881999999999999</v>
      </c>
      <c r="Z13" s="105">
        <f t="shared" si="3"/>
        <v>1.2569999999999999</v>
      </c>
      <c r="AA13" s="105">
        <f t="shared" si="3"/>
        <v>1.3076000000000001</v>
      </c>
      <c r="AB13" s="105">
        <f t="shared" si="3"/>
        <v>1.444</v>
      </c>
      <c r="AC13" s="105">
        <f t="shared" si="3"/>
        <v>1.5209999999999999</v>
      </c>
      <c r="AD13" s="105">
        <f t="shared" si="3"/>
        <v>1.4219999999999999</v>
      </c>
      <c r="AE13" s="105">
        <f t="shared" si="3"/>
        <v>1.532</v>
      </c>
      <c r="AF13" s="105">
        <f t="shared" si="3"/>
        <v>1.2769999999999999</v>
      </c>
      <c r="AG13" s="105">
        <f t="shared" si="3"/>
        <v>1.444</v>
      </c>
      <c r="AH13" s="105">
        <f t="shared" si="3"/>
        <v>1.5580000000000001</v>
      </c>
      <c r="AI13" s="105">
        <f t="shared" si="3"/>
        <v>1.653</v>
      </c>
      <c r="AJ13" s="105">
        <f t="shared" si="3"/>
        <v>1.609</v>
      </c>
      <c r="AK13" s="105">
        <f t="shared" si="3"/>
        <v>1.7749999999999999</v>
      </c>
      <c r="AL13" s="105">
        <f t="shared" si="3"/>
        <v>1.7749999999999999</v>
      </c>
      <c r="AM13" s="105">
        <f t="shared" si="3"/>
        <v>1.8080000000000001</v>
      </c>
      <c r="AN13" s="105">
        <f t="shared" si="3"/>
        <v>1.7749999999999999</v>
      </c>
      <c r="AO13" s="105">
        <f t="shared" si="3"/>
        <v>1.786</v>
      </c>
      <c r="AP13" s="105">
        <f t="shared" si="3"/>
        <v>1.631</v>
      </c>
      <c r="AQ13" s="105">
        <f t="shared" si="3"/>
        <v>1.631</v>
      </c>
      <c r="AR13" s="105">
        <f t="shared" si="3"/>
        <v>1.556</v>
      </c>
      <c r="AS13" s="105">
        <f t="shared" si="3"/>
        <v>1.5429999999999999</v>
      </c>
      <c r="AT13" s="105">
        <f t="shared" si="3"/>
        <v>1.337</v>
      </c>
      <c r="AU13" s="105">
        <f t="shared" si="3"/>
        <v>1.2350000000000001</v>
      </c>
      <c r="AV13" s="105">
        <f t="shared" si="3"/>
        <v>1.141</v>
      </c>
      <c r="AW13" s="105">
        <f t="shared" si="3"/>
        <v>1.25</v>
      </c>
      <c r="AX13" s="105">
        <f t="shared" si="3"/>
        <v>1.2569999999999999</v>
      </c>
      <c r="AY13" s="105">
        <f t="shared" si="3"/>
        <v>1.4</v>
      </c>
      <c r="AZ13" s="105">
        <f t="shared" si="3"/>
        <v>1.4330000000000001</v>
      </c>
      <c r="BA13" s="105">
        <f t="shared" si="3"/>
        <v>1.4810000000000001</v>
      </c>
      <c r="BB13" s="105">
        <f t="shared" si="3"/>
        <v>1.488</v>
      </c>
      <c r="BC13" s="105">
        <f t="shared" si="3"/>
        <v>1.488</v>
      </c>
      <c r="BD13" s="105">
        <f t="shared" si="3"/>
        <v>1.5009999999999999</v>
      </c>
      <c r="BE13" s="105">
        <f t="shared" si="3"/>
        <v>1.5229999999999999</v>
      </c>
      <c r="BF13" s="105">
        <f t="shared" si="3"/>
        <v>1.532</v>
      </c>
      <c r="BG13" s="105">
        <f t="shared" si="3"/>
        <v>1.532</v>
      </c>
      <c r="BH13" s="105">
        <f t="shared" si="3"/>
        <v>1.532</v>
      </c>
      <c r="BI13" s="105">
        <f t="shared" si="3"/>
        <v>1.5389999999999999</v>
      </c>
      <c r="BJ13" s="105">
        <f t="shared" si="3"/>
        <v>1.5429999999999999</v>
      </c>
      <c r="BK13" s="105">
        <f t="shared" si="3"/>
        <v>1.51</v>
      </c>
      <c r="BL13" s="105">
        <f t="shared" si="3"/>
        <v>1.4810000000000001</v>
      </c>
      <c r="BM13" s="105">
        <f t="shared" si="3"/>
        <v>1.369</v>
      </c>
      <c r="BN13" s="105">
        <f t="shared" si="3"/>
        <v>1.2789999999999999</v>
      </c>
      <c r="BO13" s="105">
        <f t="shared" si="3"/>
        <v>1.2110000000000001</v>
      </c>
      <c r="BP13" s="105">
        <f t="shared" si="3"/>
        <v>1.1779999999999999</v>
      </c>
      <c r="BQ13" s="105">
        <f t="shared" si="3"/>
        <v>1.1559999999999999</v>
      </c>
      <c r="BR13" s="105">
        <f t="shared" si="3"/>
        <v>1.1240000000000001</v>
      </c>
      <c r="BS13" s="105">
        <f t="shared" si="3"/>
        <v>1.1240000000000001</v>
      </c>
      <c r="BT13" s="105">
        <f t="shared" si="3"/>
        <v>1.1240000000000001</v>
      </c>
      <c r="BU13" s="105">
        <f t="shared" si="3"/>
        <v>1.0580000000000001</v>
      </c>
      <c r="BV13" s="105">
        <f t="shared" ref="BV13:CR13" si="4">SUM(BV11:BV11)</f>
        <v>0.999</v>
      </c>
      <c r="BW13" s="105">
        <f t="shared" si="4"/>
        <v>0.96799999999999997</v>
      </c>
      <c r="BX13" s="105">
        <f t="shared" si="4"/>
        <v>0.95899999999999996</v>
      </c>
      <c r="BY13" s="105">
        <f t="shared" si="4"/>
        <v>0.95899999999999996</v>
      </c>
      <c r="BZ13" s="105">
        <f t="shared" si="4"/>
        <v>0.93899999999999995</v>
      </c>
      <c r="CA13" s="105">
        <f t="shared" si="4"/>
        <v>0.92600000000000005</v>
      </c>
      <c r="CB13" s="105">
        <f t="shared" si="4"/>
        <v>0.92600000000000005</v>
      </c>
      <c r="CC13" s="105">
        <f t="shared" si="4"/>
        <v>0.89300000000000002</v>
      </c>
      <c r="CD13" s="105">
        <f t="shared" si="4"/>
        <v>0.88300000000000001</v>
      </c>
      <c r="CE13" s="105">
        <f t="shared" si="4"/>
        <v>0.92400000000000004</v>
      </c>
      <c r="CF13" s="105">
        <f t="shared" si="4"/>
        <v>0.92900000000000005</v>
      </c>
      <c r="CG13" s="105">
        <f t="shared" si="4"/>
        <v>0.92900000000000005</v>
      </c>
      <c r="CH13" s="105">
        <f t="shared" si="4"/>
        <v>0.93500000000000005</v>
      </c>
      <c r="CI13" s="105">
        <f t="shared" si="4"/>
        <v>0.95499999999999996</v>
      </c>
      <c r="CJ13" s="105">
        <f t="shared" si="4"/>
        <v>0.95899999999999996</v>
      </c>
      <c r="CK13" s="105">
        <f t="shared" si="4"/>
        <v>0.95899999999999996</v>
      </c>
      <c r="CL13" s="105">
        <f t="shared" si="4"/>
        <v>0.95899999999999996</v>
      </c>
      <c r="CM13" s="105">
        <f t="shared" si="4"/>
        <v>0.95899999999999996</v>
      </c>
      <c r="CN13" s="105">
        <f t="shared" si="4"/>
        <v>0.95899999999999996</v>
      </c>
      <c r="CO13" s="105">
        <f t="shared" si="4"/>
        <v>0.93200000000000005</v>
      </c>
      <c r="CP13" s="105">
        <f t="shared" si="4"/>
        <v>0.89300000000000002</v>
      </c>
      <c r="CQ13" s="105">
        <f t="shared" si="4"/>
        <v>0.90600000000000003</v>
      </c>
      <c r="CR13" s="105">
        <f t="shared" si="4"/>
        <v>0.92600000000000005</v>
      </c>
    </row>
    <row r="14" spans="1:153" s="104" customFormat="1" hidden="1">
      <c r="H14" s="60"/>
      <c r="I14" s="105"/>
      <c r="J14" s="105"/>
      <c r="K14" s="105"/>
      <c r="L14" s="105"/>
      <c r="M14" s="105"/>
      <c r="N14" s="105"/>
      <c r="O14" s="105"/>
      <c r="P14" s="105"/>
      <c r="Q14" s="105"/>
      <c r="R14" s="105"/>
      <c r="S14" s="105"/>
      <c r="T14" s="105"/>
      <c r="U14" s="105"/>
      <c r="V14" s="105"/>
      <c r="W14" s="105"/>
      <c r="X14" s="105"/>
      <c r="Y14" s="105"/>
      <c r="Z14" s="105"/>
      <c r="AA14" s="105"/>
      <c r="AB14" s="105"/>
      <c r="AC14" s="105"/>
      <c r="AD14" s="105"/>
      <c r="AE14" s="105"/>
      <c r="AF14" s="105"/>
      <c r="AG14" s="105"/>
      <c r="AH14" s="105"/>
      <c r="AI14" s="105"/>
      <c r="AJ14" s="105"/>
      <c r="AK14" s="105"/>
      <c r="AL14" s="105"/>
      <c r="AM14" s="105"/>
      <c r="AN14" s="105"/>
      <c r="AO14" s="105"/>
      <c r="AP14" s="105"/>
      <c r="AQ14" s="105"/>
      <c r="AR14" s="105"/>
      <c r="AS14" s="105"/>
      <c r="AT14" s="105"/>
      <c r="AU14" s="105"/>
      <c r="AV14" s="105"/>
      <c r="AW14" s="105"/>
      <c r="AX14" s="105"/>
      <c r="AY14" s="105"/>
      <c r="AZ14" s="105"/>
      <c r="BA14" s="105"/>
      <c r="BB14" s="105"/>
      <c r="BC14" s="105"/>
      <c r="BD14" s="105"/>
      <c r="BE14" s="105"/>
      <c r="BF14" s="105"/>
      <c r="BG14" s="105"/>
      <c r="BH14" s="105"/>
      <c r="BI14" s="105"/>
      <c r="BJ14" s="105"/>
      <c r="BK14" s="105"/>
      <c r="BL14" s="105"/>
      <c r="BM14" s="105"/>
      <c r="BN14" s="105"/>
      <c r="BO14" s="105"/>
      <c r="BP14" s="105"/>
      <c r="BQ14" s="105"/>
      <c r="BR14" s="105"/>
      <c r="BS14" s="105"/>
      <c r="BT14" s="105"/>
      <c r="BU14" s="105"/>
      <c r="BV14" s="105"/>
      <c r="BW14" s="105"/>
      <c r="BX14" s="105"/>
      <c r="BY14" s="105"/>
      <c r="BZ14" s="105"/>
      <c r="CA14" s="105"/>
      <c r="CB14" s="105"/>
      <c r="CC14" s="105"/>
      <c r="CD14" s="105"/>
      <c r="CE14" s="105"/>
      <c r="CF14" s="105"/>
      <c r="CG14" s="105"/>
      <c r="CH14" s="105"/>
      <c r="CI14" s="105"/>
      <c r="CJ14" s="105"/>
      <c r="CK14" s="105"/>
      <c r="CL14" s="105"/>
      <c r="CM14" s="105"/>
      <c r="CN14" s="105"/>
      <c r="CO14" s="105"/>
      <c r="CP14" s="105"/>
      <c r="CQ14" s="105"/>
      <c r="CR14" s="105"/>
    </row>
    <row r="15" spans="1:153">
      <c r="H15" s="60" t="s">
        <v>429</v>
      </c>
      <c r="I15" s="74"/>
      <c r="J15" s="74"/>
      <c r="K15" s="74"/>
      <c r="L15" s="74"/>
      <c r="M15" s="74"/>
      <c r="N15" s="74"/>
      <c r="O15" s="74"/>
      <c r="P15" s="74">
        <v>2.4500000000000002</v>
      </c>
      <c r="Q15" s="74">
        <f>187/70</f>
        <v>2.6714285714285713</v>
      </c>
      <c r="R15" s="74">
        <f>187/70</f>
        <v>2.6714285714285713</v>
      </c>
      <c r="S15" s="74"/>
      <c r="T15" s="74"/>
      <c r="U15" s="74"/>
      <c r="V15" s="74"/>
      <c r="W15" s="74"/>
      <c r="X15" s="74"/>
      <c r="Y15" s="74"/>
      <c r="Z15" s="74"/>
      <c r="AA15" s="74"/>
      <c r="AB15" s="74"/>
      <c r="AC15" s="74">
        <v>3.55</v>
      </c>
      <c r="AD15" s="74"/>
      <c r="AE15" s="74">
        <v>3.55</v>
      </c>
      <c r="AF15" s="74"/>
      <c r="AG15" s="74"/>
      <c r="AH15" s="74"/>
      <c r="AI15" s="74"/>
      <c r="AK15" s="74"/>
      <c r="AL15" s="74"/>
      <c r="AM15" s="74">
        <v>3.6</v>
      </c>
      <c r="AN15" s="74">
        <v>3.5</v>
      </c>
      <c r="AO15" s="74"/>
      <c r="AP15" s="74"/>
      <c r="AQ15" s="74"/>
      <c r="AR15" s="74">
        <v>3.5</v>
      </c>
      <c r="AS15" s="74"/>
      <c r="AT15" s="74"/>
      <c r="AU15" s="74"/>
      <c r="AV15" s="74"/>
      <c r="AW15" s="74"/>
      <c r="AX15" s="74"/>
      <c r="AY15" s="74"/>
      <c r="AZ15" s="74">
        <v>2.5499999999999998</v>
      </c>
      <c r="BA15" s="74"/>
      <c r="BB15" s="74"/>
      <c r="BC15" s="74"/>
      <c r="BD15" s="74"/>
      <c r="BE15" s="74"/>
      <c r="BF15" s="74"/>
      <c r="BG15" s="74"/>
      <c r="BH15" s="74">
        <v>2.52</v>
      </c>
      <c r="BI15" s="74"/>
      <c r="BJ15" s="74"/>
      <c r="BK15" s="74"/>
      <c r="BL15" s="74"/>
      <c r="BM15" s="74"/>
      <c r="BN15" s="74"/>
      <c r="BO15" s="74"/>
      <c r="BP15" s="74"/>
      <c r="BQ15" s="74"/>
      <c r="BR15" s="74"/>
      <c r="BS15" s="74"/>
      <c r="BT15" s="74">
        <v>2.44</v>
      </c>
      <c r="BU15" s="74"/>
      <c r="BV15" s="74"/>
      <c r="BW15" s="74"/>
      <c r="BX15" s="74">
        <v>2.44</v>
      </c>
      <c r="BY15" s="74"/>
      <c r="BZ15" s="74"/>
      <c r="CA15" s="74"/>
      <c r="CB15" s="74"/>
      <c r="CC15" s="74"/>
      <c r="CD15" s="74"/>
      <c r="CE15" s="74"/>
      <c r="CF15" s="74"/>
      <c r="CG15" s="74"/>
      <c r="CH15" s="74"/>
      <c r="CI15" s="74"/>
      <c r="CJ15" s="74"/>
      <c r="CK15" s="74"/>
      <c r="CL15" s="74"/>
      <c r="CM15" s="74"/>
      <c r="CN15" s="74"/>
      <c r="CO15" s="74"/>
      <c r="CP15" s="74"/>
      <c r="CQ15" s="74"/>
      <c r="CR15" s="74"/>
    </row>
    <row r="16" spans="1:153">
      <c r="H16" s="60" t="s">
        <v>406</v>
      </c>
      <c r="I16" s="74"/>
      <c r="J16" s="74"/>
      <c r="K16" s="74"/>
      <c r="L16" s="74"/>
      <c r="M16" s="74"/>
      <c r="N16" s="74"/>
      <c r="O16" s="74"/>
      <c r="P16" s="74">
        <f>P15-P13</f>
        <v>2.4500000000000002</v>
      </c>
      <c r="Q16" s="74">
        <f>Q15-Q13</f>
        <v>2.6714285714285713</v>
      </c>
      <c r="R16" s="74">
        <f>R15-R13</f>
        <v>2.6714285714285713</v>
      </c>
      <c r="S16" s="74"/>
      <c r="T16" s="74"/>
      <c r="U16" s="74"/>
      <c r="V16" s="74"/>
      <c r="W16" s="74"/>
      <c r="X16" s="74"/>
      <c r="Y16" s="74"/>
      <c r="Z16" s="74"/>
      <c r="AA16" s="74"/>
      <c r="AB16" s="74"/>
      <c r="AC16" s="74">
        <f>AC15-AC13</f>
        <v>2.0289999999999999</v>
      </c>
      <c r="AD16" s="74"/>
      <c r="AE16" s="74">
        <f>AE15-AE13</f>
        <v>2.0179999999999998</v>
      </c>
      <c r="AF16" s="74"/>
      <c r="AG16" s="74"/>
      <c r="AH16" s="74"/>
      <c r="AI16" s="74"/>
      <c r="AK16" s="74"/>
      <c r="AL16" s="74"/>
      <c r="AM16" s="74">
        <f>AM15-AM13</f>
        <v>1.792</v>
      </c>
      <c r="AN16" s="74">
        <f>AN15-AN13</f>
        <v>1.7250000000000001</v>
      </c>
      <c r="AO16" s="74"/>
      <c r="AP16" s="74"/>
      <c r="AQ16" s="74"/>
      <c r="AR16" s="74">
        <f>AR15-AR13</f>
        <v>1.944</v>
      </c>
      <c r="AS16" s="74"/>
      <c r="AT16" s="74"/>
      <c r="AU16" s="74"/>
      <c r="AV16" s="74"/>
      <c r="AW16" s="74"/>
      <c r="AX16" s="74"/>
      <c r="AY16" s="74"/>
      <c r="AZ16" s="74">
        <f>AZ15-AZ13</f>
        <v>1.1169999999999998</v>
      </c>
      <c r="BA16" s="74"/>
      <c r="BB16" s="74"/>
      <c r="BC16" s="74"/>
      <c r="BD16" s="74"/>
      <c r="BE16" s="74"/>
      <c r="BF16" s="74"/>
      <c r="BG16" s="74"/>
      <c r="BH16" s="74">
        <f>BH15-BH13</f>
        <v>0.98799999999999999</v>
      </c>
      <c r="BI16" s="74"/>
      <c r="BJ16" s="74"/>
      <c r="BK16" s="74"/>
      <c r="BL16" s="74"/>
      <c r="BM16" s="74"/>
      <c r="BN16" s="74"/>
      <c r="BO16" s="74"/>
      <c r="BP16" s="74"/>
      <c r="BQ16" s="74"/>
      <c r="BR16" s="74"/>
      <c r="BS16" s="74"/>
      <c r="BT16" s="74">
        <f>BT15-BT13</f>
        <v>1.3159999999999998</v>
      </c>
      <c r="BU16" s="74"/>
      <c r="BV16" s="74"/>
      <c r="BW16" s="74"/>
      <c r="BX16" s="74">
        <f>BX15-BX13</f>
        <v>1.4809999999999999</v>
      </c>
      <c r="BY16" s="74"/>
      <c r="BZ16" s="74"/>
      <c r="CA16" s="74"/>
      <c r="CB16" s="74"/>
      <c r="CC16" s="74"/>
      <c r="CD16" s="74"/>
      <c r="CE16" s="74"/>
      <c r="CF16" s="74"/>
      <c r="CG16" s="74"/>
      <c r="CH16" s="74"/>
      <c r="CI16" s="74"/>
      <c r="CJ16" s="74"/>
      <c r="CK16" s="74"/>
      <c r="CL16" s="74"/>
      <c r="CM16" s="74"/>
      <c r="CN16" s="74"/>
      <c r="CO16" s="74"/>
      <c r="CP16" s="74"/>
      <c r="CQ16" s="74"/>
      <c r="CR16" s="74"/>
    </row>
    <row r="18" spans="8:152" ht="13" thickBot="1"/>
    <row r="19" spans="8:152" s="73" customFormat="1" ht="13" thickBot="1">
      <c r="H19" s="257" t="s">
        <v>800</v>
      </c>
      <c r="I19" s="258">
        <f>0.99+I13</f>
        <v>0.99</v>
      </c>
      <c r="J19" s="258">
        <f t="shared" ref="J19:BU19" si="5">0.99+J13</f>
        <v>0.99</v>
      </c>
      <c r="K19" s="258">
        <f t="shared" si="5"/>
        <v>0.99</v>
      </c>
      <c r="L19" s="258">
        <f t="shared" si="5"/>
        <v>0.99</v>
      </c>
      <c r="M19" s="258">
        <f t="shared" si="5"/>
        <v>0.99</v>
      </c>
      <c r="N19" s="258">
        <f t="shared" si="5"/>
        <v>0.99</v>
      </c>
      <c r="O19" s="258">
        <f t="shared" si="5"/>
        <v>0.99</v>
      </c>
      <c r="P19" s="258">
        <f t="shared" si="5"/>
        <v>0.99</v>
      </c>
      <c r="Q19" s="258">
        <f t="shared" si="5"/>
        <v>0.99</v>
      </c>
      <c r="R19" s="258">
        <f t="shared" si="5"/>
        <v>0.99</v>
      </c>
      <c r="S19" s="258">
        <f t="shared" si="5"/>
        <v>0.99</v>
      </c>
      <c r="T19" s="258">
        <f t="shared" si="5"/>
        <v>1.8279999999999998</v>
      </c>
      <c r="U19" s="258">
        <f t="shared" si="5"/>
        <v>1.927</v>
      </c>
      <c r="V19" s="258">
        <f t="shared" si="5"/>
        <v>1.96</v>
      </c>
      <c r="W19" s="258">
        <f t="shared" si="5"/>
        <v>2.0655999999999999</v>
      </c>
      <c r="X19" s="258">
        <f t="shared" si="5"/>
        <v>2.214</v>
      </c>
      <c r="Y19" s="258">
        <f t="shared" si="5"/>
        <v>2.1781999999999999</v>
      </c>
      <c r="Z19" s="258">
        <f t="shared" si="5"/>
        <v>2.2469999999999999</v>
      </c>
      <c r="AA19" s="258">
        <f t="shared" si="5"/>
        <v>2.2976000000000001</v>
      </c>
      <c r="AB19" s="258">
        <f t="shared" si="5"/>
        <v>2.4340000000000002</v>
      </c>
      <c r="AC19" s="258">
        <f t="shared" si="5"/>
        <v>2.5110000000000001</v>
      </c>
      <c r="AD19" s="258">
        <f t="shared" si="5"/>
        <v>2.4119999999999999</v>
      </c>
      <c r="AE19" s="258">
        <f t="shared" si="5"/>
        <v>2.5220000000000002</v>
      </c>
      <c r="AF19" s="258">
        <f t="shared" si="5"/>
        <v>2.2669999999999999</v>
      </c>
      <c r="AG19" s="258">
        <f t="shared" si="5"/>
        <v>2.4340000000000002</v>
      </c>
      <c r="AH19" s="258">
        <f t="shared" si="5"/>
        <v>2.548</v>
      </c>
      <c r="AI19" s="258">
        <f t="shared" si="5"/>
        <v>2.6429999999999998</v>
      </c>
      <c r="AJ19" s="258">
        <f t="shared" si="5"/>
        <v>2.5990000000000002</v>
      </c>
      <c r="AK19" s="258">
        <f t="shared" si="5"/>
        <v>2.7649999999999997</v>
      </c>
      <c r="AL19" s="258">
        <f t="shared" si="5"/>
        <v>2.7649999999999997</v>
      </c>
      <c r="AM19" s="258">
        <f t="shared" si="5"/>
        <v>2.798</v>
      </c>
      <c r="AN19" s="258">
        <f t="shared" si="5"/>
        <v>2.7649999999999997</v>
      </c>
      <c r="AO19" s="258">
        <f t="shared" si="5"/>
        <v>2.7759999999999998</v>
      </c>
      <c r="AP19" s="258">
        <f t="shared" si="5"/>
        <v>2.621</v>
      </c>
      <c r="AQ19" s="258">
        <f t="shared" si="5"/>
        <v>2.621</v>
      </c>
      <c r="AR19" s="258">
        <f t="shared" si="5"/>
        <v>2.5460000000000003</v>
      </c>
      <c r="AS19" s="258">
        <f t="shared" si="5"/>
        <v>2.5329999999999999</v>
      </c>
      <c r="AT19" s="258">
        <f t="shared" si="5"/>
        <v>2.327</v>
      </c>
      <c r="AU19" s="258">
        <f t="shared" si="5"/>
        <v>2.2250000000000001</v>
      </c>
      <c r="AV19" s="258">
        <f t="shared" si="5"/>
        <v>2.1310000000000002</v>
      </c>
      <c r="AW19" s="258">
        <f t="shared" si="5"/>
        <v>2.2400000000000002</v>
      </c>
      <c r="AX19" s="258">
        <f t="shared" si="5"/>
        <v>2.2469999999999999</v>
      </c>
      <c r="AY19" s="258">
        <f t="shared" si="5"/>
        <v>2.3899999999999997</v>
      </c>
      <c r="AZ19" s="258">
        <f t="shared" si="5"/>
        <v>2.423</v>
      </c>
      <c r="BA19" s="258">
        <f t="shared" si="5"/>
        <v>2.4710000000000001</v>
      </c>
      <c r="BB19" s="258">
        <f t="shared" si="5"/>
        <v>2.4779999999999998</v>
      </c>
      <c r="BC19" s="258">
        <f t="shared" si="5"/>
        <v>2.4779999999999998</v>
      </c>
      <c r="BD19" s="258">
        <f t="shared" si="5"/>
        <v>2.4909999999999997</v>
      </c>
      <c r="BE19" s="258">
        <f t="shared" si="5"/>
        <v>2.5129999999999999</v>
      </c>
      <c r="BF19" s="258">
        <f t="shared" si="5"/>
        <v>2.5220000000000002</v>
      </c>
      <c r="BG19" s="258">
        <f t="shared" si="5"/>
        <v>2.5220000000000002</v>
      </c>
      <c r="BH19" s="258">
        <f t="shared" si="5"/>
        <v>2.5220000000000002</v>
      </c>
      <c r="BI19" s="258">
        <f t="shared" si="5"/>
        <v>2.5289999999999999</v>
      </c>
      <c r="BJ19" s="258">
        <f t="shared" si="5"/>
        <v>2.5329999999999999</v>
      </c>
      <c r="BK19" s="258">
        <f t="shared" si="5"/>
        <v>2.5</v>
      </c>
      <c r="BL19" s="258">
        <f t="shared" si="5"/>
        <v>2.4710000000000001</v>
      </c>
      <c r="BM19" s="258">
        <f t="shared" si="5"/>
        <v>2.359</v>
      </c>
      <c r="BN19" s="258">
        <f t="shared" si="5"/>
        <v>2.2690000000000001</v>
      </c>
      <c r="BO19" s="258">
        <f t="shared" si="5"/>
        <v>2.2010000000000001</v>
      </c>
      <c r="BP19" s="258">
        <f t="shared" si="5"/>
        <v>2.1680000000000001</v>
      </c>
      <c r="BQ19" s="258">
        <f t="shared" si="5"/>
        <v>2.1459999999999999</v>
      </c>
      <c r="BR19" s="258">
        <f t="shared" si="5"/>
        <v>2.1139999999999999</v>
      </c>
      <c r="BS19" s="258">
        <f t="shared" si="5"/>
        <v>2.1139999999999999</v>
      </c>
      <c r="BT19" s="258">
        <f t="shared" si="5"/>
        <v>2.1139999999999999</v>
      </c>
      <c r="BU19" s="258">
        <f t="shared" si="5"/>
        <v>2.048</v>
      </c>
      <c r="BV19" s="258">
        <f t="shared" ref="BV19:EG19" si="6">0.99+BV13</f>
        <v>1.9889999999999999</v>
      </c>
      <c r="BW19" s="258">
        <f t="shared" si="6"/>
        <v>1.958</v>
      </c>
      <c r="BX19" s="258">
        <f t="shared" si="6"/>
        <v>1.9489999999999998</v>
      </c>
      <c r="BY19" s="258">
        <f t="shared" si="6"/>
        <v>1.9489999999999998</v>
      </c>
      <c r="BZ19" s="258">
        <f t="shared" si="6"/>
        <v>1.9289999999999998</v>
      </c>
      <c r="CA19" s="258">
        <f t="shared" si="6"/>
        <v>1.9159999999999999</v>
      </c>
      <c r="CB19" s="258">
        <f t="shared" si="6"/>
        <v>1.9159999999999999</v>
      </c>
      <c r="CC19" s="258">
        <f t="shared" si="6"/>
        <v>1.883</v>
      </c>
      <c r="CD19" s="258">
        <f t="shared" si="6"/>
        <v>1.873</v>
      </c>
      <c r="CE19" s="258">
        <f t="shared" si="6"/>
        <v>1.9140000000000001</v>
      </c>
      <c r="CF19" s="258">
        <f t="shared" si="6"/>
        <v>1.919</v>
      </c>
      <c r="CG19" s="258">
        <f t="shared" si="6"/>
        <v>1.919</v>
      </c>
      <c r="CH19" s="258">
        <f t="shared" si="6"/>
        <v>1.925</v>
      </c>
      <c r="CI19" s="258">
        <f t="shared" si="6"/>
        <v>1.9449999999999998</v>
      </c>
      <c r="CJ19" s="258">
        <f t="shared" si="6"/>
        <v>1.9489999999999998</v>
      </c>
      <c r="CK19" s="258">
        <f t="shared" si="6"/>
        <v>1.9489999999999998</v>
      </c>
      <c r="CL19" s="258">
        <f t="shared" si="6"/>
        <v>1.9489999999999998</v>
      </c>
      <c r="CM19" s="258">
        <f t="shared" si="6"/>
        <v>1.9489999999999998</v>
      </c>
      <c r="CN19" s="258">
        <f t="shared" si="6"/>
        <v>1.9489999999999998</v>
      </c>
      <c r="CO19" s="258">
        <f t="shared" si="6"/>
        <v>1.9220000000000002</v>
      </c>
      <c r="CP19" s="258">
        <f t="shared" si="6"/>
        <v>1.883</v>
      </c>
      <c r="CQ19" s="258">
        <f t="shared" si="6"/>
        <v>1.8959999999999999</v>
      </c>
      <c r="CR19" s="258">
        <f t="shared" si="6"/>
        <v>1.9159999999999999</v>
      </c>
      <c r="CS19" s="258">
        <f t="shared" si="6"/>
        <v>0.99</v>
      </c>
      <c r="CT19" s="258">
        <f t="shared" si="6"/>
        <v>0.99</v>
      </c>
      <c r="CU19" s="258">
        <f t="shared" si="6"/>
        <v>0.99</v>
      </c>
      <c r="CV19" s="258">
        <f t="shared" si="6"/>
        <v>0.99</v>
      </c>
      <c r="CW19" s="258">
        <f t="shared" si="6"/>
        <v>0.99</v>
      </c>
      <c r="CX19" s="258">
        <f t="shared" si="6"/>
        <v>0.99</v>
      </c>
      <c r="CY19" s="258">
        <f t="shared" si="6"/>
        <v>0.99</v>
      </c>
      <c r="CZ19" s="258">
        <f t="shared" si="6"/>
        <v>0.99</v>
      </c>
      <c r="DA19" s="258">
        <f t="shared" si="6"/>
        <v>0.99</v>
      </c>
      <c r="DB19" s="258">
        <f t="shared" si="6"/>
        <v>0.99</v>
      </c>
      <c r="DC19" s="258">
        <f t="shared" si="6"/>
        <v>0.99</v>
      </c>
      <c r="DD19" s="258">
        <f t="shared" si="6"/>
        <v>0.99</v>
      </c>
      <c r="DE19" s="258">
        <f t="shared" si="6"/>
        <v>0.99</v>
      </c>
      <c r="DF19" s="258">
        <f t="shared" si="6"/>
        <v>0.99</v>
      </c>
      <c r="DG19" s="258">
        <f t="shared" si="6"/>
        <v>0.99</v>
      </c>
      <c r="DH19" s="258">
        <f t="shared" si="6"/>
        <v>0.99</v>
      </c>
      <c r="DI19" s="258">
        <f t="shared" si="6"/>
        <v>0.99</v>
      </c>
      <c r="DJ19" s="258">
        <f t="shared" si="6"/>
        <v>0.99</v>
      </c>
      <c r="DK19" s="258">
        <f t="shared" si="6"/>
        <v>0.99</v>
      </c>
      <c r="DL19" s="258">
        <f t="shared" si="6"/>
        <v>0.99</v>
      </c>
      <c r="DM19" s="258">
        <f t="shared" si="6"/>
        <v>0.99</v>
      </c>
      <c r="DN19" s="258">
        <f t="shared" si="6"/>
        <v>0.99</v>
      </c>
      <c r="DO19" s="258">
        <f t="shared" si="6"/>
        <v>0.99</v>
      </c>
      <c r="DP19" s="258">
        <f t="shared" si="6"/>
        <v>0.99</v>
      </c>
      <c r="DQ19" s="258">
        <f t="shared" si="6"/>
        <v>0.99</v>
      </c>
      <c r="DR19" s="258">
        <f t="shared" si="6"/>
        <v>0.99</v>
      </c>
      <c r="DS19" s="258">
        <f t="shared" si="6"/>
        <v>0.99</v>
      </c>
      <c r="DT19" s="258">
        <f t="shared" si="6"/>
        <v>0.99</v>
      </c>
      <c r="DU19" s="258">
        <f t="shared" si="6"/>
        <v>0.99</v>
      </c>
      <c r="DV19" s="258">
        <f t="shared" si="6"/>
        <v>0.99</v>
      </c>
      <c r="DW19" s="258">
        <f t="shared" si="6"/>
        <v>0.99</v>
      </c>
      <c r="DX19" s="258">
        <f t="shared" si="6"/>
        <v>0.99</v>
      </c>
      <c r="DY19" s="258">
        <f t="shared" si="6"/>
        <v>0.99</v>
      </c>
      <c r="DZ19" s="258">
        <f t="shared" si="6"/>
        <v>0.99</v>
      </c>
      <c r="EA19" s="258">
        <f t="shared" si="6"/>
        <v>0.99</v>
      </c>
      <c r="EB19" s="258">
        <f t="shared" si="6"/>
        <v>0.99</v>
      </c>
      <c r="EC19" s="258">
        <f t="shared" si="6"/>
        <v>0.99</v>
      </c>
      <c r="ED19" s="258">
        <f t="shared" si="6"/>
        <v>0.99</v>
      </c>
      <c r="EE19" s="258">
        <f t="shared" si="6"/>
        <v>0.99</v>
      </c>
      <c r="EF19" s="258">
        <f t="shared" si="6"/>
        <v>0.99</v>
      </c>
      <c r="EG19" s="258">
        <f t="shared" si="6"/>
        <v>0.99</v>
      </c>
      <c r="EH19" s="258">
        <f t="shared" ref="EH19:EV19" si="7">0.99+EH13</f>
        <v>0.99</v>
      </c>
      <c r="EI19" s="258">
        <f t="shared" si="7"/>
        <v>0.99</v>
      </c>
      <c r="EJ19" s="258">
        <f t="shared" si="7"/>
        <v>0.99</v>
      </c>
      <c r="EK19" s="258">
        <f t="shared" si="7"/>
        <v>0.99</v>
      </c>
      <c r="EL19" s="258">
        <f t="shared" si="7"/>
        <v>0.99</v>
      </c>
      <c r="EM19" s="258">
        <f t="shared" si="7"/>
        <v>0.99</v>
      </c>
      <c r="EN19" s="258">
        <f t="shared" si="7"/>
        <v>0.99</v>
      </c>
      <c r="EO19" s="258">
        <f t="shared" si="7"/>
        <v>0.99</v>
      </c>
      <c r="EP19" s="258">
        <f t="shared" si="7"/>
        <v>0.99</v>
      </c>
      <c r="EQ19" s="258">
        <f t="shared" si="7"/>
        <v>0.99</v>
      </c>
      <c r="ER19" s="258">
        <f t="shared" si="7"/>
        <v>0.99</v>
      </c>
      <c r="ES19" s="258">
        <f t="shared" si="7"/>
        <v>0.99</v>
      </c>
      <c r="ET19" s="258">
        <f t="shared" si="7"/>
        <v>0.99</v>
      </c>
      <c r="EU19" s="258">
        <f t="shared" si="7"/>
        <v>0.99</v>
      </c>
      <c r="EV19" s="258">
        <f t="shared" si="7"/>
        <v>0.99</v>
      </c>
    </row>
  </sheetData>
  <pageMargins left="0.7" right="0.7" top="0.75" bottom="0.75" header="0.3" footer="0.3"/>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ES19"/>
  <sheetViews>
    <sheetView workbookViewId="0">
      <pane xSplit="11" ySplit="7" topLeftCell="AP8" activePane="bottomRight" state="frozen"/>
      <selection pane="topRight" activeCell="L1" sqref="L1"/>
      <selection pane="bottomLeft" activeCell="A7" sqref="A7"/>
      <selection pane="bottomRight" activeCell="AY8" sqref="AY8"/>
    </sheetView>
  </sheetViews>
  <sheetFormatPr baseColWidth="10" defaultColWidth="22.6640625" defaultRowHeight="12"/>
  <cols>
    <col min="1" max="1" width="13.5" style="60" bestFit="1" customWidth="1"/>
    <col min="2" max="2" width="11.33203125" style="60" bestFit="1" customWidth="1"/>
    <col min="3" max="3" width="4.83203125" style="60" bestFit="1" customWidth="1"/>
    <col min="4" max="4" width="12.33203125" style="60" bestFit="1" customWidth="1"/>
    <col min="5" max="5" width="11.83203125" style="60" bestFit="1" customWidth="1"/>
    <col min="6" max="6" width="6" style="60" bestFit="1" customWidth="1"/>
    <col min="7" max="7" width="4.1640625" style="60" bestFit="1" customWidth="1"/>
    <col min="8" max="8" width="22.83203125" style="60" bestFit="1" customWidth="1"/>
    <col min="9" max="11" width="6.1640625" style="60" bestFit="1" customWidth="1"/>
    <col min="12" max="12" width="5.5" style="60" bestFit="1" customWidth="1"/>
    <col min="13" max="13" width="5.83203125" style="60" bestFit="1" customWidth="1"/>
    <col min="14" max="18" width="5.5" style="60" bestFit="1" customWidth="1"/>
    <col min="19" max="19" width="5.6640625" style="60" bestFit="1" customWidth="1"/>
    <col min="20" max="20" width="5.5" style="60" bestFit="1" customWidth="1"/>
    <col min="21" max="51" width="6.1640625" style="60" bestFit="1" customWidth="1"/>
    <col min="52" max="54" width="7" style="60" bestFit="1" customWidth="1"/>
    <col min="55" max="55" width="6.1640625" style="60" bestFit="1" customWidth="1"/>
    <col min="56" max="56" width="11.83203125" style="60" bestFit="1" customWidth="1"/>
    <col min="57" max="60" width="6.1640625" style="60" bestFit="1" customWidth="1"/>
    <col min="61" max="61" width="11.83203125" style="60" bestFit="1" customWidth="1"/>
    <col min="62" max="63" width="6.1640625" style="60" bestFit="1" customWidth="1"/>
    <col min="64" max="64" width="11.83203125" style="60" bestFit="1" customWidth="1"/>
    <col min="65" max="67" width="6.1640625" style="60" bestFit="1" customWidth="1"/>
    <col min="68" max="68" width="11.83203125" style="60" bestFit="1" customWidth="1"/>
    <col min="69" max="71" width="6.1640625" style="60" bestFit="1" customWidth="1"/>
    <col min="72" max="72" width="11.83203125" style="60" bestFit="1" customWidth="1"/>
    <col min="73" max="74" width="6.1640625" style="60" bestFit="1" customWidth="1"/>
    <col min="75" max="75" width="11.83203125" style="60" bestFit="1" customWidth="1"/>
    <col min="76" max="79" width="6.1640625" style="60" bestFit="1" customWidth="1"/>
    <col min="80" max="80" width="11.83203125" style="60" bestFit="1" customWidth="1"/>
    <col min="81" max="82" width="6.1640625" style="60" bestFit="1" customWidth="1"/>
    <col min="83" max="83" width="11.83203125" style="60" bestFit="1" customWidth="1"/>
    <col min="84" max="86" width="6.1640625" style="60" bestFit="1" customWidth="1"/>
    <col min="87" max="87" width="10.83203125" style="60" bestFit="1" customWidth="1"/>
    <col min="88" max="90" width="6.1640625" style="60" bestFit="1" customWidth="1"/>
    <col min="91" max="91" width="6.33203125" style="60" bestFit="1" customWidth="1"/>
    <col min="92" max="92" width="11.83203125" style="60" bestFit="1" customWidth="1"/>
    <col min="93" max="95" width="6.33203125" style="60" bestFit="1" customWidth="1"/>
    <col min="96" max="96" width="11.83203125" style="60" bestFit="1" customWidth="1"/>
    <col min="97" max="101" width="6.1640625" style="60" bestFit="1" customWidth="1"/>
    <col min="102" max="103" width="5.1640625" style="60" bestFit="1" customWidth="1"/>
    <col min="104" max="104" width="5.83203125" style="60" bestFit="1" customWidth="1"/>
    <col min="105" max="105" width="6.1640625" style="60" bestFit="1" customWidth="1"/>
    <col min="106" max="107" width="5.83203125" style="60" bestFit="1" customWidth="1"/>
    <col min="108" max="115" width="5.6640625" style="60" bestFit="1" customWidth="1"/>
    <col min="116" max="119" width="6.1640625" style="60" bestFit="1" customWidth="1"/>
    <col min="120" max="123" width="5.83203125" style="60" bestFit="1" customWidth="1"/>
    <col min="124" max="149" width="5.1640625" style="60" bestFit="1" customWidth="1"/>
    <col min="150" max="16384" width="22.6640625" style="60"/>
  </cols>
  <sheetData>
    <row r="1" spans="1:149" ht="13">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c r="EM1" s="99">
        <v>141</v>
      </c>
      <c r="EN1" s="99">
        <v>142</v>
      </c>
      <c r="EO1" s="99">
        <v>143</v>
      </c>
      <c r="EP1" s="99">
        <v>144</v>
      </c>
      <c r="EQ1" s="99">
        <v>145</v>
      </c>
      <c r="ER1" s="99">
        <v>146</v>
      </c>
    </row>
    <row r="2" spans="1:149">
      <c r="A2" s="59"/>
      <c r="B2" s="59"/>
      <c r="C2" s="59"/>
      <c r="D2" s="98"/>
      <c r="E2" s="98"/>
      <c r="F2" s="59"/>
      <c r="H2" s="99"/>
      <c r="I2" s="99"/>
      <c r="J2" s="99"/>
      <c r="K2" s="99"/>
      <c r="L2" s="99"/>
      <c r="M2" s="99"/>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99"/>
      <c r="AP2" s="99"/>
      <c r="AQ2" s="99"/>
      <c r="AR2" s="99"/>
      <c r="AS2" s="99"/>
      <c r="AT2" s="99"/>
      <c r="AU2" s="99"/>
      <c r="AV2" s="99"/>
      <c r="AW2" s="99"/>
      <c r="AX2" s="99"/>
      <c r="AY2" s="99"/>
      <c r="AZ2" s="99"/>
      <c r="BA2" s="99"/>
      <c r="BB2" s="99"/>
      <c r="BC2" s="99"/>
      <c r="BD2" s="99"/>
      <c r="BE2" s="99"/>
      <c r="BF2" s="99"/>
      <c r="BG2" s="99"/>
      <c r="BH2" s="99"/>
      <c r="BI2" s="99"/>
      <c r="BJ2" s="99"/>
      <c r="BK2" s="99"/>
      <c r="BL2" s="99"/>
      <c r="BM2" s="99"/>
      <c r="BN2" s="99"/>
      <c r="BO2" s="99"/>
      <c r="BP2" s="99"/>
      <c r="BQ2" s="99"/>
      <c r="BR2" s="99"/>
      <c r="BS2" s="99"/>
      <c r="BT2" s="99"/>
      <c r="BU2" s="99"/>
      <c r="BV2" s="99"/>
      <c r="BW2" s="99"/>
      <c r="BX2" s="99"/>
      <c r="BY2" s="99"/>
      <c r="BZ2" s="99"/>
      <c r="CA2" s="99"/>
      <c r="CB2" s="99"/>
      <c r="CC2" s="99"/>
      <c r="CD2" s="99"/>
      <c r="CE2" s="99"/>
      <c r="CF2" s="99"/>
      <c r="CG2" s="99"/>
      <c r="CH2" s="99"/>
      <c r="CI2" s="99"/>
      <c r="CJ2" s="99"/>
      <c r="CK2" s="99"/>
      <c r="CL2" s="99"/>
      <c r="CM2" s="99"/>
      <c r="CN2" s="99"/>
    </row>
    <row r="3" spans="1:149" ht="15">
      <c r="A3" t="s">
        <v>314</v>
      </c>
      <c r="B3" s="100"/>
      <c r="C3" s="101"/>
      <c r="D3" s="282">
        <v>44.05</v>
      </c>
      <c r="K3" s="102"/>
      <c r="M3" s="102"/>
    </row>
    <row r="4" spans="1:149">
      <c r="A4" s="36"/>
      <c r="B4" s="64"/>
      <c r="D4" s="100"/>
      <c r="E4" s="64"/>
      <c r="F4" s="103"/>
    </row>
    <row r="5" spans="1:149">
      <c r="A5" s="64"/>
      <c r="B5" s="64"/>
      <c r="D5" s="64"/>
      <c r="E5" s="64"/>
      <c r="H5" s="60" t="s">
        <v>387</v>
      </c>
    </row>
    <row r="6" spans="1:149">
      <c r="A6" s="74"/>
      <c r="B6" s="74"/>
    </row>
    <row r="7" spans="1:149">
      <c r="A7" s="59"/>
      <c r="B7" s="59"/>
      <c r="C7" s="59"/>
      <c r="D7" s="98"/>
      <c r="E7" s="98"/>
      <c r="F7" s="59"/>
      <c r="H7" s="59" t="s">
        <v>416</v>
      </c>
      <c r="I7" s="59">
        <v>43831</v>
      </c>
      <c r="J7" s="59">
        <v>43862</v>
      </c>
      <c r="K7" s="59">
        <v>43891</v>
      </c>
      <c r="L7" s="59">
        <v>43922</v>
      </c>
      <c r="M7" s="59">
        <v>43952</v>
      </c>
      <c r="N7" s="59">
        <v>43983</v>
      </c>
      <c r="O7" s="59">
        <v>44013</v>
      </c>
      <c r="P7" s="59">
        <v>44044</v>
      </c>
      <c r="Q7" s="59">
        <v>44075</v>
      </c>
      <c r="R7" s="59">
        <v>44105</v>
      </c>
      <c r="S7" s="59">
        <v>44136</v>
      </c>
      <c r="T7" s="59">
        <v>44166</v>
      </c>
      <c r="U7" s="59">
        <v>44197</v>
      </c>
      <c r="V7" s="59">
        <v>44228</v>
      </c>
      <c r="W7" s="59">
        <v>44256</v>
      </c>
      <c r="X7" s="59">
        <v>44287</v>
      </c>
      <c r="Y7" s="59">
        <v>44317</v>
      </c>
      <c r="Z7" s="59">
        <v>44348</v>
      </c>
      <c r="AA7" s="59">
        <v>44378</v>
      </c>
      <c r="AB7" s="59">
        <v>44409</v>
      </c>
      <c r="AC7" s="59">
        <v>44440</v>
      </c>
      <c r="AD7" s="59">
        <v>44470</v>
      </c>
      <c r="AE7" s="59">
        <v>44501</v>
      </c>
      <c r="AF7" s="59">
        <v>44531</v>
      </c>
      <c r="AG7" s="59">
        <v>44562</v>
      </c>
      <c r="AH7" s="59">
        <v>44593</v>
      </c>
      <c r="AI7" s="59">
        <v>44621</v>
      </c>
      <c r="AJ7" s="59">
        <v>44652</v>
      </c>
      <c r="AK7" s="59">
        <v>44682</v>
      </c>
      <c r="AL7" s="59">
        <v>44713</v>
      </c>
      <c r="AM7" s="59">
        <v>44743</v>
      </c>
      <c r="AN7" s="59">
        <v>44774</v>
      </c>
      <c r="AO7" s="59">
        <v>44805</v>
      </c>
      <c r="AP7" s="59">
        <v>44835</v>
      </c>
      <c r="AQ7" s="59">
        <v>44866</v>
      </c>
      <c r="AR7" s="59">
        <v>44896</v>
      </c>
      <c r="AS7" s="59">
        <v>44927</v>
      </c>
      <c r="AT7" s="59">
        <v>44958</v>
      </c>
      <c r="AU7" s="59">
        <v>44986</v>
      </c>
      <c r="AV7" s="59">
        <v>45017</v>
      </c>
      <c r="AW7" s="59">
        <v>45047</v>
      </c>
      <c r="AX7" s="59">
        <v>45078</v>
      </c>
      <c r="AY7" s="59">
        <v>45108</v>
      </c>
      <c r="AZ7" s="59" t="s">
        <v>530</v>
      </c>
      <c r="BA7" s="59" t="s">
        <v>531</v>
      </c>
      <c r="BB7" s="59" t="s">
        <v>532</v>
      </c>
      <c r="BC7" s="59">
        <v>37104</v>
      </c>
      <c r="BD7" s="59">
        <v>37469</v>
      </c>
      <c r="BE7" s="59" t="s">
        <v>168</v>
      </c>
      <c r="BF7" s="59" t="s">
        <v>169</v>
      </c>
      <c r="BG7" s="59" t="s">
        <v>195</v>
      </c>
      <c r="BH7" s="59" t="s">
        <v>196</v>
      </c>
      <c r="BI7" s="59" t="s">
        <v>197</v>
      </c>
      <c r="BJ7" s="59" t="s">
        <v>198</v>
      </c>
      <c r="BK7" s="59" t="s">
        <v>199</v>
      </c>
      <c r="BL7" s="59" t="s">
        <v>200</v>
      </c>
      <c r="BM7" s="59" t="s">
        <v>201</v>
      </c>
      <c r="BN7" s="59" t="s">
        <v>202</v>
      </c>
      <c r="BO7" s="59">
        <v>37196</v>
      </c>
      <c r="BP7" s="59">
        <v>37561</v>
      </c>
      <c r="BQ7" s="59">
        <v>37926</v>
      </c>
      <c r="BR7" s="59">
        <v>38292</v>
      </c>
      <c r="BS7" s="59">
        <v>37226</v>
      </c>
      <c r="BT7" s="59">
        <v>37591</v>
      </c>
      <c r="BU7" s="59">
        <v>37956</v>
      </c>
      <c r="BV7" s="59">
        <v>38322</v>
      </c>
      <c r="BW7" s="59">
        <v>36892</v>
      </c>
      <c r="BX7" s="59">
        <v>37257</v>
      </c>
      <c r="BY7" s="59">
        <v>37622</v>
      </c>
      <c r="BZ7" s="59">
        <v>37987</v>
      </c>
      <c r="CA7" s="59">
        <v>36923</v>
      </c>
      <c r="CB7" s="59">
        <v>37288</v>
      </c>
      <c r="CC7" s="59">
        <v>37653</v>
      </c>
      <c r="CD7" s="59">
        <v>38018</v>
      </c>
      <c r="CE7" s="59" t="str">
        <f>Sheet8!A15</f>
        <v>Mar-w1</v>
      </c>
      <c r="CF7" s="59">
        <v>37316</v>
      </c>
      <c r="CG7" s="59">
        <v>37681</v>
      </c>
      <c r="CH7" s="59">
        <v>38047</v>
      </c>
      <c r="CI7" s="59" t="str">
        <f>Sheet8!E15</f>
        <v>Apr-w1</v>
      </c>
      <c r="CJ7" s="59" t="str">
        <f>Sheet8!F15</f>
        <v>Apr-w2</v>
      </c>
      <c r="CK7" s="59" t="str">
        <f>Sheet8!G15</f>
        <v>Apr-w3</v>
      </c>
      <c r="CL7" s="59" t="str">
        <f>Sheet8!H15</f>
        <v>Apr-w4</v>
      </c>
      <c r="CM7" s="59" t="str">
        <f>Sheet8!I15</f>
        <v>May-w1</v>
      </c>
      <c r="CN7" s="59" t="str">
        <f>Sheet8!J15</f>
        <v>May-w2</v>
      </c>
      <c r="CO7" s="59" t="str">
        <f>Sheet8!K15</f>
        <v>May-w3</v>
      </c>
      <c r="CP7" s="59" t="str">
        <f>Sheet8!L15</f>
        <v>May-w4</v>
      </c>
      <c r="CQ7" s="59" t="str">
        <f>Sheet8!M15</f>
        <v>May-w5</v>
      </c>
      <c r="CR7" s="59" t="str">
        <f>Sheet8!N15</f>
        <v>june-w1</v>
      </c>
      <c r="CS7" s="59" t="str">
        <f>Sheet8!O15</f>
        <v>june-w2</v>
      </c>
      <c r="CT7" s="59" t="str">
        <f>Sheet8!P15</f>
        <v>june-w3</v>
      </c>
      <c r="CU7" s="59" t="str">
        <f>Sheet8!Q15</f>
        <v>june-w4</v>
      </c>
      <c r="CV7" s="59" t="str">
        <f>Sheet8!R15</f>
        <v>Jul-w1</v>
      </c>
      <c r="CW7" s="59" t="str">
        <f>Sheet8!S15</f>
        <v>Jul-w2</v>
      </c>
      <c r="CX7" s="59" t="str">
        <f>Sheet8!T15</f>
        <v>Jul-w3</v>
      </c>
      <c r="CY7" s="59" t="str">
        <f>Sheet8!U15</f>
        <v>Jul-w4</v>
      </c>
      <c r="CZ7" s="59" t="str">
        <f>Sheet8!V15</f>
        <v>Aug-w1</v>
      </c>
      <c r="DA7" s="59" t="str">
        <f>Sheet8!W15</f>
        <v>Aug-w2</v>
      </c>
      <c r="DB7" s="59" t="str">
        <f>Sheet8!X15</f>
        <v>Aug-w3</v>
      </c>
      <c r="DC7" s="59" t="str">
        <f>Sheet8!Y15</f>
        <v>Aug-w4</v>
      </c>
      <c r="DD7" s="59" t="str">
        <f>Sheet8!Z15</f>
        <v>Sep-w1</v>
      </c>
      <c r="DE7" s="59" t="str">
        <f>Sheet8!AA15</f>
        <v>Sep-w2</v>
      </c>
      <c r="DF7" s="59" t="str">
        <f>Sheet8!AB15</f>
        <v>Sep-w3</v>
      </c>
      <c r="DG7" s="59" t="str">
        <f>Sheet8!AC15</f>
        <v>Sep-w4</v>
      </c>
      <c r="DH7" s="59" t="str">
        <f>Sheet8!AD15</f>
        <v>Oct-w1</v>
      </c>
      <c r="DI7" s="59" t="str">
        <f>Sheet8!AE15</f>
        <v>Oct-w2</v>
      </c>
      <c r="DJ7" s="59" t="str">
        <f>Sheet8!AF15</f>
        <v>Oct-w3</v>
      </c>
      <c r="DK7" s="59" t="str">
        <f>Sheet8!AG15</f>
        <v>Oct-w4</v>
      </c>
      <c r="DL7" s="59" t="str">
        <f>Sheet8!AH15</f>
        <v>Nov-w1</v>
      </c>
      <c r="DM7" s="59" t="str">
        <f>Sheet8!AI15</f>
        <v>Nov-w2</v>
      </c>
      <c r="DN7" s="59" t="str">
        <f>Sheet8!AJ15</f>
        <v>Nov-w3</v>
      </c>
      <c r="DO7" s="59" t="str">
        <f>Sheet8!AK15</f>
        <v>Nov-w4</v>
      </c>
      <c r="DP7" s="59" t="str">
        <f>Sheet8!AL15</f>
        <v>Dec-w1</v>
      </c>
      <c r="DQ7" s="59" t="str">
        <f>Sheet8!AM15</f>
        <v>Dec-w2</v>
      </c>
      <c r="DR7" s="59" t="str">
        <f>Sheet8!AN15</f>
        <v>Dec-w3</v>
      </c>
      <c r="DS7" s="59" t="str">
        <f>Sheet8!AO15</f>
        <v>Dec-w4</v>
      </c>
      <c r="DT7" s="59">
        <f>Sheet8!AP15</f>
        <v>0</v>
      </c>
      <c r="DU7" s="59">
        <f>Sheet8!AQ15</f>
        <v>0</v>
      </c>
      <c r="DV7" s="59">
        <f>Sheet8!AR15</f>
        <v>0</v>
      </c>
      <c r="DW7" s="59">
        <f>Sheet8!AS15</f>
        <v>0</v>
      </c>
      <c r="DX7" s="59">
        <f>Sheet8!AT15</f>
        <v>0</v>
      </c>
      <c r="DY7" s="59">
        <f>Sheet8!AU15</f>
        <v>0</v>
      </c>
      <c r="DZ7" s="59">
        <f>Sheet8!AV15</f>
        <v>0</v>
      </c>
      <c r="EA7" s="59">
        <f>Sheet8!AW15</f>
        <v>0</v>
      </c>
      <c r="EB7" s="59">
        <f>Sheet8!AX15</f>
        <v>0</v>
      </c>
      <c r="EC7" s="59">
        <f>Sheet8!AY15</f>
        <v>0</v>
      </c>
      <c r="ED7" s="59">
        <f>Sheet8!AZ15</f>
        <v>0</v>
      </c>
      <c r="EE7" s="59">
        <f>Sheet8!BA15</f>
        <v>0</v>
      </c>
      <c r="EF7" s="59">
        <f>Sheet8!BB15</f>
        <v>0</v>
      </c>
      <c r="EG7" s="59">
        <f>Sheet8!BC15</f>
        <v>0</v>
      </c>
      <c r="EH7" s="59">
        <f>Sheet8!BD15</f>
        <v>0</v>
      </c>
      <c r="EI7" s="59">
        <f>Sheet8!BE15</f>
        <v>0</v>
      </c>
      <c r="EJ7" s="59">
        <f>Sheet8!BF15</f>
        <v>0</v>
      </c>
      <c r="EK7" s="59">
        <f>Sheet8!BG15</f>
        <v>0</v>
      </c>
      <c r="EL7" s="59">
        <f>Sheet8!BH15</f>
        <v>0</v>
      </c>
      <c r="EM7" s="59">
        <f>Sheet8!BI15</f>
        <v>0</v>
      </c>
      <c r="EN7" s="59">
        <f>Sheet8!BJ15</f>
        <v>0</v>
      </c>
      <c r="EO7" s="59">
        <f>Sheet8!BK15</f>
        <v>0</v>
      </c>
      <c r="EP7" s="59">
        <f>Sheet8!BL15</f>
        <v>0</v>
      </c>
      <c r="EQ7" s="59">
        <f>Sheet8!BM15</f>
        <v>0</v>
      </c>
      <c r="ER7" s="59">
        <f>Sheet8!BN15</f>
        <v>0</v>
      </c>
      <c r="ES7" s="59">
        <f>Sheet8!BO15</f>
        <v>0</v>
      </c>
    </row>
    <row r="8" spans="1:149">
      <c r="H8" s="178" t="s">
        <v>40</v>
      </c>
      <c r="I8" s="74">
        <f>VLOOKUP($H$8&amp;$F$1,'Input RM sheet'!$A:$BD,H1,0)</f>
        <v>1077</v>
      </c>
      <c r="J8" s="74">
        <f>VLOOKUP($H$8&amp;$F$1,'Input RM sheet'!$A:$BD,I1,0)</f>
        <v>1059</v>
      </c>
      <c r="K8" s="74">
        <f>VLOOKUP($H$8&amp;$F$1,'Input RM sheet'!$A:$DD,J1,0)</f>
        <v>1019</v>
      </c>
      <c r="L8" s="74">
        <f>VLOOKUP($H$8&amp;$F$1,'Input RM sheet'!$A:$DD,K1,0)</f>
        <v>782.44</v>
      </c>
      <c r="M8" s="74">
        <f>VLOOKUP($H$8&amp;$F$1,'Input RM sheet'!$A:$DD,L1,0)</f>
        <v>677.6</v>
      </c>
      <c r="N8" s="74">
        <f>VLOOKUP($H$8&amp;$F$1,'Input RM sheet'!$A:$DD,M1,0)</f>
        <v>765.27</v>
      </c>
      <c r="O8" s="74">
        <f>VLOOKUP($H$8&amp;$F$1,'Input RM sheet'!$A:$DD,N1,0)</f>
        <v>875.28</v>
      </c>
      <c r="P8" s="74">
        <f>VLOOKUP($H$8&amp;$F$1,'Input RM sheet'!$A:$DD,O1,0)</f>
        <v>928.66</v>
      </c>
      <c r="Q8" s="74">
        <f>VLOOKUP($H$8&amp;$F$1,'Input RM sheet'!$A:$DD,P1,0)</f>
        <v>925.21</v>
      </c>
      <c r="R8" s="74">
        <f>VLOOKUP($H$8&amp;$F$1,'Input RM sheet'!$A:$DD,Q1,0)</f>
        <v>911.97</v>
      </c>
      <c r="S8" s="74">
        <f>VLOOKUP($H$8&amp;$F$1,'Input RM sheet'!$A:$DD,R1,0)</f>
        <v>918.08</v>
      </c>
      <c r="T8" s="74">
        <f>VLOOKUP($H$8&amp;$F$1,'Input RM sheet'!$A:$DD,S1,0)</f>
        <v>967.72</v>
      </c>
      <c r="U8" s="74">
        <f>VLOOKUP($H$8&amp;$F$1,'Input RM sheet'!$A:$DD,T1,0)</f>
        <v>1046</v>
      </c>
      <c r="V8" s="74">
        <f>VLOOKUP($H$8&amp;$F$1,'Input RM sheet'!$A:$DD,U1,0)</f>
        <v>1125</v>
      </c>
      <c r="W8" s="74">
        <f>VLOOKUP($H$8&amp;$F$1,'Input RM sheet'!$A:$DD,V1,0)</f>
        <v>1196</v>
      </c>
      <c r="X8" s="74">
        <f>VLOOKUP($H$8&amp;$F$1,'Input RM sheet'!$A:$DD,W1,0)</f>
        <v>1250</v>
      </c>
      <c r="Y8" s="74">
        <f>VLOOKUP($H$8&amp;$F$1,'Input RM sheet'!$A:$DD,X1,0)</f>
        <v>1275</v>
      </c>
      <c r="Z8" s="74">
        <f>VLOOKUP($H$8&amp;$F$1,'Input RM sheet'!$A:$DD,Y1,0)</f>
        <v>1300</v>
      </c>
      <c r="AA8" s="74">
        <f>VLOOKUP($H$8&amp;$F$1,'Input RM sheet'!$A:$DD,Z1,0)</f>
        <v>1325</v>
      </c>
      <c r="AB8" s="74">
        <f>VLOOKUP($H$8&amp;$F$1,'Input RM sheet'!$A:$DD,AA1,0)</f>
        <v>1381</v>
      </c>
      <c r="AC8" s="74">
        <f>VLOOKUP($H$8&amp;$F$1,'Input RM sheet'!$A:$DD,AB1,0)</f>
        <v>1371</v>
      </c>
      <c r="AD8" s="74">
        <f>VLOOKUP($H$8&amp;$F$1,'Input RM sheet'!$A:$DD,AC1,0)</f>
        <v>1380</v>
      </c>
      <c r="AE8" s="74">
        <f>VLOOKUP($H$8&amp;$F$1,'Input RM sheet'!$A:$DD,AD1,0)</f>
        <v>1462</v>
      </c>
      <c r="AF8" s="74">
        <f>VLOOKUP($H$8&amp;$F$1,'Input RM sheet'!$A:$DD,AE1,0)</f>
        <v>1439</v>
      </c>
      <c r="AG8" s="74">
        <f>VLOOKUP($H$8&amp;$F$1,'Input RM sheet'!$A:$DD,AF1,0)</f>
        <v>1441</v>
      </c>
      <c r="AH8" s="74">
        <f>VLOOKUP($H$8&amp;$F$1,'Input RM sheet'!$A:$DD,AG1,0)</f>
        <v>1520</v>
      </c>
      <c r="AI8" s="74">
        <f>VLOOKUP($H$8&amp;$F$1,'Input RM sheet'!$A:$DD,AH1,0)</f>
        <v>1579</v>
      </c>
      <c r="AJ8" s="74">
        <f>VLOOKUP($H$8&amp;$F$1,'Input RM sheet'!$A:$DD,AI1,0)</f>
        <v>1800</v>
      </c>
      <c r="AK8" s="74">
        <f>VLOOKUP($H$8&amp;$F$1,'Input RM sheet'!$A:$DD,AJ1,0)</f>
        <v>1687</v>
      </c>
      <c r="AL8" s="74">
        <f>VLOOKUP($H$8&amp;$F$1,'Input RM sheet'!$A:$DD,AK1,0)</f>
        <v>1685</v>
      </c>
      <c r="AM8" s="74">
        <f>VLOOKUP($H$8&amp;$F$1,'Input RM sheet'!$A:$DD,AL1,0)</f>
        <v>1524</v>
      </c>
      <c r="AN8" s="74">
        <f>VLOOKUP($H$8&amp;$F$1,'Input RM sheet'!$A:$DD,AM1,0)</f>
        <v>1442</v>
      </c>
      <c r="AO8" s="74">
        <f>VLOOKUP($H$8&amp;$F$1,'Input RM sheet'!$A:$DD,AN1,0)</f>
        <v>1295</v>
      </c>
      <c r="AP8" s="74">
        <f>VLOOKUP($H$8&amp;$F$1,'Input RM sheet'!$A:$DD,AO1,0)</f>
        <v>1239</v>
      </c>
      <c r="AQ8" s="74">
        <f>VLOOKUP($H$8&amp;$F$1,'Input RM sheet'!$A:$DD,AP1,0)</f>
        <v>1322</v>
      </c>
      <c r="AR8" s="74">
        <f>VLOOKUP($H$8&amp;$F$1,'Input RM sheet'!$A:$DD,AQ1,0)</f>
        <v>1345</v>
      </c>
      <c r="AS8" s="74">
        <f>VLOOKUP($H$8&amp;$F$1,'Input RM sheet'!$A:$DD,AR1,0)</f>
        <v>1267</v>
      </c>
      <c r="AT8" s="74">
        <f>VLOOKUP($H$8&amp;$F$1,'Input RM sheet'!$A:$DD,AS1,0)</f>
        <v>1348</v>
      </c>
      <c r="AU8" s="74">
        <f>VLOOKUP($H$8&amp;$F$1,'Input RM sheet'!$A:$DD,AT1,0)</f>
        <v>1381</v>
      </c>
      <c r="AV8" s="74">
        <f>VLOOKUP($H$8&amp;$F$1,'Input RM sheet'!$A:$DD,AU1,0)</f>
        <v>1374</v>
      </c>
      <c r="AW8" s="74">
        <f>VLOOKUP($H$8&amp;$F$1,'Input RM sheet'!$A:$DD,AV1,0)</f>
        <v>1349</v>
      </c>
      <c r="AX8" s="74">
        <f>VLOOKUP($H$8&amp;$F$1,'Input RM sheet'!$A:$DD,AW1,0)</f>
        <v>1254</v>
      </c>
      <c r="AY8" s="74">
        <f>VLOOKUP($H$8&amp;$F$1,'Input RM sheet'!$A:$DD,AX1,0)</f>
        <v>1254</v>
      </c>
      <c r="AZ8" s="74">
        <f>VLOOKUP($H$8&amp;$F$1,'Input RM sheet'!$A:$DD,AY1,0)</f>
        <v>1232</v>
      </c>
      <c r="BA8" s="74">
        <f>VLOOKUP($H$8&amp;$F$1,'Input RM sheet'!$A:$DD,AZ1,0)</f>
        <v>1239</v>
      </c>
      <c r="BB8" s="74">
        <f>VLOOKUP($H$8&amp;$F$1,'Input RM sheet'!$A:$DD,BA1,0)</f>
        <v>1238</v>
      </c>
      <c r="BC8" s="74">
        <f>VLOOKUP($H$8&amp;$F$1,'Input RM sheet'!$A:$DD,BB1,0)</f>
        <v>1232</v>
      </c>
      <c r="BD8" s="74">
        <f>VLOOKUP($H$8&amp;$F$1,'Input RM sheet'!$A:$DD,BC1,0)</f>
        <v>1229</v>
      </c>
      <c r="BE8" s="74">
        <f>VLOOKUP($H$8&amp;$F$1,'Input RM sheet'!$A:$DD,BD1,0)</f>
        <v>1225</v>
      </c>
      <c r="BF8" s="74">
        <f>VLOOKUP($H$8&amp;$F$1,'Input RM sheet'!$A:$DD,BE1,0)</f>
        <v>1223</v>
      </c>
      <c r="BG8" s="74">
        <f>VLOOKUP($H$8&amp;$F$1,'Input RM sheet'!$A:$DD,BF1,0)</f>
        <v>1222</v>
      </c>
      <c r="BH8" s="74">
        <f>VLOOKUP($H$8&amp;$F$1,'Input RM sheet'!$A:$DD,BG1,0)</f>
        <v>1287</v>
      </c>
      <c r="BI8" s="74">
        <f>VLOOKUP($H$8&amp;$F$1,'Input RM sheet'!$A:$DD,BH1,0)</f>
        <v>1277</v>
      </c>
      <c r="BJ8" s="74">
        <f>VLOOKUP($H$8&amp;$F$1,'Input RM sheet'!$A:$DD,BI1,0)</f>
        <v>1277</v>
      </c>
      <c r="BK8" s="74">
        <f>VLOOKUP($H$8&amp;$F$1,'Input RM sheet'!$A:$DD,BJ1,0)</f>
        <v>1277</v>
      </c>
      <c r="BL8" s="74">
        <f>VLOOKUP($H$8&amp;$F$1,'Input RM sheet'!$A:$DD,BK1,0)</f>
        <v>1330</v>
      </c>
      <c r="BM8" s="74">
        <f>VLOOKUP($H$8&amp;$F$1,'Input RM sheet'!$A:$DD,BL1,0)</f>
        <v>1331</v>
      </c>
      <c r="BN8" s="74">
        <f>VLOOKUP($H$8&amp;$F$1,'Input RM sheet'!$A:$DD,BM1,0)</f>
        <v>1331</v>
      </c>
      <c r="BO8" s="74">
        <f>VLOOKUP($H$8&amp;$F$1,'Input RM sheet'!$A:$DD,BN1,0)</f>
        <v>1332</v>
      </c>
      <c r="BP8" s="74">
        <f>VLOOKUP($H$8&amp;$F$1,'Input RM sheet'!$A:$DD,BO1,0)</f>
        <v>1299</v>
      </c>
      <c r="BQ8" s="74">
        <f>VLOOKUP($H$8&amp;$F$1,'Input RM sheet'!$A:$DD,BP1,0)</f>
        <v>1299</v>
      </c>
      <c r="BR8" s="74">
        <f>VLOOKUP($H$8&amp;$F$1,'Input RM sheet'!$A:$DD,BQ1,0)</f>
        <v>1310</v>
      </c>
      <c r="BS8" s="74">
        <f>VLOOKUP($H$8&amp;$F$1,'Input RM sheet'!$A:$DD,BR1,0)</f>
        <v>1293</v>
      </c>
      <c r="BT8" s="74">
        <f>VLOOKUP($H$8&amp;$F$1,'Input RM sheet'!$A:$DD,BS1,0)</f>
        <v>1286</v>
      </c>
      <c r="BU8" s="74">
        <f>VLOOKUP($H$8&amp;$F$1,'Input RM sheet'!$A:$DD,BT1,0)</f>
        <v>1289</v>
      </c>
      <c r="BV8" s="74">
        <f>VLOOKUP($H$8&amp;$F$1,'Input RM sheet'!$A:$DD,BU1,0)</f>
        <v>1294</v>
      </c>
      <c r="BW8" s="74">
        <f>VLOOKUP($H$8&amp;$F$1,'Input RM sheet'!$A:$DD,BV1,0)</f>
        <v>1304</v>
      </c>
      <c r="BX8" s="74">
        <f>VLOOKUP($H$8&amp;$F$1,'Input RM sheet'!$A:$DD,BW1,0)</f>
        <v>1296</v>
      </c>
      <c r="BY8" s="74">
        <f>VLOOKUP($H$8&amp;$F$1,'Input RM sheet'!$A:$DD,BX1,0)</f>
        <v>1296</v>
      </c>
      <c r="BZ8" s="74">
        <f>VLOOKUP($H$8&amp;$F$1,'Input RM sheet'!$A:$DD,BY1,0)</f>
        <v>1296</v>
      </c>
      <c r="CA8" s="74">
        <f>VLOOKUP($H$8&amp;$F$1,'Input RM sheet'!$A:$DD,BZ1,0)</f>
        <v>1296</v>
      </c>
      <c r="CB8" s="74">
        <f>VLOOKUP($H$8&amp;$F$1,'Input RM sheet'!$A:$DD,CA1,0)</f>
        <v>1296</v>
      </c>
      <c r="CC8" s="74">
        <f>VLOOKUP($H$8&amp;$F$1,'Input RM sheet'!$A:$DD,CB1,0)</f>
        <v>1284</v>
      </c>
      <c r="CD8" s="74">
        <f>VLOOKUP($H$8&amp;$F$1,'Input RM sheet'!$A:$DD,CC1,0)</f>
        <v>1284</v>
      </c>
      <c r="CE8" s="74">
        <f>VLOOKUP($H$8&amp;$F$1,'Input RM sheet'!$A:$DD,CD1,0)</f>
        <v>1327</v>
      </c>
      <c r="CF8" s="74">
        <f>VLOOKUP($H$8&amp;$F$1,'Input RM sheet'!$A:$DD,CE1,0)</f>
        <v>1327</v>
      </c>
      <c r="CG8" s="74">
        <f>VLOOKUP($H$8&amp;$F$1,'Input RM sheet'!$A:$DD,CF1,0)</f>
        <v>1329</v>
      </c>
      <c r="CH8" s="74">
        <f>VLOOKUP($H$8&amp;$F$1,'Input RM sheet'!$A:$DD,CG1,0)</f>
        <v>1326</v>
      </c>
      <c r="CI8" s="74">
        <f>VLOOKUP($H$8&amp;$F$1,'Input RM sheet'!$A:$DD,CH1,0)</f>
        <v>1356</v>
      </c>
      <c r="CJ8" s="74">
        <f>VLOOKUP($H$8&amp;$F$1,'Input RM sheet'!$A:$DD,CI1,0)</f>
        <v>1356</v>
      </c>
      <c r="CK8" s="74">
        <f>VLOOKUP($H$8&amp;$F$1,'Input RM sheet'!$A:$DD,CJ1,0)</f>
        <v>1356</v>
      </c>
      <c r="CL8" s="74">
        <f>VLOOKUP($H$8&amp;$F$1,'Input RM sheet'!$A:$DD,CK1,0)</f>
        <v>1339</v>
      </c>
      <c r="CM8" s="74">
        <f>VLOOKUP($H$8&amp;$F$1,'Input RM sheet'!$A:$DD,CL1,0)</f>
        <v>1339</v>
      </c>
      <c r="CN8" s="74">
        <f>VLOOKUP($H$8&amp;$F$1,'Input RM sheet'!$A:$DD,CM1,0)</f>
        <v>1346</v>
      </c>
      <c r="CO8" s="74">
        <f>VLOOKUP($H$8&amp;$F$1,'Input RM sheet'!$A:$DD,CN1,0)</f>
        <v>1346</v>
      </c>
      <c r="CP8" s="74">
        <f>VLOOKUP($H$8&amp;$F$1,'Input RM sheet'!$A:$DD,CO1,0)</f>
        <v>1346</v>
      </c>
      <c r="CQ8" s="74">
        <f>VLOOKUP($H$8&amp;$F$1,'Input RM sheet'!$A:$DD,CP1,0)</f>
        <v>1346</v>
      </c>
      <c r="CR8" s="74">
        <f>VLOOKUP($H$8&amp;$F$1,'Input RM sheet'!$A:$ZZ,CQ1,0)</f>
        <v>1324</v>
      </c>
      <c r="CS8" s="74">
        <f>VLOOKUP($H$8&amp;$F$1,'Input RM sheet'!$A:$ZZ,CR1,0)</f>
        <v>1314</v>
      </c>
      <c r="CT8" s="74">
        <f>VLOOKUP($H$8&amp;$F$1,'Input RM sheet'!$A:$ZZ,CS1,0)</f>
        <v>1314</v>
      </c>
      <c r="CU8" s="74">
        <f>VLOOKUP($H$8&amp;$F$1,'Input RM sheet'!$A:$ZZ,CT1,0)</f>
        <v>1309</v>
      </c>
      <c r="CV8" s="74">
        <f>VLOOKUP($H$8&amp;$F$1,'Input RM sheet'!$A:$ZZ,CU1,0)</f>
        <v>1309</v>
      </c>
      <c r="CW8" s="74">
        <f>VLOOKUP($H$8&amp;$F$1,'Input RM sheet'!$A:$ZZ,CV1,0)</f>
        <v>1319</v>
      </c>
      <c r="CX8" s="74">
        <f>VLOOKUP($H$8&amp;$F$1,'Input RM sheet'!$A:$ZZ,CW1,0)</f>
        <v>1324</v>
      </c>
      <c r="CY8" s="74">
        <f>VLOOKUP($H$8&amp;$F$1,'Input RM sheet'!$A:$ZZ,CX1,0)</f>
        <v>1324</v>
      </c>
      <c r="CZ8" s="74">
        <f>VLOOKUP($H$8&amp;$F$1,'Input RM sheet'!$A:$ZZ,CY1,0)</f>
        <v>1350</v>
      </c>
      <c r="DA8" s="74">
        <f>VLOOKUP($H$8&amp;$F$1,'Input RM sheet'!$A:$ZZ,CZ1,0)</f>
        <v>1350</v>
      </c>
      <c r="DB8" s="74">
        <f>VLOOKUP($H$8&amp;$F$1,'Input RM sheet'!$A:$ZZ,DA1,0)</f>
        <v>1357</v>
      </c>
      <c r="DC8" s="74">
        <f>VLOOKUP($H$8&amp;$F$1,'Input RM sheet'!$A:$ZZ,DB1,0)</f>
        <v>1365</v>
      </c>
      <c r="DD8" s="74">
        <f>VLOOKUP($H$8&amp;$F$1,'Input RM sheet'!$A:$ZZ,DC1,0)</f>
        <v>1346</v>
      </c>
      <c r="DE8" s="74">
        <f>VLOOKUP($H$8&amp;$F$1,'Input RM sheet'!$A:$ZZ,DD1,0)</f>
        <v>1346</v>
      </c>
      <c r="DF8" s="74">
        <f>VLOOKUP($H$8&amp;$F$1,'Input RM sheet'!$A:$ZZ,DE1,0)</f>
        <v>1346</v>
      </c>
      <c r="DG8" s="74">
        <f>VLOOKUP($H$8&amp;$F$1,'Input RM sheet'!$A:$ZZ,DF1,0)</f>
        <v>1346</v>
      </c>
      <c r="DH8" s="74">
        <f>VLOOKUP($H$8&amp;$F$1,'Input RM sheet'!$A:$ZZ,DG1,0)</f>
        <v>1311</v>
      </c>
      <c r="DI8" s="74">
        <f>VLOOKUP($H$8&amp;$F$1,'Input RM sheet'!$A:$ZZ,DH1,0)</f>
        <v>1302</v>
      </c>
      <c r="DJ8" s="74">
        <f>VLOOKUP($H$8&amp;$F$1,'Input RM sheet'!$A:$ZZ,DI1,0)</f>
        <v>1302</v>
      </c>
      <c r="DK8" s="74">
        <f>VLOOKUP($H$8&amp;$F$1,'Input RM sheet'!$A:$ZZ,DJ1,0)</f>
        <v>1290</v>
      </c>
      <c r="DL8" s="74">
        <f>VLOOKUP($H$8&amp;$F$1,'Input RM sheet'!$A:$ZZ,DK1,0)</f>
        <v>1314</v>
      </c>
      <c r="DM8" s="74">
        <f>VLOOKUP($H$8&amp;$F$1,'Input RM sheet'!$A:$ZZ,DL1,0)</f>
        <v>1310</v>
      </c>
      <c r="DN8" s="74">
        <f>VLOOKUP($H$8&amp;$F$1,'Input RM sheet'!$A:$ZZ,DM1,0)</f>
        <v>1291</v>
      </c>
      <c r="DO8" s="74">
        <f>VLOOKUP($H$8&amp;$F$1,'Input RM sheet'!$A:$ZZ,DN1,0)</f>
        <v>1288</v>
      </c>
      <c r="DP8" s="74">
        <f>VLOOKUP($H$8&amp;$F$1,'Input RM sheet'!$A:$ZZ,DO1,0)</f>
        <v>1288</v>
      </c>
      <c r="DQ8" s="74">
        <f>VLOOKUP($H$8&amp;$F$1,'Input RM sheet'!$A:$ZZ,DP1,0)</f>
        <v>1270</v>
      </c>
      <c r="DR8" s="74">
        <f>VLOOKUP($H$8&amp;$F$1,'Input RM sheet'!$A:$ZZ,DQ1,0)</f>
        <v>1268</v>
      </c>
      <c r="DS8" s="74">
        <f>VLOOKUP($H$8&amp;$F$1,'Input RM sheet'!$A:$ZZ,DR1,0)</f>
        <v>1265</v>
      </c>
      <c r="DT8" s="74">
        <f>VLOOKUP($H$8&amp;$F$1,'Input RM sheet'!$A:$ZZ,DS1,0)</f>
        <v>0</v>
      </c>
      <c r="DU8" s="74">
        <f>VLOOKUP($H$8&amp;$F$1,'Input RM sheet'!$A:$ZZ,DT1,0)</f>
        <v>0</v>
      </c>
      <c r="DV8" s="74">
        <f>VLOOKUP($H$8&amp;$F$1,'Input RM sheet'!$A:$ZZ,DU1,0)</f>
        <v>0</v>
      </c>
      <c r="DW8" s="74">
        <f>VLOOKUP($H$8&amp;$F$1,'Input RM sheet'!$A:$ZZ,DV1,0)</f>
        <v>0</v>
      </c>
      <c r="DX8" s="74">
        <f>VLOOKUP($H$8&amp;$F$1,'Input RM sheet'!$A:$ZZ,DW1,0)</f>
        <v>0</v>
      </c>
      <c r="DY8" s="74">
        <f>VLOOKUP($H$8&amp;$F$1,'Input RM sheet'!$A:$ZZ,DX1,0)</f>
        <v>0</v>
      </c>
      <c r="DZ8" s="74">
        <f>VLOOKUP($H$8&amp;$F$1,'Input RM sheet'!$A:$ZZ,DY1,0)</f>
        <v>0</v>
      </c>
      <c r="EA8" s="74">
        <f>VLOOKUP($H$8&amp;$F$1,'Input RM sheet'!$A:$ZZ,DZ1,0)</f>
        <v>0</v>
      </c>
      <c r="EB8" s="74">
        <f>VLOOKUP($H$8&amp;$F$1,'Input RM sheet'!$A:$ZZ,EA1,0)</f>
        <v>0</v>
      </c>
      <c r="EC8" s="74">
        <f>VLOOKUP($H$8&amp;$F$1,'Input RM sheet'!$A:$ZZ,EB1,0)</f>
        <v>0</v>
      </c>
      <c r="ED8" s="74">
        <f>VLOOKUP($H$8&amp;$F$1,'Input RM sheet'!$A:$ZZ,EC1,0)</f>
        <v>0</v>
      </c>
      <c r="EE8" s="74">
        <f>VLOOKUP($H$8&amp;$F$1,'Input RM sheet'!$A:$ZZ,ED1,0)</f>
        <v>0</v>
      </c>
      <c r="EF8" s="74">
        <f>VLOOKUP($H$8&amp;$F$1,'Input RM sheet'!$A:$ZZ,EE1,0)</f>
        <v>0</v>
      </c>
      <c r="EG8" s="74">
        <f>VLOOKUP($H$8&amp;$F$1,'Input RM sheet'!$A:$ZZ,EF1,0)</f>
        <v>0</v>
      </c>
      <c r="EH8" s="74">
        <f>VLOOKUP($H$8&amp;$F$1,'Input RM sheet'!$A:$ZZ,EG1,0)</f>
        <v>0</v>
      </c>
      <c r="EI8" s="74">
        <f>VLOOKUP($H$8&amp;$F$1,'Input RM sheet'!$A:$ZZ,EH1,0)</f>
        <v>0</v>
      </c>
      <c r="EJ8" s="74">
        <f>VLOOKUP($H$8&amp;$F$1,'Input RM sheet'!$A:$ZZ,EI1,0)</f>
        <v>0</v>
      </c>
      <c r="EK8" s="74">
        <f>VLOOKUP($H$8&amp;$F$1,'Input RM sheet'!$A:$ZZ,EJ1,0)</f>
        <v>0</v>
      </c>
      <c r="EL8" s="74">
        <f>VLOOKUP($H$8&amp;$F$1,'Input RM sheet'!$A:$ZZ,EK1,0)</f>
        <v>0</v>
      </c>
      <c r="EM8" s="74">
        <f>VLOOKUP($H$8&amp;$F$1,'Input RM sheet'!$A:$ZZ,EL1,0)</f>
        <v>0</v>
      </c>
      <c r="EN8" s="74">
        <f>VLOOKUP($H$8&amp;$F$1,'Input RM sheet'!$A:$ZZ,EM1,0)</f>
        <v>0</v>
      </c>
      <c r="EO8" s="74">
        <f>VLOOKUP($H$8&amp;$F$1,'Input RM sheet'!$A:$ZZ,EN1,0)</f>
        <v>0</v>
      </c>
      <c r="EP8" s="74">
        <f>VLOOKUP($H$8&amp;$F$1,'Input RM sheet'!$A:$ZZ,EO1,0)</f>
        <v>0</v>
      </c>
      <c r="EQ8" s="74">
        <f>VLOOKUP($H$8&amp;$F$1,'Input RM sheet'!$A:$ZZ,EP1,0)</f>
        <v>0</v>
      </c>
      <c r="ER8" s="74">
        <f>VLOOKUP($H$8&amp;$F$1,'Input RM sheet'!$A:$ZZ,EQ1,0)</f>
        <v>0</v>
      </c>
      <c r="ES8" s="74">
        <f>VLOOKUP($H$8&amp;$F$1,'Input RM sheet'!$A:$ZZ,ER1,0)</f>
        <v>0</v>
      </c>
    </row>
    <row r="9" spans="1:149">
      <c r="H9" s="107"/>
      <c r="I9" s="74"/>
      <c r="J9" s="74"/>
      <c r="K9" s="74"/>
      <c r="L9" s="74"/>
      <c r="M9" s="74"/>
      <c r="N9" s="74"/>
      <c r="O9" s="74"/>
      <c r="P9" s="74"/>
      <c r="Q9" s="74"/>
      <c r="R9" s="74"/>
      <c r="S9" s="74"/>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74"/>
      <c r="BG9" s="74"/>
      <c r="BH9" s="74"/>
      <c r="BI9" s="74"/>
      <c r="BJ9" s="74"/>
      <c r="BK9" s="74"/>
      <c r="BL9" s="74"/>
      <c r="BM9" s="74"/>
      <c r="BN9" s="74"/>
      <c r="BO9" s="74"/>
      <c r="BP9" s="74"/>
      <c r="BQ9" s="74"/>
      <c r="BR9" s="74"/>
      <c r="BS9" s="74"/>
      <c r="BT9" s="74"/>
      <c r="BU9" s="74"/>
      <c r="BV9" s="74"/>
      <c r="BW9" s="74"/>
      <c r="BX9" s="74"/>
      <c r="BY9" s="74"/>
      <c r="BZ9" s="74"/>
      <c r="CA9" s="74"/>
      <c r="CB9" s="74"/>
      <c r="CC9" s="74"/>
      <c r="CD9" s="74"/>
      <c r="CE9" s="74"/>
      <c r="CF9" s="74"/>
      <c r="CG9" s="74"/>
      <c r="CH9" s="74"/>
      <c r="CI9" s="74"/>
      <c r="CJ9" s="74"/>
      <c r="CK9" s="74"/>
      <c r="CL9" s="74"/>
      <c r="CM9" s="74"/>
      <c r="CN9" s="74"/>
      <c r="CO9" s="74"/>
      <c r="CP9" s="74"/>
      <c r="CQ9" s="74"/>
      <c r="CR9" s="74"/>
      <c r="CS9" s="74"/>
      <c r="CT9" s="74"/>
      <c r="CU9" s="74"/>
      <c r="CV9" s="74"/>
      <c r="CW9" s="74"/>
      <c r="CX9" s="74"/>
      <c r="CY9" s="74"/>
      <c r="CZ9" s="74"/>
      <c r="DA9" s="74"/>
      <c r="DB9" s="74"/>
      <c r="DC9" s="74"/>
      <c r="DD9" s="74"/>
      <c r="DE9" s="74"/>
      <c r="DF9" s="74"/>
      <c r="DG9" s="74"/>
      <c r="DH9" s="74"/>
      <c r="DI9" s="74"/>
      <c r="DJ9" s="74"/>
      <c r="DK9" s="74"/>
      <c r="DL9" s="74"/>
      <c r="DM9" s="74"/>
      <c r="DN9" s="74"/>
      <c r="DO9" s="74"/>
      <c r="DP9" s="74"/>
      <c r="DQ9" s="74"/>
      <c r="DR9" s="74"/>
      <c r="DS9" s="74"/>
      <c r="DT9" s="74"/>
      <c r="DU9" s="74"/>
      <c r="DV9" s="74"/>
      <c r="DW9" s="74"/>
      <c r="DX9" s="74"/>
      <c r="DY9" s="74"/>
      <c r="DZ9" s="74"/>
      <c r="EA9" s="74"/>
      <c r="EB9" s="74"/>
      <c r="EC9" s="74"/>
      <c r="ED9" s="74"/>
      <c r="EE9" s="74"/>
      <c r="EF9" s="74"/>
      <c r="EG9" s="74"/>
      <c r="EH9" s="74"/>
      <c r="EI9" s="74"/>
      <c r="EJ9" s="74"/>
      <c r="EK9" s="74"/>
      <c r="EL9" s="74"/>
      <c r="EM9" s="74"/>
      <c r="EN9" s="74"/>
      <c r="EO9" s="74"/>
      <c r="EP9" s="74"/>
      <c r="EQ9" s="74"/>
      <c r="ER9" s="74"/>
      <c r="ES9" s="74"/>
    </row>
    <row r="10" spans="1:149" ht="13">
      <c r="A10" s="59" t="s">
        <v>395</v>
      </c>
      <c r="B10" s="59"/>
      <c r="C10" s="59" t="s">
        <v>379</v>
      </c>
      <c r="D10" s="98" t="s">
        <v>380</v>
      </c>
      <c r="E10" s="98" t="s">
        <v>381</v>
      </c>
      <c r="F10" s="59" t="s">
        <v>396</v>
      </c>
      <c r="I10" s="84"/>
      <c r="J10" s="84"/>
      <c r="K10" s="84"/>
      <c r="L10" s="84"/>
      <c r="M10" s="84"/>
      <c r="N10" s="84"/>
      <c r="O10" s="84"/>
      <c r="P10" s="84"/>
      <c r="Q10" s="84"/>
      <c r="R10" s="84"/>
      <c r="S10" s="84"/>
      <c r="T10" s="84"/>
      <c r="U10" s="84"/>
      <c r="V10" s="84"/>
      <c r="W10" s="84"/>
      <c r="X10" s="84"/>
      <c r="Y10" s="84"/>
      <c r="Z10" s="84"/>
      <c r="AA10" s="84"/>
      <c r="AB10" s="84"/>
      <c r="AC10" s="84"/>
      <c r="AD10" s="84"/>
      <c r="AE10" s="84"/>
      <c r="AF10" s="84"/>
      <c r="AG10" s="84"/>
      <c r="AH10" s="84"/>
      <c r="AI10" s="84"/>
      <c r="AJ10" s="84"/>
      <c r="AK10" s="84"/>
      <c r="AL10" s="84"/>
      <c r="AM10" s="84"/>
      <c r="AN10" s="84"/>
      <c r="AO10" s="84"/>
      <c r="AP10" s="84"/>
      <c r="AQ10" s="84"/>
      <c r="AR10" s="84"/>
      <c r="AS10" s="84"/>
      <c r="AT10" s="84"/>
      <c r="AU10" s="84"/>
      <c r="AV10" s="84"/>
      <c r="AW10" s="84"/>
      <c r="AX10" s="84"/>
      <c r="AY10" s="84"/>
      <c r="AZ10" s="84"/>
      <c r="BA10" s="84"/>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84"/>
      <c r="CE10" s="84"/>
      <c r="CF10" s="84"/>
      <c r="CG10" s="84"/>
      <c r="CH10" s="84"/>
      <c r="CI10" s="84"/>
      <c r="CJ10" s="84"/>
      <c r="CK10" s="84"/>
      <c r="CL10" s="84"/>
      <c r="CM10" s="84"/>
      <c r="CN10" s="84"/>
      <c r="CO10" s="84"/>
      <c r="CP10" s="84"/>
      <c r="CQ10" s="84"/>
      <c r="CR10" s="84"/>
      <c r="CS10" s="84"/>
      <c r="CT10" s="84"/>
      <c r="CU10" s="84"/>
      <c r="CV10" s="84"/>
      <c r="CW10" s="84"/>
      <c r="CX10" s="84"/>
      <c r="CY10" s="84"/>
      <c r="CZ10" s="84"/>
      <c r="DA10" s="84"/>
      <c r="DB10" s="84"/>
      <c r="DC10" s="84"/>
      <c r="DD10" s="84"/>
      <c r="DE10" s="84"/>
      <c r="DF10" s="84"/>
      <c r="DG10" s="84"/>
      <c r="DH10" s="84"/>
      <c r="DI10" s="84"/>
      <c r="DJ10" s="84"/>
      <c r="DK10" s="84"/>
      <c r="DL10" s="84"/>
      <c r="DM10" s="84"/>
      <c r="DN10" s="84"/>
      <c r="DO10" s="84"/>
      <c r="DP10" s="84"/>
      <c r="DQ10" s="84"/>
      <c r="DR10" s="84"/>
      <c r="DS10" s="84"/>
      <c r="DT10" s="84"/>
      <c r="DU10" s="84"/>
      <c r="DV10" s="84"/>
      <c r="DW10" s="84"/>
      <c r="DX10" s="84"/>
      <c r="DY10" s="84"/>
      <c r="DZ10" s="84"/>
      <c r="EA10" s="84"/>
      <c r="EB10" s="84"/>
      <c r="EC10" s="84"/>
      <c r="ED10" s="84"/>
      <c r="EE10" s="84"/>
      <c r="EF10" s="84"/>
      <c r="EG10" s="84"/>
      <c r="EH10" s="84"/>
      <c r="EI10" s="84"/>
      <c r="EJ10" s="84"/>
      <c r="EK10" s="84"/>
      <c r="EL10" s="84"/>
      <c r="EM10" s="84"/>
      <c r="EN10" s="84"/>
      <c r="EO10" s="84"/>
      <c r="EP10" s="84"/>
      <c r="EQ10" s="84"/>
      <c r="ER10" s="84"/>
      <c r="ES10" s="84"/>
    </row>
    <row r="11" spans="1:149" ht="13">
      <c r="A11" s="107" t="s">
        <v>397</v>
      </c>
      <c r="B11" s="178" t="s">
        <v>40</v>
      </c>
      <c r="C11" s="60">
        <v>1</v>
      </c>
      <c r="D11" s="77">
        <v>28.05</v>
      </c>
      <c r="E11" s="60">
        <f>D11*C11</f>
        <v>28.05</v>
      </c>
      <c r="F11" s="65">
        <f>E11/D3</f>
        <v>0.63677639046538026</v>
      </c>
      <c r="H11" s="60" t="s">
        <v>399</v>
      </c>
      <c r="I11" s="74">
        <f>$F$11*(I8/1000)</f>
        <v>0.68580817253121451</v>
      </c>
      <c r="J11" s="74">
        <f t="shared" ref="J11:BU11" si="0">$F$11*(J8/1000)</f>
        <v>0.67434619750283764</v>
      </c>
      <c r="K11" s="74">
        <f t="shared" si="0"/>
        <v>0.64887514188422246</v>
      </c>
      <c r="L11" s="74">
        <f t="shared" si="0"/>
        <v>0.49823931895573215</v>
      </c>
      <c r="M11" s="74">
        <f t="shared" si="0"/>
        <v>0.43147968217934163</v>
      </c>
      <c r="N11" s="74">
        <f t="shared" si="0"/>
        <v>0.48730586833144157</v>
      </c>
      <c r="O11" s="74">
        <f t="shared" si="0"/>
        <v>0.55735763904653801</v>
      </c>
      <c r="P11" s="74">
        <f t="shared" si="0"/>
        <v>0.59134876276958004</v>
      </c>
      <c r="Q11" s="74">
        <f t="shared" si="0"/>
        <v>0.58915188422247455</v>
      </c>
      <c r="R11" s="74">
        <f t="shared" si="0"/>
        <v>0.58072096481271285</v>
      </c>
      <c r="S11" s="74">
        <f t="shared" si="0"/>
        <v>0.58461166855845637</v>
      </c>
      <c r="T11" s="74">
        <f t="shared" si="0"/>
        <v>0.61622124858115779</v>
      </c>
      <c r="U11" s="74">
        <f t="shared" si="0"/>
        <v>0.66606810442678777</v>
      </c>
      <c r="V11" s="74">
        <f t="shared" si="0"/>
        <v>0.71637343927355279</v>
      </c>
      <c r="W11" s="74">
        <f t="shared" si="0"/>
        <v>0.76158456299659472</v>
      </c>
      <c r="X11" s="74">
        <f t="shared" si="0"/>
        <v>0.79597048808172532</v>
      </c>
      <c r="Y11" s="74">
        <f t="shared" si="0"/>
        <v>0.81188989784335974</v>
      </c>
      <c r="Z11" s="74">
        <f t="shared" si="0"/>
        <v>0.82780930760499438</v>
      </c>
      <c r="AA11" s="74">
        <f t="shared" si="0"/>
        <v>0.8437287173666288</v>
      </c>
      <c r="AB11" s="74">
        <f t="shared" si="0"/>
        <v>0.87938819523269018</v>
      </c>
      <c r="AC11" s="74">
        <f t="shared" si="0"/>
        <v>0.87302043132803631</v>
      </c>
      <c r="AD11" s="74">
        <f t="shared" si="0"/>
        <v>0.87875141884222474</v>
      </c>
      <c r="AE11" s="74">
        <f t="shared" si="0"/>
        <v>0.93096708286038587</v>
      </c>
      <c r="AF11" s="74">
        <f t="shared" si="0"/>
        <v>0.91632122587968223</v>
      </c>
      <c r="AG11" s="74">
        <f t="shared" si="0"/>
        <v>0.91759477866061301</v>
      </c>
      <c r="AH11" s="74">
        <f t="shared" si="0"/>
        <v>0.96790011350737803</v>
      </c>
      <c r="AI11" s="74">
        <f t="shared" si="0"/>
        <v>1.0054699205448354</v>
      </c>
      <c r="AJ11" s="74">
        <f t="shared" si="0"/>
        <v>1.1461975028376845</v>
      </c>
      <c r="AK11" s="74">
        <f t="shared" si="0"/>
        <v>1.0742417707150966</v>
      </c>
      <c r="AL11" s="74">
        <f t="shared" si="0"/>
        <v>1.0729682179341657</v>
      </c>
      <c r="AM11" s="74">
        <f t="shared" si="0"/>
        <v>0.97044721906923948</v>
      </c>
      <c r="AN11" s="74">
        <f t="shared" si="0"/>
        <v>0.91823155505107834</v>
      </c>
      <c r="AO11" s="74">
        <f t="shared" si="0"/>
        <v>0.82462542565266739</v>
      </c>
      <c r="AP11" s="74">
        <f t="shared" si="0"/>
        <v>0.78896594778660623</v>
      </c>
      <c r="AQ11" s="74">
        <f t="shared" si="0"/>
        <v>0.84181838819523269</v>
      </c>
      <c r="AR11" s="74">
        <f t="shared" si="0"/>
        <v>0.85646424517593644</v>
      </c>
      <c r="AS11" s="74">
        <f t="shared" si="0"/>
        <v>0.80679568671963675</v>
      </c>
      <c r="AT11" s="74">
        <f t="shared" si="0"/>
        <v>0.85837457434733266</v>
      </c>
      <c r="AU11" s="74">
        <f t="shared" si="0"/>
        <v>0.87938819523269018</v>
      </c>
      <c r="AV11" s="74">
        <f t="shared" si="0"/>
        <v>0.87493076049943252</v>
      </c>
      <c r="AW11" s="74">
        <f t="shared" si="0"/>
        <v>0.859011350737798</v>
      </c>
      <c r="AX11" s="74">
        <f t="shared" si="0"/>
        <v>0.79851759364358688</v>
      </c>
      <c r="AY11" s="74">
        <f t="shared" si="0"/>
        <v>0.79851759364358688</v>
      </c>
      <c r="AZ11" s="74">
        <f t="shared" si="0"/>
        <v>0.78450851305334846</v>
      </c>
      <c r="BA11" s="74">
        <f t="shared" si="0"/>
        <v>0.78896594778660623</v>
      </c>
      <c r="BB11" s="74">
        <f t="shared" si="0"/>
        <v>0.78832917139614078</v>
      </c>
      <c r="BC11" s="74">
        <f t="shared" si="0"/>
        <v>0.78450851305334846</v>
      </c>
      <c r="BD11" s="74">
        <f t="shared" si="0"/>
        <v>0.78259818388195235</v>
      </c>
      <c r="BE11" s="74">
        <f t="shared" si="0"/>
        <v>0.78005107832009091</v>
      </c>
      <c r="BF11" s="74">
        <f t="shared" si="0"/>
        <v>0.77877752553916013</v>
      </c>
      <c r="BG11" s="74">
        <f t="shared" si="0"/>
        <v>0.77814074914869469</v>
      </c>
      <c r="BH11" s="74">
        <f t="shared" si="0"/>
        <v>0.8195312145289444</v>
      </c>
      <c r="BI11" s="74">
        <f t="shared" si="0"/>
        <v>0.81316345062429052</v>
      </c>
      <c r="BJ11" s="74">
        <f t="shared" si="0"/>
        <v>0.81316345062429052</v>
      </c>
      <c r="BK11" s="74">
        <f t="shared" si="0"/>
        <v>0.81316345062429052</v>
      </c>
      <c r="BL11" s="74">
        <f t="shared" si="0"/>
        <v>0.84691259931895579</v>
      </c>
      <c r="BM11" s="74">
        <f t="shared" si="0"/>
        <v>0.84754937570942113</v>
      </c>
      <c r="BN11" s="74">
        <f t="shared" si="0"/>
        <v>0.84754937570942113</v>
      </c>
      <c r="BO11" s="74">
        <f t="shared" si="0"/>
        <v>0.84818615209988657</v>
      </c>
      <c r="BP11" s="74">
        <f t="shared" si="0"/>
        <v>0.82717253121452894</v>
      </c>
      <c r="BQ11" s="74">
        <f t="shared" si="0"/>
        <v>0.82717253121452894</v>
      </c>
      <c r="BR11" s="74">
        <f t="shared" si="0"/>
        <v>0.83417707150964815</v>
      </c>
      <c r="BS11" s="74">
        <f t="shared" si="0"/>
        <v>0.82335187287173661</v>
      </c>
      <c r="BT11" s="74">
        <f t="shared" si="0"/>
        <v>0.81889443813847906</v>
      </c>
      <c r="BU11" s="74">
        <f t="shared" si="0"/>
        <v>0.82080476730987506</v>
      </c>
      <c r="BV11" s="74">
        <f t="shared" ref="BV11:CR11" si="1">$F$11*(BV8/1000)</f>
        <v>0.82398864926220206</v>
      </c>
      <c r="BW11" s="74">
        <f t="shared" si="1"/>
        <v>0.83035641316685593</v>
      </c>
      <c r="BX11" s="74">
        <f t="shared" si="1"/>
        <v>0.82526220204313283</v>
      </c>
      <c r="BY11" s="74">
        <f t="shared" si="1"/>
        <v>0.82526220204313283</v>
      </c>
      <c r="BZ11" s="74">
        <f t="shared" si="1"/>
        <v>0.82526220204313283</v>
      </c>
      <c r="CA11" s="74">
        <f t="shared" si="1"/>
        <v>0.82526220204313283</v>
      </c>
      <c r="CB11" s="74">
        <f t="shared" si="1"/>
        <v>0.82526220204313283</v>
      </c>
      <c r="CC11" s="74">
        <f t="shared" si="1"/>
        <v>0.81762088535754829</v>
      </c>
      <c r="CD11" s="74">
        <f t="shared" si="1"/>
        <v>0.81762088535754829</v>
      </c>
      <c r="CE11" s="74">
        <f t="shared" si="1"/>
        <v>0.84500227014755958</v>
      </c>
      <c r="CF11" s="74">
        <f t="shared" si="1"/>
        <v>0.84500227014755958</v>
      </c>
      <c r="CG11" s="74">
        <f t="shared" si="1"/>
        <v>0.84627582292849035</v>
      </c>
      <c r="CH11" s="74">
        <f t="shared" si="1"/>
        <v>0.84436549375709424</v>
      </c>
      <c r="CI11" s="74">
        <f t="shared" si="1"/>
        <v>0.86346878547105566</v>
      </c>
      <c r="CJ11" s="74">
        <f t="shared" si="1"/>
        <v>0.86346878547105566</v>
      </c>
      <c r="CK11" s="74">
        <f t="shared" si="1"/>
        <v>0.86346878547105566</v>
      </c>
      <c r="CL11" s="74">
        <f t="shared" si="1"/>
        <v>0.85264358683314412</v>
      </c>
      <c r="CM11" s="74">
        <f t="shared" si="1"/>
        <v>0.85264358683314412</v>
      </c>
      <c r="CN11" s="74">
        <f t="shared" si="1"/>
        <v>0.85710102156640189</v>
      </c>
      <c r="CO11" s="74">
        <f t="shared" si="1"/>
        <v>0.85710102156640189</v>
      </c>
      <c r="CP11" s="74">
        <f t="shared" si="1"/>
        <v>0.85710102156640189</v>
      </c>
      <c r="CQ11" s="74">
        <f t="shared" si="1"/>
        <v>0.85710102156640189</v>
      </c>
      <c r="CR11" s="74">
        <f t="shared" si="1"/>
        <v>0.84309194097616347</v>
      </c>
      <c r="CS11" s="74">
        <f>$F$11*(CS8/1000)</f>
        <v>0.8367241770715097</v>
      </c>
      <c r="CT11" s="74">
        <f>$F$11*(CT8/1000)</f>
        <v>0.8367241770715097</v>
      </c>
      <c r="CU11" s="74">
        <f>$F$11*(CU8/1000)</f>
        <v>0.83354029511918271</v>
      </c>
      <c r="CV11" s="74">
        <f>$F$11*(CV8/1000)</f>
        <v>0.83354029511918271</v>
      </c>
      <c r="CW11" s="74">
        <f t="shared" ref="CW11:ES11" si="2">$F$11*(CW8/1000)</f>
        <v>0.83990805902383658</v>
      </c>
      <c r="CX11" s="74">
        <f t="shared" si="2"/>
        <v>0.84309194097616347</v>
      </c>
      <c r="CY11" s="74">
        <f t="shared" si="2"/>
        <v>0.84309194097616347</v>
      </c>
      <c r="CZ11" s="74">
        <f t="shared" si="2"/>
        <v>0.85964812712826344</v>
      </c>
      <c r="DA11" s="74">
        <f t="shared" si="2"/>
        <v>0.85964812712826344</v>
      </c>
      <c r="DB11" s="74">
        <f t="shared" si="2"/>
        <v>0.86410556186152099</v>
      </c>
      <c r="DC11" s="74">
        <f t="shared" si="2"/>
        <v>0.86919977298524409</v>
      </c>
      <c r="DD11" s="74">
        <f t="shared" si="2"/>
        <v>0.85710102156640189</v>
      </c>
      <c r="DE11" s="74">
        <f t="shared" si="2"/>
        <v>0.85710102156640189</v>
      </c>
      <c r="DF11" s="74">
        <f t="shared" si="2"/>
        <v>0.85710102156640189</v>
      </c>
      <c r="DG11" s="74">
        <f t="shared" si="2"/>
        <v>0.85710102156640189</v>
      </c>
      <c r="DH11" s="74">
        <f t="shared" si="2"/>
        <v>0.83481384790011348</v>
      </c>
      <c r="DI11" s="74">
        <f t="shared" si="2"/>
        <v>0.82908286038592516</v>
      </c>
      <c r="DJ11" s="74">
        <f t="shared" si="2"/>
        <v>0.82908286038592516</v>
      </c>
      <c r="DK11" s="74">
        <f t="shared" si="2"/>
        <v>0.8214415437003405</v>
      </c>
      <c r="DL11" s="74">
        <f t="shared" si="2"/>
        <v>0.8367241770715097</v>
      </c>
      <c r="DM11" s="74">
        <f t="shared" si="2"/>
        <v>0.83417707150964815</v>
      </c>
      <c r="DN11" s="74">
        <f t="shared" si="2"/>
        <v>0.82207832009080584</v>
      </c>
      <c r="DO11" s="74">
        <f t="shared" si="2"/>
        <v>0.82016799091940984</v>
      </c>
      <c r="DP11" s="74">
        <f t="shared" si="2"/>
        <v>0.82016799091940984</v>
      </c>
      <c r="DQ11" s="74">
        <f t="shared" si="2"/>
        <v>0.80870601589103297</v>
      </c>
      <c r="DR11" s="74">
        <f t="shared" si="2"/>
        <v>0.80743246311010219</v>
      </c>
      <c r="DS11" s="74">
        <f t="shared" si="2"/>
        <v>0.80552213393870598</v>
      </c>
      <c r="DT11" s="74">
        <f t="shared" si="2"/>
        <v>0</v>
      </c>
      <c r="DU11" s="74">
        <f t="shared" si="2"/>
        <v>0</v>
      </c>
      <c r="DV11" s="74">
        <f t="shared" si="2"/>
        <v>0</v>
      </c>
      <c r="DW11" s="74">
        <f t="shared" si="2"/>
        <v>0</v>
      </c>
      <c r="DX11" s="74">
        <f t="shared" si="2"/>
        <v>0</v>
      </c>
      <c r="DY11" s="74">
        <f t="shared" si="2"/>
        <v>0</v>
      </c>
      <c r="DZ11" s="74">
        <f t="shared" si="2"/>
        <v>0</v>
      </c>
      <c r="EA11" s="74">
        <f t="shared" si="2"/>
        <v>0</v>
      </c>
      <c r="EB11" s="74">
        <f t="shared" si="2"/>
        <v>0</v>
      </c>
      <c r="EC11" s="74">
        <f t="shared" si="2"/>
        <v>0</v>
      </c>
      <c r="ED11" s="74">
        <f t="shared" si="2"/>
        <v>0</v>
      </c>
      <c r="EE11" s="74">
        <f t="shared" si="2"/>
        <v>0</v>
      </c>
      <c r="EF11" s="74">
        <f t="shared" si="2"/>
        <v>0</v>
      </c>
      <c r="EG11" s="74">
        <f t="shared" si="2"/>
        <v>0</v>
      </c>
      <c r="EH11" s="74">
        <f t="shared" si="2"/>
        <v>0</v>
      </c>
      <c r="EI11" s="74">
        <f t="shared" si="2"/>
        <v>0</v>
      </c>
      <c r="EJ11" s="74">
        <f t="shared" si="2"/>
        <v>0</v>
      </c>
      <c r="EK11" s="74">
        <f t="shared" si="2"/>
        <v>0</v>
      </c>
      <c r="EL11" s="74">
        <f t="shared" si="2"/>
        <v>0</v>
      </c>
      <c r="EM11" s="74">
        <f t="shared" si="2"/>
        <v>0</v>
      </c>
      <c r="EN11" s="74">
        <f t="shared" si="2"/>
        <v>0</v>
      </c>
      <c r="EO11" s="74">
        <f t="shared" si="2"/>
        <v>0</v>
      </c>
      <c r="EP11" s="74">
        <f t="shared" si="2"/>
        <v>0</v>
      </c>
      <c r="EQ11" s="74">
        <f t="shared" si="2"/>
        <v>0</v>
      </c>
      <c r="ER11" s="74">
        <f t="shared" si="2"/>
        <v>0</v>
      </c>
      <c r="ES11" s="74">
        <f t="shared" si="2"/>
        <v>0</v>
      </c>
    </row>
    <row r="12" spans="1:149">
      <c r="A12" s="67"/>
      <c r="B12" s="100"/>
      <c r="D12" s="77"/>
      <c r="F12" s="65"/>
      <c r="I12" s="74"/>
      <c r="J12" s="74"/>
      <c r="K12" s="74"/>
      <c r="L12" s="74"/>
      <c r="M12" s="74"/>
      <c r="N12" s="74"/>
      <c r="O12" s="74"/>
      <c r="P12" s="74"/>
      <c r="Q12" s="74"/>
      <c r="R12" s="74"/>
      <c r="S12" s="74"/>
      <c r="T12" s="74"/>
      <c r="U12" s="74"/>
      <c r="V12" s="74"/>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c r="BL12" s="74"/>
      <c r="BM12" s="74"/>
      <c r="BN12" s="74"/>
      <c r="BO12" s="74"/>
      <c r="BP12" s="74"/>
      <c r="BQ12" s="74"/>
      <c r="BR12" s="74"/>
      <c r="BS12" s="74"/>
      <c r="BT12" s="74"/>
      <c r="BU12" s="74"/>
      <c r="BV12" s="74"/>
      <c r="BW12" s="74"/>
      <c r="BX12" s="74"/>
      <c r="BY12" s="74"/>
      <c r="BZ12" s="74"/>
      <c r="CA12" s="74"/>
      <c r="CB12" s="74"/>
      <c r="CC12" s="74"/>
      <c r="CD12" s="74"/>
      <c r="CE12" s="74"/>
      <c r="CF12" s="74"/>
      <c r="CG12" s="74"/>
      <c r="CH12" s="74"/>
      <c r="CI12" s="74"/>
      <c r="CJ12" s="74"/>
      <c r="CK12" s="74"/>
      <c r="CL12" s="74"/>
      <c r="CM12" s="74"/>
      <c r="CN12" s="74"/>
      <c r="CO12" s="74"/>
      <c r="CP12" s="74"/>
      <c r="CQ12" s="74"/>
      <c r="CR12" s="74"/>
      <c r="CS12" s="74"/>
      <c r="CT12" s="74"/>
      <c r="CU12" s="74"/>
      <c r="CV12" s="74"/>
      <c r="CW12" s="74"/>
      <c r="CX12" s="74"/>
      <c r="CY12" s="74"/>
      <c r="CZ12" s="74"/>
      <c r="DA12" s="74"/>
      <c r="DB12" s="74"/>
      <c r="DC12" s="74"/>
      <c r="DD12" s="74"/>
      <c r="DE12" s="74"/>
      <c r="DF12" s="74"/>
      <c r="DG12" s="74"/>
      <c r="DH12" s="74"/>
      <c r="DI12" s="74"/>
      <c r="DJ12" s="74"/>
      <c r="DK12" s="74"/>
      <c r="DL12" s="74"/>
      <c r="DM12" s="74"/>
      <c r="DN12" s="74"/>
      <c r="DO12" s="74"/>
      <c r="DP12" s="74"/>
      <c r="DQ12" s="74"/>
      <c r="DR12" s="74"/>
      <c r="DS12" s="74"/>
      <c r="DT12" s="74"/>
      <c r="DU12" s="74"/>
      <c r="DV12" s="74"/>
      <c r="DW12" s="74"/>
      <c r="DX12" s="74"/>
      <c r="DY12" s="74"/>
      <c r="DZ12" s="74"/>
      <c r="EA12" s="74"/>
      <c r="EB12" s="74"/>
      <c r="EC12" s="74"/>
      <c r="ED12" s="74"/>
      <c r="EE12" s="74"/>
      <c r="EF12" s="74"/>
      <c r="EG12" s="74"/>
      <c r="EH12" s="74"/>
      <c r="EI12" s="74"/>
      <c r="EJ12" s="74"/>
      <c r="EK12" s="74"/>
      <c r="EL12" s="74"/>
      <c r="EM12" s="74"/>
      <c r="EN12" s="74"/>
      <c r="EO12" s="74"/>
      <c r="EP12" s="74"/>
      <c r="EQ12" s="74"/>
      <c r="ER12" s="74"/>
      <c r="ES12" s="74"/>
    </row>
    <row r="13" spans="1:149" s="104" customFormat="1">
      <c r="H13" s="104" t="s">
        <v>799</v>
      </c>
      <c r="I13" s="105">
        <f>SUM(I11:I11)</f>
        <v>0.68580817253121451</v>
      </c>
      <c r="J13" s="105">
        <f t="shared" ref="J13:BU13" si="3">SUM(J11:J11)</f>
        <v>0.67434619750283764</v>
      </c>
      <c r="K13" s="105">
        <f t="shared" si="3"/>
        <v>0.64887514188422246</v>
      </c>
      <c r="L13" s="105">
        <f t="shared" si="3"/>
        <v>0.49823931895573215</v>
      </c>
      <c r="M13" s="105">
        <f t="shared" si="3"/>
        <v>0.43147968217934163</v>
      </c>
      <c r="N13" s="105">
        <f t="shared" si="3"/>
        <v>0.48730586833144157</v>
      </c>
      <c r="O13" s="105">
        <f t="shared" si="3"/>
        <v>0.55735763904653801</v>
      </c>
      <c r="P13" s="105">
        <f t="shared" si="3"/>
        <v>0.59134876276958004</v>
      </c>
      <c r="Q13" s="105">
        <f t="shared" si="3"/>
        <v>0.58915188422247455</v>
      </c>
      <c r="R13" s="105">
        <f t="shared" si="3"/>
        <v>0.58072096481271285</v>
      </c>
      <c r="S13" s="105">
        <f t="shared" si="3"/>
        <v>0.58461166855845637</v>
      </c>
      <c r="T13" s="105">
        <f t="shared" si="3"/>
        <v>0.61622124858115779</v>
      </c>
      <c r="U13" s="105">
        <f t="shared" si="3"/>
        <v>0.66606810442678777</v>
      </c>
      <c r="V13" s="105">
        <f t="shared" si="3"/>
        <v>0.71637343927355279</v>
      </c>
      <c r="W13" s="105">
        <f t="shared" si="3"/>
        <v>0.76158456299659472</v>
      </c>
      <c r="X13" s="105">
        <f t="shared" si="3"/>
        <v>0.79597048808172532</v>
      </c>
      <c r="Y13" s="105">
        <f t="shared" si="3"/>
        <v>0.81188989784335974</v>
      </c>
      <c r="Z13" s="105">
        <f t="shared" si="3"/>
        <v>0.82780930760499438</v>
      </c>
      <c r="AA13" s="105">
        <f t="shared" si="3"/>
        <v>0.8437287173666288</v>
      </c>
      <c r="AB13" s="105">
        <f t="shared" si="3"/>
        <v>0.87938819523269018</v>
      </c>
      <c r="AC13" s="105">
        <f t="shared" si="3"/>
        <v>0.87302043132803631</v>
      </c>
      <c r="AD13" s="105">
        <f t="shared" si="3"/>
        <v>0.87875141884222474</v>
      </c>
      <c r="AE13" s="105">
        <f t="shared" si="3"/>
        <v>0.93096708286038587</v>
      </c>
      <c r="AF13" s="105">
        <f t="shared" si="3"/>
        <v>0.91632122587968223</v>
      </c>
      <c r="AG13" s="105">
        <f t="shared" si="3"/>
        <v>0.91759477866061301</v>
      </c>
      <c r="AH13" s="105">
        <f t="shared" si="3"/>
        <v>0.96790011350737803</v>
      </c>
      <c r="AI13" s="105">
        <f t="shared" si="3"/>
        <v>1.0054699205448354</v>
      </c>
      <c r="AJ13" s="105">
        <f t="shared" si="3"/>
        <v>1.1461975028376845</v>
      </c>
      <c r="AK13" s="105">
        <f t="shared" si="3"/>
        <v>1.0742417707150966</v>
      </c>
      <c r="AL13" s="105">
        <f t="shared" si="3"/>
        <v>1.0729682179341657</v>
      </c>
      <c r="AM13" s="105">
        <f t="shared" si="3"/>
        <v>0.97044721906923948</v>
      </c>
      <c r="AN13" s="105">
        <f t="shared" si="3"/>
        <v>0.91823155505107834</v>
      </c>
      <c r="AO13" s="105">
        <f t="shared" si="3"/>
        <v>0.82462542565266739</v>
      </c>
      <c r="AP13" s="105">
        <f t="shared" si="3"/>
        <v>0.78896594778660623</v>
      </c>
      <c r="AQ13" s="105">
        <f t="shared" si="3"/>
        <v>0.84181838819523269</v>
      </c>
      <c r="AR13" s="105">
        <f t="shared" si="3"/>
        <v>0.85646424517593644</v>
      </c>
      <c r="AS13" s="105">
        <f t="shared" si="3"/>
        <v>0.80679568671963675</v>
      </c>
      <c r="AT13" s="105">
        <f t="shared" si="3"/>
        <v>0.85837457434733266</v>
      </c>
      <c r="AU13" s="105">
        <f t="shared" si="3"/>
        <v>0.87938819523269018</v>
      </c>
      <c r="AV13" s="105">
        <f t="shared" si="3"/>
        <v>0.87493076049943252</v>
      </c>
      <c r="AW13" s="105">
        <f t="shared" si="3"/>
        <v>0.859011350737798</v>
      </c>
      <c r="AX13" s="105">
        <f t="shared" si="3"/>
        <v>0.79851759364358688</v>
      </c>
      <c r="AY13" s="105">
        <f t="shared" si="3"/>
        <v>0.79851759364358688</v>
      </c>
      <c r="AZ13" s="105">
        <f t="shared" si="3"/>
        <v>0.78450851305334846</v>
      </c>
      <c r="BA13" s="105">
        <f t="shared" si="3"/>
        <v>0.78896594778660623</v>
      </c>
      <c r="BB13" s="105">
        <f t="shared" si="3"/>
        <v>0.78832917139614078</v>
      </c>
      <c r="BC13" s="105">
        <f t="shared" si="3"/>
        <v>0.78450851305334846</v>
      </c>
      <c r="BD13" s="105">
        <f t="shared" si="3"/>
        <v>0.78259818388195235</v>
      </c>
      <c r="BE13" s="105">
        <f t="shared" si="3"/>
        <v>0.78005107832009091</v>
      </c>
      <c r="BF13" s="105">
        <f t="shared" si="3"/>
        <v>0.77877752553916013</v>
      </c>
      <c r="BG13" s="105">
        <f t="shared" si="3"/>
        <v>0.77814074914869469</v>
      </c>
      <c r="BH13" s="105">
        <f t="shared" si="3"/>
        <v>0.8195312145289444</v>
      </c>
      <c r="BI13" s="105">
        <f t="shared" si="3"/>
        <v>0.81316345062429052</v>
      </c>
      <c r="BJ13" s="105">
        <f t="shared" si="3"/>
        <v>0.81316345062429052</v>
      </c>
      <c r="BK13" s="105">
        <f t="shared" si="3"/>
        <v>0.81316345062429052</v>
      </c>
      <c r="BL13" s="105">
        <f t="shared" si="3"/>
        <v>0.84691259931895579</v>
      </c>
      <c r="BM13" s="105">
        <f t="shared" si="3"/>
        <v>0.84754937570942113</v>
      </c>
      <c r="BN13" s="105">
        <f t="shared" si="3"/>
        <v>0.84754937570942113</v>
      </c>
      <c r="BO13" s="105">
        <f t="shared" si="3"/>
        <v>0.84818615209988657</v>
      </c>
      <c r="BP13" s="105">
        <f t="shared" si="3"/>
        <v>0.82717253121452894</v>
      </c>
      <c r="BQ13" s="105">
        <f t="shared" si="3"/>
        <v>0.82717253121452894</v>
      </c>
      <c r="BR13" s="105">
        <f t="shared" si="3"/>
        <v>0.83417707150964815</v>
      </c>
      <c r="BS13" s="105">
        <f t="shared" si="3"/>
        <v>0.82335187287173661</v>
      </c>
      <c r="BT13" s="105">
        <f t="shared" si="3"/>
        <v>0.81889443813847906</v>
      </c>
      <c r="BU13" s="105">
        <f t="shared" si="3"/>
        <v>0.82080476730987506</v>
      </c>
      <c r="BV13" s="105">
        <f t="shared" ref="BV13:CR13" si="4">SUM(BV11:BV11)</f>
        <v>0.82398864926220206</v>
      </c>
      <c r="BW13" s="105">
        <f t="shared" si="4"/>
        <v>0.83035641316685593</v>
      </c>
      <c r="BX13" s="105">
        <f t="shared" si="4"/>
        <v>0.82526220204313283</v>
      </c>
      <c r="BY13" s="105">
        <f t="shared" si="4"/>
        <v>0.82526220204313283</v>
      </c>
      <c r="BZ13" s="105">
        <f t="shared" si="4"/>
        <v>0.82526220204313283</v>
      </c>
      <c r="CA13" s="105">
        <f t="shared" si="4"/>
        <v>0.82526220204313283</v>
      </c>
      <c r="CB13" s="105">
        <f t="shared" si="4"/>
        <v>0.82526220204313283</v>
      </c>
      <c r="CC13" s="105">
        <f t="shared" si="4"/>
        <v>0.81762088535754829</v>
      </c>
      <c r="CD13" s="105">
        <f t="shared" si="4"/>
        <v>0.81762088535754829</v>
      </c>
      <c r="CE13" s="105">
        <f t="shared" si="4"/>
        <v>0.84500227014755958</v>
      </c>
      <c r="CF13" s="105">
        <f t="shared" si="4"/>
        <v>0.84500227014755958</v>
      </c>
      <c r="CG13" s="105">
        <f t="shared" si="4"/>
        <v>0.84627582292849035</v>
      </c>
      <c r="CH13" s="105">
        <f t="shared" si="4"/>
        <v>0.84436549375709424</v>
      </c>
      <c r="CI13" s="105">
        <f t="shared" si="4"/>
        <v>0.86346878547105566</v>
      </c>
      <c r="CJ13" s="105">
        <f t="shared" si="4"/>
        <v>0.86346878547105566</v>
      </c>
      <c r="CK13" s="105">
        <f t="shared" si="4"/>
        <v>0.86346878547105566</v>
      </c>
      <c r="CL13" s="105">
        <f t="shared" si="4"/>
        <v>0.85264358683314412</v>
      </c>
      <c r="CM13" s="105">
        <f t="shared" si="4"/>
        <v>0.85264358683314412</v>
      </c>
      <c r="CN13" s="105">
        <f t="shared" si="4"/>
        <v>0.85710102156640189</v>
      </c>
      <c r="CO13" s="105">
        <f t="shared" si="4"/>
        <v>0.85710102156640189</v>
      </c>
      <c r="CP13" s="105">
        <f t="shared" si="4"/>
        <v>0.85710102156640189</v>
      </c>
      <c r="CQ13" s="105">
        <f t="shared" si="4"/>
        <v>0.85710102156640189</v>
      </c>
      <c r="CR13" s="105">
        <f t="shared" si="4"/>
        <v>0.84309194097616347</v>
      </c>
      <c r="CS13" s="105">
        <f>SUM(CS11:CS11)</f>
        <v>0.8367241770715097</v>
      </c>
      <c r="CT13" s="105">
        <f>SUM(CT11:CT11)</f>
        <v>0.8367241770715097</v>
      </c>
      <c r="CU13" s="105">
        <f>SUM(CU11:CU11)</f>
        <v>0.83354029511918271</v>
      </c>
      <c r="CV13" s="105">
        <f>SUM(CV11:CV11)</f>
        <v>0.83354029511918271</v>
      </c>
      <c r="CW13" s="105">
        <f t="shared" ref="CW13:ES13" si="5">SUM(CW11:CW11)</f>
        <v>0.83990805902383658</v>
      </c>
      <c r="CX13" s="105">
        <f t="shared" si="5"/>
        <v>0.84309194097616347</v>
      </c>
      <c r="CY13" s="105">
        <f t="shared" si="5"/>
        <v>0.84309194097616347</v>
      </c>
      <c r="CZ13" s="105">
        <f t="shared" si="5"/>
        <v>0.85964812712826344</v>
      </c>
      <c r="DA13" s="105">
        <f t="shared" si="5"/>
        <v>0.85964812712826344</v>
      </c>
      <c r="DB13" s="105">
        <f t="shared" si="5"/>
        <v>0.86410556186152099</v>
      </c>
      <c r="DC13" s="105">
        <f t="shared" si="5"/>
        <v>0.86919977298524409</v>
      </c>
      <c r="DD13" s="105">
        <f t="shared" si="5"/>
        <v>0.85710102156640189</v>
      </c>
      <c r="DE13" s="105">
        <f t="shared" si="5"/>
        <v>0.85710102156640189</v>
      </c>
      <c r="DF13" s="105">
        <f t="shared" si="5"/>
        <v>0.85710102156640189</v>
      </c>
      <c r="DG13" s="105">
        <f t="shared" si="5"/>
        <v>0.85710102156640189</v>
      </c>
      <c r="DH13" s="105">
        <f t="shared" si="5"/>
        <v>0.83481384790011348</v>
      </c>
      <c r="DI13" s="105">
        <f t="shared" si="5"/>
        <v>0.82908286038592516</v>
      </c>
      <c r="DJ13" s="105">
        <f t="shared" si="5"/>
        <v>0.82908286038592516</v>
      </c>
      <c r="DK13" s="105">
        <f t="shared" si="5"/>
        <v>0.8214415437003405</v>
      </c>
      <c r="DL13" s="105">
        <f t="shared" si="5"/>
        <v>0.8367241770715097</v>
      </c>
      <c r="DM13" s="105">
        <f t="shared" si="5"/>
        <v>0.83417707150964815</v>
      </c>
      <c r="DN13" s="105">
        <f t="shared" si="5"/>
        <v>0.82207832009080584</v>
      </c>
      <c r="DO13" s="105">
        <f t="shared" si="5"/>
        <v>0.82016799091940984</v>
      </c>
      <c r="DP13" s="105">
        <f t="shared" si="5"/>
        <v>0.82016799091940984</v>
      </c>
      <c r="DQ13" s="105">
        <f t="shared" si="5"/>
        <v>0.80870601589103297</v>
      </c>
      <c r="DR13" s="105">
        <f t="shared" si="5"/>
        <v>0.80743246311010219</v>
      </c>
      <c r="DS13" s="105">
        <f t="shared" si="5"/>
        <v>0.80552213393870598</v>
      </c>
      <c r="DT13" s="105">
        <f t="shared" si="5"/>
        <v>0</v>
      </c>
      <c r="DU13" s="105">
        <f t="shared" si="5"/>
        <v>0</v>
      </c>
      <c r="DV13" s="105">
        <f t="shared" si="5"/>
        <v>0</v>
      </c>
      <c r="DW13" s="105">
        <f t="shared" si="5"/>
        <v>0</v>
      </c>
      <c r="DX13" s="105">
        <f t="shared" si="5"/>
        <v>0</v>
      </c>
      <c r="DY13" s="105">
        <f t="shared" si="5"/>
        <v>0</v>
      </c>
      <c r="DZ13" s="105">
        <f t="shared" si="5"/>
        <v>0</v>
      </c>
      <c r="EA13" s="105">
        <f t="shared" si="5"/>
        <v>0</v>
      </c>
      <c r="EB13" s="105">
        <f t="shared" si="5"/>
        <v>0</v>
      </c>
      <c r="EC13" s="105">
        <f t="shared" si="5"/>
        <v>0</v>
      </c>
      <c r="ED13" s="105">
        <f t="shared" si="5"/>
        <v>0</v>
      </c>
      <c r="EE13" s="105">
        <f t="shared" si="5"/>
        <v>0</v>
      </c>
      <c r="EF13" s="105">
        <f t="shared" si="5"/>
        <v>0</v>
      </c>
      <c r="EG13" s="105">
        <f t="shared" si="5"/>
        <v>0</v>
      </c>
      <c r="EH13" s="105">
        <f t="shared" si="5"/>
        <v>0</v>
      </c>
      <c r="EI13" s="105">
        <f t="shared" si="5"/>
        <v>0</v>
      </c>
      <c r="EJ13" s="105">
        <f t="shared" si="5"/>
        <v>0</v>
      </c>
      <c r="EK13" s="105">
        <f t="shared" si="5"/>
        <v>0</v>
      </c>
      <c r="EL13" s="105">
        <f t="shared" si="5"/>
        <v>0</v>
      </c>
      <c r="EM13" s="105">
        <f t="shared" si="5"/>
        <v>0</v>
      </c>
      <c r="EN13" s="105">
        <f t="shared" si="5"/>
        <v>0</v>
      </c>
      <c r="EO13" s="105">
        <f t="shared" si="5"/>
        <v>0</v>
      </c>
      <c r="EP13" s="105">
        <f t="shared" si="5"/>
        <v>0</v>
      </c>
      <c r="EQ13" s="105">
        <f t="shared" si="5"/>
        <v>0</v>
      </c>
      <c r="ER13" s="105">
        <f t="shared" si="5"/>
        <v>0</v>
      </c>
      <c r="ES13" s="105">
        <f t="shared" si="5"/>
        <v>0</v>
      </c>
    </row>
    <row r="14" spans="1:149" s="104" customFormat="1" hidden="1">
      <c r="H14" s="60"/>
      <c r="I14" s="105"/>
      <c r="J14" s="105"/>
      <c r="K14" s="105"/>
      <c r="L14" s="105"/>
      <c r="M14" s="105"/>
      <c r="N14" s="105"/>
      <c r="O14" s="105"/>
      <c r="P14" s="105"/>
      <c r="Q14" s="105"/>
      <c r="R14" s="105"/>
      <c r="S14" s="105"/>
      <c r="T14" s="105"/>
      <c r="U14" s="105"/>
      <c r="V14" s="105"/>
      <c r="W14" s="105"/>
      <c r="X14" s="105"/>
      <c r="Y14" s="105"/>
      <c r="Z14" s="105"/>
      <c r="AA14" s="105"/>
      <c r="AB14" s="105"/>
      <c r="AC14" s="105"/>
      <c r="AD14" s="105"/>
      <c r="AE14" s="105"/>
      <c r="AF14" s="105"/>
      <c r="AG14" s="105"/>
      <c r="AH14" s="105"/>
      <c r="AI14" s="105"/>
      <c r="AJ14" s="105"/>
      <c r="AK14" s="105"/>
      <c r="AL14" s="105"/>
      <c r="AM14" s="105"/>
      <c r="AN14" s="105"/>
      <c r="AO14" s="105"/>
      <c r="AP14" s="105"/>
      <c r="AQ14" s="105"/>
      <c r="AR14" s="105"/>
      <c r="AS14" s="105"/>
      <c r="AT14" s="105"/>
      <c r="AU14" s="105"/>
      <c r="AV14" s="105"/>
      <c r="AW14" s="105"/>
      <c r="AX14" s="105"/>
      <c r="AY14" s="105"/>
      <c r="AZ14" s="105"/>
      <c r="BA14" s="105"/>
      <c r="BB14" s="105"/>
      <c r="BC14" s="105"/>
      <c r="BD14" s="105"/>
      <c r="BE14" s="105"/>
      <c r="BF14" s="105"/>
      <c r="BG14" s="105"/>
      <c r="BH14" s="105"/>
      <c r="BI14" s="105"/>
      <c r="BJ14" s="105"/>
      <c r="BK14" s="105"/>
      <c r="BL14" s="105"/>
      <c r="BM14" s="105"/>
      <c r="BN14" s="105"/>
      <c r="BO14" s="105"/>
      <c r="BP14" s="105"/>
      <c r="BQ14" s="105"/>
      <c r="BR14" s="105"/>
      <c r="BS14" s="105"/>
      <c r="BT14" s="105"/>
      <c r="BU14" s="105"/>
      <c r="BV14" s="105"/>
      <c r="BW14" s="105"/>
      <c r="BX14" s="105"/>
      <c r="BY14" s="105"/>
      <c r="BZ14" s="105"/>
      <c r="CA14" s="105"/>
      <c r="CB14" s="105"/>
      <c r="CC14" s="105"/>
      <c r="CD14" s="105"/>
      <c r="CE14" s="105"/>
      <c r="CF14" s="105"/>
      <c r="CG14" s="105"/>
      <c r="CH14" s="105"/>
      <c r="CI14" s="105"/>
      <c r="CJ14" s="105"/>
      <c r="CK14" s="105"/>
      <c r="CL14" s="105"/>
      <c r="CM14" s="105"/>
      <c r="CN14" s="105"/>
      <c r="CO14" s="105"/>
      <c r="CP14" s="105"/>
      <c r="CQ14" s="105"/>
      <c r="CR14" s="105"/>
      <c r="CS14" s="105"/>
      <c r="CT14" s="105"/>
      <c r="CU14" s="105"/>
      <c r="CV14" s="105"/>
      <c r="CW14" s="105"/>
      <c r="CX14" s="105"/>
      <c r="CY14" s="105"/>
      <c r="CZ14" s="105"/>
      <c r="DA14" s="105"/>
      <c r="DB14" s="105"/>
      <c r="DC14" s="105"/>
      <c r="DD14" s="105"/>
      <c r="DE14" s="105"/>
      <c r="DF14" s="105"/>
      <c r="DG14" s="105"/>
      <c r="DH14" s="105"/>
      <c r="DI14" s="105"/>
      <c r="DJ14" s="105"/>
      <c r="DK14" s="105"/>
      <c r="DL14" s="105"/>
      <c r="DM14" s="105"/>
      <c r="DN14" s="105"/>
      <c r="DO14" s="105"/>
      <c r="DP14" s="105"/>
      <c r="DQ14" s="105"/>
      <c r="DR14" s="105"/>
      <c r="DS14" s="105"/>
      <c r="DT14" s="105"/>
      <c r="DU14" s="105"/>
      <c r="DV14" s="105"/>
      <c r="DW14" s="105"/>
      <c r="DX14" s="105"/>
      <c r="DY14" s="105"/>
      <c r="DZ14" s="105"/>
      <c r="EA14" s="105"/>
      <c r="EB14" s="105"/>
      <c r="EC14" s="105"/>
      <c r="ED14" s="105"/>
      <c r="EE14" s="105"/>
      <c r="EF14" s="105"/>
      <c r="EG14" s="105"/>
      <c r="EH14" s="105"/>
      <c r="EI14" s="105"/>
      <c r="EJ14" s="105"/>
      <c r="EK14" s="105"/>
      <c r="EL14" s="105"/>
      <c r="EM14" s="105"/>
      <c r="EN14" s="105"/>
      <c r="EO14" s="105"/>
      <c r="EP14" s="105"/>
      <c r="EQ14" s="105"/>
      <c r="ER14" s="105"/>
      <c r="ES14" s="105"/>
    </row>
    <row r="15" spans="1:149" ht="15">
      <c r="H15" s="60" t="s">
        <v>429</v>
      </c>
      <c r="I15" s="74">
        <v>1.0857142857142856</v>
      </c>
      <c r="J15" s="74">
        <v>1.0642857142857143</v>
      </c>
      <c r="K15" s="74">
        <v>1.0642857142857143</v>
      </c>
      <c r="L15" s="74">
        <v>0.97857142857142854</v>
      </c>
      <c r="M15" s="74">
        <v>0.88571428571428568</v>
      </c>
      <c r="N15" s="74">
        <v>0.91428571428571426</v>
      </c>
      <c r="O15" s="74">
        <v>0.95714285714285718</v>
      </c>
      <c r="P15" s="74">
        <v>0.95714285714285718</v>
      </c>
      <c r="Q15" s="74">
        <v>0.98571428571428577</v>
      </c>
      <c r="R15" s="74">
        <v>1</v>
      </c>
      <c r="S15" s="74">
        <v>1.0142857142857142</v>
      </c>
      <c r="T15" s="74">
        <v>1.0285714285714285</v>
      </c>
      <c r="U15" s="74">
        <v>1.0135135135135136</v>
      </c>
      <c r="V15" s="74">
        <v>1.0675675675675675</v>
      </c>
      <c r="W15" s="74">
        <v>1.1590057210495168</v>
      </c>
      <c r="X15" s="74">
        <v>1.1486486486486487</v>
      </c>
      <c r="Y15" s="74">
        <v>1.1689189189189189</v>
      </c>
      <c r="Z15" s="74">
        <v>1.1351351351351351</v>
      </c>
      <c r="AA15" s="74">
        <v>1.1689189189189189</v>
      </c>
      <c r="AB15" s="74">
        <v>1.2010435676034086</v>
      </c>
      <c r="AC15" s="74">
        <v>1.2297297297297298</v>
      </c>
      <c r="AD15" s="74">
        <v>1.3108108108108107</v>
      </c>
      <c r="AE15" s="74">
        <v>1.277027027027027</v>
      </c>
      <c r="AF15" s="74">
        <v>1.277027027027027</v>
      </c>
      <c r="AG15" s="74">
        <v>1.1524390243902438</v>
      </c>
      <c r="AH15" s="74">
        <v>1.1892299260071253</v>
      </c>
      <c r="AI15" s="74">
        <v>1.3512195121951218</v>
      </c>
      <c r="AJ15" s="74">
        <v>1.3512195121951218</v>
      </c>
      <c r="AK15" s="74">
        <v>1.3477257745550428</v>
      </c>
      <c r="AL15" s="74">
        <v>1.3109756097560976</v>
      </c>
      <c r="AM15" s="74">
        <v>1.3109756097560976</v>
      </c>
      <c r="AN15" s="74">
        <v>1.2309451219512195</v>
      </c>
      <c r="AO15" s="74">
        <v>1.1890243902439024</v>
      </c>
      <c r="AP15" s="74">
        <v>1.1646341463414633</v>
      </c>
      <c r="AQ15" s="74">
        <v>1.0975609756097562</v>
      </c>
      <c r="AR15" s="74">
        <v>1.0975609756097562</v>
      </c>
      <c r="AS15" s="74">
        <v>1.0843373493975903</v>
      </c>
      <c r="AT15" s="74">
        <v>1.0843373493975903</v>
      </c>
      <c r="AU15" s="74">
        <v>1.1204819277108433</v>
      </c>
      <c r="AV15" s="74">
        <v>1.1204819277108433</v>
      </c>
      <c r="AW15" s="74">
        <v>1.0963855421686748</v>
      </c>
      <c r="AX15" s="74">
        <v>1.0963855421686748</v>
      </c>
      <c r="AY15" s="74">
        <v>0.97590361445783136</v>
      </c>
      <c r="AZ15" s="74"/>
      <c r="BA15" s="74"/>
      <c r="BB15" s="74"/>
      <c r="BC15" s="74"/>
      <c r="BD15">
        <v>0.97590361445783136</v>
      </c>
      <c r="BE15" s="74"/>
      <c r="BF15" s="74"/>
      <c r="BG15" s="74"/>
      <c r="BH15" s="74"/>
      <c r="BI15">
        <v>1.0120481927710843</v>
      </c>
      <c r="BJ15" s="74"/>
      <c r="BK15" s="74"/>
      <c r="BL15">
        <v>1.0602409638554218</v>
      </c>
      <c r="BM15" s="74"/>
      <c r="BN15" s="74"/>
      <c r="BO15" s="74"/>
      <c r="BP15">
        <v>1.0602409638554218</v>
      </c>
      <c r="BQ15" s="74"/>
      <c r="BR15" s="74"/>
      <c r="BS15" s="74"/>
      <c r="BT15">
        <v>1.0602409638554218</v>
      </c>
      <c r="BU15" s="74"/>
      <c r="BV15" s="74"/>
      <c r="BW15">
        <v>1.036144578313253</v>
      </c>
      <c r="BX15"/>
      <c r="BY15" s="74"/>
      <c r="BZ15" s="74"/>
      <c r="CA15" s="74"/>
      <c r="CB15">
        <v>1.0542168674698795</v>
      </c>
      <c r="CC15" s="74"/>
      <c r="CD15" s="74"/>
      <c r="CE15">
        <v>1.0542168674698795</v>
      </c>
      <c r="CF15" s="74"/>
      <c r="CG15" s="74"/>
      <c r="CH15" s="74"/>
      <c r="CI15">
        <v>1.1325301204819278</v>
      </c>
      <c r="CJ15" s="74"/>
      <c r="CK15" s="74"/>
      <c r="CL15" s="74"/>
      <c r="CM15" s="74"/>
      <c r="CN15">
        <v>1.1156626506024097</v>
      </c>
      <c r="CO15" s="74"/>
      <c r="CP15" s="74"/>
      <c r="CQ15" s="74"/>
      <c r="CR15" s="74">
        <v>1.0819277108433734</v>
      </c>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row>
    <row r="16" spans="1:149">
      <c r="H16" s="60" t="s">
        <v>406</v>
      </c>
      <c r="I16" s="74">
        <f>I15-I13</f>
        <v>0.39990611318307112</v>
      </c>
      <c r="J16" s="74">
        <f t="shared" ref="J16:AY16" si="6">J15-J13</f>
        <v>0.38993951678287664</v>
      </c>
      <c r="K16" s="74">
        <f t="shared" si="6"/>
        <v>0.41541057240149182</v>
      </c>
      <c r="L16" s="74">
        <f t="shared" si="6"/>
        <v>0.48033210961569639</v>
      </c>
      <c r="M16" s="74">
        <f t="shared" si="6"/>
        <v>0.45423460353494405</v>
      </c>
      <c r="N16" s="74">
        <f t="shared" si="6"/>
        <v>0.42697984595427269</v>
      </c>
      <c r="O16" s="74">
        <f t="shared" si="6"/>
        <v>0.39978521809631917</v>
      </c>
      <c r="P16" s="74">
        <f t="shared" si="6"/>
        <v>0.36579409437327715</v>
      </c>
      <c r="Q16" s="74">
        <f t="shared" si="6"/>
        <v>0.39656240149181121</v>
      </c>
      <c r="R16" s="74">
        <f t="shared" si="6"/>
        <v>0.41927903518728715</v>
      </c>
      <c r="S16" s="74">
        <f t="shared" si="6"/>
        <v>0.42967404572725787</v>
      </c>
      <c r="T16" s="74">
        <f t="shared" si="6"/>
        <v>0.41235017999027068</v>
      </c>
      <c r="U16" s="74">
        <f t="shared" si="6"/>
        <v>0.34744540908672583</v>
      </c>
      <c r="V16" s="74">
        <f t="shared" si="6"/>
        <v>0.35119412829401475</v>
      </c>
      <c r="W16" s="74">
        <f t="shared" si="6"/>
        <v>0.39742115805292211</v>
      </c>
      <c r="X16" s="74">
        <f t="shared" si="6"/>
        <v>0.35267816056692336</v>
      </c>
      <c r="Y16" s="74">
        <f t="shared" si="6"/>
        <v>0.35702902107555912</v>
      </c>
      <c r="Z16" s="74">
        <f t="shared" si="6"/>
        <v>0.3073258275301407</v>
      </c>
      <c r="AA16" s="74">
        <f t="shared" si="6"/>
        <v>0.32519020155229006</v>
      </c>
      <c r="AB16" s="74">
        <f t="shared" si="6"/>
        <v>0.3216553723707184</v>
      </c>
      <c r="AC16" s="74">
        <f t="shared" si="6"/>
        <v>0.35670929840169352</v>
      </c>
      <c r="AD16" s="74">
        <f t="shared" si="6"/>
        <v>0.432059391968586</v>
      </c>
      <c r="AE16" s="74">
        <f t="shared" si="6"/>
        <v>0.3460599441666411</v>
      </c>
      <c r="AF16" s="74">
        <f t="shared" si="6"/>
        <v>0.36070580114734474</v>
      </c>
      <c r="AG16" s="74">
        <f t="shared" si="6"/>
        <v>0.23484424572963081</v>
      </c>
      <c r="AH16" s="74">
        <f t="shared" si="6"/>
        <v>0.22132981249974726</v>
      </c>
      <c r="AI16" s="74">
        <f t="shared" si="6"/>
        <v>0.3457495916502864</v>
      </c>
      <c r="AJ16" s="74">
        <f t="shared" si="6"/>
        <v>0.20502200935743731</v>
      </c>
      <c r="AK16" s="74">
        <f t="shared" si="6"/>
        <v>0.2734840038399462</v>
      </c>
      <c r="AL16" s="74">
        <f t="shared" si="6"/>
        <v>0.23800739182193187</v>
      </c>
      <c r="AM16" s="74">
        <f t="shared" si="6"/>
        <v>0.34052839068685814</v>
      </c>
      <c r="AN16" s="74">
        <f t="shared" si="6"/>
        <v>0.31271356690014118</v>
      </c>
      <c r="AO16" s="74">
        <f t="shared" si="6"/>
        <v>0.364398964591235</v>
      </c>
      <c r="AP16" s="74">
        <f t="shared" si="6"/>
        <v>0.37566819855485711</v>
      </c>
      <c r="AQ16" s="74">
        <f t="shared" si="6"/>
        <v>0.25574258741452349</v>
      </c>
      <c r="AR16" s="74">
        <f t="shared" si="6"/>
        <v>0.24109673043381974</v>
      </c>
      <c r="AS16" s="74">
        <f t="shared" si="6"/>
        <v>0.27754166267795355</v>
      </c>
      <c r="AT16" s="74">
        <f t="shared" si="6"/>
        <v>0.22596277505025764</v>
      </c>
      <c r="AU16" s="74">
        <f t="shared" si="6"/>
        <v>0.24109373247815313</v>
      </c>
      <c r="AV16" s="74">
        <f t="shared" si="6"/>
        <v>0.24555116721141079</v>
      </c>
      <c r="AW16" s="74">
        <f t="shared" si="6"/>
        <v>0.23737419143087679</v>
      </c>
      <c r="AX16" s="74">
        <f t="shared" si="6"/>
        <v>0.29786794852508791</v>
      </c>
      <c r="AY16" s="74">
        <f t="shared" si="6"/>
        <v>0.17738602081424448</v>
      </c>
      <c r="AZ16" s="74"/>
      <c r="BA16" s="74"/>
      <c r="BB16" s="74"/>
      <c r="BC16" s="74"/>
      <c r="BD16" s="74">
        <f>BD15-BD13</f>
        <v>0.19330543057587901</v>
      </c>
      <c r="BE16" s="74"/>
      <c r="BF16" s="74"/>
      <c r="BG16" s="74"/>
      <c r="BH16" s="74"/>
      <c r="BI16" s="74">
        <f>BI15-BI13</f>
        <v>0.19888474214679375</v>
      </c>
      <c r="BJ16" s="74"/>
      <c r="BK16" s="74"/>
      <c r="BL16" s="74">
        <f>BL15-BL13</f>
        <v>0.21332836453646598</v>
      </c>
      <c r="BM16" s="74"/>
      <c r="BN16" s="74"/>
      <c r="BO16" s="74"/>
      <c r="BP16" s="74">
        <f>BP15-BP13</f>
        <v>0.23306843264089283</v>
      </c>
      <c r="BQ16" s="74"/>
      <c r="BR16" s="74"/>
      <c r="BS16" s="74"/>
      <c r="BT16" s="74">
        <f>BT15-BT13</f>
        <v>0.24134652571694271</v>
      </c>
      <c r="BU16" s="74"/>
      <c r="BV16" s="74"/>
      <c r="BW16" s="74">
        <f>BW15-BW13</f>
        <v>0.20578816514639708</v>
      </c>
      <c r="BX16" s="74"/>
      <c r="BY16" s="74"/>
      <c r="BZ16" s="74"/>
      <c r="CA16" s="74"/>
      <c r="CB16" s="74">
        <f>CB15-CB13</f>
        <v>0.2289546654267467</v>
      </c>
      <c r="CC16" s="74"/>
      <c r="CD16" s="74"/>
      <c r="CE16" s="74">
        <f>CE15-CE13</f>
        <v>0.20921459732231995</v>
      </c>
      <c r="CF16" s="74"/>
      <c r="CG16" s="74"/>
      <c r="CH16" s="74"/>
      <c r="CI16" s="74">
        <f>CI15-CI13</f>
        <v>0.26906133501087215</v>
      </c>
      <c r="CJ16" s="74"/>
      <c r="CK16" s="74"/>
      <c r="CL16" s="74"/>
      <c r="CM16" s="74"/>
      <c r="CN16" s="74">
        <f>CN15-CN13</f>
        <v>0.25856162903600777</v>
      </c>
      <c r="CO16" s="74"/>
      <c r="CP16" s="74"/>
      <c r="CQ16" s="74"/>
      <c r="CR16" s="74">
        <f>CR15-CR13</f>
        <v>0.23883576986720989</v>
      </c>
      <c r="CS16" s="74"/>
      <c r="CT16" s="74"/>
      <c r="CU16" s="74"/>
      <c r="CV16" s="74"/>
      <c r="CW16" s="74"/>
      <c r="CX16" s="74"/>
      <c r="CY16" s="74"/>
      <c r="CZ16" s="74"/>
      <c r="DA16" s="74"/>
      <c r="DB16" s="74"/>
      <c r="DC16" s="74"/>
      <c r="DD16" s="74"/>
      <c r="DE16" s="74"/>
      <c r="DF16" s="74"/>
      <c r="DG16" s="74"/>
      <c r="DH16" s="74"/>
      <c r="DI16" s="74"/>
      <c r="DJ16" s="74"/>
      <c r="DK16" s="74"/>
      <c r="DL16" s="74"/>
      <c r="DM16" s="74"/>
      <c r="DN16" s="74"/>
      <c r="DO16" s="74"/>
      <c r="DP16" s="74"/>
      <c r="DQ16" s="74"/>
      <c r="DR16" s="74"/>
      <c r="DS16" s="74"/>
      <c r="DT16" s="74"/>
      <c r="DU16" s="74"/>
      <c r="DV16" s="74"/>
      <c r="DW16" s="74"/>
      <c r="DX16" s="74"/>
      <c r="DY16" s="74"/>
      <c r="DZ16" s="74"/>
      <c r="EA16" s="74"/>
      <c r="EB16" s="74"/>
      <c r="EC16" s="74"/>
      <c r="ED16" s="74"/>
      <c r="EE16" s="74"/>
      <c r="EF16" s="74"/>
      <c r="EG16" s="74"/>
      <c r="EH16" s="74"/>
      <c r="EI16" s="74"/>
      <c r="EJ16" s="74"/>
      <c r="EK16" s="74"/>
      <c r="EL16" s="74"/>
      <c r="EM16" s="74"/>
      <c r="EN16" s="74"/>
      <c r="EO16" s="74"/>
      <c r="EP16" s="74"/>
      <c r="EQ16" s="74"/>
      <c r="ER16" s="74"/>
      <c r="ES16" s="74"/>
    </row>
    <row r="18" spans="8:149" ht="13" thickBot="1"/>
    <row r="19" spans="8:149" s="73" customFormat="1" ht="13" thickBot="1">
      <c r="H19" s="257" t="s">
        <v>800</v>
      </c>
      <c r="I19" s="258">
        <f>0.18+I13</f>
        <v>0.86580817253121456</v>
      </c>
      <c r="J19" s="258">
        <f>0.18+J13</f>
        <v>0.85434619750283769</v>
      </c>
      <c r="K19" s="258">
        <f t="shared" ref="K19:BV19" si="7">0.18+K13</f>
        <v>0.8288751418842224</v>
      </c>
      <c r="L19" s="258">
        <f t="shared" si="7"/>
        <v>0.67823931895573208</v>
      </c>
      <c r="M19" s="258">
        <f t="shared" si="7"/>
        <v>0.61147968217934157</v>
      </c>
      <c r="N19" s="258">
        <f t="shared" si="7"/>
        <v>0.66730586833144157</v>
      </c>
      <c r="O19" s="258">
        <f t="shared" si="7"/>
        <v>0.73735763904653795</v>
      </c>
      <c r="P19" s="258">
        <f t="shared" si="7"/>
        <v>0.77134876276958009</v>
      </c>
      <c r="Q19" s="258">
        <f t="shared" si="7"/>
        <v>0.76915188422247449</v>
      </c>
      <c r="R19" s="258">
        <f t="shared" si="7"/>
        <v>0.7607209648127129</v>
      </c>
      <c r="S19" s="258">
        <f t="shared" si="7"/>
        <v>0.7646116685584563</v>
      </c>
      <c r="T19" s="258">
        <f t="shared" si="7"/>
        <v>0.79622124858115773</v>
      </c>
      <c r="U19" s="258">
        <f t="shared" si="7"/>
        <v>0.8460681044267877</v>
      </c>
      <c r="V19" s="258">
        <f t="shared" si="7"/>
        <v>0.89637343927355273</v>
      </c>
      <c r="W19" s="258">
        <f t="shared" si="7"/>
        <v>0.94158456299659465</v>
      </c>
      <c r="X19" s="258">
        <f t="shared" si="7"/>
        <v>0.97597048808172526</v>
      </c>
      <c r="Y19" s="258">
        <f t="shared" si="7"/>
        <v>0.99188989784335968</v>
      </c>
      <c r="Z19" s="258">
        <f t="shared" si="7"/>
        <v>1.0078093076049943</v>
      </c>
      <c r="AA19" s="258">
        <f t="shared" si="7"/>
        <v>1.0237287173666287</v>
      </c>
      <c r="AB19" s="258">
        <f t="shared" si="7"/>
        <v>1.0593881952326902</v>
      </c>
      <c r="AC19" s="258">
        <f t="shared" si="7"/>
        <v>1.0530204313280362</v>
      </c>
      <c r="AD19" s="258">
        <f t="shared" si="7"/>
        <v>1.0587514188422247</v>
      </c>
      <c r="AE19" s="258">
        <f t="shared" si="7"/>
        <v>1.1109670828603859</v>
      </c>
      <c r="AF19" s="258">
        <f t="shared" si="7"/>
        <v>1.0963212258796822</v>
      </c>
      <c r="AG19" s="258">
        <f t="shared" si="7"/>
        <v>1.0975947786606131</v>
      </c>
      <c r="AH19" s="258">
        <f t="shared" si="7"/>
        <v>1.1479001135073781</v>
      </c>
      <c r="AI19" s="258">
        <f t="shared" si="7"/>
        <v>1.1854699205448354</v>
      </c>
      <c r="AJ19" s="258">
        <f t="shared" si="7"/>
        <v>1.3261975028376844</v>
      </c>
      <c r="AK19" s="258">
        <f t="shared" si="7"/>
        <v>1.2542417707150966</v>
      </c>
      <c r="AL19" s="258">
        <f t="shared" si="7"/>
        <v>1.2529682179341657</v>
      </c>
      <c r="AM19" s="258">
        <f t="shared" si="7"/>
        <v>1.1504472190692394</v>
      </c>
      <c r="AN19" s="258">
        <f t="shared" si="7"/>
        <v>1.0982315550510784</v>
      </c>
      <c r="AO19" s="258">
        <f t="shared" si="7"/>
        <v>1.0046254256526674</v>
      </c>
      <c r="AP19" s="258">
        <f t="shared" si="7"/>
        <v>0.96896594778660616</v>
      </c>
      <c r="AQ19" s="258">
        <f t="shared" si="7"/>
        <v>1.0218183881952327</v>
      </c>
      <c r="AR19" s="258">
        <f t="shared" si="7"/>
        <v>1.0364642451759365</v>
      </c>
      <c r="AS19" s="258">
        <f t="shared" si="7"/>
        <v>0.9867956867196368</v>
      </c>
      <c r="AT19" s="258">
        <f t="shared" si="7"/>
        <v>1.0383745743473327</v>
      </c>
      <c r="AU19" s="258">
        <f t="shared" si="7"/>
        <v>1.0593881952326902</v>
      </c>
      <c r="AV19" s="258">
        <f t="shared" si="7"/>
        <v>1.0549307604994325</v>
      </c>
      <c r="AW19" s="258">
        <f t="shared" si="7"/>
        <v>1.039011350737798</v>
      </c>
      <c r="AX19" s="258">
        <f t="shared" si="7"/>
        <v>0.97851759364358681</v>
      </c>
      <c r="AY19" s="258">
        <f t="shared" si="7"/>
        <v>0.97851759364358681</v>
      </c>
      <c r="AZ19" s="258">
        <f t="shared" si="7"/>
        <v>0.96450851305334839</v>
      </c>
      <c r="BA19" s="258">
        <f t="shared" si="7"/>
        <v>0.96896594778660616</v>
      </c>
      <c r="BB19" s="258">
        <f t="shared" si="7"/>
        <v>0.96832917139614083</v>
      </c>
      <c r="BC19" s="258">
        <f t="shared" si="7"/>
        <v>0.96450851305334839</v>
      </c>
      <c r="BD19" s="258">
        <f t="shared" si="7"/>
        <v>0.9625981838819524</v>
      </c>
      <c r="BE19" s="258">
        <f t="shared" si="7"/>
        <v>0.96005107832009084</v>
      </c>
      <c r="BF19" s="258">
        <f t="shared" si="7"/>
        <v>0.95877752553916018</v>
      </c>
      <c r="BG19" s="258">
        <f t="shared" si="7"/>
        <v>0.95814074914869463</v>
      </c>
      <c r="BH19" s="258">
        <f t="shared" si="7"/>
        <v>0.99953121452894433</v>
      </c>
      <c r="BI19" s="258">
        <f t="shared" si="7"/>
        <v>0.99316345062429057</v>
      </c>
      <c r="BJ19" s="258">
        <f t="shared" si="7"/>
        <v>0.99316345062429057</v>
      </c>
      <c r="BK19" s="258">
        <f t="shared" si="7"/>
        <v>0.99316345062429057</v>
      </c>
      <c r="BL19" s="258">
        <f t="shared" si="7"/>
        <v>1.0269125993189558</v>
      </c>
      <c r="BM19" s="258">
        <f t="shared" si="7"/>
        <v>1.0275493757094212</v>
      </c>
      <c r="BN19" s="258">
        <f t="shared" si="7"/>
        <v>1.0275493757094212</v>
      </c>
      <c r="BO19" s="258">
        <f t="shared" si="7"/>
        <v>1.0281861520998865</v>
      </c>
      <c r="BP19" s="258">
        <f t="shared" si="7"/>
        <v>1.007172531214529</v>
      </c>
      <c r="BQ19" s="258">
        <f t="shared" si="7"/>
        <v>1.007172531214529</v>
      </c>
      <c r="BR19" s="258">
        <f t="shared" si="7"/>
        <v>1.0141770715096481</v>
      </c>
      <c r="BS19" s="258">
        <f t="shared" si="7"/>
        <v>1.0033518728717365</v>
      </c>
      <c r="BT19" s="258">
        <f t="shared" si="7"/>
        <v>0.998894438138479</v>
      </c>
      <c r="BU19" s="258">
        <f t="shared" si="7"/>
        <v>1.000804767309875</v>
      </c>
      <c r="BV19" s="258">
        <f t="shared" si="7"/>
        <v>1.0039886492622021</v>
      </c>
      <c r="BW19" s="258">
        <f t="shared" ref="BW19:CT19" si="8">0.18+BW13</f>
        <v>1.0103564131668559</v>
      </c>
      <c r="BX19" s="258">
        <f t="shared" si="8"/>
        <v>1.0052622020431328</v>
      </c>
      <c r="BY19" s="258">
        <f t="shared" si="8"/>
        <v>1.0052622020431328</v>
      </c>
      <c r="BZ19" s="258">
        <f t="shared" si="8"/>
        <v>1.0052622020431328</v>
      </c>
      <c r="CA19" s="258">
        <f t="shared" si="8"/>
        <v>1.0052622020431328</v>
      </c>
      <c r="CB19" s="258">
        <f t="shared" si="8"/>
        <v>1.0052622020431328</v>
      </c>
      <c r="CC19" s="258">
        <f t="shared" si="8"/>
        <v>0.99762088535754834</v>
      </c>
      <c r="CD19" s="258">
        <f t="shared" si="8"/>
        <v>0.99762088535754834</v>
      </c>
      <c r="CE19" s="258">
        <f t="shared" si="8"/>
        <v>1.0250022701475596</v>
      </c>
      <c r="CF19" s="258">
        <f t="shared" si="8"/>
        <v>1.0250022701475596</v>
      </c>
      <c r="CG19" s="258">
        <f t="shared" si="8"/>
        <v>1.0262758229284903</v>
      </c>
      <c r="CH19" s="258">
        <f t="shared" si="8"/>
        <v>1.0243654937570943</v>
      </c>
      <c r="CI19" s="258">
        <f t="shared" si="8"/>
        <v>1.0434687854710556</v>
      </c>
      <c r="CJ19" s="258">
        <f t="shared" si="8"/>
        <v>1.0434687854710556</v>
      </c>
      <c r="CK19" s="258">
        <f t="shared" si="8"/>
        <v>1.0434687854710556</v>
      </c>
      <c r="CL19" s="258">
        <f t="shared" si="8"/>
        <v>1.0326435868331441</v>
      </c>
      <c r="CM19" s="258">
        <f t="shared" si="8"/>
        <v>1.0326435868331441</v>
      </c>
      <c r="CN19" s="258">
        <f t="shared" si="8"/>
        <v>1.0371010215664018</v>
      </c>
      <c r="CO19" s="258">
        <f t="shared" si="8"/>
        <v>1.0371010215664018</v>
      </c>
      <c r="CP19" s="258">
        <f t="shared" si="8"/>
        <v>1.0371010215664018</v>
      </c>
      <c r="CQ19" s="258">
        <f t="shared" si="8"/>
        <v>1.0371010215664018</v>
      </c>
      <c r="CR19" s="258">
        <f t="shared" si="8"/>
        <v>1.0230919409761634</v>
      </c>
      <c r="CS19" s="258">
        <f t="shared" si="8"/>
        <v>1.0167241770715096</v>
      </c>
      <c r="CT19" s="258">
        <f t="shared" si="8"/>
        <v>1.0167241770715096</v>
      </c>
      <c r="CU19" s="258">
        <f>0.18+CU13</f>
        <v>1.0135402951191828</v>
      </c>
      <c r="CV19" s="258">
        <f>0.18+CV13</f>
        <v>1.0135402951191828</v>
      </c>
      <c r="CW19" s="258">
        <f t="shared" ref="CW19:ES19" si="9">0.18+CW13</f>
        <v>1.0199080590238365</v>
      </c>
      <c r="CX19" s="258">
        <f t="shared" si="9"/>
        <v>1.0230919409761634</v>
      </c>
      <c r="CY19" s="258">
        <f t="shared" si="9"/>
        <v>1.0230919409761634</v>
      </c>
      <c r="CZ19" s="258">
        <f t="shared" si="9"/>
        <v>1.0396481271282634</v>
      </c>
      <c r="DA19" s="258">
        <f t="shared" si="9"/>
        <v>1.0396481271282634</v>
      </c>
      <c r="DB19" s="258">
        <f t="shared" si="9"/>
        <v>1.0441055618615209</v>
      </c>
      <c r="DC19" s="258">
        <f t="shared" si="9"/>
        <v>1.049199772985244</v>
      </c>
      <c r="DD19" s="258">
        <f t="shared" si="9"/>
        <v>1.0371010215664018</v>
      </c>
      <c r="DE19" s="258">
        <f t="shared" si="9"/>
        <v>1.0371010215664018</v>
      </c>
      <c r="DF19" s="258">
        <f t="shared" si="9"/>
        <v>1.0371010215664018</v>
      </c>
      <c r="DG19" s="258">
        <f t="shared" si="9"/>
        <v>1.0371010215664018</v>
      </c>
      <c r="DH19" s="258">
        <f t="shared" si="9"/>
        <v>1.0148138479001134</v>
      </c>
      <c r="DI19" s="258">
        <f t="shared" si="9"/>
        <v>1.0090828603859252</v>
      </c>
      <c r="DJ19" s="258">
        <f t="shared" si="9"/>
        <v>1.0090828603859252</v>
      </c>
      <c r="DK19" s="258">
        <f t="shared" si="9"/>
        <v>1.0014415437003406</v>
      </c>
      <c r="DL19" s="258">
        <f t="shared" si="9"/>
        <v>1.0167241770715096</v>
      </c>
      <c r="DM19" s="258">
        <f t="shared" si="9"/>
        <v>1.0141770715096481</v>
      </c>
      <c r="DN19" s="258">
        <f t="shared" si="9"/>
        <v>1.0020783200908059</v>
      </c>
      <c r="DO19" s="258">
        <f t="shared" si="9"/>
        <v>1.0001679909194099</v>
      </c>
      <c r="DP19" s="258">
        <f t="shared" si="9"/>
        <v>1.0001679909194099</v>
      </c>
      <c r="DQ19" s="258">
        <f t="shared" si="9"/>
        <v>0.98870601589103302</v>
      </c>
      <c r="DR19" s="258">
        <f t="shared" si="9"/>
        <v>0.98743246311010213</v>
      </c>
      <c r="DS19" s="258">
        <f t="shared" si="9"/>
        <v>0.98552213393870591</v>
      </c>
      <c r="DT19" s="258">
        <f t="shared" si="9"/>
        <v>0.18</v>
      </c>
      <c r="DU19" s="258">
        <f t="shared" si="9"/>
        <v>0.18</v>
      </c>
      <c r="DV19" s="258">
        <f t="shared" si="9"/>
        <v>0.18</v>
      </c>
      <c r="DW19" s="258">
        <f t="shared" si="9"/>
        <v>0.18</v>
      </c>
      <c r="DX19" s="258">
        <f t="shared" si="9"/>
        <v>0.18</v>
      </c>
      <c r="DY19" s="258">
        <f t="shared" si="9"/>
        <v>0.18</v>
      </c>
      <c r="DZ19" s="258">
        <f t="shared" si="9"/>
        <v>0.18</v>
      </c>
      <c r="EA19" s="258">
        <f t="shared" si="9"/>
        <v>0.18</v>
      </c>
      <c r="EB19" s="258">
        <f t="shared" si="9"/>
        <v>0.18</v>
      </c>
      <c r="EC19" s="258">
        <f t="shared" si="9"/>
        <v>0.18</v>
      </c>
      <c r="ED19" s="258">
        <f t="shared" si="9"/>
        <v>0.18</v>
      </c>
      <c r="EE19" s="258">
        <f t="shared" si="9"/>
        <v>0.18</v>
      </c>
      <c r="EF19" s="258">
        <f t="shared" si="9"/>
        <v>0.18</v>
      </c>
      <c r="EG19" s="258">
        <f t="shared" si="9"/>
        <v>0.18</v>
      </c>
      <c r="EH19" s="258">
        <f t="shared" si="9"/>
        <v>0.18</v>
      </c>
      <c r="EI19" s="258">
        <f t="shared" si="9"/>
        <v>0.18</v>
      </c>
      <c r="EJ19" s="258">
        <f t="shared" si="9"/>
        <v>0.18</v>
      </c>
      <c r="EK19" s="258">
        <f t="shared" si="9"/>
        <v>0.18</v>
      </c>
      <c r="EL19" s="258">
        <f t="shared" si="9"/>
        <v>0.18</v>
      </c>
      <c r="EM19" s="258">
        <f t="shared" si="9"/>
        <v>0.18</v>
      </c>
      <c r="EN19" s="258">
        <f t="shared" si="9"/>
        <v>0.18</v>
      </c>
      <c r="EO19" s="258">
        <f t="shared" si="9"/>
        <v>0.18</v>
      </c>
      <c r="EP19" s="258">
        <f t="shared" si="9"/>
        <v>0.18</v>
      </c>
      <c r="EQ19" s="258">
        <f t="shared" si="9"/>
        <v>0.18</v>
      </c>
      <c r="ER19" s="258">
        <f t="shared" si="9"/>
        <v>0.18</v>
      </c>
      <c r="ES19" s="258">
        <f t="shared" si="9"/>
        <v>0.18</v>
      </c>
    </row>
  </sheetData>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CZ19"/>
  <sheetViews>
    <sheetView workbookViewId="0">
      <pane xSplit="11" ySplit="7" topLeftCell="AF8" activePane="bottomRight" state="frozen"/>
      <selection pane="topRight" activeCell="L1" sqref="L1"/>
      <selection pane="bottomLeft" activeCell="A7" sqref="A7"/>
      <selection pane="bottomRight" activeCell="AN8" sqref="AN8"/>
    </sheetView>
  </sheetViews>
  <sheetFormatPr baseColWidth="10" defaultColWidth="22.6640625" defaultRowHeight="12"/>
  <cols>
    <col min="1" max="1" width="16.1640625" style="60" bestFit="1" customWidth="1"/>
    <col min="2" max="2" width="11.33203125" style="60" bestFit="1" customWidth="1"/>
    <col min="3" max="3" width="4.83203125" style="60" bestFit="1" customWidth="1"/>
    <col min="4" max="4" width="12.33203125" style="60" bestFit="1" customWidth="1"/>
    <col min="5" max="5" width="18.83203125" style="60" bestFit="1" customWidth="1"/>
    <col min="6" max="6" width="6.5" style="60" bestFit="1" customWidth="1"/>
    <col min="7" max="7" width="4.1640625" style="60" bestFit="1" customWidth="1"/>
    <col min="8" max="8" width="22.83203125" style="60" bestFit="1" customWidth="1"/>
    <col min="9" max="9" width="6.5" style="60" customWidth="1"/>
    <col min="10" max="11" width="6.1640625" style="60" bestFit="1" customWidth="1"/>
    <col min="12" max="12" width="5.5" style="60" bestFit="1" customWidth="1"/>
    <col min="13" max="13" width="5.83203125" style="60" bestFit="1" customWidth="1"/>
    <col min="14" max="18" width="5.5" style="60" bestFit="1" customWidth="1"/>
    <col min="19" max="19" width="5.6640625" style="60" bestFit="1" customWidth="1"/>
    <col min="20" max="20" width="6.1640625" style="60" bestFit="1" customWidth="1"/>
    <col min="21" max="21" width="5.5" style="60" bestFit="1" customWidth="1"/>
    <col min="22" max="26" width="6.1640625" style="60" bestFit="1" customWidth="1"/>
    <col min="27" max="30" width="5.5" style="60" bestFit="1" customWidth="1"/>
    <col min="31" max="31" width="5.6640625" style="60" bestFit="1" customWidth="1"/>
    <col min="32" max="34" width="5.5" style="60" bestFit="1" customWidth="1"/>
    <col min="35" max="35" width="5.6640625" style="60" bestFit="1" customWidth="1"/>
    <col min="36" max="36" width="5.5" style="60" bestFit="1" customWidth="1"/>
    <col min="37" max="37" width="5.83203125" style="60" bestFit="1" customWidth="1"/>
    <col min="38" max="42" width="5.5" style="60" bestFit="1" customWidth="1"/>
    <col min="43" max="43" width="5.6640625" style="60" bestFit="1" customWidth="1"/>
    <col min="44" max="46" width="5.5" style="60" bestFit="1" customWidth="1"/>
    <col min="47" max="47" width="5.6640625" style="60" bestFit="1" customWidth="1"/>
    <col min="48" max="48" width="5.5" style="60" bestFit="1" customWidth="1"/>
    <col min="49" max="49" width="5.83203125" style="60" bestFit="1" customWidth="1"/>
    <col min="50" max="51" width="5.5" style="60" bestFit="1" customWidth="1"/>
    <col min="52" max="54" width="7" style="60" bestFit="1" customWidth="1"/>
    <col min="55" max="56" width="5.5" style="60" bestFit="1" customWidth="1"/>
    <col min="57" max="58" width="5.83203125" style="60" bestFit="1" customWidth="1"/>
    <col min="59" max="70" width="5.6640625" style="60" bestFit="1" customWidth="1"/>
    <col min="71" max="80" width="5.5" style="60" bestFit="1" customWidth="1"/>
    <col min="81" max="90" width="6.1640625" style="60" bestFit="1" customWidth="1"/>
    <col min="91" max="95" width="6.33203125" style="60" bestFit="1" customWidth="1"/>
    <col min="96" max="99" width="6.1640625" style="60" bestFit="1" customWidth="1"/>
    <col min="100" max="104" width="5.1640625" style="60" bestFit="1" customWidth="1"/>
    <col min="105" max="16384" width="22.6640625" style="60"/>
  </cols>
  <sheetData>
    <row r="1" spans="1:104" ht="13">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row>
    <row r="2" spans="1:104">
      <c r="A2" s="59"/>
      <c r="B2" s="59"/>
      <c r="C2" s="59"/>
      <c r="D2" s="98"/>
      <c r="E2" s="98"/>
      <c r="F2" s="59"/>
      <c r="H2" s="99"/>
      <c r="I2" s="99"/>
      <c r="J2" s="99"/>
      <c r="K2" s="99"/>
      <c r="L2" s="99"/>
      <c r="M2" s="99"/>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99"/>
      <c r="AP2" s="99"/>
      <c r="AQ2" s="99"/>
      <c r="AR2" s="99"/>
      <c r="AS2" s="99"/>
      <c r="AT2" s="99"/>
      <c r="AU2" s="99"/>
      <c r="AV2" s="99"/>
      <c r="AW2" s="99"/>
      <c r="AX2" s="99"/>
      <c r="AY2" s="99"/>
      <c r="AZ2" s="99"/>
      <c r="BA2" s="99"/>
      <c r="BB2" s="99"/>
      <c r="BC2" s="99"/>
      <c r="BD2" s="99"/>
      <c r="BE2" s="99"/>
      <c r="BF2" s="99"/>
      <c r="BG2" s="99"/>
      <c r="BH2" s="99"/>
      <c r="BI2" s="99"/>
      <c r="BJ2" s="99"/>
      <c r="BK2" s="99"/>
      <c r="BL2" s="99"/>
      <c r="BM2" s="99"/>
      <c r="BN2" s="99"/>
      <c r="BO2" s="99"/>
      <c r="BP2" s="99"/>
      <c r="BQ2" s="99"/>
      <c r="BR2" s="99"/>
      <c r="BS2" s="99"/>
      <c r="BT2" s="99"/>
      <c r="BU2" s="99"/>
      <c r="BV2" s="99"/>
      <c r="BW2" s="99"/>
      <c r="BX2" s="99"/>
      <c r="BY2" s="99"/>
      <c r="BZ2" s="99"/>
      <c r="CA2" s="99"/>
      <c r="CB2" s="99"/>
      <c r="CC2" s="99"/>
      <c r="CD2" s="99"/>
      <c r="CE2" s="99"/>
      <c r="CF2" s="99"/>
      <c r="CG2" s="99"/>
      <c r="CH2" s="99"/>
      <c r="CI2" s="99"/>
      <c r="CJ2" s="99"/>
      <c r="CK2" s="99"/>
      <c r="CL2" s="99"/>
      <c r="CM2" s="99"/>
      <c r="CN2" s="99"/>
    </row>
    <row r="3" spans="1:104" ht="15">
      <c r="A3" t="s">
        <v>805</v>
      </c>
      <c r="B3" s="100"/>
      <c r="C3" s="101"/>
      <c r="D3" s="282">
        <v>607.02</v>
      </c>
      <c r="K3" s="102"/>
      <c r="M3" s="102"/>
    </row>
    <row r="4" spans="1:104">
      <c r="A4" s="36"/>
      <c r="B4" s="64"/>
      <c r="D4" s="100"/>
      <c r="E4" s="64"/>
      <c r="F4" s="103"/>
    </row>
    <row r="5" spans="1:104">
      <c r="A5" s="64"/>
      <c r="B5" s="64"/>
      <c r="D5" s="64"/>
      <c r="E5" s="64"/>
      <c r="H5" s="60" t="s">
        <v>387</v>
      </c>
    </row>
    <row r="6" spans="1:104">
      <c r="A6" s="74"/>
      <c r="B6" s="74"/>
    </row>
    <row r="7" spans="1:104">
      <c r="A7" s="59"/>
      <c r="B7" s="59"/>
      <c r="C7" s="59"/>
      <c r="D7" s="98"/>
      <c r="E7" s="98"/>
      <c r="F7" s="59"/>
      <c r="H7" s="59" t="s">
        <v>416</v>
      </c>
      <c r="I7" s="59">
        <v>43831</v>
      </c>
      <c r="J7" s="59">
        <v>43862</v>
      </c>
      <c r="K7" s="59">
        <v>43891</v>
      </c>
      <c r="L7" s="59">
        <v>43922</v>
      </c>
      <c r="M7" s="59">
        <v>43952</v>
      </c>
      <c r="N7" s="59">
        <v>43983</v>
      </c>
      <c r="O7" s="59">
        <v>44013</v>
      </c>
      <c r="P7" s="59">
        <v>44044</v>
      </c>
      <c r="Q7" s="59">
        <v>44075</v>
      </c>
      <c r="R7" s="59">
        <v>44105</v>
      </c>
      <c r="S7" s="59">
        <v>44136</v>
      </c>
      <c r="T7" s="59">
        <v>44166</v>
      </c>
      <c r="U7" s="59">
        <v>44197</v>
      </c>
      <c r="V7" s="59">
        <v>44228</v>
      </c>
      <c r="W7" s="59">
        <v>44256</v>
      </c>
      <c r="X7" s="59">
        <v>44287</v>
      </c>
      <c r="Y7" s="59">
        <v>44317</v>
      </c>
      <c r="Z7" s="59">
        <v>44348</v>
      </c>
      <c r="AA7" s="59">
        <v>44378</v>
      </c>
      <c r="AB7" s="59">
        <v>44409</v>
      </c>
      <c r="AC7" s="59">
        <v>44440</v>
      </c>
      <c r="AD7" s="59">
        <v>44470</v>
      </c>
      <c r="AE7" s="59">
        <v>44501</v>
      </c>
      <c r="AF7" s="59">
        <v>44531</v>
      </c>
      <c r="AG7" s="59">
        <v>44562</v>
      </c>
      <c r="AH7" s="59">
        <v>44593</v>
      </c>
      <c r="AI7" s="59">
        <v>44621</v>
      </c>
      <c r="AJ7" s="59">
        <v>44652</v>
      </c>
      <c r="AK7" s="59">
        <v>44682</v>
      </c>
      <c r="AL7" s="59">
        <v>44713</v>
      </c>
      <c r="AM7" s="59">
        <v>44743</v>
      </c>
      <c r="AN7" s="59">
        <v>44774</v>
      </c>
      <c r="AO7" s="59">
        <v>44805</v>
      </c>
      <c r="AP7" s="59">
        <v>44835</v>
      </c>
      <c r="AQ7" s="59">
        <v>44866</v>
      </c>
      <c r="AR7" s="59">
        <v>44896</v>
      </c>
      <c r="AS7" s="59">
        <v>44927</v>
      </c>
      <c r="AT7" s="59">
        <v>44958</v>
      </c>
      <c r="AU7" s="59">
        <v>44986</v>
      </c>
      <c r="AV7" s="59">
        <v>45017</v>
      </c>
      <c r="AW7" s="59">
        <v>45047</v>
      </c>
      <c r="AX7" s="59">
        <v>45078</v>
      </c>
      <c r="AY7" s="59">
        <v>45108</v>
      </c>
      <c r="AZ7" s="59" t="s">
        <v>530</v>
      </c>
      <c r="BA7" s="59" t="s">
        <v>531</v>
      </c>
      <c r="BB7" s="59" t="s">
        <v>532</v>
      </c>
      <c r="BC7" s="59">
        <v>37104</v>
      </c>
      <c r="BD7" s="59">
        <v>37469</v>
      </c>
      <c r="BE7" s="59" t="s">
        <v>168</v>
      </c>
      <c r="BF7" s="59" t="s">
        <v>169</v>
      </c>
      <c r="BG7" s="59" t="s">
        <v>195</v>
      </c>
      <c r="BH7" s="59" t="s">
        <v>196</v>
      </c>
      <c r="BI7" s="59" t="s">
        <v>197</v>
      </c>
      <c r="BJ7" s="59" t="s">
        <v>198</v>
      </c>
      <c r="BK7" s="59" t="s">
        <v>199</v>
      </c>
      <c r="BL7" s="59" t="s">
        <v>200</v>
      </c>
      <c r="BM7" s="59" t="s">
        <v>201</v>
      </c>
      <c r="BN7" s="59" t="s">
        <v>202</v>
      </c>
      <c r="BO7" s="59">
        <v>37196</v>
      </c>
      <c r="BP7" s="59">
        <v>37561</v>
      </c>
      <c r="BQ7" s="59">
        <v>37926</v>
      </c>
      <c r="BR7" s="59">
        <v>38292</v>
      </c>
      <c r="BS7" s="59">
        <v>37226</v>
      </c>
      <c r="BT7" s="59">
        <v>37591</v>
      </c>
      <c r="BU7" s="59">
        <v>37956</v>
      </c>
      <c r="BV7" s="59">
        <v>38322</v>
      </c>
      <c r="BW7" s="59">
        <v>36892</v>
      </c>
      <c r="BX7" s="59">
        <v>37257</v>
      </c>
      <c r="BY7" s="59">
        <v>37622</v>
      </c>
      <c r="BZ7" s="59">
        <v>37987</v>
      </c>
      <c r="CA7" s="59">
        <v>36923</v>
      </c>
      <c r="CB7" s="59">
        <v>37288</v>
      </c>
      <c r="CC7" s="59">
        <v>37653</v>
      </c>
      <c r="CD7" s="59">
        <v>38018</v>
      </c>
      <c r="CE7" s="59" t="str">
        <f>Sheet8!A15</f>
        <v>Mar-w1</v>
      </c>
      <c r="CF7" s="59">
        <v>37316</v>
      </c>
      <c r="CG7" s="59">
        <v>37681</v>
      </c>
      <c r="CH7" s="59">
        <v>38047</v>
      </c>
      <c r="CI7" s="59" t="str">
        <f>Sheet8!E15</f>
        <v>Apr-w1</v>
      </c>
      <c r="CJ7" s="59" t="str">
        <f>Sheet8!F15</f>
        <v>Apr-w2</v>
      </c>
      <c r="CK7" s="59" t="str">
        <f>Sheet8!G15</f>
        <v>Apr-w3</v>
      </c>
      <c r="CL7" s="59" t="str">
        <f>Sheet8!H15</f>
        <v>Apr-w4</v>
      </c>
      <c r="CM7" s="59" t="str">
        <f>Sheet8!I15</f>
        <v>May-w1</v>
      </c>
      <c r="CN7" s="59" t="str">
        <f>Sheet8!J15</f>
        <v>May-w2</v>
      </c>
      <c r="CO7" s="59" t="str">
        <f>Sheet8!K15</f>
        <v>May-w3</v>
      </c>
      <c r="CP7" s="59" t="str">
        <f>Sheet8!L15</f>
        <v>May-w4</v>
      </c>
      <c r="CQ7" s="59" t="str">
        <f>Sheet8!M15</f>
        <v>May-w5</v>
      </c>
      <c r="CR7" s="59" t="str">
        <f>Sheet8!N15</f>
        <v>june-w1</v>
      </c>
      <c r="CS7" s="59" t="str">
        <f>Sheet8!O15</f>
        <v>june-w2</v>
      </c>
      <c r="CT7" s="59" t="str">
        <f>Sheet8!P15</f>
        <v>june-w3</v>
      </c>
      <c r="CU7" s="59" t="str">
        <f>Sheet8!Q15</f>
        <v>june-w4</v>
      </c>
      <c r="CV7" s="59" t="str">
        <f>Sheet8!R15</f>
        <v>Jul-w1</v>
      </c>
      <c r="CW7" s="59" t="str">
        <f>Sheet8!S15</f>
        <v>Jul-w2</v>
      </c>
      <c r="CX7" s="59" t="str">
        <f>Sheet8!T15</f>
        <v>Jul-w3</v>
      </c>
      <c r="CY7" s="59" t="str">
        <f>Sheet8!U15</f>
        <v>Jul-w4</v>
      </c>
      <c r="CZ7" s="59" t="str">
        <f>Sheet8!V15</f>
        <v>Aug-w1</v>
      </c>
    </row>
    <row r="8" spans="1:104">
      <c r="H8" s="178" t="s">
        <v>350</v>
      </c>
      <c r="I8" s="74">
        <f>VLOOKUP($H$8&amp;$F$1,'Input RM sheet'!$A:$BD,H1,0)</f>
        <v>0</v>
      </c>
      <c r="J8" s="74">
        <f>VLOOKUP($H$8&amp;$F$1,'Input RM sheet'!$A:$BD,I1,0)</f>
        <v>0</v>
      </c>
      <c r="K8" s="74">
        <f>VLOOKUP($H$8&amp;$F$1,'Input RM sheet'!$A:$DD,J1,0)</f>
        <v>0</v>
      </c>
      <c r="L8" s="74">
        <f>VLOOKUP($H$8&amp;$F$1,'Input RM sheet'!$A:$DD,K1,0)</f>
        <v>0</v>
      </c>
      <c r="M8" s="74">
        <f>VLOOKUP($H$8&amp;$F$1,'Input RM sheet'!$A:$DD,L1,0)</f>
        <v>0</v>
      </c>
      <c r="N8" s="74">
        <f>VLOOKUP($H$8&amp;$F$1,'Input RM sheet'!$A:$DD,M1,0)</f>
        <v>0</v>
      </c>
      <c r="O8" s="74">
        <f>VLOOKUP($H$8&amp;$F$1,'Input RM sheet'!$A:$DD,N1,0)</f>
        <v>0</v>
      </c>
      <c r="P8" s="74">
        <f>VLOOKUP($H$8&amp;$F$1,'Input RM sheet'!$A:$DD,O1,0)</f>
        <v>0</v>
      </c>
      <c r="Q8" s="74">
        <f>VLOOKUP($H$8&amp;$F$1,'Input RM sheet'!$A:$DD,P1,0)</f>
        <v>0</v>
      </c>
      <c r="R8" s="74">
        <f>VLOOKUP($H$8&amp;$F$1,'Input RM sheet'!$A:$DD,Q1,0)</f>
        <v>0</v>
      </c>
      <c r="S8" s="74">
        <f>VLOOKUP($H$8&amp;$F$1,'Input RM sheet'!$A:$DD,R1,0)</f>
        <v>0</v>
      </c>
      <c r="T8" s="74">
        <f>VLOOKUP($H$8&amp;$F$1,'Input RM sheet'!$A:$DD,S1,0)</f>
        <v>0</v>
      </c>
      <c r="U8" s="74">
        <f>VLOOKUP($H$8&amp;$F$1,'Input RM sheet'!$A:$DD,T1,0)</f>
        <v>0</v>
      </c>
      <c r="V8" s="74">
        <f>VLOOKUP($H$8&amp;$F$1,'Input RM sheet'!$A:$DD,U1,0)</f>
        <v>0</v>
      </c>
      <c r="W8" s="74">
        <f>VLOOKUP($H$8&amp;$F$1,'Input RM sheet'!$A:$DD,V1,0)</f>
        <v>0</v>
      </c>
      <c r="X8" s="74">
        <f>VLOOKUP($H$8&amp;$F$1,'Input RM sheet'!$A:$DD,W1,0)</f>
        <v>0</v>
      </c>
      <c r="Y8" s="74">
        <f>VLOOKUP($H$8&amp;$F$1,'Input RM sheet'!$A:$DD,X1,0)</f>
        <v>0</v>
      </c>
      <c r="Z8" s="74">
        <f>VLOOKUP($H$8&amp;$F$1,'Input RM sheet'!$A:$DD,Y1,0)</f>
        <v>0</v>
      </c>
      <c r="AA8" s="74">
        <f>VLOOKUP($H$8&amp;$F$1,'Input RM sheet'!$A:$DD,Z1,0)</f>
        <v>0</v>
      </c>
      <c r="AB8" s="74">
        <f>VLOOKUP($H$8&amp;$F$1,'Input RM sheet'!$A:$DD,AA1,0)</f>
        <v>0</v>
      </c>
      <c r="AC8" s="74">
        <f>VLOOKUP($H$8&amp;$F$1,'Input RM sheet'!$A:$DD,AB1,0)</f>
        <v>0</v>
      </c>
      <c r="AD8" s="74">
        <f>VLOOKUP($H$8&amp;$F$1,'Input RM sheet'!$A:$DD,AC1,0)</f>
        <v>0</v>
      </c>
      <c r="AE8" s="74">
        <f>VLOOKUP($H$8&amp;$F$1,'Input RM sheet'!$A:$DD,AD1,0)</f>
        <v>0</v>
      </c>
      <c r="AF8" s="74">
        <f>VLOOKUP($H$8&amp;$F$1,'Input RM sheet'!$A:$DD,AE1,0)</f>
        <v>0</v>
      </c>
      <c r="AG8" s="74">
        <f>VLOOKUP($H$8&amp;$F$1,'Input RM sheet'!$A:$DD,AF1,0)</f>
        <v>0</v>
      </c>
      <c r="AH8" s="74">
        <f>VLOOKUP($H$8&amp;$F$1,'Input RM sheet'!$A:$DD,AG1,0)</f>
        <v>0</v>
      </c>
      <c r="AI8" s="74">
        <f>VLOOKUP($H$8&amp;$F$1,'Input RM sheet'!$A:$DD,AH1,0)</f>
        <v>0</v>
      </c>
      <c r="AJ8" s="74">
        <f>VLOOKUP($H$8&amp;$F$1,'Input RM sheet'!$A:$DD,AI1,0)</f>
        <v>0</v>
      </c>
      <c r="AK8" s="74">
        <f>VLOOKUP($H$8&amp;$F$1,'Input RM sheet'!$A:$DD,AJ1,0)</f>
        <v>0</v>
      </c>
      <c r="AL8" s="74">
        <f>VLOOKUP($H$8&amp;$F$1,'Input RM sheet'!$A:$DD,AK1,0)</f>
        <v>0</v>
      </c>
      <c r="AM8" s="74">
        <f>VLOOKUP($H$8&amp;$F$1,'Input RM sheet'!$A:$DD,AL1,0)</f>
        <v>0</v>
      </c>
      <c r="AN8" s="74">
        <f>VLOOKUP($H$8&amp;$F$1,'Input RM sheet'!$A:$DD,AM1,0)</f>
        <v>0</v>
      </c>
      <c r="AO8" s="74">
        <f>VLOOKUP($H$8&amp;$F$1,'Input RM sheet'!$A:$DD,AN1,0)</f>
        <v>0</v>
      </c>
      <c r="AP8" s="74">
        <f>VLOOKUP($H$8&amp;$F$1,'Input RM sheet'!$A:$DD,AO1,0)</f>
        <v>0</v>
      </c>
      <c r="AQ8" s="74">
        <f>VLOOKUP($H$8&amp;$F$1,'Input RM sheet'!$A:$DD,AP1,0)</f>
        <v>0</v>
      </c>
      <c r="AR8" s="74">
        <f>VLOOKUP($H$8&amp;$F$1,'Input RM sheet'!$A:$DD,AQ1,0)</f>
        <v>0</v>
      </c>
      <c r="AS8" s="74">
        <f>VLOOKUP($H$8&amp;$F$1,'Input RM sheet'!$A:$DD,AR1,0)</f>
        <v>0</v>
      </c>
      <c r="AT8" s="74">
        <f>VLOOKUP($H$8&amp;$F$1,'Input RM sheet'!$A:$DD,AS1,0)</f>
        <v>0</v>
      </c>
      <c r="AU8" s="74">
        <f>VLOOKUP($H$8&amp;$F$1,'Input RM sheet'!$A:$DD,AT1,0)</f>
        <v>0</v>
      </c>
      <c r="AV8" s="74">
        <f>VLOOKUP($H$8&amp;$F$1,'Input RM sheet'!$A:$DD,AU1,0)</f>
        <v>0</v>
      </c>
      <c r="AW8" s="74">
        <f>VLOOKUP($H$8&amp;$F$1,'Input RM sheet'!$A:$DD,AV1,0)</f>
        <v>0</v>
      </c>
      <c r="AX8" s="74">
        <f>VLOOKUP($H$8&amp;$F$1,'Input RM sheet'!$A:$DD,AW1,0)</f>
        <v>0</v>
      </c>
      <c r="AY8" s="74">
        <f>VLOOKUP($H$8&amp;$F$1,'Input RM sheet'!$A:$DD,AX1,0)</f>
        <v>0</v>
      </c>
      <c r="AZ8" s="74">
        <f>VLOOKUP($H$8&amp;$F$1,'Input RM sheet'!$A:$DD,AY1,0)</f>
        <v>0</v>
      </c>
      <c r="BA8" s="74">
        <f>VLOOKUP($H$8&amp;$F$1,'Input RM sheet'!$A:$DD,AZ1,0)</f>
        <v>0</v>
      </c>
      <c r="BB8" s="74">
        <f>VLOOKUP($H$8&amp;$F$1,'Input RM sheet'!$A:$DD,BA1,0)</f>
        <v>0</v>
      </c>
      <c r="BC8" s="74">
        <f>VLOOKUP($H$8&amp;$F$1,'Input RM sheet'!$A:$DD,BB1,0)</f>
        <v>0</v>
      </c>
      <c r="BD8" s="74">
        <f>VLOOKUP($H$8&amp;$F$1,'Input RM sheet'!$A:$DD,BC1,0)</f>
        <v>0</v>
      </c>
      <c r="BE8" s="74">
        <f>VLOOKUP($H$8&amp;$F$1,'Input RM sheet'!$A:$DD,BD1,0)</f>
        <v>0</v>
      </c>
      <c r="BF8" s="74">
        <f>VLOOKUP($H$8&amp;$F$1,'Input RM sheet'!$A:$DD,BE1,0)</f>
        <v>0</v>
      </c>
      <c r="BG8" s="74">
        <f>VLOOKUP($H$8&amp;$F$1,'Input RM sheet'!$A:$DD,BF1,0)</f>
        <v>0</v>
      </c>
      <c r="BH8" s="74">
        <f>VLOOKUP($H$8&amp;$F$1,'Input RM sheet'!$A:$DD,BG1,0)</f>
        <v>0</v>
      </c>
      <c r="BI8" s="74">
        <f>VLOOKUP($H$8&amp;$F$1,'Input RM sheet'!$A:$DD,BH1,0)</f>
        <v>0</v>
      </c>
      <c r="BJ8" s="74">
        <f>VLOOKUP($H$8&amp;$F$1,'Input RM sheet'!$A:$DD,BI1,0)</f>
        <v>0</v>
      </c>
      <c r="BK8" s="74">
        <f>VLOOKUP($H$8&amp;$F$1,'Input RM sheet'!$A:$DD,BJ1,0)</f>
        <v>0</v>
      </c>
      <c r="BL8" s="74">
        <f>VLOOKUP($H$8&amp;$F$1,'Input RM sheet'!$A:$DD,BK1,0)</f>
        <v>0</v>
      </c>
      <c r="BM8" s="74">
        <f>VLOOKUP($H$8&amp;$F$1,'Input RM sheet'!$A:$DD,BL1,0)</f>
        <v>0</v>
      </c>
      <c r="BN8" s="74">
        <f>VLOOKUP($H$8&amp;$F$1,'Input RM sheet'!$A:$DD,BM1,0)</f>
        <v>0</v>
      </c>
      <c r="BO8" s="74">
        <f>VLOOKUP($H$8&amp;$F$1,'Input RM sheet'!$A:$DD,BN1,0)</f>
        <v>0</v>
      </c>
      <c r="BP8" s="74">
        <f>VLOOKUP($H$8&amp;$F$1,'Input RM sheet'!$A:$DD,BO1,0)</f>
        <v>0</v>
      </c>
      <c r="BQ8" s="74">
        <f>VLOOKUP($H$8&amp;$F$1,'Input RM sheet'!$A:$DD,BP1,0)</f>
        <v>0</v>
      </c>
      <c r="BR8" s="74">
        <f>VLOOKUP($H$8&amp;$F$1,'Input RM sheet'!$A:$DD,BQ1,0)</f>
        <v>0</v>
      </c>
      <c r="BS8" s="74">
        <f>VLOOKUP($H$8&amp;$F$1,'Input RM sheet'!$A:$DD,BR1,0)</f>
        <v>0</v>
      </c>
      <c r="BT8" s="74">
        <f>VLOOKUP($H$8&amp;$F$1,'Input RM sheet'!$A:$DD,BS1,0)</f>
        <v>0</v>
      </c>
      <c r="BU8" s="74">
        <f>VLOOKUP($H$8&amp;$F$1,'Input RM sheet'!$A:$DD,BT1,0)</f>
        <v>0</v>
      </c>
      <c r="BV8" s="74">
        <f>VLOOKUP($H$8&amp;$F$1,'Input RM sheet'!$A:$DD,BU1,0)</f>
        <v>0</v>
      </c>
      <c r="BW8" s="74">
        <f>VLOOKUP($H$8&amp;$F$1,'Input RM sheet'!$A:$DD,BV1,0)</f>
        <v>0</v>
      </c>
      <c r="BX8" s="74">
        <f>VLOOKUP($H$8&amp;$F$1,'Input RM sheet'!$A:$DD,BW1,0)</f>
        <v>0</v>
      </c>
      <c r="BY8" s="74">
        <f>VLOOKUP($H$8&amp;$F$1,'Input RM sheet'!$A:$DD,BX1,0)</f>
        <v>0</v>
      </c>
      <c r="BZ8" s="74">
        <f>VLOOKUP($H$8&amp;$F$1,'Input RM sheet'!$A:$DD,BY1,0)</f>
        <v>0</v>
      </c>
      <c r="CA8" s="74">
        <f>VLOOKUP($H$8&amp;$F$1,'Input RM sheet'!$A:$DD,BZ1,0)</f>
        <v>0</v>
      </c>
      <c r="CB8" s="74">
        <f>VLOOKUP($H$8&amp;$F$1,'Input RM sheet'!$A:$DD,CA1,0)</f>
        <v>0</v>
      </c>
      <c r="CC8" s="74">
        <f>VLOOKUP($H$8&amp;$F$1,'Input RM sheet'!$A:$DD,CB1,0)</f>
        <v>0</v>
      </c>
      <c r="CD8" s="74">
        <f>VLOOKUP($H$8&amp;$F$1,'Input RM sheet'!$A:$DD,CC1,0)</f>
        <v>0</v>
      </c>
      <c r="CE8" s="74">
        <f>VLOOKUP($H$8&amp;$F$1,'Input RM sheet'!$A:$DD,CD1,0)</f>
        <v>0</v>
      </c>
      <c r="CF8" s="74">
        <f>VLOOKUP($H$8&amp;$F$1,'Input RM sheet'!$A:$DD,CE1,0)</f>
        <v>0</v>
      </c>
      <c r="CG8" s="74">
        <f>VLOOKUP($H$8&amp;$F$1,'Input RM sheet'!$A:$DD,CF1,0)</f>
        <v>0</v>
      </c>
      <c r="CH8" s="74">
        <f>VLOOKUP($H$8&amp;$F$1,'Input RM sheet'!$A:$DD,CG1,0)</f>
        <v>0</v>
      </c>
      <c r="CI8" s="74">
        <f>VLOOKUP($H$8&amp;$F$1,'Input RM sheet'!$A:$DD,CH1,0)</f>
        <v>0</v>
      </c>
      <c r="CJ8" s="74">
        <f>VLOOKUP($H$8&amp;$F$1,'Input RM sheet'!$A:$DD,CI1,0)</f>
        <v>0</v>
      </c>
      <c r="CK8" s="74">
        <f>VLOOKUP($H$8&amp;$F$1,'Input RM sheet'!$A:$DD,CJ1,0)</f>
        <v>0</v>
      </c>
      <c r="CL8" s="74">
        <f>VLOOKUP($H$8&amp;$F$1,'Input RM sheet'!$A:$DD,CK1,0)</f>
        <v>0</v>
      </c>
      <c r="CM8" s="74">
        <f>VLOOKUP($H$8&amp;$F$1,'Input RM sheet'!$A:$DD,CL1,0)</f>
        <v>0</v>
      </c>
      <c r="CN8" s="74">
        <f>VLOOKUP($H$8&amp;$F$1,'Input RM sheet'!$A:$DD,CM1,0)</f>
        <v>0</v>
      </c>
      <c r="CO8" s="74">
        <f>VLOOKUP($H$8&amp;$F$1,'Input RM sheet'!$A:$DD,CN1,0)</f>
        <v>0</v>
      </c>
      <c r="CP8" s="74">
        <f>VLOOKUP($H$8&amp;$F$1,'Input RM sheet'!$A:$DD,CO1,0)</f>
        <v>0</v>
      </c>
      <c r="CQ8" s="74">
        <f>VLOOKUP($H$8&amp;$F$1,'Input RM sheet'!$A:$DD,CP1,0)</f>
        <v>0</v>
      </c>
      <c r="CR8" s="74">
        <f>VLOOKUP($H$8&amp;$F$1,'Input RM sheet'!$A:$DD,CQ1,0)</f>
        <v>0</v>
      </c>
    </row>
    <row r="9" spans="1:104">
      <c r="H9" s="107"/>
      <c r="I9" s="74"/>
      <c r="J9" s="74"/>
      <c r="K9" s="74"/>
      <c r="L9" s="74"/>
      <c r="M9" s="74"/>
      <c r="N9" s="74"/>
      <c r="O9" s="74"/>
      <c r="P9" s="74"/>
      <c r="Q9" s="74"/>
      <c r="R9" s="74"/>
      <c r="S9" s="74"/>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74"/>
      <c r="BG9" s="74"/>
      <c r="BH9" s="74"/>
      <c r="BI9" s="74"/>
      <c r="BJ9" s="74"/>
      <c r="BK9" s="74"/>
      <c r="BL9" s="74"/>
      <c r="BM9" s="74"/>
      <c r="BN9" s="74"/>
      <c r="BO9" s="74"/>
      <c r="BP9" s="74"/>
      <c r="BQ9" s="74"/>
      <c r="BR9" s="74"/>
      <c r="BS9" s="74"/>
      <c r="BT9" s="74"/>
      <c r="BU9" s="74"/>
      <c r="BV9" s="74"/>
      <c r="BW9" s="74"/>
      <c r="BX9" s="74"/>
      <c r="BY9" s="74"/>
      <c r="BZ9" s="74"/>
      <c r="CA9" s="74"/>
      <c r="CB9" s="74"/>
      <c r="CC9" s="74"/>
      <c r="CD9" s="74"/>
      <c r="CE9" s="74"/>
      <c r="CF9" s="74"/>
      <c r="CG9" s="74"/>
      <c r="CH9" s="74"/>
      <c r="CI9" s="74"/>
      <c r="CJ9" s="74"/>
      <c r="CK9" s="74"/>
      <c r="CL9" s="74"/>
      <c r="CM9" s="74"/>
      <c r="CN9" s="74"/>
      <c r="CO9" s="74"/>
      <c r="CP9" s="74"/>
      <c r="CQ9" s="74"/>
      <c r="CR9" s="74"/>
    </row>
    <row r="10" spans="1:104" ht="13">
      <c r="A10" s="59" t="s">
        <v>395</v>
      </c>
      <c r="B10" s="59"/>
      <c r="C10" s="59" t="s">
        <v>379</v>
      </c>
      <c r="D10" s="98" t="s">
        <v>380</v>
      </c>
      <c r="E10" s="98" t="s">
        <v>381</v>
      </c>
      <c r="F10" s="59" t="s">
        <v>396</v>
      </c>
      <c r="I10" s="84"/>
      <c r="J10" s="84"/>
      <c r="K10" s="84"/>
      <c r="L10" s="84"/>
      <c r="M10" s="84"/>
      <c r="N10" s="84"/>
      <c r="O10" s="84"/>
      <c r="P10" s="84"/>
      <c r="Q10" s="84"/>
      <c r="R10" s="84"/>
      <c r="S10" s="84"/>
      <c r="T10" s="84"/>
      <c r="U10" s="84"/>
      <c r="V10" s="84"/>
      <c r="W10" s="84"/>
      <c r="X10" s="84"/>
      <c r="Y10" s="84"/>
      <c r="Z10" s="84"/>
      <c r="AA10" s="84"/>
      <c r="AB10" s="84"/>
      <c r="AC10" s="84"/>
      <c r="AD10" s="84"/>
      <c r="AE10" s="84"/>
      <c r="AF10" s="84"/>
      <c r="AG10" s="84"/>
      <c r="AH10" s="84"/>
      <c r="AI10" s="84"/>
      <c r="AJ10" s="84"/>
      <c r="AK10" s="84"/>
      <c r="AL10" s="84"/>
      <c r="AM10" s="84"/>
      <c r="AN10" s="84"/>
      <c r="AO10" s="84"/>
      <c r="AP10" s="84"/>
      <c r="AQ10" s="84"/>
      <c r="AR10" s="84"/>
      <c r="AS10" s="84"/>
      <c r="AT10" s="84"/>
      <c r="AU10" s="84"/>
      <c r="AV10" s="84"/>
      <c r="AW10" s="84"/>
      <c r="AX10" s="84"/>
      <c r="AY10" s="84"/>
      <c r="AZ10" s="84"/>
      <c r="BA10" s="84"/>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84"/>
      <c r="CE10" s="84"/>
      <c r="CF10" s="84"/>
      <c r="CG10" s="84"/>
      <c r="CH10" s="84"/>
      <c r="CI10" s="84"/>
      <c r="CJ10" s="84"/>
      <c r="CK10" s="84"/>
      <c r="CL10" s="84"/>
      <c r="CM10" s="84"/>
      <c r="CN10" s="84"/>
      <c r="CO10" s="84"/>
      <c r="CP10" s="84"/>
      <c r="CQ10" s="84"/>
      <c r="CR10" s="84"/>
    </row>
    <row r="11" spans="1:104" ht="13">
      <c r="A11" s="107" t="s">
        <v>397</v>
      </c>
      <c r="B11" s="107" t="s">
        <v>350</v>
      </c>
      <c r="D11" s="77"/>
      <c r="E11" s="60">
        <f>D11*C11</f>
        <v>0</v>
      </c>
      <c r="F11" s="65">
        <v>0.93899999999999995</v>
      </c>
      <c r="H11" s="60" t="s">
        <v>399</v>
      </c>
      <c r="I11" s="74">
        <f>$F$11*(I8/1000)</f>
        <v>0</v>
      </c>
      <c r="J11" s="74">
        <f t="shared" ref="J11:BU11" si="0">$F$11*(J8/1000)</f>
        <v>0</v>
      </c>
      <c r="K11" s="74">
        <f t="shared" si="0"/>
        <v>0</v>
      </c>
      <c r="L11" s="74">
        <f t="shared" si="0"/>
        <v>0</v>
      </c>
      <c r="M11" s="74">
        <f t="shared" si="0"/>
        <v>0</v>
      </c>
      <c r="N11" s="74">
        <f t="shared" si="0"/>
        <v>0</v>
      </c>
      <c r="O11" s="74">
        <f t="shared" si="0"/>
        <v>0</v>
      </c>
      <c r="P11" s="74">
        <f t="shared" si="0"/>
        <v>0</v>
      </c>
      <c r="Q11" s="74">
        <f t="shared" si="0"/>
        <v>0</v>
      </c>
      <c r="R11" s="74">
        <f t="shared" si="0"/>
        <v>0</v>
      </c>
      <c r="S11" s="74">
        <f t="shared" si="0"/>
        <v>0</v>
      </c>
      <c r="T11" s="74">
        <f t="shared" si="0"/>
        <v>0</v>
      </c>
      <c r="U11" s="74">
        <f t="shared" si="0"/>
        <v>0</v>
      </c>
      <c r="V11" s="74">
        <f t="shared" si="0"/>
        <v>0</v>
      </c>
      <c r="W11" s="74">
        <f t="shared" si="0"/>
        <v>0</v>
      </c>
      <c r="X11" s="74">
        <f t="shared" si="0"/>
        <v>0</v>
      </c>
      <c r="Y11" s="74">
        <f t="shared" si="0"/>
        <v>0</v>
      </c>
      <c r="Z11" s="74">
        <f t="shared" si="0"/>
        <v>0</v>
      </c>
      <c r="AA11" s="74">
        <f t="shared" si="0"/>
        <v>0</v>
      </c>
      <c r="AB11" s="74">
        <f t="shared" si="0"/>
        <v>0</v>
      </c>
      <c r="AC11" s="74">
        <f t="shared" si="0"/>
        <v>0</v>
      </c>
      <c r="AD11" s="74">
        <f t="shared" si="0"/>
        <v>0</v>
      </c>
      <c r="AE11" s="74">
        <f t="shared" si="0"/>
        <v>0</v>
      </c>
      <c r="AF11" s="74">
        <f t="shared" si="0"/>
        <v>0</v>
      </c>
      <c r="AG11" s="74">
        <f t="shared" si="0"/>
        <v>0</v>
      </c>
      <c r="AH11" s="74">
        <f t="shared" si="0"/>
        <v>0</v>
      </c>
      <c r="AI11" s="74">
        <f t="shared" si="0"/>
        <v>0</v>
      </c>
      <c r="AJ11" s="74">
        <f t="shared" si="0"/>
        <v>0</v>
      </c>
      <c r="AK11" s="74">
        <f t="shared" si="0"/>
        <v>0</v>
      </c>
      <c r="AL11" s="74">
        <f t="shared" si="0"/>
        <v>0</v>
      </c>
      <c r="AM11" s="74">
        <f t="shared" si="0"/>
        <v>0</v>
      </c>
      <c r="AN11" s="74">
        <f t="shared" si="0"/>
        <v>0</v>
      </c>
      <c r="AO11" s="74">
        <f t="shared" si="0"/>
        <v>0</v>
      </c>
      <c r="AP11" s="74">
        <f t="shared" si="0"/>
        <v>0</v>
      </c>
      <c r="AQ11" s="74">
        <f t="shared" si="0"/>
        <v>0</v>
      </c>
      <c r="AR11" s="74">
        <f t="shared" si="0"/>
        <v>0</v>
      </c>
      <c r="AS11" s="74">
        <f t="shared" si="0"/>
        <v>0</v>
      </c>
      <c r="AT11" s="74">
        <f t="shared" si="0"/>
        <v>0</v>
      </c>
      <c r="AU11" s="74">
        <f t="shared" si="0"/>
        <v>0</v>
      </c>
      <c r="AV11" s="74">
        <f t="shared" si="0"/>
        <v>0</v>
      </c>
      <c r="AW11" s="74">
        <f t="shared" si="0"/>
        <v>0</v>
      </c>
      <c r="AX11" s="74">
        <f t="shared" si="0"/>
        <v>0</v>
      </c>
      <c r="AY11" s="74">
        <f t="shared" si="0"/>
        <v>0</v>
      </c>
      <c r="AZ11" s="74">
        <f t="shared" si="0"/>
        <v>0</v>
      </c>
      <c r="BA11" s="74">
        <f t="shared" si="0"/>
        <v>0</v>
      </c>
      <c r="BB11" s="74">
        <f t="shared" si="0"/>
        <v>0</v>
      </c>
      <c r="BC11" s="74">
        <f t="shared" si="0"/>
        <v>0</v>
      </c>
      <c r="BD11" s="74">
        <f t="shared" si="0"/>
        <v>0</v>
      </c>
      <c r="BE11" s="74">
        <f t="shared" si="0"/>
        <v>0</v>
      </c>
      <c r="BF11" s="74">
        <f t="shared" si="0"/>
        <v>0</v>
      </c>
      <c r="BG11" s="74">
        <f t="shared" si="0"/>
        <v>0</v>
      </c>
      <c r="BH11" s="74">
        <f t="shared" si="0"/>
        <v>0</v>
      </c>
      <c r="BI11" s="74">
        <f t="shared" si="0"/>
        <v>0</v>
      </c>
      <c r="BJ11" s="74">
        <f t="shared" si="0"/>
        <v>0</v>
      </c>
      <c r="BK11" s="74">
        <f t="shared" si="0"/>
        <v>0</v>
      </c>
      <c r="BL11" s="74">
        <f t="shared" si="0"/>
        <v>0</v>
      </c>
      <c r="BM11" s="74">
        <f t="shared" si="0"/>
        <v>0</v>
      </c>
      <c r="BN11" s="74">
        <f t="shared" si="0"/>
        <v>0</v>
      </c>
      <c r="BO11" s="74">
        <f t="shared" si="0"/>
        <v>0</v>
      </c>
      <c r="BP11" s="74">
        <f t="shared" si="0"/>
        <v>0</v>
      </c>
      <c r="BQ11" s="74">
        <f t="shared" si="0"/>
        <v>0</v>
      </c>
      <c r="BR11" s="74">
        <f t="shared" si="0"/>
        <v>0</v>
      </c>
      <c r="BS11" s="74">
        <f t="shared" si="0"/>
        <v>0</v>
      </c>
      <c r="BT11" s="74">
        <f t="shared" si="0"/>
        <v>0</v>
      </c>
      <c r="BU11" s="74">
        <f t="shared" si="0"/>
        <v>0</v>
      </c>
      <c r="BV11" s="74">
        <f t="shared" ref="BV11:CR11" si="1">$F$11*(BV8/1000)</f>
        <v>0</v>
      </c>
      <c r="BW11" s="74">
        <f t="shared" si="1"/>
        <v>0</v>
      </c>
      <c r="BX11" s="74">
        <f t="shared" si="1"/>
        <v>0</v>
      </c>
      <c r="BY11" s="74">
        <f t="shared" si="1"/>
        <v>0</v>
      </c>
      <c r="BZ11" s="74">
        <f t="shared" si="1"/>
        <v>0</v>
      </c>
      <c r="CA11" s="74">
        <f t="shared" si="1"/>
        <v>0</v>
      </c>
      <c r="CB11" s="74">
        <f t="shared" si="1"/>
        <v>0</v>
      </c>
      <c r="CC11" s="74">
        <f t="shared" si="1"/>
        <v>0</v>
      </c>
      <c r="CD11" s="74">
        <f t="shared" si="1"/>
        <v>0</v>
      </c>
      <c r="CE11" s="74">
        <f t="shared" si="1"/>
        <v>0</v>
      </c>
      <c r="CF11" s="74">
        <f t="shared" si="1"/>
        <v>0</v>
      </c>
      <c r="CG11" s="74">
        <f t="shared" si="1"/>
        <v>0</v>
      </c>
      <c r="CH11" s="74">
        <f t="shared" si="1"/>
        <v>0</v>
      </c>
      <c r="CI11" s="74">
        <f t="shared" si="1"/>
        <v>0</v>
      </c>
      <c r="CJ11" s="74">
        <f t="shared" si="1"/>
        <v>0</v>
      </c>
      <c r="CK11" s="74">
        <f t="shared" si="1"/>
        <v>0</v>
      </c>
      <c r="CL11" s="74">
        <f t="shared" si="1"/>
        <v>0</v>
      </c>
      <c r="CM11" s="74">
        <f t="shared" si="1"/>
        <v>0</v>
      </c>
      <c r="CN11" s="74">
        <f t="shared" si="1"/>
        <v>0</v>
      </c>
      <c r="CO11" s="74">
        <f t="shared" si="1"/>
        <v>0</v>
      </c>
      <c r="CP11" s="74">
        <f t="shared" si="1"/>
        <v>0</v>
      </c>
      <c r="CQ11" s="74">
        <f t="shared" si="1"/>
        <v>0</v>
      </c>
      <c r="CR11" s="74">
        <f t="shared" si="1"/>
        <v>0</v>
      </c>
    </row>
    <row r="12" spans="1:104">
      <c r="A12" s="67"/>
      <c r="B12" s="100"/>
      <c r="D12" s="77"/>
      <c r="F12" s="65"/>
      <c r="I12" s="74"/>
      <c r="J12" s="74"/>
      <c r="K12" s="74"/>
      <c r="L12" s="74"/>
      <c r="M12" s="74"/>
      <c r="N12" s="74"/>
      <c r="O12" s="74"/>
      <c r="P12" s="74"/>
      <c r="Q12" s="74"/>
      <c r="R12" s="74"/>
      <c r="S12" s="74"/>
      <c r="T12" s="74"/>
      <c r="U12" s="74"/>
      <c r="V12" s="74"/>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c r="BL12" s="74"/>
      <c r="BM12" s="74"/>
      <c r="BN12" s="74"/>
      <c r="BO12" s="74"/>
      <c r="BP12" s="74"/>
      <c r="BQ12" s="74"/>
      <c r="BR12" s="74"/>
      <c r="BS12" s="74"/>
      <c r="BT12" s="74"/>
      <c r="BU12" s="74"/>
      <c r="BV12" s="74"/>
      <c r="BW12" s="74"/>
      <c r="BX12" s="74"/>
      <c r="BY12" s="74"/>
      <c r="BZ12" s="74"/>
      <c r="CA12" s="74"/>
      <c r="CB12" s="74"/>
      <c r="CC12" s="74"/>
      <c r="CD12" s="74"/>
      <c r="CE12" s="74"/>
      <c r="CF12" s="74"/>
      <c r="CG12" s="74"/>
      <c r="CH12" s="74"/>
      <c r="CI12" s="74"/>
      <c r="CJ12" s="74"/>
      <c r="CK12" s="74"/>
      <c r="CL12" s="74"/>
      <c r="CM12" s="74"/>
      <c r="CN12" s="74"/>
      <c r="CO12" s="74"/>
      <c r="CP12" s="74"/>
      <c r="CQ12" s="74"/>
      <c r="CR12" s="74"/>
    </row>
    <row r="13" spans="1:104" s="104" customFormat="1">
      <c r="H13" s="104" t="s">
        <v>799</v>
      </c>
      <c r="I13" s="105">
        <f>SUM(I11:I11)</f>
        <v>0</v>
      </c>
      <c r="J13" s="105">
        <f t="shared" ref="J13:BU13" si="2">SUM(J11:J11)</f>
        <v>0</v>
      </c>
      <c r="K13" s="105">
        <f t="shared" si="2"/>
        <v>0</v>
      </c>
      <c r="L13" s="105">
        <f t="shared" si="2"/>
        <v>0</v>
      </c>
      <c r="M13" s="105">
        <f t="shared" si="2"/>
        <v>0</v>
      </c>
      <c r="N13" s="105">
        <f t="shared" si="2"/>
        <v>0</v>
      </c>
      <c r="O13" s="105">
        <f t="shared" si="2"/>
        <v>0</v>
      </c>
      <c r="P13" s="105">
        <f t="shared" si="2"/>
        <v>0</v>
      </c>
      <c r="Q13" s="105">
        <f t="shared" si="2"/>
        <v>0</v>
      </c>
      <c r="R13" s="105">
        <f t="shared" si="2"/>
        <v>0</v>
      </c>
      <c r="S13" s="105">
        <f t="shared" si="2"/>
        <v>0</v>
      </c>
      <c r="T13" s="105">
        <f t="shared" si="2"/>
        <v>0</v>
      </c>
      <c r="U13" s="105">
        <f t="shared" si="2"/>
        <v>0</v>
      </c>
      <c r="V13" s="105">
        <f t="shared" si="2"/>
        <v>0</v>
      </c>
      <c r="W13" s="105">
        <f t="shared" si="2"/>
        <v>0</v>
      </c>
      <c r="X13" s="105">
        <f t="shared" si="2"/>
        <v>0</v>
      </c>
      <c r="Y13" s="105">
        <f t="shared" si="2"/>
        <v>0</v>
      </c>
      <c r="Z13" s="105">
        <f t="shared" si="2"/>
        <v>0</v>
      </c>
      <c r="AA13" s="105">
        <f t="shared" si="2"/>
        <v>0</v>
      </c>
      <c r="AB13" s="105">
        <f t="shared" si="2"/>
        <v>0</v>
      </c>
      <c r="AC13" s="105">
        <f t="shared" si="2"/>
        <v>0</v>
      </c>
      <c r="AD13" s="105">
        <f t="shared" si="2"/>
        <v>0</v>
      </c>
      <c r="AE13" s="105">
        <f t="shared" si="2"/>
        <v>0</v>
      </c>
      <c r="AF13" s="105">
        <f t="shared" si="2"/>
        <v>0</v>
      </c>
      <c r="AG13" s="105">
        <f t="shared" si="2"/>
        <v>0</v>
      </c>
      <c r="AH13" s="105">
        <f t="shared" si="2"/>
        <v>0</v>
      </c>
      <c r="AI13" s="105">
        <f t="shared" si="2"/>
        <v>0</v>
      </c>
      <c r="AJ13" s="105">
        <f t="shared" si="2"/>
        <v>0</v>
      </c>
      <c r="AK13" s="105">
        <f t="shared" si="2"/>
        <v>0</v>
      </c>
      <c r="AL13" s="105">
        <f t="shared" si="2"/>
        <v>0</v>
      </c>
      <c r="AM13" s="105">
        <f t="shared" si="2"/>
        <v>0</v>
      </c>
      <c r="AN13" s="105">
        <f t="shared" si="2"/>
        <v>0</v>
      </c>
      <c r="AO13" s="105">
        <f t="shared" si="2"/>
        <v>0</v>
      </c>
      <c r="AP13" s="105">
        <f t="shared" si="2"/>
        <v>0</v>
      </c>
      <c r="AQ13" s="105">
        <f t="shared" si="2"/>
        <v>0</v>
      </c>
      <c r="AR13" s="105">
        <f t="shared" si="2"/>
        <v>0</v>
      </c>
      <c r="AS13" s="105">
        <f t="shared" si="2"/>
        <v>0</v>
      </c>
      <c r="AT13" s="105">
        <f t="shared" si="2"/>
        <v>0</v>
      </c>
      <c r="AU13" s="105">
        <f t="shared" si="2"/>
        <v>0</v>
      </c>
      <c r="AV13" s="105">
        <f t="shared" si="2"/>
        <v>0</v>
      </c>
      <c r="AW13" s="105">
        <f t="shared" si="2"/>
        <v>0</v>
      </c>
      <c r="AX13" s="105">
        <f t="shared" si="2"/>
        <v>0</v>
      </c>
      <c r="AY13" s="105">
        <f t="shared" si="2"/>
        <v>0</v>
      </c>
      <c r="AZ13" s="105">
        <f t="shared" si="2"/>
        <v>0</v>
      </c>
      <c r="BA13" s="105">
        <f t="shared" si="2"/>
        <v>0</v>
      </c>
      <c r="BB13" s="105">
        <f t="shared" si="2"/>
        <v>0</v>
      </c>
      <c r="BC13" s="105">
        <f t="shared" si="2"/>
        <v>0</v>
      </c>
      <c r="BD13" s="105">
        <f t="shared" si="2"/>
        <v>0</v>
      </c>
      <c r="BE13" s="105">
        <f t="shared" si="2"/>
        <v>0</v>
      </c>
      <c r="BF13" s="105">
        <f t="shared" si="2"/>
        <v>0</v>
      </c>
      <c r="BG13" s="105">
        <f t="shared" si="2"/>
        <v>0</v>
      </c>
      <c r="BH13" s="105">
        <f t="shared" si="2"/>
        <v>0</v>
      </c>
      <c r="BI13" s="105">
        <f t="shared" si="2"/>
        <v>0</v>
      </c>
      <c r="BJ13" s="105">
        <f t="shared" si="2"/>
        <v>0</v>
      </c>
      <c r="BK13" s="105">
        <f t="shared" si="2"/>
        <v>0</v>
      </c>
      <c r="BL13" s="105">
        <f t="shared" si="2"/>
        <v>0</v>
      </c>
      <c r="BM13" s="105">
        <f t="shared" si="2"/>
        <v>0</v>
      </c>
      <c r="BN13" s="105">
        <f t="shared" si="2"/>
        <v>0</v>
      </c>
      <c r="BO13" s="105">
        <f t="shared" si="2"/>
        <v>0</v>
      </c>
      <c r="BP13" s="105">
        <f t="shared" si="2"/>
        <v>0</v>
      </c>
      <c r="BQ13" s="105">
        <f t="shared" si="2"/>
        <v>0</v>
      </c>
      <c r="BR13" s="105">
        <f t="shared" si="2"/>
        <v>0</v>
      </c>
      <c r="BS13" s="105">
        <f t="shared" si="2"/>
        <v>0</v>
      </c>
      <c r="BT13" s="105">
        <f t="shared" si="2"/>
        <v>0</v>
      </c>
      <c r="BU13" s="105">
        <f t="shared" si="2"/>
        <v>0</v>
      </c>
      <c r="BV13" s="105">
        <f t="shared" ref="BV13:CR13" si="3">SUM(BV11:BV11)</f>
        <v>0</v>
      </c>
      <c r="BW13" s="105">
        <f t="shared" si="3"/>
        <v>0</v>
      </c>
      <c r="BX13" s="105">
        <f t="shared" si="3"/>
        <v>0</v>
      </c>
      <c r="BY13" s="105">
        <f t="shared" si="3"/>
        <v>0</v>
      </c>
      <c r="BZ13" s="105">
        <f t="shared" si="3"/>
        <v>0</v>
      </c>
      <c r="CA13" s="105">
        <f t="shared" si="3"/>
        <v>0</v>
      </c>
      <c r="CB13" s="105">
        <f t="shared" si="3"/>
        <v>0</v>
      </c>
      <c r="CC13" s="105">
        <f t="shared" si="3"/>
        <v>0</v>
      </c>
      <c r="CD13" s="105">
        <f t="shared" si="3"/>
        <v>0</v>
      </c>
      <c r="CE13" s="105">
        <f t="shared" si="3"/>
        <v>0</v>
      </c>
      <c r="CF13" s="105">
        <f t="shared" si="3"/>
        <v>0</v>
      </c>
      <c r="CG13" s="105">
        <f t="shared" si="3"/>
        <v>0</v>
      </c>
      <c r="CH13" s="105">
        <f t="shared" si="3"/>
        <v>0</v>
      </c>
      <c r="CI13" s="105">
        <f t="shared" si="3"/>
        <v>0</v>
      </c>
      <c r="CJ13" s="105">
        <f t="shared" si="3"/>
        <v>0</v>
      </c>
      <c r="CK13" s="105">
        <f t="shared" si="3"/>
        <v>0</v>
      </c>
      <c r="CL13" s="105">
        <f t="shared" si="3"/>
        <v>0</v>
      </c>
      <c r="CM13" s="105">
        <f t="shared" si="3"/>
        <v>0</v>
      </c>
      <c r="CN13" s="105">
        <f t="shared" si="3"/>
        <v>0</v>
      </c>
      <c r="CO13" s="105">
        <f t="shared" si="3"/>
        <v>0</v>
      </c>
      <c r="CP13" s="105">
        <f t="shared" si="3"/>
        <v>0</v>
      </c>
      <c r="CQ13" s="105">
        <f t="shared" si="3"/>
        <v>0</v>
      </c>
      <c r="CR13" s="105">
        <f t="shared" si="3"/>
        <v>0</v>
      </c>
    </row>
    <row r="14" spans="1:104" s="104" customFormat="1" hidden="1">
      <c r="H14" s="60"/>
      <c r="I14" s="105"/>
      <c r="J14" s="105"/>
      <c r="K14" s="105"/>
      <c r="L14" s="105"/>
      <c r="M14" s="105"/>
      <c r="N14" s="105"/>
      <c r="O14" s="105"/>
      <c r="P14" s="105"/>
      <c r="Q14" s="105"/>
      <c r="R14" s="105"/>
      <c r="S14" s="105"/>
      <c r="T14" s="105"/>
      <c r="U14" s="105"/>
      <c r="V14" s="105"/>
      <c r="W14" s="105"/>
      <c r="X14" s="105"/>
      <c r="Y14" s="105"/>
      <c r="Z14" s="105"/>
      <c r="AA14" s="105"/>
      <c r="AB14" s="105"/>
      <c r="AC14" s="105"/>
      <c r="AD14" s="105"/>
      <c r="AE14" s="105"/>
      <c r="AF14" s="105"/>
      <c r="AG14" s="105"/>
      <c r="AH14" s="105"/>
      <c r="AI14" s="105"/>
      <c r="AJ14" s="105"/>
      <c r="AK14" s="105"/>
      <c r="AL14" s="105"/>
      <c r="AM14" s="105"/>
      <c r="AN14" s="105"/>
      <c r="AO14" s="105"/>
      <c r="AP14" s="105"/>
      <c r="AQ14" s="105"/>
      <c r="AR14" s="105"/>
      <c r="AS14" s="105"/>
      <c r="AT14" s="105"/>
      <c r="AU14" s="105"/>
      <c r="AV14" s="105"/>
      <c r="AW14" s="105"/>
      <c r="AX14" s="105"/>
      <c r="AY14" s="105"/>
      <c r="AZ14" s="105"/>
      <c r="BA14" s="105"/>
      <c r="BB14" s="105"/>
      <c r="BC14" s="105"/>
      <c r="BD14" s="105"/>
      <c r="BE14" s="105"/>
      <c r="BF14" s="105"/>
      <c r="BG14" s="105"/>
      <c r="BH14" s="105"/>
      <c r="BI14" s="105"/>
      <c r="BJ14" s="105"/>
      <c r="BK14" s="105"/>
      <c r="BL14" s="105"/>
      <c r="BM14" s="105"/>
      <c r="BN14" s="105"/>
      <c r="BO14" s="105"/>
      <c r="BP14" s="105"/>
      <c r="BQ14" s="105"/>
      <c r="BR14" s="105"/>
      <c r="BS14" s="105"/>
      <c r="BT14" s="105"/>
      <c r="BU14" s="105"/>
      <c r="BV14" s="105"/>
      <c r="BW14" s="105"/>
      <c r="BX14" s="105"/>
      <c r="BY14" s="105"/>
      <c r="BZ14" s="105"/>
      <c r="CA14" s="105"/>
      <c r="CB14" s="105"/>
      <c r="CC14" s="105"/>
      <c r="CD14" s="105"/>
      <c r="CE14" s="105"/>
      <c r="CF14" s="105"/>
      <c r="CG14" s="105"/>
      <c r="CH14" s="105"/>
      <c r="CI14" s="105"/>
      <c r="CJ14" s="105"/>
      <c r="CK14" s="105"/>
      <c r="CL14" s="105"/>
      <c r="CM14" s="105"/>
      <c r="CN14" s="105"/>
      <c r="CO14" s="105"/>
      <c r="CP14" s="105"/>
      <c r="CQ14" s="105"/>
      <c r="CR14" s="105"/>
    </row>
    <row r="15" spans="1:104">
      <c r="H15" s="60" t="s">
        <v>429</v>
      </c>
      <c r="I15" s="74"/>
      <c r="J15" s="74"/>
      <c r="K15" s="74"/>
      <c r="L15" s="74"/>
      <c r="M15" s="74"/>
      <c r="N15" s="74"/>
      <c r="O15" s="74"/>
      <c r="P15" s="74"/>
      <c r="Q15" s="74"/>
      <c r="R15" s="74"/>
      <c r="S15" s="74"/>
      <c r="T15" s="74"/>
      <c r="U15" s="74"/>
      <c r="V15" s="74"/>
      <c r="W15" s="74"/>
      <c r="X15" s="74"/>
      <c r="Y15" s="74"/>
      <c r="Z15" s="74"/>
      <c r="AA15" s="74"/>
      <c r="AB15" s="74"/>
      <c r="AC15" s="74"/>
      <c r="AD15" s="74"/>
      <c r="AE15" s="74"/>
      <c r="AF15" s="74"/>
      <c r="AG15" s="74"/>
      <c r="AH15" s="74"/>
      <c r="AI15" s="74"/>
      <c r="AK15" s="74"/>
      <c r="AL15" s="74"/>
      <c r="AM15" s="74"/>
      <c r="AN15" s="74"/>
      <c r="AO15" s="74"/>
      <c r="AP15" s="74"/>
      <c r="AQ15" s="74"/>
      <c r="AR15" s="74"/>
      <c r="AS15" s="74"/>
      <c r="AT15" s="74"/>
      <c r="AU15" s="74"/>
      <c r="AV15" s="74"/>
      <c r="AW15" s="74"/>
      <c r="AX15" s="74"/>
      <c r="AY15" s="74"/>
      <c r="AZ15" s="74"/>
      <c r="BA15" s="74"/>
      <c r="BB15" s="74"/>
      <c r="BC15" s="74"/>
      <c r="BD15" s="74"/>
      <c r="BE15" s="74"/>
      <c r="BF15" s="74"/>
      <c r="BG15" s="74"/>
      <c r="BH15" s="74"/>
      <c r="BI15" s="74"/>
      <c r="BJ15" s="74"/>
      <c r="BK15" s="74"/>
      <c r="BL15" s="74"/>
      <c r="BM15" s="74"/>
      <c r="BN15" s="74"/>
      <c r="BO15" s="74"/>
      <c r="BP15" s="74"/>
      <c r="BQ15" s="74"/>
      <c r="BR15" s="74"/>
      <c r="BS15" s="74"/>
      <c r="BT15" s="74"/>
      <c r="BU15" s="74"/>
      <c r="BV15" s="74"/>
      <c r="BW15" s="74"/>
      <c r="BX15" s="74"/>
      <c r="BY15" s="74"/>
      <c r="BZ15" s="74"/>
      <c r="CA15" s="74"/>
      <c r="CB15" s="74"/>
      <c r="CC15" s="74"/>
      <c r="CD15" s="74"/>
      <c r="CE15" s="74"/>
      <c r="CF15" s="74"/>
      <c r="CG15" s="74"/>
      <c r="CH15" s="74"/>
      <c r="CI15" s="74"/>
      <c r="CJ15" s="74"/>
      <c r="CK15" s="74"/>
      <c r="CL15" s="74"/>
      <c r="CM15" s="74"/>
      <c r="CN15" s="74"/>
      <c r="CO15" s="74"/>
      <c r="CP15" s="74"/>
      <c r="CQ15" s="74"/>
      <c r="CR15" s="74"/>
    </row>
    <row r="16" spans="1:104">
      <c r="H16" s="60" t="s">
        <v>406</v>
      </c>
      <c r="I16" s="74"/>
      <c r="J16" s="74"/>
      <c r="K16" s="74"/>
      <c r="L16" s="74"/>
      <c r="M16" s="74"/>
      <c r="N16" s="74"/>
      <c r="O16" s="74"/>
      <c r="P16" s="74"/>
      <c r="Q16" s="74"/>
      <c r="R16" s="74"/>
      <c r="S16" s="74"/>
      <c r="T16" s="74"/>
      <c r="U16" s="74"/>
      <c r="V16" s="74"/>
      <c r="W16" s="74"/>
      <c r="X16" s="74"/>
      <c r="Y16" s="74"/>
      <c r="Z16" s="74"/>
      <c r="AA16" s="74"/>
      <c r="AB16" s="74"/>
      <c r="AC16" s="74"/>
      <c r="AD16" s="74"/>
      <c r="AE16" s="74"/>
      <c r="AF16" s="74"/>
      <c r="AG16" s="74"/>
      <c r="AH16" s="74"/>
      <c r="AI16" s="74"/>
      <c r="AK16" s="74"/>
      <c r="AL16" s="74"/>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c r="BM16" s="74"/>
      <c r="BN16" s="74"/>
      <c r="BO16" s="74"/>
      <c r="BP16" s="74"/>
      <c r="BQ16" s="74"/>
      <c r="BR16" s="74"/>
      <c r="BS16" s="74"/>
      <c r="BT16" s="74"/>
      <c r="BU16" s="74"/>
      <c r="BV16" s="74"/>
      <c r="BW16" s="74"/>
      <c r="BX16" s="74"/>
      <c r="BY16" s="74"/>
      <c r="BZ16" s="74"/>
      <c r="CA16" s="74"/>
      <c r="CB16" s="74"/>
      <c r="CC16" s="74"/>
      <c r="CD16" s="74"/>
      <c r="CE16" s="74"/>
      <c r="CF16" s="74"/>
      <c r="CG16" s="74"/>
      <c r="CH16" s="74"/>
      <c r="CI16" s="74"/>
      <c r="CJ16" s="74"/>
      <c r="CK16" s="74"/>
      <c r="CL16" s="74"/>
      <c r="CM16" s="74"/>
      <c r="CN16" s="74"/>
      <c r="CO16" s="74"/>
      <c r="CP16" s="74"/>
      <c r="CQ16" s="74"/>
      <c r="CR16" s="74"/>
    </row>
    <row r="18" spans="8:96" ht="13" thickBot="1"/>
    <row r="19" spans="8:96" s="73" customFormat="1" ht="13" thickBot="1">
      <c r="H19" s="257" t="s">
        <v>800</v>
      </c>
      <c r="I19" s="258">
        <f>+I13</f>
        <v>0</v>
      </c>
      <c r="J19" s="258">
        <f t="shared" ref="J19:BU19" si="4">+J13</f>
        <v>0</v>
      </c>
      <c r="K19" s="258">
        <f t="shared" si="4"/>
        <v>0</v>
      </c>
      <c r="L19" s="258">
        <f t="shared" si="4"/>
        <v>0</v>
      </c>
      <c r="M19" s="258">
        <f t="shared" si="4"/>
        <v>0</v>
      </c>
      <c r="N19" s="258">
        <f t="shared" si="4"/>
        <v>0</v>
      </c>
      <c r="O19" s="258">
        <f t="shared" si="4"/>
        <v>0</v>
      </c>
      <c r="P19" s="258">
        <f t="shared" si="4"/>
        <v>0</v>
      </c>
      <c r="Q19" s="258">
        <f t="shared" si="4"/>
        <v>0</v>
      </c>
      <c r="R19" s="258">
        <f t="shared" si="4"/>
        <v>0</v>
      </c>
      <c r="S19" s="258">
        <f t="shared" si="4"/>
        <v>0</v>
      </c>
      <c r="T19" s="258">
        <f t="shared" si="4"/>
        <v>0</v>
      </c>
      <c r="U19" s="258">
        <f t="shared" si="4"/>
        <v>0</v>
      </c>
      <c r="V19" s="258">
        <f t="shared" si="4"/>
        <v>0</v>
      </c>
      <c r="W19" s="258">
        <f t="shared" si="4"/>
        <v>0</v>
      </c>
      <c r="X19" s="258">
        <f t="shared" si="4"/>
        <v>0</v>
      </c>
      <c r="Y19" s="258">
        <f t="shared" si="4"/>
        <v>0</v>
      </c>
      <c r="Z19" s="258">
        <f t="shared" si="4"/>
        <v>0</v>
      </c>
      <c r="AA19" s="258">
        <f t="shared" si="4"/>
        <v>0</v>
      </c>
      <c r="AB19" s="258">
        <f t="shared" si="4"/>
        <v>0</v>
      </c>
      <c r="AC19" s="258">
        <f t="shared" si="4"/>
        <v>0</v>
      </c>
      <c r="AD19" s="258">
        <f t="shared" si="4"/>
        <v>0</v>
      </c>
      <c r="AE19" s="258">
        <f t="shared" si="4"/>
        <v>0</v>
      </c>
      <c r="AF19" s="258">
        <f t="shared" si="4"/>
        <v>0</v>
      </c>
      <c r="AG19" s="258">
        <f t="shared" si="4"/>
        <v>0</v>
      </c>
      <c r="AH19" s="258">
        <f t="shared" si="4"/>
        <v>0</v>
      </c>
      <c r="AI19" s="258">
        <f t="shared" si="4"/>
        <v>0</v>
      </c>
      <c r="AJ19" s="258">
        <f t="shared" si="4"/>
        <v>0</v>
      </c>
      <c r="AK19" s="258">
        <f t="shared" si="4"/>
        <v>0</v>
      </c>
      <c r="AL19" s="258">
        <f t="shared" si="4"/>
        <v>0</v>
      </c>
      <c r="AM19" s="258">
        <f t="shared" si="4"/>
        <v>0</v>
      </c>
      <c r="AN19" s="258">
        <f t="shared" si="4"/>
        <v>0</v>
      </c>
      <c r="AO19" s="258">
        <f t="shared" si="4"/>
        <v>0</v>
      </c>
      <c r="AP19" s="258">
        <f t="shared" si="4"/>
        <v>0</v>
      </c>
      <c r="AQ19" s="258">
        <f t="shared" si="4"/>
        <v>0</v>
      </c>
      <c r="AR19" s="258">
        <f t="shared" si="4"/>
        <v>0</v>
      </c>
      <c r="AS19" s="258">
        <f t="shared" si="4"/>
        <v>0</v>
      </c>
      <c r="AT19" s="258">
        <f t="shared" si="4"/>
        <v>0</v>
      </c>
      <c r="AU19" s="258">
        <f t="shared" si="4"/>
        <v>0</v>
      </c>
      <c r="AV19" s="258">
        <f t="shared" si="4"/>
        <v>0</v>
      </c>
      <c r="AW19" s="258">
        <f t="shared" si="4"/>
        <v>0</v>
      </c>
      <c r="AX19" s="258">
        <f t="shared" si="4"/>
        <v>0</v>
      </c>
      <c r="AY19" s="258">
        <f t="shared" si="4"/>
        <v>0</v>
      </c>
      <c r="AZ19" s="258">
        <f t="shared" si="4"/>
        <v>0</v>
      </c>
      <c r="BA19" s="258">
        <f t="shared" si="4"/>
        <v>0</v>
      </c>
      <c r="BB19" s="258">
        <f t="shared" si="4"/>
        <v>0</v>
      </c>
      <c r="BC19" s="258">
        <f t="shared" si="4"/>
        <v>0</v>
      </c>
      <c r="BD19" s="258">
        <f t="shared" si="4"/>
        <v>0</v>
      </c>
      <c r="BE19" s="258">
        <f t="shared" si="4"/>
        <v>0</v>
      </c>
      <c r="BF19" s="258">
        <f t="shared" si="4"/>
        <v>0</v>
      </c>
      <c r="BG19" s="258">
        <f t="shared" si="4"/>
        <v>0</v>
      </c>
      <c r="BH19" s="258">
        <f t="shared" si="4"/>
        <v>0</v>
      </c>
      <c r="BI19" s="258">
        <f t="shared" si="4"/>
        <v>0</v>
      </c>
      <c r="BJ19" s="258">
        <f t="shared" si="4"/>
        <v>0</v>
      </c>
      <c r="BK19" s="258">
        <f t="shared" si="4"/>
        <v>0</v>
      </c>
      <c r="BL19" s="258">
        <f t="shared" si="4"/>
        <v>0</v>
      </c>
      <c r="BM19" s="258">
        <f t="shared" si="4"/>
        <v>0</v>
      </c>
      <c r="BN19" s="258">
        <f t="shared" si="4"/>
        <v>0</v>
      </c>
      <c r="BO19" s="258">
        <f t="shared" si="4"/>
        <v>0</v>
      </c>
      <c r="BP19" s="258">
        <f t="shared" si="4"/>
        <v>0</v>
      </c>
      <c r="BQ19" s="258">
        <f t="shared" si="4"/>
        <v>0</v>
      </c>
      <c r="BR19" s="258">
        <f t="shared" si="4"/>
        <v>0</v>
      </c>
      <c r="BS19" s="258">
        <f t="shared" si="4"/>
        <v>0</v>
      </c>
      <c r="BT19" s="258">
        <f t="shared" si="4"/>
        <v>0</v>
      </c>
      <c r="BU19" s="258">
        <f t="shared" si="4"/>
        <v>0</v>
      </c>
      <c r="BV19" s="258">
        <f t="shared" ref="BV19:CR19" si="5">+BV13</f>
        <v>0</v>
      </c>
      <c r="BW19" s="258">
        <f t="shared" si="5"/>
        <v>0</v>
      </c>
      <c r="BX19" s="258">
        <f t="shared" si="5"/>
        <v>0</v>
      </c>
      <c r="BY19" s="258">
        <f t="shared" si="5"/>
        <v>0</v>
      </c>
      <c r="BZ19" s="258">
        <f t="shared" si="5"/>
        <v>0</v>
      </c>
      <c r="CA19" s="258">
        <f t="shared" si="5"/>
        <v>0</v>
      </c>
      <c r="CB19" s="258">
        <f t="shared" si="5"/>
        <v>0</v>
      </c>
      <c r="CC19" s="258">
        <f t="shared" si="5"/>
        <v>0</v>
      </c>
      <c r="CD19" s="258">
        <f t="shared" si="5"/>
        <v>0</v>
      </c>
      <c r="CE19" s="258">
        <f t="shared" si="5"/>
        <v>0</v>
      </c>
      <c r="CF19" s="258">
        <f t="shared" si="5"/>
        <v>0</v>
      </c>
      <c r="CG19" s="258">
        <f t="shared" si="5"/>
        <v>0</v>
      </c>
      <c r="CH19" s="258">
        <f t="shared" si="5"/>
        <v>0</v>
      </c>
      <c r="CI19" s="258">
        <f t="shared" si="5"/>
        <v>0</v>
      </c>
      <c r="CJ19" s="258">
        <f t="shared" si="5"/>
        <v>0</v>
      </c>
      <c r="CK19" s="258">
        <f t="shared" si="5"/>
        <v>0</v>
      </c>
      <c r="CL19" s="258">
        <f t="shared" si="5"/>
        <v>0</v>
      </c>
      <c r="CM19" s="258">
        <f t="shared" si="5"/>
        <v>0</v>
      </c>
      <c r="CN19" s="258">
        <f t="shared" si="5"/>
        <v>0</v>
      </c>
      <c r="CO19" s="258">
        <f t="shared" si="5"/>
        <v>0</v>
      </c>
      <c r="CP19" s="258">
        <f t="shared" si="5"/>
        <v>0</v>
      </c>
      <c r="CQ19" s="258">
        <f t="shared" si="5"/>
        <v>0</v>
      </c>
      <c r="CR19" s="258">
        <f t="shared" si="5"/>
        <v>0</v>
      </c>
    </row>
  </sheetData>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GH23"/>
  <sheetViews>
    <sheetView workbookViewId="0">
      <pane xSplit="11" ySplit="7" topLeftCell="DR9" activePane="bottomRight" state="frozen"/>
      <selection pane="topRight" activeCell="L1" sqref="L1"/>
      <selection pane="bottomLeft" activeCell="A7" sqref="A7"/>
      <selection pane="bottomRight" activeCell="EA9" sqref="EA9"/>
    </sheetView>
  </sheetViews>
  <sheetFormatPr baseColWidth="10" defaultColWidth="22.6640625" defaultRowHeight="12"/>
  <cols>
    <col min="1" max="1" width="20.6640625" style="60" bestFit="1" customWidth="1"/>
    <col min="2" max="2" width="14.5" style="60" customWidth="1"/>
    <col min="3" max="3" width="4.83203125" style="60" bestFit="1" customWidth="1"/>
    <col min="4" max="4" width="12.33203125" style="60" bestFit="1" customWidth="1"/>
    <col min="5" max="5" width="11.83203125" style="60" bestFit="1" customWidth="1"/>
    <col min="6" max="6" width="9.5" style="60" bestFit="1" customWidth="1"/>
    <col min="7" max="7" width="4.1640625" style="60" bestFit="1" customWidth="1"/>
    <col min="8" max="8" width="22.83203125" style="60" bestFit="1" customWidth="1"/>
    <col min="9" max="9" width="6.5" style="60" hidden="1" customWidth="1"/>
    <col min="10" max="10" width="5.5" style="60" hidden="1" customWidth="1"/>
    <col min="11" max="11" width="5.6640625" style="60" hidden="1" customWidth="1"/>
    <col min="12" max="12" width="5.5" style="60" hidden="1" customWidth="1"/>
    <col min="13" max="13" width="5.83203125" style="60" hidden="1" customWidth="1"/>
    <col min="14" max="18" width="5.5" style="60" hidden="1" customWidth="1"/>
    <col min="19" max="19" width="5.6640625" style="60" hidden="1" customWidth="1"/>
    <col min="20" max="22" width="5.5" style="60" hidden="1" customWidth="1"/>
    <col min="23" max="23" width="5.6640625" style="60" hidden="1" customWidth="1"/>
    <col min="24" max="50" width="6.1640625" style="60" bestFit="1" customWidth="1"/>
    <col min="51" max="51" width="5.5" style="60" bestFit="1" customWidth="1"/>
    <col min="52" max="54" width="7" style="60" bestFit="1" customWidth="1"/>
    <col min="55" max="56" width="5.5" style="60" bestFit="1" customWidth="1"/>
    <col min="57" max="58" width="5.83203125" style="60" bestFit="1" customWidth="1"/>
    <col min="59" max="60" width="5.6640625" style="60" bestFit="1" customWidth="1"/>
    <col min="61" max="64" width="6.1640625" style="60" bestFit="1" customWidth="1"/>
    <col min="65" max="70" width="5.6640625" style="60" bestFit="1" customWidth="1"/>
    <col min="71" max="75" width="5.5" style="60" bestFit="1" customWidth="1"/>
    <col min="76" max="90" width="6.1640625" style="60" bestFit="1" customWidth="1"/>
    <col min="91" max="95" width="6.33203125" style="60" bestFit="1" customWidth="1"/>
    <col min="96" max="97" width="6.1640625" style="60" bestFit="1" customWidth="1"/>
    <col min="98" max="190" width="6.5" style="60" bestFit="1" customWidth="1"/>
    <col min="191" max="16384" width="22.6640625" style="60"/>
  </cols>
  <sheetData>
    <row r="1" spans="1:190" ht="13">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c r="EM1" s="99">
        <v>141</v>
      </c>
      <c r="EN1" s="99">
        <v>142</v>
      </c>
      <c r="EO1" s="99">
        <v>143</v>
      </c>
      <c r="EP1" s="99">
        <v>144</v>
      </c>
      <c r="EQ1" s="99">
        <v>145</v>
      </c>
      <c r="ER1" s="99">
        <v>146</v>
      </c>
      <c r="ES1" s="99">
        <v>147</v>
      </c>
    </row>
    <row r="2" spans="1:190">
      <c r="A2" s="59"/>
      <c r="B2" s="59"/>
      <c r="C2" s="59"/>
      <c r="D2" s="98"/>
      <c r="E2" s="98"/>
      <c r="F2" s="59"/>
      <c r="H2" s="99"/>
      <c r="I2" s="99"/>
      <c r="J2" s="99"/>
      <c r="K2" s="99"/>
      <c r="L2" s="99"/>
      <c r="M2" s="99"/>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99"/>
      <c r="AP2" s="99"/>
      <c r="AQ2" s="99"/>
      <c r="AR2" s="99"/>
      <c r="AS2" s="99"/>
      <c r="AT2" s="99"/>
      <c r="AU2" s="99"/>
      <c r="AV2" s="99"/>
      <c r="AW2" s="99"/>
      <c r="AX2" s="99"/>
      <c r="AY2" s="99"/>
      <c r="AZ2" s="99"/>
      <c r="BA2" s="99"/>
      <c r="BB2" s="99"/>
      <c r="BC2" s="99"/>
      <c r="BD2" s="99"/>
      <c r="BE2" s="99"/>
      <c r="BF2" s="99"/>
      <c r="BG2" s="99"/>
      <c r="BH2" s="99"/>
      <c r="BI2" s="99"/>
      <c r="BJ2" s="99"/>
      <c r="BK2" s="99"/>
      <c r="BL2" s="99"/>
      <c r="BM2" s="99"/>
      <c r="BN2" s="99"/>
      <c r="BO2" s="99"/>
      <c r="BP2" s="99"/>
      <c r="BQ2" s="99"/>
      <c r="BR2" s="99"/>
      <c r="BS2" s="99"/>
      <c r="BT2" s="99"/>
      <c r="BU2" s="99"/>
      <c r="BV2" s="99"/>
      <c r="BW2" s="99"/>
      <c r="BX2" s="99"/>
      <c r="BY2" s="99"/>
      <c r="BZ2" s="99"/>
      <c r="CA2" s="99"/>
      <c r="CB2" s="99"/>
      <c r="CC2" s="99"/>
      <c r="CD2" s="99"/>
      <c r="CE2" s="99"/>
      <c r="CF2" s="99"/>
      <c r="CG2" s="99"/>
      <c r="CH2" s="99"/>
      <c r="CI2" s="99"/>
      <c r="CJ2" s="99"/>
      <c r="CK2" s="99"/>
      <c r="CL2" s="99"/>
      <c r="CM2" s="99"/>
      <c r="CN2" s="99"/>
    </row>
    <row r="3" spans="1:190" ht="13">
      <c r="A3" s="107" t="s">
        <v>806</v>
      </c>
      <c r="B3" s="100"/>
      <c r="C3" s="101"/>
      <c r="D3" s="282">
        <v>89.14</v>
      </c>
      <c r="K3" s="102"/>
      <c r="M3" s="102"/>
    </row>
    <row r="4" spans="1:190">
      <c r="A4" s="36"/>
      <c r="B4" s="64"/>
      <c r="D4" s="100"/>
      <c r="E4" s="64"/>
      <c r="F4" s="103"/>
    </row>
    <row r="5" spans="1:190">
      <c r="A5" s="64"/>
      <c r="B5" s="64"/>
      <c r="D5" s="64"/>
      <c r="E5" s="64"/>
      <c r="H5" s="60" t="s">
        <v>387</v>
      </c>
    </row>
    <row r="6" spans="1:190">
      <c r="A6" s="74"/>
      <c r="B6" s="74"/>
    </row>
    <row r="7" spans="1:190">
      <c r="A7" s="59"/>
      <c r="B7" s="59"/>
      <c r="C7" s="59"/>
      <c r="D7" s="98"/>
      <c r="E7" s="98"/>
      <c r="F7" s="59"/>
      <c r="H7" s="59" t="s">
        <v>416</v>
      </c>
      <c r="I7" s="59">
        <v>43831</v>
      </c>
      <c r="J7" s="59">
        <v>43862</v>
      </c>
      <c r="K7" s="59">
        <v>43891</v>
      </c>
      <c r="L7" s="59">
        <v>43922</v>
      </c>
      <c r="M7" s="59">
        <v>43952</v>
      </c>
      <c r="N7" s="59">
        <v>43983</v>
      </c>
      <c r="O7" s="59">
        <v>44013</v>
      </c>
      <c r="P7" s="59">
        <v>44044</v>
      </c>
      <c r="Q7" s="59">
        <v>44075</v>
      </c>
      <c r="R7" s="59">
        <v>44105</v>
      </c>
      <c r="S7" s="59">
        <v>44136</v>
      </c>
      <c r="T7" s="59">
        <v>44166</v>
      </c>
      <c r="U7" s="59">
        <v>44197</v>
      </c>
      <c r="V7" s="59">
        <v>44228</v>
      </c>
      <c r="W7" s="59">
        <v>44256</v>
      </c>
      <c r="X7" s="59">
        <v>44287</v>
      </c>
      <c r="Y7" s="59">
        <v>44317</v>
      </c>
      <c r="Z7" s="59">
        <v>44348</v>
      </c>
      <c r="AA7" s="59">
        <v>44378</v>
      </c>
      <c r="AB7" s="59">
        <v>44409</v>
      </c>
      <c r="AC7" s="59">
        <v>44440</v>
      </c>
      <c r="AD7" s="59">
        <v>44470</v>
      </c>
      <c r="AE7" s="59">
        <v>44501</v>
      </c>
      <c r="AF7" s="59">
        <v>44531</v>
      </c>
      <c r="AG7" s="59">
        <v>44562</v>
      </c>
      <c r="AH7" s="59">
        <v>44593</v>
      </c>
      <c r="AI7" s="59">
        <v>44621</v>
      </c>
      <c r="AJ7" s="59">
        <v>44652</v>
      </c>
      <c r="AK7" s="59">
        <v>44682</v>
      </c>
      <c r="AL7" s="59">
        <v>44713</v>
      </c>
      <c r="AM7" s="59">
        <v>44743</v>
      </c>
      <c r="AN7" s="59">
        <v>44774</v>
      </c>
      <c r="AO7" s="59">
        <v>44805</v>
      </c>
      <c r="AP7" s="59">
        <v>44835</v>
      </c>
      <c r="AQ7" s="59">
        <v>44866</v>
      </c>
      <c r="AR7" s="59">
        <v>44896</v>
      </c>
      <c r="AS7" s="59">
        <v>44927</v>
      </c>
      <c r="AT7" s="59">
        <v>44958</v>
      </c>
      <c r="AU7" s="59">
        <v>44986</v>
      </c>
      <c r="AV7" s="59">
        <v>45017</v>
      </c>
      <c r="AW7" s="59">
        <v>45047</v>
      </c>
      <c r="AX7" s="59">
        <v>45078</v>
      </c>
      <c r="AY7" s="59">
        <v>45108</v>
      </c>
      <c r="AZ7" s="59" t="s">
        <v>530</v>
      </c>
      <c r="BA7" s="59" t="s">
        <v>531</v>
      </c>
      <c r="BB7" s="59" t="s">
        <v>532</v>
      </c>
      <c r="BC7" s="59">
        <v>37104</v>
      </c>
      <c r="BD7" s="59">
        <v>37469</v>
      </c>
      <c r="BE7" s="59" t="s">
        <v>168</v>
      </c>
      <c r="BF7" s="59" t="s">
        <v>169</v>
      </c>
      <c r="BG7" s="59" t="s">
        <v>195</v>
      </c>
      <c r="BH7" s="59" t="s">
        <v>196</v>
      </c>
      <c r="BI7" s="59" t="s">
        <v>197</v>
      </c>
      <c r="BJ7" s="59" t="s">
        <v>198</v>
      </c>
      <c r="BK7" s="59" t="s">
        <v>199</v>
      </c>
      <c r="BL7" s="59" t="s">
        <v>200</v>
      </c>
      <c r="BM7" s="59" t="s">
        <v>201</v>
      </c>
      <c r="BN7" s="59" t="s">
        <v>202</v>
      </c>
      <c r="BO7" s="59">
        <v>37196</v>
      </c>
      <c r="BP7" s="59">
        <v>37561</v>
      </c>
      <c r="BQ7" s="59">
        <v>37926</v>
      </c>
      <c r="BR7" s="59">
        <v>38292</v>
      </c>
      <c r="BS7" s="59">
        <v>37226</v>
      </c>
      <c r="BT7" s="59">
        <v>37591</v>
      </c>
      <c r="BU7" s="59">
        <v>37956</v>
      </c>
      <c r="BV7" s="59">
        <v>38322</v>
      </c>
      <c r="BW7" s="59">
        <v>36892</v>
      </c>
      <c r="BX7" s="59">
        <v>37257</v>
      </c>
      <c r="BY7" s="59">
        <v>37622</v>
      </c>
      <c r="BZ7" s="59">
        <v>37987</v>
      </c>
      <c r="CA7" s="59">
        <v>36923</v>
      </c>
      <c r="CB7" s="59">
        <v>37288</v>
      </c>
      <c r="CC7" s="59">
        <v>37653</v>
      </c>
      <c r="CD7" s="59">
        <v>38018</v>
      </c>
      <c r="CE7" s="59" t="str">
        <f>Sheet8!A15</f>
        <v>Mar-w1</v>
      </c>
      <c r="CF7" s="59">
        <v>37316</v>
      </c>
      <c r="CG7" s="59">
        <v>37681</v>
      </c>
      <c r="CH7" s="59">
        <v>38047</v>
      </c>
      <c r="CI7" s="59" t="str">
        <f>Sheet8!E15</f>
        <v>Apr-w1</v>
      </c>
      <c r="CJ7" s="59" t="str">
        <f>Sheet8!F15</f>
        <v>Apr-w2</v>
      </c>
      <c r="CK7" s="59" t="str">
        <f>Sheet8!G15</f>
        <v>Apr-w3</v>
      </c>
      <c r="CL7" s="59" t="str">
        <f>Sheet8!H15</f>
        <v>Apr-w4</v>
      </c>
      <c r="CM7" s="59" t="str">
        <f>Sheet8!I15</f>
        <v>May-w1</v>
      </c>
      <c r="CN7" s="59" t="str">
        <f>Sheet8!J15</f>
        <v>May-w2</v>
      </c>
      <c r="CO7" s="59" t="str">
        <f>Sheet8!K15</f>
        <v>May-w3</v>
      </c>
      <c r="CP7" s="59" t="str">
        <f>Sheet8!L15</f>
        <v>May-w4</v>
      </c>
      <c r="CQ7" s="59" t="str">
        <f>Sheet8!M15</f>
        <v>May-w5</v>
      </c>
      <c r="CR7" s="59" t="str">
        <f>Sheet8!N15</f>
        <v>june-w1</v>
      </c>
      <c r="CS7" s="59" t="str">
        <f>Sheet8!O15</f>
        <v>june-w2</v>
      </c>
      <c r="CT7" s="59" t="str">
        <f>Sheet8!P15</f>
        <v>june-w3</v>
      </c>
      <c r="CU7" s="59" t="str">
        <f>Sheet8!Q15</f>
        <v>june-w4</v>
      </c>
      <c r="CV7" s="59" t="str">
        <f>Sheet8!R15</f>
        <v>Jul-w1</v>
      </c>
      <c r="CW7" s="59" t="str">
        <f>Sheet8!S15</f>
        <v>Jul-w2</v>
      </c>
      <c r="CX7" s="59" t="str">
        <f>Sheet8!T15</f>
        <v>Jul-w3</v>
      </c>
      <c r="CY7" s="59" t="str">
        <f>Sheet8!U15</f>
        <v>Jul-w4</v>
      </c>
      <c r="CZ7" s="59" t="str">
        <f>Sheet8!V15</f>
        <v>Aug-w1</v>
      </c>
      <c r="DA7" s="59" t="str">
        <f>Sheet8!W15</f>
        <v>Aug-w2</v>
      </c>
      <c r="DB7" s="59" t="str">
        <f>Sheet8!X15</f>
        <v>Aug-w3</v>
      </c>
      <c r="DC7" s="59" t="str">
        <f>Sheet8!Y15</f>
        <v>Aug-w4</v>
      </c>
      <c r="DD7" s="59" t="str">
        <f>Sheet8!Z15</f>
        <v>Sep-w1</v>
      </c>
      <c r="DE7" s="59" t="str">
        <f>Sheet8!AA15</f>
        <v>Sep-w2</v>
      </c>
      <c r="DF7" s="59" t="str">
        <f>Sheet8!AB15</f>
        <v>Sep-w3</v>
      </c>
      <c r="DG7" s="59" t="str">
        <f>Sheet8!AC15</f>
        <v>Sep-w4</v>
      </c>
      <c r="DH7" s="59" t="str">
        <f>Sheet8!AD15</f>
        <v>Oct-w1</v>
      </c>
      <c r="DI7" s="59" t="str">
        <f>Sheet8!AE15</f>
        <v>Oct-w2</v>
      </c>
      <c r="DJ7" s="59" t="str">
        <f>Sheet8!AF15</f>
        <v>Oct-w3</v>
      </c>
      <c r="DK7" s="59" t="str">
        <f>Sheet8!AG15</f>
        <v>Oct-w4</v>
      </c>
      <c r="DL7" s="59" t="str">
        <f>Sheet8!AH15</f>
        <v>Nov-w1</v>
      </c>
      <c r="DM7" s="59" t="str">
        <f>Sheet8!AI15</f>
        <v>Nov-w2</v>
      </c>
      <c r="DN7" s="59" t="str">
        <f>Sheet8!AJ15</f>
        <v>Nov-w3</v>
      </c>
      <c r="DO7" s="59" t="str">
        <f>Sheet8!AK15</f>
        <v>Nov-w4</v>
      </c>
      <c r="DP7" s="59" t="str">
        <f>Sheet8!AL15</f>
        <v>Dec-w1</v>
      </c>
      <c r="DQ7" s="59" t="str">
        <f>Sheet8!AM15</f>
        <v>Dec-w2</v>
      </c>
      <c r="DR7" s="59" t="str">
        <f>Sheet8!AN15</f>
        <v>Dec-w3</v>
      </c>
      <c r="DS7" s="59" t="str">
        <f>Sheet8!AO15</f>
        <v>Dec-w4</v>
      </c>
      <c r="DT7" s="59">
        <f>Sheet8!AP15</f>
        <v>0</v>
      </c>
      <c r="DU7" s="59">
        <f>Sheet8!AQ15</f>
        <v>0</v>
      </c>
      <c r="DV7" s="59">
        <f>Sheet8!AR15</f>
        <v>0</v>
      </c>
      <c r="DW7" s="59">
        <f>Sheet8!AS15</f>
        <v>0</v>
      </c>
      <c r="DX7" s="59">
        <f>Sheet8!AT15</f>
        <v>0</v>
      </c>
      <c r="DY7" s="59">
        <f>Sheet8!AU15</f>
        <v>0</v>
      </c>
      <c r="DZ7" s="59">
        <f>Sheet8!AV15</f>
        <v>0</v>
      </c>
      <c r="EA7" s="59">
        <f>Sheet8!AW15</f>
        <v>0</v>
      </c>
      <c r="EB7" s="59">
        <f>Sheet8!AX15</f>
        <v>0</v>
      </c>
      <c r="EC7" s="59">
        <f>Sheet8!AY15</f>
        <v>0</v>
      </c>
      <c r="ED7" s="59">
        <f>Sheet8!AZ15</f>
        <v>0</v>
      </c>
      <c r="EE7" s="59">
        <f>Sheet8!BA15</f>
        <v>0</v>
      </c>
      <c r="EF7" s="59">
        <f>Sheet8!BB15</f>
        <v>0</v>
      </c>
      <c r="EG7" s="59">
        <f>Sheet8!BC15</f>
        <v>0</v>
      </c>
      <c r="EH7" s="59">
        <f>Sheet8!BD15</f>
        <v>0</v>
      </c>
      <c r="EI7" s="59">
        <f>Sheet8!BE15</f>
        <v>0</v>
      </c>
      <c r="EJ7" s="59">
        <f>Sheet8!BF15</f>
        <v>0</v>
      </c>
      <c r="EK7" s="59">
        <f>Sheet8!BG15</f>
        <v>0</v>
      </c>
      <c r="EL7" s="59">
        <f>Sheet8!BH15</f>
        <v>0</v>
      </c>
      <c r="EM7" s="59">
        <f>Sheet8!BI15</f>
        <v>0</v>
      </c>
      <c r="EN7" s="59">
        <f>Sheet8!BJ15</f>
        <v>0</v>
      </c>
      <c r="EO7" s="59">
        <f>Sheet8!BK15</f>
        <v>0</v>
      </c>
      <c r="EP7" s="59">
        <f>Sheet8!BL15</f>
        <v>0</v>
      </c>
      <c r="EQ7" s="59">
        <f>Sheet8!BM15</f>
        <v>0</v>
      </c>
      <c r="ER7" s="59">
        <f>Sheet8!BN15</f>
        <v>0</v>
      </c>
      <c r="ES7" s="59">
        <f>Sheet8!BO15</f>
        <v>0</v>
      </c>
      <c r="ET7" s="59">
        <f>Sheet8!BP15</f>
        <v>0</v>
      </c>
      <c r="EU7" s="59">
        <f>Sheet8!BQ15</f>
        <v>0</v>
      </c>
      <c r="EV7" s="59">
        <f>Sheet8!BR15</f>
        <v>0</v>
      </c>
      <c r="EW7" s="59">
        <f>Sheet8!BS15</f>
        <v>0</v>
      </c>
      <c r="EX7" s="59">
        <f>Sheet8!BT15</f>
        <v>0</v>
      </c>
      <c r="EY7" s="59">
        <f>Sheet8!BU15</f>
        <v>0</v>
      </c>
      <c r="EZ7" s="59">
        <f>Sheet8!BV15</f>
        <v>0</v>
      </c>
      <c r="FA7" s="59">
        <f>Sheet8!BW15</f>
        <v>0</v>
      </c>
      <c r="FB7" s="59">
        <f>Sheet8!BX15</f>
        <v>0</v>
      </c>
      <c r="FC7" s="59">
        <f>Sheet8!BY15</f>
        <v>0</v>
      </c>
      <c r="FD7" s="59">
        <f>Sheet8!BZ15</f>
        <v>0</v>
      </c>
      <c r="FE7" s="59">
        <f>Sheet8!CA15</f>
        <v>0</v>
      </c>
      <c r="FF7" s="59">
        <f>Sheet8!CB15</f>
        <v>0</v>
      </c>
      <c r="FG7" s="59">
        <f>Sheet8!CC15</f>
        <v>0</v>
      </c>
      <c r="FH7" s="59">
        <f>Sheet8!CD15</f>
        <v>0</v>
      </c>
      <c r="FI7" s="59">
        <f>Sheet8!CE15</f>
        <v>0</v>
      </c>
      <c r="FJ7" s="59">
        <f>Sheet8!CF15</f>
        <v>0</v>
      </c>
      <c r="FK7" s="59">
        <f>Sheet8!CG15</f>
        <v>0</v>
      </c>
      <c r="FL7" s="59">
        <f>Sheet8!CH15</f>
        <v>0</v>
      </c>
      <c r="FM7" s="59">
        <f>Sheet8!CI15</f>
        <v>0</v>
      </c>
      <c r="FN7" s="59">
        <f>Sheet8!CJ15</f>
        <v>0</v>
      </c>
      <c r="FO7" s="59">
        <f>Sheet8!CK15</f>
        <v>0</v>
      </c>
      <c r="FP7" s="59">
        <f>Sheet8!CL15</f>
        <v>0</v>
      </c>
      <c r="FQ7" s="59">
        <f>Sheet8!CM15</f>
        <v>0</v>
      </c>
      <c r="FR7" s="59">
        <f>Sheet8!CN15</f>
        <v>0</v>
      </c>
      <c r="FS7" s="59">
        <f>Sheet8!CO15</f>
        <v>0</v>
      </c>
      <c r="FT7" s="59">
        <f>Sheet8!CP15</f>
        <v>0</v>
      </c>
      <c r="FU7" s="59">
        <f>Sheet8!CQ15</f>
        <v>0</v>
      </c>
      <c r="FV7" s="59">
        <f>Sheet8!CR15</f>
        <v>0</v>
      </c>
      <c r="FW7" s="59">
        <f>Sheet8!CS15</f>
        <v>0</v>
      </c>
      <c r="FX7" s="59">
        <f>Sheet8!CT15</f>
        <v>0</v>
      </c>
      <c r="FY7" s="59">
        <f>Sheet8!CU15</f>
        <v>0</v>
      </c>
      <c r="FZ7" s="59">
        <f>Sheet8!CV15</f>
        <v>0</v>
      </c>
      <c r="GA7" s="59">
        <f>Sheet8!CW15</f>
        <v>0</v>
      </c>
      <c r="GB7" s="59">
        <f>Sheet8!CX15</f>
        <v>0</v>
      </c>
      <c r="GC7" s="59">
        <f>Sheet8!CY15</f>
        <v>0</v>
      </c>
      <c r="GD7" s="59">
        <f>Sheet8!CZ15</f>
        <v>0</v>
      </c>
      <c r="GE7" s="59">
        <f>Sheet8!DA15</f>
        <v>0</v>
      </c>
      <c r="GF7" s="59">
        <f>Sheet8!DB15</f>
        <v>0</v>
      </c>
      <c r="GG7" s="59">
        <f>Sheet8!DC15</f>
        <v>0</v>
      </c>
      <c r="GH7" s="59">
        <f>Sheet8!DD15</f>
        <v>0</v>
      </c>
    </row>
    <row r="8" spans="1:190" ht="13">
      <c r="H8" s="107" t="s">
        <v>807</v>
      </c>
      <c r="I8" s="74">
        <f>VLOOKUP($H$8&amp;$F$1,'Input RM sheet'!$A:$BD,H1,0)</f>
        <v>0</v>
      </c>
      <c r="J8" s="74">
        <f>VLOOKUP($H$8&amp;$F$1,'Input RM sheet'!$A:$BD,I1,0)</f>
        <v>0</v>
      </c>
      <c r="K8" s="74">
        <f>VLOOKUP($H$8&amp;$F$1,'Input RM sheet'!$A:$DD,J1,0)</f>
        <v>0</v>
      </c>
      <c r="L8" s="74">
        <f>VLOOKUP($H$8&amp;$F$1,'Input RM sheet'!$A:$DD,K1,0)</f>
        <v>0</v>
      </c>
      <c r="M8" s="74">
        <f>VLOOKUP($H$8&amp;$F$1,'Input RM sheet'!$A:$DD,L1,0)</f>
        <v>0</v>
      </c>
      <c r="N8" s="74">
        <f>VLOOKUP($H$8&amp;$F$1,'Input RM sheet'!$A:$DD,M1,0)</f>
        <v>0</v>
      </c>
      <c r="O8" s="74">
        <f>VLOOKUP($H$8&amp;$F$1,'Input RM sheet'!$A:$DD,N1,0)</f>
        <v>0</v>
      </c>
      <c r="P8" s="74">
        <f>VLOOKUP($H$8&amp;$F$1,'Input RM sheet'!$A:$DD,O1,0)</f>
        <v>0</v>
      </c>
      <c r="Q8" s="74">
        <f>VLOOKUP($H$8&amp;$F$1,'Input RM sheet'!$A:$DD,P1,0)</f>
        <v>0</v>
      </c>
      <c r="R8" s="74">
        <f>VLOOKUP($H$8&amp;$F$1,'Input RM sheet'!$A:$DD,Q1,0)</f>
        <v>0</v>
      </c>
      <c r="S8" s="74">
        <f>VLOOKUP($H$8&amp;$F$1,'Input RM sheet'!$A:$DD,R1,0)</f>
        <v>0</v>
      </c>
      <c r="T8" s="74">
        <f>VLOOKUP($H$8&amp;$F$1,'Input RM sheet'!$A:$DD,S1,0)</f>
        <v>0</v>
      </c>
      <c r="U8" s="74">
        <f>VLOOKUP($H$8&amp;$F$1,'Input RM sheet'!$A:$DD,T1,0)</f>
        <v>0</v>
      </c>
      <c r="V8" s="74">
        <f>VLOOKUP($H$8&amp;$F$1,'Input RM sheet'!$A:$DD,U1,0)</f>
        <v>0</v>
      </c>
      <c r="W8" s="74">
        <f>VLOOKUP($H$8&amp;$F$1,'Input RM sheet'!$A:$DD,V1,0)</f>
        <v>0</v>
      </c>
      <c r="X8" s="74">
        <f>VLOOKUP($H$8&amp;$F$1,'Input RM sheet'!$A:$DD,W1,0)</f>
        <v>2285</v>
      </c>
      <c r="Y8" s="74">
        <f>VLOOKUP($H$8&amp;$F$1,'Input RM sheet'!$A:$DD,X1,0)</f>
        <v>2283.75</v>
      </c>
      <c r="Z8" s="74">
        <f>VLOOKUP($H$8&amp;$F$1,'Input RM sheet'!$A:$DD,Y1,0)</f>
        <v>1775</v>
      </c>
      <c r="AA8" s="74">
        <f>VLOOKUP($H$8&amp;$F$1,'Input RM sheet'!$A:$DD,Z1,0)</f>
        <v>1916</v>
      </c>
      <c r="AB8" s="74">
        <f>VLOOKUP($H$8&amp;$F$1,'Input RM sheet'!$A:$DD,AA1,0)</f>
        <v>2067.5</v>
      </c>
      <c r="AC8" s="74">
        <f>VLOOKUP($H$8&amp;$F$1,'Input RM sheet'!$A:$DD,AB1,0)</f>
        <v>2128.75</v>
      </c>
      <c r="AD8" s="74">
        <f>VLOOKUP($H$8&amp;$F$1,'Input RM sheet'!$A:$DD,AC1,0)</f>
        <v>2226</v>
      </c>
      <c r="AE8" s="74">
        <f>VLOOKUP($H$8&amp;$F$1,'Input RM sheet'!$A:$DD,AD1,0)</f>
        <v>1985</v>
      </c>
      <c r="AF8" s="74">
        <f>VLOOKUP($H$8&amp;$F$1,'Input RM sheet'!$A:$DD,AE1,0)</f>
        <v>1752.5</v>
      </c>
      <c r="AG8" s="74">
        <f>VLOOKUP($H$8&amp;$F$1,'Input RM sheet'!$A:$DD,AF1,0)</f>
        <v>1358.75</v>
      </c>
      <c r="AH8" s="74">
        <f>VLOOKUP($H$8&amp;$F$1,'Input RM sheet'!$A:$DD,AG1,0)</f>
        <v>1408.3330000000001</v>
      </c>
      <c r="AI8" s="74">
        <f>VLOOKUP($H$8&amp;$F$1,'Input RM sheet'!$A:$DD,AH1,0)</f>
        <v>1496.25</v>
      </c>
      <c r="AJ8" s="74">
        <f>VLOOKUP($H$8&amp;$F$1,'Input RM sheet'!$A:$DD,AI1,0)</f>
        <v>1412.5</v>
      </c>
      <c r="AK8" s="74">
        <f>VLOOKUP($H$8&amp;$F$1,'Input RM sheet'!$A:$DD,AJ1,0)</f>
        <v>1336.875</v>
      </c>
      <c r="AL8" s="74">
        <f>VLOOKUP($H$8&amp;$F$1,'Input RM sheet'!$A:$DD,AK1,0)</f>
        <v>1291.875</v>
      </c>
      <c r="AM8" s="74">
        <f>VLOOKUP($H$8&amp;$F$1,'Input RM sheet'!$A:$DD,AL1,0)</f>
        <v>1148</v>
      </c>
      <c r="AN8" s="74">
        <f>VLOOKUP($H$8&amp;$F$1,'Input RM sheet'!$A:$DD,AM1,0)</f>
        <v>1025</v>
      </c>
      <c r="AO8" s="74">
        <f>VLOOKUP($H$8&amp;$F$1,'Input RM sheet'!$A:$DD,AN1,0)</f>
        <v>1120</v>
      </c>
      <c r="AP8" s="74">
        <f>VLOOKUP($H$8&amp;$F$1,'Input RM sheet'!$A:$DD,AO1,0)</f>
        <v>1120.8330000000001</v>
      </c>
      <c r="AQ8" s="74">
        <f>VLOOKUP($H$8&amp;$F$1,'Input RM sheet'!$A:$DD,AP1,0)</f>
        <v>1025</v>
      </c>
      <c r="AR8" s="74">
        <f>VLOOKUP($H$8&amp;$F$1,'Input RM sheet'!$A:$DD,AQ1,0)</f>
        <v>1015.625</v>
      </c>
      <c r="AS8" s="74">
        <f>VLOOKUP($H$8&amp;$F$1,'Input RM sheet'!$A:$DD,AR1,0)</f>
        <v>1012.5</v>
      </c>
      <c r="AT8" s="74">
        <f>VLOOKUP($H$8&amp;$F$1,'Input RM sheet'!$A:$DD,AS1,0)</f>
        <v>1115.625</v>
      </c>
      <c r="AU8" s="74">
        <f>VLOOKUP($H$8&amp;$F$1,'Input RM sheet'!$A:$DD,AT1,0)</f>
        <v>1380</v>
      </c>
      <c r="AV8" s="74">
        <f>VLOOKUP($H$8&amp;$F$1,'Input RM sheet'!$A:$DD,AU1,0)</f>
        <v>1175</v>
      </c>
      <c r="AW8" s="74">
        <f>VLOOKUP($H$8&amp;$F$1,'Input RM sheet'!$A:$DD,AV1,0)</f>
        <v>1165</v>
      </c>
      <c r="AX8" s="74">
        <f>VLOOKUP($H$8&amp;$F$1,'Input RM sheet'!$A:$DD,AW1,0)</f>
        <v>1125</v>
      </c>
      <c r="AY8" s="74">
        <f>VLOOKUP($H$8&amp;$F$1,'Input RM sheet'!$A:$DD,AX1,0)</f>
        <v>950</v>
      </c>
      <c r="AZ8" s="74">
        <f>VLOOKUP($H$8&amp;$F$1,'Input RM sheet'!$A:$DD,AY1,0)</f>
        <v>950</v>
      </c>
      <c r="BA8" s="74">
        <f>VLOOKUP($H$8&amp;$F$1,'Input RM sheet'!$A:$DD,AZ1,0)</f>
        <v>950</v>
      </c>
      <c r="BB8" s="74">
        <f>VLOOKUP($H$8&amp;$F$1,'Input RM sheet'!$A:$DD,BA1,0)</f>
        <v>975</v>
      </c>
      <c r="BC8" s="74">
        <f>VLOOKUP($H$8&amp;$F$1,'Input RM sheet'!$A:$DD,BB1,0)</f>
        <v>975</v>
      </c>
      <c r="BD8" s="74">
        <f>VLOOKUP($H$8&amp;$F$1,'Input RM sheet'!$A:$DD,BC1,0)</f>
        <v>995</v>
      </c>
      <c r="BE8" s="74">
        <f>VLOOKUP($H$8&amp;$F$1,'Input RM sheet'!$A:$DD,BD1,0)</f>
        <v>995</v>
      </c>
      <c r="BF8" s="74">
        <f>VLOOKUP($H$8&amp;$F$1,'Input RM sheet'!$A:$DD,BE1,0)</f>
        <v>982</v>
      </c>
      <c r="BG8" s="74">
        <f>VLOOKUP($H$8&amp;$F$1,'Input RM sheet'!$A:$DD,BF1,0)</f>
        <v>982</v>
      </c>
      <c r="BH8" s="74">
        <f>VLOOKUP($H$8&amp;$F$1,'Input RM sheet'!$A:$DD,BG1,0)</f>
        <v>982</v>
      </c>
      <c r="BI8" s="74">
        <f>VLOOKUP($H$8&amp;$F$1,'Input RM sheet'!$A:$DD,BH1,0)</f>
        <v>1025</v>
      </c>
      <c r="BJ8" s="74">
        <f>VLOOKUP($H$8&amp;$F$1,'Input RM sheet'!$A:$DD,BI1,0)</f>
        <v>1025</v>
      </c>
      <c r="BK8" s="74">
        <f>VLOOKUP($H$8&amp;$F$1,'Input RM sheet'!$A:$DD,BJ1,0)</f>
        <v>1025</v>
      </c>
      <c r="BL8" s="74">
        <f>VLOOKUP($H$8&amp;$F$1,'Input RM sheet'!$A:$DD,BK1,0)</f>
        <v>1052.5</v>
      </c>
      <c r="BM8" s="74">
        <f>VLOOKUP($H$8&amp;$F$1,'Input RM sheet'!$A:$DD,BL1,0)</f>
        <v>960</v>
      </c>
      <c r="BN8" s="74">
        <f>VLOOKUP($H$8&amp;$F$1,'Input RM sheet'!$A:$DD,BM1,0)</f>
        <v>940</v>
      </c>
      <c r="BO8" s="74">
        <f>VLOOKUP($H$8&amp;$F$1,'Input RM sheet'!$A:$DD,BN1,0)</f>
        <v>940</v>
      </c>
      <c r="BP8" s="74">
        <f>VLOOKUP($H$8&amp;$F$1,'Input RM sheet'!$A:$DD,BO1,0)</f>
        <v>935</v>
      </c>
      <c r="BQ8" s="74">
        <f>VLOOKUP($H$8&amp;$F$1,'Input RM sheet'!$A:$DD,BP1,0)</f>
        <v>935</v>
      </c>
      <c r="BR8" s="74">
        <f>VLOOKUP($H$8&amp;$F$1,'Input RM sheet'!$A:$DD,BQ1,0)</f>
        <v>950</v>
      </c>
      <c r="BS8" s="74">
        <f>VLOOKUP($H$8&amp;$F$1,'Input RM sheet'!$A:$DD,BR1,0)</f>
        <v>950</v>
      </c>
      <c r="BT8" s="74">
        <f>VLOOKUP($H$8&amp;$F$1,'Input RM sheet'!$A:$DD,BS1,0)</f>
        <v>940</v>
      </c>
      <c r="BU8" s="74">
        <f>VLOOKUP($H$8&amp;$F$1,'Input RM sheet'!$A:$DD,BT1,0)</f>
        <v>930</v>
      </c>
      <c r="BV8" s="74">
        <f>VLOOKUP($H$8&amp;$F$1,'Input RM sheet'!$A:$DD,BU1,0)</f>
        <v>940</v>
      </c>
      <c r="BW8" s="74">
        <f>VLOOKUP($H$8&amp;$F$1,'Input RM sheet'!$A:$DD,BV1,0)</f>
        <v>940</v>
      </c>
      <c r="BX8" s="74">
        <f>VLOOKUP($H$8&amp;$F$1,'Input RM sheet'!$A:$DD,BW1,0)</f>
        <v>1000</v>
      </c>
      <c r="BY8" s="74">
        <f>VLOOKUP($H$8&amp;$F$1,'Input RM sheet'!$A:$DD,BX1,0)</f>
        <v>1000</v>
      </c>
      <c r="BZ8" s="74">
        <f>VLOOKUP($H$8&amp;$F$1,'Input RM sheet'!$A:$DD,BY1,0)</f>
        <v>1060</v>
      </c>
      <c r="CA8" s="74">
        <f>VLOOKUP($H$8&amp;$F$1,'Input RM sheet'!$A:$DD,BZ1,0)</f>
        <v>1050</v>
      </c>
      <c r="CB8" s="74">
        <f>VLOOKUP($H$8&amp;$F$1,'Input RM sheet'!$A:$DD,CA1,0)</f>
        <v>1050</v>
      </c>
      <c r="CC8" s="74">
        <f>VLOOKUP($H$8&amp;$F$1,'Input RM sheet'!$A:$DD,CB1,0)</f>
        <v>1072</v>
      </c>
      <c r="CD8" s="74">
        <f>VLOOKUP($H$8&amp;$F$1,'Input RM sheet'!$A:$DD,CC1,0)</f>
        <v>1000</v>
      </c>
      <c r="CE8" s="74">
        <f>VLOOKUP($H$8&amp;$F$1,'Input RM sheet'!$A:$DD,CD1,0)</f>
        <v>1010</v>
      </c>
      <c r="CF8" s="74">
        <f>VLOOKUP($H$8&amp;$F$1,'Input RM sheet'!$A:$DD,CE1,0)</f>
        <v>1040</v>
      </c>
      <c r="CG8" s="74">
        <f>VLOOKUP($H$8&amp;$F$1,'Input RM sheet'!$A:$DD,CF1,0)</f>
        <v>1040</v>
      </c>
      <c r="CH8" s="74">
        <f>VLOOKUP($H$8&amp;$F$1,'Input RM sheet'!$A:$DD,CG1,0)</f>
        <v>1010</v>
      </c>
      <c r="CI8" s="74">
        <f>VLOOKUP($H$8&amp;$F$1,'Input RM sheet'!$A:$DD,CH1,0)</f>
        <v>1015</v>
      </c>
      <c r="CJ8" s="74">
        <f>VLOOKUP($H$8&amp;$F$1,'Input RM sheet'!$A:$DD,CI1,0)</f>
        <v>1025</v>
      </c>
      <c r="CK8" s="74">
        <f>VLOOKUP($H$8&amp;$F$1,'Input RM sheet'!$A:$DD,CJ1,0)</f>
        <v>1025</v>
      </c>
      <c r="CL8" s="74">
        <f>VLOOKUP($H$8&amp;$F$1,'Input RM sheet'!$A:$DD,CK1,0)</f>
        <v>1025</v>
      </c>
      <c r="CM8" s="74">
        <f>VLOOKUP($H$8&amp;$F$1,'Input RM sheet'!$A:$DD,CL1,0)</f>
        <v>1025</v>
      </c>
      <c r="CN8" s="74">
        <f>VLOOKUP($H$8&amp;$F$1,'Input RM sheet'!$A:$DD,CM1,0)</f>
        <v>1025</v>
      </c>
      <c r="CO8" s="74">
        <f>VLOOKUP($H$8&amp;$F$1,'Input RM sheet'!$A:$DD,CN1,0)</f>
        <v>1025</v>
      </c>
      <c r="CP8" s="74">
        <f>VLOOKUP($H$8&amp;$F$1,'Input RM sheet'!$A:$DD,CO1,0)</f>
        <v>1025</v>
      </c>
      <c r="CQ8" s="74">
        <f>VLOOKUP($H$8&amp;$F$1,'Input RM sheet'!$A:$DD,CP1,0)</f>
        <v>1025</v>
      </c>
      <c r="CR8" s="74">
        <f>VLOOKUP($H$8&amp;$F$1,'Input RM sheet'!$A:$ZZ,CQ1,0)</f>
        <v>1000</v>
      </c>
      <c r="CS8" s="74">
        <f>VLOOKUP($H$8&amp;$F$1,'Input RM sheet'!$A:$ZZ,CR1,0)</f>
        <v>975</v>
      </c>
      <c r="CT8" s="74">
        <f>VLOOKUP($H$8&amp;$F$1,'Input RM sheet'!$A:$ZZ,CS1,0)</f>
        <v>972</v>
      </c>
      <c r="CU8" s="74">
        <f>VLOOKUP($H$8&amp;$F$1,'Input RM sheet'!$A:$ZZ,CT1,0)</f>
        <v>972</v>
      </c>
      <c r="CV8" s="74">
        <f>VLOOKUP($H$8&amp;$F$1,'Input RM sheet'!$A:$ZZ,CU1,0)</f>
        <v>1000</v>
      </c>
      <c r="CW8" s="74">
        <f>VLOOKUP($H$8&amp;$F$1,'Input RM sheet'!$A:$ZZ,CV1,0)</f>
        <v>1000</v>
      </c>
      <c r="CX8" s="74">
        <f>VLOOKUP($H$8&amp;$F$1,'Input RM sheet'!$A:$ZZ,CW1,0)</f>
        <v>1025</v>
      </c>
      <c r="CY8" s="74">
        <f>VLOOKUP($H$8&amp;$F$1,'Input RM sheet'!$A:$ZZ,CX1,0)</f>
        <v>1025</v>
      </c>
      <c r="CZ8" s="74">
        <f>VLOOKUP($H$8&amp;$F$1,'Input RM sheet'!$A:$ZZ,CY1,0)</f>
        <v>1025</v>
      </c>
      <c r="DA8" s="74">
        <f>VLOOKUP($H$8&amp;$F$1,'Input RM sheet'!$A:$ZZ,CZ1,0)</f>
        <v>1023</v>
      </c>
      <c r="DB8" s="74">
        <f>VLOOKUP($H$8&amp;$F$1,'Input RM sheet'!$A:$ZZ,DA1,0)</f>
        <v>1020</v>
      </c>
      <c r="DC8" s="74">
        <f>VLOOKUP($H$8&amp;$F$1,'Input RM sheet'!$A:$ZZ,DB1,0)</f>
        <v>1050</v>
      </c>
      <c r="DD8" s="74">
        <f>VLOOKUP($H$8&amp;$F$1,'Input RM sheet'!$A:$ZZ,DC1,0)</f>
        <v>1050</v>
      </c>
      <c r="DE8" s="74">
        <f>VLOOKUP($H$8&amp;$F$1,'Input RM sheet'!$A:$ZZ,DD1,0)</f>
        <v>993</v>
      </c>
      <c r="DF8" s="74">
        <f>VLOOKUP($H$8&amp;$F$1,'Input RM sheet'!$A:$ZZ,DE1,0)</f>
        <v>1000</v>
      </c>
      <c r="DG8" s="74">
        <f>VLOOKUP($H$8&amp;$F$1,'Input RM sheet'!$A:$ZZ,DF1,0)</f>
        <v>1008</v>
      </c>
      <c r="DH8" s="74">
        <f>VLOOKUP($H$8&amp;$F$1,'Input RM sheet'!$A:$ZZ,DG1,0)</f>
        <v>985</v>
      </c>
      <c r="DI8" s="74">
        <f>VLOOKUP($H$8&amp;$F$1,'Input RM sheet'!$A:$ZZ,DH1,0)</f>
        <v>985</v>
      </c>
      <c r="DJ8" s="74">
        <f>VLOOKUP($H$8&amp;$F$1,'Input RM sheet'!$A:$ZZ,DI1,0)</f>
        <v>965</v>
      </c>
      <c r="DK8" s="74">
        <f>VLOOKUP($H$8&amp;$F$1,'Input RM sheet'!$A:$ZZ,DJ1,0)</f>
        <v>965</v>
      </c>
      <c r="DL8" s="74">
        <f>VLOOKUP($H$8&amp;$F$1,'Input RM sheet'!$A:$ZZ,DK1,0)</f>
        <v>970</v>
      </c>
      <c r="DM8" s="74">
        <f>VLOOKUP($H$8&amp;$F$1,'Input RM sheet'!$A:$ZZ,DL1,0)</f>
        <v>970</v>
      </c>
      <c r="DN8" s="74">
        <f>VLOOKUP($H$8&amp;$F$1,'Input RM sheet'!$A:$ZZ,DM1,0)</f>
        <v>980</v>
      </c>
      <c r="DO8" s="74">
        <f>VLOOKUP($H$8&amp;$F$1,'Input RM sheet'!$A:$ZZ,DN1,0)</f>
        <v>970</v>
      </c>
      <c r="DP8" s="74">
        <f>VLOOKUP($H$8&amp;$F$1,'Input RM sheet'!$A:$ZZ,DO1,0)</f>
        <v>970</v>
      </c>
      <c r="DQ8" s="74">
        <f>VLOOKUP($H$8&amp;$F$1,'Input RM sheet'!$A:$ZZ,DP1,0)</f>
        <v>970</v>
      </c>
      <c r="DR8" s="74">
        <f>VLOOKUP($H$8&amp;$F$1,'Input RM sheet'!$A:$ZZ,DQ1,0)</f>
        <v>970</v>
      </c>
      <c r="DS8" s="74">
        <f>VLOOKUP($H$8&amp;$F$1,'Input RM sheet'!$A:$ZZ,DR1,0)</f>
        <v>970</v>
      </c>
      <c r="DT8" s="74">
        <f>VLOOKUP($H$8&amp;$F$1,'Input RM sheet'!$A:$ZZ,DS1,0)</f>
        <v>0</v>
      </c>
      <c r="DU8" s="74">
        <f>VLOOKUP($H$8&amp;$F$1,'Input RM sheet'!$A:$ZZ,DT1,0)</f>
        <v>0</v>
      </c>
      <c r="DV8" s="74">
        <f>VLOOKUP($H$8&amp;$F$1,'Input RM sheet'!$A:$ZZ,DU1,0)</f>
        <v>0</v>
      </c>
      <c r="DW8" s="74">
        <f>VLOOKUP($H$8&amp;$F$1,'Input RM sheet'!$A:$ZZ,DV1,0)</f>
        <v>0</v>
      </c>
      <c r="DX8" s="74">
        <f>VLOOKUP($H$8&amp;$F$1,'Input RM sheet'!$A:$ZZ,DW1,0)</f>
        <v>0</v>
      </c>
      <c r="DY8" s="74">
        <f>VLOOKUP($H$8&amp;$F$1,'Input RM sheet'!$A:$ZZ,DX1,0)</f>
        <v>0</v>
      </c>
      <c r="DZ8" s="74">
        <f>VLOOKUP($H$8&amp;$F$1,'Input RM sheet'!$A:$ZZ,DY1,0)</f>
        <v>0</v>
      </c>
      <c r="EA8" s="74">
        <f>VLOOKUP($H$8&amp;$F$1,'Input RM sheet'!$A:$ZZ,DZ1,0)</f>
        <v>0</v>
      </c>
      <c r="EB8" s="74">
        <f>VLOOKUP($H$8&amp;$F$1,'Input RM sheet'!$A:$ZZ,EA1,0)</f>
        <v>0</v>
      </c>
      <c r="EC8" s="74">
        <f>VLOOKUP($H$8&amp;$F$1,'Input RM sheet'!$A:$ZZ,EB1,0)</f>
        <v>0</v>
      </c>
      <c r="ED8" s="74">
        <f>VLOOKUP($H$8&amp;$F$1,'Input RM sheet'!$A:$ZZ,EC1,0)</f>
        <v>0</v>
      </c>
      <c r="EE8" s="74">
        <f>VLOOKUP($H$8&amp;$F$1,'Input RM sheet'!$A:$ZZ,ED1,0)</f>
        <v>0</v>
      </c>
      <c r="EF8" s="74">
        <f>VLOOKUP($H$8&amp;$F$1,'Input RM sheet'!$A:$ZZ,EE1,0)</f>
        <v>0</v>
      </c>
      <c r="EG8" s="74">
        <f>VLOOKUP($H$8&amp;$F$1,'Input RM sheet'!$A:$ZZ,EF1,0)</f>
        <v>0</v>
      </c>
      <c r="EH8" s="74">
        <f>VLOOKUP($H$8&amp;$F$1,'Input RM sheet'!$A:$ZZ,EG1,0)</f>
        <v>0</v>
      </c>
      <c r="EI8" s="74">
        <f>VLOOKUP($H$8&amp;$F$1,'Input RM sheet'!$A:$ZZ,EH1,0)</f>
        <v>0</v>
      </c>
      <c r="EJ8" s="74">
        <f>VLOOKUP($H$8&amp;$F$1,'Input RM sheet'!$A:$ZZ,EI1,0)</f>
        <v>0</v>
      </c>
      <c r="EK8" s="74">
        <f>VLOOKUP($H$8&amp;$F$1,'Input RM sheet'!$A:$ZZ,EJ1,0)</f>
        <v>0</v>
      </c>
      <c r="EL8" s="74">
        <f>VLOOKUP($H$8&amp;$F$1,'Input RM sheet'!$A:$ZZ,EK1,0)</f>
        <v>0</v>
      </c>
      <c r="EM8" s="74">
        <f>VLOOKUP($H$8&amp;$F$1,'Input RM sheet'!$A:$ZZ,EL1,0)</f>
        <v>0</v>
      </c>
      <c r="EN8" s="74">
        <f>VLOOKUP($H$8&amp;$F$1,'Input RM sheet'!$A:$ZZ,EM1,0)</f>
        <v>0</v>
      </c>
      <c r="EO8" s="74">
        <f>VLOOKUP($H$8&amp;$F$1,'Input RM sheet'!$A:$ZZ,EN1,0)</f>
        <v>0</v>
      </c>
      <c r="EP8" s="74">
        <f>VLOOKUP($H$8&amp;$F$1,'Input RM sheet'!$A:$ZZ,EO1,0)</f>
        <v>0</v>
      </c>
      <c r="EQ8" s="74">
        <f>VLOOKUP($H$8&amp;$F$1,'Input RM sheet'!$A:$ZZ,EP1,0)</f>
        <v>0</v>
      </c>
      <c r="ER8" s="74">
        <f>VLOOKUP($H$8&amp;$F$1,'Input RM sheet'!$A:$ZZ,EQ1,0)</f>
        <v>0</v>
      </c>
      <c r="ES8" s="74">
        <f>VLOOKUP($H$8&amp;$F$1,'Input RM sheet'!$A:$ZZ,ER1,0)</f>
        <v>0</v>
      </c>
      <c r="ET8" s="74">
        <f>VLOOKUP($H$8&amp;$F$1,'Input RM sheet'!$A:$ZZ,ES1,0)</f>
        <v>0</v>
      </c>
      <c r="EU8" s="74" t="e" vm="1">
        <f>VLOOKUP($H$8&amp;$F$1,'Input RM sheet'!$A:$ZZ,ET1,0)</f>
        <v>#VALUE!</v>
      </c>
      <c r="EV8" s="74" t="e" vm="1">
        <f>VLOOKUP($H$8&amp;$F$1,'Input RM sheet'!$A:$ZZ,EU1,0)</f>
        <v>#VALUE!</v>
      </c>
      <c r="EW8" s="74" t="e" vm="1">
        <f>VLOOKUP($H$8&amp;$F$1,'Input RM sheet'!$A:$ZZ,EV1,0)</f>
        <v>#VALUE!</v>
      </c>
      <c r="EX8" s="74" t="e" vm="1">
        <f>VLOOKUP($H$8&amp;$F$1,'Input RM sheet'!$A:$ZZ,EW1,0)</f>
        <v>#VALUE!</v>
      </c>
      <c r="EY8" s="74" t="e" vm="1">
        <f>VLOOKUP($H$8&amp;$F$1,'Input RM sheet'!$A:$ZZ,EX1,0)</f>
        <v>#VALUE!</v>
      </c>
      <c r="EZ8" s="74" t="e" vm="1">
        <f>VLOOKUP($H$8&amp;$F$1,'Input RM sheet'!$A:$ZZ,EY1,0)</f>
        <v>#VALUE!</v>
      </c>
      <c r="FA8" s="74" t="e" vm="1">
        <f>VLOOKUP($H$8&amp;$F$1,'Input RM sheet'!$A:$ZZ,EZ1,0)</f>
        <v>#VALUE!</v>
      </c>
      <c r="FB8" s="74" t="e" vm="1">
        <f>VLOOKUP($H$8&amp;$F$1,'Input RM sheet'!$A:$ZZ,FA1,0)</f>
        <v>#VALUE!</v>
      </c>
      <c r="FC8" s="74" t="e" vm="1">
        <f>VLOOKUP($H$8&amp;$F$1,'Input RM sheet'!$A:$ZZ,FB1,0)</f>
        <v>#VALUE!</v>
      </c>
      <c r="FD8" s="74" t="e" vm="1">
        <f>VLOOKUP($H$8&amp;$F$1,'Input RM sheet'!$A:$ZZ,FC1,0)</f>
        <v>#VALUE!</v>
      </c>
      <c r="FE8" s="74" t="e" vm="1">
        <f>VLOOKUP($H$8&amp;$F$1,'Input RM sheet'!$A:$ZZ,FD1,0)</f>
        <v>#VALUE!</v>
      </c>
      <c r="FF8" s="74" t="e" vm="1">
        <f>VLOOKUP($H$8&amp;$F$1,'Input RM sheet'!$A:$ZZ,FE1,0)</f>
        <v>#VALUE!</v>
      </c>
      <c r="FG8" s="74" t="e" vm="1">
        <f>VLOOKUP($H$8&amp;$F$1,'Input RM sheet'!$A:$ZZ,FF1,0)</f>
        <v>#VALUE!</v>
      </c>
      <c r="FH8" s="74" t="e" vm="1">
        <f>VLOOKUP($H$8&amp;$F$1,'Input RM sheet'!$A:$ZZ,FG1,0)</f>
        <v>#VALUE!</v>
      </c>
      <c r="FI8" s="74" t="e" vm="1">
        <f>VLOOKUP($H$8&amp;$F$1,'Input RM sheet'!$A:$ZZ,FH1,0)</f>
        <v>#VALUE!</v>
      </c>
      <c r="FJ8" s="74" t="e" vm="1">
        <f>VLOOKUP($H$8&amp;$F$1,'Input RM sheet'!$A:$ZZ,FI1,0)</f>
        <v>#VALUE!</v>
      </c>
      <c r="FK8" s="74" t="e" vm="1">
        <f>VLOOKUP($H$8&amp;$F$1,'Input RM sheet'!$A:$ZZ,FJ1,0)</f>
        <v>#VALUE!</v>
      </c>
      <c r="FL8" s="74" t="e" vm="1">
        <f>VLOOKUP($H$8&amp;$F$1,'Input RM sheet'!$A:$ZZ,FK1,0)</f>
        <v>#VALUE!</v>
      </c>
      <c r="FM8" s="74" t="e" vm="1">
        <f>VLOOKUP($H$8&amp;$F$1,'Input RM sheet'!$A:$ZZ,FL1,0)</f>
        <v>#VALUE!</v>
      </c>
      <c r="FN8" s="74" t="e" vm="1">
        <f>VLOOKUP($H$8&amp;$F$1,'Input RM sheet'!$A:$ZZ,FM1,0)</f>
        <v>#VALUE!</v>
      </c>
      <c r="FO8" s="74" t="e" vm="1">
        <f>VLOOKUP($H$8&amp;$F$1,'Input RM sheet'!$A:$ZZ,FN1,0)</f>
        <v>#VALUE!</v>
      </c>
      <c r="FP8" s="74" t="e" vm="1">
        <f>VLOOKUP($H$8&amp;$F$1,'Input RM sheet'!$A:$ZZ,FO1,0)</f>
        <v>#VALUE!</v>
      </c>
      <c r="FQ8" s="74" t="e" vm="1">
        <f>VLOOKUP($H$8&amp;$F$1,'Input RM sheet'!$A:$ZZ,FP1,0)</f>
        <v>#VALUE!</v>
      </c>
      <c r="FR8" s="74" t="e" vm="1">
        <f>VLOOKUP($H$8&amp;$F$1,'Input RM sheet'!$A:$ZZ,FQ1,0)</f>
        <v>#VALUE!</v>
      </c>
      <c r="FS8" s="74" t="e" vm="1">
        <f>VLOOKUP($H$8&amp;$F$1,'Input RM sheet'!$A:$ZZ,FR1,0)</f>
        <v>#VALUE!</v>
      </c>
      <c r="FT8" s="74" t="e" vm="1">
        <f>VLOOKUP($H$8&amp;$F$1,'Input RM sheet'!$A:$ZZ,FS1,0)</f>
        <v>#VALUE!</v>
      </c>
      <c r="FU8" s="74" t="e" vm="1">
        <f>VLOOKUP($H$8&amp;$F$1,'Input RM sheet'!$A:$ZZ,FT1,0)</f>
        <v>#VALUE!</v>
      </c>
      <c r="FV8" s="74" t="e" vm="1">
        <f>VLOOKUP($H$8&amp;$F$1,'Input RM sheet'!$A:$ZZ,FU1,0)</f>
        <v>#VALUE!</v>
      </c>
      <c r="FW8" s="74" t="e" vm="1">
        <f>VLOOKUP($H$8&amp;$F$1,'Input RM sheet'!$A:$ZZ,FV1,0)</f>
        <v>#VALUE!</v>
      </c>
      <c r="FX8" s="74" t="e" vm="1">
        <f>VLOOKUP($H$8&amp;$F$1,'Input RM sheet'!$A:$ZZ,FW1,0)</f>
        <v>#VALUE!</v>
      </c>
      <c r="FY8" s="74" t="e" vm="1">
        <f>VLOOKUP($H$8&amp;$F$1,'Input RM sheet'!$A:$ZZ,FX1,0)</f>
        <v>#VALUE!</v>
      </c>
      <c r="FZ8" s="74" t="e" vm="1">
        <f>VLOOKUP($H$8&amp;$F$1,'Input RM sheet'!$A:$ZZ,FY1,0)</f>
        <v>#VALUE!</v>
      </c>
      <c r="GA8" s="74" t="e" vm="1">
        <f>VLOOKUP($H$8&amp;$F$1,'Input RM sheet'!$A:$ZZ,FZ1,0)</f>
        <v>#VALUE!</v>
      </c>
      <c r="GB8" s="74" t="e" vm="1">
        <f>VLOOKUP($H$8&amp;$F$1,'Input RM sheet'!$A:$ZZ,GA1,0)</f>
        <v>#VALUE!</v>
      </c>
      <c r="GC8" s="74" t="e" vm="1">
        <f>VLOOKUP($H$8&amp;$F$1,'Input RM sheet'!$A:$ZZ,GB1,0)</f>
        <v>#VALUE!</v>
      </c>
      <c r="GD8" s="74" t="e" vm="1">
        <f>VLOOKUP($H$8&amp;$F$1,'Input RM sheet'!$A:$ZZ,GC1,0)</f>
        <v>#VALUE!</v>
      </c>
      <c r="GE8" s="74" t="e" vm="1">
        <f>VLOOKUP($H$8&amp;$F$1,'Input RM sheet'!$A:$ZZ,GD1,0)</f>
        <v>#VALUE!</v>
      </c>
      <c r="GF8" s="74" t="e" vm="1">
        <f>VLOOKUP($H$8&amp;$F$1,'Input RM sheet'!$A:$ZZ,GE1,0)</f>
        <v>#VALUE!</v>
      </c>
      <c r="GG8" s="74" t="e" vm="1">
        <f>VLOOKUP($H$8&amp;$F$1,'Input RM sheet'!$A:$ZZ,GF1,0)</f>
        <v>#VALUE!</v>
      </c>
      <c r="GH8" s="74" t="e" vm="1">
        <f>VLOOKUP($H$8&amp;$F$1,'Input RM sheet'!$A:$ZZ,GG1,0)</f>
        <v>#VALUE!</v>
      </c>
    </row>
    <row r="9" spans="1:190" ht="13">
      <c r="H9" s="107" t="s">
        <v>36</v>
      </c>
      <c r="I9" s="74">
        <f>VLOOKUP($H$9&amp;$F$1,'Input RM sheet'!$A:$ZZ,H1,0)</f>
        <v>262.5</v>
      </c>
      <c r="J9" s="74">
        <f>VLOOKUP($H$9&amp;$F$1,'Input RM sheet'!$A:$ZZ,I1,0)</f>
        <v>322.5</v>
      </c>
      <c r="K9" s="74">
        <f>VLOOKUP($H$9&amp;$F$1,'Input RM sheet'!$A:$ZZ,J1,0)</f>
        <v>285</v>
      </c>
      <c r="L9" s="74">
        <f>VLOOKUP($H$9&amp;$F$1,'Input RM sheet'!$A:$ZZ,K1,0)</f>
        <v>210</v>
      </c>
      <c r="M9" s="74">
        <f>VLOOKUP($H$9&amp;$F$1,'Input RM sheet'!$A:$ZZ,L1,0)</f>
        <v>175</v>
      </c>
      <c r="N9" s="74">
        <f>VLOOKUP($H$9&amp;$F$1,'Input RM sheet'!$A:$ZZ,M1,0)</f>
        <v>167.5</v>
      </c>
      <c r="O9" s="74">
        <f>VLOOKUP($H$9&amp;$F$1,'Input RM sheet'!$A:$ZZ,N1,0)</f>
        <v>180</v>
      </c>
      <c r="P9" s="74">
        <f>VLOOKUP($H$9&amp;$F$1,'Input RM sheet'!$A:$ZZ,O1,0)</f>
        <v>220</v>
      </c>
      <c r="Q9" s="74">
        <f>VLOOKUP($H$9&amp;$F$1,'Input RM sheet'!$A:$ZZ,P1,0)</f>
        <v>230</v>
      </c>
      <c r="R9" s="74">
        <f>VLOOKUP($H$9&amp;$F$1,'Input RM sheet'!$A:$ZZ,Q1,0)</f>
        <v>240</v>
      </c>
      <c r="S9" s="74">
        <f>VLOOKUP($H$9&amp;$F$1,'Input RM sheet'!$A:$ZZ,R1,0)</f>
        <v>270</v>
      </c>
      <c r="T9" s="74">
        <f>VLOOKUP($H$9&amp;$F$1,'Input RM sheet'!$A:$ZZ,S1,0)</f>
        <v>300</v>
      </c>
      <c r="U9" s="74">
        <f>VLOOKUP($H$9&amp;$F$1,'Input RM sheet'!$A:$ZZ,T1,0)</f>
        <v>360</v>
      </c>
      <c r="V9" s="74">
        <f>VLOOKUP($H$9&amp;$F$1,'Input RM sheet'!$A:$ZZ,U1,0)</f>
        <v>365</v>
      </c>
      <c r="W9" s="74">
        <f>VLOOKUP($H$9&amp;$F$1,'Input RM sheet'!$A:$ZZ,V1,0)</f>
        <v>355</v>
      </c>
      <c r="X9" s="74">
        <f>VLOOKUP($H$9&amp;$F$1,'Input RM sheet'!$A:$ZZ,W1,0)</f>
        <v>340</v>
      </c>
      <c r="Y9" s="74">
        <f>VLOOKUP($H$9&amp;$F$1,'Input RM sheet'!$A:$ZZ,X1,0)</f>
        <v>347.5</v>
      </c>
      <c r="Z9" s="74">
        <f>VLOOKUP($H$9&amp;$F$1,'Input RM sheet'!$A:$ZZ,Y1,0)</f>
        <v>357.5</v>
      </c>
      <c r="AA9" s="74">
        <f>VLOOKUP($H$9&amp;$F$1,'Input RM sheet'!$A:$ZZ,Z1,0)</f>
        <v>360</v>
      </c>
      <c r="AB9" s="74">
        <f>VLOOKUP($H$9&amp;$F$1,'Input RM sheet'!$A:$ZZ,AA1,0)</f>
        <v>370</v>
      </c>
      <c r="AC9" s="74">
        <f>VLOOKUP($H$9&amp;$F$1,'Input RM sheet'!$A:$ZZ,AB1,0)</f>
        <v>390</v>
      </c>
      <c r="AD9" s="74">
        <f>VLOOKUP($H$9&amp;$F$1,'Input RM sheet'!$A:$ZZ,AC1,0)</f>
        <v>467.5</v>
      </c>
      <c r="AE9" s="74">
        <f>VLOOKUP($H$9&amp;$F$1,'Input RM sheet'!$A:$ZZ,AD1,0)</f>
        <v>392.5</v>
      </c>
      <c r="AF9" s="74">
        <f>VLOOKUP($H$9&amp;$F$1,'Input RM sheet'!$A:$ZZ,AE1,0)</f>
        <v>340</v>
      </c>
      <c r="AG9" s="74">
        <f>VLOOKUP($H$9&amp;$F$1,'Input RM sheet'!$A:$ZZ,AF1,0)</f>
        <v>310</v>
      </c>
      <c r="AH9" s="74">
        <f>VLOOKUP($H$9&amp;$F$1,'Input RM sheet'!$A:$ZZ,AG1,0)</f>
        <v>390</v>
      </c>
      <c r="AI9" s="74">
        <f>VLOOKUP($H$9&amp;$F$1,'Input RM sheet'!$A:$ZZ,AH1,0)</f>
        <v>430</v>
      </c>
      <c r="AJ9" s="74">
        <f>VLOOKUP($H$9&amp;$F$1,'Input RM sheet'!$A:$ZZ,AI1,0)</f>
        <v>390</v>
      </c>
      <c r="AK9" s="74">
        <f>VLOOKUP($H$9&amp;$F$1,'Input RM sheet'!$A:$ZZ,AJ1,0)</f>
        <v>350</v>
      </c>
      <c r="AL9" s="74">
        <f>VLOOKUP($H$9&amp;$F$1,'Input RM sheet'!$A:$ZZ,AK1,0)</f>
        <v>340</v>
      </c>
      <c r="AM9" s="74">
        <f>VLOOKUP($H$9&amp;$F$1,'Input RM sheet'!$A:$ZZ,AL1,0)</f>
        <v>315</v>
      </c>
      <c r="AN9" s="74">
        <f>VLOOKUP($H$9&amp;$F$1,'Input RM sheet'!$A:$ZZ,AM1,0)</f>
        <v>315</v>
      </c>
      <c r="AO9" s="74">
        <f>VLOOKUP($H$9&amp;$F$1,'Input RM sheet'!$A:$ZZ,AN1,0)</f>
        <v>315</v>
      </c>
      <c r="AP9" s="74">
        <f>VLOOKUP($H$9&amp;$F$1,'Input RM sheet'!$A:$ZZ,AO1,0)</f>
        <v>325</v>
      </c>
      <c r="AQ9" s="74">
        <f>VLOOKUP($H$9&amp;$F$1,'Input RM sheet'!$A:$ZZ,AP1,0)</f>
        <v>325</v>
      </c>
      <c r="AR9" s="74">
        <f>VLOOKUP($H$9&amp;$F$1,'Input RM sheet'!$A:$ZZ,AQ1,0)</f>
        <v>315</v>
      </c>
      <c r="AS9" s="74">
        <f>VLOOKUP($H$9&amp;$F$1,'Input RM sheet'!$A:$ZZ,AR1,0)</f>
        <v>325</v>
      </c>
      <c r="AT9" s="74">
        <f>VLOOKUP($H$9&amp;$F$1,'Input RM sheet'!$A:$ZZ,AS1,0)</f>
        <v>347.5</v>
      </c>
      <c r="AU9" s="74">
        <f>VLOOKUP($H$9&amp;$F$1,'Input RM sheet'!$A:$ZZ,AT1,0)</f>
        <v>362.5</v>
      </c>
      <c r="AV9" s="74">
        <f>VLOOKUP($H$9&amp;$F$1,'Input RM sheet'!$A:$ZZ,AU1,0)</f>
        <v>335</v>
      </c>
      <c r="AW9" s="74">
        <f>VLOOKUP($H$9&amp;$F$1,'Input RM sheet'!$A:$ZZ,AV1,0)</f>
        <v>310</v>
      </c>
      <c r="AX9" s="74">
        <f>VLOOKUP($H$9&amp;$F$1,'Input RM sheet'!$A:$ZZ,AW1,0)</f>
        <v>300</v>
      </c>
      <c r="AY9" s="74">
        <f>VLOOKUP($H$9&amp;$F$1,'Input RM sheet'!$A:$ZZ,AX1,0)</f>
        <v>300</v>
      </c>
      <c r="AZ9" s="74">
        <f>VLOOKUP($H$9&amp;$F$1,'Input RM sheet'!$A:$ZZ,AY1,0)</f>
        <v>290</v>
      </c>
      <c r="BA9" s="74">
        <f>VLOOKUP($H$9&amp;$F$1,'Input RM sheet'!$A:$ZZ,AZ1,0)</f>
        <v>290</v>
      </c>
      <c r="BB9" s="74">
        <f>VLOOKUP($H$9&amp;$F$1,'Input RM sheet'!$A:$ZZ,BA1,0)</f>
        <v>290</v>
      </c>
      <c r="BC9" s="74">
        <f>VLOOKUP($H$9&amp;$F$1,'Input RM sheet'!$A:$ZZ,BB1,0)</f>
        <v>290</v>
      </c>
      <c r="BD9" s="74">
        <f>VLOOKUP($H$9&amp;$F$1,'Input RM sheet'!$A:$ZZ,BC1,0)</f>
        <v>310</v>
      </c>
      <c r="BE9" s="74">
        <f>VLOOKUP($H$9&amp;$F$1,'Input RM sheet'!$A:$ZZ,BD1,0)</f>
        <v>310</v>
      </c>
      <c r="BF9" s="74">
        <f>VLOOKUP($H$9&amp;$F$1,'Input RM sheet'!$A:$ZZ,BE1,0)</f>
        <v>310</v>
      </c>
      <c r="BG9" s="74">
        <f>VLOOKUP($H$9&amp;$F$1,'Input RM sheet'!$A:$ZZ,BF1,0)</f>
        <v>310</v>
      </c>
      <c r="BH9" s="74">
        <f>VLOOKUP($H$9&amp;$F$1,'Input RM sheet'!$A:$ZZ,BG1,0)</f>
        <v>310</v>
      </c>
      <c r="BI9" s="74">
        <f>VLOOKUP($H$9&amp;$F$1,'Input RM sheet'!$A:$ZZ,BH1,0)</f>
        <v>330</v>
      </c>
      <c r="BJ9" s="74">
        <f>VLOOKUP($H$9&amp;$F$1,'Input RM sheet'!$A:$ZZ,BI1,0)</f>
        <v>330</v>
      </c>
      <c r="BK9" s="74">
        <f>VLOOKUP($H$9&amp;$F$1,'Input RM sheet'!$A:$ZZ,BJ1,0)</f>
        <v>330</v>
      </c>
      <c r="BL9" s="74">
        <f>VLOOKUP($H$9&amp;$F$1,'Input RM sheet'!$A:$ZZ,BK1,0)</f>
        <v>330</v>
      </c>
      <c r="BM9" s="74">
        <f>VLOOKUP($H$9&amp;$F$1,'Input RM sheet'!$A:$ZZ,BL1,0)</f>
        <v>330</v>
      </c>
      <c r="BN9" s="74">
        <f>VLOOKUP($H$9&amp;$F$1,'Input RM sheet'!$A:$ZZ,BM1,0)</f>
        <v>330</v>
      </c>
      <c r="BO9" s="74">
        <f>VLOOKUP($H$9&amp;$F$1,'Input RM sheet'!$A:$ZZ,BN1,0)</f>
        <v>330</v>
      </c>
      <c r="BP9" s="74">
        <f>VLOOKUP($H$9&amp;$F$1,'Input RM sheet'!$A:$ZZ,BO1,0)</f>
        <v>315</v>
      </c>
      <c r="BQ9" s="74">
        <f>VLOOKUP($H$9&amp;$F$1,'Input RM sheet'!$A:$ZZ,BP1,0)</f>
        <v>315</v>
      </c>
      <c r="BR9" s="74">
        <f>VLOOKUP($H$9&amp;$F$1,'Input RM sheet'!$A:$ZZ,BQ1,0)</f>
        <v>315</v>
      </c>
      <c r="BS9" s="74">
        <f>VLOOKUP($H$9&amp;$F$1,'Input RM sheet'!$A:$ZZ,BR1,0)</f>
        <v>315</v>
      </c>
      <c r="BT9" s="74">
        <f>VLOOKUP($H$9&amp;$F$1,'Input RM sheet'!$A:$ZZ,BS1,0)</f>
        <v>335</v>
      </c>
      <c r="BU9" s="74">
        <f>VLOOKUP($H$9&amp;$F$1,'Input RM sheet'!$A:$ZZ,BT1,0)</f>
        <v>335</v>
      </c>
      <c r="BV9" s="74">
        <f>VLOOKUP($H$9&amp;$F$1,'Input RM sheet'!$A:$ZZ,BU1,0)</f>
        <v>335</v>
      </c>
      <c r="BW9" s="74">
        <f>VLOOKUP($H$9&amp;$F$1,'Input RM sheet'!$A:$ZZ,BV1,0)</f>
        <v>337.5</v>
      </c>
      <c r="BX9" s="74">
        <f>VLOOKUP($H$9&amp;$F$1,'Input RM sheet'!$A:$ZZ,BW1,0)</f>
        <v>337.5</v>
      </c>
      <c r="BY9" s="74">
        <f>VLOOKUP($H$9&amp;$F$1,'Input RM sheet'!$A:$ZZ,BX1,0)</f>
        <v>337.5</v>
      </c>
      <c r="BZ9" s="74">
        <f>VLOOKUP($H$9&amp;$F$1,'Input RM sheet'!$A:$ZZ,BY1,0)</f>
        <v>347.5</v>
      </c>
      <c r="CA9" s="74">
        <f>VLOOKUP($H$9&amp;$F$1,'Input RM sheet'!$A:$ZZ,BZ1,0)</f>
        <v>347.5</v>
      </c>
      <c r="CB9" s="74">
        <f>VLOOKUP($H$9&amp;$F$1,'Input RM sheet'!$A:$ZZ,CA1,0)</f>
        <v>347.5</v>
      </c>
      <c r="CC9" s="74">
        <f>VLOOKUP($H$9&amp;$F$1,'Input RM sheet'!$A:$ZZ,CB1,0)</f>
        <v>347.5</v>
      </c>
      <c r="CD9" s="74">
        <f>VLOOKUP($H$9&amp;$F$1,'Input RM sheet'!$A:$ZZ,CC1,0)</f>
        <v>347.5</v>
      </c>
      <c r="CE9" s="74">
        <f>VLOOKUP($H$9&amp;$F$1,'Input RM sheet'!$A:$ZZ,CD1,0)</f>
        <v>347.5</v>
      </c>
      <c r="CF9" s="74">
        <f>VLOOKUP($H$9&amp;$F$1,'Input RM sheet'!$A:$ZZ,CE1,0)</f>
        <v>347.5</v>
      </c>
      <c r="CG9" s="74">
        <f>VLOOKUP($H$9&amp;$F$1,'Input RM sheet'!$A:$ZZ,CF1,0)</f>
        <v>355</v>
      </c>
      <c r="CH9" s="74">
        <f>VLOOKUP($H$9&amp;$F$1,'Input RM sheet'!$A:$ZZ,CG1,0)</f>
        <v>355</v>
      </c>
      <c r="CI9" s="74">
        <f>VLOOKUP($H$9&amp;$F$1,'Input RM sheet'!$A:$ZZ,CH1,0)</f>
        <v>345</v>
      </c>
      <c r="CJ9" s="74">
        <f>VLOOKUP($H$9&amp;$F$1,'Input RM sheet'!$A:$ZZ,CI1,0)</f>
        <v>345</v>
      </c>
      <c r="CK9" s="74">
        <f>VLOOKUP($H$9&amp;$F$1,'Input RM sheet'!$A:$ZZ,CJ1,0)</f>
        <v>345</v>
      </c>
      <c r="CL9" s="74">
        <f>VLOOKUP($H$9&amp;$F$1,'Input RM sheet'!$A:$ZZ,CK1,0)</f>
        <v>345</v>
      </c>
      <c r="CM9" s="74">
        <f>VLOOKUP($H$9&amp;$F$1,'Input RM sheet'!$A:$ZZ,CL1,0)</f>
        <v>342.5</v>
      </c>
      <c r="CN9" s="74">
        <f>VLOOKUP($H$9&amp;$F$1,'Input RM sheet'!$A:$ZZ,CM1,0)</f>
        <v>342.5</v>
      </c>
      <c r="CO9" s="74">
        <f>VLOOKUP($H$9&amp;$F$1,'Input RM sheet'!$A:$ZZ,CN1,0)</f>
        <v>342.5</v>
      </c>
      <c r="CP9" s="74">
        <f>VLOOKUP($H$9&amp;$F$1,'Input RM sheet'!$A:$ZZ,CO1,0)</f>
        <v>342.5</v>
      </c>
      <c r="CQ9" s="74">
        <f>VLOOKUP($H$9&amp;$F$1,'Input RM sheet'!$A:$ZZ,CP1,0)</f>
        <v>342.5</v>
      </c>
      <c r="CR9" s="74">
        <f>VLOOKUP($H$9&amp;$F$1,'Input RM sheet'!$A:$ZZ,CQ1,0)</f>
        <v>342.5</v>
      </c>
      <c r="CS9" s="74">
        <f>VLOOKUP($H$9&amp;$F$1,'Input RM sheet'!$A:$ZZ,CR1,0)</f>
        <v>340</v>
      </c>
      <c r="CT9" s="74">
        <f>VLOOKUP($H$9&amp;$F$1,'Input RM sheet'!$A:$ZZ,CS1,0)</f>
        <v>340</v>
      </c>
      <c r="CU9" s="74">
        <f>VLOOKUP($H$9&amp;$F$1,'Input RM sheet'!$A:$ZZ,CT1,0)</f>
        <v>340</v>
      </c>
      <c r="CV9" s="74">
        <f>VLOOKUP($H$9&amp;$F$1,'Input RM sheet'!$A:$ZZ,CU1,0)</f>
        <v>340</v>
      </c>
      <c r="CW9" s="74">
        <f>VLOOKUP($H$9&amp;$F$1,'Input RM sheet'!$A:$ZZ,CV1,0)</f>
        <v>335</v>
      </c>
      <c r="CX9" s="74">
        <f>VLOOKUP($H$9&amp;$F$1,'Input RM sheet'!$A:$ZZ,CW1,0)</f>
        <v>335</v>
      </c>
      <c r="CY9" s="74">
        <f>VLOOKUP($H$9&amp;$F$1,'Input RM sheet'!$A:$ZZ,CX1,0)</f>
        <v>335</v>
      </c>
      <c r="CZ9" s="74">
        <f>VLOOKUP($H$9&amp;$F$1,'Input RM sheet'!$A:$ZZ,CY1,0)</f>
        <v>335</v>
      </c>
      <c r="DA9" s="74">
        <f>VLOOKUP($H$9&amp;$F$1,'Input RM sheet'!$A:$ZZ,CZ1,0)</f>
        <v>335</v>
      </c>
      <c r="DB9" s="74">
        <f>VLOOKUP($H$9&amp;$F$1,'Input RM sheet'!$A:$ZZ,DA1,0)</f>
        <v>335</v>
      </c>
      <c r="DC9" s="74">
        <f>VLOOKUP($H$9&amp;$F$1,'Input RM sheet'!$A:$ZZ,DB1,0)</f>
        <v>335</v>
      </c>
      <c r="DD9" s="74">
        <f>VLOOKUP($H$9&amp;$F$1,'Input RM sheet'!$A:$ZZ,DC1,0)</f>
        <v>335</v>
      </c>
      <c r="DE9" s="74">
        <f>VLOOKUP($H$9&amp;$F$1,'Input RM sheet'!$A:$ZZ,DD1,0)</f>
        <v>335</v>
      </c>
      <c r="DF9" s="74">
        <f>VLOOKUP($H$9&amp;$F$1,'Input RM sheet'!$A:$ZZ,DE1,0)</f>
        <v>335</v>
      </c>
      <c r="DG9" s="74">
        <f>VLOOKUP($H$9&amp;$F$1,'Input RM sheet'!$A:$ZZ,DF1,0)</f>
        <v>335</v>
      </c>
      <c r="DH9" s="74">
        <f>VLOOKUP($H$9&amp;$F$1,'Input RM sheet'!$A:$ZZ,DG1,0)</f>
        <v>335</v>
      </c>
      <c r="DI9" s="74">
        <f>VLOOKUP($H$9&amp;$F$1,'Input RM sheet'!$A:$ZZ,DH1,0)</f>
        <v>335</v>
      </c>
      <c r="DJ9" s="74">
        <f>VLOOKUP($H$9&amp;$F$1,'Input RM sheet'!$A:$ZZ,DI1,0)</f>
        <v>345</v>
      </c>
      <c r="DK9" s="74">
        <f>VLOOKUP($H$9&amp;$F$1,'Input RM sheet'!$A:$ZZ,DJ1,0)</f>
        <v>345</v>
      </c>
      <c r="DL9" s="74">
        <f>VLOOKUP($H$9&amp;$F$1,'Input RM sheet'!$A:$ZZ,DK1,0)</f>
        <v>345</v>
      </c>
      <c r="DM9" s="74">
        <f>VLOOKUP($H$9&amp;$F$1,'Input RM sheet'!$A:$ZZ,DL1,0)</f>
        <v>345</v>
      </c>
      <c r="DN9" s="74">
        <f>VLOOKUP($H$9&amp;$F$1,'Input RM sheet'!$A:$ZZ,DM1,0)</f>
        <v>330</v>
      </c>
      <c r="DO9" s="74">
        <f>VLOOKUP($H$9&amp;$F$1,'Input RM sheet'!$A:$ZZ,DN1,0)</f>
        <v>330</v>
      </c>
      <c r="DP9" s="74">
        <f>VLOOKUP($H$9&amp;$F$1,'Input RM sheet'!$A:$ZZ,DO1,0)</f>
        <v>330</v>
      </c>
      <c r="DQ9" s="74">
        <f>VLOOKUP($H$9&amp;$F$1,'Input RM sheet'!$A:$ZZ,DP1,0)</f>
        <v>330</v>
      </c>
      <c r="DR9" s="74">
        <f>VLOOKUP($H$9&amp;$F$1,'Input RM sheet'!$A:$ZZ,DQ1,0)</f>
        <v>330</v>
      </c>
      <c r="DS9" s="74">
        <f>VLOOKUP($H$9&amp;$F$1,'Input RM sheet'!$A:$ZZ,DR1,0)</f>
        <v>347.5</v>
      </c>
      <c r="DT9" s="74">
        <f>VLOOKUP($H$9&amp;$F$1,'Input RM sheet'!$A:$ZZ,DS1,0)</f>
        <v>0</v>
      </c>
      <c r="DU9" s="74">
        <f>VLOOKUP($H$9&amp;$F$1,'Input RM sheet'!$A:$ZZ,DT1,0)</f>
        <v>0</v>
      </c>
      <c r="DV9" s="74">
        <f>VLOOKUP($H$9&amp;$F$1,'Input RM sheet'!$A:$ZZ,DU1,0)</f>
        <v>0</v>
      </c>
      <c r="DW9" s="74">
        <f>VLOOKUP($H$9&amp;$F$1,'Input RM sheet'!$A:$ZZ,DV1,0)</f>
        <v>0</v>
      </c>
      <c r="DX9" s="74">
        <f>VLOOKUP($H$9&amp;$F$1,'Input RM sheet'!$A:$ZZ,DW1,0)</f>
        <v>0</v>
      </c>
      <c r="DY9" s="74">
        <f>VLOOKUP($H$9&amp;$F$1,'Input RM sheet'!$A:$ZZ,DX1,0)</f>
        <v>0</v>
      </c>
      <c r="DZ9" s="74">
        <f>VLOOKUP($H$9&amp;$F$1,'Input RM sheet'!$A:$ZZ,DY1,0)</f>
        <v>0</v>
      </c>
      <c r="EA9" s="74">
        <f>VLOOKUP($H$9&amp;$F$1,'Input RM sheet'!$A:$ZZ,DZ1,0)</f>
        <v>0</v>
      </c>
      <c r="EB9" s="74">
        <f>VLOOKUP($H$9&amp;$F$1,'Input RM sheet'!$A:$ZZ,EA1,0)</f>
        <v>0</v>
      </c>
      <c r="EC9" s="74">
        <f>VLOOKUP($H$9&amp;$F$1,'Input RM sheet'!$A:$ZZ,EB1,0)</f>
        <v>0</v>
      </c>
      <c r="ED9" s="74">
        <f>VLOOKUP($H$9&amp;$F$1,'Input RM sheet'!$A:$ZZ,EC1,0)</f>
        <v>0</v>
      </c>
      <c r="EE9" s="74">
        <f>VLOOKUP($H$9&amp;$F$1,'Input RM sheet'!$A:$ZZ,ED1,0)</f>
        <v>0</v>
      </c>
      <c r="EF9" s="74">
        <f>VLOOKUP($H$9&amp;$F$1,'Input RM sheet'!$A:$ZZ,EE1,0)</f>
        <v>0</v>
      </c>
      <c r="EG9" s="74">
        <f>VLOOKUP($H$9&amp;$F$1,'Input RM sheet'!$A:$ZZ,EF1,0)</f>
        <v>0</v>
      </c>
      <c r="EH9" s="74">
        <f>VLOOKUP($H$9&amp;$F$1,'Input RM sheet'!$A:$ZZ,EG1,0)</f>
        <v>0</v>
      </c>
      <c r="EI9" s="74">
        <f>VLOOKUP($H$9&amp;$F$1,'Input RM sheet'!$A:$ZZ,EH1,0)</f>
        <v>0</v>
      </c>
      <c r="EJ9" s="74">
        <f>VLOOKUP($H$9&amp;$F$1,'Input RM sheet'!$A:$ZZ,EI1,0)</f>
        <v>0</v>
      </c>
      <c r="EK9" s="74">
        <f>VLOOKUP($H$9&amp;$F$1,'Input RM sheet'!$A:$ZZ,EJ1,0)</f>
        <v>0</v>
      </c>
      <c r="EL9" s="74">
        <f>VLOOKUP($H$9&amp;$F$1,'Input RM sheet'!$A:$ZZ,EK1,0)</f>
        <v>0</v>
      </c>
      <c r="EM9" s="74">
        <f>VLOOKUP($H$9&amp;$F$1,'Input RM sheet'!$A:$ZZ,EL1,0)</f>
        <v>0</v>
      </c>
      <c r="EN9" s="74">
        <f>VLOOKUP($H$9&amp;$F$1,'Input RM sheet'!$A:$ZZ,EM1,0)</f>
        <v>0</v>
      </c>
      <c r="EO9" s="74">
        <f>VLOOKUP($H$9&amp;$F$1,'Input RM sheet'!$A:$ZZ,EN1,0)</f>
        <v>0</v>
      </c>
      <c r="EP9" s="74">
        <f>VLOOKUP($H$9&amp;$F$1,'Input RM sheet'!$A:$ZZ,EO1,0)</f>
        <v>0</v>
      </c>
      <c r="EQ9" s="74">
        <f>VLOOKUP($H$9&amp;$F$1,'Input RM sheet'!$A:$ZZ,EP1,0)</f>
        <v>0</v>
      </c>
      <c r="ER9" s="74">
        <f>VLOOKUP($H$9&amp;$F$1,'Input RM sheet'!$A:$ZZ,EQ1,0)</f>
        <v>0</v>
      </c>
      <c r="ES9" s="74">
        <f>VLOOKUP($H$9&amp;$F$1,'Input RM sheet'!$A:$ZZ,ER1,0)</f>
        <v>0</v>
      </c>
      <c r="ET9" s="74">
        <f>VLOOKUP($H$9&amp;$F$1,'Input RM sheet'!$A:$ZZ,ES1,0)</f>
        <v>0</v>
      </c>
      <c r="EU9" s="74" t="e" vm="1">
        <f>VLOOKUP($H$9&amp;$F$1,'Input RM sheet'!$A:$ZZ,ET1,0)</f>
        <v>#VALUE!</v>
      </c>
      <c r="EV9" s="74" t="e" vm="1">
        <f>VLOOKUP($H$9&amp;$F$1,'Input RM sheet'!$A:$ZZ,EU1,0)</f>
        <v>#VALUE!</v>
      </c>
      <c r="EW9" s="74" t="e" vm="1">
        <f>VLOOKUP($H$9&amp;$F$1,'Input RM sheet'!$A:$ZZ,EV1,0)</f>
        <v>#VALUE!</v>
      </c>
      <c r="EX9" s="74" t="e" vm="1">
        <f>VLOOKUP($H$9&amp;$F$1,'Input RM sheet'!$A:$ZZ,EW1,0)</f>
        <v>#VALUE!</v>
      </c>
      <c r="EY9" s="74" t="e" vm="1">
        <f>VLOOKUP($H$9&amp;$F$1,'Input RM sheet'!$A:$ZZ,EX1,0)</f>
        <v>#VALUE!</v>
      </c>
      <c r="EZ9" s="74" t="e" vm="1">
        <f>VLOOKUP($H$9&amp;$F$1,'Input RM sheet'!$A:$ZZ,EY1,0)</f>
        <v>#VALUE!</v>
      </c>
      <c r="FA9" s="74" t="e" vm="1">
        <f>VLOOKUP($H$9&amp;$F$1,'Input RM sheet'!$A:$ZZ,EZ1,0)</f>
        <v>#VALUE!</v>
      </c>
      <c r="FB9" s="74" t="e" vm="1">
        <f>VLOOKUP($H$9&amp;$F$1,'Input RM sheet'!$A:$ZZ,FA1,0)</f>
        <v>#VALUE!</v>
      </c>
      <c r="FC9" s="74" t="e" vm="1">
        <f>VLOOKUP($H$9&amp;$F$1,'Input RM sheet'!$A:$ZZ,FB1,0)</f>
        <v>#VALUE!</v>
      </c>
      <c r="FD9" s="74" t="e" vm="1">
        <f>VLOOKUP($H$9&amp;$F$1,'Input RM sheet'!$A:$ZZ,FC1,0)</f>
        <v>#VALUE!</v>
      </c>
      <c r="FE9" s="74" t="e" vm="1">
        <f>VLOOKUP($H$9&amp;$F$1,'Input RM sheet'!$A:$ZZ,FD1,0)</f>
        <v>#VALUE!</v>
      </c>
      <c r="FF9" s="74" t="e" vm="1">
        <f>VLOOKUP($H$9&amp;$F$1,'Input RM sheet'!$A:$ZZ,FE1,0)</f>
        <v>#VALUE!</v>
      </c>
      <c r="FG9" s="74" t="e" vm="1">
        <f>VLOOKUP($H$9&amp;$F$1,'Input RM sheet'!$A:$ZZ,FF1,0)</f>
        <v>#VALUE!</v>
      </c>
      <c r="FH9" s="74" t="e" vm="1">
        <f>VLOOKUP($H$9&amp;$F$1,'Input RM sheet'!$A:$ZZ,FG1,0)</f>
        <v>#VALUE!</v>
      </c>
      <c r="FI9" s="74" t="e" vm="1">
        <f>VLOOKUP($H$9&amp;$F$1,'Input RM sheet'!$A:$ZZ,FH1,0)</f>
        <v>#VALUE!</v>
      </c>
      <c r="FJ9" s="74" t="e" vm="1">
        <f>VLOOKUP($H$9&amp;$F$1,'Input RM sheet'!$A:$ZZ,FI1,0)</f>
        <v>#VALUE!</v>
      </c>
      <c r="FK9" s="74" t="e" vm="1">
        <f>VLOOKUP($H$9&amp;$F$1,'Input RM sheet'!$A:$ZZ,FJ1,0)</f>
        <v>#VALUE!</v>
      </c>
      <c r="FL9" s="74" t="e" vm="1">
        <f>VLOOKUP($H$9&amp;$F$1,'Input RM sheet'!$A:$ZZ,FK1,0)</f>
        <v>#VALUE!</v>
      </c>
      <c r="FM9" s="74" t="e" vm="1">
        <f>VLOOKUP($H$9&amp;$F$1,'Input RM sheet'!$A:$ZZ,FL1,0)</f>
        <v>#VALUE!</v>
      </c>
      <c r="FN9" s="74" t="e" vm="1">
        <f>VLOOKUP($H$9&amp;$F$1,'Input RM sheet'!$A:$ZZ,FM1,0)</f>
        <v>#VALUE!</v>
      </c>
      <c r="FO9" s="74" t="e" vm="1">
        <f>VLOOKUP($H$9&amp;$F$1,'Input RM sheet'!$A:$ZZ,FN1,0)</f>
        <v>#VALUE!</v>
      </c>
      <c r="FP9" s="74" t="e" vm="1">
        <f>VLOOKUP($H$9&amp;$F$1,'Input RM sheet'!$A:$ZZ,FO1,0)</f>
        <v>#VALUE!</v>
      </c>
      <c r="FQ9" s="74" t="e" vm="1">
        <f>VLOOKUP($H$9&amp;$F$1,'Input RM sheet'!$A:$ZZ,FP1,0)</f>
        <v>#VALUE!</v>
      </c>
      <c r="FR9" s="74" t="e" vm="1">
        <f>VLOOKUP($H$9&amp;$F$1,'Input RM sheet'!$A:$ZZ,FQ1,0)</f>
        <v>#VALUE!</v>
      </c>
      <c r="FS9" s="74" t="e" vm="1">
        <f>VLOOKUP($H$9&amp;$F$1,'Input RM sheet'!$A:$ZZ,FR1,0)</f>
        <v>#VALUE!</v>
      </c>
      <c r="FT9" s="74" t="e" vm="1">
        <f>VLOOKUP($H$9&amp;$F$1,'Input RM sheet'!$A:$ZZ,FS1,0)</f>
        <v>#VALUE!</v>
      </c>
      <c r="FU9" s="74" t="e" vm="1">
        <f>VLOOKUP($H$9&amp;$F$1,'Input RM sheet'!$A:$ZZ,FT1,0)</f>
        <v>#VALUE!</v>
      </c>
      <c r="FV9" s="74" t="e" vm="1">
        <f>VLOOKUP($H$9&amp;$F$1,'Input RM sheet'!$A:$ZZ,FU1,0)</f>
        <v>#VALUE!</v>
      </c>
      <c r="FW9" s="74" t="e" vm="1">
        <f>VLOOKUP($H$9&amp;$F$1,'Input RM sheet'!$A:$ZZ,FV1,0)</f>
        <v>#VALUE!</v>
      </c>
      <c r="FX9" s="74" t="e" vm="1">
        <f>VLOOKUP($H$9&amp;$F$1,'Input RM sheet'!$A:$ZZ,FW1,0)</f>
        <v>#VALUE!</v>
      </c>
      <c r="FY9" s="74" t="e" vm="1">
        <f>VLOOKUP($H$9&amp;$F$1,'Input RM sheet'!$A:$ZZ,FX1,0)</f>
        <v>#VALUE!</v>
      </c>
      <c r="FZ9" s="74" t="e" vm="1">
        <f>VLOOKUP($H$9&amp;$F$1,'Input RM sheet'!$A:$ZZ,FY1,0)</f>
        <v>#VALUE!</v>
      </c>
      <c r="GA9" s="74" t="e" vm="1">
        <f>VLOOKUP($H$9&amp;$F$1,'Input RM sheet'!$A:$ZZ,FZ1,0)</f>
        <v>#VALUE!</v>
      </c>
      <c r="GB9" s="74" t="e" vm="1">
        <f>VLOOKUP($H$9&amp;$F$1,'Input RM sheet'!$A:$ZZ,GA1,0)</f>
        <v>#VALUE!</v>
      </c>
      <c r="GC9" s="74" t="e" vm="1">
        <f>VLOOKUP($H$9&amp;$F$1,'Input RM sheet'!$A:$ZZ,GB1,0)</f>
        <v>#VALUE!</v>
      </c>
      <c r="GD9" s="74" t="e" vm="1">
        <f>VLOOKUP($H$9&amp;$F$1,'Input RM sheet'!$A:$ZZ,GC1,0)</f>
        <v>#VALUE!</v>
      </c>
      <c r="GE9" s="74" t="e" vm="1">
        <f>VLOOKUP($H$9&amp;$F$1,'Input RM sheet'!$A:$ZZ,GD1,0)</f>
        <v>#VALUE!</v>
      </c>
      <c r="GF9" s="74" t="e" vm="1">
        <f>VLOOKUP($H$9&amp;$F$1,'Input RM sheet'!$A:$ZZ,GE1,0)</f>
        <v>#VALUE!</v>
      </c>
      <c r="GG9" s="74" t="e" vm="1">
        <f>VLOOKUP($H$9&amp;$F$1,'Input RM sheet'!$A:$ZZ,GF1,0)</f>
        <v>#VALUE!</v>
      </c>
      <c r="GH9" s="74" t="e" vm="1">
        <f>VLOOKUP($H$9&amp;$F$1,'Input RM sheet'!$A:$ZZ,GG1,0)</f>
        <v>#VALUE!</v>
      </c>
    </row>
    <row r="10" spans="1:190">
      <c r="H10" s="178" t="s">
        <v>45</v>
      </c>
      <c r="I10" s="74">
        <f>VLOOKUP($H$10&amp;$F$1,'Input RM sheet'!$A:$ZZ,H1,0)</f>
        <v>0.50625069064173545</v>
      </c>
      <c r="J10" s="74">
        <f>VLOOKUP($H$10&amp;$F$1,'Input RM sheet'!$A:$ZZ,I1,0)</f>
        <v>0.50605053403738476</v>
      </c>
      <c r="K10" s="74">
        <f>VLOOKUP($H$10&amp;$F$1,'Input RM sheet'!$A:$ZZ,J1,0)</f>
        <v>0.48566205346589675</v>
      </c>
      <c r="L10" s="74">
        <f>VLOOKUP($H$10&amp;$F$1,'Input RM sheet'!$A:$ZZ,K1,0)</f>
        <v>0.46604911475979133</v>
      </c>
      <c r="M10" s="74">
        <f>VLOOKUP($H$10&amp;$F$1,'Input RM sheet'!$A:$ZZ,L1,0)</f>
        <v>0.47286371932487081</v>
      </c>
      <c r="N10" s="74">
        <f>VLOOKUP($H$10&amp;$F$1,'Input RM sheet'!$A:$ZZ,M1,0)</f>
        <v>0.44148091934964817</v>
      </c>
      <c r="O10" s="74">
        <f>VLOOKUP($H$10&amp;$F$1,'Input RM sheet'!$A:$ZZ,N1,0)</f>
        <v>0.43426534003337747</v>
      </c>
      <c r="P10" s="74">
        <f>VLOOKUP($H$10&amp;$F$1,'Input RM sheet'!$A:$ZZ,O1,0)</f>
        <v>0.4253624199790475</v>
      </c>
      <c r="Q10" s="74">
        <f>VLOOKUP($H$10&amp;$F$1,'Input RM sheet'!$A:$ZZ,P1,0)</f>
        <v>0.43233741458081631</v>
      </c>
      <c r="R10" s="74">
        <f>VLOOKUP($H$10&amp;$F$1,'Input RM sheet'!$A:$ZZ,Q1,0)</f>
        <v>0.4289746699475917</v>
      </c>
      <c r="S10" s="74">
        <f>VLOOKUP($H$10&amp;$F$1,'Input RM sheet'!$A:$ZZ,R1,0)</f>
        <v>0.42484260760346637</v>
      </c>
      <c r="T10" s="74">
        <f>VLOOKUP($H$10&amp;$F$1,'Input RM sheet'!$A:$ZZ,S1,0)</f>
        <v>0.45075951239765033</v>
      </c>
      <c r="U10" s="74">
        <f>VLOOKUP($H$10&amp;$F$1,'Input RM sheet'!$A:$ZZ,T1,0)</f>
        <v>0.47632070741601718</v>
      </c>
      <c r="V10" s="74">
        <f>VLOOKUP($H$10&amp;$F$1,'Input RM sheet'!$A:$ZZ,U1,0)</f>
        <v>0.50824175824175821</v>
      </c>
      <c r="W10" s="74">
        <f>VLOOKUP($H$10&amp;$F$1,'Input RM sheet'!$A:$ZZ,V1,0)</f>
        <v>0.50824175824175821</v>
      </c>
      <c r="X10" s="74">
        <f>VLOOKUP($H$10&amp;$F$1,'Input RM sheet'!$A:$ZZ,W1,0)</f>
        <v>0.53357522262827839</v>
      </c>
      <c r="Y10" s="74">
        <f>VLOOKUP($H$10&amp;$F$1,'Input RM sheet'!$A:$ZZ,X1,0)</f>
        <v>0.59385665529010234</v>
      </c>
      <c r="Z10" s="74">
        <f>VLOOKUP($H$10&amp;$F$1,'Input RM sheet'!$A:$ZZ,Y1,0)</f>
        <v>0.63431872099725806</v>
      </c>
      <c r="AA10" s="74">
        <f>VLOOKUP($H$10&amp;$F$1,'Input RM sheet'!$A:$ZZ,Z1,0)</f>
        <v>0.72591659871949687</v>
      </c>
      <c r="AB10" s="74">
        <f>VLOOKUP($H$10&amp;$F$1,'Input RM sheet'!$A:$ZZ,AA1,0)</f>
        <v>0.72889455792717117</v>
      </c>
      <c r="AC10" s="74">
        <f>VLOOKUP($H$10&amp;$F$1,'Input RM sheet'!$A:$ZZ,AB1,0)</f>
        <v>0.74862988980369449</v>
      </c>
      <c r="AD10" s="74">
        <f>VLOOKUP($H$10&amp;$F$1,'Input RM sheet'!$A:$ZZ,AC1,0)</f>
        <v>0.79168514687656644</v>
      </c>
      <c r="AE10" s="74">
        <f>VLOOKUP($H$10&amp;$F$1,'Input RM sheet'!$A:$ZZ,AD1,0)</f>
        <v>0.82087330176727136</v>
      </c>
      <c r="AF10" s="74">
        <f>VLOOKUP($H$10&amp;$F$1,'Input RM sheet'!$A:$ZZ,AE1,0)</f>
        <v>0.84614593649711278</v>
      </c>
      <c r="AG10" s="74">
        <f>VLOOKUP($H$10&amp;$F$1,'Input RM sheet'!$A:$ZZ,AF1,0)</f>
        <v>1.0564787620243885</v>
      </c>
      <c r="AH10" s="74">
        <f>VLOOKUP($H$10&amp;$F$1,'Input RM sheet'!$A:$ZZ,AG1,0)</f>
        <v>1.2058469531568468</v>
      </c>
      <c r="AI10" s="74">
        <f>VLOOKUP($H$10&amp;$F$1,'Input RM sheet'!$A:$ZZ,AH1,0)</f>
        <v>1.328155753838079</v>
      </c>
      <c r="AJ10" s="74">
        <f>VLOOKUP($H$10&amp;$F$1,'Input RM sheet'!$A:$ZZ,AI1,0)</f>
        <v>1.2605824467442697</v>
      </c>
      <c r="AK10" s="74">
        <f>VLOOKUP($H$10&amp;$F$1,'Input RM sheet'!$A:$ZZ,AJ1,0)</f>
        <v>1.1242096737595759</v>
      </c>
      <c r="AL10" s="74">
        <f>VLOOKUP($H$10&amp;$F$1,'Input RM sheet'!$A:$ZZ,AK1,0)</f>
        <v>1.1179786985052897</v>
      </c>
      <c r="AM10" s="74">
        <f>VLOOKUP($H$10&amp;$F$1,'Input RM sheet'!$A:$ZZ,AL1,0)</f>
        <v>1.0829322457612403</v>
      </c>
      <c r="AN10" s="74">
        <f>VLOOKUP($H$10&amp;$F$1,'Input RM sheet'!$A:$ZZ,AM1,0)</f>
        <v>1.0855018240664733</v>
      </c>
      <c r="AO10" s="74">
        <f>VLOOKUP($H$10&amp;$F$1,'Input RM sheet'!$A:$ZZ,AN1,0)</f>
        <v>1.0549821404108952</v>
      </c>
      <c r="AP10" s="74">
        <f>VLOOKUP($H$10&amp;$F$1,'Input RM sheet'!$A:$ZZ,AO1,0)</f>
        <v>1.0740005833527477</v>
      </c>
      <c r="AQ10" s="74">
        <f>VLOOKUP($H$10&amp;$F$1,'Input RM sheet'!$A:$ZZ,AP1,0)</f>
        <v>1.1385193276752337</v>
      </c>
      <c r="AR10" s="74">
        <f>VLOOKUP($H$10&amp;$F$1,'Input RM sheet'!$A:$ZZ,AQ1,0)</f>
        <v>1.0816813265611029</v>
      </c>
      <c r="AS10" s="74">
        <f>VLOOKUP($H$10&amp;$F$1,'Input RM sheet'!$A:$ZZ,AR1,0)</f>
        <v>0.99756298566293211</v>
      </c>
      <c r="AT10" s="74">
        <f>VLOOKUP($H$10&amp;$F$1,'Input RM sheet'!$A:$ZZ,AS1,0)</f>
        <v>0.92545631998382882</v>
      </c>
      <c r="AU10" s="74">
        <f>VLOOKUP($H$10&amp;$F$1,'Input RM sheet'!$A:$ZZ,AT1,0)</f>
        <v>0.9011022063000439</v>
      </c>
      <c r="AV10" s="74">
        <f>VLOOKUP($H$10&amp;$F$1,'Input RM sheet'!$A:$ZZ,AU1,0)</f>
        <v>0.74767129009219857</v>
      </c>
      <c r="AW10" s="74">
        <f>VLOOKUP($H$10&amp;$F$1,'Input RM sheet'!$A:$ZZ,AV1,0)</f>
        <v>0.70626929682976414</v>
      </c>
      <c r="AX10" s="74">
        <f>VLOOKUP($H$10&amp;$F$1,'Input RM sheet'!$A:$ZZ,AW1,0)</f>
        <v>0.61818181818181817</v>
      </c>
      <c r="AY10" s="74">
        <f>VLOOKUP($H$10&amp;$F$1,'Input RM sheet'!$A:$ZZ,AX1,0)</f>
        <v>0.61863173216885003</v>
      </c>
      <c r="AZ10" s="74">
        <f>VLOOKUP($H$10&amp;$F$1,'Input RM sheet'!$A:$ZZ,AY1,0)</f>
        <v>0.6205889510829885</v>
      </c>
      <c r="BA10" s="74">
        <f>VLOOKUP($H$10&amp;$F$1,'Input RM sheet'!$A:$ZZ,AZ1,0)</f>
        <v>0.62255859375</v>
      </c>
      <c r="BB10" s="74">
        <f>VLOOKUP($H$10&amp;$F$1,'Input RM sheet'!$A:$ZZ,BA1,0)</f>
        <v>0.59567225869195228</v>
      </c>
      <c r="BC10" s="74">
        <f>VLOOKUP($H$10&amp;$F$1,'Input RM sheet'!$A:$ZZ,BB1,0)</f>
        <v>0.59157310153326093</v>
      </c>
      <c r="BD10" s="74">
        <f>VLOOKUP($H$10&amp;$F$1,'Input RM sheet'!$A:$ZZ,BC1,0)</f>
        <v>0.58858858858858853</v>
      </c>
      <c r="BE10" s="74">
        <f>VLOOKUP($H$10&amp;$F$1,'Input RM sheet'!$A:$ZZ,BD1,0)</f>
        <v>0.58858858858858853</v>
      </c>
      <c r="BF10" s="74">
        <f>VLOOKUP($H$10&amp;$F$1,'Input RM sheet'!$A:$ZZ,BE1,0)</f>
        <v>0.59286146400483963</v>
      </c>
      <c r="BG10" s="74">
        <f>VLOOKUP($H$10&amp;$F$1,'Input RM sheet'!$A:$ZZ,BF1,0)</f>
        <v>0.5900060204695966</v>
      </c>
      <c r="BH10" s="74">
        <f>VLOOKUP($H$10&amp;$F$1,'Input RM sheet'!$A:$ZZ,BG1,0)</f>
        <v>0.5666747046057391</v>
      </c>
      <c r="BI10" s="74">
        <f>VLOOKUP($H$10&amp;$F$1,'Input RM sheet'!$A:$ZZ,BH1,0)</f>
        <v>0.59085976124442297</v>
      </c>
      <c r="BJ10" s="74">
        <f>VLOOKUP($H$10&amp;$F$1,'Input RM sheet'!$A:$ZZ,BI1,0)</f>
        <v>0.58851789574825841</v>
      </c>
      <c r="BK10" s="74">
        <f>VLOOKUP($H$10&amp;$F$1,'Input RM sheet'!$A:$ZZ,BJ1,0)</f>
        <v>0.68493150684931503</v>
      </c>
      <c r="BL10" s="74">
        <f>VLOOKUP($H$10&amp;$F$1,'Input RM sheet'!$A:$ZZ,BK1,0)</f>
        <v>0.68468468468468469</v>
      </c>
      <c r="BM10" s="74">
        <f>VLOOKUP($H$10&amp;$F$1,'Input RM sheet'!$A:$ZZ,BL1,0)</f>
        <v>0.66169393647738206</v>
      </c>
      <c r="BN10" s="74">
        <f>VLOOKUP($H$10&amp;$F$1,'Input RM sheet'!$A:$ZZ,BM1,0)</f>
        <v>0.69661301945712217</v>
      </c>
      <c r="BO10" s="74">
        <f>VLOOKUP($H$10&amp;$F$1,'Input RM sheet'!$A:$ZZ,BN1,0)</f>
        <v>0.69694784907474161</v>
      </c>
      <c r="BP10" s="74">
        <f>VLOOKUP($H$10&amp;$F$1,'Input RM sheet'!$A:$ZZ,BO1,0)</f>
        <v>0.69719918259406177</v>
      </c>
      <c r="BQ10" s="74">
        <f>VLOOKUP($H$10&amp;$F$1,'Input RM sheet'!$A:$ZZ,BP1,0)</f>
        <v>0.69719918259406177</v>
      </c>
      <c r="BR10" s="74">
        <f>VLOOKUP($H$10&amp;$F$1,'Input RM sheet'!$A:$ZZ,BQ1,0)</f>
        <v>0.69602784111364457</v>
      </c>
      <c r="BS10" s="74">
        <f>VLOOKUP($H$10&amp;$F$1,'Input RM sheet'!$A:$ZZ,BR1,0)</f>
        <v>0.69544364508393286</v>
      </c>
      <c r="BT10" s="74">
        <f>VLOOKUP($H$10&amp;$F$1,'Input RM sheet'!$A:$ZZ,BS1,0)</f>
        <v>0.63579654510556627</v>
      </c>
      <c r="BU10" s="74">
        <f>VLOOKUP($H$10&amp;$F$1,'Input RM sheet'!$A:$ZZ,BT1,0)</f>
        <v>0.64872657376261422</v>
      </c>
      <c r="BV10" s="74">
        <f>VLOOKUP($H$10&amp;$F$1,'Input RM sheet'!$A:$ZZ,BU1,0)</f>
        <v>0.64810369659145473</v>
      </c>
      <c r="BW10" s="74">
        <f>VLOOKUP($H$10&amp;$F$1,'Input RM sheet'!$A:$ZZ,BV1,0)</f>
        <v>0.63146499879720952</v>
      </c>
      <c r="BX10" s="74">
        <f>VLOOKUP($H$10&amp;$F$1,'Input RM sheet'!$A:$ZZ,BW1,0)</f>
        <v>0.66145520144317493</v>
      </c>
      <c r="BY10" s="74">
        <f>VLOOKUP($H$10&amp;$F$1,'Input RM sheet'!$A:$ZZ,BX1,0)</f>
        <v>0.66066066066066065</v>
      </c>
      <c r="BZ10" s="74">
        <f>VLOOKUP($H$10&amp;$F$1,'Input RM sheet'!$A:$ZZ,BY1,0)</f>
        <v>0.67421141343607027</v>
      </c>
      <c r="CA10" s="74">
        <f>VLOOKUP($H$10&amp;$F$1,'Input RM sheet'!$A:$ZZ,BZ1,0)</f>
        <v>0.67469879518072284</v>
      </c>
      <c r="CB10" s="74">
        <f>VLOOKUP($H$10&amp;$F$1,'Input RM sheet'!$A:$ZZ,CA1,0)</f>
        <v>0.6746175159619322</v>
      </c>
      <c r="CC10" s="74">
        <f>VLOOKUP($H$10&amp;$F$1,'Input RM sheet'!$A:$ZZ,CB1,0)</f>
        <v>0.67551266586248493</v>
      </c>
      <c r="CD10" s="74">
        <f>VLOOKUP($H$10&amp;$F$1,'Input RM sheet'!$A:$ZZ,CC1,0)</f>
        <v>0.67551266586248493</v>
      </c>
      <c r="CE10" s="74">
        <f>VLOOKUP($H$10&amp;$F$1,'Input RM sheet'!$A:$ZZ,CD1,0)</f>
        <v>0.64087061668681977</v>
      </c>
      <c r="CF10" s="74">
        <f>VLOOKUP($H$10&amp;$F$1,'Input RM sheet'!$A:$ZZ,CE1,0)</f>
        <v>0.64040599323344605</v>
      </c>
      <c r="CG10" s="74">
        <f>VLOOKUP($H$10&amp;$F$1,'Input RM sheet'!$A:$ZZ,CF1,0)</f>
        <v>0.63656017295219791</v>
      </c>
      <c r="CH10" s="74">
        <f>VLOOKUP($H$10&amp;$F$1,'Input RM sheet'!$A:$ZZ,CG1,0)</f>
        <v>0.63556781388655714</v>
      </c>
      <c r="CI10" s="74">
        <f>VLOOKUP($H$10&amp;$F$1,'Input RM sheet'!$A:$ZZ,CH1,0)</f>
        <v>0.63694267515923575</v>
      </c>
      <c r="CJ10" s="74">
        <f>VLOOKUP($H$10&amp;$F$1,'Input RM sheet'!$A:$ZZ,CI1,0)</f>
        <v>0.63549160671462823</v>
      </c>
      <c r="CK10" s="74">
        <f>VLOOKUP($H$10&amp;$F$1,'Input RM sheet'!$A:$ZZ,CJ1,0)</f>
        <v>0.63389546704939603</v>
      </c>
      <c r="CL10" s="74">
        <f>VLOOKUP($H$10&amp;$F$1,'Input RM sheet'!$A:$ZZ,CK1,0)</f>
        <v>0.65931431311436106</v>
      </c>
      <c r="CM10" s="74">
        <f>VLOOKUP($H$10&amp;$F$1,'Input RM sheet'!$A:$ZZ,CL1,0)</f>
        <v>0.6586826347305389</v>
      </c>
      <c r="CN10" s="74">
        <f>VLOOKUP($H$10&amp;$F$1,'Input RM sheet'!$A:$ZZ,CM1,0)</f>
        <v>0.65986802639472109</v>
      </c>
      <c r="CO10" s="74">
        <f>VLOOKUP($H$10&amp;$F$1,'Input RM sheet'!$A:$ZZ,CN1,0)</f>
        <v>0.62387522495500902</v>
      </c>
      <c r="CP10" s="74">
        <f>VLOOKUP($H$10&amp;$F$1,'Input RM sheet'!$A:$ZZ,CO1,0)</f>
        <v>0.62387522495500902</v>
      </c>
      <c r="CQ10" s="74">
        <f>VLOOKUP($H$10&amp;$F$1,'Input RM sheet'!$A:$ZZ,CP1,0)</f>
        <v>0.62387522495500902</v>
      </c>
      <c r="CR10" s="74">
        <f>VLOOKUP($H$10&amp;$F$1,'Input RM sheet'!$A:$ZZ,CQ1,0)</f>
        <v>0.61985933961139583</v>
      </c>
      <c r="CS10" s="74">
        <f>VLOOKUP($H$10&amp;$F$1,'Input RM sheet'!$A:$ZZ,CR1,0)</f>
        <v>0.64748201438848918</v>
      </c>
      <c r="CT10" s="74">
        <f>VLOOKUP($H$10&amp;$F$1,'Input RM sheet'!$A:$ZZ,CS1,0)</f>
        <v>0.6467065868263473</v>
      </c>
      <c r="CU10" s="74">
        <f>VLOOKUP($H$10&amp;$F$1,'Input RM sheet'!$A:$ZZ,CT1,0)</f>
        <v>0.67106051527860988</v>
      </c>
      <c r="CV10" s="74">
        <f>VLOOKUP($H$10&amp;$F$1,'Input RM sheet'!$A:$ZZ,CU1,0)</f>
        <v>0.67089972445189894</v>
      </c>
      <c r="CW10" s="74">
        <f>VLOOKUP($H$10&amp;$F$1,'Input RM sheet'!$A:$ZZ,CV1,0)</f>
        <v>0.67025733093955719</v>
      </c>
      <c r="CX10" s="74">
        <f>VLOOKUP($H$10&amp;$F$1,'Input RM sheet'!$A:$ZZ,CW1,0)</f>
        <v>0.65710872162485068</v>
      </c>
      <c r="CY10" s="74">
        <f>VLOOKUP($H$10&amp;$F$1,'Input RM sheet'!$A:$ZZ,CX1,0)</f>
        <v>0.65687328317210081</v>
      </c>
      <c r="CZ10" s="74">
        <f>VLOOKUP($H$10&amp;$F$1,'Input RM sheet'!$A:$ZZ,CY1,0)</f>
        <v>0.67897558070279929</v>
      </c>
      <c r="DA10" s="74">
        <f>VLOOKUP($H$10&amp;$F$1,'Input RM sheet'!$A:$ZZ,CZ1,0)</f>
        <v>0.67889471176750837</v>
      </c>
      <c r="DB10" s="74">
        <f>VLOOKUP($H$10&amp;$F$1,'Input RM sheet'!$A:$ZZ,DA1,0)</f>
        <v>0.6793802145411203</v>
      </c>
      <c r="DC10" s="74">
        <f>VLOOKUP($H$10&amp;$F$1,'Input RM sheet'!$A:$ZZ,DB1,0)</f>
        <v>0.67946119918941472</v>
      </c>
      <c r="DD10" s="74">
        <f>VLOOKUP($H$10&amp;$F$1,'Input RM sheet'!$A:$ZZ,DC1,0)</f>
        <v>0.62529776083849453</v>
      </c>
      <c r="DE10" s="74">
        <f>VLOOKUP($H$10&amp;$F$1,'Input RM sheet'!$A:$ZZ,DD1,0)</f>
        <v>0.62529776083849453</v>
      </c>
      <c r="DF10" s="74">
        <f>VLOOKUP($H$10&amp;$F$1,'Input RM sheet'!$A:$ZZ,DE1,0)</f>
        <v>0.59224694903086861</v>
      </c>
      <c r="DG10" s="74">
        <f>VLOOKUP($H$10&amp;$F$1,'Input RM sheet'!$A:$ZZ,DF1,0)</f>
        <v>0.59168061200095623</v>
      </c>
      <c r="DH10" s="74">
        <f>VLOOKUP($H$10&amp;$F$1,'Input RM sheet'!$A:$ZZ,DG1,0)</f>
        <v>0.58949624866023576</v>
      </c>
      <c r="DI10" s="74">
        <f>VLOOKUP($H$10&amp;$F$1,'Input RM sheet'!$A:$ZZ,DH1,0)</f>
        <v>0.60068990127274891</v>
      </c>
      <c r="DJ10" s="74">
        <f>VLOOKUP($H$10&amp;$F$1,'Input RM sheet'!$A:$ZZ,DI1,0)</f>
        <v>0.60068990127274891</v>
      </c>
      <c r="DK10" s="74">
        <f>VLOOKUP($H$10&amp;$F$1,'Input RM sheet'!$A:$ZZ,DJ1,0)</f>
        <v>0.60061845861084684</v>
      </c>
      <c r="DL10" s="74">
        <f>VLOOKUP($H$10&amp;$F$1,'Input RM sheet'!$A:$ZZ,DK1,0)</f>
        <v>0.60033285782215884</v>
      </c>
      <c r="DM10" s="74">
        <f>VLOOKUP($H$10&amp;$F$1,'Input RM sheet'!$A:$ZZ,DL1,0)</f>
        <v>0.59834123222748814</v>
      </c>
      <c r="DN10" s="74">
        <f>VLOOKUP($H$10&amp;$F$1,'Input RM sheet'!$A:$ZZ,DM1,0)</f>
        <v>0.61706419840987303</v>
      </c>
      <c r="DO10" s="74">
        <f>VLOOKUP($H$10&amp;$F$1,'Input RM sheet'!$A:$ZZ,DN1,0)</f>
        <v>0.61443932411674351</v>
      </c>
      <c r="DP10" s="74">
        <f>VLOOKUP($H$10&amp;$F$1,'Input RM sheet'!$A:$ZZ,DO1,0)</f>
        <v>0.6376195536663124</v>
      </c>
      <c r="DQ10" s="74">
        <f>VLOOKUP($H$10&amp;$F$1,'Input RM sheet'!$A:$ZZ,DP1,0)</f>
        <v>0.63067311092773781</v>
      </c>
      <c r="DR10" s="74">
        <f>VLOOKUP($H$10&amp;$F$1,'Input RM sheet'!$A:$ZZ,DQ1,0)</f>
        <v>0.63000471031559113</v>
      </c>
      <c r="DS10" s="74">
        <f>VLOOKUP($H$10&amp;$F$1,'Input RM sheet'!$A:$ZZ,DR1,0)</f>
        <v>0.62808170932143692</v>
      </c>
      <c r="DT10" s="74">
        <f>VLOOKUP($H$10&amp;$F$1,'Input RM sheet'!$A:$ZZ,DS1,0)</f>
        <v>0</v>
      </c>
      <c r="DU10" s="74">
        <f>VLOOKUP($H$10&amp;$F$1,'Input RM sheet'!$A:$ZZ,DT1,0)</f>
        <v>0</v>
      </c>
      <c r="DV10" s="74">
        <f>VLOOKUP($H$10&amp;$F$1,'Input RM sheet'!$A:$ZZ,DU1,0)</f>
        <v>0</v>
      </c>
      <c r="DW10" s="74">
        <f>VLOOKUP($H$10&amp;$F$1,'Input RM sheet'!$A:$ZZ,DV1,0)</f>
        <v>0</v>
      </c>
      <c r="DX10" s="74">
        <f>VLOOKUP($H$10&amp;$F$1,'Input RM sheet'!$A:$ZZ,DW1,0)</f>
        <v>0</v>
      </c>
      <c r="DY10" s="74">
        <f>VLOOKUP($H$10&amp;$F$1,'Input RM sheet'!$A:$ZZ,DX1,0)</f>
        <v>0</v>
      </c>
      <c r="DZ10" s="74">
        <f>VLOOKUP($H$10&amp;$F$1,'Input RM sheet'!$A:$ZZ,DY1,0)</f>
        <v>0</v>
      </c>
      <c r="EA10" s="74">
        <f>VLOOKUP($H$10&amp;$F$1,'Input RM sheet'!$A:$ZZ,DZ1,0)</f>
        <v>0</v>
      </c>
      <c r="EB10" s="74">
        <f>VLOOKUP($H$10&amp;$F$1,'Input RM sheet'!$A:$ZZ,EA1,0)</f>
        <v>0</v>
      </c>
      <c r="EC10" s="74">
        <f>VLOOKUP($H$10&amp;$F$1,'Input RM sheet'!$A:$ZZ,EB1,0)</f>
        <v>0</v>
      </c>
      <c r="ED10" s="74">
        <f>VLOOKUP($H$10&amp;$F$1,'Input RM sheet'!$A:$ZZ,EC1,0)</f>
        <v>0</v>
      </c>
      <c r="EE10" s="74">
        <f>VLOOKUP($H$10&amp;$F$1,'Input RM sheet'!$A:$ZZ,ED1,0)</f>
        <v>0</v>
      </c>
      <c r="EF10" s="74">
        <f>VLOOKUP($H$10&amp;$F$1,'Input RM sheet'!$A:$ZZ,EE1,0)</f>
        <v>0</v>
      </c>
      <c r="EG10" s="74">
        <f>VLOOKUP($H$10&amp;$F$1,'Input RM sheet'!$A:$ZZ,EF1,0)</f>
        <v>0</v>
      </c>
      <c r="EH10" s="74">
        <f>VLOOKUP($H$10&amp;$F$1,'Input RM sheet'!$A:$ZZ,EG1,0)</f>
        <v>0</v>
      </c>
      <c r="EI10" s="74">
        <f>VLOOKUP($H$10&amp;$F$1,'Input RM sheet'!$A:$ZZ,EH1,0)</f>
        <v>0</v>
      </c>
      <c r="EJ10" s="74">
        <f>VLOOKUP($H$10&amp;$F$1,'Input RM sheet'!$A:$ZZ,EI1,0)</f>
        <v>0</v>
      </c>
      <c r="EK10" s="74">
        <f>VLOOKUP($H$10&amp;$F$1,'Input RM sheet'!$A:$ZZ,EJ1,0)</f>
        <v>0</v>
      </c>
      <c r="EL10" s="74">
        <f>VLOOKUP($H$10&amp;$F$1,'Input RM sheet'!$A:$ZZ,EK1,0)</f>
        <v>0</v>
      </c>
      <c r="EM10" s="74">
        <f>VLOOKUP($H$10&amp;$F$1,'Input RM sheet'!$A:$ZZ,EL1,0)</f>
        <v>0</v>
      </c>
      <c r="EN10" s="74">
        <f>VLOOKUP($H$10&amp;$F$1,'Input RM sheet'!$A:$ZZ,EM1,0)</f>
        <v>0</v>
      </c>
      <c r="EO10" s="74">
        <f>VLOOKUP($H$10&amp;$F$1,'Input RM sheet'!$A:$ZZ,EN1,0)</f>
        <v>0</v>
      </c>
      <c r="EP10" s="74">
        <f>VLOOKUP($H$10&amp;$F$1,'Input RM sheet'!$A:$ZZ,EO1,0)</f>
        <v>0</v>
      </c>
      <c r="EQ10" s="74">
        <f>VLOOKUP($H$10&amp;$F$1,'Input RM sheet'!$A:$ZZ,EP1,0)</f>
        <v>0</v>
      </c>
      <c r="ER10" s="74">
        <f>VLOOKUP($H$10&amp;$F$1,'Input RM sheet'!$A:$ZZ,EQ1,0)</f>
        <v>0</v>
      </c>
      <c r="ES10" s="74">
        <f>VLOOKUP($H$10&amp;$F$1,'Input RM sheet'!$A:$ZZ,ER1,0)</f>
        <v>0</v>
      </c>
      <c r="ET10" s="74">
        <f>VLOOKUP($H$10&amp;$F$1,'Input RM sheet'!$A:$ZZ,ES1,0)</f>
        <v>0</v>
      </c>
      <c r="EU10" s="74" t="e" vm="1">
        <f>VLOOKUP($H$10&amp;$F$1,'Input RM sheet'!$A:$ZZ,ET1,0)</f>
        <v>#VALUE!</v>
      </c>
      <c r="EV10" s="74" t="e" vm="1">
        <f>VLOOKUP($H$10&amp;$F$1,'Input RM sheet'!$A:$ZZ,EU1,0)</f>
        <v>#VALUE!</v>
      </c>
      <c r="EW10" s="74" t="e" vm="1">
        <f>VLOOKUP($H$10&amp;$F$1,'Input RM sheet'!$A:$ZZ,EV1,0)</f>
        <v>#VALUE!</v>
      </c>
      <c r="EX10" s="74" t="e" vm="1">
        <f>VLOOKUP($H$10&amp;$F$1,'Input RM sheet'!$A:$ZZ,EW1,0)</f>
        <v>#VALUE!</v>
      </c>
      <c r="EY10" s="74" t="e" vm="1">
        <f>VLOOKUP($H$10&amp;$F$1,'Input RM sheet'!$A:$ZZ,EX1,0)</f>
        <v>#VALUE!</v>
      </c>
      <c r="EZ10" s="74" t="e" vm="1">
        <f>VLOOKUP($H$10&amp;$F$1,'Input RM sheet'!$A:$ZZ,EY1,0)</f>
        <v>#VALUE!</v>
      </c>
      <c r="FA10" s="74" t="e" vm="1">
        <f>VLOOKUP($H$10&amp;$F$1,'Input RM sheet'!$A:$ZZ,EZ1,0)</f>
        <v>#VALUE!</v>
      </c>
      <c r="FB10" s="74" t="e" vm="1">
        <f>VLOOKUP($H$10&amp;$F$1,'Input RM sheet'!$A:$ZZ,FA1,0)</f>
        <v>#VALUE!</v>
      </c>
      <c r="FC10" s="74" t="e" vm="1">
        <f>VLOOKUP($H$10&amp;$F$1,'Input RM sheet'!$A:$ZZ,FB1,0)</f>
        <v>#VALUE!</v>
      </c>
      <c r="FD10" s="74" t="e" vm="1">
        <f>VLOOKUP($H$10&amp;$F$1,'Input RM sheet'!$A:$ZZ,FC1,0)</f>
        <v>#VALUE!</v>
      </c>
      <c r="FE10" s="74" t="e" vm="1">
        <f>VLOOKUP($H$10&amp;$F$1,'Input RM sheet'!$A:$ZZ,FD1,0)</f>
        <v>#VALUE!</v>
      </c>
      <c r="FF10" s="74" t="e" vm="1">
        <f>VLOOKUP($H$10&amp;$F$1,'Input RM sheet'!$A:$ZZ,FE1,0)</f>
        <v>#VALUE!</v>
      </c>
      <c r="FG10" s="74" t="e" vm="1">
        <f>VLOOKUP($H$10&amp;$F$1,'Input RM sheet'!$A:$ZZ,FF1,0)</f>
        <v>#VALUE!</v>
      </c>
      <c r="FH10" s="74" t="e" vm="1">
        <f>VLOOKUP($H$10&amp;$F$1,'Input RM sheet'!$A:$ZZ,FG1,0)</f>
        <v>#VALUE!</v>
      </c>
      <c r="FI10" s="74" t="e" vm="1">
        <f>VLOOKUP($H$10&amp;$F$1,'Input RM sheet'!$A:$ZZ,FH1,0)</f>
        <v>#VALUE!</v>
      </c>
      <c r="FJ10" s="74" t="e" vm="1">
        <f>VLOOKUP($H$10&amp;$F$1,'Input RM sheet'!$A:$ZZ,FI1,0)</f>
        <v>#VALUE!</v>
      </c>
      <c r="FK10" s="74" t="e" vm="1">
        <f>VLOOKUP($H$10&amp;$F$1,'Input RM sheet'!$A:$ZZ,FJ1,0)</f>
        <v>#VALUE!</v>
      </c>
      <c r="FL10" s="74" t="e" vm="1">
        <f>VLOOKUP($H$10&amp;$F$1,'Input RM sheet'!$A:$ZZ,FK1,0)</f>
        <v>#VALUE!</v>
      </c>
      <c r="FM10" s="74" t="e" vm="1">
        <f>VLOOKUP($H$10&amp;$F$1,'Input RM sheet'!$A:$ZZ,FL1,0)</f>
        <v>#VALUE!</v>
      </c>
      <c r="FN10" s="74" t="e" vm="1">
        <f>VLOOKUP($H$10&amp;$F$1,'Input RM sheet'!$A:$ZZ,FM1,0)</f>
        <v>#VALUE!</v>
      </c>
      <c r="FO10" s="74" t="e" vm="1">
        <f>VLOOKUP($H$10&amp;$F$1,'Input RM sheet'!$A:$ZZ,FN1,0)</f>
        <v>#VALUE!</v>
      </c>
      <c r="FP10" s="74" t="e" vm="1">
        <f>VLOOKUP($H$10&amp;$F$1,'Input RM sheet'!$A:$ZZ,FO1,0)</f>
        <v>#VALUE!</v>
      </c>
      <c r="FQ10" s="74" t="e" vm="1">
        <f>VLOOKUP($H$10&amp;$F$1,'Input RM sheet'!$A:$ZZ,FP1,0)</f>
        <v>#VALUE!</v>
      </c>
      <c r="FR10" s="74" t="e" vm="1">
        <f>VLOOKUP($H$10&amp;$F$1,'Input RM sheet'!$A:$ZZ,FQ1,0)</f>
        <v>#VALUE!</v>
      </c>
      <c r="FS10" s="74" t="e" vm="1">
        <f>VLOOKUP($H$10&amp;$F$1,'Input RM sheet'!$A:$ZZ,FR1,0)</f>
        <v>#VALUE!</v>
      </c>
      <c r="FT10" s="74" t="e" vm="1">
        <f>VLOOKUP($H$10&amp;$F$1,'Input RM sheet'!$A:$ZZ,FS1,0)</f>
        <v>#VALUE!</v>
      </c>
      <c r="FU10" s="74" t="e" vm="1">
        <f>VLOOKUP($H$10&amp;$F$1,'Input RM sheet'!$A:$ZZ,FT1,0)</f>
        <v>#VALUE!</v>
      </c>
      <c r="FV10" s="74" t="e" vm="1">
        <f>VLOOKUP($H$10&amp;$F$1,'Input RM sheet'!$A:$ZZ,FU1,0)</f>
        <v>#VALUE!</v>
      </c>
      <c r="FW10" s="74" t="e" vm="1">
        <f>VLOOKUP($H$10&amp;$F$1,'Input RM sheet'!$A:$ZZ,FV1,0)</f>
        <v>#VALUE!</v>
      </c>
      <c r="FX10" s="74" t="e" vm="1">
        <f>VLOOKUP($H$10&amp;$F$1,'Input RM sheet'!$A:$ZZ,FW1,0)</f>
        <v>#VALUE!</v>
      </c>
      <c r="FY10" s="74" t="e" vm="1">
        <f>VLOOKUP($H$10&amp;$F$1,'Input RM sheet'!$A:$ZZ,FX1,0)</f>
        <v>#VALUE!</v>
      </c>
      <c r="FZ10" s="74" t="e" vm="1">
        <f>VLOOKUP($H$10&amp;$F$1,'Input RM sheet'!$A:$ZZ,FY1,0)</f>
        <v>#VALUE!</v>
      </c>
      <c r="GA10" s="74" t="e" vm="1">
        <f>VLOOKUP($H$10&amp;$F$1,'Input RM sheet'!$A:$ZZ,FZ1,0)</f>
        <v>#VALUE!</v>
      </c>
      <c r="GB10" s="74" t="e" vm="1">
        <f>VLOOKUP($H$10&amp;$F$1,'Input RM sheet'!$A:$ZZ,GA1,0)</f>
        <v>#VALUE!</v>
      </c>
      <c r="GC10" s="74" t="e" vm="1">
        <f>VLOOKUP($H$10&amp;$F$1,'Input RM sheet'!$A:$ZZ,GB1,0)</f>
        <v>#VALUE!</v>
      </c>
      <c r="GD10" s="74" t="e" vm="1">
        <f>VLOOKUP($H$10&amp;$F$1,'Input RM sheet'!$A:$ZZ,GC1,0)</f>
        <v>#VALUE!</v>
      </c>
      <c r="GE10" s="74" t="e" vm="1">
        <f>VLOOKUP($H$10&amp;$F$1,'Input RM sheet'!$A:$ZZ,GD1,0)</f>
        <v>#VALUE!</v>
      </c>
      <c r="GF10" s="74" t="e" vm="1">
        <f>VLOOKUP($H$10&amp;$F$1,'Input RM sheet'!$A:$ZZ,GE1,0)</f>
        <v>#VALUE!</v>
      </c>
      <c r="GG10" s="74" t="e" vm="1">
        <f>VLOOKUP($H$10&amp;$F$1,'Input RM sheet'!$A:$ZZ,GF1,0)</f>
        <v>#VALUE!</v>
      </c>
      <c r="GH10" s="74" t="e" vm="1">
        <f>VLOOKUP($H$10&amp;$F$1,'Input RM sheet'!$A:$ZZ,GG1,0)</f>
        <v>#VALUE!</v>
      </c>
    </row>
    <row r="11" spans="1:190" ht="13">
      <c r="A11" s="59" t="s">
        <v>395</v>
      </c>
      <c r="B11" s="59"/>
      <c r="C11" s="59" t="s">
        <v>379</v>
      </c>
      <c r="D11" s="98" t="s">
        <v>380</v>
      </c>
      <c r="E11" s="98" t="s">
        <v>381</v>
      </c>
      <c r="F11" s="59" t="s">
        <v>396</v>
      </c>
      <c r="H11" s="60" t="s">
        <v>399</v>
      </c>
      <c r="I11" s="84"/>
      <c r="J11" s="84"/>
      <c r="K11" s="84"/>
      <c r="L11" s="84"/>
      <c r="M11" s="84"/>
      <c r="N11" s="84"/>
      <c r="O11" s="84"/>
      <c r="P11" s="84"/>
      <c r="Q11" s="84"/>
      <c r="R11" s="84"/>
      <c r="S11" s="84"/>
      <c r="T11" s="84"/>
      <c r="U11" s="84"/>
      <c r="V11" s="84"/>
      <c r="W11" s="84"/>
      <c r="X11" s="84"/>
      <c r="Y11" s="84"/>
      <c r="Z11" s="84"/>
      <c r="AA11" s="84"/>
      <c r="AB11" s="84"/>
      <c r="AC11" s="84"/>
      <c r="AD11" s="84"/>
      <c r="AE11" s="84"/>
      <c r="AF11" s="84"/>
      <c r="AG11" s="84"/>
      <c r="AH11" s="84"/>
      <c r="AI11" s="84"/>
      <c r="AJ11" s="84"/>
      <c r="AK11" s="84"/>
      <c r="AL11" s="84"/>
      <c r="AM11" s="84"/>
      <c r="AN11" s="84"/>
      <c r="AO11" s="84"/>
      <c r="AP11" s="84"/>
      <c r="AQ11" s="84"/>
      <c r="AR11" s="84"/>
      <c r="AS11" s="84"/>
      <c r="AT11" s="84"/>
      <c r="AU11" s="84"/>
      <c r="AV11" s="84"/>
      <c r="AW11" s="84"/>
      <c r="AX11" s="84"/>
      <c r="AY11" s="84"/>
      <c r="AZ11" s="84"/>
      <c r="BA11" s="84"/>
      <c r="BB11" s="84"/>
      <c r="BC11" s="84"/>
      <c r="BD11" s="84"/>
      <c r="BE11" s="84"/>
      <c r="BF11" s="84"/>
      <c r="BG11" s="84"/>
      <c r="BH11" s="84"/>
      <c r="BI11" s="84"/>
      <c r="BJ11" s="84"/>
      <c r="BK11" s="84"/>
      <c r="BL11" s="84"/>
      <c r="BM11" s="84"/>
      <c r="BN11" s="84"/>
      <c r="BO11" s="84"/>
      <c r="BP11" s="84"/>
      <c r="BQ11" s="84"/>
      <c r="BR11" s="84"/>
      <c r="BS11" s="84"/>
      <c r="BT11" s="84"/>
      <c r="BU11" s="84"/>
      <c r="BV11" s="84"/>
      <c r="BW11" s="84"/>
      <c r="BX11" s="84"/>
      <c r="BY11" s="84"/>
      <c r="BZ11" s="84"/>
      <c r="CA11" s="84"/>
      <c r="CB11" s="84"/>
      <c r="CC11" s="84"/>
      <c r="CD11" s="84"/>
      <c r="CE11" s="84"/>
      <c r="CF11" s="84"/>
      <c r="CG11" s="84"/>
      <c r="CH11" s="84"/>
      <c r="CI11" s="84"/>
      <c r="CJ11" s="84"/>
      <c r="CK11" s="84"/>
      <c r="CL11" s="84"/>
      <c r="CM11" s="84"/>
      <c r="CN11" s="84"/>
      <c r="CO11" s="84"/>
      <c r="CP11" s="84"/>
      <c r="CQ11" s="84"/>
      <c r="CR11" s="84"/>
    </row>
    <row r="12" spans="1:190" ht="13">
      <c r="A12" s="107"/>
      <c r="B12" s="107" t="s">
        <v>807</v>
      </c>
      <c r="C12" s="107">
        <v>1</v>
      </c>
      <c r="D12" s="107">
        <v>58.07</v>
      </c>
      <c r="E12" s="60">
        <f>D12*C12</f>
        <v>58.07</v>
      </c>
      <c r="F12" s="344">
        <f>E12/E14</f>
        <v>0.64436307146027516</v>
      </c>
      <c r="I12" s="74">
        <f>$F$12*(I8/1000)</f>
        <v>0</v>
      </c>
      <c r="J12" s="74">
        <f t="shared" ref="J12:BU12" si="0">$F$12*(J8/1000)</f>
        <v>0</v>
      </c>
      <c r="K12" s="74">
        <f t="shared" si="0"/>
        <v>0</v>
      </c>
      <c r="L12" s="74">
        <f t="shared" si="0"/>
        <v>0</v>
      </c>
      <c r="M12" s="74">
        <f t="shared" si="0"/>
        <v>0</v>
      </c>
      <c r="N12" s="74">
        <f t="shared" si="0"/>
        <v>0</v>
      </c>
      <c r="O12" s="74">
        <f t="shared" si="0"/>
        <v>0</v>
      </c>
      <c r="P12" s="74">
        <f t="shared" si="0"/>
        <v>0</v>
      </c>
      <c r="Q12" s="74">
        <f t="shared" si="0"/>
        <v>0</v>
      </c>
      <c r="R12" s="74">
        <f t="shared" si="0"/>
        <v>0</v>
      </c>
      <c r="S12" s="74">
        <f t="shared" si="0"/>
        <v>0</v>
      </c>
      <c r="T12" s="74">
        <f t="shared" si="0"/>
        <v>0</v>
      </c>
      <c r="U12" s="74">
        <f t="shared" si="0"/>
        <v>0</v>
      </c>
      <c r="V12" s="74">
        <f t="shared" si="0"/>
        <v>0</v>
      </c>
      <c r="W12" s="74">
        <f t="shared" si="0"/>
        <v>0</v>
      </c>
      <c r="X12" s="74">
        <f t="shared" si="0"/>
        <v>1.4723696182867287</v>
      </c>
      <c r="Y12" s="74">
        <f t="shared" si="0"/>
        <v>1.4715641644474033</v>
      </c>
      <c r="Z12" s="74">
        <f t="shared" si="0"/>
        <v>1.1437444518419884</v>
      </c>
      <c r="AA12" s="74">
        <f t="shared" si="0"/>
        <v>1.2345996449178871</v>
      </c>
      <c r="AB12" s="74">
        <f t="shared" si="0"/>
        <v>1.3322206502441187</v>
      </c>
      <c r="AC12" s="74">
        <f t="shared" si="0"/>
        <v>1.3716878883710608</v>
      </c>
      <c r="AD12" s="74">
        <f t="shared" si="0"/>
        <v>1.4343521970705726</v>
      </c>
      <c r="AE12" s="74">
        <f t="shared" si="0"/>
        <v>1.2790606968486462</v>
      </c>
      <c r="AF12" s="74">
        <f t="shared" si="0"/>
        <v>1.1292462827341321</v>
      </c>
      <c r="AG12" s="74">
        <f t="shared" si="0"/>
        <v>0.87552832334664876</v>
      </c>
      <c r="AH12" s="74">
        <f t="shared" si="0"/>
        <v>0.90747777751886372</v>
      </c>
      <c r="AI12" s="74">
        <f t="shared" si="0"/>
        <v>0.96412824567243671</v>
      </c>
      <c r="AJ12" s="74">
        <f t="shared" si="0"/>
        <v>0.91016283843763868</v>
      </c>
      <c r="AK12" s="74">
        <f t="shared" si="0"/>
        <v>0.8614328811584554</v>
      </c>
      <c r="AL12" s="74">
        <f t="shared" si="0"/>
        <v>0.83243654294274305</v>
      </c>
      <c r="AM12" s="74">
        <f t="shared" si="0"/>
        <v>0.73972880603639579</v>
      </c>
      <c r="AN12" s="74">
        <f t="shared" si="0"/>
        <v>0.66047214824678202</v>
      </c>
      <c r="AO12" s="74">
        <f t="shared" si="0"/>
        <v>0.7216866400355082</v>
      </c>
      <c r="AP12" s="74">
        <f t="shared" si="0"/>
        <v>0.72222339447403472</v>
      </c>
      <c r="AQ12" s="74">
        <f t="shared" si="0"/>
        <v>0.66047214824678202</v>
      </c>
      <c r="AR12" s="74">
        <f t="shared" si="0"/>
        <v>0.65443124445184198</v>
      </c>
      <c r="AS12" s="74">
        <f t="shared" si="0"/>
        <v>0.65241760985352859</v>
      </c>
      <c r="AT12" s="74">
        <f t="shared" si="0"/>
        <v>0.71886755159786953</v>
      </c>
      <c r="AU12" s="74">
        <f t="shared" si="0"/>
        <v>0.88922103861517965</v>
      </c>
      <c r="AV12" s="74">
        <f t="shared" si="0"/>
        <v>0.75712660896582329</v>
      </c>
      <c r="AW12" s="74">
        <f t="shared" si="0"/>
        <v>0.75068297825122055</v>
      </c>
      <c r="AX12" s="74">
        <f t="shared" si="0"/>
        <v>0.72490845539280957</v>
      </c>
      <c r="AY12" s="74">
        <f t="shared" si="0"/>
        <v>0.61214491788726133</v>
      </c>
      <c r="AZ12" s="74">
        <f t="shared" si="0"/>
        <v>0.61214491788726133</v>
      </c>
      <c r="BA12" s="74">
        <f t="shared" si="0"/>
        <v>0.61214491788726133</v>
      </c>
      <c r="BB12" s="74">
        <f t="shared" si="0"/>
        <v>0.6282539946737683</v>
      </c>
      <c r="BC12" s="74">
        <f t="shared" si="0"/>
        <v>0.6282539946737683</v>
      </c>
      <c r="BD12" s="74">
        <f t="shared" si="0"/>
        <v>0.64114125610297379</v>
      </c>
      <c r="BE12" s="74">
        <f t="shared" si="0"/>
        <v>0.64114125610297379</v>
      </c>
      <c r="BF12" s="74">
        <f t="shared" si="0"/>
        <v>0.6327645361739902</v>
      </c>
      <c r="BG12" s="74">
        <f t="shared" si="0"/>
        <v>0.6327645361739902</v>
      </c>
      <c r="BH12" s="74">
        <f t="shared" si="0"/>
        <v>0.6327645361739902</v>
      </c>
      <c r="BI12" s="74">
        <f t="shared" si="0"/>
        <v>0.66047214824678202</v>
      </c>
      <c r="BJ12" s="74">
        <f t="shared" si="0"/>
        <v>0.66047214824678202</v>
      </c>
      <c r="BK12" s="74">
        <f t="shared" si="0"/>
        <v>0.66047214824678202</v>
      </c>
      <c r="BL12" s="74">
        <f t="shared" si="0"/>
        <v>0.67819213271193957</v>
      </c>
      <c r="BM12" s="74">
        <f t="shared" si="0"/>
        <v>0.61858854860186419</v>
      </c>
      <c r="BN12" s="74">
        <f t="shared" si="0"/>
        <v>0.60570128717265859</v>
      </c>
      <c r="BO12" s="74">
        <f t="shared" si="0"/>
        <v>0.60570128717265859</v>
      </c>
      <c r="BP12" s="74">
        <f t="shared" si="0"/>
        <v>0.60247947181535733</v>
      </c>
      <c r="BQ12" s="74">
        <f t="shared" si="0"/>
        <v>0.60247947181535733</v>
      </c>
      <c r="BR12" s="74">
        <f t="shared" si="0"/>
        <v>0.61214491788726133</v>
      </c>
      <c r="BS12" s="74">
        <f t="shared" si="0"/>
        <v>0.61214491788726133</v>
      </c>
      <c r="BT12" s="74">
        <f t="shared" si="0"/>
        <v>0.60570128717265859</v>
      </c>
      <c r="BU12" s="74">
        <f t="shared" si="0"/>
        <v>0.59925765645805595</v>
      </c>
      <c r="BV12" s="74">
        <f t="shared" ref="BV12:CO12" si="1">$F$12*(BV8/1000)</f>
        <v>0.60570128717265859</v>
      </c>
      <c r="BW12" s="74">
        <f t="shared" si="1"/>
        <v>0.60570128717265859</v>
      </c>
      <c r="BX12" s="74">
        <f t="shared" si="1"/>
        <v>0.64436307146027516</v>
      </c>
      <c r="BY12" s="74">
        <f t="shared" si="1"/>
        <v>0.64436307146027516</v>
      </c>
      <c r="BZ12" s="74">
        <f t="shared" si="1"/>
        <v>0.68302485574789173</v>
      </c>
      <c r="CA12" s="74">
        <f t="shared" si="1"/>
        <v>0.67658122503328899</v>
      </c>
      <c r="CB12" s="74">
        <f t="shared" si="1"/>
        <v>0.67658122503328899</v>
      </c>
      <c r="CC12" s="74">
        <f t="shared" si="1"/>
        <v>0.69075721260541501</v>
      </c>
      <c r="CD12" s="74">
        <f t="shared" si="1"/>
        <v>0.64436307146027516</v>
      </c>
      <c r="CE12" s="74">
        <f t="shared" si="1"/>
        <v>0.6508067021748779</v>
      </c>
      <c r="CF12" s="74">
        <f t="shared" si="1"/>
        <v>0.67013759431868614</v>
      </c>
      <c r="CG12" s="74">
        <f t="shared" si="1"/>
        <v>0.67013759431868614</v>
      </c>
      <c r="CH12" s="74">
        <f t="shared" si="1"/>
        <v>0.6508067021748779</v>
      </c>
      <c r="CI12" s="74">
        <f t="shared" si="1"/>
        <v>0.65402851753217928</v>
      </c>
      <c r="CJ12" s="74">
        <f t="shared" si="1"/>
        <v>0.66047214824678202</v>
      </c>
      <c r="CK12" s="74">
        <f t="shared" si="1"/>
        <v>0.66047214824678202</v>
      </c>
      <c r="CL12" s="74">
        <f t="shared" si="1"/>
        <v>0.66047214824678202</v>
      </c>
      <c r="CM12" s="74">
        <f t="shared" si="1"/>
        <v>0.66047214824678202</v>
      </c>
      <c r="CN12" s="74">
        <f t="shared" si="1"/>
        <v>0.66047214824678202</v>
      </c>
      <c r="CO12" s="74">
        <f t="shared" si="1"/>
        <v>0.66047214824678202</v>
      </c>
      <c r="CP12" s="74">
        <f>$F$12*(CP8/1000)</f>
        <v>0.66047214824678202</v>
      </c>
      <c r="CQ12" s="74">
        <f t="shared" ref="CQ12:FB12" si="2">$F$12*(CQ8/1000)</f>
        <v>0.66047214824678202</v>
      </c>
      <c r="CR12" s="74">
        <f t="shared" si="2"/>
        <v>0.64436307146027516</v>
      </c>
      <c r="CS12" s="74">
        <f t="shared" si="2"/>
        <v>0.6282539946737683</v>
      </c>
      <c r="CT12" s="74">
        <f t="shared" si="2"/>
        <v>0.62632090545938746</v>
      </c>
      <c r="CU12" s="74">
        <f t="shared" si="2"/>
        <v>0.62632090545938746</v>
      </c>
      <c r="CV12" s="74">
        <f t="shared" si="2"/>
        <v>0.64436307146027516</v>
      </c>
      <c r="CW12" s="74">
        <f t="shared" si="2"/>
        <v>0.64436307146027516</v>
      </c>
      <c r="CX12" s="74">
        <f t="shared" si="2"/>
        <v>0.66047214824678202</v>
      </c>
      <c r="CY12" s="74">
        <f t="shared" si="2"/>
        <v>0.66047214824678202</v>
      </c>
      <c r="CZ12" s="74">
        <f t="shared" si="2"/>
        <v>0.66047214824678202</v>
      </c>
      <c r="DA12" s="74">
        <f t="shared" si="2"/>
        <v>0.65918342210386138</v>
      </c>
      <c r="DB12" s="74">
        <f t="shared" si="2"/>
        <v>0.65725033288948065</v>
      </c>
      <c r="DC12" s="74">
        <f t="shared" si="2"/>
        <v>0.67658122503328899</v>
      </c>
      <c r="DD12" s="74">
        <f t="shared" si="2"/>
        <v>0.67658122503328899</v>
      </c>
      <c r="DE12" s="74">
        <f t="shared" si="2"/>
        <v>0.63985252996005326</v>
      </c>
      <c r="DF12" s="74">
        <f t="shared" si="2"/>
        <v>0.64436307146027516</v>
      </c>
      <c r="DG12" s="74">
        <f t="shared" si="2"/>
        <v>0.64951797603195738</v>
      </c>
      <c r="DH12" s="74">
        <f t="shared" si="2"/>
        <v>0.63469762538837105</v>
      </c>
      <c r="DI12" s="74">
        <f t="shared" si="2"/>
        <v>0.63469762538837105</v>
      </c>
      <c r="DJ12" s="74">
        <f t="shared" si="2"/>
        <v>0.62181036395916556</v>
      </c>
      <c r="DK12" s="74">
        <f t="shared" si="2"/>
        <v>0.62181036395916556</v>
      </c>
      <c r="DL12" s="74">
        <f t="shared" si="2"/>
        <v>0.62503217931646693</v>
      </c>
      <c r="DM12" s="74">
        <f t="shared" si="2"/>
        <v>0.62503217931646693</v>
      </c>
      <c r="DN12" s="74">
        <f t="shared" si="2"/>
        <v>0.63147581003106967</v>
      </c>
      <c r="DO12" s="74">
        <f t="shared" si="2"/>
        <v>0.62503217931646693</v>
      </c>
      <c r="DP12" s="74">
        <f t="shared" si="2"/>
        <v>0.62503217931646693</v>
      </c>
      <c r="DQ12" s="74">
        <f t="shared" si="2"/>
        <v>0.62503217931646693</v>
      </c>
      <c r="DR12" s="74">
        <f t="shared" si="2"/>
        <v>0.62503217931646693</v>
      </c>
      <c r="DS12" s="74">
        <f t="shared" si="2"/>
        <v>0.62503217931646693</v>
      </c>
      <c r="DT12" s="74">
        <f t="shared" si="2"/>
        <v>0</v>
      </c>
      <c r="DU12" s="74">
        <f t="shared" si="2"/>
        <v>0</v>
      </c>
      <c r="DV12" s="74">
        <f t="shared" si="2"/>
        <v>0</v>
      </c>
      <c r="DW12" s="74">
        <f t="shared" si="2"/>
        <v>0</v>
      </c>
      <c r="DX12" s="74">
        <f t="shared" si="2"/>
        <v>0</v>
      </c>
      <c r="DY12" s="74">
        <f t="shared" si="2"/>
        <v>0</v>
      </c>
      <c r="DZ12" s="74">
        <f t="shared" si="2"/>
        <v>0</v>
      </c>
      <c r="EA12" s="74">
        <f t="shared" si="2"/>
        <v>0</v>
      </c>
      <c r="EB12" s="74">
        <f t="shared" si="2"/>
        <v>0</v>
      </c>
      <c r="EC12" s="74">
        <f t="shared" si="2"/>
        <v>0</v>
      </c>
      <c r="ED12" s="74">
        <f t="shared" si="2"/>
        <v>0</v>
      </c>
      <c r="EE12" s="74">
        <f t="shared" si="2"/>
        <v>0</v>
      </c>
      <c r="EF12" s="74">
        <f t="shared" si="2"/>
        <v>0</v>
      </c>
      <c r="EG12" s="74">
        <f t="shared" si="2"/>
        <v>0</v>
      </c>
      <c r="EH12" s="74">
        <f t="shared" si="2"/>
        <v>0</v>
      </c>
      <c r="EI12" s="74">
        <f t="shared" si="2"/>
        <v>0</v>
      </c>
      <c r="EJ12" s="74">
        <f t="shared" si="2"/>
        <v>0</v>
      </c>
      <c r="EK12" s="74">
        <f t="shared" si="2"/>
        <v>0</v>
      </c>
      <c r="EL12" s="74">
        <f t="shared" si="2"/>
        <v>0</v>
      </c>
      <c r="EM12" s="74">
        <f t="shared" si="2"/>
        <v>0</v>
      </c>
      <c r="EN12" s="74">
        <f t="shared" si="2"/>
        <v>0</v>
      </c>
      <c r="EO12" s="74">
        <f t="shared" si="2"/>
        <v>0</v>
      </c>
      <c r="EP12" s="74">
        <f t="shared" si="2"/>
        <v>0</v>
      </c>
      <c r="EQ12" s="74">
        <f t="shared" si="2"/>
        <v>0</v>
      </c>
      <c r="ER12" s="74">
        <f t="shared" si="2"/>
        <v>0</v>
      </c>
      <c r="ES12" s="74">
        <f t="shared" si="2"/>
        <v>0</v>
      </c>
      <c r="ET12" s="74">
        <f t="shared" si="2"/>
        <v>0</v>
      </c>
      <c r="EU12" s="74" t="e" vm="2">
        <f t="shared" si="2"/>
        <v>#VALUE!</v>
      </c>
      <c r="EV12" s="74" t="e" vm="2">
        <f t="shared" si="2"/>
        <v>#VALUE!</v>
      </c>
      <c r="EW12" s="74" t="e" vm="2">
        <f t="shared" si="2"/>
        <v>#VALUE!</v>
      </c>
      <c r="EX12" s="74" t="e" vm="2">
        <f t="shared" si="2"/>
        <v>#VALUE!</v>
      </c>
      <c r="EY12" s="74" t="e" vm="2">
        <f t="shared" si="2"/>
        <v>#VALUE!</v>
      </c>
      <c r="EZ12" s="74" t="e" vm="2">
        <f t="shared" si="2"/>
        <v>#VALUE!</v>
      </c>
      <c r="FA12" s="74" t="e" vm="2">
        <f t="shared" si="2"/>
        <v>#VALUE!</v>
      </c>
      <c r="FB12" s="74" t="e" vm="2">
        <f t="shared" si="2"/>
        <v>#VALUE!</v>
      </c>
      <c r="FC12" s="74" t="e" vm="2">
        <f t="shared" ref="FC12:GH12" si="3">$F$12*(FC8/1000)</f>
        <v>#VALUE!</v>
      </c>
      <c r="FD12" s="74" t="e" vm="2">
        <f t="shared" si="3"/>
        <v>#VALUE!</v>
      </c>
      <c r="FE12" s="74" t="e" vm="2">
        <f t="shared" si="3"/>
        <v>#VALUE!</v>
      </c>
      <c r="FF12" s="74" t="e" vm="2">
        <f t="shared" si="3"/>
        <v>#VALUE!</v>
      </c>
      <c r="FG12" s="74" t="e" vm="2">
        <f t="shared" si="3"/>
        <v>#VALUE!</v>
      </c>
      <c r="FH12" s="74" t="e" vm="2">
        <f t="shared" si="3"/>
        <v>#VALUE!</v>
      </c>
      <c r="FI12" s="74" t="e" vm="2">
        <f t="shared" si="3"/>
        <v>#VALUE!</v>
      </c>
      <c r="FJ12" s="74" t="e" vm="2">
        <f t="shared" si="3"/>
        <v>#VALUE!</v>
      </c>
      <c r="FK12" s="74" t="e" vm="2">
        <f t="shared" si="3"/>
        <v>#VALUE!</v>
      </c>
      <c r="FL12" s="74" t="e" vm="2">
        <f t="shared" si="3"/>
        <v>#VALUE!</v>
      </c>
      <c r="FM12" s="74" t="e" vm="2">
        <f t="shared" si="3"/>
        <v>#VALUE!</v>
      </c>
      <c r="FN12" s="74" t="e" vm="2">
        <f t="shared" si="3"/>
        <v>#VALUE!</v>
      </c>
      <c r="FO12" s="74" t="e" vm="2">
        <f t="shared" si="3"/>
        <v>#VALUE!</v>
      </c>
      <c r="FP12" s="74" t="e" vm="2">
        <f t="shared" si="3"/>
        <v>#VALUE!</v>
      </c>
      <c r="FQ12" s="74" t="e" vm="2">
        <f t="shared" si="3"/>
        <v>#VALUE!</v>
      </c>
      <c r="FR12" s="74" t="e" vm="2">
        <f t="shared" si="3"/>
        <v>#VALUE!</v>
      </c>
      <c r="FS12" s="74" t="e" vm="2">
        <f t="shared" si="3"/>
        <v>#VALUE!</v>
      </c>
      <c r="FT12" s="74" t="e" vm="2">
        <f t="shared" si="3"/>
        <v>#VALUE!</v>
      </c>
      <c r="FU12" s="74" t="e" vm="2">
        <f t="shared" si="3"/>
        <v>#VALUE!</v>
      </c>
      <c r="FV12" s="74" t="e" vm="2">
        <f t="shared" si="3"/>
        <v>#VALUE!</v>
      </c>
      <c r="FW12" s="74" t="e" vm="2">
        <f t="shared" si="3"/>
        <v>#VALUE!</v>
      </c>
      <c r="FX12" s="74" t="e" vm="2">
        <f t="shared" si="3"/>
        <v>#VALUE!</v>
      </c>
      <c r="FY12" s="74" t="e" vm="2">
        <f t="shared" si="3"/>
        <v>#VALUE!</v>
      </c>
      <c r="FZ12" s="74" t="e" vm="2">
        <f t="shared" si="3"/>
        <v>#VALUE!</v>
      </c>
      <c r="GA12" s="74" t="e" vm="2">
        <f t="shared" si="3"/>
        <v>#VALUE!</v>
      </c>
      <c r="GB12" s="74" t="e" vm="2">
        <f t="shared" si="3"/>
        <v>#VALUE!</v>
      </c>
      <c r="GC12" s="74" t="e" vm="2">
        <f t="shared" si="3"/>
        <v>#VALUE!</v>
      </c>
      <c r="GD12" s="74" t="e" vm="2">
        <f t="shared" si="3"/>
        <v>#VALUE!</v>
      </c>
      <c r="GE12" s="74" t="e" vm="2">
        <f t="shared" si="3"/>
        <v>#VALUE!</v>
      </c>
      <c r="GF12" s="74" t="e" vm="2">
        <f t="shared" si="3"/>
        <v>#VALUE!</v>
      </c>
      <c r="GG12" s="74" t="e" vm="2">
        <f t="shared" si="3"/>
        <v>#VALUE!</v>
      </c>
      <c r="GH12" s="74" t="e" vm="2">
        <f t="shared" si="3"/>
        <v>#VALUE!</v>
      </c>
    </row>
    <row r="13" spans="1:190" ht="13">
      <c r="A13" s="107"/>
      <c r="B13" s="107" t="s">
        <v>36</v>
      </c>
      <c r="C13" s="107">
        <v>1</v>
      </c>
      <c r="D13" s="107">
        <v>32.04</v>
      </c>
      <c r="E13" s="60">
        <f>D13*C13</f>
        <v>32.04</v>
      </c>
      <c r="F13" s="345">
        <f>E13/E14</f>
        <v>0.35552596537949399</v>
      </c>
      <c r="I13" s="74">
        <f>$F$13*(I9/1000)</f>
        <v>9.3325565912117173E-2</v>
      </c>
      <c r="J13" s="74">
        <f t="shared" ref="J13:BU13" si="4">$F$13*(J9/1000)</f>
        <v>0.11465712383488681</v>
      </c>
      <c r="K13" s="74">
        <f t="shared" si="4"/>
        <v>0.10132490013315577</v>
      </c>
      <c r="L13" s="74">
        <f t="shared" si="4"/>
        <v>7.4660452729693738E-2</v>
      </c>
      <c r="M13" s="74">
        <f t="shared" si="4"/>
        <v>6.2217043941411442E-2</v>
      </c>
      <c r="N13" s="74">
        <f t="shared" si="4"/>
        <v>5.955059920106525E-2</v>
      </c>
      <c r="O13" s="74">
        <f t="shared" si="4"/>
        <v>6.3994673768308918E-2</v>
      </c>
      <c r="P13" s="74">
        <f t="shared" si="4"/>
        <v>7.8215712383488678E-2</v>
      </c>
      <c r="Q13" s="74">
        <f t="shared" si="4"/>
        <v>8.1770972037283618E-2</v>
      </c>
      <c r="R13" s="74">
        <f t="shared" si="4"/>
        <v>8.5326231691078558E-2</v>
      </c>
      <c r="S13" s="74">
        <f t="shared" si="4"/>
        <v>9.5992010652463378E-2</v>
      </c>
      <c r="T13" s="74">
        <f t="shared" si="4"/>
        <v>0.1066577896138482</v>
      </c>
      <c r="U13" s="74">
        <f t="shared" si="4"/>
        <v>0.12798934753661784</v>
      </c>
      <c r="V13" s="74">
        <f t="shared" si="4"/>
        <v>0.12976697736351531</v>
      </c>
      <c r="W13" s="74">
        <f t="shared" si="4"/>
        <v>0.12621171770972037</v>
      </c>
      <c r="X13" s="74">
        <f t="shared" si="4"/>
        <v>0.12087882822902797</v>
      </c>
      <c r="Y13" s="74">
        <f t="shared" si="4"/>
        <v>0.12354527296937415</v>
      </c>
      <c r="Z13" s="74">
        <f t="shared" si="4"/>
        <v>0.12710053262316909</v>
      </c>
      <c r="AA13" s="74">
        <f t="shared" si="4"/>
        <v>0.12798934753661784</v>
      </c>
      <c r="AB13" s="74">
        <f t="shared" si="4"/>
        <v>0.13154460719041278</v>
      </c>
      <c r="AC13" s="74">
        <f t="shared" si="4"/>
        <v>0.13865512649800266</v>
      </c>
      <c r="AD13" s="74">
        <f t="shared" si="4"/>
        <v>0.16620838881491345</v>
      </c>
      <c r="AE13" s="74">
        <f t="shared" si="4"/>
        <v>0.13954394141145141</v>
      </c>
      <c r="AF13" s="74">
        <f t="shared" si="4"/>
        <v>0.12087882822902797</v>
      </c>
      <c r="AG13" s="74">
        <f t="shared" si="4"/>
        <v>0.11021304926764314</v>
      </c>
      <c r="AH13" s="74">
        <f t="shared" si="4"/>
        <v>0.13865512649800266</v>
      </c>
      <c r="AI13" s="74">
        <f t="shared" si="4"/>
        <v>0.15287616511318242</v>
      </c>
      <c r="AJ13" s="74">
        <f t="shared" si="4"/>
        <v>0.13865512649800266</v>
      </c>
      <c r="AK13" s="74">
        <f t="shared" si="4"/>
        <v>0.12443408788282288</v>
      </c>
      <c r="AL13" s="74">
        <f t="shared" si="4"/>
        <v>0.12087882822902797</v>
      </c>
      <c r="AM13" s="74">
        <f t="shared" si="4"/>
        <v>0.11199067909454061</v>
      </c>
      <c r="AN13" s="74">
        <f t="shared" si="4"/>
        <v>0.11199067909454061</v>
      </c>
      <c r="AO13" s="74">
        <f t="shared" si="4"/>
        <v>0.11199067909454061</v>
      </c>
      <c r="AP13" s="74">
        <f t="shared" si="4"/>
        <v>0.11554593874833555</v>
      </c>
      <c r="AQ13" s="74">
        <f t="shared" si="4"/>
        <v>0.11554593874833555</v>
      </c>
      <c r="AR13" s="74">
        <f t="shared" si="4"/>
        <v>0.11199067909454061</v>
      </c>
      <c r="AS13" s="74">
        <f t="shared" si="4"/>
        <v>0.11554593874833555</v>
      </c>
      <c r="AT13" s="74">
        <f t="shared" si="4"/>
        <v>0.12354527296937415</v>
      </c>
      <c r="AU13" s="74">
        <f t="shared" si="4"/>
        <v>0.12887816245006656</v>
      </c>
      <c r="AV13" s="74">
        <f t="shared" si="4"/>
        <v>0.1191011984021305</v>
      </c>
      <c r="AW13" s="74">
        <f t="shared" si="4"/>
        <v>0.11021304926764314</v>
      </c>
      <c r="AX13" s="74">
        <f t="shared" si="4"/>
        <v>0.1066577896138482</v>
      </c>
      <c r="AY13" s="74">
        <f t="shared" si="4"/>
        <v>0.1066577896138482</v>
      </c>
      <c r="AZ13" s="74">
        <f t="shared" si="4"/>
        <v>0.10310252996005324</v>
      </c>
      <c r="BA13" s="74">
        <f t="shared" si="4"/>
        <v>0.10310252996005324</v>
      </c>
      <c r="BB13" s="74">
        <f t="shared" si="4"/>
        <v>0.10310252996005324</v>
      </c>
      <c r="BC13" s="74">
        <f t="shared" si="4"/>
        <v>0.10310252996005324</v>
      </c>
      <c r="BD13" s="74">
        <f t="shared" si="4"/>
        <v>0.11021304926764314</v>
      </c>
      <c r="BE13" s="74">
        <f t="shared" si="4"/>
        <v>0.11021304926764314</v>
      </c>
      <c r="BF13" s="74">
        <f t="shared" si="4"/>
        <v>0.11021304926764314</v>
      </c>
      <c r="BG13" s="74">
        <f t="shared" si="4"/>
        <v>0.11021304926764314</v>
      </c>
      <c r="BH13" s="74">
        <f t="shared" si="4"/>
        <v>0.11021304926764314</v>
      </c>
      <c r="BI13" s="74">
        <f t="shared" si="4"/>
        <v>0.11732356857523302</v>
      </c>
      <c r="BJ13" s="74">
        <f t="shared" si="4"/>
        <v>0.11732356857523302</v>
      </c>
      <c r="BK13" s="74">
        <f t="shared" si="4"/>
        <v>0.11732356857523302</v>
      </c>
      <c r="BL13" s="74">
        <f t="shared" si="4"/>
        <v>0.11732356857523302</v>
      </c>
      <c r="BM13" s="74">
        <f t="shared" si="4"/>
        <v>0.11732356857523302</v>
      </c>
      <c r="BN13" s="74">
        <f t="shared" si="4"/>
        <v>0.11732356857523302</v>
      </c>
      <c r="BO13" s="74">
        <f t="shared" si="4"/>
        <v>0.11732356857523302</v>
      </c>
      <c r="BP13" s="74">
        <f t="shared" si="4"/>
        <v>0.11199067909454061</v>
      </c>
      <c r="BQ13" s="74">
        <f t="shared" si="4"/>
        <v>0.11199067909454061</v>
      </c>
      <c r="BR13" s="74">
        <f t="shared" si="4"/>
        <v>0.11199067909454061</v>
      </c>
      <c r="BS13" s="74">
        <f t="shared" si="4"/>
        <v>0.11199067909454061</v>
      </c>
      <c r="BT13" s="74">
        <f t="shared" si="4"/>
        <v>0.1191011984021305</v>
      </c>
      <c r="BU13" s="74">
        <f t="shared" si="4"/>
        <v>0.1191011984021305</v>
      </c>
      <c r="BV13" s="74">
        <f t="shared" ref="BV13:CP13" si="5">$F$13*(BV9/1000)</f>
        <v>0.1191011984021305</v>
      </c>
      <c r="BW13" s="74">
        <f t="shared" si="5"/>
        <v>0.11999001331557924</v>
      </c>
      <c r="BX13" s="74">
        <f t="shared" si="5"/>
        <v>0.11999001331557924</v>
      </c>
      <c r="BY13" s="74">
        <f t="shared" si="5"/>
        <v>0.11999001331557924</v>
      </c>
      <c r="BZ13" s="74">
        <f t="shared" si="5"/>
        <v>0.12354527296937415</v>
      </c>
      <c r="CA13" s="74">
        <f t="shared" si="5"/>
        <v>0.12354527296937415</v>
      </c>
      <c r="CB13" s="74">
        <f t="shared" si="5"/>
        <v>0.12354527296937415</v>
      </c>
      <c r="CC13" s="74">
        <f t="shared" si="5"/>
        <v>0.12354527296937415</v>
      </c>
      <c r="CD13" s="74">
        <f t="shared" si="5"/>
        <v>0.12354527296937415</v>
      </c>
      <c r="CE13" s="74">
        <f t="shared" si="5"/>
        <v>0.12354527296937415</v>
      </c>
      <c r="CF13" s="74">
        <f t="shared" si="5"/>
        <v>0.12354527296937415</v>
      </c>
      <c r="CG13" s="74">
        <f t="shared" si="5"/>
        <v>0.12621171770972037</v>
      </c>
      <c r="CH13" s="74">
        <f t="shared" si="5"/>
        <v>0.12621171770972037</v>
      </c>
      <c r="CI13" s="74">
        <f t="shared" si="5"/>
        <v>0.12265645805592541</v>
      </c>
      <c r="CJ13" s="74">
        <f t="shared" si="5"/>
        <v>0.12265645805592541</v>
      </c>
      <c r="CK13" s="74">
        <f t="shared" si="5"/>
        <v>0.12265645805592541</v>
      </c>
      <c r="CL13" s="74">
        <f t="shared" si="5"/>
        <v>0.12265645805592541</v>
      </c>
      <c r="CM13" s="74">
        <f t="shared" si="5"/>
        <v>0.12176764314247671</v>
      </c>
      <c r="CN13" s="74">
        <f t="shared" si="5"/>
        <v>0.12176764314247671</v>
      </c>
      <c r="CO13" s="74">
        <f t="shared" si="5"/>
        <v>0.12176764314247671</v>
      </c>
      <c r="CP13" s="74">
        <f t="shared" si="5"/>
        <v>0.12176764314247671</v>
      </c>
      <c r="CQ13" s="74">
        <f t="shared" ref="CQ13:FB13" si="6">$F$13*(CQ9/1000)</f>
        <v>0.12176764314247671</v>
      </c>
      <c r="CR13" s="74">
        <f t="shared" si="6"/>
        <v>0.12176764314247671</v>
      </c>
      <c r="CS13" s="74">
        <f t="shared" si="6"/>
        <v>0.12087882822902797</v>
      </c>
      <c r="CT13" s="74">
        <f t="shared" si="6"/>
        <v>0.12087882822902797</v>
      </c>
      <c r="CU13" s="74">
        <f t="shared" si="6"/>
        <v>0.12087882822902797</v>
      </c>
      <c r="CV13" s="74">
        <f t="shared" si="6"/>
        <v>0.12087882822902797</v>
      </c>
      <c r="CW13" s="74">
        <f t="shared" si="6"/>
        <v>0.1191011984021305</v>
      </c>
      <c r="CX13" s="74">
        <f t="shared" si="6"/>
        <v>0.1191011984021305</v>
      </c>
      <c r="CY13" s="74">
        <f t="shared" si="6"/>
        <v>0.1191011984021305</v>
      </c>
      <c r="CZ13" s="74">
        <f t="shared" si="6"/>
        <v>0.1191011984021305</v>
      </c>
      <c r="DA13" s="74">
        <f t="shared" si="6"/>
        <v>0.1191011984021305</v>
      </c>
      <c r="DB13" s="74">
        <f t="shared" si="6"/>
        <v>0.1191011984021305</v>
      </c>
      <c r="DC13" s="74">
        <f t="shared" si="6"/>
        <v>0.1191011984021305</v>
      </c>
      <c r="DD13" s="74">
        <f t="shared" si="6"/>
        <v>0.1191011984021305</v>
      </c>
      <c r="DE13" s="74">
        <f t="shared" si="6"/>
        <v>0.1191011984021305</v>
      </c>
      <c r="DF13" s="74">
        <f t="shared" si="6"/>
        <v>0.1191011984021305</v>
      </c>
      <c r="DG13" s="74">
        <f t="shared" si="6"/>
        <v>0.1191011984021305</v>
      </c>
      <c r="DH13" s="74">
        <f t="shared" si="6"/>
        <v>0.1191011984021305</v>
      </c>
      <c r="DI13" s="74">
        <f t="shared" si="6"/>
        <v>0.1191011984021305</v>
      </c>
      <c r="DJ13" s="74">
        <f t="shared" si="6"/>
        <v>0.12265645805592541</v>
      </c>
      <c r="DK13" s="74">
        <f t="shared" si="6"/>
        <v>0.12265645805592541</v>
      </c>
      <c r="DL13" s="74">
        <f t="shared" si="6"/>
        <v>0.12265645805592541</v>
      </c>
      <c r="DM13" s="74">
        <f t="shared" si="6"/>
        <v>0.12265645805592541</v>
      </c>
      <c r="DN13" s="74">
        <f t="shared" si="6"/>
        <v>0.11732356857523302</v>
      </c>
      <c r="DO13" s="74">
        <f t="shared" si="6"/>
        <v>0.11732356857523302</v>
      </c>
      <c r="DP13" s="74">
        <f t="shared" si="6"/>
        <v>0.11732356857523302</v>
      </c>
      <c r="DQ13" s="74">
        <f t="shared" si="6"/>
        <v>0.11732356857523302</v>
      </c>
      <c r="DR13" s="74">
        <f t="shared" si="6"/>
        <v>0.11732356857523302</v>
      </c>
      <c r="DS13" s="74">
        <f t="shared" si="6"/>
        <v>0.12354527296937415</v>
      </c>
      <c r="DT13" s="74">
        <f t="shared" si="6"/>
        <v>0</v>
      </c>
      <c r="DU13" s="74">
        <f t="shared" si="6"/>
        <v>0</v>
      </c>
      <c r="DV13" s="74">
        <f t="shared" si="6"/>
        <v>0</v>
      </c>
      <c r="DW13" s="74">
        <f t="shared" si="6"/>
        <v>0</v>
      </c>
      <c r="DX13" s="74">
        <f t="shared" si="6"/>
        <v>0</v>
      </c>
      <c r="DY13" s="74">
        <f t="shared" si="6"/>
        <v>0</v>
      </c>
      <c r="DZ13" s="74">
        <f t="shared" si="6"/>
        <v>0</v>
      </c>
      <c r="EA13" s="74">
        <f t="shared" si="6"/>
        <v>0</v>
      </c>
      <c r="EB13" s="74">
        <f t="shared" si="6"/>
        <v>0</v>
      </c>
      <c r="EC13" s="74">
        <f t="shared" si="6"/>
        <v>0</v>
      </c>
      <c r="ED13" s="74">
        <f t="shared" si="6"/>
        <v>0</v>
      </c>
      <c r="EE13" s="74">
        <f t="shared" si="6"/>
        <v>0</v>
      </c>
      <c r="EF13" s="74">
        <f t="shared" si="6"/>
        <v>0</v>
      </c>
      <c r="EG13" s="74">
        <f t="shared" si="6"/>
        <v>0</v>
      </c>
      <c r="EH13" s="74">
        <f t="shared" si="6"/>
        <v>0</v>
      </c>
      <c r="EI13" s="74">
        <f t="shared" si="6"/>
        <v>0</v>
      </c>
      <c r="EJ13" s="74">
        <f t="shared" si="6"/>
        <v>0</v>
      </c>
      <c r="EK13" s="74">
        <f t="shared" si="6"/>
        <v>0</v>
      </c>
      <c r="EL13" s="74">
        <f t="shared" si="6"/>
        <v>0</v>
      </c>
      <c r="EM13" s="74">
        <f t="shared" si="6"/>
        <v>0</v>
      </c>
      <c r="EN13" s="74">
        <f t="shared" si="6"/>
        <v>0</v>
      </c>
      <c r="EO13" s="74">
        <f t="shared" si="6"/>
        <v>0</v>
      </c>
      <c r="EP13" s="74">
        <f t="shared" si="6"/>
        <v>0</v>
      </c>
      <c r="EQ13" s="74">
        <f t="shared" si="6"/>
        <v>0</v>
      </c>
      <c r="ER13" s="74">
        <f t="shared" si="6"/>
        <v>0</v>
      </c>
      <c r="ES13" s="74">
        <f t="shared" si="6"/>
        <v>0</v>
      </c>
      <c r="ET13" s="74">
        <f t="shared" si="6"/>
        <v>0</v>
      </c>
      <c r="EU13" s="74" t="e" vm="2">
        <f t="shared" si="6"/>
        <v>#VALUE!</v>
      </c>
      <c r="EV13" s="74" t="e" vm="2">
        <f t="shared" si="6"/>
        <v>#VALUE!</v>
      </c>
      <c r="EW13" s="74" t="e" vm="2">
        <f t="shared" si="6"/>
        <v>#VALUE!</v>
      </c>
      <c r="EX13" s="74" t="e" vm="2">
        <f t="shared" si="6"/>
        <v>#VALUE!</v>
      </c>
      <c r="EY13" s="74" t="e" vm="2">
        <f t="shared" si="6"/>
        <v>#VALUE!</v>
      </c>
      <c r="EZ13" s="74" t="e" vm="2">
        <f t="shared" si="6"/>
        <v>#VALUE!</v>
      </c>
      <c r="FA13" s="74" t="e" vm="2">
        <f t="shared" si="6"/>
        <v>#VALUE!</v>
      </c>
      <c r="FB13" s="74" t="e" vm="2">
        <f t="shared" si="6"/>
        <v>#VALUE!</v>
      </c>
      <c r="FC13" s="74" t="e" vm="2">
        <f t="shared" ref="FC13:GH13" si="7">$F$13*(FC9/1000)</f>
        <v>#VALUE!</v>
      </c>
      <c r="FD13" s="74" t="e" vm="2">
        <f t="shared" si="7"/>
        <v>#VALUE!</v>
      </c>
      <c r="FE13" s="74" t="e" vm="2">
        <f t="shared" si="7"/>
        <v>#VALUE!</v>
      </c>
      <c r="FF13" s="74" t="e" vm="2">
        <f t="shared" si="7"/>
        <v>#VALUE!</v>
      </c>
      <c r="FG13" s="74" t="e" vm="2">
        <f t="shared" si="7"/>
        <v>#VALUE!</v>
      </c>
      <c r="FH13" s="74" t="e" vm="2">
        <f t="shared" si="7"/>
        <v>#VALUE!</v>
      </c>
      <c r="FI13" s="74" t="e" vm="2">
        <f t="shared" si="7"/>
        <v>#VALUE!</v>
      </c>
      <c r="FJ13" s="74" t="e" vm="2">
        <f t="shared" si="7"/>
        <v>#VALUE!</v>
      </c>
      <c r="FK13" s="74" t="e" vm="2">
        <f t="shared" si="7"/>
        <v>#VALUE!</v>
      </c>
      <c r="FL13" s="74" t="e" vm="2">
        <f t="shared" si="7"/>
        <v>#VALUE!</v>
      </c>
      <c r="FM13" s="74" t="e" vm="2">
        <f t="shared" si="7"/>
        <v>#VALUE!</v>
      </c>
      <c r="FN13" s="74" t="e" vm="2">
        <f t="shared" si="7"/>
        <v>#VALUE!</v>
      </c>
      <c r="FO13" s="74" t="e" vm="2">
        <f t="shared" si="7"/>
        <v>#VALUE!</v>
      </c>
      <c r="FP13" s="74" t="e" vm="2">
        <f t="shared" si="7"/>
        <v>#VALUE!</v>
      </c>
      <c r="FQ13" s="74" t="e" vm="2">
        <f t="shared" si="7"/>
        <v>#VALUE!</v>
      </c>
      <c r="FR13" s="74" t="e" vm="2">
        <f t="shared" si="7"/>
        <v>#VALUE!</v>
      </c>
      <c r="FS13" s="74" t="e" vm="2">
        <f t="shared" si="7"/>
        <v>#VALUE!</v>
      </c>
      <c r="FT13" s="74" t="e" vm="2">
        <f t="shared" si="7"/>
        <v>#VALUE!</v>
      </c>
      <c r="FU13" s="74" t="e" vm="2">
        <f t="shared" si="7"/>
        <v>#VALUE!</v>
      </c>
      <c r="FV13" s="74" t="e" vm="2">
        <f t="shared" si="7"/>
        <v>#VALUE!</v>
      </c>
      <c r="FW13" s="74" t="e" vm="2">
        <f t="shared" si="7"/>
        <v>#VALUE!</v>
      </c>
      <c r="FX13" s="74" t="e" vm="2">
        <f t="shared" si="7"/>
        <v>#VALUE!</v>
      </c>
      <c r="FY13" s="74" t="e" vm="2">
        <f t="shared" si="7"/>
        <v>#VALUE!</v>
      </c>
      <c r="FZ13" s="74" t="e" vm="2">
        <f t="shared" si="7"/>
        <v>#VALUE!</v>
      </c>
      <c r="GA13" s="74" t="e" vm="2">
        <f t="shared" si="7"/>
        <v>#VALUE!</v>
      </c>
      <c r="GB13" s="74" t="e" vm="2">
        <f t="shared" si="7"/>
        <v>#VALUE!</v>
      </c>
      <c r="GC13" s="74" t="e" vm="2">
        <f t="shared" si="7"/>
        <v>#VALUE!</v>
      </c>
      <c r="GD13" s="74" t="e" vm="2">
        <f t="shared" si="7"/>
        <v>#VALUE!</v>
      </c>
      <c r="GE13" s="74" t="e" vm="2">
        <f t="shared" si="7"/>
        <v>#VALUE!</v>
      </c>
      <c r="GF13" s="74" t="e" vm="2">
        <f t="shared" si="7"/>
        <v>#VALUE!</v>
      </c>
      <c r="GG13" s="74" t="e" vm="2">
        <f t="shared" si="7"/>
        <v>#VALUE!</v>
      </c>
      <c r="GH13" s="74" t="e" vm="2">
        <f t="shared" si="7"/>
        <v>#VALUE!</v>
      </c>
    </row>
    <row r="14" spans="1:190" ht="26">
      <c r="A14" s="107" t="s">
        <v>397</v>
      </c>
      <c r="B14" s="107" t="s">
        <v>367</v>
      </c>
      <c r="C14" s="60">
        <v>1</v>
      </c>
      <c r="D14" s="77">
        <v>90.12</v>
      </c>
      <c r="E14" s="60">
        <f>D14*C14</f>
        <v>90.12</v>
      </c>
      <c r="F14" s="65">
        <f>E14/$D$3</f>
        <v>1.0109939421135292</v>
      </c>
      <c r="I14" s="74">
        <f>$F$14*(I12+I13)</f>
        <v>9.4351581781467339E-2</v>
      </c>
      <c r="J14" s="74">
        <f t="shared" ref="J14:O14" si="8">$F$14*(J12+J13)</f>
        <v>0.11591765761723132</v>
      </c>
      <c r="K14" s="74">
        <f t="shared" si="8"/>
        <v>0.10243886021987882</v>
      </c>
      <c r="L14" s="74">
        <f t="shared" si="8"/>
        <v>7.5481265425173874E-2</v>
      </c>
      <c r="M14" s="74">
        <f t="shared" si="8"/>
        <v>6.2901054520978217E-2</v>
      </c>
      <c r="N14" s="74">
        <f t="shared" si="8"/>
        <v>6.0205295041507741E-2</v>
      </c>
      <c r="O14" s="74">
        <f t="shared" si="8"/>
        <v>6.46982275072919E-2</v>
      </c>
      <c r="P14" s="74">
        <f t="shared" ref="P14:AU14" si="9">$F$14*(P12+P13)</f>
        <v>7.9075611397801199E-2</v>
      </c>
      <c r="Q14" s="74">
        <f t="shared" si="9"/>
        <v>8.2669957370428537E-2</v>
      </c>
      <c r="R14" s="74">
        <f t="shared" si="9"/>
        <v>8.6264303343055862E-2</v>
      </c>
      <c r="S14" s="74">
        <f t="shared" si="9"/>
        <v>9.7047341260937836E-2</v>
      </c>
      <c r="T14" s="74">
        <f t="shared" si="9"/>
        <v>0.10783037917881982</v>
      </c>
      <c r="U14" s="74">
        <f t="shared" si="9"/>
        <v>0.1293964550145838</v>
      </c>
      <c r="V14" s="74">
        <f t="shared" si="9"/>
        <v>0.13119362800089746</v>
      </c>
      <c r="W14" s="74">
        <f t="shared" si="9"/>
        <v>0.12759928202827012</v>
      </c>
      <c r="X14" s="74">
        <f t="shared" si="9"/>
        <v>1.6107645277092213</v>
      </c>
      <c r="Y14" s="74">
        <f t="shared" si="9"/>
        <v>1.6126459782364817</v>
      </c>
      <c r="Z14" s="74">
        <f t="shared" si="9"/>
        <v>1.2848165806596363</v>
      </c>
      <c r="AA14" s="74">
        <f t="shared" si="9"/>
        <v>1.3775692169620819</v>
      </c>
      <c r="AB14" s="74">
        <f t="shared" si="9"/>
        <v>1.4798578079425619</v>
      </c>
      <c r="AC14" s="74">
        <f t="shared" si="9"/>
        <v>1.5269476385461072</v>
      </c>
      <c r="AD14" s="74">
        <f t="shared" si="9"/>
        <v>1.6181570563159076</v>
      </c>
      <c r="AE14" s="74">
        <f t="shared" si="9"/>
        <v>1.4342006955351132</v>
      </c>
      <c r="AF14" s="74">
        <f t="shared" si="9"/>
        <v>1.2638689140677584</v>
      </c>
      <c r="AG14" s="74">
        <f t="shared" si="9"/>
        <v>0.99657855620372415</v>
      </c>
      <c r="AH14" s="74">
        <f t="shared" si="9"/>
        <v>1.0576340286066859</v>
      </c>
      <c r="AI14" s="74">
        <f t="shared" si="9"/>
        <v>1.1292846926183531</v>
      </c>
      <c r="AJ14" s="74">
        <f t="shared" si="9"/>
        <v>1.0603486089297733</v>
      </c>
      <c r="AK14" s="74">
        <f t="shared" si="9"/>
        <v>0.99670553343055857</v>
      </c>
      <c r="AL14" s="74">
        <f t="shared" si="9"/>
        <v>0.96379606517837113</v>
      </c>
      <c r="AM14" s="74">
        <f t="shared" si="9"/>
        <v>0.86108323984743085</v>
      </c>
      <c r="AN14" s="74">
        <f t="shared" si="9"/>
        <v>0.78095523894996632</v>
      </c>
      <c r="AO14" s="74">
        <f t="shared" si="9"/>
        <v>0.84284271931792687</v>
      </c>
      <c r="AP14" s="74">
        <f t="shared" si="9"/>
        <v>0.8469797207763069</v>
      </c>
      <c r="AQ14" s="74">
        <f t="shared" si="9"/>
        <v>0.78454958492259352</v>
      </c>
      <c r="AR14" s="74">
        <f t="shared" si="9"/>
        <v>0.77484792180839124</v>
      </c>
      <c r="AS14" s="74">
        <f t="shared" si="9"/>
        <v>0.77640649540049345</v>
      </c>
      <c r="AT14" s="74">
        <f t="shared" si="9"/>
        <v>0.85167426239623056</v>
      </c>
      <c r="AU14" s="74">
        <f t="shared" si="9"/>
        <v>1.0292921247475877</v>
      </c>
      <c r="AV14" s="74">
        <f t="shared" ref="AV14:CA14" si="10">$F$14*(AV12+AV13)</f>
        <v>0.88586100516042177</v>
      </c>
      <c r="AW14" s="74">
        <f t="shared" si="10"/>
        <v>0.87036066861117334</v>
      </c>
      <c r="AX14" s="74">
        <f t="shared" si="10"/>
        <v>0.84070843616782587</v>
      </c>
      <c r="AY14" s="74">
        <f t="shared" si="10"/>
        <v>0.72670518285842478</v>
      </c>
      <c r="AZ14" s="74">
        <f t="shared" si="10"/>
        <v>0.72311083688579747</v>
      </c>
      <c r="BA14" s="74">
        <f t="shared" si="10"/>
        <v>0.72311083688579747</v>
      </c>
      <c r="BB14" s="74">
        <f t="shared" si="10"/>
        <v>0.73939701592999763</v>
      </c>
      <c r="BC14" s="74">
        <f t="shared" si="10"/>
        <v>0.73939701592999763</v>
      </c>
      <c r="BD14" s="74">
        <f t="shared" si="10"/>
        <v>0.75961465111061244</v>
      </c>
      <c r="BE14" s="74">
        <f t="shared" si="10"/>
        <v>0.75961465111061244</v>
      </c>
      <c r="BF14" s="74">
        <f t="shared" si="10"/>
        <v>0.75114583800762846</v>
      </c>
      <c r="BG14" s="74">
        <f t="shared" si="10"/>
        <v>0.75114583800762846</v>
      </c>
      <c r="BH14" s="74">
        <f t="shared" si="10"/>
        <v>0.75114583800762846</v>
      </c>
      <c r="BI14" s="74">
        <f t="shared" si="10"/>
        <v>0.78634675790890729</v>
      </c>
      <c r="BJ14" s="74">
        <f t="shared" si="10"/>
        <v>0.78634675790890729</v>
      </c>
      <c r="BK14" s="74">
        <f t="shared" si="10"/>
        <v>0.78634675790890729</v>
      </c>
      <c r="BL14" s="74">
        <f t="shared" si="10"/>
        <v>0.80426155485752726</v>
      </c>
      <c r="BM14" s="74">
        <f t="shared" si="10"/>
        <v>0.74400269239398698</v>
      </c>
      <c r="BN14" s="74">
        <f t="shared" si="10"/>
        <v>0.73097374915862667</v>
      </c>
      <c r="BO14" s="74">
        <f t="shared" si="10"/>
        <v>0.73097374915862667</v>
      </c>
      <c r="BP14" s="74">
        <f t="shared" si="10"/>
        <v>0.72232499439084585</v>
      </c>
      <c r="BQ14" s="74">
        <f t="shared" si="10"/>
        <v>0.72232499439084585</v>
      </c>
      <c r="BR14" s="74">
        <f t="shared" si="10"/>
        <v>0.73209670181736586</v>
      </c>
      <c r="BS14" s="74">
        <f t="shared" si="10"/>
        <v>0.73209670181736586</v>
      </c>
      <c r="BT14" s="74">
        <f t="shared" si="10"/>
        <v>0.73277092214494044</v>
      </c>
      <c r="BU14" s="74">
        <f t="shared" si="10"/>
        <v>0.72625645052726051</v>
      </c>
      <c r="BV14" s="74">
        <f t="shared" si="10"/>
        <v>0.73277092214494044</v>
      </c>
      <c r="BW14" s="74">
        <f t="shared" si="10"/>
        <v>0.73366950863809721</v>
      </c>
      <c r="BX14" s="74">
        <f t="shared" si="10"/>
        <v>0.77275633834417767</v>
      </c>
      <c r="BY14" s="74">
        <f t="shared" si="10"/>
        <v>0.77275633834417767</v>
      </c>
      <c r="BZ14" s="74">
        <f t="shared" si="10"/>
        <v>0.81543751402288533</v>
      </c>
      <c r="CA14" s="74">
        <f t="shared" si="10"/>
        <v>0.80892304240520529</v>
      </c>
      <c r="CB14" s="74">
        <f t="shared" ref="CB14:DG14" si="11">$F$14*(CB12+CB13)</f>
        <v>0.80892304240520529</v>
      </c>
      <c r="CC14" s="74">
        <f t="shared" si="11"/>
        <v>0.82325487996410129</v>
      </c>
      <c r="CD14" s="74">
        <f t="shared" si="11"/>
        <v>0.77635068431680487</v>
      </c>
      <c r="CE14" s="74">
        <f t="shared" si="11"/>
        <v>0.78286515593448491</v>
      </c>
      <c r="CF14" s="74">
        <f t="shared" si="11"/>
        <v>0.80240857078752503</v>
      </c>
      <c r="CG14" s="74">
        <f t="shared" si="11"/>
        <v>0.80510433026699568</v>
      </c>
      <c r="CH14" s="74">
        <f t="shared" si="11"/>
        <v>0.78556091541395556</v>
      </c>
      <c r="CI14" s="74">
        <f t="shared" si="11"/>
        <v>0.78522380525016811</v>
      </c>
      <c r="CJ14" s="74">
        <f t="shared" si="11"/>
        <v>0.79173827686784815</v>
      </c>
      <c r="CK14" s="74">
        <f t="shared" si="11"/>
        <v>0.79173827686784815</v>
      </c>
      <c r="CL14" s="74">
        <f t="shared" si="11"/>
        <v>0.79173827686784815</v>
      </c>
      <c r="CM14" s="74">
        <f t="shared" si="11"/>
        <v>0.79083969037469137</v>
      </c>
      <c r="CN14" s="74">
        <f t="shared" si="11"/>
        <v>0.79083969037469137</v>
      </c>
      <c r="CO14" s="74">
        <f t="shared" si="11"/>
        <v>0.79083969037469137</v>
      </c>
      <c r="CP14" s="74">
        <f t="shared" si="11"/>
        <v>0.79083969037469137</v>
      </c>
      <c r="CQ14" s="74">
        <f t="shared" si="11"/>
        <v>0.79083969037469137</v>
      </c>
      <c r="CR14" s="74">
        <f t="shared" si="11"/>
        <v>0.77455351133049122</v>
      </c>
      <c r="CS14" s="74">
        <f t="shared" si="11"/>
        <v>0.75736874579313429</v>
      </c>
      <c r="CT14" s="74">
        <f t="shared" si="11"/>
        <v>0.75541440430783036</v>
      </c>
      <c r="CU14" s="74">
        <f t="shared" si="11"/>
        <v>0.75541440430783036</v>
      </c>
      <c r="CV14" s="74">
        <f t="shared" si="11"/>
        <v>0.77365492483733445</v>
      </c>
      <c r="CW14" s="74">
        <f t="shared" si="11"/>
        <v>0.77185775185102079</v>
      </c>
      <c r="CX14" s="74">
        <f t="shared" si="11"/>
        <v>0.78814393089522095</v>
      </c>
      <c r="CY14" s="74">
        <f t="shared" si="11"/>
        <v>0.78814393089522095</v>
      </c>
      <c r="CZ14" s="74">
        <f t="shared" si="11"/>
        <v>0.78814393089522095</v>
      </c>
      <c r="DA14" s="74">
        <f t="shared" si="11"/>
        <v>0.7868410365716848</v>
      </c>
      <c r="DB14" s="74">
        <f t="shared" si="11"/>
        <v>0.78488669508638087</v>
      </c>
      <c r="DC14" s="74">
        <f t="shared" si="11"/>
        <v>0.8044301099394211</v>
      </c>
      <c r="DD14" s="74">
        <f t="shared" si="11"/>
        <v>0.8044301099394211</v>
      </c>
      <c r="DE14" s="74">
        <f t="shared" si="11"/>
        <v>0.7672976217186448</v>
      </c>
      <c r="DF14" s="74">
        <f t="shared" si="11"/>
        <v>0.77185775185102079</v>
      </c>
      <c r="DG14" s="74">
        <f t="shared" si="11"/>
        <v>0.77706932914516491</v>
      </c>
      <c r="DH14" s="74">
        <f t="shared" ref="DH14:EM14" si="12">$F$14*(DH12+DH13)</f>
        <v>0.76208604442450079</v>
      </c>
      <c r="DI14" s="74">
        <f t="shared" si="12"/>
        <v>0.76208604442450079</v>
      </c>
      <c r="DJ14" s="74">
        <f t="shared" si="12"/>
        <v>0.75265144716176791</v>
      </c>
      <c r="DK14" s="74">
        <f t="shared" si="12"/>
        <v>0.75265144716176791</v>
      </c>
      <c r="DL14" s="74">
        <f t="shared" si="12"/>
        <v>0.75590868297060798</v>
      </c>
      <c r="DM14" s="74">
        <f t="shared" si="12"/>
        <v>0.75590868297060798</v>
      </c>
      <c r="DN14" s="74">
        <f t="shared" si="12"/>
        <v>0.75703163562934705</v>
      </c>
      <c r="DO14" s="74">
        <f t="shared" si="12"/>
        <v>0.75051716401166702</v>
      </c>
      <c r="DP14" s="74">
        <f t="shared" si="12"/>
        <v>0.75051716401166702</v>
      </c>
      <c r="DQ14" s="74">
        <f t="shared" si="12"/>
        <v>0.75051716401166702</v>
      </c>
      <c r="DR14" s="74">
        <f t="shared" si="12"/>
        <v>0.75051716401166702</v>
      </c>
      <c r="DS14" s="74">
        <f t="shared" si="12"/>
        <v>0.75680726946376475</v>
      </c>
      <c r="DT14" s="74">
        <f t="shared" si="12"/>
        <v>0</v>
      </c>
      <c r="DU14" s="74">
        <f t="shared" si="12"/>
        <v>0</v>
      </c>
      <c r="DV14" s="74">
        <f t="shared" si="12"/>
        <v>0</v>
      </c>
      <c r="DW14" s="74">
        <f t="shared" si="12"/>
        <v>0</v>
      </c>
      <c r="DX14" s="74">
        <f t="shared" si="12"/>
        <v>0</v>
      </c>
      <c r="DY14" s="74">
        <f t="shared" si="12"/>
        <v>0</v>
      </c>
      <c r="DZ14" s="74">
        <f t="shared" si="12"/>
        <v>0</v>
      </c>
      <c r="EA14" s="74">
        <f t="shared" si="12"/>
        <v>0</v>
      </c>
      <c r="EB14" s="74">
        <f t="shared" si="12"/>
        <v>0</v>
      </c>
      <c r="EC14" s="74">
        <f t="shared" si="12"/>
        <v>0</v>
      </c>
      <c r="ED14" s="74">
        <f t="shared" si="12"/>
        <v>0</v>
      </c>
      <c r="EE14" s="74">
        <f t="shared" si="12"/>
        <v>0</v>
      </c>
      <c r="EF14" s="74">
        <f t="shared" si="12"/>
        <v>0</v>
      </c>
      <c r="EG14" s="74">
        <f t="shared" si="12"/>
        <v>0</v>
      </c>
      <c r="EH14" s="74">
        <f t="shared" si="12"/>
        <v>0</v>
      </c>
      <c r="EI14" s="74">
        <f t="shared" si="12"/>
        <v>0</v>
      </c>
      <c r="EJ14" s="74">
        <f t="shared" si="12"/>
        <v>0</v>
      </c>
      <c r="EK14" s="74">
        <f t="shared" si="12"/>
        <v>0</v>
      </c>
      <c r="EL14" s="74">
        <f t="shared" si="12"/>
        <v>0</v>
      </c>
      <c r="EM14" s="74">
        <f t="shared" si="12"/>
        <v>0</v>
      </c>
      <c r="EN14" s="74">
        <f t="shared" ref="EN14:FS14" si="13">$F$14*(EN12+EN13)</f>
        <v>0</v>
      </c>
      <c r="EO14" s="74">
        <f t="shared" si="13"/>
        <v>0</v>
      </c>
      <c r="EP14" s="74">
        <f t="shared" si="13"/>
        <v>0</v>
      </c>
      <c r="EQ14" s="74">
        <f t="shared" si="13"/>
        <v>0</v>
      </c>
      <c r="ER14" s="74">
        <f t="shared" si="13"/>
        <v>0</v>
      </c>
      <c r="ES14" s="74">
        <f t="shared" si="13"/>
        <v>0</v>
      </c>
      <c r="ET14" s="74">
        <f t="shared" si="13"/>
        <v>0</v>
      </c>
      <c r="EU14" s="74" t="e" vm="2">
        <f t="shared" si="13"/>
        <v>#VALUE!</v>
      </c>
      <c r="EV14" s="74" t="e" vm="2">
        <f t="shared" si="13"/>
        <v>#VALUE!</v>
      </c>
      <c r="EW14" s="74" t="e" vm="2">
        <f t="shared" si="13"/>
        <v>#VALUE!</v>
      </c>
      <c r="EX14" s="74" t="e" vm="2">
        <f t="shared" si="13"/>
        <v>#VALUE!</v>
      </c>
      <c r="EY14" s="74" t="e" vm="2">
        <f t="shared" si="13"/>
        <v>#VALUE!</v>
      </c>
      <c r="EZ14" s="74" t="e" vm="2">
        <f t="shared" si="13"/>
        <v>#VALUE!</v>
      </c>
      <c r="FA14" s="74" t="e" vm="2">
        <f t="shared" si="13"/>
        <v>#VALUE!</v>
      </c>
      <c r="FB14" s="74" t="e" vm="2">
        <f t="shared" si="13"/>
        <v>#VALUE!</v>
      </c>
      <c r="FC14" s="74" t="e" vm="2">
        <f t="shared" si="13"/>
        <v>#VALUE!</v>
      </c>
      <c r="FD14" s="74" t="e" vm="2">
        <f t="shared" si="13"/>
        <v>#VALUE!</v>
      </c>
      <c r="FE14" s="74" t="e" vm="2">
        <f t="shared" si="13"/>
        <v>#VALUE!</v>
      </c>
      <c r="FF14" s="74" t="e" vm="2">
        <f t="shared" si="13"/>
        <v>#VALUE!</v>
      </c>
      <c r="FG14" s="74" t="e" vm="2">
        <f t="shared" si="13"/>
        <v>#VALUE!</v>
      </c>
      <c r="FH14" s="74" t="e" vm="2">
        <f t="shared" si="13"/>
        <v>#VALUE!</v>
      </c>
      <c r="FI14" s="74" t="e" vm="2">
        <f t="shared" si="13"/>
        <v>#VALUE!</v>
      </c>
      <c r="FJ14" s="74" t="e" vm="2">
        <f t="shared" si="13"/>
        <v>#VALUE!</v>
      </c>
      <c r="FK14" s="74" t="e" vm="2">
        <f t="shared" si="13"/>
        <v>#VALUE!</v>
      </c>
      <c r="FL14" s="74" t="e" vm="2">
        <f t="shared" si="13"/>
        <v>#VALUE!</v>
      </c>
      <c r="FM14" s="74" t="e" vm="2">
        <f t="shared" si="13"/>
        <v>#VALUE!</v>
      </c>
      <c r="FN14" s="74" t="e" vm="2">
        <f t="shared" si="13"/>
        <v>#VALUE!</v>
      </c>
      <c r="FO14" s="74" t="e" vm="2">
        <f t="shared" si="13"/>
        <v>#VALUE!</v>
      </c>
      <c r="FP14" s="74" t="e" vm="2">
        <f t="shared" si="13"/>
        <v>#VALUE!</v>
      </c>
      <c r="FQ14" s="74" t="e" vm="2">
        <f t="shared" si="13"/>
        <v>#VALUE!</v>
      </c>
      <c r="FR14" s="74" t="e" vm="2">
        <f t="shared" si="13"/>
        <v>#VALUE!</v>
      </c>
      <c r="FS14" s="74" t="e" vm="2">
        <f t="shared" si="13"/>
        <v>#VALUE!</v>
      </c>
      <c r="FT14" s="74" t="e" vm="2">
        <f t="shared" ref="FT14:GH14" si="14">$F$14*(FT12+FT13)</f>
        <v>#VALUE!</v>
      </c>
      <c r="FU14" s="74" t="e" vm="2">
        <f t="shared" si="14"/>
        <v>#VALUE!</v>
      </c>
      <c r="FV14" s="74" t="e" vm="2">
        <f t="shared" si="14"/>
        <v>#VALUE!</v>
      </c>
      <c r="FW14" s="74" t="e" vm="2">
        <f t="shared" si="14"/>
        <v>#VALUE!</v>
      </c>
      <c r="FX14" s="74" t="e" vm="2">
        <f t="shared" si="14"/>
        <v>#VALUE!</v>
      </c>
      <c r="FY14" s="74" t="e" vm="2">
        <f t="shared" si="14"/>
        <v>#VALUE!</v>
      </c>
      <c r="FZ14" s="74" t="e" vm="2">
        <f t="shared" si="14"/>
        <v>#VALUE!</v>
      </c>
      <c r="GA14" s="74" t="e" vm="2">
        <f t="shared" si="14"/>
        <v>#VALUE!</v>
      </c>
      <c r="GB14" s="74" t="e" vm="2">
        <f t="shared" si="14"/>
        <v>#VALUE!</v>
      </c>
      <c r="GC14" s="74" t="e" vm="2">
        <f t="shared" si="14"/>
        <v>#VALUE!</v>
      </c>
      <c r="GD14" s="74" t="e" vm="2">
        <f t="shared" si="14"/>
        <v>#VALUE!</v>
      </c>
      <c r="GE14" s="74" t="e" vm="2">
        <f t="shared" si="14"/>
        <v>#VALUE!</v>
      </c>
      <c r="GF14" s="74" t="e" vm="2">
        <f t="shared" si="14"/>
        <v>#VALUE!</v>
      </c>
      <c r="GG14" s="74" t="e" vm="2">
        <f t="shared" si="14"/>
        <v>#VALUE!</v>
      </c>
      <c r="GH14" s="74" t="e" vm="2">
        <f t="shared" si="14"/>
        <v>#VALUE!</v>
      </c>
    </row>
    <row r="15" spans="1:190" ht="13">
      <c r="A15" s="67"/>
      <c r="B15" s="107" t="s">
        <v>444</v>
      </c>
      <c r="C15" s="60">
        <v>1</v>
      </c>
      <c r="D15" s="77">
        <v>17.03</v>
      </c>
      <c r="E15" s="60">
        <f>D15*C15</f>
        <v>17.03</v>
      </c>
      <c r="F15" s="65">
        <f>E15/$D$3</f>
        <v>0.19104778999326902</v>
      </c>
      <c r="I15" s="74">
        <f>$F$15*I10</f>
        <v>9.6718075629669678E-2</v>
      </c>
      <c r="J15" s="74">
        <f t="shared" ref="J15:BU15" si="15">$F$15*J10</f>
        <v>9.6679836152755924E-2</v>
      </c>
      <c r="K15" s="74">
        <f t="shared" si="15"/>
        <v>9.278466199825243E-2</v>
      </c>
      <c r="L15" s="74">
        <f>$F$15*L10</f>
        <v>8.9037653403177541E-2</v>
      </c>
      <c r="M15" s="74">
        <f t="shared" si="15"/>
        <v>9.0339568545014029E-2</v>
      </c>
      <c r="N15" s="74">
        <f t="shared" si="15"/>
        <v>8.4343953965946919E-2</v>
      </c>
      <c r="O15" s="74">
        <f t="shared" si="15"/>
        <v>8.2965433484052262E-2</v>
      </c>
      <c r="P15" s="74">
        <f t="shared" si="15"/>
        <v>8.1264550283185771E-2</v>
      </c>
      <c r="Q15" s="74">
        <f t="shared" si="15"/>
        <v>8.2597107587068674E-2</v>
      </c>
      <c r="R15" s="74">
        <f t="shared" si="15"/>
        <v>8.1954662656579386E-2</v>
      </c>
      <c r="S15" s="74">
        <f t="shared" si="15"/>
        <v>8.1165241277619843E-2</v>
      </c>
      <c r="T15" s="74">
        <f t="shared" si="15"/>
        <v>8.6116608662014649E-2</v>
      </c>
      <c r="U15" s="74">
        <f t="shared" si="15"/>
        <v>9.1000018479860584E-2</v>
      </c>
      <c r="V15" s="74">
        <f t="shared" si="15"/>
        <v>9.7098464694381229E-2</v>
      </c>
      <c r="W15" s="74">
        <f t="shared" si="15"/>
        <v>9.7098464694381229E-2</v>
      </c>
      <c r="X15" s="74">
        <f t="shared" si="15"/>
        <v>0.10193836707829909</v>
      </c>
      <c r="Y15" s="74">
        <f t="shared" si="15"/>
        <v>0.11345500156596862</v>
      </c>
      <c r="Z15" s="74">
        <f t="shared" si="15"/>
        <v>0.12118518979788316</v>
      </c>
      <c r="AA15" s="74">
        <f t="shared" si="15"/>
        <v>0.13868476190479057</v>
      </c>
      <c r="AB15" s="74">
        <f t="shared" si="15"/>
        <v>0.13925369443010685</v>
      </c>
      <c r="AC15" s="74">
        <f t="shared" si="15"/>
        <v>0.14302408596990035</v>
      </c>
      <c r="AD15" s="74">
        <f t="shared" si="15"/>
        <v>0.15124969768126459</v>
      </c>
      <c r="AE15" s="74">
        <f t="shared" si="15"/>
        <v>0.15682603016711499</v>
      </c>
      <c r="AF15" s="74">
        <f t="shared" si="15"/>
        <v>0.16165431117955834</v>
      </c>
      <c r="AG15" s="74">
        <f t="shared" si="15"/>
        <v>0.20183793265958422</v>
      </c>
      <c r="AH15" s="74">
        <f t="shared" si="15"/>
        <v>0.23037439547073257</v>
      </c>
      <c r="AI15" s="74">
        <f t="shared" si="15"/>
        <v>0.25374122153760925</v>
      </c>
      <c r="AJ15" s="74">
        <f t="shared" si="15"/>
        <v>0.24083149055480046</v>
      </c>
      <c r="AK15" s="74">
        <f t="shared" si="15"/>
        <v>0.21477777366082093</v>
      </c>
      <c r="AL15" s="74">
        <f t="shared" si="15"/>
        <v>0.21358735960898681</v>
      </c>
      <c r="AM15" s="74">
        <f t="shared" si="15"/>
        <v>0.20689181226513262</v>
      </c>
      <c r="AN15" s="74">
        <f t="shared" si="15"/>
        <v>0.20738272452156206</v>
      </c>
      <c r="AO15" s="74">
        <f t="shared" si="15"/>
        <v>0.20155200640787016</v>
      </c>
      <c r="AP15" s="74">
        <f t="shared" si="15"/>
        <v>0.20518543790102417</v>
      </c>
      <c r="AQ15" s="74">
        <f t="shared" si="15"/>
        <v>0.21751160141697587</v>
      </c>
      <c r="AR15" s="74">
        <f t="shared" si="15"/>
        <v>0.20665282691648623</v>
      </c>
      <c r="AS15" s="74">
        <f t="shared" si="15"/>
        <v>0.19058220378999027</v>
      </c>
      <c r="AT15" s="74">
        <f t="shared" si="15"/>
        <v>0.17680638466821411</v>
      </c>
      <c r="AU15" s="74">
        <f t="shared" si="15"/>
        <v>0.17215358507168216</v>
      </c>
      <c r="AV15" s="74">
        <f t="shared" si="15"/>
        <v>0.14284094761353086</v>
      </c>
      <c r="AW15" s="74">
        <f t="shared" si="15"/>
        <v>0.13493118829942655</v>
      </c>
      <c r="AX15" s="74">
        <f t="shared" si="15"/>
        <v>0.1181022701776572</v>
      </c>
      <c r="AY15" s="74">
        <f t="shared" si="15"/>
        <v>0.1181882252505667</v>
      </c>
      <c r="AZ15" s="74">
        <f t="shared" si="15"/>
        <v>0.11856214759864589</v>
      </c>
      <c r="BA15" s="74">
        <f t="shared" si="15"/>
        <v>0.11893844347725488</v>
      </c>
      <c r="BB15" s="74">
        <f t="shared" si="15"/>
        <v>0.11380186858339632</v>
      </c>
      <c r="BC15" s="74">
        <f t="shared" si="15"/>
        <v>0.11301873366739325</v>
      </c>
      <c r="BD15" s="74">
        <f t="shared" si="15"/>
        <v>0.11244854906510728</v>
      </c>
      <c r="BE15" s="74">
        <f t="shared" si="15"/>
        <v>0.11244854906510728</v>
      </c>
      <c r="BF15" s="74">
        <f t="shared" si="15"/>
        <v>0.11326487247029862</v>
      </c>
      <c r="BG15" s="74">
        <f t="shared" si="15"/>
        <v>0.11271934629343987</v>
      </c>
      <c r="BH15" s="74">
        <f t="shared" si="15"/>
        <v>0.10826194996001499</v>
      </c>
      <c r="BI15" s="74">
        <f t="shared" si="15"/>
        <v>0.11288245158169759</v>
      </c>
      <c r="BJ15" s="74">
        <f t="shared" si="15"/>
        <v>0.11243504335419387</v>
      </c>
      <c r="BK15" s="74">
        <f t="shared" si="15"/>
        <v>0.13085465068032123</v>
      </c>
      <c r="BL15" s="74">
        <f t="shared" si="15"/>
        <v>0.13080749585124726</v>
      </c>
      <c r="BM15" s="74">
        <f t="shared" si="15"/>
        <v>0.12641516421595037</v>
      </c>
      <c r="BN15" s="74">
        <f t="shared" si="15"/>
        <v>0.13308637784782129</v>
      </c>
      <c r="BO15" s="74">
        <f t="shared" si="15"/>
        <v>0.13315034630629177</v>
      </c>
      <c r="BP15" s="74">
        <f t="shared" si="15"/>
        <v>0.13319836301970914</v>
      </c>
      <c r="BQ15" s="74">
        <f t="shared" si="15"/>
        <v>0.13319836301970914</v>
      </c>
      <c r="BR15" s="74">
        <f t="shared" si="15"/>
        <v>0.13297458081854799</v>
      </c>
      <c r="BS15" s="74">
        <f t="shared" si="15"/>
        <v>0.13286297145814871</v>
      </c>
      <c r="BT15" s="74">
        <f t="shared" si="15"/>
        <v>0.12146752482777422</v>
      </c>
      <c r="BU15" s="74">
        <f t="shared" si="15"/>
        <v>0.12393777822725287</v>
      </c>
      <c r="BV15" s="74">
        <f t="shared" ref="BV15:EG15" si="16">$F$15*BV10</f>
        <v>0.12381877892026559</v>
      </c>
      <c r="BW15" s="74">
        <f t="shared" si="16"/>
        <v>0.12063999247830916</v>
      </c>
      <c r="BX15" s="74">
        <f t="shared" si="16"/>
        <v>0.12636955441527115</v>
      </c>
      <c r="BY15" s="74">
        <f t="shared" si="16"/>
        <v>0.12621775915471226</v>
      </c>
      <c r="BZ15" s="74">
        <f t="shared" si="16"/>
        <v>0.12880660052519943</v>
      </c>
      <c r="CA15" s="74">
        <f t="shared" si="16"/>
        <v>0.12889971373039835</v>
      </c>
      <c r="CB15" s="74">
        <f t="shared" si="16"/>
        <v>0.12888418551527603</v>
      </c>
      <c r="CC15" s="74">
        <f t="shared" si="16"/>
        <v>0.12905520192548933</v>
      </c>
      <c r="CD15" s="74">
        <f t="shared" si="16"/>
        <v>0.12905520192548933</v>
      </c>
      <c r="CE15" s="74">
        <f t="shared" si="16"/>
        <v>0.12243691498964035</v>
      </c>
      <c r="CF15" s="74">
        <f t="shared" si="16"/>
        <v>0.12234814970569426</v>
      </c>
      <c r="CG15" s="74">
        <f t="shared" si="16"/>
        <v>0.12161341424025052</v>
      </c>
      <c r="CH15" s="74">
        <f t="shared" si="16"/>
        <v>0.12142382623388005</v>
      </c>
      <c r="CI15" s="74">
        <f t="shared" si="16"/>
        <v>0.12168649044157263</v>
      </c>
      <c r="CJ15" s="74">
        <f t="shared" si="16"/>
        <v>0.12140926702210141</v>
      </c>
      <c r="CK15" s="74">
        <f t="shared" si="16"/>
        <v>0.12110432806653819</v>
      </c>
      <c r="CL15" s="74">
        <f t="shared" si="16"/>
        <v>0.12596054243142887</v>
      </c>
      <c r="CM15" s="74">
        <f t="shared" si="16"/>
        <v>0.12583986167221312</v>
      </c>
      <c r="CN15" s="74">
        <f t="shared" si="16"/>
        <v>0.12606632812993157</v>
      </c>
      <c r="CO15" s="74">
        <f t="shared" si="16"/>
        <v>0.11918998295920803</v>
      </c>
      <c r="CP15" s="74">
        <f t="shared" si="16"/>
        <v>0.11918998295920803</v>
      </c>
      <c r="CQ15" s="74">
        <f t="shared" si="16"/>
        <v>0.11918998295920803</v>
      </c>
      <c r="CR15" s="74">
        <f t="shared" si="16"/>
        <v>0.11842275693944437</v>
      </c>
      <c r="CS15" s="74">
        <f t="shared" si="16"/>
        <v>0.12370000790931086</v>
      </c>
      <c r="CT15" s="74">
        <f t="shared" si="16"/>
        <v>0.1235518641872638</v>
      </c>
      <c r="CU15" s="74">
        <f t="shared" si="16"/>
        <v>0.12820462839572275</v>
      </c>
      <c r="CV15" s="74">
        <f t="shared" si="16"/>
        <v>0.12817390966362843</v>
      </c>
      <c r="CW15" s="74">
        <f t="shared" si="16"/>
        <v>0.12805118180278954</v>
      </c>
      <c r="CX15" s="74">
        <f t="shared" si="16"/>
        <v>0.12553916905172993</v>
      </c>
      <c r="CY15" s="74">
        <f t="shared" si="16"/>
        <v>0.12549418905565266</v>
      </c>
      <c r="CZ15" s="74">
        <f t="shared" si="16"/>
        <v>0.12971678415266627</v>
      </c>
      <c r="DA15" s="74">
        <f t="shared" si="16"/>
        <v>0.12970133432129985</v>
      </c>
      <c r="DB15" s="74">
        <f t="shared" si="16"/>
        <v>0.12979408855323399</v>
      </c>
      <c r="DC15" s="74">
        <f t="shared" si="16"/>
        <v>0.12980956049131404</v>
      </c>
      <c r="DD15" s="74">
        <f t="shared" si="16"/>
        <v>0.11946175529593406</v>
      </c>
      <c r="DE15" s="74">
        <f t="shared" si="16"/>
        <v>0.11946175529593406</v>
      </c>
      <c r="DF15" s="74">
        <f t="shared" si="16"/>
        <v>0.11314747074260369</v>
      </c>
      <c r="DG15" s="74">
        <f t="shared" si="16"/>
        <v>0.11303927330464758</v>
      </c>
      <c r="DH15" s="74">
        <f t="shared" si="16"/>
        <v>0.11262195551586061</v>
      </c>
      <c r="DI15" s="74">
        <f t="shared" si="16"/>
        <v>0.11476047810943363</v>
      </c>
      <c r="DJ15" s="74">
        <f t="shared" si="16"/>
        <v>0.11476047810943363</v>
      </c>
      <c r="DK15" s="74">
        <f t="shared" si="16"/>
        <v>0.11474682914676601</v>
      </c>
      <c r="DL15" s="74">
        <f t="shared" si="16"/>
        <v>0.11469226574726683</v>
      </c>
      <c r="DM15" s="74">
        <f t="shared" si="16"/>
        <v>0.11431177007891097</v>
      </c>
      <c r="DN15" s="74">
        <f t="shared" si="16"/>
        <v>0.11788875139017431</v>
      </c>
      <c r="DO15" s="74">
        <f t="shared" si="16"/>
        <v>0.11738727495746178</v>
      </c>
      <c r="DP15" s="74">
        <f t="shared" si="16"/>
        <v>0.12181580658444358</v>
      </c>
      <c r="DQ15" s="74">
        <f t="shared" si="16"/>
        <v>0.12048870405092411</v>
      </c>
      <c r="DR15" s="74">
        <f t="shared" si="16"/>
        <v>0.12036100759114333</v>
      </c>
      <c r="DS15" s="74">
        <f t="shared" si="16"/>
        <v>0.11999362250105532</v>
      </c>
      <c r="DT15" s="74">
        <f t="shared" si="16"/>
        <v>0</v>
      </c>
      <c r="DU15" s="74">
        <f t="shared" si="16"/>
        <v>0</v>
      </c>
      <c r="DV15" s="74">
        <f t="shared" si="16"/>
        <v>0</v>
      </c>
      <c r="DW15" s="74">
        <f t="shared" si="16"/>
        <v>0</v>
      </c>
      <c r="DX15" s="74">
        <f t="shared" si="16"/>
        <v>0</v>
      </c>
      <c r="DY15" s="74">
        <f t="shared" si="16"/>
        <v>0</v>
      </c>
      <c r="DZ15" s="74">
        <f t="shared" si="16"/>
        <v>0</v>
      </c>
      <c r="EA15" s="74">
        <f t="shared" si="16"/>
        <v>0</v>
      </c>
      <c r="EB15" s="74">
        <f t="shared" si="16"/>
        <v>0</v>
      </c>
      <c r="EC15" s="74">
        <f t="shared" si="16"/>
        <v>0</v>
      </c>
      <c r="ED15" s="74">
        <f t="shared" si="16"/>
        <v>0</v>
      </c>
      <c r="EE15" s="74">
        <f t="shared" si="16"/>
        <v>0</v>
      </c>
      <c r="EF15" s="74">
        <f t="shared" si="16"/>
        <v>0</v>
      </c>
      <c r="EG15" s="74">
        <f t="shared" si="16"/>
        <v>0</v>
      </c>
      <c r="EH15" s="74">
        <f t="shared" ref="EH15:GH15" si="17">$F$15*EH10</f>
        <v>0</v>
      </c>
      <c r="EI15" s="74">
        <f t="shared" si="17"/>
        <v>0</v>
      </c>
      <c r="EJ15" s="74">
        <f t="shared" si="17"/>
        <v>0</v>
      </c>
      <c r="EK15" s="74">
        <f t="shared" si="17"/>
        <v>0</v>
      </c>
      <c r="EL15" s="74">
        <f t="shared" si="17"/>
        <v>0</v>
      </c>
      <c r="EM15" s="74">
        <f t="shared" si="17"/>
        <v>0</v>
      </c>
      <c r="EN15" s="74">
        <f t="shared" si="17"/>
        <v>0</v>
      </c>
      <c r="EO15" s="74">
        <f t="shared" si="17"/>
        <v>0</v>
      </c>
      <c r="EP15" s="74">
        <f t="shared" si="17"/>
        <v>0</v>
      </c>
      <c r="EQ15" s="74">
        <f t="shared" si="17"/>
        <v>0</v>
      </c>
      <c r="ER15" s="74">
        <f t="shared" si="17"/>
        <v>0</v>
      </c>
      <c r="ES15" s="74">
        <f t="shared" si="17"/>
        <v>0</v>
      </c>
      <c r="ET15" s="74">
        <f t="shared" si="17"/>
        <v>0</v>
      </c>
      <c r="EU15" s="74" t="e" vm="2">
        <f t="shared" si="17"/>
        <v>#VALUE!</v>
      </c>
      <c r="EV15" s="74" t="e" vm="2">
        <f t="shared" si="17"/>
        <v>#VALUE!</v>
      </c>
      <c r="EW15" s="74" t="e" vm="2">
        <f t="shared" si="17"/>
        <v>#VALUE!</v>
      </c>
      <c r="EX15" s="74" t="e" vm="2">
        <f t="shared" si="17"/>
        <v>#VALUE!</v>
      </c>
      <c r="EY15" s="74" t="e" vm="2">
        <f t="shared" si="17"/>
        <v>#VALUE!</v>
      </c>
      <c r="EZ15" s="74" t="e" vm="2">
        <f t="shared" si="17"/>
        <v>#VALUE!</v>
      </c>
      <c r="FA15" s="74" t="e" vm="2">
        <f t="shared" si="17"/>
        <v>#VALUE!</v>
      </c>
      <c r="FB15" s="74" t="e" vm="2">
        <f t="shared" si="17"/>
        <v>#VALUE!</v>
      </c>
      <c r="FC15" s="74" t="e" vm="2">
        <f t="shared" si="17"/>
        <v>#VALUE!</v>
      </c>
      <c r="FD15" s="74" t="e" vm="2">
        <f t="shared" si="17"/>
        <v>#VALUE!</v>
      </c>
      <c r="FE15" s="74" t="e" vm="2">
        <f t="shared" si="17"/>
        <v>#VALUE!</v>
      </c>
      <c r="FF15" s="74" t="e" vm="2">
        <f t="shared" si="17"/>
        <v>#VALUE!</v>
      </c>
      <c r="FG15" s="74" t="e" vm="2">
        <f t="shared" si="17"/>
        <v>#VALUE!</v>
      </c>
      <c r="FH15" s="74" t="e" vm="2">
        <f t="shared" si="17"/>
        <v>#VALUE!</v>
      </c>
      <c r="FI15" s="74" t="e" vm="2">
        <f t="shared" si="17"/>
        <v>#VALUE!</v>
      </c>
      <c r="FJ15" s="74" t="e" vm="2">
        <f t="shared" si="17"/>
        <v>#VALUE!</v>
      </c>
      <c r="FK15" s="74" t="e" vm="2">
        <f t="shared" si="17"/>
        <v>#VALUE!</v>
      </c>
      <c r="FL15" s="74" t="e" vm="2">
        <f t="shared" si="17"/>
        <v>#VALUE!</v>
      </c>
      <c r="FM15" s="74" t="e" vm="2">
        <f t="shared" si="17"/>
        <v>#VALUE!</v>
      </c>
      <c r="FN15" s="74" t="e" vm="2">
        <f t="shared" si="17"/>
        <v>#VALUE!</v>
      </c>
      <c r="FO15" s="74" t="e" vm="2">
        <f t="shared" si="17"/>
        <v>#VALUE!</v>
      </c>
      <c r="FP15" s="74" t="e" vm="2">
        <f t="shared" si="17"/>
        <v>#VALUE!</v>
      </c>
      <c r="FQ15" s="74" t="e" vm="2">
        <f t="shared" si="17"/>
        <v>#VALUE!</v>
      </c>
      <c r="FR15" s="74" t="e" vm="2">
        <f t="shared" si="17"/>
        <v>#VALUE!</v>
      </c>
      <c r="FS15" s="74" t="e" vm="2">
        <f t="shared" si="17"/>
        <v>#VALUE!</v>
      </c>
      <c r="FT15" s="74" t="e" vm="2">
        <f t="shared" si="17"/>
        <v>#VALUE!</v>
      </c>
      <c r="FU15" s="74" t="e" vm="2">
        <f t="shared" si="17"/>
        <v>#VALUE!</v>
      </c>
      <c r="FV15" s="74" t="e" vm="2">
        <f t="shared" si="17"/>
        <v>#VALUE!</v>
      </c>
      <c r="FW15" s="74" t="e" vm="2">
        <f t="shared" si="17"/>
        <v>#VALUE!</v>
      </c>
      <c r="FX15" s="74" t="e" vm="2">
        <f t="shared" si="17"/>
        <v>#VALUE!</v>
      </c>
      <c r="FY15" s="74" t="e" vm="2">
        <f t="shared" si="17"/>
        <v>#VALUE!</v>
      </c>
      <c r="FZ15" s="74" t="e" vm="2">
        <f t="shared" si="17"/>
        <v>#VALUE!</v>
      </c>
      <c r="GA15" s="74" t="e" vm="2">
        <f t="shared" si="17"/>
        <v>#VALUE!</v>
      </c>
      <c r="GB15" s="74" t="e" vm="2">
        <f t="shared" si="17"/>
        <v>#VALUE!</v>
      </c>
      <c r="GC15" s="74" t="e" vm="2">
        <f t="shared" si="17"/>
        <v>#VALUE!</v>
      </c>
      <c r="GD15" s="74" t="e" vm="2">
        <f t="shared" si="17"/>
        <v>#VALUE!</v>
      </c>
      <c r="GE15" s="74" t="e" vm="2">
        <f t="shared" si="17"/>
        <v>#VALUE!</v>
      </c>
      <c r="GF15" s="74" t="e" vm="2">
        <f t="shared" si="17"/>
        <v>#VALUE!</v>
      </c>
      <c r="GG15" s="74" t="e" vm="2">
        <f t="shared" si="17"/>
        <v>#VALUE!</v>
      </c>
      <c r="GH15" s="74" t="e" vm="2">
        <f t="shared" si="17"/>
        <v>#VALUE!</v>
      </c>
    </row>
    <row r="16" spans="1:190">
      <c r="A16" s="67"/>
      <c r="B16" s="100"/>
      <c r="D16" s="77"/>
      <c r="F16" s="65"/>
      <c r="I16" s="74"/>
      <c r="J16" s="74"/>
      <c r="K16" s="74"/>
      <c r="L16" s="74"/>
      <c r="M16" s="74"/>
      <c r="N16" s="74"/>
      <c r="O16" s="74"/>
      <c r="P16" s="74"/>
      <c r="Q16" s="74"/>
      <c r="R16" s="74"/>
      <c r="S16" s="74"/>
      <c r="T16" s="74"/>
      <c r="U16" s="74"/>
      <c r="V16" s="74"/>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c r="BM16" s="74"/>
      <c r="BN16" s="74"/>
      <c r="BO16" s="74"/>
      <c r="BP16" s="74"/>
      <c r="BQ16" s="74"/>
      <c r="BR16" s="74"/>
      <c r="BS16" s="74"/>
      <c r="BT16" s="74"/>
      <c r="BU16" s="74"/>
      <c r="BV16" s="74"/>
      <c r="BW16" s="74"/>
      <c r="BX16" s="74"/>
      <c r="BY16" s="74"/>
      <c r="BZ16" s="74"/>
      <c r="CA16" s="74"/>
      <c r="CB16" s="74"/>
      <c r="CC16" s="74"/>
      <c r="CD16" s="74"/>
      <c r="CE16" s="74"/>
      <c r="CF16" s="74"/>
      <c r="CG16" s="74"/>
      <c r="CH16" s="74"/>
      <c r="CI16" s="74"/>
      <c r="CJ16" s="74"/>
      <c r="CK16" s="74"/>
      <c r="CL16" s="74"/>
      <c r="CM16" s="74"/>
      <c r="CN16" s="74"/>
      <c r="CO16" s="74"/>
      <c r="CP16" s="74"/>
      <c r="CQ16" s="74"/>
      <c r="CR16" s="74"/>
    </row>
    <row r="17" spans="8:190" s="104" customFormat="1">
      <c r="H17" s="104" t="s">
        <v>799</v>
      </c>
      <c r="I17" s="105">
        <f>SUM(I14:I15)</f>
        <v>0.19106965741113702</v>
      </c>
      <c r="J17" s="105">
        <f t="shared" ref="J17:BU17" si="18">SUM(J14:J15)</f>
        <v>0.21259749376998724</v>
      </c>
      <c r="K17" s="105">
        <f t="shared" si="18"/>
        <v>0.19522352221813125</v>
      </c>
      <c r="L17" s="105">
        <f t="shared" si="18"/>
        <v>0.1645189188283514</v>
      </c>
      <c r="M17" s="105">
        <f t="shared" si="18"/>
        <v>0.15324062306599223</v>
      </c>
      <c r="N17" s="105">
        <f t="shared" si="18"/>
        <v>0.14454924900745467</v>
      </c>
      <c r="O17" s="105">
        <f t="shared" si="18"/>
        <v>0.14766366099134415</v>
      </c>
      <c r="P17" s="105">
        <f t="shared" si="18"/>
        <v>0.16034016168098697</v>
      </c>
      <c r="Q17" s="105">
        <f t="shared" si="18"/>
        <v>0.16526706495749721</v>
      </c>
      <c r="R17" s="105">
        <f t="shared" si="18"/>
        <v>0.16821896599963526</v>
      </c>
      <c r="S17" s="105">
        <f t="shared" si="18"/>
        <v>0.17821258253855768</v>
      </c>
      <c r="T17" s="105">
        <f t="shared" si="18"/>
        <v>0.19394698784083447</v>
      </c>
      <c r="U17" s="105">
        <f t="shared" si="18"/>
        <v>0.22039647349444438</v>
      </c>
      <c r="V17" s="105">
        <f t="shared" si="18"/>
        <v>0.22829209269527867</v>
      </c>
      <c r="W17" s="105">
        <f t="shared" si="18"/>
        <v>0.22469774672265136</v>
      </c>
      <c r="X17" s="105">
        <f>SUM(X14:X15)</f>
        <v>1.7127028947875205</v>
      </c>
      <c r="Y17" s="105">
        <f t="shared" si="18"/>
        <v>1.7261009798024503</v>
      </c>
      <c r="Z17" s="105">
        <f t="shared" si="18"/>
        <v>1.4060017704575194</v>
      </c>
      <c r="AA17" s="105">
        <f t="shared" si="18"/>
        <v>1.5162539788668725</v>
      </c>
      <c r="AB17" s="105">
        <f t="shared" si="18"/>
        <v>1.6191115023726688</v>
      </c>
      <c r="AC17" s="105">
        <f t="shared" si="18"/>
        <v>1.6699717245160075</v>
      </c>
      <c r="AD17" s="105">
        <f t="shared" si="18"/>
        <v>1.7694067539971721</v>
      </c>
      <c r="AE17" s="105">
        <f t="shared" si="18"/>
        <v>1.5910267257022281</v>
      </c>
      <c r="AF17" s="105">
        <f t="shared" si="18"/>
        <v>1.4255232252473167</v>
      </c>
      <c r="AG17" s="105">
        <f t="shared" si="18"/>
        <v>1.1984164888633084</v>
      </c>
      <c r="AH17" s="105">
        <f t="shared" si="18"/>
        <v>1.2880084240774186</v>
      </c>
      <c r="AI17" s="105">
        <f t="shared" si="18"/>
        <v>1.3830259141559624</v>
      </c>
      <c r="AJ17" s="105">
        <f t="shared" si="18"/>
        <v>1.3011800994845739</v>
      </c>
      <c r="AK17" s="105">
        <f t="shared" si="18"/>
        <v>1.2114833070913795</v>
      </c>
      <c r="AL17" s="105">
        <f t="shared" si="18"/>
        <v>1.177383424787358</v>
      </c>
      <c r="AM17" s="105">
        <f t="shared" si="18"/>
        <v>1.0679750521125635</v>
      </c>
      <c r="AN17" s="105">
        <f t="shared" si="18"/>
        <v>0.98833796347152836</v>
      </c>
      <c r="AO17" s="105">
        <f t="shared" si="18"/>
        <v>1.0443947257257971</v>
      </c>
      <c r="AP17" s="105">
        <f t="shared" si="18"/>
        <v>1.0521651586773311</v>
      </c>
      <c r="AQ17" s="105">
        <f t="shared" si="18"/>
        <v>1.0020611863395694</v>
      </c>
      <c r="AR17" s="105">
        <f t="shared" si="18"/>
        <v>0.98150074872487747</v>
      </c>
      <c r="AS17" s="105">
        <f t="shared" si="18"/>
        <v>0.96698869919048369</v>
      </c>
      <c r="AT17" s="105">
        <f t="shared" si="18"/>
        <v>1.0284806470644448</v>
      </c>
      <c r="AU17" s="105">
        <f t="shared" si="18"/>
        <v>1.2014457098192699</v>
      </c>
      <c r="AV17" s="105">
        <f t="shared" si="18"/>
        <v>1.0287019527739527</v>
      </c>
      <c r="AW17" s="105">
        <f t="shared" si="18"/>
        <v>1.0052918569106</v>
      </c>
      <c r="AX17" s="105">
        <f t="shared" si="18"/>
        <v>0.95881070634548304</v>
      </c>
      <c r="AY17" s="105">
        <f t="shared" si="18"/>
        <v>0.84489340810899149</v>
      </c>
      <c r="AZ17" s="105">
        <f t="shared" si="18"/>
        <v>0.84167298448444339</v>
      </c>
      <c r="BA17" s="105">
        <f t="shared" si="18"/>
        <v>0.84204928036305238</v>
      </c>
      <c r="BB17" s="105">
        <f t="shared" si="18"/>
        <v>0.85319888451339398</v>
      </c>
      <c r="BC17" s="105">
        <f t="shared" si="18"/>
        <v>0.85241574959739086</v>
      </c>
      <c r="BD17" s="105">
        <f t="shared" si="18"/>
        <v>0.8720632001757197</v>
      </c>
      <c r="BE17" s="105">
        <f t="shared" si="18"/>
        <v>0.8720632001757197</v>
      </c>
      <c r="BF17" s="105">
        <f t="shared" si="18"/>
        <v>0.86441071047792706</v>
      </c>
      <c r="BG17" s="105">
        <f t="shared" si="18"/>
        <v>0.86386518430106829</v>
      </c>
      <c r="BH17" s="105">
        <f t="shared" si="18"/>
        <v>0.8594077879676435</v>
      </c>
      <c r="BI17" s="105">
        <f t="shared" si="18"/>
        <v>0.89922920949060492</v>
      </c>
      <c r="BJ17" s="105">
        <f t="shared" si="18"/>
        <v>0.89878180126310114</v>
      </c>
      <c r="BK17" s="105">
        <f t="shared" si="18"/>
        <v>0.9172014085892285</v>
      </c>
      <c r="BL17" s="105">
        <f t="shared" si="18"/>
        <v>0.93506905070877455</v>
      </c>
      <c r="BM17" s="105">
        <f t="shared" si="18"/>
        <v>0.87041785660993731</v>
      </c>
      <c r="BN17" s="105">
        <f t="shared" si="18"/>
        <v>0.86406012700644796</v>
      </c>
      <c r="BO17" s="105">
        <f t="shared" si="18"/>
        <v>0.86412409546491842</v>
      </c>
      <c r="BP17" s="105">
        <f t="shared" si="18"/>
        <v>0.85552335741055496</v>
      </c>
      <c r="BQ17" s="105">
        <f t="shared" si="18"/>
        <v>0.85552335741055496</v>
      </c>
      <c r="BR17" s="105">
        <f t="shared" si="18"/>
        <v>0.86507128263591382</v>
      </c>
      <c r="BS17" s="105">
        <f t="shared" si="18"/>
        <v>0.8649596732755146</v>
      </c>
      <c r="BT17" s="105">
        <f t="shared" si="18"/>
        <v>0.85423844697271467</v>
      </c>
      <c r="BU17" s="105">
        <f t="shared" si="18"/>
        <v>0.85019422875451334</v>
      </c>
      <c r="BV17" s="105">
        <f t="shared" ref="BV17:EG17" si="19">SUM(BV14:BV15)</f>
        <v>0.85658970106520604</v>
      </c>
      <c r="BW17" s="105">
        <f t="shared" si="19"/>
        <v>0.85430950111640636</v>
      </c>
      <c r="BX17" s="105">
        <f t="shared" si="19"/>
        <v>0.89912589275944876</v>
      </c>
      <c r="BY17" s="105">
        <f t="shared" si="19"/>
        <v>0.8989740974988899</v>
      </c>
      <c r="BZ17" s="105">
        <f t="shared" si="19"/>
        <v>0.94424411454808477</v>
      </c>
      <c r="CA17" s="105">
        <f t="shared" si="19"/>
        <v>0.93782275613560362</v>
      </c>
      <c r="CB17" s="105">
        <f t="shared" si="19"/>
        <v>0.93780722792048132</v>
      </c>
      <c r="CC17" s="105">
        <f t="shared" si="19"/>
        <v>0.95231008188959065</v>
      </c>
      <c r="CD17" s="105">
        <f t="shared" si="19"/>
        <v>0.90540588624229423</v>
      </c>
      <c r="CE17" s="105">
        <f t="shared" si="19"/>
        <v>0.90530207092412529</v>
      </c>
      <c r="CF17" s="105">
        <f t="shared" si="19"/>
        <v>0.92475672049321933</v>
      </c>
      <c r="CG17" s="105">
        <f t="shared" si="19"/>
        <v>0.9267177445072462</v>
      </c>
      <c r="CH17" s="105">
        <f t="shared" si="19"/>
        <v>0.9069847416478356</v>
      </c>
      <c r="CI17" s="105">
        <f t="shared" si="19"/>
        <v>0.90691029569174075</v>
      </c>
      <c r="CJ17" s="105">
        <f t="shared" si="19"/>
        <v>0.91314754388994956</v>
      </c>
      <c r="CK17" s="105">
        <f t="shared" si="19"/>
        <v>0.91284260493438629</v>
      </c>
      <c r="CL17" s="105">
        <f t="shared" si="19"/>
        <v>0.91769881929927699</v>
      </c>
      <c r="CM17" s="105">
        <f t="shared" si="19"/>
        <v>0.91667955204690443</v>
      </c>
      <c r="CN17" s="105">
        <f t="shared" si="19"/>
        <v>0.91690601850462294</v>
      </c>
      <c r="CO17" s="105">
        <f t="shared" si="19"/>
        <v>0.91002967333389939</v>
      </c>
      <c r="CP17" s="105">
        <f t="shared" si="19"/>
        <v>0.91002967333389939</v>
      </c>
      <c r="CQ17" s="105">
        <f t="shared" si="19"/>
        <v>0.91002967333389939</v>
      </c>
      <c r="CR17" s="105">
        <f t="shared" si="19"/>
        <v>0.89297626826993559</v>
      </c>
      <c r="CS17" s="105">
        <f t="shared" si="19"/>
        <v>0.8810687537024452</v>
      </c>
      <c r="CT17" s="105">
        <f t="shared" si="19"/>
        <v>0.87896626849509418</v>
      </c>
      <c r="CU17" s="105">
        <f t="shared" si="19"/>
        <v>0.88361903270355313</v>
      </c>
      <c r="CV17" s="105">
        <f t="shared" si="19"/>
        <v>0.90182883450096285</v>
      </c>
      <c r="CW17" s="105">
        <f t="shared" si="19"/>
        <v>0.89990893365381031</v>
      </c>
      <c r="CX17" s="105">
        <f t="shared" si="19"/>
        <v>0.91368309994695085</v>
      </c>
      <c r="CY17" s="105">
        <f t="shared" si="19"/>
        <v>0.91363811995087363</v>
      </c>
      <c r="CZ17" s="105">
        <f t="shared" si="19"/>
        <v>0.91786071504788724</v>
      </c>
      <c r="DA17" s="105">
        <f t="shared" si="19"/>
        <v>0.91654237089298463</v>
      </c>
      <c r="DB17" s="105">
        <f t="shared" si="19"/>
        <v>0.91468078363961491</v>
      </c>
      <c r="DC17" s="105">
        <f t="shared" si="19"/>
        <v>0.93423967043073519</v>
      </c>
      <c r="DD17" s="105">
        <f t="shared" si="19"/>
        <v>0.92389186523535516</v>
      </c>
      <c r="DE17" s="105">
        <f t="shared" si="19"/>
        <v>0.88675937701457885</v>
      </c>
      <c r="DF17" s="105">
        <f t="shared" si="19"/>
        <v>0.88500522259362446</v>
      </c>
      <c r="DG17" s="105">
        <f t="shared" si="19"/>
        <v>0.89010860244981249</v>
      </c>
      <c r="DH17" s="105">
        <f t="shared" si="19"/>
        <v>0.87470799994036141</v>
      </c>
      <c r="DI17" s="105">
        <f t="shared" si="19"/>
        <v>0.87684652253393436</v>
      </c>
      <c r="DJ17" s="105">
        <f t="shared" si="19"/>
        <v>0.86741192527120159</v>
      </c>
      <c r="DK17" s="105">
        <f t="shared" si="19"/>
        <v>0.86739827630853394</v>
      </c>
      <c r="DL17" s="105">
        <f t="shared" si="19"/>
        <v>0.87060094871787486</v>
      </c>
      <c r="DM17" s="105">
        <f t="shared" si="19"/>
        <v>0.870220453049519</v>
      </c>
      <c r="DN17" s="105">
        <f t="shared" si="19"/>
        <v>0.87492038701952135</v>
      </c>
      <c r="DO17" s="105">
        <f t="shared" si="19"/>
        <v>0.86790443896912883</v>
      </c>
      <c r="DP17" s="105">
        <f t="shared" si="19"/>
        <v>0.87233297059611059</v>
      </c>
      <c r="DQ17" s="105">
        <f t="shared" si="19"/>
        <v>0.87100586806259117</v>
      </c>
      <c r="DR17" s="105">
        <f t="shared" si="19"/>
        <v>0.87087817160281034</v>
      </c>
      <c r="DS17" s="105">
        <f t="shared" si="19"/>
        <v>0.87680089196482003</v>
      </c>
      <c r="DT17" s="105">
        <f t="shared" si="19"/>
        <v>0</v>
      </c>
      <c r="DU17" s="105">
        <f t="shared" si="19"/>
        <v>0</v>
      </c>
      <c r="DV17" s="105">
        <f t="shared" si="19"/>
        <v>0</v>
      </c>
      <c r="DW17" s="105">
        <f t="shared" si="19"/>
        <v>0</v>
      </c>
      <c r="DX17" s="105">
        <f t="shared" si="19"/>
        <v>0</v>
      </c>
      <c r="DY17" s="105">
        <f t="shared" si="19"/>
        <v>0</v>
      </c>
      <c r="DZ17" s="105">
        <f t="shared" si="19"/>
        <v>0</v>
      </c>
      <c r="EA17" s="105">
        <f t="shared" si="19"/>
        <v>0</v>
      </c>
      <c r="EB17" s="105">
        <f t="shared" si="19"/>
        <v>0</v>
      </c>
      <c r="EC17" s="105">
        <f t="shared" si="19"/>
        <v>0</v>
      </c>
      <c r="ED17" s="105">
        <f t="shared" si="19"/>
        <v>0</v>
      </c>
      <c r="EE17" s="105">
        <f t="shared" si="19"/>
        <v>0</v>
      </c>
      <c r="EF17" s="105">
        <f t="shared" si="19"/>
        <v>0</v>
      </c>
      <c r="EG17" s="105">
        <f t="shared" si="19"/>
        <v>0</v>
      </c>
      <c r="EH17" s="105">
        <f t="shared" ref="EH17:GH17" si="20">SUM(EH14:EH15)</f>
        <v>0</v>
      </c>
      <c r="EI17" s="105">
        <f t="shared" si="20"/>
        <v>0</v>
      </c>
      <c r="EJ17" s="105">
        <f t="shared" si="20"/>
        <v>0</v>
      </c>
      <c r="EK17" s="105">
        <f t="shared" si="20"/>
        <v>0</v>
      </c>
      <c r="EL17" s="105">
        <f t="shared" si="20"/>
        <v>0</v>
      </c>
      <c r="EM17" s="105">
        <f t="shared" si="20"/>
        <v>0</v>
      </c>
      <c r="EN17" s="105">
        <f t="shared" si="20"/>
        <v>0</v>
      </c>
      <c r="EO17" s="105">
        <f t="shared" si="20"/>
        <v>0</v>
      </c>
      <c r="EP17" s="105">
        <f t="shared" si="20"/>
        <v>0</v>
      </c>
      <c r="EQ17" s="105">
        <f t="shared" si="20"/>
        <v>0</v>
      </c>
      <c r="ER17" s="105">
        <f t="shared" si="20"/>
        <v>0</v>
      </c>
      <c r="ES17" s="105">
        <f t="shared" si="20"/>
        <v>0</v>
      </c>
      <c r="ET17" s="105">
        <f t="shared" si="20"/>
        <v>0</v>
      </c>
      <c r="EU17" s="105" t="e" vm="2">
        <f t="shared" si="20"/>
        <v>#VALUE!</v>
      </c>
      <c r="EV17" s="105" t="e" vm="2">
        <f t="shared" si="20"/>
        <v>#VALUE!</v>
      </c>
      <c r="EW17" s="105" t="e" vm="2">
        <f t="shared" si="20"/>
        <v>#VALUE!</v>
      </c>
      <c r="EX17" s="105" t="e" vm="2">
        <f t="shared" si="20"/>
        <v>#VALUE!</v>
      </c>
      <c r="EY17" s="105" t="e" vm="2">
        <f t="shared" si="20"/>
        <v>#VALUE!</v>
      </c>
      <c r="EZ17" s="105" t="e" vm="2">
        <f t="shared" si="20"/>
        <v>#VALUE!</v>
      </c>
      <c r="FA17" s="105" t="e" vm="2">
        <f t="shared" si="20"/>
        <v>#VALUE!</v>
      </c>
      <c r="FB17" s="105" t="e" vm="2">
        <f t="shared" si="20"/>
        <v>#VALUE!</v>
      </c>
      <c r="FC17" s="105" t="e" vm="2">
        <f t="shared" si="20"/>
        <v>#VALUE!</v>
      </c>
      <c r="FD17" s="105" t="e" vm="2">
        <f t="shared" si="20"/>
        <v>#VALUE!</v>
      </c>
      <c r="FE17" s="105" t="e" vm="2">
        <f t="shared" si="20"/>
        <v>#VALUE!</v>
      </c>
      <c r="FF17" s="105" t="e" vm="2">
        <f t="shared" si="20"/>
        <v>#VALUE!</v>
      </c>
      <c r="FG17" s="105" t="e" vm="2">
        <f t="shared" si="20"/>
        <v>#VALUE!</v>
      </c>
      <c r="FH17" s="105" t="e" vm="2">
        <f t="shared" si="20"/>
        <v>#VALUE!</v>
      </c>
      <c r="FI17" s="105" t="e" vm="2">
        <f t="shared" si="20"/>
        <v>#VALUE!</v>
      </c>
      <c r="FJ17" s="105" t="e" vm="2">
        <f t="shared" si="20"/>
        <v>#VALUE!</v>
      </c>
      <c r="FK17" s="105" t="e" vm="2">
        <f t="shared" si="20"/>
        <v>#VALUE!</v>
      </c>
      <c r="FL17" s="105" t="e" vm="2">
        <f t="shared" si="20"/>
        <v>#VALUE!</v>
      </c>
      <c r="FM17" s="105" t="e" vm="2">
        <f t="shared" si="20"/>
        <v>#VALUE!</v>
      </c>
      <c r="FN17" s="105" t="e" vm="2">
        <f t="shared" si="20"/>
        <v>#VALUE!</v>
      </c>
      <c r="FO17" s="105" t="e" vm="2">
        <f t="shared" si="20"/>
        <v>#VALUE!</v>
      </c>
      <c r="FP17" s="105" t="e" vm="2">
        <f t="shared" si="20"/>
        <v>#VALUE!</v>
      </c>
      <c r="FQ17" s="105" t="e" vm="2">
        <f t="shared" si="20"/>
        <v>#VALUE!</v>
      </c>
      <c r="FR17" s="105" t="e" vm="2">
        <f t="shared" si="20"/>
        <v>#VALUE!</v>
      </c>
      <c r="FS17" s="105" t="e" vm="2">
        <f t="shared" si="20"/>
        <v>#VALUE!</v>
      </c>
      <c r="FT17" s="105" t="e" vm="2">
        <f t="shared" si="20"/>
        <v>#VALUE!</v>
      </c>
      <c r="FU17" s="105" t="e" vm="2">
        <f t="shared" si="20"/>
        <v>#VALUE!</v>
      </c>
      <c r="FV17" s="105" t="e" vm="2">
        <f t="shared" si="20"/>
        <v>#VALUE!</v>
      </c>
      <c r="FW17" s="105" t="e" vm="2">
        <f t="shared" si="20"/>
        <v>#VALUE!</v>
      </c>
      <c r="FX17" s="105" t="e" vm="2">
        <f t="shared" si="20"/>
        <v>#VALUE!</v>
      </c>
      <c r="FY17" s="105" t="e" vm="2">
        <f t="shared" si="20"/>
        <v>#VALUE!</v>
      </c>
      <c r="FZ17" s="105" t="e" vm="2">
        <f t="shared" si="20"/>
        <v>#VALUE!</v>
      </c>
      <c r="GA17" s="105" t="e" vm="2">
        <f t="shared" si="20"/>
        <v>#VALUE!</v>
      </c>
      <c r="GB17" s="105" t="e" vm="2">
        <f t="shared" si="20"/>
        <v>#VALUE!</v>
      </c>
      <c r="GC17" s="105" t="e" vm="2">
        <f t="shared" si="20"/>
        <v>#VALUE!</v>
      </c>
      <c r="GD17" s="105" t="e" vm="2">
        <f t="shared" si="20"/>
        <v>#VALUE!</v>
      </c>
      <c r="GE17" s="105" t="e" vm="2">
        <f t="shared" si="20"/>
        <v>#VALUE!</v>
      </c>
      <c r="GF17" s="105" t="e" vm="2">
        <f t="shared" si="20"/>
        <v>#VALUE!</v>
      </c>
      <c r="GG17" s="105" t="e" vm="2">
        <f t="shared" si="20"/>
        <v>#VALUE!</v>
      </c>
      <c r="GH17" s="105" t="e" vm="2">
        <f t="shared" si="20"/>
        <v>#VALUE!</v>
      </c>
    </row>
    <row r="18" spans="8:190" s="104" customFormat="1" hidden="1">
      <c r="H18" s="60"/>
      <c r="I18" s="105"/>
      <c r="J18" s="105"/>
      <c r="K18" s="105"/>
      <c r="L18" s="105"/>
      <c r="M18" s="105"/>
      <c r="N18" s="105"/>
      <c r="O18" s="105"/>
      <c r="P18" s="105"/>
      <c r="Q18" s="105"/>
      <c r="R18" s="105"/>
      <c r="S18" s="105"/>
      <c r="T18" s="105"/>
      <c r="U18" s="105"/>
      <c r="V18" s="105"/>
      <c r="W18" s="105"/>
      <c r="X18" s="105"/>
      <c r="Y18" s="105"/>
      <c r="Z18" s="105"/>
      <c r="AA18" s="105"/>
      <c r="AB18" s="105"/>
      <c r="AC18" s="105"/>
      <c r="AD18" s="105"/>
      <c r="AE18" s="105"/>
      <c r="AF18" s="105"/>
      <c r="AG18" s="105"/>
      <c r="AH18" s="105"/>
      <c r="AI18" s="105"/>
      <c r="AJ18" s="105"/>
      <c r="AK18" s="105"/>
      <c r="AL18" s="105"/>
      <c r="AM18" s="105"/>
      <c r="AN18" s="105"/>
      <c r="AO18" s="105"/>
      <c r="AP18" s="105"/>
      <c r="AQ18" s="105"/>
      <c r="AR18" s="105"/>
      <c r="AS18" s="105"/>
      <c r="AT18" s="105"/>
      <c r="AU18" s="105"/>
      <c r="AV18" s="105"/>
      <c r="AW18" s="105"/>
      <c r="AX18" s="105"/>
      <c r="AY18" s="105"/>
      <c r="AZ18" s="105"/>
      <c r="BA18" s="105"/>
      <c r="BB18" s="105"/>
      <c r="BC18" s="105"/>
      <c r="BD18" s="105"/>
      <c r="BE18" s="105"/>
      <c r="BF18" s="105"/>
      <c r="BG18" s="105"/>
      <c r="BH18" s="105"/>
      <c r="BI18" s="105"/>
      <c r="BJ18" s="105"/>
      <c r="BK18" s="105"/>
      <c r="BL18" s="105"/>
      <c r="BM18" s="105"/>
      <c r="BN18" s="105"/>
      <c r="BO18" s="105"/>
      <c r="BP18" s="105"/>
      <c r="BQ18" s="105"/>
      <c r="BR18" s="105"/>
      <c r="BS18" s="105"/>
      <c r="BT18" s="105"/>
      <c r="BU18" s="105"/>
      <c r="BV18" s="105"/>
      <c r="BW18" s="105"/>
      <c r="BX18" s="105"/>
      <c r="BY18" s="105"/>
      <c r="BZ18" s="105"/>
      <c r="CA18" s="105"/>
      <c r="CB18" s="105"/>
      <c r="CC18" s="105"/>
      <c r="CD18" s="105"/>
      <c r="CE18" s="105"/>
      <c r="CF18" s="105"/>
      <c r="CG18" s="105"/>
      <c r="CH18" s="105"/>
      <c r="CI18" s="105"/>
      <c r="CJ18" s="105"/>
      <c r="CK18" s="105"/>
      <c r="CL18" s="105"/>
      <c r="CM18" s="105"/>
      <c r="CN18" s="105"/>
      <c r="CO18" s="105"/>
      <c r="CP18" s="105"/>
      <c r="CQ18" s="105"/>
      <c r="CR18" s="105"/>
    </row>
    <row r="19" spans="8:190">
      <c r="H19" s="60" t="s">
        <v>429</v>
      </c>
      <c r="I19" s="74"/>
      <c r="J19" s="74"/>
      <c r="K19" s="74"/>
      <c r="L19" s="74"/>
      <c r="M19" s="74"/>
      <c r="N19" s="74"/>
      <c r="O19" s="74"/>
      <c r="P19" s="74"/>
      <c r="Q19" s="74"/>
      <c r="R19" s="74"/>
      <c r="S19" s="74"/>
      <c r="T19" s="74"/>
      <c r="U19" s="74"/>
      <c r="V19" s="74"/>
      <c r="W19" s="74"/>
      <c r="X19" s="74"/>
      <c r="Y19" s="74"/>
      <c r="Z19" s="74"/>
      <c r="AA19" s="74"/>
      <c r="AB19" s="74"/>
      <c r="AC19" s="74"/>
      <c r="AD19" s="74">
        <f>295/72</f>
        <v>4.0972222222222223</v>
      </c>
      <c r="AE19" s="74"/>
      <c r="AF19" s="74"/>
      <c r="AG19" s="74">
        <f>295/74</f>
        <v>3.9864864864864864</v>
      </c>
      <c r="AH19" s="74"/>
      <c r="AI19" s="74">
        <f>310/74</f>
        <v>4.1891891891891895</v>
      </c>
      <c r="AK19" s="74"/>
      <c r="AL19" s="74"/>
      <c r="AM19" s="74">
        <f>300/74</f>
        <v>4.0540540540540544</v>
      </c>
      <c r="AN19" s="74"/>
      <c r="AO19" s="74"/>
      <c r="AP19" s="74">
        <f>270/74</f>
        <v>3.6486486486486487</v>
      </c>
      <c r="AQ19" s="74"/>
      <c r="AR19" s="74">
        <f>260/74</f>
        <v>3.5135135135135136</v>
      </c>
      <c r="AS19" s="74"/>
      <c r="AT19" s="74"/>
      <c r="AU19" s="74"/>
      <c r="AV19" s="74"/>
      <c r="AW19" s="74"/>
      <c r="AX19" s="74"/>
      <c r="AY19" s="74"/>
      <c r="AZ19" s="74"/>
      <c r="BA19" s="74"/>
      <c r="BB19" s="74"/>
      <c r="BC19" s="74"/>
      <c r="BD19" s="74"/>
      <c r="BE19" s="74"/>
      <c r="BF19" s="74"/>
      <c r="BG19" s="74"/>
      <c r="BH19" s="74">
        <f>220/82.5</f>
        <v>2.6666666666666665</v>
      </c>
      <c r="BI19" s="74"/>
      <c r="BJ19" s="74"/>
      <c r="BK19" s="74"/>
      <c r="BL19" s="74">
        <f>215/82.5</f>
        <v>2.606060606060606</v>
      </c>
      <c r="BM19" s="74"/>
      <c r="BN19" s="74"/>
      <c r="BO19" s="74"/>
      <c r="BP19" s="74"/>
      <c r="BQ19" s="74"/>
      <c r="BR19" s="74"/>
      <c r="BS19" s="74"/>
      <c r="BT19" s="74"/>
      <c r="BU19" s="74">
        <f>215/82.5</f>
        <v>2.606060606060606</v>
      </c>
      <c r="BV19" s="74"/>
      <c r="BW19" s="74"/>
      <c r="BX19" s="74">
        <f>215/83.5</f>
        <v>2.5748502994011977</v>
      </c>
      <c r="BY19" s="74"/>
      <c r="BZ19" s="74"/>
      <c r="CA19" s="74"/>
      <c r="CB19" s="74"/>
      <c r="CC19" s="74"/>
      <c r="CD19" s="74"/>
      <c r="CE19" s="74"/>
      <c r="CF19" s="74"/>
      <c r="CG19" s="74"/>
      <c r="CH19" s="74"/>
      <c r="CI19" s="74">
        <f>205/83.5</f>
        <v>2.4550898203592815</v>
      </c>
      <c r="CJ19" s="74"/>
      <c r="CK19" s="74"/>
      <c r="CL19" s="74"/>
      <c r="CM19" s="74"/>
      <c r="CN19" s="74"/>
      <c r="CO19" s="74"/>
      <c r="CP19" s="74"/>
      <c r="CQ19" s="74"/>
      <c r="CR19" s="74">
        <f>205/83.5</f>
        <v>2.4550898203592815</v>
      </c>
    </row>
    <row r="20" spans="8:190">
      <c r="H20" s="60" t="s">
        <v>406</v>
      </c>
      <c r="I20" s="74"/>
      <c r="J20" s="74"/>
      <c r="K20" s="74"/>
      <c r="L20" s="74"/>
      <c r="M20" s="74"/>
      <c r="N20" s="74"/>
      <c r="O20" s="74"/>
      <c r="P20" s="74"/>
      <c r="Q20" s="74"/>
      <c r="R20" s="74"/>
      <c r="S20" s="74"/>
      <c r="T20" s="74"/>
      <c r="U20" s="74"/>
      <c r="V20" s="74"/>
      <c r="W20" s="74"/>
      <c r="X20" s="74"/>
      <c r="Y20" s="74"/>
      <c r="Z20" s="74"/>
      <c r="AA20" s="74"/>
      <c r="AB20" s="74"/>
      <c r="AC20" s="74"/>
      <c r="AD20" s="74">
        <f>AD19-AD17</f>
        <v>2.32781546822505</v>
      </c>
      <c r="AE20" s="74"/>
      <c r="AF20" s="74"/>
      <c r="AG20" s="74">
        <f>AG19-AG17</f>
        <v>2.788069997623178</v>
      </c>
      <c r="AH20" s="74"/>
      <c r="AI20" s="74">
        <f>AI19-AI17</f>
        <v>2.806163275033227</v>
      </c>
      <c r="AK20" s="74"/>
      <c r="AL20" s="74"/>
      <c r="AM20" s="74">
        <f>AM19-AM17</f>
        <v>2.9860790019414907</v>
      </c>
      <c r="AN20" s="74"/>
      <c r="AO20" s="74"/>
      <c r="AP20" s="74">
        <f>AP19-AP17</f>
        <v>2.5964834899713178</v>
      </c>
      <c r="AQ20" s="74"/>
      <c r="AR20" s="74">
        <f>AR19-AR17</f>
        <v>2.5320127647886359</v>
      </c>
      <c r="AS20" s="74"/>
      <c r="AT20" s="74"/>
      <c r="AU20" s="74"/>
      <c r="AV20" s="74"/>
      <c r="AW20" s="74"/>
      <c r="AX20" s="74"/>
      <c r="AY20" s="74"/>
      <c r="AZ20" s="74"/>
      <c r="BA20" s="74"/>
      <c r="BB20" s="74"/>
      <c r="BC20" s="74"/>
      <c r="BD20" s="74"/>
      <c r="BE20" s="74"/>
      <c r="BF20" s="74"/>
      <c r="BG20" s="74"/>
      <c r="BH20" s="74">
        <f>BH19-BH17</f>
        <v>1.8072588786990229</v>
      </c>
      <c r="BI20" s="74"/>
      <c r="BJ20" s="74"/>
      <c r="BK20" s="74"/>
      <c r="BL20" s="74">
        <f>BL19-BL17</f>
        <v>1.6709915553518315</v>
      </c>
      <c r="BM20" s="74"/>
      <c r="BN20" s="74"/>
      <c r="BO20" s="74"/>
      <c r="BP20" s="74"/>
      <c r="BQ20" s="74"/>
      <c r="BR20" s="74"/>
      <c r="BS20" s="74"/>
      <c r="BT20" s="74"/>
      <c r="BU20" s="74">
        <f>BU19-BU17</f>
        <v>1.7558663773060927</v>
      </c>
      <c r="BV20" s="74"/>
      <c r="BW20" s="74"/>
      <c r="BX20" s="74">
        <f>BX19-BX17</f>
        <v>1.6757244066417489</v>
      </c>
      <c r="BY20" s="74"/>
      <c r="BZ20" s="74"/>
      <c r="CA20" s="74"/>
      <c r="CB20" s="74"/>
      <c r="CC20" s="74"/>
      <c r="CD20" s="74"/>
      <c r="CE20" s="74"/>
      <c r="CF20" s="74"/>
      <c r="CG20" s="74"/>
      <c r="CH20" s="74"/>
      <c r="CI20" s="74">
        <f>CI19-CI17</f>
        <v>1.5481795246675407</v>
      </c>
      <c r="CJ20" s="74"/>
      <c r="CK20" s="74"/>
      <c r="CL20" s="74"/>
      <c r="CM20" s="74"/>
      <c r="CN20" s="74"/>
      <c r="CO20" s="74"/>
      <c r="CP20" s="74"/>
      <c r="CQ20" s="74"/>
      <c r="CR20" s="74">
        <f>CR19-CR17</f>
        <v>1.5621135520893459</v>
      </c>
    </row>
    <row r="22" spans="8:190" ht="13" thickBot="1"/>
    <row r="23" spans="8:190" s="73" customFormat="1" ht="13" thickBot="1">
      <c r="H23" s="257" t="s">
        <v>800</v>
      </c>
      <c r="I23" s="258">
        <f>+I17</f>
        <v>0.19106965741113702</v>
      </c>
      <c r="J23" s="258">
        <f t="shared" ref="J23:W23" si="21">+J17</f>
        <v>0.21259749376998724</v>
      </c>
      <c r="K23" s="258">
        <f t="shared" si="21"/>
        <v>0.19522352221813125</v>
      </c>
      <c r="L23" s="258">
        <f t="shared" si="21"/>
        <v>0.1645189188283514</v>
      </c>
      <c r="M23" s="258">
        <f t="shared" si="21"/>
        <v>0.15324062306599223</v>
      </c>
      <c r="N23" s="258">
        <f t="shared" si="21"/>
        <v>0.14454924900745467</v>
      </c>
      <c r="O23" s="258">
        <f t="shared" si="21"/>
        <v>0.14766366099134415</v>
      </c>
      <c r="P23" s="258">
        <f t="shared" si="21"/>
        <v>0.16034016168098697</v>
      </c>
      <c r="Q23" s="258">
        <f t="shared" si="21"/>
        <v>0.16526706495749721</v>
      </c>
      <c r="R23" s="258">
        <f t="shared" si="21"/>
        <v>0.16821896599963526</v>
      </c>
      <c r="S23" s="258">
        <f t="shared" si="21"/>
        <v>0.17821258253855768</v>
      </c>
      <c r="T23" s="258">
        <f t="shared" si="21"/>
        <v>0.19394698784083447</v>
      </c>
      <c r="U23" s="258">
        <f t="shared" si="21"/>
        <v>0.22039647349444438</v>
      </c>
      <c r="V23" s="258">
        <f t="shared" si="21"/>
        <v>0.22829209269527867</v>
      </c>
      <c r="W23" s="258">
        <f t="shared" si="21"/>
        <v>0.22469774672265136</v>
      </c>
      <c r="X23" s="258">
        <f>1.55+X17</f>
        <v>3.2627028947875205</v>
      </c>
      <c r="Y23" s="258">
        <f t="shared" ref="Y23:BG23" si="22">1.55+Y17</f>
        <v>3.2761009798024503</v>
      </c>
      <c r="Z23" s="258">
        <f t="shared" si="22"/>
        <v>2.9560017704575197</v>
      </c>
      <c r="AA23" s="258">
        <f t="shared" si="22"/>
        <v>3.0662539788668726</v>
      </c>
      <c r="AB23" s="258">
        <f t="shared" si="22"/>
        <v>3.1691115023726688</v>
      </c>
      <c r="AC23" s="258">
        <f t="shared" si="22"/>
        <v>3.2199717245160073</v>
      </c>
      <c r="AD23" s="258">
        <f t="shared" si="22"/>
        <v>3.3194067539971721</v>
      </c>
      <c r="AE23" s="258">
        <f>1.55+AE17</f>
        <v>3.1410267257022282</v>
      </c>
      <c r="AF23" s="258">
        <f t="shared" si="22"/>
        <v>2.9755232252473167</v>
      </c>
      <c r="AG23" s="258">
        <f t="shared" si="22"/>
        <v>2.7484164888633087</v>
      </c>
      <c r="AH23" s="258">
        <f t="shared" si="22"/>
        <v>2.8380084240774188</v>
      </c>
      <c r="AI23" s="258">
        <f t="shared" si="22"/>
        <v>2.9330259141559623</v>
      </c>
      <c r="AJ23" s="258">
        <f t="shared" si="22"/>
        <v>2.8511800994845737</v>
      </c>
      <c r="AK23" s="258">
        <f t="shared" si="22"/>
        <v>2.7614833070913796</v>
      </c>
      <c r="AL23" s="258">
        <f t="shared" si="22"/>
        <v>2.7273834247873578</v>
      </c>
      <c r="AM23" s="258">
        <f t="shared" si="22"/>
        <v>2.6179750521125635</v>
      </c>
      <c r="AN23" s="258">
        <f t="shared" si="22"/>
        <v>2.5383379634715286</v>
      </c>
      <c r="AO23" s="258">
        <f t="shared" si="22"/>
        <v>2.5943947257257971</v>
      </c>
      <c r="AP23" s="258">
        <f t="shared" si="22"/>
        <v>2.6021651586773311</v>
      </c>
      <c r="AQ23" s="258">
        <f t="shared" si="22"/>
        <v>2.5520611863395697</v>
      </c>
      <c r="AR23" s="258">
        <f t="shared" si="22"/>
        <v>2.5315007487248775</v>
      </c>
      <c r="AS23" s="258">
        <f t="shared" si="22"/>
        <v>2.5169886991904837</v>
      </c>
      <c r="AT23" s="258">
        <f t="shared" si="22"/>
        <v>2.5784806470644446</v>
      </c>
      <c r="AU23" s="258">
        <f t="shared" si="22"/>
        <v>2.7514457098192699</v>
      </c>
      <c r="AV23" s="258">
        <f t="shared" si="22"/>
        <v>2.5787019527739528</v>
      </c>
      <c r="AW23" s="258">
        <f t="shared" si="22"/>
        <v>2.5552918569105998</v>
      </c>
      <c r="AX23" s="258">
        <f t="shared" si="22"/>
        <v>2.508810706345483</v>
      </c>
      <c r="AY23" s="258">
        <f t="shared" si="22"/>
        <v>2.3948934081089917</v>
      </c>
      <c r="AZ23" s="258">
        <f t="shared" si="22"/>
        <v>2.3916729844844435</v>
      </c>
      <c r="BA23" s="258">
        <f>1.55+BA17</f>
        <v>2.3920492803630524</v>
      </c>
      <c r="BB23" s="258">
        <f t="shared" si="22"/>
        <v>2.4031988845133938</v>
      </c>
      <c r="BC23" s="258">
        <f t="shared" si="22"/>
        <v>2.4024157495973908</v>
      </c>
      <c r="BD23" s="258">
        <f t="shared" si="22"/>
        <v>2.4220632001757196</v>
      </c>
      <c r="BE23" s="258">
        <f t="shared" si="22"/>
        <v>2.4220632001757196</v>
      </c>
      <c r="BF23" s="258">
        <f t="shared" si="22"/>
        <v>2.4144107104779273</v>
      </c>
      <c r="BG23" s="258">
        <f t="shared" si="22"/>
        <v>2.4138651843010681</v>
      </c>
      <c r="BH23" s="258">
        <f>1.55+BH17</f>
        <v>2.4094077879676434</v>
      </c>
      <c r="BI23" s="258">
        <f>1.55+BI17</f>
        <v>2.4492292094906052</v>
      </c>
      <c r="BJ23" s="258">
        <f t="shared" ref="BJ23:BV23" si="23">1.55+BJ17</f>
        <v>2.4487818012631011</v>
      </c>
      <c r="BK23" s="258">
        <f t="shared" si="23"/>
        <v>2.4672014085892284</v>
      </c>
      <c r="BL23" s="258">
        <f t="shared" si="23"/>
        <v>2.4850690507087747</v>
      </c>
      <c r="BM23" s="258">
        <f t="shared" si="23"/>
        <v>2.4204178566099372</v>
      </c>
      <c r="BN23" s="258">
        <f t="shared" si="23"/>
        <v>2.4140601270064481</v>
      </c>
      <c r="BO23" s="258">
        <f t="shared" si="23"/>
        <v>2.4141240954649184</v>
      </c>
      <c r="BP23" s="258">
        <f>1.55+BP17</f>
        <v>2.405523357410555</v>
      </c>
      <c r="BQ23" s="258">
        <f t="shared" si="23"/>
        <v>2.405523357410555</v>
      </c>
      <c r="BR23" s="258">
        <f t="shared" si="23"/>
        <v>2.415071282635914</v>
      </c>
      <c r="BS23" s="258">
        <f t="shared" si="23"/>
        <v>2.4149596732755145</v>
      </c>
      <c r="BT23" s="258">
        <f t="shared" si="23"/>
        <v>2.4042384469727147</v>
      </c>
      <c r="BU23" s="258">
        <f t="shared" si="23"/>
        <v>2.4001942287545135</v>
      </c>
      <c r="BV23" s="258">
        <f t="shared" si="23"/>
        <v>2.4065897010652062</v>
      </c>
      <c r="BW23" s="258">
        <f>1.55+BW17</f>
        <v>2.4043095011164066</v>
      </c>
      <c r="BX23" s="258">
        <f t="shared" ref="BX23:EI23" si="24">1.55+BX17</f>
        <v>2.449125892759449</v>
      </c>
      <c r="BY23" s="258">
        <f t="shared" si="24"/>
        <v>2.4489740974988901</v>
      </c>
      <c r="BZ23" s="258">
        <f t="shared" si="24"/>
        <v>2.4942441145480849</v>
      </c>
      <c r="CA23" s="258">
        <f t="shared" si="24"/>
        <v>2.4878227561356034</v>
      </c>
      <c r="CB23" s="258">
        <f t="shared" si="24"/>
        <v>2.4878072279204813</v>
      </c>
      <c r="CC23" s="258">
        <f t="shared" si="24"/>
        <v>2.5023100818895907</v>
      </c>
      <c r="CD23" s="258">
        <f>1.55+CD17</f>
        <v>2.4554058862422945</v>
      </c>
      <c r="CE23" s="258">
        <f t="shared" si="24"/>
        <v>2.4553020709241253</v>
      </c>
      <c r="CF23" s="258">
        <f t="shared" si="24"/>
        <v>2.4747567204932195</v>
      </c>
      <c r="CG23" s="258">
        <f t="shared" si="24"/>
        <v>2.4767177445072464</v>
      </c>
      <c r="CH23" s="258">
        <f t="shared" si="24"/>
        <v>2.4569847416478359</v>
      </c>
      <c r="CI23" s="258">
        <f t="shared" si="24"/>
        <v>2.456910295691741</v>
      </c>
      <c r="CJ23" s="258">
        <f t="shared" si="24"/>
        <v>2.4631475438899497</v>
      </c>
      <c r="CK23" s="258">
        <f t="shared" si="24"/>
        <v>2.4628426049343863</v>
      </c>
      <c r="CL23" s="258">
        <f t="shared" si="24"/>
        <v>2.4676988192992768</v>
      </c>
      <c r="CM23" s="258">
        <f t="shared" si="24"/>
        <v>2.4666795520469043</v>
      </c>
      <c r="CN23" s="258">
        <f t="shared" si="24"/>
        <v>2.466906018504623</v>
      </c>
      <c r="CO23" s="258">
        <f t="shared" si="24"/>
        <v>2.4600296733338993</v>
      </c>
      <c r="CP23" s="258">
        <f t="shared" si="24"/>
        <v>2.4600296733338993</v>
      </c>
      <c r="CQ23" s="258">
        <f t="shared" si="24"/>
        <v>2.4600296733338993</v>
      </c>
      <c r="CR23" s="258">
        <f t="shared" si="24"/>
        <v>2.4429762682699359</v>
      </c>
      <c r="CS23" s="258">
        <f t="shared" si="24"/>
        <v>2.4310687537024451</v>
      </c>
      <c r="CT23" s="258">
        <f t="shared" si="24"/>
        <v>2.4289662684950941</v>
      </c>
      <c r="CU23" s="258">
        <f t="shared" si="24"/>
        <v>2.433619032703553</v>
      </c>
      <c r="CV23" s="258">
        <f t="shared" si="24"/>
        <v>2.4518288345009629</v>
      </c>
      <c r="CW23" s="258">
        <f t="shared" si="24"/>
        <v>2.4499089336538105</v>
      </c>
      <c r="CX23" s="258">
        <f t="shared" si="24"/>
        <v>2.4636830999469508</v>
      </c>
      <c r="CY23" s="258">
        <f t="shared" si="24"/>
        <v>2.4636381199508737</v>
      </c>
      <c r="CZ23" s="258">
        <f t="shared" si="24"/>
        <v>2.4678607150478875</v>
      </c>
      <c r="DA23" s="258">
        <f t="shared" si="24"/>
        <v>2.4665423708929848</v>
      </c>
      <c r="DB23" s="258">
        <f t="shared" si="24"/>
        <v>2.464680783639615</v>
      </c>
      <c r="DC23" s="258">
        <f t="shared" si="24"/>
        <v>2.4842396704307355</v>
      </c>
      <c r="DD23" s="258">
        <f t="shared" si="24"/>
        <v>2.4738918652353554</v>
      </c>
      <c r="DE23" s="258">
        <f t="shared" si="24"/>
        <v>2.436759377014579</v>
      </c>
      <c r="DF23" s="258">
        <f t="shared" si="24"/>
        <v>2.4350052225936247</v>
      </c>
      <c r="DG23" s="258">
        <f t="shared" si="24"/>
        <v>2.4401086024498126</v>
      </c>
      <c r="DH23" s="258">
        <f t="shared" si="24"/>
        <v>2.4247079999403613</v>
      </c>
      <c r="DI23" s="258">
        <f t="shared" si="24"/>
        <v>2.4268465225339346</v>
      </c>
      <c r="DJ23" s="258">
        <f t="shared" si="24"/>
        <v>2.4174119252712014</v>
      </c>
      <c r="DK23" s="258">
        <f t="shared" si="24"/>
        <v>2.4173982763085338</v>
      </c>
      <c r="DL23" s="258">
        <f t="shared" si="24"/>
        <v>2.4206009487178748</v>
      </c>
      <c r="DM23" s="258">
        <f t="shared" si="24"/>
        <v>2.4202204530495193</v>
      </c>
      <c r="DN23" s="258">
        <f t="shared" si="24"/>
        <v>2.4249203870195215</v>
      </c>
      <c r="DO23" s="258">
        <f t="shared" si="24"/>
        <v>2.4179044389691287</v>
      </c>
      <c r="DP23" s="258">
        <f t="shared" si="24"/>
        <v>2.4223329705961105</v>
      </c>
      <c r="DQ23" s="258">
        <f t="shared" si="24"/>
        <v>2.4210058680625912</v>
      </c>
      <c r="DR23" s="258">
        <f t="shared" si="24"/>
        <v>2.4208781716028103</v>
      </c>
      <c r="DS23" s="258">
        <f t="shared" si="24"/>
        <v>2.4268008919648203</v>
      </c>
      <c r="DT23" s="258">
        <f t="shared" si="24"/>
        <v>1.55</v>
      </c>
      <c r="DU23" s="258">
        <f t="shared" si="24"/>
        <v>1.55</v>
      </c>
      <c r="DV23" s="258">
        <f t="shared" si="24"/>
        <v>1.55</v>
      </c>
      <c r="DW23" s="258">
        <f t="shared" si="24"/>
        <v>1.55</v>
      </c>
      <c r="DX23" s="258">
        <f t="shared" si="24"/>
        <v>1.55</v>
      </c>
      <c r="DY23" s="258">
        <f t="shared" si="24"/>
        <v>1.55</v>
      </c>
      <c r="DZ23" s="258">
        <f t="shared" si="24"/>
        <v>1.55</v>
      </c>
      <c r="EA23" s="258">
        <f t="shared" si="24"/>
        <v>1.55</v>
      </c>
      <c r="EB23" s="258">
        <f t="shared" si="24"/>
        <v>1.55</v>
      </c>
      <c r="EC23" s="258">
        <f t="shared" si="24"/>
        <v>1.55</v>
      </c>
      <c r="ED23" s="258">
        <f t="shared" si="24"/>
        <v>1.55</v>
      </c>
      <c r="EE23" s="258">
        <f t="shared" si="24"/>
        <v>1.55</v>
      </c>
      <c r="EF23" s="258">
        <f t="shared" si="24"/>
        <v>1.55</v>
      </c>
      <c r="EG23" s="258">
        <f t="shared" si="24"/>
        <v>1.55</v>
      </c>
      <c r="EH23" s="258">
        <f t="shared" si="24"/>
        <v>1.55</v>
      </c>
      <c r="EI23" s="258">
        <f t="shared" si="24"/>
        <v>1.55</v>
      </c>
      <c r="EJ23" s="258">
        <f t="shared" ref="EJ23:GH23" si="25">1.55+EJ17</f>
        <v>1.55</v>
      </c>
      <c r="EK23" s="258">
        <f t="shared" si="25"/>
        <v>1.55</v>
      </c>
      <c r="EL23" s="258">
        <f t="shared" si="25"/>
        <v>1.55</v>
      </c>
      <c r="EM23" s="258">
        <f t="shared" si="25"/>
        <v>1.55</v>
      </c>
      <c r="EN23" s="258">
        <f t="shared" si="25"/>
        <v>1.55</v>
      </c>
      <c r="EO23" s="258">
        <f t="shared" si="25"/>
        <v>1.55</v>
      </c>
      <c r="EP23" s="258">
        <f t="shared" si="25"/>
        <v>1.55</v>
      </c>
      <c r="EQ23" s="258">
        <f t="shared" si="25"/>
        <v>1.55</v>
      </c>
      <c r="ER23" s="258">
        <f t="shared" si="25"/>
        <v>1.55</v>
      </c>
      <c r="ES23" s="258">
        <f t="shared" si="25"/>
        <v>1.55</v>
      </c>
      <c r="ET23" s="258">
        <f t="shared" si="25"/>
        <v>1.55</v>
      </c>
      <c r="EU23" s="258" t="e" vm="2">
        <f t="shared" si="25"/>
        <v>#VALUE!</v>
      </c>
      <c r="EV23" s="258" t="e" vm="2">
        <f t="shared" si="25"/>
        <v>#VALUE!</v>
      </c>
      <c r="EW23" s="258" t="e" vm="2">
        <f t="shared" si="25"/>
        <v>#VALUE!</v>
      </c>
      <c r="EX23" s="258" t="e" vm="2">
        <f t="shared" si="25"/>
        <v>#VALUE!</v>
      </c>
      <c r="EY23" s="258" t="e" vm="2">
        <f t="shared" si="25"/>
        <v>#VALUE!</v>
      </c>
      <c r="EZ23" s="258" t="e" vm="2">
        <f t="shared" si="25"/>
        <v>#VALUE!</v>
      </c>
      <c r="FA23" s="258" t="e" vm="2">
        <f t="shared" si="25"/>
        <v>#VALUE!</v>
      </c>
      <c r="FB23" s="258" t="e" vm="2">
        <f t="shared" si="25"/>
        <v>#VALUE!</v>
      </c>
      <c r="FC23" s="258" t="e" vm="2">
        <f t="shared" si="25"/>
        <v>#VALUE!</v>
      </c>
      <c r="FD23" s="258" t="e" vm="2">
        <f t="shared" si="25"/>
        <v>#VALUE!</v>
      </c>
      <c r="FE23" s="258" t="e" vm="2">
        <f t="shared" si="25"/>
        <v>#VALUE!</v>
      </c>
      <c r="FF23" s="258" t="e" vm="2">
        <f t="shared" si="25"/>
        <v>#VALUE!</v>
      </c>
      <c r="FG23" s="258" t="e" vm="2">
        <f t="shared" si="25"/>
        <v>#VALUE!</v>
      </c>
      <c r="FH23" s="258" t="e" vm="2">
        <f t="shared" si="25"/>
        <v>#VALUE!</v>
      </c>
      <c r="FI23" s="258" t="e" vm="2">
        <f t="shared" si="25"/>
        <v>#VALUE!</v>
      </c>
      <c r="FJ23" s="258" t="e" vm="2">
        <f t="shared" si="25"/>
        <v>#VALUE!</v>
      </c>
      <c r="FK23" s="258" t="e" vm="2">
        <f t="shared" si="25"/>
        <v>#VALUE!</v>
      </c>
      <c r="FL23" s="258" t="e" vm="2">
        <f t="shared" si="25"/>
        <v>#VALUE!</v>
      </c>
      <c r="FM23" s="258" t="e" vm="2">
        <f t="shared" si="25"/>
        <v>#VALUE!</v>
      </c>
      <c r="FN23" s="258" t="e" vm="2">
        <f t="shared" si="25"/>
        <v>#VALUE!</v>
      </c>
      <c r="FO23" s="258" t="e" vm="2">
        <f t="shared" si="25"/>
        <v>#VALUE!</v>
      </c>
      <c r="FP23" s="258" t="e" vm="2">
        <f t="shared" si="25"/>
        <v>#VALUE!</v>
      </c>
      <c r="FQ23" s="258" t="e" vm="2">
        <f t="shared" si="25"/>
        <v>#VALUE!</v>
      </c>
      <c r="FR23" s="258" t="e" vm="2">
        <f t="shared" si="25"/>
        <v>#VALUE!</v>
      </c>
      <c r="FS23" s="258" t="e" vm="2">
        <f t="shared" si="25"/>
        <v>#VALUE!</v>
      </c>
      <c r="FT23" s="258" t="e" vm="2">
        <f t="shared" si="25"/>
        <v>#VALUE!</v>
      </c>
      <c r="FU23" s="258" t="e" vm="2">
        <f t="shared" si="25"/>
        <v>#VALUE!</v>
      </c>
      <c r="FV23" s="258" t="e" vm="2">
        <f t="shared" si="25"/>
        <v>#VALUE!</v>
      </c>
      <c r="FW23" s="258" t="e" vm="2">
        <f t="shared" si="25"/>
        <v>#VALUE!</v>
      </c>
      <c r="FX23" s="258" t="e" vm="2">
        <f t="shared" si="25"/>
        <v>#VALUE!</v>
      </c>
      <c r="FY23" s="258" t="e" vm="2">
        <f t="shared" si="25"/>
        <v>#VALUE!</v>
      </c>
      <c r="FZ23" s="258" t="e" vm="2">
        <f t="shared" si="25"/>
        <v>#VALUE!</v>
      </c>
      <c r="GA23" s="258" t="e" vm="2">
        <f t="shared" si="25"/>
        <v>#VALUE!</v>
      </c>
      <c r="GB23" s="258" t="e" vm="2">
        <f t="shared" si="25"/>
        <v>#VALUE!</v>
      </c>
      <c r="GC23" s="258" t="e" vm="2">
        <f t="shared" si="25"/>
        <v>#VALUE!</v>
      </c>
      <c r="GD23" s="258" t="e" vm="2">
        <f t="shared" si="25"/>
        <v>#VALUE!</v>
      </c>
      <c r="GE23" s="258" t="e" vm="2">
        <f t="shared" si="25"/>
        <v>#VALUE!</v>
      </c>
      <c r="GF23" s="258" t="e" vm="2">
        <f t="shared" si="25"/>
        <v>#VALUE!</v>
      </c>
      <c r="GG23" s="258" t="e" vm="2">
        <f t="shared" si="25"/>
        <v>#VALUE!</v>
      </c>
      <c r="GH23" s="258" t="e" vm="2">
        <f t="shared" si="25"/>
        <v>#VALUE!</v>
      </c>
    </row>
  </sheetData>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CZ19"/>
  <sheetViews>
    <sheetView workbookViewId="0">
      <pane xSplit="11" ySplit="7" topLeftCell="AF8" activePane="bottomRight" state="frozen"/>
      <selection pane="topRight" activeCell="L1" sqref="L1"/>
      <selection pane="bottomLeft" activeCell="A7" sqref="A7"/>
      <selection pane="bottomRight" activeCell="AN9" sqref="AN9"/>
    </sheetView>
  </sheetViews>
  <sheetFormatPr baseColWidth="10" defaultColWidth="22.6640625" defaultRowHeight="12"/>
  <cols>
    <col min="1" max="1" width="16.1640625" style="60" bestFit="1" customWidth="1"/>
    <col min="2" max="2" width="11.33203125" style="60" bestFit="1" customWidth="1"/>
    <col min="3" max="3" width="4.83203125" style="60" bestFit="1" customWidth="1"/>
    <col min="4" max="4" width="12.33203125" style="60" bestFit="1" customWidth="1"/>
    <col min="5" max="5" width="18.83203125" style="60" bestFit="1" customWidth="1"/>
    <col min="6" max="6" width="6.5" style="60" bestFit="1" customWidth="1"/>
    <col min="7" max="7" width="4.1640625" style="60" bestFit="1" customWidth="1"/>
    <col min="8" max="8" width="22.83203125" style="60" bestFit="1" customWidth="1"/>
    <col min="9" max="9" width="6.5" style="60" customWidth="1"/>
    <col min="10" max="11" width="6.1640625" style="60" bestFit="1" customWidth="1"/>
    <col min="12" max="12" width="5.5" style="60" bestFit="1" customWidth="1"/>
    <col min="13" max="13" width="5.83203125" style="60" bestFit="1" customWidth="1"/>
    <col min="14" max="18" width="5.5" style="60" bestFit="1" customWidth="1"/>
    <col min="19" max="19" width="5.6640625" style="60" bestFit="1" customWidth="1"/>
    <col min="20" max="20" width="6.1640625" style="60" bestFit="1" customWidth="1"/>
    <col min="21" max="21" width="5.5" style="60" bestFit="1" customWidth="1"/>
    <col min="22" max="26" width="6.1640625" style="60" bestFit="1" customWidth="1"/>
    <col min="27" max="30" width="5.5" style="60" bestFit="1" customWidth="1"/>
    <col min="31" max="31" width="5.6640625" style="60" bestFit="1" customWidth="1"/>
    <col min="32" max="34" width="5.5" style="60" bestFit="1" customWidth="1"/>
    <col min="35" max="35" width="5.6640625" style="60" bestFit="1" customWidth="1"/>
    <col min="36" max="36" width="5.5" style="60" bestFit="1" customWidth="1"/>
    <col min="37" max="37" width="5.83203125" style="60" bestFit="1" customWidth="1"/>
    <col min="38" max="42" width="5.5" style="60" bestFit="1" customWidth="1"/>
    <col min="43" max="43" width="5.6640625" style="60" bestFit="1" customWidth="1"/>
    <col min="44" max="46" width="5.5" style="60" bestFit="1" customWidth="1"/>
    <col min="47" max="47" width="5.6640625" style="60" bestFit="1" customWidth="1"/>
    <col min="48" max="48" width="5.5" style="60" bestFit="1" customWidth="1"/>
    <col min="49" max="49" width="5.83203125" style="60" bestFit="1" customWidth="1"/>
    <col min="50" max="51" width="5.5" style="60" bestFit="1" customWidth="1"/>
    <col min="52" max="54" width="7" style="60" bestFit="1" customWidth="1"/>
    <col min="55" max="56" width="5.5" style="60" bestFit="1" customWidth="1"/>
    <col min="57" max="58" width="5.83203125" style="60" bestFit="1" customWidth="1"/>
    <col min="59" max="70" width="5.6640625" style="60" bestFit="1" customWidth="1"/>
    <col min="71" max="80" width="5.5" style="60" bestFit="1" customWidth="1"/>
    <col min="81" max="90" width="6.1640625" style="60" bestFit="1" customWidth="1"/>
    <col min="91" max="95" width="6.33203125" style="60" bestFit="1" customWidth="1"/>
    <col min="96" max="99" width="6.1640625" style="60" bestFit="1" customWidth="1"/>
    <col min="100" max="104" width="5.1640625" style="60" bestFit="1" customWidth="1"/>
    <col min="105" max="16384" width="22.6640625" style="60"/>
  </cols>
  <sheetData>
    <row r="1" spans="1:104" ht="13">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row>
    <row r="2" spans="1:104">
      <c r="A2" s="59"/>
      <c r="B2" s="59"/>
      <c r="C2" s="59"/>
      <c r="D2" s="98"/>
      <c r="E2" s="98"/>
      <c r="F2" s="59"/>
      <c r="H2" s="99"/>
      <c r="I2" s="99"/>
      <c r="J2" s="99"/>
      <c r="K2" s="99"/>
      <c r="L2" s="99"/>
      <c r="M2" s="99"/>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99"/>
      <c r="AP2" s="99"/>
      <c r="AQ2" s="99"/>
      <c r="AR2" s="99"/>
      <c r="AS2" s="99"/>
      <c r="AT2" s="99"/>
      <c r="AU2" s="99"/>
      <c r="AV2" s="99"/>
      <c r="AW2" s="99"/>
      <c r="AX2" s="99"/>
      <c r="AY2" s="99"/>
      <c r="AZ2" s="99"/>
      <c r="BA2" s="99"/>
      <c r="BB2" s="99"/>
      <c r="BC2" s="99"/>
      <c r="BD2" s="99"/>
      <c r="BE2" s="99"/>
      <c r="BF2" s="99"/>
      <c r="BG2" s="99"/>
      <c r="BH2" s="99"/>
      <c r="BI2" s="99"/>
      <c r="BJ2" s="99"/>
      <c r="BK2" s="99"/>
      <c r="BL2" s="99"/>
      <c r="BM2" s="99"/>
      <c r="BN2" s="99"/>
      <c r="BO2" s="99"/>
      <c r="BP2" s="99"/>
      <c r="BQ2" s="99"/>
      <c r="BR2" s="99"/>
      <c r="BS2" s="99"/>
      <c r="BT2" s="99"/>
      <c r="BU2" s="99"/>
      <c r="BV2" s="99"/>
      <c r="BW2" s="99"/>
      <c r="BX2" s="99"/>
      <c r="BY2" s="99"/>
      <c r="BZ2" s="99"/>
      <c r="CA2" s="99"/>
      <c r="CB2" s="99"/>
      <c r="CC2" s="99"/>
      <c r="CD2" s="99"/>
      <c r="CE2" s="99"/>
      <c r="CF2" s="99"/>
      <c r="CG2" s="99"/>
      <c r="CH2" s="99"/>
      <c r="CI2" s="99"/>
      <c r="CJ2" s="99"/>
      <c r="CK2" s="99"/>
      <c r="CL2" s="99"/>
      <c r="CM2" s="99"/>
      <c r="CN2" s="99"/>
    </row>
    <row r="3" spans="1:104">
      <c r="A3" s="334" t="s">
        <v>808</v>
      </c>
      <c r="B3" s="100"/>
      <c r="C3" s="101"/>
      <c r="D3" s="282">
        <v>60.05</v>
      </c>
      <c r="K3" s="102"/>
      <c r="M3" s="102"/>
    </row>
    <row r="4" spans="1:104">
      <c r="A4" s="36"/>
      <c r="B4" s="64"/>
      <c r="D4" s="100"/>
      <c r="E4" s="64"/>
      <c r="F4" s="103"/>
    </row>
    <row r="5" spans="1:104">
      <c r="A5" s="64"/>
      <c r="B5" s="64"/>
      <c r="D5" s="64"/>
      <c r="E5" s="64"/>
      <c r="H5" s="60" t="s">
        <v>387</v>
      </c>
    </row>
    <row r="6" spans="1:104">
      <c r="A6" s="74"/>
      <c r="B6" s="74"/>
    </row>
    <row r="7" spans="1:104">
      <c r="A7" s="59"/>
      <c r="B7" s="59"/>
      <c r="C7" s="59"/>
      <c r="D7" s="98"/>
      <c r="E7" s="98"/>
      <c r="F7" s="59"/>
      <c r="H7" s="59" t="s">
        <v>416</v>
      </c>
      <c r="I7" s="59">
        <v>43831</v>
      </c>
      <c r="J7" s="59">
        <v>43862</v>
      </c>
      <c r="K7" s="59">
        <v>43891</v>
      </c>
      <c r="L7" s="59">
        <v>43922</v>
      </c>
      <c r="M7" s="59">
        <v>43952</v>
      </c>
      <c r="N7" s="59">
        <v>43983</v>
      </c>
      <c r="O7" s="59">
        <v>44013</v>
      </c>
      <c r="P7" s="59">
        <v>44044</v>
      </c>
      <c r="Q7" s="59">
        <v>44075</v>
      </c>
      <c r="R7" s="59">
        <v>44105</v>
      </c>
      <c r="S7" s="59">
        <v>44136</v>
      </c>
      <c r="T7" s="59">
        <v>44166</v>
      </c>
      <c r="U7" s="59">
        <v>44197</v>
      </c>
      <c r="V7" s="59">
        <v>44228</v>
      </c>
      <c r="W7" s="59">
        <v>44256</v>
      </c>
      <c r="X7" s="59">
        <v>44287</v>
      </c>
      <c r="Y7" s="59">
        <v>44317</v>
      </c>
      <c r="Z7" s="59">
        <v>44348</v>
      </c>
      <c r="AA7" s="59">
        <v>44378</v>
      </c>
      <c r="AB7" s="59">
        <v>44409</v>
      </c>
      <c r="AC7" s="59">
        <v>44440</v>
      </c>
      <c r="AD7" s="59">
        <v>44470</v>
      </c>
      <c r="AE7" s="59">
        <v>44501</v>
      </c>
      <c r="AF7" s="59">
        <v>44531</v>
      </c>
      <c r="AG7" s="59">
        <v>44562</v>
      </c>
      <c r="AH7" s="59">
        <v>44593</v>
      </c>
      <c r="AI7" s="59">
        <v>44621</v>
      </c>
      <c r="AJ7" s="59">
        <v>44652</v>
      </c>
      <c r="AK7" s="59">
        <v>44682</v>
      </c>
      <c r="AL7" s="59">
        <v>44713</v>
      </c>
      <c r="AM7" s="59">
        <v>44743</v>
      </c>
      <c r="AN7" s="59">
        <v>44774</v>
      </c>
      <c r="AO7" s="59">
        <v>44805</v>
      </c>
      <c r="AP7" s="59">
        <v>44835</v>
      </c>
      <c r="AQ7" s="59">
        <v>44866</v>
      </c>
      <c r="AR7" s="59">
        <v>44896</v>
      </c>
      <c r="AS7" s="59">
        <v>44927</v>
      </c>
      <c r="AT7" s="59">
        <v>44958</v>
      </c>
      <c r="AU7" s="59">
        <v>44986</v>
      </c>
      <c r="AV7" s="59">
        <v>45017</v>
      </c>
      <c r="AW7" s="59">
        <v>45047</v>
      </c>
      <c r="AX7" s="59">
        <v>45078</v>
      </c>
      <c r="AY7" s="59">
        <v>45108</v>
      </c>
      <c r="AZ7" s="59" t="s">
        <v>530</v>
      </c>
      <c r="BA7" s="59" t="s">
        <v>531</v>
      </c>
      <c r="BB7" s="59" t="s">
        <v>532</v>
      </c>
      <c r="BC7" s="59">
        <v>37104</v>
      </c>
      <c r="BD7" s="59">
        <v>37469</v>
      </c>
      <c r="BE7" s="59" t="s">
        <v>168</v>
      </c>
      <c r="BF7" s="59" t="s">
        <v>169</v>
      </c>
      <c r="BG7" s="59" t="s">
        <v>195</v>
      </c>
      <c r="BH7" s="59" t="s">
        <v>196</v>
      </c>
      <c r="BI7" s="59" t="s">
        <v>197</v>
      </c>
      <c r="BJ7" s="59" t="s">
        <v>198</v>
      </c>
      <c r="BK7" s="59" t="s">
        <v>199</v>
      </c>
      <c r="BL7" s="59" t="s">
        <v>200</v>
      </c>
      <c r="BM7" s="59" t="s">
        <v>201</v>
      </c>
      <c r="BN7" s="59" t="s">
        <v>202</v>
      </c>
      <c r="BO7" s="59">
        <v>37196</v>
      </c>
      <c r="BP7" s="59">
        <v>37561</v>
      </c>
      <c r="BQ7" s="59">
        <v>37926</v>
      </c>
      <c r="BR7" s="59">
        <v>38292</v>
      </c>
      <c r="BS7" s="59">
        <v>37226</v>
      </c>
      <c r="BT7" s="59">
        <v>37591</v>
      </c>
      <c r="BU7" s="59">
        <v>37956</v>
      </c>
      <c r="BV7" s="59">
        <v>38322</v>
      </c>
      <c r="BW7" s="59">
        <v>36892</v>
      </c>
      <c r="BX7" s="59">
        <v>37257</v>
      </c>
      <c r="BY7" s="59">
        <v>37622</v>
      </c>
      <c r="BZ7" s="59">
        <v>37987</v>
      </c>
      <c r="CA7" s="59">
        <v>36923</v>
      </c>
      <c r="CB7" s="59">
        <v>37288</v>
      </c>
      <c r="CC7" s="59">
        <v>37653</v>
      </c>
      <c r="CD7" s="59">
        <v>38018</v>
      </c>
      <c r="CE7" s="59" t="str">
        <f>Sheet8!A15</f>
        <v>Mar-w1</v>
      </c>
      <c r="CF7" s="59">
        <v>37316</v>
      </c>
      <c r="CG7" s="59">
        <v>37681</v>
      </c>
      <c r="CH7" s="59">
        <v>38047</v>
      </c>
      <c r="CI7" s="59" t="str">
        <f>Sheet8!E15</f>
        <v>Apr-w1</v>
      </c>
      <c r="CJ7" s="59" t="str">
        <f>Sheet8!F15</f>
        <v>Apr-w2</v>
      </c>
      <c r="CK7" s="59" t="str">
        <f>Sheet8!G15</f>
        <v>Apr-w3</v>
      </c>
      <c r="CL7" s="59" t="str">
        <f>Sheet8!H15</f>
        <v>Apr-w4</v>
      </c>
      <c r="CM7" s="59" t="str">
        <f>Sheet8!I15</f>
        <v>May-w1</v>
      </c>
      <c r="CN7" s="59" t="str">
        <f>Sheet8!J15</f>
        <v>May-w2</v>
      </c>
      <c r="CO7" s="59" t="str">
        <f>Sheet8!K15</f>
        <v>May-w3</v>
      </c>
      <c r="CP7" s="59" t="str">
        <f>Sheet8!L15</f>
        <v>May-w4</v>
      </c>
      <c r="CQ7" s="59" t="str">
        <f>Sheet8!M15</f>
        <v>May-w5</v>
      </c>
      <c r="CR7" s="59" t="str">
        <f>Sheet8!N15</f>
        <v>june-w1</v>
      </c>
      <c r="CS7" s="59" t="str">
        <f>Sheet8!O15</f>
        <v>june-w2</v>
      </c>
      <c r="CT7" s="59" t="str">
        <f>Sheet8!P15</f>
        <v>june-w3</v>
      </c>
      <c r="CU7" s="59" t="str">
        <f>Sheet8!Q15</f>
        <v>june-w4</v>
      </c>
      <c r="CV7" s="59" t="str">
        <f>Sheet8!R15</f>
        <v>Jul-w1</v>
      </c>
      <c r="CW7" s="59" t="str">
        <f>Sheet8!S15</f>
        <v>Jul-w2</v>
      </c>
      <c r="CX7" s="59" t="str">
        <f>Sheet8!T15</f>
        <v>Jul-w3</v>
      </c>
      <c r="CY7" s="59" t="str">
        <f>Sheet8!U15</f>
        <v>Jul-w4</v>
      </c>
      <c r="CZ7" s="59" t="str">
        <f>Sheet8!V15</f>
        <v>Aug-w1</v>
      </c>
    </row>
    <row r="8" spans="1:104">
      <c r="H8" s="334" t="s">
        <v>809</v>
      </c>
      <c r="I8" s="74">
        <f>VLOOKUP($H$8&amp;$F$1,'Input RM sheet'!$A:$BD,H1,0)</f>
        <v>262.5</v>
      </c>
      <c r="J8" s="74">
        <f>VLOOKUP($H$8&amp;$F$1,'Input RM sheet'!$A:$BD,I1,0)</f>
        <v>322.5</v>
      </c>
      <c r="K8" s="74">
        <f>VLOOKUP($H$8&amp;$F$1,'Input RM sheet'!$A:$DD,J1,0)</f>
        <v>285</v>
      </c>
      <c r="L8" s="74">
        <f>VLOOKUP($H$8&amp;$F$1,'Input RM sheet'!$A:$DD,K1,0)</f>
        <v>210</v>
      </c>
      <c r="M8" s="74">
        <f>VLOOKUP($H$8&amp;$F$1,'Input RM sheet'!$A:$DD,L1,0)</f>
        <v>175</v>
      </c>
      <c r="N8" s="74">
        <f>VLOOKUP($H$8&amp;$F$1,'Input RM sheet'!$A:$DD,M1,0)</f>
        <v>167.5</v>
      </c>
      <c r="O8" s="74">
        <f>VLOOKUP($H$8&amp;$F$1,'Input RM sheet'!$A:$DD,N1,0)</f>
        <v>180</v>
      </c>
      <c r="P8" s="74">
        <f>VLOOKUP($H$8&amp;$F$1,'Input RM sheet'!$A:$DD,O1,0)</f>
        <v>220</v>
      </c>
      <c r="Q8" s="74">
        <f>VLOOKUP($H$8&amp;$F$1,'Input RM sheet'!$A:$DD,P1,0)</f>
        <v>230</v>
      </c>
      <c r="R8" s="74">
        <f>VLOOKUP($H$8&amp;$F$1,'Input RM sheet'!$A:$DD,Q1,0)</f>
        <v>240</v>
      </c>
      <c r="S8" s="74">
        <f>VLOOKUP($H$8&amp;$F$1,'Input RM sheet'!$A:$DD,R1,0)</f>
        <v>270</v>
      </c>
      <c r="T8" s="74">
        <f>VLOOKUP($H$8&amp;$F$1,'Input RM sheet'!$A:$DD,S1,0)</f>
        <v>300</v>
      </c>
      <c r="U8" s="74">
        <f>VLOOKUP($H$8&amp;$F$1,'Input RM sheet'!$A:$DD,T1,0)</f>
        <v>360</v>
      </c>
      <c r="V8" s="74">
        <f>VLOOKUP($H$8&amp;$F$1,'Input RM sheet'!$A:$DD,U1,0)</f>
        <v>365</v>
      </c>
      <c r="W8" s="74">
        <f>VLOOKUP($H$8&amp;$F$1,'Input RM sheet'!$A:$DD,V1,0)</f>
        <v>355</v>
      </c>
      <c r="X8" s="74">
        <f>VLOOKUP($H$8&amp;$F$1,'Input RM sheet'!$A:$DD,W1,0)</f>
        <v>340</v>
      </c>
      <c r="Y8" s="74">
        <f>VLOOKUP($H$8&amp;$F$1,'Input RM sheet'!$A:$DD,X1,0)</f>
        <v>347.5</v>
      </c>
      <c r="Z8" s="74">
        <f>VLOOKUP($H$8&amp;$F$1,'Input RM sheet'!$A:$DD,Y1,0)</f>
        <v>357.5</v>
      </c>
      <c r="AA8" s="74">
        <f>VLOOKUP($H$8&amp;$F$1,'Input RM sheet'!$A:$DD,Z1,0)</f>
        <v>360</v>
      </c>
      <c r="AB8" s="74">
        <f>VLOOKUP($H$8&amp;$F$1,'Input RM sheet'!$A:$DD,AA1,0)</f>
        <v>370</v>
      </c>
      <c r="AC8" s="74">
        <f>VLOOKUP($H$8&amp;$F$1,'Input RM sheet'!$A:$DD,AB1,0)</f>
        <v>390</v>
      </c>
      <c r="AD8" s="74">
        <f>VLOOKUP($H$8&amp;$F$1,'Input RM sheet'!$A:$DD,AC1,0)</f>
        <v>467.5</v>
      </c>
      <c r="AE8" s="74">
        <f>VLOOKUP($H$8&amp;$F$1,'Input RM sheet'!$A:$DD,AD1,0)</f>
        <v>392.5</v>
      </c>
      <c r="AF8" s="74">
        <f>VLOOKUP($H$8&amp;$F$1,'Input RM sheet'!$A:$DD,AE1,0)</f>
        <v>340</v>
      </c>
      <c r="AG8" s="74">
        <f>VLOOKUP($H$8&amp;$F$1,'Input RM sheet'!$A:$DD,AF1,0)</f>
        <v>310</v>
      </c>
      <c r="AH8" s="74">
        <f>VLOOKUP($H$8&amp;$F$1,'Input RM sheet'!$A:$DD,AG1,0)</f>
        <v>390</v>
      </c>
      <c r="AI8" s="74">
        <f>VLOOKUP($H$8&amp;$F$1,'Input RM sheet'!$A:$DD,AH1,0)</f>
        <v>430</v>
      </c>
      <c r="AJ8" s="74">
        <f>VLOOKUP($H$8&amp;$F$1,'Input RM sheet'!$A:$DD,AI1,0)</f>
        <v>390</v>
      </c>
      <c r="AK8" s="74">
        <f>VLOOKUP($H$8&amp;$F$1,'Input RM sheet'!$A:$DD,AJ1,0)</f>
        <v>350</v>
      </c>
      <c r="AL8" s="74">
        <f>VLOOKUP($H$8&amp;$F$1,'Input RM sheet'!$A:$DD,AK1,0)</f>
        <v>340</v>
      </c>
      <c r="AM8" s="74">
        <f>VLOOKUP($H$8&amp;$F$1,'Input RM sheet'!$A:$DD,AL1,0)</f>
        <v>315</v>
      </c>
      <c r="AN8" s="74">
        <f>VLOOKUP($H$8&amp;$F$1,'Input RM sheet'!$A:$DD,AM1,0)</f>
        <v>315</v>
      </c>
      <c r="AO8" s="74">
        <f>VLOOKUP($H$8&amp;$F$1,'Input RM sheet'!$A:$DD,AN1,0)</f>
        <v>315</v>
      </c>
      <c r="AP8" s="74">
        <f>VLOOKUP($H$8&amp;$F$1,'Input RM sheet'!$A:$DD,AO1,0)</f>
        <v>325</v>
      </c>
      <c r="AQ8" s="74">
        <f>VLOOKUP($H$8&amp;$F$1,'Input RM sheet'!$A:$DD,AP1,0)</f>
        <v>325</v>
      </c>
      <c r="AR8" s="74">
        <f>VLOOKUP($H$8&amp;$F$1,'Input RM sheet'!$A:$DD,AQ1,0)</f>
        <v>315</v>
      </c>
      <c r="AS8" s="74">
        <f>VLOOKUP($H$8&amp;$F$1,'Input RM sheet'!$A:$DD,AR1,0)</f>
        <v>325</v>
      </c>
      <c r="AT8" s="74">
        <f>VLOOKUP($H$8&amp;$F$1,'Input RM sheet'!$A:$DD,AS1,0)</f>
        <v>347.5</v>
      </c>
      <c r="AU8" s="74">
        <f>VLOOKUP($H$8&amp;$F$1,'Input RM sheet'!$A:$DD,AT1,0)</f>
        <v>362.5</v>
      </c>
      <c r="AV8" s="74">
        <f>VLOOKUP($H$8&amp;$F$1,'Input RM sheet'!$A:$DD,AU1,0)</f>
        <v>335</v>
      </c>
      <c r="AW8" s="74">
        <f>VLOOKUP($H$8&amp;$F$1,'Input RM sheet'!$A:$DD,AV1,0)</f>
        <v>310</v>
      </c>
      <c r="AX8" s="74">
        <f>VLOOKUP($H$8&amp;$F$1,'Input RM sheet'!$A:$DD,AW1,0)</f>
        <v>300</v>
      </c>
      <c r="AY8" s="74">
        <f>VLOOKUP($H$8&amp;$F$1,'Input RM sheet'!$A:$DD,AX1,0)</f>
        <v>300</v>
      </c>
      <c r="AZ8" s="74">
        <f>VLOOKUP($H$8&amp;$F$1,'Input RM sheet'!$A:$DD,AY1,0)</f>
        <v>290</v>
      </c>
      <c r="BA8" s="74">
        <f>VLOOKUP($H$8&amp;$F$1,'Input RM sheet'!$A:$DD,AZ1,0)</f>
        <v>290</v>
      </c>
      <c r="BB8" s="74">
        <f>VLOOKUP($H$8&amp;$F$1,'Input RM sheet'!$A:$DD,BA1,0)</f>
        <v>290</v>
      </c>
      <c r="BC8" s="74">
        <f>VLOOKUP($H$8&amp;$F$1,'Input RM sheet'!$A:$DD,BB1,0)</f>
        <v>290</v>
      </c>
      <c r="BD8" s="74">
        <f>VLOOKUP($H$8&amp;$F$1,'Input RM sheet'!$A:$DD,BC1,0)</f>
        <v>310</v>
      </c>
      <c r="BE8" s="74">
        <f>VLOOKUP($H$8&amp;$F$1,'Input RM sheet'!$A:$DD,BD1,0)</f>
        <v>310</v>
      </c>
      <c r="BF8" s="74">
        <f>VLOOKUP($H$8&amp;$F$1,'Input RM sheet'!$A:$DD,BE1,0)</f>
        <v>310</v>
      </c>
      <c r="BG8" s="74">
        <f>VLOOKUP($H$8&amp;$F$1,'Input RM sheet'!$A:$DD,BF1,0)</f>
        <v>310</v>
      </c>
      <c r="BH8" s="74">
        <f>VLOOKUP($H$8&amp;$F$1,'Input RM sheet'!$A:$DD,BG1,0)</f>
        <v>310</v>
      </c>
      <c r="BI8" s="74">
        <f>VLOOKUP($H$8&amp;$F$1,'Input RM sheet'!$A:$DD,BH1,0)</f>
        <v>330</v>
      </c>
      <c r="BJ8" s="74">
        <f>VLOOKUP($H$8&amp;$F$1,'Input RM sheet'!$A:$DD,BI1,0)</f>
        <v>330</v>
      </c>
      <c r="BK8" s="74">
        <f>VLOOKUP($H$8&amp;$F$1,'Input RM sheet'!$A:$DD,BJ1,0)</f>
        <v>330</v>
      </c>
      <c r="BL8" s="74">
        <f>VLOOKUP($H$8&amp;$F$1,'Input RM sheet'!$A:$DD,BK1,0)</f>
        <v>330</v>
      </c>
      <c r="BM8" s="74">
        <f>VLOOKUP($H$8&amp;$F$1,'Input RM sheet'!$A:$DD,BL1,0)</f>
        <v>330</v>
      </c>
      <c r="BN8" s="74">
        <f>VLOOKUP($H$8&amp;$F$1,'Input RM sheet'!$A:$DD,BM1,0)</f>
        <v>330</v>
      </c>
      <c r="BO8" s="74">
        <f>VLOOKUP($H$8&amp;$F$1,'Input RM sheet'!$A:$DD,BN1,0)</f>
        <v>330</v>
      </c>
      <c r="BP8" s="74">
        <f>VLOOKUP($H$8&amp;$F$1,'Input RM sheet'!$A:$DD,BO1,0)</f>
        <v>315</v>
      </c>
      <c r="BQ8" s="74">
        <f>VLOOKUP($H$8&amp;$F$1,'Input RM sheet'!$A:$DD,BP1,0)</f>
        <v>315</v>
      </c>
      <c r="BR8" s="74">
        <f>VLOOKUP($H$8&amp;$F$1,'Input RM sheet'!$A:$DD,BQ1,0)</f>
        <v>315</v>
      </c>
      <c r="BS8" s="74">
        <f>VLOOKUP($H$8&amp;$F$1,'Input RM sheet'!$A:$DD,BR1,0)</f>
        <v>315</v>
      </c>
      <c r="BT8" s="74">
        <f>VLOOKUP($H$8&amp;$F$1,'Input RM sheet'!$A:$DD,BS1,0)</f>
        <v>335</v>
      </c>
      <c r="BU8" s="74">
        <f>VLOOKUP($H$8&amp;$F$1,'Input RM sheet'!$A:$DD,BT1,0)</f>
        <v>335</v>
      </c>
      <c r="BV8" s="74">
        <f>VLOOKUP($H$8&amp;$F$1,'Input RM sheet'!$A:$DD,BU1,0)</f>
        <v>335</v>
      </c>
      <c r="BW8" s="74">
        <f>VLOOKUP($H$8&amp;$F$1,'Input RM sheet'!$A:$DD,BV1,0)</f>
        <v>337.5</v>
      </c>
      <c r="BX8" s="74">
        <f>VLOOKUP($H$8&amp;$F$1,'Input RM sheet'!$A:$DD,BW1,0)</f>
        <v>337.5</v>
      </c>
      <c r="BY8" s="74">
        <f>VLOOKUP($H$8&amp;$F$1,'Input RM sheet'!$A:$DD,BX1,0)</f>
        <v>337.5</v>
      </c>
      <c r="BZ8" s="74">
        <f>VLOOKUP($H$8&amp;$F$1,'Input RM sheet'!$A:$DD,BY1,0)</f>
        <v>347.5</v>
      </c>
      <c r="CA8" s="74">
        <f>VLOOKUP($H$8&amp;$F$1,'Input RM sheet'!$A:$DD,BZ1,0)</f>
        <v>347.5</v>
      </c>
      <c r="CB8" s="74">
        <f>VLOOKUP($H$8&amp;$F$1,'Input RM sheet'!$A:$DD,CA1,0)</f>
        <v>347.5</v>
      </c>
      <c r="CC8" s="74">
        <f>VLOOKUP($H$8&amp;$F$1,'Input RM sheet'!$A:$DD,CB1,0)</f>
        <v>347.5</v>
      </c>
      <c r="CD8" s="74">
        <f>VLOOKUP($H$8&amp;$F$1,'Input RM sheet'!$A:$DD,CC1,0)</f>
        <v>347.5</v>
      </c>
      <c r="CE8" s="74">
        <f>VLOOKUP($H$8&amp;$F$1,'Input RM sheet'!$A:$DD,CD1,0)</f>
        <v>347.5</v>
      </c>
      <c r="CF8" s="74">
        <f>VLOOKUP($H$8&amp;$F$1,'Input RM sheet'!$A:$DD,CE1,0)</f>
        <v>347.5</v>
      </c>
      <c r="CG8" s="74">
        <f>VLOOKUP($H$8&amp;$F$1,'Input RM sheet'!$A:$DD,CF1,0)</f>
        <v>355</v>
      </c>
      <c r="CH8" s="74">
        <f>VLOOKUP($H$8&amp;$F$1,'Input RM sheet'!$A:$DD,CG1,0)</f>
        <v>355</v>
      </c>
      <c r="CI8" s="74">
        <f>VLOOKUP($H$8&amp;$F$1,'Input RM sheet'!$A:$DD,CH1,0)</f>
        <v>345</v>
      </c>
      <c r="CJ8" s="74">
        <f>VLOOKUP($H$8&amp;$F$1,'Input RM sheet'!$A:$DD,CI1,0)</f>
        <v>345</v>
      </c>
      <c r="CK8" s="74">
        <f>VLOOKUP($H$8&amp;$F$1,'Input RM sheet'!$A:$DD,CJ1,0)</f>
        <v>345</v>
      </c>
      <c r="CL8" s="74">
        <f>VLOOKUP($H$8&amp;$F$1,'Input RM sheet'!$A:$DD,CK1,0)</f>
        <v>345</v>
      </c>
      <c r="CM8" s="74">
        <f>VLOOKUP($H$8&amp;$F$1,'Input RM sheet'!$A:$DD,CL1,0)</f>
        <v>342.5</v>
      </c>
      <c r="CN8" s="74">
        <f>VLOOKUP($H$8&amp;$F$1,'Input RM sheet'!$A:$DD,CM1,0)</f>
        <v>342.5</v>
      </c>
      <c r="CO8" s="74">
        <f>VLOOKUP($H$8&amp;$F$1,'Input RM sheet'!$A:$DD,CN1,0)</f>
        <v>342.5</v>
      </c>
      <c r="CP8" s="74">
        <f>VLOOKUP($H$8&amp;$F$1,'Input RM sheet'!$A:$DD,CO1,0)</f>
        <v>342.5</v>
      </c>
      <c r="CQ8" s="74">
        <f>VLOOKUP($H$8&amp;$F$1,'Input RM sheet'!$A:$DD,CP1,0)</f>
        <v>342.5</v>
      </c>
      <c r="CR8" s="74">
        <f>VLOOKUP($H$8&amp;$F$1,'Input RM sheet'!$A:$DD,CQ1,0)</f>
        <v>342.5</v>
      </c>
    </row>
    <row r="9" spans="1:104">
      <c r="H9" s="107"/>
      <c r="I9" s="74"/>
      <c r="J9" s="74"/>
      <c r="K9" s="74"/>
      <c r="L9" s="74"/>
      <c r="M9" s="74"/>
      <c r="N9" s="74"/>
      <c r="O9" s="74"/>
      <c r="P9" s="74"/>
      <c r="Q9" s="74"/>
      <c r="R9" s="74"/>
      <c r="S9" s="74"/>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74"/>
      <c r="BG9" s="74"/>
      <c r="BH9" s="74"/>
      <c r="BI9" s="74"/>
      <c r="BJ9" s="74"/>
      <c r="BK9" s="74"/>
      <c r="BL9" s="74"/>
      <c r="BM9" s="74"/>
      <c r="BN9" s="74"/>
      <c r="BO9" s="74"/>
      <c r="BP9" s="74"/>
      <c r="BQ9" s="74"/>
      <c r="BR9" s="74"/>
      <c r="BS9" s="74"/>
      <c r="BT9" s="74"/>
      <c r="BU9" s="74"/>
      <c r="BV9" s="74"/>
      <c r="BW9" s="74"/>
      <c r="BX9" s="74"/>
      <c r="BY9" s="74"/>
      <c r="BZ9" s="74"/>
      <c r="CA9" s="74"/>
      <c r="CB9" s="74"/>
      <c r="CC9" s="74"/>
      <c r="CD9" s="74"/>
      <c r="CE9" s="74"/>
      <c r="CF9" s="74"/>
      <c r="CG9" s="74"/>
      <c r="CH9" s="74"/>
      <c r="CI9" s="74"/>
      <c r="CJ9" s="74"/>
      <c r="CK9" s="74"/>
      <c r="CL9" s="74"/>
      <c r="CM9" s="74"/>
      <c r="CN9" s="74"/>
      <c r="CO9" s="74"/>
      <c r="CP9" s="74"/>
      <c r="CQ9" s="74"/>
      <c r="CR9" s="74"/>
    </row>
    <row r="10" spans="1:104" ht="13">
      <c r="A10" s="59" t="s">
        <v>395</v>
      </c>
      <c r="B10" s="59"/>
      <c r="C10" s="59" t="s">
        <v>379</v>
      </c>
      <c r="D10" s="98" t="s">
        <v>380</v>
      </c>
      <c r="E10" s="98" t="s">
        <v>381</v>
      </c>
      <c r="F10" s="59" t="s">
        <v>396</v>
      </c>
      <c r="I10" s="84"/>
      <c r="J10" s="84"/>
      <c r="K10" s="84"/>
      <c r="L10" s="84"/>
      <c r="M10" s="84"/>
      <c r="N10" s="84"/>
      <c r="O10" s="84"/>
      <c r="P10" s="84"/>
      <c r="Q10" s="84"/>
      <c r="R10" s="84"/>
      <c r="S10" s="84"/>
      <c r="T10" s="84"/>
      <c r="U10" s="84"/>
      <c r="V10" s="84"/>
      <c r="W10" s="84"/>
      <c r="X10" s="84"/>
      <c r="Y10" s="84"/>
      <c r="Z10" s="84"/>
      <c r="AA10" s="84"/>
      <c r="AB10" s="84"/>
      <c r="AC10" s="84"/>
      <c r="AD10" s="84"/>
      <c r="AE10" s="84"/>
      <c r="AF10" s="84"/>
      <c r="AG10" s="84"/>
      <c r="AH10" s="84"/>
      <c r="AI10" s="84"/>
      <c r="AJ10" s="84"/>
      <c r="AK10" s="84"/>
      <c r="AL10" s="84"/>
      <c r="AM10" s="84"/>
      <c r="AN10" s="84"/>
      <c r="AO10" s="84"/>
      <c r="AP10" s="84"/>
      <c r="AQ10" s="84"/>
      <c r="AR10" s="84"/>
      <c r="AS10" s="84"/>
      <c r="AT10" s="84"/>
      <c r="AU10" s="84"/>
      <c r="AV10" s="84"/>
      <c r="AW10" s="84"/>
      <c r="AX10" s="84"/>
      <c r="AY10" s="84"/>
      <c r="AZ10" s="84"/>
      <c r="BA10" s="84"/>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84"/>
      <c r="CE10" s="84"/>
      <c r="CF10" s="84"/>
      <c r="CG10" s="84"/>
      <c r="CH10" s="84"/>
      <c r="CI10" s="84"/>
      <c r="CJ10" s="84"/>
      <c r="CK10" s="84"/>
      <c r="CL10" s="84"/>
      <c r="CM10" s="84"/>
      <c r="CN10" s="84"/>
      <c r="CO10" s="84"/>
      <c r="CP10" s="84"/>
      <c r="CQ10" s="84"/>
      <c r="CR10" s="84"/>
    </row>
    <row r="11" spans="1:104" ht="13">
      <c r="A11" s="107" t="s">
        <v>397</v>
      </c>
      <c r="B11" s="334" t="s">
        <v>809</v>
      </c>
      <c r="C11" s="60">
        <v>1</v>
      </c>
      <c r="D11" s="77">
        <v>32.04</v>
      </c>
      <c r="E11" s="60">
        <f>D11*C11</f>
        <v>32.04</v>
      </c>
      <c r="F11" s="65">
        <f>E11/D3</f>
        <v>0.53355537052456292</v>
      </c>
      <c r="H11" s="60" t="s">
        <v>399</v>
      </c>
      <c r="I11" s="74">
        <f>$F$11*(I8/1000)</f>
        <v>0.14005828476269777</v>
      </c>
      <c r="J11" s="74">
        <f t="shared" ref="J11:BU11" si="0">$F$11*(J8/1000)</f>
        <v>0.17207160699417154</v>
      </c>
      <c r="K11" s="74">
        <f t="shared" si="0"/>
        <v>0.15206328059950042</v>
      </c>
      <c r="L11" s="74">
        <f t="shared" si="0"/>
        <v>0.11204662781015821</v>
      </c>
      <c r="M11" s="74">
        <f t="shared" si="0"/>
        <v>9.33721898417985E-2</v>
      </c>
      <c r="N11" s="74">
        <f t="shared" si="0"/>
        <v>8.937052456286429E-2</v>
      </c>
      <c r="O11" s="74">
        <f t="shared" si="0"/>
        <v>9.6039966694421317E-2</v>
      </c>
      <c r="P11" s="74">
        <f t="shared" si="0"/>
        <v>0.11738218151540385</v>
      </c>
      <c r="Q11" s="74">
        <f t="shared" si="0"/>
        <v>0.12271773522064948</v>
      </c>
      <c r="R11" s="74">
        <f t="shared" si="0"/>
        <v>0.1280532889258951</v>
      </c>
      <c r="S11" s="74">
        <f t="shared" si="0"/>
        <v>0.144059950041632</v>
      </c>
      <c r="T11" s="74">
        <f t="shared" si="0"/>
        <v>0.16006661115736887</v>
      </c>
      <c r="U11" s="74">
        <f t="shared" si="0"/>
        <v>0.19207993338884263</v>
      </c>
      <c r="V11" s="74">
        <f t="shared" si="0"/>
        <v>0.19474771024146545</v>
      </c>
      <c r="W11" s="74">
        <f t="shared" si="0"/>
        <v>0.18941215653621982</v>
      </c>
      <c r="X11" s="74">
        <f t="shared" si="0"/>
        <v>0.1814088259783514</v>
      </c>
      <c r="Y11" s="74">
        <f t="shared" si="0"/>
        <v>0.18541049125728559</v>
      </c>
      <c r="Z11" s="74">
        <f t="shared" si="0"/>
        <v>0.19074604496253122</v>
      </c>
      <c r="AA11" s="74">
        <f t="shared" si="0"/>
        <v>0.19207993338884263</v>
      </c>
      <c r="AB11" s="74">
        <f t="shared" si="0"/>
        <v>0.19741548709408827</v>
      </c>
      <c r="AC11" s="74">
        <f t="shared" si="0"/>
        <v>0.20808659450457956</v>
      </c>
      <c r="AD11" s="74">
        <f t="shared" si="0"/>
        <v>0.24943713572023318</v>
      </c>
      <c r="AE11" s="74">
        <f t="shared" si="0"/>
        <v>0.20942048293089097</v>
      </c>
      <c r="AF11" s="74">
        <f t="shared" si="0"/>
        <v>0.1814088259783514</v>
      </c>
      <c r="AG11" s="74">
        <f t="shared" si="0"/>
        <v>0.1654021648626145</v>
      </c>
      <c r="AH11" s="74">
        <f t="shared" si="0"/>
        <v>0.20808659450457956</v>
      </c>
      <c r="AI11" s="74">
        <f t="shared" si="0"/>
        <v>0.22942880932556206</v>
      </c>
      <c r="AJ11" s="74">
        <f t="shared" si="0"/>
        <v>0.20808659450457956</v>
      </c>
      <c r="AK11" s="74">
        <f t="shared" si="0"/>
        <v>0.186744379683597</v>
      </c>
      <c r="AL11" s="74">
        <f t="shared" si="0"/>
        <v>0.1814088259783514</v>
      </c>
      <c r="AM11" s="74">
        <f t="shared" si="0"/>
        <v>0.16806994171523731</v>
      </c>
      <c r="AN11" s="74">
        <f t="shared" si="0"/>
        <v>0.16806994171523731</v>
      </c>
      <c r="AO11" s="74">
        <f t="shared" si="0"/>
        <v>0.16806994171523731</v>
      </c>
      <c r="AP11" s="74">
        <f t="shared" si="0"/>
        <v>0.17340549542048295</v>
      </c>
      <c r="AQ11" s="74">
        <f t="shared" si="0"/>
        <v>0.17340549542048295</v>
      </c>
      <c r="AR11" s="74">
        <f t="shared" si="0"/>
        <v>0.16806994171523731</v>
      </c>
      <c r="AS11" s="74">
        <f t="shared" si="0"/>
        <v>0.17340549542048295</v>
      </c>
      <c r="AT11" s="74">
        <f t="shared" si="0"/>
        <v>0.18541049125728559</v>
      </c>
      <c r="AU11" s="74">
        <f t="shared" si="0"/>
        <v>0.19341382181515404</v>
      </c>
      <c r="AV11" s="74">
        <f t="shared" si="0"/>
        <v>0.17874104912572858</v>
      </c>
      <c r="AW11" s="74">
        <f t="shared" si="0"/>
        <v>0.1654021648626145</v>
      </c>
      <c r="AX11" s="74">
        <f t="shared" si="0"/>
        <v>0.16006661115736887</v>
      </c>
      <c r="AY11" s="74">
        <f t="shared" si="0"/>
        <v>0.16006661115736887</v>
      </c>
      <c r="AZ11" s="74">
        <f t="shared" si="0"/>
        <v>0.15473105745212323</v>
      </c>
      <c r="BA11" s="74">
        <f t="shared" si="0"/>
        <v>0.15473105745212323</v>
      </c>
      <c r="BB11" s="74">
        <f t="shared" si="0"/>
        <v>0.15473105745212323</v>
      </c>
      <c r="BC11" s="74">
        <f t="shared" si="0"/>
        <v>0.15473105745212323</v>
      </c>
      <c r="BD11" s="74">
        <f t="shared" si="0"/>
        <v>0.1654021648626145</v>
      </c>
      <c r="BE11" s="74">
        <f t="shared" si="0"/>
        <v>0.1654021648626145</v>
      </c>
      <c r="BF11" s="74">
        <f t="shared" si="0"/>
        <v>0.1654021648626145</v>
      </c>
      <c r="BG11" s="74">
        <f t="shared" si="0"/>
        <v>0.1654021648626145</v>
      </c>
      <c r="BH11" s="74">
        <f t="shared" si="0"/>
        <v>0.1654021648626145</v>
      </c>
      <c r="BI11" s="74">
        <f t="shared" si="0"/>
        <v>0.17607327227310576</v>
      </c>
      <c r="BJ11" s="74">
        <f t="shared" si="0"/>
        <v>0.17607327227310576</v>
      </c>
      <c r="BK11" s="74">
        <f t="shared" si="0"/>
        <v>0.17607327227310576</v>
      </c>
      <c r="BL11" s="74">
        <f t="shared" si="0"/>
        <v>0.17607327227310576</v>
      </c>
      <c r="BM11" s="74">
        <f t="shared" si="0"/>
        <v>0.17607327227310576</v>
      </c>
      <c r="BN11" s="74">
        <f t="shared" si="0"/>
        <v>0.17607327227310576</v>
      </c>
      <c r="BO11" s="74">
        <f t="shared" si="0"/>
        <v>0.17607327227310576</v>
      </c>
      <c r="BP11" s="74">
        <f t="shared" si="0"/>
        <v>0.16806994171523731</v>
      </c>
      <c r="BQ11" s="74">
        <f t="shared" si="0"/>
        <v>0.16806994171523731</v>
      </c>
      <c r="BR11" s="74">
        <f t="shared" si="0"/>
        <v>0.16806994171523731</v>
      </c>
      <c r="BS11" s="74">
        <f t="shared" si="0"/>
        <v>0.16806994171523731</v>
      </c>
      <c r="BT11" s="74">
        <f t="shared" si="0"/>
        <v>0.17874104912572858</v>
      </c>
      <c r="BU11" s="74">
        <f t="shared" si="0"/>
        <v>0.17874104912572858</v>
      </c>
      <c r="BV11" s="74">
        <f t="shared" ref="BV11:CR11" si="1">$F$11*(BV8/1000)</f>
        <v>0.17874104912572858</v>
      </c>
      <c r="BW11" s="74">
        <f t="shared" si="1"/>
        <v>0.18007493755203999</v>
      </c>
      <c r="BX11" s="74">
        <f t="shared" si="1"/>
        <v>0.18007493755203999</v>
      </c>
      <c r="BY11" s="74">
        <f t="shared" si="1"/>
        <v>0.18007493755203999</v>
      </c>
      <c r="BZ11" s="74">
        <f t="shared" si="1"/>
        <v>0.18541049125728559</v>
      </c>
      <c r="CA11" s="74">
        <f t="shared" si="1"/>
        <v>0.18541049125728559</v>
      </c>
      <c r="CB11" s="74">
        <f t="shared" si="1"/>
        <v>0.18541049125728559</v>
      </c>
      <c r="CC11" s="74">
        <f t="shared" si="1"/>
        <v>0.18541049125728559</v>
      </c>
      <c r="CD11" s="74">
        <f t="shared" si="1"/>
        <v>0.18541049125728559</v>
      </c>
      <c r="CE11" s="74">
        <f t="shared" si="1"/>
        <v>0.18541049125728559</v>
      </c>
      <c r="CF11" s="74">
        <f t="shared" si="1"/>
        <v>0.18541049125728559</v>
      </c>
      <c r="CG11" s="74">
        <f t="shared" si="1"/>
        <v>0.18941215653621982</v>
      </c>
      <c r="CH11" s="74">
        <f t="shared" si="1"/>
        <v>0.18941215653621982</v>
      </c>
      <c r="CI11" s="74">
        <f t="shared" si="1"/>
        <v>0.18407660283097418</v>
      </c>
      <c r="CJ11" s="74">
        <f t="shared" si="1"/>
        <v>0.18407660283097418</v>
      </c>
      <c r="CK11" s="74">
        <f t="shared" si="1"/>
        <v>0.18407660283097418</v>
      </c>
      <c r="CL11" s="74">
        <f t="shared" si="1"/>
        <v>0.18407660283097418</v>
      </c>
      <c r="CM11" s="74">
        <f t="shared" si="1"/>
        <v>0.1827427144046628</v>
      </c>
      <c r="CN11" s="74">
        <f t="shared" si="1"/>
        <v>0.1827427144046628</v>
      </c>
      <c r="CO11" s="74">
        <f t="shared" si="1"/>
        <v>0.1827427144046628</v>
      </c>
      <c r="CP11" s="74">
        <f t="shared" si="1"/>
        <v>0.1827427144046628</v>
      </c>
      <c r="CQ11" s="74">
        <f t="shared" si="1"/>
        <v>0.1827427144046628</v>
      </c>
      <c r="CR11" s="74">
        <f t="shared" si="1"/>
        <v>0.1827427144046628</v>
      </c>
    </row>
    <row r="12" spans="1:104" ht="26">
      <c r="A12" s="67"/>
      <c r="B12" s="100" t="s">
        <v>810</v>
      </c>
      <c r="D12" s="77"/>
      <c r="F12" s="65"/>
      <c r="I12" s="74"/>
      <c r="J12" s="74"/>
      <c r="K12" s="74"/>
      <c r="L12" s="74"/>
      <c r="M12" s="74"/>
      <c r="N12" s="74"/>
      <c r="O12" s="74"/>
      <c r="P12" s="74"/>
      <c r="Q12" s="74"/>
      <c r="R12" s="74"/>
      <c r="S12" s="74"/>
      <c r="T12" s="74"/>
      <c r="U12" s="74"/>
      <c r="V12" s="74"/>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c r="BL12" s="74"/>
      <c r="BM12" s="74"/>
      <c r="BN12" s="74"/>
      <c r="BO12" s="74"/>
      <c r="BP12" s="74"/>
      <c r="BQ12" s="74"/>
      <c r="BR12" s="74"/>
      <c r="BS12" s="74"/>
      <c r="BT12" s="74"/>
      <c r="BU12" s="74"/>
      <c r="BV12" s="74"/>
      <c r="BW12" s="74"/>
      <c r="BX12" s="74"/>
      <c r="BY12" s="74"/>
      <c r="BZ12" s="74"/>
      <c r="CA12" s="74"/>
      <c r="CB12" s="74"/>
      <c r="CC12" s="74"/>
      <c r="CD12" s="74"/>
      <c r="CE12" s="74"/>
      <c r="CF12" s="74"/>
      <c r="CG12" s="74"/>
      <c r="CH12" s="74"/>
      <c r="CI12" s="74"/>
      <c r="CJ12" s="74"/>
      <c r="CK12" s="74"/>
      <c r="CL12" s="74"/>
      <c r="CM12" s="74"/>
      <c r="CN12" s="74"/>
      <c r="CO12" s="74"/>
      <c r="CP12" s="74"/>
      <c r="CQ12" s="74"/>
      <c r="CR12" s="74"/>
    </row>
    <row r="13" spans="1:104" s="104" customFormat="1">
      <c r="H13" s="104" t="s">
        <v>799</v>
      </c>
      <c r="I13" s="105">
        <f>SUM(I11:I11)</f>
        <v>0.14005828476269777</v>
      </c>
      <c r="J13" s="105">
        <f t="shared" ref="J13:BU13" si="2">SUM(J11:J11)</f>
        <v>0.17207160699417154</v>
      </c>
      <c r="K13" s="105">
        <f t="shared" si="2"/>
        <v>0.15206328059950042</v>
      </c>
      <c r="L13" s="105">
        <f t="shared" si="2"/>
        <v>0.11204662781015821</v>
      </c>
      <c r="M13" s="105">
        <f t="shared" si="2"/>
        <v>9.33721898417985E-2</v>
      </c>
      <c r="N13" s="105">
        <f t="shared" si="2"/>
        <v>8.937052456286429E-2</v>
      </c>
      <c r="O13" s="105">
        <f t="shared" si="2"/>
        <v>9.6039966694421317E-2</v>
      </c>
      <c r="P13" s="105">
        <f t="shared" si="2"/>
        <v>0.11738218151540385</v>
      </c>
      <c r="Q13" s="105">
        <f t="shared" si="2"/>
        <v>0.12271773522064948</v>
      </c>
      <c r="R13" s="105">
        <f t="shared" si="2"/>
        <v>0.1280532889258951</v>
      </c>
      <c r="S13" s="105">
        <f t="shared" si="2"/>
        <v>0.144059950041632</v>
      </c>
      <c r="T13" s="105">
        <f t="shared" si="2"/>
        <v>0.16006661115736887</v>
      </c>
      <c r="U13" s="105">
        <f t="shared" si="2"/>
        <v>0.19207993338884263</v>
      </c>
      <c r="V13" s="105">
        <f t="shared" si="2"/>
        <v>0.19474771024146545</v>
      </c>
      <c r="W13" s="105">
        <f t="shared" si="2"/>
        <v>0.18941215653621982</v>
      </c>
      <c r="X13" s="105">
        <f t="shared" si="2"/>
        <v>0.1814088259783514</v>
      </c>
      <c r="Y13" s="105">
        <f t="shared" si="2"/>
        <v>0.18541049125728559</v>
      </c>
      <c r="Z13" s="105">
        <f t="shared" si="2"/>
        <v>0.19074604496253122</v>
      </c>
      <c r="AA13" s="105">
        <f t="shared" si="2"/>
        <v>0.19207993338884263</v>
      </c>
      <c r="AB13" s="105">
        <f t="shared" si="2"/>
        <v>0.19741548709408827</v>
      </c>
      <c r="AC13" s="105">
        <f t="shared" si="2"/>
        <v>0.20808659450457956</v>
      </c>
      <c r="AD13" s="105">
        <f t="shared" si="2"/>
        <v>0.24943713572023318</v>
      </c>
      <c r="AE13" s="105">
        <f t="shared" si="2"/>
        <v>0.20942048293089097</v>
      </c>
      <c r="AF13" s="105">
        <f t="shared" si="2"/>
        <v>0.1814088259783514</v>
      </c>
      <c r="AG13" s="105">
        <f t="shared" si="2"/>
        <v>0.1654021648626145</v>
      </c>
      <c r="AH13" s="105">
        <f t="shared" si="2"/>
        <v>0.20808659450457956</v>
      </c>
      <c r="AI13" s="105">
        <f t="shared" si="2"/>
        <v>0.22942880932556206</v>
      </c>
      <c r="AJ13" s="105">
        <f t="shared" si="2"/>
        <v>0.20808659450457956</v>
      </c>
      <c r="AK13" s="105">
        <f t="shared" si="2"/>
        <v>0.186744379683597</v>
      </c>
      <c r="AL13" s="105">
        <f t="shared" si="2"/>
        <v>0.1814088259783514</v>
      </c>
      <c r="AM13" s="105">
        <f t="shared" si="2"/>
        <v>0.16806994171523731</v>
      </c>
      <c r="AN13" s="105">
        <f t="shared" si="2"/>
        <v>0.16806994171523731</v>
      </c>
      <c r="AO13" s="105">
        <f t="shared" si="2"/>
        <v>0.16806994171523731</v>
      </c>
      <c r="AP13" s="105">
        <f t="shared" si="2"/>
        <v>0.17340549542048295</v>
      </c>
      <c r="AQ13" s="105">
        <f t="shared" si="2"/>
        <v>0.17340549542048295</v>
      </c>
      <c r="AR13" s="105">
        <f t="shared" si="2"/>
        <v>0.16806994171523731</v>
      </c>
      <c r="AS13" s="105">
        <f t="shared" si="2"/>
        <v>0.17340549542048295</v>
      </c>
      <c r="AT13" s="105">
        <f t="shared" si="2"/>
        <v>0.18541049125728559</v>
      </c>
      <c r="AU13" s="105">
        <f t="shared" si="2"/>
        <v>0.19341382181515404</v>
      </c>
      <c r="AV13" s="105">
        <f t="shared" si="2"/>
        <v>0.17874104912572858</v>
      </c>
      <c r="AW13" s="105">
        <f t="shared" si="2"/>
        <v>0.1654021648626145</v>
      </c>
      <c r="AX13" s="105">
        <f t="shared" si="2"/>
        <v>0.16006661115736887</v>
      </c>
      <c r="AY13" s="105">
        <f t="shared" si="2"/>
        <v>0.16006661115736887</v>
      </c>
      <c r="AZ13" s="105">
        <f t="shared" si="2"/>
        <v>0.15473105745212323</v>
      </c>
      <c r="BA13" s="105">
        <f t="shared" si="2"/>
        <v>0.15473105745212323</v>
      </c>
      <c r="BB13" s="105">
        <f t="shared" si="2"/>
        <v>0.15473105745212323</v>
      </c>
      <c r="BC13" s="105">
        <f t="shared" si="2"/>
        <v>0.15473105745212323</v>
      </c>
      <c r="BD13" s="105">
        <f t="shared" si="2"/>
        <v>0.1654021648626145</v>
      </c>
      <c r="BE13" s="105">
        <f t="shared" si="2"/>
        <v>0.1654021648626145</v>
      </c>
      <c r="BF13" s="105">
        <f t="shared" si="2"/>
        <v>0.1654021648626145</v>
      </c>
      <c r="BG13" s="105">
        <f t="shared" si="2"/>
        <v>0.1654021648626145</v>
      </c>
      <c r="BH13" s="105">
        <f t="shared" si="2"/>
        <v>0.1654021648626145</v>
      </c>
      <c r="BI13" s="105">
        <f t="shared" si="2"/>
        <v>0.17607327227310576</v>
      </c>
      <c r="BJ13" s="105">
        <f t="shared" si="2"/>
        <v>0.17607327227310576</v>
      </c>
      <c r="BK13" s="105">
        <f t="shared" si="2"/>
        <v>0.17607327227310576</v>
      </c>
      <c r="BL13" s="105">
        <f t="shared" si="2"/>
        <v>0.17607327227310576</v>
      </c>
      <c r="BM13" s="105">
        <f t="shared" si="2"/>
        <v>0.17607327227310576</v>
      </c>
      <c r="BN13" s="105">
        <f t="shared" si="2"/>
        <v>0.17607327227310576</v>
      </c>
      <c r="BO13" s="105">
        <f t="shared" si="2"/>
        <v>0.17607327227310576</v>
      </c>
      <c r="BP13" s="105">
        <f t="shared" si="2"/>
        <v>0.16806994171523731</v>
      </c>
      <c r="BQ13" s="105">
        <f t="shared" si="2"/>
        <v>0.16806994171523731</v>
      </c>
      <c r="BR13" s="105">
        <f t="shared" si="2"/>
        <v>0.16806994171523731</v>
      </c>
      <c r="BS13" s="105">
        <f t="shared" si="2"/>
        <v>0.16806994171523731</v>
      </c>
      <c r="BT13" s="105">
        <f t="shared" si="2"/>
        <v>0.17874104912572858</v>
      </c>
      <c r="BU13" s="105">
        <f t="shared" si="2"/>
        <v>0.17874104912572858</v>
      </c>
      <c r="BV13" s="105">
        <f t="shared" ref="BV13:CR13" si="3">SUM(BV11:BV11)</f>
        <v>0.17874104912572858</v>
      </c>
      <c r="BW13" s="105">
        <f t="shared" si="3"/>
        <v>0.18007493755203999</v>
      </c>
      <c r="BX13" s="105">
        <f t="shared" si="3"/>
        <v>0.18007493755203999</v>
      </c>
      <c r="BY13" s="105">
        <f t="shared" si="3"/>
        <v>0.18007493755203999</v>
      </c>
      <c r="BZ13" s="105">
        <f t="shared" si="3"/>
        <v>0.18541049125728559</v>
      </c>
      <c r="CA13" s="105">
        <f t="shared" si="3"/>
        <v>0.18541049125728559</v>
      </c>
      <c r="CB13" s="105">
        <f t="shared" si="3"/>
        <v>0.18541049125728559</v>
      </c>
      <c r="CC13" s="105">
        <f t="shared" si="3"/>
        <v>0.18541049125728559</v>
      </c>
      <c r="CD13" s="105">
        <f t="shared" si="3"/>
        <v>0.18541049125728559</v>
      </c>
      <c r="CE13" s="105">
        <f t="shared" si="3"/>
        <v>0.18541049125728559</v>
      </c>
      <c r="CF13" s="105">
        <f t="shared" si="3"/>
        <v>0.18541049125728559</v>
      </c>
      <c r="CG13" s="105">
        <f t="shared" si="3"/>
        <v>0.18941215653621982</v>
      </c>
      <c r="CH13" s="105">
        <f t="shared" si="3"/>
        <v>0.18941215653621982</v>
      </c>
      <c r="CI13" s="105">
        <f t="shared" si="3"/>
        <v>0.18407660283097418</v>
      </c>
      <c r="CJ13" s="105">
        <f t="shared" si="3"/>
        <v>0.18407660283097418</v>
      </c>
      <c r="CK13" s="105">
        <f t="shared" si="3"/>
        <v>0.18407660283097418</v>
      </c>
      <c r="CL13" s="105">
        <f t="shared" si="3"/>
        <v>0.18407660283097418</v>
      </c>
      <c r="CM13" s="105">
        <f t="shared" si="3"/>
        <v>0.1827427144046628</v>
      </c>
      <c r="CN13" s="105">
        <f t="shared" si="3"/>
        <v>0.1827427144046628</v>
      </c>
      <c r="CO13" s="105">
        <f t="shared" si="3"/>
        <v>0.1827427144046628</v>
      </c>
      <c r="CP13" s="105">
        <f t="shared" si="3"/>
        <v>0.1827427144046628</v>
      </c>
      <c r="CQ13" s="105">
        <f t="shared" si="3"/>
        <v>0.1827427144046628</v>
      </c>
      <c r="CR13" s="105">
        <f t="shared" si="3"/>
        <v>0.1827427144046628</v>
      </c>
    </row>
    <row r="14" spans="1:104" s="104" customFormat="1" hidden="1">
      <c r="H14" s="60"/>
      <c r="I14" s="105"/>
      <c r="J14" s="105"/>
      <c r="K14" s="105"/>
      <c r="L14" s="105"/>
      <c r="M14" s="105"/>
      <c r="N14" s="105"/>
      <c r="O14" s="105"/>
      <c r="P14" s="105"/>
      <c r="Q14" s="105"/>
      <c r="R14" s="105"/>
      <c r="S14" s="105"/>
      <c r="T14" s="105"/>
      <c r="U14" s="105"/>
      <c r="V14" s="105"/>
      <c r="W14" s="105"/>
      <c r="X14" s="105"/>
      <c r="Y14" s="105"/>
      <c r="Z14" s="105"/>
      <c r="AA14" s="105"/>
      <c r="AB14" s="105"/>
      <c r="AC14" s="105"/>
      <c r="AD14" s="105"/>
      <c r="AE14" s="105"/>
      <c r="AF14" s="105"/>
      <c r="AG14" s="105"/>
      <c r="AH14" s="105"/>
      <c r="AI14" s="105"/>
      <c r="AJ14" s="105"/>
      <c r="AK14" s="105"/>
      <c r="AL14" s="105"/>
      <c r="AM14" s="105"/>
      <c r="AN14" s="105"/>
      <c r="AO14" s="105"/>
      <c r="AP14" s="105"/>
      <c r="AQ14" s="105"/>
      <c r="AR14" s="105"/>
      <c r="AS14" s="105"/>
      <c r="AT14" s="105"/>
      <c r="AU14" s="105"/>
      <c r="AV14" s="105"/>
      <c r="AW14" s="105"/>
      <c r="AX14" s="105"/>
      <c r="AY14" s="105"/>
      <c r="AZ14" s="105"/>
      <c r="BA14" s="105"/>
      <c r="BB14" s="105"/>
      <c r="BC14" s="105"/>
      <c r="BD14" s="105"/>
      <c r="BE14" s="105"/>
      <c r="BF14" s="105"/>
      <c r="BG14" s="105"/>
      <c r="BH14" s="105"/>
      <c r="BI14" s="105"/>
      <c r="BJ14" s="105"/>
      <c r="BK14" s="105"/>
      <c r="BL14" s="105"/>
      <c r="BM14" s="105"/>
      <c r="BN14" s="105"/>
      <c r="BO14" s="105"/>
      <c r="BP14" s="105"/>
      <c r="BQ14" s="105"/>
      <c r="BR14" s="105"/>
      <c r="BS14" s="105"/>
      <c r="BT14" s="105"/>
      <c r="BU14" s="105"/>
      <c r="BV14" s="105"/>
      <c r="BW14" s="105"/>
      <c r="BX14" s="105"/>
      <c r="BY14" s="105"/>
      <c r="BZ14" s="105"/>
      <c r="CA14" s="105"/>
      <c r="CB14" s="105"/>
      <c r="CC14" s="105"/>
      <c r="CD14" s="105"/>
      <c r="CE14" s="105"/>
      <c r="CF14" s="105"/>
      <c r="CG14" s="105"/>
      <c r="CH14" s="105"/>
      <c r="CI14" s="105"/>
      <c r="CJ14" s="105"/>
      <c r="CK14" s="105"/>
      <c r="CL14" s="105"/>
      <c r="CM14" s="105"/>
      <c r="CN14" s="105"/>
      <c r="CO14" s="105"/>
      <c r="CP14" s="105"/>
      <c r="CQ14" s="105"/>
      <c r="CR14" s="105"/>
    </row>
    <row r="15" spans="1:104">
      <c r="H15" s="60" t="s">
        <v>429</v>
      </c>
      <c r="I15" s="74"/>
      <c r="J15" s="74"/>
      <c r="K15" s="74"/>
      <c r="L15" s="74"/>
      <c r="M15" s="74"/>
      <c r="N15" s="74"/>
      <c r="O15" s="74"/>
      <c r="P15" s="74"/>
      <c r="Q15" s="74"/>
      <c r="R15" s="74"/>
      <c r="S15" s="74"/>
      <c r="T15" s="74"/>
      <c r="U15" s="74"/>
      <c r="V15" s="74"/>
      <c r="W15" s="74"/>
      <c r="X15" s="74"/>
      <c r="Y15" s="74"/>
      <c r="Z15" s="74"/>
      <c r="AA15" s="74"/>
      <c r="AB15" s="74"/>
      <c r="AC15" s="74"/>
      <c r="AD15" s="74"/>
      <c r="AE15" s="74"/>
      <c r="AF15" s="74"/>
      <c r="AG15" s="74"/>
      <c r="AH15" s="74"/>
      <c r="AI15" s="74"/>
      <c r="AK15" s="74"/>
      <c r="AL15" s="74"/>
      <c r="AM15" s="74"/>
      <c r="AN15" s="74"/>
      <c r="AO15" s="74"/>
      <c r="AP15" s="74"/>
      <c r="AQ15" s="74"/>
      <c r="AR15" s="74"/>
      <c r="AS15" s="74"/>
      <c r="AT15" s="74"/>
      <c r="AU15" s="74"/>
      <c r="AV15" s="74"/>
      <c r="AW15" s="74"/>
      <c r="AX15" s="74"/>
      <c r="AY15" s="74"/>
      <c r="AZ15" s="74"/>
      <c r="BA15" s="74"/>
      <c r="BB15" s="74"/>
      <c r="BC15" s="74"/>
      <c r="BD15" s="74"/>
      <c r="BE15" s="74"/>
      <c r="BF15" s="74"/>
      <c r="BG15" s="74"/>
      <c r="BH15" s="74"/>
      <c r="BI15" s="74"/>
      <c r="BJ15" s="74"/>
      <c r="BK15" s="74"/>
      <c r="BL15" s="74"/>
      <c r="BM15" s="74"/>
      <c r="BN15" s="74"/>
      <c r="BO15" s="74"/>
      <c r="BP15" s="74"/>
      <c r="BQ15" s="74"/>
      <c r="BR15" s="74"/>
      <c r="BS15" s="74"/>
      <c r="BT15" s="74"/>
      <c r="BU15" s="74"/>
      <c r="BV15" s="74"/>
      <c r="BW15" s="74"/>
      <c r="BX15" s="74"/>
      <c r="BY15" s="74"/>
      <c r="BZ15" s="74"/>
      <c r="CA15" s="74"/>
      <c r="CB15" s="74"/>
      <c r="CC15" s="74"/>
      <c r="CD15" s="74"/>
      <c r="CE15" s="74"/>
      <c r="CF15" s="74"/>
      <c r="CG15" s="74"/>
      <c r="CH15" s="74"/>
      <c r="CI15" s="74"/>
      <c r="CJ15" s="74"/>
      <c r="CK15" s="74"/>
      <c r="CL15" s="74"/>
      <c r="CM15" s="74"/>
      <c r="CN15" s="74"/>
      <c r="CO15" s="74"/>
      <c r="CP15" s="74"/>
      <c r="CQ15" s="74"/>
      <c r="CR15" s="74"/>
    </row>
    <row r="16" spans="1:104">
      <c r="H16" s="60" t="s">
        <v>406</v>
      </c>
      <c r="I16" s="74"/>
      <c r="J16" s="74"/>
      <c r="K16" s="74"/>
      <c r="L16" s="74"/>
      <c r="M16" s="74"/>
      <c r="N16" s="74"/>
      <c r="O16" s="74"/>
      <c r="P16" s="74"/>
      <c r="Q16" s="74"/>
      <c r="R16" s="74"/>
      <c r="S16" s="74"/>
      <c r="T16" s="74"/>
      <c r="U16" s="74"/>
      <c r="V16" s="74"/>
      <c r="W16" s="74"/>
      <c r="X16" s="74"/>
      <c r="Y16" s="74"/>
      <c r="Z16" s="74"/>
      <c r="AA16" s="74"/>
      <c r="AB16" s="74"/>
      <c r="AC16" s="74"/>
      <c r="AD16" s="74"/>
      <c r="AE16" s="74"/>
      <c r="AF16" s="74"/>
      <c r="AG16" s="74"/>
      <c r="AH16" s="74"/>
      <c r="AI16" s="74"/>
      <c r="AK16" s="74"/>
      <c r="AL16" s="74"/>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c r="BM16" s="74"/>
      <c r="BN16" s="74"/>
      <c r="BO16" s="74"/>
      <c r="BP16" s="74"/>
      <c r="BQ16" s="74"/>
      <c r="BR16" s="74"/>
      <c r="BS16" s="74"/>
      <c r="BT16" s="74"/>
      <c r="BU16" s="74"/>
      <c r="BV16" s="74"/>
      <c r="BW16" s="74"/>
      <c r="BX16" s="74"/>
      <c r="BY16" s="74"/>
      <c r="BZ16" s="74"/>
      <c r="CA16" s="74"/>
      <c r="CB16" s="74"/>
      <c r="CC16" s="74"/>
      <c r="CD16" s="74"/>
      <c r="CE16" s="74"/>
      <c r="CF16" s="74"/>
      <c r="CG16" s="74"/>
      <c r="CH16" s="74"/>
      <c r="CI16" s="74"/>
      <c r="CJ16" s="74"/>
      <c r="CK16" s="74"/>
      <c r="CL16" s="74"/>
      <c r="CM16" s="74"/>
      <c r="CN16" s="74"/>
      <c r="CO16" s="74"/>
      <c r="CP16" s="74"/>
      <c r="CQ16" s="74"/>
      <c r="CR16" s="74"/>
    </row>
    <row r="18" spans="8:96" ht="13" thickBot="1"/>
    <row r="19" spans="8:96" s="73" customFormat="1" ht="13" thickBot="1">
      <c r="H19" s="257" t="s">
        <v>800</v>
      </c>
      <c r="I19" s="258">
        <f>+I13</f>
        <v>0.14005828476269777</v>
      </c>
      <c r="J19" s="258">
        <f t="shared" ref="J19:BU19" si="4">+J13</f>
        <v>0.17207160699417154</v>
      </c>
      <c r="K19" s="258">
        <f t="shared" si="4"/>
        <v>0.15206328059950042</v>
      </c>
      <c r="L19" s="258">
        <f t="shared" si="4"/>
        <v>0.11204662781015821</v>
      </c>
      <c r="M19" s="258">
        <f t="shared" si="4"/>
        <v>9.33721898417985E-2</v>
      </c>
      <c r="N19" s="258">
        <f t="shared" si="4"/>
        <v>8.937052456286429E-2</v>
      </c>
      <c r="O19" s="258">
        <f t="shared" si="4"/>
        <v>9.6039966694421317E-2</v>
      </c>
      <c r="P19" s="258">
        <f t="shared" si="4"/>
        <v>0.11738218151540385</v>
      </c>
      <c r="Q19" s="258">
        <f t="shared" si="4"/>
        <v>0.12271773522064948</v>
      </c>
      <c r="R19" s="258">
        <f t="shared" si="4"/>
        <v>0.1280532889258951</v>
      </c>
      <c r="S19" s="258">
        <f t="shared" si="4"/>
        <v>0.144059950041632</v>
      </c>
      <c r="T19" s="258">
        <f t="shared" si="4"/>
        <v>0.16006661115736887</v>
      </c>
      <c r="U19" s="258">
        <f t="shared" si="4"/>
        <v>0.19207993338884263</v>
      </c>
      <c r="V19" s="258">
        <f t="shared" si="4"/>
        <v>0.19474771024146545</v>
      </c>
      <c r="W19" s="258">
        <f t="shared" si="4"/>
        <v>0.18941215653621982</v>
      </c>
      <c r="X19" s="258">
        <f t="shared" si="4"/>
        <v>0.1814088259783514</v>
      </c>
      <c r="Y19" s="258">
        <f t="shared" si="4"/>
        <v>0.18541049125728559</v>
      </c>
      <c r="Z19" s="258">
        <f t="shared" si="4"/>
        <v>0.19074604496253122</v>
      </c>
      <c r="AA19" s="258">
        <f t="shared" si="4"/>
        <v>0.19207993338884263</v>
      </c>
      <c r="AB19" s="258">
        <f t="shared" si="4"/>
        <v>0.19741548709408827</v>
      </c>
      <c r="AC19" s="258">
        <f t="shared" si="4"/>
        <v>0.20808659450457956</v>
      </c>
      <c r="AD19" s="258">
        <f t="shared" si="4"/>
        <v>0.24943713572023318</v>
      </c>
      <c r="AE19" s="258">
        <f t="shared" si="4"/>
        <v>0.20942048293089097</v>
      </c>
      <c r="AF19" s="258">
        <f t="shared" si="4"/>
        <v>0.1814088259783514</v>
      </c>
      <c r="AG19" s="258">
        <f t="shared" si="4"/>
        <v>0.1654021648626145</v>
      </c>
      <c r="AH19" s="258">
        <f t="shared" si="4"/>
        <v>0.20808659450457956</v>
      </c>
      <c r="AI19" s="258">
        <f t="shared" si="4"/>
        <v>0.22942880932556206</v>
      </c>
      <c r="AJ19" s="258">
        <f t="shared" si="4"/>
        <v>0.20808659450457956</v>
      </c>
      <c r="AK19" s="258">
        <f t="shared" si="4"/>
        <v>0.186744379683597</v>
      </c>
      <c r="AL19" s="258">
        <f t="shared" si="4"/>
        <v>0.1814088259783514</v>
      </c>
      <c r="AM19" s="258">
        <f t="shared" si="4"/>
        <v>0.16806994171523731</v>
      </c>
      <c r="AN19" s="258">
        <f t="shared" si="4"/>
        <v>0.16806994171523731</v>
      </c>
      <c r="AO19" s="258">
        <f t="shared" si="4"/>
        <v>0.16806994171523731</v>
      </c>
      <c r="AP19" s="258">
        <f t="shared" si="4"/>
        <v>0.17340549542048295</v>
      </c>
      <c r="AQ19" s="258">
        <f t="shared" si="4"/>
        <v>0.17340549542048295</v>
      </c>
      <c r="AR19" s="258">
        <f t="shared" si="4"/>
        <v>0.16806994171523731</v>
      </c>
      <c r="AS19" s="258">
        <f t="shared" si="4"/>
        <v>0.17340549542048295</v>
      </c>
      <c r="AT19" s="258">
        <f t="shared" si="4"/>
        <v>0.18541049125728559</v>
      </c>
      <c r="AU19" s="258">
        <f t="shared" si="4"/>
        <v>0.19341382181515404</v>
      </c>
      <c r="AV19" s="258">
        <f t="shared" si="4"/>
        <v>0.17874104912572858</v>
      </c>
      <c r="AW19" s="258">
        <f t="shared" si="4"/>
        <v>0.1654021648626145</v>
      </c>
      <c r="AX19" s="258">
        <f t="shared" si="4"/>
        <v>0.16006661115736887</v>
      </c>
      <c r="AY19" s="258">
        <f t="shared" si="4"/>
        <v>0.16006661115736887</v>
      </c>
      <c r="AZ19" s="258">
        <f t="shared" si="4"/>
        <v>0.15473105745212323</v>
      </c>
      <c r="BA19" s="258">
        <f t="shared" si="4"/>
        <v>0.15473105745212323</v>
      </c>
      <c r="BB19" s="258">
        <f t="shared" si="4"/>
        <v>0.15473105745212323</v>
      </c>
      <c r="BC19" s="258">
        <f t="shared" si="4"/>
        <v>0.15473105745212323</v>
      </c>
      <c r="BD19" s="258">
        <f t="shared" si="4"/>
        <v>0.1654021648626145</v>
      </c>
      <c r="BE19" s="258">
        <f t="shared" si="4"/>
        <v>0.1654021648626145</v>
      </c>
      <c r="BF19" s="258">
        <f t="shared" si="4"/>
        <v>0.1654021648626145</v>
      </c>
      <c r="BG19" s="258">
        <f t="shared" si="4"/>
        <v>0.1654021648626145</v>
      </c>
      <c r="BH19" s="258">
        <f t="shared" si="4"/>
        <v>0.1654021648626145</v>
      </c>
      <c r="BI19" s="258">
        <f t="shared" si="4"/>
        <v>0.17607327227310576</v>
      </c>
      <c r="BJ19" s="258">
        <f t="shared" si="4"/>
        <v>0.17607327227310576</v>
      </c>
      <c r="BK19" s="258">
        <f t="shared" si="4"/>
        <v>0.17607327227310576</v>
      </c>
      <c r="BL19" s="258">
        <f t="shared" si="4"/>
        <v>0.17607327227310576</v>
      </c>
      <c r="BM19" s="258">
        <f t="shared" si="4"/>
        <v>0.17607327227310576</v>
      </c>
      <c r="BN19" s="258">
        <f t="shared" si="4"/>
        <v>0.17607327227310576</v>
      </c>
      <c r="BO19" s="258">
        <f t="shared" si="4"/>
        <v>0.17607327227310576</v>
      </c>
      <c r="BP19" s="258">
        <f t="shared" si="4"/>
        <v>0.16806994171523731</v>
      </c>
      <c r="BQ19" s="258">
        <f t="shared" si="4"/>
        <v>0.16806994171523731</v>
      </c>
      <c r="BR19" s="258">
        <f t="shared" si="4"/>
        <v>0.16806994171523731</v>
      </c>
      <c r="BS19" s="258">
        <f t="shared" si="4"/>
        <v>0.16806994171523731</v>
      </c>
      <c r="BT19" s="258">
        <f t="shared" si="4"/>
        <v>0.17874104912572858</v>
      </c>
      <c r="BU19" s="258">
        <f t="shared" si="4"/>
        <v>0.17874104912572858</v>
      </c>
      <c r="BV19" s="258">
        <f t="shared" ref="BV19:CR19" si="5">+BV13</f>
        <v>0.17874104912572858</v>
      </c>
      <c r="BW19" s="258">
        <f t="shared" si="5"/>
        <v>0.18007493755203999</v>
      </c>
      <c r="BX19" s="258">
        <f t="shared" si="5"/>
        <v>0.18007493755203999</v>
      </c>
      <c r="BY19" s="258">
        <f t="shared" si="5"/>
        <v>0.18007493755203999</v>
      </c>
      <c r="BZ19" s="258">
        <f t="shared" si="5"/>
        <v>0.18541049125728559</v>
      </c>
      <c r="CA19" s="258">
        <f t="shared" si="5"/>
        <v>0.18541049125728559</v>
      </c>
      <c r="CB19" s="258">
        <f t="shared" si="5"/>
        <v>0.18541049125728559</v>
      </c>
      <c r="CC19" s="258">
        <f t="shared" si="5"/>
        <v>0.18541049125728559</v>
      </c>
      <c r="CD19" s="258">
        <f t="shared" si="5"/>
        <v>0.18541049125728559</v>
      </c>
      <c r="CE19" s="258">
        <f t="shared" si="5"/>
        <v>0.18541049125728559</v>
      </c>
      <c r="CF19" s="258">
        <f t="shared" si="5"/>
        <v>0.18541049125728559</v>
      </c>
      <c r="CG19" s="258">
        <f t="shared" si="5"/>
        <v>0.18941215653621982</v>
      </c>
      <c r="CH19" s="258">
        <f t="shared" si="5"/>
        <v>0.18941215653621982</v>
      </c>
      <c r="CI19" s="258">
        <f t="shared" si="5"/>
        <v>0.18407660283097418</v>
      </c>
      <c r="CJ19" s="258">
        <f t="shared" si="5"/>
        <v>0.18407660283097418</v>
      </c>
      <c r="CK19" s="258">
        <f t="shared" si="5"/>
        <v>0.18407660283097418</v>
      </c>
      <c r="CL19" s="258">
        <f t="shared" si="5"/>
        <v>0.18407660283097418</v>
      </c>
      <c r="CM19" s="258">
        <f t="shared" si="5"/>
        <v>0.1827427144046628</v>
      </c>
      <c r="CN19" s="258">
        <f t="shared" si="5"/>
        <v>0.1827427144046628</v>
      </c>
      <c r="CO19" s="258">
        <f t="shared" si="5"/>
        <v>0.1827427144046628</v>
      </c>
      <c r="CP19" s="258">
        <f t="shared" si="5"/>
        <v>0.1827427144046628</v>
      </c>
      <c r="CQ19" s="258">
        <f t="shared" si="5"/>
        <v>0.1827427144046628</v>
      </c>
      <c r="CR19" s="258">
        <f t="shared" si="5"/>
        <v>0.1827427144046628</v>
      </c>
    </row>
  </sheetData>
  <pageMargins left="0.7" right="0.7" top="0.75" bottom="0.75" header="0.3" footer="0.3"/>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DX19"/>
  <sheetViews>
    <sheetView workbookViewId="0">
      <pane xSplit="11" ySplit="7" topLeftCell="AG8" activePane="bottomRight" state="frozen"/>
      <selection pane="topRight" activeCell="L1" sqref="L1"/>
      <selection pane="bottomLeft" activeCell="A7" sqref="A7"/>
      <selection pane="bottomRight" activeCell="AO11" sqref="AO11"/>
    </sheetView>
  </sheetViews>
  <sheetFormatPr baseColWidth="10" defaultColWidth="22.6640625" defaultRowHeight="12"/>
  <cols>
    <col min="1" max="1" width="16.1640625" style="60" bestFit="1" customWidth="1"/>
    <col min="2" max="2" width="11.33203125" style="60" bestFit="1" customWidth="1"/>
    <col min="3" max="3" width="4.83203125" style="60" bestFit="1" customWidth="1"/>
    <col min="4" max="4" width="12.33203125" style="60" bestFit="1" customWidth="1"/>
    <col min="5" max="5" width="18.83203125" style="60" bestFit="1" customWidth="1"/>
    <col min="6" max="6" width="6.5" style="60" bestFit="1" customWidth="1"/>
    <col min="7" max="7" width="4.1640625" style="60" bestFit="1" customWidth="1"/>
    <col min="8" max="8" width="22.83203125" style="60" bestFit="1" customWidth="1"/>
    <col min="9" max="9" width="6.5" style="60" customWidth="1"/>
    <col min="10" max="11" width="6.1640625" style="60" bestFit="1" customWidth="1"/>
    <col min="12" max="12" width="5.5" style="60" bestFit="1" customWidth="1"/>
    <col min="13" max="13" width="5.83203125" style="60" bestFit="1" customWidth="1"/>
    <col min="14" max="18" width="5.5" style="60" bestFit="1" customWidth="1"/>
    <col min="19" max="19" width="5.6640625" style="60" bestFit="1" customWidth="1"/>
    <col min="20" max="20" width="6.1640625" style="60" bestFit="1" customWidth="1"/>
    <col min="21" max="21" width="5.5" style="60" bestFit="1" customWidth="1"/>
    <col min="22" max="26" width="6.1640625" style="60" bestFit="1" customWidth="1"/>
    <col min="27" max="30" width="5.5" style="60" bestFit="1" customWidth="1"/>
    <col min="31" max="31" width="5.6640625" style="60" bestFit="1" customWidth="1"/>
    <col min="32" max="34" width="5.5" style="60" bestFit="1" customWidth="1"/>
    <col min="35" max="35" width="5.6640625" style="60" bestFit="1" customWidth="1"/>
    <col min="36" max="36" width="5.5" style="60" bestFit="1" customWidth="1"/>
    <col min="37" max="37" width="5.83203125" style="60" bestFit="1" customWidth="1"/>
    <col min="38" max="42" width="5.5" style="60" bestFit="1" customWidth="1"/>
    <col min="43" max="43" width="5.6640625" style="60" bestFit="1" customWidth="1"/>
    <col min="44" max="46" width="5.5" style="60" bestFit="1" customWidth="1"/>
    <col min="47" max="47" width="5.6640625" style="60" bestFit="1" customWidth="1"/>
    <col min="48" max="48" width="5.5" style="60" bestFit="1" customWidth="1"/>
    <col min="49" max="49" width="5.83203125" style="60" bestFit="1" customWidth="1"/>
    <col min="50" max="51" width="5.5" style="60" bestFit="1" customWidth="1"/>
    <col min="52" max="54" width="7" style="60" bestFit="1" customWidth="1"/>
    <col min="55" max="56" width="5.5" style="60" bestFit="1" customWidth="1"/>
    <col min="57" max="58" width="5.83203125" style="60" bestFit="1" customWidth="1"/>
    <col min="59" max="70" width="5.6640625" style="60" bestFit="1" customWidth="1"/>
    <col min="71" max="80" width="5.5" style="60" bestFit="1" customWidth="1"/>
    <col min="81" max="90" width="6.1640625" style="60" bestFit="1" customWidth="1"/>
    <col min="91" max="95" width="6.33203125" style="60" bestFit="1" customWidth="1"/>
    <col min="96" max="99" width="6.1640625" style="60" bestFit="1" customWidth="1"/>
    <col min="100" max="104" width="5.1640625" style="60" bestFit="1" customWidth="1"/>
    <col min="105" max="105" width="5.83203125" style="60" bestFit="1" customWidth="1"/>
    <col min="106" max="107" width="6" style="60" bestFit="1" customWidth="1"/>
    <col min="108" max="16384" width="22.6640625" style="60"/>
  </cols>
  <sheetData>
    <row r="1" spans="1:128" ht="13">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row>
    <row r="2" spans="1:128">
      <c r="A2" s="59"/>
      <c r="B2" s="59"/>
      <c r="C2" s="59"/>
      <c r="D2" s="98"/>
      <c r="E2" s="98"/>
      <c r="F2" s="59"/>
      <c r="H2" s="99"/>
      <c r="I2" s="99"/>
      <c r="J2" s="99"/>
      <c r="K2" s="99"/>
      <c r="L2" s="99"/>
      <c r="M2" s="99"/>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99"/>
      <c r="AP2" s="99"/>
      <c r="AQ2" s="99"/>
      <c r="AR2" s="99"/>
      <c r="AS2" s="99"/>
      <c r="AT2" s="99"/>
      <c r="AU2" s="99"/>
      <c r="AV2" s="99"/>
      <c r="AW2" s="99"/>
      <c r="AX2" s="99"/>
      <c r="AY2" s="99"/>
      <c r="AZ2" s="99"/>
      <c r="BA2" s="99"/>
      <c r="BB2" s="99"/>
      <c r="BC2" s="99"/>
      <c r="BD2" s="99"/>
      <c r="BE2" s="99"/>
      <c r="BF2" s="99"/>
      <c r="BG2" s="99"/>
      <c r="BH2" s="99"/>
      <c r="BI2" s="99"/>
      <c r="BJ2" s="99"/>
      <c r="BK2" s="99"/>
      <c r="BL2" s="99"/>
      <c r="BM2" s="99"/>
      <c r="BN2" s="99"/>
      <c r="BO2" s="99"/>
      <c r="BP2" s="99"/>
      <c r="BQ2" s="99"/>
      <c r="BR2" s="99"/>
      <c r="BS2" s="99"/>
      <c r="BT2" s="99"/>
      <c r="BU2" s="99"/>
      <c r="BV2" s="99"/>
      <c r="BW2" s="99"/>
      <c r="BX2" s="99"/>
      <c r="BY2" s="99"/>
      <c r="BZ2" s="99"/>
      <c r="CA2" s="99"/>
      <c r="CB2" s="99"/>
      <c r="CC2" s="99"/>
      <c r="CD2" s="99"/>
      <c r="CE2" s="99"/>
      <c r="CF2" s="99"/>
      <c r="CG2" s="99"/>
      <c r="CH2" s="99"/>
      <c r="CI2" s="99"/>
      <c r="CJ2" s="99"/>
      <c r="CK2" s="99"/>
      <c r="CL2" s="99"/>
      <c r="CM2" s="99"/>
      <c r="CN2" s="99"/>
    </row>
    <row r="3" spans="1:128">
      <c r="A3" s="334" t="s">
        <v>811</v>
      </c>
      <c r="B3" s="100"/>
      <c r="C3" s="101"/>
      <c r="D3" s="282">
        <v>94.12</v>
      </c>
      <c r="K3" s="102"/>
      <c r="M3" s="102"/>
    </row>
    <row r="4" spans="1:128">
      <c r="A4" s="36"/>
      <c r="B4" s="64"/>
      <c r="D4" s="100"/>
      <c r="E4" s="64"/>
      <c r="F4" s="103"/>
    </row>
    <row r="5" spans="1:128">
      <c r="A5" s="64"/>
      <c r="B5" s="64"/>
      <c r="D5" s="64"/>
      <c r="E5" s="64"/>
      <c r="H5" s="60" t="s">
        <v>387</v>
      </c>
    </row>
    <row r="6" spans="1:128">
      <c r="A6" s="74"/>
      <c r="B6" s="74"/>
    </row>
    <row r="7" spans="1:128">
      <c r="A7" s="59"/>
      <c r="B7" s="59"/>
      <c r="C7" s="59"/>
      <c r="D7" s="98"/>
      <c r="E7" s="98"/>
      <c r="F7" s="59"/>
      <c r="H7" s="59" t="s">
        <v>416</v>
      </c>
      <c r="I7" s="59">
        <v>43831</v>
      </c>
      <c r="J7" s="59">
        <v>43862</v>
      </c>
      <c r="K7" s="59">
        <v>43891</v>
      </c>
      <c r="L7" s="59">
        <v>43922</v>
      </c>
      <c r="M7" s="59">
        <v>43952</v>
      </c>
      <c r="N7" s="59">
        <v>43983</v>
      </c>
      <c r="O7" s="59">
        <v>44013</v>
      </c>
      <c r="P7" s="59">
        <v>44044</v>
      </c>
      <c r="Q7" s="59">
        <v>44075</v>
      </c>
      <c r="R7" s="59">
        <v>44105</v>
      </c>
      <c r="S7" s="59">
        <v>44136</v>
      </c>
      <c r="T7" s="59">
        <v>44166</v>
      </c>
      <c r="U7" s="59">
        <v>44197</v>
      </c>
      <c r="V7" s="59">
        <v>44228</v>
      </c>
      <c r="W7" s="59">
        <v>44256</v>
      </c>
      <c r="X7" s="59">
        <v>44287</v>
      </c>
      <c r="Y7" s="59">
        <v>44317</v>
      </c>
      <c r="Z7" s="59">
        <v>44348</v>
      </c>
      <c r="AA7" s="59">
        <v>44378</v>
      </c>
      <c r="AB7" s="59">
        <v>44409</v>
      </c>
      <c r="AC7" s="59">
        <v>44440</v>
      </c>
      <c r="AD7" s="59">
        <v>44470</v>
      </c>
      <c r="AE7" s="59">
        <v>44501</v>
      </c>
      <c r="AF7" s="59">
        <v>44531</v>
      </c>
      <c r="AG7" s="59">
        <v>44562</v>
      </c>
      <c r="AH7" s="59">
        <v>44593</v>
      </c>
      <c r="AI7" s="59">
        <v>44621</v>
      </c>
      <c r="AJ7" s="59">
        <v>44652</v>
      </c>
      <c r="AK7" s="59">
        <v>44682</v>
      </c>
      <c r="AL7" s="59">
        <v>44713</v>
      </c>
      <c r="AM7" s="59">
        <v>44743</v>
      </c>
      <c r="AN7" s="59">
        <v>44774</v>
      </c>
      <c r="AO7" s="59">
        <v>44805</v>
      </c>
      <c r="AP7" s="59">
        <v>44835</v>
      </c>
      <c r="AQ7" s="59">
        <v>44866</v>
      </c>
      <c r="AR7" s="59">
        <v>44896</v>
      </c>
      <c r="AS7" s="59">
        <v>44927</v>
      </c>
      <c r="AT7" s="59">
        <v>44958</v>
      </c>
      <c r="AU7" s="59">
        <v>44986</v>
      </c>
      <c r="AV7" s="59">
        <v>45017</v>
      </c>
      <c r="AW7" s="59">
        <v>45047</v>
      </c>
      <c r="AX7" s="59">
        <v>45078</v>
      </c>
      <c r="AY7" s="59">
        <v>45108</v>
      </c>
      <c r="AZ7" s="59" t="s">
        <v>530</v>
      </c>
      <c r="BA7" s="59" t="s">
        <v>531</v>
      </c>
      <c r="BB7" s="59" t="s">
        <v>532</v>
      </c>
      <c r="BC7" s="59">
        <v>37104</v>
      </c>
      <c r="BD7" s="59">
        <v>37469</v>
      </c>
      <c r="BE7" s="59" t="s">
        <v>168</v>
      </c>
      <c r="BF7" s="59" t="s">
        <v>169</v>
      </c>
      <c r="BG7" s="59" t="s">
        <v>195</v>
      </c>
      <c r="BH7" s="59" t="s">
        <v>196</v>
      </c>
      <c r="BI7" s="59" t="s">
        <v>197</v>
      </c>
      <c r="BJ7" s="59" t="s">
        <v>198</v>
      </c>
      <c r="BK7" s="59" t="s">
        <v>199</v>
      </c>
      <c r="BL7" s="59" t="s">
        <v>200</v>
      </c>
      <c r="BM7" s="59" t="s">
        <v>201</v>
      </c>
      <c r="BN7" s="59" t="s">
        <v>202</v>
      </c>
      <c r="BO7" s="59">
        <v>37196</v>
      </c>
      <c r="BP7" s="59">
        <v>37561</v>
      </c>
      <c r="BQ7" s="59">
        <v>37926</v>
      </c>
      <c r="BR7" s="59">
        <v>38292</v>
      </c>
      <c r="BS7" s="59">
        <v>37226</v>
      </c>
      <c r="BT7" s="59">
        <v>37591</v>
      </c>
      <c r="BU7" s="59">
        <v>37956</v>
      </c>
      <c r="BV7" s="59">
        <v>38322</v>
      </c>
      <c r="BW7" s="59">
        <v>36892</v>
      </c>
      <c r="BX7" s="59">
        <v>37257</v>
      </c>
      <c r="BY7" s="59">
        <v>37622</v>
      </c>
      <c r="BZ7" s="59">
        <v>37987</v>
      </c>
      <c r="CA7" s="59">
        <v>36923</v>
      </c>
      <c r="CB7" s="59">
        <v>37288</v>
      </c>
      <c r="CC7" s="59">
        <v>37653</v>
      </c>
      <c r="CD7" s="59">
        <v>38018</v>
      </c>
      <c r="CE7" s="59" t="str">
        <f>Sheet8!A15</f>
        <v>Mar-w1</v>
      </c>
      <c r="CF7" s="59">
        <v>37316</v>
      </c>
      <c r="CG7" s="59">
        <v>37681</v>
      </c>
      <c r="CH7" s="59">
        <v>38047</v>
      </c>
      <c r="CI7" s="59" t="str">
        <f>Sheet8!E15</f>
        <v>Apr-w1</v>
      </c>
      <c r="CJ7" s="59" t="str">
        <f>Sheet8!F15</f>
        <v>Apr-w2</v>
      </c>
      <c r="CK7" s="59" t="str">
        <f>Sheet8!G15</f>
        <v>Apr-w3</v>
      </c>
      <c r="CL7" s="59" t="str">
        <f>Sheet8!H15</f>
        <v>Apr-w4</v>
      </c>
      <c r="CM7" s="59" t="str">
        <f>Sheet8!I15</f>
        <v>May-w1</v>
      </c>
      <c r="CN7" s="59" t="str">
        <f>Sheet8!J15</f>
        <v>May-w2</v>
      </c>
      <c r="CO7" s="59" t="str">
        <f>Sheet8!K15</f>
        <v>May-w3</v>
      </c>
      <c r="CP7" s="59" t="str">
        <f>Sheet8!L15</f>
        <v>May-w4</v>
      </c>
      <c r="CQ7" s="59" t="str">
        <f>Sheet8!M15</f>
        <v>May-w5</v>
      </c>
      <c r="CR7" s="59" t="str">
        <f>Sheet8!N15</f>
        <v>june-w1</v>
      </c>
      <c r="CS7" s="59" t="str">
        <f>Sheet8!O15</f>
        <v>june-w2</v>
      </c>
      <c r="CT7" s="59" t="str">
        <f>Sheet8!P15</f>
        <v>june-w3</v>
      </c>
      <c r="CU7" s="59" t="str">
        <f>Sheet8!Q15</f>
        <v>june-w4</v>
      </c>
      <c r="CV7" s="59" t="str">
        <f>Sheet8!R15</f>
        <v>Jul-w1</v>
      </c>
      <c r="CW7" s="59" t="str">
        <f>Sheet8!S15</f>
        <v>Jul-w2</v>
      </c>
      <c r="CX7" s="59" t="str">
        <f>Sheet8!T15</f>
        <v>Jul-w3</v>
      </c>
      <c r="CY7" s="59" t="str">
        <f>Sheet8!U15</f>
        <v>Jul-w4</v>
      </c>
      <c r="CZ7" s="59" t="str">
        <f>Sheet8!V15</f>
        <v>Aug-w1</v>
      </c>
      <c r="DA7" s="59" t="str">
        <f>Sheet8!W15</f>
        <v>Aug-w2</v>
      </c>
      <c r="DB7" s="59" t="str">
        <f>Sheet8!X15</f>
        <v>Aug-w3</v>
      </c>
      <c r="DC7" s="59" t="str">
        <f>Sheet8!Y15</f>
        <v>Aug-w4</v>
      </c>
      <c r="DD7" s="59" t="str">
        <f>Sheet8!Z15</f>
        <v>Sep-w1</v>
      </c>
      <c r="DE7" s="59" t="str">
        <f>Sheet8!AA15</f>
        <v>Sep-w2</v>
      </c>
      <c r="DF7" s="59" t="str">
        <f>Sheet8!AB15</f>
        <v>Sep-w3</v>
      </c>
      <c r="DG7" s="59" t="str">
        <f>Sheet8!AC15</f>
        <v>Sep-w4</v>
      </c>
      <c r="DH7" s="59" t="str">
        <f>Sheet8!AD15</f>
        <v>Oct-w1</v>
      </c>
      <c r="DI7" s="59" t="str">
        <f>Sheet8!AE15</f>
        <v>Oct-w2</v>
      </c>
      <c r="DJ7" s="59" t="str">
        <f>Sheet8!AF15</f>
        <v>Oct-w3</v>
      </c>
      <c r="DK7" s="59" t="str">
        <f>Sheet8!AG15</f>
        <v>Oct-w4</v>
      </c>
      <c r="DL7" s="59" t="str">
        <f>Sheet8!AH15</f>
        <v>Nov-w1</v>
      </c>
      <c r="DM7" s="59" t="str">
        <f>Sheet8!AI15</f>
        <v>Nov-w2</v>
      </c>
      <c r="DN7" s="59" t="str">
        <f>Sheet8!AJ15</f>
        <v>Nov-w3</v>
      </c>
      <c r="DO7" s="59" t="str">
        <f>Sheet8!AK15</f>
        <v>Nov-w4</v>
      </c>
      <c r="DP7" s="59" t="str">
        <f>Sheet8!AL15</f>
        <v>Dec-w1</v>
      </c>
      <c r="DQ7" s="59" t="str">
        <f>Sheet8!AM15</f>
        <v>Dec-w2</v>
      </c>
      <c r="DR7" s="59" t="str">
        <f>Sheet8!AN15</f>
        <v>Dec-w3</v>
      </c>
      <c r="DS7" s="59" t="str">
        <f>Sheet8!AO15</f>
        <v>Dec-w4</v>
      </c>
      <c r="DT7" s="59">
        <f>Sheet8!AP15</f>
        <v>0</v>
      </c>
    </row>
    <row r="8" spans="1:128">
      <c r="H8" s="178" t="s">
        <v>349</v>
      </c>
      <c r="I8" s="74">
        <f>VLOOKUP($H$8&amp;$F$1,'Input RM sheet'!$A:$BD,H1,0)</f>
        <v>0.70137406419165493</v>
      </c>
      <c r="J8" s="74">
        <f>VLOOKUP($H$8&amp;$F$1,'Input RM sheet'!$A:$BD,I1,0)</f>
        <v>0.69879777385197994</v>
      </c>
      <c r="K8" s="74">
        <f>VLOOKUP($H$8&amp;$F$1,'Input RM sheet'!$A:$DD,J1,0)</f>
        <v>0.67156455303782847</v>
      </c>
      <c r="L8" s="74">
        <f>VLOOKUP($H$8&amp;$F$1,'Input RM sheet'!$A:$DD,K1,0)</f>
        <v>0.45900664143266723</v>
      </c>
      <c r="M8" s="74">
        <f>VLOOKUP($H$8&amp;$F$1,'Input RM sheet'!$A:$DD,L1,0)</f>
        <v>0.46280227760143189</v>
      </c>
      <c r="N8" s="74">
        <f>VLOOKUP($H$8&amp;$F$1,'Input RM sheet'!$A:$DD,M1,0)</f>
        <v>0.46207133642120196</v>
      </c>
      <c r="O8" s="74">
        <f>VLOOKUP($H$8&amp;$F$1,'Input RM sheet'!$A:$DD,N1,0)</f>
        <v>0.46713854692098877</v>
      </c>
      <c r="P8" s="74">
        <f>VLOOKUP($H$8&amp;$F$1,'Input RM sheet'!$A:$DD,O1,0)</f>
        <v>0.51617647777519682</v>
      </c>
      <c r="Q8" s="74">
        <f>VLOOKUP($H$8&amp;$F$1,'Input RM sheet'!$A:$DD,P1,0)</f>
        <v>0.52356832621053739</v>
      </c>
      <c r="R8" s="74">
        <f>VLOOKUP($H$8&amp;$F$1,'Input RM sheet'!$A:$DD,Q1,0)</f>
        <v>0.60530084702628129</v>
      </c>
      <c r="S8" s="74">
        <f>VLOOKUP($H$8&amp;$F$1,'Input RM sheet'!$A:$DD,R1,0)</f>
        <v>0.61967720296031503</v>
      </c>
      <c r="T8" s="74">
        <f>VLOOKUP($H$8&amp;$F$1,'Input RM sheet'!$A:$DD,S1,0)</f>
        <v>0.61032040174195135</v>
      </c>
      <c r="U8" s="74">
        <f>VLOOKUP($H$8&amp;$F$1,'Input RM sheet'!$A:$DD,T1,0)</f>
        <v>0.62764939149459864</v>
      </c>
      <c r="V8" s="74">
        <f>VLOOKUP($H$8&amp;$F$1,'Input RM sheet'!$A:$DD,U1,0)</f>
        <v>0.63049450549450547</v>
      </c>
      <c r="W8" s="74">
        <f>VLOOKUP($H$8&amp;$F$1,'Input RM sheet'!$A:$DD,V1,0)</f>
        <v>0.81043956043956045</v>
      </c>
      <c r="X8" s="74">
        <f>VLOOKUP($H$8&amp;$F$1,'Input RM sheet'!$A:$DD,W1,0)</f>
        <v>0.75218267293485563</v>
      </c>
      <c r="Y8" s="74">
        <f>VLOOKUP($H$8&amp;$F$1,'Input RM sheet'!$A:$DD,X1,0)</f>
        <v>0.76450511945392496</v>
      </c>
      <c r="Z8" s="74">
        <f>VLOOKUP($H$8&amp;$F$1,'Input RM sheet'!$A:$DD,Y1,0)</f>
        <v>0.80228447103617073</v>
      </c>
      <c r="AA8" s="74">
        <f>VLOOKUP($H$8&amp;$F$1,'Input RM sheet'!$A:$DD,Z1,0)</f>
        <v>0.79162753253723328</v>
      </c>
      <c r="AB8" s="74">
        <f>VLOOKUP($H$8&amp;$F$1,'Input RM sheet'!$A:$DD,AA1,0)</f>
        <v>0.79557713052858692</v>
      </c>
      <c r="AC8" s="74">
        <f>VLOOKUP($H$8&amp;$F$1,'Input RM sheet'!$A:$DD,AB1,0)</f>
        <v>0.80217539089055068</v>
      </c>
      <c r="AD8" s="74">
        <f>VLOOKUP($H$8&amp;$F$1,'Input RM sheet'!$A:$DD,AC1,0)</f>
        <v>0.86770791616606602</v>
      </c>
      <c r="AE8" s="74">
        <f>VLOOKUP($H$8&amp;$F$1,'Input RM sheet'!$A:$DD,AD1,0)</f>
        <v>0.80569356787968316</v>
      </c>
      <c r="AF8" s="74">
        <f>VLOOKUP($H$8&amp;$F$1,'Input RM sheet'!$A:$DD,AE1,0)</f>
        <v>0.74250861840360649</v>
      </c>
      <c r="AG8" s="74">
        <f>VLOOKUP($H$8&amp;$F$1,'Input RM sheet'!$A:$DD,AF1,0)</f>
        <v>0.80591000671591673</v>
      </c>
      <c r="AH8" s="74">
        <f>VLOOKUP($H$8&amp;$F$1,'Input RM sheet'!$A:$DD,AG1,0)</f>
        <v>1.0272145144076841</v>
      </c>
      <c r="AI8" s="74">
        <f>VLOOKUP($H$8&amp;$F$1,'Input RM sheet'!$A:$DD,AH1,0)</f>
        <v>1.3121637580370031</v>
      </c>
      <c r="AJ8" s="74">
        <f>VLOOKUP($H$8&amp;$F$1,'Input RM sheet'!$A:$DD,AI1,0)</f>
        <v>1.2694586249734574</v>
      </c>
      <c r="AK8" s="74">
        <f>VLOOKUP($H$8&amp;$F$1,'Input RM sheet'!$A:$DD,AJ1,0)</f>
        <v>1.2545384058502878</v>
      </c>
      <c r="AL8" s="74">
        <f>VLOOKUP($H$8&amp;$F$1,'Input RM sheet'!$A:$DD,AK1,0)</f>
        <v>1.2424018597137343</v>
      </c>
      <c r="AM8" s="74">
        <f>VLOOKUP($H$8&amp;$F$1,'Input RM sheet'!$A:$DD,AL1,0)</f>
        <v>1.2939446143847639</v>
      </c>
      <c r="AN8" s="74">
        <f>VLOOKUP($H$8&amp;$F$1,'Input RM sheet'!$A:$DD,AM1,0)</f>
        <v>1.0685515636890255</v>
      </c>
      <c r="AO8" s="74">
        <f>VLOOKUP($H$8&amp;$F$1,'Input RM sheet'!$A:$DD,AN1,0)</f>
        <v>1.0594335418472283</v>
      </c>
      <c r="AP8" s="74">
        <f>VLOOKUP($H$8&amp;$F$1,'Input RM sheet'!$A:$DD,AO1,0)</f>
        <v>1.1780405946311707</v>
      </c>
      <c r="AQ8" s="74">
        <f>VLOOKUP($H$8&amp;$F$1,'Input RM sheet'!$A:$DD,AP1,0)</f>
        <v>1.0756562973127974</v>
      </c>
      <c r="AR8" s="74">
        <f>VLOOKUP($H$8&amp;$F$1,'Input RM sheet'!$A:$DD,AQ1,0)</f>
        <v>0.94370632506320806</v>
      </c>
      <c r="AS8" s="74">
        <f>VLOOKUP($H$8&amp;$F$1,'Input RM sheet'!$A:$DD,AR1,0)</f>
        <v>0.95021232154541868</v>
      </c>
      <c r="AT8" s="74">
        <f>VLOOKUP($H$8&amp;$F$1,'Input RM sheet'!$A:$DD,AS1,0)</f>
        <v>1.0594039452446462</v>
      </c>
      <c r="AU8" s="74">
        <f>VLOOKUP($H$8&amp;$F$1,'Input RM sheet'!$A:$DD,AT1,0)</f>
        <v>1.0594039452446462</v>
      </c>
      <c r="AV8" s="74">
        <f>VLOOKUP($H$8&amp;$F$1,'Input RM sheet'!$A:$DD,AU1,0)</f>
        <v>1.0959351157703237</v>
      </c>
      <c r="AW8" s="74">
        <f>VLOOKUP($H$8&amp;$F$1,'Input RM sheet'!$A:$DD,AV1,0)</f>
        <v>1.0959351157703237</v>
      </c>
      <c r="AX8" s="74">
        <f>VLOOKUP($H$8&amp;$F$1,'Input RM sheet'!$A:$DD,AW1,0)</f>
        <v>0.95757575757575752</v>
      </c>
      <c r="AY8" s="74">
        <f>VLOOKUP($H$8&amp;$F$1,'Input RM sheet'!$A:$DD,AX1,0)</f>
        <v>0.97040271712760795</v>
      </c>
      <c r="AZ8" s="74">
        <f>VLOOKUP($H$8&amp;$F$1,'Input RM sheet'!$A:$DD,AY1,0)</f>
        <v>0.97347286444390357</v>
      </c>
      <c r="BA8" s="74">
        <f>VLOOKUP($H$8&amp;$F$1,'Input RM sheet'!$A:$DD,AZ1,0)</f>
        <v>0.9765625</v>
      </c>
      <c r="BB8" s="74">
        <f>VLOOKUP($H$8&amp;$F$1,'Input RM sheet'!$A:$DD,BA1,0)</f>
        <v>0.97252613663992216</v>
      </c>
      <c r="BC8" s="74">
        <f>VLOOKUP($H$8&amp;$F$1,'Input RM sheet'!$A:$DD,BB1,0)</f>
        <v>1.0805263793311601</v>
      </c>
      <c r="BD8" s="74">
        <f>VLOOKUP($H$8&amp;$F$1,'Input RM sheet'!$A:$DD,BC1,0)</f>
        <v>1.075075075075075</v>
      </c>
      <c r="BE8" s="74">
        <f>VLOOKUP($H$8&amp;$F$1,'Input RM sheet'!$A:$DD,BD1,0)</f>
        <v>1.075075075075075</v>
      </c>
      <c r="BF8" s="74">
        <f>VLOOKUP($H$8&amp;$F$1,'Input RM sheet'!$A:$DD,BE1,0)</f>
        <v>1.0828796128251663</v>
      </c>
      <c r="BG8" s="74">
        <f>VLOOKUP($H$8&amp;$F$1,'Input RM sheet'!$A:$DD,BF1,0)</f>
        <v>1.1077664057796508</v>
      </c>
      <c r="BH8" s="74">
        <f>VLOOKUP($H$8&amp;$F$1,'Input RM sheet'!$A:$DD,BG1,0)</f>
        <v>1.1092355919942127</v>
      </c>
      <c r="BI8" s="74">
        <f>VLOOKUP($H$8&amp;$F$1,'Input RM sheet'!$A:$DD,BH1,0)</f>
        <v>1.1093693476425901</v>
      </c>
      <c r="BJ8" s="74">
        <f>VLOOKUP($H$8&amp;$F$1,'Input RM sheet'!$A:$DD,BI1,0)</f>
        <v>1.1049723756906076</v>
      </c>
      <c r="BK8" s="74">
        <f>VLOOKUP($H$8&amp;$F$1,'Input RM sheet'!$A:$DD,BJ1,0)</f>
        <v>1.0934871425138188</v>
      </c>
      <c r="BL8" s="74">
        <f>VLOOKUP($H$8&amp;$F$1,'Input RM sheet'!$A:$DD,BK1,0)</f>
        <v>1.0930930930930931</v>
      </c>
      <c r="BM8" s="74">
        <f>VLOOKUP($H$8&amp;$F$1,'Input RM sheet'!$A:$DD,BL1,0)</f>
        <v>1.0948026948989413</v>
      </c>
      <c r="BN8" s="74">
        <f>VLOOKUP($H$8&amp;$F$1,'Input RM sheet'!$A:$DD,BM1,0)</f>
        <v>1.0929618063896227</v>
      </c>
      <c r="BO8" s="74">
        <f>VLOOKUP($H$8&amp;$F$1,'Input RM sheet'!$A:$DD,BN1,0)</f>
        <v>0.98534006248497963</v>
      </c>
      <c r="BP8" s="74">
        <f>VLOOKUP($H$8&amp;$F$1,'Input RM sheet'!$A:$DD,BO1,0)</f>
        <v>0.98569539608125978</v>
      </c>
      <c r="BQ8" s="74">
        <f>VLOOKUP($H$8&amp;$F$1,'Input RM sheet'!$A:$DD,BP1,0)</f>
        <v>0.98569539608125978</v>
      </c>
      <c r="BR8" s="74">
        <f>VLOOKUP($H$8&amp;$F$1,'Input RM sheet'!$A:$DD,BQ1,0)</f>
        <v>0.98403936157446303</v>
      </c>
      <c r="BS8" s="74">
        <f>VLOOKUP($H$8&amp;$F$1,'Input RM sheet'!$A:$DD,BR1,0)</f>
        <v>0.92326139088729009</v>
      </c>
      <c r="BT8" s="74">
        <f>VLOOKUP($H$8&amp;$F$1,'Input RM sheet'!$A:$DD,BS1,0)</f>
        <v>0.9237044145873321</v>
      </c>
      <c r="BU8" s="74">
        <f>VLOOKUP($H$8&amp;$F$1,'Input RM sheet'!$A:$DD,BT1,0)</f>
        <v>0.92503604036520914</v>
      </c>
      <c r="BV8" s="74">
        <f>VLOOKUP($H$8&amp;$F$1,'Input RM sheet'!$A:$DD,BU1,0)</f>
        <v>0.92414786365818535</v>
      </c>
      <c r="BW8" s="74">
        <f>VLOOKUP($H$8&amp;$F$1,'Input RM sheet'!$A:$DD,BV1,0)</f>
        <v>0.95020447438056288</v>
      </c>
      <c r="BX8" s="74">
        <f>VLOOKUP($H$8&amp;$F$1,'Input RM sheet'!$A:$DD,BW1,0)</f>
        <v>0.9500901984365604</v>
      </c>
      <c r="BY8" s="74">
        <f>VLOOKUP($H$8&amp;$F$1,'Input RM sheet'!$A:$DD,BX1,0)</f>
        <v>0.94894894894894899</v>
      </c>
      <c r="BZ8" s="74">
        <f>VLOOKUP($H$8&amp;$F$1,'Input RM sheet'!$A:$DD,BY1,0)</f>
        <v>0.95111967252588492</v>
      </c>
      <c r="CA8" s="74">
        <f>VLOOKUP($H$8&amp;$F$1,'Input RM sheet'!$A:$DD,BZ1,0)</f>
        <v>1.0180722891566265</v>
      </c>
      <c r="CB8" s="74">
        <f>VLOOKUP($H$8&amp;$F$1,'Input RM sheet'!$A:$DD,CA1,0)</f>
        <v>1.01794964462113</v>
      </c>
      <c r="CC8" s="74">
        <f>VLOOKUP($H$8&amp;$F$1,'Input RM sheet'!$A:$DD,CB1,0)</f>
        <v>1.0193003618817853</v>
      </c>
      <c r="CD8" s="74">
        <f>VLOOKUP($H$8&amp;$F$1,'Input RM sheet'!$A:$DD,CC1,0)</f>
        <v>1.0193003618817853</v>
      </c>
      <c r="CE8" s="74">
        <f>VLOOKUP($H$8&amp;$F$1,'Input RM sheet'!$A:$DD,CD1,0)</f>
        <v>1.0217654171704957</v>
      </c>
      <c r="CF8" s="74">
        <f>VLOOKUP($H$8&amp;$F$1,'Input RM sheet'!$A:$DD,CE1,0)</f>
        <v>1.0210246495891735</v>
      </c>
      <c r="CG8" s="74">
        <f>VLOOKUP($H$8&amp;$F$1,'Input RM sheet'!$A:$DD,CF1,0)</f>
        <v>1.0148931059332211</v>
      </c>
      <c r="CH8" s="74">
        <f>VLOOKUP($H$8&amp;$F$1,'Input RM sheet'!$A:$DD,CG1,0)</f>
        <v>1.0133109485549827</v>
      </c>
      <c r="CI8" s="74">
        <f>VLOOKUP($H$8&amp;$F$1,'Input RM sheet'!$A:$DD,CH1,0)</f>
        <v>1.0395385170051676</v>
      </c>
      <c r="CJ8" s="74">
        <f>VLOOKUP($H$8&amp;$F$1,'Input RM sheet'!$A:$DD,CI1,0)</f>
        <v>1.0371702637889688</v>
      </c>
      <c r="CK8" s="74">
        <f>VLOOKUP($H$8&amp;$F$1,'Input RM sheet'!$A:$DD,CJ1,0)</f>
        <v>1.0345652433919388</v>
      </c>
      <c r="CL8" s="74">
        <f>VLOOKUP($H$8&amp;$F$1,'Input RM sheet'!$A:$DD,CK1,0)</f>
        <v>1.0369216015344043</v>
      </c>
      <c r="CM8" s="74">
        <f>VLOOKUP($H$8&amp;$F$1,'Input RM sheet'!$A:$DD,CL1,0)</f>
        <v>1.0419161676646707</v>
      </c>
      <c r="CN8" s="74">
        <f>VLOOKUP($H$8&amp;$F$1,'Input RM sheet'!$A:$DD,CM1,0)</f>
        <v>1.0437912417516497</v>
      </c>
      <c r="CO8" s="74">
        <f>VLOOKUP($H$8&amp;$F$1,'Input RM sheet'!$A:$DD,CN1,0)</f>
        <v>1.0437912417516497</v>
      </c>
      <c r="CP8" s="74">
        <f>VLOOKUP($H$8&amp;$F$1,'Input RM sheet'!$A:$DD,CO1,0)</f>
        <v>1.0437912417516497</v>
      </c>
      <c r="CQ8" s="74">
        <f>VLOOKUP($H$8&amp;$F$1,'Input RM sheet'!$A:$DD,CP1,0)</f>
        <v>1.0437912417516497</v>
      </c>
      <c r="CR8" s="74">
        <f>VLOOKUP($H$8&amp;$F$1,'Input RM sheet'!$A:$ZZ,CQ1,0)</f>
        <v>1.0281320777208249</v>
      </c>
      <c r="CS8" s="74">
        <f>VLOOKUP($H$8&amp;$F$1,'Input RM sheet'!$A:$ZZ,CR1,0)</f>
        <v>1.0341726618705036</v>
      </c>
      <c r="CT8" s="74">
        <f>VLOOKUP($H$8&amp;$F$1,'Input RM sheet'!$A:$ZZ,CS1,0)</f>
        <v>1.032934131736527</v>
      </c>
      <c r="CU8" s="74">
        <f>VLOOKUP($H$8&amp;$F$1,'Input RM sheet'!$A:$ZZ,CT1,0)</f>
        <v>1.0335530257639305</v>
      </c>
      <c r="CV8" s="74">
        <f>VLOOKUP($H$8&amp;$F$1,'Input RM sheet'!$A:$ZZ,CU1,0)</f>
        <v>1.0333053791781479</v>
      </c>
      <c r="CW8" s="74">
        <f>VLOOKUP($H$8&amp;$F$1,'Input RM sheet'!$A:$ZZ,CV1,0)</f>
        <v>1.0323159784560143</v>
      </c>
      <c r="CX8" s="74">
        <f>VLOOKUP($H$8&amp;$F$1,'Input RM sheet'!$A:$ZZ,CW1,0)</f>
        <v>1.0304659498207884</v>
      </c>
      <c r="CY8" s="74">
        <f>VLOOKUP($H$8&amp;$F$1,'Input RM sheet'!$A:$ZZ,CX1,0)</f>
        <v>0.98530992475815116</v>
      </c>
      <c r="CZ8" s="74">
        <f>VLOOKUP($H$8&amp;$F$1,'Input RM sheet'!$A:$ZZ,CY1,0)</f>
        <v>0.98272781417510424</v>
      </c>
      <c r="DA8" s="74">
        <f>VLOOKUP($H$8&amp;$F$1,'Input RM sheet'!$A:$ZZ,CZ1,0)</f>
        <v>0.98261076703192007</v>
      </c>
      <c r="DB8" s="74">
        <f>VLOOKUP($H$8&amp;$F$1,'Input RM sheet'!$A:$ZZ,DA1,0)</f>
        <v>0.96543504171632888</v>
      </c>
      <c r="DC8" s="74">
        <f>VLOOKUP($H$8&amp;$F$1,'Input RM sheet'!$A:$ZZ,DB1,0)</f>
        <v>0.96555012516390515</v>
      </c>
      <c r="DD8" s="74">
        <f>VLOOKUP($H$8&amp;$F$1,'Input RM sheet'!$A:$ZZ,DC1,0)</f>
        <v>0.96474511672224872</v>
      </c>
      <c r="DE8" s="74">
        <f>VLOOKUP($H$8&amp;$F$1,'Input RM sheet'!$A:$ZZ,DD1,0)</f>
        <v>0.96474511672224872</v>
      </c>
      <c r="DF8" s="74">
        <f>VLOOKUP($H$8&amp;$F$1,'Input RM sheet'!$A:$ZZ,DE1,0)</f>
        <v>0.96913137114142145</v>
      </c>
      <c r="DG8" s="74">
        <f>VLOOKUP($H$8&amp;$F$1,'Input RM sheet'!$A:$ZZ,DF1,0)</f>
        <v>0.96820463781974664</v>
      </c>
      <c r="DH8" s="74">
        <f>VLOOKUP($H$8&amp;$F$1,'Input RM sheet'!$A:$ZZ,DG1,0)</f>
        <v>0.96463022508038587</v>
      </c>
      <c r="DI8" s="74">
        <f>VLOOKUP($H$8&amp;$F$1,'Input RM sheet'!$A:$ZZ,DH1,0)</f>
        <v>0.96348281194242902</v>
      </c>
      <c r="DJ8" s="74">
        <f>VLOOKUP($H$8&amp;$F$1,'Input RM sheet'!$A:$ZZ,DI1,0)</f>
        <v>0.96348281194242902</v>
      </c>
      <c r="DK8" s="74">
        <f>VLOOKUP($H$8&amp;$F$1,'Input RM sheet'!$A:$ZZ,DJ1,0)</f>
        <v>0.96336822074215034</v>
      </c>
      <c r="DL8" s="74">
        <f>VLOOKUP($H$8&amp;$F$1,'Input RM sheet'!$A:$ZZ,DK1,0)</f>
        <v>0.96291012838801704</v>
      </c>
      <c r="DM8" s="74">
        <f>VLOOKUP($H$8&amp;$F$1,'Input RM sheet'!$A:$ZZ,DL1,0)</f>
        <v>0.95971563981042651</v>
      </c>
    </row>
    <row r="9" spans="1:128">
      <c r="H9" s="107"/>
      <c r="I9" s="74"/>
      <c r="J9" s="74"/>
      <c r="K9" s="74"/>
      <c r="L9" s="74"/>
      <c r="M9" s="74"/>
      <c r="N9" s="74"/>
      <c r="O9" s="74"/>
      <c r="P9" s="74"/>
      <c r="Q9" s="74"/>
      <c r="R9" s="74"/>
      <c r="S9" s="74"/>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74"/>
      <c r="BG9" s="74"/>
      <c r="BH9" s="74"/>
      <c r="BI9" s="74"/>
      <c r="BJ9" s="74"/>
      <c r="BK9" s="74"/>
      <c r="BL9" s="74"/>
      <c r="BM9" s="74"/>
      <c r="BN9" s="74"/>
      <c r="BO9" s="74"/>
      <c r="BP9" s="74"/>
      <c r="BQ9" s="74"/>
      <c r="BR9" s="74"/>
      <c r="BS9" s="74"/>
      <c r="BT9" s="74"/>
      <c r="BU9" s="74"/>
      <c r="BV9" s="74"/>
      <c r="BW9" s="74"/>
      <c r="BX9" s="74"/>
      <c r="BY9" s="74"/>
      <c r="BZ9" s="74"/>
      <c r="CA9" s="74"/>
      <c r="CB9" s="74"/>
      <c r="CC9" s="74"/>
      <c r="CD9" s="74"/>
      <c r="CE9" s="74"/>
      <c r="CF9" s="74"/>
      <c r="CG9" s="74"/>
      <c r="CH9" s="74"/>
      <c r="CI9" s="74"/>
      <c r="CJ9" s="74"/>
      <c r="CK9" s="74"/>
      <c r="CL9" s="74"/>
      <c r="CM9" s="74"/>
      <c r="CN9" s="74"/>
      <c r="CO9" s="74"/>
      <c r="CP9" s="74"/>
      <c r="CQ9" s="74"/>
      <c r="CR9" s="74"/>
      <c r="CS9" s="74"/>
      <c r="CT9" s="74"/>
      <c r="CU9" s="74"/>
      <c r="CV9" s="74"/>
      <c r="CW9" s="74"/>
      <c r="CX9" s="74"/>
      <c r="CY9" s="74"/>
      <c r="CZ9" s="74"/>
      <c r="DA9" s="74"/>
      <c r="DB9" s="74"/>
      <c r="DC9" s="74"/>
      <c r="DD9" s="74"/>
      <c r="DE9" s="74"/>
      <c r="DF9" s="74"/>
      <c r="DG9" s="74"/>
      <c r="DH9" s="74"/>
      <c r="DI9" s="74"/>
      <c r="DJ9" s="74"/>
      <c r="DK9" s="74"/>
      <c r="DL9" s="74"/>
      <c r="DM9" s="74"/>
    </row>
    <row r="10" spans="1:128" ht="13">
      <c r="A10" s="59" t="s">
        <v>395</v>
      </c>
      <c r="B10" s="59"/>
      <c r="C10" s="59" t="s">
        <v>379</v>
      </c>
      <c r="D10" s="98" t="s">
        <v>380</v>
      </c>
      <c r="E10" s="98" t="s">
        <v>381</v>
      </c>
      <c r="F10" s="59" t="s">
        <v>396</v>
      </c>
      <c r="I10" s="84"/>
      <c r="J10" s="84"/>
      <c r="K10" s="84"/>
      <c r="L10" s="84"/>
      <c r="M10" s="84"/>
      <c r="N10" s="84"/>
      <c r="O10" s="84"/>
      <c r="P10" s="84"/>
      <c r="Q10" s="84"/>
      <c r="R10" s="84"/>
      <c r="S10" s="84"/>
      <c r="T10" s="84"/>
      <c r="U10" s="84"/>
      <c r="V10" s="84"/>
      <c r="W10" s="84"/>
      <c r="X10" s="84"/>
      <c r="Y10" s="84"/>
      <c r="Z10" s="84"/>
      <c r="AA10" s="84"/>
      <c r="AB10" s="84"/>
      <c r="AC10" s="84"/>
      <c r="AD10" s="84"/>
      <c r="AE10" s="84"/>
      <c r="AF10" s="84"/>
      <c r="AG10" s="84"/>
      <c r="AH10" s="84"/>
      <c r="AI10" s="84"/>
      <c r="AJ10" s="84"/>
      <c r="AK10" s="84"/>
      <c r="AL10" s="84"/>
      <c r="AM10" s="84"/>
      <c r="AN10" s="84"/>
      <c r="AO10" s="84"/>
      <c r="AP10" s="84"/>
      <c r="AQ10" s="84"/>
      <c r="AR10" s="84"/>
      <c r="AS10" s="84"/>
      <c r="AT10" s="84"/>
      <c r="AU10" s="84"/>
      <c r="AV10" s="84"/>
      <c r="AW10" s="84"/>
      <c r="AX10" s="84"/>
      <c r="AY10" s="84"/>
      <c r="AZ10" s="84"/>
      <c r="BA10" s="84"/>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84"/>
      <c r="CE10" s="84"/>
      <c r="CF10" s="84"/>
      <c r="CG10" s="84"/>
      <c r="CH10" s="84"/>
      <c r="CI10" s="84"/>
      <c r="CJ10" s="84"/>
      <c r="CK10" s="84"/>
      <c r="CL10" s="84"/>
      <c r="CM10" s="84"/>
      <c r="CN10" s="84"/>
      <c r="CO10" s="84"/>
      <c r="CP10" s="84"/>
      <c r="CQ10" s="84"/>
      <c r="CR10" s="84"/>
      <c r="CS10" s="84"/>
      <c r="CT10" s="84"/>
      <c r="CU10" s="84"/>
      <c r="CV10" s="84"/>
      <c r="CW10" s="84"/>
      <c r="CX10" s="84"/>
      <c r="CY10" s="84"/>
      <c r="CZ10" s="84"/>
      <c r="DA10" s="84"/>
      <c r="DB10" s="84"/>
      <c r="DC10" s="84"/>
      <c r="DD10" s="84"/>
      <c r="DE10" s="84"/>
      <c r="DF10" s="84"/>
      <c r="DG10" s="84"/>
      <c r="DH10" s="84"/>
      <c r="DI10" s="84"/>
      <c r="DJ10" s="84"/>
      <c r="DK10" s="84"/>
      <c r="DL10" s="84"/>
      <c r="DM10" s="84"/>
    </row>
    <row r="11" spans="1:128" ht="13">
      <c r="A11" s="107" t="s">
        <v>397</v>
      </c>
      <c r="B11" s="334" t="s">
        <v>812</v>
      </c>
      <c r="C11" s="60">
        <v>1</v>
      </c>
      <c r="D11" s="77">
        <v>106.16</v>
      </c>
      <c r="E11" s="60">
        <f>D11*C11</f>
        <v>106.16</v>
      </c>
      <c r="F11" s="65">
        <f>E11/D3</f>
        <v>1.1279218019549511</v>
      </c>
      <c r="H11" s="60" t="s">
        <v>399</v>
      </c>
      <c r="I11" s="74">
        <f>$F$11*I8</f>
        <v>0.7910950983275189</v>
      </c>
      <c r="J11" s="74">
        <f t="shared" ref="J11:BU11" si="0">$F$11*J8</f>
        <v>0.78818924428523363</v>
      </c>
      <c r="K11" s="74">
        <f t="shared" si="0"/>
        <v>0.75747230079149874</v>
      </c>
      <c r="L11" s="74">
        <f t="shared" si="0"/>
        <v>0.51772359811402413</v>
      </c>
      <c r="M11" s="74">
        <f t="shared" si="0"/>
        <v>0.52200477890106256</v>
      </c>
      <c r="N11" s="74">
        <f t="shared" si="0"/>
        <v>0.52118033440793454</v>
      </c>
      <c r="O11" s="74">
        <f t="shared" si="0"/>
        <v>0.52689575160573909</v>
      </c>
      <c r="P11" s="74">
        <f t="shared" si="0"/>
        <v>0.58220670293895971</v>
      </c>
      <c r="Q11" s="74">
        <f t="shared" si="0"/>
        <v>0.59054412994592698</v>
      </c>
      <c r="R11" s="74">
        <f t="shared" si="0"/>
        <v>0.68273202210274142</v>
      </c>
      <c r="S11" s="74">
        <f t="shared" si="0"/>
        <v>0.69894742739340243</v>
      </c>
      <c r="T11" s="74">
        <f t="shared" si="0"/>
        <v>0.68839368730265138</v>
      </c>
      <c r="U11" s="74">
        <f t="shared" si="0"/>
        <v>0.70793943265051629</v>
      </c>
      <c r="V11" s="74">
        <f t="shared" si="0"/>
        <v>0.71114849876005837</v>
      </c>
      <c r="W11" s="74">
        <f t="shared" si="0"/>
        <v>0.91411244938656744</v>
      </c>
      <c r="X11" s="74">
        <f t="shared" si="0"/>
        <v>0.84840323585597399</v>
      </c>
      <c r="Y11" s="74">
        <f t="shared" si="0"/>
        <v>0.86230199193825618</v>
      </c>
      <c r="Z11" s="74">
        <f t="shared" si="0"/>
        <v>0.90491414625159239</v>
      </c>
      <c r="AA11" s="74">
        <f t="shared" si="0"/>
        <v>0.89289395297654783</v>
      </c>
      <c r="AB11" s="74">
        <f t="shared" si="0"/>
        <v>0.8973487906599531</v>
      </c>
      <c r="AC11" s="74">
        <f t="shared" si="0"/>
        <v>0.90479111237718712</v>
      </c>
      <c r="AD11" s="74">
        <f t="shared" si="0"/>
        <v>0.97870667637260478</v>
      </c>
      <c r="AE11" s="74">
        <f t="shared" si="0"/>
        <v>0.9087593409063659</v>
      </c>
      <c r="AF11" s="74">
        <f t="shared" si="0"/>
        <v>0.83749165883687693</v>
      </c>
      <c r="AG11" s="74">
        <f t="shared" si="0"/>
        <v>0.90900346698854351</v>
      </c>
      <c r="AH11" s="74">
        <f t="shared" si="0"/>
        <v>1.1586176460849951</v>
      </c>
      <c r="AI11" s="74">
        <f t="shared" si="0"/>
        <v>1.4800181104250769</v>
      </c>
      <c r="AJ11" s="74">
        <f t="shared" si="0"/>
        <v>1.4318500597873165</v>
      </c>
      <c r="AK11" s="74">
        <f t="shared" si="0"/>
        <v>1.4150212193483482</v>
      </c>
      <c r="AL11" s="74">
        <f t="shared" si="0"/>
        <v>1.4013321443604976</v>
      </c>
      <c r="AM11" s="74">
        <f t="shared" si="0"/>
        <v>1.4594683410867673</v>
      </c>
      <c r="AN11" s="74">
        <f t="shared" si="0"/>
        <v>1.2052426051979064</v>
      </c>
      <c r="AO11" s="74">
        <f t="shared" si="0"/>
        <v>1.1949581895718417</v>
      </c>
      <c r="AP11" s="74">
        <f t="shared" si="0"/>
        <v>1.328737670272472</v>
      </c>
      <c r="AQ11" s="74">
        <f t="shared" si="0"/>
        <v>1.213256189149241</v>
      </c>
      <c r="AR11" s="74">
        <f t="shared" si="0"/>
        <v>1.0644269386815783</v>
      </c>
      <c r="AS11" s="74">
        <f t="shared" si="0"/>
        <v>1.0717651939573061</v>
      </c>
      <c r="AT11" s="74">
        <f t="shared" si="0"/>
        <v>1.1949248069185257</v>
      </c>
      <c r="AU11" s="74">
        <f t="shared" si="0"/>
        <v>1.1949248069185257</v>
      </c>
      <c r="AV11" s="74">
        <f t="shared" si="0"/>
        <v>1.2361291106053713</v>
      </c>
      <c r="AW11" s="74">
        <f t="shared" si="0"/>
        <v>1.2361291106053713</v>
      </c>
      <c r="AX11" s="74">
        <f t="shared" si="0"/>
        <v>1.0800705739932257</v>
      </c>
      <c r="AY11" s="74">
        <f t="shared" si="0"/>
        <v>1.0945383813245522</v>
      </c>
      <c r="AZ11" s="74">
        <f t="shared" si="0"/>
        <v>1.0980012674178155</v>
      </c>
      <c r="BA11" s="74">
        <f t="shared" si="0"/>
        <v>1.1014861347216318</v>
      </c>
      <c r="BB11" s="74">
        <f t="shared" si="0"/>
        <v>1.096933432487188</v>
      </c>
      <c r="BC11" s="74">
        <f t="shared" si="0"/>
        <v>1.2187492608350612</v>
      </c>
      <c r="BD11" s="74">
        <f t="shared" si="0"/>
        <v>1.2126006159155329</v>
      </c>
      <c r="BE11" s="74">
        <f t="shared" si="0"/>
        <v>1.2126006159155329</v>
      </c>
      <c r="BF11" s="74">
        <f t="shared" si="0"/>
        <v>1.2214035241980414</v>
      </c>
      <c r="BG11" s="74">
        <f t="shared" si="0"/>
        <v>1.2494738805521433</v>
      </c>
      <c r="BH11" s="74">
        <f t="shared" si="0"/>
        <v>1.2511310077146793</v>
      </c>
      <c r="BI11" s="74">
        <f t="shared" si="0"/>
        <v>1.2512818736266187</v>
      </c>
      <c r="BJ11" s="74">
        <f t="shared" si="0"/>
        <v>1.2463224330993932</v>
      </c>
      <c r="BK11" s="74">
        <f t="shared" si="0"/>
        <v>1.2333679881987569</v>
      </c>
      <c r="BL11" s="74">
        <f t="shared" si="0"/>
        <v>1.2329235312660727</v>
      </c>
      <c r="BM11" s="74">
        <f t="shared" si="0"/>
        <v>1.2348518284155505</v>
      </c>
      <c r="BN11" s="74">
        <f>$F$11*BN8</f>
        <v>1.2327754501309216</v>
      </c>
      <c r="BO11" s="74">
        <f t="shared" si="0"/>
        <v>1.1113865388164623</v>
      </c>
      <c r="BP11" s="74">
        <f t="shared" si="0"/>
        <v>1.1117873273266738</v>
      </c>
      <c r="BQ11" s="74">
        <f t="shared" si="0"/>
        <v>1.1117873273266738</v>
      </c>
      <c r="BR11" s="74">
        <f t="shared" si="0"/>
        <v>1.109919449901668</v>
      </c>
      <c r="BS11" s="74">
        <f t="shared" si="0"/>
        <v>1.0413666516850266</v>
      </c>
      <c r="BT11" s="74">
        <f t="shared" si="0"/>
        <v>1.0418663477750869</v>
      </c>
      <c r="BU11" s="74">
        <f t="shared" si="0"/>
        <v>1.0433683175219997</v>
      </c>
      <c r="BV11" s="74">
        <f t="shared" ref="BV11:CR11" si="1">$F$11*BV8</f>
        <v>1.0423665236501589</v>
      </c>
      <c r="BW11" s="74">
        <f t="shared" si="1"/>
        <v>1.0717563429689816</v>
      </c>
      <c r="BX11" s="74">
        <f t="shared" si="1"/>
        <v>1.0716274486403021</v>
      </c>
      <c r="BY11" s="74">
        <f t="shared" si="1"/>
        <v>1.0703402084617555</v>
      </c>
      <c r="BZ11" s="74">
        <f t="shared" si="1"/>
        <v>1.0727886149101991</v>
      </c>
      <c r="CA11" s="74">
        <f t="shared" si="1"/>
        <v>1.1483059309059442</v>
      </c>
      <c r="CB11" s="74">
        <f t="shared" si="1"/>
        <v>1.148167597460467</v>
      </c>
      <c r="CC11" s="74">
        <f t="shared" si="1"/>
        <v>1.149691100907037</v>
      </c>
      <c r="CD11" s="74">
        <f t="shared" si="1"/>
        <v>1.149691100907037</v>
      </c>
      <c r="CE11" s="74">
        <f t="shared" si="1"/>
        <v>1.1524714905101978</v>
      </c>
      <c r="CF11" s="74">
        <f t="shared" si="1"/>
        <v>1.151635962605043</v>
      </c>
      <c r="CG11" s="74">
        <f t="shared" si="1"/>
        <v>1.1447200608358559</v>
      </c>
      <c r="CH11" s="74">
        <f t="shared" si="1"/>
        <v>1.1429355110348167</v>
      </c>
      <c r="CI11" s="74">
        <f t="shared" si="1"/>
        <v>1.1725181573020462</v>
      </c>
      <c r="CJ11" s="74">
        <f t="shared" si="1"/>
        <v>1.1698469528669457</v>
      </c>
      <c r="CK11" s="74">
        <f t="shared" si="1"/>
        <v>1.1669086935665982</v>
      </c>
      <c r="CL11" s="74">
        <f t="shared" si="1"/>
        <v>1.169566481288699</v>
      </c>
      <c r="CM11" s="74">
        <f t="shared" si="1"/>
        <v>1.1751999613183322</v>
      </c>
      <c r="CN11" s="74">
        <f t="shared" si="1"/>
        <v>1.1773148982613166</v>
      </c>
      <c r="CO11" s="74">
        <f t="shared" si="1"/>
        <v>1.1773148982613166</v>
      </c>
      <c r="CP11" s="74">
        <f t="shared" si="1"/>
        <v>1.1773148982613166</v>
      </c>
      <c r="CQ11" s="74">
        <f t="shared" si="1"/>
        <v>1.1773148982613166</v>
      </c>
      <c r="CR11" s="74">
        <f t="shared" si="1"/>
        <v>1.1596525857505606</v>
      </c>
      <c r="CS11" s="74">
        <f t="shared" ref="CS11:DM11" si="2">$F$11*CS8</f>
        <v>1.1664658923095268</v>
      </c>
      <c r="CT11" s="74">
        <f t="shared" si="2"/>
        <v>1.1650689271690364</v>
      </c>
      <c r="CU11" s="74">
        <f t="shared" si="2"/>
        <v>1.1657669912356445</v>
      </c>
      <c r="CV11" s="74">
        <f t="shared" si="2"/>
        <v>1.1654876652523605</v>
      </c>
      <c r="CW11" s="74">
        <f t="shared" si="2"/>
        <v>1.1643716986069961</v>
      </c>
      <c r="CX11" s="74">
        <f t="shared" si="2"/>
        <v>1.162285010975084</v>
      </c>
      <c r="CY11" s="74">
        <f t="shared" si="2"/>
        <v>1.111352545817311</v>
      </c>
      <c r="CZ11" s="74">
        <f t="shared" si="2"/>
        <v>1.1084401269956339</v>
      </c>
      <c r="DA11" s="74">
        <f t="shared" si="2"/>
        <v>1.1083081069709799</v>
      </c>
      <c r="DB11" s="74">
        <f t="shared" si="2"/>
        <v>1.0889352319231351</v>
      </c>
      <c r="DC11" s="74">
        <f t="shared" si="2"/>
        <v>1.0890650370527004</v>
      </c>
      <c r="DD11" s="74">
        <f t="shared" si="2"/>
        <v>1.0881570504805984</v>
      </c>
      <c r="DE11" s="74">
        <f t="shared" si="2"/>
        <v>1.0881570504805984</v>
      </c>
      <c r="DF11" s="74">
        <f t="shared" si="2"/>
        <v>1.0931044024689045</v>
      </c>
      <c r="DG11" s="74">
        <f t="shared" si="2"/>
        <v>1.0920591197507894</v>
      </c>
      <c r="DH11" s="74">
        <f t="shared" si="2"/>
        <v>1.0880274616928789</v>
      </c>
      <c r="DI11" s="74">
        <f t="shared" si="2"/>
        <v>1.0867332693987277</v>
      </c>
      <c r="DJ11" s="74">
        <f t="shared" si="2"/>
        <v>1.0867332693987277</v>
      </c>
      <c r="DK11" s="74">
        <f t="shared" si="2"/>
        <v>1.0866040194856212</v>
      </c>
      <c r="DL11" s="74">
        <f t="shared" si="2"/>
        <v>1.0860873271320854</v>
      </c>
      <c r="DM11" s="74">
        <f t="shared" si="2"/>
        <v>1.082484193819325</v>
      </c>
    </row>
    <row r="12" spans="1:128">
      <c r="A12" s="67"/>
      <c r="B12" s="100"/>
      <c r="D12" s="77"/>
      <c r="F12" s="65"/>
      <c r="I12" s="74"/>
      <c r="J12" s="74"/>
      <c r="K12" s="74"/>
      <c r="L12" s="74"/>
      <c r="M12" s="74"/>
      <c r="N12" s="74"/>
      <c r="O12" s="74"/>
      <c r="P12" s="74"/>
      <c r="Q12" s="74"/>
      <c r="R12" s="74"/>
      <c r="S12" s="74"/>
      <c r="T12" s="74"/>
      <c r="U12" s="74"/>
      <c r="V12" s="74"/>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c r="BL12" s="74"/>
      <c r="BM12" s="74"/>
      <c r="BN12" s="74"/>
      <c r="BO12" s="74"/>
      <c r="BP12" s="74"/>
      <c r="BQ12" s="74"/>
      <c r="BR12" s="74"/>
      <c r="BS12" s="74"/>
      <c r="BT12" s="74"/>
      <c r="BU12" s="74"/>
      <c r="BV12" s="74"/>
      <c r="BW12" s="74"/>
      <c r="BX12" s="74"/>
      <c r="BY12" s="74"/>
      <c r="BZ12" s="74"/>
      <c r="CA12" s="74"/>
      <c r="CB12" s="74"/>
      <c r="CC12" s="74"/>
      <c r="CD12" s="74"/>
      <c r="CE12" s="74"/>
      <c r="CF12" s="74"/>
      <c r="CG12" s="74"/>
      <c r="CH12" s="74"/>
      <c r="CI12" s="74"/>
      <c r="CJ12" s="74"/>
      <c r="CK12" s="74"/>
      <c r="CL12" s="74"/>
      <c r="CM12" s="74"/>
      <c r="CN12" s="74"/>
      <c r="CO12" s="74"/>
      <c r="CP12" s="74"/>
      <c r="CQ12" s="74"/>
      <c r="CR12" s="74"/>
      <c r="CS12" s="74"/>
      <c r="CT12" s="74"/>
      <c r="CU12" s="74"/>
      <c r="CV12" s="74"/>
      <c r="CW12" s="74"/>
      <c r="CX12" s="74"/>
      <c r="CY12" s="74"/>
      <c r="CZ12" s="74"/>
      <c r="DA12" s="74"/>
      <c r="DB12" s="74"/>
      <c r="DC12" s="74"/>
      <c r="DD12" s="74"/>
      <c r="DE12" s="74"/>
      <c r="DF12" s="74"/>
      <c r="DG12" s="74"/>
      <c r="DH12" s="74"/>
      <c r="DI12" s="74"/>
      <c r="DJ12" s="74"/>
      <c r="DK12" s="74"/>
      <c r="DL12" s="74"/>
      <c r="DM12" s="74"/>
    </row>
    <row r="13" spans="1:128" s="104" customFormat="1">
      <c r="H13" s="104" t="s">
        <v>799</v>
      </c>
      <c r="I13" s="105">
        <f>SUM(I11:I11)</f>
        <v>0.7910950983275189</v>
      </c>
      <c r="J13" s="105">
        <f t="shared" ref="J13:BU13" si="3">SUM(J11:J11)</f>
        <v>0.78818924428523363</v>
      </c>
      <c r="K13" s="105">
        <f t="shared" si="3"/>
        <v>0.75747230079149874</v>
      </c>
      <c r="L13" s="105">
        <f t="shared" si="3"/>
        <v>0.51772359811402413</v>
      </c>
      <c r="M13" s="105">
        <f t="shared" si="3"/>
        <v>0.52200477890106256</v>
      </c>
      <c r="N13" s="105">
        <f t="shared" si="3"/>
        <v>0.52118033440793454</v>
      </c>
      <c r="O13" s="105">
        <f t="shared" si="3"/>
        <v>0.52689575160573909</v>
      </c>
      <c r="P13" s="105">
        <f t="shared" si="3"/>
        <v>0.58220670293895971</v>
      </c>
      <c r="Q13" s="105">
        <f t="shared" si="3"/>
        <v>0.59054412994592698</v>
      </c>
      <c r="R13" s="105">
        <f t="shared" si="3"/>
        <v>0.68273202210274142</v>
      </c>
      <c r="S13" s="105">
        <f t="shared" si="3"/>
        <v>0.69894742739340243</v>
      </c>
      <c r="T13" s="105">
        <f t="shared" si="3"/>
        <v>0.68839368730265138</v>
      </c>
      <c r="U13" s="105">
        <f t="shared" si="3"/>
        <v>0.70793943265051629</v>
      </c>
      <c r="V13" s="105">
        <f t="shared" si="3"/>
        <v>0.71114849876005837</v>
      </c>
      <c r="W13" s="105">
        <f t="shared" si="3"/>
        <v>0.91411244938656744</v>
      </c>
      <c r="X13" s="105">
        <f t="shared" si="3"/>
        <v>0.84840323585597399</v>
      </c>
      <c r="Y13" s="105">
        <f t="shared" si="3"/>
        <v>0.86230199193825618</v>
      </c>
      <c r="Z13" s="105">
        <f t="shared" si="3"/>
        <v>0.90491414625159239</v>
      </c>
      <c r="AA13" s="105">
        <f t="shared" si="3"/>
        <v>0.89289395297654783</v>
      </c>
      <c r="AB13" s="105">
        <f t="shared" si="3"/>
        <v>0.8973487906599531</v>
      </c>
      <c r="AC13" s="105">
        <f t="shared" si="3"/>
        <v>0.90479111237718712</v>
      </c>
      <c r="AD13" s="105">
        <f t="shared" si="3"/>
        <v>0.97870667637260478</v>
      </c>
      <c r="AE13" s="105">
        <f t="shared" si="3"/>
        <v>0.9087593409063659</v>
      </c>
      <c r="AF13" s="105">
        <f t="shared" si="3"/>
        <v>0.83749165883687693</v>
      </c>
      <c r="AG13" s="105">
        <f t="shared" si="3"/>
        <v>0.90900346698854351</v>
      </c>
      <c r="AH13" s="105">
        <f t="shared" si="3"/>
        <v>1.1586176460849951</v>
      </c>
      <c r="AI13" s="105">
        <f t="shared" si="3"/>
        <v>1.4800181104250769</v>
      </c>
      <c r="AJ13" s="105">
        <f t="shared" si="3"/>
        <v>1.4318500597873165</v>
      </c>
      <c r="AK13" s="105">
        <f t="shared" si="3"/>
        <v>1.4150212193483482</v>
      </c>
      <c r="AL13" s="105">
        <f t="shared" si="3"/>
        <v>1.4013321443604976</v>
      </c>
      <c r="AM13" s="105">
        <f t="shared" si="3"/>
        <v>1.4594683410867673</v>
      </c>
      <c r="AN13" s="105">
        <f t="shared" si="3"/>
        <v>1.2052426051979064</v>
      </c>
      <c r="AO13" s="105">
        <f t="shared" si="3"/>
        <v>1.1949581895718417</v>
      </c>
      <c r="AP13" s="105">
        <f t="shared" si="3"/>
        <v>1.328737670272472</v>
      </c>
      <c r="AQ13" s="105">
        <f t="shared" si="3"/>
        <v>1.213256189149241</v>
      </c>
      <c r="AR13" s="105">
        <f t="shared" si="3"/>
        <v>1.0644269386815783</v>
      </c>
      <c r="AS13" s="105">
        <f t="shared" si="3"/>
        <v>1.0717651939573061</v>
      </c>
      <c r="AT13" s="105">
        <f t="shared" si="3"/>
        <v>1.1949248069185257</v>
      </c>
      <c r="AU13" s="105">
        <f t="shared" si="3"/>
        <v>1.1949248069185257</v>
      </c>
      <c r="AV13" s="105">
        <f t="shared" si="3"/>
        <v>1.2361291106053713</v>
      </c>
      <c r="AW13" s="105">
        <f t="shared" si="3"/>
        <v>1.2361291106053713</v>
      </c>
      <c r="AX13" s="105">
        <f t="shared" si="3"/>
        <v>1.0800705739932257</v>
      </c>
      <c r="AY13" s="105">
        <f t="shared" si="3"/>
        <v>1.0945383813245522</v>
      </c>
      <c r="AZ13" s="105">
        <f t="shared" si="3"/>
        <v>1.0980012674178155</v>
      </c>
      <c r="BA13" s="105">
        <f t="shared" si="3"/>
        <v>1.1014861347216318</v>
      </c>
      <c r="BB13" s="105">
        <f t="shared" si="3"/>
        <v>1.096933432487188</v>
      </c>
      <c r="BC13" s="105">
        <f t="shared" si="3"/>
        <v>1.2187492608350612</v>
      </c>
      <c r="BD13" s="105">
        <f t="shared" si="3"/>
        <v>1.2126006159155329</v>
      </c>
      <c r="BE13" s="105">
        <f t="shared" si="3"/>
        <v>1.2126006159155329</v>
      </c>
      <c r="BF13" s="105">
        <f t="shared" si="3"/>
        <v>1.2214035241980414</v>
      </c>
      <c r="BG13" s="105">
        <f t="shared" si="3"/>
        <v>1.2494738805521433</v>
      </c>
      <c r="BH13" s="105">
        <f t="shared" si="3"/>
        <v>1.2511310077146793</v>
      </c>
      <c r="BI13" s="105">
        <f t="shared" si="3"/>
        <v>1.2512818736266187</v>
      </c>
      <c r="BJ13" s="105">
        <f t="shared" si="3"/>
        <v>1.2463224330993932</v>
      </c>
      <c r="BK13" s="105">
        <f t="shared" si="3"/>
        <v>1.2333679881987569</v>
      </c>
      <c r="BL13" s="105">
        <f t="shared" si="3"/>
        <v>1.2329235312660727</v>
      </c>
      <c r="BM13" s="105">
        <f t="shared" si="3"/>
        <v>1.2348518284155505</v>
      </c>
      <c r="BN13" s="105">
        <f t="shared" si="3"/>
        <v>1.2327754501309216</v>
      </c>
      <c r="BO13" s="105">
        <f t="shared" si="3"/>
        <v>1.1113865388164623</v>
      </c>
      <c r="BP13" s="105">
        <f t="shared" si="3"/>
        <v>1.1117873273266738</v>
      </c>
      <c r="BQ13" s="105">
        <f t="shared" si="3"/>
        <v>1.1117873273266738</v>
      </c>
      <c r="BR13" s="105">
        <f t="shared" si="3"/>
        <v>1.109919449901668</v>
      </c>
      <c r="BS13" s="105">
        <f t="shared" si="3"/>
        <v>1.0413666516850266</v>
      </c>
      <c r="BT13" s="105">
        <f t="shared" si="3"/>
        <v>1.0418663477750869</v>
      </c>
      <c r="BU13" s="105">
        <f t="shared" si="3"/>
        <v>1.0433683175219997</v>
      </c>
      <c r="BV13" s="105">
        <f t="shared" ref="BV13:CR13" si="4">SUM(BV11:BV11)</f>
        <v>1.0423665236501589</v>
      </c>
      <c r="BW13" s="105">
        <f t="shared" si="4"/>
        <v>1.0717563429689816</v>
      </c>
      <c r="BX13" s="105">
        <f t="shared" si="4"/>
        <v>1.0716274486403021</v>
      </c>
      <c r="BY13" s="105">
        <f t="shared" si="4"/>
        <v>1.0703402084617555</v>
      </c>
      <c r="BZ13" s="105">
        <f t="shared" si="4"/>
        <v>1.0727886149101991</v>
      </c>
      <c r="CA13" s="105">
        <f t="shared" si="4"/>
        <v>1.1483059309059442</v>
      </c>
      <c r="CB13" s="105">
        <f t="shared" si="4"/>
        <v>1.148167597460467</v>
      </c>
      <c r="CC13" s="105">
        <f t="shared" si="4"/>
        <v>1.149691100907037</v>
      </c>
      <c r="CD13" s="105">
        <f t="shared" si="4"/>
        <v>1.149691100907037</v>
      </c>
      <c r="CE13" s="105">
        <f t="shared" si="4"/>
        <v>1.1524714905101978</v>
      </c>
      <c r="CF13" s="105">
        <f t="shared" si="4"/>
        <v>1.151635962605043</v>
      </c>
      <c r="CG13" s="105">
        <f t="shared" si="4"/>
        <v>1.1447200608358559</v>
      </c>
      <c r="CH13" s="105">
        <f t="shared" si="4"/>
        <v>1.1429355110348167</v>
      </c>
      <c r="CI13" s="105">
        <f t="shared" si="4"/>
        <v>1.1725181573020462</v>
      </c>
      <c r="CJ13" s="105">
        <f t="shared" si="4"/>
        <v>1.1698469528669457</v>
      </c>
      <c r="CK13" s="105">
        <f t="shared" si="4"/>
        <v>1.1669086935665982</v>
      </c>
      <c r="CL13" s="105">
        <f t="shared" si="4"/>
        <v>1.169566481288699</v>
      </c>
      <c r="CM13" s="105">
        <f t="shared" si="4"/>
        <v>1.1751999613183322</v>
      </c>
      <c r="CN13" s="105">
        <f t="shared" si="4"/>
        <v>1.1773148982613166</v>
      </c>
      <c r="CO13" s="105">
        <f t="shared" si="4"/>
        <v>1.1773148982613166</v>
      </c>
      <c r="CP13" s="105">
        <f t="shared" si="4"/>
        <v>1.1773148982613166</v>
      </c>
      <c r="CQ13" s="105">
        <f t="shared" si="4"/>
        <v>1.1773148982613166</v>
      </c>
      <c r="CR13" s="105">
        <f t="shared" si="4"/>
        <v>1.1596525857505606</v>
      </c>
      <c r="CS13" s="105">
        <f t="shared" ref="CS13:DM13" si="5">SUM(CS11:CS11)</f>
        <v>1.1664658923095268</v>
      </c>
      <c r="CT13" s="105">
        <f t="shared" si="5"/>
        <v>1.1650689271690364</v>
      </c>
      <c r="CU13" s="105">
        <f t="shared" si="5"/>
        <v>1.1657669912356445</v>
      </c>
      <c r="CV13" s="105">
        <f t="shared" si="5"/>
        <v>1.1654876652523605</v>
      </c>
      <c r="CW13" s="105">
        <f t="shared" si="5"/>
        <v>1.1643716986069961</v>
      </c>
      <c r="CX13" s="105">
        <f t="shared" si="5"/>
        <v>1.162285010975084</v>
      </c>
      <c r="CY13" s="105">
        <f t="shared" si="5"/>
        <v>1.111352545817311</v>
      </c>
      <c r="CZ13" s="105">
        <f t="shared" si="5"/>
        <v>1.1084401269956339</v>
      </c>
      <c r="DA13" s="105">
        <f t="shared" si="5"/>
        <v>1.1083081069709799</v>
      </c>
      <c r="DB13" s="105">
        <f t="shared" si="5"/>
        <v>1.0889352319231351</v>
      </c>
      <c r="DC13" s="105">
        <f t="shared" si="5"/>
        <v>1.0890650370527004</v>
      </c>
      <c r="DD13" s="105">
        <f t="shared" si="5"/>
        <v>1.0881570504805984</v>
      </c>
      <c r="DE13" s="105">
        <f t="shared" si="5"/>
        <v>1.0881570504805984</v>
      </c>
      <c r="DF13" s="105">
        <f t="shared" si="5"/>
        <v>1.0931044024689045</v>
      </c>
      <c r="DG13" s="105">
        <f t="shared" si="5"/>
        <v>1.0920591197507894</v>
      </c>
      <c r="DH13" s="105">
        <f t="shared" si="5"/>
        <v>1.0880274616928789</v>
      </c>
      <c r="DI13" s="105">
        <f t="shared" si="5"/>
        <v>1.0867332693987277</v>
      </c>
      <c r="DJ13" s="105">
        <f t="shared" si="5"/>
        <v>1.0867332693987277</v>
      </c>
      <c r="DK13" s="105">
        <f t="shared" si="5"/>
        <v>1.0866040194856212</v>
      </c>
      <c r="DL13" s="105">
        <f t="shared" si="5"/>
        <v>1.0860873271320854</v>
      </c>
      <c r="DM13" s="105">
        <f t="shared" si="5"/>
        <v>1.082484193819325</v>
      </c>
    </row>
    <row r="14" spans="1:128" s="104" customFormat="1" hidden="1">
      <c r="H14" s="60"/>
      <c r="I14" s="105"/>
      <c r="J14" s="105"/>
      <c r="K14" s="105"/>
      <c r="L14" s="105"/>
      <c r="M14" s="105"/>
      <c r="N14" s="105"/>
      <c r="O14" s="105"/>
      <c r="P14" s="105"/>
      <c r="Q14" s="105"/>
      <c r="R14" s="105"/>
      <c r="S14" s="105"/>
      <c r="T14" s="105"/>
      <c r="U14" s="105"/>
      <c r="V14" s="105"/>
      <c r="W14" s="105"/>
      <c r="X14" s="105"/>
      <c r="Y14" s="105"/>
      <c r="Z14" s="105"/>
      <c r="AA14" s="105"/>
      <c r="AB14" s="105"/>
      <c r="AC14" s="105"/>
      <c r="AD14" s="105"/>
      <c r="AE14" s="105"/>
      <c r="AF14" s="105"/>
      <c r="AG14" s="105"/>
      <c r="AH14" s="105"/>
      <c r="AI14" s="105"/>
      <c r="AJ14" s="105"/>
      <c r="AK14" s="105"/>
      <c r="AL14" s="105"/>
      <c r="AM14" s="105"/>
      <c r="AN14" s="105"/>
      <c r="AO14" s="105"/>
      <c r="AP14" s="105"/>
      <c r="AQ14" s="105"/>
      <c r="AR14" s="105"/>
      <c r="AS14" s="105"/>
      <c r="AT14" s="105"/>
      <c r="AU14" s="105"/>
      <c r="AV14" s="105"/>
      <c r="AW14" s="105"/>
      <c r="AX14" s="105"/>
      <c r="AY14" s="105"/>
      <c r="AZ14" s="105"/>
      <c r="BA14" s="105"/>
      <c r="BB14" s="105"/>
      <c r="BC14" s="105"/>
      <c r="BD14" s="105"/>
      <c r="BE14" s="105"/>
      <c r="BF14" s="105"/>
      <c r="BG14" s="105"/>
      <c r="BH14" s="105"/>
      <c r="BI14" s="105"/>
      <c r="BJ14" s="105"/>
      <c r="BK14" s="105"/>
      <c r="BL14" s="105"/>
      <c r="BM14" s="105"/>
      <c r="BN14" s="105"/>
      <c r="BO14" s="105"/>
      <c r="BP14" s="105"/>
      <c r="BQ14" s="105"/>
      <c r="BR14" s="105"/>
      <c r="BS14" s="105"/>
      <c r="BT14" s="105"/>
      <c r="BU14" s="105"/>
      <c r="BV14" s="105"/>
      <c r="BW14" s="105"/>
      <c r="BX14" s="105"/>
      <c r="BY14" s="105"/>
      <c r="BZ14" s="105"/>
      <c r="CA14" s="105"/>
      <c r="CB14" s="105"/>
      <c r="CC14" s="105"/>
      <c r="CD14" s="105"/>
      <c r="CE14" s="105"/>
      <c r="CF14" s="105"/>
      <c r="CG14" s="105"/>
      <c r="CH14" s="105"/>
      <c r="CI14" s="105"/>
      <c r="CJ14" s="105"/>
      <c r="CK14" s="105"/>
      <c r="CL14" s="105"/>
      <c r="CM14" s="105"/>
      <c r="CN14" s="105"/>
      <c r="CO14" s="105"/>
      <c r="CP14" s="105"/>
      <c r="CQ14" s="105"/>
      <c r="CR14" s="105"/>
      <c r="CS14" s="105"/>
      <c r="CT14" s="105"/>
      <c r="CU14" s="105"/>
      <c r="CV14" s="105"/>
      <c r="CW14" s="105"/>
      <c r="CX14" s="105"/>
      <c r="CY14" s="105"/>
      <c r="CZ14" s="105"/>
      <c r="DA14" s="105"/>
      <c r="DB14" s="105"/>
      <c r="DC14" s="105"/>
      <c r="DD14" s="105"/>
      <c r="DE14" s="105"/>
      <c r="DF14" s="105"/>
      <c r="DG14" s="105"/>
      <c r="DH14" s="105"/>
      <c r="DI14" s="105"/>
      <c r="DJ14" s="105"/>
      <c r="DK14" s="105"/>
      <c r="DL14" s="105"/>
      <c r="DM14" s="105"/>
    </row>
    <row r="15" spans="1:128">
      <c r="H15" s="60" t="s">
        <v>429</v>
      </c>
      <c r="I15" s="74"/>
      <c r="J15" s="74"/>
      <c r="K15" s="74"/>
      <c r="L15" s="74"/>
      <c r="M15" s="74"/>
      <c r="N15" s="74"/>
      <c r="O15" s="74"/>
      <c r="P15" s="74"/>
      <c r="Q15" s="74"/>
      <c r="R15" s="74"/>
      <c r="S15" s="74"/>
      <c r="T15" s="74"/>
      <c r="U15" s="74"/>
      <c r="V15" s="74"/>
      <c r="W15" s="74"/>
      <c r="X15" s="74"/>
      <c r="Y15" s="74"/>
      <c r="Z15" s="74"/>
      <c r="AA15" s="74"/>
      <c r="AB15" s="74"/>
      <c r="AC15" s="74"/>
      <c r="AD15" s="74"/>
      <c r="AE15" s="74"/>
      <c r="AF15" s="74"/>
      <c r="AG15" s="74"/>
      <c r="AH15" s="74"/>
      <c r="AI15" s="74"/>
      <c r="AK15" s="74"/>
      <c r="AL15" s="74"/>
      <c r="AM15" s="74"/>
      <c r="AN15" s="74"/>
      <c r="AO15" s="74"/>
      <c r="AP15" s="74"/>
      <c r="AQ15" s="74"/>
      <c r="AR15" s="74"/>
      <c r="AS15" s="74"/>
      <c r="AT15" s="74"/>
      <c r="AU15" s="74"/>
      <c r="AV15" s="74"/>
      <c r="AW15" s="74"/>
      <c r="AX15" s="74"/>
      <c r="AY15" s="74"/>
      <c r="AZ15" s="74"/>
      <c r="BA15" s="74"/>
      <c r="BB15" s="74"/>
      <c r="BC15" s="74"/>
      <c r="BD15" s="74"/>
      <c r="BE15" s="74"/>
      <c r="BF15" s="74"/>
      <c r="BG15" s="74"/>
      <c r="BH15" s="74"/>
      <c r="BI15" s="74"/>
      <c r="BJ15" s="74"/>
      <c r="BK15" s="74"/>
      <c r="BL15" s="74"/>
      <c r="BM15" s="74"/>
      <c r="BN15" s="74"/>
      <c r="BO15" s="74"/>
      <c r="BP15" s="74"/>
      <c r="BQ15" s="74"/>
      <c r="BR15" s="74"/>
      <c r="BS15" s="74"/>
      <c r="BT15" s="74"/>
      <c r="BU15" s="74"/>
      <c r="BV15" s="74"/>
      <c r="BW15" s="74"/>
      <c r="BX15" s="74"/>
      <c r="BY15" s="74"/>
      <c r="BZ15" s="74"/>
      <c r="CA15" s="74"/>
      <c r="CB15" s="74"/>
      <c r="CC15" s="74"/>
      <c r="CD15" s="74"/>
      <c r="CE15" s="74"/>
      <c r="CF15" s="74"/>
      <c r="CG15" s="74"/>
      <c r="CH15" s="74"/>
      <c r="CI15" s="74"/>
      <c r="CJ15" s="74"/>
      <c r="CK15" s="74"/>
      <c r="CL15" s="74"/>
      <c r="CM15" s="74"/>
      <c r="CN15" s="74"/>
      <c r="CO15" s="74"/>
      <c r="CP15" s="74"/>
      <c r="CQ15" s="74"/>
      <c r="CR15" s="74"/>
      <c r="CS15" s="74"/>
      <c r="CT15" s="74"/>
      <c r="CU15" s="74"/>
      <c r="CV15" s="74"/>
      <c r="CW15" s="74"/>
      <c r="CX15" s="74"/>
      <c r="CY15" s="74"/>
      <c r="CZ15" s="74"/>
      <c r="DA15" s="74"/>
      <c r="DB15" s="74"/>
      <c r="DC15" s="74"/>
      <c r="DD15" s="74"/>
      <c r="DE15" s="74"/>
      <c r="DF15" s="74"/>
      <c r="DG15" s="74"/>
      <c r="DH15" s="74"/>
      <c r="DI15" s="74"/>
      <c r="DJ15" s="74"/>
      <c r="DK15" s="74"/>
      <c r="DL15" s="74"/>
      <c r="DM15" s="74"/>
    </row>
    <row r="16" spans="1:128">
      <c r="H16" s="60" t="s">
        <v>406</v>
      </c>
      <c r="I16" s="74"/>
      <c r="J16" s="74"/>
      <c r="K16" s="74"/>
      <c r="L16" s="74"/>
      <c r="M16" s="74"/>
      <c r="N16" s="74"/>
      <c r="O16" s="74"/>
      <c r="P16" s="74"/>
      <c r="Q16" s="74"/>
      <c r="R16" s="74"/>
      <c r="S16" s="74"/>
      <c r="T16" s="74"/>
      <c r="U16" s="74"/>
      <c r="V16" s="74"/>
      <c r="W16" s="74"/>
      <c r="X16" s="74"/>
      <c r="Y16" s="74"/>
      <c r="Z16" s="74"/>
      <c r="AA16" s="74"/>
      <c r="AB16" s="74"/>
      <c r="AC16" s="74"/>
      <c r="AD16" s="74"/>
      <c r="AE16" s="74"/>
      <c r="AF16" s="74"/>
      <c r="AG16" s="74"/>
      <c r="AH16" s="74"/>
      <c r="AI16" s="74"/>
      <c r="AK16" s="74"/>
      <c r="AL16" s="74"/>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c r="BM16" s="74"/>
      <c r="BN16" s="74"/>
      <c r="BO16" s="74"/>
      <c r="BP16" s="74"/>
      <c r="BQ16" s="74"/>
      <c r="BR16" s="74"/>
      <c r="BS16" s="74"/>
      <c r="BT16" s="74"/>
      <c r="BU16" s="74"/>
      <c r="BV16" s="74"/>
      <c r="BW16" s="74"/>
      <c r="BX16" s="74"/>
      <c r="BY16" s="74"/>
      <c r="BZ16" s="74"/>
      <c r="CA16" s="74"/>
      <c r="CB16" s="74"/>
      <c r="CC16" s="74"/>
      <c r="CD16" s="74"/>
      <c r="CE16" s="74"/>
      <c r="CF16" s="74"/>
      <c r="CG16" s="74"/>
      <c r="CH16" s="74"/>
      <c r="CI16" s="74"/>
      <c r="CJ16" s="74"/>
      <c r="CK16" s="74"/>
      <c r="CL16" s="74"/>
      <c r="CM16" s="74"/>
      <c r="CN16" s="74"/>
      <c r="CO16" s="74"/>
      <c r="CP16" s="74"/>
      <c r="CQ16" s="74"/>
      <c r="CR16" s="74"/>
      <c r="CS16" s="74"/>
      <c r="CT16" s="74"/>
      <c r="CU16" s="74"/>
      <c r="CV16" s="74"/>
      <c r="CW16" s="74"/>
      <c r="CX16" s="74"/>
      <c r="CY16" s="74"/>
      <c r="CZ16" s="74"/>
      <c r="DA16" s="74"/>
      <c r="DB16" s="74"/>
      <c r="DC16" s="74"/>
      <c r="DD16" s="74"/>
      <c r="DE16" s="74"/>
      <c r="DF16" s="74"/>
      <c r="DG16" s="74"/>
      <c r="DH16" s="74"/>
      <c r="DI16" s="74"/>
      <c r="DJ16" s="74"/>
      <c r="DK16" s="74"/>
      <c r="DL16" s="74"/>
      <c r="DM16" s="74"/>
    </row>
    <row r="18" spans="8:117" ht="13" thickBot="1"/>
    <row r="19" spans="8:117" s="73" customFormat="1" ht="13" thickBot="1">
      <c r="H19" s="257" t="s">
        <v>800</v>
      </c>
      <c r="I19" s="258">
        <f t="shared" ref="I19:BU19" si="6">+I13</f>
        <v>0.7910950983275189</v>
      </c>
      <c r="J19" s="258">
        <f t="shared" si="6"/>
        <v>0.78818924428523363</v>
      </c>
      <c r="K19" s="258">
        <f t="shared" si="6"/>
        <v>0.75747230079149874</v>
      </c>
      <c r="L19" s="258">
        <f t="shared" si="6"/>
        <v>0.51772359811402413</v>
      </c>
      <c r="M19" s="258">
        <f t="shared" si="6"/>
        <v>0.52200477890106256</v>
      </c>
      <c r="N19" s="258">
        <f t="shared" si="6"/>
        <v>0.52118033440793454</v>
      </c>
      <c r="O19" s="258">
        <f t="shared" si="6"/>
        <v>0.52689575160573909</v>
      </c>
      <c r="P19" s="258">
        <f t="shared" si="6"/>
        <v>0.58220670293895971</v>
      </c>
      <c r="Q19" s="258">
        <f t="shared" si="6"/>
        <v>0.59054412994592698</v>
      </c>
      <c r="R19" s="258">
        <f t="shared" si="6"/>
        <v>0.68273202210274142</v>
      </c>
      <c r="S19" s="258">
        <f t="shared" si="6"/>
        <v>0.69894742739340243</v>
      </c>
      <c r="T19" s="258">
        <f t="shared" si="6"/>
        <v>0.68839368730265138</v>
      </c>
      <c r="U19" s="258">
        <f t="shared" si="6"/>
        <v>0.70793943265051629</v>
      </c>
      <c r="V19" s="258">
        <f t="shared" si="6"/>
        <v>0.71114849876005837</v>
      </c>
      <c r="W19" s="258">
        <f t="shared" si="6"/>
        <v>0.91411244938656744</v>
      </c>
      <c r="X19" s="258">
        <f t="shared" si="6"/>
        <v>0.84840323585597399</v>
      </c>
      <c r="Y19" s="258">
        <f t="shared" si="6"/>
        <v>0.86230199193825618</v>
      </c>
      <c r="Z19" s="258">
        <f t="shared" si="6"/>
        <v>0.90491414625159239</v>
      </c>
      <c r="AA19" s="258">
        <f t="shared" si="6"/>
        <v>0.89289395297654783</v>
      </c>
      <c r="AB19" s="258">
        <f t="shared" si="6"/>
        <v>0.8973487906599531</v>
      </c>
      <c r="AC19" s="258">
        <f t="shared" si="6"/>
        <v>0.90479111237718712</v>
      </c>
      <c r="AD19" s="258">
        <f t="shared" si="6"/>
        <v>0.97870667637260478</v>
      </c>
      <c r="AE19" s="258">
        <f t="shared" si="6"/>
        <v>0.9087593409063659</v>
      </c>
      <c r="AF19" s="258">
        <f t="shared" si="6"/>
        <v>0.83749165883687693</v>
      </c>
      <c r="AG19" s="258">
        <f t="shared" si="6"/>
        <v>0.90900346698854351</v>
      </c>
      <c r="AH19" s="258">
        <f t="shared" si="6"/>
        <v>1.1586176460849951</v>
      </c>
      <c r="AI19" s="258">
        <f t="shared" si="6"/>
        <v>1.4800181104250769</v>
      </c>
      <c r="AJ19" s="258">
        <f t="shared" si="6"/>
        <v>1.4318500597873165</v>
      </c>
      <c r="AK19" s="258">
        <f t="shared" si="6"/>
        <v>1.4150212193483482</v>
      </c>
      <c r="AL19" s="258">
        <f t="shared" si="6"/>
        <v>1.4013321443604976</v>
      </c>
      <c r="AM19" s="258">
        <f t="shared" si="6"/>
        <v>1.4594683410867673</v>
      </c>
      <c r="AN19" s="258">
        <f t="shared" si="6"/>
        <v>1.2052426051979064</v>
      </c>
      <c r="AO19" s="258">
        <f t="shared" si="6"/>
        <v>1.1949581895718417</v>
      </c>
      <c r="AP19" s="258">
        <f t="shared" si="6"/>
        <v>1.328737670272472</v>
      </c>
      <c r="AQ19" s="258">
        <f t="shared" si="6"/>
        <v>1.213256189149241</v>
      </c>
      <c r="AR19" s="258">
        <f t="shared" si="6"/>
        <v>1.0644269386815783</v>
      </c>
      <c r="AS19" s="258">
        <f t="shared" si="6"/>
        <v>1.0717651939573061</v>
      </c>
      <c r="AT19" s="258">
        <f t="shared" si="6"/>
        <v>1.1949248069185257</v>
      </c>
      <c r="AU19" s="258">
        <f t="shared" si="6"/>
        <v>1.1949248069185257</v>
      </c>
      <c r="AV19" s="258">
        <f t="shared" si="6"/>
        <v>1.2361291106053713</v>
      </c>
      <c r="AW19" s="258">
        <f t="shared" si="6"/>
        <v>1.2361291106053713</v>
      </c>
      <c r="AX19" s="258">
        <f t="shared" si="6"/>
        <v>1.0800705739932257</v>
      </c>
      <c r="AY19" s="258">
        <f t="shared" si="6"/>
        <v>1.0945383813245522</v>
      </c>
      <c r="AZ19" s="258">
        <f t="shared" si="6"/>
        <v>1.0980012674178155</v>
      </c>
      <c r="BA19" s="258">
        <f t="shared" si="6"/>
        <v>1.1014861347216318</v>
      </c>
      <c r="BB19" s="258">
        <f t="shared" si="6"/>
        <v>1.096933432487188</v>
      </c>
      <c r="BC19" s="258">
        <f t="shared" si="6"/>
        <v>1.2187492608350612</v>
      </c>
      <c r="BD19" s="258">
        <f t="shared" si="6"/>
        <v>1.2126006159155329</v>
      </c>
      <c r="BE19" s="258">
        <f t="shared" si="6"/>
        <v>1.2126006159155329</v>
      </c>
      <c r="BF19" s="258">
        <f t="shared" si="6"/>
        <v>1.2214035241980414</v>
      </c>
      <c r="BG19" s="258">
        <f t="shared" si="6"/>
        <v>1.2494738805521433</v>
      </c>
      <c r="BH19" s="258">
        <f t="shared" si="6"/>
        <v>1.2511310077146793</v>
      </c>
      <c r="BI19" s="258">
        <f t="shared" si="6"/>
        <v>1.2512818736266187</v>
      </c>
      <c r="BJ19" s="258">
        <f t="shared" si="6"/>
        <v>1.2463224330993932</v>
      </c>
      <c r="BK19" s="258">
        <f t="shared" si="6"/>
        <v>1.2333679881987569</v>
      </c>
      <c r="BL19" s="258">
        <f t="shared" si="6"/>
        <v>1.2329235312660727</v>
      </c>
      <c r="BM19" s="258">
        <f t="shared" si="6"/>
        <v>1.2348518284155505</v>
      </c>
      <c r="BN19" s="258">
        <f t="shared" si="6"/>
        <v>1.2327754501309216</v>
      </c>
      <c r="BO19" s="258">
        <f t="shared" si="6"/>
        <v>1.1113865388164623</v>
      </c>
      <c r="BP19" s="258">
        <f t="shared" si="6"/>
        <v>1.1117873273266738</v>
      </c>
      <c r="BQ19" s="258">
        <f t="shared" si="6"/>
        <v>1.1117873273266738</v>
      </c>
      <c r="BR19" s="258">
        <f t="shared" si="6"/>
        <v>1.109919449901668</v>
      </c>
      <c r="BS19" s="258">
        <f t="shared" si="6"/>
        <v>1.0413666516850266</v>
      </c>
      <c r="BT19" s="258">
        <f t="shared" si="6"/>
        <v>1.0418663477750869</v>
      </c>
      <c r="BU19" s="258">
        <f t="shared" si="6"/>
        <v>1.0433683175219997</v>
      </c>
      <c r="BV19" s="258">
        <f t="shared" ref="BV19:CR19" si="7">+BV13</f>
        <v>1.0423665236501589</v>
      </c>
      <c r="BW19" s="258">
        <f t="shared" si="7"/>
        <v>1.0717563429689816</v>
      </c>
      <c r="BX19" s="258">
        <f t="shared" si="7"/>
        <v>1.0716274486403021</v>
      </c>
      <c r="BY19" s="258">
        <f t="shared" si="7"/>
        <v>1.0703402084617555</v>
      </c>
      <c r="BZ19" s="258">
        <f t="shared" si="7"/>
        <v>1.0727886149101991</v>
      </c>
      <c r="CA19" s="258">
        <f t="shared" si="7"/>
        <v>1.1483059309059442</v>
      </c>
      <c r="CB19" s="258">
        <f t="shared" si="7"/>
        <v>1.148167597460467</v>
      </c>
      <c r="CC19" s="258">
        <f t="shared" si="7"/>
        <v>1.149691100907037</v>
      </c>
      <c r="CD19" s="258">
        <f t="shared" si="7"/>
        <v>1.149691100907037</v>
      </c>
      <c r="CE19" s="258">
        <f t="shared" si="7"/>
        <v>1.1524714905101978</v>
      </c>
      <c r="CF19" s="258">
        <f t="shared" si="7"/>
        <v>1.151635962605043</v>
      </c>
      <c r="CG19" s="258">
        <f t="shared" si="7"/>
        <v>1.1447200608358559</v>
      </c>
      <c r="CH19" s="258">
        <f t="shared" si="7"/>
        <v>1.1429355110348167</v>
      </c>
      <c r="CI19" s="258">
        <f t="shared" si="7"/>
        <v>1.1725181573020462</v>
      </c>
      <c r="CJ19" s="258">
        <f t="shared" si="7"/>
        <v>1.1698469528669457</v>
      </c>
      <c r="CK19" s="258">
        <f t="shared" si="7"/>
        <v>1.1669086935665982</v>
      </c>
      <c r="CL19" s="258">
        <f t="shared" si="7"/>
        <v>1.169566481288699</v>
      </c>
      <c r="CM19" s="258">
        <f t="shared" si="7"/>
        <v>1.1751999613183322</v>
      </c>
      <c r="CN19" s="258">
        <f t="shared" si="7"/>
        <v>1.1773148982613166</v>
      </c>
      <c r="CO19" s="258">
        <f t="shared" si="7"/>
        <v>1.1773148982613166</v>
      </c>
      <c r="CP19" s="258">
        <f t="shared" si="7"/>
        <v>1.1773148982613166</v>
      </c>
      <c r="CQ19" s="258">
        <f t="shared" si="7"/>
        <v>1.1773148982613166</v>
      </c>
      <c r="CR19" s="258">
        <f t="shared" si="7"/>
        <v>1.1596525857505606</v>
      </c>
      <c r="CS19" s="258">
        <f t="shared" ref="CS19:DM19" si="8">+CS13</f>
        <v>1.1664658923095268</v>
      </c>
      <c r="CT19" s="258">
        <f t="shared" si="8"/>
        <v>1.1650689271690364</v>
      </c>
      <c r="CU19" s="258">
        <f t="shared" si="8"/>
        <v>1.1657669912356445</v>
      </c>
      <c r="CV19" s="258">
        <f t="shared" si="8"/>
        <v>1.1654876652523605</v>
      </c>
      <c r="CW19" s="258">
        <f t="shared" si="8"/>
        <v>1.1643716986069961</v>
      </c>
      <c r="CX19" s="258">
        <f t="shared" si="8"/>
        <v>1.162285010975084</v>
      </c>
      <c r="CY19" s="258">
        <f t="shared" si="8"/>
        <v>1.111352545817311</v>
      </c>
      <c r="CZ19" s="258">
        <f t="shared" si="8"/>
        <v>1.1084401269956339</v>
      </c>
      <c r="DA19" s="258">
        <f t="shared" si="8"/>
        <v>1.1083081069709799</v>
      </c>
      <c r="DB19" s="258">
        <f t="shared" si="8"/>
        <v>1.0889352319231351</v>
      </c>
      <c r="DC19" s="258">
        <f t="shared" si="8"/>
        <v>1.0890650370527004</v>
      </c>
      <c r="DD19" s="258">
        <f t="shared" si="8"/>
        <v>1.0881570504805984</v>
      </c>
      <c r="DE19" s="258">
        <f t="shared" si="8"/>
        <v>1.0881570504805984</v>
      </c>
      <c r="DF19" s="258">
        <f t="shared" si="8"/>
        <v>1.0931044024689045</v>
      </c>
      <c r="DG19" s="258">
        <f t="shared" si="8"/>
        <v>1.0920591197507894</v>
      </c>
      <c r="DH19" s="258">
        <f t="shared" si="8"/>
        <v>1.0880274616928789</v>
      </c>
      <c r="DI19" s="258">
        <f t="shared" si="8"/>
        <v>1.0867332693987277</v>
      </c>
      <c r="DJ19" s="258">
        <f t="shared" si="8"/>
        <v>1.0867332693987277</v>
      </c>
      <c r="DK19" s="258">
        <f t="shared" si="8"/>
        <v>1.0866040194856212</v>
      </c>
      <c r="DL19" s="258">
        <f t="shared" si="8"/>
        <v>1.0860873271320854</v>
      </c>
      <c r="DM19" s="258">
        <f t="shared" si="8"/>
        <v>1.082484193819325</v>
      </c>
    </row>
  </sheetData>
  <pageMargins left="0.7" right="0.7" top="0.75" bottom="0.75" header="0.3" footer="0.3"/>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FY24"/>
  <sheetViews>
    <sheetView workbookViewId="0">
      <pane xSplit="11" ySplit="7" topLeftCell="BF8" activePane="bottomRight" state="frozen"/>
      <selection pane="topRight" activeCell="L1" sqref="L1"/>
      <selection pane="bottomLeft" activeCell="A7" sqref="A7"/>
      <selection pane="bottomRight" activeCell="BF17" sqref="BF17"/>
    </sheetView>
  </sheetViews>
  <sheetFormatPr baseColWidth="10" defaultColWidth="22.6640625" defaultRowHeight="12"/>
  <cols>
    <col min="1" max="1" width="16.1640625" style="60" bestFit="1" customWidth="1"/>
    <col min="2" max="2" width="13.1640625" style="60" bestFit="1" customWidth="1"/>
    <col min="3" max="3" width="4.83203125" style="60" bestFit="1" customWidth="1"/>
    <col min="4" max="4" width="12.33203125" style="60" bestFit="1" customWidth="1"/>
    <col min="5" max="5" width="18.83203125" style="60" bestFit="1" customWidth="1"/>
    <col min="6" max="6" width="6.5" style="60" bestFit="1" customWidth="1"/>
    <col min="7" max="7" width="4.1640625" style="60" bestFit="1" customWidth="1"/>
    <col min="8" max="8" width="22.83203125" style="60" bestFit="1" customWidth="1"/>
    <col min="9" max="9" width="6.5" style="60" hidden="1" customWidth="1"/>
    <col min="10" max="11" width="6.1640625" style="60" hidden="1" customWidth="1"/>
    <col min="12" max="12" width="5.5" style="60" hidden="1" customWidth="1"/>
    <col min="13" max="13" width="5.83203125" style="60" hidden="1" customWidth="1"/>
    <col min="14" max="18" width="5.5" style="60" hidden="1" customWidth="1"/>
    <col min="19" max="19" width="5.6640625" style="60" hidden="1" customWidth="1"/>
    <col min="20" max="20" width="6.1640625" style="60" hidden="1" customWidth="1"/>
    <col min="21" max="21" width="5.5" style="60" hidden="1" customWidth="1"/>
    <col min="22" max="26" width="6.1640625" style="60" hidden="1" customWidth="1"/>
    <col min="27" max="30" width="5.5" style="60" hidden="1" customWidth="1"/>
    <col min="31" max="31" width="5.6640625" style="60" hidden="1" customWidth="1"/>
    <col min="32" max="34" width="5.5" style="60" hidden="1" customWidth="1"/>
    <col min="35" max="35" width="6.1640625" style="60" bestFit="1" customWidth="1"/>
    <col min="36" max="36" width="5.5" style="60" bestFit="1" customWidth="1"/>
    <col min="37" max="37" width="5.83203125" style="60" bestFit="1" customWidth="1"/>
    <col min="38" max="42" width="5.5" style="60" bestFit="1" customWidth="1"/>
    <col min="43" max="43" width="5.6640625" style="60" bestFit="1" customWidth="1"/>
    <col min="44" max="46" width="5.5" style="60" bestFit="1" customWidth="1"/>
    <col min="47" max="47" width="5.6640625" style="60" bestFit="1" customWidth="1"/>
    <col min="48" max="48" width="5.5" style="60" bestFit="1" customWidth="1"/>
    <col min="49" max="49" width="5.83203125" style="60" bestFit="1" customWidth="1"/>
    <col min="50" max="51" width="5.5" style="60" bestFit="1" customWidth="1"/>
    <col min="52" max="54" width="7" style="60" bestFit="1" customWidth="1"/>
    <col min="55" max="56" width="5.5" style="60" bestFit="1" customWidth="1"/>
    <col min="57" max="58" width="5.83203125" style="60" bestFit="1" customWidth="1"/>
    <col min="59" max="70" width="5.6640625" style="60" bestFit="1" customWidth="1"/>
    <col min="71" max="71" width="5.5" style="60" bestFit="1" customWidth="1"/>
    <col min="72" max="72" width="6.1640625" style="60" bestFit="1" customWidth="1"/>
    <col min="73" max="80" width="5.5" style="60" bestFit="1" customWidth="1"/>
    <col min="81" max="90" width="6.1640625" style="60" bestFit="1" customWidth="1"/>
    <col min="91" max="95" width="6.33203125" style="60" bestFit="1" customWidth="1"/>
    <col min="96" max="100" width="6.1640625" style="60" bestFit="1" customWidth="1"/>
    <col min="101" max="104" width="5.1640625" style="60" bestFit="1" customWidth="1"/>
    <col min="105" max="16384" width="22.6640625" style="60"/>
  </cols>
  <sheetData>
    <row r="1" spans="1:181" ht="13">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row>
    <row r="2" spans="1:181">
      <c r="A2" s="59"/>
      <c r="B2" s="59"/>
      <c r="C2" s="59"/>
      <c r="D2" s="98"/>
      <c r="E2" s="98"/>
      <c r="F2" s="59"/>
      <c r="H2" s="99"/>
      <c r="I2" s="99"/>
      <c r="J2" s="99"/>
      <c r="K2" s="99"/>
      <c r="L2" s="99"/>
      <c r="M2" s="99"/>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99"/>
      <c r="AP2" s="99"/>
      <c r="AQ2" s="99"/>
      <c r="AR2" s="99"/>
      <c r="AS2" s="99"/>
      <c r="AT2" s="99"/>
      <c r="AU2" s="99"/>
      <c r="AV2" s="99"/>
      <c r="AW2" s="99"/>
      <c r="AX2" s="99"/>
      <c r="AY2" s="99"/>
      <c r="AZ2" s="99"/>
      <c r="BA2" s="99"/>
      <c r="BB2" s="99"/>
      <c r="BC2" s="99"/>
      <c r="BD2" s="99"/>
      <c r="BE2" s="99"/>
      <c r="BF2" s="99"/>
      <c r="BG2" s="99"/>
      <c r="BH2" s="99"/>
      <c r="BI2" s="99"/>
      <c r="BJ2" s="99"/>
      <c r="BK2" s="99"/>
      <c r="BL2" s="99"/>
      <c r="BM2" s="99"/>
      <c r="BN2" s="99"/>
      <c r="BO2" s="99"/>
      <c r="BP2" s="99"/>
      <c r="BQ2" s="99"/>
      <c r="BR2" s="99"/>
      <c r="BS2" s="99"/>
      <c r="BT2" s="99"/>
      <c r="BU2" s="99"/>
      <c r="BV2" s="99"/>
      <c r="BW2" s="99"/>
      <c r="BX2" s="99"/>
      <c r="BY2" s="99"/>
      <c r="BZ2" s="99"/>
      <c r="CA2" s="99"/>
      <c r="CB2" s="99"/>
      <c r="CC2" s="99"/>
      <c r="CD2" s="99"/>
      <c r="CE2" s="99"/>
      <c r="CF2" s="99"/>
      <c r="CG2" s="99"/>
      <c r="CH2" s="99"/>
      <c r="CI2" s="99"/>
      <c r="CJ2" s="99"/>
      <c r="CK2" s="99"/>
      <c r="CL2" s="99"/>
      <c r="CM2" s="99"/>
      <c r="CN2" s="99"/>
    </row>
    <row r="3" spans="1:181" ht="15">
      <c r="A3" t="s">
        <v>813</v>
      </c>
      <c r="B3" s="100"/>
      <c r="C3" s="101"/>
      <c r="D3" s="282">
        <v>199.989</v>
      </c>
      <c r="K3" s="102"/>
      <c r="M3" s="102"/>
    </row>
    <row r="4" spans="1:181">
      <c r="A4" s="36"/>
      <c r="B4" s="64"/>
      <c r="D4" s="100"/>
      <c r="E4" s="64"/>
      <c r="F4" s="103"/>
    </row>
    <row r="5" spans="1:181">
      <c r="A5" s="64"/>
      <c r="B5" s="64"/>
      <c r="D5" s="64"/>
      <c r="E5" s="64"/>
      <c r="H5" s="60" t="s">
        <v>387</v>
      </c>
    </row>
    <row r="6" spans="1:181">
      <c r="A6" s="74"/>
      <c r="B6" s="74"/>
    </row>
    <row r="7" spans="1:181">
      <c r="A7" s="59"/>
      <c r="B7" s="59"/>
      <c r="C7" s="59"/>
      <c r="D7" s="98"/>
      <c r="E7" s="98"/>
      <c r="F7" s="59"/>
      <c r="H7" s="59" t="s">
        <v>416</v>
      </c>
      <c r="I7" s="59">
        <v>43831</v>
      </c>
      <c r="J7" s="59">
        <v>43862</v>
      </c>
      <c r="K7" s="59">
        <v>43891</v>
      </c>
      <c r="L7" s="59">
        <v>43922</v>
      </c>
      <c r="M7" s="59">
        <v>43952</v>
      </c>
      <c r="N7" s="59">
        <v>43983</v>
      </c>
      <c r="O7" s="59">
        <v>44013</v>
      </c>
      <c r="P7" s="59">
        <v>44044</v>
      </c>
      <c r="Q7" s="59">
        <v>44075</v>
      </c>
      <c r="R7" s="59">
        <v>44105</v>
      </c>
      <c r="S7" s="59">
        <v>44136</v>
      </c>
      <c r="T7" s="59">
        <v>44166</v>
      </c>
      <c r="U7" s="59">
        <v>44197</v>
      </c>
      <c r="V7" s="59">
        <v>44228</v>
      </c>
      <c r="W7" s="59">
        <v>44256</v>
      </c>
      <c r="X7" s="59">
        <v>44287</v>
      </c>
      <c r="Y7" s="59">
        <v>44317</v>
      </c>
      <c r="Z7" s="59">
        <v>44348</v>
      </c>
      <c r="AA7" s="59">
        <v>44378</v>
      </c>
      <c r="AB7" s="59">
        <v>44409</v>
      </c>
      <c r="AC7" s="59">
        <v>44440</v>
      </c>
      <c r="AD7" s="59">
        <v>44470</v>
      </c>
      <c r="AE7" s="59">
        <v>44501</v>
      </c>
      <c r="AF7" s="59">
        <v>44531</v>
      </c>
      <c r="AG7" s="59">
        <v>44562</v>
      </c>
      <c r="AH7" s="59">
        <v>44593</v>
      </c>
      <c r="AI7" s="59">
        <v>44621</v>
      </c>
      <c r="AJ7" s="59">
        <v>44652</v>
      </c>
      <c r="AK7" s="59">
        <v>44682</v>
      </c>
      <c r="AL7" s="59">
        <v>44713</v>
      </c>
      <c r="AM7" s="59">
        <v>44743</v>
      </c>
      <c r="AN7" s="59">
        <v>44774</v>
      </c>
      <c r="AO7" s="59">
        <v>44805</v>
      </c>
      <c r="AP7" s="59">
        <v>44835</v>
      </c>
      <c r="AQ7" s="59">
        <v>44866</v>
      </c>
      <c r="AR7" s="59">
        <v>44896</v>
      </c>
      <c r="AS7" s="59">
        <v>44927</v>
      </c>
      <c r="AT7" s="59">
        <v>44958</v>
      </c>
      <c r="AU7" s="59">
        <v>44986</v>
      </c>
      <c r="AV7" s="59">
        <v>45017</v>
      </c>
      <c r="AW7" s="59">
        <v>45047</v>
      </c>
      <c r="AX7" s="59">
        <v>45078</v>
      </c>
      <c r="AY7" s="59">
        <v>45108</v>
      </c>
      <c r="AZ7" s="59" t="s">
        <v>530</v>
      </c>
      <c r="BA7" s="59" t="s">
        <v>531</v>
      </c>
      <c r="BB7" s="59" t="s">
        <v>532</v>
      </c>
      <c r="BC7" s="59">
        <v>37104</v>
      </c>
      <c r="BD7" s="59">
        <v>37469</v>
      </c>
      <c r="BE7" s="59" t="s">
        <v>168</v>
      </c>
      <c r="BF7" s="59" t="s">
        <v>169</v>
      </c>
      <c r="BG7" s="59" t="s">
        <v>195</v>
      </c>
      <c r="BH7" s="59" t="s">
        <v>196</v>
      </c>
      <c r="BI7" s="59" t="s">
        <v>197</v>
      </c>
      <c r="BJ7" s="59" t="s">
        <v>198</v>
      </c>
      <c r="BK7" s="59" t="s">
        <v>199</v>
      </c>
      <c r="BL7" s="59" t="s">
        <v>200</v>
      </c>
      <c r="BM7" s="59" t="s">
        <v>201</v>
      </c>
      <c r="BN7" s="59" t="s">
        <v>202</v>
      </c>
      <c r="BO7" s="59">
        <v>37196</v>
      </c>
      <c r="BP7" s="59">
        <v>37561</v>
      </c>
      <c r="BQ7" s="59">
        <v>37926</v>
      </c>
      <c r="BR7" s="59">
        <v>38292</v>
      </c>
      <c r="BS7" s="59">
        <v>37226</v>
      </c>
      <c r="BT7" s="59">
        <v>37591</v>
      </c>
      <c r="BU7" s="59">
        <v>37956</v>
      </c>
      <c r="BV7" s="59">
        <v>38322</v>
      </c>
      <c r="BW7" s="59">
        <v>36892</v>
      </c>
      <c r="BX7" s="59">
        <v>37257</v>
      </c>
      <c r="BY7" s="59">
        <v>37622</v>
      </c>
      <c r="BZ7" s="59">
        <v>37987</v>
      </c>
      <c r="CA7" s="59">
        <v>36923</v>
      </c>
      <c r="CB7" s="59">
        <v>37288</v>
      </c>
      <c r="CC7" s="59">
        <v>37653</v>
      </c>
      <c r="CD7" s="59">
        <v>38018</v>
      </c>
      <c r="CE7" s="59" t="str">
        <f>Sheet8!A15</f>
        <v>Mar-w1</v>
      </c>
      <c r="CF7" s="59">
        <v>37316</v>
      </c>
      <c r="CG7" s="59">
        <v>37681</v>
      </c>
      <c r="CH7" s="59">
        <v>38047</v>
      </c>
      <c r="CI7" s="59" t="str">
        <f>Sheet8!E15</f>
        <v>Apr-w1</v>
      </c>
      <c r="CJ7" s="59" t="str">
        <f>Sheet8!F15</f>
        <v>Apr-w2</v>
      </c>
      <c r="CK7" s="59" t="str">
        <f>Sheet8!G15</f>
        <v>Apr-w3</v>
      </c>
      <c r="CL7" s="59" t="str">
        <f>Sheet8!H15</f>
        <v>Apr-w4</v>
      </c>
      <c r="CM7" s="59" t="str">
        <f>Sheet8!I15</f>
        <v>May-w1</v>
      </c>
      <c r="CN7" s="59" t="str">
        <f>Sheet8!J15</f>
        <v>May-w2</v>
      </c>
      <c r="CO7" s="59" t="str">
        <f>Sheet8!K15</f>
        <v>May-w3</v>
      </c>
      <c r="CP7" s="59" t="str">
        <f>Sheet8!L15</f>
        <v>May-w4</v>
      </c>
      <c r="CQ7" s="59" t="str">
        <f>Sheet8!M15</f>
        <v>May-w5</v>
      </c>
      <c r="CR7" s="59" t="str">
        <f>Sheet8!N15</f>
        <v>june-w1</v>
      </c>
      <c r="CS7" s="59" t="str">
        <f>Sheet8!O15</f>
        <v>june-w2</v>
      </c>
      <c r="CT7" s="59" t="str">
        <f>Sheet8!P15</f>
        <v>june-w3</v>
      </c>
      <c r="CU7" s="59" t="str">
        <f>Sheet8!Q15</f>
        <v>june-w4</v>
      </c>
      <c r="CV7" s="59" t="str">
        <f>Sheet8!R15</f>
        <v>Jul-w1</v>
      </c>
      <c r="CW7" s="59" t="str">
        <f>Sheet8!S15</f>
        <v>Jul-w2</v>
      </c>
      <c r="CX7" s="59" t="str">
        <f>Sheet8!T15</f>
        <v>Jul-w3</v>
      </c>
      <c r="CY7" s="59" t="str">
        <f>Sheet8!U15</f>
        <v>Jul-w4</v>
      </c>
      <c r="CZ7" s="59" t="str">
        <f>Sheet8!V15</f>
        <v>Aug-w1</v>
      </c>
      <c r="DA7" s="59" t="str">
        <f>Sheet8!W15</f>
        <v>Aug-w2</v>
      </c>
      <c r="DB7" s="59" t="str">
        <f>Sheet8!X15</f>
        <v>Aug-w3</v>
      </c>
      <c r="DC7" s="59" t="str">
        <f>Sheet8!Y15</f>
        <v>Aug-w4</v>
      </c>
      <c r="DD7" s="59" t="str">
        <f>Sheet8!Z15</f>
        <v>Sep-w1</v>
      </c>
      <c r="DE7" s="59" t="str">
        <f>Sheet8!AA15</f>
        <v>Sep-w2</v>
      </c>
      <c r="DF7" s="59" t="str">
        <f>Sheet8!AB15</f>
        <v>Sep-w3</v>
      </c>
      <c r="DG7" s="59" t="str">
        <f>Sheet8!AC15</f>
        <v>Sep-w4</v>
      </c>
      <c r="DH7" s="59" t="str">
        <f>Sheet8!AD15</f>
        <v>Oct-w1</v>
      </c>
      <c r="DI7" s="59" t="str">
        <f>Sheet8!AE15</f>
        <v>Oct-w2</v>
      </c>
      <c r="DJ7" s="59" t="str">
        <f>Sheet8!AF15</f>
        <v>Oct-w3</v>
      </c>
      <c r="DK7" s="59" t="str">
        <f>Sheet8!AG15</f>
        <v>Oct-w4</v>
      </c>
      <c r="DL7" s="59" t="str">
        <f>Sheet8!AH15</f>
        <v>Nov-w1</v>
      </c>
      <c r="DM7" s="59" t="str">
        <f>Sheet8!AI15</f>
        <v>Nov-w2</v>
      </c>
      <c r="DN7" s="59" t="str">
        <f>Sheet8!AJ15</f>
        <v>Nov-w3</v>
      </c>
      <c r="DO7" s="59" t="str">
        <f>Sheet8!AK15</f>
        <v>Nov-w4</v>
      </c>
      <c r="DP7" s="59" t="str">
        <f>Sheet8!AL15</f>
        <v>Dec-w1</v>
      </c>
      <c r="DQ7" s="59" t="str">
        <f>Sheet8!AM15</f>
        <v>Dec-w2</v>
      </c>
      <c r="DR7" s="59" t="str">
        <f>Sheet8!AN15</f>
        <v>Dec-w3</v>
      </c>
      <c r="DS7" s="59" t="str">
        <f>Sheet8!AO15</f>
        <v>Dec-w4</v>
      </c>
      <c r="DT7" s="59">
        <f>Sheet8!AP15</f>
        <v>0</v>
      </c>
      <c r="DU7" s="59">
        <f>Sheet8!AQ15</f>
        <v>0</v>
      </c>
      <c r="DV7" s="59">
        <f>Sheet8!AR15</f>
        <v>0</v>
      </c>
      <c r="DW7" s="59">
        <f>Sheet8!AS15</f>
        <v>0</v>
      </c>
      <c r="DX7" s="59">
        <f>Sheet8!AT15</f>
        <v>0</v>
      </c>
    </row>
    <row r="8" spans="1:181" ht="13">
      <c r="H8" s="107" t="s">
        <v>347</v>
      </c>
      <c r="I8" s="74">
        <f>VLOOKUP($H$8&amp;$F$1,'Input RM sheet'!$A:$ZZ,H1,0)</f>
        <v>0</v>
      </c>
      <c r="J8" s="74">
        <f>VLOOKUP($H$8&amp;$F$1,'Input RM sheet'!$A:$ZZ,I1,0)</f>
        <v>0</v>
      </c>
      <c r="K8" s="74">
        <f>VLOOKUP($H$8&amp;$F$1,'Input RM sheet'!$A:$ZZ,J1,0)</f>
        <v>0</v>
      </c>
      <c r="L8" s="74">
        <f>VLOOKUP($H$8&amp;$F$1,'Input RM sheet'!$A:$ZZ,K1,0)</f>
        <v>0</v>
      </c>
      <c r="M8" s="74">
        <f>VLOOKUP($H$8&amp;$F$1,'Input RM sheet'!$A:$ZZ,L1,0)</f>
        <v>0</v>
      </c>
      <c r="N8" s="74">
        <f>VLOOKUP($H$8&amp;$F$1,'Input RM sheet'!$A:$ZZ,M1,0)</f>
        <v>3.1166032887975335</v>
      </c>
      <c r="O8" s="74">
        <f>VLOOKUP($H$8&amp;$F$1,'Input RM sheet'!$A:$ZZ,N1,0)</f>
        <v>3.0672568836179535</v>
      </c>
      <c r="P8" s="74">
        <f>VLOOKUP($H$8&amp;$F$1,'Input RM sheet'!$A:$ZZ,O1,0)</f>
        <v>2.6270928537372655</v>
      </c>
      <c r="Q8" s="74">
        <f>VLOOKUP($H$8&amp;$F$1,'Input RM sheet'!$A:$ZZ,P1,0)</f>
        <v>2.4257049527303511</v>
      </c>
      <c r="R8" s="74">
        <f>VLOOKUP($H$8&amp;$F$1,'Input RM sheet'!$A:$ZZ,Q1,0)</f>
        <v>2.3735245396963944</v>
      </c>
      <c r="S8" s="74">
        <f>VLOOKUP($H$8&amp;$F$1,'Input RM sheet'!$A:$ZZ,R1,0)</f>
        <v>2.6081249999999998</v>
      </c>
      <c r="T8" s="74">
        <f>VLOOKUP($H$8&amp;$F$1,'Input RM sheet'!$A:$ZZ,S1,0)</f>
        <v>2.3444614666159187</v>
      </c>
      <c r="U8" s="74">
        <f>VLOOKUP($H$8&amp;$F$1,'Input RM sheet'!$A:$ZZ,T1,0)</f>
        <v>2.5349129256248126</v>
      </c>
      <c r="V8" s="74">
        <f>VLOOKUP($H$8&amp;$F$1,'Input RM sheet'!$A:$ZZ,U1,0)</f>
        <v>2.6937500000000001</v>
      </c>
      <c r="W8" s="74">
        <f>VLOOKUP($H$8&amp;$F$1,'Input RM sheet'!$A:$ZZ,V1,0)</f>
        <v>2.652602759856026</v>
      </c>
      <c r="X8" s="74">
        <f>VLOOKUP($H$8&amp;$F$1,'Input RM sheet'!$A:$ZZ,W1,0)</f>
        <v>2.7110645108338804</v>
      </c>
      <c r="Y8" s="74">
        <f>VLOOKUP($H$8&amp;$F$1,'Input RM sheet'!$A:$ZZ,X1,0)</f>
        <v>2.6935747453876644</v>
      </c>
      <c r="Z8" s="74">
        <f>VLOOKUP($H$8&amp;$F$1,'Input RM sheet'!$A:$ZZ,Y1,0)</f>
        <v>3.0355151835846779</v>
      </c>
      <c r="AA8" s="74">
        <f>VLOOKUP($H$8&amp;$F$1,'Input RM sheet'!$A:$ZZ,Z1,0)</f>
        <v>2.6844541832669324</v>
      </c>
      <c r="AB8" s="74">
        <f>VLOOKUP($H$8&amp;$F$1,'Input RM sheet'!$A:$ZZ,AA1,0)</f>
        <v>2.7588644210435458</v>
      </c>
      <c r="AC8" s="74">
        <f>VLOOKUP($H$8&amp;$F$1,'Input RM sheet'!$A:$ZZ,AB1,0)</f>
        <v>3.0223904642145047</v>
      </c>
      <c r="AD8" s="74">
        <f>VLOOKUP($H$8&amp;$F$1,'Input RM sheet'!$A:$ZZ,AC1,0)</f>
        <v>3.4030403509893326</v>
      </c>
      <c r="AE8" s="74">
        <f>VLOOKUP($H$8&amp;$F$1,'Input RM sheet'!$A:$ZZ,AD1,0)</f>
        <v>3.6237298159457674</v>
      </c>
      <c r="AF8" s="74">
        <f>VLOOKUP($H$8&amp;$F$1,'Input RM sheet'!$A:$ZZ,AE1,0)</f>
        <v>4.2546754119515198</v>
      </c>
      <c r="AG8" s="74">
        <f>VLOOKUP($H$8&amp;$F$1,'Input RM sheet'!$A:$ZZ,AF1,0)</f>
        <v>4.3522723975692443</v>
      </c>
      <c r="AH8" s="74">
        <f>VLOOKUP($H$8&amp;$F$1,'Input RM sheet'!$A:$ZZ,AG1,0)</f>
        <v>4.0515767343029401</v>
      </c>
      <c r="AI8" s="74">
        <f>VLOOKUP($H$8&amp;$F$1,'Input RM sheet'!$A:$ZZ,AH1,0)</f>
        <v>4.2362206221773695</v>
      </c>
      <c r="AJ8" s="74">
        <f>VLOOKUP($H$8&amp;$F$1,'Input RM sheet'!$A:$ZZ,AI1,0)</f>
        <v>4.0226036825396827</v>
      </c>
      <c r="AK8" s="74">
        <f>VLOOKUP($H$8&amp;$F$1,'Input RM sheet'!$A:$ZZ,AJ1,0)</f>
        <v>3.697304239683437</v>
      </c>
      <c r="AL8" s="74">
        <f>VLOOKUP($H$8&amp;$F$1,'Input RM sheet'!$A:$ZZ,AK1,0)</f>
        <v>3.6753158747697974</v>
      </c>
      <c r="AM8" s="74">
        <f>VLOOKUP($H$8&amp;$F$1,'Input RM sheet'!$A:$ZZ,AL1,0)</f>
        <v>3.5348214285714286</v>
      </c>
      <c r="AN8" s="74">
        <f>VLOOKUP($H$8&amp;$F$1,'Input RM sheet'!$A:$ZZ,AM1,0)</f>
        <v>3.5277777777777777</v>
      </c>
      <c r="AO8" s="74">
        <f>VLOOKUP($H$8&amp;$F$1,'Input RM sheet'!$A:$ZZ,AN1,0)</f>
        <v>3.3777236267641384</v>
      </c>
      <c r="AP8" s="74">
        <f>VLOOKUP($H$8&amp;$F$1,'Input RM sheet'!$A:$ZZ,AO1,0)</f>
        <v>3.2702671312427412</v>
      </c>
      <c r="AQ8" s="74">
        <f>VLOOKUP($H$8&amp;$F$1,'Input RM sheet'!$A:$ZZ,AP1,0)</f>
        <v>3.1916666666666669</v>
      </c>
      <c r="AR8" s="74">
        <f>VLOOKUP($H$8&amp;$F$1,'Input RM sheet'!$A:$ZZ,AQ1,0)</f>
        <v>3.2507095061728393</v>
      </c>
      <c r="AS8" s="74">
        <f>VLOOKUP($H$8&amp;$F$1,'Input RM sheet'!$A:$ZZ,AR1,0)</f>
        <v>3.1627012037037034</v>
      </c>
      <c r="AT8" s="74">
        <f>VLOOKUP($H$8&amp;$F$1,'Input RM sheet'!$A:$ZZ,AS1,0)</f>
        <v>3.1026711111111109</v>
      </c>
      <c r="AU8" s="74">
        <f>VLOOKUP($H$8&amp;$F$1,'Input RM sheet'!$A:$ZZ,AT1,0)</f>
        <v>3.149329723000311</v>
      </c>
      <c r="AV8" s="74">
        <f>VLOOKUP($H$8&amp;$F$1,'Input RM sheet'!$A:$ZZ,AU1,0)</f>
        <v>3.0108335135135134</v>
      </c>
      <c r="AW8" s="74">
        <f>VLOOKUP($H$8&amp;$F$1,'Input RM sheet'!$A:$ZZ,AV1,0)</f>
        <v>3.1487378707120404</v>
      </c>
      <c r="AX8" s="74">
        <f>VLOOKUP($H$8&amp;$F$1,'Input RM sheet'!$A:$ZZ,AW1,0)</f>
        <v>3.0681338723508511</v>
      </c>
      <c r="AY8" s="74">
        <f>VLOOKUP($H$8&amp;$F$1,'Input RM sheet'!$A:$ZZ,AX1,0)</f>
        <v>2.8143599999999998</v>
      </c>
      <c r="AZ8" s="74">
        <f>VLOOKUP($H$8&amp;$F$1,'Input RM sheet'!$A:$ZZ,AY1,0)</f>
        <v>2.8143599999999998</v>
      </c>
      <c r="BA8" s="74">
        <f>VLOOKUP($H$8&amp;$F$1,'Input RM sheet'!$A:$ZZ,AZ1,0)</f>
        <v>2.8143599999999998</v>
      </c>
      <c r="BB8" s="74">
        <f>VLOOKUP($H$8&amp;$F$1,'Input RM sheet'!$A:$ZZ,BA1,0)</f>
        <v>2.8143599999999998</v>
      </c>
      <c r="BC8" s="74">
        <f>VLOOKUP($H$8&amp;$F$1,'Input RM sheet'!$A:$ZZ,BB1,0)</f>
        <v>2.9209341488277265</v>
      </c>
      <c r="BD8" s="74">
        <f>VLOOKUP($H$8&amp;$F$1,'Input RM sheet'!$A:$ZZ,BC1,0)</f>
        <v>2.9209341488277265</v>
      </c>
      <c r="BE8" s="74">
        <f>VLOOKUP($H$8&amp;$F$1,'Input RM sheet'!$A:$ZZ,BD1,0)</f>
        <v>2.9209341488277265</v>
      </c>
      <c r="BF8" s="74">
        <f>VLOOKUP($H$8&amp;$F$1,'Input RM sheet'!$A:$ZZ,BE1,0)</f>
        <v>2.9209341488277265</v>
      </c>
      <c r="BG8" s="74">
        <f>VLOOKUP($H$8&amp;$F$1,'Input RM sheet'!$A:$ZZ,BF1,0)</f>
        <v>2.700043636363636</v>
      </c>
      <c r="BH8" s="74">
        <f>VLOOKUP($H$8&amp;$F$1,'Input RM sheet'!$A:$ZZ,BG1,0)</f>
        <v>2.700043636363636</v>
      </c>
      <c r="BI8" s="74">
        <f>VLOOKUP($H$8&amp;$F$1,'Input RM sheet'!$A:$ZZ,BH1,0)</f>
        <v>2.700043636363636</v>
      </c>
      <c r="BJ8" s="74">
        <f>VLOOKUP($H$8&amp;$F$1,'Input RM sheet'!$A:$ZZ,BI1,0)</f>
        <v>2.700043636363636</v>
      </c>
      <c r="BK8" s="74">
        <f>VLOOKUP($H$8&amp;$F$1,'Input RM sheet'!$A:$ZZ,BJ1,0)</f>
        <v>2.7735251931993821</v>
      </c>
      <c r="BL8" s="74">
        <f>VLOOKUP($H$8&amp;$F$1,'Input RM sheet'!$A:$ZZ,BK1,0)</f>
        <v>2.7735251931993821</v>
      </c>
      <c r="BM8" s="74">
        <f>VLOOKUP($H$8&amp;$F$1,'Input RM sheet'!$A:$ZZ,BL1,0)</f>
        <v>2.7735251931993821</v>
      </c>
      <c r="BN8" s="74">
        <f>VLOOKUP($H$8&amp;$F$1,'Input RM sheet'!$A:$ZZ,BM1,0)</f>
        <v>2.7735251931993821</v>
      </c>
      <c r="BO8" s="74">
        <f>VLOOKUP($H$8&amp;$F$1,'Input RM sheet'!$A:$ZZ,BN1,0)</f>
        <v>2.5227222222222223</v>
      </c>
      <c r="BP8" s="74">
        <f>VLOOKUP($H$8&amp;$F$1,'Input RM sheet'!$A:$ZZ,BO1,0)</f>
        <v>2.5227222222222223</v>
      </c>
      <c r="BQ8" s="74">
        <f>VLOOKUP($H$8&amp;$F$1,'Input RM sheet'!$A:$ZZ,BP1,0)</f>
        <v>2.5227222222222223</v>
      </c>
      <c r="BR8" s="74">
        <f>VLOOKUP($H$8&amp;$F$1,'Input RM sheet'!$A:$ZZ,BQ1,0)</f>
        <v>2.5227222222222223</v>
      </c>
      <c r="BS8" s="74">
        <f>VLOOKUP($H$8&amp;$F$1,'Input RM sheet'!$A:$ZZ,BR1,0)</f>
        <v>2.584134226048143</v>
      </c>
      <c r="BT8" s="74">
        <f>VLOOKUP($H$8&amp;$F$1,'Input RM sheet'!$A:$ZZ,BS1,0)</f>
        <v>2.584134226048143</v>
      </c>
      <c r="BU8" s="74">
        <f>VLOOKUP($H$8&amp;$F$1,'Input RM sheet'!$A:$ZZ,BT1,0)</f>
        <v>2.584134226048143</v>
      </c>
      <c r="BV8" s="74">
        <f>VLOOKUP($H$8&amp;$F$1,'Input RM sheet'!$A:$ZZ,BU1,0)</f>
        <v>2.584134226048143</v>
      </c>
      <c r="BW8" s="74">
        <f>VLOOKUP($H$8&amp;$F$1,'Input RM sheet'!$A:$ZZ,BV1,0)</f>
        <v>2.3906258333333334</v>
      </c>
      <c r="BX8" s="74">
        <f>VLOOKUP($H$8&amp;$F$1,'Input RM sheet'!$A:$ZZ,BW1,0)</f>
        <v>2.3906258333333334</v>
      </c>
      <c r="BY8" s="74">
        <f>VLOOKUP($H$8&amp;$F$1,'Input RM sheet'!$A:$ZZ,BX1,0)</f>
        <v>2.3906258333333334</v>
      </c>
      <c r="BZ8" s="74">
        <f>VLOOKUP($H$8&amp;$F$1,'Input RM sheet'!$A:$ZZ,BY1,0)</f>
        <v>2.3906258333333334</v>
      </c>
      <c r="CA8" s="74">
        <f>VLOOKUP($H$8&amp;$F$1,'Input RM sheet'!$A:$ZZ,BZ1,0)</f>
        <v>2.6419174721189598</v>
      </c>
      <c r="CB8" s="74">
        <f>VLOOKUP($H$8&amp;$F$1,'Input RM sheet'!$A:$ZZ,CA1,0)</f>
        <v>2.6419174721189598</v>
      </c>
      <c r="CC8" s="74">
        <f>VLOOKUP($H$8&amp;$F$1,'Input RM sheet'!$A:$ZZ,CB1,0)</f>
        <v>2.6419174721189598</v>
      </c>
      <c r="CD8" s="74">
        <f>VLOOKUP($H$8&amp;$F$1,'Input RM sheet'!$A:$ZZ,CC1,0)</f>
        <v>2.6419174721189598</v>
      </c>
      <c r="CE8" s="74">
        <f>VLOOKUP($H$8&amp;$F$1,'Input RM sheet'!$A:$ZZ,CD1,0)</f>
        <v>2.6102425155238476</v>
      </c>
      <c r="CF8" s="74">
        <f>VLOOKUP($H$8&amp;$F$1,'Input RM sheet'!$A:$ZZ,CE1,0)</f>
        <v>2.6102425155238476</v>
      </c>
      <c r="CG8" s="74">
        <f>VLOOKUP($H$8&amp;$F$1,'Input RM sheet'!$A:$ZZ,CF1,0)</f>
        <v>2.6102425155238476</v>
      </c>
      <c r="CH8" s="74">
        <f>VLOOKUP($H$8&amp;$F$1,'Input RM sheet'!$A:$ZZ,CG1,0)</f>
        <v>2.6102425155238476</v>
      </c>
      <c r="CI8" s="74">
        <f>VLOOKUP($H$8&amp;$F$1,'Input RM sheet'!$A:$ZZ,CH1,0)</f>
        <v>2.95482233241506</v>
      </c>
      <c r="CJ8" s="74">
        <f>VLOOKUP($H$8&amp;$F$1,'Input RM sheet'!$A:$ZZ,CI1,0)</f>
        <v>2.95482233241506</v>
      </c>
      <c r="CK8" s="74">
        <f>VLOOKUP($H$8&amp;$F$1,'Input RM sheet'!$A:$ZZ,CJ1,0)</f>
        <v>2.95482233241506</v>
      </c>
      <c r="CL8" s="74">
        <f>VLOOKUP($H$8&amp;$F$1,'Input RM sheet'!$A:$ZZ,CK1,0)</f>
        <v>2.95482233241506</v>
      </c>
      <c r="CM8" s="74">
        <f>VLOOKUP($H$8&amp;$F$1,'Input RM sheet'!$A:$ZZ,CL1,0)</f>
        <v>2.4315644262481522</v>
      </c>
      <c r="CN8" s="74">
        <f>VLOOKUP($H$8&amp;$F$1,'Input RM sheet'!$A:$ZZ,CM1,0)</f>
        <v>2.4315644262481522</v>
      </c>
      <c r="CO8" s="74">
        <f>VLOOKUP($H$8&amp;$F$1,'Input RM sheet'!$A:$ZZ,CN1,0)</f>
        <v>2.4315644262481522</v>
      </c>
      <c r="CP8" s="74">
        <f>VLOOKUP($H$8&amp;$F$1,'Input RM sheet'!$A:$ZZ,CO1,0)</f>
        <v>2.4315644262481522</v>
      </c>
      <c r="CQ8" s="74">
        <f>VLOOKUP($H$8&amp;$F$1,'Input RM sheet'!$A:$ZZ,CP1,0)</f>
        <v>2.4315644262481522</v>
      </c>
      <c r="CR8" s="74">
        <f>VLOOKUP($H$8&amp;$F$1,'Input RM sheet'!$A:$ZZ,CQ1,0)</f>
        <v>2.1879441095890413</v>
      </c>
      <c r="CS8" s="74">
        <f>VLOOKUP($H$8&amp;$F$1,'Input RM sheet'!$A:$ZZ,CR1,0)</f>
        <v>2.1879441095890413</v>
      </c>
      <c r="CT8" s="74">
        <f>VLOOKUP($H$8&amp;$F$1,'Input RM sheet'!$A:$ZZ,CS1,0)</f>
        <v>2.1879441095890413</v>
      </c>
      <c r="CU8" s="74">
        <f>VLOOKUP($H$8&amp;$F$1,'Input RM sheet'!$A:$ZZ,CT1,0)</f>
        <v>2.1879441095890413</v>
      </c>
      <c r="CV8" s="74">
        <f>VLOOKUP($H$8&amp;$F$1,'Input RM sheet'!$A:$ZZ,CU1,0)</f>
        <v>2.2481340740740743</v>
      </c>
      <c r="CW8" s="74">
        <f>VLOOKUP($H$8&amp;$F$1,'Input RM sheet'!$A:$ZZ,CV1,0)</f>
        <v>2.2481340740740743</v>
      </c>
      <c r="CX8" s="74">
        <f>VLOOKUP($H$8&amp;$F$1,'Input RM sheet'!$A:$ZZ,CW1,0)</f>
        <v>2.2481340740740743</v>
      </c>
      <c r="CY8" s="74">
        <f>VLOOKUP($H$8&amp;$F$1,'Input RM sheet'!$A:$ZZ,CX1,0)</f>
        <v>2.2481340740740743</v>
      </c>
      <c r="CZ8" s="74">
        <f>VLOOKUP($H$8&amp;$F$1,'Input RM sheet'!$A:$ZZ,CY1,0)</f>
        <v>2.2481340740740743</v>
      </c>
      <c r="DA8" s="74">
        <f>VLOOKUP($H$8&amp;$F$1,'Input RM sheet'!$A:$ZZ,CZ1,0)</f>
        <v>2.2481340740740743</v>
      </c>
      <c r="DB8" s="74">
        <f>VLOOKUP($H$8&amp;$F$1,'Input RM sheet'!$A:$ZZ,DA1,0)</f>
        <v>2.2481340740740743</v>
      </c>
      <c r="DC8" s="74">
        <f>VLOOKUP($H$8&amp;$F$1,'Input RM sheet'!$A:$ZZ,DB1,0)</f>
        <v>2.2481340740740743</v>
      </c>
      <c r="DD8" s="74">
        <f>VLOOKUP($H$8&amp;$F$1,'Input RM sheet'!$A:$ZZ,DC1,0)</f>
        <v>2.2481340740740743</v>
      </c>
      <c r="DE8" s="74">
        <f>VLOOKUP($H$8&amp;$F$1,'Input RM sheet'!$A:$ZZ,DD1,0)</f>
        <v>2.2481340740740743</v>
      </c>
      <c r="DF8" s="74">
        <f>VLOOKUP($H$8&amp;$F$1,'Input RM sheet'!$A:$ZZ,DE1,0)</f>
        <v>2.2481340740740743</v>
      </c>
      <c r="DG8" s="74">
        <f>VLOOKUP($H$8&amp;$F$1,'Input RM sheet'!$A:$ZZ,DF1,0)</f>
        <v>2.2481340740740743</v>
      </c>
      <c r="DH8" s="74">
        <f>VLOOKUP($H$8&amp;$F$1,'Input RM sheet'!$A:$ZZ,DG1,0)</f>
        <v>2.2481340740740743</v>
      </c>
      <c r="DI8" s="74">
        <f>VLOOKUP($H$8&amp;$F$1,'Input RM sheet'!$A:$ZZ,DH1,0)</f>
        <v>2.2481340740740743</v>
      </c>
      <c r="DJ8" s="74">
        <f>VLOOKUP($H$8&amp;$F$1,'Input RM sheet'!$A:$ZZ,DI1,0)</f>
        <v>2.2481340740740743</v>
      </c>
      <c r="DK8" s="74">
        <f>VLOOKUP($H$8&amp;$F$1,'Input RM sheet'!$A:$ZZ,DJ1,0)</f>
        <v>2.2481340740740743</v>
      </c>
      <c r="DL8" s="74">
        <f>VLOOKUP($H$8&amp;$F$1,'Input RM sheet'!$A:$ZZ,DK1,0)</f>
        <v>2.2481340740740743</v>
      </c>
      <c r="DM8" s="74">
        <f>VLOOKUP($H$8&amp;$F$1,'Input RM sheet'!$A:$ZZ,DL1,0)</f>
        <v>2.2481340740740743</v>
      </c>
      <c r="DN8" s="74">
        <f>VLOOKUP($H$8&amp;$F$1,'Input RM sheet'!$A:$ZZ,DM1,0)</f>
        <v>2.2481340740740743</v>
      </c>
      <c r="DO8" s="74">
        <f>VLOOKUP($H$8&amp;$F$1,'Input RM sheet'!$A:$ZZ,DN1,0)</f>
        <v>2.2481340740740743</v>
      </c>
      <c r="DP8" s="74">
        <f>VLOOKUP($H$8&amp;$F$1,'Input RM sheet'!$A:$ZZ,DO1,0)</f>
        <v>2.2481340740740743</v>
      </c>
      <c r="DQ8" s="74">
        <f>VLOOKUP($H$8&amp;$F$1,'Input RM sheet'!$A:$ZZ,DP1,0)</f>
        <v>2.2481340740740743</v>
      </c>
      <c r="DR8" s="74">
        <f>VLOOKUP($H$8&amp;$F$1,'Input RM sheet'!$A:$ZZ,DQ1,0)</f>
        <v>2.2481340740740743</v>
      </c>
      <c r="DS8" s="74">
        <f>VLOOKUP($H$8&amp;$F$1,'Input RM sheet'!$A:$ZZ,DR1,0)</f>
        <v>2.2481340740740743</v>
      </c>
      <c r="DT8" s="74">
        <f>VLOOKUP($H$8&amp;$F$1,'Input RM sheet'!$A:$ZZ,DS1,0)</f>
        <v>0</v>
      </c>
      <c r="DU8" s="74">
        <f>VLOOKUP($H$8&amp;$F$1,'Input RM sheet'!$A:$ZZ,DT1,0)</f>
        <v>0</v>
      </c>
      <c r="DV8" s="74">
        <f>VLOOKUP($H$8&amp;$F$1,'Input RM sheet'!$A:$ZZ,DU1,0)</f>
        <v>0</v>
      </c>
      <c r="DW8" s="74">
        <f>VLOOKUP($H$8&amp;$F$1,'Input RM sheet'!$A:$ZZ,DV1,0)</f>
        <v>0</v>
      </c>
      <c r="DX8" s="74">
        <f>VLOOKUP($H$8&amp;$F$1,'Input RM sheet'!$A:$ZZ,DW1,0)</f>
        <v>0</v>
      </c>
      <c r="DY8" s="74">
        <f>VLOOKUP($H$8&amp;$F$1,'Input RM sheet'!$A:$ZZ,DX1,0)</f>
        <v>0</v>
      </c>
      <c r="DZ8" s="74">
        <f>VLOOKUP($H$8&amp;$F$1,'Input RM sheet'!$A:$ZZ,DY1,0)</f>
        <v>0</v>
      </c>
      <c r="EA8" s="74">
        <f>VLOOKUP($H$8&amp;$F$1,'Input RM sheet'!$A:$ZZ,DZ1,0)</f>
        <v>0</v>
      </c>
      <c r="EB8" s="74">
        <f>VLOOKUP($H$8&amp;$F$1,'Input RM sheet'!$A:$ZZ,EA1,0)</f>
        <v>0</v>
      </c>
      <c r="EC8" s="74">
        <f>VLOOKUP($H$8&amp;$F$1,'Input RM sheet'!$A:$ZZ,EB1,0)</f>
        <v>0</v>
      </c>
      <c r="ED8" s="74">
        <f>VLOOKUP($H$8&amp;$F$1,'Input RM sheet'!$A:$ZZ,EC1,0)</f>
        <v>0</v>
      </c>
      <c r="EE8" s="74" t="e" vm="1">
        <f>VLOOKUP($H$8&amp;$F$1,'Input RM sheet'!$A:$ZZ,ED1,0)</f>
        <v>#VALUE!</v>
      </c>
      <c r="EF8" s="74" t="e" vm="1">
        <f>VLOOKUP($H$8&amp;$F$1,'Input RM sheet'!$A:$ZZ,EE1,0)</f>
        <v>#VALUE!</v>
      </c>
      <c r="EG8" s="74" t="e" vm="1">
        <f>VLOOKUP($H$8&amp;$F$1,'Input RM sheet'!$A:$ZZ,EF1,0)</f>
        <v>#VALUE!</v>
      </c>
      <c r="EH8" s="74" t="e" vm="1">
        <f>VLOOKUP($H$8&amp;$F$1,'Input RM sheet'!$A:$ZZ,EG1,0)</f>
        <v>#VALUE!</v>
      </c>
      <c r="EI8" s="74" t="e" vm="1">
        <f>VLOOKUP($H$8&amp;$F$1,'Input RM sheet'!$A:$ZZ,EH1,0)</f>
        <v>#VALUE!</v>
      </c>
      <c r="EJ8" s="74" t="e" vm="1">
        <f>VLOOKUP($H$8&amp;$F$1,'Input RM sheet'!$A:$ZZ,EI1,0)</f>
        <v>#VALUE!</v>
      </c>
      <c r="EK8" s="74" t="e" vm="1">
        <f>VLOOKUP($H$8&amp;$F$1,'Input RM sheet'!$A:$ZZ,EJ1,0)</f>
        <v>#VALUE!</v>
      </c>
      <c r="EL8" s="74" t="e" vm="1">
        <f>VLOOKUP($H$8&amp;$F$1,'Input RM sheet'!$A:$ZZ,EK1,0)</f>
        <v>#VALUE!</v>
      </c>
      <c r="EM8" s="74" t="e" vm="1">
        <f>VLOOKUP($H$8&amp;$F$1,'Input RM sheet'!$A:$ZZ,EL1,0)</f>
        <v>#VALUE!</v>
      </c>
      <c r="EN8" s="74" t="e" vm="1">
        <f>VLOOKUP($H$8&amp;$F$1,'Input RM sheet'!$A:$ZZ,EM1,0)</f>
        <v>#VALUE!</v>
      </c>
      <c r="EO8" s="74" t="e" vm="1">
        <f>VLOOKUP($H$8&amp;$F$1,'Input RM sheet'!$A:$ZZ,EN1,0)</f>
        <v>#VALUE!</v>
      </c>
      <c r="EP8" s="74" t="e" vm="1">
        <f>VLOOKUP($H$8&amp;$F$1,'Input RM sheet'!$A:$ZZ,EO1,0)</f>
        <v>#VALUE!</v>
      </c>
      <c r="EQ8" s="74" t="e" vm="1">
        <f>VLOOKUP($H$8&amp;$F$1,'Input RM sheet'!$A:$ZZ,EP1,0)</f>
        <v>#VALUE!</v>
      </c>
      <c r="ER8" s="74" t="e" vm="1">
        <f>VLOOKUP($H$8&amp;$F$1,'Input RM sheet'!$A:$ZZ,EQ1,0)</f>
        <v>#VALUE!</v>
      </c>
      <c r="ES8" s="74" t="e" vm="1">
        <f>VLOOKUP($H$8&amp;$F$1,'Input RM sheet'!$A:$ZZ,ER1,0)</f>
        <v>#VALUE!</v>
      </c>
      <c r="ET8" s="74" t="e" vm="1">
        <f>VLOOKUP($H$8&amp;$F$1,'Input RM sheet'!$A:$ZZ,ES1,0)</f>
        <v>#VALUE!</v>
      </c>
      <c r="EU8" s="74" t="e" vm="1">
        <f>VLOOKUP($H$8&amp;$F$1,'Input RM sheet'!$A:$ZZ,ET1,0)</f>
        <v>#VALUE!</v>
      </c>
      <c r="EV8" s="74" t="e" vm="1">
        <f>VLOOKUP($H$8&amp;$F$1,'Input RM sheet'!$A:$ZZ,EU1,0)</f>
        <v>#VALUE!</v>
      </c>
      <c r="EW8" s="74" t="e" vm="1">
        <f>VLOOKUP($H$8&amp;$F$1,'Input RM sheet'!$A:$ZZ,EV1,0)</f>
        <v>#VALUE!</v>
      </c>
      <c r="EX8" s="74" t="e" vm="1">
        <f>VLOOKUP($H$8&amp;$F$1,'Input RM sheet'!$A:$ZZ,EW1,0)</f>
        <v>#VALUE!</v>
      </c>
      <c r="EY8" s="74" t="e" vm="1">
        <f>VLOOKUP($H$8&amp;$F$1,'Input RM sheet'!$A:$ZZ,EX1,0)</f>
        <v>#VALUE!</v>
      </c>
      <c r="EZ8" s="74" t="e" vm="1">
        <f>VLOOKUP($H$8&amp;$F$1,'Input RM sheet'!$A:$ZZ,EY1,0)</f>
        <v>#VALUE!</v>
      </c>
      <c r="FA8" s="74" t="e" vm="1">
        <f>VLOOKUP($H$8&amp;$F$1,'Input RM sheet'!$A:$ZZ,EZ1,0)</f>
        <v>#VALUE!</v>
      </c>
      <c r="FB8" s="74" t="e" vm="1">
        <f>VLOOKUP($H$8&amp;$F$1,'Input RM sheet'!$A:$ZZ,FA1,0)</f>
        <v>#VALUE!</v>
      </c>
      <c r="FC8" s="74" t="e" vm="1">
        <f>VLOOKUP($H$8&amp;$F$1,'Input RM sheet'!$A:$ZZ,FB1,0)</f>
        <v>#VALUE!</v>
      </c>
      <c r="FD8" s="74" t="e" vm="1">
        <f>VLOOKUP($H$8&amp;$F$1,'Input RM sheet'!$A:$ZZ,FC1,0)</f>
        <v>#VALUE!</v>
      </c>
      <c r="FE8" s="74" t="e" vm="1">
        <f>VLOOKUP($H$8&amp;$F$1,'Input RM sheet'!$A:$ZZ,FD1,0)</f>
        <v>#VALUE!</v>
      </c>
      <c r="FF8" s="74" t="e" vm="1">
        <f>VLOOKUP($H$8&amp;$F$1,'Input RM sheet'!$A:$ZZ,FE1,0)</f>
        <v>#VALUE!</v>
      </c>
      <c r="FG8" s="74" t="e" vm="1">
        <f>VLOOKUP($H$8&amp;$F$1,'Input RM sheet'!$A:$ZZ,FF1,0)</f>
        <v>#VALUE!</v>
      </c>
      <c r="FH8" s="74" t="e" vm="1">
        <f>VLOOKUP($H$8&amp;$F$1,'Input RM sheet'!$A:$ZZ,FG1,0)</f>
        <v>#VALUE!</v>
      </c>
      <c r="FI8" s="74" t="e" vm="1">
        <f>VLOOKUP($H$8&amp;$F$1,'Input RM sheet'!$A:$ZZ,FH1,0)</f>
        <v>#VALUE!</v>
      </c>
      <c r="FJ8" s="74" t="e" vm="1">
        <f>VLOOKUP($H$8&amp;$F$1,'Input RM sheet'!$A:$ZZ,FI1,0)</f>
        <v>#VALUE!</v>
      </c>
      <c r="FK8" s="74" t="e" vm="1">
        <f>VLOOKUP($H$8&amp;$F$1,'Input RM sheet'!$A:$ZZ,FJ1,0)</f>
        <v>#VALUE!</v>
      </c>
      <c r="FL8" s="74" t="e" vm="1">
        <f>VLOOKUP($H$8&amp;$F$1,'Input RM sheet'!$A:$ZZ,FK1,0)</f>
        <v>#VALUE!</v>
      </c>
      <c r="FM8" s="74" t="e" vm="1">
        <f>VLOOKUP($H$8&amp;$F$1,'Input RM sheet'!$A:$ZZ,FL1,0)</f>
        <v>#VALUE!</v>
      </c>
      <c r="FN8" s="74" t="e" vm="1">
        <f>VLOOKUP($H$8&amp;$F$1,'Input RM sheet'!$A:$ZZ,FM1,0)</f>
        <v>#VALUE!</v>
      </c>
      <c r="FO8" s="74" t="e" vm="1">
        <f>VLOOKUP($H$8&amp;$F$1,'Input RM sheet'!$A:$ZZ,FN1,0)</f>
        <v>#VALUE!</v>
      </c>
      <c r="FP8" s="74" t="e" vm="1">
        <f>VLOOKUP($H$8&amp;$F$1,'Input RM sheet'!$A:$ZZ,FO1,0)</f>
        <v>#VALUE!</v>
      </c>
      <c r="FQ8" s="74" t="e" vm="1">
        <f>VLOOKUP($H$8&amp;$F$1,'Input RM sheet'!$A:$ZZ,FP1,0)</f>
        <v>#VALUE!</v>
      </c>
      <c r="FR8" s="74" t="e" vm="1">
        <f>VLOOKUP($H$8&amp;$F$1,'Input RM sheet'!$A:$ZZ,FQ1,0)</f>
        <v>#VALUE!</v>
      </c>
      <c r="FS8" s="74" t="e" vm="1">
        <f>VLOOKUP($H$8&amp;$F$1,'Input RM sheet'!$A:$ZZ,FR1,0)</f>
        <v>#VALUE!</v>
      </c>
      <c r="FT8" s="74" t="e" vm="1">
        <f>VLOOKUP($H$8&amp;$F$1,'Input RM sheet'!$A:$ZZ,FS1,0)</f>
        <v>#VALUE!</v>
      </c>
      <c r="FU8" s="74" t="e" vm="1">
        <f>VLOOKUP($H$8&amp;$F$1,'Input RM sheet'!$A:$ZZ,FT1,0)</f>
        <v>#VALUE!</v>
      </c>
      <c r="FV8" s="74" t="e" vm="1">
        <f>VLOOKUP($H$8&amp;$F$1,'Input RM sheet'!$A:$ZZ,FU1,0)</f>
        <v>#VALUE!</v>
      </c>
      <c r="FW8" s="74" t="e" vm="1">
        <f>VLOOKUP($H$8&amp;$F$1,'Input RM sheet'!$A:$ZZ,FV1,0)</f>
        <v>#VALUE!</v>
      </c>
      <c r="FX8" s="74" t="e" vm="1">
        <f>VLOOKUP($H$8&amp;$F$1,'Input RM sheet'!$A:$ZZ,FW1,0)</f>
        <v>#VALUE!</v>
      </c>
      <c r="FY8" s="74" t="e" vm="1">
        <f>VLOOKUP($H$8&amp;$F$1,'Input RM sheet'!$A:$ZZ,FX1,0)</f>
        <v>#VALUE!</v>
      </c>
    </row>
    <row r="9" spans="1:181" ht="13">
      <c r="H9" s="107" t="s">
        <v>69</v>
      </c>
      <c r="I9" s="74">
        <f>VLOOKUP($H$9&amp;$F$1,'Input RM sheet'!$A:$ZZ,H1,0)</f>
        <v>0</v>
      </c>
      <c r="J9" s="74">
        <f>VLOOKUP($H$9&amp;$F$1,'Input RM sheet'!$A:$ZZ,I1,0)</f>
        <v>0</v>
      </c>
      <c r="K9" s="74">
        <f>VLOOKUP($H$9&amp;$F$1,'Input RM sheet'!$A:$ZZ,J1,0)</f>
        <v>0</v>
      </c>
      <c r="L9" s="74">
        <f>VLOOKUP($H$9&amp;$F$1,'Input RM sheet'!$A:$ZZ,K1,0)</f>
        <v>0</v>
      </c>
      <c r="M9" s="74">
        <f>VLOOKUP($H$9&amp;$F$1,'Input RM sheet'!$A:$ZZ,L1,0)</f>
        <v>0</v>
      </c>
      <c r="N9" s="74">
        <f>VLOOKUP($H$9&amp;$F$1,'Input RM sheet'!$A:$ZZ,M1,0)</f>
        <v>0</v>
      </c>
      <c r="O9" s="74">
        <f>VLOOKUP($H$9&amp;$F$1,'Input RM sheet'!$A:$ZZ,N1,0)</f>
        <v>0</v>
      </c>
      <c r="P9" s="74">
        <f>VLOOKUP($H$9&amp;$F$1,'Input RM sheet'!$A:$ZZ,O1,0)</f>
        <v>0</v>
      </c>
      <c r="Q9" s="74">
        <f>VLOOKUP($H$9&amp;$F$1,'Input RM sheet'!$A:$ZZ,P1,0)</f>
        <v>0</v>
      </c>
      <c r="R9" s="74">
        <f>VLOOKUP($H$9&amp;$F$1,'Input RM sheet'!$A:$ZZ,Q1,0)</f>
        <v>0</v>
      </c>
      <c r="S9" s="74">
        <f>VLOOKUP($H$9&amp;$F$1,'Input RM sheet'!$A:$ZZ,R1,0)</f>
        <v>0</v>
      </c>
      <c r="T9" s="74">
        <f>VLOOKUP($H$9&amp;$F$1,'Input RM sheet'!$A:$ZZ,S1,0)</f>
        <v>0</v>
      </c>
      <c r="U9" s="74">
        <f>VLOOKUP($H$9&amp;$F$1,'Input RM sheet'!$A:$ZZ,T1,0)</f>
        <v>0</v>
      </c>
      <c r="V9" s="74">
        <f>VLOOKUP($H$9&amp;$F$1,'Input RM sheet'!$A:$ZZ,U1,0)</f>
        <v>0</v>
      </c>
      <c r="W9" s="74">
        <f>VLOOKUP($H$9&amp;$F$1,'Input RM sheet'!$A:$ZZ,V1,0)</f>
        <v>0</v>
      </c>
      <c r="X9" s="74">
        <f>VLOOKUP($H$9&amp;$F$1,'Input RM sheet'!$A:$ZZ,W1,0)</f>
        <v>0</v>
      </c>
      <c r="Y9" s="74">
        <f>VLOOKUP($H$9&amp;$F$1,'Input RM sheet'!$A:$ZZ,X1,0)</f>
        <v>0</v>
      </c>
      <c r="Z9" s="74">
        <f>VLOOKUP($H$9&amp;$F$1,'Input RM sheet'!$A:$ZZ,Y1,0)</f>
        <v>0</v>
      </c>
      <c r="AA9" s="74">
        <f>VLOOKUP($H$9&amp;$F$1,'Input RM sheet'!$A:$ZZ,Z1,0)</f>
        <v>0</v>
      </c>
      <c r="AB9" s="74">
        <f>VLOOKUP($H$9&amp;$F$1,'Input RM sheet'!$A:$ZZ,AA1,0)</f>
        <v>0</v>
      </c>
      <c r="AC9" s="74">
        <f>VLOOKUP($H$9&amp;$F$1,'Input RM sheet'!$A:$ZZ,AB1,0)</f>
        <v>0</v>
      </c>
      <c r="AD9" s="74">
        <f>VLOOKUP($H$9&amp;$F$1,'Input RM sheet'!$A:$ZZ,AC1,0)</f>
        <v>0</v>
      </c>
      <c r="AE9" s="74">
        <f>VLOOKUP($H$9&amp;$F$1,'Input RM sheet'!$A:$ZZ,AD1,0)</f>
        <v>0</v>
      </c>
      <c r="AF9" s="74">
        <f>VLOOKUP($H$9&amp;$F$1,'Input RM sheet'!$A:$ZZ,AE1,0)</f>
        <v>0</v>
      </c>
      <c r="AG9" s="74">
        <f>VLOOKUP($H$9&amp;$F$1,'Input RM sheet'!$A:$ZZ,AF1,0)</f>
        <v>0</v>
      </c>
      <c r="AH9" s="74">
        <f>VLOOKUP($H$9&amp;$F$1,'Input RM sheet'!$A:$ZZ,AG1,0)</f>
        <v>0</v>
      </c>
      <c r="AI9" s="74">
        <f>VLOOKUP($H$9&amp;$F$1,'Input RM sheet'!$A:$ZZ,AH1,0)</f>
        <v>7804.9189023198696</v>
      </c>
      <c r="AJ9" s="74">
        <f>VLOOKUP($H$9&amp;$F$1,'Input RM sheet'!$A:$ZZ,AI1,0)</f>
        <v>7445.4928989950595</v>
      </c>
      <c r="AK9" s="74">
        <f>VLOOKUP($H$9&amp;$F$1,'Input RM sheet'!$A:$ZZ,AJ1,0)</f>
        <v>7348.1038178306926</v>
      </c>
      <c r="AL9" s="74">
        <f>VLOOKUP($H$9&amp;$F$1,'Input RM sheet'!$A:$ZZ,AK1,0)</f>
        <v>7661.6114561698369</v>
      </c>
      <c r="AM9" s="74">
        <f>VLOOKUP($H$9&amp;$F$1,'Input RM sheet'!$A:$ZZ,AL1,0)</f>
        <v>7663.0906451771216</v>
      </c>
      <c r="AN9" s="74">
        <f>VLOOKUP($H$9&amp;$F$1,'Input RM sheet'!$A:$ZZ,AM1,0)</f>
        <v>7449.1224933702824</v>
      </c>
      <c r="AO9" s="74">
        <f>VLOOKUP($H$9&amp;$F$1,'Input RM sheet'!$A:$ZZ,AN1,0)</f>
        <v>5623.1109861530904</v>
      </c>
      <c r="AP9" s="74">
        <f>VLOOKUP($H$9&amp;$F$1,'Input RM sheet'!$A:$ZZ,AO1,0)</f>
        <v>5163.2014030333203</v>
      </c>
      <c r="AQ9" s="74">
        <f>VLOOKUP($H$9&amp;$F$1,'Input RM sheet'!$A:$ZZ,AP1,0)</f>
        <v>6217.7508796931379</v>
      </c>
      <c r="AR9" s="74">
        <f>VLOOKUP($H$9&amp;$F$1,'Input RM sheet'!$A:$ZZ,AQ1,0)</f>
        <v>6004.7452884561599</v>
      </c>
      <c r="AS9" s="74">
        <f>VLOOKUP($H$9&amp;$F$1,'Input RM sheet'!$A:$ZZ,AR1,0)</f>
        <v>5843.1945976390616</v>
      </c>
      <c r="AT9" s="74">
        <f>VLOOKUP($H$9&amp;$F$1,'Input RM sheet'!$A:$ZZ,AS1,0)</f>
        <v>5105.4648640631694</v>
      </c>
      <c r="AU9" s="74">
        <f>VLOOKUP($H$9&amp;$F$1,'Input RM sheet'!$A:$ZZ,AT1,0)</f>
        <v>3569.3943614239165</v>
      </c>
      <c r="AV9" s="74">
        <f>VLOOKUP($H$9&amp;$F$1,'Input RM sheet'!$A:$ZZ,AU1,0)</f>
        <v>3275.2353674043443</v>
      </c>
      <c r="AW9" s="74">
        <f>VLOOKUP($H$9&amp;$F$1,'Input RM sheet'!$A:$ZZ,AV1,0)</f>
        <v>3172.2453706617657</v>
      </c>
      <c r="AX9" s="74">
        <f>VLOOKUP($H$9&amp;$F$1,'Input RM sheet'!$A:$ZZ,AW1,0)</f>
        <v>2230.9808879303937</v>
      </c>
      <c r="AY9" s="74">
        <f>VLOOKUP($H$9&amp;$F$1,'Input RM sheet'!$A:$ZZ,AX1,0)</f>
        <v>2197.1315227342084</v>
      </c>
      <c r="AZ9" s="74">
        <f>VLOOKUP($H$9&amp;$F$1,'Input RM sheet'!$A:$ZZ,AY1,0)</f>
        <v>2258.1629539212695</v>
      </c>
      <c r="BA9" s="74">
        <f>VLOOKUP($H$9&amp;$F$1,'Input RM sheet'!$A:$ZZ,AZ1,0)</f>
        <v>2384.4641101278271</v>
      </c>
      <c r="BB9" s="74">
        <f>VLOOKUP($H$9&amp;$F$1,'Input RM sheet'!$A:$ZZ,BA1,0)</f>
        <v>2500.1547125440929</v>
      </c>
      <c r="BC9" s="74">
        <f>VLOOKUP($H$9&amp;$F$1,'Input RM sheet'!$A:$ZZ,BB1,0)</f>
        <v>2986.5726630680915</v>
      </c>
      <c r="BD9" s="74">
        <f>VLOOKUP($H$9&amp;$F$1,'Input RM sheet'!$A:$ZZ,BC1,0)</f>
        <v>2994.4857640199152</v>
      </c>
      <c r="BE9" s="74">
        <f>VLOOKUP($H$9&amp;$F$1,'Input RM sheet'!$A:$ZZ,BD1,0)</f>
        <v>2986.2704395644419</v>
      </c>
      <c r="BF9" s="74">
        <f>VLOOKUP($H$9&amp;$F$1,'Input RM sheet'!$A:$ZZ,BE1,0)</f>
        <v>2998.4097502943782</v>
      </c>
      <c r="BG9" s="74">
        <f>VLOOKUP($H$9&amp;$F$1,'Input RM sheet'!$A:$ZZ,BF1,0)</f>
        <v>2965.9939711632751</v>
      </c>
      <c r="BH9" s="74">
        <f>VLOOKUP($H$9&amp;$F$1,'Input RM sheet'!$A:$ZZ,BG1,0)</f>
        <v>2940.1410587906821</v>
      </c>
      <c r="BI9" s="74">
        <f>VLOOKUP($H$9&amp;$F$1,'Input RM sheet'!$A:$ZZ,BH1,0)</f>
        <v>2936.1134682991883</v>
      </c>
      <c r="BJ9" s="74">
        <f>VLOOKUP($H$9&amp;$F$1,'Input RM sheet'!$A:$ZZ,BI1,0)</f>
        <v>2933.6889319917568</v>
      </c>
      <c r="BK9" s="74">
        <f>VLOOKUP($H$9&amp;$F$1,'Input RM sheet'!$A:$ZZ,BJ1,0)</f>
        <v>2921.5662504546012</v>
      </c>
      <c r="BL9" s="74">
        <f>VLOOKUP($H$9&amp;$F$1,'Input RM sheet'!$A:$ZZ,BK1,0)</f>
        <v>2949.8525073746314</v>
      </c>
      <c r="BM9" s="74">
        <f>VLOOKUP($H$9&amp;$F$1,'Input RM sheet'!$A:$ZZ,BL1,0)</f>
        <v>2941.78177548031</v>
      </c>
      <c r="BN9" s="74">
        <f>VLOOKUP($H$9&amp;$F$1,'Input RM sheet'!$A:$ZZ,BM1,0)</f>
        <v>2937.7629479181783</v>
      </c>
      <c r="BO9" s="74">
        <f>VLOOKUP($H$9&amp;$F$1,'Input RM sheet'!$A:$ZZ,BN1,0)</f>
        <v>2970.140351304306</v>
      </c>
      <c r="BP9" s="74">
        <f>VLOOKUP($H$9&amp;$F$1,'Input RM sheet'!$A:$ZZ,BO1,0)</f>
        <v>3047.3682927423883</v>
      </c>
      <c r="BQ9" s="74">
        <f>VLOOKUP($H$9&amp;$F$1,'Input RM sheet'!$A:$ZZ,BP1,0)</f>
        <v>3071.7472390843272</v>
      </c>
      <c r="BR9" s="74">
        <f>VLOOKUP($H$9&amp;$F$1,'Input RM sheet'!$A:$ZZ,BQ1,0)</f>
        <v>3140.9697120777769</v>
      </c>
      <c r="BS9" s="74">
        <f>VLOOKUP($H$9&amp;$F$1,'Input RM sheet'!$A:$ZZ,BR1,0)</f>
        <v>3135.7675813688311</v>
      </c>
      <c r="BT9" s="74">
        <f>VLOOKUP($H$9&amp;$F$1,'Input RM sheet'!$A:$ZZ,BS1,0)</f>
        <v>3157.8815981626872</v>
      </c>
      <c r="BU9" s="74">
        <f>VLOOKUP($H$9&amp;$F$1,'Input RM sheet'!$A:$ZZ,BT1,0)</f>
        <v>3094.2508818615015</v>
      </c>
      <c r="BV9" s="74">
        <f>VLOOKUP($H$9&amp;$F$1,'Input RM sheet'!$A:$ZZ,BU1,0)</f>
        <v>3070.509380031704</v>
      </c>
      <c r="BW9" s="74">
        <f>VLOOKUP($H$9&amp;$F$1,'Input RM sheet'!$A:$ZZ,BV1,0)</f>
        <v>3041.2563878848314</v>
      </c>
      <c r="BX9" s="74">
        <f>VLOOKUP($H$9&amp;$F$1,'Input RM sheet'!$A:$ZZ,BW1,0)</f>
        <v>2904.1505671195318</v>
      </c>
      <c r="BY9" s="74">
        <f>VLOOKUP($H$9&amp;$F$1,'Input RM sheet'!$A:$ZZ,BX1,0)</f>
        <v>2833.8470716913594</v>
      </c>
      <c r="BZ9" s="74">
        <f>VLOOKUP($H$9&amp;$F$1,'Input RM sheet'!$A:$ZZ,BY1,0)</f>
        <v>2800.4928867480676</v>
      </c>
      <c r="CA9" s="74">
        <f>VLOOKUP($H$9&amp;$F$1,'Input RM sheet'!$A:$ZZ,BZ1,0)</f>
        <v>2800.4928867480676</v>
      </c>
      <c r="CB9" s="74">
        <f>VLOOKUP($H$9&amp;$F$1,'Input RM sheet'!$A:$ZZ,CA1,0)</f>
        <v>2769.3330215269489</v>
      </c>
      <c r="CC9" s="74">
        <f>VLOOKUP($H$9&amp;$F$1,'Input RM sheet'!$A:$ZZ,CB1,0)</f>
        <v>2760.8647422782069</v>
      </c>
      <c r="CD9" s="74">
        <f>VLOOKUP($H$9&amp;$F$1,'Input RM sheet'!$A:$ZZ,CC1,0)</f>
        <v>2728.6135693215342</v>
      </c>
      <c r="CE9" s="74">
        <f>VLOOKUP($H$9&amp;$F$1,'Input RM sheet'!$A:$ZZ,CD1,0)</f>
        <v>2691.7404129793513</v>
      </c>
      <c r="CF9" s="74">
        <f>VLOOKUP($H$9&amp;$F$1,'Input RM sheet'!$A:$ZZ,CE1,0)</f>
        <v>2662.2624300539851</v>
      </c>
      <c r="CG9" s="74">
        <f>VLOOKUP($H$9&amp;$F$1,'Input RM sheet'!$A:$ZZ,CF1,0)</f>
        <v>2569.068222489153</v>
      </c>
      <c r="CH9" s="74">
        <f>VLOOKUP($H$9&amp;$F$1,'Input RM sheet'!$A:$ZZ,CG1,0)</f>
        <v>2230.1374557828126</v>
      </c>
      <c r="CI9" s="74">
        <f>VLOOKUP($H$9&amp;$F$1,'Input RM sheet'!$A:$ZZ,CH1,0)</f>
        <v>2337.8499124836289</v>
      </c>
      <c r="CJ9" s="74">
        <f>VLOOKUP($H$9&amp;$F$1,'Input RM sheet'!$A:$ZZ,CI1,0)</f>
        <v>2212.3893805309735</v>
      </c>
      <c r="CK9" s="74">
        <f>VLOOKUP($H$9&amp;$F$1,'Input RM sheet'!$A:$ZZ,CJ1,0)</f>
        <v>2236.8356720285537</v>
      </c>
      <c r="CL9" s="74">
        <f>VLOOKUP($H$9&amp;$F$1,'Input RM sheet'!$A:$ZZ,CK1,0)</f>
        <v>2395.7365667628219</v>
      </c>
      <c r="CM9" s="74">
        <f>VLOOKUP($H$9&amp;$F$1,'Input RM sheet'!$A:$ZZ,CL1,0)</f>
        <v>2405.7049574705729</v>
      </c>
      <c r="CN9" s="74">
        <f>VLOOKUP($H$9&amp;$F$1,'Input RM sheet'!$A:$ZZ,CM1,0)</f>
        <v>2545.93079474657</v>
      </c>
      <c r="CO9" s="74">
        <f>VLOOKUP($H$9&amp;$F$1,'Input RM sheet'!$A:$ZZ,CN1,0)</f>
        <v>2607.13105423567</v>
      </c>
      <c r="CP9" s="74">
        <f>VLOOKUP($H$9&amp;$F$1,'Input RM sheet'!$A:$ZZ,CO1,0)</f>
        <v>2631.61115803131</v>
      </c>
      <c r="CQ9" s="74">
        <f>VLOOKUP($H$9&amp;$F$1,'Input RM sheet'!$A:$ZZ,CP1,0)</f>
        <v>2631.61115803131</v>
      </c>
      <c r="CR9" s="74">
        <f>VLOOKUP($H$9&amp;$F$1,'Input RM sheet'!$A:$ZZ,CQ1,0)</f>
        <v>2774.6540849753096</v>
      </c>
      <c r="CS9" s="74">
        <f>VLOOKUP($H$9&amp;$F$1,'Input RM sheet'!$A:$ZZ,CR1,0)</f>
        <v>2811.323522221679</v>
      </c>
      <c r="CT9" s="74">
        <f>VLOOKUP($H$9&amp;$F$1,'Input RM sheet'!$A:$ZZ,CS1,0)</f>
        <v>2864.5261951778448</v>
      </c>
      <c r="CU9" s="74">
        <f>VLOOKUP($H$9&amp;$F$1,'Input RM sheet'!$A:$ZZ,CT1,0)</f>
        <v>2758.335260678507</v>
      </c>
      <c r="CV9" s="74">
        <f>VLOOKUP($H$9&amp;$F$1,'Input RM sheet'!$A:$ZZ,CU1,0)</f>
        <v>2568.441041496756</v>
      </c>
      <c r="CW9" s="74">
        <f>VLOOKUP($H$9&amp;$F$1,'Input RM sheet'!$A:$ZZ,CV1,0)</f>
        <v>2468.6248493627595</v>
      </c>
      <c r="CX9" s="74">
        <f>VLOOKUP($H$9&amp;$F$1,'Input RM sheet'!$A:$ZZ,CW1,0)</f>
        <v>2443.3531070699214</v>
      </c>
      <c r="CY9" s="74">
        <f>VLOOKUP($H$9&amp;$F$1,'Input RM sheet'!$A:$ZZ,CX1,0)</f>
        <v>2484.7305352574699</v>
      </c>
      <c r="CZ9" s="74">
        <f>VLOOKUP($H$9&amp;$F$1,'Input RM sheet'!$A:$ZZ,CY1,0)</f>
        <v>2554.8931758433005</v>
      </c>
      <c r="DA9" s="74">
        <f>VLOOKUP($H$9&amp;$F$1,'Input RM sheet'!$A:$ZZ,CZ1,0)</f>
        <v>2551.334828801736</v>
      </c>
      <c r="DB9" s="74">
        <f>VLOOKUP($H$9&amp;$F$1,'Input RM sheet'!$A:$ZZ,DA1,0)</f>
        <v>2562.0397301813236</v>
      </c>
      <c r="DC9" s="74">
        <f>VLOOKUP($H$9&amp;$F$1,'Input RM sheet'!$A:$ZZ,DB1,0)</f>
        <v>2571.4748017873371</v>
      </c>
      <c r="DD9" s="74">
        <f>VLOOKUP($H$9&amp;$F$1,'Input RM sheet'!$A:$ZZ,DC1,0)</f>
        <v>2571.2395621403698</v>
      </c>
      <c r="DE9" s="74">
        <f>VLOOKUP($H$9&amp;$F$1,'Input RM sheet'!$A:$ZZ,DD1,0)</f>
        <v>2514.2202805471543</v>
      </c>
      <c r="DF9" s="74">
        <f>VLOOKUP($H$9&amp;$F$1,'Input RM sheet'!$A:$ZZ,DE1,0)</f>
        <v>2514.4776755496505</v>
      </c>
      <c r="DG9" s="74">
        <f>VLOOKUP($H$9&amp;$F$1,'Input RM sheet'!$A:$ZZ,DF1,0)</f>
        <v>2503.5927690794952</v>
      </c>
      <c r="DH9" s="74">
        <f>VLOOKUP($H$9&amp;$F$1,'Input RM sheet'!$A:$ZZ,DG1,0)</f>
        <v>2503.5927690794952</v>
      </c>
      <c r="DI9" s="74">
        <f>VLOOKUP($H$9&amp;$F$1,'Input RM sheet'!$A:$ZZ,DH1,0)</f>
        <v>2484.3483564218413</v>
      </c>
      <c r="DJ9" s="74">
        <f>VLOOKUP($H$9&amp;$F$1,'Input RM sheet'!$A:$ZZ,DI1,0)</f>
        <v>2631.2849855403447</v>
      </c>
      <c r="DK9" s="74">
        <f>VLOOKUP($H$9&amp;$F$1,'Input RM sheet'!$A:$ZZ,DJ1,0)</f>
        <v>2701.9657420490325</v>
      </c>
      <c r="DL9" s="74">
        <f>VLOOKUP($H$9&amp;$F$1,'Input RM sheet'!$A:$ZZ,DK1,0)</f>
        <v>2788.0462516958546</v>
      </c>
      <c r="DM9" s="74">
        <f>VLOOKUP($H$9&amp;$F$1,'Input RM sheet'!$A:$ZZ,DL1,0)</f>
        <v>2741.7716251116908</v>
      </c>
      <c r="DN9" s="74">
        <f>VLOOKUP($H$9&amp;$F$1,'Input RM sheet'!$A:$ZZ,DM1,0)</f>
        <v>2737.9846477289398</v>
      </c>
      <c r="DO9" s="74">
        <f>VLOOKUP($H$9&amp;$F$1,'Input RM sheet'!$A:$ZZ,DN1,0)</f>
        <v>2730.4419902971799</v>
      </c>
      <c r="DP9" s="74">
        <f>VLOOKUP($H$9&amp;$F$1,'Input RM sheet'!$A:$ZZ,DO1,0)</f>
        <v>2677.9953987169974</v>
      </c>
      <c r="DQ9" s="74">
        <f>VLOOKUP($H$9&amp;$F$1,'Input RM sheet'!$A:$ZZ,DP1,0)</f>
        <v>2665.8226923591924</v>
      </c>
      <c r="DR9" s="74">
        <f>VLOOKUP($H$9&amp;$F$1,'Input RM sheet'!$A:$ZZ,DQ1,0)</f>
        <v>2658.5090498561494</v>
      </c>
      <c r="DS9" s="74">
        <f>VLOOKUP($H$9&amp;$F$1,'Input RM sheet'!$A:$ZZ,DR1,0)</f>
        <v>2654.8672566371683</v>
      </c>
      <c r="DT9" s="74" t="e">
        <f>VLOOKUP($H$9&amp;$F$1,'Input RM sheet'!$A:$ZZ,DS1,0)</f>
        <v>#DIV/0!</v>
      </c>
      <c r="DU9" s="74" t="e">
        <f>VLOOKUP($H$9&amp;$F$1,'Input RM sheet'!$A:$ZZ,DT1,0)</f>
        <v>#DIV/0!</v>
      </c>
      <c r="DV9" s="74" t="e">
        <f>VLOOKUP($H$9&amp;$F$1,'Input RM sheet'!$A:$ZZ,DU1,0)</f>
        <v>#DIV/0!</v>
      </c>
      <c r="DW9" s="74" t="e">
        <f>VLOOKUP($H$9&amp;$F$1,'Input RM sheet'!$A:$ZZ,DV1,0)</f>
        <v>#DIV/0!</v>
      </c>
      <c r="DX9" s="74">
        <f>VLOOKUP($H$9&amp;$F$1,'Input RM sheet'!$A:$ZZ,DW1,0)</f>
        <v>0</v>
      </c>
      <c r="DY9" s="74">
        <f>VLOOKUP($H$9&amp;$F$1,'Input RM sheet'!$A:$ZZ,DX1,0)</f>
        <v>0</v>
      </c>
      <c r="DZ9" s="74">
        <f>VLOOKUP($H$9&amp;$F$1,'Input RM sheet'!$A:$ZZ,DY1,0)</f>
        <v>0</v>
      </c>
      <c r="EA9" s="74">
        <f>VLOOKUP($H$9&amp;$F$1,'Input RM sheet'!$A:$ZZ,DZ1,0)</f>
        <v>0</v>
      </c>
      <c r="EB9" s="74">
        <f>VLOOKUP($H$9&amp;$F$1,'Input RM sheet'!$A:$ZZ,EA1,0)</f>
        <v>0</v>
      </c>
      <c r="EC9" s="74">
        <f>VLOOKUP($H$9&amp;$F$1,'Input RM sheet'!$A:$ZZ,EB1,0)</f>
        <v>0</v>
      </c>
      <c r="ED9" s="74">
        <f>VLOOKUP($H$9&amp;$F$1,'Input RM sheet'!$A:$ZZ,EC1,0)</f>
        <v>0</v>
      </c>
      <c r="EE9" s="74" t="e" vm="1">
        <f>VLOOKUP($H$9&amp;$F$1,'Input RM sheet'!$A:$ZZ,ED1,0)</f>
        <v>#VALUE!</v>
      </c>
      <c r="EF9" s="74" t="e" vm="1">
        <f>VLOOKUP($H$9&amp;$F$1,'Input RM sheet'!$A:$ZZ,EE1,0)</f>
        <v>#VALUE!</v>
      </c>
      <c r="EG9" s="74" t="e" vm="1">
        <f>VLOOKUP($H$9&amp;$F$1,'Input RM sheet'!$A:$ZZ,EF1,0)</f>
        <v>#VALUE!</v>
      </c>
      <c r="EH9" s="74" t="e" vm="1">
        <f>VLOOKUP($H$9&amp;$F$1,'Input RM sheet'!$A:$ZZ,EG1,0)</f>
        <v>#VALUE!</v>
      </c>
      <c r="EI9" s="74" t="e" vm="1">
        <f>VLOOKUP($H$9&amp;$F$1,'Input RM sheet'!$A:$ZZ,EH1,0)</f>
        <v>#VALUE!</v>
      </c>
      <c r="EJ9" s="74" t="e" vm="1">
        <f>VLOOKUP($H$9&amp;$F$1,'Input RM sheet'!$A:$ZZ,EI1,0)</f>
        <v>#VALUE!</v>
      </c>
      <c r="EK9" s="74" t="e" vm="1">
        <f>VLOOKUP($H$9&amp;$F$1,'Input RM sheet'!$A:$ZZ,EJ1,0)</f>
        <v>#VALUE!</v>
      </c>
      <c r="EL9" s="74" t="e" vm="1">
        <f>VLOOKUP($H$9&amp;$F$1,'Input RM sheet'!$A:$ZZ,EK1,0)</f>
        <v>#VALUE!</v>
      </c>
      <c r="EM9" s="74" t="e" vm="1">
        <f>VLOOKUP($H$9&amp;$F$1,'Input RM sheet'!$A:$ZZ,EL1,0)</f>
        <v>#VALUE!</v>
      </c>
      <c r="EN9" s="74" t="e" vm="1">
        <f>VLOOKUP($H$9&amp;$F$1,'Input RM sheet'!$A:$ZZ,EM1,0)</f>
        <v>#VALUE!</v>
      </c>
      <c r="EO9" s="74" t="e" vm="1">
        <f>VLOOKUP($H$9&amp;$F$1,'Input RM sheet'!$A:$ZZ,EN1,0)</f>
        <v>#VALUE!</v>
      </c>
      <c r="EP9" s="74" t="e" vm="1">
        <f>VLOOKUP($H$9&amp;$F$1,'Input RM sheet'!$A:$ZZ,EO1,0)</f>
        <v>#VALUE!</v>
      </c>
      <c r="EQ9" s="74" t="e" vm="1">
        <f>VLOOKUP($H$9&amp;$F$1,'Input RM sheet'!$A:$ZZ,EP1,0)</f>
        <v>#VALUE!</v>
      </c>
      <c r="ER9" s="74" t="e" vm="1">
        <f>VLOOKUP($H$9&amp;$F$1,'Input RM sheet'!$A:$ZZ,EQ1,0)</f>
        <v>#VALUE!</v>
      </c>
      <c r="ES9" s="74" t="e" vm="1">
        <f>VLOOKUP($H$9&amp;$F$1,'Input RM sheet'!$A:$ZZ,ER1,0)</f>
        <v>#VALUE!</v>
      </c>
      <c r="ET9" s="74" t="e" vm="1">
        <f>VLOOKUP($H$9&amp;$F$1,'Input RM sheet'!$A:$ZZ,ES1,0)</f>
        <v>#VALUE!</v>
      </c>
      <c r="EU9" s="74" t="e" vm="1">
        <f>VLOOKUP($H$9&amp;$F$1,'Input RM sheet'!$A:$ZZ,ET1,0)</f>
        <v>#VALUE!</v>
      </c>
      <c r="EV9" s="74" t="e" vm="1">
        <f>VLOOKUP($H$9&amp;$F$1,'Input RM sheet'!$A:$ZZ,EU1,0)</f>
        <v>#VALUE!</v>
      </c>
      <c r="EW9" s="74" t="e" vm="1">
        <f>VLOOKUP($H$9&amp;$F$1,'Input RM sheet'!$A:$ZZ,EV1,0)</f>
        <v>#VALUE!</v>
      </c>
      <c r="EX9" s="74" t="e" vm="1">
        <f>VLOOKUP($H$9&amp;$F$1,'Input RM sheet'!$A:$ZZ,EW1,0)</f>
        <v>#VALUE!</v>
      </c>
      <c r="EY9" s="74" t="e" vm="1">
        <f>VLOOKUP($H$9&amp;$F$1,'Input RM sheet'!$A:$ZZ,EX1,0)</f>
        <v>#VALUE!</v>
      </c>
      <c r="EZ9" s="74" t="e" vm="1">
        <f>VLOOKUP($H$9&amp;$F$1,'Input RM sheet'!$A:$ZZ,EY1,0)</f>
        <v>#VALUE!</v>
      </c>
      <c r="FA9" s="74" t="e" vm="1">
        <f>VLOOKUP($H$9&amp;$F$1,'Input RM sheet'!$A:$ZZ,EZ1,0)</f>
        <v>#VALUE!</v>
      </c>
      <c r="FB9" s="74" t="e" vm="1">
        <f>VLOOKUP($H$9&amp;$F$1,'Input RM sheet'!$A:$ZZ,FA1,0)</f>
        <v>#VALUE!</v>
      </c>
      <c r="FC9" s="74" t="e" vm="1">
        <f>VLOOKUP($H$9&amp;$F$1,'Input RM sheet'!$A:$ZZ,FB1,0)</f>
        <v>#VALUE!</v>
      </c>
      <c r="FD9" s="74" t="e" vm="1">
        <f>VLOOKUP($H$9&amp;$F$1,'Input RM sheet'!$A:$ZZ,FC1,0)</f>
        <v>#VALUE!</v>
      </c>
      <c r="FE9" s="74" t="e" vm="1">
        <f>VLOOKUP($H$9&amp;$F$1,'Input RM sheet'!$A:$ZZ,FD1,0)</f>
        <v>#VALUE!</v>
      </c>
      <c r="FF9" s="74" t="e" vm="1">
        <f>VLOOKUP($H$9&amp;$F$1,'Input RM sheet'!$A:$ZZ,FE1,0)</f>
        <v>#VALUE!</v>
      </c>
      <c r="FG9" s="74" t="e" vm="1">
        <f>VLOOKUP($H$9&amp;$F$1,'Input RM sheet'!$A:$ZZ,FF1,0)</f>
        <v>#VALUE!</v>
      </c>
      <c r="FH9" s="74" t="e" vm="1">
        <f>VLOOKUP($H$9&amp;$F$1,'Input RM sheet'!$A:$ZZ,FG1,0)</f>
        <v>#VALUE!</v>
      </c>
      <c r="FI9" s="74" t="e" vm="1">
        <f>VLOOKUP($H$9&amp;$F$1,'Input RM sheet'!$A:$ZZ,FH1,0)</f>
        <v>#VALUE!</v>
      </c>
      <c r="FJ9" s="74" t="e" vm="1">
        <f>VLOOKUP($H$9&amp;$F$1,'Input RM sheet'!$A:$ZZ,FI1,0)</f>
        <v>#VALUE!</v>
      </c>
      <c r="FK9" s="74" t="e" vm="1">
        <f>VLOOKUP($H$9&amp;$F$1,'Input RM sheet'!$A:$ZZ,FJ1,0)</f>
        <v>#VALUE!</v>
      </c>
      <c r="FL9" s="74" t="e" vm="1">
        <f>VLOOKUP($H$9&amp;$F$1,'Input RM sheet'!$A:$ZZ,FK1,0)</f>
        <v>#VALUE!</v>
      </c>
      <c r="FM9" s="74" t="e" vm="1">
        <f>VLOOKUP($H$9&amp;$F$1,'Input RM sheet'!$A:$ZZ,FL1,0)</f>
        <v>#VALUE!</v>
      </c>
      <c r="FN9" s="74" t="e" vm="1">
        <f>VLOOKUP($H$9&amp;$F$1,'Input RM sheet'!$A:$ZZ,FM1,0)</f>
        <v>#VALUE!</v>
      </c>
      <c r="FO9" s="74" t="e" vm="1">
        <f>VLOOKUP($H$9&amp;$F$1,'Input RM sheet'!$A:$ZZ,FN1,0)</f>
        <v>#VALUE!</v>
      </c>
      <c r="FP9" s="74" t="e" vm="1">
        <f>VLOOKUP($H$9&amp;$F$1,'Input RM sheet'!$A:$ZZ,FO1,0)</f>
        <v>#VALUE!</v>
      </c>
      <c r="FQ9" s="74" t="e" vm="1">
        <f>VLOOKUP($H$9&amp;$F$1,'Input RM sheet'!$A:$ZZ,FP1,0)</f>
        <v>#VALUE!</v>
      </c>
      <c r="FR9" s="74" t="e" vm="1">
        <f>VLOOKUP($H$9&amp;$F$1,'Input RM sheet'!$A:$ZZ,FQ1,0)</f>
        <v>#VALUE!</v>
      </c>
      <c r="FS9" s="74" t="e" vm="1">
        <f>VLOOKUP($H$9&amp;$F$1,'Input RM sheet'!$A:$ZZ,FR1,0)</f>
        <v>#VALUE!</v>
      </c>
      <c r="FT9" s="74" t="e" vm="1">
        <f>VLOOKUP($H$9&amp;$F$1,'Input RM sheet'!$A:$ZZ,FS1,0)</f>
        <v>#VALUE!</v>
      </c>
      <c r="FU9" s="74" t="e" vm="1">
        <f>VLOOKUP($H$9&amp;$F$1,'Input RM sheet'!$A:$ZZ,FT1,0)</f>
        <v>#VALUE!</v>
      </c>
      <c r="FV9" s="74" t="e" vm="1">
        <f>VLOOKUP($H$9&amp;$F$1,'Input RM sheet'!$A:$ZZ,FU1,0)</f>
        <v>#VALUE!</v>
      </c>
      <c r="FW9" s="74" t="e" vm="1">
        <f>VLOOKUP($H$9&amp;$F$1,'Input RM sheet'!$A:$ZZ,FV1,0)</f>
        <v>#VALUE!</v>
      </c>
      <c r="FX9" s="74" t="e" vm="1">
        <f>VLOOKUP($H$9&amp;$F$1,'Input RM sheet'!$A:$ZZ,FW1,0)</f>
        <v>#VALUE!</v>
      </c>
      <c r="FY9" s="74" t="e" vm="1">
        <f>VLOOKUP($H$9&amp;$F$1,'Input RM sheet'!$A:$ZZ,FX1,0)</f>
        <v>#VALUE!</v>
      </c>
    </row>
    <row r="10" spans="1:181" ht="13">
      <c r="H10" s="107" t="s">
        <v>36</v>
      </c>
      <c r="I10" s="74">
        <f>VLOOKUP($H$10&amp;$F$1,'Input RM sheet'!$A:$ZZ,H1,0)</f>
        <v>262.5</v>
      </c>
      <c r="J10" s="74">
        <f>VLOOKUP($H$10&amp;$F$1,'Input RM sheet'!$A:$ZZ,I1,0)</f>
        <v>322.5</v>
      </c>
      <c r="K10" s="74">
        <f>VLOOKUP($H$10&amp;$F$1,'Input RM sheet'!$A:$ZZ,J1,0)</f>
        <v>285</v>
      </c>
      <c r="L10" s="74">
        <f>VLOOKUP($H$10&amp;$F$1,'Input RM sheet'!$A:$ZZ,K1,0)</f>
        <v>210</v>
      </c>
      <c r="M10" s="74">
        <f>VLOOKUP($H$10&amp;$F$1,'Input RM sheet'!$A:$ZZ,L1,0)</f>
        <v>175</v>
      </c>
      <c r="N10" s="74">
        <f>VLOOKUP($H$10&amp;$F$1,'Input RM sheet'!$A:$ZZ,M1,0)</f>
        <v>167.5</v>
      </c>
      <c r="O10" s="74">
        <f>VLOOKUP($H$10&amp;$F$1,'Input RM sheet'!$A:$ZZ,N1,0)</f>
        <v>180</v>
      </c>
      <c r="P10" s="74">
        <f>VLOOKUP($H$10&amp;$F$1,'Input RM sheet'!$A:$ZZ,O1,0)</f>
        <v>220</v>
      </c>
      <c r="Q10" s="74">
        <f>VLOOKUP($H$10&amp;$F$1,'Input RM sheet'!$A:$ZZ,P1,0)</f>
        <v>230</v>
      </c>
      <c r="R10" s="74">
        <f>VLOOKUP($H$10&amp;$F$1,'Input RM sheet'!$A:$ZZ,Q1,0)</f>
        <v>240</v>
      </c>
      <c r="S10" s="74">
        <f>VLOOKUP($H$10&amp;$F$1,'Input RM sheet'!$A:$ZZ,R1,0)</f>
        <v>270</v>
      </c>
      <c r="T10" s="74">
        <f>VLOOKUP($H$10&amp;$F$1,'Input RM sheet'!$A:$ZZ,S1,0)</f>
        <v>300</v>
      </c>
      <c r="U10" s="74">
        <f>VLOOKUP($H$10&amp;$F$1,'Input RM sheet'!$A:$ZZ,T1,0)</f>
        <v>360</v>
      </c>
      <c r="V10" s="74">
        <f>VLOOKUP($H$10&amp;$F$1,'Input RM sheet'!$A:$ZZ,U1,0)</f>
        <v>365</v>
      </c>
      <c r="W10" s="74">
        <f>VLOOKUP($H$10&amp;$F$1,'Input RM sheet'!$A:$ZZ,V1,0)</f>
        <v>355</v>
      </c>
      <c r="X10" s="74">
        <f>VLOOKUP($H$10&amp;$F$1,'Input RM sheet'!$A:$ZZ,W1,0)</f>
        <v>340</v>
      </c>
      <c r="Y10" s="74">
        <f>VLOOKUP($H$10&amp;$F$1,'Input RM sheet'!$A:$ZZ,X1,0)</f>
        <v>347.5</v>
      </c>
      <c r="Z10" s="74">
        <f>VLOOKUP($H$10&amp;$F$1,'Input RM sheet'!$A:$ZZ,Y1,0)</f>
        <v>357.5</v>
      </c>
      <c r="AA10" s="74">
        <f>VLOOKUP($H$10&amp;$F$1,'Input RM sheet'!$A:$ZZ,Z1,0)</f>
        <v>360</v>
      </c>
      <c r="AB10" s="74">
        <f>VLOOKUP($H$10&amp;$F$1,'Input RM sheet'!$A:$ZZ,AA1,0)</f>
        <v>370</v>
      </c>
      <c r="AC10" s="74">
        <f>VLOOKUP($H$10&amp;$F$1,'Input RM sheet'!$A:$ZZ,AB1,0)</f>
        <v>390</v>
      </c>
      <c r="AD10" s="74">
        <f>VLOOKUP($H$10&amp;$F$1,'Input RM sheet'!$A:$ZZ,AC1,0)</f>
        <v>467.5</v>
      </c>
      <c r="AE10" s="74">
        <f>VLOOKUP($H$10&amp;$F$1,'Input RM sheet'!$A:$ZZ,AD1,0)</f>
        <v>392.5</v>
      </c>
      <c r="AF10" s="74">
        <f>VLOOKUP($H$10&amp;$F$1,'Input RM sheet'!$A:$ZZ,AE1,0)</f>
        <v>340</v>
      </c>
      <c r="AG10" s="74">
        <f>VLOOKUP($H$10&amp;$F$1,'Input RM sheet'!$A:$ZZ,AF1,0)</f>
        <v>310</v>
      </c>
      <c r="AH10" s="74">
        <f>VLOOKUP($H$10&amp;$F$1,'Input RM sheet'!$A:$ZZ,AG1,0)</f>
        <v>390</v>
      </c>
      <c r="AI10" s="74">
        <f>VLOOKUP($H$10&amp;$F$1,'Input RM sheet'!$A:$ZZ,AH1,0)</f>
        <v>430</v>
      </c>
      <c r="AJ10" s="74">
        <f>VLOOKUP($H$10&amp;$F$1,'Input RM sheet'!$A:$ZZ,AI1,0)</f>
        <v>390</v>
      </c>
      <c r="AK10" s="74">
        <f>VLOOKUP($H$10&amp;$F$1,'Input RM sheet'!$A:$ZZ,AJ1,0)</f>
        <v>350</v>
      </c>
      <c r="AL10" s="74">
        <f>VLOOKUP($H$10&amp;$F$1,'Input RM sheet'!$A:$ZZ,AK1,0)</f>
        <v>340</v>
      </c>
      <c r="AM10" s="74">
        <f>VLOOKUP($H$10&amp;$F$1,'Input RM sheet'!$A:$ZZ,AL1,0)</f>
        <v>315</v>
      </c>
      <c r="AN10" s="74">
        <f>VLOOKUP($H$10&amp;$F$1,'Input RM sheet'!$A:$ZZ,AM1,0)</f>
        <v>315</v>
      </c>
      <c r="AO10" s="74">
        <f>VLOOKUP($H$10&amp;$F$1,'Input RM sheet'!$A:$ZZ,AN1,0)</f>
        <v>315</v>
      </c>
      <c r="AP10" s="74">
        <f>VLOOKUP($H$10&amp;$F$1,'Input RM sheet'!$A:$ZZ,AO1,0)</f>
        <v>325</v>
      </c>
      <c r="AQ10" s="74">
        <f>VLOOKUP($H$10&amp;$F$1,'Input RM sheet'!$A:$ZZ,AP1,0)</f>
        <v>325</v>
      </c>
      <c r="AR10" s="74">
        <f>VLOOKUP($H$10&amp;$F$1,'Input RM sheet'!$A:$ZZ,AQ1,0)</f>
        <v>315</v>
      </c>
      <c r="AS10" s="74">
        <f>VLOOKUP($H$10&amp;$F$1,'Input RM sheet'!$A:$ZZ,AR1,0)</f>
        <v>325</v>
      </c>
      <c r="AT10" s="74">
        <f>VLOOKUP($H$10&amp;$F$1,'Input RM sheet'!$A:$ZZ,AS1,0)</f>
        <v>347.5</v>
      </c>
      <c r="AU10" s="74">
        <f>VLOOKUP($H$10&amp;$F$1,'Input RM sheet'!$A:$ZZ,AT1,0)</f>
        <v>362.5</v>
      </c>
      <c r="AV10" s="74">
        <f>VLOOKUP($H$10&amp;$F$1,'Input RM sheet'!$A:$ZZ,AU1,0)</f>
        <v>335</v>
      </c>
      <c r="AW10" s="74">
        <f>VLOOKUP($H$10&amp;$F$1,'Input RM sheet'!$A:$ZZ,AV1,0)</f>
        <v>310</v>
      </c>
      <c r="AX10" s="74">
        <f>VLOOKUP($H$10&amp;$F$1,'Input RM sheet'!$A:$ZZ,AW1,0)</f>
        <v>300</v>
      </c>
      <c r="AY10" s="74">
        <f>VLOOKUP($H$10&amp;$F$1,'Input RM sheet'!$A:$ZZ,AX1,0)</f>
        <v>300</v>
      </c>
      <c r="AZ10" s="74">
        <f>VLOOKUP($H$10&amp;$F$1,'Input RM sheet'!$A:$ZZ,AY1,0)</f>
        <v>290</v>
      </c>
      <c r="BA10" s="74">
        <f>VLOOKUP($H$10&amp;$F$1,'Input RM sheet'!$A:$ZZ,AZ1,0)</f>
        <v>290</v>
      </c>
      <c r="BB10" s="74">
        <f>VLOOKUP($H$10&amp;$F$1,'Input RM sheet'!$A:$ZZ,BA1,0)</f>
        <v>290</v>
      </c>
      <c r="BC10" s="74">
        <f>VLOOKUP($H$10&amp;$F$1,'Input RM sheet'!$A:$ZZ,BB1,0)</f>
        <v>290</v>
      </c>
      <c r="BD10" s="74">
        <f>VLOOKUP($H$10&amp;$F$1,'Input RM sheet'!$A:$ZZ,BC1,0)</f>
        <v>310</v>
      </c>
      <c r="BE10" s="74">
        <f>VLOOKUP($H$10&amp;$F$1,'Input RM sheet'!$A:$ZZ,BD1,0)</f>
        <v>310</v>
      </c>
      <c r="BF10" s="74">
        <f>VLOOKUP($H$10&amp;$F$1,'Input RM sheet'!$A:$ZZ,BE1,0)</f>
        <v>310</v>
      </c>
      <c r="BG10" s="74">
        <f>VLOOKUP($H$10&amp;$F$1,'Input RM sheet'!$A:$ZZ,BF1,0)</f>
        <v>310</v>
      </c>
      <c r="BH10" s="74">
        <f>VLOOKUP($H$10&amp;$F$1,'Input RM sheet'!$A:$ZZ,BG1,0)</f>
        <v>310</v>
      </c>
      <c r="BI10" s="74">
        <f>VLOOKUP($H$10&amp;$F$1,'Input RM sheet'!$A:$ZZ,BH1,0)</f>
        <v>330</v>
      </c>
      <c r="BJ10" s="74">
        <f>VLOOKUP($H$10&amp;$F$1,'Input RM sheet'!$A:$ZZ,BI1,0)</f>
        <v>330</v>
      </c>
      <c r="BK10" s="74">
        <f>VLOOKUP($H$10&amp;$F$1,'Input RM sheet'!$A:$ZZ,BJ1,0)</f>
        <v>330</v>
      </c>
      <c r="BL10" s="74">
        <f>VLOOKUP($H$10&amp;$F$1,'Input RM sheet'!$A:$ZZ,BK1,0)</f>
        <v>330</v>
      </c>
      <c r="BM10" s="74">
        <f>VLOOKUP($H$10&amp;$F$1,'Input RM sheet'!$A:$ZZ,BL1,0)</f>
        <v>330</v>
      </c>
      <c r="BN10" s="74">
        <f>VLOOKUP($H$10&amp;$F$1,'Input RM sheet'!$A:$ZZ,BM1,0)</f>
        <v>330</v>
      </c>
      <c r="BO10" s="74">
        <f>VLOOKUP($H$10&amp;$F$1,'Input RM sheet'!$A:$ZZ,BN1,0)</f>
        <v>330</v>
      </c>
      <c r="BP10" s="74">
        <f>VLOOKUP($H$10&amp;$F$1,'Input RM sheet'!$A:$ZZ,BO1,0)</f>
        <v>315</v>
      </c>
      <c r="BQ10" s="74">
        <f>VLOOKUP($H$10&amp;$F$1,'Input RM sheet'!$A:$ZZ,BP1,0)</f>
        <v>315</v>
      </c>
      <c r="BR10" s="74">
        <f>VLOOKUP($H$10&amp;$F$1,'Input RM sheet'!$A:$ZZ,BQ1,0)</f>
        <v>315</v>
      </c>
      <c r="BS10" s="74">
        <f>VLOOKUP($H$10&amp;$F$1,'Input RM sheet'!$A:$ZZ,BR1,0)</f>
        <v>315</v>
      </c>
      <c r="BT10" s="74">
        <f>VLOOKUP($H$10&amp;$F$1,'Input RM sheet'!$A:$ZZ,BS1,0)</f>
        <v>335</v>
      </c>
      <c r="BU10" s="74">
        <f>VLOOKUP($H$10&amp;$F$1,'Input RM sheet'!$A:$ZZ,BT1,0)</f>
        <v>335</v>
      </c>
      <c r="BV10" s="74">
        <f>VLOOKUP($H$10&amp;$F$1,'Input RM sheet'!$A:$ZZ,BU1,0)</f>
        <v>335</v>
      </c>
      <c r="BW10" s="74">
        <f>VLOOKUP($H$10&amp;$F$1,'Input RM sheet'!$A:$ZZ,BV1,0)</f>
        <v>337.5</v>
      </c>
      <c r="BX10" s="74">
        <f>VLOOKUP($H$10&amp;$F$1,'Input RM sheet'!$A:$ZZ,BW1,0)</f>
        <v>337.5</v>
      </c>
      <c r="BY10" s="74">
        <f>VLOOKUP($H$10&amp;$F$1,'Input RM sheet'!$A:$ZZ,BX1,0)</f>
        <v>337.5</v>
      </c>
      <c r="BZ10" s="74">
        <f>VLOOKUP($H$10&amp;$F$1,'Input RM sheet'!$A:$ZZ,BY1,0)</f>
        <v>347.5</v>
      </c>
      <c r="CA10" s="74">
        <f>VLOOKUP($H$10&amp;$F$1,'Input RM sheet'!$A:$ZZ,BZ1,0)</f>
        <v>347.5</v>
      </c>
      <c r="CB10" s="74">
        <f>VLOOKUP($H$10&amp;$F$1,'Input RM sheet'!$A:$ZZ,CA1,0)</f>
        <v>347.5</v>
      </c>
      <c r="CC10" s="74">
        <f>VLOOKUP($H$10&amp;$F$1,'Input RM sheet'!$A:$ZZ,CB1,0)</f>
        <v>347.5</v>
      </c>
      <c r="CD10" s="74">
        <f>VLOOKUP($H$10&amp;$F$1,'Input RM sheet'!$A:$ZZ,CC1,0)</f>
        <v>347.5</v>
      </c>
      <c r="CE10" s="74">
        <f>VLOOKUP($H$10&amp;$F$1,'Input RM sheet'!$A:$ZZ,CD1,0)</f>
        <v>347.5</v>
      </c>
      <c r="CF10" s="74">
        <f>VLOOKUP($H$10&amp;$F$1,'Input RM sheet'!$A:$ZZ,CE1,0)</f>
        <v>347.5</v>
      </c>
      <c r="CG10" s="74">
        <f>VLOOKUP($H$10&amp;$F$1,'Input RM sheet'!$A:$ZZ,CF1,0)</f>
        <v>355</v>
      </c>
      <c r="CH10" s="74">
        <f>VLOOKUP($H$10&amp;$F$1,'Input RM sheet'!$A:$ZZ,CG1,0)</f>
        <v>355</v>
      </c>
      <c r="CI10" s="74">
        <f>VLOOKUP($H$10&amp;$F$1,'Input RM sheet'!$A:$ZZ,CH1,0)</f>
        <v>345</v>
      </c>
      <c r="CJ10" s="74">
        <f>VLOOKUP($H$10&amp;$F$1,'Input RM sheet'!$A:$ZZ,CI1,0)</f>
        <v>345</v>
      </c>
      <c r="CK10" s="74">
        <f>VLOOKUP($H$10&amp;$F$1,'Input RM sheet'!$A:$ZZ,CJ1,0)</f>
        <v>345</v>
      </c>
      <c r="CL10" s="74">
        <f>VLOOKUP($H$10&amp;$F$1,'Input RM sheet'!$A:$ZZ,CK1,0)</f>
        <v>345</v>
      </c>
      <c r="CM10" s="74">
        <f>VLOOKUP($H$10&amp;$F$1,'Input RM sheet'!$A:$ZZ,CL1,0)</f>
        <v>342.5</v>
      </c>
      <c r="CN10" s="74">
        <f>VLOOKUP($H$10&amp;$F$1,'Input RM sheet'!$A:$ZZ,CM1,0)</f>
        <v>342.5</v>
      </c>
      <c r="CO10" s="74">
        <f>VLOOKUP($H$10&amp;$F$1,'Input RM sheet'!$A:$ZZ,CN1,0)</f>
        <v>342.5</v>
      </c>
      <c r="CP10" s="74">
        <f>VLOOKUP($H$10&amp;$F$1,'Input RM sheet'!$A:$ZZ,CO1,0)</f>
        <v>342.5</v>
      </c>
      <c r="CQ10" s="74">
        <f>VLOOKUP($H$10&amp;$F$1,'Input RM sheet'!$A:$ZZ,CP1,0)</f>
        <v>342.5</v>
      </c>
      <c r="CR10" s="74">
        <f>VLOOKUP($H$10&amp;$F$1,'Input RM sheet'!$A:$ZZ,CQ1,0)</f>
        <v>342.5</v>
      </c>
      <c r="CS10" s="74">
        <f>VLOOKUP($H$10&amp;$F$1,'Input RM sheet'!$A:$ZZ,CR1,0)</f>
        <v>340</v>
      </c>
      <c r="CT10" s="74">
        <f>VLOOKUP($H$10&amp;$F$1,'Input RM sheet'!$A:$ZZ,CS1,0)</f>
        <v>340</v>
      </c>
      <c r="CU10" s="74">
        <f>VLOOKUP($H$10&amp;$F$1,'Input RM sheet'!$A:$ZZ,CT1,0)</f>
        <v>340</v>
      </c>
      <c r="CV10" s="74">
        <f>VLOOKUP($H$10&amp;$F$1,'Input RM sheet'!$A:$ZZ,CU1,0)</f>
        <v>340</v>
      </c>
      <c r="CW10" s="74">
        <f>VLOOKUP($H$10&amp;$F$1,'Input RM sheet'!$A:$ZZ,CV1,0)</f>
        <v>335</v>
      </c>
      <c r="CX10" s="74">
        <f>VLOOKUP($H$10&amp;$F$1,'Input RM sheet'!$A:$ZZ,CW1,0)</f>
        <v>335</v>
      </c>
      <c r="CY10" s="74">
        <f>VLOOKUP($H$10&amp;$F$1,'Input RM sheet'!$A:$ZZ,CX1,0)</f>
        <v>335</v>
      </c>
      <c r="CZ10" s="74">
        <f>VLOOKUP($H$10&amp;$F$1,'Input RM sheet'!$A:$ZZ,CY1,0)</f>
        <v>335</v>
      </c>
      <c r="DA10" s="74">
        <f>VLOOKUP($H$10&amp;$F$1,'Input RM sheet'!$A:$ZZ,CZ1,0)</f>
        <v>335</v>
      </c>
      <c r="DB10" s="74">
        <f>VLOOKUP($H$10&amp;$F$1,'Input RM sheet'!$A:$ZZ,DA1,0)</f>
        <v>335</v>
      </c>
      <c r="DC10" s="74">
        <f>VLOOKUP($H$10&amp;$F$1,'Input RM sheet'!$A:$ZZ,DB1,0)</f>
        <v>335</v>
      </c>
      <c r="DD10" s="74">
        <f>VLOOKUP($H$10&amp;$F$1,'Input RM sheet'!$A:$ZZ,DC1,0)</f>
        <v>335</v>
      </c>
      <c r="DE10" s="74">
        <f>VLOOKUP($H$10&amp;$F$1,'Input RM sheet'!$A:$ZZ,DD1,0)</f>
        <v>335</v>
      </c>
      <c r="DF10" s="74">
        <f>VLOOKUP($H$10&amp;$F$1,'Input RM sheet'!$A:$ZZ,DE1,0)</f>
        <v>335</v>
      </c>
      <c r="DG10" s="74">
        <f>VLOOKUP($H$10&amp;$F$1,'Input RM sheet'!$A:$ZZ,DF1,0)</f>
        <v>335</v>
      </c>
      <c r="DH10" s="74">
        <f>VLOOKUP($H$10&amp;$F$1,'Input RM sheet'!$A:$ZZ,DG1,0)</f>
        <v>335</v>
      </c>
      <c r="DI10" s="74">
        <f>VLOOKUP($H$10&amp;$F$1,'Input RM sheet'!$A:$ZZ,DH1,0)</f>
        <v>335</v>
      </c>
      <c r="DJ10" s="74">
        <f>VLOOKUP($H$10&amp;$F$1,'Input RM sheet'!$A:$ZZ,DI1,0)</f>
        <v>345</v>
      </c>
      <c r="DK10" s="74">
        <f>VLOOKUP($H$10&amp;$F$1,'Input RM sheet'!$A:$ZZ,DJ1,0)</f>
        <v>345</v>
      </c>
      <c r="DL10" s="74">
        <f>VLOOKUP($H$10&amp;$F$1,'Input RM sheet'!$A:$ZZ,DK1,0)</f>
        <v>345</v>
      </c>
      <c r="DM10" s="74">
        <f>VLOOKUP($H$10&amp;$F$1,'Input RM sheet'!$A:$ZZ,DL1,0)</f>
        <v>345</v>
      </c>
      <c r="DN10" s="74">
        <f>VLOOKUP($H$10&amp;$F$1,'Input RM sheet'!$A:$ZZ,DM1,0)</f>
        <v>330</v>
      </c>
      <c r="DO10" s="74">
        <f>VLOOKUP($H$10&amp;$F$1,'Input RM sheet'!$A:$ZZ,DN1,0)</f>
        <v>330</v>
      </c>
      <c r="DP10" s="74">
        <f>VLOOKUP($H$10&amp;$F$1,'Input RM sheet'!$A:$ZZ,DO1,0)</f>
        <v>330</v>
      </c>
      <c r="DQ10" s="74">
        <f>VLOOKUP($H$10&amp;$F$1,'Input RM sheet'!$A:$ZZ,DP1,0)</f>
        <v>330</v>
      </c>
      <c r="DR10" s="74">
        <f>VLOOKUP($H$10&amp;$F$1,'Input RM sheet'!$A:$ZZ,DQ1,0)</f>
        <v>330</v>
      </c>
      <c r="DS10" s="74">
        <f>VLOOKUP($H$10&amp;$F$1,'Input RM sheet'!$A:$ZZ,DR1,0)</f>
        <v>347.5</v>
      </c>
      <c r="DT10" s="74">
        <f>VLOOKUP($H$10&amp;$F$1,'Input RM sheet'!$A:$ZZ,DS1,0)</f>
        <v>0</v>
      </c>
      <c r="DU10" s="74">
        <f>VLOOKUP($H$10&amp;$F$1,'Input RM sheet'!$A:$ZZ,DT1,0)</f>
        <v>0</v>
      </c>
      <c r="DV10" s="74">
        <f>VLOOKUP($H$10&amp;$F$1,'Input RM sheet'!$A:$ZZ,DU1,0)</f>
        <v>0</v>
      </c>
      <c r="DW10" s="74">
        <f>VLOOKUP($H$10&amp;$F$1,'Input RM sheet'!$A:$ZZ,DV1,0)</f>
        <v>0</v>
      </c>
      <c r="DX10" s="74">
        <f>VLOOKUP($H$10&amp;$F$1,'Input RM sheet'!$A:$ZZ,DW1,0)</f>
        <v>0</v>
      </c>
      <c r="DY10" s="74">
        <f>VLOOKUP($H$10&amp;$F$1,'Input RM sheet'!$A:$ZZ,DX1,0)</f>
        <v>0</v>
      </c>
      <c r="DZ10" s="74">
        <f>VLOOKUP($H$10&amp;$F$1,'Input RM sheet'!$A:$ZZ,DY1,0)</f>
        <v>0</v>
      </c>
      <c r="EA10" s="74">
        <f>VLOOKUP($H$10&amp;$F$1,'Input RM sheet'!$A:$ZZ,DZ1,0)</f>
        <v>0</v>
      </c>
      <c r="EB10" s="74">
        <f>VLOOKUP($H$10&amp;$F$1,'Input RM sheet'!$A:$ZZ,EA1,0)</f>
        <v>0</v>
      </c>
      <c r="EC10" s="74">
        <f>VLOOKUP($H$10&amp;$F$1,'Input RM sheet'!$A:$ZZ,EB1,0)</f>
        <v>0</v>
      </c>
      <c r="ED10" s="74">
        <f>VLOOKUP($H$10&amp;$F$1,'Input RM sheet'!$A:$ZZ,EC1,0)</f>
        <v>0</v>
      </c>
      <c r="EE10" s="74" t="e" vm="1">
        <f>VLOOKUP($H$10&amp;$F$1,'Input RM sheet'!$A:$ZZ,ED1,0)</f>
        <v>#VALUE!</v>
      </c>
      <c r="EF10" s="74" t="e" vm="1">
        <f>VLOOKUP($H$10&amp;$F$1,'Input RM sheet'!$A:$ZZ,EE1,0)</f>
        <v>#VALUE!</v>
      </c>
      <c r="EG10" s="74" t="e" vm="1">
        <f>VLOOKUP($H$10&amp;$F$1,'Input RM sheet'!$A:$ZZ,EF1,0)</f>
        <v>#VALUE!</v>
      </c>
      <c r="EH10" s="74" t="e" vm="1">
        <f>VLOOKUP($H$10&amp;$F$1,'Input RM sheet'!$A:$ZZ,EG1,0)</f>
        <v>#VALUE!</v>
      </c>
      <c r="EI10" s="74" t="e" vm="1">
        <f>VLOOKUP($H$10&amp;$F$1,'Input RM sheet'!$A:$ZZ,EH1,0)</f>
        <v>#VALUE!</v>
      </c>
      <c r="EJ10" s="74" t="e" vm="1">
        <f>VLOOKUP($H$10&amp;$F$1,'Input RM sheet'!$A:$ZZ,EI1,0)</f>
        <v>#VALUE!</v>
      </c>
      <c r="EK10" s="74" t="e" vm="1">
        <f>VLOOKUP($H$10&amp;$F$1,'Input RM sheet'!$A:$ZZ,EJ1,0)</f>
        <v>#VALUE!</v>
      </c>
      <c r="EL10" s="74" t="e" vm="1">
        <f>VLOOKUP($H$10&amp;$F$1,'Input RM sheet'!$A:$ZZ,EK1,0)</f>
        <v>#VALUE!</v>
      </c>
      <c r="EM10" s="74" t="e" vm="1">
        <f>VLOOKUP($H$10&amp;$F$1,'Input RM sheet'!$A:$ZZ,EL1,0)</f>
        <v>#VALUE!</v>
      </c>
      <c r="EN10" s="74" t="e" vm="1">
        <f>VLOOKUP($H$10&amp;$F$1,'Input RM sheet'!$A:$ZZ,EM1,0)</f>
        <v>#VALUE!</v>
      </c>
      <c r="EO10" s="74" t="e" vm="1">
        <f>VLOOKUP($H$10&amp;$F$1,'Input RM sheet'!$A:$ZZ,EN1,0)</f>
        <v>#VALUE!</v>
      </c>
      <c r="EP10" s="74" t="e" vm="1">
        <f>VLOOKUP($H$10&amp;$F$1,'Input RM sheet'!$A:$ZZ,EO1,0)</f>
        <v>#VALUE!</v>
      </c>
      <c r="EQ10" s="74" t="e" vm="1">
        <f>VLOOKUP($H$10&amp;$F$1,'Input RM sheet'!$A:$ZZ,EP1,0)</f>
        <v>#VALUE!</v>
      </c>
      <c r="ER10" s="74" t="e" vm="1">
        <f>VLOOKUP($H$10&amp;$F$1,'Input RM sheet'!$A:$ZZ,EQ1,0)</f>
        <v>#VALUE!</v>
      </c>
      <c r="ES10" s="74" t="e" vm="1">
        <f>VLOOKUP($H$10&amp;$F$1,'Input RM sheet'!$A:$ZZ,ER1,0)</f>
        <v>#VALUE!</v>
      </c>
      <c r="ET10" s="74" t="e" vm="1">
        <f>VLOOKUP($H$10&amp;$F$1,'Input RM sheet'!$A:$ZZ,ES1,0)</f>
        <v>#VALUE!</v>
      </c>
      <c r="EU10" s="74" t="e" vm="1">
        <f>VLOOKUP($H$10&amp;$F$1,'Input RM sheet'!$A:$ZZ,ET1,0)</f>
        <v>#VALUE!</v>
      </c>
      <c r="EV10" s="74" t="e" vm="1">
        <f>VLOOKUP($H$10&amp;$F$1,'Input RM sheet'!$A:$ZZ,EU1,0)</f>
        <v>#VALUE!</v>
      </c>
      <c r="EW10" s="74" t="e" vm="1">
        <f>VLOOKUP($H$10&amp;$F$1,'Input RM sheet'!$A:$ZZ,EV1,0)</f>
        <v>#VALUE!</v>
      </c>
      <c r="EX10" s="74" t="e" vm="1">
        <f>VLOOKUP($H$10&amp;$F$1,'Input RM sheet'!$A:$ZZ,EW1,0)</f>
        <v>#VALUE!</v>
      </c>
      <c r="EY10" s="74" t="e" vm="1">
        <f>VLOOKUP($H$10&amp;$F$1,'Input RM sheet'!$A:$ZZ,EX1,0)</f>
        <v>#VALUE!</v>
      </c>
      <c r="EZ10" s="74" t="e" vm="1">
        <f>VLOOKUP($H$10&amp;$F$1,'Input RM sheet'!$A:$ZZ,EY1,0)</f>
        <v>#VALUE!</v>
      </c>
      <c r="FA10" s="74" t="e" vm="1">
        <f>VLOOKUP($H$10&amp;$F$1,'Input RM sheet'!$A:$ZZ,EZ1,0)</f>
        <v>#VALUE!</v>
      </c>
      <c r="FB10" s="74" t="e" vm="1">
        <f>VLOOKUP($H$10&amp;$F$1,'Input RM sheet'!$A:$ZZ,FA1,0)</f>
        <v>#VALUE!</v>
      </c>
      <c r="FC10" s="74" t="e" vm="1">
        <f>VLOOKUP($H$10&amp;$F$1,'Input RM sheet'!$A:$ZZ,FB1,0)</f>
        <v>#VALUE!</v>
      </c>
      <c r="FD10" s="74" t="e" vm="1">
        <f>VLOOKUP($H$10&amp;$F$1,'Input RM sheet'!$A:$ZZ,FC1,0)</f>
        <v>#VALUE!</v>
      </c>
      <c r="FE10" s="74" t="e" vm="1">
        <f>VLOOKUP($H$10&amp;$F$1,'Input RM sheet'!$A:$ZZ,FD1,0)</f>
        <v>#VALUE!</v>
      </c>
      <c r="FF10" s="74" t="e" vm="1">
        <f>VLOOKUP($H$10&amp;$F$1,'Input RM sheet'!$A:$ZZ,FE1,0)</f>
        <v>#VALUE!</v>
      </c>
      <c r="FG10" s="74" t="e" vm="1">
        <f>VLOOKUP($H$10&amp;$F$1,'Input RM sheet'!$A:$ZZ,FF1,0)</f>
        <v>#VALUE!</v>
      </c>
      <c r="FH10" s="74" t="e" vm="1">
        <f>VLOOKUP($H$10&amp;$F$1,'Input RM sheet'!$A:$ZZ,FG1,0)</f>
        <v>#VALUE!</v>
      </c>
      <c r="FI10" s="74" t="e" vm="1">
        <f>VLOOKUP($H$10&amp;$F$1,'Input RM sheet'!$A:$ZZ,FH1,0)</f>
        <v>#VALUE!</v>
      </c>
      <c r="FJ10" s="74" t="e" vm="1">
        <f>VLOOKUP($H$10&amp;$F$1,'Input RM sheet'!$A:$ZZ,FI1,0)</f>
        <v>#VALUE!</v>
      </c>
      <c r="FK10" s="74" t="e" vm="1">
        <f>VLOOKUP($H$10&amp;$F$1,'Input RM sheet'!$A:$ZZ,FJ1,0)</f>
        <v>#VALUE!</v>
      </c>
      <c r="FL10" s="74" t="e" vm="1">
        <f>VLOOKUP($H$10&amp;$F$1,'Input RM sheet'!$A:$ZZ,FK1,0)</f>
        <v>#VALUE!</v>
      </c>
      <c r="FM10" s="74" t="e" vm="1">
        <f>VLOOKUP($H$10&amp;$F$1,'Input RM sheet'!$A:$ZZ,FL1,0)</f>
        <v>#VALUE!</v>
      </c>
      <c r="FN10" s="74" t="e" vm="1">
        <f>VLOOKUP($H$10&amp;$F$1,'Input RM sheet'!$A:$ZZ,FM1,0)</f>
        <v>#VALUE!</v>
      </c>
      <c r="FO10" s="74" t="e" vm="1">
        <f>VLOOKUP($H$10&amp;$F$1,'Input RM sheet'!$A:$ZZ,FN1,0)</f>
        <v>#VALUE!</v>
      </c>
      <c r="FP10" s="74" t="e" vm="1">
        <f>VLOOKUP($H$10&amp;$F$1,'Input RM sheet'!$A:$ZZ,FO1,0)</f>
        <v>#VALUE!</v>
      </c>
      <c r="FQ10" s="74" t="e" vm="1">
        <f>VLOOKUP($H$10&amp;$F$1,'Input RM sheet'!$A:$ZZ,FP1,0)</f>
        <v>#VALUE!</v>
      </c>
      <c r="FR10" s="74" t="e" vm="1">
        <f>VLOOKUP($H$10&amp;$F$1,'Input RM sheet'!$A:$ZZ,FQ1,0)</f>
        <v>#VALUE!</v>
      </c>
      <c r="FS10" s="74" t="e" vm="1">
        <f>VLOOKUP($H$10&amp;$F$1,'Input RM sheet'!$A:$ZZ,FR1,0)</f>
        <v>#VALUE!</v>
      </c>
      <c r="FT10" s="74" t="e" vm="1">
        <f>VLOOKUP($H$10&amp;$F$1,'Input RM sheet'!$A:$ZZ,FS1,0)</f>
        <v>#VALUE!</v>
      </c>
      <c r="FU10" s="74" t="e" vm="1">
        <f>VLOOKUP($H$10&amp;$F$1,'Input RM sheet'!$A:$ZZ,FT1,0)</f>
        <v>#VALUE!</v>
      </c>
      <c r="FV10" s="74" t="e" vm="1">
        <f>VLOOKUP($H$10&amp;$F$1,'Input RM sheet'!$A:$ZZ,FU1,0)</f>
        <v>#VALUE!</v>
      </c>
      <c r="FW10" s="74" t="e" vm="1">
        <f>VLOOKUP($H$10&amp;$F$1,'Input RM sheet'!$A:$ZZ,FV1,0)</f>
        <v>#VALUE!</v>
      </c>
      <c r="FX10" s="74" t="e" vm="1">
        <f>VLOOKUP($H$10&amp;$F$1,'Input RM sheet'!$A:$ZZ,FW1,0)</f>
        <v>#VALUE!</v>
      </c>
      <c r="FY10" s="74" t="e" vm="1">
        <f>VLOOKUP($H$10&amp;$F$1,'Input RM sheet'!$A:$ZZ,FX1,0)</f>
        <v>#VALUE!</v>
      </c>
    </row>
    <row r="11" spans="1:181">
      <c r="H11" s="67"/>
      <c r="I11" s="74"/>
      <c r="J11" s="74"/>
      <c r="K11" s="74"/>
      <c r="L11" s="74"/>
      <c r="M11" s="74"/>
      <c r="N11" s="74"/>
      <c r="O11" s="74"/>
      <c r="P11" s="74"/>
      <c r="Q11" s="74"/>
      <c r="R11" s="74"/>
      <c r="S11" s="74"/>
      <c r="T11" s="74"/>
      <c r="U11" s="74"/>
      <c r="V11" s="74"/>
      <c r="W11" s="74"/>
      <c r="X11" s="74"/>
      <c r="Y11" s="74"/>
      <c r="Z11" s="74"/>
      <c r="AA11" s="74"/>
      <c r="AB11" s="74"/>
      <c r="AC11" s="74"/>
      <c r="AD11" s="74"/>
      <c r="AE11" s="74"/>
      <c r="AF11" s="74"/>
      <c r="AG11" s="74"/>
      <c r="AH11" s="74"/>
      <c r="AI11" s="74"/>
      <c r="AJ11" s="74"/>
      <c r="AK11" s="74"/>
      <c r="AL11" s="74"/>
      <c r="AM11" s="74"/>
      <c r="AN11" s="74"/>
      <c r="AO11" s="74"/>
      <c r="AP11" s="74"/>
      <c r="AQ11" s="74"/>
      <c r="AR11" s="74"/>
      <c r="AS11" s="74"/>
      <c r="AT11" s="74"/>
      <c r="AU11" s="74"/>
      <c r="AV11" s="74"/>
      <c r="AW11" s="74"/>
      <c r="AX11" s="74"/>
      <c r="AY11" s="74"/>
      <c r="AZ11" s="74"/>
      <c r="BA11" s="74"/>
      <c r="BB11" s="74"/>
      <c r="BC11" s="74"/>
      <c r="BD11" s="74"/>
      <c r="BE11" s="74"/>
      <c r="BF11" s="74"/>
      <c r="BG11" s="74"/>
      <c r="BH11" s="74"/>
      <c r="BI11" s="74"/>
      <c r="BJ11" s="74"/>
      <c r="BK11" s="74"/>
      <c r="BL11" s="74"/>
      <c r="BM11" s="74"/>
      <c r="BN11" s="74"/>
      <c r="BO11" s="74"/>
      <c r="BP11" s="74"/>
      <c r="BQ11" s="74"/>
      <c r="BR11" s="74"/>
      <c r="BS11" s="74"/>
      <c r="BT11" s="74"/>
      <c r="BU11" s="74"/>
      <c r="BV11" s="74"/>
      <c r="BW11" s="74"/>
      <c r="BX11" s="74"/>
      <c r="BY11" s="74"/>
      <c r="BZ11" s="74"/>
      <c r="CA11" s="74"/>
      <c r="CB11" s="74"/>
      <c r="CC11" s="74"/>
      <c r="CD11" s="74"/>
      <c r="CE11" s="74"/>
      <c r="CF11" s="74"/>
      <c r="CG11" s="74"/>
      <c r="CH11" s="74"/>
      <c r="CI11" s="74"/>
      <c r="CJ11" s="74"/>
      <c r="CK11" s="74"/>
      <c r="CL11" s="74"/>
      <c r="CM11" s="74"/>
      <c r="CN11" s="74"/>
      <c r="CO11" s="74"/>
      <c r="CP11" s="74"/>
      <c r="CQ11" s="74"/>
      <c r="CR11" s="74"/>
    </row>
    <row r="12" spans="1:181" ht="13">
      <c r="A12" s="59" t="s">
        <v>395</v>
      </c>
      <c r="B12" s="59"/>
      <c r="C12" s="59" t="s">
        <v>379</v>
      </c>
      <c r="D12" s="98" t="s">
        <v>380</v>
      </c>
      <c r="E12" s="98" t="s">
        <v>381</v>
      </c>
      <c r="F12" s="59" t="s">
        <v>396</v>
      </c>
      <c r="I12" s="84"/>
      <c r="J12" s="84"/>
      <c r="K12" s="84"/>
      <c r="L12" s="84"/>
      <c r="M12" s="84"/>
      <c r="N12" s="84"/>
      <c r="O12" s="84"/>
      <c r="P12" s="84"/>
      <c r="Q12" s="84"/>
      <c r="R12" s="84"/>
      <c r="S12" s="84"/>
      <c r="T12" s="84"/>
      <c r="U12" s="84"/>
      <c r="V12" s="84"/>
      <c r="W12" s="84"/>
      <c r="X12" s="84"/>
      <c r="Y12" s="84"/>
      <c r="Z12" s="84"/>
      <c r="AA12" s="84"/>
      <c r="AB12" s="84"/>
      <c r="AC12" s="84"/>
      <c r="AD12" s="84"/>
      <c r="AE12" s="84"/>
      <c r="AF12" s="84"/>
      <c r="AG12" s="84"/>
      <c r="AH12" s="84"/>
      <c r="AI12" s="84"/>
      <c r="AJ12" s="84"/>
      <c r="AK12" s="84"/>
      <c r="AL12" s="84"/>
      <c r="AM12" s="84"/>
      <c r="AN12" s="84"/>
      <c r="AO12" s="84"/>
      <c r="AP12" s="84"/>
      <c r="AQ12" s="84"/>
      <c r="AR12" s="84"/>
      <c r="AS12" s="84"/>
      <c r="AT12" s="84"/>
      <c r="AU12" s="84"/>
      <c r="AV12" s="84"/>
      <c r="AW12" s="84"/>
      <c r="AX12" s="84"/>
      <c r="AY12" s="84"/>
      <c r="AZ12" s="84"/>
      <c r="BA12" s="84"/>
      <c r="BB12" s="84"/>
      <c r="BC12" s="84"/>
      <c r="BD12" s="84"/>
      <c r="BE12" s="84"/>
      <c r="BF12" s="84"/>
      <c r="BG12" s="84"/>
      <c r="BH12" s="84"/>
      <c r="BI12" s="84"/>
      <c r="BJ12" s="84"/>
      <c r="BK12" s="84"/>
      <c r="BL12" s="84"/>
      <c r="BM12" s="84"/>
      <c r="BN12" s="84"/>
      <c r="BO12" s="84"/>
      <c r="BP12" s="84"/>
      <c r="BQ12" s="84"/>
      <c r="BR12" s="84"/>
      <c r="BS12" s="84"/>
      <c r="BT12" s="84"/>
      <c r="BU12" s="84"/>
      <c r="BV12" s="84"/>
      <c r="BW12" s="84"/>
      <c r="BX12" s="84"/>
      <c r="BY12" s="84"/>
      <c r="BZ12" s="84"/>
      <c r="CA12" s="84"/>
      <c r="CB12" s="84"/>
      <c r="CC12" s="84"/>
      <c r="CD12" s="84"/>
      <c r="CE12" s="84"/>
      <c r="CF12" s="84"/>
      <c r="CG12" s="84"/>
      <c r="CH12" s="84"/>
      <c r="CI12" s="84"/>
      <c r="CJ12" s="84"/>
      <c r="CK12" s="84"/>
      <c r="CL12" s="84"/>
      <c r="CM12" s="84"/>
      <c r="CN12" s="84"/>
      <c r="CO12" s="84"/>
      <c r="CP12" s="84"/>
      <c r="CQ12" s="84"/>
      <c r="CR12" s="84"/>
    </row>
    <row r="13" spans="1:181" ht="13">
      <c r="A13" s="107" t="s">
        <v>397</v>
      </c>
      <c r="B13" s="107" t="s">
        <v>347</v>
      </c>
      <c r="C13" s="60">
        <v>1</v>
      </c>
      <c r="D13" s="65">
        <v>61.04</v>
      </c>
      <c r="E13" s="60">
        <f>D13*C13</f>
        <v>61.04</v>
      </c>
      <c r="F13" s="328">
        <f>E13/$D$3</f>
        <v>0.30521678692328075</v>
      </c>
      <c r="H13" s="60" t="s">
        <v>399</v>
      </c>
      <c r="I13" s="74">
        <f>$F$13*(I8/1000)</f>
        <v>0</v>
      </c>
      <c r="J13" s="74">
        <f t="shared" ref="J13:BU13" si="0">$F$13*(J8/1000)</f>
        <v>0</v>
      </c>
      <c r="K13" s="74">
        <f t="shared" si="0"/>
        <v>0</v>
      </c>
      <c r="L13" s="74">
        <f t="shared" si="0"/>
        <v>0</v>
      </c>
      <c r="M13" s="74">
        <f t="shared" si="0"/>
        <v>0</v>
      </c>
      <c r="N13" s="74">
        <f t="shared" si="0"/>
        <v>9.5123964192131275E-4</v>
      </c>
      <c r="O13" s="74">
        <f t="shared" si="0"/>
        <v>9.36178290686187E-4</v>
      </c>
      <c r="P13" s="74">
        <f t="shared" si="0"/>
        <v>8.0183283976680052E-4</v>
      </c>
      <c r="Q13" s="74">
        <f t="shared" si="0"/>
        <v>7.4036587169624632E-4</v>
      </c>
      <c r="R13" s="74">
        <f t="shared" si="0"/>
        <v>7.2443953368969249E-4</v>
      </c>
      <c r="S13" s="74">
        <f t="shared" si="0"/>
        <v>7.9604353239428151E-4</v>
      </c>
      <c r="T13" s="74">
        <f t="shared" si="0"/>
        <v>7.1556899590595306E-4</v>
      </c>
      <c r="U13" s="74">
        <f t="shared" si="0"/>
        <v>7.7369797828949873E-4</v>
      </c>
      <c r="V13" s="74">
        <f t="shared" si="0"/>
        <v>8.2217771977458748E-4</v>
      </c>
      <c r="W13" s="74">
        <f t="shared" si="0"/>
        <v>8.0961889134708318E-4</v>
      </c>
      <c r="X13" s="74">
        <f t="shared" si="0"/>
        <v>8.2746239913845281E-4</v>
      </c>
      <c r="Y13" s="74">
        <f t="shared" si="0"/>
        <v>8.2212422912491699E-4</v>
      </c>
      <c r="Z13" s="74">
        <f t="shared" si="0"/>
        <v>9.26490190990548E-4</v>
      </c>
      <c r="AA13" s="74">
        <f t="shared" si="0"/>
        <v>8.1934048045949304E-4</v>
      </c>
      <c r="AB13" s="74">
        <f t="shared" si="0"/>
        <v>8.4205173414786817E-4</v>
      </c>
      <c r="AC13" s="74">
        <f t="shared" si="0"/>
        <v>9.2248430631511411E-4</v>
      </c>
      <c r="AD13" s="74">
        <f t="shared" si="0"/>
        <v>1.0386650416992376E-3</v>
      </c>
      <c r="AE13" s="74">
        <f t="shared" si="0"/>
        <v>1.1060231711010587E-3</v>
      </c>
      <c r="AF13" s="74">
        <f t="shared" si="0"/>
        <v>1.2985983586373288E-3</v>
      </c>
      <c r="AG13" s="74">
        <f t="shared" si="0"/>
        <v>1.3283865970009682E-3</v>
      </c>
      <c r="AH13" s="74">
        <f t="shared" si="0"/>
        <v>1.2366092328170621E-3</v>
      </c>
      <c r="AI13" s="74">
        <f>$F$13*(AI8/1000)</f>
        <v>1.292965646999118E-3</v>
      </c>
      <c r="AJ13" s="74">
        <f t="shared" si="0"/>
        <v>1.2277661710505187E-3</v>
      </c>
      <c r="AK13" s="74">
        <f t="shared" si="0"/>
        <v>1.128479320314002E-3</v>
      </c>
      <c r="AL13" s="74">
        <f t="shared" si="0"/>
        <v>1.1217681022253644E-3</v>
      </c>
      <c r="AM13" s="74">
        <f t="shared" si="0"/>
        <v>1.0788868387761326E-3</v>
      </c>
      <c r="AN13" s="74">
        <f t="shared" si="0"/>
        <v>1.0767369983126849E-3</v>
      </c>
      <c r="AO13" s="74">
        <f t="shared" si="0"/>
        <v>1.0309379524758011E-3</v>
      </c>
      <c r="AP13" s="74">
        <f t="shared" si="0"/>
        <v>9.9814042617872426E-4</v>
      </c>
      <c r="AQ13" s="74">
        <f t="shared" si="0"/>
        <v>9.7415024493013782E-4</v>
      </c>
      <c r="AR13" s="74">
        <f t="shared" si="0"/>
        <v>9.9217111069503866E-4</v>
      </c>
      <c r="AS13" s="74">
        <f t="shared" si="0"/>
        <v>9.6530949939283689E-4</v>
      </c>
      <c r="AT13" s="74">
        <f t="shared" si="0"/>
        <v>9.4698730741301859E-4</v>
      </c>
      <c r="AU13" s="74">
        <f t="shared" si="0"/>
        <v>9.6122829901614068E-4</v>
      </c>
      <c r="AV13" s="74">
        <f t="shared" si="0"/>
        <v>9.1895693095552682E-4</v>
      </c>
      <c r="AW13" s="74">
        <f t="shared" si="0"/>
        <v>9.6104765576238149E-4</v>
      </c>
      <c r="AX13" s="74">
        <f t="shared" si="0"/>
        <v>9.3644596236941002E-4</v>
      </c>
      <c r="AY13" s="74">
        <f t="shared" si="0"/>
        <v>8.5898991644540426E-4</v>
      </c>
      <c r="AZ13" s="74">
        <f t="shared" si="0"/>
        <v>8.5898991644540426E-4</v>
      </c>
      <c r="BA13" s="74">
        <f t="shared" si="0"/>
        <v>8.5898991644540426E-4</v>
      </c>
      <c r="BB13" s="74">
        <f t="shared" si="0"/>
        <v>8.5898991644540426E-4</v>
      </c>
      <c r="BC13" s="74">
        <f t="shared" si="0"/>
        <v>8.9151813571968668E-4</v>
      </c>
      <c r="BD13" s="74">
        <f t="shared" si="0"/>
        <v>8.9151813571968668E-4</v>
      </c>
      <c r="BE13" s="74">
        <f t="shared" si="0"/>
        <v>8.9151813571968668E-4</v>
      </c>
      <c r="BF13" s="74">
        <f t="shared" si="0"/>
        <v>8.9151813571968668E-4</v>
      </c>
      <c r="BG13" s="74">
        <f t="shared" si="0"/>
        <v>8.2409864324355998E-4</v>
      </c>
      <c r="BH13" s="74">
        <f t="shared" si="0"/>
        <v>8.2409864324355998E-4</v>
      </c>
      <c r="BI13" s="74">
        <f t="shared" si="0"/>
        <v>8.2409864324355998E-4</v>
      </c>
      <c r="BJ13" s="74">
        <f t="shared" si="0"/>
        <v>8.2409864324355998E-4</v>
      </c>
      <c r="BK13" s="74">
        <f t="shared" si="0"/>
        <v>8.4652644791908681E-4</v>
      </c>
      <c r="BL13" s="74">
        <f t="shared" si="0"/>
        <v>8.4652644791908681E-4</v>
      </c>
      <c r="BM13" s="74">
        <f t="shared" si="0"/>
        <v>8.4652644791908681E-4</v>
      </c>
      <c r="BN13" s="74">
        <f t="shared" si="0"/>
        <v>8.4652644791908681E-4</v>
      </c>
      <c r="BO13" s="74">
        <f t="shared" si="0"/>
        <v>7.6997717096662533E-4</v>
      </c>
      <c r="BP13" s="74">
        <f t="shared" si="0"/>
        <v>7.6997717096662533E-4</v>
      </c>
      <c r="BQ13" s="74">
        <f t="shared" si="0"/>
        <v>7.6997717096662533E-4</v>
      </c>
      <c r="BR13" s="74">
        <f t="shared" si="0"/>
        <v>7.6997717096662533E-4</v>
      </c>
      <c r="BS13" s="74">
        <f t="shared" si="0"/>
        <v>7.8872114545289304E-4</v>
      </c>
      <c r="BT13" s="74">
        <f t="shared" si="0"/>
        <v>7.8872114545289304E-4</v>
      </c>
      <c r="BU13" s="74">
        <f t="shared" si="0"/>
        <v>7.8872114545289304E-4</v>
      </c>
      <c r="BV13" s="74">
        <f t="shared" ref="BV13:CR13" si="1">$F$13*(BV8/1000)</f>
        <v>7.8872114545289304E-4</v>
      </c>
      <c r="BW13" s="74">
        <f t="shared" si="1"/>
        <v>7.2965913558579044E-4</v>
      </c>
      <c r="BX13" s="74">
        <f t="shared" si="1"/>
        <v>7.2965913558579044E-4</v>
      </c>
      <c r="BY13" s="74">
        <f t="shared" si="1"/>
        <v>7.2965913558579044E-4</v>
      </c>
      <c r="BZ13" s="74">
        <f t="shared" si="1"/>
        <v>7.2965913558579044E-4</v>
      </c>
      <c r="CA13" s="74">
        <f t="shared" si="1"/>
        <v>8.0635756215662513E-4</v>
      </c>
      <c r="CB13" s="74">
        <f t="shared" si="1"/>
        <v>8.0635756215662513E-4</v>
      </c>
      <c r="CC13" s="74">
        <f t="shared" si="1"/>
        <v>8.0635756215662513E-4</v>
      </c>
      <c r="CD13" s="74">
        <f t="shared" si="1"/>
        <v>8.0635756215662513E-4</v>
      </c>
      <c r="CE13" s="74">
        <f t="shared" si="1"/>
        <v>7.9668983367873049E-4</v>
      </c>
      <c r="CF13" s="74">
        <f t="shared" si="1"/>
        <v>7.9668983367873049E-4</v>
      </c>
      <c r="CG13" s="74">
        <f t="shared" si="1"/>
        <v>7.9668983367873049E-4</v>
      </c>
      <c r="CH13" s="74">
        <f t="shared" si="1"/>
        <v>7.9668983367873049E-4</v>
      </c>
      <c r="CI13" s="74">
        <f t="shared" si="1"/>
        <v>9.0186137822887878E-4</v>
      </c>
      <c r="CJ13" s="74">
        <f t="shared" si="1"/>
        <v>9.0186137822887878E-4</v>
      </c>
      <c r="CK13" s="74">
        <f t="shared" si="1"/>
        <v>9.0186137822887878E-4</v>
      </c>
      <c r="CL13" s="74">
        <f t="shared" si="1"/>
        <v>9.0186137822887878E-4</v>
      </c>
      <c r="CM13" s="74">
        <f t="shared" si="1"/>
        <v>7.4215428137641161E-4</v>
      </c>
      <c r="CN13" s="74">
        <f t="shared" si="1"/>
        <v>7.4215428137641161E-4</v>
      </c>
      <c r="CO13" s="74">
        <f t="shared" si="1"/>
        <v>7.4215428137641161E-4</v>
      </c>
      <c r="CP13" s="74">
        <f t="shared" si="1"/>
        <v>7.4215428137641161E-4</v>
      </c>
      <c r="CQ13" s="74">
        <f t="shared" si="1"/>
        <v>7.4215428137641161E-4</v>
      </c>
      <c r="CR13" s="74">
        <f t="shared" si="1"/>
        <v>6.6779727109648557E-4</v>
      </c>
    </row>
    <row r="14" spans="1:181" ht="13">
      <c r="A14" s="67"/>
      <c r="B14" s="107" t="s">
        <v>36</v>
      </c>
      <c r="C14" s="60">
        <v>1</v>
      </c>
      <c r="D14" s="77">
        <v>32.04</v>
      </c>
      <c r="E14" s="60">
        <f>D14*C14</f>
        <v>32.04</v>
      </c>
      <c r="F14" s="65">
        <f>E14/$D$3</f>
        <v>0.16020881148463165</v>
      </c>
      <c r="I14" s="74"/>
      <c r="J14" s="74"/>
      <c r="K14" s="74"/>
      <c r="L14" s="74"/>
      <c r="M14" s="74"/>
      <c r="N14" s="74"/>
      <c r="O14" s="74"/>
      <c r="P14" s="74"/>
      <c r="Q14" s="74"/>
      <c r="R14" s="74"/>
      <c r="S14" s="74"/>
      <c r="T14" s="74"/>
      <c r="U14" s="74"/>
      <c r="V14" s="74"/>
      <c r="W14" s="74"/>
      <c r="X14" s="74"/>
      <c r="Y14" s="74"/>
      <c r="Z14" s="74"/>
      <c r="AA14" s="74"/>
      <c r="AB14" s="74"/>
      <c r="AC14" s="74"/>
      <c r="AD14" s="74"/>
      <c r="AE14" s="74"/>
      <c r="AF14" s="74"/>
      <c r="AG14" s="74"/>
      <c r="AH14" s="74"/>
      <c r="AI14" s="74">
        <f>$F$14*(AI10/1000)</f>
        <v>6.8889788938391608E-2</v>
      </c>
      <c r="AJ14" s="74">
        <f t="shared" ref="AJ14:AU14" si="2">$F$14*(AJ10/1000)</f>
        <v>6.2481436479006343E-2</v>
      </c>
      <c r="AK14" s="74">
        <f t="shared" si="2"/>
        <v>5.6073084019621071E-2</v>
      </c>
      <c r="AL14" s="74">
        <f t="shared" si="2"/>
        <v>5.4470995904774763E-2</v>
      </c>
      <c r="AM14" s="74">
        <f t="shared" si="2"/>
        <v>5.046577561765897E-2</v>
      </c>
      <c r="AN14" s="74">
        <f t="shared" si="2"/>
        <v>5.046577561765897E-2</v>
      </c>
      <c r="AO14" s="74">
        <f t="shared" si="2"/>
        <v>5.046577561765897E-2</v>
      </c>
      <c r="AP14" s="74">
        <f t="shared" si="2"/>
        <v>5.2067863732505285E-2</v>
      </c>
      <c r="AQ14" s="74">
        <f t="shared" si="2"/>
        <v>5.2067863732505285E-2</v>
      </c>
      <c r="AR14" s="74">
        <f t="shared" si="2"/>
        <v>5.046577561765897E-2</v>
      </c>
      <c r="AS14" s="74">
        <f t="shared" si="2"/>
        <v>5.2067863732505285E-2</v>
      </c>
      <c r="AT14" s="74">
        <f t="shared" si="2"/>
        <v>5.5672561990909496E-2</v>
      </c>
      <c r="AU14" s="74">
        <f t="shared" si="2"/>
        <v>5.8075694163178967E-2</v>
      </c>
      <c r="AV14" s="74">
        <f t="shared" ref="AV14:DG14" si="3">$F$14*(AV10/1000)</f>
        <v>5.3669951847351606E-2</v>
      </c>
      <c r="AW14" s="74">
        <f t="shared" si="3"/>
        <v>4.9664731560235813E-2</v>
      </c>
      <c r="AX14" s="74">
        <f t="shared" si="3"/>
        <v>4.8062643445389491E-2</v>
      </c>
      <c r="AY14" s="74">
        <f t="shared" si="3"/>
        <v>4.8062643445389491E-2</v>
      </c>
      <c r="AZ14" s="74">
        <f t="shared" si="3"/>
        <v>4.6460555330543177E-2</v>
      </c>
      <c r="BA14" s="74">
        <f t="shared" si="3"/>
        <v>4.6460555330543177E-2</v>
      </c>
      <c r="BB14" s="74">
        <f t="shared" si="3"/>
        <v>4.6460555330543177E-2</v>
      </c>
      <c r="BC14" s="74">
        <f t="shared" si="3"/>
        <v>4.6460555330543177E-2</v>
      </c>
      <c r="BD14" s="74">
        <f t="shared" si="3"/>
        <v>4.9664731560235813E-2</v>
      </c>
      <c r="BE14" s="74">
        <f t="shared" si="3"/>
        <v>4.9664731560235813E-2</v>
      </c>
      <c r="BF14" s="74">
        <f t="shared" si="3"/>
        <v>4.9664731560235813E-2</v>
      </c>
      <c r="BG14" s="74">
        <f t="shared" si="3"/>
        <v>4.9664731560235813E-2</v>
      </c>
      <c r="BH14" s="74">
        <f t="shared" si="3"/>
        <v>4.9664731560235813E-2</v>
      </c>
      <c r="BI14" s="74">
        <f t="shared" si="3"/>
        <v>5.2868907789928449E-2</v>
      </c>
      <c r="BJ14" s="74">
        <f t="shared" si="3"/>
        <v>5.2868907789928449E-2</v>
      </c>
      <c r="BK14" s="74">
        <f t="shared" si="3"/>
        <v>5.2868907789928449E-2</v>
      </c>
      <c r="BL14" s="74">
        <f t="shared" si="3"/>
        <v>5.2868907789928449E-2</v>
      </c>
      <c r="BM14" s="74">
        <f t="shared" si="3"/>
        <v>5.2868907789928449E-2</v>
      </c>
      <c r="BN14" s="74">
        <f t="shared" si="3"/>
        <v>5.2868907789928449E-2</v>
      </c>
      <c r="BO14" s="74">
        <f t="shared" si="3"/>
        <v>5.2868907789928449E-2</v>
      </c>
      <c r="BP14" s="74">
        <f t="shared" si="3"/>
        <v>5.046577561765897E-2</v>
      </c>
      <c r="BQ14" s="74">
        <f t="shared" si="3"/>
        <v>5.046577561765897E-2</v>
      </c>
      <c r="BR14" s="74">
        <f t="shared" si="3"/>
        <v>5.046577561765897E-2</v>
      </c>
      <c r="BS14" s="74">
        <f t="shared" si="3"/>
        <v>5.046577561765897E-2</v>
      </c>
      <c r="BT14" s="74">
        <f t="shared" si="3"/>
        <v>5.3669951847351606E-2</v>
      </c>
      <c r="BU14" s="74">
        <f t="shared" si="3"/>
        <v>5.3669951847351606E-2</v>
      </c>
      <c r="BV14" s="74">
        <f t="shared" si="3"/>
        <v>5.3669951847351606E-2</v>
      </c>
      <c r="BW14" s="74">
        <f t="shared" si="3"/>
        <v>5.4070473876063181E-2</v>
      </c>
      <c r="BX14" s="74">
        <f t="shared" si="3"/>
        <v>5.4070473876063181E-2</v>
      </c>
      <c r="BY14" s="74">
        <f t="shared" si="3"/>
        <v>5.4070473876063181E-2</v>
      </c>
      <c r="BZ14" s="74">
        <f t="shared" si="3"/>
        <v>5.5672561990909496E-2</v>
      </c>
      <c r="CA14" s="74">
        <f t="shared" si="3"/>
        <v>5.5672561990909496E-2</v>
      </c>
      <c r="CB14" s="74">
        <f t="shared" si="3"/>
        <v>5.5672561990909496E-2</v>
      </c>
      <c r="CC14" s="74">
        <f t="shared" si="3"/>
        <v>5.5672561990909496E-2</v>
      </c>
      <c r="CD14" s="74">
        <f t="shared" si="3"/>
        <v>5.5672561990909496E-2</v>
      </c>
      <c r="CE14" s="74">
        <f t="shared" si="3"/>
        <v>5.5672561990909496E-2</v>
      </c>
      <c r="CF14" s="74">
        <f t="shared" si="3"/>
        <v>5.5672561990909496E-2</v>
      </c>
      <c r="CG14" s="74">
        <f t="shared" si="3"/>
        <v>5.6874128077044235E-2</v>
      </c>
      <c r="CH14" s="74">
        <f t="shared" si="3"/>
        <v>5.6874128077044235E-2</v>
      </c>
      <c r="CI14" s="74">
        <f t="shared" si="3"/>
        <v>5.5272039962197914E-2</v>
      </c>
      <c r="CJ14" s="74">
        <f t="shared" si="3"/>
        <v>5.5272039962197914E-2</v>
      </c>
      <c r="CK14" s="74">
        <f t="shared" si="3"/>
        <v>5.5272039962197914E-2</v>
      </c>
      <c r="CL14" s="74">
        <f t="shared" si="3"/>
        <v>5.5272039962197914E-2</v>
      </c>
      <c r="CM14" s="74">
        <f t="shared" si="3"/>
        <v>5.4871517933486345E-2</v>
      </c>
      <c r="CN14" s="74">
        <f t="shared" si="3"/>
        <v>5.4871517933486345E-2</v>
      </c>
      <c r="CO14" s="74">
        <f t="shared" si="3"/>
        <v>5.4871517933486345E-2</v>
      </c>
      <c r="CP14" s="74">
        <f t="shared" si="3"/>
        <v>5.4871517933486345E-2</v>
      </c>
      <c r="CQ14" s="74">
        <f t="shared" si="3"/>
        <v>5.4871517933486345E-2</v>
      </c>
      <c r="CR14" s="74">
        <f t="shared" si="3"/>
        <v>5.4871517933486345E-2</v>
      </c>
      <c r="CS14" s="74">
        <f t="shared" si="3"/>
        <v>5.4470995904774763E-2</v>
      </c>
      <c r="CT14" s="74">
        <f t="shared" si="3"/>
        <v>5.4470995904774763E-2</v>
      </c>
      <c r="CU14" s="74">
        <f t="shared" si="3"/>
        <v>5.4470995904774763E-2</v>
      </c>
      <c r="CV14" s="74">
        <f t="shared" si="3"/>
        <v>5.4470995904774763E-2</v>
      </c>
      <c r="CW14" s="74">
        <f t="shared" si="3"/>
        <v>5.3669951847351606E-2</v>
      </c>
      <c r="CX14" s="74">
        <f t="shared" si="3"/>
        <v>5.3669951847351606E-2</v>
      </c>
      <c r="CY14" s="74">
        <f t="shared" si="3"/>
        <v>5.3669951847351606E-2</v>
      </c>
      <c r="CZ14" s="74">
        <f t="shared" si="3"/>
        <v>5.3669951847351606E-2</v>
      </c>
      <c r="DA14" s="74">
        <f t="shared" si="3"/>
        <v>5.3669951847351606E-2</v>
      </c>
      <c r="DB14" s="74">
        <f t="shared" si="3"/>
        <v>5.3669951847351606E-2</v>
      </c>
      <c r="DC14" s="74">
        <f t="shared" si="3"/>
        <v>5.3669951847351606E-2</v>
      </c>
      <c r="DD14" s="74">
        <f t="shared" si="3"/>
        <v>5.3669951847351606E-2</v>
      </c>
      <c r="DE14" s="74">
        <f t="shared" si="3"/>
        <v>5.3669951847351606E-2</v>
      </c>
      <c r="DF14" s="74">
        <f t="shared" si="3"/>
        <v>5.3669951847351606E-2</v>
      </c>
      <c r="DG14" s="74">
        <f t="shared" si="3"/>
        <v>5.3669951847351606E-2</v>
      </c>
      <c r="DH14" s="74">
        <f t="shared" ref="DH14:DR14" si="4">$F$14*(DH10/1000)</f>
        <v>5.3669951847351606E-2</v>
      </c>
      <c r="DI14" s="74">
        <f t="shared" si="4"/>
        <v>5.3669951847351606E-2</v>
      </c>
      <c r="DJ14" s="74">
        <f t="shared" si="4"/>
        <v>5.5272039962197914E-2</v>
      </c>
      <c r="DK14" s="74">
        <f t="shared" si="4"/>
        <v>5.5272039962197914E-2</v>
      </c>
      <c r="DL14" s="74">
        <f t="shared" si="4"/>
        <v>5.5272039962197914E-2</v>
      </c>
      <c r="DM14" s="74">
        <f t="shared" si="4"/>
        <v>5.5272039962197914E-2</v>
      </c>
      <c r="DN14" s="74">
        <f t="shared" si="4"/>
        <v>5.2868907789928449E-2</v>
      </c>
      <c r="DO14" s="74">
        <f t="shared" si="4"/>
        <v>5.2868907789928449E-2</v>
      </c>
      <c r="DP14" s="74">
        <f t="shared" si="4"/>
        <v>5.2868907789928449E-2</v>
      </c>
      <c r="DQ14" s="74">
        <f t="shared" si="4"/>
        <v>5.2868907789928449E-2</v>
      </c>
      <c r="DR14" s="74">
        <f t="shared" si="4"/>
        <v>5.2868907789928449E-2</v>
      </c>
    </row>
    <row r="15" spans="1:181" ht="13">
      <c r="A15" s="67"/>
      <c r="B15" s="107" t="s">
        <v>348</v>
      </c>
      <c r="C15" s="60">
        <v>1</v>
      </c>
      <c r="D15" s="77">
        <v>39.997</v>
      </c>
      <c r="E15" s="60">
        <f>D15*C15</f>
        <v>39.997</v>
      </c>
      <c r="F15" s="65">
        <f>E15/$D$3</f>
        <v>0.19999599977998789</v>
      </c>
      <c r="I15" s="74"/>
      <c r="J15" s="74"/>
      <c r="K15" s="74"/>
      <c r="L15" s="74"/>
      <c r="M15" s="74"/>
      <c r="N15" s="74"/>
      <c r="O15" s="74"/>
      <c r="P15" s="74"/>
      <c r="Q15" s="74"/>
      <c r="R15" s="74"/>
      <c r="S15" s="74"/>
      <c r="T15" s="74"/>
      <c r="U15" s="74"/>
      <c r="V15" s="74"/>
      <c r="W15" s="74"/>
      <c r="X15" s="74"/>
      <c r="Y15" s="74"/>
      <c r="Z15" s="74"/>
      <c r="AA15" s="74"/>
      <c r="AB15" s="74"/>
      <c r="AC15" s="74"/>
      <c r="AD15" s="74"/>
      <c r="AE15" s="74"/>
      <c r="AF15" s="74"/>
      <c r="AG15" s="74"/>
      <c r="AH15" s="74"/>
      <c r="AI15" s="74"/>
      <c r="AJ15" s="74"/>
      <c r="AK15" s="74"/>
      <c r="AL15" s="74"/>
      <c r="AM15" s="74"/>
      <c r="AN15" s="74"/>
      <c r="AO15" s="74"/>
      <c r="AP15" s="74"/>
      <c r="AQ15" s="74"/>
      <c r="AR15" s="74"/>
      <c r="AS15" s="74"/>
      <c r="AT15" s="74"/>
      <c r="AU15" s="74"/>
      <c r="AV15" s="74"/>
      <c r="AW15" s="74"/>
      <c r="AX15" s="74"/>
      <c r="AY15" s="74"/>
      <c r="AZ15" s="74"/>
      <c r="BA15" s="74"/>
      <c r="BB15" s="74"/>
      <c r="BC15" s="74"/>
      <c r="BD15" s="74"/>
      <c r="BE15" s="74"/>
      <c r="BF15" s="74"/>
      <c r="BG15" s="74"/>
      <c r="BH15" s="74"/>
      <c r="BI15" s="74"/>
      <c r="BJ15" s="74"/>
      <c r="BK15" s="74"/>
      <c r="BL15" s="74"/>
      <c r="BM15" s="74"/>
      <c r="BN15" s="74"/>
      <c r="BO15" s="74"/>
      <c r="BP15" s="74"/>
      <c r="BQ15" s="74"/>
      <c r="BR15" s="74"/>
      <c r="BS15" s="74"/>
      <c r="BT15" s="74"/>
      <c r="BU15" s="74"/>
      <c r="BV15" s="74"/>
      <c r="BW15" s="74"/>
      <c r="BX15" s="74"/>
      <c r="BY15" s="74"/>
      <c r="BZ15" s="74"/>
      <c r="CA15" s="74"/>
      <c r="CB15" s="74"/>
      <c r="CC15" s="74"/>
      <c r="CD15" s="74"/>
      <c r="CE15" s="74"/>
      <c r="CF15" s="74"/>
      <c r="CG15" s="74"/>
      <c r="CH15" s="74"/>
      <c r="CI15" s="74"/>
      <c r="CJ15" s="74"/>
      <c r="CK15" s="74"/>
      <c r="CL15" s="74"/>
      <c r="CM15" s="74"/>
      <c r="CN15" s="74"/>
      <c r="CO15" s="74"/>
      <c r="CP15" s="74"/>
      <c r="CQ15" s="74"/>
      <c r="CR15" s="74"/>
      <c r="CS15" s="74"/>
      <c r="CT15" s="74"/>
      <c r="CU15" s="74"/>
      <c r="CV15" s="74"/>
      <c r="CW15" s="74"/>
      <c r="CX15" s="74"/>
      <c r="CY15" s="74"/>
      <c r="CZ15" s="74"/>
      <c r="DA15" s="74"/>
      <c r="DB15" s="74"/>
      <c r="DC15" s="74"/>
      <c r="DD15" s="74"/>
      <c r="DE15" s="74"/>
      <c r="DF15" s="74"/>
      <c r="DG15" s="74"/>
      <c r="DH15" s="74"/>
      <c r="DI15" s="74"/>
      <c r="DJ15" s="74"/>
      <c r="DK15" s="74"/>
      <c r="DL15" s="74"/>
      <c r="DM15" s="74"/>
      <c r="DN15" s="74"/>
      <c r="DO15" s="74"/>
      <c r="DP15" s="74"/>
      <c r="DQ15" s="74"/>
      <c r="DR15" s="74"/>
    </row>
    <row r="16" spans="1:181" ht="13">
      <c r="A16" s="67"/>
      <c r="B16" s="107" t="s">
        <v>59</v>
      </c>
      <c r="C16" s="60">
        <v>1</v>
      </c>
      <c r="D16" s="77">
        <v>30.030999999999999</v>
      </c>
      <c r="E16" s="60">
        <f>D16*C16</f>
        <v>30.030999999999999</v>
      </c>
      <c r="F16" s="328">
        <f>E16/$D$3</f>
        <v>0.15016325897924385</v>
      </c>
      <c r="I16" s="74"/>
      <c r="J16" s="74"/>
      <c r="K16" s="74"/>
      <c r="L16" s="74"/>
      <c r="M16" s="74"/>
      <c r="N16" s="74"/>
      <c r="O16" s="74"/>
      <c r="P16" s="74"/>
      <c r="Q16" s="74"/>
      <c r="R16" s="74"/>
      <c r="S16" s="74"/>
      <c r="T16" s="74"/>
      <c r="U16" s="74"/>
      <c r="V16" s="74"/>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c r="BM16" s="74"/>
      <c r="BN16" s="74"/>
      <c r="BO16" s="74"/>
      <c r="BP16" s="74"/>
      <c r="BQ16" s="74"/>
      <c r="BR16" s="74"/>
      <c r="BS16" s="74"/>
      <c r="BT16" s="74"/>
      <c r="BU16" s="74"/>
      <c r="BV16" s="74"/>
      <c r="BW16" s="74"/>
      <c r="BX16" s="74"/>
      <c r="BY16" s="74"/>
      <c r="BZ16" s="74"/>
      <c r="CA16" s="74"/>
      <c r="CB16" s="74"/>
      <c r="CC16" s="74"/>
      <c r="CD16" s="74"/>
      <c r="CE16" s="74"/>
      <c r="CF16" s="74"/>
      <c r="CG16" s="74"/>
      <c r="CH16" s="74"/>
      <c r="CI16" s="74"/>
      <c r="CJ16" s="74"/>
      <c r="CK16" s="74"/>
      <c r="CL16" s="74"/>
      <c r="CM16" s="74"/>
      <c r="CN16" s="74"/>
      <c r="CO16" s="74"/>
      <c r="CP16" s="74"/>
      <c r="CQ16" s="74"/>
      <c r="CR16" s="74"/>
      <c r="CS16" s="74"/>
      <c r="CT16" s="74"/>
      <c r="CU16" s="74"/>
      <c r="CV16" s="74"/>
      <c r="CW16" s="74"/>
      <c r="CX16" s="74"/>
      <c r="CY16" s="74"/>
      <c r="CZ16" s="74"/>
      <c r="DA16" s="74"/>
      <c r="DB16" s="74"/>
      <c r="DC16" s="74"/>
      <c r="DD16" s="74"/>
      <c r="DE16" s="74"/>
      <c r="DF16" s="74"/>
      <c r="DG16" s="74"/>
      <c r="DH16" s="74"/>
      <c r="DI16" s="74"/>
      <c r="DJ16" s="74"/>
      <c r="DK16" s="74"/>
      <c r="DL16" s="74"/>
      <c r="DM16" s="74"/>
      <c r="DN16" s="74"/>
      <c r="DO16" s="74"/>
      <c r="DP16" s="74"/>
      <c r="DQ16" s="74"/>
      <c r="DR16" s="74"/>
    </row>
    <row r="17" spans="1:122" ht="13">
      <c r="A17" s="67"/>
      <c r="B17" s="107" t="s">
        <v>69</v>
      </c>
      <c r="C17" s="60">
        <v>1</v>
      </c>
      <c r="D17" s="77">
        <v>159.80000000000001</v>
      </c>
      <c r="E17" s="60">
        <f>D17*C17</f>
        <v>159.80000000000001</v>
      </c>
      <c r="F17" s="328">
        <f>E17/$D$3</f>
        <v>0.79904394741710794</v>
      </c>
      <c r="I17" s="74"/>
      <c r="J17" s="74"/>
      <c r="K17" s="74"/>
      <c r="L17" s="74"/>
      <c r="M17" s="74"/>
      <c r="N17" s="74"/>
      <c r="O17" s="74"/>
      <c r="P17" s="74"/>
      <c r="Q17" s="74"/>
      <c r="R17" s="74"/>
      <c r="S17" s="74"/>
      <c r="T17" s="74"/>
      <c r="U17" s="74"/>
      <c r="V17" s="74"/>
      <c r="W17" s="74"/>
      <c r="X17" s="74"/>
      <c r="Y17" s="74"/>
      <c r="Z17" s="74"/>
      <c r="AA17" s="74"/>
      <c r="AB17" s="74"/>
      <c r="AC17" s="74"/>
      <c r="AD17" s="74"/>
      <c r="AE17" s="74"/>
      <c r="AF17" s="74"/>
      <c r="AG17" s="74"/>
      <c r="AH17" s="74"/>
      <c r="AI17" s="74">
        <f>$F$17*(AI9/1000)</f>
        <v>6.2364732089800698</v>
      </c>
      <c r="AJ17" s="74">
        <f t="shared" ref="AJ17:AU17" si="5">$F$17*(AJ9/1000)</f>
        <v>5.9492760364790591</v>
      </c>
      <c r="AK17" s="74">
        <f t="shared" si="5"/>
        <v>5.8714578806301585</v>
      </c>
      <c r="AL17" s="74">
        <f t="shared" si="5"/>
        <v>6.1219642615140826</v>
      </c>
      <c r="AM17" s="74">
        <f t="shared" si="5"/>
        <v>6.12314619853744</v>
      </c>
      <c r="AN17" s="74">
        <f t="shared" si="5"/>
        <v>5.9521762418961597</v>
      </c>
      <c r="AO17" s="74">
        <f t="shared" si="5"/>
        <v>4.4931127991402722</v>
      </c>
      <c r="AP17" s="74">
        <f t="shared" si="5"/>
        <v>4.1256248303892944</v>
      </c>
      <c r="AQ17" s="74">
        <f t="shared" si="5"/>
        <v>4.9682562069662</v>
      </c>
      <c r="AR17" s="74">
        <f t="shared" si="5"/>
        <v>4.7980553785222906</v>
      </c>
      <c r="AS17" s="74">
        <f t="shared" si="5"/>
        <v>4.6689692768238356</v>
      </c>
      <c r="AT17" s="74">
        <f t="shared" si="5"/>
        <v>4.079490798380383</v>
      </c>
      <c r="AU17" s="74">
        <f t="shared" si="5"/>
        <v>2.8521029604405337</v>
      </c>
      <c r="AV17" s="74">
        <f t="shared" ref="AV17:DG17" si="6">$F$17*(AV9/1000)</f>
        <v>2.6170569966908888</v>
      </c>
      <c r="AW17" s="74">
        <f t="shared" si="6"/>
        <v>2.5347634631492242</v>
      </c>
      <c r="AX17" s="74">
        <f t="shared" si="6"/>
        <v>1.7826517753040263</v>
      </c>
      <c r="AY17" s="74">
        <f t="shared" si="6"/>
        <v>1.7556046449201033</v>
      </c>
      <c r="AZ17" s="74">
        <f t="shared" si="6"/>
        <v>1.8043714406123281</v>
      </c>
      <c r="BA17" s="74">
        <f t="shared" si="6"/>
        <v>1.9052916150309607</v>
      </c>
      <c r="BB17" s="74">
        <f t="shared" si="6"/>
        <v>1.9977334906647166</v>
      </c>
      <c r="BC17" s="74">
        <f t="shared" si="6"/>
        <v>2.386402809945952</v>
      </c>
      <c r="BD17" s="74">
        <f t="shared" si="6"/>
        <v>2.3927257253668075</v>
      </c>
      <c r="BE17" s="74">
        <f t="shared" si="6"/>
        <v>2.3861613200845939</v>
      </c>
      <c r="BF17" s="74">
        <f t="shared" si="6"/>
        <v>2.3958611628491648</v>
      </c>
      <c r="BG17" s="74">
        <f t="shared" si="6"/>
        <v>2.3699595307336474</v>
      </c>
      <c r="BH17" s="74">
        <f t="shared" si="6"/>
        <v>2.349301917579222</v>
      </c>
      <c r="BI17" s="74">
        <f t="shared" si="6"/>
        <v>2.3460836957743192</v>
      </c>
      <c r="BJ17" s="74">
        <f t="shared" si="6"/>
        <v>2.3441463847125728</v>
      </c>
      <c r="BK17" s="74">
        <f t="shared" si="6"/>
        <v>2.3344598294038437</v>
      </c>
      <c r="BL17" s="74">
        <f t="shared" si="6"/>
        <v>2.3570617917908789</v>
      </c>
      <c r="BM17" s="74">
        <f t="shared" si="6"/>
        <v>2.3506129223194954</v>
      </c>
      <c r="BN17" s="74">
        <f t="shared" si="6"/>
        <v>2.3474017024802611</v>
      </c>
      <c r="BO17" s="74">
        <f t="shared" si="6"/>
        <v>2.3732726706890284</v>
      </c>
      <c r="BP17" s="74">
        <f t="shared" si="6"/>
        <v>2.4349811898666109</v>
      </c>
      <c r="BQ17" s="74">
        <f t="shared" si="6"/>
        <v>2.4544610393855435</v>
      </c>
      <c r="BR17" s="74">
        <f t="shared" si="6"/>
        <v>2.5097728374562038</v>
      </c>
      <c r="BS17" s="74">
        <f t="shared" si="6"/>
        <v>2.5056161063995481</v>
      </c>
      <c r="BT17" s="74">
        <f t="shared" si="6"/>
        <v>2.5232861776717588</v>
      </c>
      <c r="BU17" s="74">
        <f t="shared" si="6"/>
        <v>2.4724424389414814</v>
      </c>
      <c r="BV17" s="74">
        <f t="shared" si="6"/>
        <v>2.4534719356017898</v>
      </c>
      <c r="BW17" s="74">
        <f t="shared" si="6"/>
        <v>2.4300975092829908</v>
      </c>
      <c r="BX17" s="74">
        <f t="shared" si="6"/>
        <v>2.3205439330448234</v>
      </c>
      <c r="BY17" s="74">
        <f t="shared" si="6"/>
        <v>2.2643683505406762</v>
      </c>
      <c r="BZ17" s="74">
        <f t="shared" si="6"/>
        <v>2.2377168909407077</v>
      </c>
      <c r="CA17" s="74">
        <f t="shared" si="6"/>
        <v>2.2377168909407077</v>
      </c>
      <c r="CB17" s="74">
        <f t="shared" si="6"/>
        <v>2.2128187892334399</v>
      </c>
      <c r="CC17" s="74">
        <f t="shared" si="6"/>
        <v>2.2060522619546949</v>
      </c>
      <c r="CD17" s="74">
        <f t="shared" si="6"/>
        <v>2.1802821574065629</v>
      </c>
      <c r="CE17" s="74">
        <f t="shared" si="6"/>
        <v>2.1508188850091772</v>
      </c>
      <c r="CF17" s="74">
        <f t="shared" si="6"/>
        <v>2.1272646811705984</v>
      </c>
      <c r="CG17" s="74">
        <f t="shared" si="6"/>
        <v>2.0527984136815856</v>
      </c>
      <c r="CH17" s="74">
        <f t="shared" si="6"/>
        <v>1.7819778359514444</v>
      </c>
      <c r="CI17" s="74">
        <f t="shared" si="6"/>
        <v>1.8680448225396591</v>
      </c>
      <c r="CJ17" s="74">
        <f t="shared" si="6"/>
        <v>1.767796343843159</v>
      </c>
      <c r="CK17" s="74">
        <f t="shared" si="6"/>
        <v>1.787330005101095</v>
      </c>
      <c r="CL17" s="74">
        <f t="shared" si="6"/>
        <v>1.9142988032776749</v>
      </c>
      <c r="CM17" s="74">
        <f t="shared" si="6"/>
        <v>1.9222639855381924</v>
      </c>
      <c r="CN17" s="74">
        <f t="shared" si="6"/>
        <v>2.0343105920850744</v>
      </c>
      <c r="CO17" s="74">
        <f t="shared" si="6"/>
        <v>2.0832122890101958</v>
      </c>
      <c r="CP17" s="74">
        <f t="shared" si="6"/>
        <v>2.1027729677802447</v>
      </c>
      <c r="CQ17" s="74">
        <f t="shared" si="6"/>
        <v>2.1027729677802447</v>
      </c>
      <c r="CR17" s="74">
        <f t="shared" si="6"/>
        <v>2.2170705527756747</v>
      </c>
      <c r="CS17" s="74">
        <f t="shared" si="6"/>
        <v>2.246371044662578</v>
      </c>
      <c r="CT17" s="74">
        <f t="shared" si="6"/>
        <v>2.2888823184746139</v>
      </c>
      <c r="CU17" s="74">
        <f t="shared" si="6"/>
        <v>2.2040310949923518</v>
      </c>
      <c r="CV17" s="74">
        <f t="shared" si="6"/>
        <v>2.0522972685056762</v>
      </c>
      <c r="CW17" s="74">
        <f t="shared" si="6"/>
        <v>1.9725397443267827</v>
      </c>
      <c r="CX17" s="74">
        <f t="shared" si="6"/>
        <v>1.9523465116070056</v>
      </c>
      <c r="CY17" s="74">
        <f t="shared" si="6"/>
        <v>1.9854088951599522</v>
      </c>
      <c r="CZ17" s="74">
        <f t="shared" si="6"/>
        <v>2.0414719284548624</v>
      </c>
      <c r="DA17" s="74">
        <f t="shared" si="6"/>
        <v>2.0386286527884905</v>
      </c>
      <c r="DB17" s="74">
        <f t="shared" si="6"/>
        <v>2.0471823394435469</v>
      </c>
      <c r="DC17" s="74">
        <f t="shared" si="6"/>
        <v>2.054721376303779</v>
      </c>
      <c r="DD17" s="74">
        <f t="shared" si="6"/>
        <v>2.0545334094876773</v>
      </c>
      <c r="DE17" s="74">
        <f t="shared" si="6"/>
        <v>2.0089724976445469</v>
      </c>
      <c r="DF17" s="74">
        <f t="shared" si="6"/>
        <v>2.0091781675633866</v>
      </c>
      <c r="DG17" s="74">
        <f t="shared" si="6"/>
        <v>2.0004806489302078</v>
      </c>
      <c r="DH17" s="74">
        <f t="shared" ref="DH17:DR17" si="7">$F$17*(DH9/1000)</f>
        <v>2.0004806489302078</v>
      </c>
      <c r="DI17" s="74">
        <f t="shared" si="7"/>
        <v>1.9851035174745122</v>
      </c>
      <c r="DJ17" s="74">
        <f t="shared" si="7"/>
        <v>2.1025123416255251</v>
      </c>
      <c r="DK17" s="74">
        <f t="shared" si="7"/>
        <v>2.1589893723126541</v>
      </c>
      <c r="DL17" s="74">
        <f t="shared" si="7"/>
        <v>2.2277714825365273</v>
      </c>
      <c r="DM17" s="74">
        <f t="shared" si="7"/>
        <v>2.1907960222454643</v>
      </c>
      <c r="DN17" s="74">
        <f t="shared" si="7"/>
        <v>2.1877700608887718</v>
      </c>
      <c r="DO17" s="74">
        <f t="shared" si="7"/>
        <v>2.1817431461204833</v>
      </c>
      <c r="DP17" s="74">
        <f t="shared" si="7"/>
        <v>2.1398360145556814</v>
      </c>
      <c r="DQ17" s="74">
        <f t="shared" si="7"/>
        <v>2.1301094872167918</v>
      </c>
      <c r="DR17" s="74">
        <f t="shared" si="7"/>
        <v>2.1242655654411626</v>
      </c>
    </row>
    <row r="18" spans="1:122" s="104" customFormat="1">
      <c r="H18" s="104" t="s">
        <v>799</v>
      </c>
      <c r="I18" s="105">
        <f>SUM(I13:I13)</f>
        <v>0</v>
      </c>
      <c r="J18" s="105">
        <f t="shared" ref="J18:AH18" si="8">SUM(J13:J13)</f>
        <v>0</v>
      </c>
      <c r="K18" s="105">
        <f t="shared" si="8"/>
        <v>0</v>
      </c>
      <c r="L18" s="105">
        <f t="shared" si="8"/>
        <v>0</v>
      </c>
      <c r="M18" s="105">
        <f t="shared" si="8"/>
        <v>0</v>
      </c>
      <c r="N18" s="105">
        <f t="shared" si="8"/>
        <v>9.5123964192131275E-4</v>
      </c>
      <c r="O18" s="105">
        <f t="shared" si="8"/>
        <v>9.36178290686187E-4</v>
      </c>
      <c r="P18" s="105">
        <f t="shared" si="8"/>
        <v>8.0183283976680052E-4</v>
      </c>
      <c r="Q18" s="105">
        <f t="shared" si="8"/>
        <v>7.4036587169624632E-4</v>
      </c>
      <c r="R18" s="105">
        <f t="shared" si="8"/>
        <v>7.2443953368969249E-4</v>
      </c>
      <c r="S18" s="105">
        <f t="shared" si="8"/>
        <v>7.9604353239428151E-4</v>
      </c>
      <c r="T18" s="105">
        <f t="shared" si="8"/>
        <v>7.1556899590595306E-4</v>
      </c>
      <c r="U18" s="105">
        <f t="shared" si="8"/>
        <v>7.7369797828949873E-4</v>
      </c>
      <c r="V18" s="105">
        <f t="shared" si="8"/>
        <v>8.2217771977458748E-4</v>
      </c>
      <c r="W18" s="105">
        <f t="shared" si="8"/>
        <v>8.0961889134708318E-4</v>
      </c>
      <c r="X18" s="105">
        <f t="shared" si="8"/>
        <v>8.2746239913845281E-4</v>
      </c>
      <c r="Y18" s="105">
        <f t="shared" si="8"/>
        <v>8.2212422912491699E-4</v>
      </c>
      <c r="Z18" s="105">
        <f t="shared" si="8"/>
        <v>9.26490190990548E-4</v>
      </c>
      <c r="AA18" s="105">
        <f t="shared" si="8"/>
        <v>8.1934048045949304E-4</v>
      </c>
      <c r="AB18" s="105">
        <f t="shared" si="8"/>
        <v>8.4205173414786817E-4</v>
      </c>
      <c r="AC18" s="105">
        <f t="shared" si="8"/>
        <v>9.2248430631511411E-4</v>
      </c>
      <c r="AD18" s="105">
        <f t="shared" si="8"/>
        <v>1.0386650416992376E-3</v>
      </c>
      <c r="AE18" s="105">
        <f t="shared" si="8"/>
        <v>1.1060231711010587E-3</v>
      </c>
      <c r="AF18" s="105">
        <f t="shared" si="8"/>
        <v>1.2985983586373288E-3</v>
      </c>
      <c r="AG18" s="105">
        <f t="shared" si="8"/>
        <v>1.3283865970009682E-3</v>
      </c>
      <c r="AH18" s="105">
        <f t="shared" si="8"/>
        <v>1.2366092328170621E-3</v>
      </c>
      <c r="AI18" s="105">
        <f t="shared" ref="AI18:BN18" si="9">SUM(AI13:AI17)</f>
        <v>6.3066559635654604</v>
      </c>
      <c r="AJ18" s="105">
        <f t="shared" si="9"/>
        <v>6.0129852391291161</v>
      </c>
      <c r="AK18" s="105">
        <f t="shared" si="9"/>
        <v>5.9286594439700933</v>
      </c>
      <c r="AL18" s="105">
        <f t="shared" si="9"/>
        <v>6.1775570255210823</v>
      </c>
      <c r="AM18" s="105">
        <f t="shared" si="9"/>
        <v>6.1746908609938753</v>
      </c>
      <c r="AN18" s="105">
        <f t="shared" si="9"/>
        <v>6.0037187545121311</v>
      </c>
      <c r="AO18" s="105">
        <f t="shared" si="9"/>
        <v>4.5446095127104069</v>
      </c>
      <c r="AP18" s="105">
        <f t="shared" si="9"/>
        <v>4.1786908345479787</v>
      </c>
      <c r="AQ18" s="105">
        <f t="shared" si="9"/>
        <v>5.0212982209436356</v>
      </c>
      <c r="AR18" s="105">
        <f t="shared" si="9"/>
        <v>4.8495133252506442</v>
      </c>
      <c r="AS18" s="105">
        <f t="shared" si="9"/>
        <v>4.7220024500557338</v>
      </c>
      <c r="AT18" s="105">
        <f t="shared" si="9"/>
        <v>4.1361103476787058</v>
      </c>
      <c r="AU18" s="105">
        <f t="shared" si="9"/>
        <v>2.9111398829027286</v>
      </c>
      <c r="AV18" s="105">
        <f t="shared" si="9"/>
        <v>2.6716459054691959</v>
      </c>
      <c r="AW18" s="105">
        <f t="shared" si="9"/>
        <v>2.5853892423652223</v>
      </c>
      <c r="AX18" s="105">
        <f t="shared" si="9"/>
        <v>1.8316508647117853</v>
      </c>
      <c r="AY18" s="105">
        <f t="shared" si="9"/>
        <v>1.8045262782819382</v>
      </c>
      <c r="AZ18" s="105">
        <f t="shared" si="9"/>
        <v>1.8516909858593167</v>
      </c>
      <c r="BA18" s="105">
        <f t="shared" si="9"/>
        <v>1.9526111602779492</v>
      </c>
      <c r="BB18" s="105">
        <f t="shared" si="9"/>
        <v>2.0450530359117054</v>
      </c>
      <c r="BC18" s="105">
        <f t="shared" si="9"/>
        <v>2.4337548834122149</v>
      </c>
      <c r="BD18" s="105">
        <f t="shared" si="9"/>
        <v>2.4432819750627628</v>
      </c>
      <c r="BE18" s="105">
        <f t="shared" si="9"/>
        <v>2.4367175697805492</v>
      </c>
      <c r="BF18" s="105">
        <f t="shared" si="9"/>
        <v>2.4464174125451201</v>
      </c>
      <c r="BG18" s="105">
        <f t="shared" si="9"/>
        <v>2.4204483609371268</v>
      </c>
      <c r="BH18" s="105">
        <f t="shared" si="9"/>
        <v>2.3997907477827014</v>
      </c>
      <c r="BI18" s="105">
        <f t="shared" si="9"/>
        <v>2.3997767022074914</v>
      </c>
      <c r="BJ18" s="105">
        <f t="shared" si="9"/>
        <v>2.397839391145745</v>
      </c>
      <c r="BK18" s="105">
        <f t="shared" si="9"/>
        <v>2.3881752636416911</v>
      </c>
      <c r="BL18" s="105">
        <f t="shared" si="9"/>
        <v>2.4107772260287263</v>
      </c>
      <c r="BM18" s="105">
        <f t="shared" si="9"/>
        <v>2.4043283565573428</v>
      </c>
      <c r="BN18" s="105">
        <f t="shared" si="9"/>
        <v>2.4011171367181086</v>
      </c>
      <c r="BO18" s="105">
        <f t="shared" ref="BO18:CT18" si="10">SUM(BO13:BO17)</f>
        <v>2.4269115556499234</v>
      </c>
      <c r="BP18" s="105">
        <f t="shared" si="10"/>
        <v>2.4862169426552367</v>
      </c>
      <c r="BQ18" s="105">
        <f t="shared" si="10"/>
        <v>2.5056967921741693</v>
      </c>
      <c r="BR18" s="105">
        <f t="shared" si="10"/>
        <v>2.5610085902448296</v>
      </c>
      <c r="BS18" s="105">
        <f t="shared" si="10"/>
        <v>2.5568706031626598</v>
      </c>
      <c r="BT18" s="105">
        <f t="shared" si="10"/>
        <v>2.5777448506645633</v>
      </c>
      <c r="BU18" s="105">
        <f t="shared" si="10"/>
        <v>2.5269011119342859</v>
      </c>
      <c r="BV18" s="105">
        <f t="shared" si="10"/>
        <v>2.5079306085945943</v>
      </c>
      <c r="BW18" s="105">
        <f t="shared" si="10"/>
        <v>2.4848976422946398</v>
      </c>
      <c r="BX18" s="105">
        <f t="shared" si="10"/>
        <v>2.3753440660564724</v>
      </c>
      <c r="BY18" s="105">
        <f t="shared" si="10"/>
        <v>2.3191684835523252</v>
      </c>
      <c r="BZ18" s="105">
        <f t="shared" si="10"/>
        <v>2.2941191120672029</v>
      </c>
      <c r="CA18" s="105">
        <f t="shared" si="10"/>
        <v>2.2941958104937736</v>
      </c>
      <c r="CB18" s="105">
        <f t="shared" si="10"/>
        <v>2.2692977087865058</v>
      </c>
      <c r="CC18" s="105">
        <f t="shared" si="10"/>
        <v>2.2625311815077609</v>
      </c>
      <c r="CD18" s="105">
        <f t="shared" si="10"/>
        <v>2.2367610769596289</v>
      </c>
      <c r="CE18" s="105">
        <f t="shared" si="10"/>
        <v>2.2072881368337653</v>
      </c>
      <c r="CF18" s="105">
        <f t="shared" si="10"/>
        <v>2.1837339329951866</v>
      </c>
      <c r="CG18" s="105">
        <f t="shared" si="10"/>
        <v>2.1104692315923086</v>
      </c>
      <c r="CH18" s="105">
        <f t="shared" si="10"/>
        <v>1.8396486538621675</v>
      </c>
      <c r="CI18" s="105">
        <f t="shared" si="10"/>
        <v>1.9242187238800859</v>
      </c>
      <c r="CJ18" s="105">
        <f t="shared" si="10"/>
        <v>1.8239702451835857</v>
      </c>
      <c r="CK18" s="105">
        <f t="shared" si="10"/>
        <v>1.8435039064415217</v>
      </c>
      <c r="CL18" s="105">
        <f t="shared" si="10"/>
        <v>1.9704727046181016</v>
      </c>
      <c r="CM18" s="105">
        <f t="shared" si="10"/>
        <v>1.9778776577530552</v>
      </c>
      <c r="CN18" s="105">
        <f t="shared" si="10"/>
        <v>2.0899242642999369</v>
      </c>
      <c r="CO18" s="105">
        <f t="shared" si="10"/>
        <v>2.1388259612250584</v>
      </c>
      <c r="CP18" s="105">
        <f t="shared" si="10"/>
        <v>2.1583866399951073</v>
      </c>
      <c r="CQ18" s="105">
        <f t="shared" si="10"/>
        <v>2.1583866399951073</v>
      </c>
      <c r="CR18" s="105">
        <f t="shared" si="10"/>
        <v>2.2726098679802575</v>
      </c>
      <c r="CS18" s="105">
        <f t="shared" si="10"/>
        <v>2.3008420405673529</v>
      </c>
      <c r="CT18" s="105">
        <f t="shared" si="10"/>
        <v>2.3433533143793888</v>
      </c>
      <c r="CU18" s="105">
        <f t="shared" ref="CU18:DE18" si="11">SUM(CU13:CU17)</f>
        <v>2.2585020908971267</v>
      </c>
      <c r="CV18" s="105">
        <f t="shared" si="11"/>
        <v>2.1067682644104511</v>
      </c>
      <c r="CW18" s="105">
        <f t="shared" si="11"/>
        <v>2.0262096961741345</v>
      </c>
      <c r="CX18" s="105">
        <f t="shared" si="11"/>
        <v>2.0060164634543574</v>
      </c>
      <c r="CY18" s="105">
        <f t="shared" si="11"/>
        <v>2.0390788470073038</v>
      </c>
      <c r="CZ18" s="105">
        <f t="shared" si="11"/>
        <v>2.0951418803022142</v>
      </c>
      <c r="DA18" s="105">
        <f t="shared" si="11"/>
        <v>2.0922986046358423</v>
      </c>
      <c r="DB18" s="105">
        <f t="shared" si="11"/>
        <v>2.1008522912908987</v>
      </c>
      <c r="DC18" s="105">
        <f t="shared" si="11"/>
        <v>2.1083913281511308</v>
      </c>
      <c r="DD18" s="105">
        <f t="shared" si="11"/>
        <v>2.1082033613350291</v>
      </c>
      <c r="DE18" s="105">
        <f t="shared" si="11"/>
        <v>2.0626424494918987</v>
      </c>
    </row>
    <row r="19" spans="1:122" s="104" customFormat="1">
      <c r="H19" s="60"/>
      <c r="I19" s="105"/>
      <c r="J19" s="105"/>
      <c r="K19" s="105"/>
      <c r="L19" s="105"/>
      <c r="M19" s="105"/>
      <c r="N19" s="105"/>
      <c r="O19" s="105"/>
      <c r="P19" s="105"/>
      <c r="Q19" s="105"/>
      <c r="R19" s="105"/>
      <c r="S19" s="105"/>
      <c r="T19" s="105"/>
      <c r="U19" s="105"/>
      <c r="V19" s="105"/>
      <c r="W19" s="105"/>
      <c r="X19" s="105"/>
      <c r="Y19" s="105"/>
      <c r="Z19" s="105"/>
      <c r="AA19" s="105"/>
      <c r="AB19" s="105"/>
      <c r="AC19" s="105"/>
      <c r="AD19" s="105"/>
      <c r="AE19" s="105"/>
      <c r="AF19" s="105"/>
      <c r="AG19" s="105"/>
      <c r="AH19" s="105"/>
      <c r="AI19" s="105"/>
      <c r="AJ19" s="105"/>
      <c r="AK19" s="105"/>
      <c r="AL19" s="105"/>
      <c r="AM19" s="105"/>
      <c r="AN19" s="105"/>
      <c r="AO19" s="105"/>
      <c r="AP19" s="105"/>
      <c r="AQ19" s="105"/>
      <c r="AR19" s="105"/>
      <c r="AS19" s="105"/>
      <c r="AT19" s="105"/>
      <c r="AU19" s="105"/>
      <c r="AV19" s="105"/>
      <c r="AW19" s="105"/>
      <c r="AX19" s="105"/>
      <c r="AY19" s="105"/>
      <c r="AZ19" s="105"/>
      <c r="BA19" s="105"/>
      <c r="BB19" s="105"/>
      <c r="BC19" s="105"/>
      <c r="BD19" s="105"/>
      <c r="BE19" s="105"/>
      <c r="BF19" s="105"/>
      <c r="BG19" s="105"/>
      <c r="BH19" s="105"/>
      <c r="BI19" s="105"/>
      <c r="BJ19" s="105"/>
      <c r="BK19" s="105"/>
      <c r="BL19" s="105"/>
      <c r="BM19" s="105"/>
      <c r="BN19" s="105"/>
      <c r="BO19" s="105"/>
      <c r="BP19" s="105"/>
      <c r="BQ19" s="105"/>
      <c r="BR19" s="105"/>
      <c r="BS19" s="105"/>
      <c r="BT19" s="105"/>
      <c r="BU19" s="105"/>
      <c r="BV19" s="105"/>
      <c r="BW19" s="105"/>
      <c r="BX19" s="105"/>
      <c r="BY19" s="105"/>
      <c r="BZ19" s="105"/>
      <c r="CA19" s="105"/>
      <c r="CB19" s="105"/>
      <c r="CC19" s="105"/>
      <c r="CD19" s="105"/>
      <c r="CE19" s="105"/>
      <c r="CF19" s="105"/>
      <c r="CG19" s="105"/>
      <c r="CH19" s="105"/>
      <c r="CI19" s="105"/>
      <c r="CJ19" s="105"/>
      <c r="CK19" s="105"/>
      <c r="CL19" s="105"/>
      <c r="CM19" s="105"/>
      <c r="CN19" s="105"/>
      <c r="CO19" s="105"/>
      <c r="CP19" s="105"/>
      <c r="CQ19" s="105"/>
      <c r="CR19" s="105"/>
    </row>
    <row r="20" spans="1:122">
      <c r="H20" s="60" t="s">
        <v>429</v>
      </c>
      <c r="I20" s="74"/>
      <c r="J20" s="74"/>
      <c r="K20" s="74"/>
      <c r="L20" s="74"/>
      <c r="M20" s="74"/>
      <c r="N20" s="74"/>
      <c r="O20" s="74"/>
      <c r="P20" s="74"/>
      <c r="Q20" s="74"/>
      <c r="R20" s="74"/>
      <c r="S20" s="74"/>
      <c r="T20" s="74"/>
      <c r="U20" s="74"/>
      <c r="V20" s="74"/>
      <c r="W20" s="74"/>
      <c r="X20" s="74"/>
      <c r="Y20" s="74"/>
      <c r="Z20" s="74"/>
      <c r="AA20" s="74"/>
      <c r="AB20" s="74"/>
      <c r="AC20" s="74"/>
      <c r="AD20" s="74"/>
      <c r="AE20" s="74"/>
      <c r="AF20" s="74"/>
      <c r="AG20" s="74"/>
      <c r="AH20" s="74"/>
      <c r="AI20" s="74"/>
      <c r="AK20" s="74"/>
      <c r="AL20" s="74"/>
      <c r="AM20" s="74"/>
      <c r="AN20" s="74"/>
      <c r="AO20" s="74"/>
      <c r="AP20" s="74"/>
      <c r="AQ20" s="74"/>
      <c r="AR20" s="74"/>
      <c r="AS20" s="74"/>
      <c r="AT20" s="74"/>
      <c r="AU20" s="74"/>
      <c r="AV20" s="74"/>
      <c r="AW20" s="74"/>
      <c r="AX20" s="74"/>
      <c r="AY20" s="74"/>
      <c r="AZ20" s="74"/>
      <c r="BA20" s="74"/>
      <c r="BB20" s="74"/>
      <c r="BC20" s="74"/>
      <c r="BD20" s="74"/>
      <c r="BE20" s="74"/>
      <c r="BF20" s="74"/>
      <c r="BG20" s="74"/>
      <c r="BH20" s="74"/>
      <c r="BI20" s="74"/>
      <c r="BJ20" s="74"/>
      <c r="BK20" s="74"/>
      <c r="BL20" s="74"/>
      <c r="BM20" s="74"/>
      <c r="BN20" s="74"/>
      <c r="BO20" s="74"/>
      <c r="BP20" s="74"/>
      <c r="BQ20" s="74"/>
      <c r="BR20" s="74"/>
      <c r="BS20" s="74"/>
      <c r="BT20" s="74"/>
      <c r="BU20" s="74"/>
      <c r="BV20" s="74"/>
      <c r="BW20" s="74"/>
      <c r="BX20" s="74"/>
      <c r="BY20" s="74"/>
      <c r="BZ20" s="74"/>
      <c r="CA20" s="74"/>
      <c r="CB20" s="74"/>
      <c r="CC20" s="74"/>
      <c r="CD20" s="74"/>
      <c r="CE20" s="74"/>
      <c r="CF20" s="74"/>
      <c r="CG20" s="74"/>
      <c r="CH20" s="74"/>
      <c r="CI20" s="74"/>
      <c r="CJ20" s="74"/>
      <c r="CK20" s="74"/>
      <c r="CL20" s="74"/>
      <c r="CM20" s="74"/>
      <c r="CN20" s="74"/>
      <c r="CO20" s="74"/>
      <c r="CP20" s="74"/>
      <c r="CQ20" s="74"/>
      <c r="CR20" s="74"/>
    </row>
    <row r="21" spans="1:122">
      <c r="H21" s="60" t="s">
        <v>406</v>
      </c>
      <c r="I21" s="74"/>
      <c r="J21" s="74"/>
      <c r="K21" s="74"/>
      <c r="L21" s="74"/>
      <c r="M21" s="74"/>
      <c r="N21" s="74"/>
      <c r="O21" s="74"/>
      <c r="P21" s="74"/>
      <c r="Q21" s="74"/>
      <c r="R21" s="74"/>
      <c r="S21" s="74"/>
      <c r="T21" s="74"/>
      <c r="U21" s="74"/>
      <c r="V21" s="74"/>
      <c r="W21" s="74"/>
      <c r="X21" s="74"/>
      <c r="Y21" s="74"/>
      <c r="Z21" s="74"/>
      <c r="AA21" s="74"/>
      <c r="AB21" s="74"/>
      <c r="AC21" s="74"/>
      <c r="AD21" s="74"/>
      <c r="AE21" s="74"/>
      <c r="AF21" s="74"/>
      <c r="AG21" s="74"/>
      <c r="AH21" s="74"/>
      <c r="AI21" s="74"/>
      <c r="AK21" s="74"/>
      <c r="AL21" s="74"/>
      <c r="AM21" s="74"/>
      <c r="AN21" s="74"/>
      <c r="AO21" s="74"/>
      <c r="AP21" s="74"/>
      <c r="AQ21" s="74"/>
      <c r="AR21" s="74"/>
      <c r="AS21" s="74"/>
      <c r="AT21" s="74"/>
      <c r="AU21" s="74"/>
      <c r="AV21" s="74"/>
      <c r="AW21" s="74"/>
      <c r="AX21" s="74"/>
      <c r="AY21" s="74"/>
      <c r="AZ21" s="74"/>
      <c r="BA21" s="74"/>
      <c r="BB21" s="74"/>
      <c r="BC21" s="74"/>
      <c r="BD21" s="74"/>
      <c r="BE21" s="74"/>
      <c r="BF21" s="74"/>
      <c r="BG21" s="74"/>
      <c r="BH21" s="74"/>
      <c r="BI21" s="74"/>
      <c r="BJ21" s="74"/>
      <c r="BK21" s="74"/>
      <c r="BL21" s="74"/>
      <c r="BM21" s="74"/>
      <c r="BN21" s="74"/>
      <c r="BO21" s="74"/>
      <c r="BP21" s="74"/>
      <c r="BQ21" s="74"/>
      <c r="BR21" s="74"/>
      <c r="BS21" s="74"/>
      <c r="BT21" s="74"/>
      <c r="BU21" s="74"/>
      <c r="BV21" s="74"/>
      <c r="BW21" s="74"/>
      <c r="BX21" s="74"/>
      <c r="BY21" s="74"/>
      <c r="BZ21" s="74"/>
      <c r="CA21" s="74"/>
      <c r="CB21" s="74"/>
      <c r="CC21" s="74"/>
      <c r="CD21" s="74"/>
      <c r="CE21" s="74"/>
      <c r="CF21" s="74"/>
      <c r="CG21" s="74"/>
      <c r="CH21" s="74"/>
      <c r="CI21" s="74"/>
      <c r="CJ21" s="74"/>
      <c r="CK21" s="74"/>
      <c r="CL21" s="74"/>
      <c r="CM21" s="74"/>
      <c r="CN21" s="74"/>
      <c r="CO21" s="74"/>
      <c r="CP21" s="74"/>
      <c r="CQ21" s="74"/>
      <c r="CR21" s="74"/>
    </row>
    <row r="23" spans="1:122" ht="13" thickBot="1"/>
    <row r="24" spans="1:122" s="73" customFormat="1" ht="13" thickBot="1">
      <c r="H24" s="257" t="s">
        <v>800</v>
      </c>
      <c r="I24" s="258">
        <f>+I18</f>
        <v>0</v>
      </c>
      <c r="J24" s="258">
        <f t="shared" ref="J24:BU24" si="12">+J18</f>
        <v>0</v>
      </c>
      <c r="K24" s="258">
        <f t="shared" si="12"/>
        <v>0</v>
      </c>
      <c r="L24" s="258">
        <f t="shared" si="12"/>
        <v>0</v>
      </c>
      <c r="M24" s="258">
        <f t="shared" si="12"/>
        <v>0</v>
      </c>
      <c r="N24" s="258">
        <f t="shared" si="12"/>
        <v>9.5123964192131275E-4</v>
      </c>
      <c r="O24" s="258">
        <f t="shared" si="12"/>
        <v>9.36178290686187E-4</v>
      </c>
      <c r="P24" s="258">
        <f t="shared" si="12"/>
        <v>8.0183283976680052E-4</v>
      </c>
      <c r="Q24" s="258">
        <f t="shared" si="12"/>
        <v>7.4036587169624632E-4</v>
      </c>
      <c r="R24" s="258">
        <f t="shared" si="12"/>
        <v>7.2443953368969249E-4</v>
      </c>
      <c r="S24" s="258">
        <f t="shared" si="12"/>
        <v>7.9604353239428151E-4</v>
      </c>
      <c r="T24" s="258">
        <f t="shared" si="12"/>
        <v>7.1556899590595306E-4</v>
      </c>
      <c r="U24" s="258">
        <f t="shared" si="12"/>
        <v>7.7369797828949873E-4</v>
      </c>
      <c r="V24" s="258">
        <f t="shared" si="12"/>
        <v>8.2217771977458748E-4</v>
      </c>
      <c r="W24" s="258">
        <f t="shared" si="12"/>
        <v>8.0961889134708318E-4</v>
      </c>
      <c r="X24" s="258">
        <f t="shared" si="12"/>
        <v>8.2746239913845281E-4</v>
      </c>
      <c r="Y24" s="258">
        <f t="shared" si="12"/>
        <v>8.2212422912491699E-4</v>
      </c>
      <c r="Z24" s="258">
        <f t="shared" si="12"/>
        <v>9.26490190990548E-4</v>
      </c>
      <c r="AA24" s="258">
        <f t="shared" si="12"/>
        <v>8.1934048045949304E-4</v>
      </c>
      <c r="AB24" s="258">
        <f t="shared" si="12"/>
        <v>8.4205173414786817E-4</v>
      </c>
      <c r="AC24" s="258">
        <f t="shared" si="12"/>
        <v>9.2248430631511411E-4</v>
      </c>
      <c r="AD24" s="258">
        <f t="shared" si="12"/>
        <v>1.0386650416992376E-3</v>
      </c>
      <c r="AE24" s="258">
        <f t="shared" si="12"/>
        <v>1.1060231711010587E-3</v>
      </c>
      <c r="AF24" s="258">
        <f t="shared" si="12"/>
        <v>1.2985983586373288E-3</v>
      </c>
      <c r="AG24" s="258">
        <f t="shared" si="12"/>
        <v>1.3283865970009682E-3</v>
      </c>
      <c r="AH24" s="258">
        <f t="shared" si="12"/>
        <v>1.2366092328170621E-3</v>
      </c>
      <c r="AI24" s="258">
        <f t="shared" si="12"/>
        <v>6.3066559635654604</v>
      </c>
      <c r="AJ24" s="258">
        <f t="shared" si="12"/>
        <v>6.0129852391291161</v>
      </c>
      <c r="AK24" s="258">
        <f t="shared" si="12"/>
        <v>5.9286594439700933</v>
      </c>
      <c r="AL24" s="258">
        <f t="shared" si="12"/>
        <v>6.1775570255210823</v>
      </c>
      <c r="AM24" s="258">
        <f t="shared" si="12"/>
        <v>6.1746908609938753</v>
      </c>
      <c r="AN24" s="258">
        <f t="shared" si="12"/>
        <v>6.0037187545121311</v>
      </c>
      <c r="AO24" s="258">
        <f t="shared" si="12"/>
        <v>4.5446095127104069</v>
      </c>
      <c r="AP24" s="258">
        <f t="shared" si="12"/>
        <v>4.1786908345479787</v>
      </c>
      <c r="AQ24" s="258">
        <f t="shared" si="12"/>
        <v>5.0212982209436356</v>
      </c>
      <c r="AR24" s="258">
        <f t="shared" si="12"/>
        <v>4.8495133252506442</v>
      </c>
      <c r="AS24" s="258">
        <f t="shared" si="12"/>
        <v>4.7220024500557338</v>
      </c>
      <c r="AT24" s="258">
        <f t="shared" si="12"/>
        <v>4.1361103476787058</v>
      </c>
      <c r="AU24" s="258">
        <f t="shared" si="12"/>
        <v>2.9111398829027286</v>
      </c>
      <c r="AV24" s="258">
        <f t="shared" si="12"/>
        <v>2.6716459054691959</v>
      </c>
      <c r="AW24" s="258">
        <f t="shared" si="12"/>
        <v>2.5853892423652223</v>
      </c>
      <c r="AX24" s="258">
        <f t="shared" si="12"/>
        <v>1.8316508647117853</v>
      </c>
      <c r="AY24" s="258">
        <f t="shared" si="12"/>
        <v>1.8045262782819382</v>
      </c>
      <c r="AZ24" s="258">
        <f t="shared" si="12"/>
        <v>1.8516909858593167</v>
      </c>
      <c r="BA24" s="258">
        <f t="shared" si="12"/>
        <v>1.9526111602779492</v>
      </c>
      <c r="BB24" s="258">
        <f t="shared" si="12"/>
        <v>2.0450530359117054</v>
      </c>
      <c r="BC24" s="258">
        <f t="shared" si="12"/>
        <v>2.4337548834122149</v>
      </c>
      <c r="BD24" s="258">
        <f t="shared" si="12"/>
        <v>2.4432819750627628</v>
      </c>
      <c r="BE24" s="258">
        <f t="shared" si="12"/>
        <v>2.4367175697805492</v>
      </c>
      <c r="BF24" s="258">
        <f t="shared" si="12"/>
        <v>2.4464174125451201</v>
      </c>
      <c r="BG24" s="258">
        <f t="shared" si="12"/>
        <v>2.4204483609371268</v>
      </c>
      <c r="BH24" s="258">
        <f t="shared" si="12"/>
        <v>2.3997907477827014</v>
      </c>
      <c r="BI24" s="258">
        <f t="shared" si="12"/>
        <v>2.3997767022074914</v>
      </c>
      <c r="BJ24" s="258">
        <f t="shared" si="12"/>
        <v>2.397839391145745</v>
      </c>
      <c r="BK24" s="258">
        <f t="shared" si="12"/>
        <v>2.3881752636416911</v>
      </c>
      <c r="BL24" s="258">
        <f t="shared" si="12"/>
        <v>2.4107772260287263</v>
      </c>
      <c r="BM24" s="258">
        <f t="shared" si="12"/>
        <v>2.4043283565573428</v>
      </c>
      <c r="BN24" s="258">
        <f t="shared" si="12"/>
        <v>2.4011171367181086</v>
      </c>
      <c r="BO24" s="258">
        <f t="shared" si="12"/>
        <v>2.4269115556499234</v>
      </c>
      <c r="BP24" s="258">
        <f t="shared" si="12"/>
        <v>2.4862169426552367</v>
      </c>
      <c r="BQ24" s="258">
        <f t="shared" si="12"/>
        <v>2.5056967921741693</v>
      </c>
      <c r="BR24" s="258">
        <f t="shared" si="12"/>
        <v>2.5610085902448296</v>
      </c>
      <c r="BS24" s="258">
        <f t="shared" si="12"/>
        <v>2.5568706031626598</v>
      </c>
      <c r="BT24" s="258">
        <f t="shared" si="12"/>
        <v>2.5777448506645633</v>
      </c>
      <c r="BU24" s="258">
        <f t="shared" si="12"/>
        <v>2.5269011119342859</v>
      </c>
      <c r="BV24" s="258">
        <f t="shared" ref="BV24:CR24" si="13">+BV18</f>
        <v>2.5079306085945943</v>
      </c>
      <c r="BW24" s="258">
        <f t="shared" si="13"/>
        <v>2.4848976422946398</v>
      </c>
      <c r="BX24" s="258">
        <f t="shared" si="13"/>
        <v>2.3753440660564724</v>
      </c>
      <c r="BY24" s="258">
        <f t="shared" si="13"/>
        <v>2.3191684835523252</v>
      </c>
      <c r="BZ24" s="258">
        <f t="shared" si="13"/>
        <v>2.2941191120672029</v>
      </c>
      <c r="CA24" s="258">
        <f t="shared" si="13"/>
        <v>2.2941958104937736</v>
      </c>
      <c r="CB24" s="258">
        <f t="shared" si="13"/>
        <v>2.2692977087865058</v>
      </c>
      <c r="CC24" s="258">
        <f t="shared" si="13"/>
        <v>2.2625311815077609</v>
      </c>
      <c r="CD24" s="258">
        <f t="shared" si="13"/>
        <v>2.2367610769596289</v>
      </c>
      <c r="CE24" s="258">
        <f t="shared" si="13"/>
        <v>2.2072881368337653</v>
      </c>
      <c r="CF24" s="258">
        <f t="shared" si="13"/>
        <v>2.1837339329951866</v>
      </c>
      <c r="CG24" s="258">
        <f t="shared" si="13"/>
        <v>2.1104692315923086</v>
      </c>
      <c r="CH24" s="258">
        <f t="shared" si="13"/>
        <v>1.8396486538621675</v>
      </c>
      <c r="CI24" s="258">
        <f t="shared" si="13"/>
        <v>1.9242187238800859</v>
      </c>
      <c r="CJ24" s="258">
        <f t="shared" si="13"/>
        <v>1.8239702451835857</v>
      </c>
      <c r="CK24" s="258">
        <f t="shared" si="13"/>
        <v>1.8435039064415217</v>
      </c>
      <c r="CL24" s="258">
        <f t="shared" si="13"/>
        <v>1.9704727046181016</v>
      </c>
      <c r="CM24" s="258">
        <f t="shared" si="13"/>
        <v>1.9778776577530552</v>
      </c>
      <c r="CN24" s="258">
        <f t="shared" si="13"/>
        <v>2.0899242642999369</v>
      </c>
      <c r="CO24" s="258">
        <f t="shared" si="13"/>
        <v>2.1388259612250584</v>
      </c>
      <c r="CP24" s="258">
        <f t="shared" si="13"/>
        <v>2.1583866399951073</v>
      </c>
      <c r="CQ24" s="258">
        <f t="shared" si="13"/>
        <v>2.1583866399951073</v>
      </c>
      <c r="CR24" s="258">
        <f t="shared" si="13"/>
        <v>2.2726098679802575</v>
      </c>
    </row>
  </sheetData>
  <pageMargins left="0.7" right="0.7" top="0.75" bottom="0.75" header="0.3" footer="0.3"/>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DY20"/>
  <sheetViews>
    <sheetView workbookViewId="0">
      <pane xSplit="11" ySplit="7" topLeftCell="DB8" activePane="bottomRight" state="frozen"/>
      <selection pane="topRight" activeCell="L1" sqref="L1"/>
      <selection pane="bottomLeft" activeCell="A7" sqref="A7"/>
      <selection pane="bottomRight" activeCell="CR11" sqref="CR11:DK11"/>
    </sheetView>
  </sheetViews>
  <sheetFormatPr baseColWidth="10" defaultColWidth="22.6640625" defaultRowHeight="12"/>
  <cols>
    <col min="1" max="1" width="13.5" style="60" bestFit="1" customWidth="1"/>
    <col min="2" max="2" width="11.33203125" style="60" bestFit="1" customWidth="1"/>
    <col min="3" max="3" width="4.83203125" style="60" bestFit="1" customWidth="1"/>
    <col min="4" max="4" width="12.33203125" style="60" bestFit="1" customWidth="1"/>
    <col min="5" max="5" width="11.83203125" style="60" bestFit="1" customWidth="1"/>
    <col min="6" max="6" width="6" style="60" bestFit="1" customWidth="1"/>
    <col min="7" max="7" width="4.1640625" style="60" bestFit="1" customWidth="1"/>
    <col min="8" max="8" width="22.83203125" style="60" bestFit="1" customWidth="1"/>
    <col min="9" max="10" width="5.5" style="60" bestFit="1" customWidth="1"/>
    <col min="11" max="11" width="5.6640625" style="60" bestFit="1" customWidth="1"/>
    <col min="12" max="12" width="5.5" style="60" bestFit="1" customWidth="1"/>
    <col min="13" max="13" width="5.83203125" style="60" bestFit="1" customWidth="1"/>
    <col min="14" max="18" width="5.5" style="60" bestFit="1" customWidth="1"/>
    <col min="19" max="19" width="5.6640625" style="60" bestFit="1" customWidth="1"/>
    <col min="20" max="22" width="5.5" style="60" bestFit="1" customWidth="1"/>
    <col min="23" max="25" width="6.1640625" style="60" bestFit="1" customWidth="1"/>
    <col min="26" max="29" width="5.5" style="60" bestFit="1" customWidth="1"/>
    <col min="30" max="30" width="6.1640625" style="60" bestFit="1" customWidth="1"/>
    <col min="31" max="31" width="5.6640625" style="60" bestFit="1" customWidth="1"/>
    <col min="32" max="33" width="5.5" style="60" bestFit="1" customWidth="1"/>
    <col min="34" max="38" width="6.1640625" style="60" bestFit="1" customWidth="1"/>
    <col min="39" max="42" width="5.5" style="60" bestFit="1" customWidth="1"/>
    <col min="43" max="43" width="5.6640625" style="60" bestFit="1" customWidth="1"/>
    <col min="44" max="46" width="5.5" style="60" bestFit="1" customWidth="1"/>
    <col min="47" max="47" width="5.6640625" style="60" bestFit="1" customWidth="1"/>
    <col min="48" max="48" width="5.5" style="60" bestFit="1" customWidth="1"/>
    <col min="49" max="49" width="5.83203125" style="60" bestFit="1" customWidth="1"/>
    <col min="50" max="51" width="5.5" style="60" bestFit="1" customWidth="1"/>
    <col min="52" max="54" width="7" style="60" bestFit="1" customWidth="1"/>
    <col min="55" max="56" width="5.5" style="60" bestFit="1" customWidth="1"/>
    <col min="57" max="58" width="5.83203125" style="60" bestFit="1" customWidth="1"/>
    <col min="59" max="60" width="5.6640625" style="60" bestFit="1" customWidth="1"/>
    <col min="61" max="61" width="6.1640625" style="60" bestFit="1" customWidth="1"/>
    <col min="62" max="70" width="5.6640625" style="60" bestFit="1" customWidth="1"/>
    <col min="71" max="79" width="5.5" style="60" bestFit="1" customWidth="1"/>
    <col min="80" max="90" width="6.1640625" style="60" bestFit="1" customWidth="1"/>
    <col min="91" max="95" width="6.33203125" style="60" bestFit="1" customWidth="1"/>
    <col min="96" max="100" width="6.1640625" style="60" bestFit="1" customWidth="1"/>
    <col min="101" max="103" width="5.5" style="60" bestFit="1" customWidth="1"/>
    <col min="104" max="105" width="6.1640625" style="60" bestFit="1" customWidth="1"/>
    <col min="106" max="107" width="5.83203125" style="60" bestFit="1" customWidth="1"/>
    <col min="108" max="115" width="5.6640625" style="60" bestFit="1" customWidth="1"/>
    <col min="116" max="129" width="3.33203125" style="60" bestFit="1" customWidth="1"/>
    <col min="130" max="16384" width="22.6640625" style="60"/>
  </cols>
  <sheetData>
    <row r="1" spans="1:129" ht="13">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row>
    <row r="2" spans="1:129">
      <c r="A2" s="59"/>
      <c r="B2" s="59"/>
      <c r="C2" s="59"/>
      <c r="D2" s="98"/>
      <c r="E2" s="98"/>
      <c r="F2" s="59"/>
      <c r="H2" s="99"/>
      <c r="I2" s="99"/>
      <c r="J2" s="99"/>
      <c r="K2" s="99"/>
      <c r="L2" s="99"/>
      <c r="M2" s="99"/>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99"/>
      <c r="AP2" s="99"/>
      <c r="AQ2" s="99"/>
      <c r="AR2" s="99"/>
      <c r="AS2" s="99"/>
      <c r="AT2" s="99"/>
      <c r="AU2" s="99"/>
      <c r="AV2" s="99"/>
      <c r="AW2" s="99"/>
      <c r="AX2" s="99"/>
      <c r="AY2" s="99"/>
      <c r="AZ2" s="99"/>
      <c r="BA2" s="99"/>
      <c r="BB2" s="99"/>
      <c r="BC2" s="99"/>
      <c r="BD2" s="99"/>
      <c r="BE2" s="99"/>
      <c r="BF2" s="99"/>
      <c r="BG2" s="99"/>
      <c r="BH2" s="99"/>
      <c r="BI2" s="99"/>
      <c r="BJ2" s="99"/>
      <c r="BK2" s="99"/>
      <c r="BL2" s="99"/>
      <c r="BM2" s="99"/>
      <c r="BN2" s="99"/>
      <c r="BO2" s="99"/>
      <c r="BP2" s="99"/>
      <c r="BQ2" s="99"/>
      <c r="BR2" s="99"/>
      <c r="BS2" s="99"/>
      <c r="BT2" s="99"/>
      <c r="BU2" s="99"/>
      <c r="BV2" s="99"/>
      <c r="BW2" s="99"/>
      <c r="BX2" s="99"/>
      <c r="BY2" s="99"/>
      <c r="BZ2" s="99"/>
      <c r="CA2" s="99"/>
      <c r="CB2" s="99"/>
      <c r="CC2" s="99"/>
      <c r="CD2" s="99"/>
      <c r="CE2" s="99"/>
      <c r="CF2" s="99"/>
      <c r="CG2" s="99"/>
      <c r="CH2" s="99"/>
      <c r="CI2" s="99"/>
      <c r="CJ2" s="99"/>
      <c r="CK2" s="99"/>
      <c r="CL2" s="99"/>
      <c r="CM2" s="99"/>
      <c r="CN2" s="99"/>
    </row>
    <row r="3" spans="1:129" ht="15">
      <c r="A3" s="1" t="s">
        <v>301</v>
      </c>
      <c r="B3" s="100"/>
      <c r="C3" s="101"/>
      <c r="D3" s="282">
        <v>94.11</v>
      </c>
      <c r="K3" s="102"/>
      <c r="M3" s="102"/>
    </row>
    <row r="4" spans="1:129">
      <c r="A4" s="36"/>
      <c r="B4" s="64"/>
      <c r="D4" s="100"/>
      <c r="E4" s="64"/>
      <c r="F4" s="103"/>
    </row>
    <row r="5" spans="1:129">
      <c r="A5" s="64"/>
      <c r="B5" s="64"/>
      <c r="D5" s="64"/>
      <c r="E5" s="64"/>
      <c r="H5" s="60" t="s">
        <v>387</v>
      </c>
    </row>
    <row r="6" spans="1:129">
      <c r="A6" s="74"/>
      <c r="B6" s="74"/>
    </row>
    <row r="7" spans="1:129">
      <c r="A7" s="59"/>
      <c r="B7" s="59"/>
      <c r="C7" s="59"/>
      <c r="D7" s="98"/>
      <c r="E7" s="98"/>
      <c r="F7" s="59"/>
      <c r="H7" s="59" t="s">
        <v>416</v>
      </c>
      <c r="I7" s="59">
        <v>43831</v>
      </c>
      <c r="J7" s="59">
        <v>43862</v>
      </c>
      <c r="K7" s="59">
        <v>43891</v>
      </c>
      <c r="L7" s="59">
        <v>43922</v>
      </c>
      <c r="M7" s="59">
        <v>43952</v>
      </c>
      <c r="N7" s="59">
        <v>43983</v>
      </c>
      <c r="O7" s="59">
        <v>44013</v>
      </c>
      <c r="P7" s="59">
        <v>44044</v>
      </c>
      <c r="Q7" s="59">
        <v>44075</v>
      </c>
      <c r="R7" s="59">
        <v>44105</v>
      </c>
      <c r="S7" s="59">
        <v>44136</v>
      </c>
      <c r="T7" s="59">
        <v>44166</v>
      </c>
      <c r="U7" s="59">
        <v>44197</v>
      </c>
      <c r="V7" s="59">
        <v>44228</v>
      </c>
      <c r="W7" s="59">
        <v>44256</v>
      </c>
      <c r="X7" s="59">
        <v>44287</v>
      </c>
      <c r="Y7" s="59">
        <v>44317</v>
      </c>
      <c r="Z7" s="59">
        <v>44348</v>
      </c>
      <c r="AA7" s="59">
        <v>44378</v>
      </c>
      <c r="AB7" s="59">
        <v>44409</v>
      </c>
      <c r="AC7" s="59">
        <v>44440</v>
      </c>
      <c r="AD7" s="59">
        <v>44470</v>
      </c>
      <c r="AE7" s="59">
        <v>44501</v>
      </c>
      <c r="AF7" s="59">
        <v>44531</v>
      </c>
      <c r="AG7" s="59">
        <v>44562</v>
      </c>
      <c r="AH7" s="59">
        <v>44593</v>
      </c>
      <c r="AI7" s="59">
        <v>44621</v>
      </c>
      <c r="AJ7" s="59">
        <v>44652</v>
      </c>
      <c r="AK7" s="59">
        <v>44682</v>
      </c>
      <c r="AL7" s="59">
        <v>44713</v>
      </c>
      <c r="AM7" s="59">
        <v>44743</v>
      </c>
      <c r="AN7" s="59">
        <v>44774</v>
      </c>
      <c r="AO7" s="59">
        <v>44805</v>
      </c>
      <c r="AP7" s="59">
        <v>44835</v>
      </c>
      <c r="AQ7" s="59">
        <v>44866</v>
      </c>
      <c r="AR7" s="59">
        <v>44896</v>
      </c>
      <c r="AS7" s="59">
        <v>44927</v>
      </c>
      <c r="AT7" s="59">
        <v>44958</v>
      </c>
      <c r="AU7" s="59">
        <v>44986</v>
      </c>
      <c r="AV7" s="59">
        <v>45017</v>
      </c>
      <c r="AW7" s="59">
        <v>45047</v>
      </c>
      <c r="AX7" s="59">
        <v>45078</v>
      </c>
      <c r="AY7" s="59">
        <v>45108</v>
      </c>
      <c r="AZ7" s="59" t="s">
        <v>530</v>
      </c>
      <c r="BA7" s="59" t="s">
        <v>531</v>
      </c>
      <c r="BB7" s="59" t="s">
        <v>532</v>
      </c>
      <c r="BC7" s="59">
        <v>37104</v>
      </c>
      <c r="BD7" s="59">
        <v>37469</v>
      </c>
      <c r="BE7" s="59" t="s">
        <v>168</v>
      </c>
      <c r="BF7" s="59" t="s">
        <v>169</v>
      </c>
      <c r="BG7" s="59" t="s">
        <v>195</v>
      </c>
      <c r="BH7" s="59" t="s">
        <v>196</v>
      </c>
      <c r="BI7" s="59" t="s">
        <v>197</v>
      </c>
      <c r="BJ7" s="59" t="s">
        <v>198</v>
      </c>
      <c r="BK7" s="59" t="s">
        <v>199</v>
      </c>
      <c r="BL7" s="59" t="s">
        <v>200</v>
      </c>
      <c r="BM7" s="59" t="s">
        <v>201</v>
      </c>
      <c r="BN7" s="59" t="s">
        <v>202</v>
      </c>
      <c r="BO7" s="59">
        <v>37196</v>
      </c>
      <c r="BP7" s="59">
        <v>37561</v>
      </c>
      <c r="BQ7" s="59">
        <v>37926</v>
      </c>
      <c r="BR7" s="59">
        <v>38292</v>
      </c>
      <c r="BS7" s="59">
        <v>37226</v>
      </c>
      <c r="BT7" s="59">
        <v>37591</v>
      </c>
      <c r="BU7" s="59">
        <v>37956</v>
      </c>
      <c r="BV7" s="59">
        <v>38322</v>
      </c>
      <c r="BW7" s="59">
        <v>36892</v>
      </c>
      <c r="BX7" s="59">
        <v>37257</v>
      </c>
      <c r="BY7" s="59">
        <v>37622</v>
      </c>
      <c r="BZ7" s="59">
        <v>37987</v>
      </c>
      <c r="CA7" s="59">
        <v>36923</v>
      </c>
      <c r="CB7" s="59">
        <v>37288</v>
      </c>
      <c r="CC7" s="59">
        <v>37653</v>
      </c>
      <c r="CD7" s="59">
        <v>38018</v>
      </c>
      <c r="CE7" s="59" t="str">
        <f>Sheet8!A15</f>
        <v>Mar-w1</v>
      </c>
      <c r="CF7" s="59">
        <v>37316</v>
      </c>
      <c r="CG7" s="59">
        <v>37681</v>
      </c>
      <c r="CH7" s="59">
        <v>38047</v>
      </c>
      <c r="CI7" s="59" t="str">
        <f>Sheet8!E15</f>
        <v>Apr-w1</v>
      </c>
      <c r="CJ7" s="59" t="str">
        <f>Sheet8!F15</f>
        <v>Apr-w2</v>
      </c>
      <c r="CK7" s="59" t="str">
        <f>Sheet8!G15</f>
        <v>Apr-w3</v>
      </c>
      <c r="CL7" s="59" t="str">
        <f>Sheet8!H15</f>
        <v>Apr-w4</v>
      </c>
      <c r="CM7" s="59" t="str">
        <f>Sheet8!I15</f>
        <v>May-w1</v>
      </c>
      <c r="CN7" s="59" t="str">
        <f>Sheet8!J15</f>
        <v>May-w2</v>
      </c>
      <c r="CO7" s="59" t="str">
        <f>Sheet8!K15</f>
        <v>May-w3</v>
      </c>
      <c r="CP7" s="59" t="str">
        <f>Sheet8!L15</f>
        <v>May-w4</v>
      </c>
      <c r="CQ7" s="59" t="str">
        <f>Sheet8!M15</f>
        <v>May-w5</v>
      </c>
      <c r="CR7" s="59" t="str">
        <f>Sheet8!N15</f>
        <v>june-w1</v>
      </c>
      <c r="CS7" s="59" t="str">
        <f>Sheet8!O15</f>
        <v>june-w2</v>
      </c>
      <c r="CT7" s="59" t="str">
        <f>Sheet8!P15</f>
        <v>june-w3</v>
      </c>
      <c r="CU7" s="59" t="str">
        <f>Sheet8!Q15</f>
        <v>june-w4</v>
      </c>
      <c r="CV7" s="59" t="str">
        <f>Sheet8!R15</f>
        <v>Jul-w1</v>
      </c>
      <c r="CW7" s="59" t="str">
        <f>Sheet8!S15</f>
        <v>Jul-w2</v>
      </c>
      <c r="CX7" s="59" t="str">
        <f>Sheet8!T15</f>
        <v>Jul-w3</v>
      </c>
      <c r="CY7" s="59" t="str">
        <f>Sheet8!U15</f>
        <v>Jul-w4</v>
      </c>
      <c r="CZ7" s="59" t="str">
        <f>Sheet8!V15</f>
        <v>Aug-w1</v>
      </c>
      <c r="DA7" s="59" t="str">
        <f>Sheet8!W15</f>
        <v>Aug-w2</v>
      </c>
      <c r="DB7" s="59" t="str">
        <f>Sheet8!X15</f>
        <v>Aug-w3</v>
      </c>
      <c r="DC7" s="59" t="str">
        <f>Sheet8!Y15</f>
        <v>Aug-w4</v>
      </c>
      <c r="DD7" s="59" t="str">
        <f>Sheet8!Z15</f>
        <v>Sep-w1</v>
      </c>
      <c r="DE7" s="59" t="str">
        <f>Sheet8!AA15</f>
        <v>Sep-w2</v>
      </c>
      <c r="DF7" s="59" t="str">
        <f>Sheet8!AB15</f>
        <v>Sep-w3</v>
      </c>
      <c r="DG7" s="59" t="str">
        <f>Sheet8!AC15</f>
        <v>Sep-w4</v>
      </c>
      <c r="DH7" s="59" t="str">
        <f>Sheet8!AD15</f>
        <v>Oct-w1</v>
      </c>
      <c r="DI7" s="59" t="str">
        <f>Sheet8!AE15</f>
        <v>Oct-w2</v>
      </c>
      <c r="DJ7" s="59" t="str">
        <f>Sheet8!AF15</f>
        <v>Oct-w3</v>
      </c>
      <c r="DK7" s="59" t="str">
        <f>Sheet8!AG15</f>
        <v>Oct-w4</v>
      </c>
    </row>
    <row r="8" spans="1:129">
      <c r="H8" s="334" t="s">
        <v>51</v>
      </c>
      <c r="I8" s="74">
        <f>VLOOKUP($H$8&amp;$F$1,'Input RM sheet'!$A:$BD,H1,0)</f>
        <v>551.47500000000002</v>
      </c>
      <c r="J8" s="74">
        <f>VLOOKUP($H$8&amp;$F$1,'Input RM sheet'!$A:$BD,I1,0)</f>
        <v>477.74342105263156</v>
      </c>
      <c r="K8" s="74">
        <f>VLOOKUP($H$8&amp;$F$1,'Input RM sheet'!$A:$DD,J1,0)</f>
        <v>290.25568181818181</v>
      </c>
      <c r="L8" s="74">
        <f>VLOOKUP($H$8&amp;$F$1,'Input RM sheet'!$A:$DD,K1,0)</f>
        <v>194.2202380952381</v>
      </c>
      <c r="M8" s="74">
        <f>VLOOKUP($H$8&amp;$F$1,'Input RM sheet'!$A:$DD,L1,0)</f>
        <v>267.16666666666669</v>
      </c>
      <c r="N8" s="74">
        <f>VLOOKUP($H$8&amp;$F$1,'Input RM sheet'!$A:$DD,M1,0)</f>
        <v>363</v>
      </c>
      <c r="O8" s="74">
        <f>VLOOKUP($H$8&amp;$F$1,'Input RM sheet'!$A:$DD,N1,0)</f>
        <v>391</v>
      </c>
      <c r="P8" s="74">
        <f>VLOOKUP($H$8&amp;$F$1,'Input RM sheet'!$A:$DD,O1,0)</f>
        <v>400</v>
      </c>
      <c r="Q8" s="74">
        <f>VLOOKUP($H$8&amp;$F$1,'Input RM sheet'!$A:$DD,P1,0)</f>
        <v>401</v>
      </c>
      <c r="R8" s="74">
        <f>VLOOKUP($H$8&amp;$F$1,'Input RM sheet'!$A:$DD,Q1,0)</f>
        <v>388</v>
      </c>
      <c r="S8" s="74">
        <f>VLOOKUP($H$8&amp;$F$1,'Input RM sheet'!$A:$DD,R1,0)</f>
        <v>382</v>
      </c>
      <c r="T8" s="74">
        <f>VLOOKUP($H$8&amp;$F$1,'Input RM sheet'!$A:$DD,S1,0)</f>
        <v>448.5</v>
      </c>
      <c r="U8" s="74">
        <f>VLOOKUP($H$8&amp;$F$1,'Input RM sheet'!$A:$DD,T1,0)</f>
        <v>515</v>
      </c>
      <c r="V8" s="74">
        <f>VLOOKUP($H$8&amp;$F$1,'Input RM sheet'!$A:$DD,U1,0)</f>
        <v>547</v>
      </c>
      <c r="W8" s="74">
        <f>VLOOKUP($H$8&amp;$F$1,'Input RM sheet'!$A:$DD,V1,0)</f>
        <v>560</v>
      </c>
      <c r="X8" s="74">
        <f>VLOOKUP($H$8&amp;$F$1,'Input RM sheet'!$A:$DD,W1,0)</f>
        <v>574</v>
      </c>
      <c r="Y8" s="74">
        <f>VLOOKUP($H$8&amp;$F$1,'Input RM sheet'!$A:$DD,X1,0)</f>
        <v>596</v>
      </c>
      <c r="Z8" s="74">
        <f>VLOOKUP($H$8&amp;$F$1,'Input RM sheet'!$A:$DD,Y1,0)</f>
        <v>644</v>
      </c>
      <c r="AA8" s="74">
        <f>VLOOKUP($H$8&amp;$F$1,'Input RM sheet'!$A:$DD,Z1,0)</f>
        <v>684.875</v>
      </c>
      <c r="AB8" s="74">
        <f>VLOOKUP($H$8&amp;$F$1,'Input RM sheet'!$A:$DD,AA1,0)</f>
        <v>674.5</v>
      </c>
      <c r="AC8" s="74">
        <f>VLOOKUP($H$8&amp;$F$1,'Input RM sheet'!$A:$DD,AB1,0)</f>
        <v>662.5</v>
      </c>
      <c r="AD8" s="74">
        <f>VLOOKUP($H$8&amp;$F$1,'Input RM sheet'!$A:$DD,AC1,0)</f>
        <v>767.55</v>
      </c>
      <c r="AE8" s="74">
        <f>VLOOKUP($H$8&amp;$F$1,'Input RM sheet'!$A:$DD,AD1,0)</f>
        <v>755.84</v>
      </c>
      <c r="AF8" s="74">
        <f>VLOOKUP($H$8&amp;$F$1,'Input RM sheet'!$A:$DD,AE1,0)</f>
        <v>693.2</v>
      </c>
      <c r="AG8" s="74">
        <f>VLOOKUP($H$8&amp;$F$1,'Input RM sheet'!$A:$DD,AF1,0)</f>
        <v>775.4</v>
      </c>
      <c r="AH8" s="74">
        <f>VLOOKUP($H$8&amp;$F$1,'Input RM sheet'!$A:$DD,AG1,0)</f>
        <v>860</v>
      </c>
      <c r="AI8" s="74">
        <f>VLOOKUP($H$8&amp;$F$1,'Input RM sheet'!$A:$DD,AH1,0)</f>
        <v>1011</v>
      </c>
      <c r="AJ8" s="74">
        <f>VLOOKUP($H$8&amp;$F$1,'Input RM sheet'!$A:$DD,AI1,0)</f>
        <v>903</v>
      </c>
      <c r="AK8" s="74">
        <f>VLOOKUP($H$8&amp;$F$1,'Input RM sheet'!$A:$DD,AJ1,0)</f>
        <v>904</v>
      </c>
      <c r="AL8" s="74">
        <f>VLOOKUP($H$8&amp;$F$1,'Input RM sheet'!$A:$DD,AK1,0)</f>
        <v>828</v>
      </c>
      <c r="AM8" s="74">
        <f>VLOOKUP($H$8&amp;$F$1,'Input RM sheet'!$A:$DD,AL1,0)</f>
        <v>791</v>
      </c>
      <c r="AN8" s="74">
        <f>VLOOKUP($H$8&amp;$F$1,'Input RM sheet'!$A:$DD,AM1,0)</f>
        <v>701</v>
      </c>
      <c r="AO8" s="74">
        <f>VLOOKUP($H$8&amp;$F$1,'Input RM sheet'!$A:$DD,AN1,0)</f>
        <v>661</v>
      </c>
      <c r="AP8" s="74">
        <f>VLOOKUP($H$8&amp;$F$1,'Input RM sheet'!$A:$ZZ,AO1,0)</f>
        <v>683</v>
      </c>
      <c r="AQ8" s="74">
        <f>VLOOKUP($H$8&amp;$F$1,'Input RM sheet'!$A:$ZZ,AP1,0)</f>
        <v>693</v>
      </c>
      <c r="AR8" s="74">
        <f>VLOOKUP($H$8&amp;$F$1,'Input RM sheet'!$A:$ZZ,AQ1,0)</f>
        <v>625.5</v>
      </c>
      <c r="AS8" s="74">
        <f>VLOOKUP($H$8&amp;$F$1,'Input RM sheet'!$A:$ZZ,AR1,0)</f>
        <v>710</v>
      </c>
      <c r="AT8" s="74">
        <f>VLOOKUP($H$8&amp;$F$1,'Input RM sheet'!$A:$ZZ,AS1,0)</f>
        <v>720</v>
      </c>
      <c r="AU8" s="74">
        <f>VLOOKUP($H$8&amp;$F$1,'Input RM sheet'!$A:$ZZ,AT1,0)</f>
        <v>840</v>
      </c>
      <c r="AV8" s="74">
        <f>VLOOKUP($H$8&amp;$F$1,'Input RM sheet'!$A:$ZZ,AU1,0)</f>
        <v>975</v>
      </c>
      <c r="AW8" s="74">
        <f>VLOOKUP($H$8&amp;$F$1,'Input RM sheet'!$A:$ZZ,AV1,0)</f>
        <v>835</v>
      </c>
      <c r="AX8" s="74">
        <f>VLOOKUP($H$8&amp;$F$1,'Input RM sheet'!$A:$ZZ,AW1,0)</f>
        <v>670</v>
      </c>
      <c r="AY8" s="74">
        <f>VLOOKUP($H$8&amp;$F$1,'Input RM sheet'!$A:$ZZ,AX1,0)</f>
        <v>712.5</v>
      </c>
      <c r="AZ8" s="74">
        <f>VLOOKUP($H$8&amp;$F$1,'Input RM sheet'!$A:$ZZ,AY1,0)</f>
        <v>780</v>
      </c>
      <c r="BA8" s="74">
        <f>VLOOKUP($H$8&amp;$F$1,'Input RM sheet'!$A:$ZZ,AZ1,0)</f>
        <v>804</v>
      </c>
      <c r="BB8" s="74">
        <f>VLOOKUP($H$8&amp;$F$1,'Input RM sheet'!$A:$ZZ,BA1,0)</f>
        <v>842</v>
      </c>
      <c r="BC8" s="74">
        <f>VLOOKUP($H$8&amp;$F$1,'Input RM sheet'!$A:$ZZ,BB1,0)</f>
        <v>873</v>
      </c>
      <c r="BD8" s="74">
        <f>VLOOKUP($H$8&amp;$F$1,'Input RM sheet'!$A:$ZZ,BC1,0)</f>
        <v>863</v>
      </c>
      <c r="BE8" s="74">
        <f>VLOOKUP($H$8&amp;$F$1,'Input RM sheet'!$A:$ZZ,BD1,0)</f>
        <v>876</v>
      </c>
      <c r="BF8" s="74">
        <f>VLOOKUP($H$8&amp;$F$1,'Input RM sheet'!$A:$ZZ,BE1,0)</f>
        <v>876</v>
      </c>
      <c r="BG8" s="74">
        <f>VLOOKUP($H$8&amp;$F$1,'Input RM sheet'!$A:$ZZ,BF1,0)</f>
        <v>865</v>
      </c>
      <c r="BH8" s="74">
        <f>VLOOKUP($H$8&amp;$F$1,'Input RM sheet'!$A:$ZZ,BG1,0)</f>
        <v>930</v>
      </c>
      <c r="BI8" s="74">
        <f>VLOOKUP($H$8&amp;$F$1,'Input RM sheet'!$A:$ZZ,BH1,0)</f>
        <v>1010</v>
      </c>
      <c r="BJ8" s="74">
        <f>VLOOKUP($H$8&amp;$F$1,'Input RM sheet'!$A:$ZZ,BI1,0)</f>
        <v>950</v>
      </c>
      <c r="BK8" s="74">
        <f>VLOOKUP($H$8&amp;$F$1,'Input RM sheet'!$A:$ZZ,BJ1,0)</f>
        <v>888</v>
      </c>
      <c r="BL8" s="74">
        <f>VLOOKUP($H$8&amp;$F$1,'Input RM sheet'!$A:$ZZ,BK1,0)</f>
        <v>901</v>
      </c>
      <c r="BM8" s="74">
        <f>VLOOKUP($H$8&amp;$F$1,'Input RM sheet'!$A:$ZZ,BL1,0)</f>
        <v>882</v>
      </c>
      <c r="BN8" s="74">
        <f>VLOOKUP($H$8&amp;$F$1,'Input RM sheet'!$A:$ZZ,BM1,0)</f>
        <v>882</v>
      </c>
      <c r="BO8" s="74">
        <f>VLOOKUP($H$8&amp;$F$1,'Input RM sheet'!$A:$ZZ,BN1,0)</f>
        <v>882</v>
      </c>
      <c r="BP8" s="74">
        <f>VLOOKUP($H$8&amp;$F$1,'Input RM sheet'!$A:$ZZ,BO1,0)</f>
        <v>843</v>
      </c>
      <c r="BQ8" s="74">
        <f>VLOOKUP($H$8&amp;$F$1,'Input RM sheet'!$A:$ZZ,BP1,0)</f>
        <v>867</v>
      </c>
      <c r="BR8" s="74">
        <f>VLOOKUP($H$8&amp;$F$1,'Input RM sheet'!$A:$ZZ,BQ1,0)</f>
        <v>846</v>
      </c>
      <c r="BS8" s="74">
        <f>VLOOKUP($H$8&amp;$F$1,'Input RM sheet'!$A:$ZZ,BR1,0)</f>
        <v>826</v>
      </c>
      <c r="BT8" s="74">
        <f>VLOOKUP($H$8&amp;$F$1,'Input RM sheet'!$A:$ZZ,BS1,0)</f>
        <v>815</v>
      </c>
      <c r="BU8" s="74">
        <f>VLOOKUP($H$8&amp;$F$1,'Input RM sheet'!$A:$ZZ,BT1,0)</f>
        <v>863</v>
      </c>
      <c r="BV8" s="74">
        <f>VLOOKUP($H$8&amp;$F$1,'Input RM sheet'!$A:$ZZ,BU1,0)</f>
        <v>855</v>
      </c>
      <c r="BW8" s="74">
        <f>VLOOKUP($H$8&amp;$F$1,'Input RM sheet'!$A:$ZZ,BV1,0)</f>
        <v>872</v>
      </c>
      <c r="BX8" s="74">
        <f>VLOOKUP($H$8&amp;$F$1,'Input RM sheet'!$A:$ZZ,BW1,0)</f>
        <v>920</v>
      </c>
      <c r="BY8" s="74">
        <f>VLOOKUP($H$8&amp;$F$1,'Input RM sheet'!$A:$ZZ,BX1,0)</f>
        <v>922</v>
      </c>
      <c r="BZ8" s="74">
        <f>VLOOKUP($H$8&amp;$F$1,'Input RM sheet'!$A:$ZZ,BY1,0)</f>
        <v>975</v>
      </c>
      <c r="CA8" s="74">
        <f>VLOOKUP($H$8&amp;$F$1,'Input RM sheet'!$A:$ZZ,BZ1,0)</f>
        <v>985</v>
      </c>
      <c r="CB8" s="74">
        <f>VLOOKUP($H$8&amp;$F$1,'Input RM sheet'!$A:$ZZ,CA1,0)</f>
        <v>1024</v>
      </c>
      <c r="CC8" s="74">
        <f>VLOOKUP($H$8&amp;$F$1,'Input RM sheet'!$A:$ZZ,CB1,0)</f>
        <v>1022</v>
      </c>
      <c r="CD8" s="74">
        <f>VLOOKUP($H$8&amp;$F$1,'Input RM sheet'!$A:$ZZ,CC1,0)</f>
        <v>1010</v>
      </c>
      <c r="CE8" s="74">
        <f>VLOOKUP($H$8&amp;$F$1,'Input RM sheet'!$A:$ZZ,CD1,0)</f>
        <v>995</v>
      </c>
      <c r="CF8" s="74">
        <f>VLOOKUP($H$8&amp;$F$1,'Input RM sheet'!$A:$ZZ,CE1,0)</f>
        <v>1014</v>
      </c>
      <c r="CG8" s="74">
        <f>VLOOKUP($H$8&amp;$F$1,'Input RM sheet'!$A:$ZZ,CF1,0)</f>
        <v>1014</v>
      </c>
      <c r="CH8" s="74">
        <f>VLOOKUP($H$8&amp;$F$1,'Input RM sheet'!$A:$ZZ,CG1,0)</f>
        <v>1018</v>
      </c>
      <c r="CI8" s="74">
        <f>VLOOKUP($H$8&amp;$F$1,'Input RM sheet'!$A:$ZZ,CH1,0)</f>
        <v>1065</v>
      </c>
      <c r="CJ8" s="74">
        <f>VLOOKUP($H$8&amp;$F$1,'Input RM sheet'!$A:$ZZ,CI1,0)</f>
        <v>1052</v>
      </c>
      <c r="CK8" s="74">
        <f>VLOOKUP($H$8&amp;$F$1,'Input RM sheet'!$A:$ZZ,CJ1,0)</f>
        <v>1044</v>
      </c>
      <c r="CL8" s="74">
        <f>VLOOKUP($H$8&amp;$F$1,'Input RM sheet'!$A:$ZZ,CK1,0)</f>
        <v>1035</v>
      </c>
      <c r="CM8" s="74">
        <f>VLOOKUP($H$8&amp;$F$1,'Input RM sheet'!$A:$ZZ,CL1,0)</f>
        <v>1025</v>
      </c>
      <c r="CN8" s="74">
        <f>VLOOKUP($H$8&amp;$F$1,'Input RM sheet'!$A:$ZZ,CM1,0)</f>
        <v>1014</v>
      </c>
      <c r="CO8" s="74">
        <f>VLOOKUP($H$8&amp;$F$1,'Input RM sheet'!$A:$ZZ,CN1,0)</f>
        <v>1021</v>
      </c>
      <c r="CP8" s="74">
        <f>VLOOKUP($H$8&amp;$F$1,'Input RM sheet'!$A:$ZZ,CO1,0)</f>
        <v>1025</v>
      </c>
      <c r="CQ8" s="74">
        <f>VLOOKUP($H$8&amp;$F$1,'Input RM sheet'!$A:$ZZ,CP1,0)</f>
        <v>1040</v>
      </c>
      <c r="CR8" s="74">
        <f>VLOOKUP($H$8&amp;$F$1,'Input RM sheet'!$A:$ZZ,CQ1,0)</f>
        <v>1040</v>
      </c>
      <c r="CS8" s="74">
        <f>VLOOKUP($H$8&amp;$F$1,'Input RM sheet'!$A:$ZZ,CR1,0)</f>
        <v>1004</v>
      </c>
      <c r="CT8" s="74">
        <f>VLOOKUP($H$8&amp;$F$1,'Input RM sheet'!$A:$ZZ,CS1,0)</f>
        <v>981</v>
      </c>
      <c r="CU8" s="74">
        <f>VLOOKUP($H$8&amp;$F$1,'Input RM sheet'!$A:$ZZ,CT1,0)</f>
        <v>1028</v>
      </c>
      <c r="CV8" s="74">
        <f>VLOOKUP($H$8&amp;$F$1,'Input RM sheet'!$A:$ZZ,CU1,0)</f>
        <v>1005</v>
      </c>
      <c r="CW8" s="74">
        <f>VLOOKUP($H$8&amp;$F$1,'Input RM sheet'!$A:$ZZ,CV1,0)</f>
        <v>996</v>
      </c>
      <c r="CX8" s="74">
        <f>VLOOKUP($H$8&amp;$F$1,'Input RM sheet'!$A:$ZZ,CW1,0)</f>
        <v>992</v>
      </c>
      <c r="CY8" s="74">
        <f>VLOOKUP($H$8&amp;$F$1,'Input RM sheet'!$A:$ZZ,CX1,0)</f>
        <v>961</v>
      </c>
      <c r="CZ8" s="74">
        <f>VLOOKUP($H$8&amp;$F$1,'Input RM sheet'!$A:$ZZ,CY1,0)</f>
        <v>1003</v>
      </c>
      <c r="DA8" s="74">
        <f>VLOOKUP($H$8&amp;$F$1,'Input RM sheet'!$A:$ZZ,CZ1,0)</f>
        <v>1011</v>
      </c>
      <c r="DB8" s="74">
        <f>VLOOKUP($H$8&amp;$F$1,'Input RM sheet'!$A:$ZZ,DA1,0)</f>
        <v>987</v>
      </c>
      <c r="DC8" s="74">
        <f>VLOOKUP($H$8&amp;$F$1,'Input RM sheet'!$A:$ZZ,DB1,0)</f>
        <v>995</v>
      </c>
      <c r="DD8" s="74">
        <f>VLOOKUP($H$8&amp;$F$1,'Input RM sheet'!$A:$ZZ,DC1,0)</f>
        <v>980</v>
      </c>
      <c r="DE8" s="74">
        <f>VLOOKUP($H$8&amp;$F$1,'Input RM sheet'!$A:$ZZ,DD1,0)</f>
        <v>935</v>
      </c>
      <c r="DF8" s="74">
        <f>VLOOKUP($H$8&amp;$F$1,'Input RM sheet'!$A:$ZZ,DE1,0)</f>
        <v>942</v>
      </c>
      <c r="DG8" s="74">
        <f>VLOOKUP($H$8&amp;$F$1,'Input RM sheet'!$A:$ZZ,DF1,0)</f>
        <v>933</v>
      </c>
      <c r="DH8" s="74">
        <f>VLOOKUP($H$8&amp;$F$1,'Input RM sheet'!$A:$ZZ,DG1,0)</f>
        <v>982</v>
      </c>
      <c r="DI8" s="74">
        <f>VLOOKUP($H$8&amp;$F$1,'Input RM sheet'!$A:$ZZ,DH1,0)</f>
        <v>888</v>
      </c>
      <c r="DJ8" s="74">
        <f>VLOOKUP($H$8&amp;$F$1,'Input RM sheet'!$A:$ZZ,DI1,0)</f>
        <v>884</v>
      </c>
      <c r="DK8" s="74">
        <f>VLOOKUP($H$8&amp;$F$1,'Input RM sheet'!$A:$ZZ,DJ1,0)</f>
        <v>880</v>
      </c>
    </row>
    <row r="9" spans="1:129" ht="13">
      <c r="H9" s="107" t="s">
        <v>114</v>
      </c>
      <c r="I9" s="74">
        <f>VLOOKUP($H$9&amp;$F$1,'Input RM sheet'!$A:$BD,H1,0)</f>
        <v>950</v>
      </c>
      <c r="J9" s="74">
        <f>VLOOKUP($H$9&amp;$F$1,'Input RM sheet'!$A:$BD,I1,0)</f>
        <v>810</v>
      </c>
      <c r="K9" s="74">
        <f>VLOOKUP($H$9&amp;$F$1,'Input RM sheet'!$A:$BD,J1,0)</f>
        <v>780</v>
      </c>
      <c r="L9" s="74">
        <f>VLOOKUP($H$9&amp;$F$1,'Input RM sheet'!$A:$BD,K1,0)</f>
        <v>560</v>
      </c>
      <c r="M9" s="74">
        <f>VLOOKUP($H$9&amp;$F$1,'Input RM sheet'!$A:$BD,L1,0)</f>
        <v>680</v>
      </c>
      <c r="N9" s="74">
        <f>VLOOKUP($H$9&amp;$F$1,'Input RM sheet'!$A:$BD,M1,0)</f>
        <v>720</v>
      </c>
      <c r="O9" s="74">
        <f>VLOOKUP($H$9&amp;$F$1,'Input RM sheet'!$A:$BD,N1,0)</f>
        <v>780</v>
      </c>
      <c r="P9" s="74">
        <f>VLOOKUP($H$9&amp;$F$1,'Input RM sheet'!$A:$BD,O1,0)</f>
        <v>780</v>
      </c>
      <c r="Q9" s="74">
        <f>VLOOKUP($H$9&amp;$F$1,'Input RM sheet'!$A:$BD,P1,0)</f>
        <v>850</v>
      </c>
      <c r="R9" s="74">
        <f>VLOOKUP($H$9&amp;$F$1,'Input RM sheet'!$A:$BD,Q1,0)</f>
        <v>860</v>
      </c>
      <c r="S9" s="74">
        <f>VLOOKUP($H$9&amp;$F$1,'Input RM sheet'!$A:$BD,R1,0)</f>
        <v>850</v>
      </c>
      <c r="T9" s="74">
        <f>VLOOKUP($H$9&amp;$F$1,'Input RM sheet'!$A:$BD,S1,0)</f>
        <v>940</v>
      </c>
      <c r="U9" s="74">
        <f>VLOOKUP($H$9&amp;$F$1,'Input RM sheet'!$A:$BD,T1,0)</f>
        <v>920</v>
      </c>
      <c r="V9" s="74">
        <f>VLOOKUP($H$9&amp;$F$1,'Input RM sheet'!$A:$BD,U1,0)</f>
        <v>930</v>
      </c>
      <c r="W9" s="74">
        <f>VLOOKUP($H$9&amp;$F$1,'Input RM sheet'!$A:$BD,V1,0)</f>
        <v>1150</v>
      </c>
      <c r="X9" s="74">
        <f>VLOOKUP($H$9&amp;$F$1,'Input RM sheet'!$A:$BD,W1,0)</f>
        <v>1060</v>
      </c>
      <c r="Y9" s="74">
        <f>VLOOKUP($H$9&amp;$F$1,'Input RM sheet'!$A:$BD,X1,0)</f>
        <v>1090</v>
      </c>
      <c r="Z9" s="74">
        <f>VLOOKUP($H$9&amp;$F$1,'Input RM sheet'!$A:$BD,Y1,0)</f>
        <v>920</v>
      </c>
      <c r="AA9" s="74">
        <f>VLOOKUP($H$9&amp;$F$1,'Input RM sheet'!$A:$BD,Z1,0)</f>
        <v>940</v>
      </c>
      <c r="AB9" s="74">
        <f>VLOOKUP($H$9&amp;$F$1,'Input RM sheet'!$A:$BD,AA1,0)</f>
        <v>940</v>
      </c>
      <c r="AC9" s="74">
        <f>VLOOKUP($H$9&amp;$F$1,'Input RM sheet'!$A:$BD,AB1,0)</f>
        <v>940</v>
      </c>
      <c r="AD9" s="74">
        <f>VLOOKUP($H$9&amp;$F$1,'Input RM sheet'!$A:$BD,AC1,0)</f>
        <v>1020</v>
      </c>
      <c r="AE9" s="74">
        <f>VLOOKUP($H$9&amp;$F$1,'Input RM sheet'!$A:$BD,AD1,0)</f>
        <v>960</v>
      </c>
      <c r="AF9" s="74">
        <f>VLOOKUP($H$9&amp;$F$1,'Input RM sheet'!$A:$BD,AE1,0)</f>
        <v>900</v>
      </c>
      <c r="AG9" s="74">
        <f>VLOOKUP($H$9&amp;$F$1,'Input RM sheet'!$A:$BD,AF1,0)</f>
        <v>950</v>
      </c>
      <c r="AH9" s="74">
        <f>VLOOKUP($H$9&amp;$F$1,'Input RM sheet'!$A:$BD,AG1,0)</f>
        <v>1200</v>
      </c>
      <c r="AI9" s="74">
        <f>VLOOKUP($H$9&amp;$F$1,'Input RM sheet'!$A:$BD,AH1,0)</f>
        <v>1320</v>
      </c>
      <c r="AJ9" s="74">
        <f>VLOOKUP($H$9&amp;$F$1,'Input RM sheet'!$A:$BD,AI1,0)</f>
        <v>1290</v>
      </c>
      <c r="AK9" s="74">
        <f>VLOOKUP($H$9&amp;$F$1,'Input RM sheet'!$A:$BD,AJ1,0)</f>
        <v>1200</v>
      </c>
      <c r="AL9" s="74">
        <f>VLOOKUP($H$9&amp;$F$1,'Input RM sheet'!$A:$BD,AK1,0)</f>
        <v>1040</v>
      </c>
      <c r="AM9" s="74">
        <f>VLOOKUP($H$9&amp;$F$1,'Input RM sheet'!$A:$BD,AL1,0)</f>
        <v>950</v>
      </c>
      <c r="AN9" s="74">
        <f>VLOOKUP($H$9&amp;$F$1,'Input RM sheet'!$A:$BD,AM1,0)</f>
        <v>890</v>
      </c>
      <c r="AO9" s="74">
        <f>VLOOKUP($H$9&amp;$F$1,'Input RM sheet'!$A:$BD,AN1,0)</f>
        <v>890</v>
      </c>
      <c r="AP9" s="74">
        <f>VLOOKUP($H$9&amp;$F$1,'Input RM sheet'!$A:$ZZ,AO1,0)</f>
        <v>890</v>
      </c>
      <c r="AQ9" s="74">
        <f>VLOOKUP($H$9&amp;$F$1,'Input RM sheet'!$A:$ZZ,AP1,0)</f>
        <v>850</v>
      </c>
      <c r="AR9" s="74">
        <f>VLOOKUP($H$9&amp;$F$1,'Input RM sheet'!$A:$ZZ,AQ1,0)</f>
        <v>880</v>
      </c>
      <c r="AS9" s="74">
        <f>VLOOKUP($H$9&amp;$F$1,'Input RM sheet'!$A:$ZZ,AR1,0)</f>
        <v>880</v>
      </c>
      <c r="AT9" s="74">
        <f>VLOOKUP($H$9&amp;$F$1,'Input RM sheet'!$A:$ZZ,AS1,0)</f>
        <v>980</v>
      </c>
      <c r="AU9" s="74">
        <f>VLOOKUP($H$9&amp;$F$1,'Input RM sheet'!$A:$ZZ,AT1,0)</f>
        <v>920</v>
      </c>
      <c r="AV9" s="74">
        <f>VLOOKUP($H$9&amp;$F$1,'Input RM sheet'!$A:$ZZ,AU1,0)</f>
        <v>940</v>
      </c>
      <c r="AW9" s="74">
        <f>VLOOKUP($H$9&amp;$F$1,'Input RM sheet'!$A:$ZZ,AV1,0)</f>
        <v>890</v>
      </c>
      <c r="AX9" s="74">
        <f>VLOOKUP($H$9&amp;$F$1,'Input RM sheet'!$A:$ZZ,AW1,0)</f>
        <v>750</v>
      </c>
      <c r="AY9" s="74">
        <f>VLOOKUP($H$9&amp;$F$1,'Input RM sheet'!$A:$ZZ,AX1,0)</f>
        <v>730</v>
      </c>
      <c r="AZ9" s="74">
        <f>VLOOKUP($H$9&amp;$F$1,'Input RM sheet'!$A:$ZZ,AY1,0)</f>
        <v>730</v>
      </c>
      <c r="BA9" s="74">
        <f>VLOOKUP($H$9&amp;$F$1,'Input RM sheet'!$A:$ZZ,AZ1,0)</f>
        <v>754</v>
      </c>
      <c r="BB9" s="74">
        <f>VLOOKUP($H$9&amp;$F$1,'Input RM sheet'!$A:$ZZ,BA1,0)</f>
        <v>778</v>
      </c>
      <c r="BC9" s="74">
        <f>VLOOKUP($H$9&amp;$F$1,'Input RM sheet'!$A:$ZZ,BB1,0)</f>
        <v>785</v>
      </c>
      <c r="BD9" s="74">
        <f>VLOOKUP($H$9&amp;$F$1,'Input RM sheet'!$A:$ZZ,BC1,0)</f>
        <v>825</v>
      </c>
      <c r="BE9" s="74">
        <f>VLOOKUP($H$9&amp;$F$1,'Input RM sheet'!$A:$ZZ,BD1,0)</f>
        <v>854</v>
      </c>
      <c r="BF9" s="74">
        <f>VLOOKUP($H$9&amp;$F$1,'Input RM sheet'!$A:$ZZ,BE1,0)</f>
        <v>854</v>
      </c>
      <c r="BG9" s="74">
        <f>VLOOKUP($H$9&amp;$F$1,'Input RM sheet'!$A:$ZZ,BF1,0)</f>
        <v>842</v>
      </c>
      <c r="BH9" s="74">
        <f>VLOOKUP($H$9&amp;$F$1,'Input RM sheet'!$A:$ZZ,BG1,0)</f>
        <v>830</v>
      </c>
      <c r="BI9" s="74">
        <f>VLOOKUP($H$9&amp;$F$1,'Input RM sheet'!$A:$ZZ,BH1,0)</f>
        <v>814</v>
      </c>
      <c r="BJ9" s="74">
        <f>VLOOKUP($H$9&amp;$F$1,'Input RM sheet'!$A:$ZZ,BI1,0)</f>
        <v>805</v>
      </c>
      <c r="BK9" s="74">
        <f>VLOOKUP($H$9&amp;$F$1,'Input RM sheet'!$A:$ZZ,BJ1,0)</f>
        <v>805</v>
      </c>
      <c r="BL9" s="74">
        <f>VLOOKUP($H$9&amp;$F$1,'Input RM sheet'!$A:$ZZ,BK1,0)</f>
        <v>799</v>
      </c>
      <c r="BM9" s="74">
        <f>VLOOKUP($H$9&amp;$F$1,'Input RM sheet'!$A:$ZZ,BL1,0)</f>
        <v>799</v>
      </c>
      <c r="BN9" s="74">
        <f>VLOOKUP($H$9&amp;$F$1,'Input RM sheet'!$A:$ZZ,BM1,0)</f>
        <v>794</v>
      </c>
      <c r="BO9" s="74">
        <f>VLOOKUP($H$9&amp;$F$1,'Input RM sheet'!$A:$ZZ,BN1,0)</f>
        <v>794</v>
      </c>
      <c r="BP9" s="74">
        <f>VLOOKUP($H$9&amp;$F$1,'Input RM sheet'!$A:$ZZ,BO1,0)</f>
        <v>799</v>
      </c>
      <c r="BQ9" s="74">
        <f>VLOOKUP($H$9&amp;$F$1,'Input RM sheet'!$A:$ZZ,BP1,0)</f>
        <v>799</v>
      </c>
      <c r="BR9" s="74">
        <f>VLOOKUP($H$9&amp;$F$1,'Input RM sheet'!$A:$ZZ,BQ1,0)</f>
        <v>804</v>
      </c>
      <c r="BS9" s="74">
        <f>VLOOKUP($H$9&amp;$F$1,'Input RM sheet'!$A:$ZZ,BR1,0)</f>
        <v>799</v>
      </c>
      <c r="BT9" s="74">
        <f>VLOOKUP($H$9&amp;$F$1,'Input RM sheet'!$A:$ZZ,BS1,0)</f>
        <v>799</v>
      </c>
      <c r="BU9" s="74">
        <f>VLOOKUP($H$9&amp;$F$1,'Input RM sheet'!$A:$ZZ,BT1,0)</f>
        <v>798</v>
      </c>
      <c r="BV9" s="74">
        <f>VLOOKUP($H$9&amp;$F$1,'Input RM sheet'!$A:$ZZ,BU1,0)</f>
        <v>804</v>
      </c>
      <c r="BW9" s="74">
        <f>VLOOKUP($H$9&amp;$F$1,'Input RM sheet'!$A:$ZZ,BV1,0)</f>
        <v>838</v>
      </c>
      <c r="BX9" s="74">
        <f>VLOOKUP($H$9&amp;$F$1,'Input RM sheet'!$A:$ZZ,BW1,0)</f>
        <v>920</v>
      </c>
      <c r="BY9" s="74">
        <f>VLOOKUP($H$9&amp;$F$1,'Input RM sheet'!$A:$ZZ,BX1,0)</f>
        <v>940</v>
      </c>
      <c r="BZ9" s="74">
        <f>VLOOKUP($H$9&amp;$F$1,'Input RM sheet'!$A:$ZZ,BY1,0)</f>
        <v>998</v>
      </c>
      <c r="CA9" s="74">
        <f>VLOOKUP($H$9&amp;$F$1,'Input RM sheet'!$A:$ZZ,BZ1,0)</f>
        <v>960</v>
      </c>
      <c r="CB9" s="74">
        <f>VLOOKUP($H$9&amp;$F$1,'Input RM sheet'!$A:$ZZ,CA1,0)</f>
        <v>914</v>
      </c>
      <c r="CC9" s="74">
        <f>VLOOKUP($H$9&amp;$F$1,'Input RM sheet'!$A:$ZZ,CB1,0)</f>
        <v>870</v>
      </c>
      <c r="CD9" s="74">
        <f>VLOOKUP($H$9&amp;$F$1,'Input RM sheet'!$A:$ZZ,CC1,0)</f>
        <v>860</v>
      </c>
      <c r="CE9" s="74">
        <f>VLOOKUP($H$9&amp;$F$1,'Input RM sheet'!$A:$ZZ,CD1,0)</f>
        <v>860</v>
      </c>
      <c r="CF9" s="74">
        <f>VLOOKUP($H$9&amp;$F$1,'Input RM sheet'!$A:$ZZ,CE1,0)</f>
        <v>867</v>
      </c>
      <c r="CG9" s="74">
        <f>VLOOKUP($H$9&amp;$F$1,'Input RM sheet'!$A:$ZZ,CF1,0)</f>
        <v>845</v>
      </c>
      <c r="CH9" s="74">
        <f>VLOOKUP($H$9&amp;$F$1,'Input RM sheet'!$A:$ZZ,CG1,0)</f>
        <v>844</v>
      </c>
      <c r="CI9" s="74">
        <f>VLOOKUP($H$9&amp;$F$1,'Input RM sheet'!$A:$ZZ,CH1,0)</f>
        <v>844</v>
      </c>
      <c r="CJ9" s="74">
        <f>VLOOKUP($H$9&amp;$F$1,'Input RM sheet'!$A:$ZZ,CI1,0)</f>
        <v>844</v>
      </c>
      <c r="CK9" s="74">
        <f>VLOOKUP($H$9&amp;$F$1,'Input RM sheet'!$A:$ZZ,CJ1,0)</f>
        <v>844</v>
      </c>
      <c r="CL9" s="74">
        <f>VLOOKUP($H$9&amp;$F$1,'Input RM sheet'!$A:$ZZ,CK1,0)</f>
        <v>827</v>
      </c>
      <c r="CM9" s="74">
        <f>VLOOKUP($H$9&amp;$F$1,'Input RM sheet'!$A:$ZZ,CL1,0)</f>
        <v>818</v>
      </c>
      <c r="CN9" s="74">
        <f>VLOOKUP($H$9&amp;$F$1,'Input RM sheet'!$A:$ZZ,CM1,0)</f>
        <v>814</v>
      </c>
      <c r="CO9" s="74">
        <f>VLOOKUP($H$9&amp;$F$1,'Input RM sheet'!$A:$ZZ,CN1,0)</f>
        <v>810</v>
      </c>
      <c r="CP9" s="74">
        <f>VLOOKUP($H$9&amp;$F$1,'Input RM sheet'!$A:$ZZ,CO1,0)</f>
        <v>827</v>
      </c>
      <c r="CQ9" s="74">
        <f>VLOOKUP($H$9&amp;$F$1,'Input RM sheet'!$A:$ZZ,CP1,0)</f>
        <v>827</v>
      </c>
      <c r="CR9" s="74">
        <f>VLOOKUP($H$9&amp;$F$1,'Input RM sheet'!$A:$ZZ,CQ1,0)</f>
        <v>827</v>
      </c>
      <c r="CS9" s="74">
        <f>VLOOKUP($H$9&amp;$F$1,'Input RM sheet'!$A:$ZZ,CR1,0)</f>
        <v>818</v>
      </c>
      <c r="CT9" s="74">
        <f>VLOOKUP($H$9&amp;$F$1,'Input RM sheet'!$A:$ZZ,CS1,0)</f>
        <v>818</v>
      </c>
      <c r="CU9" s="74">
        <f>VLOOKUP($H$9&amp;$F$1,'Input RM sheet'!$A:$ZZ,CT1,0)</f>
        <v>818</v>
      </c>
      <c r="CV9" s="74">
        <f>VLOOKUP($H$9&amp;$F$1,'Input RM sheet'!$A:$ZZ,CU1,0)</f>
        <v>850</v>
      </c>
      <c r="CW9" s="74">
        <f>VLOOKUP($H$9&amp;$F$1,'Input RM sheet'!$A:$ZZ,CV1,0)</f>
        <v>909</v>
      </c>
      <c r="CX9" s="74">
        <f>VLOOKUP($H$9&amp;$F$1,'Input RM sheet'!$A:$ZZ,CW1,0)</f>
        <v>909</v>
      </c>
      <c r="CY9" s="74">
        <f>VLOOKUP($H$9&amp;$F$1,'Input RM sheet'!$A:$ZZ,CX1,0)</f>
        <v>918</v>
      </c>
      <c r="CZ9" s="74">
        <f>VLOOKUP($H$9&amp;$F$1,'Input RM sheet'!$A:$ZZ,CY1,0)</f>
        <v>918</v>
      </c>
      <c r="DA9" s="74">
        <f>VLOOKUP($H$9&amp;$F$1,'Input RM sheet'!$A:$ZZ,CZ1,0)</f>
        <v>918</v>
      </c>
      <c r="DB9" s="74">
        <f>VLOOKUP($H$9&amp;$F$1,'Input RM sheet'!$A:$ZZ,DA1,0)</f>
        <v>918</v>
      </c>
      <c r="DC9" s="74">
        <f>VLOOKUP($H$9&amp;$F$1,'Input RM sheet'!$A:$ZZ,DB1,0)</f>
        <v>894</v>
      </c>
      <c r="DD9" s="74">
        <f>VLOOKUP($H$9&amp;$F$1,'Input RM sheet'!$A:$ZZ,DC1,0)</f>
        <v>830</v>
      </c>
      <c r="DE9" s="74">
        <f>VLOOKUP($H$9&amp;$F$1,'Input RM sheet'!$A:$ZZ,DD1,0)</f>
        <v>830</v>
      </c>
      <c r="DF9" s="74">
        <f>VLOOKUP($H$9&amp;$F$1,'Input RM sheet'!$A:$ZZ,DE1,0)</f>
        <v>809</v>
      </c>
      <c r="DG9" s="74">
        <f>VLOOKUP($H$9&amp;$F$1,'Input RM sheet'!$A:$ZZ,DF1,0)</f>
        <v>799</v>
      </c>
      <c r="DH9" s="74">
        <f>VLOOKUP($H$9&amp;$F$1,'Input RM sheet'!$A:$ZZ,DG1,0)</f>
        <v>799</v>
      </c>
      <c r="DI9" s="74">
        <f>VLOOKUP($H$9&amp;$F$1,'Input RM sheet'!$A:$ZZ,DH1,0)</f>
        <v>804</v>
      </c>
      <c r="DJ9" s="74">
        <f>VLOOKUP($H$9&amp;$F$1,'Input RM sheet'!$A:$ZZ,DI1,0)</f>
        <v>820</v>
      </c>
      <c r="DK9" s="74">
        <f>VLOOKUP($H$9&amp;$F$1,'Input RM sheet'!$A:$ZZ,DJ1,0)</f>
        <v>822</v>
      </c>
    </row>
    <row r="10" spans="1:129" ht="13">
      <c r="A10" s="59" t="s">
        <v>395</v>
      </c>
      <c r="B10" s="59"/>
      <c r="C10" s="59" t="s">
        <v>379</v>
      </c>
      <c r="D10" s="98" t="s">
        <v>380</v>
      </c>
      <c r="E10" s="98" t="s">
        <v>381</v>
      </c>
      <c r="F10" s="59" t="s">
        <v>396</v>
      </c>
      <c r="I10" s="84"/>
      <c r="J10" s="84"/>
      <c r="K10" s="84"/>
      <c r="L10" s="84"/>
      <c r="M10" s="84"/>
      <c r="N10" s="84"/>
      <c r="O10" s="84"/>
      <c r="P10" s="84"/>
      <c r="Q10" s="84"/>
      <c r="R10" s="84"/>
      <c r="S10" s="84"/>
      <c r="T10" s="84"/>
      <c r="U10" s="84"/>
      <c r="V10" s="84"/>
      <c r="W10" s="84"/>
      <c r="X10" s="84"/>
      <c r="Y10" s="84"/>
      <c r="Z10" s="84"/>
      <c r="AA10" s="84"/>
      <c r="AB10" s="84"/>
      <c r="AC10" s="84"/>
      <c r="AD10" s="84"/>
      <c r="AE10" s="84"/>
      <c r="AF10" s="84"/>
      <c r="AG10" s="84"/>
      <c r="AH10" s="84"/>
      <c r="AI10" s="84"/>
      <c r="AJ10" s="84"/>
      <c r="AK10" s="84"/>
      <c r="AL10" s="84"/>
      <c r="AM10" s="84"/>
      <c r="AN10" s="84"/>
      <c r="AO10" s="84"/>
      <c r="AP10" s="84"/>
      <c r="AQ10" s="84"/>
      <c r="AR10" s="84"/>
      <c r="AS10" s="84"/>
      <c r="AT10" s="84"/>
      <c r="AU10" s="84"/>
      <c r="AV10" s="84"/>
      <c r="AW10" s="84"/>
      <c r="AX10" s="84"/>
      <c r="AY10" s="84"/>
      <c r="AZ10" s="84"/>
      <c r="BA10" s="84"/>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84"/>
      <c r="CE10" s="84"/>
      <c r="CF10" s="84"/>
      <c r="CG10" s="84"/>
      <c r="CH10" s="84"/>
      <c r="CI10" s="84"/>
      <c r="CJ10" s="84"/>
      <c r="CK10" s="84"/>
      <c r="CL10" s="84"/>
      <c r="CM10" s="84"/>
      <c r="CN10" s="84"/>
      <c r="CO10" s="84"/>
      <c r="CP10" s="84"/>
      <c r="CQ10" s="84"/>
      <c r="CR10" s="84"/>
    </row>
    <row r="11" spans="1:129" ht="13">
      <c r="A11" s="107" t="s">
        <v>397</v>
      </c>
      <c r="B11" s="107" t="s">
        <v>51</v>
      </c>
      <c r="C11" s="60">
        <v>1</v>
      </c>
      <c r="D11" s="65">
        <v>78.11</v>
      </c>
      <c r="E11" s="60">
        <f>D11*C11</f>
        <v>78.11</v>
      </c>
      <c r="F11" s="328">
        <f>E11/$D$3</f>
        <v>0.82998618637764321</v>
      </c>
      <c r="H11" s="60" t="s">
        <v>399</v>
      </c>
      <c r="I11" s="74">
        <f>$F$11*(I8/1000)</f>
        <v>0.45771663213261082</v>
      </c>
      <c r="J11" s="74">
        <f t="shared" ref="J11:BU11" si="0">$F$11*(J8/1000)</f>
        <v>0.39652044010648235</v>
      </c>
      <c r="K11" s="74">
        <f t="shared" si="0"/>
        <v>0.24090820642671534</v>
      </c>
      <c r="L11" s="74">
        <f t="shared" si="0"/>
        <v>0.16120011473402454</v>
      </c>
      <c r="M11" s="74">
        <f t="shared" si="0"/>
        <v>0.22174464279389366</v>
      </c>
      <c r="N11" s="74">
        <f t="shared" si="0"/>
        <v>0.30128498565508449</v>
      </c>
      <c r="O11" s="74">
        <f t="shared" si="0"/>
        <v>0.32452459887365853</v>
      </c>
      <c r="P11" s="74">
        <f t="shared" si="0"/>
        <v>0.33199447455105729</v>
      </c>
      <c r="Q11" s="74">
        <f t="shared" si="0"/>
        <v>0.33282446073743494</v>
      </c>
      <c r="R11" s="74">
        <f t="shared" si="0"/>
        <v>0.32203464031452556</v>
      </c>
      <c r="S11" s="74">
        <f t="shared" si="0"/>
        <v>0.31705472319625971</v>
      </c>
      <c r="T11" s="74">
        <f t="shared" si="0"/>
        <v>0.37224880459037296</v>
      </c>
      <c r="U11" s="74">
        <f t="shared" si="0"/>
        <v>0.42744288598448626</v>
      </c>
      <c r="V11" s="74">
        <f t="shared" si="0"/>
        <v>0.45400244394857087</v>
      </c>
      <c r="W11" s="74">
        <f t="shared" si="0"/>
        <v>0.46479226437148025</v>
      </c>
      <c r="X11" s="74">
        <f t="shared" si="0"/>
        <v>0.47641207098076715</v>
      </c>
      <c r="Y11" s="74">
        <f t="shared" si="0"/>
        <v>0.49467176708107535</v>
      </c>
      <c r="Z11" s="74">
        <f t="shared" si="0"/>
        <v>0.53451110402720226</v>
      </c>
      <c r="AA11" s="74">
        <f t="shared" si="0"/>
        <v>0.56843678939538844</v>
      </c>
      <c r="AB11" s="74">
        <f t="shared" si="0"/>
        <v>0.55982568271172028</v>
      </c>
      <c r="AC11" s="74">
        <f t="shared" si="0"/>
        <v>0.5498658484751886</v>
      </c>
      <c r="AD11" s="74">
        <f t="shared" si="0"/>
        <v>0.63705589735416002</v>
      </c>
      <c r="AE11" s="74">
        <f t="shared" si="0"/>
        <v>0.62733675911167786</v>
      </c>
      <c r="AF11" s="74">
        <f t="shared" si="0"/>
        <v>0.57534642439698236</v>
      </c>
      <c r="AG11" s="74">
        <f t="shared" si="0"/>
        <v>0.64357128891722448</v>
      </c>
      <c r="AH11" s="74">
        <f t="shared" si="0"/>
        <v>0.71378812028477312</v>
      </c>
      <c r="AI11" s="74">
        <f t="shared" si="0"/>
        <v>0.83911603442779725</v>
      </c>
      <c r="AJ11" s="74">
        <f t="shared" si="0"/>
        <v>0.74947752629901188</v>
      </c>
      <c r="AK11" s="74">
        <f t="shared" si="0"/>
        <v>0.75030751248538952</v>
      </c>
      <c r="AL11" s="74">
        <f t="shared" si="0"/>
        <v>0.68722856232068852</v>
      </c>
      <c r="AM11" s="74">
        <f t="shared" si="0"/>
        <v>0.65651907342471583</v>
      </c>
      <c r="AN11" s="74">
        <f t="shared" si="0"/>
        <v>0.58182031665072786</v>
      </c>
      <c r="AO11" s="74">
        <f t="shared" si="0"/>
        <v>0.54862086919562214</v>
      </c>
      <c r="AP11" s="74">
        <f t="shared" si="0"/>
        <v>0.56688056529593034</v>
      </c>
      <c r="AQ11" s="74">
        <f t="shared" si="0"/>
        <v>0.57518042715970674</v>
      </c>
      <c r="AR11" s="74">
        <f t="shared" si="0"/>
        <v>0.5191563595792158</v>
      </c>
      <c r="AS11" s="74">
        <f t="shared" si="0"/>
        <v>0.58929019232812663</v>
      </c>
      <c r="AT11" s="74">
        <f t="shared" si="0"/>
        <v>0.59759005419190314</v>
      </c>
      <c r="AU11" s="74">
        <f t="shared" si="0"/>
        <v>0.69718839655722031</v>
      </c>
      <c r="AV11" s="74">
        <f t="shared" si="0"/>
        <v>0.80923653171820209</v>
      </c>
      <c r="AW11" s="74">
        <f t="shared" si="0"/>
        <v>0.693038465625332</v>
      </c>
      <c r="AX11" s="74">
        <f t="shared" si="0"/>
        <v>0.55609074487302101</v>
      </c>
      <c r="AY11" s="74">
        <f t="shared" si="0"/>
        <v>0.59136515779407084</v>
      </c>
      <c r="AZ11" s="74">
        <f t="shared" si="0"/>
        <v>0.64738922537456167</v>
      </c>
      <c r="BA11" s="74">
        <f t="shared" si="0"/>
        <v>0.66730889384762515</v>
      </c>
      <c r="BB11" s="74">
        <f t="shared" si="0"/>
        <v>0.69884836892997559</v>
      </c>
      <c r="BC11" s="74">
        <f t="shared" si="0"/>
        <v>0.72457794070768256</v>
      </c>
      <c r="BD11" s="74">
        <f t="shared" si="0"/>
        <v>0.71627807884390604</v>
      </c>
      <c r="BE11" s="74">
        <f t="shared" si="0"/>
        <v>0.72706789926681548</v>
      </c>
      <c r="BF11" s="74">
        <f t="shared" si="0"/>
        <v>0.72706789926681548</v>
      </c>
      <c r="BG11" s="74">
        <f t="shared" si="0"/>
        <v>0.71793805121666132</v>
      </c>
      <c r="BH11" s="74">
        <f t="shared" si="0"/>
        <v>0.77188715333120828</v>
      </c>
      <c r="BI11" s="74">
        <f t="shared" si="0"/>
        <v>0.83828604824141961</v>
      </c>
      <c r="BJ11" s="74">
        <f t="shared" si="0"/>
        <v>0.78848687705876097</v>
      </c>
      <c r="BK11" s="74">
        <f t="shared" si="0"/>
        <v>0.73702773350334716</v>
      </c>
      <c r="BL11" s="74">
        <f t="shared" si="0"/>
        <v>0.7478175539262566</v>
      </c>
      <c r="BM11" s="74">
        <f t="shared" si="0"/>
        <v>0.73204781638508132</v>
      </c>
      <c r="BN11" s="74">
        <f t="shared" si="0"/>
        <v>0.73204781638508132</v>
      </c>
      <c r="BO11" s="74">
        <f t="shared" si="0"/>
        <v>0.73204781638508132</v>
      </c>
      <c r="BP11" s="74">
        <f t="shared" si="0"/>
        <v>0.69967835511635323</v>
      </c>
      <c r="BQ11" s="74">
        <f t="shared" si="0"/>
        <v>0.7195980235894166</v>
      </c>
      <c r="BR11" s="74">
        <f t="shared" si="0"/>
        <v>0.70216831367548616</v>
      </c>
      <c r="BS11" s="74">
        <f t="shared" si="0"/>
        <v>0.68556858994793324</v>
      </c>
      <c r="BT11" s="74">
        <f t="shared" si="0"/>
        <v>0.67643874189777919</v>
      </c>
      <c r="BU11" s="74">
        <f t="shared" si="0"/>
        <v>0.71627807884390604</v>
      </c>
      <c r="BV11" s="74">
        <f t="shared" ref="BV11:CQ11" si="1">$F$11*(BV8/1000)</f>
        <v>0.70963818935288492</v>
      </c>
      <c r="BW11" s="74">
        <f t="shared" si="1"/>
        <v>0.72374795452130491</v>
      </c>
      <c r="BX11" s="74">
        <f t="shared" si="1"/>
        <v>0.76358729146743176</v>
      </c>
      <c r="BY11" s="74">
        <f t="shared" si="1"/>
        <v>0.76524726384018704</v>
      </c>
      <c r="BZ11" s="74">
        <f t="shared" si="1"/>
        <v>0.80923653171820209</v>
      </c>
      <c r="CA11" s="74">
        <f t="shared" si="1"/>
        <v>0.8175363935819786</v>
      </c>
      <c r="CB11" s="74">
        <f t="shared" si="1"/>
        <v>0.84990585485070669</v>
      </c>
      <c r="CC11" s="74">
        <f t="shared" si="1"/>
        <v>0.84824588247795141</v>
      </c>
      <c r="CD11" s="74">
        <f t="shared" si="1"/>
        <v>0.83828604824141961</v>
      </c>
      <c r="CE11" s="74">
        <f t="shared" si="1"/>
        <v>0.82583625544575501</v>
      </c>
      <c r="CF11" s="74">
        <f t="shared" si="1"/>
        <v>0.84160599298693017</v>
      </c>
      <c r="CG11" s="74">
        <f t="shared" si="1"/>
        <v>0.84160599298693017</v>
      </c>
      <c r="CH11" s="74">
        <f t="shared" si="1"/>
        <v>0.84492593773244085</v>
      </c>
      <c r="CI11" s="74">
        <f t="shared" si="1"/>
        <v>0.88393528849218994</v>
      </c>
      <c r="CJ11" s="74">
        <f t="shared" si="1"/>
        <v>0.87314546806928073</v>
      </c>
      <c r="CK11" s="74">
        <f t="shared" si="1"/>
        <v>0.86650557857825949</v>
      </c>
      <c r="CL11" s="74">
        <f t="shared" si="1"/>
        <v>0.85903570290086062</v>
      </c>
      <c r="CM11" s="74">
        <f t="shared" si="1"/>
        <v>0.85073584103708422</v>
      </c>
      <c r="CN11" s="74">
        <f t="shared" si="1"/>
        <v>0.84160599298693017</v>
      </c>
      <c r="CO11" s="74">
        <f t="shared" si="1"/>
        <v>0.84741589629157366</v>
      </c>
      <c r="CP11" s="74">
        <f t="shared" si="1"/>
        <v>0.85073584103708422</v>
      </c>
      <c r="CQ11" s="74">
        <f t="shared" si="1"/>
        <v>0.86318563383274893</v>
      </c>
      <c r="CR11" s="74">
        <f>$F$11*(CR8/1000)</f>
        <v>0.86318563383274893</v>
      </c>
      <c r="CS11" s="74">
        <f t="shared" ref="CS11:DK11" si="2">$F$11*(CS8/1000)</f>
        <v>0.83330613112315377</v>
      </c>
      <c r="CT11" s="74">
        <f t="shared" si="2"/>
        <v>0.81421644883646793</v>
      </c>
      <c r="CU11" s="74">
        <f t="shared" si="2"/>
        <v>0.85322579959621725</v>
      </c>
      <c r="CV11" s="74">
        <f t="shared" si="2"/>
        <v>0.8341361173095313</v>
      </c>
      <c r="CW11" s="74">
        <f t="shared" si="2"/>
        <v>0.82666624163213265</v>
      </c>
      <c r="CX11" s="74">
        <f t="shared" si="2"/>
        <v>0.82334629688662209</v>
      </c>
      <c r="CY11" s="74">
        <f t="shared" si="2"/>
        <v>0.79761672510891513</v>
      </c>
      <c r="CZ11" s="74">
        <f t="shared" si="2"/>
        <v>0.83247614493677602</v>
      </c>
      <c r="DA11" s="74">
        <f t="shared" si="2"/>
        <v>0.83911603442779725</v>
      </c>
      <c r="DB11" s="74">
        <f t="shared" si="2"/>
        <v>0.81919636595473388</v>
      </c>
      <c r="DC11" s="74">
        <f t="shared" si="2"/>
        <v>0.82583625544575501</v>
      </c>
      <c r="DD11" s="74">
        <f t="shared" si="2"/>
        <v>0.81338646265009029</v>
      </c>
      <c r="DE11" s="74">
        <f t="shared" si="2"/>
        <v>0.77603708426309648</v>
      </c>
      <c r="DF11" s="74">
        <f t="shared" si="2"/>
        <v>0.78184698756773985</v>
      </c>
      <c r="DG11" s="74">
        <f t="shared" si="2"/>
        <v>0.7743771118903412</v>
      </c>
      <c r="DH11" s="74">
        <f t="shared" si="2"/>
        <v>0.81504643502284557</v>
      </c>
      <c r="DI11" s="74">
        <f t="shared" si="2"/>
        <v>0.73702773350334716</v>
      </c>
      <c r="DJ11" s="74">
        <f t="shared" si="2"/>
        <v>0.7337077887578366</v>
      </c>
      <c r="DK11" s="74">
        <f t="shared" si="2"/>
        <v>0.73038784401232604</v>
      </c>
    </row>
    <row r="12" spans="1:129" ht="13">
      <c r="A12" s="67"/>
      <c r="B12" s="107" t="s">
        <v>114</v>
      </c>
      <c r="C12" s="60">
        <v>1</v>
      </c>
      <c r="D12" s="77">
        <v>42.08</v>
      </c>
      <c r="E12" s="60">
        <f>D12*C12</f>
        <v>42.08</v>
      </c>
      <c r="F12" s="65">
        <f>E12/$D$3</f>
        <v>0.44713632982679841</v>
      </c>
      <c r="I12" s="74">
        <f t="shared" ref="I12:O12" si="3">$F$12*(I9/1000)</f>
        <v>0.42477951333545849</v>
      </c>
      <c r="J12" s="74">
        <f t="shared" si="3"/>
        <v>0.36218042715970672</v>
      </c>
      <c r="K12" s="74">
        <f t="shared" si="3"/>
        <v>0.34876633726490275</v>
      </c>
      <c r="L12" s="74">
        <f t="shared" si="3"/>
        <v>0.25039634470300715</v>
      </c>
      <c r="M12" s="74">
        <f t="shared" si="3"/>
        <v>0.30405270428222292</v>
      </c>
      <c r="N12" s="74">
        <f t="shared" si="3"/>
        <v>0.32193815747529486</v>
      </c>
      <c r="O12" s="74">
        <f t="shared" si="3"/>
        <v>0.34876633726490275</v>
      </c>
      <c r="P12" s="74">
        <f t="shared" ref="P12:CA12" si="4">$F$12*(P9/1000)</f>
        <v>0.34876633726490275</v>
      </c>
      <c r="Q12" s="74">
        <f t="shared" si="4"/>
        <v>0.38006588035277866</v>
      </c>
      <c r="R12" s="74">
        <f t="shared" si="4"/>
        <v>0.38453724365104663</v>
      </c>
      <c r="S12" s="74">
        <f t="shared" si="4"/>
        <v>0.38006588035277866</v>
      </c>
      <c r="T12" s="74">
        <f t="shared" si="4"/>
        <v>0.42030815003719046</v>
      </c>
      <c r="U12" s="74">
        <f t="shared" si="4"/>
        <v>0.41136542344065458</v>
      </c>
      <c r="V12" s="74">
        <f t="shared" si="4"/>
        <v>0.41583678673892255</v>
      </c>
      <c r="W12" s="74">
        <f t="shared" si="4"/>
        <v>0.51420677930081815</v>
      </c>
      <c r="X12" s="74">
        <f t="shared" si="4"/>
        <v>0.47396450961640635</v>
      </c>
      <c r="Y12" s="74">
        <f t="shared" si="4"/>
        <v>0.48737859951121032</v>
      </c>
      <c r="Z12" s="74">
        <f t="shared" si="4"/>
        <v>0.41136542344065458</v>
      </c>
      <c r="AA12" s="74">
        <f t="shared" si="4"/>
        <v>0.42030815003719046</v>
      </c>
      <c r="AB12" s="74">
        <f t="shared" si="4"/>
        <v>0.42030815003719046</v>
      </c>
      <c r="AC12" s="74">
        <f t="shared" si="4"/>
        <v>0.42030815003719046</v>
      </c>
      <c r="AD12" s="74">
        <f t="shared" si="4"/>
        <v>0.45607905642333441</v>
      </c>
      <c r="AE12" s="74">
        <f t="shared" si="4"/>
        <v>0.42925087663372646</v>
      </c>
      <c r="AF12" s="74">
        <f t="shared" si="4"/>
        <v>0.40242269684411858</v>
      </c>
      <c r="AG12" s="74">
        <f t="shared" si="4"/>
        <v>0.42477951333545849</v>
      </c>
      <c r="AH12" s="74">
        <f t="shared" si="4"/>
        <v>0.53656359579215807</v>
      </c>
      <c r="AI12" s="74">
        <f t="shared" si="4"/>
        <v>0.59021995537137395</v>
      </c>
      <c r="AJ12" s="74">
        <f t="shared" si="4"/>
        <v>0.57680586547656998</v>
      </c>
      <c r="AK12" s="74">
        <f t="shared" si="4"/>
        <v>0.53656359579215807</v>
      </c>
      <c r="AL12" s="74">
        <f t="shared" si="4"/>
        <v>0.46502178301987035</v>
      </c>
      <c r="AM12" s="74">
        <f t="shared" si="4"/>
        <v>0.42477951333545849</v>
      </c>
      <c r="AN12" s="74">
        <f t="shared" si="4"/>
        <v>0.39795133354585061</v>
      </c>
      <c r="AO12" s="74">
        <f t="shared" si="4"/>
        <v>0.39795133354585061</v>
      </c>
      <c r="AP12" s="74">
        <f t="shared" si="4"/>
        <v>0.39795133354585061</v>
      </c>
      <c r="AQ12" s="74">
        <f t="shared" si="4"/>
        <v>0.38006588035277866</v>
      </c>
      <c r="AR12" s="74">
        <f t="shared" si="4"/>
        <v>0.39347997024758258</v>
      </c>
      <c r="AS12" s="74">
        <f t="shared" si="4"/>
        <v>0.39347997024758258</v>
      </c>
      <c r="AT12" s="74">
        <f t="shared" si="4"/>
        <v>0.43819360323026241</v>
      </c>
      <c r="AU12" s="74">
        <f t="shared" si="4"/>
        <v>0.41136542344065458</v>
      </c>
      <c r="AV12" s="74">
        <f t="shared" si="4"/>
        <v>0.42030815003719046</v>
      </c>
      <c r="AW12" s="74">
        <f t="shared" si="4"/>
        <v>0.39795133354585061</v>
      </c>
      <c r="AX12" s="74">
        <f t="shared" si="4"/>
        <v>0.33535224737009883</v>
      </c>
      <c r="AY12" s="74">
        <f t="shared" si="4"/>
        <v>0.32640952077356283</v>
      </c>
      <c r="AZ12" s="74">
        <f t="shared" si="4"/>
        <v>0.32640952077356283</v>
      </c>
      <c r="BA12" s="74">
        <f t="shared" si="4"/>
        <v>0.337140792689406</v>
      </c>
      <c r="BB12" s="74">
        <f t="shared" si="4"/>
        <v>0.34787206460524916</v>
      </c>
      <c r="BC12" s="74">
        <f t="shared" si="4"/>
        <v>0.35100201891403676</v>
      </c>
      <c r="BD12" s="74">
        <f t="shared" si="4"/>
        <v>0.36888747210710865</v>
      </c>
      <c r="BE12" s="74">
        <f t="shared" si="4"/>
        <v>0.38185442567208583</v>
      </c>
      <c r="BF12" s="74">
        <f t="shared" si="4"/>
        <v>0.38185442567208583</v>
      </c>
      <c r="BG12" s="74">
        <f t="shared" si="4"/>
        <v>0.37648878971416422</v>
      </c>
      <c r="BH12" s="74">
        <f t="shared" si="4"/>
        <v>0.37112315375624266</v>
      </c>
      <c r="BI12" s="74">
        <f t="shared" si="4"/>
        <v>0.36396897247901389</v>
      </c>
      <c r="BJ12" s="74">
        <f t="shared" si="4"/>
        <v>0.35994474551057276</v>
      </c>
      <c r="BK12" s="74">
        <f t="shared" si="4"/>
        <v>0.35994474551057276</v>
      </c>
      <c r="BL12" s="74">
        <f t="shared" si="4"/>
        <v>0.35726192753161196</v>
      </c>
      <c r="BM12" s="74">
        <f t="shared" si="4"/>
        <v>0.35726192753161196</v>
      </c>
      <c r="BN12" s="74">
        <f t="shared" si="4"/>
        <v>0.35502624588247794</v>
      </c>
      <c r="BO12" s="74">
        <f t="shared" si="4"/>
        <v>0.35502624588247794</v>
      </c>
      <c r="BP12" s="74">
        <f t="shared" si="4"/>
        <v>0.35726192753161196</v>
      </c>
      <c r="BQ12" s="74">
        <f t="shared" si="4"/>
        <v>0.35726192753161196</v>
      </c>
      <c r="BR12" s="74">
        <f t="shared" si="4"/>
        <v>0.35949760918074591</v>
      </c>
      <c r="BS12" s="74">
        <f t="shared" si="4"/>
        <v>0.35726192753161196</v>
      </c>
      <c r="BT12" s="74">
        <f t="shared" si="4"/>
        <v>0.35726192753161196</v>
      </c>
      <c r="BU12" s="74">
        <f t="shared" si="4"/>
        <v>0.35681479120178516</v>
      </c>
      <c r="BV12" s="74">
        <f t="shared" si="4"/>
        <v>0.35949760918074591</v>
      </c>
      <c r="BW12" s="74">
        <f t="shared" si="4"/>
        <v>0.37470024439485705</v>
      </c>
      <c r="BX12" s="74">
        <f t="shared" si="4"/>
        <v>0.41136542344065458</v>
      </c>
      <c r="BY12" s="74">
        <f t="shared" si="4"/>
        <v>0.42030815003719046</v>
      </c>
      <c r="BZ12" s="74">
        <f t="shared" si="4"/>
        <v>0.44624205716714482</v>
      </c>
      <c r="CA12" s="74">
        <f t="shared" si="4"/>
        <v>0.42925087663372646</v>
      </c>
      <c r="CB12" s="74">
        <f t="shared" ref="CB12:DA12" si="5">$F$12*(CB9/1000)</f>
        <v>0.40868260546169377</v>
      </c>
      <c r="CC12" s="74">
        <f t="shared" si="5"/>
        <v>0.38900860694931461</v>
      </c>
      <c r="CD12" s="74">
        <f t="shared" si="5"/>
        <v>0.38453724365104663</v>
      </c>
      <c r="CE12" s="74">
        <f t="shared" si="5"/>
        <v>0.38453724365104663</v>
      </c>
      <c r="CF12" s="74">
        <f t="shared" si="5"/>
        <v>0.38766719795983423</v>
      </c>
      <c r="CG12" s="74">
        <f t="shared" si="5"/>
        <v>0.37783019870364465</v>
      </c>
      <c r="CH12" s="74">
        <f t="shared" si="5"/>
        <v>0.37738306237381786</v>
      </c>
      <c r="CI12" s="74">
        <f t="shared" si="5"/>
        <v>0.37738306237381786</v>
      </c>
      <c r="CJ12" s="74">
        <f t="shared" si="5"/>
        <v>0.37738306237381786</v>
      </c>
      <c r="CK12" s="74">
        <f t="shared" si="5"/>
        <v>0.37738306237381786</v>
      </c>
      <c r="CL12" s="74">
        <f t="shared" si="5"/>
        <v>0.36978174476676229</v>
      </c>
      <c r="CM12" s="74">
        <f t="shared" si="5"/>
        <v>0.36575751779832105</v>
      </c>
      <c r="CN12" s="74">
        <f t="shared" si="5"/>
        <v>0.36396897247901389</v>
      </c>
      <c r="CO12" s="74">
        <f t="shared" si="5"/>
        <v>0.36218042715970672</v>
      </c>
      <c r="CP12" s="74">
        <f t="shared" si="5"/>
        <v>0.36978174476676229</v>
      </c>
      <c r="CQ12" s="74">
        <f t="shared" si="5"/>
        <v>0.36978174476676229</v>
      </c>
      <c r="CR12" s="74">
        <f>$F$12*(CR9/1000)</f>
        <v>0.36978174476676229</v>
      </c>
      <c r="CS12" s="74">
        <f t="shared" si="5"/>
        <v>0.36575751779832105</v>
      </c>
      <c r="CT12" s="74">
        <f t="shared" si="5"/>
        <v>0.36575751779832105</v>
      </c>
      <c r="CU12" s="74">
        <f t="shared" si="5"/>
        <v>0.36575751779832105</v>
      </c>
      <c r="CV12" s="74">
        <f t="shared" si="5"/>
        <v>0.38006588035277866</v>
      </c>
      <c r="CW12" s="74">
        <f t="shared" si="5"/>
        <v>0.40644692381255976</v>
      </c>
      <c r="CX12" s="74">
        <f t="shared" si="5"/>
        <v>0.40644692381255976</v>
      </c>
      <c r="CY12" s="74">
        <f t="shared" si="5"/>
        <v>0.41047115078100094</v>
      </c>
      <c r="CZ12" s="74">
        <f t="shared" si="5"/>
        <v>0.41047115078100094</v>
      </c>
      <c r="DA12" s="74">
        <f t="shared" si="5"/>
        <v>0.41047115078100094</v>
      </c>
      <c r="DB12" s="74">
        <f t="shared" ref="DB12:DG12" si="6">$F$12*(DB9/1000)</f>
        <v>0.41047115078100094</v>
      </c>
      <c r="DC12" s="74">
        <f t="shared" si="6"/>
        <v>0.39973987886515777</v>
      </c>
      <c r="DD12" s="74">
        <f t="shared" si="6"/>
        <v>0.37112315375624266</v>
      </c>
      <c r="DE12" s="74">
        <f t="shared" si="6"/>
        <v>0.37112315375624266</v>
      </c>
      <c r="DF12" s="74">
        <f t="shared" si="6"/>
        <v>0.36173329082987993</v>
      </c>
      <c r="DG12" s="74">
        <f t="shared" si="6"/>
        <v>0.35726192753161196</v>
      </c>
      <c r="DH12" s="74">
        <f>$F$12*(DH9/1000)</f>
        <v>0.35726192753161196</v>
      </c>
      <c r="DI12" s="74">
        <f>$F$12*(DI9/1000)</f>
        <v>0.35949760918074591</v>
      </c>
      <c r="DJ12" s="74">
        <f>$F$12*(DJ9/1000)</f>
        <v>0.36665179045797469</v>
      </c>
      <c r="DK12" s="74">
        <f>$F$12*(DK9/1000)</f>
        <v>0.36754606311762827</v>
      </c>
    </row>
    <row r="13" spans="1:129">
      <c r="A13" s="67"/>
      <c r="B13" s="107"/>
      <c r="D13" s="77"/>
      <c r="F13" s="65"/>
      <c r="I13" s="74"/>
      <c r="J13" s="74"/>
      <c r="K13" s="74"/>
      <c r="L13" s="74"/>
      <c r="M13" s="74"/>
      <c r="N13" s="74"/>
      <c r="O13" s="74"/>
      <c r="P13" s="74"/>
      <c r="Q13" s="74"/>
      <c r="R13" s="74"/>
      <c r="S13" s="74"/>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c r="BF13" s="74"/>
      <c r="BG13" s="74"/>
      <c r="BH13" s="74"/>
      <c r="BI13" s="74"/>
      <c r="BJ13" s="74"/>
      <c r="BK13" s="74"/>
      <c r="BL13" s="74"/>
      <c r="BM13" s="74"/>
      <c r="BN13" s="74"/>
      <c r="BO13" s="74"/>
      <c r="BP13" s="74"/>
      <c r="BQ13" s="74"/>
      <c r="BR13" s="74"/>
      <c r="BS13" s="74"/>
      <c r="BT13" s="74"/>
      <c r="BU13" s="74"/>
      <c r="BV13" s="74"/>
      <c r="BW13" s="74"/>
      <c r="BX13" s="74"/>
      <c r="BY13" s="74"/>
      <c r="BZ13" s="74"/>
      <c r="CA13" s="74"/>
      <c r="CB13" s="74"/>
      <c r="CC13" s="74"/>
      <c r="CD13" s="74"/>
      <c r="CE13" s="74"/>
      <c r="CF13" s="74"/>
      <c r="CG13" s="74"/>
      <c r="CH13" s="74"/>
      <c r="CI13" s="74"/>
      <c r="CJ13" s="74"/>
      <c r="CK13" s="74"/>
      <c r="CL13" s="74"/>
      <c r="CM13" s="74"/>
      <c r="CN13" s="74"/>
      <c r="CO13" s="74"/>
      <c r="CP13" s="74"/>
      <c r="CQ13" s="74"/>
      <c r="CR13" s="74"/>
    </row>
    <row r="14" spans="1:129" s="104" customFormat="1">
      <c r="H14" s="104" t="s">
        <v>799</v>
      </c>
      <c r="I14" s="105">
        <f>SUM(I11:I12)</f>
        <v>0.88249614546806932</v>
      </c>
      <c r="J14" s="105">
        <f t="shared" ref="J14:BU14" si="7">SUM(J11:J12)</f>
        <v>0.75870086726618902</v>
      </c>
      <c r="K14" s="105">
        <f t="shared" si="7"/>
        <v>0.58967454369161809</v>
      </c>
      <c r="L14" s="105">
        <f t="shared" si="7"/>
        <v>0.41159645943703171</v>
      </c>
      <c r="M14" s="105">
        <f t="shared" si="7"/>
        <v>0.52579734707611658</v>
      </c>
      <c r="N14" s="105">
        <f t="shared" si="7"/>
        <v>0.62322314313037941</v>
      </c>
      <c r="O14" s="105">
        <f t="shared" si="7"/>
        <v>0.67329093613856128</v>
      </c>
      <c r="P14" s="105">
        <f t="shared" si="7"/>
        <v>0.68076081181596004</v>
      </c>
      <c r="Q14" s="105">
        <f t="shared" si="7"/>
        <v>0.71289034109021365</v>
      </c>
      <c r="R14" s="105">
        <f t="shared" si="7"/>
        <v>0.70657188396557213</v>
      </c>
      <c r="S14" s="105">
        <f t="shared" si="7"/>
        <v>0.69712060354903838</v>
      </c>
      <c r="T14" s="105">
        <f t="shared" si="7"/>
        <v>0.79255695462756348</v>
      </c>
      <c r="U14" s="105">
        <f t="shared" si="7"/>
        <v>0.83880830942514084</v>
      </c>
      <c r="V14" s="105">
        <f t="shared" si="7"/>
        <v>0.86983923068749336</v>
      </c>
      <c r="W14" s="105">
        <f t="shared" si="7"/>
        <v>0.9789990436722984</v>
      </c>
      <c r="X14" s="105">
        <f t="shared" si="7"/>
        <v>0.95037658059717356</v>
      </c>
      <c r="Y14" s="105">
        <f t="shared" si="7"/>
        <v>0.98205036659228573</v>
      </c>
      <c r="Z14" s="105">
        <f t="shared" si="7"/>
        <v>0.94587652746785689</v>
      </c>
      <c r="AA14" s="105">
        <f t="shared" si="7"/>
        <v>0.98874493943257891</v>
      </c>
      <c r="AB14" s="105">
        <f t="shared" si="7"/>
        <v>0.98013383274891075</v>
      </c>
      <c r="AC14" s="105">
        <f t="shared" si="7"/>
        <v>0.97017399851237907</v>
      </c>
      <c r="AD14" s="105">
        <f t="shared" si="7"/>
        <v>1.0931349537774944</v>
      </c>
      <c r="AE14" s="105">
        <f t="shared" si="7"/>
        <v>1.0565876357454043</v>
      </c>
      <c r="AF14" s="105">
        <f t="shared" si="7"/>
        <v>0.97776912124110094</v>
      </c>
      <c r="AG14" s="105">
        <f t="shared" si="7"/>
        <v>1.0683508022526831</v>
      </c>
      <c r="AH14" s="105">
        <f t="shared" si="7"/>
        <v>1.2503517160769313</v>
      </c>
      <c r="AI14" s="105">
        <f t="shared" si="7"/>
        <v>1.4293359897991711</v>
      </c>
      <c r="AJ14" s="105">
        <f t="shared" si="7"/>
        <v>1.3262833917755819</v>
      </c>
      <c r="AK14" s="105">
        <f t="shared" si="7"/>
        <v>1.2868711082775475</v>
      </c>
      <c r="AL14" s="105">
        <f t="shared" si="7"/>
        <v>1.1522503453405588</v>
      </c>
      <c r="AM14" s="105">
        <f t="shared" si="7"/>
        <v>1.0812985867601743</v>
      </c>
      <c r="AN14" s="105">
        <f t="shared" si="7"/>
        <v>0.97977165019657853</v>
      </c>
      <c r="AO14" s="105">
        <f t="shared" si="7"/>
        <v>0.94657220274147269</v>
      </c>
      <c r="AP14" s="105">
        <f t="shared" si="7"/>
        <v>0.964831898841781</v>
      </c>
      <c r="AQ14" s="105">
        <f t="shared" si="7"/>
        <v>0.9552463075124854</v>
      </c>
      <c r="AR14" s="105">
        <f t="shared" si="7"/>
        <v>0.91263632982679832</v>
      </c>
      <c r="AS14" s="105">
        <f t="shared" si="7"/>
        <v>0.98277016257570926</v>
      </c>
      <c r="AT14" s="105">
        <f t="shared" si="7"/>
        <v>1.0357836574221655</v>
      </c>
      <c r="AU14" s="105">
        <f t="shared" si="7"/>
        <v>1.1085538199978748</v>
      </c>
      <c r="AV14" s="105">
        <f t="shared" si="7"/>
        <v>1.2295446817553926</v>
      </c>
      <c r="AW14" s="105">
        <f t="shared" si="7"/>
        <v>1.0909897991711826</v>
      </c>
      <c r="AX14" s="105">
        <f t="shared" si="7"/>
        <v>0.89144299224311985</v>
      </c>
      <c r="AY14" s="105">
        <f t="shared" si="7"/>
        <v>0.91777467856763373</v>
      </c>
      <c r="AZ14" s="105">
        <f t="shared" si="7"/>
        <v>0.97379874614812456</v>
      </c>
      <c r="BA14" s="105">
        <f t="shared" si="7"/>
        <v>1.0044496865370312</v>
      </c>
      <c r="BB14" s="105">
        <f t="shared" si="7"/>
        <v>1.0467204335352247</v>
      </c>
      <c r="BC14" s="105">
        <f t="shared" si="7"/>
        <v>1.0755799596217193</v>
      </c>
      <c r="BD14" s="105">
        <f t="shared" si="7"/>
        <v>1.0851655509510147</v>
      </c>
      <c r="BE14" s="105">
        <f t="shared" si="7"/>
        <v>1.1089223249389013</v>
      </c>
      <c r="BF14" s="105">
        <f t="shared" si="7"/>
        <v>1.1089223249389013</v>
      </c>
      <c r="BG14" s="105">
        <f t="shared" si="7"/>
        <v>1.0944268409308255</v>
      </c>
      <c r="BH14" s="105">
        <f t="shared" si="7"/>
        <v>1.1430103070874509</v>
      </c>
      <c r="BI14" s="105">
        <f t="shared" si="7"/>
        <v>1.2022550207204334</v>
      </c>
      <c r="BJ14" s="105">
        <f t="shared" si="7"/>
        <v>1.1484316225693338</v>
      </c>
      <c r="BK14" s="105">
        <f t="shared" si="7"/>
        <v>1.0969724790139199</v>
      </c>
      <c r="BL14" s="105">
        <f t="shared" si="7"/>
        <v>1.1050794814578686</v>
      </c>
      <c r="BM14" s="105">
        <f t="shared" si="7"/>
        <v>1.0893097439166932</v>
      </c>
      <c r="BN14" s="105">
        <f t="shared" si="7"/>
        <v>1.0870740622675592</v>
      </c>
      <c r="BO14" s="105">
        <f t="shared" si="7"/>
        <v>1.0870740622675592</v>
      </c>
      <c r="BP14" s="105">
        <f t="shared" si="7"/>
        <v>1.0569402826479652</v>
      </c>
      <c r="BQ14" s="105">
        <f t="shared" si="7"/>
        <v>1.0768599511210286</v>
      </c>
      <c r="BR14" s="105">
        <f t="shared" si="7"/>
        <v>1.061665922856232</v>
      </c>
      <c r="BS14" s="105">
        <f t="shared" si="7"/>
        <v>1.0428305174795451</v>
      </c>
      <c r="BT14" s="105">
        <f t="shared" si="7"/>
        <v>1.0337006694293911</v>
      </c>
      <c r="BU14" s="105">
        <f t="shared" si="7"/>
        <v>1.0730928700456912</v>
      </c>
      <c r="BV14" s="105">
        <f t="shared" ref="BV14:DA14" si="8">SUM(BV11:BV12)</f>
        <v>1.0691357985336309</v>
      </c>
      <c r="BW14" s="105">
        <f t="shared" si="8"/>
        <v>1.0984481989161621</v>
      </c>
      <c r="BX14" s="105">
        <f t="shared" si="8"/>
        <v>1.1749527149080863</v>
      </c>
      <c r="BY14" s="105">
        <f t="shared" si="8"/>
        <v>1.1855554138773776</v>
      </c>
      <c r="BZ14" s="105">
        <f t="shared" si="8"/>
        <v>1.2554785888853468</v>
      </c>
      <c r="CA14" s="105">
        <f t="shared" si="8"/>
        <v>1.246787270215705</v>
      </c>
      <c r="CB14" s="105">
        <f t="shared" si="8"/>
        <v>1.2585884603124005</v>
      </c>
      <c r="CC14" s="105">
        <f t="shared" si="8"/>
        <v>1.2372544894272659</v>
      </c>
      <c r="CD14" s="105">
        <f t="shared" si="8"/>
        <v>1.2228232918924662</v>
      </c>
      <c r="CE14" s="105">
        <f t="shared" si="8"/>
        <v>1.2103734990968016</v>
      </c>
      <c r="CF14" s="105">
        <f t="shared" si="8"/>
        <v>1.2292731909467645</v>
      </c>
      <c r="CG14" s="105">
        <f t="shared" si="8"/>
        <v>1.2194361916905749</v>
      </c>
      <c r="CH14" s="105">
        <f t="shared" si="8"/>
        <v>1.2223090001062586</v>
      </c>
      <c r="CI14" s="105">
        <f t="shared" si="8"/>
        <v>1.2613183508660077</v>
      </c>
      <c r="CJ14" s="105">
        <f t="shared" si="8"/>
        <v>1.2505285304430986</v>
      </c>
      <c r="CK14" s="105">
        <f t="shared" si="8"/>
        <v>1.2438886409520773</v>
      </c>
      <c r="CL14" s="105">
        <f t="shared" si="8"/>
        <v>1.2288174476676228</v>
      </c>
      <c r="CM14" s="105">
        <f t="shared" si="8"/>
        <v>1.2164933588354052</v>
      </c>
      <c r="CN14" s="105">
        <f t="shared" si="8"/>
        <v>1.205574965465944</v>
      </c>
      <c r="CO14" s="105">
        <f t="shared" si="8"/>
        <v>1.2095963234512803</v>
      </c>
      <c r="CP14" s="105">
        <f t="shared" si="8"/>
        <v>1.2205175858038464</v>
      </c>
      <c r="CQ14" s="105">
        <f t="shared" si="8"/>
        <v>1.2329673785995112</v>
      </c>
      <c r="CR14" s="105">
        <f t="shared" si="8"/>
        <v>1.2329673785995112</v>
      </c>
      <c r="CS14" s="105">
        <f t="shared" si="8"/>
        <v>1.1990636489214748</v>
      </c>
      <c r="CT14" s="105">
        <f t="shared" si="8"/>
        <v>1.179973966634789</v>
      </c>
      <c r="CU14" s="105">
        <f t="shared" si="8"/>
        <v>1.2189833173945384</v>
      </c>
      <c r="CV14" s="105">
        <f t="shared" si="8"/>
        <v>1.21420199766231</v>
      </c>
      <c r="CW14" s="105">
        <f t="shared" si="8"/>
        <v>1.2331131654446925</v>
      </c>
      <c r="CX14" s="105">
        <f t="shared" si="8"/>
        <v>1.229793220699182</v>
      </c>
      <c r="CY14" s="105">
        <f t="shared" si="8"/>
        <v>1.2080878758899161</v>
      </c>
      <c r="CZ14" s="105">
        <f t="shared" si="8"/>
        <v>1.242947295717777</v>
      </c>
      <c r="DA14" s="105">
        <f t="shared" si="8"/>
        <v>1.2495871852087981</v>
      </c>
      <c r="DB14" s="105">
        <f t="shared" ref="DB14:DG14" si="9">SUM(DB11:DB12)</f>
        <v>1.2296675167357347</v>
      </c>
      <c r="DC14" s="105">
        <f t="shared" si="9"/>
        <v>1.2255761343109128</v>
      </c>
      <c r="DD14" s="105">
        <f t="shared" si="9"/>
        <v>1.1845096164063329</v>
      </c>
      <c r="DE14" s="105">
        <f t="shared" si="9"/>
        <v>1.1471602380193391</v>
      </c>
      <c r="DF14" s="105">
        <f t="shared" si="9"/>
        <v>1.1435802783976197</v>
      </c>
      <c r="DG14" s="105">
        <f t="shared" si="9"/>
        <v>1.1316390394219531</v>
      </c>
      <c r="DH14" s="105">
        <f>SUM(DH11:DH12)</f>
        <v>1.1723083625544575</v>
      </c>
      <c r="DI14" s="105">
        <f>SUM(DI11:DI12)</f>
        <v>1.0965253426840931</v>
      </c>
      <c r="DJ14" s="105">
        <f>SUM(DJ11:DJ12)</f>
        <v>1.1003595792158114</v>
      </c>
      <c r="DK14" s="105">
        <f>SUM(DK11:DK12)</f>
        <v>1.0979339071299543</v>
      </c>
    </row>
    <row r="15" spans="1:129" s="104" customFormat="1">
      <c r="H15" s="60"/>
      <c r="I15" s="105"/>
      <c r="J15" s="105"/>
      <c r="K15" s="105"/>
      <c r="L15" s="105"/>
      <c r="M15" s="105"/>
      <c r="N15" s="105"/>
      <c r="O15" s="105"/>
      <c r="P15" s="105"/>
      <c r="Q15" s="105"/>
      <c r="R15" s="105"/>
      <c r="S15" s="105"/>
      <c r="T15" s="105"/>
      <c r="U15" s="105"/>
      <c r="V15" s="105"/>
      <c r="W15" s="105"/>
      <c r="X15" s="105"/>
      <c r="Y15" s="105"/>
      <c r="Z15" s="105"/>
      <c r="AA15" s="105"/>
      <c r="AB15" s="105"/>
      <c r="AC15" s="105"/>
      <c r="AD15" s="105"/>
      <c r="AE15" s="105"/>
      <c r="AF15" s="105"/>
      <c r="AG15" s="105"/>
      <c r="AH15" s="105"/>
      <c r="AI15" s="105"/>
      <c r="AJ15" s="105"/>
      <c r="AK15" s="105"/>
      <c r="AL15" s="105"/>
      <c r="AM15" s="105"/>
      <c r="AN15" s="105"/>
      <c r="AO15" s="105"/>
      <c r="AP15" s="105"/>
      <c r="AQ15" s="105"/>
      <c r="AR15" s="105"/>
      <c r="AS15" s="105"/>
      <c r="AT15" s="105"/>
      <c r="AU15" s="105"/>
      <c r="AV15" s="105"/>
      <c r="AW15" s="105"/>
      <c r="AX15" s="105"/>
      <c r="AY15" s="105"/>
      <c r="AZ15" s="105"/>
      <c r="BA15" s="105"/>
      <c r="BB15" s="105"/>
      <c r="BC15" s="105"/>
      <c r="BD15" s="105"/>
      <c r="BE15" s="105"/>
      <c r="BF15" s="105"/>
      <c r="BG15" s="105"/>
      <c r="BH15" s="105"/>
      <c r="BI15" s="105"/>
      <c r="BJ15" s="105"/>
      <c r="BK15" s="105"/>
      <c r="BL15" s="105"/>
      <c r="BM15" s="105"/>
      <c r="BN15" s="105"/>
      <c r="BO15" s="105"/>
      <c r="BP15" s="105"/>
      <c r="BQ15" s="105"/>
      <c r="BR15" s="105"/>
      <c r="BS15" s="105"/>
      <c r="BT15" s="105"/>
      <c r="BU15" s="105"/>
      <c r="BV15" s="105"/>
      <c r="BW15" s="105"/>
      <c r="BX15" s="105"/>
      <c r="BY15" s="105"/>
      <c r="BZ15" s="105"/>
      <c r="CA15" s="105"/>
      <c r="CB15" s="105"/>
      <c r="CC15" s="105"/>
      <c r="CD15" s="105"/>
      <c r="CE15" s="105"/>
      <c r="CF15" s="105"/>
      <c r="CG15" s="105"/>
      <c r="CH15" s="105"/>
      <c r="CI15" s="105"/>
      <c r="CJ15" s="105"/>
      <c r="CK15" s="105"/>
      <c r="CL15" s="105"/>
      <c r="CM15" s="105"/>
      <c r="CN15" s="105"/>
      <c r="CO15" s="105"/>
      <c r="CP15" s="105"/>
      <c r="CQ15" s="105"/>
      <c r="CR15" s="105"/>
    </row>
    <row r="16" spans="1:129" ht="15">
      <c r="A16" t="s">
        <v>814</v>
      </c>
      <c r="H16" s="60" t="s">
        <v>429</v>
      </c>
      <c r="I16" s="74"/>
      <c r="J16" s="74"/>
      <c r="K16" s="74"/>
      <c r="L16" s="74"/>
      <c r="M16" s="74"/>
      <c r="N16" s="74"/>
      <c r="O16" s="74"/>
      <c r="P16" s="74"/>
      <c r="Q16" s="74"/>
      <c r="R16" s="74"/>
      <c r="S16" s="74"/>
      <c r="T16" s="74"/>
      <c r="U16" s="74"/>
      <c r="V16" s="74"/>
      <c r="W16" s="74"/>
      <c r="X16" s="74"/>
      <c r="Y16" s="74"/>
      <c r="Z16" s="74"/>
      <c r="AA16" s="74"/>
      <c r="AB16" s="74"/>
      <c r="AC16" s="74"/>
      <c r="AD16" s="74"/>
      <c r="AE16" s="74"/>
      <c r="AF16" s="74"/>
      <c r="AG16" s="74"/>
      <c r="AH16" s="74"/>
      <c r="AI16" s="74"/>
      <c r="AK16" s="74"/>
      <c r="AL16" s="74"/>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c r="BM16" s="74"/>
      <c r="BN16" s="74"/>
      <c r="BO16" s="74"/>
      <c r="BP16" s="74"/>
      <c r="BQ16" s="74"/>
      <c r="BR16" s="74"/>
      <c r="BS16" s="74"/>
      <c r="BT16" s="74"/>
      <c r="BU16" s="74"/>
      <c r="BV16" s="74"/>
      <c r="BW16" s="74"/>
      <c r="BX16" s="74"/>
      <c r="BY16" s="74"/>
      <c r="BZ16" s="74"/>
      <c r="CA16" s="74"/>
      <c r="CB16" s="74"/>
      <c r="CC16" s="74"/>
      <c r="CD16" s="74"/>
      <c r="CE16" s="74"/>
      <c r="CF16" s="74"/>
      <c r="CG16" s="74"/>
      <c r="CH16" s="74"/>
      <c r="CI16" s="74"/>
      <c r="CJ16" s="74"/>
      <c r="CK16" s="74"/>
      <c r="CL16" s="74"/>
      <c r="CM16" s="74"/>
      <c r="CN16" s="74"/>
      <c r="CO16" s="74"/>
      <c r="CP16" s="74"/>
      <c r="CQ16" s="74"/>
      <c r="CR16" s="74"/>
    </row>
    <row r="17" spans="8:111">
      <c r="H17" s="60" t="s">
        <v>406</v>
      </c>
      <c r="I17" s="74"/>
      <c r="J17" s="74"/>
      <c r="K17" s="74"/>
      <c r="L17" s="74"/>
      <c r="M17" s="74"/>
      <c r="N17" s="74"/>
      <c r="O17" s="74"/>
      <c r="P17" s="74"/>
      <c r="Q17" s="74"/>
      <c r="R17" s="74"/>
      <c r="S17" s="74"/>
      <c r="T17" s="74"/>
      <c r="U17" s="74"/>
      <c r="V17" s="74"/>
      <c r="W17" s="74"/>
      <c r="X17" s="74"/>
      <c r="Y17" s="74"/>
      <c r="Z17" s="74"/>
      <c r="AA17" s="74"/>
      <c r="AB17" s="74"/>
      <c r="AC17" s="74"/>
      <c r="AD17" s="74"/>
      <c r="AE17" s="74"/>
      <c r="AF17" s="74"/>
      <c r="AG17" s="74"/>
      <c r="AH17" s="74"/>
      <c r="AI17" s="74"/>
      <c r="AK17" s="74"/>
      <c r="AL17" s="74"/>
      <c r="AM17" s="74"/>
      <c r="AN17" s="74"/>
      <c r="AO17" s="74"/>
      <c r="AP17" s="74"/>
      <c r="AQ17" s="74"/>
      <c r="AR17" s="74"/>
      <c r="AS17" s="74"/>
      <c r="AT17" s="74"/>
      <c r="AU17" s="74"/>
      <c r="AV17" s="74"/>
      <c r="AW17" s="74"/>
      <c r="AX17" s="74"/>
      <c r="AY17" s="74"/>
      <c r="AZ17" s="74"/>
      <c r="BA17" s="74"/>
      <c r="BB17" s="74"/>
      <c r="BC17" s="74"/>
      <c r="BD17" s="74"/>
      <c r="BE17" s="74"/>
      <c r="BF17" s="74"/>
      <c r="BG17" s="74"/>
      <c r="BH17" s="74"/>
      <c r="BI17" s="74"/>
      <c r="BJ17" s="74"/>
      <c r="BK17" s="74"/>
      <c r="BL17" s="74"/>
      <c r="BM17" s="74"/>
      <c r="BN17" s="74"/>
      <c r="BO17" s="74"/>
      <c r="BP17" s="74"/>
      <c r="BQ17" s="74"/>
      <c r="BR17" s="74"/>
      <c r="BS17" s="74"/>
      <c r="BT17" s="74"/>
      <c r="BU17" s="74"/>
      <c r="BV17" s="74"/>
      <c r="BW17" s="74"/>
      <c r="BX17" s="74"/>
      <c r="BY17" s="74"/>
      <c r="BZ17" s="74"/>
      <c r="CA17" s="74"/>
      <c r="CB17" s="74"/>
      <c r="CC17" s="74"/>
      <c r="CD17" s="74"/>
      <c r="CE17" s="74"/>
      <c r="CF17" s="74"/>
      <c r="CG17" s="74"/>
      <c r="CH17" s="74"/>
      <c r="CI17" s="74"/>
      <c r="CJ17" s="74"/>
      <c r="CK17" s="74"/>
      <c r="CL17" s="74"/>
      <c r="CM17" s="74"/>
      <c r="CN17" s="74"/>
      <c r="CO17" s="74"/>
      <c r="CP17" s="74"/>
      <c r="CQ17" s="74"/>
      <c r="CR17" s="74"/>
    </row>
    <row r="19" spans="8:111" ht="13" thickBot="1"/>
    <row r="20" spans="8:111" s="73" customFormat="1" ht="13" thickBot="1">
      <c r="H20" s="257" t="s">
        <v>800</v>
      </c>
      <c r="I20" s="258">
        <f>+I14</f>
        <v>0.88249614546806932</v>
      </c>
      <c r="J20" s="258">
        <f t="shared" ref="J20:BU20" si="10">+J14</f>
        <v>0.75870086726618902</v>
      </c>
      <c r="K20" s="258">
        <f t="shared" si="10"/>
        <v>0.58967454369161809</v>
      </c>
      <c r="L20" s="258">
        <f t="shared" si="10"/>
        <v>0.41159645943703171</v>
      </c>
      <c r="M20" s="258">
        <f t="shared" si="10"/>
        <v>0.52579734707611658</v>
      </c>
      <c r="N20" s="258">
        <f t="shared" si="10"/>
        <v>0.62322314313037941</v>
      </c>
      <c r="O20" s="258">
        <f t="shared" si="10"/>
        <v>0.67329093613856128</v>
      </c>
      <c r="P20" s="258">
        <f t="shared" si="10"/>
        <v>0.68076081181596004</v>
      </c>
      <c r="Q20" s="258">
        <f t="shared" si="10"/>
        <v>0.71289034109021365</v>
      </c>
      <c r="R20" s="258">
        <f t="shared" si="10"/>
        <v>0.70657188396557213</v>
      </c>
      <c r="S20" s="258">
        <f t="shared" si="10"/>
        <v>0.69712060354903838</v>
      </c>
      <c r="T20" s="258">
        <f t="shared" si="10"/>
        <v>0.79255695462756348</v>
      </c>
      <c r="U20" s="258">
        <f t="shared" si="10"/>
        <v>0.83880830942514084</v>
      </c>
      <c r="V20" s="258">
        <f t="shared" si="10"/>
        <v>0.86983923068749336</v>
      </c>
      <c r="W20" s="258">
        <f t="shared" si="10"/>
        <v>0.9789990436722984</v>
      </c>
      <c r="X20" s="258">
        <f t="shared" si="10"/>
        <v>0.95037658059717356</v>
      </c>
      <c r="Y20" s="258">
        <f t="shared" si="10"/>
        <v>0.98205036659228573</v>
      </c>
      <c r="Z20" s="258">
        <f t="shared" si="10"/>
        <v>0.94587652746785689</v>
      </c>
      <c r="AA20" s="258">
        <f t="shared" si="10"/>
        <v>0.98874493943257891</v>
      </c>
      <c r="AB20" s="258">
        <f t="shared" si="10"/>
        <v>0.98013383274891075</v>
      </c>
      <c r="AC20" s="258">
        <f t="shared" si="10"/>
        <v>0.97017399851237907</v>
      </c>
      <c r="AD20" s="258">
        <f t="shared" si="10"/>
        <v>1.0931349537774944</v>
      </c>
      <c r="AE20" s="258">
        <f t="shared" si="10"/>
        <v>1.0565876357454043</v>
      </c>
      <c r="AF20" s="258">
        <f t="shared" si="10"/>
        <v>0.97776912124110094</v>
      </c>
      <c r="AG20" s="258">
        <f t="shared" si="10"/>
        <v>1.0683508022526831</v>
      </c>
      <c r="AH20" s="258">
        <f t="shared" si="10"/>
        <v>1.2503517160769313</v>
      </c>
      <c r="AI20" s="258">
        <f t="shared" si="10"/>
        <v>1.4293359897991711</v>
      </c>
      <c r="AJ20" s="258">
        <f t="shared" si="10"/>
        <v>1.3262833917755819</v>
      </c>
      <c r="AK20" s="258">
        <f t="shared" si="10"/>
        <v>1.2868711082775475</v>
      </c>
      <c r="AL20" s="258">
        <f t="shared" si="10"/>
        <v>1.1522503453405588</v>
      </c>
      <c r="AM20" s="258">
        <f t="shared" si="10"/>
        <v>1.0812985867601743</v>
      </c>
      <c r="AN20" s="258">
        <f t="shared" si="10"/>
        <v>0.97977165019657853</v>
      </c>
      <c r="AO20" s="258">
        <f t="shared" si="10"/>
        <v>0.94657220274147269</v>
      </c>
      <c r="AP20" s="258">
        <f t="shared" si="10"/>
        <v>0.964831898841781</v>
      </c>
      <c r="AQ20" s="258">
        <f t="shared" si="10"/>
        <v>0.9552463075124854</v>
      </c>
      <c r="AR20" s="258">
        <f t="shared" si="10"/>
        <v>0.91263632982679832</v>
      </c>
      <c r="AS20" s="258">
        <f t="shared" si="10"/>
        <v>0.98277016257570926</v>
      </c>
      <c r="AT20" s="258">
        <f t="shared" si="10"/>
        <v>1.0357836574221655</v>
      </c>
      <c r="AU20" s="258">
        <f t="shared" si="10"/>
        <v>1.1085538199978748</v>
      </c>
      <c r="AV20" s="258">
        <f t="shared" si="10"/>
        <v>1.2295446817553926</v>
      </c>
      <c r="AW20" s="258">
        <f t="shared" si="10"/>
        <v>1.0909897991711826</v>
      </c>
      <c r="AX20" s="258">
        <f t="shared" si="10"/>
        <v>0.89144299224311985</v>
      </c>
      <c r="AY20" s="258">
        <f t="shared" si="10"/>
        <v>0.91777467856763373</v>
      </c>
      <c r="AZ20" s="258">
        <f t="shared" si="10"/>
        <v>0.97379874614812456</v>
      </c>
      <c r="BA20" s="258">
        <f t="shared" si="10"/>
        <v>1.0044496865370312</v>
      </c>
      <c r="BB20" s="258">
        <f t="shared" si="10"/>
        <v>1.0467204335352247</v>
      </c>
      <c r="BC20" s="258">
        <f t="shared" si="10"/>
        <v>1.0755799596217193</v>
      </c>
      <c r="BD20" s="258">
        <f t="shared" si="10"/>
        <v>1.0851655509510147</v>
      </c>
      <c r="BE20" s="258">
        <f t="shared" si="10"/>
        <v>1.1089223249389013</v>
      </c>
      <c r="BF20" s="258">
        <f t="shared" si="10"/>
        <v>1.1089223249389013</v>
      </c>
      <c r="BG20" s="258">
        <f t="shared" si="10"/>
        <v>1.0944268409308255</v>
      </c>
      <c r="BH20" s="258">
        <f t="shared" si="10"/>
        <v>1.1430103070874509</v>
      </c>
      <c r="BI20" s="258">
        <f t="shared" si="10"/>
        <v>1.2022550207204334</v>
      </c>
      <c r="BJ20" s="258">
        <f t="shared" si="10"/>
        <v>1.1484316225693338</v>
      </c>
      <c r="BK20" s="258">
        <f t="shared" si="10"/>
        <v>1.0969724790139199</v>
      </c>
      <c r="BL20" s="258">
        <f t="shared" si="10"/>
        <v>1.1050794814578686</v>
      </c>
      <c r="BM20" s="258">
        <f t="shared" si="10"/>
        <v>1.0893097439166932</v>
      </c>
      <c r="BN20" s="258">
        <f t="shared" si="10"/>
        <v>1.0870740622675592</v>
      </c>
      <c r="BO20" s="258">
        <f t="shared" si="10"/>
        <v>1.0870740622675592</v>
      </c>
      <c r="BP20" s="258">
        <f t="shared" si="10"/>
        <v>1.0569402826479652</v>
      </c>
      <c r="BQ20" s="258">
        <f t="shared" si="10"/>
        <v>1.0768599511210286</v>
      </c>
      <c r="BR20" s="258">
        <f t="shared" si="10"/>
        <v>1.061665922856232</v>
      </c>
      <c r="BS20" s="258">
        <f t="shared" si="10"/>
        <v>1.0428305174795451</v>
      </c>
      <c r="BT20" s="258">
        <f t="shared" si="10"/>
        <v>1.0337006694293911</v>
      </c>
      <c r="BU20" s="258">
        <f t="shared" si="10"/>
        <v>1.0730928700456912</v>
      </c>
      <c r="BV20" s="258">
        <f t="shared" ref="BV20:DA20" si="11">+BV14</f>
        <v>1.0691357985336309</v>
      </c>
      <c r="BW20" s="258">
        <f t="shared" si="11"/>
        <v>1.0984481989161621</v>
      </c>
      <c r="BX20" s="258">
        <f t="shared" si="11"/>
        <v>1.1749527149080863</v>
      </c>
      <c r="BY20" s="258">
        <f t="shared" si="11"/>
        <v>1.1855554138773776</v>
      </c>
      <c r="BZ20" s="258">
        <f t="shared" si="11"/>
        <v>1.2554785888853468</v>
      </c>
      <c r="CA20" s="258">
        <f t="shared" si="11"/>
        <v>1.246787270215705</v>
      </c>
      <c r="CB20" s="258">
        <f t="shared" si="11"/>
        <v>1.2585884603124005</v>
      </c>
      <c r="CC20" s="258">
        <f t="shared" si="11"/>
        <v>1.2372544894272659</v>
      </c>
      <c r="CD20" s="258">
        <f t="shared" si="11"/>
        <v>1.2228232918924662</v>
      </c>
      <c r="CE20" s="258">
        <f t="shared" si="11"/>
        <v>1.2103734990968016</v>
      </c>
      <c r="CF20" s="258">
        <f t="shared" si="11"/>
        <v>1.2292731909467645</v>
      </c>
      <c r="CG20" s="258">
        <f t="shared" si="11"/>
        <v>1.2194361916905749</v>
      </c>
      <c r="CH20" s="258">
        <f t="shared" si="11"/>
        <v>1.2223090001062586</v>
      </c>
      <c r="CI20" s="258">
        <f t="shared" si="11"/>
        <v>1.2613183508660077</v>
      </c>
      <c r="CJ20" s="258">
        <f t="shared" si="11"/>
        <v>1.2505285304430986</v>
      </c>
      <c r="CK20" s="258">
        <f t="shared" si="11"/>
        <v>1.2438886409520773</v>
      </c>
      <c r="CL20" s="258">
        <f t="shared" si="11"/>
        <v>1.2288174476676228</v>
      </c>
      <c r="CM20" s="258">
        <f t="shared" si="11"/>
        <v>1.2164933588354052</v>
      </c>
      <c r="CN20" s="258">
        <f t="shared" si="11"/>
        <v>1.205574965465944</v>
      </c>
      <c r="CO20" s="258">
        <f t="shared" si="11"/>
        <v>1.2095963234512803</v>
      </c>
      <c r="CP20" s="258">
        <f t="shared" si="11"/>
        <v>1.2205175858038464</v>
      </c>
      <c r="CQ20" s="258">
        <f t="shared" si="11"/>
        <v>1.2329673785995112</v>
      </c>
      <c r="CR20" s="258">
        <f t="shared" si="11"/>
        <v>1.2329673785995112</v>
      </c>
      <c r="CS20" s="258">
        <f t="shared" si="11"/>
        <v>1.1990636489214748</v>
      </c>
      <c r="CT20" s="258">
        <f t="shared" si="11"/>
        <v>1.179973966634789</v>
      </c>
      <c r="CU20" s="258">
        <f t="shared" si="11"/>
        <v>1.2189833173945384</v>
      </c>
      <c r="CV20" s="258">
        <f t="shared" si="11"/>
        <v>1.21420199766231</v>
      </c>
      <c r="CW20" s="258">
        <f t="shared" si="11"/>
        <v>1.2331131654446925</v>
      </c>
      <c r="CX20" s="258">
        <f t="shared" si="11"/>
        <v>1.229793220699182</v>
      </c>
      <c r="CY20" s="258">
        <f t="shared" si="11"/>
        <v>1.2080878758899161</v>
      </c>
      <c r="CZ20" s="258">
        <f t="shared" si="11"/>
        <v>1.242947295717777</v>
      </c>
      <c r="DA20" s="258">
        <f t="shared" si="11"/>
        <v>1.2495871852087981</v>
      </c>
      <c r="DB20" s="258">
        <f t="shared" ref="DB20:DG20" si="12">+DB14</f>
        <v>1.2296675167357347</v>
      </c>
      <c r="DC20" s="258">
        <f t="shared" si="12"/>
        <v>1.2255761343109128</v>
      </c>
      <c r="DD20" s="258">
        <f t="shared" si="12"/>
        <v>1.1845096164063329</v>
      </c>
      <c r="DE20" s="258">
        <f t="shared" si="12"/>
        <v>1.1471602380193391</v>
      </c>
      <c r="DF20" s="258">
        <f t="shared" si="12"/>
        <v>1.1435802783976197</v>
      </c>
      <c r="DG20" s="258">
        <f t="shared" si="12"/>
        <v>1.1316390394219531</v>
      </c>
    </row>
  </sheetData>
  <pageMargins left="0.7" right="0.7" top="0.75" bottom="0.75" header="0.3" footer="0.3"/>
  <drawing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DU20"/>
  <sheetViews>
    <sheetView workbookViewId="0">
      <pane xSplit="11" ySplit="7" topLeftCell="DL8" activePane="bottomRight" state="frozen"/>
      <selection pane="topRight" activeCell="L1" sqref="L1"/>
      <selection pane="bottomLeft" activeCell="A7" sqref="A7"/>
      <selection pane="bottomRight" activeCell="DM8" sqref="DM8"/>
    </sheetView>
  </sheetViews>
  <sheetFormatPr baseColWidth="10" defaultColWidth="22.6640625" defaultRowHeight="12"/>
  <cols>
    <col min="1" max="1" width="16.1640625" style="60" bestFit="1" customWidth="1"/>
    <col min="2" max="2" width="13.1640625" style="60" bestFit="1" customWidth="1"/>
    <col min="3" max="3" width="4.83203125" style="60" bestFit="1" customWidth="1"/>
    <col min="4" max="4" width="12.33203125" style="60" bestFit="1" customWidth="1"/>
    <col min="5" max="5" width="18.83203125" style="60" bestFit="1" customWidth="1"/>
    <col min="6" max="6" width="6.5" style="60" bestFit="1" customWidth="1"/>
    <col min="7" max="7" width="4.1640625" style="60" bestFit="1" customWidth="1"/>
    <col min="8" max="8" width="22.83203125" style="60" bestFit="1" customWidth="1"/>
    <col min="9" max="9" width="6.5" style="60" customWidth="1"/>
    <col min="10" max="11" width="6.1640625" style="60" bestFit="1" customWidth="1"/>
    <col min="12" max="12" width="5.5" style="60" bestFit="1" customWidth="1"/>
    <col min="13" max="13" width="5.83203125" style="60" bestFit="1" customWidth="1"/>
    <col min="14" max="18" width="5.5" style="60" bestFit="1" customWidth="1"/>
    <col min="19" max="19" width="5.6640625" style="60" bestFit="1" customWidth="1"/>
    <col min="20" max="20" width="6.1640625" style="60" bestFit="1" customWidth="1"/>
    <col min="21" max="21" width="5.5" style="60" bestFit="1" customWidth="1"/>
    <col min="22" max="26" width="6.1640625" style="60" bestFit="1" customWidth="1"/>
    <col min="27" max="30" width="5.5" style="60" bestFit="1" customWidth="1"/>
    <col min="31" max="31" width="5.6640625" style="60" bestFit="1" customWidth="1"/>
    <col min="32" max="34" width="5.5" style="60" bestFit="1" customWidth="1"/>
    <col min="35" max="35" width="5.6640625" style="60" bestFit="1" customWidth="1"/>
    <col min="36" max="36" width="5.5" style="60" bestFit="1" customWidth="1"/>
    <col min="37" max="37" width="5.83203125" style="60" bestFit="1" customWidth="1"/>
    <col min="38" max="42" width="5.5" style="60" bestFit="1" customWidth="1"/>
    <col min="43" max="43" width="5.6640625" style="60" bestFit="1" customWidth="1"/>
    <col min="44" max="46" width="5.5" style="60" bestFit="1" customWidth="1"/>
    <col min="47" max="47" width="5.6640625" style="60" bestFit="1" customWidth="1"/>
    <col min="48" max="48" width="5.5" style="60" bestFit="1" customWidth="1"/>
    <col min="49" max="49" width="5.83203125" style="60" bestFit="1" customWidth="1"/>
    <col min="50" max="51" width="5.5" style="60" bestFit="1" customWidth="1"/>
    <col min="52" max="54" width="7" style="60" bestFit="1" customWidth="1"/>
    <col min="55" max="56" width="5.5" style="60" bestFit="1" customWidth="1"/>
    <col min="57" max="58" width="5.83203125" style="60" bestFit="1" customWidth="1"/>
    <col min="59" max="70" width="5.6640625" style="60" bestFit="1" customWidth="1"/>
    <col min="71" max="80" width="5.5" style="60" bestFit="1" customWidth="1"/>
    <col min="81" max="90" width="6.1640625" style="60" bestFit="1" customWidth="1"/>
    <col min="91" max="95" width="6.33203125" style="60" bestFit="1" customWidth="1"/>
    <col min="96" max="99" width="6.1640625" style="60" bestFit="1" customWidth="1"/>
    <col min="100" max="103" width="5.1640625" style="60" bestFit="1" customWidth="1"/>
    <col min="104" max="104" width="6.1640625" style="60" bestFit="1" customWidth="1"/>
    <col min="105" max="16384" width="22.6640625" style="60"/>
  </cols>
  <sheetData>
    <row r="1" spans="1:125" ht="13">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row>
    <row r="2" spans="1:125">
      <c r="A2" s="59"/>
      <c r="B2" s="59"/>
      <c r="C2" s="59"/>
      <c r="D2" s="98"/>
      <c r="E2" s="98"/>
      <c r="F2" s="59"/>
      <c r="H2" s="99"/>
      <c r="I2" s="99"/>
      <c r="J2" s="99"/>
      <c r="K2" s="99"/>
      <c r="L2" s="99"/>
      <c r="M2" s="99"/>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99"/>
      <c r="AP2" s="99"/>
      <c r="AQ2" s="99"/>
      <c r="AR2" s="99"/>
      <c r="AS2" s="99"/>
      <c r="AT2" s="99"/>
      <c r="AU2" s="99"/>
      <c r="AV2" s="99"/>
      <c r="AW2" s="99"/>
      <c r="AX2" s="99"/>
      <c r="AY2" s="99"/>
      <c r="AZ2" s="99"/>
      <c r="BA2" s="99"/>
      <c r="BB2" s="99"/>
      <c r="BC2" s="99"/>
      <c r="BD2" s="99"/>
      <c r="BE2" s="99"/>
      <c r="BF2" s="99"/>
      <c r="BG2" s="99"/>
      <c r="BH2" s="99"/>
      <c r="BI2" s="99"/>
      <c r="BJ2" s="99"/>
      <c r="BK2" s="99"/>
      <c r="BL2" s="99"/>
      <c r="BM2" s="99"/>
      <c r="BN2" s="99"/>
      <c r="BO2" s="99"/>
      <c r="BP2" s="99"/>
      <c r="BQ2" s="99"/>
      <c r="BR2" s="99"/>
      <c r="BS2" s="99"/>
      <c r="BT2" s="99"/>
      <c r="BU2" s="99"/>
      <c r="BV2" s="99"/>
      <c r="BW2" s="99"/>
      <c r="BX2" s="99"/>
      <c r="BY2" s="99"/>
      <c r="BZ2" s="99"/>
      <c r="CA2" s="99"/>
      <c r="CB2" s="99"/>
      <c r="CC2" s="99"/>
      <c r="CD2" s="99"/>
      <c r="CE2" s="99"/>
      <c r="CF2" s="99"/>
      <c r="CG2" s="99"/>
      <c r="CH2" s="99"/>
      <c r="CI2" s="99"/>
      <c r="CJ2" s="99"/>
      <c r="CK2" s="99"/>
      <c r="CL2" s="99"/>
      <c r="CM2" s="99"/>
      <c r="CN2" s="99"/>
    </row>
    <row r="3" spans="1:125" ht="15">
      <c r="A3" t="s">
        <v>815</v>
      </c>
      <c r="B3" s="100"/>
      <c r="C3" s="101"/>
      <c r="D3" s="282">
        <v>146.22999999999999</v>
      </c>
      <c r="K3" s="102"/>
      <c r="M3" s="102"/>
    </row>
    <row r="4" spans="1:125">
      <c r="A4" s="36"/>
      <c r="B4" s="64"/>
      <c r="D4" s="100"/>
      <c r="E4" s="64"/>
      <c r="F4" s="103"/>
    </row>
    <row r="5" spans="1:125">
      <c r="A5" s="64"/>
      <c r="B5" s="64"/>
      <c r="D5" s="64"/>
      <c r="E5" s="64"/>
      <c r="H5" s="60" t="s">
        <v>387</v>
      </c>
    </row>
    <row r="6" spans="1:125">
      <c r="A6" s="74"/>
      <c r="B6" s="74"/>
    </row>
    <row r="7" spans="1:125">
      <c r="A7" s="59"/>
      <c r="B7" s="59"/>
      <c r="C7" s="59"/>
      <c r="D7" s="98"/>
      <c r="E7" s="98"/>
      <c r="F7" s="59"/>
      <c r="H7" s="59" t="s">
        <v>416</v>
      </c>
      <c r="I7" s="59">
        <v>43831</v>
      </c>
      <c r="J7" s="59">
        <v>43862</v>
      </c>
      <c r="K7" s="59">
        <v>43891</v>
      </c>
      <c r="L7" s="59">
        <v>43922</v>
      </c>
      <c r="M7" s="59">
        <v>43952</v>
      </c>
      <c r="N7" s="59">
        <v>43983</v>
      </c>
      <c r="O7" s="59">
        <v>44013</v>
      </c>
      <c r="P7" s="59">
        <v>44044</v>
      </c>
      <c r="Q7" s="59">
        <v>44075</v>
      </c>
      <c r="R7" s="59">
        <v>44105</v>
      </c>
      <c r="S7" s="59">
        <v>44136</v>
      </c>
      <c r="T7" s="59">
        <v>44166</v>
      </c>
      <c r="U7" s="59">
        <v>44197</v>
      </c>
      <c r="V7" s="59">
        <v>44228</v>
      </c>
      <c r="W7" s="59">
        <v>44256</v>
      </c>
      <c r="X7" s="59">
        <v>44287</v>
      </c>
      <c r="Y7" s="59">
        <v>44317</v>
      </c>
      <c r="Z7" s="59">
        <v>44348</v>
      </c>
      <c r="AA7" s="59">
        <v>44378</v>
      </c>
      <c r="AB7" s="59">
        <v>44409</v>
      </c>
      <c r="AC7" s="59">
        <v>44440</v>
      </c>
      <c r="AD7" s="59">
        <v>44470</v>
      </c>
      <c r="AE7" s="59">
        <v>44501</v>
      </c>
      <c r="AF7" s="59">
        <v>44531</v>
      </c>
      <c r="AG7" s="59">
        <v>44562</v>
      </c>
      <c r="AH7" s="59">
        <v>44593</v>
      </c>
      <c r="AI7" s="59">
        <v>44621</v>
      </c>
      <c r="AJ7" s="59">
        <v>44652</v>
      </c>
      <c r="AK7" s="59">
        <v>44682</v>
      </c>
      <c r="AL7" s="59">
        <v>44713</v>
      </c>
      <c r="AM7" s="59">
        <v>44743</v>
      </c>
      <c r="AN7" s="59">
        <v>44774</v>
      </c>
      <c r="AO7" s="59">
        <v>44805</v>
      </c>
      <c r="AP7" s="59">
        <v>44835</v>
      </c>
      <c r="AQ7" s="59">
        <v>44866</v>
      </c>
      <c r="AR7" s="59">
        <v>44896</v>
      </c>
      <c r="AS7" s="59">
        <v>44927</v>
      </c>
      <c r="AT7" s="59">
        <v>44958</v>
      </c>
      <c r="AU7" s="59">
        <v>44986</v>
      </c>
      <c r="AV7" s="59">
        <v>45017</v>
      </c>
      <c r="AW7" s="59">
        <v>45047</v>
      </c>
      <c r="AX7" s="59">
        <v>45078</v>
      </c>
      <c r="AY7" s="59">
        <v>45108</v>
      </c>
      <c r="AZ7" s="59" t="s">
        <v>530</v>
      </c>
      <c r="BA7" s="59" t="s">
        <v>531</v>
      </c>
      <c r="BB7" s="59" t="s">
        <v>532</v>
      </c>
      <c r="BC7" s="59">
        <v>37104</v>
      </c>
      <c r="BD7" s="59">
        <v>37469</v>
      </c>
      <c r="BE7" s="59" t="s">
        <v>168</v>
      </c>
      <c r="BF7" s="59" t="s">
        <v>169</v>
      </c>
      <c r="BG7" s="59" t="s">
        <v>195</v>
      </c>
      <c r="BH7" s="59" t="s">
        <v>196</v>
      </c>
      <c r="BI7" s="59" t="s">
        <v>197</v>
      </c>
      <c r="BJ7" s="59" t="s">
        <v>198</v>
      </c>
      <c r="BK7" s="59" t="s">
        <v>199</v>
      </c>
      <c r="BL7" s="59" t="s">
        <v>200</v>
      </c>
      <c r="BM7" s="59" t="s">
        <v>201</v>
      </c>
      <c r="BN7" s="59" t="s">
        <v>202</v>
      </c>
      <c r="BO7" s="59">
        <v>37196</v>
      </c>
      <c r="BP7" s="59">
        <v>37561</v>
      </c>
      <c r="BQ7" s="59">
        <v>37926</v>
      </c>
      <c r="BR7" s="59">
        <v>38292</v>
      </c>
      <c r="BS7" s="59">
        <v>37226</v>
      </c>
      <c r="BT7" s="59">
        <v>37591</v>
      </c>
      <c r="BU7" s="59">
        <v>37956</v>
      </c>
      <c r="BV7" s="59">
        <v>38322</v>
      </c>
      <c r="BW7" s="59">
        <v>36892</v>
      </c>
      <c r="BX7" s="59">
        <v>37257</v>
      </c>
      <c r="BY7" s="59">
        <v>37622</v>
      </c>
      <c r="BZ7" s="59">
        <v>37987</v>
      </c>
      <c r="CA7" s="59">
        <v>36923</v>
      </c>
      <c r="CB7" s="59">
        <v>37288</v>
      </c>
      <c r="CC7" s="59">
        <v>37653</v>
      </c>
      <c r="CD7" s="59">
        <v>38018</v>
      </c>
      <c r="CE7" s="59" t="str">
        <f>Sheet8!A15</f>
        <v>Mar-w1</v>
      </c>
      <c r="CF7" s="59">
        <v>37316</v>
      </c>
      <c r="CG7" s="59">
        <v>37681</v>
      </c>
      <c r="CH7" s="59">
        <v>38047</v>
      </c>
      <c r="CI7" s="59" t="str">
        <f>Sheet8!E15</f>
        <v>Apr-w1</v>
      </c>
      <c r="CJ7" s="59" t="str">
        <f>Sheet8!F15</f>
        <v>Apr-w2</v>
      </c>
      <c r="CK7" s="59" t="str">
        <f>Sheet8!G15</f>
        <v>Apr-w3</v>
      </c>
      <c r="CL7" s="59" t="str">
        <f>Sheet8!H15</f>
        <v>Apr-w4</v>
      </c>
      <c r="CM7" s="59" t="str">
        <f>Sheet8!I15</f>
        <v>May-w1</v>
      </c>
      <c r="CN7" s="59" t="str">
        <f>Sheet8!J15</f>
        <v>May-w2</v>
      </c>
      <c r="CO7" s="59" t="str">
        <f>Sheet8!K15</f>
        <v>May-w3</v>
      </c>
      <c r="CP7" s="59" t="str">
        <f>Sheet8!L15</f>
        <v>May-w4</v>
      </c>
      <c r="CQ7" s="59" t="str">
        <f>Sheet8!M15</f>
        <v>May-w5</v>
      </c>
      <c r="CR7" s="59" t="str">
        <f>Sheet8!N15</f>
        <v>june-w1</v>
      </c>
      <c r="CS7" s="59" t="str">
        <f>Sheet8!O15</f>
        <v>june-w2</v>
      </c>
      <c r="CT7" s="59" t="str">
        <f>Sheet8!P15</f>
        <v>june-w3</v>
      </c>
      <c r="CU7" s="59" t="str">
        <f>Sheet8!Q15</f>
        <v>june-w4</v>
      </c>
      <c r="CV7" s="59" t="str">
        <f>Sheet8!R15</f>
        <v>Jul-w1</v>
      </c>
      <c r="CW7" s="59" t="str">
        <f>Sheet8!S15</f>
        <v>Jul-w2</v>
      </c>
      <c r="CX7" s="59" t="str">
        <f>Sheet8!T15</f>
        <v>Jul-w3</v>
      </c>
      <c r="CY7" s="59" t="str">
        <f>Sheet8!U15</f>
        <v>Jul-w4</v>
      </c>
      <c r="CZ7" s="59" t="str">
        <f>Sheet8!V15</f>
        <v>Aug-w1</v>
      </c>
      <c r="DA7" s="59" t="str">
        <f>Sheet8!W15</f>
        <v>Aug-w2</v>
      </c>
      <c r="DB7" s="59" t="str">
        <f>Sheet8!X15</f>
        <v>Aug-w3</v>
      </c>
      <c r="DC7" s="59" t="str">
        <f>Sheet8!Y15</f>
        <v>Aug-w4</v>
      </c>
      <c r="DD7" s="59" t="str">
        <f>Sheet8!Z15</f>
        <v>Sep-w1</v>
      </c>
      <c r="DE7" s="59" t="str">
        <f>Sheet8!AA15</f>
        <v>Sep-w2</v>
      </c>
      <c r="DF7" s="59" t="str">
        <f>Sheet8!AB15</f>
        <v>Sep-w3</v>
      </c>
      <c r="DG7" s="59" t="str">
        <f>Sheet8!AC15</f>
        <v>Sep-w4</v>
      </c>
      <c r="DH7" s="59" t="str">
        <f>Sheet8!AD15</f>
        <v>Oct-w1</v>
      </c>
      <c r="DI7" s="59" t="str">
        <f>Sheet8!AE15</f>
        <v>Oct-w2</v>
      </c>
      <c r="DJ7" s="59" t="str">
        <f>Sheet8!AF15</f>
        <v>Oct-w3</v>
      </c>
      <c r="DK7" s="59" t="str">
        <f>Sheet8!AG15</f>
        <v>Oct-w4</v>
      </c>
      <c r="DL7" s="59" t="str">
        <f>Sheet8!AH15</f>
        <v>Nov-w1</v>
      </c>
      <c r="DM7" s="59" t="str">
        <f>Sheet8!AI15</f>
        <v>Nov-w2</v>
      </c>
      <c r="DN7" s="59" t="str">
        <f>Sheet8!AJ15</f>
        <v>Nov-w3</v>
      </c>
      <c r="DO7" s="59" t="str">
        <f>Sheet8!AK15</f>
        <v>Nov-w4</v>
      </c>
      <c r="DP7" s="59" t="str">
        <f>Sheet8!AL15</f>
        <v>Dec-w1</v>
      </c>
      <c r="DQ7" s="59" t="str">
        <f>Sheet8!AM15</f>
        <v>Dec-w2</v>
      </c>
      <c r="DR7" s="59" t="str">
        <f>Sheet8!AN15</f>
        <v>Dec-w3</v>
      </c>
      <c r="DS7" s="59" t="str">
        <f>Sheet8!AO15</f>
        <v>Dec-w4</v>
      </c>
      <c r="DT7" s="59">
        <f>Sheet8!AP15</f>
        <v>0</v>
      </c>
      <c r="DU7" s="59">
        <f>Sheet8!AQ15</f>
        <v>0</v>
      </c>
    </row>
    <row r="8" spans="1:125">
      <c r="H8" s="178" t="s">
        <v>106</v>
      </c>
      <c r="I8" s="74">
        <f>VLOOKUP($H$8&amp;$F$1,'Input RM sheet'!$A:$BD,H1,0)</f>
        <v>858</v>
      </c>
      <c r="J8" s="74">
        <f>VLOOKUP($H$8&amp;$F$1,'Input RM sheet'!$A:$BD,I1,0)</f>
        <v>866.875</v>
      </c>
      <c r="K8" s="74">
        <f>VLOOKUP($H$8&amp;$F$1,'Input RM sheet'!$A:$DD,J1,0)</f>
        <v>815.625</v>
      </c>
      <c r="L8" s="74">
        <f>VLOOKUP($H$8&amp;$F$1,'Input RM sheet'!$A:$DD,K1,0)</f>
        <v>680</v>
      </c>
      <c r="M8" s="74">
        <f>VLOOKUP($H$8&amp;$F$1,'Input RM sheet'!$A:$DD,L1,0)</f>
        <v>719.375</v>
      </c>
      <c r="N8" s="74">
        <f>VLOOKUP($H$8&amp;$F$1,'Input RM sheet'!$A:$DD,M1,0)</f>
        <v>762.5</v>
      </c>
      <c r="O8" s="74">
        <f>VLOOKUP($H$8&amp;$F$1,'Input RM sheet'!$A:$DD,N1,0)</f>
        <v>821</v>
      </c>
      <c r="P8" s="74">
        <f>VLOOKUP($H$8&amp;$F$1,'Input RM sheet'!$A:$DD,O1,0)</f>
        <v>825.625</v>
      </c>
      <c r="Q8" s="74">
        <f>VLOOKUP($H$8&amp;$F$1,'Input RM sheet'!$A:$DD,P1,0)</f>
        <v>843.125</v>
      </c>
      <c r="R8" s="74">
        <f>VLOOKUP($H$8&amp;$F$1,'Input RM sheet'!$A:$DD,Q1,0)</f>
        <v>867.5</v>
      </c>
      <c r="S8" s="74">
        <f>VLOOKUP($H$8&amp;$F$1,'Input RM sheet'!$A:$DD,R1,0)</f>
        <v>1078.75</v>
      </c>
      <c r="T8" s="74">
        <f>VLOOKUP($H$8&amp;$F$1,'Input RM sheet'!$A:$DD,S1,0)</f>
        <v>1266.25</v>
      </c>
      <c r="U8" s="74">
        <f>VLOOKUP($H$8&amp;$F$1,'Input RM sheet'!$A:$DD,T1,0)</f>
        <v>1347.5</v>
      </c>
      <c r="V8" s="74">
        <f>VLOOKUP($H$8&amp;$F$1,'Input RM sheet'!$A:$DD,U1,0)</f>
        <v>1542</v>
      </c>
      <c r="W8" s="74">
        <f>VLOOKUP($H$8&amp;$F$1,'Input RM sheet'!$A:$DD,V1,0)</f>
        <v>1886</v>
      </c>
      <c r="X8" s="74">
        <f>VLOOKUP($H$8&amp;$F$1,'Input RM sheet'!$A:$DD,W1,0)</f>
        <v>1673</v>
      </c>
      <c r="Y8" s="74">
        <f>VLOOKUP($H$8&amp;$F$1,'Input RM sheet'!$A:$DD,X1,0)</f>
        <v>1893.75</v>
      </c>
      <c r="Z8" s="74">
        <f>VLOOKUP($H$8&amp;$F$1,'Input RM sheet'!$A:$DD,Y1,0)</f>
        <v>1911.25</v>
      </c>
      <c r="AA8" s="74">
        <f>VLOOKUP($H$8&amp;$F$1,'Input RM sheet'!$A:$DD,Z1,0)</f>
        <v>1999</v>
      </c>
      <c r="AB8" s="74">
        <f>VLOOKUP($H$8&amp;$F$1,'Input RM sheet'!$A:$DD,AA1,0)</f>
        <v>2094</v>
      </c>
      <c r="AC8" s="74">
        <f>VLOOKUP($H$8&amp;$F$1,'Input RM sheet'!$A:$DD,AB1,0)</f>
        <v>1984</v>
      </c>
      <c r="AD8" s="74">
        <f>VLOOKUP($H$8&amp;$F$1,'Input RM sheet'!$A:$DD,AC1,0)</f>
        <v>1753.75</v>
      </c>
      <c r="AE8" s="74">
        <f>VLOOKUP($H$8&amp;$F$1,'Input RM sheet'!$A:$DD,AD1,0)</f>
        <v>1732.5</v>
      </c>
      <c r="AF8" s="74">
        <f>VLOOKUP($H$8&amp;$F$1,'Input RM sheet'!$A:$DD,AE1,0)</f>
        <v>1550</v>
      </c>
      <c r="AG8" s="74">
        <f>VLOOKUP($H$8&amp;$F$1,'Input RM sheet'!$A:$DD,AF1,0)</f>
        <v>1487.5</v>
      </c>
      <c r="AH8" s="74">
        <f>VLOOKUP($H$8&amp;$F$1,'Input RM sheet'!$A:$DD,AG1,0)</f>
        <v>1678.75</v>
      </c>
      <c r="AI8" s="74">
        <f>VLOOKUP($H$8&amp;$F$1,'Input RM sheet'!$A:$DD,AH1,0)</f>
        <v>1756</v>
      </c>
      <c r="AJ8" s="74">
        <f>VLOOKUP($H$8&amp;$F$1,'Input RM sheet'!$A:$DD,AI1,0)</f>
        <v>1750</v>
      </c>
      <c r="AK8" s="74">
        <f>VLOOKUP($H$8&amp;$F$1,'Input RM sheet'!$A:$DD,AJ1,0)</f>
        <v>1718.75</v>
      </c>
      <c r="AL8" s="74">
        <f>VLOOKUP($H$8&amp;$F$1,'Input RM sheet'!$A:$DD,AK1,0)</f>
        <v>1490</v>
      </c>
      <c r="AM8" s="74">
        <f>VLOOKUP($H$8&amp;$F$1,'Input RM sheet'!$A:$DD,AL1,0)</f>
        <v>1145</v>
      </c>
      <c r="AN8" s="74">
        <f>VLOOKUP($H$8&amp;$F$1,'Input RM sheet'!$A:$DD,AM1,0)</f>
        <v>1105</v>
      </c>
      <c r="AO8" s="74">
        <f>VLOOKUP($H$8&amp;$F$1,'Input RM sheet'!$A:$DD,AN1,0)</f>
        <v>1149.5</v>
      </c>
      <c r="AP8" s="74">
        <f>VLOOKUP($H$8&amp;$F$1,'Input RM sheet'!$A:$DD,AO1,0)</f>
        <v>1160</v>
      </c>
      <c r="AQ8" s="74">
        <f>VLOOKUP($H$8&amp;$F$1,'Input RM sheet'!$A:$DD,AP1,0)</f>
        <v>1150</v>
      </c>
      <c r="AR8" s="74">
        <f>VLOOKUP($H$8&amp;$F$1,'Input RM sheet'!$A:$DD,AQ1,0)</f>
        <v>1130</v>
      </c>
      <c r="AS8" s="74">
        <f>VLOOKUP($H$8&amp;$F$1,'Input RM sheet'!$A:$DD,AR1,0)</f>
        <v>1210</v>
      </c>
      <c r="AT8" s="74">
        <f>VLOOKUP($H$8&amp;$F$1,'Input RM sheet'!$A:$DD,AS1,0)</f>
        <v>1238.75</v>
      </c>
      <c r="AU8" s="74">
        <f>VLOOKUP($H$8&amp;$F$1,'Input RM sheet'!$A:$DD,AT1,0)</f>
        <v>1185</v>
      </c>
      <c r="AV8" s="74">
        <f>VLOOKUP($H$8&amp;$F$1,'Input RM sheet'!$A:$DD,AU1,0)</f>
        <v>1175</v>
      </c>
      <c r="AW8" s="74">
        <f>VLOOKUP($H$8&amp;$F$1,'Input RM sheet'!$A:$DD,AV1,0)</f>
        <v>1200</v>
      </c>
      <c r="AX8" s="74">
        <f>VLOOKUP($H$8&amp;$F$1,'Input RM sheet'!$A:$DD,AW1,0)</f>
        <v>1240</v>
      </c>
      <c r="AY8" s="74">
        <f>VLOOKUP($H$8&amp;$F$1,'Input RM sheet'!$A:$DD,AX1,0)</f>
        <v>1110</v>
      </c>
      <c r="AZ8" s="74">
        <f>VLOOKUP($H$8&amp;$F$1,'Input RM sheet'!$A:$DD,AY1,0)</f>
        <v>1110</v>
      </c>
      <c r="BA8" s="74">
        <f>VLOOKUP($H$8&amp;$F$1,'Input RM sheet'!$A:$DD,AZ1,0)</f>
        <v>1120</v>
      </c>
      <c r="BB8" s="74">
        <f>VLOOKUP($H$8&amp;$F$1,'Input RM sheet'!$A:$DD,BA1,0)</f>
        <v>1150</v>
      </c>
      <c r="BC8" s="74">
        <f>VLOOKUP($H$8&amp;$F$1,'Input RM sheet'!$A:$DD,BB1,0)</f>
        <v>1240</v>
      </c>
      <c r="BD8" s="74">
        <f>VLOOKUP($H$8&amp;$F$1,'Input RM sheet'!$A:$DD,BC1,0)</f>
        <v>1305</v>
      </c>
      <c r="BE8" s="74">
        <f>VLOOKUP($H$8&amp;$F$1,'Input RM sheet'!$A:$DD,BD1,0)</f>
        <v>1345</v>
      </c>
      <c r="BF8" s="74">
        <f>VLOOKUP($H$8&amp;$F$1,'Input RM sheet'!$A:$DD,BE1,0)</f>
        <v>1350</v>
      </c>
      <c r="BG8" s="74">
        <f>VLOOKUP($H$8&amp;$F$1,'Input RM sheet'!$A:$DD,BF1,0)</f>
        <v>1435</v>
      </c>
      <c r="BH8" s="74">
        <f>VLOOKUP($H$8&amp;$F$1,'Input RM sheet'!$A:$DD,BG1,0)</f>
        <v>1435</v>
      </c>
      <c r="BI8" s="74">
        <f>VLOOKUP($H$8&amp;$F$1,'Input RM sheet'!$A:$DD,BH1,0)</f>
        <v>1340</v>
      </c>
      <c r="BJ8" s="74">
        <f>VLOOKUP($H$8&amp;$F$1,'Input RM sheet'!$A:$DD,BI1,0)</f>
        <v>1404</v>
      </c>
      <c r="BK8" s="74">
        <f>VLOOKUP($H$8&amp;$F$1,'Input RM sheet'!$A:$DD,BJ1,0)</f>
        <v>1385</v>
      </c>
      <c r="BL8" s="74">
        <f>VLOOKUP($H$8&amp;$F$1,'Input RM sheet'!$A:$DD,BK1,0)</f>
        <v>1340</v>
      </c>
      <c r="BM8" s="74">
        <f>VLOOKUP($H$8&amp;$F$1,'Input RM sheet'!$A:$DD,BL1,0)</f>
        <v>1330</v>
      </c>
      <c r="BN8" s="74">
        <f>VLOOKUP($H$8&amp;$F$1,'Input RM sheet'!$A:$DD,BM1,0)</f>
        <v>1290</v>
      </c>
      <c r="BO8" s="74">
        <f>VLOOKUP($H$8&amp;$F$1,'Input RM sheet'!$A:$DD,BN1,0)</f>
        <v>1290</v>
      </c>
      <c r="BP8" s="74">
        <f>VLOOKUP($H$8&amp;$F$1,'Input RM sheet'!$A:$DD,BO1,0)</f>
        <v>1290</v>
      </c>
      <c r="BQ8" s="74">
        <f>VLOOKUP($H$8&amp;$F$1,'Input RM sheet'!$A:$DD,BP1,0)</f>
        <v>1290</v>
      </c>
      <c r="BR8" s="74">
        <f>VLOOKUP($H$8&amp;$F$1,'Input RM sheet'!$A:$DD,BQ1,0)</f>
        <v>1270</v>
      </c>
      <c r="BS8" s="74">
        <f>VLOOKUP($H$8&amp;$F$1,'Input RM sheet'!$A:$DD,BR1,0)</f>
        <v>1270</v>
      </c>
      <c r="BT8" s="74">
        <f>VLOOKUP($H$8&amp;$F$1,'Input RM sheet'!$A:$DD,BS1,0)</f>
        <v>1285</v>
      </c>
      <c r="BU8" s="74">
        <f>VLOOKUP($H$8&amp;$F$1,'Input RM sheet'!$A:$DD,BT1,0)</f>
        <v>1340</v>
      </c>
      <c r="BV8" s="74">
        <f>VLOOKUP($H$8&amp;$F$1,'Input RM sheet'!$A:$DD,BU1,0)</f>
        <v>1340</v>
      </c>
      <c r="BW8" s="74">
        <f>VLOOKUP($H$8&amp;$F$1,'Input RM sheet'!$A:$DD,BV1,0)</f>
        <v>1465</v>
      </c>
      <c r="BX8" s="74">
        <f>VLOOKUP($H$8&amp;$F$1,'Input RM sheet'!$A:$DD,BW1,0)</f>
        <v>1515</v>
      </c>
      <c r="BY8" s="74">
        <f>VLOOKUP($H$8&amp;$F$1,'Input RM sheet'!$A:$DD,BX1,0)</f>
        <v>1515</v>
      </c>
      <c r="BZ8" s="74">
        <f>VLOOKUP($H$8&amp;$F$1,'Input RM sheet'!$A:$DD,BY1,0)</f>
        <v>1510</v>
      </c>
      <c r="CA8" s="74">
        <f>VLOOKUP($H$8&amp;$F$1,'Input RM sheet'!$A:$DD,BZ1,0)</f>
        <v>1510</v>
      </c>
      <c r="CB8" s="74">
        <f>VLOOKUP($H$8&amp;$F$1,'Input RM sheet'!$A:$DD,CA1,0)</f>
        <v>1510</v>
      </c>
      <c r="CC8" s="74">
        <f>VLOOKUP($H$8&amp;$F$1,'Input RM sheet'!$A:$DD,CB1,0)</f>
        <v>1480</v>
      </c>
      <c r="CD8" s="74">
        <f>VLOOKUP($H$8&amp;$F$1,'Input RM sheet'!$A:$DD,CC1,0)</f>
        <v>1485</v>
      </c>
      <c r="CE8" s="74">
        <f>VLOOKUP($H$8&amp;$F$1,'Input RM sheet'!$A:$DD,CD1,0)</f>
        <v>1495</v>
      </c>
      <c r="CF8" s="74">
        <f>VLOOKUP($H$8&amp;$F$1,'Input RM sheet'!$A:$DD,CE1,0)</f>
        <v>1475</v>
      </c>
      <c r="CG8" s="74">
        <f>VLOOKUP($H$8&amp;$F$1,'Input RM sheet'!$A:$DD,CF1,0)</f>
        <v>1415</v>
      </c>
      <c r="CH8" s="74">
        <f>VLOOKUP($H$8&amp;$F$1,'Input RM sheet'!$A:$DD,CG1,0)</f>
        <v>1375</v>
      </c>
      <c r="CI8" s="74">
        <f>VLOOKUP($H$8&amp;$F$1,'Input RM sheet'!$A:$DD,CH1,0)</f>
        <v>1355</v>
      </c>
      <c r="CJ8" s="74">
        <f>VLOOKUP($H$8&amp;$F$1,'Input RM sheet'!$A:$DD,CI1,0)</f>
        <v>1325</v>
      </c>
      <c r="CK8" s="74">
        <f>VLOOKUP($H$8&amp;$F$1,'Input RM sheet'!$A:$DD,CJ1,0)</f>
        <v>1325</v>
      </c>
      <c r="CL8" s="74">
        <f>VLOOKUP($H$8&amp;$F$1,'Input RM sheet'!$A:$DD,CK1,0)</f>
        <v>1305</v>
      </c>
      <c r="CM8" s="74">
        <f>VLOOKUP($H$8&amp;$F$1,'Input RM sheet'!$A:$DD,CL1,0)</f>
        <v>1275</v>
      </c>
      <c r="CN8" s="74">
        <f>VLOOKUP($H$8&amp;$F$1,'Input RM sheet'!$A:$DD,CM1,0)</f>
        <v>1265</v>
      </c>
      <c r="CO8" s="74">
        <f>VLOOKUP($H$8&amp;$F$1,'Input RM sheet'!$A:$DD,CN1,0)</f>
        <v>1265</v>
      </c>
      <c r="CP8" s="74">
        <f>VLOOKUP($H$8&amp;$F$1,'Input RM sheet'!$A:$DD,CO1,0)</f>
        <v>1265</v>
      </c>
      <c r="CQ8" s="74">
        <f>VLOOKUP($H$8&amp;$F$1,'Input RM sheet'!$A:$DD,CP1,0)</f>
        <v>1265</v>
      </c>
      <c r="CR8" s="74">
        <f>VLOOKUP($H$8&amp;$F$1,'Input RM sheet'!$A:$ZZ,CQ1,0)</f>
        <v>1265</v>
      </c>
      <c r="CS8" s="74">
        <f>VLOOKUP($H$8&amp;$F$1,'Input RM sheet'!$A:$ZZ,CR1,0)</f>
        <v>1315</v>
      </c>
      <c r="CT8" s="74">
        <f>VLOOKUP($H$8&amp;$F$1,'Input RM sheet'!$A:$ZZ,CS1,0)</f>
        <v>1235</v>
      </c>
      <c r="CU8" s="74">
        <f>VLOOKUP($H$8&amp;$F$1,'Input RM sheet'!$A:$ZZ,CT1,0)</f>
        <v>1190</v>
      </c>
      <c r="CV8" s="74">
        <f>VLOOKUP($H$8&amp;$F$1,'Input RM sheet'!$A:$ZZ,CU1,0)</f>
        <v>1195</v>
      </c>
      <c r="CW8" s="74">
        <f>VLOOKUP($H$8&amp;$F$1,'Input RM sheet'!$A:$ZZ,CV1,0)</f>
        <v>1167</v>
      </c>
      <c r="CX8" s="74">
        <f>VLOOKUP($H$8&amp;$F$1,'Input RM sheet'!$A:$ZZ,CW1,0)</f>
        <v>1152</v>
      </c>
      <c r="CY8" s="74">
        <f>VLOOKUP($H$8&amp;$F$1,'Input RM sheet'!$A:$ZZ,CX1,0)</f>
        <v>1161</v>
      </c>
      <c r="CZ8" s="74">
        <f>VLOOKUP($H$8&amp;$F$1,'Input RM sheet'!$A:$ZZ,CY1,0)</f>
        <v>1115</v>
      </c>
      <c r="DA8" s="74">
        <f>VLOOKUP($H$8&amp;$F$1,'Input RM sheet'!$A:$ZZ,CZ1,0)</f>
        <v>1110</v>
      </c>
      <c r="DB8" s="74">
        <f>VLOOKUP($H$8&amp;$F$1,'Input RM sheet'!$A:$ZZ,DA1,0)</f>
        <v>1085</v>
      </c>
      <c r="DC8" s="74">
        <f>VLOOKUP($H$8&amp;$F$1,'Input RM sheet'!$A:$ZZ,DB1,0)</f>
        <v>970</v>
      </c>
      <c r="DD8" s="74">
        <f>VLOOKUP($H$8&amp;$F$1,'Input RM sheet'!$A:$ZZ,DC1,0)</f>
        <v>990</v>
      </c>
      <c r="DE8" s="74">
        <f>VLOOKUP($H$8&amp;$F$1,'Input RM sheet'!$A:$ZZ,DD1,0)</f>
        <v>990</v>
      </c>
      <c r="DF8" s="74">
        <f>VLOOKUP($H$8&amp;$F$1,'Input RM sheet'!$A:$ZZ,DE1,0)</f>
        <v>990</v>
      </c>
      <c r="DG8" s="74">
        <f>VLOOKUP($H$8&amp;$F$1,'Input RM sheet'!$A:$ZZ,DF1,0)</f>
        <v>1000</v>
      </c>
      <c r="DH8" s="74">
        <f>VLOOKUP($H$8&amp;$F$1,'Input RM sheet'!$A:$ZZ,DG1,0)</f>
        <v>1015</v>
      </c>
      <c r="DI8" s="74">
        <f>VLOOKUP($H$8&amp;$F$1,'Input RM sheet'!$A:$ZZ,DH1,0)</f>
        <v>1100</v>
      </c>
      <c r="DJ8" s="74">
        <f>VLOOKUP($H$8&amp;$F$1,'Input RM sheet'!$A:$ZZ,DI1,0)</f>
        <v>1110</v>
      </c>
      <c r="DK8" s="74">
        <f>VLOOKUP($H$8&amp;$F$1,'Input RM sheet'!$A:$ZZ,DJ1,0)</f>
        <v>1110</v>
      </c>
      <c r="DL8" s="74">
        <f>VLOOKUP($H$8&amp;$F$1,'Input RM sheet'!$A:$ZZ,DK1,0)</f>
        <v>1095</v>
      </c>
      <c r="DM8" s="74">
        <f>VLOOKUP($H$8&amp;$F$1,'Input RM sheet'!$A:$ZZ,DL1,0)</f>
        <v>1095</v>
      </c>
      <c r="DN8" s="74">
        <f>VLOOKUP($H$8&amp;$F$1,'Input RM sheet'!$A:$ZZ,DM1,0)</f>
        <v>1110</v>
      </c>
      <c r="DO8" s="74">
        <f>VLOOKUP($H$8&amp;$F$1,'Input RM sheet'!$A:$ZZ,DN1,0)</f>
        <v>1105</v>
      </c>
      <c r="DP8" s="74">
        <f>VLOOKUP($H$8&amp;$F$1,'Input RM sheet'!$A:$ZZ,DO1,0)</f>
        <v>1105</v>
      </c>
      <c r="DQ8" s="74">
        <f>VLOOKUP($H$8&amp;$F$1,'Input RM sheet'!$A:$ZZ,DP1,0)</f>
        <v>1065</v>
      </c>
      <c r="DR8" s="74">
        <f>VLOOKUP($H$8&amp;$F$1,'Input RM sheet'!$A:$ZZ,DQ1,0)</f>
        <v>1045</v>
      </c>
      <c r="DS8" s="74">
        <f>VLOOKUP($H$8&amp;$F$1,'Input RM sheet'!$A:$ZZ,DR1,0)</f>
        <v>1010</v>
      </c>
      <c r="DT8" s="74">
        <f>VLOOKUP($H$8&amp;$F$1,'Input RM sheet'!$A:$ZZ,DS1,0)</f>
        <v>0</v>
      </c>
      <c r="DU8" s="74">
        <f>VLOOKUP($H$8&amp;$F$1,'Input RM sheet'!$A:$ZZ,DT1,0)</f>
        <v>0</v>
      </c>
    </row>
    <row r="9" spans="1:125" ht="13">
      <c r="H9" s="107" t="s">
        <v>114</v>
      </c>
      <c r="I9" s="74"/>
      <c r="J9" s="74"/>
      <c r="K9" s="74"/>
      <c r="L9" s="74"/>
      <c r="M9" s="74"/>
      <c r="N9" s="74"/>
      <c r="O9" s="74"/>
      <c r="P9" s="74"/>
      <c r="Q9" s="74"/>
      <c r="R9" s="74"/>
      <c r="S9" s="74"/>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74"/>
      <c r="BG9" s="74"/>
      <c r="BH9" s="74"/>
      <c r="BI9" s="74"/>
      <c r="BJ9" s="74"/>
      <c r="BK9" s="74"/>
      <c r="BL9" s="74"/>
      <c r="BM9" s="74"/>
      <c r="BN9" s="74"/>
      <c r="BO9" s="74"/>
      <c r="BP9" s="74"/>
      <c r="BQ9" s="74"/>
      <c r="BR9" s="74"/>
      <c r="BS9" s="74"/>
      <c r="BT9" s="74"/>
      <c r="BU9" s="74"/>
      <c r="BV9" s="74"/>
      <c r="BW9" s="74"/>
      <c r="BX9" s="74"/>
      <c r="BY9" s="74"/>
      <c r="BZ9" s="74"/>
      <c r="CA9" s="74"/>
      <c r="CB9" s="74"/>
      <c r="CC9" s="74"/>
      <c r="CD9" s="74"/>
      <c r="CE9" s="74"/>
      <c r="CF9" s="74"/>
      <c r="CG9" s="74"/>
      <c r="CH9" s="74"/>
      <c r="CI9" s="74"/>
      <c r="CJ9" s="74"/>
      <c r="CK9" s="74"/>
      <c r="CL9" s="74"/>
      <c r="CM9" s="74"/>
      <c r="CN9" s="74"/>
      <c r="CO9" s="74"/>
      <c r="CP9" s="74"/>
      <c r="CQ9" s="74"/>
      <c r="CR9" s="74"/>
      <c r="CS9" s="74"/>
      <c r="CT9" s="74"/>
      <c r="CU9" s="74"/>
      <c r="CV9" s="74"/>
      <c r="CW9" s="74"/>
      <c r="CX9" s="74"/>
      <c r="CY9" s="74"/>
      <c r="CZ9" s="74"/>
      <c r="DA9" s="74"/>
      <c r="DB9" s="74"/>
      <c r="DC9" s="74"/>
      <c r="DD9" s="74"/>
      <c r="DE9" s="74"/>
      <c r="DF9" s="74"/>
      <c r="DG9" s="74"/>
      <c r="DH9" s="74"/>
      <c r="DI9" s="74"/>
      <c r="DJ9" s="74"/>
      <c r="DK9" s="74"/>
      <c r="DL9" s="74"/>
      <c r="DM9" s="74"/>
      <c r="DN9" s="74"/>
      <c r="DO9" s="74"/>
      <c r="DP9" s="74"/>
      <c r="DQ9" s="74"/>
      <c r="DR9" s="74"/>
      <c r="DS9" s="74"/>
      <c r="DT9" s="74"/>
      <c r="DU9" s="74"/>
    </row>
    <row r="10" spans="1:125" ht="13">
      <c r="A10" s="59" t="s">
        <v>395</v>
      </c>
      <c r="B10" s="59"/>
      <c r="C10" s="59" t="s">
        <v>379</v>
      </c>
      <c r="D10" s="98" t="s">
        <v>380</v>
      </c>
      <c r="E10" s="98" t="s">
        <v>381</v>
      </c>
      <c r="F10" s="59" t="s">
        <v>396</v>
      </c>
      <c r="I10" s="84"/>
      <c r="J10" s="84"/>
      <c r="K10" s="84"/>
      <c r="L10" s="84"/>
      <c r="M10" s="84"/>
      <c r="N10" s="84"/>
      <c r="O10" s="84"/>
      <c r="P10" s="84"/>
      <c r="Q10" s="84"/>
      <c r="R10" s="84"/>
      <c r="S10" s="84"/>
      <c r="T10" s="84"/>
      <c r="U10" s="84"/>
      <c r="V10" s="84"/>
      <c r="W10" s="84"/>
      <c r="X10" s="84"/>
      <c r="Y10" s="84"/>
      <c r="Z10" s="84"/>
      <c r="AA10" s="84"/>
      <c r="AB10" s="84"/>
      <c r="AC10" s="84"/>
      <c r="AD10" s="84"/>
      <c r="AE10" s="84"/>
      <c r="AF10" s="84"/>
      <c r="AG10" s="84"/>
      <c r="AH10" s="84"/>
      <c r="AI10" s="84"/>
      <c r="AJ10" s="84"/>
      <c r="AK10" s="84"/>
      <c r="AL10" s="84"/>
      <c r="AM10" s="84"/>
      <c r="AN10" s="84"/>
      <c r="AO10" s="84"/>
      <c r="AP10" s="84"/>
      <c r="AQ10" s="84"/>
      <c r="AR10" s="84"/>
      <c r="AS10" s="84"/>
      <c r="AT10" s="84"/>
      <c r="AU10" s="84"/>
      <c r="AV10" s="84"/>
      <c r="AW10" s="84"/>
      <c r="AX10" s="84"/>
      <c r="AY10" s="84"/>
      <c r="AZ10" s="84"/>
      <c r="BA10" s="84"/>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84"/>
      <c r="CE10" s="84"/>
      <c r="CF10" s="84"/>
      <c r="CG10" s="84"/>
      <c r="CH10" s="84"/>
      <c r="CI10" s="84"/>
      <c r="CJ10" s="84"/>
      <c r="CK10" s="84"/>
      <c r="CL10" s="84"/>
      <c r="CM10" s="84"/>
      <c r="CN10" s="84"/>
      <c r="CO10" s="84"/>
      <c r="CP10" s="84"/>
      <c r="CQ10" s="84"/>
      <c r="CR10" s="84"/>
      <c r="CS10" s="84"/>
      <c r="CT10" s="84"/>
      <c r="CU10" s="84"/>
      <c r="CV10" s="84"/>
      <c r="CW10" s="84"/>
      <c r="CX10" s="84"/>
      <c r="CY10" s="84"/>
      <c r="CZ10" s="84"/>
      <c r="DA10" s="84"/>
      <c r="DB10" s="84"/>
      <c r="DC10" s="84"/>
      <c r="DD10" s="84"/>
      <c r="DE10" s="84"/>
      <c r="DF10" s="84"/>
      <c r="DG10" s="84"/>
      <c r="DH10" s="84"/>
      <c r="DI10" s="84"/>
      <c r="DJ10" s="84"/>
      <c r="DK10" s="84"/>
      <c r="DL10" s="84"/>
      <c r="DM10" s="84"/>
      <c r="DN10" s="84"/>
      <c r="DO10" s="84"/>
      <c r="DP10" s="84"/>
      <c r="DQ10" s="84"/>
      <c r="DR10" s="84"/>
      <c r="DS10" s="84"/>
      <c r="DT10" s="84"/>
      <c r="DU10" s="84"/>
    </row>
    <row r="11" spans="1:125" ht="13">
      <c r="A11" s="107" t="s">
        <v>397</v>
      </c>
      <c r="B11" s="107" t="s">
        <v>346</v>
      </c>
      <c r="C11" s="60">
        <v>1</v>
      </c>
      <c r="D11" s="65">
        <v>128.21</v>
      </c>
      <c r="E11" s="60">
        <f>D11*C11</f>
        <v>128.21</v>
      </c>
      <c r="F11" s="328">
        <f>E11/$D$3</f>
        <v>0.87676947274841011</v>
      </c>
      <c r="H11" s="60" t="s">
        <v>399</v>
      </c>
      <c r="I11" s="74">
        <f>$F$11*(I8/1000)</f>
        <v>0.75226820761813584</v>
      </c>
      <c r="J11" s="74">
        <f t="shared" ref="J11:BU11" si="0">$F$11*(J8/1000)</f>
        <v>0.76004953668877795</v>
      </c>
      <c r="K11" s="74">
        <f t="shared" si="0"/>
        <v>0.71511510121042199</v>
      </c>
      <c r="L11" s="74">
        <f t="shared" si="0"/>
        <v>0.5962032414689189</v>
      </c>
      <c r="M11" s="74">
        <f t="shared" si="0"/>
        <v>0.63072603945838746</v>
      </c>
      <c r="N11" s="74">
        <f t="shared" si="0"/>
        <v>0.66853672297066269</v>
      </c>
      <c r="O11" s="74">
        <f t="shared" si="0"/>
        <v>0.71982773712644466</v>
      </c>
      <c r="P11" s="74">
        <f t="shared" si="0"/>
        <v>0.72388279593790616</v>
      </c>
      <c r="Q11" s="74">
        <f t="shared" si="0"/>
        <v>0.73922626171100325</v>
      </c>
      <c r="R11" s="74">
        <f t="shared" si="0"/>
        <v>0.76059751760924577</v>
      </c>
      <c r="S11" s="74">
        <f t="shared" si="0"/>
        <v>0.94581506872734744</v>
      </c>
      <c r="T11" s="74">
        <f t="shared" si="0"/>
        <v>1.1102093448676744</v>
      </c>
      <c r="U11" s="74">
        <f t="shared" si="0"/>
        <v>1.1814468645284826</v>
      </c>
      <c r="V11" s="74">
        <f t="shared" si="0"/>
        <v>1.3519785269780484</v>
      </c>
      <c r="W11" s="74">
        <f t="shared" si="0"/>
        <v>1.6535872256035014</v>
      </c>
      <c r="X11" s="74">
        <f t="shared" si="0"/>
        <v>1.4668353279080901</v>
      </c>
      <c r="Y11" s="74">
        <f t="shared" si="0"/>
        <v>1.6603821890173016</v>
      </c>
      <c r="Z11" s="74">
        <f t="shared" si="0"/>
        <v>1.6757256547903987</v>
      </c>
      <c r="AA11" s="74">
        <f t="shared" si="0"/>
        <v>1.7526621760240719</v>
      </c>
      <c r="AB11" s="74">
        <f t="shared" si="0"/>
        <v>1.8359552759351707</v>
      </c>
      <c r="AC11" s="74">
        <f t="shared" si="0"/>
        <v>1.7395106339328457</v>
      </c>
      <c r="AD11" s="74">
        <f t="shared" si="0"/>
        <v>1.5376344628325243</v>
      </c>
      <c r="AE11" s="74">
        <f t="shared" si="0"/>
        <v>1.5190031115366205</v>
      </c>
      <c r="AF11" s="74">
        <f t="shared" si="0"/>
        <v>1.3589926827600356</v>
      </c>
      <c r="AG11" s="74">
        <f t="shared" si="0"/>
        <v>1.3041945907132602</v>
      </c>
      <c r="AH11" s="74">
        <f t="shared" si="0"/>
        <v>1.4718767523763934</v>
      </c>
      <c r="AI11" s="74">
        <f t="shared" si="0"/>
        <v>1.5396071941462082</v>
      </c>
      <c r="AJ11" s="74">
        <f t="shared" si="0"/>
        <v>1.5343465773097176</v>
      </c>
      <c r="AK11" s="74">
        <f t="shared" si="0"/>
        <v>1.5069475312863299</v>
      </c>
      <c r="AL11" s="74">
        <f t="shared" si="0"/>
        <v>1.306386514395131</v>
      </c>
      <c r="AM11" s="74">
        <f t="shared" si="0"/>
        <v>1.0039010462969296</v>
      </c>
      <c r="AN11" s="74">
        <f t="shared" si="0"/>
        <v>0.96883026738699318</v>
      </c>
      <c r="AO11" s="74">
        <f t="shared" si="0"/>
        <v>1.0078465089242974</v>
      </c>
      <c r="AP11" s="74">
        <f t="shared" si="0"/>
        <v>1.0170525883881556</v>
      </c>
      <c r="AQ11" s="74">
        <f t="shared" si="0"/>
        <v>1.0082848936606716</v>
      </c>
      <c r="AR11" s="74">
        <f t="shared" si="0"/>
        <v>0.99074950420570329</v>
      </c>
      <c r="AS11" s="74">
        <f t="shared" si="0"/>
        <v>1.0608910620255763</v>
      </c>
      <c r="AT11" s="74">
        <f t="shared" si="0"/>
        <v>1.0860981843670929</v>
      </c>
      <c r="AU11" s="74">
        <f t="shared" si="0"/>
        <v>1.038971825206866</v>
      </c>
      <c r="AV11" s="74">
        <f t="shared" si="0"/>
        <v>1.0302041304793819</v>
      </c>
      <c r="AW11" s="74">
        <f t="shared" si="0"/>
        <v>1.0521233672980921</v>
      </c>
      <c r="AX11" s="74">
        <f t="shared" si="0"/>
        <v>1.0871941462080286</v>
      </c>
      <c r="AY11" s="74">
        <f t="shared" si="0"/>
        <v>0.97321411475073527</v>
      </c>
      <c r="AZ11" s="74">
        <f t="shared" si="0"/>
        <v>0.97321411475073527</v>
      </c>
      <c r="BA11" s="74">
        <f t="shared" si="0"/>
        <v>0.98198180947821945</v>
      </c>
      <c r="BB11" s="74">
        <f t="shared" si="0"/>
        <v>1.0082848936606716</v>
      </c>
      <c r="BC11" s="74">
        <f t="shared" si="0"/>
        <v>1.0871941462080286</v>
      </c>
      <c r="BD11" s="74">
        <f t="shared" si="0"/>
        <v>1.144184161936675</v>
      </c>
      <c r="BE11" s="74">
        <f t="shared" si="0"/>
        <v>1.1792549408466115</v>
      </c>
      <c r="BF11" s="74">
        <f t="shared" si="0"/>
        <v>1.1836387882103536</v>
      </c>
      <c r="BG11" s="74">
        <f t="shared" si="0"/>
        <v>1.2581641933939685</v>
      </c>
      <c r="BH11" s="74">
        <f t="shared" si="0"/>
        <v>1.2581641933939685</v>
      </c>
      <c r="BI11" s="74">
        <f t="shared" si="0"/>
        <v>1.1748710934828697</v>
      </c>
      <c r="BJ11" s="74">
        <f t="shared" si="0"/>
        <v>1.2309843397387676</v>
      </c>
      <c r="BK11" s="74">
        <f t="shared" si="0"/>
        <v>1.214325719756548</v>
      </c>
      <c r="BL11" s="74">
        <f t="shared" si="0"/>
        <v>1.1748710934828697</v>
      </c>
      <c r="BM11" s="74">
        <f t="shared" si="0"/>
        <v>1.1661033987553855</v>
      </c>
      <c r="BN11" s="74">
        <f t="shared" si="0"/>
        <v>1.131032619845449</v>
      </c>
      <c r="BO11" s="74">
        <f t="shared" si="0"/>
        <v>1.131032619845449</v>
      </c>
      <c r="BP11" s="74">
        <f t="shared" si="0"/>
        <v>1.131032619845449</v>
      </c>
      <c r="BQ11" s="74">
        <f t="shared" si="0"/>
        <v>1.131032619845449</v>
      </c>
      <c r="BR11" s="74">
        <f t="shared" si="0"/>
        <v>1.1134972303904809</v>
      </c>
      <c r="BS11" s="74">
        <f t="shared" si="0"/>
        <v>1.1134972303904809</v>
      </c>
      <c r="BT11" s="74">
        <f t="shared" si="0"/>
        <v>1.1266487724817069</v>
      </c>
      <c r="BU11" s="74">
        <f t="shared" si="0"/>
        <v>1.1748710934828697</v>
      </c>
      <c r="BV11" s="74">
        <f t="shared" ref="BV11:CR11" si="1">$F$11*(BV8/1000)</f>
        <v>1.1748710934828697</v>
      </c>
      <c r="BW11" s="74">
        <f t="shared" si="1"/>
        <v>1.284467277576421</v>
      </c>
      <c r="BX11" s="74">
        <f t="shared" si="1"/>
        <v>1.3283057512138412</v>
      </c>
      <c r="BY11" s="74">
        <f t="shared" si="1"/>
        <v>1.3283057512138412</v>
      </c>
      <c r="BZ11" s="74">
        <f t="shared" si="1"/>
        <v>1.3239219038500993</v>
      </c>
      <c r="CA11" s="74">
        <f t="shared" si="1"/>
        <v>1.3239219038500993</v>
      </c>
      <c r="CB11" s="74">
        <f t="shared" si="1"/>
        <v>1.3239219038500993</v>
      </c>
      <c r="CC11" s="74">
        <f t="shared" si="1"/>
        <v>1.297618819667647</v>
      </c>
      <c r="CD11" s="74">
        <f t="shared" si="1"/>
        <v>1.3020026670313891</v>
      </c>
      <c r="CE11" s="74">
        <f t="shared" si="1"/>
        <v>1.3107703617588733</v>
      </c>
      <c r="CF11" s="74">
        <f t="shared" si="1"/>
        <v>1.2932349723039049</v>
      </c>
      <c r="CG11" s="74">
        <f t="shared" si="1"/>
        <v>1.2406288039390003</v>
      </c>
      <c r="CH11" s="74">
        <f t="shared" si="1"/>
        <v>1.2055580250290638</v>
      </c>
      <c r="CI11" s="74">
        <f t="shared" si="1"/>
        <v>1.1880226355740957</v>
      </c>
      <c r="CJ11" s="74">
        <f t="shared" si="1"/>
        <v>1.1617195513916434</v>
      </c>
      <c r="CK11" s="74">
        <f t="shared" si="1"/>
        <v>1.1617195513916434</v>
      </c>
      <c r="CL11" s="74">
        <f t="shared" si="1"/>
        <v>1.144184161936675</v>
      </c>
      <c r="CM11" s="74">
        <f t="shared" si="1"/>
        <v>1.1178810777542227</v>
      </c>
      <c r="CN11" s="74">
        <f t="shared" si="1"/>
        <v>1.1091133830267388</v>
      </c>
      <c r="CO11" s="74">
        <f t="shared" si="1"/>
        <v>1.1091133830267388</v>
      </c>
      <c r="CP11" s="74">
        <f t="shared" si="1"/>
        <v>1.1091133830267388</v>
      </c>
      <c r="CQ11" s="74">
        <f t="shared" si="1"/>
        <v>1.1091133830267388</v>
      </c>
      <c r="CR11" s="74">
        <f t="shared" si="1"/>
        <v>1.1091133830267388</v>
      </c>
      <c r="CS11" s="74">
        <f t="shared" ref="CS11:DU11" si="2">$F$11*(CS8/1000)</f>
        <v>1.1529518566641592</v>
      </c>
      <c r="CT11" s="74">
        <f t="shared" si="2"/>
        <v>1.0828102988442865</v>
      </c>
      <c r="CU11" s="74">
        <f t="shared" si="2"/>
        <v>1.0433556725706079</v>
      </c>
      <c r="CV11" s="74">
        <f t="shared" si="2"/>
        <v>1.0477395199343502</v>
      </c>
      <c r="CW11" s="74">
        <f t="shared" si="2"/>
        <v>1.0231899746973947</v>
      </c>
      <c r="CX11" s="74">
        <f t="shared" si="2"/>
        <v>1.0100384326061684</v>
      </c>
      <c r="CY11" s="74">
        <f t="shared" si="2"/>
        <v>1.0179293578609041</v>
      </c>
      <c r="CZ11" s="74">
        <f t="shared" si="2"/>
        <v>0.97759796211447725</v>
      </c>
      <c r="DA11" s="74">
        <f t="shared" si="2"/>
        <v>0.97321411475073527</v>
      </c>
      <c r="DB11" s="74">
        <f t="shared" si="2"/>
        <v>0.95129487793202494</v>
      </c>
      <c r="DC11" s="74">
        <f t="shared" si="2"/>
        <v>0.8504663885659578</v>
      </c>
      <c r="DD11" s="74">
        <f t="shared" si="2"/>
        <v>0.86800177802092604</v>
      </c>
      <c r="DE11" s="74">
        <f t="shared" si="2"/>
        <v>0.86800177802092604</v>
      </c>
      <c r="DF11" s="74">
        <f t="shared" si="2"/>
        <v>0.86800177802092604</v>
      </c>
      <c r="DG11" s="74">
        <f t="shared" si="2"/>
        <v>0.87676947274841011</v>
      </c>
      <c r="DH11" s="74">
        <f t="shared" si="2"/>
        <v>0.88992101483963615</v>
      </c>
      <c r="DI11" s="74">
        <f t="shared" si="2"/>
        <v>0.96444642002325121</v>
      </c>
      <c r="DJ11" s="74">
        <f t="shared" si="2"/>
        <v>0.97321411475073527</v>
      </c>
      <c r="DK11" s="74">
        <f t="shared" si="2"/>
        <v>0.97321411475073527</v>
      </c>
      <c r="DL11" s="74">
        <f t="shared" si="2"/>
        <v>0.96006257265950901</v>
      </c>
      <c r="DM11" s="74">
        <f t="shared" si="2"/>
        <v>0.96006257265950901</v>
      </c>
      <c r="DN11" s="74">
        <f t="shared" si="2"/>
        <v>0.97321411475073527</v>
      </c>
      <c r="DO11" s="74">
        <f t="shared" si="2"/>
        <v>0.96883026738699318</v>
      </c>
      <c r="DP11" s="74">
        <f t="shared" si="2"/>
        <v>0.96883026738699318</v>
      </c>
      <c r="DQ11" s="74">
        <f t="shared" si="2"/>
        <v>0.9337594884770567</v>
      </c>
      <c r="DR11" s="74">
        <f t="shared" si="2"/>
        <v>0.91622409902208846</v>
      </c>
      <c r="DS11" s="74">
        <f t="shared" si="2"/>
        <v>0.88553716747589417</v>
      </c>
      <c r="DT11" s="74">
        <f t="shared" si="2"/>
        <v>0</v>
      </c>
      <c r="DU11" s="74">
        <f t="shared" si="2"/>
        <v>0</v>
      </c>
    </row>
    <row r="12" spans="1:125">
      <c r="A12" s="67"/>
      <c r="B12" s="107"/>
      <c r="D12" s="77"/>
      <c r="F12" s="65"/>
      <c r="I12" s="74"/>
      <c r="J12" s="74"/>
      <c r="K12" s="74"/>
      <c r="L12" s="74"/>
      <c r="M12" s="74"/>
      <c r="N12" s="74"/>
      <c r="O12" s="74"/>
      <c r="P12" s="74"/>
      <c r="Q12" s="74"/>
      <c r="R12" s="74"/>
      <c r="S12" s="74"/>
      <c r="T12" s="74"/>
      <c r="U12" s="74"/>
      <c r="V12" s="74"/>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c r="BL12" s="74"/>
      <c r="BM12" s="74"/>
      <c r="BN12" s="74"/>
      <c r="BO12" s="74"/>
      <c r="BP12" s="74"/>
      <c r="BQ12" s="74"/>
      <c r="BR12" s="74"/>
      <c r="BS12" s="74"/>
      <c r="BT12" s="74"/>
      <c r="BU12" s="74"/>
      <c r="BV12" s="74"/>
      <c r="BW12" s="74"/>
      <c r="BX12" s="74"/>
      <c r="BY12" s="74"/>
      <c r="BZ12" s="74"/>
      <c r="CA12" s="74"/>
      <c r="CB12" s="74"/>
      <c r="CC12" s="74"/>
      <c r="CD12" s="74"/>
      <c r="CE12" s="74"/>
      <c r="CF12" s="74"/>
      <c r="CG12" s="74"/>
      <c r="CH12" s="74"/>
      <c r="CI12" s="74"/>
      <c r="CJ12" s="74"/>
      <c r="CK12" s="74"/>
      <c r="CL12" s="74"/>
      <c r="CM12" s="74"/>
      <c r="CN12" s="74"/>
      <c r="CO12" s="74"/>
      <c r="CP12" s="74"/>
      <c r="CQ12" s="74"/>
      <c r="CR12" s="74"/>
      <c r="CS12" s="74"/>
      <c r="CT12" s="74"/>
      <c r="CU12" s="74"/>
      <c r="CV12" s="74"/>
      <c r="CW12" s="74"/>
      <c r="CX12" s="74"/>
      <c r="CY12" s="74"/>
      <c r="CZ12" s="74"/>
      <c r="DA12" s="74"/>
      <c r="DB12" s="74"/>
      <c r="DC12" s="74"/>
      <c r="DD12" s="74"/>
      <c r="DE12" s="74"/>
      <c r="DF12" s="74"/>
      <c r="DG12" s="74"/>
      <c r="DH12" s="74"/>
      <c r="DI12" s="74"/>
      <c r="DJ12" s="74"/>
      <c r="DK12" s="74"/>
      <c r="DL12" s="74"/>
      <c r="DM12" s="74"/>
      <c r="DN12" s="74"/>
      <c r="DO12" s="74"/>
      <c r="DP12" s="74"/>
      <c r="DQ12" s="74"/>
      <c r="DR12" s="74"/>
      <c r="DS12" s="74"/>
      <c r="DT12" s="74"/>
      <c r="DU12" s="74"/>
    </row>
    <row r="13" spans="1:125">
      <c r="A13" s="67"/>
      <c r="B13" s="107"/>
      <c r="D13" s="77"/>
      <c r="F13" s="65"/>
      <c r="I13" s="74"/>
      <c r="J13" s="74"/>
      <c r="K13" s="74"/>
      <c r="L13" s="74"/>
      <c r="M13" s="74"/>
      <c r="N13" s="74"/>
      <c r="O13" s="74"/>
      <c r="P13" s="74"/>
      <c r="Q13" s="74"/>
      <c r="R13" s="74"/>
      <c r="S13" s="74"/>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c r="BF13" s="74"/>
      <c r="BG13" s="74"/>
      <c r="BH13" s="74"/>
      <c r="BI13" s="74"/>
      <c r="BJ13" s="74"/>
      <c r="BK13" s="74"/>
      <c r="BL13" s="74"/>
      <c r="BM13" s="74"/>
      <c r="BN13" s="74"/>
      <c r="BO13" s="74"/>
      <c r="BP13" s="74"/>
      <c r="BQ13" s="74"/>
      <c r="BR13" s="74"/>
      <c r="BS13" s="74"/>
      <c r="BT13" s="74"/>
      <c r="BU13" s="74"/>
      <c r="BV13" s="74"/>
      <c r="BW13" s="74"/>
      <c r="BX13" s="74"/>
      <c r="BY13" s="74"/>
      <c r="BZ13" s="74"/>
      <c r="CA13" s="74"/>
      <c r="CB13" s="74"/>
      <c r="CC13" s="74"/>
      <c r="CD13" s="74"/>
      <c r="CE13" s="74"/>
      <c r="CF13" s="74"/>
      <c r="CG13" s="74"/>
      <c r="CH13" s="74"/>
      <c r="CI13" s="74"/>
      <c r="CJ13" s="74"/>
      <c r="CK13" s="74"/>
      <c r="CL13" s="74"/>
      <c r="CM13" s="74"/>
      <c r="CN13" s="74"/>
      <c r="CO13" s="74"/>
      <c r="CP13" s="74"/>
      <c r="CQ13" s="74"/>
      <c r="CR13" s="74"/>
      <c r="CS13" s="74"/>
      <c r="CT13" s="74"/>
      <c r="CU13" s="74"/>
      <c r="CV13" s="74"/>
      <c r="CW13" s="74"/>
      <c r="CX13" s="74"/>
      <c r="CY13" s="74"/>
      <c r="CZ13" s="74"/>
      <c r="DA13" s="74"/>
      <c r="DB13" s="74"/>
      <c r="DC13" s="74"/>
      <c r="DD13" s="74"/>
      <c r="DE13" s="74"/>
      <c r="DF13" s="74"/>
      <c r="DG13" s="74"/>
      <c r="DH13" s="74"/>
      <c r="DI13" s="74"/>
      <c r="DJ13" s="74"/>
      <c r="DK13" s="74"/>
      <c r="DL13" s="74"/>
      <c r="DM13" s="74"/>
      <c r="DN13" s="74"/>
      <c r="DO13" s="74"/>
      <c r="DP13" s="74"/>
      <c r="DQ13" s="74"/>
      <c r="DR13" s="74"/>
      <c r="DS13" s="74"/>
      <c r="DT13" s="74"/>
      <c r="DU13" s="74"/>
    </row>
    <row r="14" spans="1:125" s="104" customFormat="1">
      <c r="H14" s="104" t="s">
        <v>799</v>
      </c>
      <c r="I14" s="105">
        <f t="shared" ref="I14:AN14" si="3">SUM(I11:I11)</f>
        <v>0.75226820761813584</v>
      </c>
      <c r="J14" s="105">
        <f t="shared" si="3"/>
        <v>0.76004953668877795</v>
      </c>
      <c r="K14" s="105">
        <f t="shared" si="3"/>
        <v>0.71511510121042199</v>
      </c>
      <c r="L14" s="105">
        <f t="shared" si="3"/>
        <v>0.5962032414689189</v>
      </c>
      <c r="M14" s="105">
        <f t="shared" si="3"/>
        <v>0.63072603945838746</v>
      </c>
      <c r="N14" s="105">
        <f t="shared" si="3"/>
        <v>0.66853672297066269</v>
      </c>
      <c r="O14" s="105">
        <f t="shared" si="3"/>
        <v>0.71982773712644466</v>
      </c>
      <c r="P14" s="105">
        <f t="shared" si="3"/>
        <v>0.72388279593790616</v>
      </c>
      <c r="Q14" s="105">
        <f t="shared" si="3"/>
        <v>0.73922626171100325</v>
      </c>
      <c r="R14" s="105">
        <f t="shared" si="3"/>
        <v>0.76059751760924577</v>
      </c>
      <c r="S14" s="105">
        <f t="shared" si="3"/>
        <v>0.94581506872734744</v>
      </c>
      <c r="T14" s="105">
        <f t="shared" si="3"/>
        <v>1.1102093448676744</v>
      </c>
      <c r="U14" s="105">
        <f t="shared" si="3"/>
        <v>1.1814468645284826</v>
      </c>
      <c r="V14" s="105">
        <f t="shared" si="3"/>
        <v>1.3519785269780484</v>
      </c>
      <c r="W14" s="105">
        <f t="shared" si="3"/>
        <v>1.6535872256035014</v>
      </c>
      <c r="X14" s="105">
        <f t="shared" si="3"/>
        <v>1.4668353279080901</v>
      </c>
      <c r="Y14" s="105">
        <f t="shared" si="3"/>
        <v>1.6603821890173016</v>
      </c>
      <c r="Z14" s="105">
        <f t="shared" si="3"/>
        <v>1.6757256547903987</v>
      </c>
      <c r="AA14" s="105">
        <f t="shared" si="3"/>
        <v>1.7526621760240719</v>
      </c>
      <c r="AB14" s="105">
        <f t="shared" si="3"/>
        <v>1.8359552759351707</v>
      </c>
      <c r="AC14" s="105">
        <f t="shared" si="3"/>
        <v>1.7395106339328457</v>
      </c>
      <c r="AD14" s="105">
        <f t="shared" si="3"/>
        <v>1.5376344628325243</v>
      </c>
      <c r="AE14" s="105">
        <f t="shared" si="3"/>
        <v>1.5190031115366205</v>
      </c>
      <c r="AF14" s="105">
        <f t="shared" si="3"/>
        <v>1.3589926827600356</v>
      </c>
      <c r="AG14" s="105">
        <f t="shared" si="3"/>
        <v>1.3041945907132602</v>
      </c>
      <c r="AH14" s="105">
        <f t="shared" si="3"/>
        <v>1.4718767523763934</v>
      </c>
      <c r="AI14" s="105">
        <f t="shared" si="3"/>
        <v>1.5396071941462082</v>
      </c>
      <c r="AJ14" s="105">
        <f t="shared" si="3"/>
        <v>1.5343465773097176</v>
      </c>
      <c r="AK14" s="105">
        <f t="shared" si="3"/>
        <v>1.5069475312863299</v>
      </c>
      <c r="AL14" s="105">
        <f t="shared" si="3"/>
        <v>1.306386514395131</v>
      </c>
      <c r="AM14" s="105">
        <f t="shared" si="3"/>
        <v>1.0039010462969296</v>
      </c>
      <c r="AN14" s="105">
        <f t="shared" si="3"/>
        <v>0.96883026738699318</v>
      </c>
      <c r="AO14" s="105">
        <f t="shared" ref="AO14:BT14" si="4">SUM(AO11:AO11)</f>
        <v>1.0078465089242974</v>
      </c>
      <c r="AP14" s="105">
        <f t="shared" si="4"/>
        <v>1.0170525883881556</v>
      </c>
      <c r="AQ14" s="105">
        <f t="shared" si="4"/>
        <v>1.0082848936606716</v>
      </c>
      <c r="AR14" s="105">
        <f t="shared" si="4"/>
        <v>0.99074950420570329</v>
      </c>
      <c r="AS14" s="105">
        <f t="shared" si="4"/>
        <v>1.0608910620255763</v>
      </c>
      <c r="AT14" s="105">
        <f t="shared" si="4"/>
        <v>1.0860981843670929</v>
      </c>
      <c r="AU14" s="105">
        <f t="shared" si="4"/>
        <v>1.038971825206866</v>
      </c>
      <c r="AV14" s="105">
        <f t="shared" si="4"/>
        <v>1.0302041304793819</v>
      </c>
      <c r="AW14" s="105">
        <f t="shared" si="4"/>
        <v>1.0521233672980921</v>
      </c>
      <c r="AX14" s="105">
        <f t="shared" si="4"/>
        <v>1.0871941462080286</v>
      </c>
      <c r="AY14" s="105">
        <f t="shared" si="4"/>
        <v>0.97321411475073527</v>
      </c>
      <c r="AZ14" s="105">
        <f t="shared" si="4"/>
        <v>0.97321411475073527</v>
      </c>
      <c r="BA14" s="105">
        <f t="shared" si="4"/>
        <v>0.98198180947821945</v>
      </c>
      <c r="BB14" s="105">
        <f t="shared" si="4"/>
        <v>1.0082848936606716</v>
      </c>
      <c r="BC14" s="105">
        <f t="shared" si="4"/>
        <v>1.0871941462080286</v>
      </c>
      <c r="BD14" s="105">
        <f t="shared" si="4"/>
        <v>1.144184161936675</v>
      </c>
      <c r="BE14" s="105">
        <f t="shared" si="4"/>
        <v>1.1792549408466115</v>
      </c>
      <c r="BF14" s="105">
        <f t="shared" si="4"/>
        <v>1.1836387882103536</v>
      </c>
      <c r="BG14" s="105">
        <f t="shared" si="4"/>
        <v>1.2581641933939685</v>
      </c>
      <c r="BH14" s="105">
        <f t="shared" si="4"/>
        <v>1.2581641933939685</v>
      </c>
      <c r="BI14" s="105">
        <f t="shared" si="4"/>
        <v>1.1748710934828697</v>
      </c>
      <c r="BJ14" s="105">
        <f t="shared" si="4"/>
        <v>1.2309843397387676</v>
      </c>
      <c r="BK14" s="105">
        <f t="shared" si="4"/>
        <v>1.214325719756548</v>
      </c>
      <c r="BL14" s="105">
        <f t="shared" si="4"/>
        <v>1.1748710934828697</v>
      </c>
      <c r="BM14" s="105">
        <f t="shared" si="4"/>
        <v>1.1661033987553855</v>
      </c>
      <c r="BN14" s="105">
        <f t="shared" si="4"/>
        <v>1.131032619845449</v>
      </c>
      <c r="BO14" s="105">
        <f t="shared" si="4"/>
        <v>1.131032619845449</v>
      </c>
      <c r="BP14" s="105">
        <f t="shared" si="4"/>
        <v>1.131032619845449</v>
      </c>
      <c r="BQ14" s="105">
        <f t="shared" si="4"/>
        <v>1.131032619845449</v>
      </c>
      <c r="BR14" s="105">
        <f t="shared" si="4"/>
        <v>1.1134972303904809</v>
      </c>
      <c r="BS14" s="105">
        <f t="shared" si="4"/>
        <v>1.1134972303904809</v>
      </c>
      <c r="BT14" s="105">
        <f t="shared" si="4"/>
        <v>1.1266487724817069</v>
      </c>
      <c r="BU14" s="105">
        <f t="shared" ref="BU14:CR14" si="5">SUM(BU11:BU11)</f>
        <v>1.1748710934828697</v>
      </c>
      <c r="BV14" s="105">
        <f t="shared" si="5"/>
        <v>1.1748710934828697</v>
      </c>
      <c r="BW14" s="105">
        <f t="shared" si="5"/>
        <v>1.284467277576421</v>
      </c>
      <c r="BX14" s="105">
        <f t="shared" si="5"/>
        <v>1.3283057512138412</v>
      </c>
      <c r="BY14" s="105">
        <f t="shared" si="5"/>
        <v>1.3283057512138412</v>
      </c>
      <c r="BZ14" s="105">
        <f t="shared" si="5"/>
        <v>1.3239219038500993</v>
      </c>
      <c r="CA14" s="105">
        <f t="shared" si="5"/>
        <v>1.3239219038500993</v>
      </c>
      <c r="CB14" s="105">
        <f t="shared" si="5"/>
        <v>1.3239219038500993</v>
      </c>
      <c r="CC14" s="105">
        <f t="shared" si="5"/>
        <v>1.297618819667647</v>
      </c>
      <c r="CD14" s="105">
        <f t="shared" si="5"/>
        <v>1.3020026670313891</v>
      </c>
      <c r="CE14" s="105">
        <f t="shared" si="5"/>
        <v>1.3107703617588733</v>
      </c>
      <c r="CF14" s="105">
        <f t="shared" si="5"/>
        <v>1.2932349723039049</v>
      </c>
      <c r="CG14" s="105">
        <f t="shared" si="5"/>
        <v>1.2406288039390003</v>
      </c>
      <c r="CH14" s="105">
        <f t="shared" si="5"/>
        <v>1.2055580250290638</v>
      </c>
      <c r="CI14" s="105">
        <f t="shared" si="5"/>
        <v>1.1880226355740957</v>
      </c>
      <c r="CJ14" s="105">
        <f t="shared" si="5"/>
        <v>1.1617195513916434</v>
      </c>
      <c r="CK14" s="105">
        <f t="shared" si="5"/>
        <v>1.1617195513916434</v>
      </c>
      <c r="CL14" s="105">
        <f t="shared" si="5"/>
        <v>1.144184161936675</v>
      </c>
      <c r="CM14" s="105">
        <f t="shared" si="5"/>
        <v>1.1178810777542227</v>
      </c>
      <c r="CN14" s="105">
        <f t="shared" si="5"/>
        <v>1.1091133830267388</v>
      </c>
      <c r="CO14" s="105">
        <f t="shared" si="5"/>
        <v>1.1091133830267388</v>
      </c>
      <c r="CP14" s="105">
        <f t="shared" si="5"/>
        <v>1.1091133830267388</v>
      </c>
      <c r="CQ14" s="105">
        <f t="shared" si="5"/>
        <v>1.1091133830267388</v>
      </c>
      <c r="CR14" s="105">
        <f t="shared" si="5"/>
        <v>1.1091133830267388</v>
      </c>
      <c r="CS14" s="105">
        <f t="shared" ref="CS14:DU14" si="6">SUM(CS11:CS11)</f>
        <v>1.1529518566641592</v>
      </c>
      <c r="CT14" s="105">
        <f t="shared" si="6"/>
        <v>1.0828102988442865</v>
      </c>
      <c r="CU14" s="105">
        <f t="shared" si="6"/>
        <v>1.0433556725706079</v>
      </c>
      <c r="CV14" s="105">
        <f t="shared" si="6"/>
        <v>1.0477395199343502</v>
      </c>
      <c r="CW14" s="105">
        <f t="shared" si="6"/>
        <v>1.0231899746973947</v>
      </c>
      <c r="CX14" s="105">
        <f t="shared" si="6"/>
        <v>1.0100384326061684</v>
      </c>
      <c r="CY14" s="105">
        <f t="shared" si="6"/>
        <v>1.0179293578609041</v>
      </c>
      <c r="CZ14" s="105">
        <f t="shared" si="6"/>
        <v>0.97759796211447725</v>
      </c>
      <c r="DA14" s="105">
        <f t="shared" si="6"/>
        <v>0.97321411475073527</v>
      </c>
      <c r="DB14" s="105">
        <f t="shared" si="6"/>
        <v>0.95129487793202494</v>
      </c>
      <c r="DC14" s="105">
        <f t="shared" si="6"/>
        <v>0.8504663885659578</v>
      </c>
      <c r="DD14" s="105">
        <f t="shared" si="6"/>
        <v>0.86800177802092604</v>
      </c>
      <c r="DE14" s="105">
        <f t="shared" si="6"/>
        <v>0.86800177802092604</v>
      </c>
      <c r="DF14" s="105">
        <f t="shared" si="6"/>
        <v>0.86800177802092604</v>
      </c>
      <c r="DG14" s="105">
        <f t="shared" si="6"/>
        <v>0.87676947274841011</v>
      </c>
      <c r="DH14" s="105">
        <f t="shared" si="6"/>
        <v>0.88992101483963615</v>
      </c>
      <c r="DI14" s="105">
        <f t="shared" si="6"/>
        <v>0.96444642002325121</v>
      </c>
      <c r="DJ14" s="105">
        <f t="shared" si="6"/>
        <v>0.97321411475073527</v>
      </c>
      <c r="DK14" s="105">
        <f t="shared" si="6"/>
        <v>0.97321411475073527</v>
      </c>
      <c r="DL14" s="105">
        <f t="shared" si="6"/>
        <v>0.96006257265950901</v>
      </c>
      <c r="DM14" s="105">
        <f t="shared" si="6"/>
        <v>0.96006257265950901</v>
      </c>
      <c r="DN14" s="105">
        <f t="shared" si="6"/>
        <v>0.97321411475073527</v>
      </c>
      <c r="DO14" s="105">
        <f t="shared" si="6"/>
        <v>0.96883026738699318</v>
      </c>
      <c r="DP14" s="105">
        <f t="shared" si="6"/>
        <v>0.96883026738699318</v>
      </c>
      <c r="DQ14" s="105">
        <f t="shared" si="6"/>
        <v>0.9337594884770567</v>
      </c>
      <c r="DR14" s="105">
        <f t="shared" si="6"/>
        <v>0.91622409902208846</v>
      </c>
      <c r="DS14" s="105">
        <f t="shared" si="6"/>
        <v>0.88553716747589417</v>
      </c>
      <c r="DT14" s="105">
        <f t="shared" si="6"/>
        <v>0</v>
      </c>
      <c r="DU14" s="105">
        <f t="shared" si="6"/>
        <v>0</v>
      </c>
    </row>
    <row r="15" spans="1:125" s="104" customFormat="1">
      <c r="H15" s="60"/>
      <c r="I15" s="105"/>
      <c r="J15" s="105"/>
      <c r="K15" s="105"/>
      <c r="L15" s="105"/>
      <c r="M15" s="105"/>
      <c r="N15" s="105"/>
      <c r="O15" s="105"/>
      <c r="P15" s="105"/>
      <c r="Q15" s="105"/>
      <c r="R15" s="105"/>
      <c r="S15" s="105"/>
      <c r="T15" s="105"/>
      <c r="U15" s="105"/>
      <c r="V15" s="105"/>
      <c r="W15" s="105"/>
      <c r="X15" s="105"/>
      <c r="Y15" s="105"/>
      <c r="Z15" s="105"/>
      <c r="AA15" s="105"/>
      <c r="AB15" s="105"/>
      <c r="AC15" s="105"/>
      <c r="AD15" s="105"/>
      <c r="AE15" s="105"/>
      <c r="AF15" s="105"/>
      <c r="AG15" s="105"/>
      <c r="AH15" s="105"/>
      <c r="AI15" s="105"/>
      <c r="AJ15" s="105"/>
      <c r="AK15" s="105"/>
      <c r="AL15" s="105"/>
      <c r="AM15" s="105"/>
      <c r="AN15" s="105"/>
      <c r="AO15" s="105"/>
      <c r="AP15" s="105"/>
      <c r="AQ15" s="105"/>
      <c r="AR15" s="105"/>
      <c r="AS15" s="105"/>
      <c r="AT15" s="105"/>
      <c r="AU15" s="105"/>
      <c r="AV15" s="105"/>
      <c r="AW15" s="105"/>
      <c r="AX15" s="105"/>
      <c r="AY15" s="105"/>
      <c r="AZ15" s="105"/>
      <c r="BA15" s="105"/>
      <c r="BB15" s="105"/>
      <c r="BC15" s="105"/>
      <c r="BD15" s="105"/>
      <c r="BE15" s="105"/>
      <c r="BF15" s="105"/>
      <c r="BG15" s="105"/>
      <c r="BH15" s="105"/>
      <c r="BI15" s="105"/>
      <c r="BJ15" s="105"/>
      <c r="BK15" s="105"/>
      <c r="BL15" s="105"/>
      <c r="BM15" s="105"/>
      <c r="BN15" s="105"/>
      <c r="BO15" s="105"/>
      <c r="BP15" s="105"/>
      <c r="BQ15" s="105"/>
      <c r="BR15" s="105"/>
      <c r="BS15" s="105"/>
      <c r="BT15" s="105"/>
      <c r="BU15" s="105"/>
      <c r="BV15" s="105"/>
      <c r="BW15" s="105"/>
      <c r="BX15" s="105"/>
      <c r="BY15" s="105"/>
      <c r="BZ15" s="105"/>
      <c r="CA15" s="105"/>
      <c r="CB15" s="105"/>
      <c r="CC15" s="105"/>
      <c r="CD15" s="105"/>
      <c r="CE15" s="105"/>
      <c r="CF15" s="105"/>
      <c r="CG15" s="105"/>
      <c r="CH15" s="105"/>
      <c r="CI15" s="105"/>
      <c r="CJ15" s="105"/>
      <c r="CK15" s="105"/>
      <c r="CL15" s="105"/>
      <c r="CM15" s="105"/>
      <c r="CN15" s="105"/>
      <c r="CO15" s="105"/>
      <c r="CP15" s="105"/>
      <c r="CQ15" s="105"/>
      <c r="CR15" s="105"/>
      <c r="CS15" s="105"/>
      <c r="CT15" s="105"/>
      <c r="CU15" s="105"/>
      <c r="CV15" s="105"/>
      <c r="CW15" s="105"/>
      <c r="CX15" s="105"/>
      <c r="CY15" s="105"/>
      <c r="CZ15" s="105"/>
      <c r="DA15" s="105"/>
      <c r="DB15" s="105"/>
      <c r="DC15" s="105"/>
      <c r="DD15" s="105"/>
      <c r="DE15" s="105"/>
      <c r="DF15" s="105"/>
      <c r="DG15" s="105"/>
      <c r="DH15" s="105"/>
      <c r="DI15" s="105"/>
      <c r="DJ15" s="105"/>
      <c r="DK15" s="105"/>
      <c r="DL15" s="105"/>
      <c r="DM15" s="105"/>
      <c r="DN15" s="105"/>
      <c r="DO15" s="105"/>
      <c r="DP15" s="105"/>
      <c r="DQ15" s="105"/>
      <c r="DR15" s="105"/>
      <c r="DS15" s="105"/>
      <c r="DT15" s="105"/>
      <c r="DU15" s="105"/>
    </row>
    <row r="16" spans="1:125" ht="15">
      <c r="A16"/>
      <c r="H16" s="60" t="s">
        <v>429</v>
      </c>
      <c r="I16" s="74"/>
      <c r="J16" s="74"/>
      <c r="K16" s="74"/>
      <c r="L16" s="74"/>
      <c r="M16" s="74"/>
      <c r="N16" s="74"/>
      <c r="O16" s="74"/>
      <c r="P16" s="74"/>
      <c r="Q16" s="74"/>
      <c r="R16" s="74"/>
      <c r="S16" s="74"/>
      <c r="T16" s="74"/>
      <c r="U16" s="74"/>
      <c r="V16" s="74"/>
      <c r="W16" s="74"/>
      <c r="X16" s="74"/>
      <c r="Y16" s="74"/>
      <c r="Z16" s="74"/>
      <c r="AA16" s="74"/>
      <c r="AB16" s="74"/>
      <c r="AC16" s="74"/>
      <c r="AD16" s="74"/>
      <c r="AE16" s="74"/>
      <c r="AF16" s="74"/>
      <c r="AG16" s="74"/>
      <c r="AH16" s="74"/>
      <c r="AI16" s="74"/>
      <c r="AK16" s="74"/>
      <c r="AL16" s="74"/>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c r="BM16" s="74"/>
      <c r="BN16" s="74"/>
      <c r="BO16" s="74"/>
      <c r="BP16" s="74"/>
      <c r="BQ16" s="74"/>
      <c r="BR16" s="74"/>
      <c r="BS16" s="74"/>
      <c r="BT16" s="74"/>
      <c r="BU16" s="74"/>
      <c r="BV16" s="74"/>
      <c r="BW16" s="74"/>
      <c r="BX16" s="74"/>
      <c r="BY16" s="74"/>
      <c r="BZ16" s="74"/>
      <c r="CA16" s="74"/>
      <c r="CB16" s="74"/>
      <c r="CC16" s="74"/>
      <c r="CD16" s="74"/>
      <c r="CE16" s="74"/>
      <c r="CF16" s="74"/>
      <c r="CG16" s="74"/>
      <c r="CH16" s="74"/>
      <c r="CI16" s="74"/>
      <c r="CJ16" s="74"/>
      <c r="CK16" s="74"/>
      <c r="CL16" s="74"/>
      <c r="CM16" s="74"/>
      <c r="CN16" s="74"/>
      <c r="CO16" s="74"/>
      <c r="CP16" s="74"/>
      <c r="CQ16" s="74"/>
      <c r="CR16" s="74"/>
      <c r="CS16" s="74"/>
      <c r="CT16" s="74"/>
      <c r="CU16" s="74"/>
      <c r="CV16" s="74"/>
      <c r="CW16" s="74"/>
      <c r="CX16" s="74"/>
      <c r="CY16" s="74"/>
      <c r="CZ16" s="74"/>
      <c r="DA16" s="74"/>
      <c r="DB16" s="74"/>
      <c r="DC16" s="74"/>
      <c r="DD16" s="74"/>
      <c r="DE16" s="74"/>
      <c r="DF16" s="74"/>
      <c r="DG16" s="74"/>
      <c r="DH16" s="74"/>
      <c r="DI16" s="74"/>
      <c r="DJ16" s="74"/>
      <c r="DK16" s="74"/>
      <c r="DL16" s="74"/>
      <c r="DM16" s="74"/>
      <c r="DN16" s="74"/>
      <c r="DO16" s="74"/>
      <c r="DP16" s="74"/>
      <c r="DQ16" s="74"/>
      <c r="DR16" s="74"/>
      <c r="DS16" s="74"/>
      <c r="DT16" s="74"/>
      <c r="DU16" s="74"/>
    </row>
    <row r="17" spans="8:125">
      <c r="H17" s="60" t="s">
        <v>406</v>
      </c>
      <c r="I17" s="74"/>
      <c r="J17" s="74"/>
      <c r="K17" s="74"/>
      <c r="L17" s="74"/>
      <c r="M17" s="74"/>
      <c r="N17" s="74"/>
      <c r="O17" s="74"/>
      <c r="P17" s="74"/>
      <c r="Q17" s="74"/>
      <c r="R17" s="74"/>
      <c r="S17" s="74"/>
      <c r="T17" s="74"/>
      <c r="U17" s="74"/>
      <c r="V17" s="74"/>
      <c r="W17" s="74"/>
      <c r="X17" s="74"/>
      <c r="Y17" s="74"/>
      <c r="Z17" s="74"/>
      <c r="AA17" s="74"/>
      <c r="AB17" s="74"/>
      <c r="AC17" s="74"/>
      <c r="AD17" s="74"/>
      <c r="AE17" s="74"/>
      <c r="AF17" s="74"/>
      <c r="AG17" s="74"/>
      <c r="AH17" s="74"/>
      <c r="AI17" s="74"/>
      <c r="AK17" s="74"/>
      <c r="AL17" s="74"/>
      <c r="AM17" s="74"/>
      <c r="AN17" s="74"/>
      <c r="AO17" s="74"/>
      <c r="AP17" s="74"/>
      <c r="AQ17" s="74"/>
      <c r="AR17" s="74"/>
      <c r="AS17" s="74"/>
      <c r="AT17" s="74"/>
      <c r="AU17" s="74"/>
      <c r="AV17" s="74"/>
      <c r="AW17" s="74"/>
      <c r="AX17" s="74"/>
      <c r="AY17" s="74"/>
      <c r="AZ17" s="74"/>
      <c r="BA17" s="74"/>
      <c r="BB17" s="74"/>
      <c r="BC17" s="74"/>
      <c r="BD17" s="74"/>
      <c r="BE17" s="74"/>
      <c r="BF17" s="74"/>
      <c r="BG17" s="74"/>
      <c r="BH17" s="74"/>
      <c r="BI17" s="74"/>
      <c r="BJ17" s="74"/>
      <c r="BK17" s="74"/>
      <c r="BL17" s="74"/>
      <c r="BM17" s="74"/>
      <c r="BN17" s="74"/>
      <c r="BO17" s="74"/>
      <c r="BP17" s="74"/>
      <c r="BQ17" s="74"/>
      <c r="BR17" s="74"/>
      <c r="BS17" s="74"/>
      <c r="BT17" s="74"/>
      <c r="BU17" s="74"/>
      <c r="BV17" s="74"/>
      <c r="BW17" s="74"/>
      <c r="BX17" s="74"/>
      <c r="BY17" s="74"/>
      <c r="BZ17" s="74"/>
      <c r="CA17" s="74"/>
      <c r="CB17" s="74"/>
      <c r="CC17" s="74"/>
      <c r="CD17" s="74"/>
      <c r="CE17" s="74"/>
      <c r="CF17" s="74"/>
      <c r="CG17" s="74"/>
      <c r="CH17" s="74"/>
      <c r="CI17" s="74"/>
      <c r="CJ17" s="74"/>
      <c r="CK17" s="74"/>
      <c r="CL17" s="74"/>
      <c r="CM17" s="74"/>
      <c r="CN17" s="74"/>
      <c r="CO17" s="74"/>
      <c r="CP17" s="74"/>
      <c r="CQ17" s="74"/>
      <c r="CR17" s="74"/>
      <c r="CS17" s="74"/>
      <c r="CT17" s="74"/>
      <c r="CU17" s="74"/>
      <c r="CV17" s="74"/>
      <c r="CW17" s="74"/>
      <c r="CX17" s="74"/>
      <c r="CY17" s="74"/>
      <c r="CZ17" s="74"/>
      <c r="DA17" s="74"/>
      <c r="DB17" s="74"/>
      <c r="DC17" s="74"/>
      <c r="DD17" s="74"/>
      <c r="DE17" s="74"/>
      <c r="DF17" s="74"/>
      <c r="DG17" s="74"/>
      <c r="DH17" s="74"/>
      <c r="DI17" s="74"/>
      <c r="DJ17" s="74"/>
      <c r="DK17" s="74"/>
      <c r="DL17" s="74"/>
      <c r="DM17" s="74"/>
      <c r="DN17" s="74"/>
      <c r="DO17" s="74"/>
      <c r="DP17" s="74"/>
      <c r="DQ17" s="74"/>
      <c r="DR17" s="74"/>
      <c r="DS17" s="74"/>
      <c r="DT17" s="74"/>
      <c r="DU17" s="74"/>
    </row>
    <row r="19" spans="8:125" ht="13" thickBot="1"/>
    <row r="20" spans="8:125" s="73" customFormat="1" ht="13" thickBot="1">
      <c r="H20" s="257" t="s">
        <v>800</v>
      </c>
      <c r="I20" s="258">
        <f>+I14</f>
        <v>0.75226820761813584</v>
      </c>
      <c r="J20" s="258">
        <f t="shared" ref="J20:BU20" si="7">+J14</f>
        <v>0.76004953668877795</v>
      </c>
      <c r="K20" s="258">
        <f t="shared" si="7"/>
        <v>0.71511510121042199</v>
      </c>
      <c r="L20" s="258">
        <f t="shared" si="7"/>
        <v>0.5962032414689189</v>
      </c>
      <c r="M20" s="258">
        <f t="shared" si="7"/>
        <v>0.63072603945838746</v>
      </c>
      <c r="N20" s="258">
        <f t="shared" si="7"/>
        <v>0.66853672297066269</v>
      </c>
      <c r="O20" s="258">
        <f t="shared" si="7"/>
        <v>0.71982773712644466</v>
      </c>
      <c r="P20" s="258">
        <f t="shared" si="7"/>
        <v>0.72388279593790616</v>
      </c>
      <c r="Q20" s="258">
        <f t="shared" si="7"/>
        <v>0.73922626171100325</v>
      </c>
      <c r="R20" s="258">
        <f t="shared" si="7"/>
        <v>0.76059751760924577</v>
      </c>
      <c r="S20" s="258">
        <f t="shared" si="7"/>
        <v>0.94581506872734744</v>
      </c>
      <c r="T20" s="258">
        <f t="shared" si="7"/>
        <v>1.1102093448676744</v>
      </c>
      <c r="U20" s="258">
        <f t="shared" si="7"/>
        <v>1.1814468645284826</v>
      </c>
      <c r="V20" s="258">
        <f t="shared" si="7"/>
        <v>1.3519785269780484</v>
      </c>
      <c r="W20" s="258">
        <f t="shared" si="7"/>
        <v>1.6535872256035014</v>
      </c>
      <c r="X20" s="258">
        <f t="shared" si="7"/>
        <v>1.4668353279080901</v>
      </c>
      <c r="Y20" s="258">
        <f t="shared" si="7"/>
        <v>1.6603821890173016</v>
      </c>
      <c r="Z20" s="258">
        <f t="shared" si="7"/>
        <v>1.6757256547903987</v>
      </c>
      <c r="AA20" s="258">
        <f t="shared" si="7"/>
        <v>1.7526621760240719</v>
      </c>
      <c r="AB20" s="258">
        <f t="shared" si="7"/>
        <v>1.8359552759351707</v>
      </c>
      <c r="AC20" s="258">
        <f t="shared" si="7"/>
        <v>1.7395106339328457</v>
      </c>
      <c r="AD20" s="258">
        <f t="shared" si="7"/>
        <v>1.5376344628325243</v>
      </c>
      <c r="AE20" s="258">
        <f t="shared" si="7"/>
        <v>1.5190031115366205</v>
      </c>
      <c r="AF20" s="258">
        <f t="shared" si="7"/>
        <v>1.3589926827600356</v>
      </c>
      <c r="AG20" s="258">
        <f t="shared" si="7"/>
        <v>1.3041945907132602</v>
      </c>
      <c r="AH20" s="258">
        <f t="shared" si="7"/>
        <v>1.4718767523763934</v>
      </c>
      <c r="AI20" s="258">
        <f t="shared" si="7"/>
        <v>1.5396071941462082</v>
      </c>
      <c r="AJ20" s="258">
        <f t="shared" si="7"/>
        <v>1.5343465773097176</v>
      </c>
      <c r="AK20" s="258">
        <f t="shared" si="7"/>
        <v>1.5069475312863299</v>
      </c>
      <c r="AL20" s="258">
        <f t="shared" si="7"/>
        <v>1.306386514395131</v>
      </c>
      <c r="AM20" s="258">
        <f t="shared" si="7"/>
        <v>1.0039010462969296</v>
      </c>
      <c r="AN20" s="258">
        <f t="shared" si="7"/>
        <v>0.96883026738699318</v>
      </c>
      <c r="AO20" s="258">
        <f t="shared" si="7"/>
        <v>1.0078465089242974</v>
      </c>
      <c r="AP20" s="258">
        <f t="shared" si="7"/>
        <v>1.0170525883881556</v>
      </c>
      <c r="AQ20" s="258">
        <f t="shared" si="7"/>
        <v>1.0082848936606716</v>
      </c>
      <c r="AR20" s="258">
        <f t="shared" si="7"/>
        <v>0.99074950420570329</v>
      </c>
      <c r="AS20" s="258">
        <f t="shared" si="7"/>
        <v>1.0608910620255763</v>
      </c>
      <c r="AT20" s="258">
        <f t="shared" si="7"/>
        <v>1.0860981843670929</v>
      </c>
      <c r="AU20" s="258">
        <f t="shared" si="7"/>
        <v>1.038971825206866</v>
      </c>
      <c r="AV20" s="258">
        <f t="shared" si="7"/>
        <v>1.0302041304793819</v>
      </c>
      <c r="AW20" s="258">
        <f t="shared" si="7"/>
        <v>1.0521233672980921</v>
      </c>
      <c r="AX20" s="258">
        <f t="shared" si="7"/>
        <v>1.0871941462080286</v>
      </c>
      <c r="AY20" s="258">
        <f t="shared" si="7"/>
        <v>0.97321411475073527</v>
      </c>
      <c r="AZ20" s="258">
        <f t="shared" si="7"/>
        <v>0.97321411475073527</v>
      </c>
      <c r="BA20" s="258">
        <f t="shared" si="7"/>
        <v>0.98198180947821945</v>
      </c>
      <c r="BB20" s="258">
        <f t="shared" si="7"/>
        <v>1.0082848936606716</v>
      </c>
      <c r="BC20" s="258">
        <f t="shared" si="7"/>
        <v>1.0871941462080286</v>
      </c>
      <c r="BD20" s="258">
        <f t="shared" si="7"/>
        <v>1.144184161936675</v>
      </c>
      <c r="BE20" s="258">
        <f t="shared" si="7"/>
        <v>1.1792549408466115</v>
      </c>
      <c r="BF20" s="258">
        <f t="shared" si="7"/>
        <v>1.1836387882103536</v>
      </c>
      <c r="BG20" s="258">
        <f t="shared" si="7"/>
        <v>1.2581641933939685</v>
      </c>
      <c r="BH20" s="258">
        <f t="shared" si="7"/>
        <v>1.2581641933939685</v>
      </c>
      <c r="BI20" s="258">
        <f t="shared" si="7"/>
        <v>1.1748710934828697</v>
      </c>
      <c r="BJ20" s="258">
        <f t="shared" si="7"/>
        <v>1.2309843397387676</v>
      </c>
      <c r="BK20" s="258">
        <f t="shared" si="7"/>
        <v>1.214325719756548</v>
      </c>
      <c r="BL20" s="258">
        <f t="shared" si="7"/>
        <v>1.1748710934828697</v>
      </c>
      <c r="BM20" s="258">
        <f t="shared" si="7"/>
        <v>1.1661033987553855</v>
      </c>
      <c r="BN20" s="258">
        <f t="shared" si="7"/>
        <v>1.131032619845449</v>
      </c>
      <c r="BO20" s="258">
        <f t="shared" si="7"/>
        <v>1.131032619845449</v>
      </c>
      <c r="BP20" s="258">
        <f t="shared" si="7"/>
        <v>1.131032619845449</v>
      </c>
      <c r="BQ20" s="258">
        <f t="shared" si="7"/>
        <v>1.131032619845449</v>
      </c>
      <c r="BR20" s="258">
        <f t="shared" si="7"/>
        <v>1.1134972303904809</v>
      </c>
      <c r="BS20" s="258">
        <f t="shared" si="7"/>
        <v>1.1134972303904809</v>
      </c>
      <c r="BT20" s="258">
        <f t="shared" si="7"/>
        <v>1.1266487724817069</v>
      </c>
      <c r="BU20" s="258">
        <f t="shared" si="7"/>
        <v>1.1748710934828697</v>
      </c>
      <c r="BV20" s="258">
        <f t="shared" ref="BV20:CR20" si="8">+BV14</f>
        <v>1.1748710934828697</v>
      </c>
      <c r="BW20" s="258">
        <f t="shared" si="8"/>
        <v>1.284467277576421</v>
      </c>
      <c r="BX20" s="258">
        <f t="shared" si="8"/>
        <v>1.3283057512138412</v>
      </c>
      <c r="BY20" s="258">
        <f t="shared" si="8"/>
        <v>1.3283057512138412</v>
      </c>
      <c r="BZ20" s="258">
        <f t="shared" si="8"/>
        <v>1.3239219038500993</v>
      </c>
      <c r="CA20" s="258">
        <f t="shared" si="8"/>
        <v>1.3239219038500993</v>
      </c>
      <c r="CB20" s="258">
        <f t="shared" si="8"/>
        <v>1.3239219038500993</v>
      </c>
      <c r="CC20" s="258">
        <f t="shared" si="8"/>
        <v>1.297618819667647</v>
      </c>
      <c r="CD20" s="258">
        <f t="shared" si="8"/>
        <v>1.3020026670313891</v>
      </c>
      <c r="CE20" s="258">
        <f t="shared" si="8"/>
        <v>1.3107703617588733</v>
      </c>
      <c r="CF20" s="258">
        <f t="shared" si="8"/>
        <v>1.2932349723039049</v>
      </c>
      <c r="CG20" s="258">
        <f t="shared" si="8"/>
        <v>1.2406288039390003</v>
      </c>
      <c r="CH20" s="258">
        <f t="shared" si="8"/>
        <v>1.2055580250290638</v>
      </c>
      <c r="CI20" s="258">
        <f t="shared" si="8"/>
        <v>1.1880226355740957</v>
      </c>
      <c r="CJ20" s="258">
        <f t="shared" si="8"/>
        <v>1.1617195513916434</v>
      </c>
      <c r="CK20" s="258">
        <f t="shared" si="8"/>
        <v>1.1617195513916434</v>
      </c>
      <c r="CL20" s="258">
        <f t="shared" si="8"/>
        <v>1.144184161936675</v>
      </c>
      <c r="CM20" s="258">
        <f t="shared" si="8"/>
        <v>1.1178810777542227</v>
      </c>
      <c r="CN20" s="258">
        <f t="shared" si="8"/>
        <v>1.1091133830267388</v>
      </c>
      <c r="CO20" s="258">
        <f t="shared" si="8"/>
        <v>1.1091133830267388</v>
      </c>
      <c r="CP20" s="258">
        <f t="shared" si="8"/>
        <v>1.1091133830267388</v>
      </c>
      <c r="CQ20" s="258">
        <f t="shared" si="8"/>
        <v>1.1091133830267388</v>
      </c>
      <c r="CR20" s="258">
        <f t="shared" si="8"/>
        <v>1.1091133830267388</v>
      </c>
      <c r="CS20" s="258">
        <f t="shared" ref="CS20:DU20" si="9">+CS14</f>
        <v>1.1529518566641592</v>
      </c>
      <c r="CT20" s="258">
        <f t="shared" si="9"/>
        <v>1.0828102988442865</v>
      </c>
      <c r="CU20" s="258">
        <f t="shared" si="9"/>
        <v>1.0433556725706079</v>
      </c>
      <c r="CV20" s="258">
        <f t="shared" si="9"/>
        <v>1.0477395199343502</v>
      </c>
      <c r="CW20" s="258">
        <f t="shared" si="9"/>
        <v>1.0231899746973947</v>
      </c>
      <c r="CX20" s="258">
        <f t="shared" si="9"/>
        <v>1.0100384326061684</v>
      </c>
      <c r="CY20" s="258">
        <f t="shared" si="9"/>
        <v>1.0179293578609041</v>
      </c>
      <c r="CZ20" s="258">
        <f t="shared" si="9"/>
        <v>0.97759796211447725</v>
      </c>
      <c r="DA20" s="258">
        <f t="shared" si="9"/>
        <v>0.97321411475073527</v>
      </c>
      <c r="DB20" s="258">
        <f t="shared" si="9"/>
        <v>0.95129487793202494</v>
      </c>
      <c r="DC20" s="258">
        <f t="shared" si="9"/>
        <v>0.8504663885659578</v>
      </c>
      <c r="DD20" s="258">
        <f t="shared" si="9"/>
        <v>0.86800177802092604</v>
      </c>
      <c r="DE20" s="258">
        <f t="shared" si="9"/>
        <v>0.86800177802092604</v>
      </c>
      <c r="DF20" s="258">
        <f t="shared" si="9"/>
        <v>0.86800177802092604</v>
      </c>
      <c r="DG20" s="258">
        <f t="shared" si="9"/>
        <v>0.87676947274841011</v>
      </c>
      <c r="DH20" s="258">
        <f t="shared" si="9"/>
        <v>0.88992101483963615</v>
      </c>
      <c r="DI20" s="258">
        <f t="shared" si="9"/>
        <v>0.96444642002325121</v>
      </c>
      <c r="DJ20" s="258">
        <f t="shared" si="9"/>
        <v>0.97321411475073527</v>
      </c>
      <c r="DK20" s="258">
        <f t="shared" si="9"/>
        <v>0.97321411475073527</v>
      </c>
      <c r="DL20" s="258">
        <f t="shared" si="9"/>
        <v>0.96006257265950901</v>
      </c>
      <c r="DM20" s="258">
        <f t="shared" si="9"/>
        <v>0.96006257265950901</v>
      </c>
      <c r="DN20" s="258">
        <f t="shared" si="9"/>
        <v>0.97321411475073527</v>
      </c>
      <c r="DO20" s="258">
        <f t="shared" si="9"/>
        <v>0.96883026738699318</v>
      </c>
      <c r="DP20" s="258">
        <f t="shared" si="9"/>
        <v>0.96883026738699318</v>
      </c>
      <c r="DQ20" s="258">
        <f t="shared" si="9"/>
        <v>0.9337594884770567</v>
      </c>
      <c r="DR20" s="258">
        <f t="shared" si="9"/>
        <v>0.91622409902208846</v>
      </c>
      <c r="DS20" s="258">
        <f t="shared" si="9"/>
        <v>0.88553716747589417</v>
      </c>
      <c r="DT20" s="258">
        <f t="shared" si="9"/>
        <v>0</v>
      </c>
      <c r="DU20" s="258">
        <f t="shared" si="9"/>
        <v>0</v>
      </c>
    </row>
  </sheetData>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EX20"/>
  <sheetViews>
    <sheetView workbookViewId="0">
      <pane xSplit="11" ySplit="7" topLeftCell="CJ8" activePane="bottomRight" state="frozen"/>
      <selection pane="topRight" activeCell="L1" sqref="L1"/>
      <selection pane="bottomLeft" activeCell="A7" sqref="A7"/>
      <selection pane="bottomRight" activeCell="CP17" sqref="CP17"/>
    </sheetView>
  </sheetViews>
  <sheetFormatPr baseColWidth="10" defaultColWidth="22.6640625" defaultRowHeight="12"/>
  <cols>
    <col min="1" max="1" width="16.1640625" style="60" bestFit="1" customWidth="1"/>
    <col min="2" max="2" width="13.1640625" style="60" bestFit="1" customWidth="1"/>
    <col min="3" max="3" width="4.83203125" style="60" bestFit="1" customWidth="1"/>
    <col min="4" max="4" width="12.33203125" style="60" bestFit="1" customWidth="1"/>
    <col min="5" max="5" width="18.83203125" style="60" bestFit="1" customWidth="1"/>
    <col min="6" max="6" width="6.5" style="60" bestFit="1" customWidth="1"/>
    <col min="7" max="7" width="4.1640625" style="60" bestFit="1" customWidth="1"/>
    <col min="8" max="8" width="22.83203125" style="60" bestFit="1" customWidth="1"/>
    <col min="9" max="9" width="6.5" style="60" customWidth="1"/>
    <col min="10" max="11" width="6.1640625" style="60" bestFit="1" customWidth="1"/>
    <col min="12" max="12" width="5.5" style="60" bestFit="1" customWidth="1"/>
    <col min="13" max="13" width="5.83203125" style="60" bestFit="1" customWidth="1"/>
    <col min="14" max="18" width="5.5" style="60" bestFit="1" customWidth="1"/>
    <col min="19" max="19" width="5.6640625" style="60" bestFit="1" customWidth="1"/>
    <col min="20" max="20" width="6.1640625" style="60" bestFit="1" customWidth="1"/>
    <col min="21" max="21" width="5.5" style="60" bestFit="1" customWidth="1"/>
    <col min="22" max="26" width="6.1640625" style="60" bestFit="1" customWidth="1"/>
    <col min="27" max="30" width="5.5" style="60" bestFit="1" customWidth="1"/>
    <col min="31" max="31" width="5.6640625" style="60" bestFit="1" customWidth="1"/>
    <col min="32" max="34" width="5.5" style="60" bestFit="1" customWidth="1"/>
    <col min="35" max="35" width="5.6640625" style="60" bestFit="1" customWidth="1"/>
    <col min="36" max="36" width="5.5" style="60" bestFit="1" customWidth="1"/>
    <col min="37" max="37" width="5.83203125" style="60" bestFit="1" customWidth="1"/>
    <col min="38" max="42" width="5.5" style="60" bestFit="1" customWidth="1"/>
    <col min="43" max="43" width="5.6640625" style="60" bestFit="1" customWidth="1"/>
    <col min="44" max="46" width="5.5" style="60" bestFit="1" customWidth="1"/>
    <col min="47" max="47" width="5.6640625" style="60" bestFit="1" customWidth="1"/>
    <col min="48" max="48" width="5.5" style="60" bestFit="1" customWidth="1"/>
    <col min="49" max="49" width="5.83203125" style="60" bestFit="1" customWidth="1"/>
    <col min="50" max="51" width="5.5" style="60" bestFit="1" customWidth="1"/>
    <col min="52" max="54" width="7" style="60" bestFit="1" customWidth="1"/>
    <col min="55" max="56" width="5.5" style="60" bestFit="1" customWidth="1"/>
    <col min="57" max="58" width="5.83203125" style="60" bestFit="1" customWidth="1"/>
    <col min="59" max="70" width="5.6640625" style="60" bestFit="1" customWidth="1"/>
    <col min="71" max="80" width="5.5" style="60" bestFit="1" customWidth="1"/>
    <col min="81" max="90" width="6.1640625" style="60" bestFit="1" customWidth="1"/>
    <col min="91" max="95" width="6.33203125" style="60" bestFit="1" customWidth="1"/>
    <col min="96" max="99" width="6.1640625" style="60" bestFit="1" customWidth="1"/>
    <col min="100" max="104" width="5.1640625" style="60" bestFit="1" customWidth="1"/>
    <col min="105" max="16384" width="22.6640625" style="60"/>
  </cols>
  <sheetData>
    <row r="1" spans="1:154" ht="13">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c r="EM1" s="99">
        <v>141</v>
      </c>
      <c r="EN1" s="99">
        <v>142</v>
      </c>
      <c r="EO1" s="99">
        <v>143</v>
      </c>
      <c r="EP1" s="99">
        <v>144</v>
      </c>
      <c r="EQ1" s="99">
        <v>145</v>
      </c>
      <c r="ER1" s="99">
        <v>146</v>
      </c>
      <c r="ES1" s="99">
        <v>147</v>
      </c>
      <c r="ET1" s="99">
        <v>148</v>
      </c>
      <c r="EU1" s="99">
        <v>149</v>
      </c>
      <c r="EV1" s="99">
        <v>150</v>
      </c>
      <c r="EW1" s="99">
        <v>151</v>
      </c>
      <c r="EX1" s="99">
        <v>152</v>
      </c>
    </row>
    <row r="2" spans="1:154">
      <c r="A2" s="59"/>
      <c r="B2" s="59"/>
      <c r="C2" s="59"/>
      <c r="D2" s="98"/>
      <c r="E2" s="98"/>
      <c r="F2" s="59"/>
      <c r="H2" s="99"/>
      <c r="I2" s="99"/>
      <c r="J2" s="99"/>
      <c r="K2" s="99"/>
      <c r="L2" s="99"/>
      <c r="M2" s="99"/>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99"/>
      <c r="AP2" s="99"/>
      <c r="AQ2" s="99"/>
      <c r="AR2" s="99"/>
      <c r="AS2" s="99"/>
      <c r="AT2" s="99"/>
      <c r="AU2" s="99"/>
      <c r="AV2" s="99"/>
      <c r="AW2" s="99"/>
      <c r="AX2" s="99"/>
      <c r="AY2" s="99"/>
      <c r="AZ2" s="99"/>
      <c r="BA2" s="99"/>
      <c r="BB2" s="99"/>
      <c r="BC2" s="99"/>
      <c r="BD2" s="99"/>
      <c r="BE2" s="99"/>
      <c r="BF2" s="99"/>
      <c r="BG2" s="99"/>
      <c r="BH2" s="99"/>
      <c r="BI2" s="99"/>
      <c r="BJ2" s="99"/>
      <c r="BK2" s="99"/>
      <c r="BL2" s="99"/>
      <c r="BM2" s="99"/>
      <c r="BN2" s="99"/>
      <c r="BO2" s="99"/>
      <c r="BP2" s="99"/>
      <c r="BQ2" s="99"/>
      <c r="BR2" s="99"/>
      <c r="BS2" s="99"/>
      <c r="BT2" s="99"/>
      <c r="BU2" s="99"/>
      <c r="BV2" s="99"/>
      <c r="BW2" s="99"/>
      <c r="BX2" s="99"/>
      <c r="BY2" s="99"/>
      <c r="BZ2" s="99"/>
      <c r="CA2" s="99"/>
      <c r="CB2" s="99"/>
      <c r="CC2" s="99"/>
      <c r="CD2" s="99"/>
      <c r="CE2" s="99"/>
      <c r="CF2" s="99"/>
      <c r="CG2" s="99"/>
      <c r="CH2" s="99"/>
      <c r="CI2" s="99"/>
      <c r="CJ2" s="99"/>
      <c r="CK2" s="99"/>
      <c r="CL2" s="99"/>
      <c r="CM2" s="99"/>
      <c r="CN2" s="99"/>
    </row>
    <row r="3" spans="1:154" ht="15">
      <c r="A3" s="1" t="s">
        <v>322</v>
      </c>
      <c r="B3" s="100"/>
      <c r="C3" s="101"/>
      <c r="D3" s="282">
        <v>78.13</v>
      </c>
      <c r="K3" s="102"/>
      <c r="M3" s="102"/>
    </row>
    <row r="4" spans="1:154">
      <c r="A4" s="36"/>
      <c r="B4" s="64"/>
      <c r="D4" s="100"/>
      <c r="E4" s="64"/>
      <c r="F4" s="103"/>
    </row>
    <row r="5" spans="1:154">
      <c r="A5" s="64"/>
      <c r="B5" s="64"/>
      <c r="D5" s="64"/>
      <c r="E5" s="64"/>
      <c r="H5" s="60" t="s">
        <v>387</v>
      </c>
    </row>
    <row r="6" spans="1:154">
      <c r="A6" s="74"/>
      <c r="B6" s="74"/>
    </row>
    <row r="7" spans="1:154">
      <c r="A7" s="59"/>
      <c r="B7" s="59"/>
      <c r="C7" s="59"/>
      <c r="D7" s="98"/>
      <c r="E7" s="98"/>
      <c r="F7" s="59"/>
      <c r="H7" s="59" t="s">
        <v>416</v>
      </c>
      <c r="I7" s="59">
        <v>43831</v>
      </c>
      <c r="J7" s="59">
        <v>43862</v>
      </c>
      <c r="K7" s="59">
        <v>43891</v>
      </c>
      <c r="L7" s="59">
        <v>43922</v>
      </c>
      <c r="M7" s="59">
        <v>43952</v>
      </c>
      <c r="N7" s="59">
        <v>43983</v>
      </c>
      <c r="O7" s="59">
        <v>44013</v>
      </c>
      <c r="P7" s="59">
        <v>44044</v>
      </c>
      <c r="Q7" s="59">
        <v>44075</v>
      </c>
      <c r="R7" s="59">
        <v>44105</v>
      </c>
      <c r="S7" s="59">
        <v>44136</v>
      </c>
      <c r="T7" s="59">
        <v>44166</v>
      </c>
      <c r="U7" s="59">
        <v>44197</v>
      </c>
      <c r="V7" s="59">
        <v>44228</v>
      </c>
      <c r="W7" s="59">
        <v>44256</v>
      </c>
      <c r="X7" s="59">
        <v>44287</v>
      </c>
      <c r="Y7" s="59">
        <v>44317</v>
      </c>
      <c r="Z7" s="59">
        <v>44348</v>
      </c>
      <c r="AA7" s="59">
        <v>44378</v>
      </c>
      <c r="AB7" s="59">
        <v>44409</v>
      </c>
      <c r="AC7" s="59">
        <v>44440</v>
      </c>
      <c r="AD7" s="59">
        <v>44470</v>
      </c>
      <c r="AE7" s="59">
        <v>44501</v>
      </c>
      <c r="AF7" s="59">
        <v>44531</v>
      </c>
      <c r="AG7" s="59">
        <v>44562</v>
      </c>
      <c r="AH7" s="59">
        <v>44593</v>
      </c>
      <c r="AI7" s="59">
        <v>44621</v>
      </c>
      <c r="AJ7" s="59">
        <v>44652</v>
      </c>
      <c r="AK7" s="59">
        <v>44682</v>
      </c>
      <c r="AL7" s="59">
        <v>44713</v>
      </c>
      <c r="AM7" s="59">
        <v>44743</v>
      </c>
      <c r="AN7" s="59">
        <v>44774</v>
      </c>
      <c r="AO7" s="59">
        <v>44805</v>
      </c>
      <c r="AP7" s="59">
        <v>44835</v>
      </c>
      <c r="AQ7" s="59">
        <v>44866</v>
      </c>
      <c r="AR7" s="59">
        <v>44896</v>
      </c>
      <c r="AS7" s="59">
        <v>44927</v>
      </c>
      <c r="AT7" s="59">
        <v>44958</v>
      </c>
      <c r="AU7" s="59">
        <v>44986</v>
      </c>
      <c r="AV7" s="59">
        <v>45017</v>
      </c>
      <c r="AW7" s="59">
        <v>45047</v>
      </c>
      <c r="AX7" s="59">
        <v>45078</v>
      </c>
      <c r="AY7" s="59">
        <v>45108</v>
      </c>
      <c r="AZ7" s="59" t="s">
        <v>530</v>
      </c>
      <c r="BA7" s="59" t="s">
        <v>531</v>
      </c>
      <c r="BB7" s="59" t="s">
        <v>532</v>
      </c>
      <c r="BC7" s="59">
        <v>37104</v>
      </c>
      <c r="BD7" s="59">
        <v>37469</v>
      </c>
      <c r="BE7" s="59" t="s">
        <v>168</v>
      </c>
      <c r="BF7" s="59" t="s">
        <v>169</v>
      </c>
      <c r="BG7" s="59" t="s">
        <v>195</v>
      </c>
      <c r="BH7" s="59" t="s">
        <v>196</v>
      </c>
      <c r="BI7" s="59" t="s">
        <v>197</v>
      </c>
      <c r="BJ7" s="59" t="s">
        <v>198</v>
      </c>
      <c r="BK7" s="59" t="s">
        <v>199</v>
      </c>
      <c r="BL7" s="59" t="s">
        <v>200</v>
      </c>
      <c r="BM7" s="59" t="s">
        <v>201</v>
      </c>
      <c r="BN7" s="59" t="s">
        <v>202</v>
      </c>
      <c r="BO7" s="59">
        <v>37196</v>
      </c>
      <c r="BP7" s="59">
        <v>37561</v>
      </c>
      <c r="BQ7" s="59">
        <v>37926</v>
      </c>
      <c r="BR7" s="59">
        <v>38292</v>
      </c>
      <c r="BS7" s="59">
        <v>37226</v>
      </c>
      <c r="BT7" s="59">
        <v>37591</v>
      </c>
      <c r="BU7" s="59">
        <v>37956</v>
      </c>
      <c r="BV7" s="59">
        <v>38322</v>
      </c>
      <c r="BW7" s="59">
        <v>36892</v>
      </c>
      <c r="BX7" s="59">
        <v>37257</v>
      </c>
      <c r="BY7" s="59">
        <v>37622</v>
      </c>
      <c r="BZ7" s="59">
        <v>37987</v>
      </c>
      <c r="CA7" s="59">
        <v>36923</v>
      </c>
      <c r="CB7" s="59">
        <v>37288</v>
      </c>
      <c r="CC7" s="59">
        <v>37653</v>
      </c>
      <c r="CD7" s="59">
        <v>38018</v>
      </c>
      <c r="CE7" s="59" t="str">
        <f>Sheet8!A15</f>
        <v>Mar-w1</v>
      </c>
      <c r="CF7" s="59">
        <v>37316</v>
      </c>
      <c r="CG7" s="59">
        <v>37681</v>
      </c>
      <c r="CH7" s="59">
        <v>38047</v>
      </c>
      <c r="CI7" s="59" t="str">
        <f>Sheet8!E15</f>
        <v>Apr-w1</v>
      </c>
      <c r="CJ7" s="59" t="str">
        <f>Sheet8!F15</f>
        <v>Apr-w2</v>
      </c>
      <c r="CK7" s="59" t="str">
        <f>Sheet8!G15</f>
        <v>Apr-w3</v>
      </c>
      <c r="CL7" s="59" t="str">
        <f>Sheet8!H15</f>
        <v>Apr-w4</v>
      </c>
      <c r="CM7" s="59" t="str">
        <f>Sheet8!I15</f>
        <v>May-w1</v>
      </c>
      <c r="CN7" s="59" t="str">
        <f>Sheet8!J15</f>
        <v>May-w2</v>
      </c>
      <c r="CO7" s="59" t="str">
        <f>Sheet8!K15</f>
        <v>May-w3</v>
      </c>
      <c r="CP7" s="59" t="str">
        <f>Sheet8!L15</f>
        <v>May-w4</v>
      </c>
      <c r="CQ7" s="59" t="str">
        <f>Sheet8!M15</f>
        <v>May-w5</v>
      </c>
      <c r="CR7" s="59" t="str">
        <f>Sheet8!N15</f>
        <v>june-w1</v>
      </c>
      <c r="CS7" s="59" t="str">
        <f>Sheet8!O15</f>
        <v>june-w2</v>
      </c>
      <c r="CT7" s="59" t="str">
        <f>Sheet8!P15</f>
        <v>june-w3</v>
      </c>
      <c r="CU7" s="59" t="str">
        <f>Sheet8!Q15</f>
        <v>june-w4</v>
      </c>
      <c r="CV7" s="59" t="str">
        <f>Sheet8!R15</f>
        <v>Jul-w1</v>
      </c>
      <c r="CW7" s="59" t="str">
        <f>Sheet8!S15</f>
        <v>Jul-w2</v>
      </c>
      <c r="CX7" s="59" t="str">
        <f>Sheet8!T15</f>
        <v>Jul-w3</v>
      </c>
      <c r="CY7" s="59" t="str">
        <f>Sheet8!U15</f>
        <v>Jul-w4</v>
      </c>
      <c r="CZ7" s="59" t="str">
        <f>Sheet8!V15</f>
        <v>Aug-w1</v>
      </c>
      <c r="DA7" s="59" t="str">
        <f>Sheet8!W15</f>
        <v>Aug-w2</v>
      </c>
      <c r="DB7" s="59" t="str">
        <f>Sheet8!X15</f>
        <v>Aug-w3</v>
      </c>
      <c r="DC7" s="59" t="str">
        <f>Sheet8!Y15</f>
        <v>Aug-w4</v>
      </c>
      <c r="DD7" s="59" t="str">
        <f>Sheet8!Z15</f>
        <v>Sep-w1</v>
      </c>
      <c r="DE7" s="59" t="str">
        <f>Sheet8!AA15</f>
        <v>Sep-w2</v>
      </c>
      <c r="DF7" s="59" t="str">
        <f>Sheet8!AB15</f>
        <v>Sep-w3</v>
      </c>
      <c r="DG7" s="59" t="str">
        <f>Sheet8!AC15</f>
        <v>Sep-w4</v>
      </c>
      <c r="DH7" s="59" t="str">
        <f>Sheet8!AD15</f>
        <v>Oct-w1</v>
      </c>
      <c r="DI7" s="59" t="str">
        <f>Sheet8!AE15</f>
        <v>Oct-w2</v>
      </c>
      <c r="DJ7" s="59" t="str">
        <f>Sheet8!AF15</f>
        <v>Oct-w3</v>
      </c>
      <c r="DK7" s="59" t="str">
        <f>Sheet8!AG15</f>
        <v>Oct-w4</v>
      </c>
      <c r="DL7" s="59" t="str">
        <f>Sheet8!AH15</f>
        <v>Nov-w1</v>
      </c>
      <c r="DM7" s="59" t="str">
        <f>Sheet8!AI15</f>
        <v>Nov-w2</v>
      </c>
      <c r="DN7" s="59" t="str">
        <f>Sheet8!AJ15</f>
        <v>Nov-w3</v>
      </c>
      <c r="DO7" s="59" t="str">
        <f>Sheet8!AK15</f>
        <v>Nov-w4</v>
      </c>
      <c r="DP7" s="59" t="str">
        <f>Sheet8!AL15</f>
        <v>Dec-w1</v>
      </c>
      <c r="DQ7" s="59" t="str">
        <f>Sheet8!AM15</f>
        <v>Dec-w2</v>
      </c>
      <c r="DR7" s="59" t="str">
        <f>Sheet8!AN15</f>
        <v>Dec-w3</v>
      </c>
      <c r="DS7" s="59" t="str">
        <f>Sheet8!AO15</f>
        <v>Dec-w4</v>
      </c>
      <c r="DT7" s="59">
        <f>Sheet8!AP15</f>
        <v>0</v>
      </c>
      <c r="DU7" s="59">
        <f>Sheet8!AQ15</f>
        <v>0</v>
      </c>
      <c r="DV7" s="59">
        <f>Sheet8!AR15</f>
        <v>0</v>
      </c>
      <c r="DW7" s="59">
        <f>Sheet8!AS15</f>
        <v>0</v>
      </c>
      <c r="DX7" s="59">
        <f>Sheet8!AT15</f>
        <v>0</v>
      </c>
      <c r="DY7" s="59">
        <f>Sheet8!AU15</f>
        <v>0</v>
      </c>
      <c r="DZ7" s="59">
        <f>Sheet8!AV15</f>
        <v>0</v>
      </c>
      <c r="EA7" s="59">
        <f>Sheet8!AW15</f>
        <v>0</v>
      </c>
      <c r="EB7" s="59">
        <f>Sheet8!AX15</f>
        <v>0</v>
      </c>
      <c r="EC7" s="59">
        <f>Sheet8!AY15</f>
        <v>0</v>
      </c>
      <c r="ED7" s="59">
        <f>Sheet8!AZ15</f>
        <v>0</v>
      </c>
      <c r="EE7" s="59">
        <f>Sheet8!BA15</f>
        <v>0</v>
      </c>
      <c r="EF7" s="59">
        <f>Sheet8!BB15</f>
        <v>0</v>
      </c>
      <c r="EG7" s="59">
        <f>Sheet8!BC15</f>
        <v>0</v>
      </c>
      <c r="EH7" s="59">
        <f>Sheet8!BD15</f>
        <v>0</v>
      </c>
      <c r="EI7" s="59">
        <f>Sheet8!BE15</f>
        <v>0</v>
      </c>
      <c r="EJ7" s="59">
        <f>Sheet8!BF15</f>
        <v>0</v>
      </c>
      <c r="EK7" s="59">
        <f>Sheet8!BG15</f>
        <v>0</v>
      </c>
      <c r="EL7" s="59">
        <f>Sheet8!BH15</f>
        <v>0</v>
      </c>
      <c r="EM7" s="59">
        <f>Sheet8!BI15</f>
        <v>0</v>
      </c>
      <c r="EN7" s="59">
        <f>Sheet8!BJ15</f>
        <v>0</v>
      </c>
      <c r="EO7" s="59">
        <f>Sheet8!BK15</f>
        <v>0</v>
      </c>
      <c r="EP7" s="59">
        <f>Sheet8!BL15</f>
        <v>0</v>
      </c>
      <c r="EQ7" s="59">
        <f>Sheet8!BM15</f>
        <v>0</v>
      </c>
      <c r="ER7" s="59">
        <f>Sheet8!BN15</f>
        <v>0</v>
      </c>
      <c r="ES7" s="59">
        <f>Sheet8!BO15</f>
        <v>0</v>
      </c>
      <c r="ET7" s="59">
        <f>Sheet8!BP15</f>
        <v>0</v>
      </c>
      <c r="EU7" s="59">
        <f>Sheet8!BQ15</f>
        <v>0</v>
      </c>
      <c r="EV7" s="59">
        <f>Sheet8!BR15</f>
        <v>0</v>
      </c>
      <c r="EW7" s="59">
        <f>Sheet8!BS15</f>
        <v>0</v>
      </c>
      <c r="EX7" s="59">
        <f>Sheet8!BT15</f>
        <v>0</v>
      </c>
    </row>
    <row r="8" spans="1:154" ht="13">
      <c r="H8" s="107" t="s">
        <v>55</v>
      </c>
      <c r="I8" s="74">
        <f>VLOOKUP($H$8&amp;$F$1,'Input RM sheet'!$A:$BD,H1,0)</f>
        <v>1119</v>
      </c>
      <c r="J8" s="74">
        <f>VLOOKUP($H$8&amp;$F$1,'Input RM sheet'!$A:$BD,I1,0)</f>
        <v>1101</v>
      </c>
      <c r="K8" s="74">
        <f>VLOOKUP($H$8&amp;$F$1,'Input RM sheet'!$A:$DD,J1,0)</f>
        <v>1096</v>
      </c>
      <c r="L8" s="74">
        <f>VLOOKUP($H$8&amp;$F$1,'Input RM sheet'!$A:$DD,K1,0)</f>
        <v>848.53</v>
      </c>
      <c r="M8" s="74">
        <f>VLOOKUP($H$8&amp;$F$1,'Input RM sheet'!$A:$DD,L1,0)</f>
        <v>953.75</v>
      </c>
      <c r="N8" s="74">
        <f>VLOOKUP($H$8&amp;$F$1,'Input RM sheet'!$A:$DD,M1,0)</f>
        <v>1059</v>
      </c>
      <c r="O8" s="74">
        <f>VLOOKUP($H$8&amp;$F$1,'Input RM sheet'!$A:$DD,N1,0)</f>
        <v>1013</v>
      </c>
      <c r="P8" s="74">
        <f>VLOOKUP($H$8&amp;$F$1,'Input RM sheet'!$A:$DD,O1,0)</f>
        <v>995.61</v>
      </c>
      <c r="Q8" s="74">
        <f>VLOOKUP($H$8&amp;$F$1,'Input RM sheet'!$A:$DD,P1,0)</f>
        <v>1071</v>
      </c>
      <c r="R8" s="74">
        <f>VLOOKUP($H$8&amp;$F$1,'Input RM sheet'!$A:$DD,Q1,0)</f>
        <v>1086</v>
      </c>
      <c r="S8" s="74">
        <f>VLOOKUP($H$8&amp;$F$1,'Input RM sheet'!$A:$DD,R1,0)</f>
        <v>1121</v>
      </c>
      <c r="T8" s="74">
        <f>VLOOKUP($H$8&amp;$F$1,'Input RM sheet'!$A:$DD,S1,0)</f>
        <v>1154</v>
      </c>
      <c r="U8" s="74">
        <f>VLOOKUP($H$8&amp;$F$1,'Input RM sheet'!$A:$DD,T1,0)</f>
        <v>1154</v>
      </c>
      <c r="V8" s="74">
        <f>VLOOKUP($H$8&amp;$F$1,'Input RM sheet'!$A:$DD,U1,0)</f>
        <v>1106</v>
      </c>
      <c r="W8" s="74">
        <f>VLOOKUP($H$8&amp;$F$1,'Input RM sheet'!$A:$DD,V1,0)</f>
        <v>1305</v>
      </c>
      <c r="X8" s="74">
        <f>VLOOKUP($H$8&amp;$F$1,'Input RM sheet'!$A:$DD,W1,0)</f>
        <v>1295</v>
      </c>
      <c r="Y8" s="74">
        <f>VLOOKUP($H$8&amp;$F$1,'Input RM sheet'!$A:$DD,X1,0)</f>
        <v>1198</v>
      </c>
      <c r="Z8" s="74">
        <f>VLOOKUP($H$8&amp;$F$1,'Input RM sheet'!$A:$DD,Y1,0)</f>
        <v>1074</v>
      </c>
      <c r="AA8" s="74">
        <f>VLOOKUP($H$8&amp;$F$1,'Input RM sheet'!$A:$DD,Z1,0)</f>
        <v>1112</v>
      </c>
      <c r="AB8" s="74">
        <f>VLOOKUP($H$8&amp;$F$1,'Input RM sheet'!$A:$DD,AA1,0)</f>
        <v>1189</v>
      </c>
      <c r="AC8" s="74">
        <f>VLOOKUP($H$8&amp;$F$1,'Input RM sheet'!$A:$DD,AB1,0)</f>
        <v>1200</v>
      </c>
      <c r="AD8" s="74">
        <f>VLOOKUP($H$8&amp;$F$1,'Input RM sheet'!$A:$DD,AC1,0)</f>
        <v>1534</v>
      </c>
      <c r="AE8" s="74">
        <f>VLOOKUP($H$8&amp;$F$1,'Input RM sheet'!$A:$DD,AD1,0)</f>
        <v>1189</v>
      </c>
      <c r="AF8" s="74">
        <f>VLOOKUP($H$8&amp;$F$1,'Input RM sheet'!$A:$DD,AE1,0)</f>
        <v>1177</v>
      </c>
      <c r="AG8" s="74">
        <f>VLOOKUP($H$8&amp;$F$1,'Input RM sheet'!$A:$DD,AF1,0)</f>
        <v>1094</v>
      </c>
      <c r="AH8" s="74">
        <f>VLOOKUP($H$8&amp;$F$1,'Input RM sheet'!$A:$DD,AG1,0)</f>
        <v>1317</v>
      </c>
      <c r="AI8" s="74">
        <f>VLOOKUP($H$8&amp;$F$1,'Input RM sheet'!$A:$DD,AH1,0)</f>
        <v>1292</v>
      </c>
      <c r="AJ8" s="74">
        <f>VLOOKUP($H$8&amp;$F$1,'Input RM sheet'!$A:$DD,AI1,0)</f>
        <v>1291</v>
      </c>
      <c r="AK8" s="74">
        <f>VLOOKUP($H$8&amp;$F$1,'Input RM sheet'!$A:$DD,AJ1,0)</f>
        <v>1239</v>
      </c>
      <c r="AL8" s="74">
        <f>VLOOKUP($H$8&amp;$F$1,'Input RM sheet'!$A:$DD,AK1,0)</f>
        <v>1128</v>
      </c>
      <c r="AM8" s="74">
        <f>VLOOKUP($H$8&amp;$F$1,'Input RM sheet'!$A:$DD,AL1,0)</f>
        <v>972.8</v>
      </c>
      <c r="AN8" s="74">
        <f>VLOOKUP($H$8&amp;$F$1,'Input RM sheet'!$A:$DD,AM1,0)</f>
        <v>955.68</v>
      </c>
      <c r="AO8" s="74">
        <f>VLOOKUP($H$8&amp;$F$1,'Input RM sheet'!$A:$DD,AN1,0)</f>
        <v>1070</v>
      </c>
      <c r="AP8" s="74">
        <f>VLOOKUP($H$8&amp;$F$1,'Input RM sheet'!$A:$DD,AO1,0)</f>
        <v>1015</v>
      </c>
      <c r="AQ8" s="74">
        <f>VLOOKUP($H$8&amp;$F$1,'Input RM sheet'!$A:$DD,AP1,0)</f>
        <v>941.53</v>
      </c>
      <c r="AR8" s="74">
        <f>VLOOKUP($H$8&amp;$F$1,'Input RM sheet'!$A:$DD,AQ1,0)</f>
        <v>960.4</v>
      </c>
      <c r="AS8" s="74">
        <f>VLOOKUP($H$8&amp;$F$1,'Input RM sheet'!$A:$DD,AR1,0)</f>
        <v>898.02</v>
      </c>
      <c r="AT8" s="74">
        <f>VLOOKUP($H$8&amp;$F$1,'Input RM sheet'!$A:$DD,AS1,0)</f>
        <v>993.41</v>
      </c>
      <c r="AU8" s="74">
        <f>VLOOKUP($H$8&amp;$F$1,'Input RM sheet'!$A:$DD,AT1,0)</f>
        <v>1044</v>
      </c>
      <c r="AV8" s="74">
        <f>VLOOKUP($H$8&amp;$F$1,'Input RM sheet'!$A:$DD,AU1,0)</f>
        <v>1016</v>
      </c>
      <c r="AW8" s="74">
        <f>VLOOKUP($H$8&amp;$F$1,'Input RM sheet'!$A:$DD,AV1,0)</f>
        <v>905.25</v>
      </c>
      <c r="AX8" s="74">
        <f>VLOOKUP($H$8&amp;$F$1,'Input RM sheet'!$A:$DD,AW1,0)</f>
        <v>838.5</v>
      </c>
      <c r="AY8" s="74">
        <f>VLOOKUP($H$8&amp;$F$1,'Input RM sheet'!$A:$DD,AX1,0)</f>
        <v>838.5</v>
      </c>
      <c r="AZ8" s="74">
        <f>VLOOKUP($H$8&amp;$F$1,'Input RM sheet'!$A:$DD,AY1,0)</f>
        <v>838.5</v>
      </c>
      <c r="BA8" s="74">
        <f>VLOOKUP($H$8&amp;$F$1,'Input RM sheet'!$A:$DD,AZ1,0)</f>
        <v>838.5</v>
      </c>
      <c r="BB8" s="74">
        <f>VLOOKUP($H$8&amp;$F$1,'Input RM sheet'!$A:$DD,BA1,0)</f>
        <v>848.21</v>
      </c>
      <c r="BC8" s="74">
        <f>VLOOKUP($H$8&amp;$F$1,'Input RM sheet'!$A:$DD,BB1,0)</f>
        <v>848.39</v>
      </c>
      <c r="BD8" s="74">
        <f>VLOOKUP($H$8&amp;$F$1,'Input RM sheet'!$A:$DD,BC1,0)</f>
        <v>848.39</v>
      </c>
      <c r="BE8" s="74">
        <f>VLOOKUP($H$8&amp;$F$1,'Input RM sheet'!$A:$DD,BD1,0)</f>
        <v>848.39</v>
      </c>
      <c r="BF8" s="74">
        <f>VLOOKUP($H$8&amp;$F$1,'Input RM sheet'!$A:$DD,BE1,0)</f>
        <v>848.39</v>
      </c>
      <c r="BG8" s="74">
        <f>VLOOKUP($H$8&amp;$F$1,'Input RM sheet'!$A:$DD,BF1,0)</f>
        <v>890.42</v>
      </c>
      <c r="BH8" s="74">
        <f>VLOOKUP($H$8&amp;$F$1,'Input RM sheet'!$A:$DD,BG1,0)</f>
        <v>890.42</v>
      </c>
      <c r="BI8" s="74">
        <f>VLOOKUP($H$8&amp;$F$1,'Input RM sheet'!$A:$DD,BH1,0)</f>
        <v>911.35</v>
      </c>
      <c r="BJ8" s="74">
        <f>VLOOKUP($H$8&amp;$F$1,'Input RM sheet'!$A:$DD,BI1,0)</f>
        <v>911.35</v>
      </c>
      <c r="BK8" s="74">
        <f>VLOOKUP($H$8&amp;$F$1,'Input RM sheet'!$A:$DD,BJ1,0)</f>
        <v>911.35</v>
      </c>
      <c r="BL8" s="74">
        <f>VLOOKUP($H$8&amp;$F$1,'Input RM sheet'!$A:$DD,BK1,0)</f>
        <v>911.35</v>
      </c>
      <c r="BM8" s="74">
        <f>VLOOKUP($H$8&amp;$F$1,'Input RM sheet'!$A:$DD,BL1,0)</f>
        <v>911.35</v>
      </c>
      <c r="BN8" s="74">
        <f>VLOOKUP($H$8&amp;$F$1,'Input RM sheet'!$A:$DD,BM1,0)</f>
        <v>947.5</v>
      </c>
      <c r="BO8" s="74">
        <f>VLOOKUP($H$8&amp;$F$1,'Input RM sheet'!$A:$DD,BN1,0)</f>
        <v>920.31</v>
      </c>
      <c r="BP8" s="74">
        <f>VLOOKUP($H$8&amp;$F$1,'Input RM sheet'!$A:$DD,BO1,0)</f>
        <v>920.31</v>
      </c>
      <c r="BQ8" s="74">
        <f>VLOOKUP($H$8&amp;$F$1,'Input RM sheet'!$A:$DD,BP1,0)</f>
        <v>920.31</v>
      </c>
      <c r="BR8" s="74">
        <f>VLOOKUP($H$8&amp;$F$1,'Input RM sheet'!$A:$DD,BQ1,0)</f>
        <v>920.31</v>
      </c>
      <c r="BS8" s="74">
        <f>VLOOKUP($H$8&amp;$F$1,'Input RM sheet'!$A:$DD,BR1,0)</f>
        <v>883.61</v>
      </c>
      <c r="BT8" s="74">
        <f>VLOOKUP($H$8&amp;$F$1,'Input RM sheet'!$A:$DD,BS1,0)</f>
        <v>883.61</v>
      </c>
      <c r="BU8" s="74">
        <f>VLOOKUP($H$8&amp;$F$1,'Input RM sheet'!$A:$DD,BT1,0)</f>
        <v>907.02</v>
      </c>
      <c r="BV8" s="74">
        <f>VLOOKUP($H$8&amp;$F$1,'Input RM sheet'!$A:$DD,BU1,0)</f>
        <v>907.19</v>
      </c>
      <c r="BW8" s="74">
        <f>VLOOKUP($H$8&amp;$F$1,'Input RM sheet'!$A:$DD,BV1,0)</f>
        <v>907.19</v>
      </c>
      <c r="BX8" s="74">
        <f>VLOOKUP($H$8&amp;$F$1,'Input RM sheet'!$A:$DD,BW1,0)</f>
        <v>907.19</v>
      </c>
      <c r="BY8" s="74">
        <f>VLOOKUP($H$8&amp;$F$1,'Input RM sheet'!$A:$DD,BX1,0)</f>
        <v>907.19</v>
      </c>
      <c r="BZ8" s="74">
        <f>VLOOKUP($H$8&amp;$F$1,'Input RM sheet'!$A:$DD,BY1,0)</f>
        <v>917.02</v>
      </c>
      <c r="CA8" s="74">
        <f>VLOOKUP($H$8&amp;$F$1,'Input RM sheet'!$A:$DD,BZ1,0)</f>
        <v>917.02</v>
      </c>
      <c r="CB8" s="74">
        <f>VLOOKUP($H$8&amp;$F$1,'Input RM sheet'!$A:$DD,CA1,0)</f>
        <v>917.02</v>
      </c>
      <c r="CC8" s="74">
        <f>VLOOKUP($H$8&amp;$F$1,'Input RM sheet'!$A:$DD,CB1,0)</f>
        <v>917.02</v>
      </c>
      <c r="CD8" s="74">
        <f>VLOOKUP($H$8&amp;$F$1,'Input RM sheet'!$A:$DD,CC1,0)</f>
        <v>917.02</v>
      </c>
      <c r="CE8" s="74">
        <f>VLOOKUP($H$8&amp;$F$1,'Input RM sheet'!$A:$DD,CD1,0)</f>
        <v>925.36</v>
      </c>
      <c r="CF8" s="74">
        <f>VLOOKUP($H$8&amp;$F$1,'Input RM sheet'!$A:$DD,CE1,0)</f>
        <v>925.36</v>
      </c>
      <c r="CG8" s="74">
        <f>VLOOKUP($H$8&amp;$F$1,'Input RM sheet'!$A:$DD,CF1,0)</f>
        <v>925.36</v>
      </c>
      <c r="CH8" s="74">
        <f>VLOOKUP($H$8&amp;$F$1,'Input RM sheet'!$A:$DD,CG1,0)</f>
        <v>937.44</v>
      </c>
      <c r="CI8" s="74">
        <f>VLOOKUP($H$8&amp;$F$1,'Input RM sheet'!$A:$DD,CH1,0)</f>
        <v>937.44</v>
      </c>
      <c r="CJ8" s="74">
        <f>VLOOKUP($H$8&amp;$F$1,'Input RM sheet'!$A:$DD,CI1,0)</f>
        <v>937.44</v>
      </c>
      <c r="CK8" s="74">
        <f>VLOOKUP($H$8&amp;$F$1,'Input RM sheet'!$A:$DD,CJ1,0)</f>
        <v>937.44</v>
      </c>
      <c r="CL8" s="74">
        <f>VLOOKUP($H$8&amp;$F$1,'Input RM sheet'!$A:$DD,CK1,0)</f>
        <v>953.19</v>
      </c>
      <c r="CM8" s="74">
        <f>VLOOKUP($H$8&amp;$F$1,'Input RM sheet'!$A:$DD,CL1,0)</f>
        <v>982.52</v>
      </c>
      <c r="CN8" s="74">
        <f>VLOOKUP($H$8&amp;$F$1,'Input RM sheet'!$A:$DD,CM1,0)</f>
        <v>953.19</v>
      </c>
      <c r="CO8" s="74">
        <f>VLOOKUP($H$8&amp;$F$1,'Input RM sheet'!$A:$DD,CN1,0)</f>
        <v>953.19</v>
      </c>
      <c r="CP8" s="74">
        <f>VLOOKUP($H$8&amp;$F$1,'Input RM sheet'!$A:$DD,CO1,0)</f>
        <v>953.19</v>
      </c>
      <c r="CQ8" s="74">
        <f>VLOOKUP($H$8&amp;$F$1,'Input RM sheet'!$A:$DD,CP1,0)</f>
        <v>953.19</v>
      </c>
      <c r="CR8" s="74">
        <f>VLOOKUP($H$8&amp;$F$1,'Input RM sheet'!$A:$ZZ,CQ1,0)</f>
        <v>940.41</v>
      </c>
      <c r="CS8" s="74">
        <f>VLOOKUP($H$8&amp;$F$1,'Input RM sheet'!$A:$ZZ,CR1,0)</f>
        <v>940.41</v>
      </c>
      <c r="CT8" s="74">
        <f>VLOOKUP($H$8&amp;$F$1,'Input RM sheet'!$A:$ZZ,CS1,0)</f>
        <v>940.41</v>
      </c>
      <c r="CU8" s="74">
        <f>VLOOKUP($H$8&amp;$F$1,'Input RM sheet'!$A:$ZZ,CT1,0)</f>
        <v>917.29</v>
      </c>
      <c r="CV8" s="74">
        <f>VLOOKUP($H$8&amp;$F$1,'Input RM sheet'!$A:$ZZ,CU1,0)</f>
        <v>917.29</v>
      </c>
      <c r="CW8" s="74">
        <f>VLOOKUP($H$8&amp;$F$1,'Input RM sheet'!$A:$ZZ,CV1,0)</f>
        <v>917.29</v>
      </c>
      <c r="CX8" s="74">
        <f>VLOOKUP($H$8&amp;$F$1,'Input RM sheet'!$A:$ZZ,CW1,0)</f>
        <v>917.29</v>
      </c>
      <c r="CY8" s="74">
        <f>VLOOKUP($H$8&amp;$F$1,'Input RM sheet'!$A:$ZZ,CX1,0)</f>
        <v>946.62</v>
      </c>
      <c r="CZ8" s="74">
        <f>VLOOKUP($H$8&amp;$F$1,'Input RM sheet'!$A:$ZZ,CY1,0)</f>
        <v>946.62</v>
      </c>
      <c r="DA8" s="74">
        <f>VLOOKUP($H$8&amp;$F$1,'Input RM sheet'!$A:$ZZ,CZ1,0)</f>
        <v>946.62</v>
      </c>
      <c r="DB8" s="74">
        <f>VLOOKUP($H$8&amp;$F$1,'Input RM sheet'!$A:$ZZ,DA1,0)</f>
        <v>946.62</v>
      </c>
      <c r="DC8" s="74">
        <f>VLOOKUP($H$8&amp;$F$1,'Input RM sheet'!$A:$ZZ,DB1,0)</f>
        <v>946.72</v>
      </c>
      <c r="DD8" s="74">
        <f>VLOOKUP($H$8&amp;$F$1,'Input RM sheet'!$A:$ZZ,DC1,0)</f>
        <v>965.17</v>
      </c>
      <c r="DE8" s="74">
        <f>VLOOKUP($H$8&amp;$F$1,'Input RM sheet'!$A:$ZZ,DD1,0)</f>
        <v>965.17</v>
      </c>
      <c r="DF8" s="74">
        <f>VLOOKUP($H$8&amp;$F$1,'Input RM sheet'!$A:$ZZ,DE1,0)</f>
        <v>965.17</v>
      </c>
      <c r="DG8" s="74">
        <f>VLOOKUP($H$8&amp;$F$1,'Input RM sheet'!$A:$ZZ,DF1,0)</f>
        <v>965.17</v>
      </c>
      <c r="DH8" s="74">
        <f>VLOOKUP($H$8&amp;$F$1,'Input RM sheet'!$A:$ZZ,DG1,0)</f>
        <v>975.36</v>
      </c>
      <c r="DI8" s="74">
        <f>VLOOKUP($H$8&amp;$F$1,'Input RM sheet'!$A:$ZZ,DH1,0)</f>
        <v>975.36</v>
      </c>
      <c r="DJ8" s="74">
        <f>VLOOKUP($H$8&amp;$F$1,'Input RM sheet'!$A:$ZZ,DI1,0)</f>
        <v>981.04</v>
      </c>
      <c r="DK8" s="74">
        <f>VLOOKUP($H$8&amp;$F$1,'Input RM sheet'!$A:$ZZ,DJ1,0)</f>
        <v>981.04</v>
      </c>
      <c r="DL8" s="74">
        <f>VLOOKUP($H$8&amp;$F$1,'Input RM sheet'!$A:$ZZ,DK1,0)</f>
        <v>981.04</v>
      </c>
      <c r="DM8" s="74">
        <f>VLOOKUP($H$8&amp;$F$1,'Input RM sheet'!$A:$ZZ,DL1,0)</f>
        <v>980.47</v>
      </c>
      <c r="DN8" s="74">
        <f>VLOOKUP($H$8&amp;$F$1,'Input RM sheet'!$A:$ZZ,DM1,0)</f>
        <v>980.47</v>
      </c>
      <c r="DO8" s="74">
        <f>VLOOKUP($H$8&amp;$F$1,'Input RM sheet'!$A:$ZZ,DN1,0)</f>
        <v>954.14</v>
      </c>
      <c r="DP8" s="74">
        <f>VLOOKUP($H$8&amp;$F$1,'Input RM sheet'!$A:$ZZ,DO1,0)</f>
        <v>954.14</v>
      </c>
      <c r="DQ8" s="74">
        <f>VLOOKUP($H$8&amp;$F$1,'Input RM sheet'!$A:$ZZ,DP1,0)</f>
        <v>954.14</v>
      </c>
      <c r="DR8" s="74">
        <f>VLOOKUP($H$8&amp;$F$1,'Input RM sheet'!$A:$ZZ,DQ1,0)</f>
        <v>954.14</v>
      </c>
      <c r="DS8" s="74">
        <f>VLOOKUP($H$8&amp;$F$1,'Input RM sheet'!$A:$ZZ,DR1,0)</f>
        <v>955.04</v>
      </c>
      <c r="DT8" s="74">
        <f>VLOOKUP($H$8&amp;$F$1,'Input RM sheet'!$A:$ZZ,DS1,0)</f>
        <v>0</v>
      </c>
      <c r="DU8" s="74">
        <f>VLOOKUP($H$8&amp;$F$1,'Input RM sheet'!$A:$ZZ,DT1,0)</f>
        <v>0</v>
      </c>
      <c r="DV8" s="74">
        <f>VLOOKUP($H$8&amp;$F$1,'Input RM sheet'!$A:$ZZ,DU1,0)</f>
        <v>0</v>
      </c>
      <c r="DW8" s="74">
        <f>VLOOKUP($H$8&amp;$F$1,'Input RM sheet'!$A:$ZZ,DV1,0)</f>
        <v>0</v>
      </c>
      <c r="DX8" s="74">
        <f>VLOOKUP($H$8&amp;$F$1,'Input RM sheet'!$A:$ZZ,DW1,0)</f>
        <v>0</v>
      </c>
      <c r="DY8" s="74">
        <f>VLOOKUP($H$8&amp;$F$1,'Input RM sheet'!$A:$ZZ,DX1,0)</f>
        <v>0</v>
      </c>
      <c r="DZ8" s="74">
        <f>VLOOKUP($H$8&amp;$F$1,'Input RM sheet'!$A:$ZZ,DY1,0)</f>
        <v>0</v>
      </c>
      <c r="EA8" s="74">
        <f>VLOOKUP($H$8&amp;$F$1,'Input RM sheet'!$A:$ZZ,DZ1,0)</f>
        <v>0</v>
      </c>
      <c r="EB8" s="74">
        <f>VLOOKUP($H$8&amp;$F$1,'Input RM sheet'!$A:$ZZ,EA1,0)</f>
        <v>0</v>
      </c>
      <c r="EC8" s="74">
        <f>VLOOKUP($H$8&amp;$F$1,'Input RM sheet'!$A:$ZZ,EB1,0)</f>
        <v>0</v>
      </c>
      <c r="ED8" s="74">
        <f>VLOOKUP($H$8&amp;$F$1,'Input RM sheet'!$A:$ZZ,EC1,0)</f>
        <v>0</v>
      </c>
      <c r="EE8" s="74">
        <f>VLOOKUP($H$8&amp;$F$1,'Input RM sheet'!$A:$ZZ,ED1,0)</f>
        <v>0</v>
      </c>
      <c r="EF8" s="74">
        <f>VLOOKUP($H$8&amp;$F$1,'Input RM sheet'!$A:$ZZ,EE1,0)</f>
        <v>0</v>
      </c>
      <c r="EG8" s="74">
        <f>VLOOKUP($H$8&amp;$F$1,'Input RM sheet'!$A:$ZZ,EF1,0)</f>
        <v>0</v>
      </c>
      <c r="EH8" s="74">
        <f>VLOOKUP($H$8&amp;$F$1,'Input RM sheet'!$A:$ZZ,EG1,0)</f>
        <v>0</v>
      </c>
      <c r="EI8" s="74">
        <f>VLOOKUP($H$8&amp;$F$1,'Input RM sheet'!$A:$ZZ,EH1,0)</f>
        <v>0</v>
      </c>
      <c r="EJ8" s="74">
        <f>VLOOKUP($H$8&amp;$F$1,'Input RM sheet'!$A:$ZZ,EI1,0)</f>
        <v>0</v>
      </c>
      <c r="EK8" s="74">
        <f>VLOOKUP($H$8&amp;$F$1,'Input RM sheet'!$A:$ZZ,EJ1,0)</f>
        <v>0</v>
      </c>
      <c r="EL8" s="74">
        <f>VLOOKUP($H$8&amp;$F$1,'Input RM sheet'!$A:$ZZ,EK1,0)</f>
        <v>0</v>
      </c>
      <c r="EM8" s="74">
        <f>VLOOKUP($H$8&amp;$F$1,'Input RM sheet'!$A:$ZZ,EL1,0)</f>
        <v>0</v>
      </c>
      <c r="EN8" s="74">
        <f>VLOOKUP($H$8&amp;$F$1,'Input RM sheet'!$A:$ZZ,EM1,0)</f>
        <v>0</v>
      </c>
      <c r="EO8" s="74">
        <f>VLOOKUP($H$8&amp;$F$1,'Input RM sheet'!$A:$ZZ,EN1,0)</f>
        <v>0</v>
      </c>
      <c r="EP8" s="74">
        <f>VLOOKUP($H$8&amp;$F$1,'Input RM sheet'!$A:$ZZ,EO1,0)</f>
        <v>0</v>
      </c>
      <c r="EQ8" s="74">
        <f>VLOOKUP($H$8&amp;$F$1,'Input RM sheet'!$A:$ZZ,EP1,0)</f>
        <v>0</v>
      </c>
      <c r="ER8" s="74">
        <f>VLOOKUP($H$8&amp;$F$1,'Input RM sheet'!$A:$ZZ,EQ1,0)</f>
        <v>0</v>
      </c>
      <c r="ES8" s="74">
        <f>VLOOKUP($H$8&amp;$F$1,'Input RM sheet'!$A:$ZZ,ER1,0)</f>
        <v>0</v>
      </c>
      <c r="ET8" s="74">
        <f>VLOOKUP($H$8&amp;$F$1,'Input RM sheet'!$A:$ZZ,ES1,0)</f>
        <v>0</v>
      </c>
      <c r="EU8" s="74">
        <f>VLOOKUP($H$8&amp;$F$1,'Input RM sheet'!$A:$ZZ,ET1,0)</f>
        <v>0</v>
      </c>
      <c r="EV8" s="74">
        <f>VLOOKUP($H$8&amp;$F$1,'Input RM sheet'!$A:$ZZ,EU1,0)</f>
        <v>0</v>
      </c>
      <c r="EW8" s="74">
        <f>VLOOKUP($H$8&amp;$F$1,'Input RM sheet'!$A:$ZZ,EV1,0)</f>
        <v>0</v>
      </c>
      <c r="EX8" s="74">
        <f>VLOOKUP($H$8&amp;$F$1,'Input RM sheet'!$A:$ZZ,EW1,0)</f>
        <v>0</v>
      </c>
    </row>
    <row r="9" spans="1:154">
      <c r="H9" s="107"/>
      <c r="I9" s="74"/>
      <c r="J9" s="74"/>
      <c r="K9" s="74"/>
      <c r="L9" s="74"/>
      <c r="M9" s="74"/>
      <c r="N9" s="74"/>
      <c r="O9" s="74"/>
      <c r="P9" s="74"/>
      <c r="Q9" s="74"/>
      <c r="R9" s="74"/>
      <c r="S9" s="74"/>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74"/>
      <c r="BG9" s="74"/>
      <c r="BH9" s="74"/>
      <c r="BI9" s="74"/>
      <c r="BJ9" s="74"/>
      <c r="BK9" s="74"/>
      <c r="BL9" s="74"/>
      <c r="BM9" s="74"/>
      <c r="BN9" s="74"/>
      <c r="BO9" s="74"/>
      <c r="BP9" s="74"/>
      <c r="BQ9" s="74"/>
      <c r="BR9" s="74"/>
      <c r="BS9" s="74"/>
      <c r="BT9" s="74"/>
      <c r="BU9" s="74"/>
      <c r="BV9" s="74"/>
      <c r="BW9" s="74"/>
      <c r="BX9" s="74"/>
      <c r="BY9" s="74"/>
      <c r="BZ9" s="74"/>
      <c r="CA9" s="74"/>
      <c r="CB9" s="74"/>
      <c r="CC9" s="74"/>
      <c r="CD9" s="74"/>
      <c r="CE9" s="74"/>
      <c r="CF9" s="74"/>
      <c r="CG9" s="74"/>
      <c r="CH9" s="74"/>
      <c r="CI9" s="74"/>
      <c r="CJ9" s="74"/>
      <c r="CK9" s="74"/>
      <c r="CL9" s="74"/>
      <c r="CM9" s="74"/>
      <c r="CN9" s="74"/>
      <c r="CO9" s="74"/>
      <c r="CP9" s="74"/>
      <c r="CQ9" s="74"/>
      <c r="CR9" s="74"/>
      <c r="CS9" s="74"/>
      <c r="CT9" s="74"/>
      <c r="CU9" s="74"/>
      <c r="CV9" s="74"/>
      <c r="CW9" s="74"/>
      <c r="CX9" s="74"/>
      <c r="CY9" s="74"/>
      <c r="CZ9" s="74"/>
      <c r="DA9" s="74"/>
      <c r="DB9" s="74"/>
      <c r="DC9" s="74"/>
      <c r="DD9" s="74"/>
      <c r="DE9" s="74"/>
      <c r="DF9" s="74"/>
      <c r="DG9" s="74"/>
      <c r="DH9" s="74"/>
      <c r="DI9" s="74"/>
      <c r="DJ9" s="74"/>
      <c r="DK9" s="74"/>
      <c r="DL9" s="74"/>
      <c r="DM9" s="74"/>
      <c r="DN9" s="74"/>
      <c r="DO9" s="74"/>
      <c r="DP9" s="74"/>
      <c r="DQ9" s="74"/>
      <c r="DR9" s="74"/>
      <c r="DS9" s="74"/>
      <c r="DT9" s="74"/>
      <c r="DU9" s="74"/>
      <c r="DV9" s="74"/>
      <c r="DW9" s="74"/>
      <c r="DX9" s="74"/>
      <c r="DY9" s="74"/>
      <c r="DZ9" s="74"/>
      <c r="EA9" s="74"/>
      <c r="EB9" s="74"/>
      <c r="EC9" s="74"/>
      <c r="ED9" s="74"/>
      <c r="EE9" s="74"/>
      <c r="EF9" s="74"/>
      <c r="EG9" s="74"/>
      <c r="EH9" s="74"/>
      <c r="EI9" s="74"/>
      <c r="EJ9" s="74"/>
      <c r="EK9" s="74"/>
      <c r="EL9" s="74"/>
      <c r="EM9" s="74"/>
      <c r="EN9" s="74"/>
      <c r="EO9" s="74"/>
      <c r="EP9" s="74"/>
      <c r="EQ9" s="74"/>
      <c r="ER9" s="74"/>
      <c r="ES9" s="74"/>
      <c r="ET9" s="74"/>
      <c r="EU9" s="74"/>
      <c r="EV9" s="74"/>
      <c r="EW9" s="74"/>
      <c r="EX9" s="74"/>
    </row>
    <row r="10" spans="1:154" ht="13">
      <c r="A10" s="59" t="s">
        <v>395</v>
      </c>
      <c r="B10" s="59"/>
      <c r="C10" s="59" t="s">
        <v>379</v>
      </c>
      <c r="D10" s="98" t="s">
        <v>380</v>
      </c>
      <c r="E10" s="98" t="s">
        <v>381</v>
      </c>
      <c r="F10" s="59" t="s">
        <v>396</v>
      </c>
      <c r="I10" s="84"/>
      <c r="J10" s="84"/>
      <c r="K10" s="84"/>
      <c r="L10" s="84"/>
      <c r="M10" s="84"/>
      <c r="N10" s="84"/>
      <c r="O10" s="84"/>
      <c r="P10" s="84"/>
      <c r="Q10" s="84"/>
      <c r="R10" s="84"/>
      <c r="S10" s="84"/>
      <c r="T10" s="84"/>
      <c r="U10" s="84"/>
      <c r="V10" s="84"/>
      <c r="W10" s="84"/>
      <c r="X10" s="84"/>
      <c r="Y10" s="84"/>
      <c r="Z10" s="84"/>
      <c r="AA10" s="84"/>
      <c r="AB10" s="84"/>
      <c r="AC10" s="84"/>
      <c r="AD10" s="84"/>
      <c r="AE10" s="84"/>
      <c r="AF10" s="84"/>
      <c r="AG10" s="84"/>
      <c r="AH10" s="84"/>
      <c r="AI10" s="84"/>
      <c r="AJ10" s="84"/>
      <c r="AK10" s="84"/>
      <c r="AL10" s="84"/>
      <c r="AM10" s="84"/>
      <c r="AN10" s="84"/>
      <c r="AO10" s="84"/>
      <c r="AP10" s="84"/>
      <c r="AQ10" s="84"/>
      <c r="AR10" s="84"/>
      <c r="AS10" s="84"/>
      <c r="AT10" s="84"/>
      <c r="AU10" s="84"/>
      <c r="AV10" s="84"/>
      <c r="AW10" s="84"/>
      <c r="AX10" s="84"/>
      <c r="AY10" s="84"/>
      <c r="AZ10" s="84"/>
      <c r="BA10" s="84"/>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84"/>
      <c r="CE10" s="84"/>
      <c r="CF10" s="84"/>
      <c r="CG10" s="84"/>
      <c r="CH10" s="84"/>
      <c r="CI10" s="84"/>
      <c r="CJ10" s="84"/>
      <c r="CK10" s="84"/>
      <c r="CL10" s="84"/>
      <c r="CM10" s="84"/>
      <c r="CN10" s="84"/>
      <c r="CO10" s="84"/>
      <c r="CP10" s="84"/>
      <c r="CQ10" s="84"/>
      <c r="CR10" s="84"/>
      <c r="CS10" s="84"/>
      <c r="CT10" s="84"/>
      <c r="CU10" s="84"/>
      <c r="CV10" s="84"/>
      <c r="CW10" s="84"/>
      <c r="CX10" s="84"/>
      <c r="CY10" s="84"/>
      <c r="CZ10" s="84"/>
      <c r="DA10" s="84"/>
      <c r="DB10" s="84"/>
      <c r="DC10" s="84"/>
      <c r="DD10" s="84"/>
      <c r="DE10" s="84"/>
      <c r="DF10" s="84"/>
      <c r="DG10" s="84"/>
      <c r="DH10" s="84"/>
      <c r="DI10" s="84"/>
      <c r="DJ10" s="84"/>
      <c r="DK10" s="84"/>
      <c r="DL10" s="84"/>
      <c r="DM10" s="84"/>
      <c r="DN10" s="84"/>
      <c r="DO10" s="84"/>
      <c r="DP10" s="84"/>
      <c r="DQ10" s="84"/>
      <c r="DR10" s="84"/>
      <c r="DS10" s="84"/>
      <c r="DT10" s="84"/>
      <c r="DU10" s="84"/>
      <c r="DV10" s="84"/>
      <c r="DW10" s="84"/>
      <c r="DX10" s="84"/>
      <c r="DY10" s="84"/>
      <c r="DZ10" s="84"/>
      <c r="EA10" s="84"/>
      <c r="EB10" s="84"/>
      <c r="EC10" s="84"/>
      <c r="ED10" s="84"/>
      <c r="EE10" s="84"/>
      <c r="EF10" s="84"/>
      <c r="EG10" s="84"/>
      <c r="EH10" s="84"/>
      <c r="EI10" s="84"/>
      <c r="EJ10" s="84"/>
      <c r="EK10" s="84"/>
      <c r="EL10" s="84"/>
      <c r="EM10" s="84"/>
      <c r="EN10" s="84"/>
      <c r="EO10" s="84"/>
      <c r="EP10" s="84"/>
      <c r="EQ10" s="84"/>
      <c r="ER10" s="84"/>
      <c r="ES10" s="84"/>
      <c r="ET10" s="84"/>
      <c r="EU10" s="84"/>
      <c r="EV10" s="84"/>
      <c r="EW10" s="84"/>
      <c r="EX10" s="84"/>
    </row>
    <row r="11" spans="1:154" ht="13">
      <c r="A11" s="107" t="s">
        <v>397</v>
      </c>
      <c r="B11" s="107" t="s">
        <v>548</v>
      </c>
      <c r="C11" s="60">
        <v>1</v>
      </c>
      <c r="D11" s="65">
        <v>44.05</v>
      </c>
      <c r="E11" s="60">
        <f>D11*C11</f>
        <v>44.05</v>
      </c>
      <c r="F11" s="328">
        <f>E11/$D$3</f>
        <v>0.56380391654934081</v>
      </c>
      <c r="H11" s="60" t="s">
        <v>399</v>
      </c>
      <c r="I11" s="74">
        <f>$F$11*(I8/1000)</f>
        <v>0.6308965826187124</v>
      </c>
      <c r="J11" s="74">
        <f t="shared" ref="J11:BU11" si="0">$F$11*(J8/1000)</f>
        <v>0.62074811212082426</v>
      </c>
      <c r="K11" s="74">
        <f t="shared" si="0"/>
        <v>0.6179290925380776</v>
      </c>
      <c r="L11" s="74">
        <f t="shared" si="0"/>
        <v>0.47840453730961219</v>
      </c>
      <c r="M11" s="74">
        <f t="shared" si="0"/>
        <v>0.53772798540893374</v>
      </c>
      <c r="N11" s="74">
        <f t="shared" si="0"/>
        <v>0.59706834762575189</v>
      </c>
      <c r="O11" s="74">
        <f t="shared" si="0"/>
        <v>0.57113336746448218</v>
      </c>
      <c r="P11" s="74">
        <f t="shared" si="0"/>
        <v>0.56132881735568918</v>
      </c>
      <c r="Q11" s="74">
        <f t="shared" si="0"/>
        <v>0.60383399462434395</v>
      </c>
      <c r="R11" s="74">
        <f t="shared" si="0"/>
        <v>0.61229105337258416</v>
      </c>
      <c r="S11" s="74">
        <f t="shared" si="0"/>
        <v>0.63202419045181102</v>
      </c>
      <c r="T11" s="74">
        <f t="shared" si="0"/>
        <v>0.65062971969793926</v>
      </c>
      <c r="U11" s="74">
        <f t="shared" si="0"/>
        <v>0.65062971969793926</v>
      </c>
      <c r="V11" s="74">
        <f t="shared" si="0"/>
        <v>0.62356713170357103</v>
      </c>
      <c r="W11" s="74">
        <f t="shared" si="0"/>
        <v>0.73576411109688977</v>
      </c>
      <c r="X11" s="74">
        <f t="shared" si="0"/>
        <v>0.73012607193139634</v>
      </c>
      <c r="Y11" s="74">
        <f t="shared" si="0"/>
        <v>0.67543709202611024</v>
      </c>
      <c r="Z11" s="74">
        <f t="shared" si="0"/>
        <v>0.6055254063739921</v>
      </c>
      <c r="AA11" s="74">
        <f t="shared" si="0"/>
        <v>0.626949955202867</v>
      </c>
      <c r="AB11" s="74">
        <f t="shared" si="0"/>
        <v>0.67036285677716623</v>
      </c>
      <c r="AC11" s="74">
        <f t="shared" si="0"/>
        <v>0.67656469985920897</v>
      </c>
      <c r="AD11" s="74">
        <f t="shared" si="0"/>
        <v>0.86487520798668882</v>
      </c>
      <c r="AE11" s="74">
        <f t="shared" si="0"/>
        <v>0.67036285677716623</v>
      </c>
      <c r="AF11" s="74">
        <f t="shared" si="0"/>
        <v>0.66359720977857417</v>
      </c>
      <c r="AG11" s="74">
        <f t="shared" si="0"/>
        <v>0.61680148470497886</v>
      </c>
      <c r="AH11" s="74">
        <f t="shared" si="0"/>
        <v>0.74252975809548183</v>
      </c>
      <c r="AI11" s="74">
        <f t="shared" si="0"/>
        <v>0.72843466018174829</v>
      </c>
      <c r="AJ11" s="74">
        <f t="shared" si="0"/>
        <v>0.72787085626519898</v>
      </c>
      <c r="AK11" s="74">
        <f t="shared" si="0"/>
        <v>0.6985530526046333</v>
      </c>
      <c r="AL11" s="74">
        <f t="shared" si="0"/>
        <v>0.63597081786765641</v>
      </c>
      <c r="AM11" s="74">
        <f t="shared" si="0"/>
        <v>0.54846845001919875</v>
      </c>
      <c r="AN11" s="74">
        <f t="shared" si="0"/>
        <v>0.53881612696787407</v>
      </c>
      <c r="AO11" s="74">
        <f t="shared" si="0"/>
        <v>0.60327019070779475</v>
      </c>
      <c r="AP11" s="74">
        <f t="shared" si="0"/>
        <v>0.57226097529758091</v>
      </c>
      <c r="AQ11" s="74">
        <f t="shared" si="0"/>
        <v>0.53083830154870082</v>
      </c>
      <c r="AR11" s="74">
        <f t="shared" si="0"/>
        <v>0.54147728145398688</v>
      </c>
      <c r="AS11" s="74">
        <f t="shared" si="0"/>
        <v>0.50630719313963901</v>
      </c>
      <c r="AT11" s="74">
        <f t="shared" si="0"/>
        <v>0.56008844873928065</v>
      </c>
      <c r="AU11" s="74">
        <f t="shared" si="0"/>
        <v>0.5886112888775118</v>
      </c>
      <c r="AV11" s="74">
        <f t="shared" si="0"/>
        <v>0.57282477921413022</v>
      </c>
      <c r="AW11" s="74">
        <f t="shared" si="0"/>
        <v>0.5103834954562908</v>
      </c>
      <c r="AX11" s="74">
        <f t="shared" si="0"/>
        <v>0.47274958402662226</v>
      </c>
      <c r="AY11" s="74">
        <f t="shared" si="0"/>
        <v>0.47274958402662226</v>
      </c>
      <c r="AZ11" s="74">
        <f t="shared" si="0"/>
        <v>0.47274958402662226</v>
      </c>
      <c r="BA11" s="74">
        <f t="shared" si="0"/>
        <v>0.47274958402662226</v>
      </c>
      <c r="BB11" s="74">
        <f t="shared" si="0"/>
        <v>0.47822412005631637</v>
      </c>
      <c r="BC11" s="74">
        <f t="shared" si="0"/>
        <v>0.47832560476129526</v>
      </c>
      <c r="BD11" s="74">
        <f t="shared" si="0"/>
        <v>0.47832560476129526</v>
      </c>
      <c r="BE11" s="74">
        <f t="shared" si="0"/>
        <v>0.47832560476129526</v>
      </c>
      <c r="BF11" s="74">
        <f t="shared" si="0"/>
        <v>0.47832560476129526</v>
      </c>
      <c r="BG11" s="74">
        <f t="shared" si="0"/>
        <v>0.50202228337386401</v>
      </c>
      <c r="BH11" s="74">
        <f t="shared" si="0"/>
        <v>0.50202228337386401</v>
      </c>
      <c r="BI11" s="74">
        <f t="shared" si="0"/>
        <v>0.51382269934724178</v>
      </c>
      <c r="BJ11" s="74">
        <f t="shared" si="0"/>
        <v>0.51382269934724178</v>
      </c>
      <c r="BK11" s="74">
        <f t="shared" si="0"/>
        <v>0.51382269934724178</v>
      </c>
      <c r="BL11" s="74">
        <f t="shared" si="0"/>
        <v>0.51382269934724178</v>
      </c>
      <c r="BM11" s="74">
        <f t="shared" si="0"/>
        <v>0.51382269934724178</v>
      </c>
      <c r="BN11" s="74">
        <f t="shared" si="0"/>
        <v>0.53420421093050041</v>
      </c>
      <c r="BO11" s="74">
        <f t="shared" si="0"/>
        <v>0.51887438243952377</v>
      </c>
      <c r="BP11" s="74">
        <f t="shared" si="0"/>
        <v>0.51887438243952377</v>
      </c>
      <c r="BQ11" s="74">
        <f t="shared" si="0"/>
        <v>0.51887438243952377</v>
      </c>
      <c r="BR11" s="74">
        <f t="shared" si="0"/>
        <v>0.51887438243952377</v>
      </c>
      <c r="BS11" s="74">
        <f t="shared" si="0"/>
        <v>0.49818277870216304</v>
      </c>
      <c r="BT11" s="74">
        <f t="shared" si="0"/>
        <v>0.49818277870216304</v>
      </c>
      <c r="BU11" s="74">
        <f t="shared" si="0"/>
        <v>0.51138142838858303</v>
      </c>
      <c r="BV11" s="74">
        <f t="shared" ref="BV11:CR11" si="1">$F$11*(BV8/1000)</f>
        <v>0.51147727505439655</v>
      </c>
      <c r="BW11" s="74">
        <f t="shared" si="1"/>
        <v>0.51147727505439655</v>
      </c>
      <c r="BX11" s="74">
        <f t="shared" si="1"/>
        <v>0.51147727505439655</v>
      </c>
      <c r="BY11" s="74">
        <f t="shared" si="1"/>
        <v>0.51147727505439655</v>
      </c>
      <c r="BZ11" s="74">
        <f t="shared" si="1"/>
        <v>0.51701946755407646</v>
      </c>
      <c r="CA11" s="74">
        <f t="shared" si="1"/>
        <v>0.51701946755407646</v>
      </c>
      <c r="CB11" s="74">
        <f t="shared" si="1"/>
        <v>0.51701946755407646</v>
      </c>
      <c r="CC11" s="74">
        <f t="shared" si="1"/>
        <v>0.51701946755407646</v>
      </c>
      <c r="CD11" s="74">
        <f t="shared" si="1"/>
        <v>0.51701946755407646</v>
      </c>
      <c r="CE11" s="74">
        <f t="shared" si="1"/>
        <v>0.521721592218098</v>
      </c>
      <c r="CF11" s="74">
        <f t="shared" si="1"/>
        <v>0.521721592218098</v>
      </c>
      <c r="CG11" s="74">
        <f t="shared" si="1"/>
        <v>0.521721592218098</v>
      </c>
      <c r="CH11" s="74">
        <f t="shared" si="1"/>
        <v>0.5285323435300141</v>
      </c>
      <c r="CI11" s="74">
        <f t="shared" si="1"/>
        <v>0.5285323435300141</v>
      </c>
      <c r="CJ11" s="74">
        <f t="shared" si="1"/>
        <v>0.5285323435300141</v>
      </c>
      <c r="CK11" s="74">
        <f t="shared" si="1"/>
        <v>0.5285323435300141</v>
      </c>
      <c r="CL11" s="74">
        <f t="shared" si="1"/>
        <v>0.53741225521566627</v>
      </c>
      <c r="CM11" s="74">
        <f t="shared" si="1"/>
        <v>0.55394862408805834</v>
      </c>
      <c r="CN11" s="74">
        <f t="shared" si="1"/>
        <v>0.53741225521566627</v>
      </c>
      <c r="CO11" s="74">
        <f t="shared" si="1"/>
        <v>0.53741225521566627</v>
      </c>
      <c r="CP11" s="74">
        <f t="shared" si="1"/>
        <v>0.53741225521566627</v>
      </c>
      <c r="CQ11" s="74">
        <f t="shared" si="1"/>
        <v>0.53741225521566627</v>
      </c>
      <c r="CR11" s="74">
        <f t="shared" si="1"/>
        <v>0.53020684116216554</v>
      </c>
      <c r="CS11" s="74">
        <f t="shared" ref="CS11:CZ11" si="2">$F$11*(CS8/1000)</f>
        <v>0.53020684116216554</v>
      </c>
      <c r="CT11" s="74">
        <f t="shared" si="2"/>
        <v>0.53020684116216554</v>
      </c>
      <c r="CU11" s="74">
        <f t="shared" si="2"/>
        <v>0.51717169461154477</v>
      </c>
      <c r="CV11" s="74">
        <f t="shared" si="2"/>
        <v>0.51717169461154477</v>
      </c>
      <c r="CW11" s="74">
        <f t="shared" si="2"/>
        <v>0.51717169461154477</v>
      </c>
      <c r="CX11" s="74">
        <f t="shared" si="2"/>
        <v>0.51717169461154477</v>
      </c>
      <c r="CY11" s="74">
        <f t="shared" si="2"/>
        <v>0.53370806348393696</v>
      </c>
      <c r="CZ11" s="74">
        <f t="shared" si="2"/>
        <v>0.53370806348393696</v>
      </c>
      <c r="DA11" s="74">
        <f>$F$11*(DA8/1000)</f>
        <v>0.53370806348393696</v>
      </c>
      <c r="DB11" s="74">
        <f>$F$11*(DB8/1000)</f>
        <v>0.53370806348393696</v>
      </c>
      <c r="DC11" s="74">
        <f t="shared" ref="DC11:EX11" si="3">$F$11*(DC8/1000)</f>
        <v>0.53376444387559197</v>
      </c>
      <c r="DD11" s="74">
        <f t="shared" si="3"/>
        <v>0.54416662613592726</v>
      </c>
      <c r="DE11" s="74">
        <f t="shared" si="3"/>
        <v>0.54416662613592726</v>
      </c>
      <c r="DF11" s="74">
        <f t="shared" si="3"/>
        <v>0.54416662613592726</v>
      </c>
      <c r="DG11" s="74">
        <f t="shared" si="3"/>
        <v>0.54416662613592726</v>
      </c>
      <c r="DH11" s="74">
        <f t="shared" si="3"/>
        <v>0.54991178804556506</v>
      </c>
      <c r="DI11" s="74">
        <f t="shared" si="3"/>
        <v>0.54991178804556506</v>
      </c>
      <c r="DJ11" s="74">
        <f t="shared" si="3"/>
        <v>0.55311419429156528</v>
      </c>
      <c r="DK11" s="74">
        <f t="shared" si="3"/>
        <v>0.55311419429156528</v>
      </c>
      <c r="DL11" s="74">
        <f t="shared" si="3"/>
        <v>0.55311419429156528</v>
      </c>
      <c r="DM11" s="74">
        <f t="shared" si="3"/>
        <v>0.55279282605913227</v>
      </c>
      <c r="DN11" s="74">
        <f t="shared" si="3"/>
        <v>0.55279282605913227</v>
      </c>
      <c r="DO11" s="74">
        <f t="shared" si="3"/>
        <v>0.53794786893638802</v>
      </c>
      <c r="DP11" s="74">
        <f t="shared" si="3"/>
        <v>0.53794786893638802</v>
      </c>
      <c r="DQ11" s="74">
        <f t="shared" si="3"/>
        <v>0.53794786893638802</v>
      </c>
      <c r="DR11" s="74">
        <f t="shared" si="3"/>
        <v>0.53794786893638802</v>
      </c>
      <c r="DS11" s="74">
        <f t="shared" si="3"/>
        <v>0.53845529246128243</v>
      </c>
      <c r="DT11" s="74">
        <f t="shared" si="3"/>
        <v>0</v>
      </c>
      <c r="DU11" s="74">
        <f t="shared" si="3"/>
        <v>0</v>
      </c>
      <c r="DV11" s="74">
        <f t="shared" si="3"/>
        <v>0</v>
      </c>
      <c r="DW11" s="74">
        <f t="shared" si="3"/>
        <v>0</v>
      </c>
      <c r="DX11" s="74">
        <f t="shared" si="3"/>
        <v>0</v>
      </c>
      <c r="DY11" s="74">
        <f t="shared" si="3"/>
        <v>0</v>
      </c>
      <c r="DZ11" s="74">
        <f t="shared" si="3"/>
        <v>0</v>
      </c>
      <c r="EA11" s="74">
        <f t="shared" si="3"/>
        <v>0</v>
      </c>
      <c r="EB11" s="74">
        <f t="shared" si="3"/>
        <v>0</v>
      </c>
      <c r="EC11" s="74">
        <f t="shared" si="3"/>
        <v>0</v>
      </c>
      <c r="ED11" s="74">
        <f t="shared" si="3"/>
        <v>0</v>
      </c>
      <c r="EE11" s="74">
        <f t="shared" si="3"/>
        <v>0</v>
      </c>
      <c r="EF11" s="74">
        <f t="shared" si="3"/>
        <v>0</v>
      </c>
      <c r="EG11" s="74">
        <f t="shared" si="3"/>
        <v>0</v>
      </c>
      <c r="EH11" s="74">
        <f t="shared" si="3"/>
        <v>0</v>
      </c>
      <c r="EI11" s="74">
        <f t="shared" si="3"/>
        <v>0</v>
      </c>
      <c r="EJ11" s="74">
        <f t="shared" si="3"/>
        <v>0</v>
      </c>
      <c r="EK11" s="74">
        <f t="shared" si="3"/>
        <v>0</v>
      </c>
      <c r="EL11" s="74">
        <f t="shared" si="3"/>
        <v>0</v>
      </c>
      <c r="EM11" s="74">
        <f t="shared" si="3"/>
        <v>0</v>
      </c>
      <c r="EN11" s="74">
        <f t="shared" si="3"/>
        <v>0</v>
      </c>
      <c r="EO11" s="74">
        <f t="shared" si="3"/>
        <v>0</v>
      </c>
      <c r="EP11" s="74">
        <f t="shared" si="3"/>
        <v>0</v>
      </c>
      <c r="EQ11" s="74">
        <f t="shared" si="3"/>
        <v>0</v>
      </c>
      <c r="ER11" s="74">
        <f t="shared" si="3"/>
        <v>0</v>
      </c>
      <c r="ES11" s="74">
        <f t="shared" si="3"/>
        <v>0</v>
      </c>
      <c r="ET11" s="74">
        <f t="shared" si="3"/>
        <v>0</v>
      </c>
      <c r="EU11" s="74">
        <f t="shared" si="3"/>
        <v>0</v>
      </c>
      <c r="EV11" s="74">
        <f t="shared" si="3"/>
        <v>0</v>
      </c>
      <c r="EW11" s="74">
        <f t="shared" si="3"/>
        <v>0</v>
      </c>
      <c r="EX11" s="74">
        <f t="shared" si="3"/>
        <v>0</v>
      </c>
    </row>
    <row r="12" spans="1:154">
      <c r="A12" s="67"/>
      <c r="B12" s="107"/>
      <c r="D12" s="77"/>
      <c r="F12" s="65"/>
      <c r="I12" s="74"/>
      <c r="J12" s="74"/>
      <c r="K12" s="74"/>
      <c r="L12" s="74"/>
      <c r="M12" s="74"/>
      <c r="N12" s="74"/>
      <c r="O12" s="74"/>
      <c r="P12" s="74"/>
      <c r="Q12" s="74"/>
      <c r="R12" s="74"/>
      <c r="S12" s="74"/>
      <c r="T12" s="74"/>
      <c r="U12" s="74"/>
      <c r="V12" s="74"/>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c r="BL12" s="74"/>
      <c r="BM12" s="74"/>
      <c r="BN12" s="74"/>
      <c r="BO12" s="74"/>
      <c r="BP12" s="74"/>
      <c r="BQ12" s="74"/>
      <c r="BR12" s="74"/>
      <c r="BS12" s="74"/>
      <c r="BT12" s="74"/>
      <c r="BU12" s="74"/>
      <c r="BV12" s="74"/>
      <c r="BW12" s="74"/>
      <c r="BX12" s="74"/>
      <c r="BY12" s="74"/>
      <c r="BZ12" s="74"/>
      <c r="CA12" s="74"/>
      <c r="CB12" s="74"/>
      <c r="CC12" s="74"/>
      <c r="CD12" s="74"/>
      <c r="CE12" s="74"/>
      <c r="CF12" s="74"/>
      <c r="CG12" s="74"/>
      <c r="CH12" s="74"/>
      <c r="CI12" s="74"/>
      <c r="CJ12" s="74"/>
      <c r="CK12" s="74"/>
      <c r="CL12" s="74"/>
      <c r="CM12" s="74"/>
      <c r="CN12" s="74"/>
      <c r="CO12" s="74"/>
      <c r="CP12" s="74"/>
      <c r="CQ12" s="74"/>
      <c r="CR12" s="74"/>
      <c r="CS12" s="74"/>
      <c r="CT12" s="74"/>
      <c r="CU12" s="74"/>
      <c r="CV12" s="74"/>
      <c r="CW12" s="74"/>
      <c r="CX12" s="74"/>
      <c r="CY12" s="74"/>
      <c r="CZ12" s="74"/>
      <c r="DA12" s="74"/>
      <c r="DB12" s="74"/>
      <c r="DC12" s="74"/>
      <c r="DD12" s="74"/>
      <c r="DE12" s="74"/>
      <c r="DF12" s="74"/>
      <c r="DG12" s="74"/>
      <c r="DH12" s="74"/>
      <c r="DI12" s="74"/>
      <c r="DJ12" s="74"/>
      <c r="DK12" s="74"/>
      <c r="DL12" s="74"/>
      <c r="DM12" s="74"/>
      <c r="DN12" s="74"/>
      <c r="DO12" s="74"/>
      <c r="DP12" s="74"/>
      <c r="DQ12" s="74"/>
      <c r="DR12" s="74"/>
      <c r="DS12" s="74"/>
      <c r="DT12" s="74"/>
      <c r="DU12" s="74"/>
      <c r="DV12" s="74"/>
      <c r="DW12" s="74"/>
      <c r="DX12" s="74"/>
      <c r="DY12" s="74"/>
      <c r="DZ12" s="74"/>
      <c r="EA12" s="74"/>
      <c r="EB12" s="74"/>
      <c r="EC12" s="74"/>
      <c r="ED12" s="74"/>
      <c r="EE12" s="74"/>
      <c r="EF12" s="74"/>
      <c r="EG12" s="74"/>
      <c r="EH12" s="74"/>
      <c r="EI12" s="74"/>
      <c r="EJ12" s="74"/>
      <c r="EK12" s="74"/>
      <c r="EL12" s="74"/>
      <c r="EM12" s="74"/>
      <c r="EN12" s="74"/>
      <c r="EO12" s="74"/>
      <c r="EP12" s="74"/>
      <c r="EQ12" s="74"/>
      <c r="ER12" s="74"/>
      <c r="ES12" s="74"/>
      <c r="ET12" s="74"/>
      <c r="EU12" s="74"/>
      <c r="EV12" s="74"/>
      <c r="EW12" s="74"/>
      <c r="EX12" s="74"/>
    </row>
    <row r="13" spans="1:154">
      <c r="A13" s="67"/>
      <c r="B13" s="107"/>
      <c r="D13" s="77"/>
      <c r="F13" s="65"/>
      <c r="I13" s="74"/>
      <c r="J13" s="74"/>
      <c r="K13" s="74"/>
      <c r="L13" s="74"/>
      <c r="M13" s="74"/>
      <c r="N13" s="74"/>
      <c r="O13" s="74"/>
      <c r="P13" s="74"/>
      <c r="Q13" s="74"/>
      <c r="R13" s="74"/>
      <c r="S13" s="74"/>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c r="BF13" s="74"/>
      <c r="BG13" s="74"/>
      <c r="BH13" s="74"/>
      <c r="BI13" s="74"/>
      <c r="BJ13" s="74"/>
      <c r="BK13" s="74"/>
      <c r="BL13" s="74"/>
      <c r="BM13" s="74"/>
      <c r="BN13" s="74"/>
      <c r="BO13" s="74"/>
      <c r="BP13" s="74"/>
      <c r="BQ13" s="74"/>
      <c r="BR13" s="74"/>
      <c r="BS13" s="74"/>
      <c r="BT13" s="74"/>
      <c r="BU13" s="74"/>
      <c r="BV13" s="74"/>
      <c r="BW13" s="74"/>
      <c r="BX13" s="74"/>
      <c r="BY13" s="74"/>
      <c r="BZ13" s="74"/>
      <c r="CA13" s="74"/>
      <c r="CB13" s="74"/>
      <c r="CC13" s="74"/>
      <c r="CD13" s="74"/>
      <c r="CE13" s="74"/>
      <c r="CF13" s="74"/>
      <c r="CG13" s="74"/>
      <c r="CH13" s="74"/>
      <c r="CI13" s="74"/>
      <c r="CJ13" s="74"/>
      <c r="CK13" s="74"/>
      <c r="CL13" s="74"/>
      <c r="CM13" s="74"/>
      <c r="CN13" s="74"/>
      <c r="CO13" s="74"/>
      <c r="CP13" s="74"/>
      <c r="CQ13" s="74"/>
      <c r="CR13" s="74"/>
      <c r="CS13" s="74"/>
      <c r="CT13" s="74"/>
      <c r="CU13" s="74"/>
      <c r="CV13" s="74"/>
      <c r="CW13" s="74"/>
      <c r="CX13" s="74"/>
      <c r="CY13" s="74"/>
      <c r="CZ13" s="74"/>
      <c r="DA13" s="74"/>
      <c r="DB13" s="74"/>
      <c r="DC13" s="74"/>
      <c r="DD13" s="74"/>
      <c r="DE13" s="74"/>
      <c r="DF13" s="74"/>
      <c r="DG13" s="74"/>
      <c r="DH13" s="74"/>
      <c r="DI13" s="74"/>
      <c r="DJ13" s="74"/>
      <c r="DK13" s="74"/>
      <c r="DL13" s="74"/>
      <c r="DM13" s="74"/>
      <c r="DN13" s="74"/>
      <c r="DO13" s="74"/>
      <c r="DP13" s="74"/>
      <c r="DQ13" s="74"/>
      <c r="DR13" s="74"/>
      <c r="DS13" s="74"/>
      <c r="DT13" s="74"/>
      <c r="DU13" s="74"/>
      <c r="DV13" s="74"/>
      <c r="DW13" s="74"/>
      <c r="DX13" s="74"/>
      <c r="DY13" s="74"/>
      <c r="DZ13" s="74"/>
      <c r="EA13" s="74"/>
      <c r="EB13" s="74"/>
      <c r="EC13" s="74"/>
      <c r="ED13" s="74"/>
      <c r="EE13" s="74"/>
      <c r="EF13" s="74"/>
      <c r="EG13" s="74"/>
      <c r="EH13" s="74"/>
      <c r="EI13" s="74"/>
      <c r="EJ13" s="74"/>
      <c r="EK13" s="74"/>
      <c r="EL13" s="74"/>
      <c r="EM13" s="74"/>
      <c r="EN13" s="74"/>
      <c r="EO13" s="74"/>
      <c r="EP13" s="74"/>
      <c r="EQ13" s="74"/>
      <c r="ER13" s="74"/>
      <c r="ES13" s="74"/>
      <c r="ET13" s="74"/>
      <c r="EU13" s="74"/>
      <c r="EV13" s="74"/>
      <c r="EW13" s="74"/>
      <c r="EX13" s="74"/>
    </row>
    <row r="14" spans="1:154" s="104" customFormat="1">
      <c r="H14" s="104" t="s">
        <v>799</v>
      </c>
      <c r="I14" s="105">
        <f t="shared" ref="I14:AN14" si="4">SUM(I11:I11)</f>
        <v>0.6308965826187124</v>
      </c>
      <c r="J14" s="105">
        <f t="shared" si="4"/>
        <v>0.62074811212082426</v>
      </c>
      <c r="K14" s="105">
        <f t="shared" si="4"/>
        <v>0.6179290925380776</v>
      </c>
      <c r="L14" s="105">
        <f t="shared" si="4"/>
        <v>0.47840453730961219</v>
      </c>
      <c r="M14" s="105">
        <f t="shared" si="4"/>
        <v>0.53772798540893374</v>
      </c>
      <c r="N14" s="105">
        <f t="shared" si="4"/>
        <v>0.59706834762575189</v>
      </c>
      <c r="O14" s="105">
        <f t="shared" si="4"/>
        <v>0.57113336746448218</v>
      </c>
      <c r="P14" s="105">
        <f t="shared" si="4"/>
        <v>0.56132881735568918</v>
      </c>
      <c r="Q14" s="105">
        <f t="shared" si="4"/>
        <v>0.60383399462434395</v>
      </c>
      <c r="R14" s="105">
        <f t="shared" si="4"/>
        <v>0.61229105337258416</v>
      </c>
      <c r="S14" s="105">
        <f t="shared" si="4"/>
        <v>0.63202419045181102</v>
      </c>
      <c r="T14" s="105">
        <f t="shared" si="4"/>
        <v>0.65062971969793926</v>
      </c>
      <c r="U14" s="105">
        <f t="shared" si="4"/>
        <v>0.65062971969793926</v>
      </c>
      <c r="V14" s="105">
        <f t="shared" si="4"/>
        <v>0.62356713170357103</v>
      </c>
      <c r="W14" s="105">
        <f t="shared" si="4"/>
        <v>0.73576411109688977</v>
      </c>
      <c r="X14" s="105">
        <f t="shared" si="4"/>
        <v>0.73012607193139634</v>
      </c>
      <c r="Y14" s="105">
        <f t="shared" si="4"/>
        <v>0.67543709202611024</v>
      </c>
      <c r="Z14" s="105">
        <f t="shared" si="4"/>
        <v>0.6055254063739921</v>
      </c>
      <c r="AA14" s="105">
        <f t="shared" si="4"/>
        <v>0.626949955202867</v>
      </c>
      <c r="AB14" s="105">
        <f t="shared" si="4"/>
        <v>0.67036285677716623</v>
      </c>
      <c r="AC14" s="105">
        <f t="shared" si="4"/>
        <v>0.67656469985920897</v>
      </c>
      <c r="AD14" s="105">
        <f t="shared" si="4"/>
        <v>0.86487520798668882</v>
      </c>
      <c r="AE14" s="105">
        <f t="shared" si="4"/>
        <v>0.67036285677716623</v>
      </c>
      <c r="AF14" s="105">
        <f t="shared" si="4"/>
        <v>0.66359720977857417</v>
      </c>
      <c r="AG14" s="105">
        <f t="shared" si="4"/>
        <v>0.61680148470497886</v>
      </c>
      <c r="AH14" s="105">
        <f t="shared" si="4"/>
        <v>0.74252975809548183</v>
      </c>
      <c r="AI14" s="105">
        <f t="shared" si="4"/>
        <v>0.72843466018174829</v>
      </c>
      <c r="AJ14" s="105">
        <f t="shared" si="4"/>
        <v>0.72787085626519898</v>
      </c>
      <c r="AK14" s="105">
        <f t="shared" si="4"/>
        <v>0.6985530526046333</v>
      </c>
      <c r="AL14" s="105">
        <f t="shared" si="4"/>
        <v>0.63597081786765641</v>
      </c>
      <c r="AM14" s="105">
        <f t="shared" si="4"/>
        <v>0.54846845001919875</v>
      </c>
      <c r="AN14" s="105">
        <f t="shared" si="4"/>
        <v>0.53881612696787407</v>
      </c>
      <c r="AO14" s="105">
        <f t="shared" ref="AO14:BT14" si="5">SUM(AO11:AO11)</f>
        <v>0.60327019070779475</v>
      </c>
      <c r="AP14" s="105">
        <f t="shared" si="5"/>
        <v>0.57226097529758091</v>
      </c>
      <c r="AQ14" s="105">
        <f t="shared" si="5"/>
        <v>0.53083830154870082</v>
      </c>
      <c r="AR14" s="105">
        <f t="shared" si="5"/>
        <v>0.54147728145398688</v>
      </c>
      <c r="AS14" s="105">
        <f t="shared" si="5"/>
        <v>0.50630719313963901</v>
      </c>
      <c r="AT14" s="105">
        <f t="shared" si="5"/>
        <v>0.56008844873928065</v>
      </c>
      <c r="AU14" s="105">
        <f t="shared" si="5"/>
        <v>0.5886112888775118</v>
      </c>
      <c r="AV14" s="105">
        <f t="shared" si="5"/>
        <v>0.57282477921413022</v>
      </c>
      <c r="AW14" s="105">
        <f t="shared" si="5"/>
        <v>0.5103834954562908</v>
      </c>
      <c r="AX14" s="105">
        <f t="shared" si="5"/>
        <v>0.47274958402662226</v>
      </c>
      <c r="AY14" s="105">
        <f t="shared" si="5"/>
        <v>0.47274958402662226</v>
      </c>
      <c r="AZ14" s="105">
        <f t="shared" si="5"/>
        <v>0.47274958402662226</v>
      </c>
      <c r="BA14" s="105">
        <f t="shared" si="5"/>
        <v>0.47274958402662226</v>
      </c>
      <c r="BB14" s="105">
        <f t="shared" si="5"/>
        <v>0.47822412005631637</v>
      </c>
      <c r="BC14" s="105">
        <f t="shared" si="5"/>
        <v>0.47832560476129526</v>
      </c>
      <c r="BD14" s="105">
        <f t="shared" si="5"/>
        <v>0.47832560476129526</v>
      </c>
      <c r="BE14" s="105">
        <f t="shared" si="5"/>
        <v>0.47832560476129526</v>
      </c>
      <c r="BF14" s="105">
        <f t="shared" si="5"/>
        <v>0.47832560476129526</v>
      </c>
      <c r="BG14" s="105">
        <f t="shared" si="5"/>
        <v>0.50202228337386401</v>
      </c>
      <c r="BH14" s="105">
        <f t="shared" si="5"/>
        <v>0.50202228337386401</v>
      </c>
      <c r="BI14" s="105">
        <f t="shared" si="5"/>
        <v>0.51382269934724178</v>
      </c>
      <c r="BJ14" s="105">
        <f t="shared" si="5"/>
        <v>0.51382269934724178</v>
      </c>
      <c r="BK14" s="105">
        <f t="shared" si="5"/>
        <v>0.51382269934724178</v>
      </c>
      <c r="BL14" s="105">
        <f t="shared" si="5"/>
        <v>0.51382269934724178</v>
      </c>
      <c r="BM14" s="105">
        <f t="shared" si="5"/>
        <v>0.51382269934724178</v>
      </c>
      <c r="BN14" s="105">
        <f t="shared" si="5"/>
        <v>0.53420421093050041</v>
      </c>
      <c r="BO14" s="105">
        <f t="shared" si="5"/>
        <v>0.51887438243952377</v>
      </c>
      <c r="BP14" s="105">
        <f t="shared" si="5"/>
        <v>0.51887438243952377</v>
      </c>
      <c r="BQ14" s="105">
        <f t="shared" si="5"/>
        <v>0.51887438243952377</v>
      </c>
      <c r="BR14" s="105">
        <f t="shared" si="5"/>
        <v>0.51887438243952377</v>
      </c>
      <c r="BS14" s="105">
        <f t="shared" si="5"/>
        <v>0.49818277870216304</v>
      </c>
      <c r="BT14" s="105">
        <f t="shared" si="5"/>
        <v>0.49818277870216304</v>
      </c>
      <c r="BU14" s="105">
        <f t="shared" ref="BU14:CR14" si="6">SUM(BU11:BU11)</f>
        <v>0.51138142838858303</v>
      </c>
      <c r="BV14" s="105">
        <f t="shared" si="6"/>
        <v>0.51147727505439655</v>
      </c>
      <c r="BW14" s="105">
        <f t="shared" si="6"/>
        <v>0.51147727505439655</v>
      </c>
      <c r="BX14" s="105">
        <f t="shared" si="6"/>
        <v>0.51147727505439655</v>
      </c>
      <c r="BY14" s="105">
        <f t="shared" si="6"/>
        <v>0.51147727505439655</v>
      </c>
      <c r="BZ14" s="105">
        <f t="shared" si="6"/>
        <v>0.51701946755407646</v>
      </c>
      <c r="CA14" s="105">
        <f t="shared" si="6"/>
        <v>0.51701946755407646</v>
      </c>
      <c r="CB14" s="105">
        <f t="shared" si="6"/>
        <v>0.51701946755407646</v>
      </c>
      <c r="CC14" s="105">
        <f t="shared" si="6"/>
        <v>0.51701946755407646</v>
      </c>
      <c r="CD14" s="105">
        <f t="shared" si="6"/>
        <v>0.51701946755407646</v>
      </c>
      <c r="CE14" s="105">
        <f t="shared" si="6"/>
        <v>0.521721592218098</v>
      </c>
      <c r="CF14" s="105">
        <f t="shared" si="6"/>
        <v>0.521721592218098</v>
      </c>
      <c r="CG14" s="105">
        <f t="shared" si="6"/>
        <v>0.521721592218098</v>
      </c>
      <c r="CH14" s="105">
        <f t="shared" si="6"/>
        <v>0.5285323435300141</v>
      </c>
      <c r="CI14" s="105">
        <f t="shared" si="6"/>
        <v>0.5285323435300141</v>
      </c>
      <c r="CJ14" s="105">
        <f t="shared" si="6"/>
        <v>0.5285323435300141</v>
      </c>
      <c r="CK14" s="105">
        <f t="shared" si="6"/>
        <v>0.5285323435300141</v>
      </c>
      <c r="CL14" s="105">
        <f t="shared" si="6"/>
        <v>0.53741225521566627</v>
      </c>
      <c r="CM14" s="105">
        <f t="shared" si="6"/>
        <v>0.55394862408805834</v>
      </c>
      <c r="CN14" s="105">
        <f t="shared" si="6"/>
        <v>0.53741225521566627</v>
      </c>
      <c r="CO14" s="105">
        <f t="shared" si="6"/>
        <v>0.53741225521566627</v>
      </c>
      <c r="CP14" s="105">
        <f t="shared" si="6"/>
        <v>0.53741225521566627</v>
      </c>
      <c r="CQ14" s="105">
        <f t="shared" si="6"/>
        <v>0.53741225521566627</v>
      </c>
      <c r="CR14" s="105">
        <f t="shared" si="6"/>
        <v>0.53020684116216554</v>
      </c>
      <c r="CS14" s="105">
        <f t="shared" ref="CS14:CZ14" si="7">SUM(CS11:CS11)</f>
        <v>0.53020684116216554</v>
      </c>
      <c r="CT14" s="105">
        <f t="shared" si="7"/>
        <v>0.53020684116216554</v>
      </c>
      <c r="CU14" s="105">
        <f t="shared" si="7"/>
        <v>0.51717169461154477</v>
      </c>
      <c r="CV14" s="105">
        <f t="shared" si="7"/>
        <v>0.51717169461154477</v>
      </c>
      <c r="CW14" s="105">
        <f t="shared" si="7"/>
        <v>0.51717169461154477</v>
      </c>
      <c r="CX14" s="105">
        <f t="shared" si="7"/>
        <v>0.51717169461154477</v>
      </c>
      <c r="CY14" s="105">
        <f t="shared" si="7"/>
        <v>0.53370806348393696</v>
      </c>
      <c r="CZ14" s="105">
        <f t="shared" si="7"/>
        <v>0.53370806348393696</v>
      </c>
      <c r="DA14" s="105">
        <f>SUM(DA11:DA11)</f>
        <v>0.53370806348393696</v>
      </c>
      <c r="DB14" s="105">
        <f>SUM(DB11:DB11)</f>
        <v>0.53370806348393696</v>
      </c>
      <c r="DC14" s="105">
        <f t="shared" ref="DC14:EX14" si="8">SUM(DC11:DC11)</f>
        <v>0.53376444387559197</v>
      </c>
      <c r="DD14" s="105">
        <f t="shared" si="8"/>
        <v>0.54416662613592726</v>
      </c>
      <c r="DE14" s="105">
        <f t="shared" si="8"/>
        <v>0.54416662613592726</v>
      </c>
      <c r="DF14" s="105">
        <f t="shared" si="8"/>
        <v>0.54416662613592726</v>
      </c>
      <c r="DG14" s="105">
        <f t="shared" si="8"/>
        <v>0.54416662613592726</v>
      </c>
      <c r="DH14" s="105">
        <f t="shared" si="8"/>
        <v>0.54991178804556506</v>
      </c>
      <c r="DI14" s="105">
        <f t="shared" si="8"/>
        <v>0.54991178804556506</v>
      </c>
      <c r="DJ14" s="105">
        <f t="shared" si="8"/>
        <v>0.55311419429156528</v>
      </c>
      <c r="DK14" s="105">
        <f t="shared" si="8"/>
        <v>0.55311419429156528</v>
      </c>
      <c r="DL14" s="105">
        <f t="shared" si="8"/>
        <v>0.55311419429156528</v>
      </c>
      <c r="DM14" s="105">
        <f t="shared" si="8"/>
        <v>0.55279282605913227</v>
      </c>
      <c r="DN14" s="105">
        <f t="shared" si="8"/>
        <v>0.55279282605913227</v>
      </c>
      <c r="DO14" s="105">
        <f t="shared" si="8"/>
        <v>0.53794786893638802</v>
      </c>
      <c r="DP14" s="105">
        <f t="shared" si="8"/>
        <v>0.53794786893638802</v>
      </c>
      <c r="DQ14" s="105">
        <f t="shared" si="8"/>
        <v>0.53794786893638802</v>
      </c>
      <c r="DR14" s="105">
        <f t="shared" si="8"/>
        <v>0.53794786893638802</v>
      </c>
      <c r="DS14" s="105">
        <f t="shared" si="8"/>
        <v>0.53845529246128243</v>
      </c>
      <c r="DT14" s="105">
        <f t="shared" si="8"/>
        <v>0</v>
      </c>
      <c r="DU14" s="105">
        <f t="shared" si="8"/>
        <v>0</v>
      </c>
      <c r="DV14" s="105">
        <f t="shared" si="8"/>
        <v>0</v>
      </c>
      <c r="DW14" s="105">
        <f t="shared" si="8"/>
        <v>0</v>
      </c>
      <c r="DX14" s="105">
        <f t="shared" si="8"/>
        <v>0</v>
      </c>
      <c r="DY14" s="105">
        <f t="shared" si="8"/>
        <v>0</v>
      </c>
      <c r="DZ14" s="105">
        <f t="shared" si="8"/>
        <v>0</v>
      </c>
      <c r="EA14" s="105">
        <f t="shared" si="8"/>
        <v>0</v>
      </c>
      <c r="EB14" s="105">
        <f t="shared" si="8"/>
        <v>0</v>
      </c>
      <c r="EC14" s="105">
        <f t="shared" si="8"/>
        <v>0</v>
      </c>
      <c r="ED14" s="105">
        <f t="shared" si="8"/>
        <v>0</v>
      </c>
      <c r="EE14" s="105">
        <f t="shared" si="8"/>
        <v>0</v>
      </c>
      <c r="EF14" s="105">
        <f t="shared" si="8"/>
        <v>0</v>
      </c>
      <c r="EG14" s="105">
        <f t="shared" si="8"/>
        <v>0</v>
      </c>
      <c r="EH14" s="105">
        <f t="shared" si="8"/>
        <v>0</v>
      </c>
      <c r="EI14" s="105">
        <f t="shared" si="8"/>
        <v>0</v>
      </c>
      <c r="EJ14" s="105">
        <f t="shared" si="8"/>
        <v>0</v>
      </c>
      <c r="EK14" s="105">
        <f t="shared" si="8"/>
        <v>0</v>
      </c>
      <c r="EL14" s="105">
        <f t="shared" si="8"/>
        <v>0</v>
      </c>
      <c r="EM14" s="105">
        <f t="shared" si="8"/>
        <v>0</v>
      </c>
      <c r="EN14" s="105">
        <f t="shared" si="8"/>
        <v>0</v>
      </c>
      <c r="EO14" s="105">
        <f t="shared" si="8"/>
        <v>0</v>
      </c>
      <c r="EP14" s="105">
        <f t="shared" si="8"/>
        <v>0</v>
      </c>
      <c r="EQ14" s="105">
        <f t="shared" si="8"/>
        <v>0</v>
      </c>
      <c r="ER14" s="105">
        <f t="shared" si="8"/>
        <v>0</v>
      </c>
      <c r="ES14" s="105">
        <f t="shared" si="8"/>
        <v>0</v>
      </c>
      <c r="ET14" s="105">
        <f t="shared" si="8"/>
        <v>0</v>
      </c>
      <c r="EU14" s="105">
        <f t="shared" si="8"/>
        <v>0</v>
      </c>
      <c r="EV14" s="105">
        <f t="shared" si="8"/>
        <v>0</v>
      </c>
      <c r="EW14" s="105">
        <f t="shared" si="8"/>
        <v>0</v>
      </c>
      <c r="EX14" s="105">
        <f t="shared" si="8"/>
        <v>0</v>
      </c>
    </row>
    <row r="15" spans="1:154" s="104" customFormat="1">
      <c r="H15" s="60"/>
      <c r="I15" s="105"/>
      <c r="J15" s="105"/>
      <c r="K15" s="105"/>
      <c r="L15" s="105"/>
      <c r="M15" s="105"/>
      <c r="N15" s="105"/>
      <c r="O15" s="105"/>
      <c r="P15" s="105"/>
      <c r="Q15" s="105"/>
      <c r="R15" s="105"/>
      <c r="S15" s="105"/>
      <c r="T15" s="105"/>
      <c r="U15" s="105"/>
      <c r="V15" s="105"/>
      <c r="W15" s="105"/>
      <c r="X15" s="105"/>
      <c r="Y15" s="105"/>
      <c r="Z15" s="105"/>
      <c r="AA15" s="105"/>
      <c r="AB15" s="105"/>
      <c r="AC15" s="105"/>
      <c r="AD15" s="105"/>
      <c r="AE15" s="105"/>
      <c r="AF15" s="105"/>
      <c r="AG15" s="105"/>
      <c r="AH15" s="105"/>
      <c r="AI15" s="105"/>
      <c r="AJ15" s="105"/>
      <c r="AK15" s="105"/>
      <c r="AL15" s="105"/>
      <c r="AM15" s="105"/>
      <c r="AN15" s="105"/>
      <c r="AO15" s="105"/>
      <c r="AP15" s="105"/>
      <c r="AQ15" s="105"/>
      <c r="AR15" s="105"/>
      <c r="AS15" s="105"/>
      <c r="AT15" s="105"/>
      <c r="AU15" s="105"/>
      <c r="AV15" s="105"/>
      <c r="AW15" s="105"/>
      <c r="AX15" s="105"/>
      <c r="AY15" s="105"/>
      <c r="AZ15" s="105"/>
      <c r="BA15" s="105"/>
      <c r="BB15" s="105"/>
      <c r="BC15" s="105"/>
      <c r="BD15" s="105"/>
      <c r="BE15" s="105"/>
      <c r="BF15" s="105"/>
      <c r="BG15" s="105"/>
      <c r="BH15" s="105"/>
      <c r="BI15" s="105"/>
      <c r="BJ15" s="105"/>
      <c r="BK15" s="105"/>
      <c r="BL15" s="105"/>
      <c r="BM15" s="105"/>
      <c r="BN15" s="105"/>
      <c r="BO15" s="105"/>
      <c r="BP15" s="105"/>
      <c r="BQ15" s="105"/>
      <c r="BR15" s="105"/>
      <c r="BS15" s="105"/>
      <c r="BT15" s="105"/>
      <c r="BU15" s="105"/>
      <c r="BV15" s="105"/>
      <c r="BW15" s="105"/>
      <c r="BX15" s="105"/>
      <c r="BY15" s="105"/>
      <c r="BZ15" s="105"/>
      <c r="CA15" s="105"/>
      <c r="CB15" s="105"/>
      <c r="CC15" s="105"/>
      <c r="CD15" s="105"/>
      <c r="CE15" s="105"/>
      <c r="CF15" s="105"/>
      <c r="CG15" s="105"/>
      <c r="CH15" s="105"/>
      <c r="CI15" s="105"/>
      <c r="CJ15" s="105"/>
      <c r="CK15" s="105"/>
      <c r="CL15" s="105"/>
      <c r="CM15" s="105"/>
      <c r="CN15" s="105"/>
      <c r="CO15" s="105"/>
      <c r="CP15" s="105"/>
      <c r="CQ15" s="105"/>
      <c r="CR15" s="105"/>
      <c r="CS15" s="105"/>
      <c r="CT15" s="105"/>
      <c r="CU15" s="105"/>
      <c r="CV15" s="105"/>
      <c r="CW15" s="105"/>
      <c r="CX15" s="105"/>
      <c r="CY15" s="105"/>
      <c r="CZ15" s="105"/>
      <c r="DA15" s="105"/>
      <c r="DB15" s="105"/>
      <c r="DC15" s="105"/>
      <c r="DD15" s="105"/>
      <c r="DE15" s="105"/>
      <c r="DF15" s="105"/>
      <c r="DG15" s="105"/>
      <c r="DH15" s="105"/>
      <c r="DI15" s="105"/>
      <c r="DJ15" s="105"/>
      <c r="DK15" s="105"/>
      <c r="DL15" s="105"/>
      <c r="DM15" s="105"/>
      <c r="DN15" s="105"/>
      <c r="DO15" s="105"/>
      <c r="DP15" s="105"/>
      <c r="DQ15" s="105"/>
      <c r="DR15" s="105"/>
      <c r="DS15" s="105"/>
      <c r="DT15" s="105"/>
      <c r="DU15" s="105"/>
      <c r="DV15" s="105"/>
      <c r="DW15" s="105"/>
      <c r="DX15" s="105"/>
      <c r="DY15" s="105"/>
      <c r="DZ15" s="105"/>
      <c r="EA15" s="105"/>
      <c r="EB15" s="105"/>
      <c r="EC15" s="105"/>
      <c r="ED15" s="105"/>
      <c r="EE15" s="105"/>
      <c r="EF15" s="105"/>
      <c r="EG15" s="105"/>
      <c r="EH15" s="105"/>
      <c r="EI15" s="105"/>
      <c r="EJ15" s="105"/>
      <c r="EK15" s="105"/>
      <c r="EL15" s="105"/>
      <c r="EM15" s="105"/>
      <c r="EN15" s="105"/>
      <c r="EO15" s="105"/>
      <c r="EP15" s="105"/>
      <c r="EQ15" s="105"/>
      <c r="ER15" s="105"/>
      <c r="ES15" s="105"/>
      <c r="ET15" s="105"/>
      <c r="EU15" s="105"/>
      <c r="EV15" s="105"/>
      <c r="EW15" s="105"/>
      <c r="EX15" s="105"/>
    </row>
    <row r="16" spans="1:154" ht="15">
      <c r="A16"/>
      <c r="H16" s="60" t="s">
        <v>429</v>
      </c>
      <c r="I16" s="74"/>
      <c r="J16" s="74">
        <v>1.8</v>
      </c>
      <c r="K16" s="74"/>
      <c r="L16" s="74">
        <v>1.73</v>
      </c>
      <c r="M16" s="74"/>
      <c r="N16" s="74">
        <v>1.71</v>
      </c>
      <c r="O16" s="74"/>
      <c r="P16" s="74"/>
      <c r="Q16" s="74"/>
      <c r="R16" s="74"/>
      <c r="S16" s="74">
        <v>1.81</v>
      </c>
      <c r="T16" s="74"/>
      <c r="U16" s="74"/>
      <c r="V16" s="74">
        <v>1.885</v>
      </c>
      <c r="W16" s="74"/>
      <c r="X16" s="74"/>
      <c r="Y16" s="74">
        <v>1.9</v>
      </c>
      <c r="Z16" s="74"/>
      <c r="AA16" s="74"/>
      <c r="AB16" s="74">
        <v>2.06</v>
      </c>
      <c r="AC16" s="74"/>
      <c r="AD16" s="74"/>
      <c r="AE16" s="74"/>
      <c r="AF16" s="74">
        <v>2.15</v>
      </c>
      <c r="AG16" s="74"/>
      <c r="AH16" s="74">
        <v>2.14</v>
      </c>
      <c r="AI16" s="74"/>
      <c r="AK16" s="74">
        <v>2.09</v>
      </c>
      <c r="AL16" s="74">
        <v>2.0699999999999998</v>
      </c>
      <c r="AM16" s="74"/>
      <c r="AN16" s="74"/>
      <c r="AO16" s="74"/>
      <c r="AP16" s="74"/>
      <c r="AQ16" s="74">
        <v>1.7</v>
      </c>
      <c r="AR16" s="74"/>
      <c r="AS16" s="74"/>
      <c r="AT16" s="74"/>
      <c r="AU16" s="74"/>
      <c r="AV16" s="74"/>
      <c r="AW16" s="74"/>
      <c r="AX16" s="74"/>
      <c r="AY16" s="74"/>
      <c r="AZ16" s="74"/>
      <c r="BA16" s="74"/>
      <c r="BB16" s="74"/>
      <c r="BC16" s="74"/>
      <c r="BD16" s="74"/>
      <c r="BE16" s="74"/>
      <c r="BF16" s="74"/>
      <c r="BG16" s="74"/>
      <c r="BH16" s="74"/>
      <c r="BI16" s="74"/>
      <c r="BJ16" s="74"/>
      <c r="BK16" s="74"/>
      <c r="BL16" s="74"/>
      <c r="BM16" s="74"/>
      <c r="BN16" s="74"/>
      <c r="BO16" s="74"/>
      <c r="BP16" s="74"/>
      <c r="BQ16" s="74"/>
      <c r="BR16" s="74"/>
      <c r="BS16" s="74"/>
      <c r="BT16" s="74"/>
      <c r="BU16" s="74"/>
      <c r="BV16" s="74"/>
      <c r="BW16" s="74"/>
      <c r="BX16" s="74"/>
      <c r="BY16" s="74"/>
      <c r="BZ16" s="74"/>
      <c r="CA16" s="74"/>
      <c r="CB16" s="74"/>
      <c r="CC16" s="74"/>
      <c r="CD16" s="74"/>
      <c r="CE16" s="74"/>
      <c r="CF16" s="74">
        <v>1.59</v>
      </c>
      <c r="CG16" s="74"/>
      <c r="CH16" s="74"/>
      <c r="CI16" s="74"/>
      <c r="CJ16" s="74"/>
      <c r="CK16" s="74"/>
      <c r="CL16" s="74"/>
      <c r="CM16" s="74"/>
      <c r="CN16" s="74"/>
      <c r="CO16" s="74"/>
      <c r="CP16" s="74"/>
      <c r="CQ16" s="74"/>
      <c r="CR16" s="74"/>
      <c r="CS16" s="74"/>
      <c r="CT16" s="74"/>
      <c r="CU16" s="74"/>
      <c r="CV16" s="74"/>
      <c r="CW16" s="74"/>
      <c r="CX16" s="74"/>
      <c r="CY16" s="74"/>
      <c r="CZ16" s="74"/>
      <c r="DA16" s="74"/>
      <c r="DB16" s="74"/>
      <c r="DC16" s="74"/>
      <c r="DD16" s="74"/>
      <c r="DE16" s="74"/>
      <c r="DF16" s="74"/>
      <c r="DG16" s="74"/>
      <c r="DH16" s="74"/>
      <c r="DI16" s="74"/>
      <c r="DJ16" s="74"/>
      <c r="DK16" s="74"/>
      <c r="DL16" s="74"/>
      <c r="DM16" s="74"/>
      <c r="DN16" s="74"/>
      <c r="DO16" s="74"/>
      <c r="DP16" s="74"/>
      <c r="DQ16" s="74"/>
      <c r="DR16" s="74"/>
      <c r="DS16" s="74"/>
      <c r="DT16" s="74"/>
      <c r="DU16" s="74"/>
      <c r="DV16" s="74"/>
      <c r="DW16" s="74"/>
      <c r="DX16" s="74"/>
      <c r="DY16" s="74"/>
      <c r="DZ16" s="74"/>
      <c r="EA16" s="74"/>
      <c r="EB16" s="74"/>
      <c r="EC16" s="74"/>
      <c r="ED16" s="74"/>
      <c r="EE16" s="74"/>
      <c r="EF16" s="74"/>
      <c r="EG16" s="74"/>
      <c r="EH16" s="74"/>
      <c r="EI16" s="74"/>
      <c r="EJ16" s="74"/>
      <c r="EK16" s="74"/>
      <c r="EL16" s="74"/>
      <c r="EM16" s="74"/>
      <c r="EN16" s="74"/>
      <c r="EO16" s="74"/>
      <c r="EP16" s="74"/>
      <c r="EQ16" s="74"/>
      <c r="ER16" s="74"/>
      <c r="ES16" s="74"/>
      <c r="ET16" s="74"/>
      <c r="EU16" s="74"/>
      <c r="EV16" s="74"/>
      <c r="EW16" s="74"/>
      <c r="EX16" s="74"/>
    </row>
    <row r="17" spans="8:154">
      <c r="H17" s="60" t="s">
        <v>406</v>
      </c>
      <c r="I17" s="74"/>
      <c r="J17" s="74">
        <f>J16-J14</f>
        <v>1.1792518878791758</v>
      </c>
      <c r="K17" s="74"/>
      <c r="L17" s="74">
        <f>L16-L14</f>
        <v>1.2515954626903878</v>
      </c>
      <c r="M17" s="74"/>
      <c r="N17" s="74">
        <f>N16-N14</f>
        <v>1.1129316523742481</v>
      </c>
      <c r="O17" s="74"/>
      <c r="P17" s="74"/>
      <c r="Q17" s="74"/>
      <c r="R17" s="74"/>
      <c r="S17" s="74">
        <f>S16-S14</f>
        <v>1.1779758095481889</v>
      </c>
      <c r="T17" s="74"/>
      <c r="U17" s="74"/>
      <c r="V17" s="74">
        <f>V16-V14</f>
        <v>1.2614328682964291</v>
      </c>
      <c r="W17" s="74"/>
      <c r="X17" s="74"/>
      <c r="Y17" s="74">
        <f>Y16-Y14</f>
        <v>1.2245629079738896</v>
      </c>
      <c r="Z17" s="74"/>
      <c r="AA17" s="74"/>
      <c r="AB17" s="74">
        <f>AB16-AB14</f>
        <v>1.3896371432228338</v>
      </c>
      <c r="AC17" s="74"/>
      <c r="AD17" s="74"/>
      <c r="AE17" s="74"/>
      <c r="AF17" s="74">
        <f>AF16-AF14</f>
        <v>1.4864027902214256</v>
      </c>
      <c r="AG17" s="74"/>
      <c r="AH17" s="74">
        <f>AH16-AH14</f>
        <v>1.3974702419045184</v>
      </c>
      <c r="AI17" s="74"/>
      <c r="AK17" s="74">
        <f>AK16-AK14</f>
        <v>1.3914469473953666</v>
      </c>
      <c r="AL17" s="74">
        <f>AL16-AL14</f>
        <v>1.4340291821323434</v>
      </c>
      <c r="AM17" s="74"/>
      <c r="AN17" s="74"/>
      <c r="AO17" s="74"/>
      <c r="AP17" s="74"/>
      <c r="AQ17" s="74">
        <f>AQ16-AQ14</f>
        <v>1.1691616984512991</v>
      </c>
      <c r="AR17" s="74"/>
      <c r="AS17" s="74"/>
      <c r="AT17" s="74"/>
      <c r="AU17" s="74"/>
      <c r="AV17" s="74"/>
      <c r="AW17" s="74"/>
      <c r="AX17" s="74"/>
      <c r="AY17" s="74"/>
      <c r="AZ17" s="74"/>
      <c r="BA17" s="74"/>
      <c r="BB17" s="74"/>
      <c r="BC17" s="74"/>
      <c r="BD17" s="74"/>
      <c r="BE17" s="74"/>
      <c r="BF17" s="74"/>
      <c r="BG17" s="74"/>
      <c r="BH17" s="74"/>
      <c r="BI17" s="74"/>
      <c r="BJ17" s="74"/>
      <c r="BK17" s="74"/>
      <c r="BL17" s="74"/>
      <c r="BM17" s="74"/>
      <c r="BN17" s="74"/>
      <c r="BO17" s="74"/>
      <c r="BP17" s="74"/>
      <c r="BQ17" s="74"/>
      <c r="BR17" s="74"/>
      <c r="BS17" s="74"/>
      <c r="BT17" s="74"/>
      <c r="BU17" s="74"/>
      <c r="BV17" s="74"/>
      <c r="BW17" s="74"/>
      <c r="BX17" s="74"/>
      <c r="BY17" s="74"/>
      <c r="BZ17" s="74"/>
      <c r="CA17" s="74"/>
      <c r="CB17" s="74"/>
      <c r="CC17" s="74"/>
      <c r="CD17" s="74"/>
      <c r="CE17" s="74"/>
      <c r="CF17" s="74">
        <f>CF16-CF14</f>
        <v>1.0682784077819021</v>
      </c>
      <c r="CG17" s="74"/>
      <c r="CH17" s="74"/>
      <c r="CI17" s="74"/>
      <c r="CJ17" s="74"/>
      <c r="CK17" s="74"/>
      <c r="CL17" s="74"/>
      <c r="CM17" s="74"/>
      <c r="CN17" s="74"/>
      <c r="CO17" s="74"/>
      <c r="CP17" s="74"/>
      <c r="CQ17" s="74"/>
      <c r="CR17" s="74"/>
      <c r="CS17" s="74"/>
      <c r="CT17" s="74"/>
      <c r="CU17" s="74"/>
      <c r="CV17" s="74"/>
      <c r="CW17" s="74"/>
      <c r="CX17" s="74"/>
      <c r="CY17" s="74"/>
      <c r="CZ17" s="74"/>
      <c r="DA17" s="74"/>
      <c r="DB17" s="74"/>
      <c r="DC17" s="74"/>
      <c r="DD17" s="74"/>
      <c r="DE17" s="74"/>
      <c r="DF17" s="74"/>
      <c r="DG17" s="74"/>
      <c r="DH17" s="74"/>
      <c r="DI17" s="74"/>
      <c r="DJ17" s="74"/>
      <c r="DK17" s="74"/>
      <c r="DL17" s="74"/>
      <c r="DM17" s="74"/>
      <c r="DN17" s="74"/>
      <c r="DO17" s="74"/>
      <c r="DP17" s="74"/>
      <c r="DQ17" s="74"/>
      <c r="DR17" s="74"/>
      <c r="DS17" s="74"/>
      <c r="DT17" s="74"/>
      <c r="DU17" s="74"/>
      <c r="DV17" s="74"/>
      <c r="DW17" s="74"/>
      <c r="DX17" s="74"/>
      <c r="DY17" s="74"/>
      <c r="DZ17" s="74"/>
      <c r="EA17" s="74"/>
      <c r="EB17" s="74"/>
      <c r="EC17" s="74"/>
      <c r="ED17" s="74"/>
      <c r="EE17" s="74"/>
      <c r="EF17" s="74"/>
      <c r="EG17" s="74"/>
      <c r="EH17" s="74"/>
      <c r="EI17" s="74"/>
      <c r="EJ17" s="74"/>
      <c r="EK17" s="74"/>
      <c r="EL17" s="74"/>
      <c r="EM17" s="74"/>
      <c r="EN17" s="74"/>
      <c r="EO17" s="74"/>
      <c r="EP17" s="74"/>
      <c r="EQ17" s="74"/>
      <c r="ER17" s="74"/>
      <c r="ES17" s="74"/>
      <c r="ET17" s="74"/>
      <c r="EU17" s="74"/>
      <c r="EV17" s="74"/>
      <c r="EW17" s="74"/>
      <c r="EX17" s="74"/>
    </row>
    <row r="19" spans="8:154" ht="13" thickBot="1"/>
    <row r="20" spans="8:154" s="73" customFormat="1" ht="13" thickBot="1">
      <c r="H20" s="257" t="s">
        <v>800</v>
      </c>
      <c r="I20" s="258">
        <f>1.07+I14</f>
        <v>1.7008965826187126</v>
      </c>
      <c r="J20" s="258">
        <f>1.07+J14</f>
        <v>1.6907481121208243</v>
      </c>
      <c r="K20" s="258">
        <f>1.07+K14</f>
        <v>1.6879290925380777</v>
      </c>
      <c r="L20" s="258">
        <f>1.07+L14</f>
        <v>1.5484045373096122</v>
      </c>
      <c r="M20" s="258">
        <f t="shared" ref="M20:BX20" si="9">1.07+M14</f>
        <v>1.6077279854089337</v>
      </c>
      <c r="N20" s="258">
        <f t="shared" si="9"/>
        <v>1.667068347625752</v>
      </c>
      <c r="O20" s="258">
        <f t="shared" si="9"/>
        <v>1.6411333674644824</v>
      </c>
      <c r="P20" s="258">
        <f t="shared" si="9"/>
        <v>1.6313288173556892</v>
      </c>
      <c r="Q20" s="258">
        <f t="shared" si="9"/>
        <v>1.6738339946243439</v>
      </c>
      <c r="R20" s="258">
        <f t="shared" si="9"/>
        <v>1.6822910533725843</v>
      </c>
      <c r="S20" s="258">
        <f t="shared" si="9"/>
        <v>1.702024190451811</v>
      </c>
      <c r="T20" s="258">
        <f t="shared" si="9"/>
        <v>1.7206297196979392</v>
      </c>
      <c r="U20" s="258">
        <f t="shared" si="9"/>
        <v>1.7206297196979392</v>
      </c>
      <c r="V20" s="258">
        <f t="shared" si="9"/>
        <v>1.693567131703571</v>
      </c>
      <c r="W20" s="258">
        <f t="shared" si="9"/>
        <v>1.8057641110968898</v>
      </c>
      <c r="X20" s="258">
        <f t="shared" si="9"/>
        <v>1.8001260719313965</v>
      </c>
      <c r="Y20" s="258">
        <f t="shared" si="9"/>
        <v>1.7454370920261102</v>
      </c>
      <c r="Z20" s="258">
        <f t="shared" si="9"/>
        <v>1.6755254063739922</v>
      </c>
      <c r="AA20" s="258">
        <f t="shared" si="9"/>
        <v>1.6969499552028671</v>
      </c>
      <c r="AB20" s="258">
        <f t="shared" si="9"/>
        <v>1.7403628567771663</v>
      </c>
      <c r="AC20" s="258">
        <f t="shared" si="9"/>
        <v>1.746564699859209</v>
      </c>
      <c r="AD20" s="258">
        <f t="shared" si="9"/>
        <v>1.9348752079866889</v>
      </c>
      <c r="AE20" s="258">
        <f t="shared" si="9"/>
        <v>1.7403628567771663</v>
      </c>
      <c r="AF20" s="258">
        <f t="shared" si="9"/>
        <v>1.7335972097785741</v>
      </c>
      <c r="AG20" s="258">
        <f t="shared" si="9"/>
        <v>1.6868014847049788</v>
      </c>
      <c r="AH20" s="258">
        <f t="shared" si="9"/>
        <v>1.812529758095482</v>
      </c>
      <c r="AI20" s="258">
        <f t="shared" si="9"/>
        <v>1.7984346601817482</v>
      </c>
      <c r="AJ20" s="258">
        <f t="shared" si="9"/>
        <v>1.797870856265199</v>
      </c>
      <c r="AK20" s="258">
        <f t="shared" si="9"/>
        <v>1.7685530526046334</v>
      </c>
      <c r="AL20" s="258">
        <f t="shared" si="9"/>
        <v>1.7059708178676565</v>
      </c>
      <c r="AM20" s="258">
        <f t="shared" si="9"/>
        <v>1.6184684500191988</v>
      </c>
      <c r="AN20" s="258">
        <f t="shared" si="9"/>
        <v>1.608816126967874</v>
      </c>
      <c r="AO20" s="258">
        <f t="shared" si="9"/>
        <v>1.6732701907077949</v>
      </c>
      <c r="AP20" s="258">
        <f t="shared" si="9"/>
        <v>1.642260975297581</v>
      </c>
      <c r="AQ20" s="258">
        <f t="shared" si="9"/>
        <v>1.6008383015487009</v>
      </c>
      <c r="AR20" s="258">
        <f t="shared" si="9"/>
        <v>1.6114772814539871</v>
      </c>
      <c r="AS20" s="258">
        <f t="shared" si="9"/>
        <v>1.5763071931396391</v>
      </c>
      <c r="AT20" s="258">
        <f t="shared" si="9"/>
        <v>1.6300884487392806</v>
      </c>
      <c r="AU20" s="258">
        <f t="shared" si="9"/>
        <v>1.6586112888775117</v>
      </c>
      <c r="AV20" s="258">
        <f t="shared" si="9"/>
        <v>1.6428247792141302</v>
      </c>
      <c r="AW20" s="258">
        <f t="shared" si="9"/>
        <v>1.580383495456291</v>
      </c>
      <c r="AX20" s="258">
        <f t="shared" si="9"/>
        <v>1.5427495840266223</v>
      </c>
      <c r="AY20" s="258">
        <f t="shared" si="9"/>
        <v>1.5427495840266223</v>
      </c>
      <c r="AZ20" s="258">
        <f t="shared" si="9"/>
        <v>1.5427495840266223</v>
      </c>
      <c r="BA20" s="258">
        <f t="shared" si="9"/>
        <v>1.5427495840266223</v>
      </c>
      <c r="BB20" s="258">
        <f t="shared" si="9"/>
        <v>1.5482241200563165</v>
      </c>
      <c r="BC20" s="258">
        <f t="shared" si="9"/>
        <v>1.5483256047612954</v>
      </c>
      <c r="BD20" s="258">
        <f t="shared" si="9"/>
        <v>1.5483256047612954</v>
      </c>
      <c r="BE20" s="258">
        <f t="shared" si="9"/>
        <v>1.5483256047612954</v>
      </c>
      <c r="BF20" s="258">
        <f t="shared" si="9"/>
        <v>1.5483256047612954</v>
      </c>
      <c r="BG20" s="258">
        <f t="shared" si="9"/>
        <v>1.572022283373864</v>
      </c>
      <c r="BH20" s="258">
        <f t="shared" si="9"/>
        <v>1.572022283373864</v>
      </c>
      <c r="BI20" s="258">
        <f t="shared" si="9"/>
        <v>1.583822699347242</v>
      </c>
      <c r="BJ20" s="258">
        <f t="shared" si="9"/>
        <v>1.583822699347242</v>
      </c>
      <c r="BK20" s="258">
        <f t="shared" si="9"/>
        <v>1.583822699347242</v>
      </c>
      <c r="BL20" s="258">
        <f t="shared" si="9"/>
        <v>1.583822699347242</v>
      </c>
      <c r="BM20" s="258">
        <f t="shared" si="9"/>
        <v>1.583822699347242</v>
      </c>
      <c r="BN20" s="258">
        <f t="shared" si="9"/>
        <v>1.6042042109305004</v>
      </c>
      <c r="BO20" s="258">
        <f t="shared" si="9"/>
        <v>1.5888743824395237</v>
      </c>
      <c r="BP20" s="258">
        <f t="shared" si="9"/>
        <v>1.5888743824395237</v>
      </c>
      <c r="BQ20" s="258">
        <f t="shared" si="9"/>
        <v>1.5888743824395237</v>
      </c>
      <c r="BR20" s="258">
        <f t="shared" si="9"/>
        <v>1.5888743824395237</v>
      </c>
      <c r="BS20" s="258">
        <f t="shared" si="9"/>
        <v>1.5681827787021632</v>
      </c>
      <c r="BT20" s="258">
        <f t="shared" si="9"/>
        <v>1.5681827787021632</v>
      </c>
      <c r="BU20" s="258">
        <f t="shared" si="9"/>
        <v>1.5813814283885832</v>
      </c>
      <c r="BV20" s="258">
        <f t="shared" si="9"/>
        <v>1.5814772750543966</v>
      </c>
      <c r="BW20" s="258">
        <f t="shared" si="9"/>
        <v>1.5814772750543966</v>
      </c>
      <c r="BX20" s="258">
        <f t="shared" si="9"/>
        <v>1.5814772750543966</v>
      </c>
      <c r="BY20" s="258">
        <f t="shared" ref="BY20:CR20" si="10">1.07+BY14</f>
        <v>1.5814772750543966</v>
      </c>
      <c r="BZ20" s="258">
        <f t="shared" si="10"/>
        <v>1.5870194675540765</v>
      </c>
      <c r="CA20" s="258">
        <f t="shared" si="10"/>
        <v>1.5870194675540765</v>
      </c>
      <c r="CB20" s="258">
        <f t="shared" si="10"/>
        <v>1.5870194675540765</v>
      </c>
      <c r="CC20" s="258">
        <f t="shared" si="10"/>
        <v>1.5870194675540765</v>
      </c>
      <c r="CD20" s="258">
        <f t="shared" si="10"/>
        <v>1.5870194675540765</v>
      </c>
      <c r="CE20" s="258">
        <f t="shared" si="10"/>
        <v>1.5917215922180981</v>
      </c>
      <c r="CF20" s="258">
        <f t="shared" si="10"/>
        <v>1.5917215922180981</v>
      </c>
      <c r="CG20" s="258">
        <f t="shared" si="10"/>
        <v>1.5917215922180981</v>
      </c>
      <c r="CH20" s="258">
        <f t="shared" si="10"/>
        <v>1.5985323435300143</v>
      </c>
      <c r="CI20" s="258">
        <f t="shared" si="10"/>
        <v>1.5985323435300143</v>
      </c>
      <c r="CJ20" s="258">
        <f t="shared" si="10"/>
        <v>1.5985323435300143</v>
      </c>
      <c r="CK20" s="258">
        <f t="shared" si="10"/>
        <v>1.5985323435300143</v>
      </c>
      <c r="CL20" s="258">
        <f t="shared" si="10"/>
        <v>1.6074122552156664</v>
      </c>
      <c r="CM20" s="258">
        <f t="shared" si="10"/>
        <v>1.6239486240880585</v>
      </c>
      <c r="CN20" s="258">
        <f t="shared" si="10"/>
        <v>1.6074122552156664</v>
      </c>
      <c r="CO20" s="258">
        <f t="shared" si="10"/>
        <v>1.6074122552156664</v>
      </c>
      <c r="CP20" s="258">
        <f t="shared" si="10"/>
        <v>1.6074122552156664</v>
      </c>
      <c r="CQ20" s="258">
        <f t="shared" si="10"/>
        <v>1.6074122552156664</v>
      </c>
      <c r="CR20" s="258">
        <f t="shared" si="10"/>
        <v>1.6002068411621657</v>
      </c>
      <c r="CS20" s="258">
        <f t="shared" ref="CS20:CZ20" si="11">1.07+CS14</f>
        <v>1.6002068411621657</v>
      </c>
      <c r="CT20" s="258">
        <f t="shared" si="11"/>
        <v>1.6002068411621657</v>
      </c>
      <c r="CU20" s="258">
        <f t="shared" si="11"/>
        <v>1.5871716946115448</v>
      </c>
      <c r="CV20" s="258">
        <f t="shared" si="11"/>
        <v>1.5871716946115448</v>
      </c>
      <c r="CW20" s="258">
        <f t="shared" si="11"/>
        <v>1.5871716946115448</v>
      </c>
      <c r="CX20" s="258">
        <f t="shared" si="11"/>
        <v>1.5871716946115448</v>
      </c>
      <c r="CY20" s="258">
        <f t="shared" si="11"/>
        <v>1.6037080634839369</v>
      </c>
      <c r="CZ20" s="258">
        <f t="shared" si="11"/>
        <v>1.6037080634839369</v>
      </c>
      <c r="DA20" s="258">
        <f>1.07+DA14</f>
        <v>1.6037080634839369</v>
      </c>
      <c r="DB20" s="258">
        <f>1.07+DB14</f>
        <v>1.6037080634839369</v>
      </c>
      <c r="DC20" s="258">
        <f t="shared" ref="DC20:EX20" si="12">1.07+DC14</f>
        <v>1.603764443875592</v>
      </c>
      <c r="DD20" s="258">
        <f t="shared" si="12"/>
        <v>1.6141666261359273</v>
      </c>
      <c r="DE20" s="258">
        <f t="shared" si="12"/>
        <v>1.6141666261359273</v>
      </c>
      <c r="DF20" s="258">
        <f t="shared" si="12"/>
        <v>1.6141666261359273</v>
      </c>
      <c r="DG20" s="258">
        <f t="shared" si="12"/>
        <v>1.6141666261359273</v>
      </c>
      <c r="DH20" s="258">
        <f t="shared" si="12"/>
        <v>1.6199117880455651</v>
      </c>
      <c r="DI20" s="258">
        <f t="shared" si="12"/>
        <v>1.6199117880455651</v>
      </c>
      <c r="DJ20" s="258">
        <f t="shared" si="12"/>
        <v>1.6231141942915652</v>
      </c>
      <c r="DK20" s="258">
        <f t="shared" si="12"/>
        <v>1.6231141942915652</v>
      </c>
      <c r="DL20" s="258">
        <f t="shared" si="12"/>
        <v>1.6231141942915652</v>
      </c>
      <c r="DM20" s="258">
        <f t="shared" si="12"/>
        <v>1.6227928260591322</v>
      </c>
      <c r="DN20" s="258">
        <f t="shared" si="12"/>
        <v>1.6227928260591322</v>
      </c>
      <c r="DO20" s="258">
        <f t="shared" si="12"/>
        <v>1.607947868936388</v>
      </c>
      <c r="DP20" s="258">
        <f t="shared" si="12"/>
        <v>1.607947868936388</v>
      </c>
      <c r="DQ20" s="258">
        <f t="shared" si="12"/>
        <v>1.607947868936388</v>
      </c>
      <c r="DR20" s="258">
        <f t="shared" si="12"/>
        <v>1.607947868936388</v>
      </c>
      <c r="DS20" s="258">
        <f t="shared" si="12"/>
        <v>1.6084552924612825</v>
      </c>
      <c r="DT20" s="258">
        <f t="shared" si="12"/>
        <v>1.07</v>
      </c>
      <c r="DU20" s="258">
        <f t="shared" si="12"/>
        <v>1.07</v>
      </c>
      <c r="DV20" s="258">
        <f t="shared" si="12"/>
        <v>1.07</v>
      </c>
      <c r="DW20" s="258">
        <f t="shared" si="12"/>
        <v>1.07</v>
      </c>
      <c r="DX20" s="258">
        <f t="shared" si="12"/>
        <v>1.07</v>
      </c>
      <c r="DY20" s="258">
        <f t="shared" si="12"/>
        <v>1.07</v>
      </c>
      <c r="DZ20" s="258">
        <f t="shared" si="12"/>
        <v>1.07</v>
      </c>
      <c r="EA20" s="258">
        <f t="shared" si="12"/>
        <v>1.07</v>
      </c>
      <c r="EB20" s="258">
        <f t="shared" si="12"/>
        <v>1.07</v>
      </c>
      <c r="EC20" s="258">
        <f t="shared" si="12"/>
        <v>1.07</v>
      </c>
      <c r="ED20" s="258">
        <f t="shared" si="12"/>
        <v>1.07</v>
      </c>
      <c r="EE20" s="258">
        <f t="shared" si="12"/>
        <v>1.07</v>
      </c>
      <c r="EF20" s="258">
        <f t="shared" si="12"/>
        <v>1.07</v>
      </c>
      <c r="EG20" s="258">
        <f t="shared" si="12"/>
        <v>1.07</v>
      </c>
      <c r="EH20" s="258">
        <f t="shared" si="12"/>
        <v>1.07</v>
      </c>
      <c r="EI20" s="258">
        <f t="shared" si="12"/>
        <v>1.07</v>
      </c>
      <c r="EJ20" s="258">
        <f t="shared" si="12"/>
        <v>1.07</v>
      </c>
      <c r="EK20" s="258">
        <f t="shared" si="12"/>
        <v>1.07</v>
      </c>
      <c r="EL20" s="258">
        <f t="shared" si="12"/>
        <v>1.07</v>
      </c>
      <c r="EM20" s="258">
        <f t="shared" si="12"/>
        <v>1.07</v>
      </c>
      <c r="EN20" s="258">
        <f t="shared" si="12"/>
        <v>1.07</v>
      </c>
      <c r="EO20" s="258">
        <f t="shared" si="12"/>
        <v>1.07</v>
      </c>
      <c r="EP20" s="258">
        <f t="shared" si="12"/>
        <v>1.07</v>
      </c>
      <c r="EQ20" s="258">
        <f t="shared" si="12"/>
        <v>1.07</v>
      </c>
      <c r="ER20" s="258">
        <f t="shared" si="12"/>
        <v>1.07</v>
      </c>
      <c r="ES20" s="258">
        <f t="shared" si="12"/>
        <v>1.07</v>
      </c>
      <c r="ET20" s="258">
        <f t="shared" si="12"/>
        <v>1.07</v>
      </c>
      <c r="EU20" s="258">
        <f t="shared" si="12"/>
        <v>1.07</v>
      </c>
      <c r="EV20" s="258">
        <f t="shared" si="12"/>
        <v>1.07</v>
      </c>
      <c r="EW20" s="258">
        <f t="shared" si="12"/>
        <v>1.07</v>
      </c>
      <c r="EX20" s="258">
        <f t="shared" si="12"/>
        <v>1.07</v>
      </c>
    </row>
  </sheetData>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ET20"/>
  <sheetViews>
    <sheetView workbookViewId="0">
      <pane xSplit="11" ySplit="7" topLeftCell="DH8" activePane="bottomRight" state="frozen"/>
      <selection pane="topRight" activeCell="L1" sqref="L1"/>
      <selection pane="bottomLeft" activeCell="A7" sqref="A7"/>
      <selection pane="bottomRight" activeCell="DH17" sqref="DH17"/>
    </sheetView>
  </sheetViews>
  <sheetFormatPr baseColWidth="10" defaultColWidth="22.6640625" defaultRowHeight="12"/>
  <cols>
    <col min="1" max="1" width="16.1640625" style="60" bestFit="1" customWidth="1"/>
    <col min="2" max="2" width="13.1640625" style="60" bestFit="1" customWidth="1"/>
    <col min="3" max="3" width="4.83203125" style="60" bestFit="1" customWidth="1"/>
    <col min="4" max="4" width="12.33203125" style="60" bestFit="1" customWidth="1"/>
    <col min="5" max="5" width="18.83203125" style="60" bestFit="1" customWidth="1"/>
    <col min="6" max="6" width="6.5" style="60" bestFit="1" customWidth="1"/>
    <col min="7" max="7" width="4.1640625" style="60" bestFit="1" customWidth="1"/>
    <col min="8" max="8" width="22.83203125" style="60" bestFit="1" customWidth="1"/>
    <col min="9" max="9" width="6.5" style="60" customWidth="1"/>
    <col min="10" max="11" width="6.1640625" style="60" bestFit="1" customWidth="1"/>
    <col min="12" max="12" width="5.5" style="60" bestFit="1" customWidth="1"/>
    <col min="13" max="13" width="5.83203125" style="60" bestFit="1" customWidth="1"/>
    <col min="14" max="18" width="5.5" style="60" bestFit="1" customWidth="1"/>
    <col min="19" max="19" width="5.6640625" style="60" bestFit="1" customWidth="1"/>
    <col min="20" max="20" width="6.1640625" style="60" bestFit="1" customWidth="1"/>
    <col min="21" max="21" width="5.5" style="60" bestFit="1" customWidth="1"/>
    <col min="22" max="26" width="6.1640625" style="60" bestFit="1" customWidth="1"/>
    <col min="27" max="30" width="5.5" style="60" bestFit="1" customWidth="1"/>
    <col min="31" max="31" width="5.6640625" style="60" bestFit="1" customWidth="1"/>
    <col min="32" max="34" width="5.5" style="60" bestFit="1" customWidth="1"/>
    <col min="35" max="35" width="5.6640625" style="60" bestFit="1" customWidth="1"/>
    <col min="36" max="36" width="5.5" style="60" bestFit="1" customWidth="1"/>
    <col min="37" max="37" width="5.83203125" style="60" bestFit="1" customWidth="1"/>
    <col min="38" max="42" width="5.5" style="60" bestFit="1" customWidth="1"/>
    <col min="43" max="43" width="5.6640625" style="60" bestFit="1" customWidth="1"/>
    <col min="44" max="46" width="5.5" style="60" bestFit="1" customWidth="1"/>
    <col min="47" max="47" width="5.6640625" style="60" bestFit="1" customWidth="1"/>
    <col min="48" max="48" width="5.5" style="60" bestFit="1" customWidth="1"/>
    <col min="49" max="49" width="5.83203125" style="60" bestFit="1" customWidth="1"/>
    <col min="50" max="51" width="5.5" style="60" bestFit="1" customWidth="1"/>
    <col min="52" max="54" width="7" style="60" bestFit="1" customWidth="1"/>
    <col min="55" max="56" width="5.5" style="60" bestFit="1" customWidth="1"/>
    <col min="57" max="58" width="5.83203125" style="60" bestFit="1" customWidth="1"/>
    <col min="59" max="70" width="5.6640625" style="60" bestFit="1" customWidth="1"/>
    <col min="71" max="80" width="5.5" style="60" bestFit="1" customWidth="1"/>
    <col min="81" max="90" width="6.1640625" style="60" bestFit="1" customWidth="1"/>
    <col min="91" max="95" width="6.33203125" style="60" bestFit="1" customWidth="1"/>
    <col min="96" max="99" width="6.1640625" style="60" bestFit="1" customWidth="1"/>
    <col min="100" max="102" width="5.1640625" style="60" bestFit="1" customWidth="1"/>
    <col min="103" max="105" width="6.1640625" style="60" bestFit="1" customWidth="1"/>
    <col min="106" max="16384" width="22.6640625" style="60"/>
  </cols>
  <sheetData>
    <row r="1" spans="1:150" ht="13">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c r="EM1" s="99">
        <v>141</v>
      </c>
      <c r="EN1" s="99">
        <v>142</v>
      </c>
      <c r="EO1" s="99">
        <v>143</v>
      </c>
      <c r="EP1" s="99">
        <v>144</v>
      </c>
      <c r="EQ1" s="99">
        <v>145</v>
      </c>
      <c r="ER1" s="99">
        <v>146</v>
      </c>
      <c r="ES1" s="99">
        <v>147</v>
      </c>
      <c r="ET1" s="99">
        <v>148</v>
      </c>
    </row>
    <row r="2" spans="1:150">
      <c r="A2" s="59"/>
      <c r="B2" s="59"/>
      <c r="C2" s="59"/>
      <c r="D2" s="98"/>
      <c r="E2" s="98"/>
      <c r="F2" s="59"/>
      <c r="H2" s="99"/>
      <c r="I2" s="99"/>
      <c r="J2" s="99"/>
      <c r="K2" s="99"/>
      <c r="L2" s="99"/>
      <c r="M2" s="99"/>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99"/>
      <c r="AP2" s="99"/>
      <c r="AQ2" s="99"/>
      <c r="AR2" s="99"/>
      <c r="AS2" s="99"/>
      <c r="AT2" s="99"/>
      <c r="AU2" s="99"/>
      <c r="AV2" s="99"/>
      <c r="AW2" s="99"/>
      <c r="AX2" s="99"/>
      <c r="AY2" s="99"/>
      <c r="AZ2" s="99"/>
      <c r="BA2" s="99"/>
      <c r="BB2" s="99"/>
      <c r="BC2" s="99"/>
      <c r="BD2" s="99"/>
      <c r="BE2" s="99"/>
      <c r="BF2" s="99"/>
      <c r="BG2" s="99"/>
      <c r="BH2" s="99"/>
      <c r="BI2" s="99"/>
      <c r="BJ2" s="99"/>
      <c r="BK2" s="99"/>
      <c r="BL2" s="99"/>
      <c r="BM2" s="99"/>
      <c r="BN2" s="99"/>
      <c r="BO2" s="99"/>
      <c r="BP2" s="99"/>
      <c r="BQ2" s="99"/>
      <c r="BR2" s="99"/>
      <c r="BS2" s="99"/>
      <c r="BT2" s="99"/>
      <c r="BU2" s="99"/>
      <c r="BV2" s="99"/>
      <c r="BW2" s="99"/>
      <c r="BX2" s="99"/>
      <c r="BY2" s="99"/>
      <c r="BZ2" s="99"/>
      <c r="CA2" s="99"/>
      <c r="CB2" s="99"/>
      <c r="CC2" s="99"/>
      <c r="CD2" s="99"/>
      <c r="CE2" s="99"/>
      <c r="CF2" s="99"/>
      <c r="CG2" s="99"/>
      <c r="CH2" s="99"/>
      <c r="CI2" s="99"/>
      <c r="CJ2" s="99"/>
      <c r="CK2" s="99"/>
      <c r="CL2" s="99"/>
      <c r="CM2" s="99"/>
      <c r="CN2" s="99"/>
    </row>
    <row r="3" spans="1:150" ht="15">
      <c r="A3" t="s">
        <v>816</v>
      </c>
      <c r="B3" s="100"/>
      <c r="C3" s="101"/>
      <c r="D3" s="282">
        <v>144.24</v>
      </c>
      <c r="K3" s="102"/>
      <c r="M3" s="102"/>
    </row>
    <row r="4" spans="1:150">
      <c r="A4" s="36"/>
      <c r="B4" s="64"/>
      <c r="D4" s="100"/>
      <c r="E4" s="64"/>
      <c r="F4" s="103"/>
    </row>
    <row r="5" spans="1:150">
      <c r="A5" s="64"/>
      <c r="B5" s="64"/>
      <c r="D5" s="64"/>
      <c r="E5" s="64"/>
      <c r="H5" s="60" t="s">
        <v>387</v>
      </c>
    </row>
    <row r="6" spans="1:150">
      <c r="A6" s="74"/>
      <c r="B6" s="74"/>
    </row>
    <row r="7" spans="1:150">
      <c r="A7" s="59"/>
      <c r="B7" s="59"/>
      <c r="C7" s="59"/>
      <c r="D7" s="98"/>
      <c r="E7" s="98"/>
      <c r="F7" s="59"/>
      <c r="H7" s="59" t="s">
        <v>416</v>
      </c>
      <c r="I7" s="59">
        <v>43831</v>
      </c>
      <c r="J7" s="59">
        <v>43862</v>
      </c>
      <c r="K7" s="59">
        <v>43891</v>
      </c>
      <c r="L7" s="59">
        <v>43922</v>
      </c>
      <c r="M7" s="59">
        <v>43952</v>
      </c>
      <c r="N7" s="59">
        <v>43983</v>
      </c>
      <c r="O7" s="59">
        <v>44013</v>
      </c>
      <c r="P7" s="59">
        <v>44044</v>
      </c>
      <c r="Q7" s="59">
        <v>44075</v>
      </c>
      <c r="R7" s="59">
        <v>44105</v>
      </c>
      <c r="S7" s="59">
        <v>44136</v>
      </c>
      <c r="T7" s="59">
        <v>44166</v>
      </c>
      <c r="U7" s="59">
        <v>44197</v>
      </c>
      <c r="V7" s="59">
        <v>44228</v>
      </c>
      <c r="W7" s="59">
        <v>44256</v>
      </c>
      <c r="X7" s="59">
        <v>44287</v>
      </c>
      <c r="Y7" s="59">
        <v>44317</v>
      </c>
      <c r="Z7" s="59">
        <v>44348</v>
      </c>
      <c r="AA7" s="59">
        <v>44378</v>
      </c>
      <c r="AB7" s="59">
        <v>44409</v>
      </c>
      <c r="AC7" s="59">
        <v>44440</v>
      </c>
      <c r="AD7" s="59">
        <v>44470</v>
      </c>
      <c r="AE7" s="59">
        <v>44501</v>
      </c>
      <c r="AF7" s="59">
        <v>44531</v>
      </c>
      <c r="AG7" s="59">
        <v>44562</v>
      </c>
      <c r="AH7" s="59">
        <v>44593</v>
      </c>
      <c r="AI7" s="59">
        <v>44621</v>
      </c>
      <c r="AJ7" s="59">
        <v>44652</v>
      </c>
      <c r="AK7" s="59">
        <v>44682</v>
      </c>
      <c r="AL7" s="59">
        <v>44713</v>
      </c>
      <c r="AM7" s="59">
        <v>44743</v>
      </c>
      <c r="AN7" s="59">
        <v>44774</v>
      </c>
      <c r="AO7" s="59">
        <v>44805</v>
      </c>
      <c r="AP7" s="59">
        <v>44835</v>
      </c>
      <c r="AQ7" s="59">
        <v>44866</v>
      </c>
      <c r="AR7" s="59">
        <v>44896</v>
      </c>
      <c r="AS7" s="59">
        <v>44927</v>
      </c>
      <c r="AT7" s="59">
        <v>44958</v>
      </c>
      <c r="AU7" s="59">
        <v>44986</v>
      </c>
      <c r="AV7" s="59">
        <v>45017</v>
      </c>
      <c r="AW7" s="59">
        <v>45047</v>
      </c>
      <c r="AX7" s="59">
        <v>45078</v>
      </c>
      <c r="AY7" s="59">
        <v>45108</v>
      </c>
      <c r="AZ7" s="59" t="s">
        <v>530</v>
      </c>
      <c r="BA7" s="59" t="s">
        <v>531</v>
      </c>
      <c r="BB7" s="59" t="s">
        <v>532</v>
      </c>
      <c r="BC7" s="59">
        <v>37104</v>
      </c>
      <c r="BD7" s="59">
        <v>37469</v>
      </c>
      <c r="BE7" s="59" t="s">
        <v>168</v>
      </c>
      <c r="BF7" s="59" t="s">
        <v>169</v>
      </c>
      <c r="BG7" s="59" t="s">
        <v>195</v>
      </c>
      <c r="BH7" s="59" t="s">
        <v>196</v>
      </c>
      <c r="BI7" s="59" t="s">
        <v>197</v>
      </c>
      <c r="BJ7" s="59" t="s">
        <v>198</v>
      </c>
      <c r="BK7" s="59" t="s">
        <v>199</v>
      </c>
      <c r="BL7" s="59" t="s">
        <v>200</v>
      </c>
      <c r="BM7" s="59" t="s">
        <v>201</v>
      </c>
      <c r="BN7" s="59" t="s">
        <v>202</v>
      </c>
      <c r="BO7" s="59">
        <v>37196</v>
      </c>
      <c r="BP7" s="59">
        <v>37561</v>
      </c>
      <c r="BQ7" s="59">
        <v>37926</v>
      </c>
      <c r="BR7" s="59">
        <v>38292</v>
      </c>
      <c r="BS7" s="59">
        <v>37226</v>
      </c>
      <c r="BT7" s="59">
        <v>37591</v>
      </c>
      <c r="BU7" s="59">
        <v>37956</v>
      </c>
      <c r="BV7" s="59">
        <v>38322</v>
      </c>
      <c r="BW7" s="59">
        <v>36892</v>
      </c>
      <c r="BX7" s="59">
        <v>37257</v>
      </c>
      <c r="BY7" s="59">
        <v>37622</v>
      </c>
      <c r="BZ7" s="59">
        <v>37987</v>
      </c>
      <c r="CA7" s="59">
        <v>36923</v>
      </c>
      <c r="CB7" s="59">
        <v>37288</v>
      </c>
      <c r="CC7" s="59">
        <v>37653</v>
      </c>
      <c r="CD7" s="59">
        <v>38018</v>
      </c>
      <c r="CE7" s="59" t="str">
        <f>Sheet8!A15</f>
        <v>Mar-w1</v>
      </c>
      <c r="CF7" s="59">
        <v>37316</v>
      </c>
      <c r="CG7" s="59">
        <v>37681</v>
      </c>
      <c r="CH7" s="59">
        <v>38047</v>
      </c>
      <c r="CI7" s="59" t="str">
        <f>Sheet8!E15</f>
        <v>Apr-w1</v>
      </c>
      <c r="CJ7" s="59" t="str">
        <f>Sheet8!F15</f>
        <v>Apr-w2</v>
      </c>
      <c r="CK7" s="59" t="str">
        <f>Sheet8!G15</f>
        <v>Apr-w3</v>
      </c>
      <c r="CL7" s="59" t="str">
        <f>Sheet8!H15</f>
        <v>Apr-w4</v>
      </c>
      <c r="CM7" s="59" t="str">
        <f>Sheet8!I15</f>
        <v>May-w1</v>
      </c>
      <c r="CN7" s="59" t="str">
        <f>Sheet8!J15</f>
        <v>May-w2</v>
      </c>
      <c r="CO7" s="59" t="str">
        <f>Sheet8!K15</f>
        <v>May-w3</v>
      </c>
      <c r="CP7" s="59" t="str">
        <f>Sheet8!L15</f>
        <v>May-w4</v>
      </c>
      <c r="CQ7" s="59" t="str">
        <f>Sheet8!M15</f>
        <v>May-w5</v>
      </c>
      <c r="CR7" s="59" t="str">
        <f>Sheet8!N15</f>
        <v>june-w1</v>
      </c>
      <c r="CS7" s="59" t="str">
        <f>Sheet8!O15</f>
        <v>june-w2</v>
      </c>
      <c r="CT7" s="59" t="str">
        <f>Sheet8!P15</f>
        <v>june-w3</v>
      </c>
      <c r="CU7" s="59" t="str">
        <f>Sheet8!Q15</f>
        <v>june-w4</v>
      </c>
      <c r="CV7" s="59" t="str">
        <f>Sheet8!R15</f>
        <v>Jul-w1</v>
      </c>
      <c r="CW7" s="59" t="str">
        <f>Sheet8!S15</f>
        <v>Jul-w2</v>
      </c>
      <c r="CX7" s="59" t="str">
        <f>Sheet8!T15</f>
        <v>Jul-w3</v>
      </c>
      <c r="CY7" s="59" t="str">
        <f>Sheet8!U15</f>
        <v>Jul-w4</v>
      </c>
      <c r="CZ7" s="59" t="str">
        <f>Sheet8!V15</f>
        <v>Aug-w1</v>
      </c>
      <c r="DA7" s="59" t="str">
        <f>Sheet8!W15</f>
        <v>Aug-w2</v>
      </c>
      <c r="DB7" s="59" t="str">
        <f>Sheet8!X15</f>
        <v>Aug-w3</v>
      </c>
      <c r="DC7" s="59" t="str">
        <f>Sheet8!Y15</f>
        <v>Aug-w4</v>
      </c>
      <c r="DD7" s="59" t="str">
        <f>Sheet8!Z15</f>
        <v>Sep-w1</v>
      </c>
      <c r="DE7" s="59" t="str">
        <f>Sheet8!AA15</f>
        <v>Sep-w2</v>
      </c>
      <c r="DF7" s="59" t="str">
        <f>Sheet8!AB15</f>
        <v>Sep-w3</v>
      </c>
      <c r="DG7" s="59" t="str">
        <f>Sheet8!AC15</f>
        <v>Sep-w4</v>
      </c>
      <c r="DH7" s="59" t="str">
        <f>Sheet8!AD15</f>
        <v>Oct-w1</v>
      </c>
      <c r="DI7" s="59" t="str">
        <f>Sheet8!AE15</f>
        <v>Oct-w2</v>
      </c>
      <c r="DJ7" s="59" t="str">
        <f>Sheet8!AF15</f>
        <v>Oct-w3</v>
      </c>
      <c r="DK7" s="59" t="str">
        <f>Sheet8!AG15</f>
        <v>Oct-w4</v>
      </c>
      <c r="DL7" s="59" t="str">
        <f>Sheet8!AH15</f>
        <v>Nov-w1</v>
      </c>
      <c r="DM7" s="59" t="str">
        <f>Sheet8!AI15</f>
        <v>Nov-w2</v>
      </c>
      <c r="DN7" s="59" t="str">
        <f>Sheet8!AJ15</f>
        <v>Nov-w3</v>
      </c>
      <c r="DO7" s="59" t="str">
        <f>Sheet8!AK15</f>
        <v>Nov-w4</v>
      </c>
      <c r="DP7" s="59" t="str">
        <f>Sheet8!AL15</f>
        <v>Dec-w1</v>
      </c>
      <c r="DQ7" s="59" t="str">
        <f>Sheet8!AM15</f>
        <v>Dec-w2</v>
      </c>
      <c r="DR7" s="59" t="str">
        <f>Sheet8!AN15</f>
        <v>Dec-w3</v>
      </c>
      <c r="DS7" s="59" t="str">
        <f>Sheet8!AO15</f>
        <v>Dec-w4</v>
      </c>
      <c r="DT7" s="59">
        <f>Sheet8!AP15</f>
        <v>0</v>
      </c>
      <c r="DU7" s="59">
        <f>Sheet8!AQ15</f>
        <v>0</v>
      </c>
      <c r="DV7" s="59">
        <f>Sheet8!AR15</f>
        <v>0</v>
      </c>
      <c r="DW7" s="59">
        <f>Sheet8!AS15</f>
        <v>0</v>
      </c>
      <c r="DX7" s="59">
        <f>Sheet8!AT15</f>
        <v>0</v>
      </c>
      <c r="DY7" s="59">
        <f>Sheet8!AU15</f>
        <v>0</v>
      </c>
      <c r="DZ7" s="59">
        <f>Sheet8!AV15</f>
        <v>0</v>
      </c>
      <c r="EA7" s="59">
        <f>Sheet8!AW15</f>
        <v>0</v>
      </c>
      <c r="EB7" s="59">
        <f>Sheet8!AX15</f>
        <v>0</v>
      </c>
      <c r="EC7" s="59">
        <f>Sheet8!AY15</f>
        <v>0</v>
      </c>
      <c r="ED7" s="59">
        <f>Sheet8!AZ15</f>
        <v>0</v>
      </c>
      <c r="EE7" s="59">
        <f>Sheet8!BA15</f>
        <v>0</v>
      </c>
      <c r="EF7" s="59">
        <f>Sheet8!BB15</f>
        <v>0</v>
      </c>
      <c r="EG7" s="59">
        <f>Sheet8!BC15</f>
        <v>0</v>
      </c>
      <c r="EH7" s="59">
        <f>Sheet8!BD15</f>
        <v>0</v>
      </c>
      <c r="EI7" s="59">
        <f>Sheet8!BE15</f>
        <v>0</v>
      </c>
      <c r="EJ7" s="59">
        <f>Sheet8!BF15</f>
        <v>0</v>
      </c>
      <c r="EK7" s="59">
        <f>Sheet8!BG15</f>
        <v>0</v>
      </c>
      <c r="EL7" s="59">
        <f>Sheet8!BH15</f>
        <v>0</v>
      </c>
      <c r="EM7" s="59">
        <f>Sheet8!BI15</f>
        <v>0</v>
      </c>
      <c r="EN7" s="59">
        <f>Sheet8!BJ15</f>
        <v>0</v>
      </c>
      <c r="EO7" s="59">
        <f>Sheet8!BK15</f>
        <v>0</v>
      </c>
      <c r="EP7" s="59">
        <f>Sheet8!BL15</f>
        <v>0</v>
      </c>
      <c r="EQ7" s="59">
        <f>Sheet8!BM15</f>
        <v>0</v>
      </c>
      <c r="ER7" s="59">
        <f>Sheet8!BN15</f>
        <v>0</v>
      </c>
      <c r="ES7" s="59">
        <f>Sheet8!BO15</f>
        <v>0</v>
      </c>
      <c r="ET7" s="59">
        <f>Sheet8!BP15</f>
        <v>0</v>
      </c>
    </row>
    <row r="8" spans="1:150">
      <c r="H8" s="178" t="s">
        <v>106</v>
      </c>
      <c r="I8" s="74">
        <f>VLOOKUP($H$8&amp;$F$1,'Input RM sheet'!$A:$BD,H1,0)</f>
        <v>858</v>
      </c>
      <c r="J8" s="74">
        <f>VLOOKUP($H$8&amp;$F$1,'Input RM sheet'!$A:$BD,I1,0)</f>
        <v>866.875</v>
      </c>
      <c r="K8" s="74">
        <f>VLOOKUP($H$8&amp;$F$1,'Input RM sheet'!$A:$DD,J1,0)</f>
        <v>815.625</v>
      </c>
      <c r="L8" s="74">
        <f>VLOOKUP($H$8&amp;$F$1,'Input RM sheet'!$A:$DD,K1,0)</f>
        <v>680</v>
      </c>
      <c r="M8" s="74">
        <f>VLOOKUP($H$8&amp;$F$1,'Input RM sheet'!$A:$DD,L1,0)</f>
        <v>719.375</v>
      </c>
      <c r="N8" s="74">
        <f>VLOOKUP($H$8&amp;$F$1,'Input RM sheet'!$A:$DD,M1,0)</f>
        <v>762.5</v>
      </c>
      <c r="O8" s="74">
        <f>VLOOKUP($H$8&amp;$F$1,'Input RM sheet'!$A:$DD,N1,0)</f>
        <v>821</v>
      </c>
      <c r="P8" s="74">
        <f>VLOOKUP($H$8&amp;$F$1,'Input RM sheet'!$A:$DD,O1,0)</f>
        <v>825.625</v>
      </c>
      <c r="Q8" s="74">
        <f>VLOOKUP($H$8&amp;$F$1,'Input RM sheet'!$A:$DD,P1,0)</f>
        <v>843.125</v>
      </c>
      <c r="R8" s="74">
        <f>VLOOKUP($H$8&amp;$F$1,'Input RM sheet'!$A:$DD,Q1,0)</f>
        <v>867.5</v>
      </c>
      <c r="S8" s="74">
        <f>VLOOKUP($H$8&amp;$F$1,'Input RM sheet'!$A:$DD,R1,0)</f>
        <v>1078.75</v>
      </c>
      <c r="T8" s="74">
        <f>VLOOKUP($H$8&amp;$F$1,'Input RM sheet'!$A:$DD,S1,0)</f>
        <v>1266.25</v>
      </c>
      <c r="U8" s="74">
        <f>VLOOKUP($H$8&amp;$F$1,'Input RM sheet'!$A:$DD,T1,0)</f>
        <v>1347.5</v>
      </c>
      <c r="V8" s="74">
        <f>VLOOKUP($H$8&amp;$F$1,'Input RM sheet'!$A:$DD,U1,0)</f>
        <v>1542</v>
      </c>
      <c r="W8" s="74">
        <f>VLOOKUP($H$8&amp;$F$1,'Input RM sheet'!$A:$DD,V1,0)</f>
        <v>1886</v>
      </c>
      <c r="X8" s="74">
        <f>VLOOKUP($H$8&amp;$F$1,'Input RM sheet'!$A:$DD,W1,0)</f>
        <v>1673</v>
      </c>
      <c r="Y8" s="74">
        <f>VLOOKUP($H$8&amp;$F$1,'Input RM sheet'!$A:$DD,X1,0)</f>
        <v>1893.75</v>
      </c>
      <c r="Z8" s="74">
        <f>VLOOKUP($H$8&amp;$F$1,'Input RM sheet'!$A:$DD,Y1,0)</f>
        <v>1911.25</v>
      </c>
      <c r="AA8" s="74">
        <f>VLOOKUP($H$8&amp;$F$1,'Input RM sheet'!$A:$DD,Z1,0)</f>
        <v>1999</v>
      </c>
      <c r="AB8" s="74">
        <f>VLOOKUP($H$8&amp;$F$1,'Input RM sheet'!$A:$DD,AA1,0)</f>
        <v>2094</v>
      </c>
      <c r="AC8" s="74">
        <f>VLOOKUP($H$8&amp;$F$1,'Input RM sheet'!$A:$DD,AB1,0)</f>
        <v>1984</v>
      </c>
      <c r="AD8" s="74">
        <f>VLOOKUP($H$8&amp;$F$1,'Input RM sheet'!$A:$DD,AC1,0)</f>
        <v>1753.75</v>
      </c>
      <c r="AE8" s="74">
        <f>VLOOKUP($H$8&amp;$F$1,'Input RM sheet'!$A:$DD,AD1,0)</f>
        <v>1732.5</v>
      </c>
      <c r="AF8" s="74">
        <f>VLOOKUP($H$8&amp;$F$1,'Input RM sheet'!$A:$DD,AE1,0)</f>
        <v>1550</v>
      </c>
      <c r="AG8" s="74">
        <f>VLOOKUP($H$8&amp;$F$1,'Input RM sheet'!$A:$DD,AF1,0)</f>
        <v>1487.5</v>
      </c>
      <c r="AH8" s="74">
        <f>VLOOKUP($H$8&amp;$F$1,'Input RM sheet'!$A:$DD,AG1,0)</f>
        <v>1678.75</v>
      </c>
      <c r="AI8" s="74">
        <f>VLOOKUP($H$8&amp;$F$1,'Input RM sheet'!$A:$DD,AH1,0)</f>
        <v>1756</v>
      </c>
      <c r="AJ8" s="74">
        <f>VLOOKUP($H$8&amp;$F$1,'Input RM sheet'!$A:$DD,AI1,0)</f>
        <v>1750</v>
      </c>
      <c r="AK8" s="74">
        <f>VLOOKUP($H$8&amp;$F$1,'Input RM sheet'!$A:$DD,AJ1,0)</f>
        <v>1718.75</v>
      </c>
      <c r="AL8" s="74">
        <f>VLOOKUP($H$8&amp;$F$1,'Input RM sheet'!$A:$DD,AK1,0)</f>
        <v>1490</v>
      </c>
      <c r="AM8" s="74">
        <f>VLOOKUP($H$8&amp;$F$1,'Input RM sheet'!$A:$DD,AL1,0)</f>
        <v>1145</v>
      </c>
      <c r="AN8" s="74">
        <f>VLOOKUP($H$8&amp;$F$1,'Input RM sheet'!$A:$DD,AM1,0)</f>
        <v>1105</v>
      </c>
      <c r="AO8" s="74">
        <f>VLOOKUP($H$8&amp;$F$1,'Input RM sheet'!$A:$DD,AN1,0)</f>
        <v>1149.5</v>
      </c>
      <c r="AP8" s="74">
        <f>VLOOKUP($H$8&amp;$F$1,'Input RM sheet'!$A:$DD,AO1,0)</f>
        <v>1160</v>
      </c>
      <c r="AQ8" s="74">
        <f>VLOOKUP($H$8&amp;$F$1,'Input RM sheet'!$A:$DD,AP1,0)</f>
        <v>1150</v>
      </c>
      <c r="AR8" s="74">
        <f>VLOOKUP($H$8&amp;$F$1,'Input RM sheet'!$A:$DD,AQ1,0)</f>
        <v>1130</v>
      </c>
      <c r="AS8" s="74">
        <f>VLOOKUP($H$8&amp;$F$1,'Input RM sheet'!$A:$DD,AR1,0)</f>
        <v>1210</v>
      </c>
      <c r="AT8" s="74">
        <f>VLOOKUP($H$8&amp;$F$1,'Input RM sheet'!$A:$DD,AS1,0)</f>
        <v>1238.75</v>
      </c>
      <c r="AU8" s="74">
        <f>VLOOKUP($H$8&amp;$F$1,'Input RM sheet'!$A:$DD,AT1,0)</f>
        <v>1185</v>
      </c>
      <c r="AV8" s="74">
        <f>VLOOKUP($H$8&amp;$F$1,'Input RM sheet'!$A:$DD,AU1,0)</f>
        <v>1175</v>
      </c>
      <c r="AW8" s="74">
        <f>VLOOKUP($H$8&amp;$F$1,'Input RM sheet'!$A:$DD,AV1,0)</f>
        <v>1200</v>
      </c>
      <c r="AX8" s="74">
        <f>VLOOKUP($H$8&amp;$F$1,'Input RM sheet'!$A:$DD,AW1,0)</f>
        <v>1240</v>
      </c>
      <c r="AY8" s="74">
        <f>VLOOKUP($H$8&amp;$F$1,'Input RM sheet'!$A:$DD,AX1,0)</f>
        <v>1110</v>
      </c>
      <c r="AZ8" s="74">
        <f>VLOOKUP($H$8&amp;$F$1,'Input RM sheet'!$A:$DD,AY1,0)</f>
        <v>1110</v>
      </c>
      <c r="BA8" s="74">
        <f>VLOOKUP($H$8&amp;$F$1,'Input RM sheet'!$A:$DD,AZ1,0)</f>
        <v>1120</v>
      </c>
      <c r="BB8" s="74">
        <f>VLOOKUP($H$8&amp;$F$1,'Input RM sheet'!$A:$DD,BA1,0)</f>
        <v>1150</v>
      </c>
      <c r="BC8" s="74">
        <f>VLOOKUP($H$8&amp;$F$1,'Input RM sheet'!$A:$DD,BB1,0)</f>
        <v>1240</v>
      </c>
      <c r="BD8" s="74">
        <f>VLOOKUP($H$8&amp;$F$1,'Input RM sheet'!$A:$DD,BC1,0)</f>
        <v>1305</v>
      </c>
      <c r="BE8" s="74">
        <f>VLOOKUP($H$8&amp;$F$1,'Input RM sheet'!$A:$DD,BD1,0)</f>
        <v>1345</v>
      </c>
      <c r="BF8" s="74">
        <f>VLOOKUP($H$8&amp;$F$1,'Input RM sheet'!$A:$DD,BE1,0)</f>
        <v>1350</v>
      </c>
      <c r="BG8" s="74">
        <f>VLOOKUP($H$8&amp;$F$1,'Input RM sheet'!$A:$DD,BF1,0)</f>
        <v>1435</v>
      </c>
      <c r="BH8" s="74">
        <f>VLOOKUP($H$8&amp;$F$1,'Input RM sheet'!$A:$DD,BG1,0)</f>
        <v>1435</v>
      </c>
      <c r="BI8" s="74">
        <f>VLOOKUP($H$8&amp;$F$1,'Input RM sheet'!$A:$DD,BH1,0)</f>
        <v>1340</v>
      </c>
      <c r="BJ8" s="74">
        <f>VLOOKUP($H$8&amp;$F$1,'Input RM sheet'!$A:$DD,BI1,0)</f>
        <v>1404</v>
      </c>
      <c r="BK8" s="74">
        <f>VLOOKUP($H$8&amp;$F$1,'Input RM sheet'!$A:$DD,BJ1,0)</f>
        <v>1385</v>
      </c>
      <c r="BL8" s="74">
        <f>VLOOKUP($H$8&amp;$F$1,'Input RM sheet'!$A:$DD,BK1,0)</f>
        <v>1340</v>
      </c>
      <c r="BM8" s="74">
        <f>VLOOKUP($H$8&amp;$F$1,'Input RM sheet'!$A:$DD,BL1,0)</f>
        <v>1330</v>
      </c>
      <c r="BN8" s="74">
        <f>VLOOKUP($H$8&amp;$F$1,'Input RM sheet'!$A:$DD,BM1,0)</f>
        <v>1290</v>
      </c>
      <c r="BO8" s="74">
        <f>VLOOKUP($H$8&amp;$F$1,'Input RM sheet'!$A:$DD,BN1,0)</f>
        <v>1290</v>
      </c>
      <c r="BP8" s="74">
        <f>VLOOKUP($H$8&amp;$F$1,'Input RM sheet'!$A:$DD,BO1,0)</f>
        <v>1290</v>
      </c>
      <c r="BQ8" s="74">
        <f>VLOOKUP($H$8&amp;$F$1,'Input RM sheet'!$A:$DD,BP1,0)</f>
        <v>1290</v>
      </c>
      <c r="BR8" s="74">
        <f>VLOOKUP($H$8&amp;$F$1,'Input RM sheet'!$A:$DD,BQ1,0)</f>
        <v>1270</v>
      </c>
      <c r="BS8" s="74">
        <f>VLOOKUP($H$8&amp;$F$1,'Input RM sheet'!$A:$DD,BR1,0)</f>
        <v>1270</v>
      </c>
      <c r="BT8" s="74">
        <f>VLOOKUP($H$8&amp;$F$1,'Input RM sheet'!$A:$DD,BS1,0)</f>
        <v>1285</v>
      </c>
      <c r="BU8" s="74">
        <f>VLOOKUP($H$8&amp;$F$1,'Input RM sheet'!$A:$DD,BT1,0)</f>
        <v>1340</v>
      </c>
      <c r="BV8" s="74">
        <f>VLOOKUP($H$8&amp;$F$1,'Input RM sheet'!$A:$DD,BU1,0)</f>
        <v>1340</v>
      </c>
      <c r="BW8" s="74">
        <f>VLOOKUP($H$8&amp;$F$1,'Input RM sheet'!$A:$DD,BV1,0)</f>
        <v>1465</v>
      </c>
      <c r="BX8" s="74">
        <f>VLOOKUP($H$8&amp;$F$1,'Input RM sheet'!$A:$DD,BW1,0)</f>
        <v>1515</v>
      </c>
      <c r="BY8" s="74">
        <f>VLOOKUP($H$8&amp;$F$1,'Input RM sheet'!$A:$DD,BX1,0)</f>
        <v>1515</v>
      </c>
      <c r="BZ8" s="74">
        <f>VLOOKUP($H$8&amp;$F$1,'Input RM sheet'!$A:$DD,BY1,0)</f>
        <v>1510</v>
      </c>
      <c r="CA8" s="74">
        <f>VLOOKUP($H$8&amp;$F$1,'Input RM sheet'!$A:$DD,BZ1,0)</f>
        <v>1510</v>
      </c>
      <c r="CB8" s="74">
        <f>VLOOKUP($H$8&amp;$F$1,'Input RM sheet'!$A:$DD,CA1,0)</f>
        <v>1510</v>
      </c>
      <c r="CC8" s="74">
        <f>VLOOKUP($H$8&amp;$F$1,'Input RM sheet'!$A:$DD,CB1,0)</f>
        <v>1480</v>
      </c>
      <c r="CD8" s="74">
        <f>VLOOKUP($H$8&amp;$F$1,'Input RM sheet'!$A:$DD,CC1,0)</f>
        <v>1485</v>
      </c>
      <c r="CE8" s="74">
        <f>VLOOKUP($H$8&amp;$F$1,'Input RM sheet'!$A:$DD,CD1,0)</f>
        <v>1495</v>
      </c>
      <c r="CF8" s="74">
        <f>VLOOKUP($H$8&amp;$F$1,'Input RM sheet'!$A:$DD,CE1,0)</f>
        <v>1475</v>
      </c>
      <c r="CG8" s="74">
        <f>VLOOKUP($H$8&amp;$F$1,'Input RM sheet'!$A:$DD,CF1,0)</f>
        <v>1415</v>
      </c>
      <c r="CH8" s="74">
        <f>VLOOKUP($H$8&amp;$F$1,'Input RM sheet'!$A:$DD,CG1,0)</f>
        <v>1375</v>
      </c>
      <c r="CI8" s="74">
        <f>VLOOKUP($H$8&amp;$F$1,'Input RM sheet'!$A:$DD,CH1,0)</f>
        <v>1355</v>
      </c>
      <c r="CJ8" s="74">
        <f>VLOOKUP($H$8&amp;$F$1,'Input RM sheet'!$A:$DD,CI1,0)</f>
        <v>1325</v>
      </c>
      <c r="CK8" s="74">
        <f>VLOOKUP($H$8&amp;$F$1,'Input RM sheet'!$A:$DD,CJ1,0)</f>
        <v>1325</v>
      </c>
      <c r="CL8" s="74">
        <f>VLOOKUP($H$8&amp;$F$1,'Input RM sheet'!$A:$DD,CK1,0)</f>
        <v>1305</v>
      </c>
      <c r="CM8" s="74">
        <f>VLOOKUP($H$8&amp;$F$1,'Input RM sheet'!$A:$DD,CL1,0)</f>
        <v>1275</v>
      </c>
      <c r="CN8" s="74">
        <f>VLOOKUP($H$8&amp;$F$1,'Input RM sheet'!$A:$DD,CM1,0)</f>
        <v>1265</v>
      </c>
      <c r="CO8" s="74">
        <f>VLOOKUP($H$8&amp;$F$1,'Input RM sheet'!$A:$DD,CN1,0)</f>
        <v>1265</v>
      </c>
      <c r="CP8" s="74">
        <f>VLOOKUP($H$8&amp;$F$1,'Input RM sheet'!$A:$DD,CO1,0)</f>
        <v>1265</v>
      </c>
      <c r="CQ8" s="74">
        <f>VLOOKUP($H$8&amp;$F$1,'Input RM sheet'!$A:$DD,CP1,0)</f>
        <v>1265</v>
      </c>
      <c r="CR8" s="74">
        <f>VLOOKUP($H$8&amp;$F$1,'Input RM sheet'!$A:$ZZ,CQ1,0)</f>
        <v>1265</v>
      </c>
      <c r="CS8" s="74">
        <f>VLOOKUP($H$8&amp;$F$1,'Input RM sheet'!$A:$ZZ,CR1,0)</f>
        <v>1315</v>
      </c>
      <c r="CT8" s="74">
        <f>VLOOKUP($H$8&amp;$F$1,'Input RM sheet'!$A:$ZZ,CS1,0)</f>
        <v>1235</v>
      </c>
      <c r="CU8" s="74">
        <f>VLOOKUP($H$8&amp;$F$1,'Input RM sheet'!$A:$ZZ,CT1,0)</f>
        <v>1190</v>
      </c>
      <c r="CV8" s="74">
        <f>VLOOKUP($H$8&amp;$F$1,'Input RM sheet'!$A:$ZZ,CU1,0)</f>
        <v>1195</v>
      </c>
      <c r="CW8" s="74">
        <f>VLOOKUP($H$8&amp;$F$1,'Input RM sheet'!$A:$ZZ,CV1,0)</f>
        <v>1167</v>
      </c>
      <c r="CX8" s="74">
        <f>VLOOKUP($H$8&amp;$F$1,'Input RM sheet'!$A:$ZZ,CW1,0)</f>
        <v>1152</v>
      </c>
      <c r="CY8" s="74">
        <f>VLOOKUP($H$8&amp;$F$1,'Input RM sheet'!$A:$ZZ,CX1,0)</f>
        <v>1161</v>
      </c>
      <c r="CZ8" s="74">
        <f>VLOOKUP($H$8&amp;$F$1,'Input RM sheet'!$A:$ZZ,CY1,0)</f>
        <v>1115</v>
      </c>
      <c r="DA8" s="74">
        <f>VLOOKUP($H$8&amp;$F$1,'Input RM sheet'!$A:$ZZ,CZ1,0)</f>
        <v>1110</v>
      </c>
      <c r="DB8" s="74">
        <f>VLOOKUP($H$8&amp;$F$1,'Input RM sheet'!$A:$ZZ,DA1,0)</f>
        <v>1085</v>
      </c>
      <c r="DC8" s="74">
        <f>VLOOKUP($H$8&amp;$F$1,'Input RM sheet'!$A:$ZZ,DB1,0)</f>
        <v>970</v>
      </c>
      <c r="DD8" s="74">
        <f>VLOOKUP($H$8&amp;$F$1,'Input RM sheet'!$A:$ZZ,DC1,0)</f>
        <v>990</v>
      </c>
      <c r="DE8" s="74">
        <f>VLOOKUP($H$8&amp;$F$1,'Input RM sheet'!$A:$ZZ,DD1,0)</f>
        <v>990</v>
      </c>
      <c r="DF8" s="74">
        <f>VLOOKUP($H$8&amp;$F$1,'Input RM sheet'!$A:$ZZ,DE1,0)</f>
        <v>990</v>
      </c>
      <c r="DG8" s="74">
        <f>VLOOKUP($H$8&amp;$F$1,'Input RM sheet'!$A:$ZZ,DF1,0)</f>
        <v>1000</v>
      </c>
      <c r="DH8" s="74">
        <f>VLOOKUP($H$8&amp;$F$1,'Input RM sheet'!$A:$ZZ,DG1,0)</f>
        <v>1015</v>
      </c>
      <c r="DI8" s="74">
        <f>VLOOKUP($H$8&amp;$F$1,'Input RM sheet'!$A:$ZZ,DH1,0)</f>
        <v>1100</v>
      </c>
      <c r="DJ8" s="74">
        <f>VLOOKUP($H$8&amp;$F$1,'Input RM sheet'!$A:$ZZ,DI1,0)</f>
        <v>1110</v>
      </c>
      <c r="DK8" s="74">
        <f>VLOOKUP($H$8&amp;$F$1,'Input RM sheet'!$A:$ZZ,DJ1,0)</f>
        <v>1110</v>
      </c>
      <c r="DL8" s="74">
        <f>VLOOKUP($H$8&amp;$F$1,'Input RM sheet'!$A:$ZZ,DK1,0)</f>
        <v>1095</v>
      </c>
      <c r="DM8" s="74">
        <f>VLOOKUP($H$8&amp;$F$1,'Input RM sheet'!$A:$ZZ,DL1,0)</f>
        <v>1095</v>
      </c>
      <c r="DN8" s="74">
        <f>VLOOKUP($H$8&amp;$F$1,'Input RM sheet'!$A:$ZZ,DM1,0)</f>
        <v>1110</v>
      </c>
      <c r="DO8" s="74">
        <f>VLOOKUP($H$8&amp;$F$1,'Input RM sheet'!$A:$ZZ,DN1,0)</f>
        <v>1105</v>
      </c>
      <c r="DP8" s="74">
        <f>VLOOKUP($H$8&amp;$F$1,'Input RM sheet'!$A:$ZZ,DO1,0)</f>
        <v>1105</v>
      </c>
      <c r="DQ8" s="74">
        <f>VLOOKUP($H$8&amp;$F$1,'Input RM sheet'!$A:$ZZ,DP1,0)</f>
        <v>1065</v>
      </c>
      <c r="DR8" s="74">
        <f>VLOOKUP($H$8&amp;$F$1,'Input RM sheet'!$A:$ZZ,DQ1,0)</f>
        <v>1045</v>
      </c>
      <c r="DS8" s="74">
        <f>VLOOKUP($H$8&amp;$F$1,'Input RM sheet'!$A:$ZZ,DR1,0)</f>
        <v>1010</v>
      </c>
      <c r="DT8" s="74">
        <f>VLOOKUP($H$8&amp;$F$1,'Input RM sheet'!$A:$ZZ,DS1,0)</f>
        <v>0</v>
      </c>
      <c r="DU8" s="74">
        <f>VLOOKUP($H$8&amp;$F$1,'Input RM sheet'!$A:$ZZ,DT1,0)</f>
        <v>0</v>
      </c>
      <c r="DV8" s="74">
        <f>VLOOKUP($H$8&amp;$F$1,'Input RM sheet'!$A:$ZZ,DU1,0)</f>
        <v>0</v>
      </c>
      <c r="DW8" s="74">
        <f>VLOOKUP($H$8&amp;$F$1,'Input RM sheet'!$A:$ZZ,DV1,0)</f>
        <v>0</v>
      </c>
      <c r="DX8" s="74">
        <f>VLOOKUP($H$8&amp;$F$1,'Input RM sheet'!$A:$ZZ,DW1,0)</f>
        <v>0</v>
      </c>
      <c r="DY8" s="74">
        <f>VLOOKUP($H$8&amp;$F$1,'Input RM sheet'!$A:$ZZ,DX1,0)</f>
        <v>0</v>
      </c>
      <c r="DZ8" s="74">
        <f>VLOOKUP($H$8&amp;$F$1,'Input RM sheet'!$A:$ZZ,DY1,0)</f>
        <v>0</v>
      </c>
      <c r="EA8" s="74">
        <f>VLOOKUP($H$8&amp;$F$1,'Input RM sheet'!$A:$ZZ,DZ1,0)</f>
        <v>0</v>
      </c>
      <c r="EB8" s="74">
        <f>VLOOKUP($H$8&amp;$F$1,'Input RM sheet'!$A:$ZZ,EA1,0)</f>
        <v>0</v>
      </c>
      <c r="EC8" s="74">
        <f>VLOOKUP($H$8&amp;$F$1,'Input RM sheet'!$A:$ZZ,EB1,0)</f>
        <v>0</v>
      </c>
      <c r="ED8" s="74">
        <f>VLOOKUP($H$8&amp;$F$1,'Input RM sheet'!$A:$ZZ,EC1,0)</f>
        <v>0</v>
      </c>
      <c r="EE8" s="74">
        <f>VLOOKUP($H$8&amp;$F$1,'Input RM sheet'!$A:$ZZ,ED1,0)</f>
        <v>0</v>
      </c>
      <c r="EF8" s="74">
        <f>VLOOKUP($H$8&amp;$F$1,'Input RM sheet'!$A:$ZZ,EE1,0)</f>
        <v>0</v>
      </c>
      <c r="EG8" s="74">
        <f>VLOOKUP($H$8&amp;$F$1,'Input RM sheet'!$A:$ZZ,EF1,0)</f>
        <v>0</v>
      </c>
      <c r="EH8" s="74">
        <f>VLOOKUP($H$8&amp;$F$1,'Input RM sheet'!$A:$ZZ,EG1,0)</f>
        <v>0</v>
      </c>
      <c r="EI8" s="74">
        <f>VLOOKUP($H$8&amp;$F$1,'Input RM sheet'!$A:$ZZ,EH1,0)</f>
        <v>0</v>
      </c>
      <c r="EJ8" s="74">
        <f>VLOOKUP($H$8&amp;$F$1,'Input RM sheet'!$A:$ZZ,EI1,0)</f>
        <v>0</v>
      </c>
      <c r="EK8" s="74">
        <f>VLOOKUP($H$8&amp;$F$1,'Input RM sheet'!$A:$ZZ,EJ1,0)</f>
        <v>0</v>
      </c>
      <c r="EL8" s="74">
        <f>VLOOKUP($H$8&amp;$F$1,'Input RM sheet'!$A:$ZZ,EK1,0)</f>
        <v>0</v>
      </c>
      <c r="EM8" s="74">
        <f>VLOOKUP($H$8&amp;$F$1,'Input RM sheet'!$A:$ZZ,EL1,0)</f>
        <v>0</v>
      </c>
    </row>
    <row r="9" spans="1:150">
      <c r="H9" s="107"/>
      <c r="I9" s="74"/>
      <c r="J9" s="74"/>
      <c r="K9" s="74"/>
      <c r="L9" s="74"/>
      <c r="M9" s="74"/>
      <c r="N9" s="74"/>
      <c r="O9" s="74"/>
      <c r="P9" s="74"/>
      <c r="Q9" s="74"/>
      <c r="R9" s="74"/>
      <c r="S9" s="74"/>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74"/>
      <c r="BG9" s="74"/>
      <c r="BH9" s="74"/>
      <c r="BI9" s="74"/>
      <c r="BJ9" s="74"/>
      <c r="BK9" s="74"/>
      <c r="BL9" s="74"/>
      <c r="BM9" s="74"/>
      <c r="BN9" s="74"/>
      <c r="BO9" s="74"/>
      <c r="BP9" s="74"/>
      <c r="BQ9" s="74"/>
      <c r="BR9" s="74"/>
      <c r="BS9" s="74"/>
      <c r="BT9" s="74"/>
      <c r="BU9" s="74"/>
      <c r="BV9" s="74"/>
      <c r="BW9" s="74"/>
      <c r="BX9" s="74"/>
      <c r="BY9" s="74"/>
      <c r="BZ9" s="74"/>
      <c r="CA9" s="74"/>
      <c r="CB9" s="74"/>
      <c r="CC9" s="74"/>
      <c r="CD9" s="74"/>
      <c r="CE9" s="74"/>
      <c r="CF9" s="74"/>
      <c r="CG9" s="74"/>
      <c r="CH9" s="74"/>
      <c r="CI9" s="74"/>
      <c r="CJ9" s="74"/>
      <c r="CK9" s="74"/>
      <c r="CL9" s="74"/>
      <c r="CM9" s="74"/>
      <c r="CN9" s="74"/>
      <c r="CO9" s="74"/>
      <c r="CP9" s="74"/>
      <c r="CQ9" s="74"/>
      <c r="CR9" s="74"/>
      <c r="CS9" s="74"/>
      <c r="CT9" s="74"/>
      <c r="CU9" s="74"/>
      <c r="CV9" s="74"/>
      <c r="CW9" s="74"/>
      <c r="CX9" s="74"/>
      <c r="CY9" s="74"/>
      <c r="CZ9" s="74"/>
      <c r="DA9" s="74"/>
      <c r="DB9" s="74"/>
      <c r="DC9" s="74"/>
      <c r="DD9" s="74"/>
      <c r="DE9" s="74"/>
      <c r="DF9" s="74"/>
      <c r="DG9" s="74"/>
      <c r="DH9" s="74"/>
      <c r="DI9" s="74"/>
      <c r="DJ9" s="74"/>
      <c r="DK9" s="74"/>
      <c r="DL9" s="74"/>
      <c r="DM9" s="74"/>
      <c r="DN9" s="74"/>
      <c r="DO9" s="74"/>
      <c r="DP9" s="74"/>
      <c r="DQ9" s="74"/>
      <c r="DR9" s="74"/>
      <c r="DS9" s="74"/>
      <c r="DT9" s="74"/>
      <c r="DU9" s="74"/>
      <c r="DV9" s="74"/>
      <c r="DW9" s="74"/>
      <c r="DX9" s="74"/>
      <c r="DY9" s="74"/>
      <c r="DZ9" s="74"/>
      <c r="EA9" s="74"/>
      <c r="EB9" s="74"/>
      <c r="EC9" s="74"/>
      <c r="ED9" s="74"/>
      <c r="EE9" s="74"/>
      <c r="EF9" s="74"/>
      <c r="EG9" s="74"/>
      <c r="EH9" s="74"/>
      <c r="EI9" s="74"/>
      <c r="EJ9" s="74"/>
      <c r="EK9" s="74"/>
      <c r="EL9" s="74"/>
      <c r="EM9" s="74"/>
    </row>
    <row r="10" spans="1:150" ht="13">
      <c r="A10" s="59" t="s">
        <v>395</v>
      </c>
      <c r="B10" s="59"/>
      <c r="C10" s="59" t="s">
        <v>379</v>
      </c>
      <c r="D10" s="98" t="s">
        <v>380</v>
      </c>
      <c r="E10" s="98" t="s">
        <v>381</v>
      </c>
      <c r="F10" s="59" t="s">
        <v>396</v>
      </c>
      <c r="I10" s="84"/>
      <c r="J10" s="84"/>
      <c r="K10" s="84"/>
      <c r="L10" s="84"/>
      <c r="M10" s="84"/>
      <c r="N10" s="84"/>
      <c r="O10" s="84"/>
      <c r="P10" s="84"/>
      <c r="Q10" s="84"/>
      <c r="R10" s="84"/>
      <c r="S10" s="84"/>
      <c r="T10" s="84"/>
      <c r="U10" s="84"/>
      <c r="V10" s="84"/>
      <c r="W10" s="84"/>
      <c r="X10" s="84"/>
      <c r="Y10" s="84"/>
      <c r="Z10" s="84"/>
      <c r="AA10" s="84"/>
      <c r="AB10" s="84"/>
      <c r="AC10" s="84"/>
      <c r="AD10" s="84"/>
      <c r="AE10" s="84"/>
      <c r="AF10" s="84"/>
      <c r="AG10" s="84"/>
      <c r="AH10" s="84"/>
      <c r="AI10" s="84"/>
      <c r="AJ10" s="84"/>
      <c r="AK10" s="84"/>
      <c r="AL10" s="84"/>
      <c r="AM10" s="84"/>
      <c r="AN10" s="84"/>
      <c r="AO10" s="84"/>
      <c r="AP10" s="84"/>
      <c r="AQ10" s="84"/>
      <c r="AR10" s="84"/>
      <c r="AS10" s="84"/>
      <c r="AT10" s="84"/>
      <c r="AU10" s="84"/>
      <c r="AV10" s="84"/>
      <c r="AW10" s="84"/>
      <c r="AX10" s="84"/>
      <c r="AY10" s="84"/>
      <c r="AZ10" s="84"/>
      <c r="BA10" s="84"/>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84"/>
      <c r="CE10" s="84"/>
      <c r="CF10" s="84"/>
      <c r="CG10" s="84"/>
      <c r="CH10" s="84"/>
      <c r="CI10" s="84"/>
      <c r="CJ10" s="84"/>
      <c r="CK10" s="84"/>
      <c r="CL10" s="84"/>
      <c r="CM10" s="84"/>
      <c r="CN10" s="84"/>
      <c r="CO10" s="84"/>
      <c r="CP10" s="84"/>
      <c r="CQ10" s="84"/>
      <c r="CR10" s="84"/>
      <c r="CS10" s="84"/>
      <c r="CT10" s="84"/>
      <c r="CU10" s="84"/>
      <c r="CV10" s="84"/>
      <c r="CW10" s="84"/>
      <c r="CX10" s="84"/>
      <c r="CY10" s="84"/>
      <c r="CZ10" s="84"/>
      <c r="DA10" s="84"/>
      <c r="DB10" s="84"/>
      <c r="DC10" s="84"/>
      <c r="DD10" s="84"/>
      <c r="DE10" s="84"/>
      <c r="DF10" s="84"/>
      <c r="DG10" s="84"/>
      <c r="DH10" s="84"/>
      <c r="DI10" s="84"/>
      <c r="DJ10" s="84"/>
      <c r="DK10" s="84"/>
      <c r="DL10" s="84"/>
      <c r="DM10" s="84"/>
      <c r="DN10" s="84"/>
      <c r="DO10" s="84"/>
      <c r="DP10" s="84"/>
      <c r="DQ10" s="84"/>
      <c r="DR10" s="84"/>
      <c r="DS10" s="84"/>
      <c r="DT10" s="84"/>
      <c r="DU10" s="84"/>
      <c r="DV10" s="84"/>
      <c r="DW10" s="84"/>
      <c r="DX10" s="84"/>
      <c r="DY10" s="84"/>
      <c r="DZ10" s="84"/>
      <c r="EA10" s="84"/>
      <c r="EB10" s="84"/>
      <c r="EC10" s="84"/>
      <c r="ED10" s="84"/>
      <c r="EE10" s="84"/>
      <c r="EF10" s="84"/>
      <c r="EG10" s="84"/>
      <c r="EH10" s="84"/>
      <c r="EI10" s="84"/>
      <c r="EJ10" s="84"/>
      <c r="EK10" s="84"/>
      <c r="EL10" s="84"/>
      <c r="EM10" s="84"/>
    </row>
    <row r="11" spans="1:150" ht="13">
      <c r="A11" s="107" t="s">
        <v>397</v>
      </c>
      <c r="B11" s="107" t="s">
        <v>346</v>
      </c>
      <c r="C11" s="60">
        <v>1</v>
      </c>
      <c r="D11" s="65">
        <v>128.21</v>
      </c>
      <c r="E11" s="60">
        <f>D11*C11</f>
        <v>128.21</v>
      </c>
      <c r="F11" s="328">
        <f>E11/$D$3</f>
        <v>0.88886577925679422</v>
      </c>
      <c r="H11" s="60" t="s">
        <v>399</v>
      </c>
      <c r="I11" s="74">
        <f>$F$11*(I8/1000)</f>
        <v>0.7626468386023294</v>
      </c>
      <c r="J11" s="74">
        <f t="shared" ref="J11:BU11" si="0">$F$11*(J8/1000)</f>
        <v>0.77053552239323342</v>
      </c>
      <c r="K11" s="74">
        <f t="shared" si="0"/>
        <v>0.72498115120632278</v>
      </c>
      <c r="L11" s="74">
        <f t="shared" si="0"/>
        <v>0.60442872989462015</v>
      </c>
      <c r="M11" s="74">
        <f t="shared" si="0"/>
        <v>0.63942781995285636</v>
      </c>
      <c r="N11" s="74">
        <f t="shared" si="0"/>
        <v>0.67776015668330558</v>
      </c>
      <c r="O11" s="74">
        <f t="shared" si="0"/>
        <v>0.72975880476982802</v>
      </c>
      <c r="P11" s="74">
        <f t="shared" si="0"/>
        <v>0.73386980899889076</v>
      </c>
      <c r="Q11" s="74">
        <f t="shared" si="0"/>
        <v>0.74942496013588467</v>
      </c>
      <c r="R11" s="74">
        <f t="shared" si="0"/>
        <v>0.77109106350526901</v>
      </c>
      <c r="S11" s="74">
        <f t="shared" si="0"/>
        <v>0.95886395937326685</v>
      </c>
      <c r="T11" s="74">
        <f t="shared" si="0"/>
        <v>1.1255262929839158</v>
      </c>
      <c r="U11" s="74">
        <f t="shared" si="0"/>
        <v>1.1977466375485302</v>
      </c>
      <c r="V11" s="74">
        <f t="shared" si="0"/>
        <v>1.3706310316139767</v>
      </c>
      <c r="W11" s="74">
        <f t="shared" si="0"/>
        <v>1.6764008596783138</v>
      </c>
      <c r="X11" s="74">
        <f t="shared" si="0"/>
        <v>1.4870724486966167</v>
      </c>
      <c r="Y11" s="74">
        <f t="shared" si="0"/>
        <v>1.683289569467554</v>
      </c>
      <c r="Z11" s="74">
        <f t="shared" si="0"/>
        <v>1.6988447206045478</v>
      </c>
      <c r="AA11" s="74">
        <f t="shared" si="0"/>
        <v>1.7768426927343317</v>
      </c>
      <c r="AB11" s="74">
        <f t="shared" si="0"/>
        <v>1.8612849417637269</v>
      </c>
      <c r="AC11" s="74">
        <f t="shared" si="0"/>
        <v>1.7635097060454796</v>
      </c>
      <c r="AD11" s="74">
        <f t="shared" si="0"/>
        <v>1.5588483603716028</v>
      </c>
      <c r="AE11" s="74">
        <f t="shared" si="0"/>
        <v>1.5399599625623959</v>
      </c>
      <c r="AF11" s="74">
        <f t="shared" si="0"/>
        <v>1.377741957848031</v>
      </c>
      <c r="AG11" s="74">
        <f t="shared" si="0"/>
        <v>1.3221878466444814</v>
      </c>
      <c r="AH11" s="74">
        <f t="shared" si="0"/>
        <v>1.4921834269273433</v>
      </c>
      <c r="AI11" s="74">
        <f t="shared" si="0"/>
        <v>1.5608483083749307</v>
      </c>
      <c r="AJ11" s="74">
        <f t="shared" si="0"/>
        <v>1.5555151136993899</v>
      </c>
      <c r="AK11" s="74">
        <f t="shared" si="0"/>
        <v>1.527738058097615</v>
      </c>
      <c r="AL11" s="74">
        <f t="shared" si="0"/>
        <v>1.3244100110926234</v>
      </c>
      <c r="AM11" s="74">
        <f t="shared" si="0"/>
        <v>1.0177513172490293</v>
      </c>
      <c r="AN11" s="74">
        <f t="shared" si="0"/>
        <v>0.98219668607875754</v>
      </c>
      <c r="AO11" s="74">
        <f t="shared" si="0"/>
        <v>1.021751213255685</v>
      </c>
      <c r="AP11" s="74">
        <f t="shared" si="0"/>
        <v>1.0310843039378812</v>
      </c>
      <c r="AQ11" s="74">
        <f t="shared" si="0"/>
        <v>1.0221956461453132</v>
      </c>
      <c r="AR11" s="74">
        <f t="shared" si="0"/>
        <v>1.0044183305601773</v>
      </c>
      <c r="AS11" s="74">
        <f t="shared" si="0"/>
        <v>1.0755275929007209</v>
      </c>
      <c r="AT11" s="74">
        <f t="shared" si="0"/>
        <v>1.1010824840543538</v>
      </c>
      <c r="AU11" s="74">
        <f t="shared" si="0"/>
        <v>1.0533059484193013</v>
      </c>
      <c r="AV11" s="74">
        <f t="shared" si="0"/>
        <v>1.0444172906267333</v>
      </c>
      <c r="AW11" s="74">
        <f t="shared" si="0"/>
        <v>1.0666389351081531</v>
      </c>
      <c r="AX11" s="74">
        <f t="shared" si="0"/>
        <v>1.1021935662784248</v>
      </c>
      <c r="AY11" s="74">
        <f t="shared" si="0"/>
        <v>0.98664101497504164</v>
      </c>
      <c r="AZ11" s="74">
        <f t="shared" si="0"/>
        <v>0.98664101497504164</v>
      </c>
      <c r="BA11" s="74">
        <f t="shared" si="0"/>
        <v>0.99552967276760962</v>
      </c>
      <c r="BB11" s="74">
        <f t="shared" si="0"/>
        <v>1.0221956461453132</v>
      </c>
      <c r="BC11" s="74">
        <f t="shared" si="0"/>
        <v>1.1021935662784248</v>
      </c>
      <c r="BD11" s="74">
        <f t="shared" si="0"/>
        <v>1.1599698419301163</v>
      </c>
      <c r="BE11" s="74">
        <f t="shared" si="0"/>
        <v>1.1955244731003882</v>
      </c>
      <c r="BF11" s="74">
        <f t="shared" si="0"/>
        <v>1.1999688019966723</v>
      </c>
      <c r="BG11" s="74">
        <f t="shared" si="0"/>
        <v>1.2755223932334998</v>
      </c>
      <c r="BH11" s="74">
        <f t="shared" si="0"/>
        <v>1.2755223932334998</v>
      </c>
      <c r="BI11" s="74">
        <f t="shared" si="0"/>
        <v>1.1910801442041044</v>
      </c>
      <c r="BJ11" s="74">
        <f t="shared" si="0"/>
        <v>1.2479675540765389</v>
      </c>
      <c r="BK11" s="74">
        <f t="shared" si="0"/>
        <v>1.2310791042706599</v>
      </c>
      <c r="BL11" s="74">
        <f t="shared" si="0"/>
        <v>1.1910801442041044</v>
      </c>
      <c r="BM11" s="74">
        <f t="shared" si="0"/>
        <v>1.1821914864115364</v>
      </c>
      <c r="BN11" s="74">
        <f t="shared" si="0"/>
        <v>1.1466368552412647</v>
      </c>
      <c r="BO11" s="74">
        <f t="shared" si="0"/>
        <v>1.1466368552412647</v>
      </c>
      <c r="BP11" s="74">
        <f t="shared" si="0"/>
        <v>1.1466368552412647</v>
      </c>
      <c r="BQ11" s="74">
        <f t="shared" si="0"/>
        <v>1.1466368552412647</v>
      </c>
      <c r="BR11" s="74">
        <f t="shared" si="0"/>
        <v>1.1288595396561287</v>
      </c>
      <c r="BS11" s="74">
        <f t="shared" si="0"/>
        <v>1.1288595396561287</v>
      </c>
      <c r="BT11" s="74">
        <f t="shared" si="0"/>
        <v>1.1421925263449806</v>
      </c>
      <c r="BU11" s="74">
        <f t="shared" si="0"/>
        <v>1.1910801442041044</v>
      </c>
      <c r="BV11" s="74">
        <f t="shared" ref="BV11:CR11" si="1">$F$11*(BV8/1000)</f>
        <v>1.1910801442041044</v>
      </c>
      <c r="BW11" s="74">
        <f t="shared" si="1"/>
        <v>1.3021883666112035</v>
      </c>
      <c r="BX11" s="74">
        <f t="shared" si="1"/>
        <v>1.3466316555740432</v>
      </c>
      <c r="BY11" s="74">
        <f t="shared" si="1"/>
        <v>1.3466316555740432</v>
      </c>
      <c r="BZ11" s="74">
        <f t="shared" si="1"/>
        <v>1.3421873266777593</v>
      </c>
      <c r="CA11" s="74">
        <f t="shared" si="1"/>
        <v>1.3421873266777593</v>
      </c>
      <c r="CB11" s="74">
        <f t="shared" si="1"/>
        <v>1.3421873266777593</v>
      </c>
      <c r="CC11" s="74">
        <f t="shared" si="1"/>
        <v>1.3155213533000554</v>
      </c>
      <c r="CD11" s="74">
        <f t="shared" si="1"/>
        <v>1.3199656821963395</v>
      </c>
      <c r="CE11" s="74">
        <f t="shared" si="1"/>
        <v>1.3288543399889075</v>
      </c>
      <c r="CF11" s="74">
        <f t="shared" si="1"/>
        <v>1.3110770244037715</v>
      </c>
      <c r="CG11" s="74">
        <f t="shared" si="1"/>
        <v>1.2577450776483639</v>
      </c>
      <c r="CH11" s="74">
        <f t="shared" si="1"/>
        <v>1.2221904464780922</v>
      </c>
      <c r="CI11" s="74">
        <f t="shared" si="1"/>
        <v>1.2044131308929562</v>
      </c>
      <c r="CJ11" s="74">
        <f t="shared" si="1"/>
        <v>1.1777471575152523</v>
      </c>
      <c r="CK11" s="74">
        <f t="shared" si="1"/>
        <v>1.1777471575152523</v>
      </c>
      <c r="CL11" s="74">
        <f t="shared" si="1"/>
        <v>1.1599698419301163</v>
      </c>
      <c r="CM11" s="74">
        <f t="shared" si="1"/>
        <v>1.1333038685524126</v>
      </c>
      <c r="CN11" s="74">
        <f t="shared" si="1"/>
        <v>1.1244152107598446</v>
      </c>
      <c r="CO11" s="74">
        <f t="shared" si="1"/>
        <v>1.1244152107598446</v>
      </c>
      <c r="CP11" s="74">
        <f t="shared" si="1"/>
        <v>1.1244152107598446</v>
      </c>
      <c r="CQ11" s="74">
        <f t="shared" si="1"/>
        <v>1.1244152107598446</v>
      </c>
      <c r="CR11" s="74">
        <f t="shared" si="1"/>
        <v>1.1244152107598446</v>
      </c>
      <c r="CS11" s="74">
        <f t="shared" ref="CS11:EM11" si="2">$F$11*(CS8/1000)</f>
        <v>1.1688584997226843</v>
      </c>
      <c r="CT11" s="74">
        <f t="shared" si="2"/>
        <v>1.0977492373821409</v>
      </c>
      <c r="CU11" s="74">
        <f t="shared" si="2"/>
        <v>1.0577502773155851</v>
      </c>
      <c r="CV11" s="74">
        <f t="shared" si="2"/>
        <v>1.0621946062118692</v>
      </c>
      <c r="CW11" s="74">
        <f t="shared" si="2"/>
        <v>1.037306364392679</v>
      </c>
      <c r="CX11" s="74">
        <f t="shared" si="2"/>
        <v>1.0239733777038269</v>
      </c>
      <c r="CY11" s="74">
        <f t="shared" si="2"/>
        <v>1.0319731697171382</v>
      </c>
      <c r="CZ11" s="74">
        <f t="shared" si="2"/>
        <v>0.99108534387132552</v>
      </c>
      <c r="DA11" s="74">
        <f t="shared" si="2"/>
        <v>0.98664101497504164</v>
      </c>
      <c r="DB11" s="74">
        <f t="shared" si="2"/>
        <v>0.9644193704936217</v>
      </c>
      <c r="DC11" s="74">
        <f t="shared" si="2"/>
        <v>0.8621998058790904</v>
      </c>
      <c r="DD11" s="74">
        <f t="shared" si="2"/>
        <v>0.87997712146422624</v>
      </c>
      <c r="DE11" s="74">
        <f t="shared" si="2"/>
        <v>0.87997712146422624</v>
      </c>
      <c r="DF11" s="74">
        <f t="shared" si="2"/>
        <v>0.87997712146422624</v>
      </c>
      <c r="DG11" s="74">
        <f t="shared" si="2"/>
        <v>0.88886577925679422</v>
      </c>
      <c r="DH11" s="74">
        <f t="shared" si="2"/>
        <v>0.90219876594564608</v>
      </c>
      <c r="DI11" s="74">
        <f t="shared" si="2"/>
        <v>0.97775235718247377</v>
      </c>
      <c r="DJ11" s="74">
        <f t="shared" si="2"/>
        <v>0.98664101497504164</v>
      </c>
      <c r="DK11" s="74">
        <f t="shared" si="2"/>
        <v>0.98664101497504164</v>
      </c>
      <c r="DL11" s="74">
        <f t="shared" si="2"/>
        <v>0.97330802828618967</v>
      </c>
      <c r="DM11" s="74">
        <f t="shared" si="2"/>
        <v>0.97330802828618967</v>
      </c>
      <c r="DN11" s="74">
        <f t="shared" si="2"/>
        <v>0.98664101497504164</v>
      </c>
      <c r="DO11" s="74">
        <f t="shared" si="2"/>
        <v>0.98219668607875754</v>
      </c>
      <c r="DP11" s="74">
        <f t="shared" si="2"/>
        <v>0.98219668607875754</v>
      </c>
      <c r="DQ11" s="74">
        <f t="shared" si="2"/>
        <v>0.94664205490848574</v>
      </c>
      <c r="DR11" s="74">
        <f t="shared" si="2"/>
        <v>0.9288647393233499</v>
      </c>
      <c r="DS11" s="74">
        <f t="shared" si="2"/>
        <v>0.8977544370493622</v>
      </c>
      <c r="DT11" s="74">
        <f t="shared" si="2"/>
        <v>0</v>
      </c>
      <c r="DU11" s="74">
        <f t="shared" si="2"/>
        <v>0</v>
      </c>
      <c r="DV11" s="74">
        <f t="shared" si="2"/>
        <v>0</v>
      </c>
      <c r="DW11" s="74">
        <f t="shared" si="2"/>
        <v>0</v>
      </c>
      <c r="DX11" s="74">
        <f t="shared" si="2"/>
        <v>0</v>
      </c>
      <c r="DY11" s="74">
        <f t="shared" si="2"/>
        <v>0</v>
      </c>
      <c r="DZ11" s="74">
        <f t="shared" si="2"/>
        <v>0</v>
      </c>
      <c r="EA11" s="74">
        <f t="shared" si="2"/>
        <v>0</v>
      </c>
      <c r="EB11" s="74">
        <f t="shared" si="2"/>
        <v>0</v>
      </c>
      <c r="EC11" s="74">
        <f t="shared" si="2"/>
        <v>0</v>
      </c>
      <c r="ED11" s="74">
        <f t="shared" si="2"/>
        <v>0</v>
      </c>
      <c r="EE11" s="74">
        <f t="shared" si="2"/>
        <v>0</v>
      </c>
      <c r="EF11" s="74">
        <f t="shared" si="2"/>
        <v>0</v>
      </c>
      <c r="EG11" s="74">
        <f t="shared" si="2"/>
        <v>0</v>
      </c>
      <c r="EH11" s="74">
        <f t="shared" si="2"/>
        <v>0</v>
      </c>
      <c r="EI11" s="74">
        <f t="shared" si="2"/>
        <v>0</v>
      </c>
      <c r="EJ11" s="74">
        <f t="shared" si="2"/>
        <v>0</v>
      </c>
      <c r="EK11" s="74">
        <f t="shared" si="2"/>
        <v>0</v>
      </c>
      <c r="EL11" s="74">
        <f t="shared" si="2"/>
        <v>0</v>
      </c>
      <c r="EM11" s="74">
        <f t="shared" si="2"/>
        <v>0</v>
      </c>
    </row>
    <row r="12" spans="1:150">
      <c r="A12" s="67"/>
      <c r="B12" s="107"/>
      <c r="D12" s="77"/>
      <c r="F12" s="65"/>
      <c r="I12" s="74"/>
      <c r="J12" s="74"/>
      <c r="K12" s="74"/>
      <c r="L12" s="74"/>
      <c r="M12" s="74"/>
      <c r="N12" s="74"/>
      <c r="O12" s="74"/>
      <c r="P12" s="74"/>
      <c r="Q12" s="74"/>
      <c r="R12" s="74"/>
      <c r="S12" s="74"/>
      <c r="T12" s="74"/>
      <c r="U12" s="74"/>
      <c r="V12" s="74"/>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c r="BL12" s="74"/>
      <c r="BM12" s="74"/>
      <c r="BN12" s="74"/>
      <c r="BO12" s="74"/>
      <c r="BP12" s="74"/>
      <c r="BQ12" s="74"/>
      <c r="BR12" s="74"/>
      <c r="BS12" s="74"/>
      <c r="BT12" s="74"/>
      <c r="BU12" s="74"/>
      <c r="BV12" s="74"/>
      <c r="BW12" s="74"/>
      <c r="BX12" s="74"/>
      <c r="BY12" s="74"/>
      <c r="BZ12" s="74"/>
      <c r="CA12" s="74"/>
      <c r="CB12" s="74"/>
      <c r="CC12" s="74"/>
      <c r="CD12" s="74"/>
      <c r="CE12" s="74"/>
      <c r="CF12" s="74"/>
      <c r="CG12" s="74"/>
      <c r="CH12" s="74"/>
      <c r="CI12" s="74"/>
      <c r="CJ12" s="74"/>
      <c r="CK12" s="74"/>
      <c r="CL12" s="74"/>
      <c r="CM12" s="74"/>
      <c r="CN12" s="74"/>
      <c r="CO12" s="74"/>
      <c r="CP12" s="74"/>
      <c r="CQ12" s="74"/>
      <c r="CR12" s="74"/>
      <c r="CS12" s="74"/>
      <c r="CT12" s="74"/>
      <c r="CU12" s="74"/>
      <c r="CV12" s="74"/>
      <c r="CW12" s="74"/>
      <c r="CX12" s="74"/>
      <c r="CY12" s="74"/>
      <c r="CZ12" s="74"/>
      <c r="DA12" s="74"/>
      <c r="DB12" s="74"/>
      <c r="DC12" s="74"/>
      <c r="DD12" s="74"/>
      <c r="DE12" s="74"/>
      <c r="DF12" s="74"/>
      <c r="DG12" s="74"/>
      <c r="DH12" s="74"/>
      <c r="DI12" s="74"/>
      <c r="DJ12" s="74"/>
      <c r="DK12" s="74"/>
      <c r="DL12" s="74"/>
      <c r="DM12" s="74"/>
      <c r="DN12" s="74"/>
      <c r="DO12" s="74"/>
      <c r="DP12" s="74"/>
      <c r="DQ12" s="74"/>
      <c r="DR12" s="74"/>
      <c r="DS12" s="74"/>
      <c r="DT12" s="74"/>
      <c r="DU12" s="74"/>
      <c r="DV12" s="74"/>
      <c r="DW12" s="74"/>
      <c r="DX12" s="74"/>
      <c r="DY12" s="74"/>
      <c r="DZ12" s="74"/>
      <c r="EA12" s="74"/>
      <c r="EB12" s="74"/>
      <c r="EC12" s="74"/>
      <c r="ED12" s="74"/>
      <c r="EE12" s="74"/>
      <c r="EF12" s="74"/>
      <c r="EG12" s="74"/>
      <c r="EH12" s="74"/>
      <c r="EI12" s="74"/>
      <c r="EJ12" s="74"/>
      <c r="EK12" s="74"/>
      <c r="EL12" s="74"/>
      <c r="EM12" s="74"/>
    </row>
    <row r="13" spans="1:150">
      <c r="A13" s="67"/>
      <c r="B13" s="107"/>
      <c r="D13" s="77"/>
      <c r="F13" s="65"/>
      <c r="I13" s="74"/>
      <c r="J13" s="74"/>
      <c r="K13" s="74"/>
      <c r="L13" s="74"/>
      <c r="M13" s="74"/>
      <c r="N13" s="74"/>
      <c r="O13" s="74"/>
      <c r="P13" s="74"/>
      <c r="Q13" s="74"/>
      <c r="R13" s="74"/>
      <c r="S13" s="74"/>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c r="BF13" s="74"/>
      <c r="BG13" s="74"/>
      <c r="BH13" s="74"/>
      <c r="BI13" s="74"/>
      <c r="BJ13" s="74"/>
      <c r="BK13" s="74"/>
      <c r="BL13" s="74"/>
      <c r="BM13" s="74"/>
      <c r="BN13" s="74"/>
      <c r="BO13" s="74"/>
      <c r="BP13" s="74"/>
      <c r="BQ13" s="74"/>
      <c r="BR13" s="74"/>
      <c r="BS13" s="74"/>
      <c r="BT13" s="74"/>
      <c r="BU13" s="74"/>
      <c r="BV13" s="74"/>
      <c r="BW13" s="74"/>
      <c r="BX13" s="74"/>
      <c r="BY13" s="74"/>
      <c r="BZ13" s="74"/>
      <c r="CA13" s="74"/>
      <c r="CB13" s="74"/>
      <c r="CC13" s="74"/>
      <c r="CD13" s="74"/>
      <c r="CE13" s="74"/>
      <c r="CF13" s="74"/>
      <c r="CG13" s="74"/>
      <c r="CH13" s="74"/>
      <c r="CI13" s="74"/>
      <c r="CJ13" s="74"/>
      <c r="CK13" s="74"/>
      <c r="CL13" s="74"/>
      <c r="CM13" s="74"/>
      <c r="CN13" s="74"/>
      <c r="CO13" s="74"/>
      <c r="CP13" s="74"/>
      <c r="CQ13" s="74"/>
      <c r="CR13" s="74"/>
      <c r="CS13" s="74"/>
      <c r="CT13" s="74"/>
      <c r="CU13" s="74"/>
      <c r="CV13" s="74"/>
      <c r="CW13" s="74"/>
      <c r="CX13" s="74"/>
      <c r="CY13" s="74"/>
      <c r="CZ13" s="74"/>
      <c r="DA13" s="74"/>
      <c r="DB13" s="74"/>
      <c r="DC13" s="74"/>
      <c r="DD13" s="74"/>
      <c r="DE13" s="74"/>
      <c r="DF13" s="74"/>
      <c r="DG13" s="74"/>
      <c r="DH13" s="74"/>
      <c r="DI13" s="74"/>
      <c r="DJ13" s="74"/>
      <c r="DK13" s="74"/>
      <c r="DL13" s="74"/>
      <c r="DM13" s="74"/>
      <c r="DN13" s="74"/>
      <c r="DO13" s="74"/>
      <c r="DP13" s="74"/>
      <c r="DQ13" s="74"/>
      <c r="DR13" s="74"/>
      <c r="DS13" s="74"/>
      <c r="DT13" s="74"/>
      <c r="DU13" s="74"/>
      <c r="DV13" s="74"/>
      <c r="DW13" s="74"/>
      <c r="DX13" s="74"/>
      <c r="DY13" s="74"/>
      <c r="DZ13" s="74"/>
      <c r="EA13" s="74"/>
      <c r="EB13" s="74"/>
      <c r="EC13" s="74"/>
      <c r="ED13" s="74"/>
      <c r="EE13" s="74"/>
      <c r="EF13" s="74"/>
      <c r="EG13" s="74"/>
      <c r="EH13" s="74"/>
      <c r="EI13" s="74"/>
      <c r="EJ13" s="74"/>
      <c r="EK13" s="74"/>
      <c r="EL13" s="74"/>
      <c r="EM13" s="74"/>
    </row>
    <row r="14" spans="1:150" s="104" customFormat="1">
      <c r="H14" s="104" t="s">
        <v>799</v>
      </c>
      <c r="I14" s="105">
        <f t="shared" ref="I14:AN14" si="3">SUM(I11:I11)</f>
        <v>0.7626468386023294</v>
      </c>
      <c r="J14" s="105">
        <f t="shared" si="3"/>
        <v>0.77053552239323342</v>
      </c>
      <c r="K14" s="105">
        <f t="shared" si="3"/>
        <v>0.72498115120632278</v>
      </c>
      <c r="L14" s="105">
        <f t="shared" si="3"/>
        <v>0.60442872989462015</v>
      </c>
      <c r="M14" s="105">
        <f t="shared" si="3"/>
        <v>0.63942781995285636</v>
      </c>
      <c r="N14" s="105">
        <f t="shared" si="3"/>
        <v>0.67776015668330558</v>
      </c>
      <c r="O14" s="105">
        <f t="shared" si="3"/>
        <v>0.72975880476982802</v>
      </c>
      <c r="P14" s="105">
        <f t="shared" si="3"/>
        <v>0.73386980899889076</v>
      </c>
      <c r="Q14" s="105">
        <f t="shared" si="3"/>
        <v>0.74942496013588467</v>
      </c>
      <c r="R14" s="105">
        <f t="shared" si="3"/>
        <v>0.77109106350526901</v>
      </c>
      <c r="S14" s="105">
        <f t="shared" si="3"/>
        <v>0.95886395937326685</v>
      </c>
      <c r="T14" s="105">
        <f t="shared" si="3"/>
        <v>1.1255262929839158</v>
      </c>
      <c r="U14" s="105">
        <f t="shared" si="3"/>
        <v>1.1977466375485302</v>
      </c>
      <c r="V14" s="105">
        <f t="shared" si="3"/>
        <v>1.3706310316139767</v>
      </c>
      <c r="W14" s="105">
        <f t="shared" si="3"/>
        <v>1.6764008596783138</v>
      </c>
      <c r="X14" s="105">
        <f t="shared" si="3"/>
        <v>1.4870724486966167</v>
      </c>
      <c r="Y14" s="105">
        <f t="shared" si="3"/>
        <v>1.683289569467554</v>
      </c>
      <c r="Z14" s="105">
        <f t="shared" si="3"/>
        <v>1.6988447206045478</v>
      </c>
      <c r="AA14" s="105">
        <f t="shared" si="3"/>
        <v>1.7768426927343317</v>
      </c>
      <c r="AB14" s="105">
        <f t="shared" si="3"/>
        <v>1.8612849417637269</v>
      </c>
      <c r="AC14" s="105">
        <f t="shared" si="3"/>
        <v>1.7635097060454796</v>
      </c>
      <c r="AD14" s="105">
        <f t="shared" si="3"/>
        <v>1.5588483603716028</v>
      </c>
      <c r="AE14" s="105">
        <f t="shared" si="3"/>
        <v>1.5399599625623959</v>
      </c>
      <c r="AF14" s="105">
        <f t="shared" si="3"/>
        <v>1.377741957848031</v>
      </c>
      <c r="AG14" s="105">
        <f t="shared" si="3"/>
        <v>1.3221878466444814</v>
      </c>
      <c r="AH14" s="105">
        <f t="shared" si="3"/>
        <v>1.4921834269273433</v>
      </c>
      <c r="AI14" s="105">
        <f t="shared" si="3"/>
        <v>1.5608483083749307</v>
      </c>
      <c r="AJ14" s="105">
        <f t="shared" si="3"/>
        <v>1.5555151136993899</v>
      </c>
      <c r="AK14" s="105">
        <f t="shared" si="3"/>
        <v>1.527738058097615</v>
      </c>
      <c r="AL14" s="105">
        <f t="shared" si="3"/>
        <v>1.3244100110926234</v>
      </c>
      <c r="AM14" s="105">
        <f t="shared" si="3"/>
        <v>1.0177513172490293</v>
      </c>
      <c r="AN14" s="105">
        <f t="shared" si="3"/>
        <v>0.98219668607875754</v>
      </c>
      <c r="AO14" s="105">
        <f t="shared" ref="AO14:BT14" si="4">SUM(AO11:AO11)</f>
        <v>1.021751213255685</v>
      </c>
      <c r="AP14" s="105">
        <f t="shared" si="4"/>
        <v>1.0310843039378812</v>
      </c>
      <c r="AQ14" s="105">
        <f t="shared" si="4"/>
        <v>1.0221956461453132</v>
      </c>
      <c r="AR14" s="105">
        <f t="shared" si="4"/>
        <v>1.0044183305601773</v>
      </c>
      <c r="AS14" s="105">
        <f t="shared" si="4"/>
        <v>1.0755275929007209</v>
      </c>
      <c r="AT14" s="105">
        <f t="shared" si="4"/>
        <v>1.1010824840543538</v>
      </c>
      <c r="AU14" s="105">
        <f t="shared" si="4"/>
        <v>1.0533059484193013</v>
      </c>
      <c r="AV14" s="105">
        <f t="shared" si="4"/>
        <v>1.0444172906267333</v>
      </c>
      <c r="AW14" s="105">
        <f t="shared" si="4"/>
        <v>1.0666389351081531</v>
      </c>
      <c r="AX14" s="105">
        <f t="shared" si="4"/>
        <v>1.1021935662784248</v>
      </c>
      <c r="AY14" s="105">
        <f t="shared" si="4"/>
        <v>0.98664101497504164</v>
      </c>
      <c r="AZ14" s="105">
        <f t="shared" si="4"/>
        <v>0.98664101497504164</v>
      </c>
      <c r="BA14" s="105">
        <f t="shared" si="4"/>
        <v>0.99552967276760962</v>
      </c>
      <c r="BB14" s="105">
        <f t="shared" si="4"/>
        <v>1.0221956461453132</v>
      </c>
      <c r="BC14" s="105">
        <f t="shared" si="4"/>
        <v>1.1021935662784248</v>
      </c>
      <c r="BD14" s="105">
        <f t="shared" si="4"/>
        <v>1.1599698419301163</v>
      </c>
      <c r="BE14" s="105">
        <f t="shared" si="4"/>
        <v>1.1955244731003882</v>
      </c>
      <c r="BF14" s="105">
        <f t="shared" si="4"/>
        <v>1.1999688019966723</v>
      </c>
      <c r="BG14" s="105">
        <f t="shared" si="4"/>
        <v>1.2755223932334998</v>
      </c>
      <c r="BH14" s="105">
        <f t="shared" si="4"/>
        <v>1.2755223932334998</v>
      </c>
      <c r="BI14" s="105">
        <f t="shared" si="4"/>
        <v>1.1910801442041044</v>
      </c>
      <c r="BJ14" s="105">
        <f t="shared" si="4"/>
        <v>1.2479675540765389</v>
      </c>
      <c r="BK14" s="105">
        <f t="shared" si="4"/>
        <v>1.2310791042706599</v>
      </c>
      <c r="BL14" s="105">
        <f t="shared" si="4"/>
        <v>1.1910801442041044</v>
      </c>
      <c r="BM14" s="105">
        <f t="shared" si="4"/>
        <v>1.1821914864115364</v>
      </c>
      <c r="BN14" s="105">
        <f t="shared" si="4"/>
        <v>1.1466368552412647</v>
      </c>
      <c r="BO14" s="105">
        <f t="shared" si="4"/>
        <v>1.1466368552412647</v>
      </c>
      <c r="BP14" s="105">
        <f t="shared" si="4"/>
        <v>1.1466368552412647</v>
      </c>
      <c r="BQ14" s="105">
        <f t="shared" si="4"/>
        <v>1.1466368552412647</v>
      </c>
      <c r="BR14" s="105">
        <f t="shared" si="4"/>
        <v>1.1288595396561287</v>
      </c>
      <c r="BS14" s="105">
        <f t="shared" si="4"/>
        <v>1.1288595396561287</v>
      </c>
      <c r="BT14" s="105">
        <f t="shared" si="4"/>
        <v>1.1421925263449806</v>
      </c>
      <c r="BU14" s="105">
        <f t="shared" ref="BU14:CR14" si="5">SUM(BU11:BU11)</f>
        <v>1.1910801442041044</v>
      </c>
      <c r="BV14" s="105">
        <f t="shared" si="5"/>
        <v>1.1910801442041044</v>
      </c>
      <c r="BW14" s="105">
        <f t="shared" si="5"/>
        <v>1.3021883666112035</v>
      </c>
      <c r="BX14" s="105">
        <f t="shared" si="5"/>
        <v>1.3466316555740432</v>
      </c>
      <c r="BY14" s="105">
        <f t="shared" si="5"/>
        <v>1.3466316555740432</v>
      </c>
      <c r="BZ14" s="105">
        <f t="shared" si="5"/>
        <v>1.3421873266777593</v>
      </c>
      <c r="CA14" s="105">
        <f t="shared" si="5"/>
        <v>1.3421873266777593</v>
      </c>
      <c r="CB14" s="105">
        <f t="shared" si="5"/>
        <v>1.3421873266777593</v>
      </c>
      <c r="CC14" s="105">
        <f t="shared" si="5"/>
        <v>1.3155213533000554</v>
      </c>
      <c r="CD14" s="105">
        <f t="shared" si="5"/>
        <v>1.3199656821963395</v>
      </c>
      <c r="CE14" s="105">
        <f t="shared" si="5"/>
        <v>1.3288543399889075</v>
      </c>
      <c r="CF14" s="105">
        <f t="shared" si="5"/>
        <v>1.3110770244037715</v>
      </c>
      <c r="CG14" s="105">
        <f t="shared" si="5"/>
        <v>1.2577450776483639</v>
      </c>
      <c r="CH14" s="105">
        <f t="shared" si="5"/>
        <v>1.2221904464780922</v>
      </c>
      <c r="CI14" s="105">
        <f t="shared" si="5"/>
        <v>1.2044131308929562</v>
      </c>
      <c r="CJ14" s="105">
        <f t="shared" si="5"/>
        <v>1.1777471575152523</v>
      </c>
      <c r="CK14" s="105">
        <f t="shared" si="5"/>
        <v>1.1777471575152523</v>
      </c>
      <c r="CL14" s="105">
        <f t="shared" si="5"/>
        <v>1.1599698419301163</v>
      </c>
      <c r="CM14" s="105">
        <f t="shared" si="5"/>
        <v>1.1333038685524126</v>
      </c>
      <c r="CN14" s="105">
        <f t="shared" si="5"/>
        <v>1.1244152107598446</v>
      </c>
      <c r="CO14" s="105">
        <f t="shared" si="5"/>
        <v>1.1244152107598446</v>
      </c>
      <c r="CP14" s="105">
        <f t="shared" si="5"/>
        <v>1.1244152107598446</v>
      </c>
      <c r="CQ14" s="105">
        <f t="shared" si="5"/>
        <v>1.1244152107598446</v>
      </c>
      <c r="CR14" s="105">
        <f t="shared" si="5"/>
        <v>1.1244152107598446</v>
      </c>
      <c r="CS14" s="105">
        <f t="shared" ref="CS14:EM14" si="6">SUM(CS11:CS11)</f>
        <v>1.1688584997226843</v>
      </c>
      <c r="CT14" s="105">
        <f t="shared" si="6"/>
        <v>1.0977492373821409</v>
      </c>
      <c r="CU14" s="105">
        <f t="shared" si="6"/>
        <v>1.0577502773155851</v>
      </c>
      <c r="CV14" s="105">
        <f t="shared" si="6"/>
        <v>1.0621946062118692</v>
      </c>
      <c r="CW14" s="105">
        <f t="shared" si="6"/>
        <v>1.037306364392679</v>
      </c>
      <c r="CX14" s="105">
        <f t="shared" si="6"/>
        <v>1.0239733777038269</v>
      </c>
      <c r="CY14" s="105">
        <f t="shared" si="6"/>
        <v>1.0319731697171382</v>
      </c>
      <c r="CZ14" s="105">
        <f t="shared" si="6"/>
        <v>0.99108534387132552</v>
      </c>
      <c r="DA14" s="105">
        <f t="shared" si="6"/>
        <v>0.98664101497504164</v>
      </c>
      <c r="DB14" s="105">
        <f t="shared" si="6"/>
        <v>0.9644193704936217</v>
      </c>
      <c r="DC14" s="105">
        <f t="shared" si="6"/>
        <v>0.8621998058790904</v>
      </c>
      <c r="DD14" s="105">
        <f t="shared" si="6"/>
        <v>0.87997712146422624</v>
      </c>
      <c r="DE14" s="105">
        <f t="shared" si="6"/>
        <v>0.87997712146422624</v>
      </c>
      <c r="DF14" s="105">
        <f t="shared" si="6"/>
        <v>0.87997712146422624</v>
      </c>
      <c r="DG14" s="105">
        <f t="shared" si="6"/>
        <v>0.88886577925679422</v>
      </c>
      <c r="DH14" s="105">
        <f t="shared" si="6"/>
        <v>0.90219876594564608</v>
      </c>
      <c r="DI14" s="105">
        <f t="shared" si="6"/>
        <v>0.97775235718247377</v>
      </c>
      <c r="DJ14" s="105">
        <f t="shared" si="6"/>
        <v>0.98664101497504164</v>
      </c>
      <c r="DK14" s="105">
        <f t="shared" si="6"/>
        <v>0.98664101497504164</v>
      </c>
      <c r="DL14" s="105">
        <f t="shared" si="6"/>
        <v>0.97330802828618967</v>
      </c>
      <c r="DM14" s="105">
        <f t="shared" si="6"/>
        <v>0.97330802828618967</v>
      </c>
      <c r="DN14" s="105">
        <f t="shared" si="6"/>
        <v>0.98664101497504164</v>
      </c>
      <c r="DO14" s="105">
        <f t="shared" si="6"/>
        <v>0.98219668607875754</v>
      </c>
      <c r="DP14" s="105">
        <f t="shared" si="6"/>
        <v>0.98219668607875754</v>
      </c>
      <c r="DQ14" s="105">
        <f t="shared" si="6"/>
        <v>0.94664205490848574</v>
      </c>
      <c r="DR14" s="105">
        <f t="shared" si="6"/>
        <v>0.9288647393233499</v>
      </c>
      <c r="DS14" s="105">
        <f t="shared" si="6"/>
        <v>0.8977544370493622</v>
      </c>
      <c r="DT14" s="105">
        <f t="shared" si="6"/>
        <v>0</v>
      </c>
      <c r="DU14" s="105">
        <f t="shared" si="6"/>
        <v>0</v>
      </c>
      <c r="DV14" s="105">
        <f t="shared" si="6"/>
        <v>0</v>
      </c>
      <c r="DW14" s="105">
        <f t="shared" si="6"/>
        <v>0</v>
      </c>
      <c r="DX14" s="105">
        <f t="shared" si="6"/>
        <v>0</v>
      </c>
      <c r="DY14" s="105">
        <f t="shared" si="6"/>
        <v>0</v>
      </c>
      <c r="DZ14" s="105">
        <f t="shared" si="6"/>
        <v>0</v>
      </c>
      <c r="EA14" s="105">
        <f t="shared" si="6"/>
        <v>0</v>
      </c>
      <c r="EB14" s="105">
        <f t="shared" si="6"/>
        <v>0</v>
      </c>
      <c r="EC14" s="105">
        <f t="shared" si="6"/>
        <v>0</v>
      </c>
      <c r="ED14" s="105">
        <f t="shared" si="6"/>
        <v>0</v>
      </c>
      <c r="EE14" s="105">
        <f t="shared" si="6"/>
        <v>0</v>
      </c>
      <c r="EF14" s="105">
        <f t="shared" si="6"/>
        <v>0</v>
      </c>
      <c r="EG14" s="105">
        <f t="shared" si="6"/>
        <v>0</v>
      </c>
      <c r="EH14" s="105">
        <f t="shared" si="6"/>
        <v>0</v>
      </c>
      <c r="EI14" s="105">
        <f t="shared" si="6"/>
        <v>0</v>
      </c>
      <c r="EJ14" s="105">
        <f t="shared" si="6"/>
        <v>0</v>
      </c>
      <c r="EK14" s="105">
        <f t="shared" si="6"/>
        <v>0</v>
      </c>
      <c r="EL14" s="105">
        <f t="shared" si="6"/>
        <v>0</v>
      </c>
      <c r="EM14" s="105">
        <f t="shared" si="6"/>
        <v>0</v>
      </c>
    </row>
    <row r="15" spans="1:150" s="104" customFormat="1">
      <c r="H15" s="60"/>
      <c r="I15" s="105"/>
      <c r="J15" s="105"/>
      <c r="K15" s="105"/>
      <c r="L15" s="105"/>
      <c r="M15" s="105"/>
      <c r="N15" s="105"/>
      <c r="O15" s="105"/>
      <c r="P15" s="105"/>
      <c r="Q15" s="105"/>
      <c r="R15" s="105"/>
      <c r="S15" s="105"/>
      <c r="T15" s="105"/>
      <c r="U15" s="105"/>
      <c r="V15" s="105"/>
      <c r="W15" s="105"/>
      <c r="X15" s="105"/>
      <c r="Y15" s="105"/>
      <c r="Z15" s="105"/>
      <c r="AA15" s="105"/>
      <c r="AB15" s="105"/>
      <c r="AC15" s="105"/>
      <c r="AD15" s="105"/>
      <c r="AE15" s="105"/>
      <c r="AF15" s="105"/>
      <c r="AG15" s="105"/>
      <c r="AH15" s="105"/>
      <c r="AI15" s="105"/>
      <c r="AJ15" s="105"/>
      <c r="AK15" s="105"/>
      <c r="AL15" s="105"/>
      <c r="AM15" s="105"/>
      <c r="AN15" s="105"/>
      <c r="AO15" s="105"/>
      <c r="AP15" s="105"/>
      <c r="AQ15" s="105"/>
      <c r="AR15" s="105"/>
      <c r="AS15" s="105"/>
      <c r="AT15" s="105"/>
      <c r="AU15" s="105"/>
      <c r="AV15" s="105"/>
      <c r="AW15" s="105"/>
      <c r="AX15" s="105"/>
      <c r="AY15" s="105"/>
      <c r="AZ15" s="105"/>
      <c r="BA15" s="105"/>
      <c r="BB15" s="105"/>
      <c r="BC15" s="105"/>
      <c r="BD15" s="105"/>
      <c r="BE15" s="105"/>
      <c r="BF15" s="105"/>
      <c r="BG15" s="105"/>
      <c r="BH15" s="105"/>
      <c r="BI15" s="105"/>
      <c r="BJ15" s="105"/>
      <c r="BK15" s="105"/>
      <c r="BL15" s="105"/>
      <c r="BM15" s="105"/>
      <c r="BN15" s="105"/>
      <c r="BO15" s="105"/>
      <c r="BP15" s="105"/>
      <c r="BQ15" s="105"/>
      <c r="BR15" s="105"/>
      <c r="BS15" s="105"/>
      <c r="BT15" s="105"/>
      <c r="BU15" s="105"/>
      <c r="BV15" s="105"/>
      <c r="BW15" s="105"/>
      <c r="BX15" s="105"/>
      <c r="BY15" s="105"/>
      <c r="BZ15" s="105"/>
      <c r="CA15" s="105"/>
      <c r="CB15" s="105"/>
      <c r="CC15" s="105"/>
      <c r="CD15" s="105"/>
      <c r="CE15" s="105"/>
      <c r="CF15" s="105"/>
      <c r="CG15" s="105"/>
      <c r="CH15" s="105"/>
      <c r="CI15" s="105"/>
      <c r="CJ15" s="105"/>
      <c r="CK15" s="105"/>
      <c r="CL15" s="105"/>
      <c r="CM15" s="105"/>
      <c r="CN15" s="105"/>
      <c r="CO15" s="105"/>
      <c r="CP15" s="105"/>
      <c r="CQ15" s="105"/>
      <c r="CR15" s="105"/>
      <c r="CS15" s="105"/>
      <c r="CT15" s="105"/>
      <c r="CU15" s="105"/>
      <c r="CV15" s="105"/>
      <c r="CW15" s="105"/>
      <c r="CX15" s="105"/>
      <c r="CY15" s="105"/>
      <c r="CZ15" s="105"/>
      <c r="DA15" s="105"/>
      <c r="DB15" s="105"/>
      <c r="DC15" s="105"/>
      <c r="DD15" s="105"/>
      <c r="DE15" s="105"/>
      <c r="DF15" s="105"/>
      <c r="DG15" s="105"/>
      <c r="DH15" s="105"/>
      <c r="DI15" s="105"/>
      <c r="DJ15" s="105"/>
      <c r="DK15" s="105"/>
      <c r="DL15" s="105"/>
      <c r="DM15" s="105"/>
      <c r="DN15" s="105"/>
      <c r="DO15" s="105"/>
      <c r="DP15" s="105"/>
      <c r="DQ15" s="105"/>
      <c r="DR15" s="105"/>
      <c r="DS15" s="105"/>
      <c r="DT15" s="105"/>
      <c r="DU15" s="105"/>
      <c r="DV15" s="105"/>
      <c r="DW15" s="105"/>
      <c r="DX15" s="105"/>
      <c r="DY15" s="105"/>
      <c r="DZ15" s="105"/>
      <c r="EA15" s="105"/>
      <c r="EB15" s="105"/>
      <c r="EC15" s="105"/>
      <c r="ED15" s="105"/>
      <c r="EE15" s="105"/>
      <c r="EF15" s="105"/>
      <c r="EG15" s="105"/>
      <c r="EH15" s="105"/>
      <c r="EI15" s="105"/>
      <c r="EJ15" s="105"/>
      <c r="EK15" s="105"/>
      <c r="EL15" s="105"/>
      <c r="EM15" s="105"/>
    </row>
    <row r="16" spans="1:150" ht="13">
      <c r="A16" s="360" t="s">
        <v>817</v>
      </c>
      <c r="H16" s="60" t="s">
        <v>429</v>
      </c>
      <c r="I16" s="74"/>
      <c r="J16" s="74"/>
      <c r="K16" s="74"/>
      <c r="L16" s="74">
        <v>1.1499999999999999</v>
      </c>
      <c r="M16" s="74"/>
      <c r="N16" s="74">
        <f>81/72</f>
        <v>1.125</v>
      </c>
      <c r="O16" s="74">
        <f>97/72</f>
        <v>1.3472222222222223</v>
      </c>
      <c r="P16" s="74">
        <f>80.47/72</f>
        <v>1.1176388888888888</v>
      </c>
      <c r="Q16" s="74"/>
      <c r="R16" s="74"/>
      <c r="S16" s="74"/>
      <c r="T16" s="74"/>
      <c r="U16" s="74"/>
      <c r="V16" s="74"/>
      <c r="W16" s="74">
        <f>220/74</f>
        <v>2.9729729729729728</v>
      </c>
      <c r="X16" s="74"/>
      <c r="Y16" s="74">
        <f>233/74</f>
        <v>3.1486486486486487</v>
      </c>
      <c r="Z16" s="74">
        <f>238/74</f>
        <v>3.2162162162162162</v>
      </c>
      <c r="AA16" s="74">
        <f>238/74</f>
        <v>3.2162162162162162</v>
      </c>
      <c r="AB16" s="74"/>
      <c r="AC16" s="74"/>
      <c r="AD16" s="74">
        <f>205/74</f>
        <v>2.7702702702702702</v>
      </c>
      <c r="AE16" s="74">
        <f>205/74</f>
        <v>2.7702702702702702</v>
      </c>
      <c r="AF16" s="74"/>
      <c r="AG16" s="74"/>
      <c r="AH16" s="74"/>
      <c r="AI16" s="74"/>
      <c r="AK16" s="74"/>
      <c r="AL16" s="74"/>
      <c r="AM16" s="74"/>
      <c r="AN16" s="74"/>
      <c r="AO16" s="74"/>
      <c r="AP16" s="74"/>
      <c r="AQ16" s="74"/>
      <c r="AR16" s="74">
        <f>156/78</f>
        <v>2</v>
      </c>
      <c r="AS16" s="74">
        <f>160/78</f>
        <v>2.0512820512820511</v>
      </c>
      <c r="AT16" s="74"/>
      <c r="AU16" s="74">
        <f>149/78</f>
        <v>1.9102564102564104</v>
      </c>
      <c r="AV16" s="74">
        <f>149/78</f>
        <v>1.9102564102564104</v>
      </c>
      <c r="AW16" s="74"/>
      <c r="AX16" s="74">
        <f>117/78</f>
        <v>1.5</v>
      </c>
      <c r="AY16" s="74"/>
      <c r="AZ16" s="74"/>
      <c r="BA16" s="74"/>
      <c r="BB16" s="74"/>
      <c r="BC16" s="74">
        <f>133/78</f>
        <v>1.7051282051282051</v>
      </c>
      <c r="BD16" s="74"/>
      <c r="BE16" s="74"/>
      <c r="BF16" s="74"/>
      <c r="BG16" s="74"/>
      <c r="BH16" s="74"/>
      <c r="BI16" s="74"/>
      <c r="BJ16" s="74"/>
      <c r="BK16" s="74"/>
      <c r="BL16" s="74"/>
      <c r="BM16" s="74"/>
      <c r="BN16" s="74"/>
      <c r="BO16" s="74"/>
      <c r="BP16" s="74"/>
      <c r="BQ16" s="74"/>
      <c r="BR16" s="74"/>
      <c r="BS16" s="74"/>
      <c r="BT16" s="74"/>
      <c r="BU16" s="74"/>
      <c r="BV16" s="74"/>
      <c r="BW16" s="74"/>
      <c r="BX16" s="74"/>
      <c r="BY16" s="74"/>
      <c r="BZ16" s="74"/>
      <c r="CA16" s="74">
        <v>1.65</v>
      </c>
      <c r="CB16" s="74"/>
      <c r="CC16" s="74"/>
      <c r="CD16" s="74"/>
      <c r="CE16" s="74">
        <v>1.95</v>
      </c>
      <c r="CF16" s="74"/>
      <c r="CG16" s="74"/>
      <c r="CH16" s="74"/>
      <c r="CI16" s="74">
        <v>2</v>
      </c>
      <c r="CJ16" s="74"/>
      <c r="CK16" s="74"/>
      <c r="CL16" s="74"/>
      <c r="CM16" s="74"/>
      <c r="CN16" s="74"/>
      <c r="CO16" s="74"/>
      <c r="CP16" s="74"/>
      <c r="CQ16" s="74"/>
      <c r="CR16" s="74">
        <v>1.85</v>
      </c>
      <c r="CS16" s="74"/>
      <c r="CT16" s="74"/>
      <c r="CU16" s="74"/>
      <c r="CV16" s="74"/>
      <c r="CW16" s="74">
        <f>141/84</f>
        <v>1.6785714285714286</v>
      </c>
      <c r="CX16" s="74"/>
      <c r="CY16" s="74"/>
      <c r="CZ16" s="74"/>
      <c r="DA16" s="74"/>
      <c r="DB16" s="74"/>
      <c r="DC16" s="74"/>
      <c r="DD16" s="74"/>
      <c r="DE16" s="74"/>
      <c r="DF16" s="74"/>
      <c r="DG16" s="74"/>
      <c r="DH16" s="74">
        <f>124/84</f>
        <v>1.4761904761904763</v>
      </c>
      <c r="DI16" s="74"/>
      <c r="DJ16" s="74"/>
      <c r="DK16" s="74"/>
      <c r="DL16" s="74"/>
      <c r="DM16" s="74"/>
      <c r="DN16" s="74"/>
      <c r="DO16" s="74"/>
      <c r="DP16" s="74"/>
      <c r="DQ16" s="74"/>
      <c r="DR16" s="74"/>
      <c r="DS16" s="74"/>
      <c r="DT16" s="74"/>
      <c r="DU16" s="74"/>
      <c r="DV16" s="74"/>
      <c r="DW16" s="74"/>
      <c r="DX16" s="74"/>
      <c r="DY16" s="74"/>
      <c r="DZ16" s="74"/>
      <c r="EA16" s="74"/>
      <c r="EB16" s="74"/>
      <c r="EC16" s="74"/>
      <c r="ED16" s="74"/>
      <c r="EE16" s="74"/>
      <c r="EF16" s="74"/>
      <c r="EG16" s="74"/>
      <c r="EH16" s="74"/>
      <c r="EI16" s="74"/>
      <c r="EJ16" s="74"/>
      <c r="EK16" s="74"/>
      <c r="EL16" s="74"/>
      <c r="EM16" s="74"/>
    </row>
    <row r="17" spans="8:143">
      <c r="H17" s="60" t="s">
        <v>406</v>
      </c>
      <c r="I17" s="74"/>
      <c r="J17" s="74"/>
      <c r="K17" s="74"/>
      <c r="L17" s="74">
        <f>L16-L14</f>
        <v>0.54557127010537976</v>
      </c>
      <c r="M17" s="74"/>
      <c r="N17" s="74">
        <f>N16-N14</f>
        <v>0.44723984331669442</v>
      </c>
      <c r="O17" s="74">
        <f>O16-O14</f>
        <v>0.6174634174523943</v>
      </c>
      <c r="P17" s="74">
        <f>P16-P14</f>
        <v>0.38376907988999809</v>
      </c>
      <c r="Q17" s="74"/>
      <c r="R17" s="74"/>
      <c r="S17" s="74"/>
      <c r="T17" s="74"/>
      <c r="U17" s="74"/>
      <c r="V17" s="74"/>
      <c r="W17" s="74">
        <f>W16-W14</f>
        <v>1.296572113294659</v>
      </c>
      <c r="X17" s="74"/>
      <c r="Y17" s="74">
        <f>Y16-Y14</f>
        <v>1.4653590791810946</v>
      </c>
      <c r="Z17" s="74">
        <f>Z16-Z14</f>
        <v>1.5173714956116684</v>
      </c>
      <c r="AA17" s="74">
        <f>AA16-AA14</f>
        <v>1.4393735234818845</v>
      </c>
      <c r="AB17" s="74"/>
      <c r="AC17" s="74"/>
      <c r="AD17" s="74">
        <f>AD16-AD14</f>
        <v>1.2114219098986674</v>
      </c>
      <c r="AE17" s="74">
        <f>AE16-AE14</f>
        <v>1.2303103077078743</v>
      </c>
      <c r="AF17" s="74"/>
      <c r="AG17" s="74"/>
      <c r="AH17" s="74"/>
      <c r="AI17" s="74"/>
      <c r="AK17" s="74"/>
      <c r="AL17" s="74"/>
      <c r="AM17" s="74"/>
      <c r="AN17" s="74"/>
      <c r="AO17" s="74"/>
      <c r="AP17" s="74"/>
      <c r="AQ17" s="74"/>
      <c r="AR17" s="74">
        <f>AR16-AR14</f>
        <v>0.99558166943982274</v>
      </c>
      <c r="AS17" s="74">
        <f>AS16-AS14</f>
        <v>0.97575445838133024</v>
      </c>
      <c r="AT17" s="74"/>
      <c r="AU17" s="74">
        <f>AU16-AU14</f>
        <v>0.8569504618371091</v>
      </c>
      <c r="AV17" s="74">
        <f>AV16-AV14</f>
        <v>0.86583911962967708</v>
      </c>
      <c r="AW17" s="74"/>
      <c r="AX17" s="74">
        <f>AX16-AX14</f>
        <v>0.3978064337215752</v>
      </c>
      <c r="AY17" s="74"/>
      <c r="AZ17" s="74"/>
      <c r="BA17" s="74"/>
      <c r="BB17" s="74"/>
      <c r="BC17" s="74">
        <f>BC16-BC14</f>
        <v>0.60293463884978027</v>
      </c>
      <c r="BD17" s="74"/>
      <c r="BE17" s="74"/>
      <c r="BF17" s="74"/>
      <c r="BG17" s="74"/>
      <c r="BH17" s="74"/>
      <c r="BI17" s="74"/>
      <c r="BJ17" s="74"/>
      <c r="BK17" s="74"/>
      <c r="BL17" s="74"/>
      <c r="BM17" s="74"/>
      <c r="BN17" s="74"/>
      <c r="BO17" s="74"/>
      <c r="BP17" s="74"/>
      <c r="BQ17" s="74"/>
      <c r="BR17" s="74"/>
      <c r="BS17" s="74"/>
      <c r="BT17" s="74"/>
      <c r="BU17" s="74"/>
      <c r="BV17" s="74"/>
      <c r="BW17" s="74"/>
      <c r="BX17" s="74"/>
      <c r="BY17" s="74"/>
      <c r="BZ17" s="74"/>
      <c r="CA17" s="74">
        <f>CA16-CA14</f>
        <v>0.3078126733222406</v>
      </c>
      <c r="CB17" s="74"/>
      <c r="CC17" s="74"/>
      <c r="CD17" s="74"/>
      <c r="CE17" s="74">
        <f>CE16-CE14</f>
        <v>0.6211456600110925</v>
      </c>
      <c r="CF17" s="74"/>
      <c r="CG17" s="74"/>
      <c r="CH17" s="74"/>
      <c r="CI17" s="74">
        <f>CI16-CI14</f>
        <v>0.79558686910704379</v>
      </c>
      <c r="CJ17" s="74"/>
      <c r="CK17" s="74"/>
      <c r="CL17" s="74"/>
      <c r="CM17" s="74"/>
      <c r="CN17" s="74"/>
      <c r="CO17" s="74"/>
      <c r="CP17" s="74"/>
      <c r="CQ17" s="74"/>
      <c r="CR17" s="74">
        <f>CR16-CR14</f>
        <v>0.72558478924015546</v>
      </c>
      <c r="CS17" s="74"/>
      <c r="CT17" s="74"/>
      <c r="CU17" s="74"/>
      <c r="CV17" s="74"/>
      <c r="CW17" s="74">
        <f>CW16-CW14</f>
        <v>0.64126506417874962</v>
      </c>
      <c r="CX17" s="74"/>
      <c r="CY17" s="74"/>
      <c r="CZ17" s="74"/>
      <c r="DA17" s="74"/>
      <c r="DB17" s="74"/>
      <c r="DC17" s="74"/>
      <c r="DD17" s="74"/>
      <c r="DE17" s="74"/>
      <c r="DF17" s="74"/>
      <c r="DG17" s="74"/>
      <c r="DH17" s="74">
        <f>DH16-DH14</f>
        <v>0.5739917102448302</v>
      </c>
      <c r="DI17" s="74"/>
      <c r="DJ17" s="74"/>
      <c r="DK17" s="74"/>
      <c r="DL17" s="74"/>
      <c r="DM17" s="74"/>
      <c r="DN17" s="74"/>
      <c r="DO17" s="74"/>
      <c r="DP17" s="74"/>
      <c r="DQ17" s="74"/>
      <c r="DR17" s="74"/>
      <c r="DS17" s="74"/>
      <c r="DT17" s="74"/>
      <c r="DU17" s="74"/>
      <c r="DV17" s="74"/>
      <c r="DW17" s="74"/>
      <c r="DX17" s="74"/>
      <c r="DY17" s="74"/>
      <c r="DZ17" s="74"/>
      <c r="EA17" s="74"/>
      <c r="EB17" s="74"/>
      <c r="EC17" s="74"/>
      <c r="ED17" s="74"/>
      <c r="EE17" s="74"/>
      <c r="EF17" s="74"/>
      <c r="EG17" s="74"/>
      <c r="EH17" s="74"/>
      <c r="EI17" s="74"/>
      <c r="EJ17" s="74"/>
      <c r="EK17" s="74"/>
      <c r="EL17" s="74"/>
      <c r="EM17" s="74"/>
    </row>
    <row r="19" spans="8:143" ht="13" thickBot="1"/>
    <row r="20" spans="8:143" s="73" customFormat="1" ht="13" thickBot="1">
      <c r="H20" s="257" t="s">
        <v>800</v>
      </c>
      <c r="I20" s="258">
        <f>0.38+I14</f>
        <v>1.1426468386023294</v>
      </c>
      <c r="J20" s="258">
        <f t="shared" ref="J20:BU20" si="7">0.38+J14</f>
        <v>1.1505355223932334</v>
      </c>
      <c r="K20" s="258">
        <f t="shared" si="7"/>
        <v>1.1049811512063228</v>
      </c>
      <c r="L20" s="258">
        <f t="shared" si="7"/>
        <v>0.98442872989462016</v>
      </c>
      <c r="M20" s="258">
        <f t="shared" si="7"/>
        <v>1.0194278199528564</v>
      </c>
      <c r="N20" s="258">
        <f t="shared" si="7"/>
        <v>1.0577601566833055</v>
      </c>
      <c r="O20" s="258">
        <f t="shared" si="7"/>
        <v>1.1097588047698279</v>
      </c>
      <c r="P20" s="258">
        <f t="shared" si="7"/>
        <v>1.1138698089988908</v>
      </c>
      <c r="Q20" s="258">
        <f t="shared" si="7"/>
        <v>1.1294249601358848</v>
      </c>
      <c r="R20" s="258">
        <f t="shared" si="7"/>
        <v>1.1510910635052691</v>
      </c>
      <c r="S20" s="258">
        <f t="shared" si="7"/>
        <v>1.338863959373267</v>
      </c>
      <c r="T20" s="258">
        <f t="shared" si="7"/>
        <v>1.5055262929839159</v>
      </c>
      <c r="U20" s="258">
        <f t="shared" si="7"/>
        <v>1.5777466375485303</v>
      </c>
      <c r="V20" s="258">
        <f t="shared" si="7"/>
        <v>1.7506310316139766</v>
      </c>
      <c r="W20" s="258">
        <f t="shared" si="7"/>
        <v>2.0564008596783139</v>
      </c>
      <c r="X20" s="258">
        <f t="shared" si="7"/>
        <v>1.8670724486966166</v>
      </c>
      <c r="Y20" s="258">
        <f t="shared" si="7"/>
        <v>2.0632895694675542</v>
      </c>
      <c r="Z20" s="258">
        <f t="shared" si="7"/>
        <v>2.0788447206045477</v>
      </c>
      <c r="AA20" s="258">
        <f t="shared" si="7"/>
        <v>2.1568426927343318</v>
      </c>
      <c r="AB20" s="258">
        <f t="shared" si="7"/>
        <v>2.2412849417637268</v>
      </c>
      <c r="AC20" s="258">
        <f t="shared" si="7"/>
        <v>2.1435097060454797</v>
      </c>
      <c r="AD20" s="258">
        <f t="shared" si="7"/>
        <v>1.9388483603716029</v>
      </c>
      <c r="AE20" s="258">
        <f t="shared" si="7"/>
        <v>1.919959962562396</v>
      </c>
      <c r="AF20" s="258">
        <f t="shared" si="7"/>
        <v>1.7577419578480309</v>
      </c>
      <c r="AG20" s="258">
        <f t="shared" si="7"/>
        <v>1.7021878466444815</v>
      </c>
      <c r="AH20" s="258">
        <f t="shared" si="7"/>
        <v>1.8721834269273434</v>
      </c>
      <c r="AI20" s="258">
        <f t="shared" si="7"/>
        <v>1.9408483083749308</v>
      </c>
      <c r="AJ20" s="258">
        <f t="shared" si="7"/>
        <v>1.93551511369939</v>
      </c>
      <c r="AK20" s="258">
        <f t="shared" si="7"/>
        <v>1.9077380580976149</v>
      </c>
      <c r="AL20" s="258">
        <f t="shared" si="7"/>
        <v>1.7044100110926235</v>
      </c>
      <c r="AM20" s="258">
        <f t="shared" si="7"/>
        <v>1.3977513172490292</v>
      </c>
      <c r="AN20" s="258">
        <f t="shared" si="7"/>
        <v>1.3621966860787575</v>
      </c>
      <c r="AO20" s="258">
        <f t="shared" si="7"/>
        <v>1.4017512132556851</v>
      </c>
      <c r="AP20" s="258">
        <f t="shared" si="7"/>
        <v>1.4110843039378813</v>
      </c>
      <c r="AQ20" s="258">
        <f t="shared" si="7"/>
        <v>1.4021956461453131</v>
      </c>
      <c r="AR20" s="258">
        <f t="shared" si="7"/>
        <v>1.3844183305601772</v>
      </c>
      <c r="AS20" s="258">
        <f t="shared" si="7"/>
        <v>1.455527592900721</v>
      </c>
      <c r="AT20" s="258">
        <f t="shared" si="7"/>
        <v>1.4810824840543537</v>
      </c>
      <c r="AU20" s="258">
        <f t="shared" si="7"/>
        <v>1.4333059484193011</v>
      </c>
      <c r="AV20" s="258">
        <f t="shared" si="7"/>
        <v>1.4244172906267334</v>
      </c>
      <c r="AW20" s="258">
        <f t="shared" si="7"/>
        <v>1.4466389351081532</v>
      </c>
      <c r="AX20" s="258">
        <f t="shared" si="7"/>
        <v>1.4821935662784247</v>
      </c>
      <c r="AY20" s="258">
        <f t="shared" si="7"/>
        <v>1.3666410149750416</v>
      </c>
      <c r="AZ20" s="258">
        <f t="shared" si="7"/>
        <v>1.3666410149750416</v>
      </c>
      <c r="BA20" s="258">
        <f t="shared" si="7"/>
        <v>1.3755296727676096</v>
      </c>
      <c r="BB20" s="258">
        <f t="shared" si="7"/>
        <v>1.4021956461453131</v>
      </c>
      <c r="BC20" s="258">
        <f t="shared" si="7"/>
        <v>1.4821935662784247</v>
      </c>
      <c r="BD20" s="258">
        <f t="shared" si="7"/>
        <v>1.5399698419301164</v>
      </c>
      <c r="BE20" s="258">
        <f t="shared" si="7"/>
        <v>1.5755244731003883</v>
      </c>
      <c r="BF20" s="258">
        <f t="shared" si="7"/>
        <v>1.5799688019966722</v>
      </c>
      <c r="BG20" s="258">
        <f t="shared" si="7"/>
        <v>1.6555223932334999</v>
      </c>
      <c r="BH20" s="258">
        <f t="shared" si="7"/>
        <v>1.6555223932334999</v>
      </c>
      <c r="BI20" s="258">
        <f t="shared" si="7"/>
        <v>1.5710801442041045</v>
      </c>
      <c r="BJ20" s="258">
        <f t="shared" si="7"/>
        <v>1.6279675540765388</v>
      </c>
      <c r="BK20" s="258">
        <f t="shared" si="7"/>
        <v>1.6110791042706598</v>
      </c>
      <c r="BL20" s="258">
        <f t="shared" si="7"/>
        <v>1.5710801442041045</v>
      </c>
      <c r="BM20" s="258">
        <f t="shared" si="7"/>
        <v>1.5621914864115363</v>
      </c>
      <c r="BN20" s="258">
        <f t="shared" si="7"/>
        <v>1.5266368552412648</v>
      </c>
      <c r="BO20" s="258">
        <f t="shared" si="7"/>
        <v>1.5266368552412648</v>
      </c>
      <c r="BP20" s="258">
        <f t="shared" si="7"/>
        <v>1.5266368552412648</v>
      </c>
      <c r="BQ20" s="258">
        <f t="shared" si="7"/>
        <v>1.5266368552412648</v>
      </c>
      <c r="BR20" s="258">
        <f t="shared" si="7"/>
        <v>1.5088595396561288</v>
      </c>
      <c r="BS20" s="258">
        <f t="shared" si="7"/>
        <v>1.5088595396561288</v>
      </c>
      <c r="BT20" s="258">
        <f t="shared" si="7"/>
        <v>1.5221925263449805</v>
      </c>
      <c r="BU20" s="258">
        <f t="shared" si="7"/>
        <v>1.5710801442041045</v>
      </c>
      <c r="BV20" s="258">
        <f t="shared" ref="BV20:BZ20" si="8">0.38+BV14</f>
        <v>1.5710801442041045</v>
      </c>
      <c r="BW20" s="258">
        <f t="shared" si="8"/>
        <v>1.6821883666112036</v>
      </c>
      <c r="BX20" s="258">
        <f t="shared" si="8"/>
        <v>1.7266316555740433</v>
      </c>
      <c r="BY20" s="258">
        <f t="shared" si="8"/>
        <v>1.7266316555740433</v>
      </c>
      <c r="BZ20" s="258">
        <f t="shared" si="8"/>
        <v>1.7221873266777594</v>
      </c>
      <c r="CA20" s="258">
        <f>0.31+CA14</f>
        <v>1.6521873266777594</v>
      </c>
      <c r="CB20" s="258">
        <f t="shared" ref="CB20:EH20" si="9">0.31+CB14</f>
        <v>1.6521873266777594</v>
      </c>
      <c r="CC20" s="258">
        <f t="shared" si="9"/>
        <v>1.6255213533000554</v>
      </c>
      <c r="CD20" s="258">
        <f t="shared" si="9"/>
        <v>1.6299656821963395</v>
      </c>
      <c r="CE20" s="258">
        <f t="shared" si="9"/>
        <v>1.6388543399889075</v>
      </c>
      <c r="CF20" s="258">
        <f t="shared" si="9"/>
        <v>1.6210770244037715</v>
      </c>
      <c r="CG20" s="258">
        <f t="shared" si="9"/>
        <v>1.5677450776483639</v>
      </c>
      <c r="CH20" s="258">
        <f t="shared" si="9"/>
        <v>1.5321904464780922</v>
      </c>
      <c r="CI20" s="258">
        <f t="shared" si="9"/>
        <v>1.5144131308929563</v>
      </c>
      <c r="CJ20" s="258">
        <f t="shared" si="9"/>
        <v>1.4877471575152523</v>
      </c>
      <c r="CK20" s="258">
        <f t="shared" si="9"/>
        <v>1.4877471575152523</v>
      </c>
      <c r="CL20" s="258">
        <f t="shared" si="9"/>
        <v>1.4699698419301164</v>
      </c>
      <c r="CM20" s="258">
        <f t="shared" si="9"/>
        <v>1.4433038685524127</v>
      </c>
      <c r="CN20" s="258">
        <f t="shared" si="9"/>
        <v>1.4344152107598447</v>
      </c>
      <c r="CO20" s="258">
        <f t="shared" si="9"/>
        <v>1.4344152107598447</v>
      </c>
      <c r="CP20" s="258">
        <f t="shared" si="9"/>
        <v>1.4344152107598447</v>
      </c>
      <c r="CQ20" s="258">
        <f t="shared" si="9"/>
        <v>1.4344152107598447</v>
      </c>
      <c r="CR20" s="258">
        <f t="shared" si="9"/>
        <v>1.4344152107598447</v>
      </c>
      <c r="CS20" s="258">
        <f t="shared" si="9"/>
        <v>1.4788584997226843</v>
      </c>
      <c r="CT20" s="258">
        <f t="shared" si="9"/>
        <v>1.407749237382141</v>
      </c>
      <c r="CU20" s="258">
        <f t="shared" si="9"/>
        <v>1.3677502773155852</v>
      </c>
      <c r="CV20" s="258">
        <f t="shared" si="9"/>
        <v>1.3721946062118693</v>
      </c>
      <c r="CW20" s="258">
        <f t="shared" si="9"/>
        <v>1.347306364392679</v>
      </c>
      <c r="CX20" s="258">
        <f t="shared" si="9"/>
        <v>1.333973377703827</v>
      </c>
      <c r="CY20" s="258">
        <f t="shared" si="9"/>
        <v>1.3419731697171382</v>
      </c>
      <c r="CZ20" s="258">
        <f t="shared" si="9"/>
        <v>1.3010853438713255</v>
      </c>
      <c r="DA20" s="258">
        <f t="shared" si="9"/>
        <v>1.2966410149750416</v>
      </c>
      <c r="DB20" s="258">
        <f t="shared" si="9"/>
        <v>1.2744193704936218</v>
      </c>
      <c r="DC20" s="258">
        <f t="shared" si="9"/>
        <v>1.1721998058790903</v>
      </c>
      <c r="DD20" s="258">
        <f t="shared" si="9"/>
        <v>1.1899771214642263</v>
      </c>
      <c r="DE20" s="258">
        <f t="shared" si="9"/>
        <v>1.1899771214642263</v>
      </c>
      <c r="DF20" s="258">
        <f t="shared" si="9"/>
        <v>1.1899771214642263</v>
      </c>
      <c r="DG20" s="258">
        <f t="shared" si="9"/>
        <v>1.1988657792567943</v>
      </c>
      <c r="DH20" s="258">
        <f t="shared" si="9"/>
        <v>1.2121987659456461</v>
      </c>
      <c r="DI20" s="258">
        <f t="shared" si="9"/>
        <v>1.2877523571824738</v>
      </c>
      <c r="DJ20" s="258">
        <f t="shared" si="9"/>
        <v>1.2966410149750416</v>
      </c>
      <c r="DK20" s="258">
        <f t="shared" si="9"/>
        <v>1.2966410149750416</v>
      </c>
      <c r="DL20" s="258">
        <f t="shared" si="9"/>
        <v>1.2833080282861897</v>
      </c>
      <c r="DM20" s="258">
        <f t="shared" si="9"/>
        <v>1.2833080282861897</v>
      </c>
      <c r="DN20" s="258">
        <f t="shared" si="9"/>
        <v>1.2966410149750416</v>
      </c>
      <c r="DO20" s="258">
        <f t="shared" si="9"/>
        <v>1.2921966860787575</v>
      </c>
      <c r="DP20" s="258">
        <f t="shared" si="9"/>
        <v>1.2921966860787575</v>
      </c>
      <c r="DQ20" s="258">
        <f t="shared" si="9"/>
        <v>1.2566420549084858</v>
      </c>
      <c r="DR20" s="258">
        <f t="shared" si="9"/>
        <v>1.2388647393233498</v>
      </c>
      <c r="DS20" s="258">
        <f t="shared" si="9"/>
        <v>1.2077544370493623</v>
      </c>
      <c r="DT20" s="258">
        <f t="shared" si="9"/>
        <v>0.31</v>
      </c>
      <c r="DU20" s="258">
        <f t="shared" si="9"/>
        <v>0.31</v>
      </c>
      <c r="DV20" s="258">
        <f t="shared" si="9"/>
        <v>0.31</v>
      </c>
      <c r="DW20" s="258">
        <f t="shared" si="9"/>
        <v>0.31</v>
      </c>
      <c r="DX20" s="258">
        <f t="shared" si="9"/>
        <v>0.31</v>
      </c>
      <c r="DY20" s="258">
        <f t="shared" si="9"/>
        <v>0.31</v>
      </c>
      <c r="DZ20" s="258">
        <f t="shared" si="9"/>
        <v>0.31</v>
      </c>
      <c r="EA20" s="258">
        <f t="shared" si="9"/>
        <v>0.31</v>
      </c>
      <c r="EB20" s="258">
        <f t="shared" si="9"/>
        <v>0.31</v>
      </c>
      <c r="EC20" s="258">
        <f t="shared" si="9"/>
        <v>0.31</v>
      </c>
      <c r="ED20" s="258">
        <f t="shared" si="9"/>
        <v>0.31</v>
      </c>
      <c r="EE20" s="258">
        <f t="shared" si="9"/>
        <v>0.31</v>
      </c>
      <c r="EF20" s="258">
        <f t="shared" si="9"/>
        <v>0.31</v>
      </c>
      <c r="EG20" s="258">
        <f t="shared" si="9"/>
        <v>0.31</v>
      </c>
      <c r="EH20" s="258">
        <f t="shared" si="9"/>
        <v>0.31</v>
      </c>
      <c r="EI20" s="258">
        <f t="shared" ref="EI20:EM20" si="10">+EI14</f>
        <v>0</v>
      </c>
      <c r="EJ20" s="258">
        <f t="shared" si="10"/>
        <v>0</v>
      </c>
      <c r="EK20" s="258">
        <f t="shared" si="10"/>
        <v>0</v>
      </c>
      <c r="EL20" s="258">
        <f t="shared" si="10"/>
        <v>0</v>
      </c>
      <c r="EM20" s="258">
        <f t="shared" si="10"/>
        <v>0</v>
      </c>
    </row>
  </sheetData>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EH20"/>
  <sheetViews>
    <sheetView workbookViewId="0">
      <pane xSplit="11" ySplit="7" topLeftCell="AI8" activePane="bottomRight" state="frozen"/>
      <selection pane="topRight" activeCell="L1" sqref="L1"/>
      <selection pane="bottomLeft" activeCell="A7" sqref="A7"/>
      <selection pane="bottomRight" activeCell="I14" sqref="I14"/>
    </sheetView>
  </sheetViews>
  <sheetFormatPr baseColWidth="10" defaultColWidth="22.6640625" defaultRowHeight="12"/>
  <cols>
    <col min="1" max="1" width="16.1640625" style="60" bestFit="1" customWidth="1"/>
    <col min="2" max="2" width="13.1640625" style="60" bestFit="1" customWidth="1"/>
    <col min="3" max="3" width="4.83203125" style="60" bestFit="1" customWidth="1"/>
    <col min="4" max="4" width="12.33203125" style="60" bestFit="1" customWidth="1"/>
    <col min="5" max="5" width="18.83203125" style="60" bestFit="1" customWidth="1"/>
    <col min="6" max="6" width="6.5" style="60" bestFit="1" customWidth="1"/>
    <col min="7" max="7" width="4.1640625" style="60" bestFit="1" customWidth="1"/>
    <col min="8" max="8" width="22.83203125" style="60" bestFit="1" customWidth="1"/>
    <col min="9" max="9" width="6.5" style="60" customWidth="1"/>
    <col min="10" max="11" width="6.1640625" style="60" bestFit="1" customWidth="1"/>
    <col min="12" max="12" width="5.5" style="60" bestFit="1" customWidth="1"/>
    <col min="13" max="13" width="5.83203125" style="60" bestFit="1" customWidth="1"/>
    <col min="14" max="18" width="5.5" style="60" bestFit="1" customWidth="1"/>
    <col min="19" max="19" width="5.6640625" style="60" bestFit="1" customWidth="1"/>
    <col min="20" max="20" width="6.1640625" style="60" bestFit="1" customWidth="1"/>
    <col min="21" max="21" width="5.5" style="60" bestFit="1" customWidth="1"/>
    <col min="22" max="26" width="6.1640625" style="60" bestFit="1" customWidth="1"/>
    <col min="27" max="30" width="5.5" style="60" bestFit="1" customWidth="1"/>
    <col min="31" max="31" width="5.6640625" style="60" bestFit="1" customWidth="1"/>
    <col min="32" max="34" width="5.5" style="60" bestFit="1" customWidth="1"/>
    <col min="35" max="35" width="5.6640625" style="60" bestFit="1" customWidth="1"/>
    <col min="36" max="36" width="5.5" style="60" bestFit="1" customWidth="1"/>
    <col min="37" max="37" width="5.83203125" style="60" bestFit="1" customWidth="1"/>
    <col min="38" max="42" width="5.5" style="60" bestFit="1" customWidth="1"/>
    <col min="43" max="43" width="5.6640625" style="60" bestFit="1" customWidth="1"/>
    <col min="44" max="46" width="5.5" style="60" bestFit="1" customWidth="1"/>
    <col min="47" max="47" width="5.6640625" style="60" bestFit="1" customWidth="1"/>
    <col min="48" max="48" width="5.5" style="60" bestFit="1" customWidth="1"/>
    <col min="49" max="49" width="5.83203125" style="60" bestFit="1" customWidth="1"/>
    <col min="50" max="51" width="5.5" style="60" bestFit="1" customWidth="1"/>
    <col min="52" max="54" width="7" style="60" bestFit="1" customWidth="1"/>
    <col min="55" max="56" width="5.5" style="60" bestFit="1" customWidth="1"/>
    <col min="57" max="58" width="5.83203125" style="60" bestFit="1" customWidth="1"/>
    <col min="59" max="70" width="5.6640625" style="60" bestFit="1" customWidth="1"/>
    <col min="71" max="80" width="5.5" style="60" bestFit="1" customWidth="1"/>
    <col min="81" max="90" width="6.1640625" style="60" bestFit="1" customWidth="1"/>
    <col min="91" max="95" width="6.33203125" style="60" bestFit="1" customWidth="1"/>
    <col min="96" max="99" width="6.1640625" style="60" bestFit="1" customWidth="1"/>
    <col min="100" max="104" width="5.1640625" style="60" bestFit="1" customWidth="1"/>
    <col min="105" max="16384" width="22.6640625" style="60"/>
  </cols>
  <sheetData>
    <row r="1" spans="1:138" ht="13">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row>
    <row r="2" spans="1:138">
      <c r="A2" s="59"/>
      <c r="B2" s="59"/>
      <c r="C2" s="59"/>
      <c r="D2" s="98"/>
      <c r="E2" s="98"/>
      <c r="F2" s="59"/>
      <c r="H2" s="99"/>
      <c r="I2" s="99"/>
      <c r="J2" s="99"/>
      <c r="K2" s="99"/>
      <c r="L2" s="99"/>
      <c r="M2" s="99"/>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99"/>
      <c r="AP2" s="99"/>
      <c r="AQ2" s="99"/>
      <c r="AR2" s="99"/>
      <c r="AS2" s="99"/>
      <c r="AT2" s="99"/>
      <c r="AU2" s="99"/>
      <c r="AV2" s="99"/>
      <c r="AW2" s="99"/>
      <c r="AX2" s="99"/>
      <c r="AY2" s="99"/>
      <c r="AZ2" s="99"/>
      <c r="BA2" s="99"/>
      <c r="BB2" s="99"/>
      <c r="BC2" s="99"/>
      <c r="BD2" s="99"/>
      <c r="BE2" s="99"/>
      <c r="BF2" s="99"/>
      <c r="BG2" s="99"/>
      <c r="BH2" s="99"/>
      <c r="BI2" s="99"/>
      <c r="BJ2" s="99"/>
      <c r="BK2" s="99"/>
      <c r="BL2" s="99"/>
      <c r="BM2" s="99"/>
      <c r="BN2" s="99"/>
      <c r="BO2" s="99"/>
      <c r="BP2" s="99"/>
      <c r="BQ2" s="99"/>
      <c r="BR2" s="99"/>
      <c r="BS2" s="99"/>
      <c r="BT2" s="99"/>
      <c r="BU2" s="99"/>
      <c r="BV2" s="99"/>
      <c r="BW2" s="99"/>
      <c r="BX2" s="99"/>
      <c r="BY2" s="99"/>
      <c r="BZ2" s="99"/>
      <c r="CA2" s="99"/>
      <c r="CB2" s="99"/>
      <c r="CC2" s="99"/>
      <c r="CD2" s="99"/>
      <c r="CE2" s="99"/>
      <c r="CF2" s="99"/>
      <c r="CG2" s="99"/>
      <c r="CH2" s="99"/>
      <c r="CI2" s="99"/>
      <c r="CJ2" s="99"/>
      <c r="CK2" s="99"/>
      <c r="CL2" s="99"/>
      <c r="CM2" s="99"/>
      <c r="CN2" s="99"/>
    </row>
    <row r="3" spans="1:138" ht="15">
      <c r="A3" t="s">
        <v>818</v>
      </c>
      <c r="B3" s="100"/>
      <c r="C3" s="101"/>
      <c r="D3" s="282">
        <v>58.07</v>
      </c>
      <c r="K3" s="102"/>
      <c r="M3" s="102"/>
    </row>
    <row r="4" spans="1:138">
      <c r="A4" s="36"/>
      <c r="B4" s="64"/>
      <c r="D4" s="100"/>
      <c r="E4" s="64"/>
      <c r="F4" s="103"/>
    </row>
    <row r="5" spans="1:138">
      <c r="A5" s="64"/>
      <c r="B5" s="64"/>
      <c r="D5" s="64"/>
      <c r="E5" s="64"/>
      <c r="H5" s="60" t="s">
        <v>387</v>
      </c>
    </row>
    <row r="6" spans="1:138">
      <c r="A6" s="74"/>
      <c r="B6" s="74"/>
    </row>
    <row r="7" spans="1:138">
      <c r="A7" s="59"/>
      <c r="B7" s="59"/>
      <c r="C7" s="59"/>
      <c r="D7" s="98"/>
      <c r="E7" s="98"/>
      <c r="F7" s="59"/>
      <c r="H7" s="59" t="s">
        <v>416</v>
      </c>
      <c r="I7" s="59">
        <v>43831</v>
      </c>
      <c r="J7" s="59">
        <v>43862</v>
      </c>
      <c r="K7" s="59">
        <v>43891</v>
      </c>
      <c r="L7" s="59">
        <v>43922</v>
      </c>
      <c r="M7" s="59">
        <v>43952</v>
      </c>
      <c r="N7" s="59">
        <v>43983</v>
      </c>
      <c r="O7" s="59">
        <v>44013</v>
      </c>
      <c r="P7" s="59">
        <v>44044</v>
      </c>
      <c r="Q7" s="59">
        <v>44075</v>
      </c>
      <c r="R7" s="59">
        <v>44105</v>
      </c>
      <c r="S7" s="59">
        <v>44136</v>
      </c>
      <c r="T7" s="59">
        <v>44166</v>
      </c>
      <c r="U7" s="59">
        <v>44197</v>
      </c>
      <c r="V7" s="59">
        <v>44228</v>
      </c>
      <c r="W7" s="59">
        <v>44256</v>
      </c>
      <c r="X7" s="59">
        <v>44287</v>
      </c>
      <c r="Y7" s="59">
        <v>44317</v>
      </c>
      <c r="Z7" s="59">
        <v>44348</v>
      </c>
      <c r="AA7" s="59">
        <v>44378</v>
      </c>
      <c r="AB7" s="59">
        <v>44409</v>
      </c>
      <c r="AC7" s="59">
        <v>44440</v>
      </c>
      <c r="AD7" s="59">
        <v>44470</v>
      </c>
      <c r="AE7" s="59">
        <v>44501</v>
      </c>
      <c r="AF7" s="59">
        <v>44531</v>
      </c>
      <c r="AG7" s="59">
        <v>44562</v>
      </c>
      <c r="AH7" s="59">
        <v>44593</v>
      </c>
      <c r="AI7" s="59">
        <v>44621</v>
      </c>
      <c r="AJ7" s="59">
        <v>44652</v>
      </c>
      <c r="AK7" s="59">
        <v>44682</v>
      </c>
      <c r="AL7" s="59">
        <v>44713</v>
      </c>
      <c r="AM7" s="59">
        <v>44743</v>
      </c>
      <c r="AN7" s="59">
        <v>44774</v>
      </c>
      <c r="AO7" s="59">
        <v>44805</v>
      </c>
      <c r="AP7" s="59">
        <v>44835</v>
      </c>
      <c r="AQ7" s="59">
        <v>44866</v>
      </c>
      <c r="AR7" s="59">
        <v>44896</v>
      </c>
      <c r="AS7" s="59">
        <v>44927</v>
      </c>
      <c r="AT7" s="59">
        <v>44958</v>
      </c>
      <c r="AU7" s="59">
        <v>44986</v>
      </c>
      <c r="AV7" s="59">
        <v>45017</v>
      </c>
      <c r="AW7" s="59">
        <v>45047</v>
      </c>
      <c r="AX7" s="59">
        <v>45078</v>
      </c>
      <c r="AY7" s="59">
        <v>45108</v>
      </c>
      <c r="AZ7" s="59" t="s">
        <v>530</v>
      </c>
      <c r="BA7" s="59" t="s">
        <v>531</v>
      </c>
      <c r="BB7" s="59" t="s">
        <v>532</v>
      </c>
      <c r="BC7" s="59">
        <v>37104</v>
      </c>
      <c r="BD7" s="59">
        <v>37469</v>
      </c>
      <c r="BE7" s="59" t="s">
        <v>168</v>
      </c>
      <c r="BF7" s="59" t="s">
        <v>169</v>
      </c>
      <c r="BG7" s="59" t="s">
        <v>195</v>
      </c>
      <c r="BH7" s="59" t="s">
        <v>196</v>
      </c>
      <c r="BI7" s="59" t="s">
        <v>197</v>
      </c>
      <c r="BJ7" s="59" t="s">
        <v>198</v>
      </c>
      <c r="BK7" s="59" t="s">
        <v>199</v>
      </c>
      <c r="BL7" s="59" t="s">
        <v>200</v>
      </c>
      <c r="BM7" s="59" t="s">
        <v>201</v>
      </c>
      <c r="BN7" s="59" t="s">
        <v>202</v>
      </c>
      <c r="BO7" s="59">
        <v>37196</v>
      </c>
      <c r="BP7" s="59">
        <v>37561</v>
      </c>
      <c r="BQ7" s="59">
        <v>37926</v>
      </c>
      <c r="BR7" s="59">
        <v>38292</v>
      </c>
      <c r="BS7" s="59">
        <v>37226</v>
      </c>
      <c r="BT7" s="59">
        <v>37591</v>
      </c>
      <c r="BU7" s="59">
        <v>37956</v>
      </c>
      <c r="BV7" s="59">
        <v>38322</v>
      </c>
      <c r="BW7" s="59">
        <v>36892</v>
      </c>
      <c r="BX7" s="59">
        <v>37257</v>
      </c>
      <c r="BY7" s="59">
        <v>37622</v>
      </c>
      <c r="BZ7" s="59">
        <v>37987</v>
      </c>
      <c r="CA7" s="59">
        <v>36923</v>
      </c>
      <c r="CB7" s="59">
        <v>37288</v>
      </c>
      <c r="CC7" s="59">
        <v>37653</v>
      </c>
      <c r="CD7" s="59">
        <v>38018</v>
      </c>
      <c r="CE7" s="59" t="str">
        <f>Sheet8!A15</f>
        <v>Mar-w1</v>
      </c>
      <c r="CF7" s="59">
        <v>37316</v>
      </c>
      <c r="CG7" s="59">
        <v>37681</v>
      </c>
      <c r="CH7" s="59">
        <v>38047</v>
      </c>
      <c r="CI7" s="59" t="str">
        <f>Sheet8!E15</f>
        <v>Apr-w1</v>
      </c>
      <c r="CJ7" s="59" t="str">
        <f>Sheet8!F15</f>
        <v>Apr-w2</v>
      </c>
      <c r="CK7" s="59" t="str">
        <f>Sheet8!G15</f>
        <v>Apr-w3</v>
      </c>
      <c r="CL7" s="59" t="str">
        <f>Sheet8!H15</f>
        <v>Apr-w4</v>
      </c>
      <c r="CM7" s="59" t="str">
        <f>Sheet8!I15</f>
        <v>May-w1</v>
      </c>
      <c r="CN7" s="59" t="str">
        <f>Sheet8!J15</f>
        <v>May-w2</v>
      </c>
      <c r="CO7" s="59" t="str">
        <f>Sheet8!K15</f>
        <v>May-w3</v>
      </c>
      <c r="CP7" s="59" t="str">
        <f>Sheet8!L15</f>
        <v>May-w4</v>
      </c>
      <c r="CQ7" s="59" t="str">
        <f>Sheet8!M15</f>
        <v>May-w5</v>
      </c>
      <c r="CR7" s="59" t="str">
        <f>Sheet8!N15</f>
        <v>june-w1</v>
      </c>
      <c r="CS7" s="59" t="str">
        <f>Sheet8!O15</f>
        <v>june-w2</v>
      </c>
      <c r="CT7" s="59" t="str">
        <f>Sheet8!P15</f>
        <v>june-w3</v>
      </c>
      <c r="CU7" s="59" t="str">
        <f>Sheet8!Q15</f>
        <v>june-w4</v>
      </c>
      <c r="CV7" s="59" t="str">
        <f>Sheet8!R15</f>
        <v>Jul-w1</v>
      </c>
      <c r="CW7" s="59" t="str">
        <f>Sheet8!S15</f>
        <v>Jul-w2</v>
      </c>
      <c r="CX7" s="59" t="str">
        <f>Sheet8!T15</f>
        <v>Jul-w3</v>
      </c>
      <c r="CY7" s="59" t="str">
        <f>Sheet8!U15</f>
        <v>Jul-w4</v>
      </c>
      <c r="CZ7" s="59" t="str">
        <f>Sheet8!V15</f>
        <v>Aug-w1</v>
      </c>
      <c r="DA7" s="59" t="str">
        <f>Sheet8!W15</f>
        <v>Aug-w2</v>
      </c>
      <c r="DB7" s="59" t="str">
        <f>Sheet8!X15</f>
        <v>Aug-w3</v>
      </c>
      <c r="DC7" s="59" t="str">
        <f>Sheet8!Y15</f>
        <v>Aug-w4</v>
      </c>
      <c r="DD7" s="59" t="str">
        <f>Sheet8!Z15</f>
        <v>Sep-w1</v>
      </c>
      <c r="DE7" s="59" t="str">
        <f>Sheet8!AA15</f>
        <v>Sep-w2</v>
      </c>
      <c r="DF7" s="59" t="str">
        <f>Sheet8!AB15</f>
        <v>Sep-w3</v>
      </c>
      <c r="DG7" s="59" t="str">
        <f>Sheet8!AC15</f>
        <v>Sep-w4</v>
      </c>
      <c r="DH7" s="59" t="str">
        <f>Sheet8!AD15</f>
        <v>Oct-w1</v>
      </c>
      <c r="DI7" s="59" t="str">
        <f>Sheet8!AE15</f>
        <v>Oct-w2</v>
      </c>
      <c r="DJ7" s="59" t="str">
        <f>Sheet8!AF15</f>
        <v>Oct-w3</v>
      </c>
      <c r="DK7" s="59" t="str">
        <f>Sheet8!AG15</f>
        <v>Oct-w4</v>
      </c>
      <c r="DL7" s="59" t="str">
        <f>Sheet8!AH15</f>
        <v>Nov-w1</v>
      </c>
      <c r="DM7" s="59" t="str">
        <f>Sheet8!AI15</f>
        <v>Nov-w2</v>
      </c>
      <c r="DN7" s="59" t="str">
        <f>Sheet8!AJ15</f>
        <v>Nov-w3</v>
      </c>
      <c r="DO7" s="59" t="str">
        <f>Sheet8!AK15</f>
        <v>Nov-w4</v>
      </c>
      <c r="DP7" s="59" t="str">
        <f>Sheet8!AL15</f>
        <v>Dec-w1</v>
      </c>
      <c r="DQ7" s="59" t="str">
        <f>Sheet8!AM15</f>
        <v>Dec-w2</v>
      </c>
      <c r="DR7" s="59" t="str">
        <f>Sheet8!AN15</f>
        <v>Dec-w3</v>
      </c>
      <c r="DS7" s="59" t="str">
        <f>Sheet8!AO15</f>
        <v>Dec-w4</v>
      </c>
      <c r="DT7" s="59">
        <f>Sheet8!AP15</f>
        <v>0</v>
      </c>
      <c r="DU7" s="59">
        <f>Sheet8!AQ15</f>
        <v>0</v>
      </c>
      <c r="DV7" s="59">
        <f>Sheet8!AR15</f>
        <v>0</v>
      </c>
      <c r="DW7" s="59">
        <f>Sheet8!AS15</f>
        <v>0</v>
      </c>
      <c r="DX7" s="59">
        <f>Sheet8!AT15</f>
        <v>0</v>
      </c>
      <c r="DY7" s="59">
        <f>Sheet8!AU15</f>
        <v>0</v>
      </c>
      <c r="DZ7" s="59">
        <f>Sheet8!AV15</f>
        <v>0</v>
      </c>
      <c r="EA7" s="59">
        <f>Sheet8!AW15</f>
        <v>0</v>
      </c>
      <c r="EB7" s="59">
        <f>Sheet8!AX15</f>
        <v>0</v>
      </c>
      <c r="EC7" s="59">
        <f>Sheet8!AY15</f>
        <v>0</v>
      </c>
      <c r="ED7" s="59">
        <f>Sheet8!AZ15</f>
        <v>0</v>
      </c>
      <c r="EE7" s="59">
        <f>Sheet8!BA15</f>
        <v>0</v>
      </c>
      <c r="EF7" s="59">
        <f>Sheet8!BB15</f>
        <v>0</v>
      </c>
    </row>
    <row r="8" spans="1:138" ht="13">
      <c r="H8" s="107" t="s">
        <v>114</v>
      </c>
      <c r="I8" s="74">
        <f>VLOOKUP($H$8&amp;$F$1,'Input RM sheet'!$A:$BD,H1,0)</f>
        <v>950</v>
      </c>
      <c r="J8" s="74">
        <f>VLOOKUP($H$8&amp;$F$1,'Input RM sheet'!$A:$BD,I1,0)</f>
        <v>810</v>
      </c>
      <c r="K8" s="74">
        <f>VLOOKUP($H$8&amp;$F$1,'Input RM sheet'!$A:$DD,J1,0)</f>
        <v>780</v>
      </c>
      <c r="L8" s="74">
        <f>VLOOKUP($H$8&amp;$F$1,'Input RM sheet'!$A:$DD,K1,0)</f>
        <v>560</v>
      </c>
      <c r="M8" s="74">
        <f>VLOOKUP($H$8&amp;$F$1,'Input RM sheet'!$A:$DD,L1,0)</f>
        <v>680</v>
      </c>
      <c r="N8" s="74">
        <f>VLOOKUP($H$8&amp;$F$1,'Input RM sheet'!$A:$DD,M1,0)</f>
        <v>720</v>
      </c>
      <c r="O8" s="74">
        <f>VLOOKUP($H$8&amp;$F$1,'Input RM sheet'!$A:$DD,N1,0)</f>
        <v>780</v>
      </c>
      <c r="P8" s="74">
        <f>VLOOKUP($H$8&amp;$F$1,'Input RM sheet'!$A:$DD,O1,0)</f>
        <v>780</v>
      </c>
      <c r="Q8" s="74">
        <f>VLOOKUP($H$8&amp;$F$1,'Input RM sheet'!$A:$DD,P1,0)</f>
        <v>850</v>
      </c>
      <c r="R8" s="74">
        <f>VLOOKUP($H$8&amp;$F$1,'Input RM sheet'!$A:$DD,Q1,0)</f>
        <v>860</v>
      </c>
      <c r="S8" s="74">
        <f>VLOOKUP($H$8&amp;$F$1,'Input RM sheet'!$A:$DD,R1,0)</f>
        <v>850</v>
      </c>
      <c r="T8" s="74">
        <f>VLOOKUP($H$8&amp;$F$1,'Input RM sheet'!$A:$DD,S1,0)</f>
        <v>940</v>
      </c>
      <c r="U8" s="74">
        <f>VLOOKUP($H$8&amp;$F$1,'Input RM sheet'!$A:$DD,T1,0)</f>
        <v>920</v>
      </c>
      <c r="V8" s="74">
        <f>VLOOKUP($H$8&amp;$F$1,'Input RM sheet'!$A:$DD,U1,0)</f>
        <v>930</v>
      </c>
      <c r="W8" s="74">
        <f>VLOOKUP($H$8&amp;$F$1,'Input RM sheet'!$A:$DD,V1,0)</f>
        <v>1150</v>
      </c>
      <c r="X8" s="74">
        <f>VLOOKUP($H$8&amp;$F$1,'Input RM sheet'!$A:$DD,W1,0)</f>
        <v>1060</v>
      </c>
      <c r="Y8" s="74">
        <f>VLOOKUP($H$8&amp;$F$1,'Input RM sheet'!$A:$DD,X1,0)</f>
        <v>1090</v>
      </c>
      <c r="Z8" s="74">
        <f>VLOOKUP($H$8&amp;$F$1,'Input RM sheet'!$A:$DD,Y1,0)</f>
        <v>920</v>
      </c>
      <c r="AA8" s="74">
        <f>VLOOKUP($H$8&amp;$F$1,'Input RM sheet'!$A:$DD,Z1,0)</f>
        <v>940</v>
      </c>
      <c r="AB8" s="74">
        <f>VLOOKUP($H$8&amp;$F$1,'Input RM sheet'!$A:$DD,AA1,0)</f>
        <v>940</v>
      </c>
      <c r="AC8" s="74">
        <f>VLOOKUP($H$8&amp;$F$1,'Input RM sheet'!$A:$DD,AB1,0)</f>
        <v>940</v>
      </c>
      <c r="AD8" s="74">
        <f>VLOOKUP($H$8&amp;$F$1,'Input RM sheet'!$A:$DD,AC1,0)</f>
        <v>1020</v>
      </c>
      <c r="AE8" s="74">
        <f>VLOOKUP($H$8&amp;$F$1,'Input RM sheet'!$A:$DD,AD1,0)</f>
        <v>960</v>
      </c>
      <c r="AF8" s="74">
        <f>VLOOKUP($H$8&amp;$F$1,'Input RM sheet'!$A:$DD,AE1,0)</f>
        <v>900</v>
      </c>
      <c r="AG8" s="74">
        <f>VLOOKUP($H$8&amp;$F$1,'Input RM sheet'!$A:$DD,AF1,0)</f>
        <v>950</v>
      </c>
      <c r="AH8" s="74">
        <f>VLOOKUP($H$8&amp;$F$1,'Input RM sheet'!$A:$DD,AG1,0)</f>
        <v>1200</v>
      </c>
      <c r="AI8" s="74">
        <f>VLOOKUP($H$8&amp;$F$1,'Input RM sheet'!$A:$DD,AH1,0)</f>
        <v>1320</v>
      </c>
      <c r="AJ8" s="74">
        <f>VLOOKUP($H$8&amp;$F$1,'Input RM sheet'!$A:$DD,AI1,0)</f>
        <v>1290</v>
      </c>
      <c r="AK8" s="74">
        <f>VLOOKUP($H$8&amp;$F$1,'Input RM sheet'!$A:$DD,AJ1,0)</f>
        <v>1200</v>
      </c>
      <c r="AL8" s="74">
        <f>VLOOKUP($H$8&amp;$F$1,'Input RM sheet'!$A:$DD,AK1,0)</f>
        <v>1040</v>
      </c>
      <c r="AM8" s="74">
        <f>VLOOKUP($H$8&amp;$F$1,'Input RM sheet'!$A:$DD,AL1,0)</f>
        <v>950</v>
      </c>
      <c r="AN8" s="74">
        <f>VLOOKUP($H$8&amp;$F$1,'Input RM sheet'!$A:$DD,AM1,0)</f>
        <v>890</v>
      </c>
      <c r="AO8" s="74">
        <f>VLOOKUP($H$8&amp;$F$1,'Input RM sheet'!$A:$DD,AN1,0)</f>
        <v>890</v>
      </c>
      <c r="AP8" s="74">
        <f>VLOOKUP($H$8&amp;$F$1,'Input RM sheet'!$A:$DD,AO1,0)</f>
        <v>890</v>
      </c>
      <c r="AQ8" s="74">
        <f>VLOOKUP($H$8&amp;$F$1,'Input RM sheet'!$A:$DD,AP1,0)</f>
        <v>850</v>
      </c>
      <c r="AR8" s="74">
        <f>VLOOKUP($H$8&amp;$F$1,'Input RM sheet'!$A:$DD,AQ1,0)</f>
        <v>880</v>
      </c>
      <c r="AS8" s="74">
        <f>VLOOKUP($H$8&amp;$F$1,'Input RM sheet'!$A:$DD,AR1,0)</f>
        <v>880</v>
      </c>
      <c r="AT8" s="74">
        <f>VLOOKUP($H$8&amp;$F$1,'Input RM sheet'!$A:$DD,AS1,0)</f>
        <v>980</v>
      </c>
      <c r="AU8" s="74">
        <f>VLOOKUP($H$8&amp;$F$1,'Input RM sheet'!$A:$DD,AT1,0)</f>
        <v>920</v>
      </c>
      <c r="AV8" s="74">
        <f>VLOOKUP($H$8&amp;$F$1,'Input RM sheet'!$A:$DD,AU1,0)</f>
        <v>940</v>
      </c>
      <c r="AW8" s="74">
        <f>VLOOKUP($H$8&amp;$F$1,'Input RM sheet'!$A:$DD,AV1,0)</f>
        <v>890</v>
      </c>
      <c r="AX8" s="74">
        <f>VLOOKUP($H$8&amp;$F$1,'Input RM sheet'!$A:$DD,AW1,0)</f>
        <v>750</v>
      </c>
      <c r="AY8" s="74">
        <f>VLOOKUP($H$8&amp;$F$1,'Input RM sheet'!$A:$DD,AX1,0)</f>
        <v>730</v>
      </c>
      <c r="AZ8" s="74">
        <f>VLOOKUP($H$8&amp;$F$1,'Input RM sheet'!$A:$DD,AY1,0)</f>
        <v>730</v>
      </c>
      <c r="BA8" s="74">
        <f>VLOOKUP($H$8&amp;$F$1,'Input RM sheet'!$A:$DD,AZ1,0)</f>
        <v>754</v>
      </c>
      <c r="BB8" s="74">
        <f>VLOOKUP($H$8&amp;$F$1,'Input RM sheet'!$A:$DD,BA1,0)</f>
        <v>778</v>
      </c>
      <c r="BC8" s="74">
        <f>VLOOKUP($H$8&amp;$F$1,'Input RM sheet'!$A:$DD,BB1,0)</f>
        <v>785</v>
      </c>
      <c r="BD8" s="74">
        <f>VLOOKUP($H$8&amp;$F$1,'Input RM sheet'!$A:$DD,BC1,0)</f>
        <v>825</v>
      </c>
      <c r="BE8" s="74">
        <f>VLOOKUP($H$8&amp;$F$1,'Input RM sheet'!$A:$DD,BD1,0)</f>
        <v>854</v>
      </c>
      <c r="BF8" s="74">
        <f>VLOOKUP($H$8&amp;$F$1,'Input RM sheet'!$A:$DD,BE1,0)</f>
        <v>854</v>
      </c>
      <c r="BG8" s="74">
        <f>VLOOKUP($H$8&amp;$F$1,'Input RM sheet'!$A:$DD,BF1,0)</f>
        <v>842</v>
      </c>
      <c r="BH8" s="74">
        <f>VLOOKUP($H$8&amp;$F$1,'Input RM sheet'!$A:$DD,BG1,0)</f>
        <v>830</v>
      </c>
      <c r="BI8" s="74">
        <f>VLOOKUP($H$8&amp;$F$1,'Input RM sheet'!$A:$DD,BH1,0)</f>
        <v>814</v>
      </c>
      <c r="BJ8" s="74">
        <f>VLOOKUP($H$8&amp;$F$1,'Input RM sheet'!$A:$DD,BI1,0)</f>
        <v>805</v>
      </c>
      <c r="BK8" s="74">
        <f>VLOOKUP($H$8&amp;$F$1,'Input RM sheet'!$A:$DD,BJ1,0)</f>
        <v>805</v>
      </c>
      <c r="BL8" s="74">
        <f>VLOOKUP($H$8&amp;$F$1,'Input RM sheet'!$A:$DD,BK1,0)</f>
        <v>799</v>
      </c>
      <c r="BM8" s="74">
        <f>VLOOKUP($H$8&amp;$F$1,'Input RM sheet'!$A:$DD,BL1,0)</f>
        <v>799</v>
      </c>
      <c r="BN8" s="74">
        <f>VLOOKUP($H$8&amp;$F$1,'Input RM sheet'!$A:$DD,BM1,0)</f>
        <v>794</v>
      </c>
      <c r="BO8" s="74">
        <f>VLOOKUP($H$8&amp;$F$1,'Input RM sheet'!$A:$DD,BN1,0)</f>
        <v>794</v>
      </c>
      <c r="BP8" s="74">
        <f>VLOOKUP($H$8&amp;$F$1,'Input RM sheet'!$A:$DD,BO1,0)</f>
        <v>799</v>
      </c>
      <c r="BQ8" s="74">
        <f>VLOOKUP($H$8&amp;$F$1,'Input RM sheet'!$A:$DD,BP1,0)</f>
        <v>799</v>
      </c>
      <c r="BR8" s="74">
        <f>VLOOKUP($H$8&amp;$F$1,'Input RM sheet'!$A:$DD,BQ1,0)</f>
        <v>804</v>
      </c>
      <c r="BS8" s="74">
        <f>VLOOKUP($H$8&amp;$F$1,'Input RM sheet'!$A:$DD,BR1,0)</f>
        <v>799</v>
      </c>
      <c r="BT8" s="74">
        <f>VLOOKUP($H$8&amp;$F$1,'Input RM sheet'!$A:$DD,BS1,0)</f>
        <v>799</v>
      </c>
      <c r="BU8" s="74">
        <f>VLOOKUP($H$8&amp;$F$1,'Input RM sheet'!$A:$DD,BT1,0)</f>
        <v>798</v>
      </c>
      <c r="BV8" s="74">
        <f>VLOOKUP($H$8&amp;$F$1,'Input RM sheet'!$A:$DD,BU1,0)</f>
        <v>804</v>
      </c>
      <c r="BW8" s="74">
        <f>VLOOKUP($H$8&amp;$F$1,'Input RM sheet'!$A:$DD,BV1,0)</f>
        <v>838</v>
      </c>
      <c r="BX8" s="74">
        <f>VLOOKUP($H$8&amp;$F$1,'Input RM sheet'!$A:$DD,BW1,0)</f>
        <v>920</v>
      </c>
      <c r="BY8" s="74">
        <f>VLOOKUP($H$8&amp;$F$1,'Input RM sheet'!$A:$DD,BX1,0)</f>
        <v>940</v>
      </c>
      <c r="BZ8" s="74">
        <f>VLOOKUP($H$8&amp;$F$1,'Input RM sheet'!$A:$DD,BY1,0)</f>
        <v>998</v>
      </c>
      <c r="CA8" s="74">
        <f>VLOOKUP($H$8&amp;$F$1,'Input RM sheet'!$A:$DD,BZ1,0)</f>
        <v>960</v>
      </c>
      <c r="CB8" s="74">
        <f>VLOOKUP($H$8&amp;$F$1,'Input RM sheet'!$A:$DD,CA1,0)</f>
        <v>914</v>
      </c>
      <c r="CC8" s="74">
        <f>VLOOKUP($H$8&amp;$F$1,'Input RM sheet'!$A:$DD,CB1,0)</f>
        <v>870</v>
      </c>
      <c r="CD8" s="74">
        <f>VLOOKUP($H$8&amp;$F$1,'Input RM sheet'!$A:$DD,CC1,0)</f>
        <v>860</v>
      </c>
      <c r="CE8" s="74">
        <f>VLOOKUP($H$8&amp;$F$1,'Input RM sheet'!$A:$DD,CD1,0)</f>
        <v>860</v>
      </c>
      <c r="CF8" s="74">
        <f>VLOOKUP($H$8&amp;$F$1,'Input RM sheet'!$A:$DD,CE1,0)</f>
        <v>867</v>
      </c>
      <c r="CG8" s="74">
        <f>VLOOKUP($H$8&amp;$F$1,'Input RM sheet'!$A:$DD,CF1,0)</f>
        <v>845</v>
      </c>
      <c r="CH8" s="74">
        <f>VLOOKUP($H$8&amp;$F$1,'Input RM sheet'!$A:$DD,CG1,0)</f>
        <v>844</v>
      </c>
      <c r="CI8" s="74">
        <f>VLOOKUP($H$8&amp;$F$1,'Input RM sheet'!$A:$DD,CH1,0)</f>
        <v>844</v>
      </c>
      <c r="CJ8" s="74">
        <f>VLOOKUP($H$8&amp;$F$1,'Input RM sheet'!$A:$DD,CI1,0)</f>
        <v>844</v>
      </c>
      <c r="CK8" s="74">
        <f>VLOOKUP($H$8&amp;$F$1,'Input RM sheet'!$A:$DD,CJ1,0)</f>
        <v>844</v>
      </c>
      <c r="CL8" s="74">
        <f>VLOOKUP($H$8&amp;$F$1,'Input RM sheet'!$A:$DD,CK1,0)</f>
        <v>827</v>
      </c>
      <c r="CM8" s="74">
        <f>VLOOKUP($H$8&amp;$F$1,'Input RM sheet'!$A:$DD,CL1,0)</f>
        <v>818</v>
      </c>
      <c r="CN8" s="74">
        <f>VLOOKUP($H$8&amp;$F$1,'Input RM sheet'!$A:$DD,CM1,0)</f>
        <v>814</v>
      </c>
      <c r="CO8" s="74">
        <f>VLOOKUP($H$8&amp;$F$1,'Input RM sheet'!$A:$DD,CN1,0)</f>
        <v>810</v>
      </c>
      <c r="CP8" s="74">
        <f>VLOOKUP($H$8&amp;$F$1,'Input RM sheet'!$A:$DD,CO1,0)</f>
        <v>827</v>
      </c>
      <c r="CQ8" s="74">
        <f>VLOOKUP($H$8&amp;$F$1,'Input RM sheet'!$A:$DD,CP1,0)</f>
        <v>827</v>
      </c>
      <c r="CR8" s="74">
        <f>VLOOKUP($H$8&amp;$F$1,'Input RM sheet'!$A:$ZZ,CQ1,0)</f>
        <v>827</v>
      </c>
      <c r="CS8" s="74">
        <f>VLOOKUP($H$8&amp;$F$1,'Input RM sheet'!$A:$ZZ,CR1,0)</f>
        <v>818</v>
      </c>
      <c r="CT8" s="74">
        <f>VLOOKUP($H$8&amp;$F$1,'Input RM sheet'!$A:$ZZ,CS1,0)</f>
        <v>818</v>
      </c>
      <c r="CU8" s="74">
        <f>VLOOKUP($H$8&amp;$F$1,'Input RM sheet'!$A:$ZZ,CT1,0)</f>
        <v>818</v>
      </c>
      <c r="CV8" s="74">
        <f>VLOOKUP($H$8&amp;$F$1,'Input RM sheet'!$A:$ZZ,CU1,0)</f>
        <v>850</v>
      </c>
      <c r="CW8" s="74">
        <f>VLOOKUP($H$8&amp;$F$1,'Input RM sheet'!$A:$ZZ,CV1,0)</f>
        <v>909</v>
      </c>
      <c r="CX8" s="74">
        <f>VLOOKUP($H$8&amp;$F$1,'Input RM sheet'!$A:$ZZ,CW1,0)</f>
        <v>909</v>
      </c>
      <c r="CY8" s="74">
        <f>VLOOKUP($H$8&amp;$F$1,'Input RM sheet'!$A:$ZZ,CX1,0)</f>
        <v>918</v>
      </c>
      <c r="CZ8" s="74">
        <f>VLOOKUP($H$8&amp;$F$1,'Input RM sheet'!$A:$ZZ,CY1,0)</f>
        <v>918</v>
      </c>
      <c r="DA8" s="74">
        <f>VLOOKUP($H$8&amp;$F$1,'Input RM sheet'!$A:$ZZ,CZ1,0)</f>
        <v>918</v>
      </c>
      <c r="DB8" s="74">
        <f>VLOOKUP($H$8&amp;$F$1,'Input RM sheet'!$A:$ZZ,DA1,0)</f>
        <v>918</v>
      </c>
      <c r="DC8" s="74">
        <f>VLOOKUP($H$8&amp;$F$1,'Input RM sheet'!$A:$ZZ,DB1,0)</f>
        <v>894</v>
      </c>
      <c r="DD8" s="74">
        <f>VLOOKUP($H$8&amp;$F$1,'Input RM sheet'!$A:$ZZ,DC1,0)</f>
        <v>830</v>
      </c>
      <c r="DE8" s="74">
        <f>VLOOKUP($H$8&amp;$F$1,'Input RM sheet'!$A:$ZZ,DD1,0)</f>
        <v>830</v>
      </c>
      <c r="DF8" s="74">
        <f>VLOOKUP($H$8&amp;$F$1,'Input RM sheet'!$A:$ZZ,DE1,0)</f>
        <v>809</v>
      </c>
      <c r="DG8" s="74">
        <f>VLOOKUP($H$8&amp;$F$1,'Input RM sheet'!$A:$ZZ,DF1,0)</f>
        <v>799</v>
      </c>
      <c r="DH8" s="74">
        <f>VLOOKUP($H$8&amp;$F$1,'Input RM sheet'!$A:$ZZ,DG1,0)</f>
        <v>799</v>
      </c>
      <c r="DI8" s="74">
        <f>VLOOKUP($H$8&amp;$F$1,'Input RM sheet'!$A:$ZZ,DH1,0)</f>
        <v>804</v>
      </c>
      <c r="DJ8" s="74">
        <f>VLOOKUP($H$8&amp;$F$1,'Input RM sheet'!$A:$ZZ,DI1,0)</f>
        <v>820</v>
      </c>
      <c r="DK8" s="74">
        <f>VLOOKUP($H$8&amp;$F$1,'Input RM sheet'!$A:$ZZ,DJ1,0)</f>
        <v>822</v>
      </c>
      <c r="DL8" s="74">
        <f>VLOOKUP($H$8&amp;$F$1,'Input RM sheet'!$A:$ZZ,DK1,0)</f>
        <v>828</v>
      </c>
      <c r="DM8" s="74">
        <f>VLOOKUP($H$8&amp;$F$1,'Input RM sheet'!$A:$ZZ,DL1,0)</f>
        <v>834</v>
      </c>
      <c r="DN8" s="74">
        <f>VLOOKUP($H$8&amp;$F$1,'Input RM sheet'!$A:$ZZ,DM1,0)</f>
        <v>819</v>
      </c>
      <c r="DO8" s="74">
        <f>VLOOKUP($H$8&amp;$F$1,'Input RM sheet'!$A:$ZZ,DN1,0)</f>
        <v>824</v>
      </c>
      <c r="DP8" s="74">
        <f>VLOOKUP($H$8&amp;$F$1,'Input RM sheet'!$A:$ZZ,DO1,0)</f>
        <v>824</v>
      </c>
      <c r="DQ8" s="74">
        <f>VLOOKUP($H$8&amp;$F$1,'Input RM sheet'!$A:$ZZ,DP1,0)</f>
        <v>824</v>
      </c>
      <c r="DR8" s="74">
        <f>VLOOKUP($H$8&amp;$F$1,'Input RM sheet'!$A:$ZZ,DQ1,0)</f>
        <v>824</v>
      </c>
      <c r="DS8" s="74">
        <f>VLOOKUP($H$8&amp;$F$1,'Input RM sheet'!$A:$ZZ,DR1,0)</f>
        <v>829</v>
      </c>
      <c r="DT8" s="74">
        <f>VLOOKUP($H$8&amp;$F$1,'Input RM sheet'!$A:$ZZ,DS1,0)</f>
        <v>0</v>
      </c>
      <c r="DU8" s="74">
        <f>VLOOKUP($H$8&amp;$F$1,'Input RM sheet'!$A:$ZZ,DT1,0)</f>
        <v>0</v>
      </c>
      <c r="DV8" s="74">
        <f>VLOOKUP($H$8&amp;$F$1,'Input RM sheet'!$A:$ZZ,DU1,0)</f>
        <v>0</v>
      </c>
      <c r="DW8" s="74">
        <f>VLOOKUP($H$8&amp;$F$1,'Input RM sheet'!$A:$ZZ,DV1,0)</f>
        <v>0</v>
      </c>
      <c r="DX8" s="74">
        <f>VLOOKUP($H$8&amp;$F$1,'Input RM sheet'!$A:$ZZ,DW1,0)</f>
        <v>0</v>
      </c>
      <c r="DY8" s="74">
        <f>VLOOKUP($H$8&amp;$F$1,'Input RM sheet'!$A:$ZZ,DX1,0)</f>
        <v>0</v>
      </c>
      <c r="DZ8" s="74">
        <f>VLOOKUP($H$8&amp;$F$1,'Input RM sheet'!$A:$ZZ,DY1,0)</f>
        <v>0</v>
      </c>
      <c r="EA8" s="74">
        <f>VLOOKUP($H$8&amp;$F$1,'Input RM sheet'!$A:$ZZ,DZ1,0)</f>
        <v>0</v>
      </c>
      <c r="EB8" s="74">
        <f>VLOOKUP($H$8&amp;$F$1,'Input RM sheet'!$A:$ZZ,EA1,0)</f>
        <v>0</v>
      </c>
      <c r="EC8" s="74">
        <f>VLOOKUP($H$8&amp;$F$1,'Input RM sheet'!$A:$ZZ,EB1,0)</f>
        <v>0</v>
      </c>
      <c r="ED8" s="74">
        <f>VLOOKUP($H$8&amp;$F$1,'Input RM sheet'!$A:$ZZ,EC1,0)</f>
        <v>0</v>
      </c>
      <c r="EE8" s="74">
        <f>VLOOKUP($H$8&amp;$F$1,'Input RM sheet'!$A:$ZZ,ED1,0)</f>
        <v>0</v>
      </c>
      <c r="EF8" s="74">
        <f>VLOOKUP($H$8&amp;$F$1,'Input RM sheet'!$A:$ZZ,EE1,0)</f>
        <v>0</v>
      </c>
    </row>
    <row r="9" spans="1:138">
      <c r="H9" s="107"/>
      <c r="I9" s="74"/>
      <c r="J9" s="74"/>
      <c r="K9" s="74"/>
      <c r="L9" s="74"/>
      <c r="M9" s="74"/>
      <c r="N9" s="74"/>
      <c r="O9" s="74"/>
      <c r="P9" s="74"/>
      <c r="Q9" s="74"/>
      <c r="R9" s="74"/>
      <c r="S9" s="74"/>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74"/>
      <c r="BG9" s="74"/>
      <c r="BH9" s="74"/>
      <c r="BI9" s="74"/>
      <c r="BJ9" s="74"/>
      <c r="BK9" s="74"/>
      <c r="BL9" s="74"/>
      <c r="BM9" s="74"/>
      <c r="BN9" s="74"/>
      <c r="BO9" s="74"/>
      <c r="BP9" s="74"/>
      <c r="BQ9" s="74"/>
      <c r="BR9" s="74"/>
      <c r="BS9" s="74"/>
      <c r="BT9" s="74"/>
      <c r="BU9" s="74"/>
      <c r="BV9" s="74"/>
      <c r="BW9" s="74"/>
      <c r="BX9" s="74"/>
      <c r="BY9" s="74"/>
      <c r="BZ9" s="74"/>
      <c r="CA9" s="74"/>
      <c r="CB9" s="74"/>
      <c r="CC9" s="74"/>
      <c r="CD9" s="74"/>
      <c r="CE9" s="74"/>
      <c r="CF9" s="74"/>
      <c r="CG9" s="74"/>
      <c r="CH9" s="74"/>
      <c r="CI9" s="74"/>
      <c r="CJ9" s="74"/>
      <c r="CK9" s="74"/>
      <c r="CL9" s="74"/>
      <c r="CM9" s="74"/>
      <c r="CN9" s="74"/>
      <c r="CO9" s="74"/>
      <c r="CP9" s="74"/>
      <c r="CQ9" s="74"/>
      <c r="CR9" s="74"/>
      <c r="CS9" s="74"/>
      <c r="CT9" s="74"/>
      <c r="CU9" s="74"/>
      <c r="CV9" s="74"/>
      <c r="CW9" s="74"/>
      <c r="CX9" s="74"/>
      <c r="CY9" s="74"/>
      <c r="CZ9" s="74"/>
      <c r="DA9" s="74"/>
      <c r="DB9" s="74"/>
      <c r="DC9" s="74"/>
      <c r="DD9" s="74"/>
      <c r="DE9" s="74"/>
      <c r="DF9" s="74"/>
      <c r="DG9" s="74"/>
      <c r="DH9" s="74"/>
      <c r="DI9" s="74"/>
      <c r="DJ9" s="74"/>
      <c r="DK9" s="74"/>
      <c r="DL9" s="74"/>
      <c r="DM9" s="74"/>
      <c r="DN9" s="74"/>
      <c r="DO9" s="74"/>
      <c r="DP9" s="74"/>
      <c r="DQ9" s="74"/>
      <c r="DR9" s="74"/>
      <c r="DS9" s="74"/>
      <c r="DT9" s="74"/>
      <c r="DU9" s="74"/>
      <c r="DV9" s="74"/>
      <c r="DW9" s="74"/>
      <c r="DX9" s="74"/>
      <c r="DY9" s="74"/>
      <c r="DZ9" s="74"/>
      <c r="EA9" s="74"/>
      <c r="EB9" s="74"/>
      <c r="EC9" s="74"/>
      <c r="ED9" s="74"/>
      <c r="EE9" s="74"/>
      <c r="EF9" s="74"/>
    </row>
    <row r="10" spans="1:138" ht="13">
      <c r="A10" s="59" t="s">
        <v>395</v>
      </c>
      <c r="B10" s="59"/>
      <c r="C10" s="59" t="s">
        <v>379</v>
      </c>
      <c r="D10" s="98" t="s">
        <v>380</v>
      </c>
      <c r="E10" s="98" t="s">
        <v>381</v>
      </c>
      <c r="F10" s="59" t="s">
        <v>396</v>
      </c>
      <c r="I10" s="84"/>
      <c r="J10" s="84"/>
      <c r="K10" s="84"/>
      <c r="L10" s="84"/>
      <c r="M10" s="84"/>
      <c r="N10" s="84"/>
      <c r="O10" s="84"/>
      <c r="P10" s="84"/>
      <c r="Q10" s="84"/>
      <c r="R10" s="84"/>
      <c r="S10" s="84"/>
      <c r="T10" s="84"/>
      <c r="U10" s="84"/>
      <c r="V10" s="84"/>
      <c r="W10" s="84"/>
      <c r="X10" s="84"/>
      <c r="Y10" s="84"/>
      <c r="Z10" s="84"/>
      <c r="AA10" s="84"/>
      <c r="AB10" s="84"/>
      <c r="AC10" s="84"/>
      <c r="AD10" s="84"/>
      <c r="AE10" s="84"/>
      <c r="AF10" s="84"/>
      <c r="AG10" s="84"/>
      <c r="AH10" s="84"/>
      <c r="AI10" s="84"/>
      <c r="AJ10" s="84"/>
      <c r="AK10" s="84"/>
      <c r="AL10" s="84"/>
      <c r="AM10" s="84"/>
      <c r="AN10" s="84"/>
      <c r="AO10" s="84"/>
      <c r="AP10" s="84"/>
      <c r="AQ10" s="84"/>
      <c r="AR10" s="84"/>
      <c r="AS10" s="84"/>
      <c r="AT10" s="84"/>
      <c r="AU10" s="84"/>
      <c r="AV10" s="84"/>
      <c r="AW10" s="84"/>
      <c r="AX10" s="84"/>
      <c r="AY10" s="84"/>
      <c r="AZ10" s="84"/>
      <c r="BA10" s="84"/>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84"/>
      <c r="CE10" s="84"/>
      <c r="CF10" s="84"/>
      <c r="CG10" s="84"/>
      <c r="CH10" s="84"/>
      <c r="CI10" s="84"/>
      <c r="CJ10" s="84"/>
      <c r="CK10" s="84"/>
      <c r="CL10" s="84"/>
      <c r="CM10" s="84"/>
      <c r="CN10" s="84"/>
      <c r="CO10" s="84"/>
      <c r="CP10" s="84"/>
      <c r="CQ10" s="84"/>
      <c r="CR10" s="84"/>
      <c r="CS10" s="84"/>
      <c r="CT10" s="84"/>
      <c r="CU10" s="84"/>
      <c r="CV10" s="84"/>
      <c r="CW10" s="84"/>
      <c r="CX10" s="84"/>
      <c r="CY10" s="84"/>
      <c r="CZ10" s="84"/>
      <c r="DA10" s="84"/>
      <c r="DB10" s="84"/>
      <c r="DC10" s="84"/>
      <c r="DD10" s="84"/>
      <c r="DE10" s="84"/>
      <c r="DF10" s="84"/>
      <c r="DG10" s="84"/>
      <c r="DH10" s="84"/>
      <c r="DI10" s="84"/>
      <c r="DJ10" s="84"/>
      <c r="DK10" s="84"/>
      <c r="DL10" s="84"/>
      <c r="DM10" s="84"/>
      <c r="DN10" s="84"/>
      <c r="DO10" s="84"/>
      <c r="DP10" s="84"/>
      <c r="DQ10" s="84"/>
      <c r="DR10" s="84"/>
      <c r="DS10" s="84"/>
      <c r="DT10" s="84"/>
      <c r="DU10" s="84"/>
      <c r="DV10" s="84"/>
      <c r="DW10" s="84"/>
      <c r="DX10" s="84"/>
      <c r="DY10" s="84"/>
      <c r="DZ10" s="84"/>
      <c r="EA10" s="84"/>
      <c r="EB10" s="84"/>
      <c r="EC10" s="84"/>
      <c r="ED10" s="84"/>
      <c r="EE10" s="84"/>
      <c r="EF10" s="84"/>
    </row>
    <row r="11" spans="1:138" ht="13">
      <c r="A11" s="107" t="s">
        <v>397</v>
      </c>
      <c r="B11" s="107" t="s">
        <v>114</v>
      </c>
      <c r="C11" s="60">
        <v>1</v>
      </c>
      <c r="D11" s="65">
        <v>42.08</v>
      </c>
      <c r="E11" s="60">
        <f>D11*C11</f>
        <v>42.08</v>
      </c>
      <c r="F11" s="328">
        <f>E11/$D$3</f>
        <v>0.7246426726364732</v>
      </c>
      <c r="H11" s="60" t="s">
        <v>399</v>
      </c>
      <c r="I11" s="74">
        <f>$F$11*(I8/1000)</f>
        <v>0.68841053900464955</v>
      </c>
      <c r="J11" s="74">
        <f t="shared" ref="J11:BU11" si="0">$F$11*(J8/1000)</f>
        <v>0.58696056483554337</v>
      </c>
      <c r="K11" s="74">
        <f t="shared" si="0"/>
        <v>0.56522128465644916</v>
      </c>
      <c r="L11" s="74">
        <f t="shared" si="0"/>
        <v>0.40579989667642502</v>
      </c>
      <c r="M11" s="74">
        <f t="shared" si="0"/>
        <v>0.49275701739280181</v>
      </c>
      <c r="N11" s="74">
        <f t="shared" si="0"/>
        <v>0.52174272429826063</v>
      </c>
      <c r="O11" s="74">
        <f t="shared" si="0"/>
        <v>0.56522128465644916</v>
      </c>
      <c r="P11" s="74">
        <f t="shared" si="0"/>
        <v>0.56522128465644916</v>
      </c>
      <c r="Q11" s="74">
        <f t="shared" si="0"/>
        <v>0.61594627174100225</v>
      </c>
      <c r="R11" s="74">
        <f t="shared" si="0"/>
        <v>0.62319269846736691</v>
      </c>
      <c r="S11" s="74">
        <f t="shared" si="0"/>
        <v>0.61594627174100225</v>
      </c>
      <c r="T11" s="74">
        <f t="shared" si="0"/>
        <v>0.68116411227828477</v>
      </c>
      <c r="U11" s="74">
        <f t="shared" si="0"/>
        <v>0.66667125882555534</v>
      </c>
      <c r="V11" s="74">
        <f t="shared" si="0"/>
        <v>0.67391768555192011</v>
      </c>
      <c r="W11" s="74">
        <f t="shared" si="0"/>
        <v>0.83333907353194414</v>
      </c>
      <c r="X11" s="74">
        <f t="shared" si="0"/>
        <v>0.76812123299466162</v>
      </c>
      <c r="Y11" s="74">
        <f t="shared" si="0"/>
        <v>0.78986051317375583</v>
      </c>
      <c r="Z11" s="74">
        <f t="shared" si="0"/>
        <v>0.66667125882555534</v>
      </c>
      <c r="AA11" s="74">
        <f t="shared" si="0"/>
        <v>0.68116411227828477</v>
      </c>
      <c r="AB11" s="74">
        <f t="shared" si="0"/>
        <v>0.68116411227828477</v>
      </c>
      <c r="AC11" s="74">
        <f t="shared" si="0"/>
        <v>0.68116411227828477</v>
      </c>
      <c r="AD11" s="74">
        <f t="shared" si="0"/>
        <v>0.73913552608920263</v>
      </c>
      <c r="AE11" s="74">
        <f t="shared" si="0"/>
        <v>0.69565696573101421</v>
      </c>
      <c r="AF11" s="74">
        <f t="shared" si="0"/>
        <v>0.6521784053728259</v>
      </c>
      <c r="AG11" s="74">
        <f t="shared" si="0"/>
        <v>0.68841053900464955</v>
      </c>
      <c r="AH11" s="74">
        <f t="shared" si="0"/>
        <v>0.86957120716376779</v>
      </c>
      <c r="AI11" s="74">
        <f t="shared" si="0"/>
        <v>0.95652832788014464</v>
      </c>
      <c r="AJ11" s="74">
        <f t="shared" si="0"/>
        <v>0.93478904770105042</v>
      </c>
      <c r="AK11" s="74">
        <f t="shared" si="0"/>
        <v>0.86957120716376779</v>
      </c>
      <c r="AL11" s="74">
        <f t="shared" si="0"/>
        <v>0.75362837954193218</v>
      </c>
      <c r="AM11" s="74">
        <f t="shared" si="0"/>
        <v>0.68841053900464955</v>
      </c>
      <c r="AN11" s="74">
        <f t="shared" si="0"/>
        <v>0.64493197864646112</v>
      </c>
      <c r="AO11" s="74">
        <f t="shared" si="0"/>
        <v>0.64493197864646112</v>
      </c>
      <c r="AP11" s="74">
        <f t="shared" si="0"/>
        <v>0.64493197864646112</v>
      </c>
      <c r="AQ11" s="74">
        <f t="shared" si="0"/>
        <v>0.61594627174100225</v>
      </c>
      <c r="AR11" s="74">
        <f t="shared" si="0"/>
        <v>0.63768555192009646</v>
      </c>
      <c r="AS11" s="74">
        <f t="shared" si="0"/>
        <v>0.63768555192009646</v>
      </c>
      <c r="AT11" s="74">
        <f t="shared" si="0"/>
        <v>0.71014981918374376</v>
      </c>
      <c r="AU11" s="74">
        <f t="shared" si="0"/>
        <v>0.66667125882555534</v>
      </c>
      <c r="AV11" s="74">
        <f t="shared" si="0"/>
        <v>0.68116411227828477</v>
      </c>
      <c r="AW11" s="74">
        <f t="shared" si="0"/>
        <v>0.64493197864646112</v>
      </c>
      <c r="AX11" s="74">
        <f t="shared" si="0"/>
        <v>0.54348200447735495</v>
      </c>
      <c r="AY11" s="74">
        <f t="shared" si="0"/>
        <v>0.5289891510246254</v>
      </c>
      <c r="AZ11" s="74">
        <f t="shared" si="0"/>
        <v>0.5289891510246254</v>
      </c>
      <c r="BA11" s="74">
        <f t="shared" si="0"/>
        <v>0.54638057516790084</v>
      </c>
      <c r="BB11" s="74">
        <f t="shared" si="0"/>
        <v>0.56377199931117616</v>
      </c>
      <c r="BC11" s="74">
        <f t="shared" si="0"/>
        <v>0.56884449801963144</v>
      </c>
      <c r="BD11" s="74">
        <f t="shared" si="0"/>
        <v>0.59783020492509031</v>
      </c>
      <c r="BE11" s="74">
        <f t="shared" si="0"/>
        <v>0.61884484243154814</v>
      </c>
      <c r="BF11" s="74">
        <f t="shared" si="0"/>
        <v>0.61884484243154814</v>
      </c>
      <c r="BG11" s="74">
        <f t="shared" si="0"/>
        <v>0.61014913035991036</v>
      </c>
      <c r="BH11" s="74">
        <f t="shared" si="0"/>
        <v>0.6014534182882727</v>
      </c>
      <c r="BI11" s="74">
        <f t="shared" si="0"/>
        <v>0.58985913552608915</v>
      </c>
      <c r="BJ11" s="74">
        <f t="shared" si="0"/>
        <v>0.58333735147236099</v>
      </c>
      <c r="BK11" s="74">
        <f t="shared" si="0"/>
        <v>0.58333735147236099</v>
      </c>
      <c r="BL11" s="74">
        <f t="shared" si="0"/>
        <v>0.5789894954365421</v>
      </c>
      <c r="BM11" s="74">
        <f t="shared" si="0"/>
        <v>0.5789894954365421</v>
      </c>
      <c r="BN11" s="74">
        <f t="shared" si="0"/>
        <v>0.57536628207335971</v>
      </c>
      <c r="BO11" s="74">
        <f t="shared" si="0"/>
        <v>0.57536628207335971</v>
      </c>
      <c r="BP11" s="74">
        <f t="shared" si="0"/>
        <v>0.5789894954365421</v>
      </c>
      <c r="BQ11" s="74">
        <f t="shared" si="0"/>
        <v>0.5789894954365421</v>
      </c>
      <c r="BR11" s="74">
        <f t="shared" si="0"/>
        <v>0.58261270879972449</v>
      </c>
      <c r="BS11" s="74">
        <f t="shared" si="0"/>
        <v>0.5789894954365421</v>
      </c>
      <c r="BT11" s="74">
        <f t="shared" si="0"/>
        <v>0.5789894954365421</v>
      </c>
      <c r="BU11" s="74">
        <f t="shared" si="0"/>
        <v>0.5782648527639056</v>
      </c>
      <c r="BV11" s="74">
        <f t="shared" ref="BV11:CR11" si="1">$F$11*(BV8/1000)</f>
        <v>0.58261270879972449</v>
      </c>
      <c r="BW11" s="74">
        <f t="shared" si="1"/>
        <v>0.60725055966936448</v>
      </c>
      <c r="BX11" s="74">
        <f t="shared" si="1"/>
        <v>0.66667125882555534</v>
      </c>
      <c r="BY11" s="74">
        <f t="shared" si="1"/>
        <v>0.68116411227828477</v>
      </c>
      <c r="BZ11" s="74">
        <f t="shared" si="1"/>
        <v>0.7231933872912002</v>
      </c>
      <c r="CA11" s="74">
        <f t="shared" si="1"/>
        <v>0.69565696573101421</v>
      </c>
      <c r="CB11" s="74">
        <f t="shared" si="1"/>
        <v>0.66232340278973656</v>
      </c>
      <c r="CC11" s="74">
        <f t="shared" si="1"/>
        <v>0.63043912519373169</v>
      </c>
      <c r="CD11" s="74">
        <f t="shared" si="1"/>
        <v>0.62319269846736691</v>
      </c>
      <c r="CE11" s="74">
        <f t="shared" si="1"/>
        <v>0.62319269846736691</v>
      </c>
      <c r="CF11" s="74">
        <f t="shared" si="1"/>
        <v>0.6282651971758223</v>
      </c>
      <c r="CG11" s="74">
        <f t="shared" si="1"/>
        <v>0.61232305837781986</v>
      </c>
      <c r="CH11" s="74">
        <f t="shared" si="1"/>
        <v>0.61159841570518336</v>
      </c>
      <c r="CI11" s="74">
        <f t="shared" si="1"/>
        <v>0.61159841570518336</v>
      </c>
      <c r="CJ11" s="74">
        <f t="shared" si="1"/>
        <v>0.61159841570518336</v>
      </c>
      <c r="CK11" s="74">
        <f t="shared" si="1"/>
        <v>0.61159841570518336</v>
      </c>
      <c r="CL11" s="74">
        <f t="shared" si="1"/>
        <v>0.59927949027036331</v>
      </c>
      <c r="CM11" s="74">
        <f t="shared" si="1"/>
        <v>0.59275770621663504</v>
      </c>
      <c r="CN11" s="74">
        <f t="shared" si="1"/>
        <v>0.58985913552608915</v>
      </c>
      <c r="CO11" s="74">
        <f t="shared" si="1"/>
        <v>0.58696056483554337</v>
      </c>
      <c r="CP11" s="74">
        <f t="shared" si="1"/>
        <v>0.59927949027036331</v>
      </c>
      <c r="CQ11" s="74">
        <f t="shared" si="1"/>
        <v>0.59927949027036331</v>
      </c>
      <c r="CR11" s="74">
        <f t="shared" si="1"/>
        <v>0.59927949027036331</v>
      </c>
      <c r="CS11" s="74">
        <f>$F$11*(CS8/1000)</f>
        <v>0.59275770621663504</v>
      </c>
      <c r="CT11" s="74">
        <f>$F$11*(CT8/1000)</f>
        <v>0.59275770621663504</v>
      </c>
      <c r="CU11" s="74">
        <f>$F$11*(CU8/1000)</f>
        <v>0.59275770621663504</v>
      </c>
      <c r="CV11" s="74">
        <f>$F$11*(CV8/1000)</f>
        <v>0.61594627174100225</v>
      </c>
      <c r="CW11" s="74">
        <f t="shared" ref="CW11:DF11" si="2">$F$11*(CW8/1000)</f>
        <v>0.65870018942655417</v>
      </c>
      <c r="CX11" s="74">
        <f t="shared" si="2"/>
        <v>0.65870018942655417</v>
      </c>
      <c r="CY11" s="74">
        <f t="shared" si="2"/>
        <v>0.66522197348028245</v>
      </c>
      <c r="CZ11" s="74">
        <f t="shared" si="2"/>
        <v>0.66522197348028245</v>
      </c>
      <c r="DA11" s="74">
        <f t="shared" si="2"/>
        <v>0.66522197348028245</v>
      </c>
      <c r="DB11" s="74">
        <f t="shared" si="2"/>
        <v>0.66522197348028245</v>
      </c>
      <c r="DC11" s="74">
        <f t="shared" si="2"/>
        <v>0.64783054933700701</v>
      </c>
      <c r="DD11" s="74">
        <f t="shared" si="2"/>
        <v>0.6014534182882727</v>
      </c>
      <c r="DE11" s="74">
        <f t="shared" si="2"/>
        <v>0.6014534182882727</v>
      </c>
      <c r="DF11" s="74">
        <f t="shared" si="2"/>
        <v>0.58623592216290688</v>
      </c>
      <c r="DG11" s="74">
        <f t="shared" ref="DG11:EF11" si="3">$F$11*(DG8/1000)</f>
        <v>0.5789894954365421</v>
      </c>
      <c r="DH11" s="74">
        <f t="shared" si="3"/>
        <v>0.5789894954365421</v>
      </c>
      <c r="DI11" s="74">
        <f t="shared" si="3"/>
        <v>0.58261270879972449</v>
      </c>
      <c r="DJ11" s="74">
        <f t="shared" si="3"/>
        <v>0.59420699156190804</v>
      </c>
      <c r="DK11" s="74">
        <f t="shared" si="3"/>
        <v>0.59565627690718093</v>
      </c>
      <c r="DL11" s="74">
        <f t="shared" si="3"/>
        <v>0.60000413294299981</v>
      </c>
      <c r="DM11" s="74">
        <f t="shared" si="3"/>
        <v>0.60435198897881859</v>
      </c>
      <c r="DN11" s="74">
        <f t="shared" si="3"/>
        <v>0.59348234888927154</v>
      </c>
      <c r="DO11" s="74">
        <f t="shared" si="3"/>
        <v>0.59710556225245393</v>
      </c>
      <c r="DP11" s="74">
        <f t="shared" si="3"/>
        <v>0.59710556225245393</v>
      </c>
      <c r="DQ11" s="74">
        <f t="shared" si="3"/>
        <v>0.59710556225245393</v>
      </c>
      <c r="DR11" s="74">
        <f t="shared" si="3"/>
        <v>0.59710556225245393</v>
      </c>
      <c r="DS11" s="74">
        <f t="shared" si="3"/>
        <v>0.6007287756156362</v>
      </c>
      <c r="DT11" s="74">
        <f t="shared" si="3"/>
        <v>0</v>
      </c>
      <c r="DU11" s="74">
        <f t="shared" si="3"/>
        <v>0</v>
      </c>
      <c r="DV11" s="74">
        <f t="shared" si="3"/>
        <v>0</v>
      </c>
      <c r="DW11" s="74">
        <f t="shared" si="3"/>
        <v>0</v>
      </c>
      <c r="DX11" s="74">
        <f t="shared" si="3"/>
        <v>0</v>
      </c>
      <c r="DY11" s="74">
        <f t="shared" si="3"/>
        <v>0</v>
      </c>
      <c r="DZ11" s="74">
        <f t="shared" si="3"/>
        <v>0</v>
      </c>
      <c r="EA11" s="74">
        <f t="shared" si="3"/>
        <v>0</v>
      </c>
      <c r="EB11" s="74">
        <f t="shared" si="3"/>
        <v>0</v>
      </c>
      <c r="EC11" s="74">
        <f t="shared" si="3"/>
        <v>0</v>
      </c>
      <c r="ED11" s="74">
        <f t="shared" si="3"/>
        <v>0</v>
      </c>
      <c r="EE11" s="74">
        <f t="shared" si="3"/>
        <v>0</v>
      </c>
      <c r="EF11" s="74">
        <f t="shared" si="3"/>
        <v>0</v>
      </c>
    </row>
    <row r="12" spans="1:138">
      <c r="A12" s="67"/>
      <c r="B12" s="107"/>
      <c r="D12" s="77"/>
      <c r="F12" s="65"/>
      <c r="I12" s="74"/>
      <c r="J12" s="74"/>
      <c r="K12" s="74"/>
      <c r="L12" s="74"/>
      <c r="M12" s="74"/>
      <c r="N12" s="74"/>
      <c r="O12" s="74"/>
      <c r="P12" s="74"/>
      <c r="Q12" s="74"/>
      <c r="R12" s="74"/>
      <c r="S12" s="74"/>
      <c r="T12" s="74"/>
      <c r="U12" s="74"/>
      <c r="V12" s="74"/>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c r="BL12" s="74"/>
      <c r="BM12" s="74"/>
      <c r="BN12" s="74"/>
      <c r="BO12" s="74"/>
      <c r="BP12" s="74"/>
      <c r="BQ12" s="74"/>
      <c r="BR12" s="74"/>
      <c r="BS12" s="74"/>
      <c r="BT12" s="74"/>
      <c r="BU12" s="74"/>
      <c r="BV12" s="74"/>
      <c r="BW12" s="74"/>
      <c r="BX12" s="74"/>
      <c r="BY12" s="74"/>
      <c r="BZ12" s="74"/>
      <c r="CA12" s="74"/>
      <c r="CB12" s="74"/>
      <c r="CC12" s="74"/>
      <c r="CD12" s="74"/>
      <c r="CE12" s="74"/>
      <c r="CF12" s="74"/>
      <c r="CG12" s="74"/>
      <c r="CH12" s="74"/>
      <c r="CI12" s="74"/>
      <c r="CJ12" s="74"/>
      <c r="CK12" s="74"/>
      <c r="CL12" s="74"/>
      <c r="CM12" s="74"/>
      <c r="CN12" s="74"/>
      <c r="CO12" s="74"/>
      <c r="CP12" s="74"/>
      <c r="CQ12" s="74"/>
      <c r="CR12" s="74"/>
      <c r="CS12" s="74"/>
      <c r="CT12" s="74"/>
      <c r="CU12" s="74"/>
      <c r="CV12" s="74"/>
      <c r="CW12" s="74"/>
      <c r="CX12" s="74"/>
      <c r="CY12" s="74"/>
      <c r="CZ12" s="74"/>
      <c r="DA12" s="74"/>
      <c r="DB12" s="74"/>
      <c r="DC12" s="74"/>
      <c r="DD12" s="74"/>
      <c r="DE12" s="74"/>
      <c r="DF12" s="74"/>
      <c r="DG12" s="74"/>
      <c r="DH12" s="74"/>
      <c r="DI12" s="74"/>
      <c r="DJ12" s="74"/>
      <c r="DK12" s="74"/>
      <c r="DL12" s="74"/>
      <c r="DM12" s="74"/>
      <c r="DN12" s="74"/>
      <c r="DO12" s="74"/>
      <c r="DP12" s="74"/>
      <c r="DQ12" s="74"/>
      <c r="DR12" s="74"/>
      <c r="DS12" s="74"/>
      <c r="DT12" s="74"/>
      <c r="DU12" s="74"/>
      <c r="DV12" s="74"/>
      <c r="DW12" s="74"/>
      <c r="DX12" s="74"/>
      <c r="DY12" s="74"/>
      <c r="DZ12" s="74"/>
      <c r="EA12" s="74"/>
      <c r="EB12" s="74"/>
      <c r="EC12" s="74"/>
      <c r="ED12" s="74"/>
      <c r="EE12" s="74"/>
      <c r="EF12" s="74"/>
    </row>
    <row r="13" spans="1:138">
      <c r="A13" s="67"/>
      <c r="B13" s="107"/>
      <c r="D13" s="77"/>
      <c r="F13" s="65"/>
      <c r="I13" s="74"/>
      <c r="J13" s="74"/>
      <c r="K13" s="74"/>
      <c r="L13" s="74"/>
      <c r="M13" s="74"/>
      <c r="N13" s="74"/>
      <c r="O13" s="74"/>
      <c r="P13" s="74"/>
      <c r="Q13" s="74"/>
      <c r="R13" s="74"/>
      <c r="S13" s="74"/>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c r="BF13" s="74"/>
      <c r="BG13" s="74"/>
      <c r="BH13" s="74"/>
      <c r="BI13" s="74"/>
      <c r="BJ13" s="74"/>
      <c r="BK13" s="74"/>
      <c r="BL13" s="74"/>
      <c r="BM13" s="74"/>
      <c r="BN13" s="74"/>
      <c r="BO13" s="74"/>
      <c r="BP13" s="74"/>
      <c r="BQ13" s="74"/>
      <c r="BR13" s="74"/>
      <c r="BS13" s="74"/>
      <c r="BT13" s="74"/>
      <c r="BU13" s="74"/>
      <c r="BV13" s="74"/>
      <c r="BW13" s="74"/>
      <c r="BX13" s="74"/>
      <c r="BY13" s="74"/>
      <c r="BZ13" s="74"/>
      <c r="CA13" s="74"/>
      <c r="CB13" s="74"/>
      <c r="CC13" s="74"/>
      <c r="CD13" s="74"/>
      <c r="CE13" s="74"/>
      <c r="CF13" s="74"/>
      <c r="CG13" s="74"/>
      <c r="CH13" s="74"/>
      <c r="CI13" s="74"/>
      <c r="CJ13" s="74"/>
      <c r="CK13" s="74"/>
      <c r="CL13" s="74"/>
      <c r="CM13" s="74"/>
      <c r="CN13" s="74"/>
      <c r="CO13" s="74"/>
      <c r="CP13" s="74"/>
      <c r="CQ13" s="74"/>
      <c r="CR13" s="74"/>
      <c r="CS13" s="74"/>
      <c r="CT13" s="74"/>
      <c r="CU13" s="74"/>
      <c r="CV13" s="74"/>
      <c r="CW13" s="74"/>
      <c r="CX13" s="74"/>
      <c r="CY13" s="74"/>
      <c r="CZ13" s="74"/>
      <c r="DA13" s="74"/>
      <c r="DB13" s="74"/>
      <c r="DC13" s="74"/>
      <c r="DD13" s="74"/>
      <c r="DE13" s="74"/>
      <c r="DF13" s="74"/>
      <c r="DG13" s="74"/>
      <c r="DH13" s="74"/>
      <c r="DI13" s="74"/>
      <c r="DJ13" s="74"/>
      <c r="DK13" s="74"/>
      <c r="DL13" s="74"/>
      <c r="DM13" s="74"/>
      <c r="DN13" s="74"/>
      <c r="DO13" s="74"/>
      <c r="DP13" s="74"/>
      <c r="DQ13" s="74"/>
      <c r="DR13" s="74"/>
      <c r="DS13" s="74"/>
      <c r="DT13" s="74"/>
      <c r="DU13" s="74"/>
      <c r="DV13" s="74"/>
      <c r="DW13" s="74"/>
      <c r="DX13" s="74"/>
      <c r="DY13" s="74"/>
      <c r="DZ13" s="74"/>
      <c r="EA13" s="74"/>
      <c r="EB13" s="74"/>
      <c r="EC13" s="74"/>
      <c r="ED13" s="74"/>
      <c r="EE13" s="74"/>
      <c r="EF13" s="74"/>
    </row>
    <row r="14" spans="1:138" s="104" customFormat="1">
      <c r="H14" s="104" t="s">
        <v>799</v>
      </c>
      <c r="I14" s="105">
        <f t="shared" ref="I14:AN14" si="4">SUM(I11:I11)</f>
        <v>0.68841053900464955</v>
      </c>
      <c r="J14" s="105">
        <f t="shared" si="4"/>
        <v>0.58696056483554337</v>
      </c>
      <c r="K14" s="105">
        <f t="shared" si="4"/>
        <v>0.56522128465644916</v>
      </c>
      <c r="L14" s="105">
        <f t="shared" si="4"/>
        <v>0.40579989667642502</v>
      </c>
      <c r="M14" s="105">
        <f t="shared" si="4"/>
        <v>0.49275701739280181</v>
      </c>
      <c r="N14" s="105">
        <f t="shared" si="4"/>
        <v>0.52174272429826063</v>
      </c>
      <c r="O14" s="105">
        <f t="shared" si="4"/>
        <v>0.56522128465644916</v>
      </c>
      <c r="P14" s="105">
        <f t="shared" si="4"/>
        <v>0.56522128465644916</v>
      </c>
      <c r="Q14" s="105">
        <f t="shared" si="4"/>
        <v>0.61594627174100225</v>
      </c>
      <c r="R14" s="105">
        <f t="shared" si="4"/>
        <v>0.62319269846736691</v>
      </c>
      <c r="S14" s="105">
        <f t="shared" si="4"/>
        <v>0.61594627174100225</v>
      </c>
      <c r="T14" s="105">
        <f t="shared" si="4"/>
        <v>0.68116411227828477</v>
      </c>
      <c r="U14" s="105">
        <f t="shared" si="4"/>
        <v>0.66667125882555534</v>
      </c>
      <c r="V14" s="105">
        <f t="shared" si="4"/>
        <v>0.67391768555192011</v>
      </c>
      <c r="W14" s="105">
        <f t="shared" si="4"/>
        <v>0.83333907353194414</v>
      </c>
      <c r="X14" s="105">
        <f t="shared" si="4"/>
        <v>0.76812123299466162</v>
      </c>
      <c r="Y14" s="105">
        <f t="shared" si="4"/>
        <v>0.78986051317375583</v>
      </c>
      <c r="Z14" s="105">
        <f t="shared" si="4"/>
        <v>0.66667125882555534</v>
      </c>
      <c r="AA14" s="105">
        <f t="shared" si="4"/>
        <v>0.68116411227828477</v>
      </c>
      <c r="AB14" s="105">
        <f t="shared" si="4"/>
        <v>0.68116411227828477</v>
      </c>
      <c r="AC14" s="105">
        <f t="shared" si="4"/>
        <v>0.68116411227828477</v>
      </c>
      <c r="AD14" s="105">
        <f t="shared" si="4"/>
        <v>0.73913552608920263</v>
      </c>
      <c r="AE14" s="105">
        <f t="shared" si="4"/>
        <v>0.69565696573101421</v>
      </c>
      <c r="AF14" s="105">
        <f t="shared" si="4"/>
        <v>0.6521784053728259</v>
      </c>
      <c r="AG14" s="105">
        <f t="shared" si="4"/>
        <v>0.68841053900464955</v>
      </c>
      <c r="AH14" s="105">
        <f t="shared" si="4"/>
        <v>0.86957120716376779</v>
      </c>
      <c r="AI14" s="105">
        <f t="shared" si="4"/>
        <v>0.95652832788014464</v>
      </c>
      <c r="AJ14" s="105">
        <f t="shared" si="4"/>
        <v>0.93478904770105042</v>
      </c>
      <c r="AK14" s="105">
        <f t="shared" si="4"/>
        <v>0.86957120716376779</v>
      </c>
      <c r="AL14" s="105">
        <f t="shared" si="4"/>
        <v>0.75362837954193218</v>
      </c>
      <c r="AM14" s="105">
        <f t="shared" si="4"/>
        <v>0.68841053900464955</v>
      </c>
      <c r="AN14" s="105">
        <f t="shared" si="4"/>
        <v>0.64493197864646112</v>
      </c>
      <c r="AO14" s="105">
        <f t="shared" ref="AO14:BT14" si="5">SUM(AO11:AO11)</f>
        <v>0.64493197864646112</v>
      </c>
      <c r="AP14" s="105">
        <f t="shared" si="5"/>
        <v>0.64493197864646112</v>
      </c>
      <c r="AQ14" s="105">
        <f t="shared" si="5"/>
        <v>0.61594627174100225</v>
      </c>
      <c r="AR14" s="105">
        <f t="shared" si="5"/>
        <v>0.63768555192009646</v>
      </c>
      <c r="AS14" s="105">
        <f t="shared" si="5"/>
        <v>0.63768555192009646</v>
      </c>
      <c r="AT14" s="105">
        <f t="shared" si="5"/>
        <v>0.71014981918374376</v>
      </c>
      <c r="AU14" s="105">
        <f t="shared" si="5"/>
        <v>0.66667125882555534</v>
      </c>
      <c r="AV14" s="105">
        <f t="shared" si="5"/>
        <v>0.68116411227828477</v>
      </c>
      <c r="AW14" s="105">
        <f t="shared" si="5"/>
        <v>0.64493197864646112</v>
      </c>
      <c r="AX14" s="105">
        <f t="shared" si="5"/>
        <v>0.54348200447735495</v>
      </c>
      <c r="AY14" s="105">
        <f t="shared" si="5"/>
        <v>0.5289891510246254</v>
      </c>
      <c r="AZ14" s="105">
        <f t="shared" si="5"/>
        <v>0.5289891510246254</v>
      </c>
      <c r="BA14" s="105">
        <f t="shared" si="5"/>
        <v>0.54638057516790084</v>
      </c>
      <c r="BB14" s="105">
        <f t="shared" si="5"/>
        <v>0.56377199931117616</v>
      </c>
      <c r="BC14" s="105">
        <f t="shared" si="5"/>
        <v>0.56884449801963144</v>
      </c>
      <c r="BD14" s="105">
        <f t="shared" si="5"/>
        <v>0.59783020492509031</v>
      </c>
      <c r="BE14" s="105">
        <f t="shared" si="5"/>
        <v>0.61884484243154814</v>
      </c>
      <c r="BF14" s="105">
        <f t="shared" si="5"/>
        <v>0.61884484243154814</v>
      </c>
      <c r="BG14" s="105">
        <f t="shared" si="5"/>
        <v>0.61014913035991036</v>
      </c>
      <c r="BH14" s="105">
        <f t="shared" si="5"/>
        <v>0.6014534182882727</v>
      </c>
      <c r="BI14" s="105">
        <f t="shared" si="5"/>
        <v>0.58985913552608915</v>
      </c>
      <c r="BJ14" s="105">
        <f t="shared" si="5"/>
        <v>0.58333735147236099</v>
      </c>
      <c r="BK14" s="105">
        <f t="shared" si="5"/>
        <v>0.58333735147236099</v>
      </c>
      <c r="BL14" s="105">
        <f t="shared" si="5"/>
        <v>0.5789894954365421</v>
      </c>
      <c r="BM14" s="105">
        <f t="shared" si="5"/>
        <v>0.5789894954365421</v>
      </c>
      <c r="BN14" s="105">
        <f t="shared" si="5"/>
        <v>0.57536628207335971</v>
      </c>
      <c r="BO14" s="105">
        <f t="shared" si="5"/>
        <v>0.57536628207335971</v>
      </c>
      <c r="BP14" s="105">
        <f t="shared" si="5"/>
        <v>0.5789894954365421</v>
      </c>
      <c r="BQ14" s="105">
        <f t="shared" si="5"/>
        <v>0.5789894954365421</v>
      </c>
      <c r="BR14" s="105">
        <f t="shared" si="5"/>
        <v>0.58261270879972449</v>
      </c>
      <c r="BS14" s="105">
        <f t="shared" si="5"/>
        <v>0.5789894954365421</v>
      </c>
      <c r="BT14" s="105">
        <f t="shared" si="5"/>
        <v>0.5789894954365421</v>
      </c>
      <c r="BU14" s="105">
        <f t="shared" ref="BU14:CQ14" si="6">SUM(BU11:BU11)</f>
        <v>0.5782648527639056</v>
      </c>
      <c r="BV14" s="105">
        <f t="shared" si="6"/>
        <v>0.58261270879972449</v>
      </c>
      <c r="BW14" s="105">
        <f t="shared" si="6"/>
        <v>0.60725055966936448</v>
      </c>
      <c r="BX14" s="105">
        <f t="shared" si="6"/>
        <v>0.66667125882555534</v>
      </c>
      <c r="BY14" s="105">
        <f t="shared" si="6"/>
        <v>0.68116411227828477</v>
      </c>
      <c r="BZ14" s="105">
        <f t="shared" si="6"/>
        <v>0.7231933872912002</v>
      </c>
      <c r="CA14" s="105">
        <f t="shared" si="6"/>
        <v>0.69565696573101421</v>
      </c>
      <c r="CB14" s="105">
        <f t="shared" si="6"/>
        <v>0.66232340278973656</v>
      </c>
      <c r="CC14" s="105">
        <f t="shared" si="6"/>
        <v>0.63043912519373169</v>
      </c>
      <c r="CD14" s="105">
        <f t="shared" si="6"/>
        <v>0.62319269846736691</v>
      </c>
      <c r="CE14" s="105">
        <f t="shared" si="6"/>
        <v>0.62319269846736691</v>
      </c>
      <c r="CF14" s="105">
        <f t="shared" si="6"/>
        <v>0.6282651971758223</v>
      </c>
      <c r="CG14" s="105">
        <f t="shared" si="6"/>
        <v>0.61232305837781986</v>
      </c>
      <c r="CH14" s="105">
        <f t="shared" si="6"/>
        <v>0.61159841570518336</v>
      </c>
      <c r="CI14" s="105">
        <f t="shared" si="6"/>
        <v>0.61159841570518336</v>
      </c>
      <c r="CJ14" s="105">
        <f t="shared" si="6"/>
        <v>0.61159841570518336</v>
      </c>
      <c r="CK14" s="105">
        <f t="shared" si="6"/>
        <v>0.61159841570518336</v>
      </c>
      <c r="CL14" s="105">
        <f t="shared" si="6"/>
        <v>0.59927949027036331</v>
      </c>
      <c r="CM14" s="105">
        <f t="shared" si="6"/>
        <v>0.59275770621663504</v>
      </c>
      <c r="CN14" s="105">
        <f t="shared" si="6"/>
        <v>0.58985913552608915</v>
      </c>
      <c r="CO14" s="105">
        <f t="shared" si="6"/>
        <v>0.58696056483554337</v>
      </c>
      <c r="CP14" s="105">
        <f t="shared" si="6"/>
        <v>0.59927949027036331</v>
      </c>
      <c r="CQ14" s="105">
        <f t="shared" si="6"/>
        <v>0.59927949027036331</v>
      </c>
      <c r="CR14" s="105">
        <f>SUM(CR11:CR11)</f>
        <v>0.59927949027036331</v>
      </c>
      <c r="CS14" s="105">
        <f>SUM(CS11:CS11)</f>
        <v>0.59275770621663504</v>
      </c>
      <c r="CT14" s="105">
        <f>SUM(CT11:CT11)</f>
        <v>0.59275770621663504</v>
      </c>
      <c r="CU14" s="105">
        <f>SUM(CU11:CU11)</f>
        <v>0.59275770621663504</v>
      </c>
      <c r="CV14" s="105">
        <f>SUM(CV11:CV11)</f>
        <v>0.61594627174100225</v>
      </c>
      <c r="CW14" s="105">
        <f t="shared" ref="CW14:DF14" si="7">SUM(CW11:CW11)</f>
        <v>0.65870018942655417</v>
      </c>
      <c r="CX14" s="105">
        <f t="shared" si="7"/>
        <v>0.65870018942655417</v>
      </c>
      <c r="CY14" s="105">
        <f t="shared" si="7"/>
        <v>0.66522197348028245</v>
      </c>
      <c r="CZ14" s="105">
        <f t="shared" si="7"/>
        <v>0.66522197348028245</v>
      </c>
      <c r="DA14" s="105">
        <f t="shared" si="7"/>
        <v>0.66522197348028245</v>
      </c>
      <c r="DB14" s="105">
        <f t="shared" si="7"/>
        <v>0.66522197348028245</v>
      </c>
      <c r="DC14" s="105">
        <f t="shared" si="7"/>
        <v>0.64783054933700701</v>
      </c>
      <c r="DD14" s="105">
        <f t="shared" si="7"/>
        <v>0.6014534182882727</v>
      </c>
      <c r="DE14" s="105">
        <f t="shared" si="7"/>
        <v>0.6014534182882727</v>
      </c>
      <c r="DF14" s="105">
        <f t="shared" si="7"/>
        <v>0.58623592216290688</v>
      </c>
      <c r="DG14" s="105">
        <f t="shared" ref="DG14:EF14" si="8">SUM(DG11:DG11)</f>
        <v>0.5789894954365421</v>
      </c>
      <c r="DH14" s="105">
        <f t="shared" si="8"/>
        <v>0.5789894954365421</v>
      </c>
      <c r="DI14" s="105">
        <f t="shared" si="8"/>
        <v>0.58261270879972449</v>
      </c>
      <c r="DJ14" s="105">
        <f t="shared" si="8"/>
        <v>0.59420699156190804</v>
      </c>
      <c r="DK14" s="105">
        <f t="shared" si="8"/>
        <v>0.59565627690718093</v>
      </c>
      <c r="DL14" s="105">
        <f t="shared" si="8"/>
        <v>0.60000413294299981</v>
      </c>
      <c r="DM14" s="105">
        <f t="shared" si="8"/>
        <v>0.60435198897881859</v>
      </c>
      <c r="DN14" s="105">
        <f t="shared" si="8"/>
        <v>0.59348234888927154</v>
      </c>
      <c r="DO14" s="105">
        <f t="shared" si="8"/>
        <v>0.59710556225245393</v>
      </c>
      <c r="DP14" s="105">
        <f t="shared" si="8"/>
        <v>0.59710556225245393</v>
      </c>
      <c r="DQ14" s="105">
        <f t="shared" si="8"/>
        <v>0.59710556225245393</v>
      </c>
      <c r="DR14" s="105">
        <f t="shared" si="8"/>
        <v>0.59710556225245393</v>
      </c>
      <c r="DS14" s="105">
        <f t="shared" si="8"/>
        <v>0.6007287756156362</v>
      </c>
      <c r="DT14" s="105">
        <f t="shared" si="8"/>
        <v>0</v>
      </c>
      <c r="DU14" s="105">
        <f t="shared" si="8"/>
        <v>0</v>
      </c>
      <c r="DV14" s="105">
        <f t="shared" si="8"/>
        <v>0</v>
      </c>
      <c r="DW14" s="105">
        <f t="shared" si="8"/>
        <v>0</v>
      </c>
      <c r="DX14" s="105">
        <f t="shared" si="8"/>
        <v>0</v>
      </c>
      <c r="DY14" s="105">
        <f t="shared" si="8"/>
        <v>0</v>
      </c>
      <c r="DZ14" s="105">
        <f t="shared" si="8"/>
        <v>0</v>
      </c>
      <c r="EA14" s="105">
        <f t="shared" si="8"/>
        <v>0</v>
      </c>
      <c r="EB14" s="105">
        <f t="shared" si="8"/>
        <v>0</v>
      </c>
      <c r="EC14" s="105">
        <f t="shared" si="8"/>
        <v>0</v>
      </c>
      <c r="ED14" s="105">
        <f t="shared" si="8"/>
        <v>0</v>
      </c>
      <c r="EE14" s="105">
        <f t="shared" si="8"/>
        <v>0</v>
      </c>
      <c r="EF14" s="105">
        <f t="shared" si="8"/>
        <v>0</v>
      </c>
    </row>
    <row r="15" spans="1:138" s="104" customFormat="1">
      <c r="H15" s="60"/>
      <c r="I15" s="105"/>
      <c r="J15" s="105"/>
      <c r="K15" s="105"/>
      <c r="L15" s="105"/>
      <c r="M15" s="105"/>
      <c r="N15" s="105"/>
      <c r="O15" s="105"/>
      <c r="P15" s="105"/>
      <c r="Q15" s="105"/>
      <c r="R15" s="105"/>
      <c r="S15" s="105"/>
      <c r="T15" s="105"/>
      <c r="U15" s="105"/>
      <c r="V15" s="105"/>
      <c r="W15" s="105"/>
      <c r="X15" s="105"/>
      <c r="Y15" s="105"/>
      <c r="Z15" s="105"/>
      <c r="AA15" s="105"/>
      <c r="AB15" s="105"/>
      <c r="AC15" s="105"/>
      <c r="AD15" s="105"/>
      <c r="AE15" s="105"/>
      <c r="AF15" s="105"/>
      <c r="AG15" s="105"/>
      <c r="AH15" s="105"/>
      <c r="AI15" s="105"/>
      <c r="AJ15" s="105"/>
      <c r="AK15" s="105"/>
      <c r="AL15" s="105"/>
      <c r="AM15" s="105"/>
      <c r="AN15" s="105"/>
      <c r="AO15" s="105"/>
      <c r="AP15" s="105"/>
      <c r="AQ15" s="105"/>
      <c r="AR15" s="105"/>
      <c r="AS15" s="105"/>
      <c r="AT15" s="105"/>
      <c r="AU15" s="105"/>
      <c r="AV15" s="105"/>
      <c r="AW15" s="105"/>
      <c r="AX15" s="105"/>
      <c r="AY15" s="105"/>
      <c r="AZ15" s="105"/>
      <c r="BA15" s="105"/>
      <c r="BB15" s="105"/>
      <c r="BC15" s="105"/>
      <c r="BD15" s="105"/>
      <c r="BE15" s="105"/>
      <c r="BF15" s="105"/>
      <c r="BG15" s="105"/>
      <c r="BH15" s="105"/>
      <c r="BI15" s="105"/>
      <c r="BJ15" s="105"/>
      <c r="BK15" s="105"/>
      <c r="BL15" s="105"/>
      <c r="BM15" s="105"/>
      <c r="BN15" s="105"/>
      <c r="BO15" s="105"/>
      <c r="BP15" s="105"/>
      <c r="BQ15" s="105"/>
      <c r="BR15" s="105"/>
      <c r="BS15" s="105"/>
      <c r="BT15" s="105"/>
      <c r="BU15" s="105"/>
      <c r="BV15" s="105"/>
      <c r="BW15" s="105"/>
      <c r="BX15" s="105"/>
      <c r="BY15" s="105"/>
      <c r="BZ15" s="105"/>
      <c r="CA15" s="105"/>
      <c r="CB15" s="105"/>
      <c r="CC15" s="105"/>
      <c r="CD15" s="105"/>
      <c r="CE15" s="105"/>
      <c r="CF15" s="105"/>
      <c r="CG15" s="105"/>
      <c r="CH15" s="105"/>
      <c r="CI15" s="105"/>
      <c r="CJ15" s="105"/>
      <c r="CK15" s="105"/>
      <c r="CL15" s="105"/>
      <c r="CM15" s="105"/>
      <c r="CN15" s="105"/>
      <c r="CO15" s="105"/>
      <c r="CP15" s="105"/>
      <c r="CQ15" s="105"/>
      <c r="CR15" s="105"/>
      <c r="CS15" s="105"/>
      <c r="CT15" s="105"/>
      <c r="CU15" s="105"/>
      <c r="CV15" s="105"/>
      <c r="CW15" s="105"/>
      <c r="CX15" s="105"/>
      <c r="CY15" s="105"/>
      <c r="CZ15" s="105"/>
      <c r="DA15" s="105"/>
      <c r="DB15" s="105"/>
      <c r="DC15" s="105"/>
      <c r="DD15" s="105"/>
      <c r="DE15" s="105"/>
      <c r="DF15" s="105"/>
      <c r="DG15" s="105"/>
      <c r="DH15" s="105"/>
      <c r="DI15" s="105"/>
      <c r="DJ15" s="105"/>
      <c r="DK15" s="105"/>
      <c r="DL15" s="105"/>
      <c r="DM15" s="105"/>
      <c r="DN15" s="105"/>
      <c r="DO15" s="105"/>
      <c r="DP15" s="105"/>
      <c r="DQ15" s="105"/>
      <c r="DR15" s="105"/>
      <c r="DS15" s="105"/>
      <c r="DT15" s="105"/>
      <c r="DU15" s="105"/>
      <c r="DV15" s="105"/>
      <c r="DW15" s="105"/>
      <c r="DX15" s="105"/>
      <c r="DY15" s="105"/>
      <c r="DZ15" s="105"/>
      <c r="EA15" s="105"/>
      <c r="EB15" s="105"/>
      <c r="EC15" s="105"/>
      <c r="ED15" s="105"/>
      <c r="EE15" s="105"/>
      <c r="EF15" s="105"/>
    </row>
    <row r="16" spans="1:138" ht="15">
      <c r="A16" s="223" t="s">
        <v>819</v>
      </c>
      <c r="H16" s="60" t="s">
        <v>429</v>
      </c>
      <c r="I16" s="74"/>
      <c r="J16" s="74"/>
      <c r="K16" s="74"/>
      <c r="L16" s="74"/>
      <c r="M16" s="74"/>
      <c r="N16" s="74"/>
      <c r="O16" s="74"/>
      <c r="P16" s="74"/>
      <c r="Q16" s="74"/>
      <c r="R16" s="74"/>
      <c r="S16" s="74"/>
      <c r="T16" s="74"/>
      <c r="U16" s="74"/>
      <c r="V16" s="74"/>
      <c r="W16" s="74"/>
      <c r="X16" s="74"/>
      <c r="Y16" s="74"/>
      <c r="Z16" s="74"/>
      <c r="AA16" s="74"/>
      <c r="AB16" s="74"/>
      <c r="AC16" s="74"/>
      <c r="AD16" s="74"/>
      <c r="AE16" s="74"/>
      <c r="AF16" s="74"/>
      <c r="AG16" s="74"/>
      <c r="AH16" s="74"/>
      <c r="AI16" s="74"/>
      <c r="AK16" s="74"/>
      <c r="AL16" s="74"/>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c r="BM16" s="74"/>
      <c r="BN16" s="74"/>
      <c r="BO16" s="74"/>
      <c r="BP16" s="74"/>
      <c r="BQ16" s="74"/>
      <c r="BR16" s="74"/>
      <c r="BS16" s="74"/>
      <c r="BT16" s="74"/>
      <c r="BU16" s="74"/>
      <c r="BV16" s="74"/>
      <c r="BW16" s="74"/>
      <c r="BX16" s="74"/>
      <c r="BY16" s="74"/>
      <c r="BZ16" s="74"/>
      <c r="CA16" s="74"/>
      <c r="CB16" s="74"/>
      <c r="CC16" s="74"/>
      <c r="CD16" s="74"/>
      <c r="CE16" s="74"/>
      <c r="CF16" s="74"/>
      <c r="CG16" s="74"/>
      <c r="CH16" s="74"/>
      <c r="CI16" s="74"/>
      <c r="CJ16" s="74"/>
      <c r="CK16" s="74"/>
      <c r="CL16" s="74"/>
      <c r="CM16" s="74"/>
      <c r="CN16" s="74"/>
      <c r="CO16" s="74"/>
      <c r="CP16" s="74"/>
      <c r="CQ16" s="74"/>
      <c r="CR16" s="74"/>
      <c r="CS16" s="74"/>
      <c r="CT16" s="74"/>
      <c r="CU16" s="74"/>
      <c r="CV16" s="74"/>
      <c r="CW16" s="74"/>
      <c r="CX16" s="74"/>
      <c r="CY16" s="74"/>
      <c r="CZ16" s="74"/>
      <c r="DA16" s="74"/>
      <c r="DB16" s="74"/>
      <c r="DC16" s="74"/>
      <c r="DD16" s="74"/>
      <c r="DE16" s="74"/>
      <c r="DF16" s="74"/>
      <c r="DG16" s="74"/>
      <c r="DH16" s="74"/>
      <c r="DI16" s="74"/>
      <c r="DJ16" s="74"/>
      <c r="DK16" s="74"/>
      <c r="DL16" s="74"/>
      <c r="DM16" s="74"/>
      <c r="DN16" s="74"/>
      <c r="DO16" s="74"/>
      <c r="DP16" s="74"/>
      <c r="DQ16" s="74"/>
      <c r="DR16" s="74"/>
      <c r="DS16" s="74"/>
      <c r="DT16" s="74"/>
      <c r="DU16" s="74"/>
      <c r="DV16" s="74"/>
      <c r="DW16" s="74"/>
      <c r="DX16" s="74"/>
      <c r="DY16" s="74"/>
      <c r="DZ16" s="74"/>
      <c r="EA16" s="74"/>
      <c r="EB16" s="74"/>
      <c r="EC16" s="74"/>
      <c r="ED16" s="74"/>
      <c r="EE16" s="74"/>
      <c r="EF16" s="74"/>
    </row>
    <row r="17" spans="8:136">
      <c r="H17" s="60" t="s">
        <v>406</v>
      </c>
      <c r="I17" s="74"/>
      <c r="J17" s="74"/>
      <c r="K17" s="74"/>
      <c r="L17" s="74"/>
      <c r="M17" s="74"/>
      <c r="N17" s="74"/>
      <c r="O17" s="74"/>
      <c r="P17" s="74"/>
      <c r="Q17" s="74"/>
      <c r="R17" s="74"/>
      <c r="S17" s="74"/>
      <c r="T17" s="74"/>
      <c r="U17" s="74"/>
      <c r="V17" s="74"/>
      <c r="W17" s="74"/>
      <c r="X17" s="74"/>
      <c r="Y17" s="74"/>
      <c r="Z17" s="74"/>
      <c r="AA17" s="74"/>
      <c r="AB17" s="74"/>
      <c r="AC17" s="74"/>
      <c r="AD17" s="74"/>
      <c r="AE17" s="74"/>
      <c r="AF17" s="74"/>
      <c r="AG17" s="74"/>
      <c r="AH17" s="74"/>
      <c r="AI17" s="74"/>
      <c r="AK17" s="74"/>
      <c r="AL17" s="74"/>
      <c r="AM17" s="74"/>
      <c r="AN17" s="74"/>
      <c r="AO17" s="74"/>
      <c r="AP17" s="74"/>
      <c r="AQ17" s="74"/>
      <c r="AR17" s="74"/>
      <c r="AS17" s="74"/>
      <c r="AT17" s="74"/>
      <c r="AU17" s="74"/>
      <c r="AV17" s="74"/>
      <c r="AW17" s="74"/>
      <c r="AX17" s="74"/>
      <c r="AY17" s="74"/>
      <c r="AZ17" s="74"/>
      <c r="BA17" s="74"/>
      <c r="BB17" s="74"/>
      <c r="BC17" s="74"/>
      <c r="BD17" s="74"/>
      <c r="BE17" s="74"/>
      <c r="BF17" s="74"/>
      <c r="BG17" s="74"/>
      <c r="BH17" s="74"/>
      <c r="BI17" s="74"/>
      <c r="BJ17" s="74"/>
      <c r="BK17" s="74"/>
      <c r="BL17" s="74"/>
      <c r="BM17" s="74"/>
      <c r="BN17" s="74"/>
      <c r="BO17" s="74"/>
      <c r="BP17" s="74"/>
      <c r="BQ17" s="74"/>
      <c r="BR17" s="74"/>
      <c r="BS17" s="74"/>
      <c r="BT17" s="74"/>
      <c r="BU17" s="74"/>
      <c r="BV17" s="74"/>
      <c r="BW17" s="74"/>
      <c r="BX17" s="74"/>
      <c r="BY17" s="74"/>
      <c r="BZ17" s="74"/>
      <c r="CA17" s="74"/>
      <c r="CB17" s="74"/>
      <c r="CC17" s="74"/>
      <c r="CD17" s="74"/>
      <c r="CE17" s="74"/>
      <c r="CF17" s="74"/>
      <c r="CG17" s="74"/>
      <c r="CH17" s="74"/>
      <c r="CI17" s="74"/>
      <c r="CJ17" s="74"/>
      <c r="CK17" s="74"/>
      <c r="CL17" s="74"/>
      <c r="CM17" s="74"/>
      <c r="CN17" s="74"/>
      <c r="CO17" s="74"/>
      <c r="CP17" s="74"/>
      <c r="CQ17" s="74"/>
      <c r="CR17" s="74"/>
      <c r="CS17" s="74"/>
      <c r="CT17" s="74"/>
      <c r="CU17" s="74"/>
      <c r="CV17" s="74"/>
      <c r="CW17" s="74"/>
      <c r="CX17" s="74"/>
      <c r="CY17" s="74"/>
      <c r="CZ17" s="74"/>
      <c r="DA17" s="74"/>
      <c r="DB17" s="74"/>
      <c r="DC17" s="74"/>
      <c r="DD17" s="74"/>
      <c r="DE17" s="74"/>
      <c r="DF17" s="74"/>
      <c r="DG17" s="74"/>
      <c r="DH17" s="74"/>
      <c r="DI17" s="74"/>
      <c r="DJ17" s="74"/>
      <c r="DK17" s="74"/>
      <c r="DL17" s="74"/>
      <c r="DM17" s="74"/>
      <c r="DN17" s="74"/>
      <c r="DO17" s="74"/>
      <c r="DP17" s="74"/>
      <c r="DQ17" s="74"/>
      <c r="DR17" s="74"/>
      <c r="DS17" s="74"/>
      <c r="DT17" s="74"/>
      <c r="DU17" s="74"/>
      <c r="DV17" s="74"/>
      <c r="DW17" s="74"/>
      <c r="DX17" s="74"/>
      <c r="DY17" s="74"/>
      <c r="DZ17" s="74"/>
      <c r="EA17" s="74"/>
      <c r="EB17" s="74"/>
      <c r="EC17" s="74"/>
      <c r="ED17" s="74"/>
      <c r="EE17" s="74"/>
      <c r="EF17" s="74"/>
    </row>
    <row r="19" spans="8:136" ht="13" thickBot="1"/>
    <row r="20" spans="8:136" s="73" customFormat="1" ht="13" thickBot="1">
      <c r="H20" s="257" t="s">
        <v>800</v>
      </c>
      <c r="I20" s="258">
        <f>+I14</f>
        <v>0.68841053900464955</v>
      </c>
      <c r="J20" s="258">
        <f t="shared" ref="J20:BU20" si="9">+J14</f>
        <v>0.58696056483554337</v>
      </c>
      <c r="K20" s="258">
        <f t="shared" si="9"/>
        <v>0.56522128465644916</v>
      </c>
      <c r="L20" s="258">
        <f t="shared" si="9"/>
        <v>0.40579989667642502</v>
      </c>
      <c r="M20" s="258">
        <f t="shared" si="9"/>
        <v>0.49275701739280181</v>
      </c>
      <c r="N20" s="258">
        <f t="shared" si="9"/>
        <v>0.52174272429826063</v>
      </c>
      <c r="O20" s="258">
        <f t="shared" si="9"/>
        <v>0.56522128465644916</v>
      </c>
      <c r="P20" s="258">
        <f t="shared" si="9"/>
        <v>0.56522128465644916</v>
      </c>
      <c r="Q20" s="258">
        <f t="shared" si="9"/>
        <v>0.61594627174100225</v>
      </c>
      <c r="R20" s="258">
        <f t="shared" si="9"/>
        <v>0.62319269846736691</v>
      </c>
      <c r="S20" s="258">
        <f t="shared" si="9"/>
        <v>0.61594627174100225</v>
      </c>
      <c r="T20" s="258">
        <f t="shared" si="9"/>
        <v>0.68116411227828477</v>
      </c>
      <c r="U20" s="258">
        <f t="shared" si="9"/>
        <v>0.66667125882555534</v>
      </c>
      <c r="V20" s="258">
        <f t="shared" si="9"/>
        <v>0.67391768555192011</v>
      </c>
      <c r="W20" s="258">
        <f t="shared" si="9"/>
        <v>0.83333907353194414</v>
      </c>
      <c r="X20" s="258">
        <f t="shared" si="9"/>
        <v>0.76812123299466162</v>
      </c>
      <c r="Y20" s="258">
        <f t="shared" si="9"/>
        <v>0.78986051317375583</v>
      </c>
      <c r="Z20" s="258">
        <f t="shared" si="9"/>
        <v>0.66667125882555534</v>
      </c>
      <c r="AA20" s="258">
        <f t="shared" si="9"/>
        <v>0.68116411227828477</v>
      </c>
      <c r="AB20" s="258">
        <f t="shared" si="9"/>
        <v>0.68116411227828477</v>
      </c>
      <c r="AC20" s="258">
        <f t="shared" si="9"/>
        <v>0.68116411227828477</v>
      </c>
      <c r="AD20" s="258">
        <f t="shared" si="9"/>
        <v>0.73913552608920263</v>
      </c>
      <c r="AE20" s="258">
        <f t="shared" si="9"/>
        <v>0.69565696573101421</v>
      </c>
      <c r="AF20" s="258">
        <f t="shared" si="9"/>
        <v>0.6521784053728259</v>
      </c>
      <c r="AG20" s="258">
        <f t="shared" si="9"/>
        <v>0.68841053900464955</v>
      </c>
      <c r="AH20" s="258">
        <f t="shared" si="9"/>
        <v>0.86957120716376779</v>
      </c>
      <c r="AI20" s="258">
        <f t="shared" si="9"/>
        <v>0.95652832788014464</v>
      </c>
      <c r="AJ20" s="258">
        <f t="shared" si="9"/>
        <v>0.93478904770105042</v>
      </c>
      <c r="AK20" s="258">
        <f t="shared" si="9"/>
        <v>0.86957120716376779</v>
      </c>
      <c r="AL20" s="258">
        <f t="shared" si="9"/>
        <v>0.75362837954193218</v>
      </c>
      <c r="AM20" s="258">
        <f t="shared" si="9"/>
        <v>0.68841053900464955</v>
      </c>
      <c r="AN20" s="258">
        <f t="shared" si="9"/>
        <v>0.64493197864646112</v>
      </c>
      <c r="AO20" s="258">
        <f t="shared" si="9"/>
        <v>0.64493197864646112</v>
      </c>
      <c r="AP20" s="258">
        <f t="shared" si="9"/>
        <v>0.64493197864646112</v>
      </c>
      <c r="AQ20" s="258">
        <f t="shared" si="9"/>
        <v>0.61594627174100225</v>
      </c>
      <c r="AR20" s="258">
        <f t="shared" si="9"/>
        <v>0.63768555192009646</v>
      </c>
      <c r="AS20" s="258">
        <f t="shared" si="9"/>
        <v>0.63768555192009646</v>
      </c>
      <c r="AT20" s="258">
        <f t="shared" si="9"/>
        <v>0.71014981918374376</v>
      </c>
      <c r="AU20" s="258">
        <f t="shared" si="9"/>
        <v>0.66667125882555534</v>
      </c>
      <c r="AV20" s="258">
        <f t="shared" si="9"/>
        <v>0.68116411227828477</v>
      </c>
      <c r="AW20" s="258">
        <f t="shared" si="9"/>
        <v>0.64493197864646112</v>
      </c>
      <c r="AX20" s="258">
        <f t="shared" si="9"/>
        <v>0.54348200447735495</v>
      </c>
      <c r="AY20" s="258">
        <f t="shared" si="9"/>
        <v>0.5289891510246254</v>
      </c>
      <c r="AZ20" s="258">
        <f t="shared" si="9"/>
        <v>0.5289891510246254</v>
      </c>
      <c r="BA20" s="258">
        <f t="shared" si="9"/>
        <v>0.54638057516790084</v>
      </c>
      <c r="BB20" s="258">
        <f t="shared" si="9"/>
        <v>0.56377199931117616</v>
      </c>
      <c r="BC20" s="258">
        <f t="shared" si="9"/>
        <v>0.56884449801963144</v>
      </c>
      <c r="BD20" s="258">
        <f t="shared" si="9"/>
        <v>0.59783020492509031</v>
      </c>
      <c r="BE20" s="258">
        <f t="shared" si="9"/>
        <v>0.61884484243154814</v>
      </c>
      <c r="BF20" s="258">
        <f t="shared" si="9"/>
        <v>0.61884484243154814</v>
      </c>
      <c r="BG20" s="258">
        <f t="shared" si="9"/>
        <v>0.61014913035991036</v>
      </c>
      <c r="BH20" s="258">
        <f t="shared" si="9"/>
        <v>0.6014534182882727</v>
      </c>
      <c r="BI20" s="258">
        <f t="shared" si="9"/>
        <v>0.58985913552608915</v>
      </c>
      <c r="BJ20" s="258">
        <f t="shared" si="9"/>
        <v>0.58333735147236099</v>
      </c>
      <c r="BK20" s="258">
        <f t="shared" si="9"/>
        <v>0.58333735147236099</v>
      </c>
      <c r="BL20" s="258">
        <f t="shared" si="9"/>
        <v>0.5789894954365421</v>
      </c>
      <c r="BM20" s="258">
        <f t="shared" si="9"/>
        <v>0.5789894954365421</v>
      </c>
      <c r="BN20" s="258">
        <f t="shared" si="9"/>
        <v>0.57536628207335971</v>
      </c>
      <c r="BO20" s="258">
        <f t="shared" si="9"/>
        <v>0.57536628207335971</v>
      </c>
      <c r="BP20" s="258">
        <f t="shared" si="9"/>
        <v>0.5789894954365421</v>
      </c>
      <c r="BQ20" s="258">
        <f t="shared" si="9"/>
        <v>0.5789894954365421</v>
      </c>
      <c r="BR20" s="258">
        <f t="shared" si="9"/>
        <v>0.58261270879972449</v>
      </c>
      <c r="BS20" s="258">
        <f t="shared" si="9"/>
        <v>0.5789894954365421</v>
      </c>
      <c r="BT20" s="258">
        <f t="shared" si="9"/>
        <v>0.5789894954365421</v>
      </c>
      <c r="BU20" s="258">
        <f t="shared" si="9"/>
        <v>0.5782648527639056</v>
      </c>
      <c r="BV20" s="258">
        <f t="shared" ref="BV20:CR20" si="10">+BV14</f>
        <v>0.58261270879972449</v>
      </c>
      <c r="BW20" s="258">
        <f t="shared" si="10"/>
        <v>0.60725055966936448</v>
      </c>
      <c r="BX20" s="258">
        <f t="shared" si="10"/>
        <v>0.66667125882555534</v>
      </c>
      <c r="BY20" s="258">
        <f t="shared" si="10"/>
        <v>0.68116411227828477</v>
      </c>
      <c r="BZ20" s="258">
        <f t="shared" si="10"/>
        <v>0.7231933872912002</v>
      </c>
      <c r="CA20" s="258">
        <f t="shared" si="10"/>
        <v>0.69565696573101421</v>
      </c>
      <c r="CB20" s="258">
        <f t="shared" si="10"/>
        <v>0.66232340278973656</v>
      </c>
      <c r="CC20" s="258">
        <f t="shared" si="10"/>
        <v>0.63043912519373169</v>
      </c>
      <c r="CD20" s="258">
        <f t="shared" si="10"/>
        <v>0.62319269846736691</v>
      </c>
      <c r="CE20" s="258">
        <f t="shared" si="10"/>
        <v>0.62319269846736691</v>
      </c>
      <c r="CF20" s="258">
        <f t="shared" si="10"/>
        <v>0.6282651971758223</v>
      </c>
      <c r="CG20" s="258">
        <f t="shared" si="10"/>
        <v>0.61232305837781986</v>
      </c>
      <c r="CH20" s="258">
        <f t="shared" si="10"/>
        <v>0.61159841570518336</v>
      </c>
      <c r="CI20" s="258">
        <f t="shared" si="10"/>
        <v>0.61159841570518336</v>
      </c>
      <c r="CJ20" s="258">
        <f t="shared" si="10"/>
        <v>0.61159841570518336</v>
      </c>
      <c r="CK20" s="258">
        <f t="shared" si="10"/>
        <v>0.61159841570518336</v>
      </c>
      <c r="CL20" s="258">
        <f t="shared" si="10"/>
        <v>0.59927949027036331</v>
      </c>
      <c r="CM20" s="258">
        <f t="shared" si="10"/>
        <v>0.59275770621663504</v>
      </c>
      <c r="CN20" s="258">
        <f t="shared" si="10"/>
        <v>0.58985913552608915</v>
      </c>
      <c r="CO20" s="258">
        <f t="shared" si="10"/>
        <v>0.58696056483554337</v>
      </c>
      <c r="CP20" s="258">
        <f t="shared" si="10"/>
        <v>0.59927949027036331</v>
      </c>
      <c r="CQ20" s="258">
        <f t="shared" si="10"/>
        <v>0.59927949027036331</v>
      </c>
      <c r="CR20" s="258">
        <f t="shared" si="10"/>
        <v>0.59927949027036331</v>
      </c>
      <c r="CS20" s="258">
        <f>+CS14</f>
        <v>0.59275770621663504</v>
      </c>
      <c r="CT20" s="258">
        <f>+CT14</f>
        <v>0.59275770621663504</v>
      </c>
      <c r="CU20" s="258">
        <f>+CU14</f>
        <v>0.59275770621663504</v>
      </c>
      <c r="CV20" s="258">
        <f>+CV14</f>
        <v>0.61594627174100225</v>
      </c>
      <c r="CW20" s="258">
        <f t="shared" ref="CW20:DF20" si="11">+CW14</f>
        <v>0.65870018942655417</v>
      </c>
      <c r="CX20" s="258">
        <f t="shared" si="11"/>
        <v>0.65870018942655417</v>
      </c>
      <c r="CY20" s="258">
        <f t="shared" si="11"/>
        <v>0.66522197348028245</v>
      </c>
      <c r="CZ20" s="258">
        <f t="shared" si="11"/>
        <v>0.66522197348028245</v>
      </c>
      <c r="DA20" s="258">
        <f t="shared" si="11"/>
        <v>0.66522197348028245</v>
      </c>
      <c r="DB20" s="258">
        <f t="shared" si="11"/>
        <v>0.66522197348028245</v>
      </c>
      <c r="DC20" s="258">
        <f t="shared" si="11"/>
        <v>0.64783054933700701</v>
      </c>
      <c r="DD20" s="258">
        <f t="shared" si="11"/>
        <v>0.6014534182882727</v>
      </c>
      <c r="DE20" s="258">
        <f t="shared" si="11"/>
        <v>0.6014534182882727</v>
      </c>
      <c r="DF20" s="258">
        <f t="shared" si="11"/>
        <v>0.58623592216290688</v>
      </c>
      <c r="DG20" s="258">
        <f t="shared" ref="DG20:EF20" si="12">+DG14</f>
        <v>0.5789894954365421</v>
      </c>
      <c r="DH20" s="258">
        <f t="shared" si="12"/>
        <v>0.5789894954365421</v>
      </c>
      <c r="DI20" s="258">
        <f t="shared" si="12"/>
        <v>0.58261270879972449</v>
      </c>
      <c r="DJ20" s="258">
        <f t="shared" si="12"/>
        <v>0.59420699156190804</v>
      </c>
      <c r="DK20" s="258">
        <f t="shared" si="12"/>
        <v>0.59565627690718093</v>
      </c>
      <c r="DL20" s="258">
        <f t="shared" si="12"/>
        <v>0.60000413294299981</v>
      </c>
      <c r="DM20" s="258">
        <f t="shared" si="12"/>
        <v>0.60435198897881859</v>
      </c>
      <c r="DN20" s="258">
        <f t="shared" si="12"/>
        <v>0.59348234888927154</v>
      </c>
      <c r="DO20" s="258">
        <f t="shared" si="12"/>
        <v>0.59710556225245393</v>
      </c>
      <c r="DP20" s="258">
        <f t="shared" si="12"/>
        <v>0.59710556225245393</v>
      </c>
      <c r="DQ20" s="258">
        <f t="shared" si="12"/>
        <v>0.59710556225245393</v>
      </c>
      <c r="DR20" s="258">
        <f t="shared" si="12"/>
        <v>0.59710556225245393</v>
      </c>
      <c r="DS20" s="258">
        <f t="shared" si="12"/>
        <v>0.6007287756156362</v>
      </c>
      <c r="DT20" s="258">
        <f t="shared" si="12"/>
        <v>0</v>
      </c>
      <c r="DU20" s="258">
        <f t="shared" si="12"/>
        <v>0</v>
      </c>
      <c r="DV20" s="258">
        <f t="shared" si="12"/>
        <v>0</v>
      </c>
      <c r="DW20" s="258">
        <f t="shared" si="12"/>
        <v>0</v>
      </c>
      <c r="DX20" s="258">
        <f t="shared" si="12"/>
        <v>0</v>
      </c>
      <c r="DY20" s="258">
        <f t="shared" si="12"/>
        <v>0</v>
      </c>
      <c r="DZ20" s="258">
        <f t="shared" si="12"/>
        <v>0</v>
      </c>
      <c r="EA20" s="258">
        <f t="shared" si="12"/>
        <v>0</v>
      </c>
      <c r="EB20" s="258">
        <f t="shared" si="12"/>
        <v>0</v>
      </c>
      <c r="EC20" s="258">
        <f t="shared" si="12"/>
        <v>0</v>
      </c>
      <c r="ED20" s="258">
        <f t="shared" si="12"/>
        <v>0</v>
      </c>
      <c r="EE20" s="258">
        <f t="shared" si="12"/>
        <v>0</v>
      </c>
      <c r="EF20" s="258">
        <f t="shared" si="12"/>
        <v>0</v>
      </c>
    </row>
  </sheetData>
  <pageMargins left="0.7" right="0.7" top="0.75" bottom="0.75" header="0.3" footer="0.3"/>
  <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EK20"/>
  <sheetViews>
    <sheetView workbookViewId="0">
      <pane xSplit="11" ySplit="7" topLeftCell="Y8" activePane="bottomRight" state="frozen"/>
      <selection pane="topRight" activeCell="L1" sqref="L1"/>
      <selection pane="bottomLeft" activeCell="A7" sqref="A7"/>
      <selection pane="bottomRight" activeCell="AF9" sqref="AF9"/>
    </sheetView>
  </sheetViews>
  <sheetFormatPr baseColWidth="10" defaultColWidth="22.6640625" defaultRowHeight="12"/>
  <cols>
    <col min="1" max="1" width="16.1640625" style="60" bestFit="1" customWidth="1"/>
    <col min="2" max="2" width="13.1640625" style="60" bestFit="1" customWidth="1"/>
    <col min="3" max="3" width="4.83203125" style="60" bestFit="1" customWidth="1"/>
    <col min="4" max="4" width="12.33203125" style="60" bestFit="1" customWidth="1"/>
    <col min="5" max="5" width="18.83203125" style="60" bestFit="1" customWidth="1"/>
    <col min="6" max="6" width="6.5" style="60" bestFit="1" customWidth="1"/>
    <col min="7" max="7" width="4.1640625" style="60" bestFit="1" customWidth="1"/>
    <col min="8" max="8" width="22.83203125" style="60" bestFit="1" customWidth="1"/>
    <col min="9" max="9" width="6.5" style="60" customWidth="1"/>
    <col min="10" max="11" width="6.1640625" style="60" bestFit="1" customWidth="1"/>
    <col min="12" max="12" width="5.5" style="60" bestFit="1" customWidth="1"/>
    <col min="13" max="13" width="5.83203125" style="60" bestFit="1" customWidth="1"/>
    <col min="14" max="18" width="5.5" style="60" bestFit="1" customWidth="1"/>
    <col min="19" max="19" width="5.6640625" style="60" bestFit="1" customWidth="1"/>
    <col min="20" max="20" width="6.1640625" style="60" bestFit="1" customWidth="1"/>
    <col min="21" max="21" width="5.5" style="60" bestFit="1" customWidth="1"/>
    <col min="22" max="26" width="6.1640625" style="60" bestFit="1" customWidth="1"/>
    <col min="27" max="30" width="5.5" style="60" bestFit="1" customWidth="1"/>
    <col min="31" max="31" width="5.6640625" style="60" bestFit="1" customWidth="1"/>
    <col min="32" max="34" width="5.5" style="60" bestFit="1" customWidth="1"/>
    <col min="35" max="35" width="5.6640625" style="60" bestFit="1" customWidth="1"/>
    <col min="36" max="36" width="5.5" style="60" bestFit="1" customWidth="1"/>
    <col min="37" max="37" width="5.83203125" style="60" bestFit="1" customWidth="1"/>
    <col min="38" max="42" width="5.5" style="60" bestFit="1" customWidth="1"/>
    <col min="43" max="43" width="5.6640625" style="60" bestFit="1" customWidth="1"/>
    <col min="44" max="46" width="5.5" style="60" bestFit="1" customWidth="1"/>
    <col min="47" max="47" width="5.6640625" style="60" bestFit="1" customWidth="1"/>
    <col min="48" max="48" width="5.5" style="60" bestFit="1" customWidth="1"/>
    <col min="49" max="49" width="5.83203125" style="60" bestFit="1" customWidth="1"/>
    <col min="50" max="51" width="5.5" style="60" bestFit="1" customWidth="1"/>
    <col min="52" max="54" width="7" style="60" bestFit="1" customWidth="1"/>
    <col min="55" max="56" width="5.5" style="60" bestFit="1" customWidth="1"/>
    <col min="57" max="58" width="5.83203125" style="60" bestFit="1" customWidth="1"/>
    <col min="59" max="70" width="5.6640625" style="60" bestFit="1" customWidth="1"/>
    <col min="71" max="80" width="5.5" style="60" bestFit="1" customWidth="1"/>
    <col min="81" max="90" width="6.1640625" style="60" bestFit="1" customWidth="1"/>
    <col min="91" max="95" width="6.33203125" style="60" bestFit="1" customWidth="1"/>
    <col min="96" max="99" width="6.1640625" style="60" bestFit="1" customWidth="1"/>
    <col min="100" max="102" width="5.1640625" style="60" bestFit="1" customWidth="1"/>
    <col min="103" max="103" width="5.5" style="60" bestFit="1" customWidth="1"/>
    <col min="104" max="105" width="6.1640625" style="60" bestFit="1" customWidth="1"/>
    <col min="106" max="16384" width="22.6640625" style="60"/>
  </cols>
  <sheetData>
    <row r="1" spans="1:141" ht="13">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row>
    <row r="2" spans="1:141">
      <c r="A2" s="59"/>
      <c r="B2" s="59"/>
      <c r="C2" s="59"/>
      <c r="D2" s="98"/>
      <c r="E2" s="98"/>
      <c r="F2" s="59"/>
      <c r="H2" s="99"/>
      <c r="I2" s="99"/>
      <c r="J2" s="99"/>
      <c r="K2" s="99"/>
      <c r="L2" s="99"/>
      <c r="M2" s="99"/>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99"/>
      <c r="AP2" s="99"/>
      <c r="AQ2" s="99"/>
      <c r="AR2" s="99"/>
      <c r="AS2" s="99"/>
      <c r="AT2" s="99"/>
      <c r="AU2" s="99"/>
      <c r="AV2" s="99"/>
      <c r="AW2" s="99"/>
      <c r="AX2" s="99"/>
      <c r="AY2" s="99"/>
      <c r="AZ2" s="99"/>
      <c r="BA2" s="99"/>
      <c r="BB2" s="99"/>
      <c r="BC2" s="99"/>
      <c r="BD2" s="99"/>
      <c r="BE2" s="99"/>
      <c r="BF2" s="99"/>
      <c r="BG2" s="99"/>
      <c r="BH2" s="99"/>
      <c r="BI2" s="99"/>
      <c r="BJ2" s="99"/>
      <c r="BK2" s="99"/>
      <c r="BL2" s="99"/>
      <c r="BM2" s="99"/>
      <c r="BN2" s="99"/>
      <c r="BO2" s="99"/>
      <c r="BP2" s="99"/>
      <c r="BQ2" s="99"/>
      <c r="BR2" s="99"/>
      <c r="BS2" s="99"/>
      <c r="BT2" s="99"/>
      <c r="BU2" s="99"/>
      <c r="BV2" s="99"/>
      <c r="BW2" s="99"/>
      <c r="BX2" s="99"/>
      <c r="BY2" s="99"/>
      <c r="BZ2" s="99"/>
      <c r="CA2" s="99"/>
      <c r="CB2" s="99"/>
      <c r="CC2" s="99"/>
      <c r="CD2" s="99"/>
      <c r="CE2" s="99"/>
      <c r="CF2" s="99"/>
      <c r="CG2" s="99"/>
      <c r="CH2" s="99"/>
      <c r="CI2" s="99"/>
      <c r="CJ2" s="99"/>
      <c r="CK2" s="99"/>
      <c r="CL2" s="99"/>
      <c r="CM2" s="99"/>
      <c r="CN2" s="99"/>
    </row>
    <row r="3" spans="1:141" ht="15">
      <c r="A3" s="1" t="s">
        <v>64</v>
      </c>
      <c r="B3" s="100"/>
      <c r="C3" s="101"/>
      <c r="D3" s="282">
        <v>58.08</v>
      </c>
      <c r="K3" s="102"/>
      <c r="M3" s="102"/>
    </row>
    <row r="4" spans="1:141">
      <c r="A4" s="36"/>
      <c r="B4" s="64"/>
      <c r="D4" s="100"/>
      <c r="E4" s="64"/>
      <c r="F4" s="103"/>
    </row>
    <row r="5" spans="1:141">
      <c r="A5" s="64"/>
      <c r="B5" s="64"/>
      <c r="D5" s="64"/>
      <c r="E5" s="64"/>
      <c r="H5" s="60" t="s">
        <v>387</v>
      </c>
    </row>
    <row r="6" spans="1:141">
      <c r="A6" s="74"/>
      <c r="B6" s="74"/>
    </row>
    <row r="7" spans="1:141">
      <c r="A7" s="59"/>
      <c r="B7" s="59"/>
      <c r="C7" s="59"/>
      <c r="D7" s="98"/>
      <c r="E7" s="98"/>
      <c r="F7" s="59"/>
      <c r="H7" s="59" t="s">
        <v>416</v>
      </c>
      <c r="I7" s="59">
        <v>43831</v>
      </c>
      <c r="J7" s="59">
        <v>43862</v>
      </c>
      <c r="K7" s="59">
        <v>43891</v>
      </c>
      <c r="L7" s="59">
        <v>43922</v>
      </c>
      <c r="M7" s="59">
        <v>43952</v>
      </c>
      <c r="N7" s="59">
        <v>43983</v>
      </c>
      <c r="O7" s="59">
        <v>44013</v>
      </c>
      <c r="P7" s="59">
        <v>44044</v>
      </c>
      <c r="Q7" s="59">
        <v>44075</v>
      </c>
      <c r="R7" s="59">
        <v>44105</v>
      </c>
      <c r="S7" s="59">
        <v>44136</v>
      </c>
      <c r="T7" s="59">
        <v>44166</v>
      </c>
      <c r="U7" s="59">
        <v>44197</v>
      </c>
      <c r="V7" s="59">
        <v>44228</v>
      </c>
      <c r="W7" s="59">
        <v>44256</v>
      </c>
      <c r="X7" s="59">
        <v>44287</v>
      </c>
      <c r="Y7" s="59">
        <v>44317</v>
      </c>
      <c r="Z7" s="59">
        <v>44348</v>
      </c>
      <c r="AA7" s="59">
        <v>44378</v>
      </c>
      <c r="AB7" s="59">
        <v>44409</v>
      </c>
      <c r="AC7" s="59">
        <v>44440</v>
      </c>
      <c r="AD7" s="59">
        <v>44470</v>
      </c>
      <c r="AE7" s="59">
        <v>44501</v>
      </c>
      <c r="AF7" s="59">
        <v>44531</v>
      </c>
      <c r="AG7" s="59">
        <v>44562</v>
      </c>
      <c r="AH7" s="59">
        <v>44593</v>
      </c>
      <c r="AI7" s="59">
        <v>44621</v>
      </c>
      <c r="AJ7" s="59">
        <v>44652</v>
      </c>
      <c r="AK7" s="59">
        <v>44682</v>
      </c>
      <c r="AL7" s="59">
        <v>44713</v>
      </c>
      <c r="AM7" s="59">
        <v>44743</v>
      </c>
      <c r="AN7" s="59">
        <v>44774</v>
      </c>
      <c r="AO7" s="59">
        <v>44805</v>
      </c>
      <c r="AP7" s="59">
        <v>44835</v>
      </c>
      <c r="AQ7" s="59">
        <v>44866</v>
      </c>
      <c r="AR7" s="59">
        <v>44896</v>
      </c>
      <c r="AS7" s="59">
        <v>44927</v>
      </c>
      <c r="AT7" s="59">
        <v>44958</v>
      </c>
      <c r="AU7" s="59">
        <v>44986</v>
      </c>
      <c r="AV7" s="59">
        <v>45017</v>
      </c>
      <c r="AW7" s="59">
        <v>45047</v>
      </c>
      <c r="AX7" s="59">
        <v>45078</v>
      </c>
      <c r="AY7" s="59">
        <v>45108</v>
      </c>
      <c r="AZ7" s="59" t="s">
        <v>530</v>
      </c>
      <c r="BA7" s="59" t="s">
        <v>531</v>
      </c>
      <c r="BB7" s="59" t="s">
        <v>532</v>
      </c>
      <c r="BC7" s="59">
        <v>37104</v>
      </c>
      <c r="BD7" s="59">
        <v>37469</v>
      </c>
      <c r="BE7" s="59" t="s">
        <v>168</v>
      </c>
      <c r="BF7" s="59" t="s">
        <v>169</v>
      </c>
      <c r="BG7" s="59" t="s">
        <v>195</v>
      </c>
      <c r="BH7" s="59" t="s">
        <v>196</v>
      </c>
      <c r="BI7" s="59" t="s">
        <v>197</v>
      </c>
      <c r="BJ7" s="59" t="s">
        <v>198</v>
      </c>
      <c r="BK7" s="59" t="s">
        <v>199</v>
      </c>
      <c r="BL7" s="59" t="s">
        <v>200</v>
      </c>
      <c r="BM7" s="59" t="s">
        <v>201</v>
      </c>
      <c r="BN7" s="59" t="s">
        <v>202</v>
      </c>
      <c r="BO7" s="59">
        <v>37196</v>
      </c>
      <c r="BP7" s="59">
        <v>37561</v>
      </c>
      <c r="BQ7" s="59">
        <v>37926</v>
      </c>
      <c r="BR7" s="59">
        <v>38292</v>
      </c>
      <c r="BS7" s="59">
        <v>37226</v>
      </c>
      <c r="BT7" s="59">
        <v>37591</v>
      </c>
      <c r="BU7" s="59">
        <v>37956</v>
      </c>
      <c r="BV7" s="59">
        <v>38322</v>
      </c>
      <c r="BW7" s="59">
        <v>36892</v>
      </c>
      <c r="BX7" s="59">
        <v>37257</v>
      </c>
      <c r="BY7" s="59">
        <v>37622</v>
      </c>
      <c r="BZ7" s="59">
        <v>37987</v>
      </c>
      <c r="CA7" s="59">
        <v>36923</v>
      </c>
      <c r="CB7" s="59">
        <v>37288</v>
      </c>
      <c r="CC7" s="59">
        <v>37653</v>
      </c>
      <c r="CD7" s="59">
        <v>38018</v>
      </c>
      <c r="CE7" s="59" t="str">
        <f>Sheet8!A15</f>
        <v>Mar-w1</v>
      </c>
      <c r="CF7" s="59">
        <v>37316</v>
      </c>
      <c r="CG7" s="59">
        <v>37681</v>
      </c>
      <c r="CH7" s="59">
        <v>38047</v>
      </c>
      <c r="CI7" s="59" t="str">
        <f>Sheet8!E15</f>
        <v>Apr-w1</v>
      </c>
      <c r="CJ7" s="59" t="str">
        <f>Sheet8!F15</f>
        <v>Apr-w2</v>
      </c>
      <c r="CK7" s="59" t="str">
        <f>Sheet8!G15</f>
        <v>Apr-w3</v>
      </c>
      <c r="CL7" s="59" t="str">
        <f>Sheet8!H15</f>
        <v>Apr-w4</v>
      </c>
      <c r="CM7" s="59" t="str">
        <f>Sheet8!I15</f>
        <v>May-w1</v>
      </c>
      <c r="CN7" s="59" t="str">
        <f>Sheet8!J15</f>
        <v>May-w2</v>
      </c>
      <c r="CO7" s="59" t="str">
        <f>Sheet8!K15</f>
        <v>May-w3</v>
      </c>
      <c r="CP7" s="59" t="str">
        <f>Sheet8!L15</f>
        <v>May-w4</v>
      </c>
      <c r="CQ7" s="59" t="str">
        <f>Sheet8!M15</f>
        <v>May-w5</v>
      </c>
      <c r="CR7" s="59" t="str">
        <f>Sheet8!N15</f>
        <v>june-w1</v>
      </c>
      <c r="CS7" s="59" t="str">
        <f>Sheet8!O15</f>
        <v>june-w2</v>
      </c>
      <c r="CT7" s="59" t="str">
        <f>Sheet8!P15</f>
        <v>june-w3</v>
      </c>
      <c r="CU7" s="59" t="str">
        <f>Sheet8!Q15</f>
        <v>june-w4</v>
      </c>
      <c r="CV7" s="59" t="str">
        <f>Sheet8!R15</f>
        <v>Jul-w1</v>
      </c>
      <c r="CW7" s="59" t="str">
        <f>Sheet8!S15</f>
        <v>Jul-w2</v>
      </c>
      <c r="CX7" s="59" t="str">
        <f>Sheet8!T15</f>
        <v>Jul-w3</v>
      </c>
      <c r="CY7" s="59" t="str">
        <f>Sheet8!U15</f>
        <v>Jul-w4</v>
      </c>
      <c r="CZ7" s="59" t="str">
        <f>Sheet8!V15</f>
        <v>Aug-w1</v>
      </c>
      <c r="DA7" s="59" t="str">
        <f>Sheet8!W15</f>
        <v>Aug-w2</v>
      </c>
      <c r="DB7" s="59" t="str">
        <f>Sheet8!X15</f>
        <v>Aug-w3</v>
      </c>
      <c r="DC7" s="59" t="str">
        <f>Sheet8!Y15</f>
        <v>Aug-w4</v>
      </c>
    </row>
    <row r="8" spans="1:141">
      <c r="H8" s="60" t="s">
        <v>51</v>
      </c>
      <c r="I8" s="74">
        <f>VLOOKUP($H$8&amp;$F$1,'Input RM sheet'!$A:$BD,H1,0)</f>
        <v>551.47500000000002</v>
      </c>
      <c r="J8" s="74">
        <f>VLOOKUP($H$8&amp;$F$1,'Input RM sheet'!$A:$BD,I1,0)</f>
        <v>477.74342105263156</v>
      </c>
      <c r="K8" s="74">
        <f>VLOOKUP($H$8&amp;$F$1,'Input RM sheet'!$A:$DD,J1,0)</f>
        <v>290.25568181818181</v>
      </c>
      <c r="L8" s="74">
        <f>VLOOKUP($H$8&amp;$F$1,'Input RM sheet'!$A:$DD,K1,0)</f>
        <v>194.2202380952381</v>
      </c>
      <c r="M8" s="74">
        <f>VLOOKUP($H$8&amp;$F$1,'Input RM sheet'!$A:$DD,L1,0)</f>
        <v>267.16666666666669</v>
      </c>
      <c r="N8" s="74">
        <f>VLOOKUP($H$8&amp;$F$1,'Input RM sheet'!$A:$DD,M1,0)</f>
        <v>363</v>
      </c>
      <c r="O8" s="74">
        <f>VLOOKUP($H$8&amp;$F$1,'Input RM sheet'!$A:$DD,N1,0)</f>
        <v>391</v>
      </c>
      <c r="P8" s="74">
        <f>VLOOKUP($H$8&amp;$F$1,'Input RM sheet'!$A:$DD,O1,0)</f>
        <v>400</v>
      </c>
      <c r="Q8" s="74">
        <f>VLOOKUP($H$8&amp;$F$1,'Input RM sheet'!$A:$DD,P1,0)</f>
        <v>401</v>
      </c>
      <c r="R8" s="74">
        <f>VLOOKUP($H$8&amp;$F$1,'Input RM sheet'!$A:$DD,Q1,0)</f>
        <v>388</v>
      </c>
      <c r="S8" s="74">
        <f>VLOOKUP($H$8&amp;$F$1,'Input RM sheet'!$A:$DD,R1,0)</f>
        <v>382</v>
      </c>
      <c r="T8" s="74">
        <f>VLOOKUP($H$8&amp;$F$1,'Input RM sheet'!$A:$DD,S1,0)</f>
        <v>448.5</v>
      </c>
      <c r="U8" s="74">
        <f>VLOOKUP($H$8&amp;$F$1,'Input RM sheet'!$A:$DD,T1,0)</f>
        <v>515</v>
      </c>
      <c r="V8" s="74">
        <f>VLOOKUP($H$8&amp;$F$1,'Input RM sheet'!$A:$DD,U1,0)</f>
        <v>547</v>
      </c>
      <c r="W8" s="74">
        <f>VLOOKUP($H$8&amp;$F$1,'Input RM sheet'!$A:$DD,V1,0)</f>
        <v>560</v>
      </c>
      <c r="X8" s="74">
        <f>VLOOKUP($H$8&amp;$F$1,'Input RM sheet'!$A:$DD,W1,0)</f>
        <v>574</v>
      </c>
      <c r="Y8" s="74">
        <f>VLOOKUP($H$8&amp;$F$1,'Input RM sheet'!$A:$DD,X1,0)</f>
        <v>596</v>
      </c>
      <c r="Z8" s="74">
        <f>VLOOKUP($H$8&amp;$F$1,'Input RM sheet'!$A:$DD,Y1,0)</f>
        <v>644</v>
      </c>
      <c r="AA8" s="74">
        <f>VLOOKUP($H$8&amp;$F$1,'Input RM sheet'!$A:$DD,Z1,0)</f>
        <v>684.875</v>
      </c>
      <c r="AB8" s="74">
        <f>VLOOKUP($H$8&amp;$F$1,'Input RM sheet'!$A:$DD,AA1,0)</f>
        <v>674.5</v>
      </c>
      <c r="AC8" s="74">
        <f>VLOOKUP($H$8&amp;$F$1,'Input RM sheet'!$A:$DD,AB1,0)</f>
        <v>662.5</v>
      </c>
      <c r="AD8" s="74">
        <f>VLOOKUP($H$8&amp;$F$1,'Input RM sheet'!$A:$DD,AC1,0)</f>
        <v>767.55</v>
      </c>
      <c r="AE8" s="74">
        <f>VLOOKUP($H$8&amp;$F$1,'Input RM sheet'!$A:$DD,AD1,0)</f>
        <v>755.84</v>
      </c>
      <c r="AF8" s="74">
        <f>VLOOKUP($H$8&amp;$F$1,'Input RM sheet'!$A:$DD,AE1,0)</f>
        <v>693.2</v>
      </c>
      <c r="AG8" s="74">
        <f>VLOOKUP($H$8&amp;$F$1,'Input RM sheet'!$A:$DD,AF1,0)</f>
        <v>775.4</v>
      </c>
      <c r="AH8" s="74">
        <f>VLOOKUP($H$8&amp;$F$1,'Input RM sheet'!$A:$DD,AG1,0)</f>
        <v>860</v>
      </c>
      <c r="AI8" s="74">
        <f>VLOOKUP($H$8&amp;$F$1,'Input RM sheet'!$A:$DD,AH1,0)</f>
        <v>1011</v>
      </c>
      <c r="AJ8" s="74">
        <f>VLOOKUP($H$8&amp;$F$1,'Input RM sheet'!$A:$DD,AI1,0)</f>
        <v>903</v>
      </c>
      <c r="AK8" s="74">
        <f>VLOOKUP($H$8&amp;$F$1,'Input RM sheet'!$A:$DD,AJ1,0)</f>
        <v>904</v>
      </c>
      <c r="AL8" s="74">
        <f>VLOOKUP($H$8&amp;$F$1,'Input RM sheet'!$A:$DD,AK1,0)</f>
        <v>828</v>
      </c>
      <c r="AM8" s="74">
        <f>VLOOKUP($H$8&amp;$F$1,'Input RM sheet'!$A:$DD,AL1,0)</f>
        <v>791</v>
      </c>
      <c r="AN8" s="74">
        <f>VLOOKUP($H$8&amp;$F$1,'Input RM sheet'!$A:$DD,AM1,0)</f>
        <v>701</v>
      </c>
      <c r="AO8" s="74">
        <f>VLOOKUP($H$8&amp;$F$1,'Input RM sheet'!$A:$DD,AN1,0)</f>
        <v>661</v>
      </c>
      <c r="AP8" s="74">
        <f>VLOOKUP($H$8&amp;$F$1,'Input RM sheet'!$A:$DD,AO1,0)</f>
        <v>683</v>
      </c>
      <c r="AQ8" s="74">
        <f>VLOOKUP($H$8&amp;$F$1,'Input RM sheet'!$A:$DD,AP1,0)</f>
        <v>693</v>
      </c>
      <c r="AR8" s="74">
        <f>VLOOKUP($H$8&amp;$F$1,'Input RM sheet'!$A:$DD,AQ1,0)</f>
        <v>625.5</v>
      </c>
      <c r="AS8" s="74">
        <f>VLOOKUP($H$8&amp;$F$1,'Input RM sheet'!$A:$DD,AR1,0)</f>
        <v>710</v>
      </c>
      <c r="AT8" s="74">
        <f>VLOOKUP($H$8&amp;$F$1,'Input RM sheet'!$A:$DD,AS1,0)</f>
        <v>720</v>
      </c>
      <c r="AU8" s="74">
        <f>VLOOKUP($H$8&amp;$F$1,'Input RM sheet'!$A:$DD,AT1,0)</f>
        <v>840</v>
      </c>
      <c r="AV8" s="74">
        <f>VLOOKUP($H$8&amp;$F$1,'Input RM sheet'!$A:$DD,AU1,0)</f>
        <v>975</v>
      </c>
      <c r="AW8" s="74">
        <f>VLOOKUP($H$8&amp;$F$1,'Input RM sheet'!$A:$DD,AV1,0)</f>
        <v>835</v>
      </c>
      <c r="AX8" s="74">
        <f>VLOOKUP($H$8&amp;$F$1,'Input RM sheet'!$A:$DD,AW1,0)</f>
        <v>670</v>
      </c>
      <c r="AY8" s="74">
        <f>VLOOKUP($H$8&amp;$F$1,'Input RM sheet'!$A:$DD,AX1,0)</f>
        <v>712.5</v>
      </c>
      <c r="AZ8" s="74">
        <f>VLOOKUP($H$8&amp;$F$1,'Input RM sheet'!$A:$DD,AY1,0)</f>
        <v>780</v>
      </c>
      <c r="BA8" s="74">
        <f>VLOOKUP($H$8&amp;$F$1,'Input RM sheet'!$A:$DD,AZ1,0)</f>
        <v>804</v>
      </c>
      <c r="BB8" s="74">
        <f>VLOOKUP($H$8&amp;$F$1,'Input RM sheet'!$A:$DD,BA1,0)</f>
        <v>842</v>
      </c>
      <c r="BC8" s="74">
        <f>VLOOKUP($H$8&amp;$F$1,'Input RM sheet'!$A:$DD,BB1,0)</f>
        <v>873</v>
      </c>
      <c r="BD8" s="74">
        <f>VLOOKUP($H$8&amp;$F$1,'Input RM sheet'!$A:$DD,BC1,0)</f>
        <v>863</v>
      </c>
      <c r="BE8" s="74">
        <f>VLOOKUP($H$8&amp;$F$1,'Input RM sheet'!$A:$DD,BD1,0)</f>
        <v>876</v>
      </c>
      <c r="BF8" s="74">
        <f>VLOOKUP($H$8&amp;$F$1,'Input RM sheet'!$A:$DD,BE1,0)</f>
        <v>876</v>
      </c>
      <c r="BG8" s="74">
        <f>VLOOKUP($H$8&amp;$F$1,'Input RM sheet'!$A:$DD,BF1,0)</f>
        <v>865</v>
      </c>
      <c r="BH8" s="74">
        <f>VLOOKUP($H$8&amp;$F$1,'Input RM sheet'!$A:$DD,BG1,0)</f>
        <v>930</v>
      </c>
      <c r="BI8" s="74">
        <f>VLOOKUP($H$8&amp;$F$1,'Input RM sheet'!$A:$DD,BH1,0)</f>
        <v>1010</v>
      </c>
      <c r="BJ8" s="74">
        <f>VLOOKUP($H$8&amp;$F$1,'Input RM sheet'!$A:$DD,BI1,0)</f>
        <v>950</v>
      </c>
      <c r="BK8" s="74">
        <f>VLOOKUP($H$8&amp;$F$1,'Input RM sheet'!$A:$DD,BJ1,0)</f>
        <v>888</v>
      </c>
      <c r="BL8" s="74">
        <f>VLOOKUP($H$8&amp;$F$1,'Input RM sheet'!$A:$DD,BK1,0)</f>
        <v>901</v>
      </c>
      <c r="BM8" s="74">
        <f>VLOOKUP($H$8&amp;$F$1,'Input RM sheet'!$A:$DD,BL1,0)</f>
        <v>882</v>
      </c>
      <c r="BN8" s="74">
        <f>VLOOKUP($H$8&amp;$F$1,'Input RM sheet'!$A:$DD,BM1,0)</f>
        <v>882</v>
      </c>
      <c r="BO8" s="74">
        <f>VLOOKUP($H$8&amp;$F$1,'Input RM sheet'!$A:$DD,BN1,0)</f>
        <v>882</v>
      </c>
      <c r="BP8" s="74">
        <f>VLOOKUP($H$8&amp;$F$1,'Input RM sheet'!$A:$DD,BO1,0)</f>
        <v>843</v>
      </c>
      <c r="BQ8" s="74">
        <f>VLOOKUP($H$8&amp;$F$1,'Input RM sheet'!$A:$DD,BP1,0)</f>
        <v>867</v>
      </c>
      <c r="BR8" s="74">
        <f>VLOOKUP($H$8&amp;$F$1,'Input RM sheet'!$A:$DD,BQ1,0)</f>
        <v>846</v>
      </c>
      <c r="BS8" s="74">
        <f>VLOOKUP($H$8&amp;$F$1,'Input RM sheet'!$A:$DD,BR1,0)</f>
        <v>826</v>
      </c>
      <c r="BT8" s="74">
        <f>VLOOKUP($H$8&amp;$F$1,'Input RM sheet'!$A:$DD,BS1,0)</f>
        <v>815</v>
      </c>
      <c r="BU8" s="74">
        <f>VLOOKUP($H$8&amp;$F$1,'Input RM sheet'!$A:$DD,BT1,0)</f>
        <v>863</v>
      </c>
      <c r="BV8" s="74">
        <f>VLOOKUP($H$8&amp;$F$1,'Input RM sheet'!$A:$DD,BU1,0)</f>
        <v>855</v>
      </c>
      <c r="BW8" s="74">
        <f>VLOOKUP($H$8&amp;$F$1,'Input RM sheet'!$A:$DD,BV1,0)</f>
        <v>872</v>
      </c>
      <c r="BX8" s="74">
        <f>VLOOKUP($H$8&amp;$F$1,'Input RM sheet'!$A:$DD,BW1,0)</f>
        <v>920</v>
      </c>
      <c r="BY8" s="74">
        <f>VLOOKUP($H$8&amp;$F$1,'Input RM sheet'!$A:$DD,BX1,0)</f>
        <v>922</v>
      </c>
      <c r="BZ8" s="74">
        <f>VLOOKUP($H$8&amp;$F$1,'Input RM sheet'!$A:$DD,BY1,0)</f>
        <v>975</v>
      </c>
      <c r="CA8" s="74">
        <f>VLOOKUP($H$8&amp;$F$1,'Input RM sheet'!$A:$DD,BZ1,0)</f>
        <v>985</v>
      </c>
      <c r="CB8" s="74">
        <f>VLOOKUP($H$8&amp;$F$1,'Input RM sheet'!$A:$DD,CA1,0)</f>
        <v>1024</v>
      </c>
      <c r="CC8" s="74">
        <f>VLOOKUP($H$8&amp;$F$1,'Input RM sheet'!$A:$DD,CB1,0)</f>
        <v>1022</v>
      </c>
      <c r="CD8" s="74">
        <f>VLOOKUP($H$8&amp;$F$1,'Input RM sheet'!$A:$DD,CC1,0)</f>
        <v>1010</v>
      </c>
      <c r="CE8" s="74">
        <f>VLOOKUP($H$8&amp;$F$1,'Input RM sheet'!$A:$DD,CD1,0)</f>
        <v>995</v>
      </c>
      <c r="CF8" s="74">
        <f>VLOOKUP($H$8&amp;$F$1,'Input RM sheet'!$A:$DD,CE1,0)</f>
        <v>1014</v>
      </c>
      <c r="CG8" s="74">
        <f>VLOOKUP($H$8&amp;$F$1,'Input RM sheet'!$A:$DD,CF1,0)</f>
        <v>1014</v>
      </c>
      <c r="CH8" s="74">
        <f>VLOOKUP($H$8&amp;$F$1,'Input RM sheet'!$A:$DD,CG1,0)</f>
        <v>1018</v>
      </c>
      <c r="CI8" s="74">
        <f>VLOOKUP($H$8&amp;$F$1,'Input RM sheet'!$A:$DD,CH1,0)</f>
        <v>1065</v>
      </c>
      <c r="CJ8" s="74">
        <f>VLOOKUP($H$8&amp;$F$1,'Input RM sheet'!$A:$DD,CI1,0)</f>
        <v>1052</v>
      </c>
      <c r="CK8" s="74">
        <f>VLOOKUP($H$8&amp;$F$1,'Input RM sheet'!$A:$DD,CJ1,0)</f>
        <v>1044</v>
      </c>
      <c r="CL8" s="74">
        <f>VLOOKUP($H$8&amp;$F$1,'Input RM sheet'!$A:$DD,CK1,0)</f>
        <v>1035</v>
      </c>
      <c r="CM8" s="74">
        <f>VLOOKUP($H$8&amp;$F$1,'Input RM sheet'!$A:$DD,CL1,0)</f>
        <v>1025</v>
      </c>
      <c r="CN8" s="74">
        <f>VLOOKUP($H$8&amp;$F$1,'Input RM sheet'!$A:$DD,CM1,0)</f>
        <v>1014</v>
      </c>
      <c r="CO8" s="74">
        <f>VLOOKUP($H$8&amp;$F$1,'Input RM sheet'!$A:$DD,CN1,0)</f>
        <v>1021</v>
      </c>
      <c r="CP8" s="74">
        <f>VLOOKUP($H$8&amp;$F$1,'Input RM sheet'!$A:$DD,CO1,0)</f>
        <v>1025</v>
      </c>
      <c r="CQ8" s="74">
        <f>VLOOKUP($H$8&amp;$F$1,'Input RM sheet'!$A:$DD,CP1,0)</f>
        <v>1040</v>
      </c>
      <c r="CR8" s="74">
        <f>VLOOKUP($H$8&amp;$F$1,'Input RM sheet'!$A:$ZZ,CQ1,0)</f>
        <v>1040</v>
      </c>
      <c r="CS8" s="74">
        <f>VLOOKUP($H$8&amp;$F$1,'Input RM sheet'!$A:$ZZ,CR1,0)</f>
        <v>1004</v>
      </c>
      <c r="CT8" s="74">
        <f>VLOOKUP($H$8&amp;$F$1,'Input RM sheet'!$A:$ZZ,CS1,0)</f>
        <v>981</v>
      </c>
      <c r="CU8" s="74">
        <f>VLOOKUP($H$8&amp;$F$1,'Input RM sheet'!$A:$ZZ,CT1,0)</f>
        <v>1028</v>
      </c>
      <c r="CV8" s="74">
        <f>VLOOKUP($H$8&amp;$F$1,'Input RM sheet'!$A:$ZZ,CU1,0)</f>
        <v>1005</v>
      </c>
      <c r="CW8" s="74">
        <f>VLOOKUP($H$8&amp;$F$1,'Input RM sheet'!$A:$ZZ,CV1,0)</f>
        <v>996</v>
      </c>
      <c r="CX8" s="74">
        <f>VLOOKUP($H$8&amp;$F$1,'Input RM sheet'!$A:$ZZ,CW1,0)</f>
        <v>992</v>
      </c>
      <c r="CY8" s="74">
        <f>VLOOKUP($H$8&amp;$F$1,'Input RM sheet'!$A:$ZZ,CX1,0)</f>
        <v>961</v>
      </c>
      <c r="CZ8" s="74">
        <f>VLOOKUP($H$8&amp;$F$1,'Input RM sheet'!$A:$ZZ,CY1,0)</f>
        <v>1003</v>
      </c>
      <c r="DA8" s="74">
        <f>VLOOKUP($H$8&amp;$F$1,'Input RM sheet'!$A:$ZZ,CZ1,0)</f>
        <v>1011</v>
      </c>
      <c r="DB8" s="74">
        <f>VLOOKUP($H$8&amp;$F$1,'Input RM sheet'!$A:$ZZ,DA1,0)</f>
        <v>987</v>
      </c>
      <c r="DC8" s="74">
        <f>VLOOKUP($H$8&amp;$F$1,'Input RM sheet'!$A:$ZZ,DB1,0)</f>
        <v>995</v>
      </c>
    </row>
    <row r="9" spans="1:141">
      <c r="H9" s="178" t="s">
        <v>114</v>
      </c>
      <c r="I9" s="74">
        <f>VLOOKUP($H$9&amp;$F$1,'Input RM sheet'!$A:$BD,H1,0)</f>
        <v>950</v>
      </c>
      <c r="J9" s="74">
        <f>VLOOKUP($H$9&amp;$F$1,'Input RM sheet'!$A:$BD,I1,0)</f>
        <v>810</v>
      </c>
      <c r="K9" s="74">
        <f>VLOOKUP($H$9&amp;$F$1,'Input RM sheet'!$A:$BD,J1,0)</f>
        <v>780</v>
      </c>
      <c r="L9" s="74">
        <f>VLOOKUP($H$9&amp;$F$1,'Input RM sheet'!$A:$BD,K1,0)</f>
        <v>560</v>
      </c>
      <c r="M9" s="74">
        <f>VLOOKUP($H$9&amp;$F$1,'Input RM sheet'!$A:$BD,L1,0)</f>
        <v>680</v>
      </c>
      <c r="N9" s="74">
        <f>VLOOKUP($H$9&amp;$F$1,'Input RM sheet'!$A:$BD,M1,0)</f>
        <v>720</v>
      </c>
      <c r="O9" s="74">
        <f>VLOOKUP($H$9&amp;$F$1,'Input RM sheet'!$A:$BD,N1,0)</f>
        <v>780</v>
      </c>
      <c r="P9" s="74">
        <f>VLOOKUP($H$9&amp;$F$1,'Input RM sheet'!$A:$BD,O1,0)</f>
        <v>780</v>
      </c>
      <c r="Q9" s="74">
        <f>VLOOKUP($H$9&amp;$F$1,'Input RM sheet'!$A:$BD,P1,0)</f>
        <v>850</v>
      </c>
      <c r="R9" s="74">
        <f>VLOOKUP($H$9&amp;$F$1,'Input RM sheet'!$A:$BD,Q1,0)</f>
        <v>860</v>
      </c>
      <c r="S9" s="74">
        <f>VLOOKUP($H$9&amp;$F$1,'Input RM sheet'!$A:$BD,R1,0)</f>
        <v>850</v>
      </c>
      <c r="T9" s="74">
        <f>VLOOKUP($H$9&amp;$F$1,'Input RM sheet'!$A:$BD,S1,0)</f>
        <v>940</v>
      </c>
      <c r="U9" s="74">
        <f>VLOOKUP($H$9&amp;$F$1,'Input RM sheet'!$A:$BD,T1,0)</f>
        <v>920</v>
      </c>
      <c r="V9" s="74">
        <f>VLOOKUP($H$9&amp;$F$1,'Input RM sheet'!$A:$BD,U1,0)</f>
        <v>930</v>
      </c>
      <c r="W9" s="74">
        <f>VLOOKUP($H$9&amp;$F$1,'Input RM sheet'!$A:$BD,V1,0)</f>
        <v>1150</v>
      </c>
      <c r="X9" s="74">
        <f>VLOOKUP($H$9&amp;$F$1,'Input RM sheet'!$A:$BD,W1,0)</f>
        <v>1060</v>
      </c>
      <c r="Y9" s="74">
        <f>VLOOKUP($H$9&amp;$F$1,'Input RM sheet'!$A:$BD,X1,0)</f>
        <v>1090</v>
      </c>
      <c r="Z9" s="74">
        <f>VLOOKUP($H$9&amp;$F$1,'Input RM sheet'!$A:$BD,Y1,0)</f>
        <v>920</v>
      </c>
      <c r="AA9" s="74">
        <f>VLOOKUP($H$9&amp;$F$1,'Input RM sheet'!$A:$BD,Z1,0)</f>
        <v>940</v>
      </c>
      <c r="AB9" s="74">
        <f>VLOOKUP($H$9&amp;$F$1,'Input RM sheet'!$A:$BD,AA1,0)</f>
        <v>940</v>
      </c>
      <c r="AC9" s="74">
        <f>VLOOKUP($H$9&amp;$F$1,'Input RM sheet'!$A:$BD,AB1,0)</f>
        <v>940</v>
      </c>
      <c r="AD9" s="74">
        <f>VLOOKUP($H$9&amp;$F$1,'Input RM sheet'!$A:$BD,AC1,0)</f>
        <v>1020</v>
      </c>
      <c r="AE9" s="74">
        <f>VLOOKUP($H$9&amp;$F$1,'Input RM sheet'!$A:$BD,AD1,0)</f>
        <v>960</v>
      </c>
      <c r="AF9" s="74">
        <f>VLOOKUP($H$9&amp;$F$1,'Input RM sheet'!$A:$BD,AE1,0)</f>
        <v>900</v>
      </c>
      <c r="AG9" s="74">
        <f>VLOOKUP($H$9&amp;$F$1,'Input RM sheet'!$A:$BD,AF1,0)</f>
        <v>950</v>
      </c>
      <c r="AH9" s="74">
        <f>VLOOKUP($H$9&amp;$F$1,'Input RM sheet'!$A:$BD,AG1,0)</f>
        <v>1200</v>
      </c>
      <c r="AI9" s="74">
        <f>VLOOKUP($H$9&amp;$F$1,'Input RM sheet'!$A:$BD,AH1,0)</f>
        <v>1320</v>
      </c>
      <c r="AJ9" s="74">
        <f>VLOOKUP($H$9&amp;$F$1,'Input RM sheet'!$A:$BD,AI1,0)</f>
        <v>1290</v>
      </c>
      <c r="AK9" s="74">
        <f>VLOOKUP($H$9&amp;$F$1,'Input RM sheet'!$A:$BD,AJ1,0)</f>
        <v>1200</v>
      </c>
      <c r="AL9" s="74">
        <f>VLOOKUP($H$9&amp;$F$1,'Input RM sheet'!$A:$BD,AK1,0)</f>
        <v>1040</v>
      </c>
      <c r="AM9" s="74">
        <f>VLOOKUP($H$9&amp;$F$1,'Input RM sheet'!$A:$BD,AL1,0)</f>
        <v>950</v>
      </c>
      <c r="AN9" s="74">
        <f>VLOOKUP($H$9&amp;$F$1,'Input RM sheet'!$A:$BD,AM1,0)</f>
        <v>890</v>
      </c>
      <c r="AO9" s="74">
        <f>VLOOKUP($H$9&amp;$F$1,'Input RM sheet'!$A:$BD,AN1,0)</f>
        <v>890</v>
      </c>
      <c r="AP9" s="74">
        <f>VLOOKUP($H$9&amp;$F$1,'Input RM sheet'!$A:$BD,AO1,0)</f>
        <v>890</v>
      </c>
      <c r="AQ9" s="74">
        <f>VLOOKUP($H$9&amp;$F$1,'Input RM sheet'!$A:$BD,AP1,0)</f>
        <v>850</v>
      </c>
      <c r="AR9" s="74">
        <f>VLOOKUP($H$9&amp;$F$1,'Input RM sheet'!$A:$BD,AQ1,0)</f>
        <v>880</v>
      </c>
      <c r="AS9" s="74">
        <f>VLOOKUP($H$9&amp;$F$1,'Input RM sheet'!$A:$BD,AR1,0)</f>
        <v>880</v>
      </c>
      <c r="AT9" s="74">
        <f>VLOOKUP($H$9&amp;$F$1,'Input RM sheet'!$A:$BD,AS1,0)</f>
        <v>980</v>
      </c>
      <c r="AU9" s="74">
        <f>VLOOKUP($H$9&amp;$F$1,'Input RM sheet'!$A:$BD,AT1,0)</f>
        <v>920</v>
      </c>
      <c r="AV9" s="74">
        <f>VLOOKUP($H$9&amp;$F$1,'Input RM sheet'!$A:$BD,AU1,0)</f>
        <v>940</v>
      </c>
      <c r="AW9" s="74">
        <f>VLOOKUP($H$9&amp;$F$1,'Input RM sheet'!$A:$BD,AV1,0)</f>
        <v>890</v>
      </c>
      <c r="AX9" s="74">
        <f>VLOOKUP($H$9&amp;$F$1,'Input RM sheet'!$A:$BD,AW1,0)</f>
        <v>750</v>
      </c>
      <c r="AY9" s="74">
        <f>VLOOKUP($H$9&amp;$F$1,'Input RM sheet'!$A:$BD,AX1,0)</f>
        <v>730</v>
      </c>
      <c r="AZ9" s="74">
        <f>VLOOKUP($H$9&amp;$F$1,'Input RM sheet'!$A:$BD,AY1,0)</f>
        <v>730</v>
      </c>
      <c r="BA9" s="74">
        <f>VLOOKUP($H$9&amp;$F$1,'Input RM sheet'!$A:$BD,AZ1,0)</f>
        <v>754</v>
      </c>
      <c r="BB9" s="74">
        <f>VLOOKUP($H$9&amp;$F$1,'Input RM sheet'!$A:$BD,BA1,0)</f>
        <v>778</v>
      </c>
      <c r="BC9" s="74">
        <f>VLOOKUP($H$9&amp;$F$1,'Input RM sheet'!$A:$BD,BB1,0)</f>
        <v>785</v>
      </c>
      <c r="BD9" s="74">
        <f>VLOOKUP($H$9&amp;$F$1,'Input RM sheet'!$A:$BD,BC1,0)</f>
        <v>825</v>
      </c>
      <c r="BE9" s="74">
        <f>VLOOKUP($H$9&amp;$F$1,'Input RM sheet'!$A:$BD,BD1,0)</f>
        <v>854</v>
      </c>
      <c r="BF9" s="74">
        <f>VLOOKUP($H$9&amp;$F$1,'Input RM sheet'!$A:$BD,BE1,0)</f>
        <v>854</v>
      </c>
      <c r="BG9" s="74">
        <f>VLOOKUP($H$9&amp;$F$1,'Input RM sheet'!$A:$ZZ,BF1,0)</f>
        <v>842</v>
      </c>
      <c r="BH9" s="74">
        <f>VLOOKUP($H$9&amp;$F$1,'Input RM sheet'!$A:$ZZ,BG1,0)</f>
        <v>830</v>
      </c>
      <c r="BI9" s="74">
        <f>VLOOKUP($H$9&amp;$F$1,'Input RM sheet'!$A:$ZZ,BH1,0)</f>
        <v>814</v>
      </c>
      <c r="BJ9" s="74">
        <f>VLOOKUP($H$9&amp;$F$1,'Input RM sheet'!$A:$ZZ,BI1,0)</f>
        <v>805</v>
      </c>
      <c r="BK9" s="74">
        <f>VLOOKUP($H$9&amp;$F$1,'Input RM sheet'!$A:$ZZ,BJ1,0)</f>
        <v>805</v>
      </c>
      <c r="BL9" s="74">
        <f>VLOOKUP($H$9&amp;$F$1,'Input RM sheet'!$A:$ZZ,BK1,0)</f>
        <v>799</v>
      </c>
      <c r="BM9" s="74">
        <f>VLOOKUP($H$9&amp;$F$1,'Input RM sheet'!$A:$ZZ,BL1,0)</f>
        <v>799</v>
      </c>
      <c r="BN9" s="74">
        <f>VLOOKUP($H$9&amp;$F$1,'Input RM sheet'!$A:$ZZ,BM1,0)</f>
        <v>794</v>
      </c>
      <c r="BO9" s="74">
        <f>VLOOKUP($H$9&amp;$F$1,'Input RM sheet'!$A:$ZZ,BN1,0)</f>
        <v>794</v>
      </c>
      <c r="BP9" s="74">
        <f>VLOOKUP($H$9&amp;$F$1,'Input RM sheet'!$A:$ZZ,BO1,0)</f>
        <v>799</v>
      </c>
      <c r="BQ9" s="74">
        <f>VLOOKUP($H$9&amp;$F$1,'Input RM sheet'!$A:$ZZ,BP1,0)</f>
        <v>799</v>
      </c>
      <c r="BR9" s="74">
        <f>VLOOKUP($H$9&amp;$F$1,'Input RM sheet'!$A:$ZZ,BQ1,0)</f>
        <v>804</v>
      </c>
      <c r="BS9" s="74">
        <f>VLOOKUP($H$9&amp;$F$1,'Input RM sheet'!$A:$ZZ,BR1,0)</f>
        <v>799</v>
      </c>
      <c r="BT9" s="74">
        <f>VLOOKUP($H$9&amp;$F$1,'Input RM sheet'!$A:$ZZ,BS1,0)</f>
        <v>799</v>
      </c>
      <c r="BU9" s="74">
        <f>VLOOKUP($H$9&amp;$F$1,'Input RM sheet'!$A:$ZZ,BT1,0)</f>
        <v>798</v>
      </c>
      <c r="BV9" s="74">
        <f>VLOOKUP($H$9&amp;$F$1,'Input RM sheet'!$A:$ZZ,BU1,0)</f>
        <v>804</v>
      </c>
      <c r="BW9" s="74">
        <f>VLOOKUP($H$9&amp;$F$1,'Input RM sheet'!$A:$ZZ,BV1,0)</f>
        <v>838</v>
      </c>
      <c r="BX9" s="74">
        <f>VLOOKUP($H$9&amp;$F$1,'Input RM sheet'!$A:$ZZ,BW1,0)</f>
        <v>920</v>
      </c>
      <c r="BY9" s="74">
        <f>VLOOKUP($H$9&amp;$F$1,'Input RM sheet'!$A:$ZZ,BX1,0)</f>
        <v>940</v>
      </c>
      <c r="BZ9" s="74">
        <f>VLOOKUP($H$9&amp;$F$1,'Input RM sheet'!$A:$ZZ,BY1,0)</f>
        <v>998</v>
      </c>
      <c r="CA9" s="74">
        <f>VLOOKUP($H$9&amp;$F$1,'Input RM sheet'!$A:$ZZ,BZ1,0)</f>
        <v>960</v>
      </c>
      <c r="CB9" s="74">
        <f>VLOOKUP($H$9&amp;$F$1,'Input RM sheet'!$A:$ZZ,CA1,0)</f>
        <v>914</v>
      </c>
      <c r="CC9" s="74">
        <f>VLOOKUP($H$9&amp;$F$1,'Input RM sheet'!$A:$ZZ,CB1,0)</f>
        <v>870</v>
      </c>
      <c r="CD9" s="74">
        <f>VLOOKUP($H$9&amp;$F$1,'Input RM sheet'!$A:$ZZ,CC1,0)</f>
        <v>860</v>
      </c>
      <c r="CE9" s="74">
        <f>VLOOKUP($H$9&amp;$F$1,'Input RM sheet'!$A:$ZZ,CD1,0)</f>
        <v>860</v>
      </c>
      <c r="CF9" s="74">
        <f>VLOOKUP($H$9&amp;$F$1,'Input RM sheet'!$A:$ZZ,CE1,0)</f>
        <v>867</v>
      </c>
      <c r="CG9" s="74">
        <f>VLOOKUP($H$9&amp;$F$1,'Input RM sheet'!$A:$ZZ,CF1,0)</f>
        <v>845</v>
      </c>
      <c r="CH9" s="74">
        <f>VLOOKUP($H$9&amp;$F$1,'Input RM sheet'!$A:$ZZ,CG1,0)</f>
        <v>844</v>
      </c>
      <c r="CI9" s="74">
        <f>VLOOKUP($H$9&amp;$F$1,'Input RM sheet'!$A:$ZZ,CH1,0)</f>
        <v>844</v>
      </c>
      <c r="CJ9" s="74">
        <f>VLOOKUP($H$9&amp;$F$1,'Input RM sheet'!$A:$ZZ,CI1,0)</f>
        <v>844</v>
      </c>
      <c r="CK9" s="74">
        <f>VLOOKUP($H$9&amp;$F$1,'Input RM sheet'!$A:$ZZ,CJ1,0)</f>
        <v>844</v>
      </c>
      <c r="CL9" s="74">
        <f>VLOOKUP($H$9&amp;$F$1,'Input RM sheet'!$A:$ZZ,CK1,0)</f>
        <v>827</v>
      </c>
      <c r="CM9" s="74">
        <f>VLOOKUP($H$9&amp;$F$1,'Input RM sheet'!$A:$ZZ,CL1,0)</f>
        <v>818</v>
      </c>
      <c r="CN9" s="74">
        <f>VLOOKUP($H$9&amp;$F$1,'Input RM sheet'!$A:$ZZ,CM1,0)</f>
        <v>814</v>
      </c>
      <c r="CO9" s="74">
        <f>VLOOKUP($H$9&amp;$F$1,'Input RM sheet'!$A:$ZZ,CN1,0)</f>
        <v>810</v>
      </c>
      <c r="CP9" s="74">
        <f>VLOOKUP($H$9&amp;$F$1,'Input RM sheet'!$A:$ZZ,CO1,0)</f>
        <v>827</v>
      </c>
      <c r="CQ9" s="74">
        <f>VLOOKUP($H$9&amp;$F$1,'Input RM sheet'!$A:$ZZ,CP1,0)</f>
        <v>827</v>
      </c>
      <c r="CR9" s="74">
        <f>VLOOKUP($H$9&amp;$F$1,'Input RM sheet'!$A:$ZZ,CQ1,0)</f>
        <v>827</v>
      </c>
      <c r="CS9" s="74">
        <f>VLOOKUP($H$9&amp;$F$1,'Input RM sheet'!$A:$ZZ,CR1,0)</f>
        <v>818</v>
      </c>
      <c r="CT9" s="74">
        <f>VLOOKUP($H$9&amp;$F$1,'Input RM sheet'!$A:$ZZ,CS1,0)</f>
        <v>818</v>
      </c>
      <c r="CU9" s="74">
        <f>VLOOKUP($H$9&amp;$F$1,'Input RM sheet'!$A:$ZZ,CT1,0)</f>
        <v>818</v>
      </c>
      <c r="CV9" s="74">
        <f>VLOOKUP($H$9&amp;$F$1,'Input RM sheet'!$A:$ZZ,CU1,0)</f>
        <v>850</v>
      </c>
      <c r="CW9" s="74">
        <f>VLOOKUP($H$9&amp;$F$1,'Input RM sheet'!$A:$ZZ,CV1,0)</f>
        <v>909</v>
      </c>
      <c r="CX9" s="74">
        <f>VLOOKUP($H$9&amp;$F$1,'Input RM sheet'!$A:$ZZ,CW1,0)</f>
        <v>909</v>
      </c>
      <c r="CY9" s="74">
        <f>VLOOKUP($H$9&amp;$F$1,'Input RM sheet'!$A:$ZZ,CX1,0)</f>
        <v>918</v>
      </c>
      <c r="CZ9" s="74">
        <f>VLOOKUP($H$9&amp;$F$1,'Input RM sheet'!$A:$ZZ,CY1,0)</f>
        <v>918</v>
      </c>
      <c r="DA9" s="74">
        <f>VLOOKUP($H$9&amp;$F$1,'Input RM sheet'!$A:$ZZ,CZ1,0)</f>
        <v>918</v>
      </c>
      <c r="DB9" s="74">
        <f>VLOOKUP($H$9&amp;$F$1,'Input RM sheet'!$A:$ZZ,DA1,0)</f>
        <v>918</v>
      </c>
      <c r="DC9" s="74">
        <f>VLOOKUP($H$9&amp;$F$1,'Input RM sheet'!$A:$ZZ,DB1,0)</f>
        <v>894</v>
      </c>
    </row>
    <row r="10" spans="1:141" ht="13">
      <c r="A10" s="59" t="s">
        <v>395</v>
      </c>
      <c r="B10" s="59"/>
      <c r="C10" s="59" t="s">
        <v>379</v>
      </c>
      <c r="D10" s="98" t="s">
        <v>380</v>
      </c>
      <c r="E10" s="98" t="s">
        <v>381</v>
      </c>
      <c r="F10" s="59" t="s">
        <v>396</v>
      </c>
      <c r="I10" s="84"/>
      <c r="J10" s="84"/>
      <c r="K10" s="84"/>
      <c r="L10" s="84"/>
      <c r="M10" s="84"/>
      <c r="N10" s="84"/>
      <c r="O10" s="84"/>
      <c r="P10" s="84"/>
      <c r="Q10" s="84"/>
      <c r="R10" s="84"/>
      <c r="S10" s="84"/>
      <c r="T10" s="84"/>
      <c r="U10" s="84"/>
      <c r="V10" s="84"/>
      <c r="W10" s="84"/>
      <c r="X10" s="84"/>
      <c r="Y10" s="84"/>
      <c r="Z10" s="84"/>
      <c r="AA10" s="84"/>
      <c r="AB10" s="84"/>
      <c r="AC10" s="84"/>
      <c r="AD10" s="84"/>
      <c r="AE10" s="84"/>
      <c r="AF10" s="84"/>
      <c r="AG10" s="84"/>
      <c r="AH10" s="84"/>
      <c r="AI10" s="84"/>
      <c r="AJ10" s="84"/>
      <c r="AK10" s="84"/>
      <c r="AL10" s="84"/>
      <c r="AM10" s="84"/>
      <c r="AN10" s="84"/>
      <c r="AO10" s="84"/>
      <c r="AP10" s="84"/>
      <c r="AQ10" s="84"/>
      <c r="AR10" s="84"/>
      <c r="AS10" s="84"/>
      <c r="AT10" s="84"/>
      <c r="AU10" s="84"/>
      <c r="AV10" s="84"/>
      <c r="AW10" s="84"/>
      <c r="AX10" s="84"/>
      <c r="AY10" s="84"/>
      <c r="AZ10" s="84"/>
      <c r="BA10" s="84"/>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84"/>
      <c r="CE10" s="84"/>
      <c r="CF10" s="84"/>
      <c r="CG10" s="84"/>
      <c r="CH10" s="84"/>
      <c r="CI10" s="84"/>
      <c r="CJ10" s="84"/>
      <c r="CK10" s="84"/>
      <c r="CL10" s="84"/>
      <c r="CM10" s="84"/>
      <c r="CN10" s="84"/>
      <c r="CO10" s="84"/>
      <c r="CP10" s="84"/>
      <c r="CQ10" s="84"/>
      <c r="CR10" s="84"/>
      <c r="CS10" s="84"/>
      <c r="CT10" s="84"/>
      <c r="CU10" s="84"/>
      <c r="CV10" s="84"/>
      <c r="CW10" s="84"/>
      <c r="CX10" s="84"/>
      <c r="CY10" s="84"/>
      <c r="CZ10" s="84"/>
      <c r="DA10" s="84"/>
      <c r="DB10" s="84"/>
      <c r="DC10" s="84"/>
    </row>
    <row r="11" spans="1:141" ht="13">
      <c r="A11" s="107" t="s">
        <v>397</v>
      </c>
      <c r="B11" s="107" t="s">
        <v>51</v>
      </c>
      <c r="C11" s="60">
        <v>1</v>
      </c>
      <c r="D11" s="65">
        <v>78.11</v>
      </c>
      <c r="E11" s="60">
        <f>D11*C11</f>
        <v>78.11</v>
      </c>
      <c r="F11" s="328">
        <f>E11/$D$3</f>
        <v>1.3448691460055098</v>
      </c>
      <c r="H11" s="60" t="s">
        <v>399</v>
      </c>
      <c r="I11" s="74">
        <f>$F$11*(I8/1000)</f>
        <v>0.74166171229338862</v>
      </c>
      <c r="J11" s="74">
        <f t="shared" ref="J11:BU11" si="0">$F$11*(J8/1000)</f>
        <v>0.64250238668080328</v>
      </c>
      <c r="K11" s="74">
        <f t="shared" si="0"/>
        <v>0.39035591093006511</v>
      </c>
      <c r="L11" s="74">
        <f t="shared" si="0"/>
        <v>0.26120080574412968</v>
      </c>
      <c r="M11" s="74">
        <f t="shared" si="0"/>
        <v>0.35930420684113867</v>
      </c>
      <c r="N11" s="74">
        <f t="shared" si="0"/>
        <v>0.48818750000000005</v>
      </c>
      <c r="O11" s="74">
        <f t="shared" si="0"/>
        <v>0.52584383608815433</v>
      </c>
      <c r="P11" s="74">
        <f t="shared" si="0"/>
        <v>0.53794765840220393</v>
      </c>
      <c r="Q11" s="74">
        <f t="shared" si="0"/>
        <v>0.53929252754820944</v>
      </c>
      <c r="R11" s="74">
        <f t="shared" si="0"/>
        <v>0.52180922865013779</v>
      </c>
      <c r="S11" s="74">
        <f t="shared" si="0"/>
        <v>0.51374001377410472</v>
      </c>
      <c r="T11" s="74">
        <f t="shared" si="0"/>
        <v>0.6031738119834712</v>
      </c>
      <c r="U11" s="74">
        <f t="shared" si="0"/>
        <v>0.69260761019283756</v>
      </c>
      <c r="V11" s="74">
        <f t="shared" si="0"/>
        <v>0.73564342286501394</v>
      </c>
      <c r="W11" s="74">
        <f t="shared" si="0"/>
        <v>0.75312672176308559</v>
      </c>
      <c r="X11" s="74">
        <f t="shared" si="0"/>
        <v>0.77195488980716254</v>
      </c>
      <c r="Y11" s="74">
        <f t="shared" si="0"/>
        <v>0.8015420110192838</v>
      </c>
      <c r="Z11" s="74">
        <f t="shared" si="0"/>
        <v>0.86609573002754836</v>
      </c>
      <c r="AA11" s="74">
        <f t="shared" si="0"/>
        <v>0.92106725637052356</v>
      </c>
      <c r="AB11" s="74">
        <f t="shared" si="0"/>
        <v>0.9071142389807163</v>
      </c>
      <c r="AC11" s="74">
        <f t="shared" si="0"/>
        <v>0.89097580922865016</v>
      </c>
      <c r="AD11" s="74">
        <f t="shared" si="0"/>
        <v>1.0322543130165289</v>
      </c>
      <c r="AE11" s="74">
        <f t="shared" si="0"/>
        <v>1.0165058953168047</v>
      </c>
      <c r="AF11" s="74">
        <f t="shared" si="0"/>
        <v>0.93226329201101943</v>
      </c>
      <c r="AG11" s="74">
        <f t="shared" si="0"/>
        <v>1.0428115358126722</v>
      </c>
      <c r="AH11" s="74">
        <f t="shared" si="0"/>
        <v>1.1565874655647383</v>
      </c>
      <c r="AI11" s="74">
        <f t="shared" si="0"/>
        <v>1.3596627066115703</v>
      </c>
      <c r="AJ11" s="74">
        <f t="shared" si="0"/>
        <v>1.2144168388429755</v>
      </c>
      <c r="AK11" s="74">
        <f t="shared" si="0"/>
        <v>1.2157617079889809</v>
      </c>
      <c r="AL11" s="74">
        <f t="shared" si="0"/>
        <v>1.113551652892562</v>
      </c>
      <c r="AM11" s="74">
        <f t="shared" si="0"/>
        <v>1.0637914944903584</v>
      </c>
      <c r="AN11" s="74">
        <f t="shared" si="0"/>
        <v>0.94275327134986231</v>
      </c>
      <c r="AO11" s="74">
        <f t="shared" si="0"/>
        <v>0.88895850550964195</v>
      </c>
      <c r="AP11" s="74">
        <f t="shared" si="0"/>
        <v>0.91854562672176321</v>
      </c>
      <c r="AQ11" s="74">
        <f t="shared" si="0"/>
        <v>0.93199431818181822</v>
      </c>
      <c r="AR11" s="74">
        <f t="shared" si="0"/>
        <v>0.84121565082644634</v>
      </c>
      <c r="AS11" s="74">
        <f t="shared" si="0"/>
        <v>0.95485709366391192</v>
      </c>
      <c r="AT11" s="74">
        <f t="shared" si="0"/>
        <v>0.96830578512396703</v>
      </c>
      <c r="AU11" s="74">
        <f t="shared" si="0"/>
        <v>1.1296900826446281</v>
      </c>
      <c r="AV11" s="74">
        <f t="shared" si="0"/>
        <v>1.3112474173553721</v>
      </c>
      <c r="AW11" s="74">
        <f t="shared" si="0"/>
        <v>1.1229657369146007</v>
      </c>
      <c r="AX11" s="74">
        <f t="shared" si="0"/>
        <v>0.90106232782369156</v>
      </c>
      <c r="AY11" s="74">
        <f t="shared" si="0"/>
        <v>0.95821926652892575</v>
      </c>
      <c r="AZ11" s="74">
        <f t="shared" si="0"/>
        <v>1.0489979338842976</v>
      </c>
      <c r="BA11" s="74">
        <f t="shared" si="0"/>
        <v>1.0812747933884299</v>
      </c>
      <c r="BB11" s="74">
        <f t="shared" si="0"/>
        <v>1.1323798209366391</v>
      </c>
      <c r="BC11" s="74">
        <f t="shared" si="0"/>
        <v>1.1740707644628101</v>
      </c>
      <c r="BD11" s="74">
        <f t="shared" si="0"/>
        <v>1.160622073002755</v>
      </c>
      <c r="BE11" s="74">
        <f t="shared" si="0"/>
        <v>1.1781053719008265</v>
      </c>
      <c r="BF11" s="74">
        <f t="shared" si="0"/>
        <v>1.1781053719008265</v>
      </c>
      <c r="BG11" s="74">
        <f t="shared" si="0"/>
        <v>1.163311811294766</v>
      </c>
      <c r="BH11" s="74">
        <f t="shared" si="0"/>
        <v>1.2507283057851242</v>
      </c>
      <c r="BI11" s="74">
        <f t="shared" si="0"/>
        <v>1.3583178374655649</v>
      </c>
      <c r="BJ11" s="74">
        <f t="shared" si="0"/>
        <v>1.2776256887052342</v>
      </c>
      <c r="BK11" s="74">
        <f t="shared" si="0"/>
        <v>1.1942438016528927</v>
      </c>
      <c r="BL11" s="74">
        <f t="shared" si="0"/>
        <v>1.2117271005509644</v>
      </c>
      <c r="BM11" s="74">
        <f t="shared" si="0"/>
        <v>1.1861745867768596</v>
      </c>
      <c r="BN11" s="74">
        <f t="shared" si="0"/>
        <v>1.1861745867768596</v>
      </c>
      <c r="BO11" s="74">
        <f t="shared" si="0"/>
        <v>1.1861745867768596</v>
      </c>
      <c r="BP11" s="74">
        <f t="shared" si="0"/>
        <v>1.1337246900826448</v>
      </c>
      <c r="BQ11" s="74">
        <f t="shared" si="0"/>
        <v>1.166001549586777</v>
      </c>
      <c r="BR11" s="74">
        <f t="shared" si="0"/>
        <v>1.1377592975206612</v>
      </c>
      <c r="BS11" s="74">
        <f t="shared" si="0"/>
        <v>1.1108619146005509</v>
      </c>
      <c r="BT11" s="74">
        <f t="shared" si="0"/>
        <v>1.0960683539944904</v>
      </c>
      <c r="BU11" s="74">
        <f t="shared" si="0"/>
        <v>1.160622073002755</v>
      </c>
      <c r="BV11" s="74">
        <f t="shared" ref="BV11:CR11" si="1">$F$11*(BV8/1000)</f>
        <v>1.1498631198347109</v>
      </c>
      <c r="BW11" s="74">
        <f t="shared" si="1"/>
        <v>1.1727258953168045</v>
      </c>
      <c r="BX11" s="74">
        <f t="shared" si="1"/>
        <v>1.2372796143250691</v>
      </c>
      <c r="BY11" s="74">
        <f t="shared" si="1"/>
        <v>1.2399693526170801</v>
      </c>
      <c r="BZ11" s="74">
        <f t="shared" si="1"/>
        <v>1.3112474173553721</v>
      </c>
      <c r="CA11" s="74">
        <f t="shared" si="1"/>
        <v>1.3246961088154272</v>
      </c>
      <c r="CB11" s="74">
        <f t="shared" si="1"/>
        <v>1.3771460055096421</v>
      </c>
      <c r="CC11" s="74">
        <f t="shared" si="1"/>
        <v>1.374456267217631</v>
      </c>
      <c r="CD11" s="74">
        <f t="shared" si="1"/>
        <v>1.3583178374655649</v>
      </c>
      <c r="CE11" s="74">
        <f t="shared" si="1"/>
        <v>1.3381448002754823</v>
      </c>
      <c r="CF11" s="74">
        <f t="shared" si="1"/>
        <v>1.3636973140495869</v>
      </c>
      <c r="CG11" s="74">
        <f t="shared" si="1"/>
        <v>1.3636973140495869</v>
      </c>
      <c r="CH11" s="74">
        <f t="shared" si="1"/>
        <v>1.369076790633609</v>
      </c>
      <c r="CI11" s="74">
        <f t="shared" si="1"/>
        <v>1.4322856404958679</v>
      </c>
      <c r="CJ11" s="74">
        <f t="shared" si="1"/>
        <v>1.4148023415977964</v>
      </c>
      <c r="CK11" s="74">
        <f t="shared" si="1"/>
        <v>1.4040433884297523</v>
      </c>
      <c r="CL11" s="74">
        <f t="shared" si="1"/>
        <v>1.3919395661157026</v>
      </c>
      <c r="CM11" s="74">
        <f t="shared" si="1"/>
        <v>1.3784908746556475</v>
      </c>
      <c r="CN11" s="74">
        <f t="shared" si="1"/>
        <v>1.3636973140495869</v>
      </c>
      <c r="CO11" s="74">
        <f t="shared" si="1"/>
        <v>1.3731113980716254</v>
      </c>
      <c r="CP11" s="74">
        <f t="shared" si="1"/>
        <v>1.3784908746556475</v>
      </c>
      <c r="CQ11" s="74">
        <f t="shared" si="1"/>
        <v>1.3986639118457302</v>
      </c>
      <c r="CR11" s="74">
        <f t="shared" si="1"/>
        <v>1.3986639118457302</v>
      </c>
      <c r="CS11" s="74">
        <f>$F$11*(CS8/1000)</f>
        <v>1.3502486225895318</v>
      </c>
      <c r="CT11" s="74">
        <f>$F$11*(CT8/1000)</f>
        <v>1.3193166322314052</v>
      </c>
      <c r="CU11" s="74">
        <f>$F$11*(CU8/1000)</f>
        <v>1.3825254820936641</v>
      </c>
      <c r="CV11" s="74">
        <f t="shared" ref="CV11:DC11" si="2">$F$11*(CV8/1000)</f>
        <v>1.3515934917355372</v>
      </c>
      <c r="CW11" s="74">
        <f t="shared" si="2"/>
        <v>1.3394896694214877</v>
      </c>
      <c r="CX11" s="74">
        <f t="shared" si="2"/>
        <v>1.3341101928374657</v>
      </c>
      <c r="CY11" s="74">
        <f t="shared" si="2"/>
        <v>1.2924192493112949</v>
      </c>
      <c r="CZ11" s="74">
        <f>$F$11*(CZ8/1000)</f>
        <v>1.3489037534435262</v>
      </c>
      <c r="DA11" s="74">
        <f t="shared" si="2"/>
        <v>1.3596627066115703</v>
      </c>
      <c r="DB11" s="74">
        <f t="shared" si="2"/>
        <v>1.3273858471074382</v>
      </c>
      <c r="DC11" s="74">
        <f t="shared" si="2"/>
        <v>1.3381448002754823</v>
      </c>
    </row>
    <row r="12" spans="1:141" ht="13">
      <c r="A12" s="67"/>
      <c r="B12" s="107" t="s">
        <v>114</v>
      </c>
      <c r="C12" s="60">
        <v>1</v>
      </c>
      <c r="D12" s="77">
        <v>42.08</v>
      </c>
      <c r="E12" s="60">
        <f>D12*C12</f>
        <v>42.08</v>
      </c>
      <c r="F12" s="65">
        <f>E12/$D$3</f>
        <v>0.72451790633608815</v>
      </c>
      <c r="I12" s="74">
        <f>$F$12*(I9/1000)</f>
        <v>0.68829201101928372</v>
      </c>
      <c r="J12" s="74">
        <f t="shared" ref="J12:BU12" si="3">$F$12*(J9/1000)</f>
        <v>0.58685950413223142</v>
      </c>
      <c r="K12" s="74">
        <f t="shared" si="3"/>
        <v>0.56512396694214873</v>
      </c>
      <c r="L12" s="74">
        <f t="shared" si="3"/>
        <v>0.40573002754820942</v>
      </c>
      <c r="M12" s="74">
        <f t="shared" si="3"/>
        <v>0.49267217630853999</v>
      </c>
      <c r="N12" s="74">
        <f t="shared" si="3"/>
        <v>0.52165289256198344</v>
      </c>
      <c r="O12" s="74">
        <f t="shared" si="3"/>
        <v>0.56512396694214873</v>
      </c>
      <c r="P12" s="74">
        <f t="shared" si="3"/>
        <v>0.56512396694214873</v>
      </c>
      <c r="Q12" s="74">
        <f t="shared" si="3"/>
        <v>0.61584022038567487</v>
      </c>
      <c r="R12" s="74">
        <f t="shared" si="3"/>
        <v>0.62308539944903585</v>
      </c>
      <c r="S12" s="74">
        <f t="shared" si="3"/>
        <v>0.61584022038567487</v>
      </c>
      <c r="T12" s="74">
        <f t="shared" si="3"/>
        <v>0.68104683195592286</v>
      </c>
      <c r="U12" s="74">
        <f t="shared" si="3"/>
        <v>0.66655647382920113</v>
      </c>
      <c r="V12" s="74">
        <f t="shared" si="3"/>
        <v>0.673801652892562</v>
      </c>
      <c r="W12" s="74">
        <f t="shared" si="3"/>
        <v>0.83319559228650131</v>
      </c>
      <c r="X12" s="74">
        <f t="shared" si="3"/>
        <v>0.76798898071625343</v>
      </c>
      <c r="Y12" s="74">
        <f t="shared" si="3"/>
        <v>0.78972451790633613</v>
      </c>
      <c r="Z12" s="74">
        <f t="shared" si="3"/>
        <v>0.66655647382920113</v>
      </c>
      <c r="AA12" s="74">
        <f t="shared" si="3"/>
        <v>0.68104683195592286</v>
      </c>
      <c r="AB12" s="74">
        <f t="shared" si="3"/>
        <v>0.68104683195592286</v>
      </c>
      <c r="AC12" s="74">
        <f t="shared" si="3"/>
        <v>0.68104683195592286</v>
      </c>
      <c r="AD12" s="74">
        <f t="shared" si="3"/>
        <v>0.73900826446280987</v>
      </c>
      <c r="AE12" s="74">
        <f t="shared" si="3"/>
        <v>0.69553719008264459</v>
      </c>
      <c r="AF12" s="74">
        <f t="shared" si="3"/>
        <v>0.6520661157024793</v>
      </c>
      <c r="AG12" s="74">
        <f t="shared" si="3"/>
        <v>0.68829201101928372</v>
      </c>
      <c r="AH12" s="74">
        <f t="shared" si="3"/>
        <v>0.86942148760330573</v>
      </c>
      <c r="AI12" s="74">
        <f t="shared" si="3"/>
        <v>0.95636363636363642</v>
      </c>
      <c r="AJ12" s="74">
        <f t="shared" si="3"/>
        <v>0.93462809917355372</v>
      </c>
      <c r="AK12" s="74">
        <f t="shared" si="3"/>
        <v>0.86942148760330573</v>
      </c>
      <c r="AL12" s="74">
        <f t="shared" si="3"/>
        <v>0.75349862258953171</v>
      </c>
      <c r="AM12" s="74">
        <f t="shared" si="3"/>
        <v>0.68829201101928372</v>
      </c>
      <c r="AN12" s="74">
        <f t="shared" si="3"/>
        <v>0.64482093663911844</v>
      </c>
      <c r="AO12" s="74">
        <f t="shared" si="3"/>
        <v>0.64482093663911844</v>
      </c>
      <c r="AP12" s="74">
        <f t="shared" si="3"/>
        <v>0.64482093663911844</v>
      </c>
      <c r="AQ12" s="74">
        <f t="shared" si="3"/>
        <v>0.61584022038567487</v>
      </c>
      <c r="AR12" s="74">
        <f t="shared" si="3"/>
        <v>0.63757575757575757</v>
      </c>
      <c r="AS12" s="74">
        <f t="shared" si="3"/>
        <v>0.63757575757575757</v>
      </c>
      <c r="AT12" s="74">
        <f t="shared" si="3"/>
        <v>0.71002754820936642</v>
      </c>
      <c r="AU12" s="74">
        <f t="shared" si="3"/>
        <v>0.66655647382920113</v>
      </c>
      <c r="AV12" s="74">
        <f t="shared" si="3"/>
        <v>0.68104683195592286</v>
      </c>
      <c r="AW12" s="74">
        <f t="shared" si="3"/>
        <v>0.64482093663911844</v>
      </c>
      <c r="AX12" s="74">
        <f t="shared" si="3"/>
        <v>0.54338842975206614</v>
      </c>
      <c r="AY12" s="74">
        <f t="shared" si="3"/>
        <v>0.5288980716253443</v>
      </c>
      <c r="AZ12" s="74">
        <f t="shared" si="3"/>
        <v>0.5288980716253443</v>
      </c>
      <c r="BA12" s="74">
        <f t="shared" si="3"/>
        <v>0.54628650137741042</v>
      </c>
      <c r="BB12" s="74">
        <f t="shared" si="3"/>
        <v>0.56367493112947664</v>
      </c>
      <c r="BC12" s="74">
        <f t="shared" si="3"/>
        <v>0.56874655647382921</v>
      </c>
      <c r="BD12" s="74">
        <f t="shared" si="3"/>
        <v>0.59772727272727266</v>
      </c>
      <c r="BE12" s="74">
        <f t="shared" si="3"/>
        <v>0.61873829201101926</v>
      </c>
      <c r="BF12" s="74">
        <f t="shared" si="3"/>
        <v>0.61873829201101926</v>
      </c>
      <c r="BG12" s="74">
        <f t="shared" si="3"/>
        <v>0.61004407713498621</v>
      </c>
      <c r="BH12" s="74">
        <f t="shared" si="3"/>
        <v>0.60134986225895315</v>
      </c>
      <c r="BI12" s="74">
        <f t="shared" si="3"/>
        <v>0.5897575757575757</v>
      </c>
      <c r="BJ12" s="74">
        <f t="shared" si="3"/>
        <v>0.58323691460055105</v>
      </c>
      <c r="BK12" s="74">
        <f t="shared" si="3"/>
        <v>0.58323691460055105</v>
      </c>
      <c r="BL12" s="74">
        <f t="shared" si="3"/>
        <v>0.57888980716253446</v>
      </c>
      <c r="BM12" s="74">
        <f t="shared" si="3"/>
        <v>0.57888980716253446</v>
      </c>
      <c r="BN12" s="74">
        <f t="shared" si="3"/>
        <v>0.57526721763085398</v>
      </c>
      <c r="BO12" s="74">
        <f t="shared" si="3"/>
        <v>0.57526721763085398</v>
      </c>
      <c r="BP12" s="74">
        <f t="shared" si="3"/>
        <v>0.57888980716253446</v>
      </c>
      <c r="BQ12" s="74">
        <f t="shared" si="3"/>
        <v>0.57888980716253446</v>
      </c>
      <c r="BR12" s="74">
        <f t="shared" si="3"/>
        <v>0.58251239669421495</v>
      </c>
      <c r="BS12" s="74">
        <f t="shared" si="3"/>
        <v>0.57888980716253446</v>
      </c>
      <c r="BT12" s="74">
        <f t="shared" si="3"/>
        <v>0.57888980716253446</v>
      </c>
      <c r="BU12" s="74">
        <f t="shared" si="3"/>
        <v>0.57816528925619837</v>
      </c>
      <c r="BV12" s="74">
        <f t="shared" ref="BV12:CR12" si="4">$F$12*(BV9/1000)</f>
        <v>0.58251239669421495</v>
      </c>
      <c r="BW12" s="74">
        <f t="shared" si="4"/>
        <v>0.60714600550964182</v>
      </c>
      <c r="BX12" s="74">
        <f t="shared" si="4"/>
        <v>0.66655647382920113</v>
      </c>
      <c r="BY12" s="74">
        <f t="shared" si="4"/>
        <v>0.68104683195592286</v>
      </c>
      <c r="BZ12" s="74">
        <f t="shared" si="4"/>
        <v>0.72306887052341595</v>
      </c>
      <c r="CA12" s="74">
        <f t="shared" si="4"/>
        <v>0.69553719008264459</v>
      </c>
      <c r="CB12" s="74">
        <f t="shared" si="4"/>
        <v>0.66220936639118455</v>
      </c>
      <c r="CC12" s="74">
        <f t="shared" si="4"/>
        <v>0.63033057851239671</v>
      </c>
      <c r="CD12" s="74">
        <f t="shared" si="4"/>
        <v>0.62308539944903585</v>
      </c>
      <c r="CE12" s="74">
        <f t="shared" si="4"/>
        <v>0.62308539944903585</v>
      </c>
      <c r="CF12" s="74">
        <f t="shared" si="4"/>
        <v>0.62815702479338842</v>
      </c>
      <c r="CG12" s="74">
        <f t="shared" si="4"/>
        <v>0.6122176308539945</v>
      </c>
      <c r="CH12" s="74">
        <f t="shared" si="4"/>
        <v>0.6114931129476584</v>
      </c>
      <c r="CI12" s="74">
        <f t="shared" si="4"/>
        <v>0.6114931129476584</v>
      </c>
      <c r="CJ12" s="74">
        <f t="shared" si="4"/>
        <v>0.6114931129476584</v>
      </c>
      <c r="CK12" s="74">
        <f t="shared" si="4"/>
        <v>0.6114931129476584</v>
      </c>
      <c r="CL12" s="74">
        <f t="shared" si="4"/>
        <v>0.59917630853994486</v>
      </c>
      <c r="CM12" s="74">
        <f t="shared" si="4"/>
        <v>0.59265564738292009</v>
      </c>
      <c r="CN12" s="74">
        <f t="shared" si="4"/>
        <v>0.5897575757575757</v>
      </c>
      <c r="CO12" s="74">
        <f t="shared" si="4"/>
        <v>0.58685950413223142</v>
      </c>
      <c r="CP12" s="74">
        <f t="shared" si="4"/>
        <v>0.59917630853994486</v>
      </c>
      <c r="CQ12" s="74">
        <f t="shared" si="4"/>
        <v>0.59917630853994486</v>
      </c>
      <c r="CR12" s="74">
        <f t="shared" si="4"/>
        <v>0.59917630853994486</v>
      </c>
      <c r="CS12" s="74">
        <f>$F$12*(CS9/1000)</f>
        <v>0.59265564738292009</v>
      </c>
      <c r="CT12" s="74">
        <f>$F$12*(CT9/1000)</f>
        <v>0.59265564738292009</v>
      </c>
      <c r="CU12" s="74">
        <f>$F$12*(CU9/1000)</f>
        <v>0.59265564738292009</v>
      </c>
      <c r="CV12" s="74">
        <f t="shared" ref="CV12:DC12" si="5">$F$12*(CV9/1000)</f>
        <v>0.61584022038567487</v>
      </c>
      <c r="CW12" s="74">
        <f t="shared" si="5"/>
        <v>0.65858677685950417</v>
      </c>
      <c r="CX12" s="74">
        <f t="shared" si="5"/>
        <v>0.65858677685950417</v>
      </c>
      <c r="CY12" s="74">
        <f t="shared" si="5"/>
        <v>0.66510743801652894</v>
      </c>
      <c r="CZ12" s="74">
        <f t="shared" si="5"/>
        <v>0.66510743801652894</v>
      </c>
      <c r="DA12" s="74">
        <f t="shared" si="5"/>
        <v>0.66510743801652894</v>
      </c>
      <c r="DB12" s="74">
        <f t="shared" si="5"/>
        <v>0.66510743801652894</v>
      </c>
      <c r="DC12" s="74">
        <f t="shared" si="5"/>
        <v>0.64771900826446283</v>
      </c>
    </row>
    <row r="13" spans="1:141">
      <c r="A13" s="67"/>
      <c r="B13" s="107"/>
      <c r="D13" s="77"/>
      <c r="F13" s="65"/>
      <c r="I13" s="74"/>
      <c r="J13" s="74"/>
      <c r="K13" s="74"/>
      <c r="L13" s="74"/>
      <c r="M13" s="74"/>
      <c r="N13" s="74"/>
      <c r="O13" s="74"/>
      <c r="P13" s="74"/>
      <c r="Q13" s="74"/>
      <c r="R13" s="74"/>
      <c r="S13" s="74"/>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c r="BF13" s="74"/>
      <c r="BG13" s="74"/>
      <c r="BH13" s="74"/>
      <c r="BI13" s="74"/>
      <c r="BJ13" s="74"/>
      <c r="BK13" s="74"/>
      <c r="BL13" s="74"/>
      <c r="BM13" s="74"/>
      <c r="BN13" s="74"/>
      <c r="BO13" s="74"/>
      <c r="BP13" s="74"/>
      <c r="BQ13" s="74"/>
      <c r="BR13" s="74"/>
      <c r="BS13" s="74"/>
      <c r="BT13" s="74"/>
      <c r="BU13" s="74"/>
      <c r="BV13" s="74"/>
      <c r="BW13" s="74"/>
      <c r="BX13" s="74"/>
      <c r="BY13" s="74"/>
      <c r="BZ13" s="74"/>
      <c r="CA13" s="74"/>
      <c r="CB13" s="74"/>
      <c r="CC13" s="74"/>
      <c r="CD13" s="74"/>
      <c r="CE13" s="74"/>
      <c r="CF13" s="74"/>
      <c r="CG13" s="74"/>
      <c r="CH13" s="74"/>
      <c r="CI13" s="74"/>
      <c r="CJ13" s="74"/>
      <c r="CK13" s="74"/>
      <c r="CL13" s="74"/>
      <c r="CM13" s="74"/>
      <c r="CN13" s="74"/>
      <c r="CO13" s="74"/>
      <c r="CP13" s="74"/>
      <c r="CQ13" s="74"/>
      <c r="CR13" s="74"/>
      <c r="CS13" s="74"/>
      <c r="CT13" s="74"/>
      <c r="CU13" s="74"/>
      <c r="CV13" s="74"/>
      <c r="CW13" s="74"/>
      <c r="CX13" s="74"/>
      <c r="CY13" s="74"/>
      <c r="CZ13" s="74"/>
      <c r="DA13" s="74"/>
      <c r="DB13" s="74"/>
      <c r="DC13" s="74"/>
    </row>
    <row r="14" spans="1:141" s="104" customFormat="1">
      <c r="H14" s="104" t="s">
        <v>799</v>
      </c>
      <c r="I14" s="105">
        <f>SUM(I11:I12)</f>
        <v>1.4299537233126722</v>
      </c>
      <c r="J14" s="105">
        <f t="shared" ref="J14:BU14" si="6">SUM(J11:J12)</f>
        <v>1.2293618908130348</v>
      </c>
      <c r="K14" s="105">
        <f>SUM(K11:K12)</f>
        <v>0.95547987787221378</v>
      </c>
      <c r="L14" s="105">
        <f t="shared" si="6"/>
        <v>0.66693083329233915</v>
      </c>
      <c r="M14" s="105">
        <f t="shared" si="6"/>
        <v>0.85197638314967872</v>
      </c>
      <c r="N14" s="105">
        <f t="shared" si="6"/>
        <v>1.0098403925619834</v>
      </c>
      <c r="O14" s="105">
        <f t="shared" si="6"/>
        <v>1.0909678030303032</v>
      </c>
      <c r="P14" s="105">
        <f t="shared" si="6"/>
        <v>1.1030716253443527</v>
      </c>
      <c r="Q14" s="105">
        <f t="shared" si="6"/>
        <v>1.1551327479338842</v>
      </c>
      <c r="R14" s="105">
        <f t="shared" si="6"/>
        <v>1.1448946280991736</v>
      </c>
      <c r="S14" s="105">
        <f t="shared" si="6"/>
        <v>1.1295802341597796</v>
      </c>
      <c r="T14" s="105">
        <f t="shared" si="6"/>
        <v>1.2842206439393942</v>
      </c>
      <c r="U14" s="105">
        <f t="shared" si="6"/>
        <v>1.3591640840220387</v>
      </c>
      <c r="V14" s="105">
        <f t="shared" si="6"/>
        <v>1.409445075757576</v>
      </c>
      <c r="W14" s="105">
        <f>SUM(W11:W12)</f>
        <v>1.5863223140495868</v>
      </c>
      <c r="X14" s="105">
        <f t="shared" si="6"/>
        <v>1.5399438705234161</v>
      </c>
      <c r="Y14" s="105">
        <f t="shared" si="6"/>
        <v>1.5912665289256198</v>
      </c>
      <c r="Z14" s="105">
        <f t="shared" si="6"/>
        <v>1.5326522038567494</v>
      </c>
      <c r="AA14" s="105">
        <f t="shared" si="6"/>
        <v>1.6021140883264464</v>
      </c>
      <c r="AB14" s="105">
        <f t="shared" si="6"/>
        <v>1.5881610709366392</v>
      </c>
      <c r="AC14" s="105">
        <f t="shared" si="6"/>
        <v>1.572022641184573</v>
      </c>
      <c r="AD14" s="105">
        <f t="shared" si="6"/>
        <v>1.7712625774793387</v>
      </c>
      <c r="AE14" s="105">
        <f t="shared" si="6"/>
        <v>1.7120430853994493</v>
      </c>
      <c r="AF14" s="105">
        <f t="shared" si="6"/>
        <v>1.5843294077134988</v>
      </c>
      <c r="AG14" s="105">
        <f t="shared" si="6"/>
        <v>1.7311035468319558</v>
      </c>
      <c r="AH14" s="105">
        <f t="shared" si="6"/>
        <v>2.0260089531680441</v>
      </c>
      <c r="AI14" s="105">
        <f t="shared" si="6"/>
        <v>2.3160263429752068</v>
      </c>
      <c r="AJ14" s="105">
        <f t="shared" si="6"/>
        <v>2.1490449380165293</v>
      </c>
      <c r="AK14" s="105">
        <f t="shared" si="6"/>
        <v>2.0851831955922866</v>
      </c>
      <c r="AL14" s="105">
        <f t="shared" si="6"/>
        <v>1.8670502754820937</v>
      </c>
      <c r="AM14" s="105">
        <f t="shared" si="6"/>
        <v>1.752083505509642</v>
      </c>
      <c r="AN14" s="105">
        <f t="shared" si="6"/>
        <v>1.5875742079889807</v>
      </c>
      <c r="AO14" s="105">
        <f t="shared" si="6"/>
        <v>1.5337794421487603</v>
      </c>
      <c r="AP14" s="105">
        <f t="shared" si="6"/>
        <v>1.5633665633608818</v>
      </c>
      <c r="AQ14" s="105">
        <f t="shared" si="6"/>
        <v>1.5478345385674932</v>
      </c>
      <c r="AR14" s="105">
        <f t="shared" si="6"/>
        <v>1.4787914084022038</v>
      </c>
      <c r="AS14" s="105">
        <f t="shared" si="6"/>
        <v>1.5924328512396695</v>
      </c>
      <c r="AT14" s="105">
        <f t="shared" si="6"/>
        <v>1.6783333333333335</v>
      </c>
      <c r="AU14" s="105">
        <f t="shared" si="6"/>
        <v>1.7962465564738292</v>
      </c>
      <c r="AV14" s="105">
        <f t="shared" si="6"/>
        <v>1.992294249311295</v>
      </c>
      <c r="AW14" s="105">
        <f t="shared" si="6"/>
        <v>1.7677866735537191</v>
      </c>
      <c r="AX14" s="105">
        <f t="shared" si="6"/>
        <v>1.4444507575757577</v>
      </c>
      <c r="AY14" s="105">
        <f t="shared" si="6"/>
        <v>1.4871173381542699</v>
      </c>
      <c r="AZ14" s="105">
        <f t="shared" si="6"/>
        <v>1.577896005509642</v>
      </c>
      <c r="BA14" s="105">
        <f t="shared" si="6"/>
        <v>1.6275612947658402</v>
      </c>
      <c r="BB14" s="105">
        <f t="shared" si="6"/>
        <v>1.6960547520661158</v>
      </c>
      <c r="BC14" s="105">
        <f t="shared" si="6"/>
        <v>1.7428173209366393</v>
      </c>
      <c r="BD14" s="105">
        <f t="shared" si="6"/>
        <v>1.7583493457300277</v>
      </c>
      <c r="BE14" s="105">
        <f t="shared" si="6"/>
        <v>1.7968436639118459</v>
      </c>
      <c r="BF14" s="105">
        <f t="shared" si="6"/>
        <v>1.7968436639118459</v>
      </c>
      <c r="BG14" s="105">
        <f t="shared" si="6"/>
        <v>1.7733558884297522</v>
      </c>
      <c r="BH14" s="105">
        <f t="shared" si="6"/>
        <v>1.8520781680440774</v>
      </c>
      <c r="BI14" s="105">
        <f t="shared" si="6"/>
        <v>1.9480754132231406</v>
      </c>
      <c r="BJ14" s="105">
        <f t="shared" si="6"/>
        <v>1.8608626033057853</v>
      </c>
      <c r="BK14" s="105">
        <f t="shared" si="6"/>
        <v>1.7774807162534438</v>
      </c>
      <c r="BL14" s="105">
        <f t="shared" si="6"/>
        <v>1.790616907713499</v>
      </c>
      <c r="BM14" s="105">
        <f t="shared" si="6"/>
        <v>1.7650643939393942</v>
      </c>
      <c r="BN14" s="105">
        <f t="shared" si="6"/>
        <v>1.7614418044077136</v>
      </c>
      <c r="BO14" s="105">
        <f t="shared" si="6"/>
        <v>1.7614418044077136</v>
      </c>
      <c r="BP14" s="105">
        <f t="shared" si="6"/>
        <v>1.7126144972451791</v>
      </c>
      <c r="BQ14" s="105">
        <f t="shared" si="6"/>
        <v>1.7448913567493114</v>
      </c>
      <c r="BR14" s="105">
        <f t="shared" si="6"/>
        <v>1.7202716942148761</v>
      </c>
      <c r="BS14" s="105">
        <f t="shared" si="6"/>
        <v>1.6897517217630855</v>
      </c>
      <c r="BT14" s="105">
        <f t="shared" si="6"/>
        <v>1.6749581611570248</v>
      </c>
      <c r="BU14" s="105">
        <f t="shared" si="6"/>
        <v>1.7387873622589534</v>
      </c>
      <c r="BV14" s="105">
        <f t="shared" ref="BV14:CR14" si="7">SUM(BV11:BV12)</f>
        <v>1.7323755165289259</v>
      </c>
      <c r="BW14" s="105">
        <f t="shared" si="7"/>
        <v>1.7798719008264463</v>
      </c>
      <c r="BX14" s="105">
        <f t="shared" si="7"/>
        <v>1.9038360881542702</v>
      </c>
      <c r="BY14" s="105">
        <f t="shared" si="7"/>
        <v>1.9210161845730029</v>
      </c>
      <c r="BZ14" s="105">
        <f t="shared" si="7"/>
        <v>2.0343162878787879</v>
      </c>
      <c r="CA14" s="105">
        <f t="shared" si="7"/>
        <v>2.0202332988980718</v>
      </c>
      <c r="CB14" s="105">
        <f t="shared" si="7"/>
        <v>2.0393553719008266</v>
      </c>
      <c r="CC14" s="105">
        <f t="shared" si="7"/>
        <v>2.0047868457300275</v>
      </c>
      <c r="CD14" s="105">
        <f t="shared" si="7"/>
        <v>1.9814032369146006</v>
      </c>
      <c r="CE14" s="105">
        <f t="shared" si="7"/>
        <v>1.9612301997245183</v>
      </c>
      <c r="CF14" s="105">
        <f t="shared" si="7"/>
        <v>1.9918543388429755</v>
      </c>
      <c r="CG14" s="105">
        <f t="shared" si="7"/>
        <v>1.9759149449035815</v>
      </c>
      <c r="CH14" s="105">
        <f t="shared" si="7"/>
        <v>1.9805699035812674</v>
      </c>
      <c r="CI14" s="105">
        <f t="shared" si="7"/>
        <v>2.0437787534435263</v>
      </c>
      <c r="CJ14" s="105">
        <f t="shared" si="7"/>
        <v>2.0262954545454548</v>
      </c>
      <c r="CK14" s="105">
        <f t="shared" si="7"/>
        <v>2.0155365013774107</v>
      </c>
      <c r="CL14" s="105">
        <f t="shared" si="7"/>
        <v>1.9911158746556474</v>
      </c>
      <c r="CM14" s="105">
        <f t="shared" si="7"/>
        <v>1.9711465220385676</v>
      </c>
      <c r="CN14" s="105">
        <f t="shared" si="7"/>
        <v>1.9534548898071626</v>
      </c>
      <c r="CO14" s="105">
        <f t="shared" si="7"/>
        <v>1.9599709022038567</v>
      </c>
      <c r="CP14" s="105">
        <f t="shared" si="7"/>
        <v>1.9776671831955923</v>
      </c>
      <c r="CQ14" s="105">
        <f t="shared" si="7"/>
        <v>1.9978402203856751</v>
      </c>
      <c r="CR14" s="105">
        <f t="shared" si="7"/>
        <v>1.9978402203856751</v>
      </c>
      <c r="CS14" s="105">
        <f>SUM(CS11:CS12)</f>
        <v>1.9429042699724519</v>
      </c>
      <c r="CT14" s="105">
        <f>SUM(CT11:CT12)</f>
        <v>1.9119722796143253</v>
      </c>
      <c r="CU14" s="105">
        <f>SUM(CU11:CU12)</f>
        <v>1.9751811294765842</v>
      </c>
      <c r="CV14" s="105">
        <f t="shared" ref="CV14:DC14" si="8">SUM(CV11:CV12)</f>
        <v>1.967433712121212</v>
      </c>
      <c r="CW14" s="105">
        <f t="shared" si="8"/>
        <v>1.9980764462809919</v>
      </c>
      <c r="CX14" s="105">
        <f t="shared" si="8"/>
        <v>1.9926969696969699</v>
      </c>
      <c r="CY14" s="105">
        <f t="shared" si="8"/>
        <v>1.9575266873278239</v>
      </c>
      <c r="CZ14" s="105">
        <f t="shared" si="8"/>
        <v>2.0140111914600549</v>
      </c>
      <c r="DA14" s="105">
        <f t="shared" si="8"/>
        <v>2.024770144628099</v>
      </c>
      <c r="DB14" s="105">
        <f t="shared" si="8"/>
        <v>1.9924932851239672</v>
      </c>
      <c r="DC14" s="105">
        <f t="shared" si="8"/>
        <v>1.9858638085399452</v>
      </c>
    </row>
    <row r="15" spans="1:141" s="104" customFormat="1">
      <c r="H15" s="60"/>
      <c r="I15" s="105"/>
      <c r="J15" s="105"/>
      <c r="K15" s="105"/>
      <c r="L15" s="105"/>
      <c r="M15" s="105"/>
      <c r="N15" s="105"/>
      <c r="O15" s="105"/>
      <c r="P15" s="105"/>
      <c r="Q15" s="105"/>
      <c r="R15" s="105"/>
      <c r="S15" s="105"/>
      <c r="T15" s="105"/>
      <c r="U15" s="105"/>
      <c r="V15" s="105"/>
      <c r="W15" s="105"/>
      <c r="X15" s="105"/>
      <c r="Y15" s="105"/>
      <c r="Z15" s="105"/>
      <c r="AA15" s="105"/>
      <c r="AB15" s="105"/>
      <c r="AC15" s="105"/>
      <c r="AD15" s="105"/>
      <c r="AE15" s="105"/>
      <c r="AF15" s="105"/>
      <c r="AG15" s="105"/>
      <c r="AH15" s="105"/>
      <c r="AI15" s="105"/>
      <c r="AJ15" s="105"/>
      <c r="AK15" s="105"/>
      <c r="AL15" s="105"/>
      <c r="AM15" s="105"/>
      <c r="AN15" s="105"/>
      <c r="AO15" s="105"/>
      <c r="AP15" s="105"/>
      <c r="AQ15" s="105"/>
      <c r="AR15" s="105"/>
      <c r="AS15" s="105"/>
      <c r="AT15" s="105"/>
      <c r="AU15" s="105"/>
      <c r="AV15" s="105"/>
      <c r="AW15" s="105"/>
      <c r="AX15" s="105"/>
      <c r="AY15" s="105"/>
      <c r="AZ15" s="105"/>
      <c r="BA15" s="105"/>
      <c r="BB15" s="105"/>
      <c r="BC15" s="105"/>
      <c r="BD15" s="105"/>
      <c r="BE15" s="105"/>
      <c r="BF15" s="105"/>
      <c r="BG15" s="105"/>
      <c r="BH15" s="105"/>
      <c r="BI15" s="105"/>
      <c r="BJ15" s="105"/>
      <c r="BK15" s="105"/>
      <c r="BL15" s="105"/>
      <c r="BM15" s="105"/>
      <c r="BN15" s="105"/>
      <c r="BO15" s="105"/>
      <c r="BP15" s="105"/>
      <c r="BQ15" s="105"/>
      <c r="BR15" s="105"/>
      <c r="BS15" s="105"/>
      <c r="BT15" s="105"/>
      <c r="BU15" s="105"/>
      <c r="BV15" s="105"/>
      <c r="BW15" s="105"/>
      <c r="BX15" s="105"/>
      <c r="BY15" s="105"/>
      <c r="BZ15" s="105"/>
      <c r="CA15" s="105"/>
      <c r="CB15" s="105"/>
      <c r="CC15" s="105"/>
      <c r="CD15" s="105"/>
      <c r="CE15" s="105"/>
      <c r="CF15" s="105"/>
      <c r="CG15" s="105"/>
      <c r="CH15" s="105"/>
      <c r="CI15" s="105"/>
      <c r="CJ15" s="105"/>
      <c r="CK15" s="105"/>
      <c r="CL15" s="105"/>
      <c r="CM15" s="105"/>
      <c r="CN15" s="105"/>
      <c r="CO15" s="105"/>
      <c r="CP15" s="105"/>
      <c r="CQ15" s="105"/>
      <c r="CR15" s="105"/>
      <c r="CS15" s="105"/>
      <c r="CT15" s="105"/>
      <c r="CU15" s="105"/>
      <c r="CV15" s="105"/>
      <c r="CW15" s="105"/>
      <c r="CX15" s="105"/>
      <c r="CY15" s="105"/>
      <c r="CZ15" s="105"/>
      <c r="DA15" s="105"/>
      <c r="DB15" s="105"/>
      <c r="DC15" s="105"/>
    </row>
    <row r="16" spans="1:141" ht="15">
      <c r="A16"/>
      <c r="H16" s="60" t="s">
        <v>429</v>
      </c>
      <c r="I16" s="74"/>
      <c r="J16" s="74"/>
      <c r="K16" s="74"/>
      <c r="L16" s="74"/>
      <c r="M16" s="74"/>
      <c r="N16" s="74"/>
      <c r="O16" s="74"/>
      <c r="P16" s="74"/>
      <c r="Q16" s="74"/>
      <c r="R16" s="74"/>
      <c r="S16" s="74"/>
      <c r="T16" s="74"/>
      <c r="U16" s="74"/>
      <c r="V16" s="74"/>
      <c r="W16" s="74"/>
      <c r="X16" s="74"/>
      <c r="Y16" s="74"/>
      <c r="Z16" s="74"/>
      <c r="AA16" s="74"/>
      <c r="AB16" s="74"/>
      <c r="AC16" s="74"/>
      <c r="AD16" s="74"/>
      <c r="AE16" s="74"/>
      <c r="AF16" s="74"/>
      <c r="AG16" s="74"/>
      <c r="AH16" s="74"/>
      <c r="AI16" s="74"/>
      <c r="AK16" s="74"/>
      <c r="AL16" s="74"/>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c r="BM16" s="74"/>
      <c r="BN16" s="74"/>
      <c r="BO16" s="74"/>
      <c r="BP16" s="74"/>
      <c r="BQ16" s="74"/>
      <c r="BR16" s="74"/>
      <c r="BS16" s="74"/>
      <c r="BT16" s="74"/>
      <c r="BU16" s="74"/>
      <c r="BV16" s="74"/>
      <c r="BW16" s="74"/>
      <c r="BX16" s="74"/>
      <c r="BY16" s="74"/>
      <c r="BZ16" s="74"/>
      <c r="CA16" s="74"/>
      <c r="CB16" s="74"/>
      <c r="CC16" s="74"/>
      <c r="CD16" s="74"/>
      <c r="CE16" s="74"/>
      <c r="CF16" s="74"/>
      <c r="CG16" s="74"/>
      <c r="CH16" s="74"/>
      <c r="CI16" s="74"/>
      <c r="CJ16" s="74"/>
      <c r="CK16" s="74"/>
      <c r="CL16" s="74"/>
      <c r="CM16" s="74"/>
      <c r="CN16" s="74"/>
      <c r="CO16" s="74"/>
      <c r="CP16" s="74"/>
      <c r="CQ16" s="74"/>
      <c r="CR16" s="74"/>
      <c r="CS16" s="74"/>
      <c r="CT16" s="74"/>
      <c r="CU16" s="74"/>
      <c r="CV16" s="74"/>
      <c r="CW16" s="74"/>
      <c r="CX16" s="74"/>
      <c r="CY16" s="74"/>
      <c r="CZ16" s="74"/>
      <c r="DA16" s="74"/>
      <c r="DB16" s="74"/>
      <c r="DC16" s="74"/>
    </row>
    <row r="17" spans="8:107">
      <c r="H17" s="60" t="s">
        <v>406</v>
      </c>
      <c r="I17" s="74"/>
      <c r="J17" s="74"/>
      <c r="K17" s="74"/>
      <c r="L17" s="74"/>
      <c r="M17" s="74"/>
      <c r="N17" s="74"/>
      <c r="O17" s="74"/>
      <c r="P17" s="74"/>
      <c r="Q17" s="74"/>
      <c r="R17" s="74"/>
      <c r="S17" s="74"/>
      <c r="T17" s="74"/>
      <c r="U17" s="74"/>
      <c r="V17" s="74"/>
      <c r="W17" s="74"/>
      <c r="X17" s="74"/>
      <c r="Y17" s="74"/>
      <c r="Z17" s="74"/>
      <c r="AA17" s="74"/>
      <c r="AB17" s="74"/>
      <c r="AC17" s="74"/>
      <c r="AD17" s="74"/>
      <c r="AE17" s="74"/>
      <c r="AF17" s="74"/>
      <c r="AG17" s="74"/>
      <c r="AH17" s="74"/>
      <c r="AI17" s="74"/>
      <c r="AK17" s="74"/>
      <c r="AL17" s="74"/>
      <c r="AM17" s="74"/>
      <c r="AN17" s="74"/>
      <c r="AO17" s="74"/>
      <c r="AP17" s="74"/>
      <c r="AQ17" s="74"/>
      <c r="AR17" s="74"/>
      <c r="AS17" s="74"/>
      <c r="AT17" s="74"/>
      <c r="AU17" s="74"/>
      <c r="AV17" s="74"/>
      <c r="AW17" s="74"/>
      <c r="AX17" s="74"/>
      <c r="AY17" s="74"/>
      <c r="AZ17" s="74"/>
      <c r="BA17" s="74"/>
      <c r="BB17" s="74"/>
      <c r="BC17" s="74"/>
      <c r="BD17" s="74"/>
      <c r="BE17" s="74"/>
      <c r="BF17" s="74"/>
      <c r="BG17" s="74"/>
      <c r="BH17" s="74"/>
      <c r="BI17" s="74"/>
      <c r="BJ17" s="74"/>
      <c r="BK17" s="74"/>
      <c r="BL17" s="74"/>
      <c r="BM17" s="74"/>
      <c r="BN17" s="74"/>
      <c r="BO17" s="74"/>
      <c r="BP17" s="74"/>
      <c r="BQ17" s="74"/>
      <c r="BR17" s="74"/>
      <c r="BS17" s="74"/>
      <c r="BT17" s="74"/>
      <c r="BU17" s="74"/>
      <c r="BV17" s="74"/>
      <c r="BW17" s="74"/>
      <c r="BX17" s="74"/>
      <c r="BY17" s="74"/>
      <c r="BZ17" s="74"/>
      <c r="CA17" s="74"/>
      <c r="CB17" s="74"/>
      <c r="CC17" s="74"/>
      <c r="CD17" s="74"/>
      <c r="CE17" s="74"/>
      <c r="CF17" s="74"/>
      <c r="CG17" s="74"/>
      <c r="CH17" s="74"/>
      <c r="CI17" s="74"/>
      <c r="CJ17" s="74"/>
      <c r="CK17" s="74"/>
      <c r="CL17" s="74"/>
      <c r="CM17" s="74"/>
      <c r="CN17" s="74"/>
      <c r="CO17" s="74"/>
      <c r="CP17" s="74"/>
      <c r="CQ17" s="74"/>
      <c r="CR17" s="74"/>
      <c r="CS17" s="74"/>
      <c r="CT17" s="74"/>
      <c r="CU17" s="74"/>
      <c r="CV17" s="74"/>
      <c r="CW17" s="74"/>
      <c r="CX17" s="74"/>
      <c r="CY17" s="74"/>
      <c r="CZ17" s="74"/>
      <c r="DA17" s="74"/>
      <c r="DB17" s="74"/>
      <c r="DC17" s="74"/>
    </row>
    <row r="19" spans="8:107" ht="13" thickBot="1"/>
    <row r="20" spans="8:107" s="73" customFormat="1" ht="13" thickBot="1">
      <c r="H20" s="257" t="s">
        <v>800</v>
      </c>
      <c r="I20" s="258">
        <f>+I14</f>
        <v>1.4299537233126722</v>
      </c>
      <c r="J20" s="258">
        <f t="shared" ref="J20:BU20" si="9">+J14</f>
        <v>1.2293618908130348</v>
      </c>
      <c r="K20" s="258">
        <f t="shared" si="9"/>
        <v>0.95547987787221378</v>
      </c>
      <c r="L20" s="258">
        <f t="shared" si="9"/>
        <v>0.66693083329233915</v>
      </c>
      <c r="M20" s="258">
        <f t="shared" si="9"/>
        <v>0.85197638314967872</v>
      </c>
      <c r="N20" s="258">
        <f t="shared" si="9"/>
        <v>1.0098403925619834</v>
      </c>
      <c r="O20" s="258">
        <f t="shared" si="9"/>
        <v>1.0909678030303032</v>
      </c>
      <c r="P20" s="258">
        <f t="shared" si="9"/>
        <v>1.1030716253443527</v>
      </c>
      <c r="Q20" s="258">
        <f t="shared" si="9"/>
        <v>1.1551327479338842</v>
      </c>
      <c r="R20" s="258">
        <f t="shared" si="9"/>
        <v>1.1448946280991736</v>
      </c>
      <c r="S20" s="258">
        <f t="shared" si="9"/>
        <v>1.1295802341597796</v>
      </c>
      <c r="T20" s="258">
        <f t="shared" si="9"/>
        <v>1.2842206439393942</v>
      </c>
      <c r="U20" s="258">
        <f t="shared" si="9"/>
        <v>1.3591640840220387</v>
      </c>
      <c r="V20" s="258">
        <f t="shared" si="9"/>
        <v>1.409445075757576</v>
      </c>
      <c r="W20" s="258">
        <f t="shared" si="9"/>
        <v>1.5863223140495868</v>
      </c>
      <c r="X20" s="258">
        <f t="shared" si="9"/>
        <v>1.5399438705234161</v>
      </c>
      <c r="Y20" s="258">
        <f t="shared" si="9"/>
        <v>1.5912665289256198</v>
      </c>
      <c r="Z20" s="258">
        <f t="shared" si="9"/>
        <v>1.5326522038567494</v>
      </c>
      <c r="AA20" s="258">
        <f t="shared" si="9"/>
        <v>1.6021140883264464</v>
      </c>
      <c r="AB20" s="258">
        <f t="shared" si="9"/>
        <v>1.5881610709366392</v>
      </c>
      <c r="AC20" s="258">
        <f t="shared" si="9"/>
        <v>1.572022641184573</v>
      </c>
      <c r="AD20" s="258">
        <f t="shared" si="9"/>
        <v>1.7712625774793387</v>
      </c>
      <c r="AE20" s="258">
        <f t="shared" si="9"/>
        <v>1.7120430853994493</v>
      </c>
      <c r="AF20" s="258">
        <f t="shared" si="9"/>
        <v>1.5843294077134988</v>
      </c>
      <c r="AG20" s="258">
        <f t="shared" si="9"/>
        <v>1.7311035468319558</v>
      </c>
      <c r="AH20" s="258">
        <f t="shared" si="9"/>
        <v>2.0260089531680441</v>
      </c>
      <c r="AI20" s="258">
        <f t="shared" si="9"/>
        <v>2.3160263429752068</v>
      </c>
      <c r="AJ20" s="258">
        <f t="shared" si="9"/>
        <v>2.1490449380165293</v>
      </c>
      <c r="AK20" s="258">
        <f t="shared" si="9"/>
        <v>2.0851831955922866</v>
      </c>
      <c r="AL20" s="258">
        <f t="shared" si="9"/>
        <v>1.8670502754820937</v>
      </c>
      <c r="AM20" s="258">
        <f t="shared" si="9"/>
        <v>1.752083505509642</v>
      </c>
      <c r="AN20" s="258">
        <f t="shared" si="9"/>
        <v>1.5875742079889807</v>
      </c>
      <c r="AO20" s="258">
        <f t="shared" si="9"/>
        <v>1.5337794421487603</v>
      </c>
      <c r="AP20" s="258">
        <f t="shared" si="9"/>
        <v>1.5633665633608818</v>
      </c>
      <c r="AQ20" s="258">
        <f t="shared" si="9"/>
        <v>1.5478345385674932</v>
      </c>
      <c r="AR20" s="258">
        <f t="shared" si="9"/>
        <v>1.4787914084022038</v>
      </c>
      <c r="AS20" s="258">
        <f t="shared" si="9"/>
        <v>1.5924328512396695</v>
      </c>
      <c r="AT20" s="258">
        <f t="shared" si="9"/>
        <v>1.6783333333333335</v>
      </c>
      <c r="AU20" s="258">
        <f t="shared" si="9"/>
        <v>1.7962465564738292</v>
      </c>
      <c r="AV20" s="258">
        <f t="shared" si="9"/>
        <v>1.992294249311295</v>
      </c>
      <c r="AW20" s="258">
        <f t="shared" si="9"/>
        <v>1.7677866735537191</v>
      </c>
      <c r="AX20" s="258">
        <f t="shared" si="9"/>
        <v>1.4444507575757577</v>
      </c>
      <c r="AY20" s="258">
        <f t="shared" si="9"/>
        <v>1.4871173381542699</v>
      </c>
      <c r="AZ20" s="258">
        <f t="shared" si="9"/>
        <v>1.577896005509642</v>
      </c>
      <c r="BA20" s="258">
        <f t="shared" si="9"/>
        <v>1.6275612947658402</v>
      </c>
      <c r="BB20" s="258">
        <f t="shared" si="9"/>
        <v>1.6960547520661158</v>
      </c>
      <c r="BC20" s="258">
        <f t="shared" si="9"/>
        <v>1.7428173209366393</v>
      </c>
      <c r="BD20" s="258">
        <f t="shared" si="9"/>
        <v>1.7583493457300277</v>
      </c>
      <c r="BE20" s="258">
        <f t="shared" si="9"/>
        <v>1.7968436639118459</v>
      </c>
      <c r="BF20" s="258">
        <f t="shared" si="9"/>
        <v>1.7968436639118459</v>
      </c>
      <c r="BG20" s="258">
        <f t="shared" si="9"/>
        <v>1.7733558884297522</v>
      </c>
      <c r="BH20" s="258">
        <f t="shared" si="9"/>
        <v>1.8520781680440774</v>
      </c>
      <c r="BI20" s="258">
        <f t="shared" si="9"/>
        <v>1.9480754132231406</v>
      </c>
      <c r="BJ20" s="258">
        <f t="shared" si="9"/>
        <v>1.8608626033057853</v>
      </c>
      <c r="BK20" s="258">
        <f t="shared" si="9"/>
        <v>1.7774807162534438</v>
      </c>
      <c r="BL20" s="258">
        <f t="shared" si="9"/>
        <v>1.790616907713499</v>
      </c>
      <c r="BM20" s="258">
        <f t="shared" si="9"/>
        <v>1.7650643939393942</v>
      </c>
      <c r="BN20" s="258">
        <f t="shared" si="9"/>
        <v>1.7614418044077136</v>
      </c>
      <c r="BO20" s="258">
        <f t="shared" si="9"/>
        <v>1.7614418044077136</v>
      </c>
      <c r="BP20" s="258">
        <f t="shared" si="9"/>
        <v>1.7126144972451791</v>
      </c>
      <c r="BQ20" s="258">
        <f t="shared" si="9"/>
        <v>1.7448913567493114</v>
      </c>
      <c r="BR20" s="258">
        <f t="shared" si="9"/>
        <v>1.7202716942148761</v>
      </c>
      <c r="BS20" s="258">
        <f t="shared" si="9"/>
        <v>1.6897517217630855</v>
      </c>
      <c r="BT20" s="258">
        <f t="shared" si="9"/>
        <v>1.6749581611570248</v>
      </c>
      <c r="BU20" s="258">
        <f t="shared" si="9"/>
        <v>1.7387873622589534</v>
      </c>
      <c r="BV20" s="258">
        <f t="shared" ref="BV20:CR20" si="10">+BV14</f>
        <v>1.7323755165289259</v>
      </c>
      <c r="BW20" s="258">
        <f t="shared" si="10"/>
        <v>1.7798719008264463</v>
      </c>
      <c r="BX20" s="258">
        <f t="shared" si="10"/>
        <v>1.9038360881542702</v>
      </c>
      <c r="BY20" s="258">
        <f t="shared" si="10"/>
        <v>1.9210161845730029</v>
      </c>
      <c r="BZ20" s="258">
        <f t="shared" si="10"/>
        <v>2.0343162878787879</v>
      </c>
      <c r="CA20" s="258">
        <f t="shared" si="10"/>
        <v>2.0202332988980718</v>
      </c>
      <c r="CB20" s="258">
        <f t="shared" si="10"/>
        <v>2.0393553719008266</v>
      </c>
      <c r="CC20" s="258">
        <f t="shared" si="10"/>
        <v>2.0047868457300275</v>
      </c>
      <c r="CD20" s="258">
        <f t="shared" si="10"/>
        <v>1.9814032369146006</v>
      </c>
      <c r="CE20" s="258">
        <f t="shared" si="10"/>
        <v>1.9612301997245183</v>
      </c>
      <c r="CF20" s="258">
        <f t="shared" si="10"/>
        <v>1.9918543388429755</v>
      </c>
      <c r="CG20" s="258">
        <f t="shared" si="10"/>
        <v>1.9759149449035815</v>
      </c>
      <c r="CH20" s="258">
        <f t="shared" si="10"/>
        <v>1.9805699035812674</v>
      </c>
      <c r="CI20" s="258">
        <f t="shared" si="10"/>
        <v>2.0437787534435263</v>
      </c>
      <c r="CJ20" s="258">
        <f t="shared" si="10"/>
        <v>2.0262954545454548</v>
      </c>
      <c r="CK20" s="258">
        <f t="shared" si="10"/>
        <v>2.0155365013774107</v>
      </c>
      <c r="CL20" s="258">
        <f t="shared" si="10"/>
        <v>1.9911158746556474</v>
      </c>
      <c r="CM20" s="258">
        <f t="shared" si="10"/>
        <v>1.9711465220385676</v>
      </c>
      <c r="CN20" s="258">
        <f t="shared" si="10"/>
        <v>1.9534548898071626</v>
      </c>
      <c r="CO20" s="258">
        <f t="shared" si="10"/>
        <v>1.9599709022038567</v>
      </c>
      <c r="CP20" s="258">
        <f t="shared" si="10"/>
        <v>1.9776671831955923</v>
      </c>
      <c r="CQ20" s="258">
        <f t="shared" si="10"/>
        <v>1.9978402203856751</v>
      </c>
      <c r="CR20" s="258">
        <f t="shared" si="10"/>
        <v>1.9978402203856751</v>
      </c>
      <c r="CS20" s="258">
        <f>+CS14</f>
        <v>1.9429042699724519</v>
      </c>
      <c r="CT20" s="258">
        <f>+CT14</f>
        <v>1.9119722796143253</v>
      </c>
      <c r="CU20" s="258">
        <f>+CU14</f>
        <v>1.9751811294765842</v>
      </c>
      <c r="CV20" s="258">
        <f t="shared" ref="CV20:DC20" si="11">+CV14</f>
        <v>1.967433712121212</v>
      </c>
      <c r="CW20" s="258">
        <f t="shared" si="11"/>
        <v>1.9980764462809919</v>
      </c>
      <c r="CX20" s="258">
        <f t="shared" si="11"/>
        <v>1.9926969696969699</v>
      </c>
      <c r="CY20" s="258">
        <f t="shared" si="11"/>
        <v>1.9575266873278239</v>
      </c>
      <c r="CZ20" s="258">
        <f t="shared" si="11"/>
        <v>2.0140111914600549</v>
      </c>
      <c r="DA20" s="258">
        <f t="shared" si="11"/>
        <v>2.024770144628099</v>
      </c>
      <c r="DB20" s="258">
        <f t="shared" si="11"/>
        <v>1.9924932851239672</v>
      </c>
      <c r="DC20" s="258">
        <f t="shared" si="11"/>
        <v>1.9858638085399452</v>
      </c>
    </row>
  </sheetData>
  <pageMargins left="0.7" right="0.7" top="0.75" bottom="0.75" header="0.3" footer="0.3"/>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EL20"/>
  <sheetViews>
    <sheetView workbookViewId="0">
      <pane xSplit="11" ySplit="7" topLeftCell="AE8" activePane="bottomRight" state="frozen"/>
      <selection pane="topRight" activeCell="L1" sqref="L1"/>
      <selection pane="bottomLeft" activeCell="A7" sqref="A7"/>
      <selection pane="bottomRight" activeCell="I20" sqref="I20"/>
    </sheetView>
  </sheetViews>
  <sheetFormatPr baseColWidth="10" defaultColWidth="22.6640625" defaultRowHeight="12"/>
  <cols>
    <col min="1" max="1" width="16.1640625" style="60" bestFit="1" customWidth="1"/>
    <col min="2" max="2" width="13.1640625" style="60" bestFit="1" customWidth="1"/>
    <col min="3" max="3" width="4.83203125" style="60" bestFit="1" customWidth="1"/>
    <col min="4" max="4" width="12.33203125" style="60" bestFit="1" customWidth="1"/>
    <col min="5" max="5" width="18.83203125" style="60" bestFit="1" customWidth="1"/>
    <col min="6" max="6" width="6.5" style="60" bestFit="1" customWidth="1"/>
    <col min="7" max="7" width="4.1640625" style="60" bestFit="1" customWidth="1"/>
    <col min="8" max="8" width="22.83203125" style="60" bestFit="1" customWidth="1"/>
    <col min="9" max="9" width="6.5" style="60" customWidth="1"/>
    <col min="10" max="11" width="6.1640625" style="60" bestFit="1" customWidth="1"/>
    <col min="12" max="12" width="5.5" style="60" bestFit="1" customWidth="1"/>
    <col min="13" max="13" width="5.83203125" style="60" bestFit="1" customWidth="1"/>
    <col min="14" max="18" width="5.5" style="60" bestFit="1" customWidth="1"/>
    <col min="19" max="19" width="5.6640625" style="60" bestFit="1" customWidth="1"/>
    <col min="20" max="20" width="6.1640625" style="60" bestFit="1" customWidth="1"/>
    <col min="21" max="21" width="5.5" style="60" bestFit="1" customWidth="1"/>
    <col min="22" max="26" width="6.1640625" style="60" bestFit="1" customWidth="1"/>
    <col min="27" max="30" width="5.5" style="60" bestFit="1" customWidth="1"/>
    <col min="31" max="31" width="5.6640625" style="60" bestFit="1" customWidth="1"/>
    <col min="32" max="34" width="5.5" style="60" bestFit="1" customWidth="1"/>
    <col min="35" max="35" width="5.6640625" style="60" bestFit="1" customWidth="1"/>
    <col min="36" max="36" width="5.5" style="60" bestFit="1" customWidth="1"/>
    <col min="37" max="37" width="5.83203125" style="60" bestFit="1" customWidth="1"/>
    <col min="38" max="42" width="5.5" style="60" bestFit="1" customWidth="1"/>
    <col min="43" max="43" width="5.6640625" style="60" bestFit="1" customWidth="1"/>
    <col min="44" max="46" width="5.5" style="60" bestFit="1" customWidth="1"/>
    <col min="47" max="47" width="5.6640625" style="60" bestFit="1" customWidth="1"/>
    <col min="48" max="48" width="5.5" style="60" bestFit="1" customWidth="1"/>
    <col min="49" max="49" width="5.83203125" style="60" bestFit="1" customWidth="1"/>
    <col min="50" max="51" width="5.5" style="60" bestFit="1" customWidth="1"/>
    <col min="52" max="54" width="7" style="60" bestFit="1" customWidth="1"/>
    <col min="55" max="56" width="5.5" style="60" bestFit="1" customWidth="1"/>
    <col min="57" max="58" width="5.83203125" style="60" bestFit="1" customWidth="1"/>
    <col min="59" max="70" width="5.6640625" style="60" bestFit="1" customWidth="1"/>
    <col min="71" max="80" width="5.5" style="60" bestFit="1" customWidth="1"/>
    <col min="81" max="90" width="6.1640625" style="60" bestFit="1" customWidth="1"/>
    <col min="91" max="95" width="6.33203125" style="60" bestFit="1" customWidth="1"/>
    <col min="96" max="97" width="6.1640625" style="60" bestFit="1" customWidth="1"/>
    <col min="98" max="99" width="6.5" style="60" bestFit="1" customWidth="1"/>
    <col min="100" max="104" width="5.1640625" style="60" bestFit="1" customWidth="1"/>
    <col min="105" max="105" width="5.83203125" style="60" bestFit="1" customWidth="1"/>
    <col min="106" max="16384" width="22.6640625" style="60"/>
  </cols>
  <sheetData>
    <row r="1" spans="1:142" ht="13">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row>
    <row r="2" spans="1:142">
      <c r="A2" s="59"/>
      <c r="B2" s="59"/>
      <c r="C2" s="59"/>
      <c r="D2" s="98"/>
      <c r="E2" s="98"/>
      <c r="F2" s="59"/>
      <c r="H2" s="99"/>
      <c r="I2" s="99"/>
      <c r="J2" s="99"/>
      <c r="K2" s="99"/>
      <c r="L2" s="99"/>
      <c r="M2" s="99"/>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99"/>
      <c r="AP2" s="99"/>
      <c r="AQ2" s="99"/>
      <c r="AR2" s="99"/>
      <c r="AS2" s="99"/>
      <c r="AT2" s="99"/>
      <c r="AU2" s="99"/>
      <c r="AV2" s="99"/>
      <c r="AW2" s="99"/>
      <c r="AX2" s="99"/>
      <c r="AY2" s="99"/>
      <c r="AZ2" s="99"/>
      <c r="BA2" s="99"/>
      <c r="BB2" s="99"/>
      <c r="BC2" s="99"/>
      <c r="BD2" s="99"/>
      <c r="BE2" s="99"/>
      <c r="BF2" s="99"/>
      <c r="BG2" s="99"/>
      <c r="BH2" s="99"/>
      <c r="BI2" s="99"/>
      <c r="BJ2" s="99"/>
      <c r="BK2" s="99"/>
      <c r="BL2" s="99"/>
      <c r="BM2" s="99"/>
      <c r="BN2" s="99"/>
      <c r="BO2" s="99"/>
      <c r="BP2" s="99"/>
      <c r="BQ2" s="99"/>
      <c r="BR2" s="99"/>
      <c r="BS2" s="99"/>
      <c r="BT2" s="99"/>
      <c r="BU2" s="99"/>
      <c r="BV2" s="99"/>
      <c r="BW2" s="99"/>
      <c r="BX2" s="99"/>
      <c r="BY2" s="99"/>
      <c r="BZ2" s="99"/>
      <c r="CA2" s="99"/>
      <c r="CB2" s="99"/>
      <c r="CC2" s="99"/>
      <c r="CD2" s="99"/>
      <c r="CE2" s="99"/>
      <c r="CF2" s="99"/>
      <c r="CG2" s="99"/>
      <c r="CH2" s="99"/>
      <c r="CI2" s="99"/>
      <c r="CJ2" s="99"/>
      <c r="CK2" s="99"/>
      <c r="CL2" s="99"/>
      <c r="CM2" s="99"/>
      <c r="CN2" s="99"/>
    </row>
    <row r="3" spans="1:142" ht="26">
      <c r="A3" s="107" t="s">
        <v>820</v>
      </c>
      <c r="B3" s="100"/>
      <c r="C3" s="101"/>
      <c r="D3" s="282">
        <v>444.55500000000001</v>
      </c>
      <c r="K3" s="102"/>
      <c r="M3" s="102"/>
    </row>
    <row r="4" spans="1:142">
      <c r="A4" s="36"/>
      <c r="B4" s="64"/>
      <c r="D4" s="100"/>
      <c r="E4" s="64"/>
      <c r="F4" s="103"/>
    </row>
    <row r="5" spans="1:142">
      <c r="A5" s="64"/>
      <c r="B5" s="64"/>
      <c r="D5" s="64"/>
      <c r="E5" s="64"/>
      <c r="H5" s="60" t="s">
        <v>387</v>
      </c>
    </row>
    <row r="6" spans="1:142">
      <c r="A6" s="74"/>
      <c r="B6" s="74"/>
    </row>
    <row r="7" spans="1:142">
      <c r="A7" s="59"/>
      <c r="B7" s="59"/>
      <c r="C7" s="59"/>
      <c r="D7" s="98"/>
      <c r="E7" s="98"/>
      <c r="F7" s="59"/>
      <c r="H7" s="59" t="s">
        <v>416</v>
      </c>
      <c r="I7" s="59">
        <v>43831</v>
      </c>
      <c r="J7" s="59">
        <v>43862</v>
      </c>
      <c r="K7" s="59">
        <v>43891</v>
      </c>
      <c r="L7" s="59">
        <v>43922</v>
      </c>
      <c r="M7" s="59">
        <v>43952</v>
      </c>
      <c r="N7" s="59">
        <v>43983</v>
      </c>
      <c r="O7" s="59">
        <v>44013</v>
      </c>
      <c r="P7" s="59">
        <v>44044</v>
      </c>
      <c r="Q7" s="59">
        <v>44075</v>
      </c>
      <c r="R7" s="59">
        <v>44105</v>
      </c>
      <c r="S7" s="59">
        <v>44136</v>
      </c>
      <c r="T7" s="59">
        <v>44166</v>
      </c>
      <c r="U7" s="59">
        <v>44197</v>
      </c>
      <c r="V7" s="59">
        <v>44228</v>
      </c>
      <c r="W7" s="59">
        <v>44256</v>
      </c>
      <c r="X7" s="59">
        <v>44287</v>
      </c>
      <c r="Y7" s="59">
        <v>44317</v>
      </c>
      <c r="Z7" s="59">
        <v>44348</v>
      </c>
      <c r="AA7" s="59">
        <v>44378</v>
      </c>
      <c r="AB7" s="59">
        <v>44409</v>
      </c>
      <c r="AC7" s="59">
        <v>44440</v>
      </c>
      <c r="AD7" s="59">
        <v>44470</v>
      </c>
      <c r="AE7" s="59">
        <v>44501</v>
      </c>
      <c r="AF7" s="59">
        <v>44531</v>
      </c>
      <c r="AG7" s="59">
        <v>44562</v>
      </c>
      <c r="AH7" s="59">
        <v>44593</v>
      </c>
      <c r="AI7" s="59">
        <v>44621</v>
      </c>
      <c r="AJ7" s="59">
        <v>44652</v>
      </c>
      <c r="AK7" s="59">
        <v>44682</v>
      </c>
      <c r="AL7" s="59">
        <v>44713</v>
      </c>
      <c r="AM7" s="59">
        <v>44743</v>
      </c>
      <c r="AN7" s="59">
        <v>44774</v>
      </c>
      <c r="AO7" s="59">
        <v>44805</v>
      </c>
      <c r="AP7" s="59">
        <v>44835</v>
      </c>
      <c r="AQ7" s="59">
        <v>44866</v>
      </c>
      <c r="AR7" s="59">
        <v>44896</v>
      </c>
      <c r="AS7" s="59">
        <v>44927</v>
      </c>
      <c r="AT7" s="59">
        <v>44958</v>
      </c>
      <c r="AU7" s="59">
        <v>44986</v>
      </c>
      <c r="AV7" s="59">
        <v>45017</v>
      </c>
      <c r="AW7" s="59">
        <v>45047</v>
      </c>
      <c r="AX7" s="59">
        <v>45078</v>
      </c>
      <c r="AY7" s="59">
        <v>45108</v>
      </c>
      <c r="AZ7" s="59" t="s">
        <v>530</v>
      </c>
      <c r="BA7" s="59" t="s">
        <v>531</v>
      </c>
      <c r="BB7" s="59" t="s">
        <v>532</v>
      </c>
      <c r="BC7" s="59">
        <v>37104</v>
      </c>
      <c r="BD7" s="59">
        <v>37469</v>
      </c>
      <c r="BE7" s="59" t="s">
        <v>168</v>
      </c>
      <c r="BF7" s="59" t="s">
        <v>169</v>
      </c>
      <c r="BG7" s="59" t="s">
        <v>195</v>
      </c>
      <c r="BH7" s="59" t="s">
        <v>196</v>
      </c>
      <c r="BI7" s="59" t="s">
        <v>197</v>
      </c>
      <c r="BJ7" s="59" t="s">
        <v>198</v>
      </c>
      <c r="BK7" s="59" t="s">
        <v>199</v>
      </c>
      <c r="BL7" s="59" t="s">
        <v>200</v>
      </c>
      <c r="BM7" s="59" t="s">
        <v>201</v>
      </c>
      <c r="BN7" s="59" t="s">
        <v>202</v>
      </c>
      <c r="BO7" s="59">
        <v>37196</v>
      </c>
      <c r="BP7" s="59">
        <v>37561</v>
      </c>
      <c r="BQ7" s="59">
        <v>37926</v>
      </c>
      <c r="BR7" s="59">
        <v>38292</v>
      </c>
      <c r="BS7" s="59">
        <v>37226</v>
      </c>
      <c r="BT7" s="59">
        <v>37591</v>
      </c>
      <c r="BU7" s="59">
        <v>37956</v>
      </c>
      <c r="BV7" s="59">
        <v>38322</v>
      </c>
      <c r="BW7" s="59">
        <v>36892</v>
      </c>
      <c r="BX7" s="59">
        <v>37257</v>
      </c>
      <c r="BY7" s="59">
        <v>37622</v>
      </c>
      <c r="BZ7" s="59">
        <v>37987</v>
      </c>
      <c r="CA7" s="59">
        <v>36923</v>
      </c>
      <c r="CB7" s="59">
        <v>37288</v>
      </c>
      <c r="CC7" s="59">
        <v>37653</v>
      </c>
      <c r="CD7" s="59">
        <v>38018</v>
      </c>
      <c r="CE7" s="59" t="str">
        <f>Sheet8!A15</f>
        <v>Mar-w1</v>
      </c>
      <c r="CF7" s="59">
        <v>37316</v>
      </c>
      <c r="CG7" s="59">
        <v>37681</v>
      </c>
      <c r="CH7" s="59">
        <v>38047</v>
      </c>
      <c r="CI7" s="59" t="str">
        <f>Sheet8!E15</f>
        <v>Apr-w1</v>
      </c>
      <c r="CJ7" s="59" t="str">
        <f>Sheet8!F15</f>
        <v>Apr-w2</v>
      </c>
      <c r="CK7" s="59" t="str">
        <f>Sheet8!G15</f>
        <v>Apr-w3</v>
      </c>
      <c r="CL7" s="59" t="str">
        <f>Sheet8!H15</f>
        <v>Apr-w4</v>
      </c>
      <c r="CM7" s="59" t="str">
        <f>Sheet8!I15</f>
        <v>May-w1</v>
      </c>
      <c r="CN7" s="59" t="str">
        <f>Sheet8!J15</f>
        <v>May-w2</v>
      </c>
      <c r="CO7" s="59" t="str">
        <f>Sheet8!K15</f>
        <v>May-w3</v>
      </c>
      <c r="CP7" s="59" t="str">
        <f>Sheet8!L15</f>
        <v>May-w4</v>
      </c>
      <c r="CQ7" s="59" t="str">
        <f>Sheet8!M15</f>
        <v>May-w5</v>
      </c>
      <c r="CR7" s="59" t="str">
        <f>Sheet8!N15</f>
        <v>june-w1</v>
      </c>
      <c r="CS7" s="59" t="str">
        <f>Sheet8!O15</f>
        <v>june-w2</v>
      </c>
      <c r="CT7" s="59" t="str">
        <f>Sheet8!P15</f>
        <v>june-w3</v>
      </c>
      <c r="CU7" s="59" t="str">
        <f>Sheet8!Q15</f>
        <v>june-w4</v>
      </c>
      <c r="CV7" s="59" t="str">
        <f>Sheet8!R15</f>
        <v>Jul-w1</v>
      </c>
      <c r="CW7" s="59" t="str">
        <f>Sheet8!S15</f>
        <v>Jul-w2</v>
      </c>
      <c r="CX7" s="59" t="str">
        <f>Sheet8!T15</f>
        <v>Jul-w3</v>
      </c>
      <c r="CY7" s="59" t="str">
        <f>Sheet8!U15</f>
        <v>Jul-w4</v>
      </c>
      <c r="CZ7" s="59" t="str">
        <f>Sheet8!V15</f>
        <v>Aug-w1</v>
      </c>
      <c r="DA7" s="59" t="str">
        <f>Sheet8!W15</f>
        <v>Aug-w2</v>
      </c>
      <c r="DB7" s="59" t="str">
        <f>Sheet8!X15</f>
        <v>Aug-w3</v>
      </c>
      <c r="DC7" s="59" t="str">
        <f>Sheet8!Y15</f>
        <v>Aug-w4</v>
      </c>
      <c r="DD7" s="59" t="str">
        <f>Sheet8!Z15</f>
        <v>Sep-w1</v>
      </c>
      <c r="DE7" s="59" t="str">
        <f>Sheet8!AA15</f>
        <v>Sep-w2</v>
      </c>
      <c r="DF7" s="59" t="str">
        <f>Sheet8!AB15</f>
        <v>Sep-w3</v>
      </c>
      <c r="DG7" s="59" t="str">
        <f>Sheet8!AC15</f>
        <v>Sep-w4</v>
      </c>
      <c r="DH7" s="59" t="str">
        <f>Sheet8!AD15</f>
        <v>Oct-w1</v>
      </c>
      <c r="DI7" s="59" t="str">
        <f>Sheet8!AE15</f>
        <v>Oct-w2</v>
      </c>
      <c r="DJ7" s="59" t="str">
        <f>Sheet8!AF15</f>
        <v>Oct-w3</v>
      </c>
      <c r="DK7" s="59" t="str">
        <f>Sheet8!AG15</f>
        <v>Oct-w4</v>
      </c>
      <c r="DL7" s="59" t="str">
        <f>Sheet8!AH15</f>
        <v>Nov-w1</v>
      </c>
      <c r="DM7" s="59" t="str">
        <f>Sheet8!AI15</f>
        <v>Nov-w2</v>
      </c>
      <c r="DN7" s="59" t="str">
        <f>Sheet8!AJ15</f>
        <v>Nov-w3</v>
      </c>
      <c r="DO7" s="59" t="str">
        <f>Sheet8!AK15</f>
        <v>Nov-w4</v>
      </c>
      <c r="DP7" s="59" t="str">
        <f>Sheet8!AL15</f>
        <v>Dec-w1</v>
      </c>
      <c r="DQ7" s="59" t="str">
        <f>Sheet8!AM15</f>
        <v>Dec-w2</v>
      </c>
      <c r="DR7" s="59" t="str">
        <f>Sheet8!AN15</f>
        <v>Dec-w3</v>
      </c>
      <c r="DS7" s="59" t="str">
        <f>Sheet8!AO15</f>
        <v>Dec-w4</v>
      </c>
      <c r="DT7" s="59">
        <f>Sheet8!AP15</f>
        <v>0</v>
      </c>
      <c r="DU7" s="59">
        <f>Sheet8!AQ15</f>
        <v>0</v>
      </c>
      <c r="DV7" s="59">
        <f>Sheet8!AR15</f>
        <v>0</v>
      </c>
      <c r="DW7" s="59">
        <f>Sheet8!AS15</f>
        <v>0</v>
      </c>
      <c r="DX7" s="59">
        <f>Sheet8!AT15</f>
        <v>0</v>
      </c>
      <c r="DY7" s="59">
        <f>Sheet8!AU15</f>
        <v>0</v>
      </c>
      <c r="DZ7" s="59">
        <f>Sheet8!AV15</f>
        <v>0</v>
      </c>
      <c r="EA7" s="59">
        <f>Sheet8!AW15</f>
        <v>0</v>
      </c>
      <c r="EB7" s="59">
        <f>Sheet8!AX15</f>
        <v>0</v>
      </c>
      <c r="EC7" s="59">
        <f>Sheet8!AY15</f>
        <v>0</v>
      </c>
      <c r="ED7" s="59">
        <f>Sheet8!AZ15</f>
        <v>0</v>
      </c>
      <c r="EE7" s="59">
        <f>Sheet8!BA15</f>
        <v>0</v>
      </c>
      <c r="EF7" s="59">
        <f>Sheet8!BB15</f>
        <v>0</v>
      </c>
      <c r="EG7" s="59">
        <f>Sheet8!BC15</f>
        <v>0</v>
      </c>
      <c r="EH7" s="59">
        <f>Sheet8!BD15</f>
        <v>0</v>
      </c>
      <c r="EI7" s="59">
        <f>Sheet8!BE15</f>
        <v>0</v>
      </c>
      <c r="EJ7" s="59">
        <f>Sheet8!BF15</f>
        <v>0</v>
      </c>
      <c r="EK7" s="59">
        <f>Sheet8!BG15</f>
        <v>0</v>
      </c>
    </row>
    <row r="8" spans="1:142" ht="13">
      <c r="H8" s="107" t="s">
        <v>94</v>
      </c>
      <c r="I8" s="74">
        <f>VLOOKUP($H$8&amp;$F$1,'Input RM sheet'!$A:$BD,H1,0)</f>
        <v>2.2453358569547559</v>
      </c>
      <c r="J8" s="74">
        <f>VLOOKUP($H$8&amp;$F$1,'Input RM sheet'!$A:$BD,I1,0)</f>
        <v>2.1263543010008927</v>
      </c>
      <c r="K8" s="74">
        <f>VLOOKUP($H$8&amp;$F$1,'Input RM sheet'!$A:$DD,J1,0)</f>
        <v>2.2116084453454703</v>
      </c>
      <c r="L8" s="74">
        <f>VLOOKUP($H$8&amp;$F$1,'Input RM sheet'!$A:$DD,K1,0)</f>
        <v>2.0550641919349761</v>
      </c>
      <c r="M8" s="74">
        <f>VLOOKUP($H$8&amp;$F$1,'Input RM sheet'!$A:$DD,L1,0)</f>
        <v>2.2194569249287914</v>
      </c>
      <c r="N8" s="74">
        <f>VLOOKUP($H$8&amp;$F$1,'Input RM sheet'!$A:$DD,M1,0)</f>
        <v>2.0582789486242201</v>
      </c>
      <c r="O8" s="74">
        <f>VLOOKUP($H$8&amp;$F$1,'Input RM sheet'!$A:$DD,N1,0)</f>
        <v>1.8332966251102516</v>
      </c>
      <c r="P8" s="74">
        <f>VLOOKUP($H$8&amp;$F$1,'Input RM sheet'!$A:$DD,O1,0)</f>
        <v>1.990000377324747</v>
      </c>
      <c r="Q8" s="74">
        <f>VLOOKUP($H$8&amp;$F$1,'Input RM sheet'!$A:$DD,P1,0)</f>
        <v>1.9938480015387818</v>
      </c>
      <c r="R8" s="74">
        <f>VLOOKUP($H$8&amp;$F$1,'Input RM sheet'!$A:$DD,Q1,0)</f>
        <v>2.0693528056126671</v>
      </c>
      <c r="S8" s="74">
        <f>VLOOKUP($H$8&amp;$F$1,'Input RM sheet'!$A:$DD,R1,0)</f>
        <v>2.1952724431297326</v>
      </c>
      <c r="T8" s="74">
        <f>VLOOKUP($H$8&amp;$F$1,'Input RM sheet'!$A:$DD,S1,0)</f>
        <v>2.1224931598196166</v>
      </c>
      <c r="U8" s="74">
        <f>VLOOKUP($H$8&amp;$F$1,'Input RM sheet'!$A:$DD,T1,0)</f>
        <v>2.2993254605126054</v>
      </c>
      <c r="V8" s="74">
        <f>VLOOKUP($H$8&amp;$F$1,'Input RM sheet'!$A:$DD,U1,0)</f>
        <v>2.2946993130799367</v>
      </c>
      <c r="W8" s="74">
        <f>VLOOKUP($H$8&amp;$F$1,'Input RM sheet'!$A:$DD,V1,0)</f>
        <v>2.3412855911549268</v>
      </c>
      <c r="X8" s="74">
        <f>VLOOKUP($H$8&amp;$F$1,'Input RM sheet'!$A:$DD,W1,0)</f>
        <v>2.3752383497686171</v>
      </c>
      <c r="Y8" s="74">
        <f>VLOOKUP($H$8&amp;$F$1,'Input RM sheet'!$A:$DD,X1,0)</f>
        <v>2.713844238658218</v>
      </c>
      <c r="Z8" s="74">
        <f>VLOOKUP($H$8&amp;$F$1,'Input RM sheet'!$A:$DD,Y1,0)</f>
        <v>2.9885265588403307</v>
      </c>
      <c r="AA8" s="74">
        <f>VLOOKUP($H$8&amp;$F$1,'Input RM sheet'!$A:$DD,Z1,0)</f>
        <v>3.3226750771292335</v>
      </c>
      <c r="AB8" s="74">
        <f>VLOOKUP($H$8&amp;$F$1,'Input RM sheet'!$A:$DD,AA1,0)</f>
        <v>3.5189587977975245</v>
      </c>
      <c r="AC8" s="74">
        <f>VLOOKUP($H$8&amp;$F$1,'Input RM sheet'!$A:$DD,AB1,0)</f>
        <v>3.5266554625586299</v>
      </c>
      <c r="AD8" s="74">
        <f>VLOOKUP($H$8&amp;$F$1,'Input RM sheet'!$A:$DD,AC1,0)</f>
        <v>7.2557080658453534</v>
      </c>
      <c r="AE8" s="74">
        <f>VLOOKUP($H$8&amp;$F$1,'Input RM sheet'!$A:$DD,AD1,0)</f>
        <v>5.2855545669543798</v>
      </c>
      <c r="AF8" s="74">
        <f>VLOOKUP($H$8&amp;$F$1,'Input RM sheet'!$A:$DD,AE1,0)</f>
        <v>5.7432113702017071</v>
      </c>
      <c r="AG8" s="74">
        <f>VLOOKUP($H$8&amp;$F$1,'Input RM sheet'!$A:$DD,AF1,0)</f>
        <v>4.663075014046365</v>
      </c>
      <c r="AH8" s="74">
        <f>VLOOKUP($H$8&amp;$F$1,'Input RM sheet'!$A:$DD,AG1,0)</f>
        <v>4.654948939280791</v>
      </c>
      <c r="AI8" s="74">
        <f>VLOOKUP($H$8&amp;$F$1,'Input RM sheet'!$A:$DD,AH1,0)</f>
        <v>5.0635367123036383</v>
      </c>
      <c r="AJ8" s="74">
        <f>VLOOKUP($H$8&amp;$F$1,'Input RM sheet'!$A:$DD,AI1,0)</f>
        <v>4.9171916277995793</v>
      </c>
      <c r="AK8" s="74">
        <f>VLOOKUP($H$8&amp;$F$1,'Input RM sheet'!$A:$DD,AJ1,0)</f>
        <v>5.0996915647002004</v>
      </c>
      <c r="AL8" s="74">
        <f>VLOOKUP($H$8&amp;$F$1,'Input RM sheet'!$A:$DD,AK1,0)</f>
        <v>5.071534069553806</v>
      </c>
      <c r="AM8" s="74">
        <f>VLOOKUP($H$8&amp;$F$1,'Input RM sheet'!$A:$DD,AL1,0)</f>
        <v>4.3279450758850295</v>
      </c>
      <c r="AN8" s="74">
        <f>VLOOKUP($H$8&amp;$F$1,'Input RM sheet'!$A:$DD,AM1,0)</f>
        <v>3.7325883183374797</v>
      </c>
      <c r="AO8" s="74">
        <f>VLOOKUP($H$8&amp;$F$1,'Input RM sheet'!$A:$DD,AN1,0)</f>
        <v>4.3430712618241518</v>
      </c>
      <c r="AP8" s="74">
        <f>VLOOKUP($H$8&amp;$F$1,'Input RM sheet'!$A:$DD,AO1,0)</f>
        <v>4.4990798610645184</v>
      </c>
      <c r="AQ8" s="74">
        <f>VLOOKUP($H$8&amp;$F$1,'Input RM sheet'!$A:$DD,AP1,0)</f>
        <v>4.040118476870779</v>
      </c>
      <c r="AR8" s="74">
        <f>VLOOKUP($H$8&amp;$F$1,'Input RM sheet'!$A:$DD,AQ1,0)</f>
        <v>4.253819483572844</v>
      </c>
      <c r="AS8" s="74">
        <f>VLOOKUP($H$8&amp;$F$1,'Input RM sheet'!$A:$DD,AR1,0)</f>
        <v>4.3433259010717968</v>
      </c>
      <c r="AT8" s="74">
        <f>VLOOKUP($H$8&amp;$F$1,'Input RM sheet'!$A:$DD,AS1,0)</f>
        <v>4.0345708165720628</v>
      </c>
      <c r="AU8" s="74">
        <f>VLOOKUP($H$8&amp;$F$1,'Input RM sheet'!$A:$DD,AT1,0)</f>
        <v>3.8861209382483226</v>
      </c>
      <c r="AV8" s="74">
        <f>VLOOKUP($H$8&amp;$F$1,'Input RM sheet'!$A:$DD,AU1,0)</f>
        <v>3.5475510316640628</v>
      </c>
      <c r="AW8" s="74">
        <f>VLOOKUP($H$8&amp;$F$1,'Input RM sheet'!$A:$DD,AV1,0)</f>
        <v>2.5176550560807662</v>
      </c>
      <c r="AX8" s="74">
        <f>VLOOKUP($H$8&amp;$F$1,'Input RM sheet'!$A:$DD,AW1,0)</f>
        <v>2.8940779851763718</v>
      </c>
      <c r="AY8" s="74">
        <f>VLOOKUP($H$8&amp;$F$1,'Input RM sheet'!$A:$DD,AX1,0)</f>
        <v>2.7952395483674093</v>
      </c>
      <c r="AZ8" s="74">
        <f>VLOOKUP($H$8&amp;$F$1,'Input RM sheet'!$A:$DD,AY1,0)</f>
        <v>2.8562709795544707</v>
      </c>
      <c r="BA8" s="74">
        <f>VLOOKUP($H$8&amp;$F$1,'Input RM sheet'!$A:$DD,AZ1,0)</f>
        <v>2.9006882989183875</v>
      </c>
      <c r="BB8" s="74">
        <f>VLOOKUP($H$8&amp;$F$1,'Input RM sheet'!$A:$DD,BA1,0)</f>
        <v>2.9209728324772573</v>
      </c>
      <c r="BC8" s="74">
        <f>VLOOKUP($H$8&amp;$F$1,'Input RM sheet'!$A:$DD,BB1,0)</f>
        <v>2.9498525073746316</v>
      </c>
      <c r="BD8" s="74">
        <f>VLOOKUP($H$8&amp;$F$1,'Input RM sheet'!$A:$DD,BC1,0)</f>
        <v>2.9701403513043059</v>
      </c>
      <c r="BE8" s="74">
        <f>VLOOKUP($H$8&amp;$F$1,'Input RM sheet'!$A:$DD,BD1,0)</f>
        <v>2.9619918181045684</v>
      </c>
      <c r="BF8" s="74">
        <f>VLOOKUP($H$8&amp;$F$1,'Input RM sheet'!$A:$DD,BE1,0)</f>
        <v>3.1917889702222713</v>
      </c>
      <c r="BG8" s="74">
        <f>VLOOKUP($H$8&amp;$F$1,'Input RM sheet'!$A:$DD,BF1,0)</f>
        <v>3.1960098301514477</v>
      </c>
      <c r="BH8" s="74">
        <f>VLOOKUP($H$8&amp;$F$1,'Input RM sheet'!$A:$DD,BG1,0)</f>
        <v>3.1507580999550853</v>
      </c>
      <c r="BI8" s="74">
        <f>VLOOKUP($H$8&amp;$F$1,'Input RM sheet'!$A:$DD,BH1,0)</f>
        <v>3.0988931991756581</v>
      </c>
      <c r="BJ8" s="74">
        <f>VLOOKUP($H$8&amp;$F$1,'Input RM sheet'!$A:$DD,BI1,0)</f>
        <v>3.0988931991756581</v>
      </c>
      <c r="BK8" s="74">
        <f>VLOOKUP($H$8&amp;$F$1,'Input RM sheet'!$A:$DD,BJ1,0)</f>
        <v>3.0988931991756581</v>
      </c>
      <c r="BL8" s="74">
        <f>VLOOKUP($H$8&amp;$F$1,'Input RM sheet'!$A:$DD,BK1,0)</f>
        <v>3.1707227138643068</v>
      </c>
      <c r="BM8" s="74">
        <f>VLOOKUP($H$8&amp;$F$1,'Input RM sheet'!$A:$DD,BL1,0)</f>
        <v>3.162839122065785</v>
      </c>
      <c r="BN8" s="74">
        <f>VLOOKUP($H$8&amp;$F$1,'Input RM sheet'!$A:$DD,BM1,0)</f>
        <v>3.1384496348953048</v>
      </c>
      <c r="BO8" s="74">
        <f>VLOOKUP($H$8&amp;$F$1,'Input RM sheet'!$A:$DD,BN1,0)</f>
        <v>3.1600345704860571</v>
      </c>
      <c r="BP8" s="74">
        <f>VLOOKUP($H$8&amp;$F$1,'Input RM sheet'!$A:$DD,BO1,0)</f>
        <v>3.2049781808430242</v>
      </c>
      <c r="BQ8" s="74">
        <f>VLOOKUP($H$8&amp;$F$1,'Input RM sheet'!$A:$DD,BP1,0)</f>
        <v>3.2049781808430242</v>
      </c>
      <c r="BR8" s="74">
        <f>VLOOKUP($H$8&amp;$F$1,'Input RM sheet'!$A:$DD,BQ1,0)</f>
        <v>3.2190788981677678</v>
      </c>
      <c r="BS8" s="74">
        <f>VLOOKUP($H$8&amp;$F$1,'Input RM sheet'!$A:$DD,BR1,0)</f>
        <v>3.1889392925311721</v>
      </c>
      <c r="BT8" s="74">
        <f>VLOOKUP($H$8&amp;$F$1,'Input RM sheet'!$A:$DD,BS1,0)</f>
        <v>3.0913127051686913</v>
      </c>
      <c r="BU8" s="74">
        <f>VLOOKUP($H$8&amp;$F$1,'Input RM sheet'!$A:$DD,BT1,0)</f>
        <v>2.9081007488087134</v>
      </c>
      <c r="BV8" s="74">
        <f>VLOOKUP($H$8&amp;$F$1,'Input RM sheet'!$A:$DD,BU1,0)</f>
        <v>2.8661420172996994</v>
      </c>
      <c r="BW8" s="74">
        <f>VLOOKUP($H$8&amp;$F$1,'Input RM sheet'!$A:$DD,BV1,0)</f>
        <v>2.8621051975570242</v>
      </c>
      <c r="BX8" s="74">
        <f>VLOOKUP($H$8&amp;$F$1,'Input RM sheet'!$A:$DD,BW1,0)</f>
        <v>2.9741991773650756</v>
      </c>
      <c r="BY8" s="74">
        <f>VLOOKUP($H$8&amp;$F$1,'Input RM sheet'!$A:$DD,BX1,0)</f>
        <v>2.9824997514169236</v>
      </c>
      <c r="BZ8" s="74">
        <f>VLOOKUP($H$8&amp;$F$1,'Input RM sheet'!$A:$DD,BY1,0)</f>
        <v>2.9783553016442008</v>
      </c>
      <c r="CA8" s="74">
        <f>VLOOKUP($H$8&amp;$F$1,'Input RM sheet'!$A:$DD,BZ1,0)</f>
        <v>2.9871924125312721</v>
      </c>
      <c r="CB8" s="74">
        <f>VLOOKUP($H$8&amp;$F$1,'Input RM sheet'!$A:$DD,CA1,0)</f>
        <v>2.9539552229620787</v>
      </c>
      <c r="CC8" s="74">
        <f>VLOOKUP($H$8&amp;$F$1,'Input RM sheet'!$A:$DD,CB1,0)</f>
        <v>2.95806936672665</v>
      </c>
      <c r="CD8" s="74">
        <f>VLOOKUP($H$8&amp;$F$1,'Input RM sheet'!$A:$DD,CC1,0)</f>
        <v>2.9900036873156339</v>
      </c>
      <c r="CE8" s="74">
        <f>VLOOKUP($H$8&amp;$F$1,'Input RM sheet'!$A:$DD,CD1,0)</f>
        <v>2.9244100294985254</v>
      </c>
      <c r="CF8" s="74">
        <f>VLOOKUP($H$8&amp;$F$1,'Input RM sheet'!$A:$DD,CE1,0)</f>
        <v>2.9325560184386328</v>
      </c>
      <c r="CG8" s="74">
        <f>VLOOKUP($H$8&amp;$F$1,'Input RM sheet'!$A:$DD,CF1,0)</f>
        <v>2.805996126786459</v>
      </c>
      <c r="CH8" s="74">
        <f>VLOOKUP($H$8&amp;$F$1,'Input RM sheet'!$A:$DD,CG1,0)</f>
        <v>2.7735957600460224</v>
      </c>
      <c r="CI8" s="74">
        <f>VLOOKUP($H$8&amp;$F$1,'Input RM sheet'!$A:$DD,CH1,0)</f>
        <v>2.7902422306270585</v>
      </c>
      <c r="CJ8" s="74">
        <f>VLOOKUP($H$8&amp;$F$1,'Input RM sheet'!$A:$DD,CI1,0)</f>
        <v>2.8186574096709531</v>
      </c>
      <c r="CK8" s="74">
        <f>VLOOKUP($H$8&amp;$F$1,'Input RM sheet'!$A:$DD,CJ1,0)</f>
        <v>2.8838471128929744</v>
      </c>
      <c r="CL8" s="74">
        <f>VLOOKUP($H$8&amp;$F$1,'Input RM sheet'!$A:$DD,CK1,0)</f>
        <v>2.8838471128929744</v>
      </c>
      <c r="CM8" s="74">
        <f>VLOOKUP($H$8&amp;$F$1,'Input RM sheet'!$A:$DD,CL1,0)</f>
        <v>2.8958464767468981</v>
      </c>
      <c r="CN8" s="74">
        <f>VLOOKUP($H$8&amp;$F$1,'Input RM sheet'!$A:$DD,CM1,0)</f>
        <v>2.7817965948175618</v>
      </c>
      <c r="CO8" s="74">
        <f>VLOOKUP($H$8&amp;$F$1,'Input RM sheet'!$A:$DD,CN1,0)</f>
        <v>2.7735957600460224</v>
      </c>
      <c r="CP8" s="74">
        <f>VLOOKUP($H$8&amp;$F$1,'Input RM sheet'!$A:$DD,CO1,0)</f>
        <v>2.7735957600460224</v>
      </c>
      <c r="CQ8" s="74">
        <f>VLOOKUP($H$8&amp;$F$1,'Input RM sheet'!$A:$DD,CP1,0)</f>
        <v>2.769434142400764</v>
      </c>
      <c r="CR8" s="74">
        <f>VLOOKUP($H$8&amp;$F$1,'Input RM sheet'!$A:$ZZ,CQ1,0)</f>
        <v>2.7008262846526181</v>
      </c>
      <c r="CS8" s="74">
        <f>VLOOKUP($H$8&amp;$F$1,'Input RM sheet'!$A:$ZZ,CR1,0)</f>
        <v>2.7008262846526181</v>
      </c>
      <c r="CT8" s="74">
        <f>VLOOKUP($H$8&amp;$F$1,'Input RM sheet'!$A:$ZZ,CS1,0)</f>
        <v>2.6978960969306915</v>
      </c>
      <c r="CU8" s="74">
        <f>VLOOKUP($H$8&amp;$F$1,'Input RM sheet'!$A:$ZZ,CT1,0)</f>
        <v>2.6941850981728774</v>
      </c>
      <c r="CV8" s="74">
        <f>VLOOKUP($H$8&amp;$F$1,'Input RM sheet'!$A:$ZZ,CU1,0)</f>
        <v>2.6855424766588363</v>
      </c>
      <c r="CW8" s="74">
        <f>VLOOKUP($H$8&amp;$F$1,'Input RM sheet'!$A:$ZZ,CV1,0)</f>
        <v>2.7585787148056635</v>
      </c>
      <c r="CX8" s="74">
        <f>VLOOKUP($H$8&amp;$F$1,'Input RM sheet'!$A:$ZZ,CW1,0)</f>
        <v>2.7547894583292818</v>
      </c>
      <c r="CY8" s="74">
        <f>VLOOKUP($H$8&amp;$F$1,'Input RM sheet'!$A:$ZZ,CX1,0)</f>
        <v>2.7860806129817992</v>
      </c>
      <c r="CZ8" s="74">
        <f>VLOOKUP($H$8&amp;$F$1,'Input RM sheet'!$A:$ZZ,CY1,0)</f>
        <v>2.8511126744917989</v>
      </c>
      <c r="DA8" s="74">
        <f>VLOOKUP($H$8&amp;$F$1,'Input RM sheet'!$A:$ZZ,CZ1,0)</f>
        <v>2.8471417654744009</v>
      </c>
      <c r="DB8" s="74">
        <f>VLOOKUP($H$8&amp;$F$1,'Input RM sheet'!$A:$ZZ,DA1,0)</f>
        <v>2.8507952224766386</v>
      </c>
      <c r="DC8" s="74">
        <f>VLOOKUP($H$8&amp;$F$1,'Input RM sheet'!$A:$ZZ,DB1,0)</f>
        <v>2.9161221263831325</v>
      </c>
      <c r="DD8" s="74">
        <f>VLOOKUP($H$8&amp;$F$1,'Input RM sheet'!$A:$ZZ,DC1,0)</f>
        <v>3.0408028258671695</v>
      </c>
      <c r="DE8" s="74">
        <f>VLOOKUP($H$8&amp;$F$1,'Input RM sheet'!$A:$ZZ,DD1,0)</f>
        <v>3.0322492314202858</v>
      </c>
      <c r="DF8" s="74">
        <f>VLOOKUP($H$8&amp;$F$1,'Input RM sheet'!$A:$ZZ,DE1,0)</f>
        <v>3.0537240843340276</v>
      </c>
      <c r="DG8" s="74">
        <f>VLOOKUP($H$8&amp;$F$1,'Input RM sheet'!$A:$ZZ,DF1,0)</f>
        <v>3.0333055996772815</v>
      </c>
      <c r="DH8" s="74">
        <f>VLOOKUP($H$8&amp;$F$1,'Input RM sheet'!$A:$ZZ,DG1,0)</f>
        <v>2.98288077049139</v>
      </c>
      <c r="DI8" s="74">
        <f>VLOOKUP($H$8&amp;$F$1,'Input RM sheet'!$A:$ZZ,DH1,0)</f>
        <v>2.9102722079085921</v>
      </c>
      <c r="DJ8" s="74">
        <f>VLOOKUP($H$8&amp;$F$1,'Input RM sheet'!$A:$ZZ,DI1,0)</f>
        <v>2.9717385098487017</v>
      </c>
      <c r="DK8" s="74">
        <f>VLOOKUP($H$8&amp;$F$1,'Input RM sheet'!$A:$ZZ,DJ1,0)</f>
        <v>2.9675764110954117</v>
      </c>
      <c r="DL8" s="74">
        <f>VLOOKUP($H$8&amp;$F$1,'Input RM sheet'!$A:$ZZ,DK1,0)</f>
        <v>2.998643316779309</v>
      </c>
      <c r="DM8" s="74">
        <f>VLOOKUP($H$8&amp;$F$1,'Input RM sheet'!$A:$ZZ,DL1,0)</f>
        <v>2.9212107859337326</v>
      </c>
      <c r="DN8" s="74">
        <f>VLOOKUP($H$8&amp;$F$1,'Input RM sheet'!$A:$ZZ,DM1,0)</f>
        <v>2.8841734708844671</v>
      </c>
      <c r="DO8" s="74">
        <f>VLOOKUP($H$8&amp;$F$1,'Input RM sheet'!$A:$ZZ,DN1,0)</f>
        <v>2.8518491430800368</v>
      </c>
      <c r="DP8" s="74">
        <f>VLOOKUP($H$8&amp;$F$1,'Input RM sheet'!$A:$ZZ,DO1,0)</f>
        <v>2.8462222005818556</v>
      </c>
      <c r="DQ8" s="74">
        <f>VLOOKUP($H$8&amp;$F$1,'Input RM sheet'!$A:$ZZ,DP1,0)</f>
        <v>2.8418400262930463</v>
      </c>
      <c r="DR8" s="74">
        <f>VLOOKUP($H$8&amp;$F$1,'Input RM sheet'!$A:$ZZ,DQ1,0)</f>
        <v>2.791191716134358</v>
      </c>
      <c r="DS8" s="74">
        <f>VLOOKUP($H$8&amp;$F$1,'Input RM sheet'!$A:$ZZ,DR1,0)</f>
        <v>2.7792459692083895</v>
      </c>
      <c r="DT8" s="74" t="e">
        <f>VLOOKUP($H$8&amp;$F$1,'Input RM sheet'!$A:$ZZ,DS1,0)</f>
        <v>#DIV/0!</v>
      </c>
      <c r="DU8" s="74" t="e">
        <f>VLOOKUP($H$8&amp;$F$1,'Input RM sheet'!$A:$ZZ,DT1,0)</f>
        <v>#DIV/0!</v>
      </c>
      <c r="DV8" s="74" t="e">
        <f>VLOOKUP($H$8&amp;$F$1,'Input RM sheet'!$A:$ZZ,DU1,0)</f>
        <v>#DIV/0!</v>
      </c>
      <c r="DW8" s="74" t="e">
        <f>VLOOKUP($H$8&amp;$F$1,'Input RM sheet'!$A:$ZZ,DV1,0)</f>
        <v>#DIV/0!</v>
      </c>
      <c r="DX8" s="74">
        <f>VLOOKUP($H$8&amp;$F$1,'Input RM sheet'!$A:$ZZ,DW1,0)</f>
        <v>0</v>
      </c>
      <c r="DY8" s="74">
        <f>VLOOKUP($H$8&amp;$F$1,'Input RM sheet'!$A:$ZZ,DX1,0)</f>
        <v>0</v>
      </c>
      <c r="DZ8" s="74">
        <f>VLOOKUP($H$8&amp;$F$1,'Input RM sheet'!$A:$ZZ,DY1,0)</f>
        <v>0</v>
      </c>
      <c r="EA8" s="74">
        <f>VLOOKUP($H$8&amp;$F$1,'Input RM sheet'!$A:$ZZ,DZ1,0)</f>
        <v>0</v>
      </c>
      <c r="EB8" s="74">
        <f>VLOOKUP($H$8&amp;$F$1,'Input RM sheet'!$A:$ZZ,EA1,0)</f>
        <v>0</v>
      </c>
      <c r="EC8" s="74">
        <f>VLOOKUP($H$8&amp;$F$1,'Input RM sheet'!$A:$ZZ,EB1,0)</f>
        <v>0</v>
      </c>
      <c r="ED8" s="74">
        <f>VLOOKUP($H$8&amp;$F$1,'Input RM sheet'!$A:$ZZ,EC1,0)</f>
        <v>0</v>
      </c>
      <c r="EE8" s="74">
        <f>VLOOKUP($H$8&amp;$F$1,'Input RM sheet'!$A:$ZZ,ED1,0)</f>
        <v>0</v>
      </c>
      <c r="EF8" s="74">
        <f>VLOOKUP($H$8&amp;$F$1,'Input RM sheet'!$A:$ZZ,EE1,0)</f>
        <v>0</v>
      </c>
      <c r="EG8" s="74">
        <f>VLOOKUP($H$8&amp;$F$1,'Input RM sheet'!$A:$ZZ,EF1,0)</f>
        <v>0</v>
      </c>
      <c r="EH8" s="74">
        <f>VLOOKUP($H$8&amp;$F$1,'Input RM sheet'!$A:$ZZ,EG1,0)</f>
        <v>0</v>
      </c>
      <c r="EI8" s="74">
        <f>VLOOKUP($H$8&amp;$F$1,'Input RM sheet'!$A:$ZZ,EH1,0)</f>
        <v>0</v>
      </c>
      <c r="EJ8" s="74">
        <f>VLOOKUP($H$8&amp;$F$1,'Input RM sheet'!$A:$ZZ,EI1,0)</f>
        <v>0</v>
      </c>
      <c r="EK8" s="74">
        <f>VLOOKUP($H$8&amp;$F$1,'Input RM sheet'!$A:$ZZ,EJ1,0)</f>
        <v>0</v>
      </c>
    </row>
    <row r="9" spans="1:142">
      <c r="I9" s="74"/>
      <c r="J9" s="74"/>
      <c r="K9" s="74"/>
      <c r="L9" s="74"/>
      <c r="M9" s="74"/>
      <c r="N9" s="74"/>
      <c r="O9" s="74"/>
      <c r="P9" s="74"/>
      <c r="Q9" s="74"/>
      <c r="R9" s="74"/>
      <c r="S9" s="74"/>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74"/>
      <c r="BG9" s="74"/>
      <c r="BH9" s="74"/>
      <c r="BI9" s="74"/>
      <c r="BJ9" s="74"/>
      <c r="BK9" s="74"/>
      <c r="BL9" s="74"/>
      <c r="BM9" s="74"/>
      <c r="BN9" s="74"/>
      <c r="BO9" s="74"/>
      <c r="BP9" s="74"/>
      <c r="BQ9" s="74"/>
      <c r="BR9" s="74"/>
      <c r="BS9" s="74"/>
      <c r="BT9" s="74"/>
      <c r="BU9" s="74"/>
      <c r="BV9" s="74"/>
      <c r="BW9" s="74"/>
      <c r="BX9" s="74"/>
      <c r="BY9" s="74"/>
      <c r="BZ9" s="74"/>
      <c r="CA9" s="74"/>
      <c r="CB9" s="74"/>
      <c r="CC9" s="74"/>
      <c r="CD9" s="74"/>
      <c r="CE9" s="74"/>
      <c r="CF9" s="74"/>
      <c r="CG9" s="74"/>
      <c r="CH9" s="74"/>
      <c r="CI9" s="74"/>
      <c r="CJ9" s="74"/>
      <c r="CK9" s="74"/>
      <c r="CL9" s="74"/>
      <c r="CM9" s="74"/>
      <c r="CN9" s="74"/>
      <c r="CO9" s="74"/>
      <c r="CP9" s="74"/>
      <c r="CQ9" s="74"/>
      <c r="CR9" s="74"/>
      <c r="CS9" s="74"/>
      <c r="CT9" s="74"/>
      <c r="CU9" s="74"/>
      <c r="CV9" s="74"/>
      <c r="CW9" s="74"/>
      <c r="CX9" s="74"/>
      <c r="CY9" s="74"/>
      <c r="CZ9" s="74"/>
      <c r="DA9" s="74"/>
      <c r="DB9" s="74"/>
      <c r="DC9" s="74"/>
      <c r="DD9" s="74"/>
      <c r="DE9" s="74"/>
      <c r="DF9" s="74"/>
      <c r="DG9" s="74"/>
      <c r="DH9" s="74"/>
      <c r="DI9" s="74"/>
      <c r="DJ9" s="74"/>
      <c r="DK9" s="74"/>
      <c r="DL9" s="74"/>
      <c r="DM9" s="74"/>
      <c r="DN9" s="74"/>
      <c r="DO9" s="74"/>
      <c r="DP9" s="74"/>
      <c r="DQ9" s="74"/>
      <c r="DR9" s="74"/>
      <c r="DS9" s="74"/>
      <c r="DT9" s="74"/>
      <c r="DU9" s="74"/>
      <c r="DV9" s="74"/>
      <c r="DW9" s="74"/>
      <c r="DX9" s="74"/>
      <c r="DY9" s="74"/>
      <c r="DZ9" s="74"/>
      <c r="EA9" s="74"/>
      <c r="EB9" s="74"/>
      <c r="EC9" s="74"/>
      <c r="ED9" s="74"/>
      <c r="EE9" s="74"/>
      <c r="EF9" s="74"/>
      <c r="EG9" s="74"/>
      <c r="EH9" s="74"/>
      <c r="EI9" s="74"/>
      <c r="EJ9" s="74"/>
      <c r="EK9" s="74"/>
    </row>
    <row r="10" spans="1:142" ht="13">
      <c r="A10" s="59" t="s">
        <v>395</v>
      </c>
      <c r="B10" s="59"/>
      <c r="C10" s="59" t="s">
        <v>379</v>
      </c>
      <c r="D10" s="98" t="s">
        <v>380</v>
      </c>
      <c r="E10" s="98" t="s">
        <v>381</v>
      </c>
      <c r="F10" s="59" t="s">
        <v>396</v>
      </c>
      <c r="I10" s="84"/>
      <c r="J10" s="84"/>
      <c r="K10" s="84"/>
      <c r="L10" s="84"/>
      <c r="M10" s="84"/>
      <c r="N10" s="84"/>
      <c r="O10" s="84"/>
      <c r="P10" s="84"/>
      <c r="Q10" s="84"/>
      <c r="R10" s="84"/>
      <c r="S10" s="84"/>
      <c r="T10" s="84"/>
      <c r="U10" s="84"/>
      <c r="V10" s="84"/>
      <c r="W10" s="84"/>
      <c r="X10" s="84"/>
      <c r="Y10" s="84"/>
      <c r="Z10" s="84"/>
      <c r="AA10" s="84"/>
      <c r="AB10" s="84"/>
      <c r="AC10" s="84"/>
      <c r="AD10" s="84"/>
      <c r="AE10" s="84"/>
      <c r="AF10" s="84"/>
      <c r="AG10" s="84"/>
      <c r="AH10" s="84"/>
      <c r="AI10" s="84"/>
      <c r="AJ10" s="84"/>
      <c r="AK10" s="84"/>
      <c r="AL10" s="84"/>
      <c r="AM10" s="84"/>
      <c r="AN10" s="84"/>
      <c r="AO10" s="84"/>
      <c r="AP10" s="84"/>
      <c r="AQ10" s="84"/>
      <c r="AR10" s="84"/>
      <c r="AS10" s="84"/>
      <c r="AT10" s="84"/>
      <c r="AU10" s="84"/>
      <c r="AV10" s="84"/>
      <c r="AW10" s="84"/>
      <c r="AX10" s="84"/>
      <c r="AY10" s="84"/>
      <c r="AZ10" s="84"/>
      <c r="BA10" s="84"/>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84"/>
      <c r="CE10" s="84"/>
      <c r="CF10" s="84"/>
      <c r="CG10" s="84"/>
      <c r="CH10" s="84"/>
      <c r="CI10" s="84"/>
      <c r="CJ10" s="84"/>
      <c r="CK10" s="84"/>
      <c r="CL10" s="84"/>
      <c r="CM10" s="84"/>
      <c r="CN10" s="84"/>
      <c r="CO10" s="84"/>
      <c r="CP10" s="84"/>
      <c r="CQ10" s="84"/>
      <c r="CR10" s="84"/>
      <c r="CS10" s="84"/>
      <c r="CT10" s="84"/>
      <c r="CU10" s="84"/>
      <c r="CV10" s="84"/>
      <c r="CW10" s="84"/>
      <c r="CX10" s="84"/>
      <c r="CY10" s="84"/>
      <c r="CZ10" s="84"/>
      <c r="DA10" s="84"/>
      <c r="DB10" s="84"/>
      <c r="DC10" s="84"/>
      <c r="DD10" s="84"/>
      <c r="DE10" s="84"/>
      <c r="DF10" s="84"/>
      <c r="DG10" s="84"/>
      <c r="DH10" s="84"/>
      <c r="DI10" s="84"/>
      <c r="DJ10" s="84"/>
      <c r="DK10" s="84"/>
      <c r="DL10" s="84"/>
      <c r="DM10" s="84"/>
      <c r="DN10" s="84"/>
      <c r="DO10" s="84"/>
      <c r="DP10" s="84"/>
      <c r="DQ10" s="84"/>
      <c r="DR10" s="84"/>
      <c r="DS10" s="84"/>
      <c r="DT10" s="84"/>
      <c r="DU10" s="84"/>
      <c r="DV10" s="84"/>
      <c r="DW10" s="84"/>
      <c r="DX10" s="84"/>
      <c r="DY10" s="84"/>
      <c r="DZ10" s="84"/>
      <c r="EA10" s="84"/>
      <c r="EB10" s="84"/>
      <c r="EC10" s="84"/>
      <c r="ED10" s="84"/>
      <c r="EE10" s="84"/>
      <c r="EF10" s="84"/>
      <c r="EG10" s="84"/>
      <c r="EH10" s="84"/>
      <c r="EI10" s="84"/>
      <c r="EJ10" s="84"/>
      <c r="EK10" s="84"/>
    </row>
    <row r="11" spans="1:142" ht="26">
      <c r="A11" s="107" t="s">
        <v>397</v>
      </c>
      <c r="B11" s="107" t="s">
        <v>94</v>
      </c>
      <c r="C11" s="60">
        <v>1</v>
      </c>
      <c r="D11" s="65">
        <v>123.89</v>
      </c>
      <c r="E11" s="60">
        <f>D11*C11</f>
        <v>123.89</v>
      </c>
      <c r="F11" s="328">
        <f>E11/$D$3</f>
        <v>0.27868317755958205</v>
      </c>
      <c r="H11" s="60" t="s">
        <v>399</v>
      </c>
      <c r="I11" s="74">
        <f>$F$11*I8</f>
        <v>0.62573733130461862</v>
      </c>
      <c r="J11" s="74">
        <f t="shared" ref="J11:BU11" si="0">$F$11*J8</f>
        <v>0.59257917322041276</v>
      </c>
      <c r="K11" s="74">
        <f t="shared" si="0"/>
        <v>0.61633806906648292</v>
      </c>
      <c r="L11" s="74">
        <f t="shared" si="0"/>
        <v>0.57271181909735391</v>
      </c>
      <c r="M11" s="74">
        <f t="shared" si="0"/>
        <v>0.61852530829577435</v>
      </c>
      <c r="N11" s="74">
        <f t="shared" si="0"/>
        <v>0.57360771770659336</v>
      </c>
      <c r="O11" s="74">
        <f t="shared" si="0"/>
        <v>0.51090892889498274</v>
      </c>
      <c r="P11" s="74">
        <f t="shared" si="0"/>
        <v>0.55457962849762776</v>
      </c>
      <c r="Q11" s="74">
        <f t="shared" si="0"/>
        <v>0.5556518966396502</v>
      </c>
      <c r="R11" s="74">
        <f t="shared" si="0"/>
        <v>0.57669381535997422</v>
      </c>
      <c r="S11" s="74">
        <f t="shared" si="0"/>
        <v>0.61178550006038079</v>
      </c>
      <c r="T11" s="74">
        <f t="shared" si="0"/>
        <v>0.59150313812700861</v>
      </c>
      <c r="U11" s="74">
        <f t="shared" si="0"/>
        <v>0.64078332557930218</v>
      </c>
      <c r="V11" s="74">
        <f t="shared" si="0"/>
        <v>0.63949409611290697</v>
      </c>
      <c r="W11" s="74">
        <f t="shared" si="0"/>
        <v>0.65247690811751946</v>
      </c>
      <c r="X11" s="74">
        <f t="shared" si="0"/>
        <v>0.66193897077489616</v>
      </c>
      <c r="Y11" s="74">
        <f t="shared" si="0"/>
        <v>0.75630273583103691</v>
      </c>
      <c r="Z11" s="74">
        <f t="shared" si="0"/>
        <v>0.83285207763882663</v>
      </c>
      <c r="AA11" s="74">
        <f t="shared" si="0"/>
        <v>0.92597364849240416</v>
      </c>
      <c r="AB11" s="74">
        <f t="shared" si="0"/>
        <v>0.98067461947146095</v>
      </c>
      <c r="AC11" s="74">
        <f t="shared" si="0"/>
        <v>0.98281955046369662</v>
      </c>
      <c r="AD11" s="74">
        <f t="shared" si="0"/>
        <v>2.0220437792344721</v>
      </c>
      <c r="AE11" s="74">
        <f t="shared" si="0"/>
        <v>1.4729951418834073</v>
      </c>
      <c r="AF11" s="74">
        <f t="shared" si="0"/>
        <v>1.6005363940441328</v>
      </c>
      <c r="AG11" s="74">
        <f t="shared" si="0"/>
        <v>1.2995205621131338</v>
      </c>
      <c r="AH11" s="74">
        <f t="shared" si="0"/>
        <v>1.2972559617763768</v>
      </c>
      <c r="AI11" s="74">
        <f t="shared" si="0"/>
        <v>1.4111225006743773</v>
      </c>
      <c r="AJ11" s="74">
        <f t="shared" si="0"/>
        <v>1.3703385875045604</v>
      </c>
      <c r="AK11" s="74">
        <f t="shared" si="0"/>
        <v>1.4211982498244486</v>
      </c>
      <c r="AL11" s="74">
        <f t="shared" si="0"/>
        <v>1.4133512296049331</v>
      </c>
      <c r="AM11" s="74">
        <f t="shared" si="0"/>
        <v>1.2061254860509865</v>
      </c>
      <c r="AN11" s="74">
        <f t="shared" si="0"/>
        <v>1.0402095730760657</v>
      </c>
      <c r="AO11" s="74">
        <f t="shared" si="0"/>
        <v>1.2103408996128582</v>
      </c>
      <c r="AP11" s="74">
        <f t="shared" si="0"/>
        <v>1.2538178717757829</v>
      </c>
      <c r="AQ11" s="74">
        <f t="shared" si="0"/>
        <v>1.1259130548515275</v>
      </c>
      <c r="AR11" s="74">
        <f t="shared" si="0"/>
        <v>1.1854679304469404</v>
      </c>
      <c r="AS11" s="74">
        <f t="shared" si="0"/>
        <v>1.2104118632875234</v>
      </c>
      <c r="AT11" s="74">
        <f t="shared" si="0"/>
        <v>1.1243670152514602</v>
      </c>
      <c r="AU11" s="74">
        <f t="shared" si="0"/>
        <v>1.0829965314518668</v>
      </c>
      <c r="AV11" s="74">
        <f t="shared" si="0"/>
        <v>0.98864279405891453</v>
      </c>
      <c r="AW11" s="74">
        <f t="shared" si="0"/>
        <v>0.70162811102753564</v>
      </c>
      <c r="AX11" s="74">
        <f t="shared" si="0"/>
        <v>0.80653084901418426</v>
      </c>
      <c r="AY11" s="74">
        <f t="shared" si="0"/>
        <v>0.77898623937924072</v>
      </c>
      <c r="AZ11" s="74">
        <f t="shared" si="0"/>
        <v>0.7959946725534599</v>
      </c>
      <c r="BA11" s="74">
        <f t="shared" si="0"/>
        <v>0.80837303225247503</v>
      </c>
      <c r="BB11" s="74">
        <f t="shared" si="0"/>
        <v>0.81402599051997482</v>
      </c>
      <c r="BC11" s="74">
        <f t="shared" si="0"/>
        <v>0.82207427008726275</v>
      </c>
      <c r="BD11" s="74">
        <f t="shared" si="0"/>
        <v>0.82772815089941731</v>
      </c>
      <c r="BE11" s="74">
        <f t="shared" si="0"/>
        <v>0.82545729177486471</v>
      </c>
      <c r="BF11" s="74">
        <f t="shared" si="0"/>
        <v>0.88949789232116883</v>
      </c>
      <c r="BG11" s="74">
        <f t="shared" si="0"/>
        <v>0.89067417497826562</v>
      </c>
      <c r="BH11" s="74">
        <f t="shared" si="0"/>
        <v>0.87806327901707437</v>
      </c>
      <c r="BI11" s="74">
        <f t="shared" si="0"/>
        <v>0.86360940366405115</v>
      </c>
      <c r="BJ11" s="74">
        <f t="shared" si="0"/>
        <v>0.86360940366405115</v>
      </c>
      <c r="BK11" s="74">
        <f t="shared" si="0"/>
        <v>0.86360940366405115</v>
      </c>
      <c r="BL11" s="74">
        <f t="shared" si="0"/>
        <v>0.8836270810600465</v>
      </c>
      <c r="BM11" s="74">
        <f t="shared" si="0"/>
        <v>0.88143005664705176</v>
      </c>
      <c r="BN11" s="74">
        <f t="shared" si="0"/>
        <v>0.87463311686333367</v>
      </c>
      <c r="BO11" s="74">
        <f t="shared" si="0"/>
        <v>0.8806484753011834</v>
      </c>
      <c r="BP11" s="74">
        <f t="shared" si="0"/>
        <v>0.89317350344646285</v>
      </c>
      <c r="BQ11" s="74">
        <f t="shared" si="0"/>
        <v>0.89317350344646285</v>
      </c>
      <c r="BR11" s="74">
        <f t="shared" si="0"/>
        <v>0.89710313615639181</v>
      </c>
      <c r="BS11" s="74">
        <f t="shared" si="0"/>
        <v>0.88870373508719258</v>
      </c>
      <c r="BT11" s="74">
        <f t="shared" si="0"/>
        <v>0.86149684750671829</v>
      </c>
      <c r="BU11" s="74">
        <f t="shared" si="0"/>
        <v>0.81043875734141224</v>
      </c>
      <c r="BV11" s="74">
        <f t="shared" ref="BV11:CR11" si="1">$F$11*BV8</f>
        <v>0.79874556471811087</v>
      </c>
      <c r="BW11" s="74">
        <f t="shared" si="1"/>
        <v>0.79762057096498684</v>
      </c>
      <c r="BX11" s="74">
        <f t="shared" si="1"/>
        <v>0.82885927744319421</v>
      </c>
      <c r="BY11" s="74">
        <f t="shared" si="1"/>
        <v>0.83117250779553187</v>
      </c>
      <c r="BZ11" s="74">
        <f t="shared" si="1"/>
        <v>0.83001751936363333</v>
      </c>
      <c r="CA11" s="74">
        <f t="shared" si="1"/>
        <v>0.83248027350608877</v>
      </c>
      <c r="CB11" s="74">
        <f t="shared" si="1"/>
        <v>0.82321762790379571</v>
      </c>
      <c r="CC11" s="74">
        <f t="shared" si="1"/>
        <v>0.82436417056104339</v>
      </c>
      <c r="CD11" s="74">
        <f t="shared" si="1"/>
        <v>0.83326372849598784</v>
      </c>
      <c r="CE11" s="74">
        <f t="shared" si="1"/>
        <v>0.81498387950776008</v>
      </c>
      <c r="CF11" s="74">
        <f t="shared" si="1"/>
        <v>0.81725402958995452</v>
      </c>
      <c r="CG11" s="74">
        <f t="shared" si="1"/>
        <v>0.78198391683273027</v>
      </c>
      <c r="CH11" s="74">
        <f t="shared" si="1"/>
        <v>0.77295447967540953</v>
      </c>
      <c r="CI11" s="74">
        <f t="shared" si="1"/>
        <v>0.77759357099208481</v>
      </c>
      <c r="CJ11" s="74">
        <f t="shared" si="1"/>
        <v>0.78551240337896189</v>
      </c>
      <c r="CK11" s="74">
        <f t="shared" si="1"/>
        <v>0.80367967701704079</v>
      </c>
      <c r="CL11" s="74">
        <f t="shared" si="1"/>
        <v>0.80367967701704079</v>
      </c>
      <c r="CM11" s="74">
        <f t="shared" si="1"/>
        <v>0.80702369786454586</v>
      </c>
      <c r="CN11" s="74">
        <f t="shared" si="1"/>
        <v>0.77523991436818329</v>
      </c>
      <c r="CO11" s="74">
        <f t="shared" si="1"/>
        <v>0.77295447967540953</v>
      </c>
      <c r="CP11" s="74">
        <f t="shared" si="1"/>
        <v>0.77295447967540953</v>
      </c>
      <c r="CQ11" s="74">
        <f t="shared" si="1"/>
        <v>0.77179470684624096</v>
      </c>
      <c r="CR11" s="74">
        <f t="shared" si="1"/>
        <v>0.7526748510434319</v>
      </c>
      <c r="CS11" s="74">
        <f>$F$11*CS8</f>
        <v>0.7526748510434319</v>
      </c>
      <c r="CT11" s="74">
        <f>$F$11*CT8</f>
        <v>0.75185825701823927</v>
      </c>
      <c r="CU11" s="74">
        <f>$F$11*CU8</f>
        <v>0.75082406409249203</v>
      </c>
      <c r="CV11" s="74">
        <f>$F$11*CV8</f>
        <v>0.74841551086651426</v>
      </c>
      <c r="CW11" s="74">
        <f t="shared" ref="CW11:EK11" si="2">$F$11*CW8</f>
        <v>0.76876948179027038</v>
      </c>
      <c r="CX11" s="74">
        <f t="shared" si="2"/>
        <v>0.76771347975484405</v>
      </c>
      <c r="CY11" s="74">
        <f t="shared" si="2"/>
        <v>0.77643379816291591</v>
      </c>
      <c r="CZ11" s="74">
        <f t="shared" si="2"/>
        <v>0.79455713970777286</v>
      </c>
      <c r="DA11" s="74">
        <f t="shared" si="2"/>
        <v>0.79345051416500434</v>
      </c>
      <c r="DB11" s="74">
        <f t="shared" si="2"/>
        <v>0.79446867117146536</v>
      </c>
      <c r="DC11" s="74">
        <f t="shared" si="2"/>
        <v>0.81267418033225647</v>
      </c>
      <c r="DD11" s="74">
        <f t="shared" si="2"/>
        <v>0.84742059384481927</v>
      </c>
      <c r="DE11" s="74">
        <f t="shared" si="2"/>
        <v>0.84503685096480574</v>
      </c>
      <c r="DF11" s="74">
        <f t="shared" si="2"/>
        <v>0.85102153121243196</v>
      </c>
      <c r="DG11" s="74">
        <f t="shared" si="2"/>
        <v>0.84533124302733831</v>
      </c>
      <c r="DH11" s="74">
        <f t="shared" si="2"/>
        <v>0.8312786914019149</v>
      </c>
      <c r="DI11" s="74">
        <f t="shared" si="2"/>
        <v>0.81104390646330704</v>
      </c>
      <c r="DJ11" s="74">
        <f t="shared" si="2"/>
        <v>0.82817353080081346</v>
      </c>
      <c r="DK11" s="74">
        <f t="shared" si="2"/>
        <v>0.82701362389492983</v>
      </c>
      <c r="DL11" s="74">
        <f t="shared" si="2"/>
        <v>0.83567144788786218</v>
      </c>
      <c r="DM11" s="74">
        <f t="shared" si="2"/>
        <v>0.81409230414533662</v>
      </c>
      <c r="DN11" s="74">
        <f t="shared" si="2"/>
        <v>0.80377062749913197</v>
      </c>
      <c r="DO11" s="74">
        <f t="shared" si="2"/>
        <v>0.79476238111411579</v>
      </c>
      <c r="DP11" s="74">
        <f t="shared" si="2"/>
        <v>0.7931942468987776</v>
      </c>
      <c r="DQ11" s="74">
        <f t="shared" si="2"/>
        <v>0.79197300864335241</v>
      </c>
      <c r="DR11" s="74">
        <f t="shared" si="2"/>
        <v>0.77785817663030588</v>
      </c>
      <c r="DS11" s="74">
        <f t="shared" si="2"/>
        <v>0.77452909791865432</v>
      </c>
      <c r="DT11" s="74" t="e">
        <f t="shared" si="2"/>
        <v>#DIV/0!</v>
      </c>
      <c r="DU11" s="74" t="e">
        <f t="shared" si="2"/>
        <v>#DIV/0!</v>
      </c>
      <c r="DV11" s="74" t="e">
        <f t="shared" si="2"/>
        <v>#DIV/0!</v>
      </c>
      <c r="DW11" s="74" t="e">
        <f t="shared" si="2"/>
        <v>#DIV/0!</v>
      </c>
      <c r="DX11" s="74">
        <f t="shared" si="2"/>
        <v>0</v>
      </c>
      <c r="DY11" s="74">
        <f t="shared" si="2"/>
        <v>0</v>
      </c>
      <c r="DZ11" s="74">
        <f t="shared" si="2"/>
        <v>0</v>
      </c>
      <c r="EA11" s="74">
        <f t="shared" si="2"/>
        <v>0</v>
      </c>
      <c r="EB11" s="74">
        <f t="shared" si="2"/>
        <v>0</v>
      </c>
      <c r="EC11" s="74">
        <f t="shared" si="2"/>
        <v>0</v>
      </c>
      <c r="ED11" s="74">
        <f t="shared" si="2"/>
        <v>0</v>
      </c>
      <c r="EE11" s="74">
        <f t="shared" si="2"/>
        <v>0</v>
      </c>
      <c r="EF11" s="74">
        <f t="shared" si="2"/>
        <v>0</v>
      </c>
      <c r="EG11" s="74">
        <f t="shared" si="2"/>
        <v>0</v>
      </c>
      <c r="EH11" s="74">
        <f t="shared" si="2"/>
        <v>0</v>
      </c>
      <c r="EI11" s="74">
        <f t="shared" si="2"/>
        <v>0</v>
      </c>
      <c r="EJ11" s="74">
        <f t="shared" si="2"/>
        <v>0</v>
      </c>
      <c r="EK11" s="74">
        <f t="shared" si="2"/>
        <v>0</v>
      </c>
    </row>
    <row r="12" spans="1:142">
      <c r="A12" s="67"/>
      <c r="B12" s="107"/>
      <c r="D12" s="77"/>
      <c r="F12" s="65"/>
      <c r="I12" s="74"/>
      <c r="J12" s="74"/>
      <c r="K12" s="74"/>
      <c r="L12" s="74"/>
      <c r="M12" s="74"/>
      <c r="N12" s="74"/>
      <c r="O12" s="74"/>
      <c r="P12" s="74"/>
      <c r="Q12" s="74"/>
      <c r="R12" s="74"/>
      <c r="S12" s="74"/>
      <c r="T12" s="74"/>
      <c r="U12" s="74"/>
      <c r="V12" s="74"/>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c r="BL12" s="74"/>
      <c r="BM12" s="74"/>
      <c r="BN12" s="74"/>
      <c r="BO12" s="74"/>
      <c r="BP12" s="74"/>
      <c r="BQ12" s="74"/>
      <c r="BR12" s="74"/>
      <c r="BS12" s="74"/>
      <c r="BT12" s="74"/>
      <c r="BU12" s="74"/>
      <c r="BV12" s="74"/>
      <c r="BW12" s="74"/>
      <c r="BX12" s="74"/>
      <c r="BY12" s="74"/>
      <c r="BZ12" s="74"/>
      <c r="CA12" s="74"/>
      <c r="CB12" s="74"/>
      <c r="CC12" s="74"/>
      <c r="CD12" s="74"/>
      <c r="CE12" s="74"/>
      <c r="CF12" s="74"/>
      <c r="CG12" s="74"/>
      <c r="CH12" s="74"/>
      <c r="CI12" s="74"/>
      <c r="CJ12" s="74"/>
      <c r="CK12" s="74"/>
      <c r="CL12" s="74"/>
      <c r="CM12" s="74"/>
      <c r="CN12" s="74"/>
      <c r="CO12" s="74"/>
      <c r="CP12" s="74"/>
      <c r="CQ12" s="74"/>
      <c r="CR12" s="74"/>
      <c r="CS12" s="74"/>
      <c r="CT12" s="74"/>
      <c r="CU12" s="74"/>
      <c r="CV12" s="74"/>
      <c r="CW12" s="74"/>
      <c r="CX12" s="74"/>
      <c r="CY12" s="74"/>
      <c r="CZ12" s="74"/>
      <c r="DA12" s="74"/>
      <c r="DB12" s="74"/>
      <c r="DC12" s="74"/>
      <c r="DD12" s="74"/>
      <c r="DE12" s="74"/>
      <c r="DF12" s="74"/>
      <c r="DG12" s="74"/>
      <c r="DH12" s="74"/>
      <c r="DI12" s="74"/>
      <c r="DJ12" s="74"/>
      <c r="DK12" s="74"/>
      <c r="DL12" s="74"/>
      <c r="DM12" s="74"/>
      <c r="DN12" s="74"/>
      <c r="DO12" s="74"/>
      <c r="DP12" s="74"/>
      <c r="DQ12" s="74"/>
      <c r="DR12" s="74"/>
      <c r="DS12" s="74"/>
      <c r="DT12" s="74"/>
      <c r="DU12" s="74"/>
      <c r="DV12" s="74"/>
      <c r="DW12" s="74"/>
      <c r="DX12" s="74"/>
      <c r="DY12" s="74"/>
      <c r="DZ12" s="74"/>
      <c r="EA12" s="74"/>
      <c r="EB12" s="74"/>
      <c r="EC12" s="74"/>
      <c r="ED12" s="74"/>
      <c r="EE12" s="74"/>
      <c r="EF12" s="74"/>
      <c r="EG12" s="74"/>
      <c r="EH12" s="74"/>
      <c r="EI12" s="74"/>
      <c r="EJ12" s="74"/>
      <c r="EK12" s="74"/>
    </row>
    <row r="13" spans="1:142">
      <c r="A13" s="67"/>
      <c r="B13" s="107"/>
      <c r="D13" s="77"/>
      <c r="F13" s="65"/>
      <c r="I13" s="74"/>
      <c r="J13" s="74"/>
      <c r="K13" s="74"/>
      <c r="L13" s="74"/>
      <c r="M13" s="74"/>
      <c r="N13" s="74"/>
      <c r="O13" s="74"/>
      <c r="P13" s="74"/>
      <c r="Q13" s="74"/>
      <c r="R13" s="74"/>
      <c r="S13" s="74"/>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c r="BF13" s="74"/>
      <c r="BG13" s="74"/>
      <c r="BH13" s="74"/>
      <c r="BI13" s="74"/>
      <c r="BJ13" s="74"/>
      <c r="BK13" s="74"/>
      <c r="BL13" s="74"/>
      <c r="BM13" s="74"/>
      <c r="BN13" s="74"/>
      <c r="BO13" s="74"/>
      <c r="BP13" s="74"/>
      <c r="BQ13" s="74"/>
      <c r="BR13" s="74"/>
      <c r="BS13" s="74"/>
      <c r="BT13" s="74"/>
      <c r="BU13" s="74"/>
      <c r="BV13" s="74"/>
      <c r="BW13" s="74"/>
      <c r="BX13" s="74"/>
      <c r="BY13" s="74"/>
      <c r="BZ13" s="74"/>
      <c r="CA13" s="74"/>
      <c r="CB13" s="74"/>
      <c r="CC13" s="74"/>
      <c r="CD13" s="74"/>
      <c r="CE13" s="74"/>
      <c r="CF13" s="74"/>
      <c r="CG13" s="74"/>
      <c r="CH13" s="74"/>
      <c r="CI13" s="74"/>
      <c r="CJ13" s="74"/>
      <c r="CK13" s="74"/>
      <c r="CL13" s="74"/>
      <c r="CM13" s="74"/>
      <c r="CN13" s="74"/>
      <c r="CO13" s="74"/>
      <c r="CP13" s="74"/>
      <c r="CQ13" s="74"/>
      <c r="CR13" s="74"/>
      <c r="CS13" s="74"/>
      <c r="CT13" s="74"/>
      <c r="CU13" s="74"/>
      <c r="CV13" s="74"/>
      <c r="CW13" s="74"/>
      <c r="CX13" s="74"/>
      <c r="CY13" s="74"/>
      <c r="CZ13" s="74"/>
      <c r="DA13" s="74"/>
      <c r="DB13" s="74"/>
      <c r="DC13" s="74"/>
      <c r="DD13" s="74"/>
      <c r="DE13" s="74"/>
      <c r="DF13" s="74"/>
      <c r="DG13" s="74"/>
      <c r="DH13" s="74"/>
      <c r="DI13" s="74"/>
      <c r="DJ13" s="74"/>
      <c r="DK13" s="74"/>
      <c r="DL13" s="74"/>
      <c r="DM13" s="74"/>
      <c r="DN13" s="74"/>
      <c r="DO13" s="74"/>
      <c r="DP13" s="74"/>
      <c r="DQ13" s="74"/>
      <c r="DR13" s="74"/>
      <c r="DS13" s="74"/>
      <c r="DT13" s="74"/>
      <c r="DU13" s="74"/>
      <c r="DV13" s="74"/>
      <c r="DW13" s="74"/>
      <c r="DX13" s="74"/>
      <c r="DY13" s="74"/>
      <c r="DZ13" s="74"/>
      <c r="EA13" s="74"/>
      <c r="EB13" s="74"/>
      <c r="EC13" s="74"/>
      <c r="ED13" s="74"/>
      <c r="EE13" s="74"/>
      <c r="EF13" s="74"/>
      <c r="EG13" s="74"/>
      <c r="EH13" s="74"/>
      <c r="EI13" s="74"/>
      <c r="EJ13" s="74"/>
      <c r="EK13" s="74"/>
    </row>
    <row r="14" spans="1:142" s="104" customFormat="1">
      <c r="H14" s="104" t="s">
        <v>799</v>
      </c>
      <c r="I14" s="105">
        <f t="shared" ref="I14:AN14" si="3">SUM(I11:I11)</f>
        <v>0.62573733130461862</v>
      </c>
      <c r="J14" s="105">
        <f t="shared" si="3"/>
        <v>0.59257917322041276</v>
      </c>
      <c r="K14" s="105">
        <f t="shared" si="3"/>
        <v>0.61633806906648292</v>
      </c>
      <c r="L14" s="105">
        <f t="shared" si="3"/>
        <v>0.57271181909735391</v>
      </c>
      <c r="M14" s="105">
        <f t="shared" si="3"/>
        <v>0.61852530829577435</v>
      </c>
      <c r="N14" s="105">
        <f t="shared" si="3"/>
        <v>0.57360771770659336</v>
      </c>
      <c r="O14" s="105">
        <f t="shared" si="3"/>
        <v>0.51090892889498274</v>
      </c>
      <c r="P14" s="105">
        <f t="shared" si="3"/>
        <v>0.55457962849762776</v>
      </c>
      <c r="Q14" s="105">
        <f t="shared" si="3"/>
        <v>0.5556518966396502</v>
      </c>
      <c r="R14" s="105">
        <f t="shared" si="3"/>
        <v>0.57669381535997422</v>
      </c>
      <c r="S14" s="105">
        <f t="shared" si="3"/>
        <v>0.61178550006038079</v>
      </c>
      <c r="T14" s="105">
        <f t="shared" si="3"/>
        <v>0.59150313812700861</v>
      </c>
      <c r="U14" s="105">
        <f t="shared" si="3"/>
        <v>0.64078332557930218</v>
      </c>
      <c r="V14" s="105">
        <f t="shared" si="3"/>
        <v>0.63949409611290697</v>
      </c>
      <c r="W14" s="105">
        <f t="shared" si="3"/>
        <v>0.65247690811751946</v>
      </c>
      <c r="X14" s="105">
        <f t="shared" si="3"/>
        <v>0.66193897077489616</v>
      </c>
      <c r="Y14" s="105">
        <f t="shared" si="3"/>
        <v>0.75630273583103691</v>
      </c>
      <c r="Z14" s="105">
        <f t="shared" si="3"/>
        <v>0.83285207763882663</v>
      </c>
      <c r="AA14" s="105">
        <f t="shared" si="3"/>
        <v>0.92597364849240416</v>
      </c>
      <c r="AB14" s="105">
        <f t="shared" si="3"/>
        <v>0.98067461947146095</v>
      </c>
      <c r="AC14" s="105">
        <f t="shared" si="3"/>
        <v>0.98281955046369662</v>
      </c>
      <c r="AD14" s="105">
        <f t="shared" si="3"/>
        <v>2.0220437792344721</v>
      </c>
      <c r="AE14" s="105">
        <f t="shared" si="3"/>
        <v>1.4729951418834073</v>
      </c>
      <c r="AF14" s="105">
        <f t="shared" si="3"/>
        <v>1.6005363940441328</v>
      </c>
      <c r="AG14" s="105">
        <f t="shared" si="3"/>
        <v>1.2995205621131338</v>
      </c>
      <c r="AH14" s="105">
        <f t="shared" si="3"/>
        <v>1.2972559617763768</v>
      </c>
      <c r="AI14" s="105">
        <f t="shared" si="3"/>
        <v>1.4111225006743773</v>
      </c>
      <c r="AJ14" s="105">
        <f t="shared" si="3"/>
        <v>1.3703385875045604</v>
      </c>
      <c r="AK14" s="105">
        <f t="shared" si="3"/>
        <v>1.4211982498244486</v>
      </c>
      <c r="AL14" s="105">
        <f t="shared" si="3"/>
        <v>1.4133512296049331</v>
      </c>
      <c r="AM14" s="105">
        <f t="shared" si="3"/>
        <v>1.2061254860509865</v>
      </c>
      <c r="AN14" s="105">
        <f t="shared" si="3"/>
        <v>1.0402095730760657</v>
      </c>
      <c r="AO14" s="105">
        <f t="shared" ref="AO14:BT14" si="4">SUM(AO11:AO11)</f>
        <v>1.2103408996128582</v>
      </c>
      <c r="AP14" s="105">
        <f t="shared" si="4"/>
        <v>1.2538178717757829</v>
      </c>
      <c r="AQ14" s="105">
        <f t="shared" si="4"/>
        <v>1.1259130548515275</v>
      </c>
      <c r="AR14" s="105">
        <f t="shared" si="4"/>
        <v>1.1854679304469404</v>
      </c>
      <c r="AS14" s="105">
        <f t="shared" si="4"/>
        <v>1.2104118632875234</v>
      </c>
      <c r="AT14" s="105">
        <f t="shared" si="4"/>
        <v>1.1243670152514602</v>
      </c>
      <c r="AU14" s="105">
        <f t="shared" si="4"/>
        <v>1.0829965314518668</v>
      </c>
      <c r="AV14" s="105">
        <f t="shared" si="4"/>
        <v>0.98864279405891453</v>
      </c>
      <c r="AW14" s="105">
        <f t="shared" si="4"/>
        <v>0.70162811102753564</v>
      </c>
      <c r="AX14" s="105">
        <f t="shared" si="4"/>
        <v>0.80653084901418426</v>
      </c>
      <c r="AY14" s="105">
        <f t="shared" si="4"/>
        <v>0.77898623937924072</v>
      </c>
      <c r="AZ14" s="105">
        <f t="shared" si="4"/>
        <v>0.7959946725534599</v>
      </c>
      <c r="BA14" s="105">
        <f t="shared" si="4"/>
        <v>0.80837303225247503</v>
      </c>
      <c r="BB14" s="105">
        <f t="shared" si="4"/>
        <v>0.81402599051997482</v>
      </c>
      <c r="BC14" s="105">
        <f t="shared" si="4"/>
        <v>0.82207427008726275</v>
      </c>
      <c r="BD14" s="105">
        <f t="shared" si="4"/>
        <v>0.82772815089941731</v>
      </c>
      <c r="BE14" s="105">
        <f t="shared" si="4"/>
        <v>0.82545729177486471</v>
      </c>
      <c r="BF14" s="105">
        <f t="shared" si="4"/>
        <v>0.88949789232116883</v>
      </c>
      <c r="BG14" s="105">
        <f t="shared" si="4"/>
        <v>0.89067417497826562</v>
      </c>
      <c r="BH14" s="105">
        <f t="shared" si="4"/>
        <v>0.87806327901707437</v>
      </c>
      <c r="BI14" s="105">
        <f t="shared" si="4"/>
        <v>0.86360940366405115</v>
      </c>
      <c r="BJ14" s="105">
        <f t="shared" si="4"/>
        <v>0.86360940366405115</v>
      </c>
      <c r="BK14" s="105">
        <f t="shared" si="4"/>
        <v>0.86360940366405115</v>
      </c>
      <c r="BL14" s="105">
        <f t="shared" si="4"/>
        <v>0.8836270810600465</v>
      </c>
      <c r="BM14" s="105">
        <f t="shared" si="4"/>
        <v>0.88143005664705176</v>
      </c>
      <c r="BN14" s="105">
        <f t="shared" si="4"/>
        <v>0.87463311686333367</v>
      </c>
      <c r="BO14" s="105">
        <f t="shared" si="4"/>
        <v>0.8806484753011834</v>
      </c>
      <c r="BP14" s="105">
        <f t="shared" si="4"/>
        <v>0.89317350344646285</v>
      </c>
      <c r="BQ14" s="105">
        <f t="shared" si="4"/>
        <v>0.89317350344646285</v>
      </c>
      <c r="BR14" s="105">
        <f t="shared" si="4"/>
        <v>0.89710313615639181</v>
      </c>
      <c r="BS14" s="105">
        <f t="shared" si="4"/>
        <v>0.88870373508719258</v>
      </c>
      <c r="BT14" s="105">
        <f t="shared" si="4"/>
        <v>0.86149684750671829</v>
      </c>
      <c r="BU14" s="105">
        <f t="shared" ref="BU14:CR14" si="5">SUM(BU11:BU11)</f>
        <v>0.81043875734141224</v>
      </c>
      <c r="BV14" s="105">
        <f t="shared" si="5"/>
        <v>0.79874556471811087</v>
      </c>
      <c r="BW14" s="105">
        <f t="shared" si="5"/>
        <v>0.79762057096498684</v>
      </c>
      <c r="BX14" s="105">
        <f t="shared" si="5"/>
        <v>0.82885927744319421</v>
      </c>
      <c r="BY14" s="105">
        <f t="shared" si="5"/>
        <v>0.83117250779553187</v>
      </c>
      <c r="BZ14" s="105">
        <f t="shared" si="5"/>
        <v>0.83001751936363333</v>
      </c>
      <c r="CA14" s="105">
        <f t="shared" si="5"/>
        <v>0.83248027350608877</v>
      </c>
      <c r="CB14" s="105">
        <f t="shared" si="5"/>
        <v>0.82321762790379571</v>
      </c>
      <c r="CC14" s="105">
        <f t="shared" si="5"/>
        <v>0.82436417056104339</v>
      </c>
      <c r="CD14" s="105">
        <f t="shared" si="5"/>
        <v>0.83326372849598784</v>
      </c>
      <c r="CE14" s="105">
        <f t="shared" si="5"/>
        <v>0.81498387950776008</v>
      </c>
      <c r="CF14" s="105">
        <f t="shared" si="5"/>
        <v>0.81725402958995452</v>
      </c>
      <c r="CG14" s="105">
        <f t="shared" si="5"/>
        <v>0.78198391683273027</v>
      </c>
      <c r="CH14" s="105">
        <f t="shared" si="5"/>
        <v>0.77295447967540953</v>
      </c>
      <c r="CI14" s="105">
        <f t="shared" si="5"/>
        <v>0.77759357099208481</v>
      </c>
      <c r="CJ14" s="105">
        <f t="shared" si="5"/>
        <v>0.78551240337896189</v>
      </c>
      <c r="CK14" s="105">
        <f t="shared" si="5"/>
        <v>0.80367967701704079</v>
      </c>
      <c r="CL14" s="105">
        <f t="shared" si="5"/>
        <v>0.80367967701704079</v>
      </c>
      <c r="CM14" s="105">
        <f t="shared" si="5"/>
        <v>0.80702369786454586</v>
      </c>
      <c r="CN14" s="105">
        <f t="shared" si="5"/>
        <v>0.77523991436818329</v>
      </c>
      <c r="CO14" s="105">
        <f t="shared" si="5"/>
        <v>0.77295447967540953</v>
      </c>
      <c r="CP14" s="105">
        <f t="shared" si="5"/>
        <v>0.77295447967540953</v>
      </c>
      <c r="CQ14" s="105">
        <f t="shared" si="5"/>
        <v>0.77179470684624096</v>
      </c>
      <c r="CR14" s="105">
        <f t="shared" si="5"/>
        <v>0.7526748510434319</v>
      </c>
      <c r="CS14" s="105">
        <f>SUM(CS11:CS11)</f>
        <v>0.7526748510434319</v>
      </c>
      <c r="CT14" s="105">
        <f>SUM(CT11:CT11)</f>
        <v>0.75185825701823927</v>
      </c>
      <c r="CU14" s="105">
        <f>SUM(CU11:CU11)</f>
        <v>0.75082406409249203</v>
      </c>
      <c r="CV14" s="105">
        <f>SUM(CV11:CV11)</f>
        <v>0.74841551086651426</v>
      </c>
      <c r="CW14" s="105">
        <f t="shared" ref="CW14:EK14" si="6">SUM(CW11:CW11)</f>
        <v>0.76876948179027038</v>
      </c>
      <c r="CX14" s="105">
        <f t="shared" si="6"/>
        <v>0.76771347975484405</v>
      </c>
      <c r="CY14" s="105">
        <f t="shared" si="6"/>
        <v>0.77643379816291591</v>
      </c>
      <c r="CZ14" s="105">
        <f t="shared" si="6"/>
        <v>0.79455713970777286</v>
      </c>
      <c r="DA14" s="105">
        <f t="shared" si="6"/>
        <v>0.79345051416500434</v>
      </c>
      <c r="DB14" s="105">
        <f t="shared" si="6"/>
        <v>0.79446867117146536</v>
      </c>
      <c r="DC14" s="105">
        <f t="shared" si="6"/>
        <v>0.81267418033225647</v>
      </c>
      <c r="DD14" s="105">
        <f t="shared" si="6"/>
        <v>0.84742059384481927</v>
      </c>
      <c r="DE14" s="105">
        <f t="shared" si="6"/>
        <v>0.84503685096480574</v>
      </c>
      <c r="DF14" s="105">
        <f t="shared" si="6"/>
        <v>0.85102153121243196</v>
      </c>
      <c r="DG14" s="105">
        <f t="shared" si="6"/>
        <v>0.84533124302733831</v>
      </c>
      <c r="DH14" s="105">
        <f t="shared" si="6"/>
        <v>0.8312786914019149</v>
      </c>
      <c r="DI14" s="105">
        <f t="shared" si="6"/>
        <v>0.81104390646330704</v>
      </c>
      <c r="DJ14" s="105">
        <f t="shared" si="6"/>
        <v>0.82817353080081346</v>
      </c>
      <c r="DK14" s="105">
        <f t="shared" si="6"/>
        <v>0.82701362389492983</v>
      </c>
      <c r="DL14" s="105">
        <f t="shared" si="6"/>
        <v>0.83567144788786218</v>
      </c>
      <c r="DM14" s="105">
        <f t="shared" si="6"/>
        <v>0.81409230414533662</v>
      </c>
      <c r="DN14" s="105">
        <f t="shared" si="6"/>
        <v>0.80377062749913197</v>
      </c>
      <c r="DO14" s="105">
        <f t="shared" si="6"/>
        <v>0.79476238111411579</v>
      </c>
      <c r="DP14" s="105">
        <f t="shared" si="6"/>
        <v>0.7931942468987776</v>
      </c>
      <c r="DQ14" s="105">
        <f t="shared" si="6"/>
        <v>0.79197300864335241</v>
      </c>
      <c r="DR14" s="105">
        <f t="shared" si="6"/>
        <v>0.77785817663030588</v>
      </c>
      <c r="DS14" s="105">
        <f t="shared" si="6"/>
        <v>0.77452909791865432</v>
      </c>
      <c r="DT14" s="105" t="e">
        <f t="shared" si="6"/>
        <v>#DIV/0!</v>
      </c>
      <c r="DU14" s="105" t="e">
        <f t="shared" si="6"/>
        <v>#DIV/0!</v>
      </c>
      <c r="DV14" s="105" t="e">
        <f t="shared" si="6"/>
        <v>#DIV/0!</v>
      </c>
      <c r="DW14" s="105" t="e">
        <f t="shared" si="6"/>
        <v>#DIV/0!</v>
      </c>
      <c r="DX14" s="105">
        <f t="shared" si="6"/>
        <v>0</v>
      </c>
      <c r="DY14" s="105">
        <f t="shared" si="6"/>
        <v>0</v>
      </c>
      <c r="DZ14" s="105">
        <f t="shared" si="6"/>
        <v>0</v>
      </c>
      <c r="EA14" s="105">
        <f t="shared" si="6"/>
        <v>0</v>
      </c>
      <c r="EB14" s="105">
        <f t="shared" si="6"/>
        <v>0</v>
      </c>
      <c r="EC14" s="105">
        <f t="shared" si="6"/>
        <v>0</v>
      </c>
      <c r="ED14" s="105">
        <f t="shared" si="6"/>
        <v>0</v>
      </c>
      <c r="EE14" s="105">
        <f t="shared" si="6"/>
        <v>0</v>
      </c>
      <c r="EF14" s="105">
        <f t="shared" si="6"/>
        <v>0</v>
      </c>
      <c r="EG14" s="105">
        <f t="shared" si="6"/>
        <v>0</v>
      </c>
      <c r="EH14" s="105">
        <f t="shared" si="6"/>
        <v>0</v>
      </c>
      <c r="EI14" s="105">
        <f t="shared" si="6"/>
        <v>0</v>
      </c>
      <c r="EJ14" s="105">
        <f t="shared" si="6"/>
        <v>0</v>
      </c>
      <c r="EK14" s="105">
        <f t="shared" si="6"/>
        <v>0</v>
      </c>
    </row>
    <row r="15" spans="1:142" s="104" customFormat="1">
      <c r="H15" s="60"/>
      <c r="I15" s="105"/>
      <c r="J15" s="105"/>
      <c r="K15" s="105"/>
      <c r="L15" s="105"/>
      <c r="M15" s="105"/>
      <c r="N15" s="105"/>
      <c r="O15" s="105"/>
      <c r="P15" s="105"/>
      <c r="Q15" s="105"/>
      <c r="R15" s="105"/>
      <c r="S15" s="105"/>
      <c r="T15" s="105"/>
      <c r="U15" s="105"/>
      <c r="V15" s="105"/>
      <c r="W15" s="105"/>
      <c r="X15" s="105"/>
      <c r="Y15" s="105"/>
      <c r="Z15" s="105"/>
      <c r="AA15" s="105"/>
      <c r="AB15" s="105"/>
      <c r="AC15" s="105"/>
      <c r="AD15" s="105"/>
      <c r="AE15" s="105"/>
      <c r="AF15" s="105"/>
      <c r="AG15" s="105"/>
      <c r="AH15" s="105"/>
      <c r="AI15" s="105"/>
      <c r="AJ15" s="105"/>
      <c r="AK15" s="105"/>
      <c r="AL15" s="105"/>
      <c r="AM15" s="105"/>
      <c r="AN15" s="105"/>
      <c r="AO15" s="105"/>
      <c r="AP15" s="105"/>
      <c r="AQ15" s="105"/>
      <c r="AR15" s="105"/>
      <c r="AS15" s="105"/>
      <c r="AT15" s="105"/>
      <c r="AU15" s="105"/>
      <c r="AV15" s="105"/>
      <c r="AW15" s="105"/>
      <c r="AX15" s="105"/>
      <c r="AY15" s="105"/>
      <c r="AZ15" s="105"/>
      <c r="BA15" s="105"/>
      <c r="BB15" s="105"/>
      <c r="BC15" s="105"/>
      <c r="BD15" s="105"/>
      <c r="BE15" s="105"/>
      <c r="BF15" s="105"/>
      <c r="BG15" s="105"/>
      <c r="BH15" s="105"/>
      <c r="BI15" s="105"/>
      <c r="BJ15" s="105"/>
      <c r="BK15" s="105"/>
      <c r="BL15" s="105"/>
      <c r="BM15" s="105"/>
      <c r="BN15" s="105"/>
      <c r="BO15" s="105"/>
      <c r="BP15" s="105"/>
      <c r="BQ15" s="105"/>
      <c r="BR15" s="105"/>
      <c r="BS15" s="105"/>
      <c r="BT15" s="105"/>
      <c r="BU15" s="105"/>
      <c r="BV15" s="105"/>
      <c r="BW15" s="105"/>
      <c r="BX15" s="105"/>
      <c r="BY15" s="105"/>
      <c r="BZ15" s="105"/>
      <c r="CA15" s="105"/>
      <c r="CB15" s="105"/>
      <c r="CC15" s="105"/>
      <c r="CD15" s="105"/>
      <c r="CE15" s="105"/>
      <c r="CF15" s="105"/>
      <c r="CG15" s="105"/>
      <c r="CH15" s="105"/>
      <c r="CI15" s="105"/>
      <c r="CJ15" s="105"/>
      <c r="CK15" s="105"/>
      <c r="CL15" s="105"/>
      <c r="CM15" s="105"/>
      <c r="CN15" s="105"/>
      <c r="CO15" s="105"/>
      <c r="CP15" s="105"/>
      <c r="CQ15" s="105"/>
      <c r="CR15" s="105"/>
      <c r="CS15" s="105"/>
      <c r="CT15" s="105"/>
      <c r="CU15" s="105"/>
      <c r="CV15" s="105"/>
      <c r="CW15" s="105"/>
      <c r="CX15" s="105"/>
      <c r="CY15" s="105"/>
      <c r="CZ15" s="105"/>
      <c r="DA15" s="105"/>
      <c r="DB15" s="105"/>
      <c r="DC15" s="105"/>
      <c r="DD15" s="105"/>
      <c r="DE15" s="105"/>
      <c r="DF15" s="105"/>
      <c r="DG15" s="105"/>
      <c r="DH15" s="105"/>
      <c r="DI15" s="105"/>
      <c r="DJ15" s="105"/>
      <c r="DK15" s="105"/>
      <c r="DL15" s="105"/>
      <c r="DM15" s="105"/>
      <c r="DN15" s="105"/>
      <c r="DO15" s="105"/>
      <c r="DP15" s="105"/>
      <c r="DQ15" s="105"/>
      <c r="DR15" s="105"/>
      <c r="DS15" s="105"/>
      <c r="DT15" s="105"/>
      <c r="DU15" s="105"/>
      <c r="DV15" s="105"/>
      <c r="DW15" s="105"/>
      <c r="DX15" s="105"/>
      <c r="DY15" s="105"/>
      <c r="DZ15" s="105"/>
      <c r="EA15" s="105"/>
      <c r="EB15" s="105"/>
      <c r="EC15" s="105"/>
      <c r="ED15" s="105"/>
      <c r="EE15" s="105"/>
      <c r="EF15" s="105"/>
      <c r="EG15" s="105"/>
      <c r="EH15" s="105"/>
      <c r="EI15" s="105"/>
      <c r="EJ15" s="105"/>
      <c r="EK15" s="105"/>
    </row>
    <row r="16" spans="1:142" ht="15">
      <c r="A16"/>
      <c r="H16" s="60" t="s">
        <v>429</v>
      </c>
      <c r="I16" s="74"/>
      <c r="J16" s="74"/>
      <c r="K16" s="74"/>
      <c r="L16" s="74"/>
      <c r="M16" s="74"/>
      <c r="N16" s="74"/>
      <c r="O16" s="74"/>
      <c r="P16" s="74"/>
      <c r="Q16" s="74"/>
      <c r="R16" s="74"/>
      <c r="S16" s="74"/>
      <c r="T16" s="74"/>
      <c r="U16" s="74"/>
      <c r="V16" s="74"/>
      <c r="W16" s="74"/>
      <c r="X16" s="74"/>
      <c r="Y16" s="74"/>
      <c r="Z16" s="74"/>
      <c r="AA16" s="74"/>
      <c r="AB16" s="74"/>
      <c r="AC16" s="74"/>
      <c r="AD16" s="74"/>
      <c r="AE16" s="74"/>
      <c r="AF16" s="74"/>
      <c r="AG16" s="74"/>
      <c r="AH16" s="74"/>
      <c r="AI16" s="74"/>
      <c r="AK16" s="74"/>
      <c r="AL16" s="74"/>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c r="BM16" s="74"/>
      <c r="BN16" s="74"/>
      <c r="BO16" s="74"/>
      <c r="BP16" s="74"/>
      <c r="BQ16" s="74"/>
      <c r="BR16" s="74"/>
      <c r="BS16" s="74"/>
      <c r="BT16" s="74"/>
      <c r="BU16" s="74"/>
      <c r="BV16" s="74"/>
      <c r="BW16" s="74"/>
      <c r="BX16" s="74"/>
      <c r="BY16" s="74"/>
      <c r="BZ16" s="74"/>
      <c r="CA16" s="74"/>
      <c r="CB16" s="74"/>
      <c r="CC16" s="74"/>
      <c r="CD16" s="74"/>
      <c r="CE16" s="74"/>
      <c r="CF16" s="74"/>
      <c r="CG16" s="74"/>
      <c r="CH16" s="74"/>
      <c r="CI16" s="74"/>
      <c r="CJ16" s="74"/>
      <c r="CK16" s="74"/>
      <c r="CL16" s="74"/>
      <c r="CM16" s="74"/>
      <c r="CN16" s="74"/>
      <c r="CO16" s="74"/>
      <c r="CP16" s="74"/>
      <c r="CQ16" s="74"/>
      <c r="CR16" s="74"/>
      <c r="CS16" s="74"/>
      <c r="CT16" s="74"/>
      <c r="CU16" s="74"/>
      <c r="CV16" s="74"/>
      <c r="CW16" s="74">
        <f>600/83.5</f>
        <v>7.1856287425149699</v>
      </c>
      <c r="CX16" s="74"/>
      <c r="CY16" s="74"/>
      <c r="CZ16" s="74"/>
      <c r="DA16" s="74"/>
      <c r="DB16" s="74"/>
      <c r="DC16" s="74"/>
      <c r="DD16" s="74"/>
      <c r="DE16" s="74"/>
      <c r="DF16" s="74"/>
      <c r="DG16" s="74"/>
      <c r="DH16" s="74"/>
      <c r="DI16" s="74"/>
      <c r="DJ16" s="74"/>
      <c r="DK16" s="74"/>
      <c r="DL16" s="74"/>
      <c r="DM16" s="74"/>
      <c r="DN16" s="74"/>
      <c r="DO16" s="74"/>
      <c r="DP16" s="74"/>
      <c r="DQ16" s="74"/>
      <c r="DR16" s="74"/>
      <c r="DS16" s="74"/>
      <c r="DT16" s="74"/>
      <c r="DU16" s="74"/>
      <c r="DV16" s="74"/>
      <c r="DW16" s="74"/>
      <c r="DX16" s="74"/>
      <c r="DY16" s="74"/>
      <c r="DZ16" s="74"/>
      <c r="EA16" s="74"/>
      <c r="EB16" s="74"/>
      <c r="EC16" s="74"/>
      <c r="ED16" s="74"/>
      <c r="EE16" s="74"/>
      <c r="EF16" s="74"/>
      <c r="EG16" s="74"/>
      <c r="EH16" s="74"/>
      <c r="EI16" s="74"/>
      <c r="EJ16" s="74"/>
      <c r="EK16" s="74"/>
    </row>
    <row r="17" spans="8:141">
      <c r="H17" s="60" t="s">
        <v>406</v>
      </c>
      <c r="I17" s="74"/>
      <c r="J17" s="74"/>
      <c r="K17" s="74"/>
      <c r="L17" s="74"/>
      <c r="M17" s="74"/>
      <c r="N17" s="74"/>
      <c r="O17" s="74"/>
      <c r="P17" s="74"/>
      <c r="Q17" s="74"/>
      <c r="R17" s="74"/>
      <c r="S17" s="74"/>
      <c r="T17" s="74"/>
      <c r="U17" s="74"/>
      <c r="V17" s="74"/>
      <c r="W17" s="74"/>
      <c r="X17" s="74"/>
      <c r="Y17" s="74"/>
      <c r="Z17" s="74"/>
      <c r="AA17" s="74"/>
      <c r="AB17" s="74"/>
      <c r="AC17" s="74"/>
      <c r="AD17" s="74"/>
      <c r="AE17" s="74"/>
      <c r="AF17" s="74"/>
      <c r="AG17" s="74"/>
      <c r="AH17" s="74"/>
      <c r="AI17" s="74"/>
      <c r="AK17" s="74"/>
      <c r="AL17" s="74"/>
      <c r="AM17" s="74"/>
      <c r="AN17" s="74"/>
      <c r="AO17" s="74"/>
      <c r="AP17" s="74"/>
      <c r="AQ17" s="74"/>
      <c r="AR17" s="74"/>
      <c r="AS17" s="74"/>
      <c r="AT17" s="74"/>
      <c r="AU17" s="74"/>
      <c r="AV17" s="74"/>
      <c r="AW17" s="74"/>
      <c r="AX17" s="74"/>
      <c r="AY17" s="74"/>
      <c r="AZ17" s="74"/>
      <c r="BA17" s="74"/>
      <c r="BB17" s="74"/>
      <c r="BC17" s="74"/>
      <c r="BD17" s="74"/>
      <c r="BE17" s="74"/>
      <c r="BF17" s="74"/>
      <c r="BG17" s="74"/>
      <c r="BH17" s="74"/>
      <c r="BI17" s="74"/>
      <c r="BJ17" s="74"/>
      <c r="BK17" s="74"/>
      <c r="BL17" s="74"/>
      <c r="BM17" s="74"/>
      <c r="BN17" s="74"/>
      <c r="BO17" s="74"/>
      <c r="BP17" s="74"/>
      <c r="BQ17" s="74"/>
      <c r="BR17" s="74"/>
      <c r="BS17" s="74"/>
      <c r="BT17" s="74"/>
      <c r="BU17" s="74"/>
      <c r="BV17" s="74"/>
      <c r="BW17" s="74"/>
      <c r="BX17" s="74"/>
      <c r="BY17" s="74"/>
      <c r="BZ17" s="74"/>
      <c r="CA17" s="74"/>
      <c r="CB17" s="74"/>
      <c r="CC17" s="74"/>
      <c r="CD17" s="74"/>
      <c r="CE17" s="74"/>
      <c r="CF17" s="74"/>
      <c r="CG17" s="74"/>
      <c r="CH17" s="74"/>
      <c r="CI17" s="74"/>
      <c r="CJ17" s="74"/>
      <c r="CK17" s="74"/>
      <c r="CL17" s="74"/>
      <c r="CM17" s="74"/>
      <c r="CN17" s="74"/>
      <c r="CO17" s="74"/>
      <c r="CP17" s="74"/>
      <c r="CQ17" s="74"/>
      <c r="CR17" s="74"/>
      <c r="CS17" s="74"/>
      <c r="CT17" s="74"/>
      <c r="CU17" s="74"/>
      <c r="CV17" s="74"/>
      <c r="CW17" s="74">
        <f>CW16-CW14</f>
        <v>6.4168592607246993</v>
      </c>
      <c r="CX17" s="74"/>
      <c r="CY17" s="74"/>
      <c r="CZ17" s="74"/>
      <c r="DA17" s="74"/>
      <c r="DB17" s="74"/>
      <c r="DC17" s="74"/>
      <c r="DD17" s="74"/>
      <c r="DE17" s="74"/>
      <c r="DF17" s="74"/>
      <c r="DG17" s="74"/>
      <c r="DH17" s="74"/>
      <c r="DI17" s="74"/>
      <c r="DJ17" s="74"/>
      <c r="DK17" s="74"/>
      <c r="DL17" s="74"/>
      <c r="DM17" s="74"/>
      <c r="DN17" s="74"/>
      <c r="DO17" s="74"/>
      <c r="DP17" s="74"/>
      <c r="DQ17" s="74"/>
      <c r="DR17" s="74"/>
      <c r="DS17" s="74"/>
      <c r="DT17" s="74"/>
      <c r="DU17" s="74"/>
      <c r="DV17" s="74"/>
      <c r="DW17" s="74"/>
      <c r="DX17" s="74"/>
      <c r="DY17" s="74"/>
      <c r="DZ17" s="74"/>
      <c r="EA17" s="74"/>
      <c r="EB17" s="74"/>
      <c r="EC17" s="74"/>
      <c r="ED17" s="74"/>
      <c r="EE17" s="74"/>
      <c r="EF17" s="74"/>
      <c r="EG17" s="74"/>
      <c r="EH17" s="74"/>
      <c r="EI17" s="74"/>
      <c r="EJ17" s="74"/>
      <c r="EK17" s="74"/>
    </row>
    <row r="19" spans="8:141" ht="13" thickBot="1"/>
    <row r="20" spans="8:141" s="73" customFormat="1" ht="13" thickBot="1">
      <c r="H20" s="257" t="s">
        <v>800</v>
      </c>
      <c r="I20" s="258">
        <f>+I14</f>
        <v>0.62573733130461862</v>
      </c>
      <c r="J20" s="258">
        <f t="shared" ref="J20:BU20" si="7">+J14</f>
        <v>0.59257917322041276</v>
      </c>
      <c r="K20" s="258">
        <f t="shared" si="7"/>
        <v>0.61633806906648292</v>
      </c>
      <c r="L20" s="258">
        <f t="shared" si="7"/>
        <v>0.57271181909735391</v>
      </c>
      <c r="M20" s="258">
        <f t="shared" si="7"/>
        <v>0.61852530829577435</v>
      </c>
      <c r="N20" s="258">
        <f t="shared" si="7"/>
        <v>0.57360771770659336</v>
      </c>
      <c r="O20" s="258">
        <f t="shared" si="7"/>
        <v>0.51090892889498274</v>
      </c>
      <c r="P20" s="258">
        <f t="shared" si="7"/>
        <v>0.55457962849762776</v>
      </c>
      <c r="Q20" s="258">
        <f t="shared" si="7"/>
        <v>0.5556518966396502</v>
      </c>
      <c r="R20" s="258">
        <f t="shared" si="7"/>
        <v>0.57669381535997422</v>
      </c>
      <c r="S20" s="258">
        <f t="shared" si="7"/>
        <v>0.61178550006038079</v>
      </c>
      <c r="T20" s="258">
        <f t="shared" si="7"/>
        <v>0.59150313812700861</v>
      </c>
      <c r="U20" s="258">
        <f t="shared" si="7"/>
        <v>0.64078332557930218</v>
      </c>
      <c r="V20" s="258">
        <f t="shared" si="7"/>
        <v>0.63949409611290697</v>
      </c>
      <c r="W20" s="258">
        <f t="shared" si="7"/>
        <v>0.65247690811751946</v>
      </c>
      <c r="X20" s="258">
        <f t="shared" si="7"/>
        <v>0.66193897077489616</v>
      </c>
      <c r="Y20" s="258">
        <f t="shared" si="7"/>
        <v>0.75630273583103691</v>
      </c>
      <c r="Z20" s="258">
        <f t="shared" si="7"/>
        <v>0.83285207763882663</v>
      </c>
      <c r="AA20" s="258">
        <f t="shared" si="7"/>
        <v>0.92597364849240416</v>
      </c>
      <c r="AB20" s="258">
        <f t="shared" si="7"/>
        <v>0.98067461947146095</v>
      </c>
      <c r="AC20" s="258">
        <f t="shared" si="7"/>
        <v>0.98281955046369662</v>
      </c>
      <c r="AD20" s="258">
        <f t="shared" si="7"/>
        <v>2.0220437792344721</v>
      </c>
      <c r="AE20" s="258">
        <f t="shared" si="7"/>
        <v>1.4729951418834073</v>
      </c>
      <c r="AF20" s="258">
        <f t="shared" si="7"/>
        <v>1.6005363940441328</v>
      </c>
      <c r="AG20" s="258">
        <f t="shared" si="7"/>
        <v>1.2995205621131338</v>
      </c>
      <c r="AH20" s="258">
        <f t="shared" si="7"/>
        <v>1.2972559617763768</v>
      </c>
      <c r="AI20" s="258">
        <f t="shared" si="7"/>
        <v>1.4111225006743773</v>
      </c>
      <c r="AJ20" s="258">
        <f t="shared" si="7"/>
        <v>1.3703385875045604</v>
      </c>
      <c r="AK20" s="258">
        <f t="shared" si="7"/>
        <v>1.4211982498244486</v>
      </c>
      <c r="AL20" s="258">
        <f t="shared" si="7"/>
        <v>1.4133512296049331</v>
      </c>
      <c r="AM20" s="258">
        <f t="shared" si="7"/>
        <v>1.2061254860509865</v>
      </c>
      <c r="AN20" s="258">
        <f t="shared" si="7"/>
        <v>1.0402095730760657</v>
      </c>
      <c r="AO20" s="258">
        <f t="shared" si="7"/>
        <v>1.2103408996128582</v>
      </c>
      <c r="AP20" s="258">
        <f t="shared" si="7"/>
        <v>1.2538178717757829</v>
      </c>
      <c r="AQ20" s="258">
        <f t="shared" si="7"/>
        <v>1.1259130548515275</v>
      </c>
      <c r="AR20" s="258">
        <f t="shared" si="7"/>
        <v>1.1854679304469404</v>
      </c>
      <c r="AS20" s="258">
        <f t="shared" si="7"/>
        <v>1.2104118632875234</v>
      </c>
      <c r="AT20" s="258">
        <f t="shared" si="7"/>
        <v>1.1243670152514602</v>
      </c>
      <c r="AU20" s="258">
        <f t="shared" si="7"/>
        <v>1.0829965314518668</v>
      </c>
      <c r="AV20" s="258">
        <f t="shared" si="7"/>
        <v>0.98864279405891453</v>
      </c>
      <c r="AW20" s="258">
        <f t="shared" si="7"/>
        <v>0.70162811102753564</v>
      </c>
      <c r="AX20" s="258">
        <f t="shared" si="7"/>
        <v>0.80653084901418426</v>
      </c>
      <c r="AY20" s="258">
        <f t="shared" si="7"/>
        <v>0.77898623937924072</v>
      </c>
      <c r="AZ20" s="258">
        <f t="shared" si="7"/>
        <v>0.7959946725534599</v>
      </c>
      <c r="BA20" s="258">
        <f t="shared" si="7"/>
        <v>0.80837303225247503</v>
      </c>
      <c r="BB20" s="258">
        <f t="shared" si="7"/>
        <v>0.81402599051997482</v>
      </c>
      <c r="BC20" s="258">
        <f t="shared" si="7"/>
        <v>0.82207427008726275</v>
      </c>
      <c r="BD20" s="258">
        <f t="shared" si="7"/>
        <v>0.82772815089941731</v>
      </c>
      <c r="BE20" s="258">
        <f t="shared" si="7"/>
        <v>0.82545729177486471</v>
      </c>
      <c r="BF20" s="258">
        <f t="shared" si="7"/>
        <v>0.88949789232116883</v>
      </c>
      <c r="BG20" s="258">
        <f t="shared" si="7"/>
        <v>0.89067417497826562</v>
      </c>
      <c r="BH20" s="258">
        <f t="shared" si="7"/>
        <v>0.87806327901707437</v>
      </c>
      <c r="BI20" s="258">
        <f t="shared" si="7"/>
        <v>0.86360940366405115</v>
      </c>
      <c r="BJ20" s="258">
        <f t="shared" si="7"/>
        <v>0.86360940366405115</v>
      </c>
      <c r="BK20" s="258">
        <f t="shared" si="7"/>
        <v>0.86360940366405115</v>
      </c>
      <c r="BL20" s="258">
        <f t="shared" si="7"/>
        <v>0.8836270810600465</v>
      </c>
      <c r="BM20" s="258">
        <f t="shared" si="7"/>
        <v>0.88143005664705176</v>
      </c>
      <c r="BN20" s="258">
        <f t="shared" si="7"/>
        <v>0.87463311686333367</v>
      </c>
      <c r="BO20" s="258">
        <f t="shared" si="7"/>
        <v>0.8806484753011834</v>
      </c>
      <c r="BP20" s="258">
        <f t="shared" si="7"/>
        <v>0.89317350344646285</v>
      </c>
      <c r="BQ20" s="258">
        <f t="shared" si="7"/>
        <v>0.89317350344646285</v>
      </c>
      <c r="BR20" s="258">
        <f t="shared" si="7"/>
        <v>0.89710313615639181</v>
      </c>
      <c r="BS20" s="258">
        <f t="shared" si="7"/>
        <v>0.88870373508719258</v>
      </c>
      <c r="BT20" s="258">
        <f t="shared" si="7"/>
        <v>0.86149684750671829</v>
      </c>
      <c r="BU20" s="258">
        <f t="shared" si="7"/>
        <v>0.81043875734141224</v>
      </c>
      <c r="BV20" s="258">
        <f t="shared" ref="BV20:CR20" si="8">+BV14</f>
        <v>0.79874556471811087</v>
      </c>
      <c r="BW20" s="258">
        <f t="shared" si="8"/>
        <v>0.79762057096498684</v>
      </c>
      <c r="BX20" s="258">
        <f t="shared" si="8"/>
        <v>0.82885927744319421</v>
      </c>
      <c r="BY20" s="258">
        <f t="shared" si="8"/>
        <v>0.83117250779553187</v>
      </c>
      <c r="BZ20" s="258">
        <f t="shared" si="8"/>
        <v>0.83001751936363333</v>
      </c>
      <c r="CA20" s="258">
        <f t="shared" si="8"/>
        <v>0.83248027350608877</v>
      </c>
      <c r="CB20" s="258">
        <f t="shared" si="8"/>
        <v>0.82321762790379571</v>
      </c>
      <c r="CC20" s="258">
        <f t="shared" si="8"/>
        <v>0.82436417056104339</v>
      </c>
      <c r="CD20" s="258">
        <f t="shared" si="8"/>
        <v>0.83326372849598784</v>
      </c>
      <c r="CE20" s="258">
        <f t="shared" si="8"/>
        <v>0.81498387950776008</v>
      </c>
      <c r="CF20" s="258">
        <f t="shared" si="8"/>
        <v>0.81725402958995452</v>
      </c>
      <c r="CG20" s="258">
        <f t="shared" si="8"/>
        <v>0.78198391683273027</v>
      </c>
      <c r="CH20" s="258">
        <f t="shared" si="8"/>
        <v>0.77295447967540953</v>
      </c>
      <c r="CI20" s="258">
        <f t="shared" si="8"/>
        <v>0.77759357099208481</v>
      </c>
      <c r="CJ20" s="258">
        <f t="shared" si="8"/>
        <v>0.78551240337896189</v>
      </c>
      <c r="CK20" s="258">
        <f t="shared" si="8"/>
        <v>0.80367967701704079</v>
      </c>
      <c r="CL20" s="258">
        <f t="shared" si="8"/>
        <v>0.80367967701704079</v>
      </c>
      <c r="CM20" s="258">
        <f t="shared" si="8"/>
        <v>0.80702369786454586</v>
      </c>
      <c r="CN20" s="258">
        <f t="shared" si="8"/>
        <v>0.77523991436818329</v>
      </c>
      <c r="CO20" s="258">
        <f t="shared" si="8"/>
        <v>0.77295447967540953</v>
      </c>
      <c r="CP20" s="258">
        <f t="shared" si="8"/>
        <v>0.77295447967540953</v>
      </c>
      <c r="CQ20" s="258">
        <f t="shared" si="8"/>
        <v>0.77179470684624096</v>
      </c>
      <c r="CR20" s="258">
        <f t="shared" si="8"/>
        <v>0.7526748510434319</v>
      </c>
      <c r="CS20" s="258">
        <f>+CS14</f>
        <v>0.7526748510434319</v>
      </c>
      <c r="CT20" s="258">
        <f>+CT14</f>
        <v>0.75185825701823927</v>
      </c>
      <c r="CU20" s="258">
        <f>+CU14</f>
        <v>0.75082406409249203</v>
      </c>
      <c r="CV20" s="258">
        <f>+CV14</f>
        <v>0.74841551086651426</v>
      </c>
      <c r="CW20" s="258">
        <f t="shared" ref="CW20:EK20" si="9">+CW14</f>
        <v>0.76876948179027038</v>
      </c>
      <c r="CX20" s="258">
        <f t="shared" si="9"/>
        <v>0.76771347975484405</v>
      </c>
      <c r="CY20" s="258">
        <f t="shared" si="9"/>
        <v>0.77643379816291591</v>
      </c>
      <c r="CZ20" s="258">
        <f t="shared" si="9"/>
        <v>0.79455713970777286</v>
      </c>
      <c r="DA20" s="258">
        <f t="shared" si="9"/>
        <v>0.79345051416500434</v>
      </c>
      <c r="DB20" s="258">
        <f t="shared" si="9"/>
        <v>0.79446867117146536</v>
      </c>
      <c r="DC20" s="258">
        <f t="shared" si="9"/>
        <v>0.81267418033225647</v>
      </c>
      <c r="DD20" s="258">
        <f t="shared" si="9"/>
        <v>0.84742059384481927</v>
      </c>
      <c r="DE20" s="258">
        <f t="shared" si="9"/>
        <v>0.84503685096480574</v>
      </c>
      <c r="DF20" s="258">
        <f t="shared" si="9"/>
        <v>0.85102153121243196</v>
      </c>
      <c r="DG20" s="258">
        <f t="shared" si="9"/>
        <v>0.84533124302733831</v>
      </c>
      <c r="DH20" s="258">
        <f t="shared" si="9"/>
        <v>0.8312786914019149</v>
      </c>
      <c r="DI20" s="258">
        <f t="shared" si="9"/>
        <v>0.81104390646330704</v>
      </c>
      <c r="DJ20" s="258">
        <f t="shared" si="9"/>
        <v>0.82817353080081346</v>
      </c>
      <c r="DK20" s="258">
        <f t="shared" si="9"/>
        <v>0.82701362389492983</v>
      </c>
      <c r="DL20" s="258">
        <f t="shared" si="9"/>
        <v>0.83567144788786218</v>
      </c>
      <c r="DM20" s="258">
        <f t="shared" si="9"/>
        <v>0.81409230414533662</v>
      </c>
      <c r="DN20" s="258">
        <f t="shared" si="9"/>
        <v>0.80377062749913197</v>
      </c>
      <c r="DO20" s="258">
        <f t="shared" si="9"/>
        <v>0.79476238111411579</v>
      </c>
      <c r="DP20" s="258">
        <f t="shared" si="9"/>
        <v>0.7931942468987776</v>
      </c>
      <c r="DQ20" s="258">
        <f t="shared" si="9"/>
        <v>0.79197300864335241</v>
      </c>
      <c r="DR20" s="258">
        <f t="shared" si="9"/>
        <v>0.77785817663030588</v>
      </c>
      <c r="DS20" s="258">
        <f t="shared" si="9"/>
        <v>0.77452909791865432</v>
      </c>
      <c r="DT20" s="258" t="e">
        <f t="shared" si="9"/>
        <v>#DIV/0!</v>
      </c>
      <c r="DU20" s="258" t="e">
        <f t="shared" si="9"/>
        <v>#DIV/0!</v>
      </c>
      <c r="DV20" s="258" t="e">
        <f t="shared" si="9"/>
        <v>#DIV/0!</v>
      </c>
      <c r="DW20" s="258" t="e">
        <f t="shared" si="9"/>
        <v>#DIV/0!</v>
      </c>
      <c r="DX20" s="258">
        <f t="shared" si="9"/>
        <v>0</v>
      </c>
      <c r="DY20" s="258">
        <f t="shared" si="9"/>
        <v>0</v>
      </c>
      <c r="DZ20" s="258">
        <f t="shared" si="9"/>
        <v>0</v>
      </c>
      <c r="EA20" s="258">
        <f t="shared" si="9"/>
        <v>0</v>
      </c>
      <c r="EB20" s="258">
        <f t="shared" si="9"/>
        <v>0</v>
      </c>
      <c r="EC20" s="258">
        <f t="shared" si="9"/>
        <v>0</v>
      </c>
      <c r="ED20" s="258">
        <f t="shared" si="9"/>
        <v>0</v>
      </c>
      <c r="EE20" s="258">
        <f t="shared" si="9"/>
        <v>0</v>
      </c>
      <c r="EF20" s="258">
        <f t="shared" si="9"/>
        <v>0</v>
      </c>
      <c r="EG20" s="258">
        <f t="shared" si="9"/>
        <v>0</v>
      </c>
      <c r="EH20" s="258">
        <f t="shared" si="9"/>
        <v>0</v>
      </c>
      <c r="EI20" s="258">
        <f t="shared" si="9"/>
        <v>0</v>
      </c>
      <c r="EJ20" s="258">
        <f t="shared" si="9"/>
        <v>0</v>
      </c>
      <c r="EK20" s="258">
        <f t="shared" si="9"/>
        <v>0</v>
      </c>
    </row>
  </sheetData>
  <pageMargins left="0.7" right="0.7" top="0.75" bottom="0.75" header="0.3" footer="0.3"/>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EF20"/>
  <sheetViews>
    <sheetView workbookViewId="0">
      <pane xSplit="11" ySplit="7" topLeftCell="DL14" activePane="bottomRight" state="frozen"/>
      <selection pane="topRight" activeCell="L1" sqref="L1"/>
      <selection pane="bottomLeft" activeCell="A7" sqref="A7"/>
      <selection pane="bottomRight" activeCell="DO20" sqref="DO20:DZ20"/>
    </sheetView>
  </sheetViews>
  <sheetFormatPr baseColWidth="10" defaultColWidth="22.6640625" defaultRowHeight="12"/>
  <cols>
    <col min="1" max="1" width="13.33203125" style="60" bestFit="1" customWidth="1"/>
    <col min="2" max="2" width="11.33203125" style="60" bestFit="1" customWidth="1"/>
    <col min="3" max="3" width="4.83203125" style="60" bestFit="1" customWidth="1"/>
    <col min="4" max="4" width="12.33203125" style="60" bestFit="1" customWidth="1"/>
    <col min="5" max="5" width="11.83203125" style="60" bestFit="1" customWidth="1"/>
    <col min="6" max="6" width="6" style="60" bestFit="1" customWidth="1"/>
    <col min="7" max="7" width="4.1640625" style="60" bestFit="1" customWidth="1"/>
    <col min="8" max="8" width="22.83203125" style="60" bestFit="1" customWidth="1"/>
    <col min="9" max="9" width="5.1640625" style="60" bestFit="1" customWidth="1"/>
    <col min="10" max="10" width="5.5" style="60" bestFit="1" customWidth="1"/>
    <col min="11" max="11" width="5.6640625" style="60" bestFit="1" customWidth="1"/>
    <col min="12" max="12" width="5.33203125" style="60" bestFit="1" customWidth="1"/>
    <col min="13" max="13" width="5.83203125" style="60" bestFit="1" customWidth="1"/>
    <col min="14" max="14" width="5.1640625" style="60" bestFit="1" customWidth="1"/>
    <col min="15" max="15" width="4.6640625" style="60" bestFit="1" customWidth="1"/>
    <col min="16" max="18" width="5.5" style="60" bestFit="1" customWidth="1"/>
    <col min="19" max="19" width="5.6640625" style="60" bestFit="1" customWidth="1"/>
    <col min="20" max="20" width="5.5" style="60" bestFit="1" customWidth="1"/>
    <col min="21" max="21" width="5.1640625" style="60" bestFit="1" customWidth="1"/>
    <col min="22" max="22" width="5.5" style="60" bestFit="1" customWidth="1"/>
    <col min="23" max="23" width="5.6640625" style="60" bestFit="1" customWidth="1"/>
    <col min="24" max="24" width="5.33203125" style="60" bestFit="1" customWidth="1"/>
    <col min="25" max="25" width="5.83203125" style="60" bestFit="1" customWidth="1"/>
    <col min="26" max="26" width="5.1640625" style="60" bestFit="1" customWidth="1"/>
    <col min="27" max="27" width="4.6640625" style="60" bestFit="1" customWidth="1"/>
    <col min="28" max="30" width="5.5" style="60" bestFit="1" customWidth="1"/>
    <col min="31" max="31" width="5.6640625" style="60" bestFit="1" customWidth="1"/>
    <col min="32" max="32" width="5.5" style="60" bestFit="1" customWidth="1"/>
    <col min="33" max="33" width="5.1640625" style="60" bestFit="1" customWidth="1"/>
    <col min="34" max="34" width="5.5" style="60" bestFit="1" customWidth="1"/>
    <col min="35" max="35" width="5.6640625" style="60" bestFit="1" customWidth="1"/>
    <col min="36" max="36" width="5.33203125" style="60" bestFit="1" customWidth="1"/>
    <col min="37" max="37" width="5.83203125" style="60" bestFit="1" customWidth="1"/>
    <col min="38" max="38" width="5.1640625" style="60" bestFit="1" customWidth="1"/>
    <col min="39" max="39" width="4.6640625" style="60" bestFit="1" customWidth="1"/>
    <col min="40" max="42" width="5.5" style="60" bestFit="1" customWidth="1"/>
    <col min="43" max="43" width="5.6640625" style="60" bestFit="1" customWidth="1"/>
    <col min="44" max="44" width="5.5" style="60" bestFit="1" customWidth="1"/>
    <col min="45" max="45" width="5.1640625" style="60" bestFit="1" customWidth="1"/>
    <col min="46" max="46" width="5.5" style="60" bestFit="1" customWidth="1"/>
    <col min="47" max="47" width="5.6640625" style="60" bestFit="1" customWidth="1"/>
    <col min="48" max="48" width="5.33203125" style="60" bestFit="1" customWidth="1"/>
    <col min="49" max="49" width="5.83203125" style="60" bestFit="1" customWidth="1"/>
    <col min="50" max="50" width="5.1640625" style="60" bestFit="1" customWidth="1"/>
    <col min="51" max="51" width="4.6640625" style="60" bestFit="1" customWidth="1"/>
    <col min="52" max="54" width="7" style="60" bestFit="1" customWidth="1"/>
    <col min="55" max="56" width="5.5" style="60" bestFit="1" customWidth="1"/>
    <col min="57" max="58" width="5.83203125" style="60" bestFit="1" customWidth="1"/>
    <col min="59" max="70" width="5.6640625" style="60" bestFit="1" customWidth="1"/>
    <col min="71" max="74" width="5.5" style="60" bestFit="1" customWidth="1"/>
    <col min="75" max="78" width="5.1640625" style="60" bestFit="1" customWidth="1"/>
    <col min="79" max="82" width="5.5" style="60" bestFit="1" customWidth="1"/>
    <col min="83" max="83" width="6.1640625" style="60" bestFit="1" customWidth="1"/>
    <col min="84" max="86" width="5.6640625" style="60" bestFit="1" customWidth="1"/>
    <col min="87" max="90" width="5.5" style="60" bestFit="1" customWidth="1"/>
    <col min="91" max="95" width="6.33203125" style="60" bestFit="1" customWidth="1"/>
    <col min="96" max="99" width="6.1640625" style="60" bestFit="1" customWidth="1"/>
    <col min="100" max="103" width="5.1640625" style="60" bestFit="1" customWidth="1"/>
    <col min="104" max="107" width="5.83203125" style="60" bestFit="1" customWidth="1"/>
    <col min="108" max="115" width="5.6640625" style="60" bestFit="1" customWidth="1"/>
    <col min="116" max="118" width="6.1640625" style="60" bestFit="1" customWidth="1"/>
    <col min="119" max="119" width="3.6640625" style="60" bestFit="1" customWidth="1"/>
    <col min="120" max="120" width="5.83203125" style="60" bestFit="1" customWidth="1"/>
    <col min="121" max="136" width="3.33203125" style="60" bestFit="1" customWidth="1"/>
    <col min="137" max="16384" width="22.6640625" style="60"/>
  </cols>
  <sheetData>
    <row r="1" spans="1:136" ht="13">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row>
    <row r="2" spans="1:136">
      <c r="A2" s="59"/>
      <c r="B2" s="59"/>
      <c r="C2" s="59"/>
      <c r="D2" s="98"/>
      <c r="E2" s="98"/>
      <c r="F2" s="59"/>
      <c r="H2" s="99"/>
      <c r="I2" s="99"/>
      <c r="J2" s="99"/>
      <c r="K2" s="99"/>
      <c r="L2" s="99"/>
      <c r="M2" s="99"/>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99"/>
      <c r="AP2" s="99"/>
      <c r="AQ2" s="99"/>
      <c r="AR2" s="99"/>
      <c r="AS2" s="99"/>
      <c r="AT2" s="99"/>
      <c r="AU2" s="99"/>
      <c r="AV2" s="99"/>
      <c r="AW2" s="99"/>
      <c r="AX2" s="99"/>
      <c r="AY2" s="99"/>
      <c r="AZ2" s="99"/>
      <c r="BA2" s="99"/>
      <c r="BB2" s="99"/>
      <c r="BC2" s="99"/>
      <c r="BD2" s="99"/>
      <c r="BE2" s="99"/>
      <c r="BF2" s="99"/>
      <c r="BG2" s="99"/>
      <c r="BH2" s="99"/>
      <c r="BI2" s="99"/>
      <c r="BJ2" s="99"/>
      <c r="BK2" s="99"/>
      <c r="BL2" s="99"/>
      <c r="BM2" s="99"/>
      <c r="BN2" s="99"/>
      <c r="BO2" s="99"/>
      <c r="BP2" s="99"/>
      <c r="BQ2" s="99"/>
      <c r="BR2" s="99"/>
      <c r="BS2" s="99"/>
      <c r="BT2" s="99"/>
      <c r="BU2" s="99"/>
      <c r="BV2" s="99"/>
      <c r="BW2" s="99"/>
      <c r="BX2" s="99"/>
      <c r="BY2" s="99"/>
      <c r="BZ2" s="99"/>
      <c r="CA2" s="99"/>
      <c r="CB2" s="99"/>
      <c r="CC2" s="99"/>
      <c r="CD2" s="99"/>
      <c r="CE2" s="99"/>
      <c r="CF2" s="99"/>
      <c r="CG2" s="99"/>
      <c r="CH2" s="99"/>
      <c r="CI2" s="99"/>
      <c r="CJ2" s="99"/>
      <c r="CK2" s="99"/>
      <c r="CL2" s="99"/>
      <c r="CM2" s="99"/>
      <c r="CN2" s="99"/>
    </row>
    <row r="3" spans="1:136" ht="13">
      <c r="A3" s="107" t="s">
        <v>326</v>
      </c>
      <c r="B3" s="100"/>
      <c r="C3" s="101"/>
      <c r="D3" s="282">
        <v>146.29</v>
      </c>
      <c r="K3" s="102"/>
      <c r="M3" s="102"/>
    </row>
    <row r="4" spans="1:136">
      <c r="A4" s="36"/>
      <c r="B4" s="64"/>
      <c r="D4" s="100"/>
      <c r="E4" s="64"/>
      <c r="F4" s="103"/>
    </row>
    <row r="5" spans="1:136">
      <c r="A5" s="64"/>
      <c r="B5" s="64"/>
      <c r="D5" s="64"/>
      <c r="E5" s="64"/>
      <c r="H5" s="60" t="s">
        <v>387</v>
      </c>
    </row>
    <row r="6" spans="1:136">
      <c r="A6" s="74"/>
      <c r="B6" s="74"/>
    </row>
    <row r="7" spans="1:136">
      <c r="A7" s="59"/>
      <c r="B7" s="59"/>
      <c r="C7" s="59"/>
      <c r="D7" s="98"/>
      <c r="E7" s="98"/>
      <c r="F7" s="59"/>
      <c r="H7" s="59" t="s">
        <v>416</v>
      </c>
      <c r="I7" s="59">
        <v>43831</v>
      </c>
      <c r="J7" s="59">
        <v>43862</v>
      </c>
      <c r="K7" s="59">
        <v>43891</v>
      </c>
      <c r="L7" s="59">
        <v>43922</v>
      </c>
      <c r="M7" s="59">
        <v>43952</v>
      </c>
      <c r="N7" s="59">
        <v>43983</v>
      </c>
      <c r="O7" s="59">
        <v>44013</v>
      </c>
      <c r="P7" s="59">
        <v>44044</v>
      </c>
      <c r="Q7" s="59">
        <v>44075</v>
      </c>
      <c r="R7" s="59">
        <v>44105</v>
      </c>
      <c r="S7" s="59">
        <v>44136</v>
      </c>
      <c r="T7" s="59">
        <v>44166</v>
      </c>
      <c r="U7" s="59">
        <v>44197</v>
      </c>
      <c r="V7" s="59">
        <v>44228</v>
      </c>
      <c r="W7" s="59">
        <v>44256</v>
      </c>
      <c r="X7" s="59">
        <v>44287</v>
      </c>
      <c r="Y7" s="59">
        <v>44317</v>
      </c>
      <c r="Z7" s="59">
        <v>44348</v>
      </c>
      <c r="AA7" s="59">
        <v>44378</v>
      </c>
      <c r="AB7" s="59">
        <v>44409</v>
      </c>
      <c r="AC7" s="59">
        <v>44440</v>
      </c>
      <c r="AD7" s="59">
        <v>44470</v>
      </c>
      <c r="AE7" s="59">
        <v>44501</v>
      </c>
      <c r="AF7" s="59">
        <v>44531</v>
      </c>
      <c r="AG7" s="59">
        <v>44562</v>
      </c>
      <c r="AH7" s="59">
        <v>44593</v>
      </c>
      <c r="AI7" s="59">
        <v>44621</v>
      </c>
      <c r="AJ7" s="59">
        <v>44652</v>
      </c>
      <c r="AK7" s="59">
        <v>44682</v>
      </c>
      <c r="AL7" s="59">
        <v>44713</v>
      </c>
      <c r="AM7" s="59">
        <v>44743</v>
      </c>
      <c r="AN7" s="59">
        <v>44774</v>
      </c>
      <c r="AO7" s="59">
        <v>44805</v>
      </c>
      <c r="AP7" s="59">
        <v>44835</v>
      </c>
      <c r="AQ7" s="59">
        <v>44866</v>
      </c>
      <c r="AR7" s="59">
        <v>44896</v>
      </c>
      <c r="AS7" s="59">
        <v>44927</v>
      </c>
      <c r="AT7" s="59">
        <v>44958</v>
      </c>
      <c r="AU7" s="59">
        <v>44986</v>
      </c>
      <c r="AV7" s="59">
        <v>45017</v>
      </c>
      <c r="AW7" s="59">
        <v>45047</v>
      </c>
      <c r="AX7" s="59">
        <v>45078</v>
      </c>
      <c r="AY7" s="59">
        <v>45108</v>
      </c>
      <c r="AZ7" s="59" t="s">
        <v>530</v>
      </c>
      <c r="BA7" s="59" t="s">
        <v>531</v>
      </c>
      <c r="BB7" s="59" t="s">
        <v>532</v>
      </c>
      <c r="BC7" s="59">
        <v>37104</v>
      </c>
      <c r="BD7" s="59">
        <v>37469</v>
      </c>
      <c r="BE7" s="59" t="s">
        <v>168</v>
      </c>
      <c r="BF7" s="59" t="s">
        <v>169</v>
      </c>
      <c r="BG7" s="59" t="s">
        <v>195</v>
      </c>
      <c r="BH7" s="59" t="s">
        <v>196</v>
      </c>
      <c r="BI7" s="59" t="s">
        <v>197</v>
      </c>
      <c r="BJ7" s="59" t="s">
        <v>198</v>
      </c>
      <c r="BK7" s="59" t="s">
        <v>199</v>
      </c>
      <c r="BL7" s="59" t="s">
        <v>200</v>
      </c>
      <c r="BM7" s="59" t="s">
        <v>201</v>
      </c>
      <c r="BN7" s="59" t="s">
        <v>202</v>
      </c>
      <c r="BO7" s="59">
        <v>37196</v>
      </c>
      <c r="BP7" s="59">
        <v>37561</v>
      </c>
      <c r="BQ7" s="59">
        <v>37926</v>
      </c>
      <c r="BR7" s="59">
        <v>38292</v>
      </c>
      <c r="BS7" s="59">
        <v>37226</v>
      </c>
      <c r="BT7" s="59">
        <v>37591</v>
      </c>
      <c r="BU7" s="59">
        <v>37956</v>
      </c>
      <c r="BV7" s="59">
        <v>38322</v>
      </c>
      <c r="BW7" s="59">
        <v>36892</v>
      </c>
      <c r="BX7" s="59">
        <v>37257</v>
      </c>
      <c r="BY7" s="59">
        <v>37622</v>
      </c>
      <c r="BZ7" s="59">
        <v>37987</v>
      </c>
      <c r="CA7" s="59">
        <v>36923</v>
      </c>
      <c r="CB7" s="59">
        <v>37288</v>
      </c>
      <c r="CC7" s="59">
        <v>37653</v>
      </c>
      <c r="CD7" s="59">
        <v>38018</v>
      </c>
      <c r="CE7" s="59" t="str">
        <f>Sheet8!A15</f>
        <v>Mar-w1</v>
      </c>
      <c r="CF7" s="59">
        <v>37316</v>
      </c>
      <c r="CG7" s="59">
        <v>37681</v>
      </c>
      <c r="CH7" s="59">
        <v>38047</v>
      </c>
      <c r="CI7" s="59" t="str">
        <f>Sheet8!E15</f>
        <v>Apr-w1</v>
      </c>
      <c r="CJ7" s="59" t="str">
        <f>Sheet8!F15</f>
        <v>Apr-w2</v>
      </c>
      <c r="CK7" s="59" t="str">
        <f>Sheet8!G15</f>
        <v>Apr-w3</v>
      </c>
      <c r="CL7" s="59" t="str">
        <f>Sheet8!H15</f>
        <v>Apr-w4</v>
      </c>
      <c r="CM7" s="59" t="str">
        <f>Sheet8!I15</f>
        <v>May-w1</v>
      </c>
      <c r="CN7" s="59" t="str">
        <f>Sheet8!J15</f>
        <v>May-w2</v>
      </c>
      <c r="CO7" s="59" t="str">
        <f>Sheet8!K15</f>
        <v>May-w3</v>
      </c>
      <c r="CP7" s="59" t="str">
        <f>Sheet8!L15</f>
        <v>May-w4</v>
      </c>
      <c r="CQ7" s="59" t="str">
        <f>Sheet8!M15</f>
        <v>May-w5</v>
      </c>
      <c r="CR7" s="59" t="str">
        <f>Sheet8!N15</f>
        <v>june-w1</v>
      </c>
      <c r="CS7" s="59" t="str">
        <f>Sheet8!O15</f>
        <v>june-w2</v>
      </c>
      <c r="CT7" s="59" t="str">
        <f>Sheet8!P15</f>
        <v>june-w3</v>
      </c>
      <c r="CU7" s="59" t="str">
        <f>Sheet8!Q15</f>
        <v>june-w4</v>
      </c>
      <c r="CV7" s="59" t="str">
        <f>Sheet8!R15</f>
        <v>Jul-w1</v>
      </c>
      <c r="CW7" s="59" t="str">
        <f>Sheet8!S15</f>
        <v>Jul-w2</v>
      </c>
      <c r="CX7" s="59" t="str">
        <f>Sheet8!T15</f>
        <v>Jul-w3</v>
      </c>
      <c r="CY7" s="59" t="str">
        <f>Sheet8!U15</f>
        <v>Jul-w4</v>
      </c>
      <c r="CZ7" s="59" t="str">
        <f>Sheet8!V15</f>
        <v>Aug-w1</v>
      </c>
      <c r="DA7" s="59" t="str">
        <f>Sheet8!W15</f>
        <v>Aug-w2</v>
      </c>
      <c r="DB7" s="59" t="str">
        <f>Sheet8!X15</f>
        <v>Aug-w3</v>
      </c>
      <c r="DC7" s="59" t="str">
        <f>Sheet8!Y15</f>
        <v>Aug-w4</v>
      </c>
      <c r="DD7" s="59" t="str">
        <f>Sheet8!Z15</f>
        <v>Sep-w1</v>
      </c>
      <c r="DE7" s="59" t="str">
        <f>Sheet8!AA15</f>
        <v>Sep-w2</v>
      </c>
      <c r="DF7" s="59" t="str">
        <f>Sheet8!AB15</f>
        <v>Sep-w3</v>
      </c>
      <c r="DG7" s="59" t="str">
        <f>Sheet8!AC15</f>
        <v>Sep-w4</v>
      </c>
      <c r="DH7" s="59" t="str">
        <f>Sheet8!AD15</f>
        <v>Oct-w1</v>
      </c>
      <c r="DI7" s="59" t="str">
        <f>Sheet8!AE15</f>
        <v>Oct-w2</v>
      </c>
      <c r="DJ7" s="59" t="str">
        <f>Sheet8!AF15</f>
        <v>Oct-w3</v>
      </c>
      <c r="DK7" s="59" t="str">
        <f>Sheet8!AG15</f>
        <v>Oct-w4</v>
      </c>
      <c r="DL7" s="59" t="str">
        <f>Sheet8!AH15</f>
        <v>Nov-w1</v>
      </c>
      <c r="DM7" s="59" t="str">
        <f>Sheet8!AI15</f>
        <v>Nov-w2</v>
      </c>
      <c r="DN7" s="59" t="str">
        <f>Sheet8!AJ15</f>
        <v>Nov-w3</v>
      </c>
      <c r="DO7" s="59" t="str">
        <f>Sheet8!AK15</f>
        <v>Nov-w4</v>
      </c>
      <c r="DP7" s="59" t="str">
        <f>Sheet8!AL15</f>
        <v>Dec-w1</v>
      </c>
      <c r="DQ7" s="59" t="str">
        <f>Sheet8!AM15</f>
        <v>Dec-w2</v>
      </c>
      <c r="DR7" s="59" t="str">
        <f>Sheet8!AN15</f>
        <v>Dec-w3</v>
      </c>
      <c r="DS7" s="59" t="str">
        <f>Sheet8!AO15</f>
        <v>Dec-w4</v>
      </c>
      <c r="DT7" s="59">
        <f>Sheet8!AP15</f>
        <v>0</v>
      </c>
      <c r="DU7" s="59">
        <f>Sheet8!AQ15</f>
        <v>0</v>
      </c>
      <c r="DV7" s="59">
        <f>Sheet8!AR15</f>
        <v>0</v>
      </c>
      <c r="DW7" s="59">
        <f>Sheet8!AS15</f>
        <v>0</v>
      </c>
      <c r="DX7" s="59">
        <f>Sheet8!AT15</f>
        <v>0</v>
      </c>
      <c r="DY7" s="59">
        <f>Sheet8!AU15</f>
        <v>0</v>
      </c>
      <c r="DZ7" s="59">
        <f>Sheet8!AV15</f>
        <v>0</v>
      </c>
    </row>
    <row r="8" spans="1:136" ht="13">
      <c r="H8" s="107" t="s">
        <v>327</v>
      </c>
      <c r="I8" s="74">
        <f>VLOOKUP($H$8&amp;$F$1,'Input RM sheet'!$A:$BD,H1,0)</f>
        <v>1.5694520251478805</v>
      </c>
      <c r="J8" s="74">
        <f>VLOOKUP($H$8&amp;$F$1,'Input RM sheet'!$A:$BD,I1,0)</f>
        <v>1.5694520251478805</v>
      </c>
      <c r="K8" s="74">
        <f>VLOOKUP($H$8&amp;$F$1,'Input RM sheet'!$A:$DD,J1,0)</f>
        <v>1.5839237718698798</v>
      </c>
      <c r="L8" s="74">
        <f>VLOOKUP($H$8&amp;$F$1,'Input RM sheet'!$A:$DD,K1,0)</f>
        <v>2.3182178217821785</v>
      </c>
      <c r="M8" s="74">
        <f>VLOOKUP($H$8&amp;$F$1,'Input RM sheet'!$A:$DD,L1,0)</f>
        <v>2.3182178217821785</v>
      </c>
      <c r="N8" s="74">
        <f>VLOOKUP($H$8&amp;$F$1,'Input RM sheet'!$A:$DD,M1,0)</f>
        <v>2.1666666666666665</v>
      </c>
      <c r="O8" s="74">
        <f>VLOOKUP($H$8&amp;$F$1,'Input RM sheet'!$A:$DD,N1,0)</f>
        <v>2.2051676860839193</v>
      </c>
      <c r="P8" s="74">
        <f>VLOOKUP($H$8&amp;$F$1,'Input RM sheet'!$A:$DD,O1,0)</f>
        <v>2.2051676860839193</v>
      </c>
      <c r="Q8" s="74">
        <f>VLOOKUP($H$8&amp;$F$1,'Input RM sheet'!$A:$DD,P1,0)</f>
        <v>2.1</v>
      </c>
      <c r="R8" s="74">
        <f>VLOOKUP($H$8&amp;$F$1,'Input RM sheet'!$A:$DD,Q1,0)</f>
        <v>1.6916848967046776</v>
      </c>
      <c r="S8" s="74">
        <f>VLOOKUP($H$8&amp;$F$1,'Input RM sheet'!$A:$DD,R1,0)</f>
        <v>1.6916848967046776</v>
      </c>
      <c r="T8" s="74">
        <f>VLOOKUP($H$8&amp;$F$1,'Input RM sheet'!$A:$DD,S1,0)</f>
        <v>2.2200000000000002</v>
      </c>
      <c r="U8" s="74">
        <f>VLOOKUP($H$8&amp;$F$1,'Input RM sheet'!$A:$DD,T1,0)</f>
        <v>2.2200000000000002</v>
      </c>
      <c r="V8" s="74">
        <f>VLOOKUP($H$8&amp;$F$1,'Input RM sheet'!$A:$DD,U1,0)</f>
        <v>2.25</v>
      </c>
      <c r="W8" s="74">
        <f>VLOOKUP($H$8&amp;$F$1,'Input RM sheet'!$A:$DD,V1,0)</f>
        <v>2.25</v>
      </c>
      <c r="X8" s="74">
        <f>VLOOKUP($H$8&amp;$F$1,'Input RM sheet'!$A:$DD,W1,0)</f>
        <v>2.2499999999999996</v>
      </c>
      <c r="Y8" s="74">
        <f>VLOOKUP($H$8&amp;$F$1,'Input RM sheet'!$A:$DD,X1,0)</f>
        <v>2.3499999999999996</v>
      </c>
      <c r="Z8" s="74">
        <f>VLOOKUP($H$8&amp;$F$1,'Input RM sheet'!$A:$DD,Y1,0)</f>
        <v>2.3499999999999996</v>
      </c>
      <c r="AA8" s="74">
        <f>VLOOKUP($H$8&amp;$F$1,'Input RM sheet'!$A:$DD,Z1,0)</f>
        <v>2.3591126893129113</v>
      </c>
      <c r="AB8" s="74">
        <f>VLOOKUP($H$8&amp;$F$1,'Input RM sheet'!$A:$DD,AA1,0)</f>
        <v>2.3591126893129113</v>
      </c>
      <c r="AC8" s="74">
        <f>VLOOKUP($H$8&amp;$F$1,'Input RM sheet'!$A:$DD,AB1,0)</f>
        <v>2.3591126893129113</v>
      </c>
      <c r="AD8" s="74">
        <f>VLOOKUP($H$8&amp;$F$1,'Input RM sheet'!$A:$DD,AC1,0)</f>
        <v>2.3591126893129113</v>
      </c>
      <c r="AE8" s="74">
        <f>VLOOKUP($H$8&amp;$F$1,'Input RM sheet'!$A:$DD,AD1,0)</f>
        <v>2.3591126893129113</v>
      </c>
      <c r="AF8" s="74">
        <f>VLOOKUP($H$8&amp;$F$1,'Input RM sheet'!$A:$DD,AE1,0)</f>
        <v>2.3591126893129113</v>
      </c>
      <c r="AG8" s="74">
        <f>VLOOKUP($H$8&amp;$F$1,'Input RM sheet'!$A:$DD,AF1,0)</f>
        <v>3.6768681778563646</v>
      </c>
      <c r="AH8" s="74">
        <f>VLOOKUP($H$8&amp;$F$1,'Input RM sheet'!$A:$DD,AG1,0)</f>
        <v>3.6768681778563646</v>
      </c>
      <c r="AI8" s="74">
        <f>VLOOKUP($H$8&amp;$F$1,'Input RM sheet'!$A:$DD,AH1,0)</f>
        <v>3.6768681778563646</v>
      </c>
      <c r="AJ8" s="74">
        <f>VLOOKUP($H$8&amp;$F$1,'Input RM sheet'!$A:$DD,AI1,0)</f>
        <v>3.6768681778563646</v>
      </c>
      <c r="AK8" s="74">
        <f>VLOOKUP($H$8&amp;$F$1,'Input RM sheet'!$A:$DD,AJ1,0)</f>
        <v>3.37</v>
      </c>
      <c r="AL8" s="74">
        <f>VLOOKUP($H$8&amp;$F$1,'Input RM sheet'!$A:$DD,AK1,0)</f>
        <v>3.37</v>
      </c>
      <c r="AM8" s="74">
        <f>VLOOKUP($H$8&amp;$F$1,'Input RM sheet'!$A:$DD,AL1,0)</f>
        <v>3.36</v>
      </c>
      <c r="AN8" s="74">
        <f>VLOOKUP($H$8&amp;$F$1,'Input RM sheet'!$A:$DD,AM1,0)</f>
        <v>3.15</v>
      </c>
      <c r="AO8" s="74">
        <f>VLOOKUP($H$8&amp;$F$1,'Input RM sheet'!$A:$DD,AN1,0)</f>
        <v>3.05</v>
      </c>
      <c r="AP8" s="74">
        <f>VLOOKUP($H$8&amp;$F$1,'Input RM sheet'!$A:$DD,AO1,0)</f>
        <v>2.9181840164924226</v>
      </c>
      <c r="AQ8" s="74">
        <f>VLOOKUP($H$8&amp;$F$1,'Input RM sheet'!$A:$DD,AP1,0)</f>
        <v>3.1</v>
      </c>
      <c r="AR8" s="74">
        <f>VLOOKUP($H$8&amp;$F$1,'Input RM sheet'!$A:$DD,AQ1,0)</f>
        <v>2.8760554607508531</v>
      </c>
      <c r="AS8" s="74">
        <f>VLOOKUP($H$8&amp;$F$1,'Input RM sheet'!$A:$DD,AR1,0)</f>
        <v>3.1436999999999999</v>
      </c>
      <c r="AT8" s="74">
        <f>VLOOKUP($H$8&amp;$F$1,'Input RM sheet'!$A:$DD,AS1,0)</f>
        <v>3.0623697656495303</v>
      </c>
      <c r="AU8" s="74">
        <f>VLOOKUP($H$8&amp;$F$1,'Input RM sheet'!$A:$DD,AT1,0)</f>
        <v>2.8338254373177842</v>
      </c>
      <c r="AV8" s="74">
        <f>VLOOKUP($H$8&amp;$F$1,'Input RM sheet'!$A:$DD,AU1,0)</f>
        <v>2.8338254373177842</v>
      </c>
      <c r="AW8" s="74">
        <f>VLOOKUP($H$8&amp;$F$1,'Input RM sheet'!$A:$DD,AV1,0)</f>
        <v>2.9868714285714284</v>
      </c>
      <c r="AX8" s="74">
        <f>VLOOKUP($H$8&amp;$F$1,'Input RM sheet'!$A:$DD,AW1,0)</f>
        <v>2.7274010238907849</v>
      </c>
      <c r="AY8" s="74">
        <f>VLOOKUP($H$8&amp;$F$1,'Input RM sheet'!$A:$DD,AX1,0)</f>
        <v>2.6047797202797205</v>
      </c>
      <c r="AZ8" s="74">
        <f>VLOOKUP($H$8&amp;$F$1,'Input RM sheet'!$A:$DD,AY1,0)</f>
        <v>2.6047797202797205</v>
      </c>
      <c r="BA8" s="74">
        <f>VLOOKUP($H$8&amp;$F$1,'Input RM sheet'!$A:$DD,AZ1,0)</f>
        <v>2.6047797202797205</v>
      </c>
      <c r="BB8" s="74">
        <f>VLOOKUP($H$8&amp;$F$1,'Input RM sheet'!$A:$DD,BA1,0)</f>
        <v>2.6047797202797205</v>
      </c>
      <c r="BC8" s="74">
        <f>VLOOKUP($H$8&amp;$F$1,'Input RM sheet'!$A:$DD,BB1,0)</f>
        <v>2.6047797202797205</v>
      </c>
      <c r="BD8" s="74">
        <f>VLOOKUP($H$8&amp;$F$1,'Input RM sheet'!$A:$DD,BC1,0)</f>
        <v>2.6047797202797205</v>
      </c>
      <c r="BE8" s="74">
        <f>VLOOKUP($H$8&amp;$F$1,'Input RM sheet'!$A:$DD,BD1,0)</f>
        <v>2.6047797202797205</v>
      </c>
      <c r="BF8" s="74">
        <f>VLOOKUP($H$8&amp;$F$1,'Input RM sheet'!$A:$DD,BE1,0)</f>
        <v>2.6047797202797205</v>
      </c>
      <c r="BG8" s="74">
        <f>VLOOKUP($H$8&amp;$F$1,'Input RM sheet'!$A:$DD,BF1,0)</f>
        <v>2.4770577736647281</v>
      </c>
      <c r="BH8" s="74">
        <f>VLOOKUP($H$8&amp;$F$1,'Input RM sheet'!$A:$DD,BG1,0)</f>
        <v>2.4770577736647281</v>
      </c>
      <c r="BI8" s="74">
        <f>VLOOKUP($H$8&amp;$F$1,'Input RM sheet'!$A:$DD,BH1,0)</f>
        <v>2.4770577736647281</v>
      </c>
      <c r="BJ8" s="74">
        <f>VLOOKUP($H$8&amp;$F$1,'Input RM sheet'!$A:$DD,BI1,0)</f>
        <v>2.4770577736647281</v>
      </c>
      <c r="BK8" s="74">
        <f>VLOOKUP($H$8&amp;$F$1,'Input RM sheet'!$A:$DD,BJ1,0)</f>
        <v>2.3452999999999999</v>
      </c>
      <c r="BL8" s="74">
        <f>VLOOKUP($H$8&amp;$F$1,'Input RM sheet'!$A:$DD,BK1,0)</f>
        <v>2.3452999999999999</v>
      </c>
      <c r="BM8" s="74">
        <f>VLOOKUP($H$8&amp;$F$1,'Input RM sheet'!$A:$DD,BL1,0)</f>
        <v>2.3452999999999999</v>
      </c>
      <c r="BN8" s="74">
        <f>VLOOKUP($H$8&amp;$F$1,'Input RM sheet'!$A:$DD,BM1,0)</f>
        <v>2.3452999999999999</v>
      </c>
      <c r="BO8" s="74">
        <f>VLOOKUP($H$8&amp;$F$1,'Input RM sheet'!$A:$DD,BN1,0)</f>
        <v>2.5238765987234446</v>
      </c>
      <c r="BP8" s="74">
        <f>VLOOKUP($H$8&amp;$F$1,'Input RM sheet'!$A:$DD,BO1,0)</f>
        <v>2.5238765987234446</v>
      </c>
      <c r="BQ8" s="74">
        <f>VLOOKUP($H$8&amp;$F$1,'Input RM sheet'!$A:$DD,BP1,0)</f>
        <v>2.5238765987234446</v>
      </c>
      <c r="BR8" s="74">
        <f>VLOOKUP($H$8&amp;$F$1,'Input RM sheet'!$A:$DD,BQ1,0)</f>
        <v>2.5238765987234446</v>
      </c>
      <c r="BS8" s="74">
        <f>VLOOKUP($H$8&amp;$F$1,'Input RM sheet'!$A:$DD,BR1,0)</f>
        <v>2.3452999999999999</v>
      </c>
      <c r="BT8" s="74">
        <f>VLOOKUP($H$8&amp;$F$1,'Input RM sheet'!$A:$DD,BS1,0)</f>
        <v>2.3452999999999999</v>
      </c>
      <c r="BU8" s="74">
        <f>VLOOKUP($H$8&amp;$F$1,'Input RM sheet'!$A:$DD,BT1,0)</f>
        <v>2.3452999999999999</v>
      </c>
      <c r="BV8" s="74">
        <f>VLOOKUP($H$8&amp;$F$1,'Input RM sheet'!$A:$DD,BU1,0)</f>
        <v>2.3452999999999999</v>
      </c>
      <c r="BW8" s="74">
        <f>VLOOKUP($H$8&amp;$F$1,'Input RM sheet'!$A:$DD,BV1,0)</f>
        <v>2.5509733333333333</v>
      </c>
      <c r="BX8" s="74">
        <f>VLOOKUP($H$8&amp;$F$1,'Input RM sheet'!$A:$DD,BW1,0)</f>
        <v>2.5509733333333333</v>
      </c>
      <c r="BY8" s="74">
        <f>VLOOKUP($H$8&amp;$F$1,'Input RM sheet'!$A:$DD,BX1,0)</f>
        <v>2.5509733333333333</v>
      </c>
      <c r="BZ8" s="74">
        <f>VLOOKUP($H$8&amp;$F$1,'Input RM sheet'!$A:$DD,BY1,0)</f>
        <v>2.5509733333333333</v>
      </c>
      <c r="CA8" s="74">
        <f>VLOOKUP($H$8&amp;$F$1,'Input RM sheet'!$A:$DD,BZ1,0)</f>
        <v>2.337274285038998</v>
      </c>
      <c r="CB8" s="74">
        <f>VLOOKUP($H$8&amp;$F$1,'Input RM sheet'!$A:$DD,CA1,0)</f>
        <v>2.337274285038998</v>
      </c>
      <c r="CC8" s="74">
        <f>VLOOKUP($H$8&amp;$F$1,'Input RM sheet'!$A:$DD,CB1,0)</f>
        <v>2.337274285038998</v>
      </c>
      <c r="CD8" s="74">
        <f>VLOOKUP($H$8&amp;$F$1,'Input RM sheet'!$A:$DD,CC1,0)</f>
        <v>2.337274285038998</v>
      </c>
      <c r="CE8" s="74">
        <f>VLOOKUP($H$8&amp;$F$1,'Input RM sheet'!$A:$DD,CD1,0)</f>
        <v>2.3239480358030833</v>
      </c>
      <c r="CF8" s="74">
        <f>VLOOKUP($H$8&amp;$F$1,'Input RM sheet'!$A:$DD,CE1,0)</f>
        <v>2.3239480358030833</v>
      </c>
      <c r="CG8" s="74">
        <f>VLOOKUP($H$8&amp;$F$1,'Input RM sheet'!$A:$DD,CF1,0)</f>
        <v>2.3239480358030833</v>
      </c>
      <c r="CH8" s="74">
        <f>VLOOKUP($H$8&amp;$F$1,'Input RM sheet'!$A:$DD,CG1,0)</f>
        <v>2.3239480358030833</v>
      </c>
      <c r="CI8" s="74">
        <f>VLOOKUP($H$8&amp;$F$1,'Input RM sheet'!$A:$DD,CH1,0)</f>
        <v>2.482808853951179</v>
      </c>
      <c r="CJ8" s="74">
        <f>VLOOKUP($H$8&amp;$F$1,'Input RM sheet'!$A:$DD,CI1,0)</f>
        <v>2.482808853951179</v>
      </c>
      <c r="CK8" s="74">
        <f>VLOOKUP($H$8&amp;$F$1,'Input RM sheet'!$A:$DD,CJ1,0)</f>
        <v>2.482808853951179</v>
      </c>
      <c r="CL8" s="74">
        <f>VLOOKUP($H$8&amp;$F$1,'Input RM sheet'!$A:$DD,CK1,0)</f>
        <v>2.482808853951179</v>
      </c>
      <c r="CM8" s="74">
        <f>VLOOKUP($H$8&amp;$F$1,'Input RM sheet'!$A:$DD,CL1,0)</f>
        <v>2.3867203721841332</v>
      </c>
      <c r="CN8" s="74">
        <f>VLOOKUP($H$8&amp;$F$1,'Input RM sheet'!$A:$DD,CM1,0)</f>
        <v>2.3867203721841332</v>
      </c>
      <c r="CO8" s="74">
        <f>VLOOKUP($H$8&amp;$F$1,'Input RM sheet'!$A:$DD,CN1,0)</f>
        <v>2.3867203721841332</v>
      </c>
      <c r="CP8" s="74">
        <f>VLOOKUP($H$8&amp;$F$1,'Input RM sheet'!$A:$DD,CO1,0)</f>
        <v>2.3867203721841332</v>
      </c>
      <c r="CQ8" s="74">
        <f>VLOOKUP($H$8&amp;$F$1,'Input RM sheet'!$A:$DD,CP1,0)</f>
        <v>2.3867203721841332</v>
      </c>
      <c r="CR8" s="74">
        <f>VLOOKUP($H$8&amp;$F$1,'Input RM sheet'!$A:$ZZ,CQ1,0)</f>
        <v>2.4950000000000001</v>
      </c>
      <c r="CS8" s="74">
        <f>VLOOKUP($H$8&amp;$F$1,'Input RM sheet'!$A:$ZZ,CR1,0)</f>
        <v>2.4950000000000001</v>
      </c>
      <c r="CT8" s="74">
        <f>VLOOKUP($H$8&amp;$F$1,'Input RM sheet'!$A:$ZZ,CS1,0)</f>
        <v>2.4950000000000001</v>
      </c>
      <c r="CU8" s="74">
        <f>VLOOKUP($H$8&amp;$F$1,'Input RM sheet'!$A:$ZZ,CT1,0)</f>
        <v>2.4950000000000001</v>
      </c>
      <c r="CV8" s="74">
        <f>VLOOKUP($H$8&amp;$F$1,'Input RM sheet'!$A:$ZZ,CU1,0)</f>
        <v>2.4950000000000001</v>
      </c>
      <c r="CW8" s="74">
        <f>VLOOKUP($H$8&amp;$F$1,'Input RM sheet'!$A:$ZZ,CV1,0)</f>
        <v>2.4950000000000001</v>
      </c>
      <c r="CX8" s="74">
        <f>VLOOKUP($H$8&amp;$F$1,'Input RM sheet'!$A:$ZZ,CW1,0)</f>
        <v>2.4950000000000001</v>
      </c>
      <c r="CY8" s="74">
        <f>VLOOKUP($H$8&amp;$F$1,'Input RM sheet'!$A:$ZZ,CX1,0)</f>
        <v>2</v>
      </c>
      <c r="CZ8" s="74">
        <f>VLOOKUP($H$8&amp;$F$1,'Input RM sheet'!$A:$ZZ,CY1,0)</f>
        <v>2</v>
      </c>
      <c r="DA8" s="74">
        <f>VLOOKUP($H$8&amp;$F$1,'Input RM sheet'!$A:$ZZ,CZ1,0)</f>
        <v>2</v>
      </c>
      <c r="DB8" s="74">
        <f>VLOOKUP($H$8&amp;$F$1,'Input RM sheet'!$A:$ZZ,DA1,0)</f>
        <v>2</v>
      </c>
      <c r="DC8" s="74">
        <f>VLOOKUP($H$8&amp;$F$1,'Input RM sheet'!$A:$ZZ,DB1,0)</f>
        <v>2.66</v>
      </c>
      <c r="DD8" s="74">
        <f>VLOOKUP($H$8&amp;$F$1,'Input RM sheet'!$A:$ZZ,DC1,0)</f>
        <v>2.54</v>
      </c>
      <c r="DE8" s="74">
        <f>VLOOKUP($H$8&amp;$F$1,'Input RM sheet'!$A:$ZZ,DD1,0)</f>
        <v>2.54</v>
      </c>
      <c r="DF8" s="74">
        <f>VLOOKUP($H$8&amp;$F$1,'Input RM sheet'!$A:$ZZ,DE1,0)</f>
        <v>2.54</v>
      </c>
      <c r="DG8" s="74">
        <f>VLOOKUP($H$8&amp;$F$1,'Input RM sheet'!$A:$ZZ,DF1,0)</f>
        <v>2.54</v>
      </c>
      <c r="DH8" s="74">
        <f>VLOOKUP($H$8&amp;$F$1,'Input RM sheet'!$A:$ZZ,DG1,0)</f>
        <v>2.54</v>
      </c>
      <c r="DI8" s="74">
        <f>VLOOKUP($H$8&amp;$F$1,'Input RM sheet'!$A:$ZZ,DH1,0)</f>
        <v>2.54</v>
      </c>
      <c r="DJ8" s="74">
        <f>VLOOKUP($H$8&amp;$F$1,'Input RM sheet'!$A:$ZZ,DI1,0)</f>
        <v>2.54</v>
      </c>
      <c r="DK8" s="74">
        <f>VLOOKUP($H$8&amp;$F$1,'Input RM sheet'!$A:$ZZ,DJ1,0)</f>
        <v>2.54</v>
      </c>
      <c r="DL8" s="74">
        <f>VLOOKUP($H$8&amp;$F$1,'Input RM sheet'!$A:$ZZ,DK1,0)</f>
        <v>2.54</v>
      </c>
      <c r="DM8" s="74">
        <f>VLOOKUP($H$8&amp;$F$1,'Input RM sheet'!$A:$ZZ,DL1,0)</f>
        <v>2.5</v>
      </c>
      <c r="DN8" s="74">
        <f>VLOOKUP($H$8&amp;$F$1,'Input RM sheet'!$A:$ZZ,DM1,0)</f>
        <v>2.5</v>
      </c>
      <c r="DO8" s="74">
        <f>VLOOKUP($H$8&amp;$F$1,'Input RM sheet'!$A:$ZZ,DN1,0)</f>
        <v>2.5</v>
      </c>
      <c r="DP8" s="74">
        <f>VLOOKUP($H$8&amp;$F$1,'Input RM sheet'!$A:$ZZ,DO1,0)</f>
        <v>2.5</v>
      </c>
      <c r="DQ8" s="74">
        <f>VLOOKUP($H$8&amp;$F$1,'Input RM sheet'!$A:$ZZ,DP1,0)</f>
        <v>2.15</v>
      </c>
      <c r="DR8" s="74">
        <f>VLOOKUP($H$8&amp;$F$1,'Input RM sheet'!$A:$ZZ,DQ1,0)</f>
        <v>2.15</v>
      </c>
      <c r="DS8" s="74">
        <f>VLOOKUP($H$8&amp;$F$1,'Input RM sheet'!$A:$ZZ,DR1,0)</f>
        <v>2.15</v>
      </c>
      <c r="DT8" s="74">
        <f>VLOOKUP($H$8&amp;$F$1,'Input RM sheet'!$A:$ZZ,DS1,0)</f>
        <v>0</v>
      </c>
      <c r="DU8" s="74">
        <f>VLOOKUP($H$8&amp;$F$1,'Input RM sheet'!$A:$ZZ,DT1,0)</f>
        <v>0</v>
      </c>
      <c r="DV8" s="74">
        <f>VLOOKUP($H$8&amp;$F$1,'Input RM sheet'!$A:$ZZ,DU1,0)</f>
        <v>0</v>
      </c>
      <c r="DW8" s="74">
        <f>VLOOKUP($H$8&amp;$F$1,'Input RM sheet'!$A:$ZZ,DV1,0)</f>
        <v>0</v>
      </c>
      <c r="DX8" s="74">
        <f>VLOOKUP($H$8&amp;$F$1,'Input RM sheet'!$A:$ZZ,DW1,0)</f>
        <v>0</v>
      </c>
      <c r="DY8" s="74">
        <f>VLOOKUP($H$8&amp;$F$1,'Input RM sheet'!$A:$ZZ,DX1,0)</f>
        <v>0</v>
      </c>
      <c r="DZ8" s="74">
        <f>VLOOKUP($H$8&amp;$F$1,'Input RM sheet'!$A:$ZZ,DY1,0)</f>
        <v>0</v>
      </c>
      <c r="EA8" s="74">
        <f>VLOOKUP($H$8&amp;$F$1,'Input RM sheet'!$A:$ZZ,DZ1,0)</f>
        <v>0</v>
      </c>
    </row>
    <row r="9" spans="1:136">
      <c r="I9" s="74"/>
      <c r="J9" s="74"/>
      <c r="K9" s="74"/>
      <c r="L9" s="74"/>
      <c r="M9" s="74"/>
      <c r="N9" s="74"/>
      <c r="O9" s="74"/>
      <c r="P9" s="74"/>
      <c r="Q9" s="74"/>
      <c r="R9" s="74"/>
      <c r="S9" s="74"/>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74"/>
      <c r="BG9" s="74"/>
      <c r="BH9" s="74"/>
      <c r="BI9" s="74"/>
      <c r="BJ9" s="74"/>
      <c r="BK9" s="74"/>
      <c r="BL9" s="74"/>
      <c r="BM9" s="74"/>
      <c r="BN9" s="74"/>
      <c r="BO9" s="74"/>
      <c r="BP9" s="74"/>
      <c r="BQ9" s="74"/>
      <c r="BR9" s="74"/>
      <c r="BS9" s="74"/>
      <c r="BT9" s="74"/>
      <c r="BU9" s="74"/>
      <c r="BV9" s="74"/>
      <c r="BW9" s="74"/>
      <c r="BX9" s="74"/>
      <c r="BY9" s="74"/>
      <c r="BZ9" s="74"/>
      <c r="CA9" s="74"/>
      <c r="CB9" s="74"/>
      <c r="CC9" s="74"/>
      <c r="CD9" s="74"/>
      <c r="CE9" s="74"/>
      <c r="CF9" s="74"/>
      <c r="CG9" s="74"/>
      <c r="CH9" s="74"/>
      <c r="CI9" s="74"/>
      <c r="CJ9" s="74"/>
      <c r="CK9" s="74"/>
      <c r="CL9" s="74"/>
      <c r="CM9" s="74"/>
      <c r="CN9" s="74"/>
      <c r="CO9" s="74"/>
      <c r="CP9" s="74"/>
      <c r="CQ9" s="74"/>
      <c r="CR9" s="74"/>
      <c r="CS9" s="74"/>
      <c r="CT9" s="74"/>
      <c r="CU9" s="74"/>
      <c r="CV9" s="74"/>
      <c r="CW9" s="74"/>
      <c r="CX9" s="74"/>
      <c r="CY9" s="74"/>
      <c r="CZ9" s="74"/>
      <c r="DA9" s="74"/>
      <c r="DB9" s="74"/>
      <c r="DC9" s="74"/>
      <c r="DD9" s="74"/>
      <c r="DE9" s="74"/>
      <c r="DF9" s="74"/>
      <c r="DG9" s="74"/>
      <c r="DH9" s="74"/>
      <c r="DI9" s="74"/>
      <c r="DJ9" s="74"/>
      <c r="DK9" s="74"/>
      <c r="DL9" s="74"/>
      <c r="DM9" s="74"/>
      <c r="DN9" s="74"/>
      <c r="DO9" s="74"/>
      <c r="DP9" s="74"/>
      <c r="DQ9" s="74"/>
      <c r="DR9" s="74"/>
      <c r="DS9" s="74"/>
      <c r="DT9" s="74"/>
      <c r="DU9" s="74"/>
      <c r="DV9" s="74"/>
      <c r="DW9" s="74"/>
      <c r="DX9" s="74"/>
      <c r="DY9" s="74"/>
      <c r="DZ9" s="74"/>
      <c r="EA9" s="74"/>
    </row>
    <row r="10" spans="1:136" ht="13">
      <c r="A10" s="59" t="s">
        <v>395</v>
      </c>
      <c r="B10" s="59"/>
      <c r="C10" s="59" t="s">
        <v>379</v>
      </c>
      <c r="D10" s="98" t="s">
        <v>380</v>
      </c>
      <c r="E10" s="98" t="s">
        <v>381</v>
      </c>
      <c r="F10" s="59" t="s">
        <v>396</v>
      </c>
      <c r="I10" s="84"/>
      <c r="J10" s="84"/>
      <c r="K10" s="84"/>
      <c r="L10" s="84"/>
      <c r="M10" s="84"/>
      <c r="N10" s="84"/>
      <c r="O10" s="84"/>
      <c r="P10" s="84"/>
      <c r="Q10" s="84"/>
      <c r="R10" s="84"/>
      <c r="S10" s="84"/>
      <c r="T10" s="84"/>
      <c r="U10" s="84"/>
      <c r="V10" s="84"/>
      <c r="W10" s="84"/>
      <c r="X10" s="84"/>
      <c r="Y10" s="84"/>
      <c r="Z10" s="84"/>
      <c r="AA10" s="84"/>
      <c r="AB10" s="84"/>
      <c r="AC10" s="84"/>
      <c r="AD10" s="84"/>
      <c r="AE10" s="84"/>
      <c r="AF10" s="84"/>
      <c r="AG10" s="84"/>
      <c r="AH10" s="84"/>
      <c r="AI10" s="84"/>
      <c r="AJ10" s="84"/>
      <c r="AK10" s="84"/>
      <c r="AL10" s="84"/>
      <c r="AM10" s="84"/>
      <c r="AN10" s="84"/>
      <c r="AO10" s="84"/>
      <c r="AP10" s="84"/>
      <c r="AQ10" s="84"/>
      <c r="AR10" s="84"/>
      <c r="AS10" s="84"/>
      <c r="AT10" s="84"/>
      <c r="AU10" s="84"/>
      <c r="AV10" s="84"/>
      <c r="AW10" s="84"/>
      <c r="AX10" s="84"/>
      <c r="AY10" s="84"/>
      <c r="AZ10" s="84"/>
      <c r="BA10" s="84"/>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84"/>
      <c r="CE10" s="84"/>
      <c r="CF10" s="84"/>
      <c r="CG10" s="84"/>
      <c r="CH10" s="84"/>
      <c r="CI10" s="84"/>
      <c r="CJ10" s="84"/>
      <c r="CK10" s="84"/>
      <c r="CL10" s="84"/>
      <c r="CM10" s="84"/>
      <c r="CN10" s="84"/>
      <c r="CO10" s="84"/>
      <c r="CP10" s="84"/>
      <c r="CQ10" s="84"/>
      <c r="CR10" s="84"/>
      <c r="CS10" s="84"/>
      <c r="CT10" s="84"/>
      <c r="CU10" s="84"/>
      <c r="CV10" s="84"/>
      <c r="CW10" s="84"/>
      <c r="CX10" s="84"/>
      <c r="CY10" s="84"/>
      <c r="CZ10" s="84"/>
      <c r="DA10" s="84"/>
      <c r="DB10" s="84"/>
      <c r="DC10" s="84"/>
      <c r="DD10" s="84"/>
      <c r="DE10" s="84"/>
      <c r="DF10" s="84"/>
      <c r="DG10" s="84"/>
      <c r="DH10" s="84"/>
      <c r="DI10" s="84"/>
      <c r="DJ10" s="84"/>
      <c r="DK10" s="84"/>
      <c r="DL10" s="84"/>
      <c r="DM10" s="84"/>
      <c r="DN10" s="84"/>
      <c r="DO10" s="84"/>
      <c r="DP10" s="84"/>
      <c r="DQ10" s="84"/>
      <c r="DR10" s="84"/>
      <c r="DS10" s="84"/>
      <c r="DT10" s="84"/>
      <c r="DU10" s="84"/>
      <c r="DV10" s="84"/>
      <c r="DW10" s="84"/>
      <c r="DX10" s="84"/>
      <c r="DY10" s="84"/>
      <c r="DZ10" s="84"/>
      <c r="EA10" s="84"/>
    </row>
    <row r="11" spans="1:136" ht="13">
      <c r="A11" s="107" t="s">
        <v>397</v>
      </c>
      <c r="B11" s="107" t="s">
        <v>327</v>
      </c>
      <c r="C11" s="60">
        <v>1</v>
      </c>
      <c r="D11" s="65">
        <v>112.21</v>
      </c>
      <c r="E11" s="60">
        <f>D11*C11</f>
        <v>112.21</v>
      </c>
      <c r="F11" s="328">
        <f>E11/$D$3</f>
        <v>0.76703807505639487</v>
      </c>
      <c r="H11" s="60" t="s">
        <v>399</v>
      </c>
      <c r="I11" s="74">
        <f>$F$11*I8</f>
        <v>1.2038294602627908</v>
      </c>
      <c r="J11" s="74">
        <f t="shared" ref="J11:BU11" si="0">$F$11*J8</f>
        <v>1.2038294602627908</v>
      </c>
      <c r="K11" s="74">
        <f t="shared" si="0"/>
        <v>1.2149298410111369</v>
      </c>
      <c r="L11" s="74">
        <f t="shared" si="0"/>
        <v>1.7781613355812309</v>
      </c>
      <c r="M11" s="74">
        <f t="shared" si="0"/>
        <v>1.7781613355812309</v>
      </c>
      <c r="N11" s="74">
        <f t="shared" si="0"/>
        <v>1.6619158292888554</v>
      </c>
      <c r="O11" s="74">
        <f t="shared" si="0"/>
        <v>1.6914475771103739</v>
      </c>
      <c r="P11" s="74">
        <f t="shared" si="0"/>
        <v>1.6914475771103739</v>
      </c>
      <c r="Q11" s="74">
        <f t="shared" si="0"/>
        <v>1.6107799576184294</v>
      </c>
      <c r="R11" s="74">
        <f t="shared" si="0"/>
        <v>1.297586726770332</v>
      </c>
      <c r="S11" s="74">
        <f t="shared" si="0"/>
        <v>1.297586726770332</v>
      </c>
      <c r="T11" s="74">
        <f t="shared" si="0"/>
        <v>1.7028245266251967</v>
      </c>
      <c r="U11" s="74">
        <f t="shared" si="0"/>
        <v>1.7028245266251967</v>
      </c>
      <c r="V11" s="74">
        <f t="shared" si="0"/>
        <v>1.7258356688768886</v>
      </c>
      <c r="W11" s="74">
        <f t="shared" si="0"/>
        <v>1.7258356688768886</v>
      </c>
      <c r="X11" s="74">
        <f t="shared" si="0"/>
        <v>1.7258356688768881</v>
      </c>
      <c r="Y11" s="74">
        <f t="shared" si="0"/>
        <v>1.8025394763825278</v>
      </c>
      <c r="Z11" s="74">
        <f t="shared" si="0"/>
        <v>1.8025394763825278</v>
      </c>
      <c r="AA11" s="74">
        <f t="shared" si="0"/>
        <v>1.8095292560516905</v>
      </c>
      <c r="AB11" s="74">
        <f t="shared" si="0"/>
        <v>1.8095292560516905</v>
      </c>
      <c r="AC11" s="74">
        <f t="shared" si="0"/>
        <v>1.8095292560516905</v>
      </c>
      <c r="AD11" s="74">
        <f t="shared" si="0"/>
        <v>1.8095292560516905</v>
      </c>
      <c r="AE11" s="74">
        <f t="shared" si="0"/>
        <v>1.8095292560516905</v>
      </c>
      <c r="AF11" s="74">
        <f t="shared" si="0"/>
        <v>1.8095292560516905</v>
      </c>
      <c r="AG11" s="74">
        <f t="shared" si="0"/>
        <v>2.8202978893790602</v>
      </c>
      <c r="AH11" s="74">
        <f t="shared" si="0"/>
        <v>2.8202978893790602</v>
      </c>
      <c r="AI11" s="74">
        <f t="shared" si="0"/>
        <v>2.8202978893790602</v>
      </c>
      <c r="AJ11" s="74">
        <f t="shared" si="0"/>
        <v>2.8202978893790602</v>
      </c>
      <c r="AK11" s="74">
        <f t="shared" si="0"/>
        <v>2.5849183129400508</v>
      </c>
      <c r="AL11" s="74">
        <f t="shared" si="0"/>
        <v>2.5849183129400508</v>
      </c>
      <c r="AM11" s="74">
        <f t="shared" si="0"/>
        <v>2.5772479321894868</v>
      </c>
      <c r="AN11" s="74">
        <f t="shared" si="0"/>
        <v>2.4161699364276439</v>
      </c>
      <c r="AO11" s="74">
        <f t="shared" si="0"/>
        <v>2.3394661289220045</v>
      </c>
      <c r="AP11" s="74">
        <f t="shared" si="0"/>
        <v>2.2383582506706867</v>
      </c>
      <c r="AQ11" s="74">
        <f t="shared" si="0"/>
        <v>2.3778180326748242</v>
      </c>
      <c r="AR11" s="74">
        <f t="shared" si="0"/>
        <v>2.2060440443697673</v>
      </c>
      <c r="AS11" s="74">
        <f t="shared" si="0"/>
        <v>2.4113375965547883</v>
      </c>
      <c r="AT11" s="74">
        <f t="shared" si="0"/>
        <v>2.3489542101547189</v>
      </c>
      <c r="AU11" s="74">
        <f t="shared" si="0"/>
        <v>2.1736520084860795</v>
      </c>
      <c r="AV11" s="74">
        <f t="shared" si="0"/>
        <v>2.1736520084860795</v>
      </c>
      <c r="AW11" s="74">
        <f t="shared" si="0"/>
        <v>2.2910441110123725</v>
      </c>
      <c r="AX11" s="74">
        <f t="shared" si="0"/>
        <v>2.0920204312720281</v>
      </c>
      <c r="AY11" s="74">
        <f t="shared" si="0"/>
        <v>1.9979652225892914</v>
      </c>
      <c r="AZ11" s="74">
        <f t="shared" si="0"/>
        <v>1.9979652225892914</v>
      </c>
      <c r="BA11" s="74">
        <f t="shared" si="0"/>
        <v>1.9979652225892914</v>
      </c>
      <c r="BB11" s="74">
        <f t="shared" si="0"/>
        <v>1.9979652225892914</v>
      </c>
      <c r="BC11" s="74">
        <f t="shared" si="0"/>
        <v>1.9979652225892914</v>
      </c>
      <c r="BD11" s="74">
        <f t="shared" si="0"/>
        <v>1.9979652225892914</v>
      </c>
      <c r="BE11" s="74">
        <f t="shared" si="0"/>
        <v>1.9979652225892914</v>
      </c>
      <c r="BF11" s="74">
        <f t="shared" si="0"/>
        <v>1.9979652225892914</v>
      </c>
      <c r="BG11" s="74">
        <f t="shared" si="0"/>
        <v>1.899997626515272</v>
      </c>
      <c r="BH11" s="74">
        <f t="shared" si="0"/>
        <v>1.899997626515272</v>
      </c>
      <c r="BI11" s="74">
        <f t="shared" si="0"/>
        <v>1.899997626515272</v>
      </c>
      <c r="BJ11" s="74">
        <f t="shared" si="0"/>
        <v>1.899997626515272</v>
      </c>
      <c r="BK11" s="74">
        <f t="shared" si="0"/>
        <v>1.7989343974297629</v>
      </c>
      <c r="BL11" s="74">
        <f t="shared" si="0"/>
        <v>1.7989343974297629</v>
      </c>
      <c r="BM11" s="74">
        <f t="shared" si="0"/>
        <v>1.7989343974297629</v>
      </c>
      <c r="BN11" s="74">
        <f t="shared" si="0"/>
        <v>1.7989343974297629</v>
      </c>
      <c r="BO11" s="74">
        <f t="shared" si="0"/>
        <v>1.9359094479647121</v>
      </c>
      <c r="BP11" s="74">
        <f t="shared" si="0"/>
        <v>1.9359094479647121</v>
      </c>
      <c r="BQ11" s="74">
        <f t="shared" si="0"/>
        <v>1.9359094479647121</v>
      </c>
      <c r="BR11" s="74">
        <f t="shared" si="0"/>
        <v>1.9359094479647121</v>
      </c>
      <c r="BS11" s="74">
        <f t="shared" si="0"/>
        <v>1.7989343974297629</v>
      </c>
      <c r="BT11" s="74">
        <f t="shared" si="0"/>
        <v>1.7989343974297629</v>
      </c>
      <c r="BU11" s="74">
        <f t="shared" si="0"/>
        <v>1.7989343974297629</v>
      </c>
      <c r="BV11" s="74">
        <f t="shared" ref="BV11:CR11" si="1">$F$11*BV8</f>
        <v>1.7989343974297629</v>
      </c>
      <c r="BW11" s="74">
        <f t="shared" si="1"/>
        <v>1.9566936751201951</v>
      </c>
      <c r="BX11" s="74">
        <f t="shared" si="1"/>
        <v>1.9566936751201951</v>
      </c>
      <c r="BY11" s="74">
        <f t="shared" si="1"/>
        <v>1.9566936751201951</v>
      </c>
      <c r="BZ11" s="74">
        <f t="shared" si="1"/>
        <v>1.9566936751201951</v>
      </c>
      <c r="CA11" s="74">
        <f t="shared" si="1"/>
        <v>1.7927783684751246</v>
      </c>
      <c r="CB11" s="74">
        <f t="shared" si="1"/>
        <v>1.7927783684751246</v>
      </c>
      <c r="CC11" s="74">
        <f t="shared" si="1"/>
        <v>1.7927783684751246</v>
      </c>
      <c r="CD11" s="74">
        <f t="shared" si="1"/>
        <v>1.7927783684751246</v>
      </c>
      <c r="CE11" s="74">
        <f t="shared" si="1"/>
        <v>1.7825566279134868</v>
      </c>
      <c r="CF11" s="74">
        <f t="shared" si="1"/>
        <v>1.7825566279134868</v>
      </c>
      <c r="CG11" s="74">
        <f t="shared" si="1"/>
        <v>1.7825566279134868</v>
      </c>
      <c r="CH11" s="74">
        <f t="shared" si="1"/>
        <v>1.7825566279134868</v>
      </c>
      <c r="CI11" s="74">
        <f t="shared" si="1"/>
        <v>1.9044089240676862</v>
      </c>
      <c r="CJ11" s="74">
        <f t="shared" si="1"/>
        <v>1.9044089240676862</v>
      </c>
      <c r="CK11" s="74">
        <f t="shared" si="1"/>
        <v>1.9044089240676862</v>
      </c>
      <c r="CL11" s="74">
        <f t="shared" si="1"/>
        <v>1.9044089240676862</v>
      </c>
      <c r="CM11" s="74">
        <f t="shared" si="1"/>
        <v>1.8307053999779999</v>
      </c>
      <c r="CN11" s="74">
        <f t="shared" si="1"/>
        <v>1.8307053999779999</v>
      </c>
      <c r="CO11" s="74">
        <f t="shared" si="1"/>
        <v>1.8307053999779999</v>
      </c>
      <c r="CP11" s="74">
        <f t="shared" si="1"/>
        <v>1.8307053999779999</v>
      </c>
      <c r="CQ11" s="74">
        <f t="shared" si="1"/>
        <v>1.8307053999779999</v>
      </c>
      <c r="CR11" s="74">
        <f t="shared" si="1"/>
        <v>1.9137599972657053</v>
      </c>
      <c r="CS11" s="74">
        <f t="shared" ref="CS11:CX11" si="2">$F$11*CS8</f>
        <v>1.9137599972657053</v>
      </c>
      <c r="CT11" s="74">
        <f t="shared" si="2"/>
        <v>1.9137599972657053</v>
      </c>
      <c r="CU11" s="74">
        <f t="shared" si="2"/>
        <v>1.9137599972657053</v>
      </c>
      <c r="CV11" s="74">
        <f t="shared" si="2"/>
        <v>1.9137599972657053</v>
      </c>
      <c r="CW11" s="74">
        <f t="shared" si="2"/>
        <v>1.9137599972657053</v>
      </c>
      <c r="CX11" s="74">
        <f t="shared" si="2"/>
        <v>1.9137599972657053</v>
      </c>
      <c r="CY11" s="74">
        <f t="shared" ref="CY11:DG11" si="3">$F$11*CY8</f>
        <v>1.5340761501127897</v>
      </c>
      <c r="CZ11" s="74">
        <f t="shared" si="3"/>
        <v>1.5340761501127897</v>
      </c>
      <c r="DA11" s="74">
        <f t="shared" si="3"/>
        <v>1.5340761501127897</v>
      </c>
      <c r="DB11" s="74">
        <f t="shared" si="3"/>
        <v>1.5340761501127897</v>
      </c>
      <c r="DC11" s="74">
        <f t="shared" si="3"/>
        <v>2.0403212796500103</v>
      </c>
      <c r="DD11" s="74">
        <f t="shared" si="3"/>
        <v>1.948276710643243</v>
      </c>
      <c r="DE11" s="74">
        <f t="shared" si="3"/>
        <v>1.948276710643243</v>
      </c>
      <c r="DF11" s="74">
        <f t="shared" si="3"/>
        <v>1.948276710643243</v>
      </c>
      <c r="DG11" s="74">
        <f t="shared" si="3"/>
        <v>1.948276710643243</v>
      </c>
      <c r="DH11" s="74">
        <f t="shared" ref="DH11:DN11" si="4">$F$11*DH8</f>
        <v>1.948276710643243</v>
      </c>
      <c r="DI11" s="74">
        <f t="shared" si="4"/>
        <v>1.948276710643243</v>
      </c>
      <c r="DJ11" s="74">
        <f t="shared" si="4"/>
        <v>1.948276710643243</v>
      </c>
      <c r="DK11" s="74">
        <f t="shared" si="4"/>
        <v>1.948276710643243</v>
      </c>
      <c r="DL11" s="74">
        <f t="shared" si="4"/>
        <v>1.948276710643243</v>
      </c>
      <c r="DM11" s="74">
        <f t="shared" si="4"/>
        <v>1.9175951876409871</v>
      </c>
      <c r="DN11" s="74">
        <f t="shared" si="4"/>
        <v>1.9175951876409871</v>
      </c>
      <c r="DO11" s="74">
        <f t="shared" ref="DO11:EA11" si="5">$F$11*DO8</f>
        <v>1.9175951876409871</v>
      </c>
      <c r="DP11" s="74">
        <f t="shared" si="5"/>
        <v>1.9175951876409871</v>
      </c>
      <c r="DQ11" s="74">
        <f t="shared" si="5"/>
        <v>1.6491318613712489</v>
      </c>
      <c r="DR11" s="74">
        <f t="shared" si="5"/>
        <v>1.6491318613712489</v>
      </c>
      <c r="DS11" s="74">
        <f t="shared" si="5"/>
        <v>1.6491318613712489</v>
      </c>
      <c r="DT11" s="74">
        <f t="shared" si="5"/>
        <v>0</v>
      </c>
      <c r="DU11" s="74">
        <f t="shared" si="5"/>
        <v>0</v>
      </c>
      <c r="DV11" s="74">
        <f t="shared" si="5"/>
        <v>0</v>
      </c>
      <c r="DW11" s="74">
        <f t="shared" si="5"/>
        <v>0</v>
      </c>
      <c r="DX11" s="74">
        <f t="shared" si="5"/>
        <v>0</v>
      </c>
      <c r="DY11" s="74">
        <f t="shared" si="5"/>
        <v>0</v>
      </c>
      <c r="DZ11" s="74">
        <f t="shared" si="5"/>
        <v>0</v>
      </c>
      <c r="EA11" s="74">
        <f t="shared" si="5"/>
        <v>0</v>
      </c>
    </row>
    <row r="12" spans="1:136">
      <c r="A12" s="67"/>
      <c r="B12" s="107"/>
      <c r="D12" s="77"/>
      <c r="F12" s="65"/>
      <c r="I12" s="74"/>
      <c r="J12" s="74"/>
      <c r="K12" s="74"/>
      <c r="L12" s="74"/>
      <c r="M12" s="74"/>
      <c r="N12" s="74"/>
      <c r="O12" s="74"/>
      <c r="P12" s="74"/>
      <c r="Q12" s="74"/>
      <c r="R12" s="74"/>
      <c r="S12" s="74"/>
      <c r="T12" s="74"/>
      <c r="U12" s="74"/>
      <c r="V12" s="74"/>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c r="BL12" s="74"/>
      <c r="BM12" s="74"/>
      <c r="BN12" s="74"/>
      <c r="BO12" s="74"/>
      <c r="BP12" s="74"/>
      <c r="BQ12" s="74"/>
      <c r="BR12" s="74"/>
      <c r="BS12" s="74"/>
      <c r="BT12" s="74"/>
      <c r="BU12" s="74"/>
      <c r="BV12" s="74"/>
      <c r="BW12" s="74"/>
      <c r="BX12" s="74"/>
      <c r="BY12" s="74"/>
      <c r="BZ12" s="74"/>
      <c r="CA12" s="74"/>
      <c r="CB12" s="74"/>
      <c r="CC12" s="74"/>
      <c r="CD12" s="74"/>
      <c r="CE12" s="74"/>
      <c r="CF12" s="74"/>
      <c r="CG12" s="74"/>
      <c r="CH12" s="74"/>
      <c r="CI12" s="74"/>
      <c r="CJ12" s="74"/>
      <c r="CK12" s="74"/>
      <c r="CL12" s="74"/>
      <c r="CM12" s="74"/>
      <c r="CN12" s="74"/>
      <c r="CO12" s="74"/>
      <c r="CP12" s="74"/>
      <c r="CQ12" s="74"/>
      <c r="CR12" s="74"/>
      <c r="CS12" s="74"/>
      <c r="CT12" s="74"/>
      <c r="CU12" s="74"/>
      <c r="CV12" s="74"/>
      <c r="CW12" s="74"/>
      <c r="CX12" s="74"/>
      <c r="CY12" s="74"/>
      <c r="CZ12" s="74"/>
      <c r="DA12" s="74"/>
      <c r="DB12" s="74"/>
      <c r="DC12" s="74"/>
      <c r="DD12" s="74"/>
      <c r="DE12" s="74"/>
      <c r="DF12" s="74"/>
      <c r="DG12" s="74"/>
      <c r="DH12" s="74"/>
      <c r="DI12" s="74"/>
      <c r="DJ12" s="74"/>
      <c r="DK12" s="74"/>
      <c r="DL12" s="74"/>
      <c r="DM12" s="74"/>
      <c r="DN12" s="74"/>
      <c r="DO12" s="74"/>
      <c r="DP12" s="74"/>
      <c r="DQ12" s="74"/>
      <c r="DR12" s="74"/>
      <c r="DS12" s="74"/>
      <c r="DT12" s="74"/>
      <c r="DU12" s="74"/>
      <c r="DV12" s="74"/>
      <c r="DW12" s="74"/>
      <c r="DX12" s="74"/>
      <c r="DY12" s="74"/>
      <c r="DZ12" s="74"/>
      <c r="EA12" s="74"/>
    </row>
    <row r="13" spans="1:136">
      <c r="A13" s="67"/>
      <c r="B13" s="107"/>
      <c r="D13" s="77"/>
      <c r="F13" s="65"/>
      <c r="I13" s="74"/>
      <c r="J13" s="74"/>
      <c r="K13" s="74"/>
      <c r="L13" s="74"/>
      <c r="M13" s="74"/>
      <c r="N13" s="74"/>
      <c r="O13" s="74"/>
      <c r="P13" s="74"/>
      <c r="Q13" s="74"/>
      <c r="R13" s="74"/>
      <c r="S13" s="74"/>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c r="BF13" s="74"/>
      <c r="BG13" s="74"/>
      <c r="BH13" s="74"/>
      <c r="BI13" s="74"/>
      <c r="BJ13" s="74"/>
      <c r="BK13" s="74"/>
      <c r="BL13" s="74"/>
      <c r="BM13" s="74"/>
      <c r="BN13" s="74"/>
      <c r="BO13" s="74"/>
      <c r="BP13" s="74"/>
      <c r="BQ13" s="74"/>
      <c r="BR13" s="74"/>
      <c r="BS13" s="74"/>
      <c r="BT13" s="74"/>
      <c r="BU13" s="74"/>
      <c r="BV13" s="74"/>
      <c r="BW13" s="74"/>
      <c r="BX13" s="74"/>
      <c r="BY13" s="74"/>
      <c r="BZ13" s="74"/>
      <c r="CA13" s="74"/>
      <c r="CB13" s="74"/>
      <c r="CC13" s="74"/>
      <c r="CD13" s="74"/>
      <c r="CE13" s="74"/>
      <c r="CF13" s="74"/>
      <c r="CG13" s="74"/>
      <c r="CH13" s="74"/>
      <c r="CI13" s="74"/>
      <c r="CJ13" s="74"/>
      <c r="CK13" s="74"/>
      <c r="CL13" s="74"/>
      <c r="CM13" s="74"/>
      <c r="CN13" s="74"/>
      <c r="CO13" s="74"/>
      <c r="CP13" s="74"/>
      <c r="CQ13" s="74"/>
      <c r="CR13" s="74"/>
      <c r="CS13" s="74"/>
      <c r="CT13" s="74"/>
      <c r="CU13" s="74"/>
      <c r="CV13" s="74"/>
      <c r="CW13" s="74"/>
      <c r="CX13" s="74"/>
      <c r="CY13" s="74"/>
      <c r="CZ13" s="74"/>
      <c r="DA13" s="74"/>
      <c r="DB13" s="74"/>
      <c r="DC13" s="74"/>
      <c r="DD13" s="74"/>
      <c r="DE13" s="74"/>
      <c r="DF13" s="74"/>
      <c r="DG13" s="74"/>
      <c r="DH13" s="74"/>
      <c r="DI13" s="74"/>
      <c r="DJ13" s="74"/>
      <c r="DK13" s="74"/>
      <c r="DL13" s="74"/>
      <c r="DM13" s="74"/>
      <c r="DN13" s="74"/>
      <c r="DO13" s="74"/>
      <c r="DP13" s="74"/>
      <c r="DQ13" s="74"/>
      <c r="DR13" s="74"/>
      <c r="DS13" s="74"/>
      <c r="DT13" s="74"/>
      <c r="DU13" s="74"/>
      <c r="DV13" s="74"/>
      <c r="DW13" s="74"/>
      <c r="DX13" s="74"/>
      <c r="DY13" s="74"/>
      <c r="DZ13" s="74"/>
      <c r="EA13" s="74"/>
    </row>
    <row r="14" spans="1:136" s="104" customFormat="1">
      <c r="H14" s="104" t="s">
        <v>799</v>
      </c>
      <c r="I14" s="105">
        <f>SUM(I11:I11)</f>
        <v>1.2038294602627908</v>
      </c>
      <c r="J14" s="105">
        <f t="shared" ref="J14:AN14" si="6">SUM(J11:J11)</f>
        <v>1.2038294602627908</v>
      </c>
      <c r="K14" s="105">
        <f t="shared" si="6"/>
        <v>1.2149298410111369</v>
      </c>
      <c r="L14" s="105">
        <f t="shared" si="6"/>
        <v>1.7781613355812309</v>
      </c>
      <c r="M14" s="105">
        <f t="shared" si="6"/>
        <v>1.7781613355812309</v>
      </c>
      <c r="N14" s="105">
        <f t="shared" si="6"/>
        <v>1.6619158292888554</v>
      </c>
      <c r="O14" s="105">
        <f t="shared" si="6"/>
        <v>1.6914475771103739</v>
      </c>
      <c r="P14" s="105">
        <f t="shared" si="6"/>
        <v>1.6914475771103739</v>
      </c>
      <c r="Q14" s="105">
        <f t="shared" si="6"/>
        <v>1.6107799576184294</v>
      </c>
      <c r="R14" s="105">
        <f t="shared" si="6"/>
        <v>1.297586726770332</v>
      </c>
      <c r="S14" s="105">
        <f t="shared" si="6"/>
        <v>1.297586726770332</v>
      </c>
      <c r="T14" s="105">
        <f t="shared" si="6"/>
        <v>1.7028245266251967</v>
      </c>
      <c r="U14" s="105">
        <f t="shared" si="6"/>
        <v>1.7028245266251967</v>
      </c>
      <c r="V14" s="105">
        <f t="shared" si="6"/>
        <v>1.7258356688768886</v>
      </c>
      <c r="W14" s="105">
        <f t="shared" si="6"/>
        <v>1.7258356688768886</v>
      </c>
      <c r="X14" s="105">
        <f t="shared" si="6"/>
        <v>1.7258356688768881</v>
      </c>
      <c r="Y14" s="105">
        <f t="shared" si="6"/>
        <v>1.8025394763825278</v>
      </c>
      <c r="Z14" s="105">
        <f t="shared" si="6"/>
        <v>1.8025394763825278</v>
      </c>
      <c r="AA14" s="105">
        <f t="shared" si="6"/>
        <v>1.8095292560516905</v>
      </c>
      <c r="AB14" s="105">
        <f t="shared" si="6"/>
        <v>1.8095292560516905</v>
      </c>
      <c r="AC14" s="105">
        <f t="shared" si="6"/>
        <v>1.8095292560516905</v>
      </c>
      <c r="AD14" s="105">
        <f t="shared" si="6"/>
        <v>1.8095292560516905</v>
      </c>
      <c r="AE14" s="105">
        <f t="shared" si="6"/>
        <v>1.8095292560516905</v>
      </c>
      <c r="AF14" s="105">
        <f t="shared" si="6"/>
        <v>1.8095292560516905</v>
      </c>
      <c r="AG14" s="105">
        <f t="shared" si="6"/>
        <v>2.8202978893790602</v>
      </c>
      <c r="AH14" s="105">
        <f t="shared" si="6"/>
        <v>2.8202978893790602</v>
      </c>
      <c r="AI14" s="105">
        <f t="shared" si="6"/>
        <v>2.8202978893790602</v>
      </c>
      <c r="AJ14" s="105">
        <f t="shared" si="6"/>
        <v>2.8202978893790602</v>
      </c>
      <c r="AK14" s="105">
        <f t="shared" si="6"/>
        <v>2.5849183129400508</v>
      </c>
      <c r="AL14" s="105">
        <f t="shared" si="6"/>
        <v>2.5849183129400508</v>
      </c>
      <c r="AM14" s="105">
        <f t="shared" si="6"/>
        <v>2.5772479321894868</v>
      </c>
      <c r="AN14" s="105">
        <f t="shared" si="6"/>
        <v>2.4161699364276439</v>
      </c>
      <c r="AO14" s="105">
        <f t="shared" ref="AO14:BT14" si="7">SUM(AO11:AO11)</f>
        <v>2.3394661289220045</v>
      </c>
      <c r="AP14" s="105">
        <f t="shared" si="7"/>
        <v>2.2383582506706867</v>
      </c>
      <c r="AQ14" s="105">
        <f t="shared" si="7"/>
        <v>2.3778180326748242</v>
      </c>
      <c r="AR14" s="105">
        <f t="shared" si="7"/>
        <v>2.2060440443697673</v>
      </c>
      <c r="AS14" s="105">
        <f t="shared" si="7"/>
        <v>2.4113375965547883</v>
      </c>
      <c r="AT14" s="105">
        <f t="shared" si="7"/>
        <v>2.3489542101547189</v>
      </c>
      <c r="AU14" s="105">
        <f t="shared" si="7"/>
        <v>2.1736520084860795</v>
      </c>
      <c r="AV14" s="105">
        <f t="shared" si="7"/>
        <v>2.1736520084860795</v>
      </c>
      <c r="AW14" s="105">
        <f t="shared" si="7"/>
        <v>2.2910441110123725</v>
      </c>
      <c r="AX14" s="105">
        <f t="shared" si="7"/>
        <v>2.0920204312720281</v>
      </c>
      <c r="AY14" s="105">
        <f t="shared" si="7"/>
        <v>1.9979652225892914</v>
      </c>
      <c r="AZ14" s="105">
        <f t="shared" si="7"/>
        <v>1.9979652225892914</v>
      </c>
      <c r="BA14" s="105">
        <f t="shared" si="7"/>
        <v>1.9979652225892914</v>
      </c>
      <c r="BB14" s="105">
        <f t="shared" si="7"/>
        <v>1.9979652225892914</v>
      </c>
      <c r="BC14" s="105">
        <f t="shared" si="7"/>
        <v>1.9979652225892914</v>
      </c>
      <c r="BD14" s="105">
        <f t="shared" si="7"/>
        <v>1.9979652225892914</v>
      </c>
      <c r="BE14" s="105">
        <f t="shared" si="7"/>
        <v>1.9979652225892914</v>
      </c>
      <c r="BF14" s="105">
        <f t="shared" si="7"/>
        <v>1.9979652225892914</v>
      </c>
      <c r="BG14" s="105">
        <f t="shared" si="7"/>
        <v>1.899997626515272</v>
      </c>
      <c r="BH14" s="105">
        <f t="shared" si="7"/>
        <v>1.899997626515272</v>
      </c>
      <c r="BI14" s="105">
        <f t="shared" si="7"/>
        <v>1.899997626515272</v>
      </c>
      <c r="BJ14" s="105">
        <f t="shared" si="7"/>
        <v>1.899997626515272</v>
      </c>
      <c r="BK14" s="105">
        <f t="shared" si="7"/>
        <v>1.7989343974297629</v>
      </c>
      <c r="BL14" s="105">
        <f t="shared" si="7"/>
        <v>1.7989343974297629</v>
      </c>
      <c r="BM14" s="105">
        <f t="shared" si="7"/>
        <v>1.7989343974297629</v>
      </c>
      <c r="BN14" s="105">
        <f t="shared" si="7"/>
        <v>1.7989343974297629</v>
      </c>
      <c r="BO14" s="105">
        <f t="shared" si="7"/>
        <v>1.9359094479647121</v>
      </c>
      <c r="BP14" s="105">
        <f t="shared" si="7"/>
        <v>1.9359094479647121</v>
      </c>
      <c r="BQ14" s="105">
        <f t="shared" si="7"/>
        <v>1.9359094479647121</v>
      </c>
      <c r="BR14" s="105">
        <f t="shared" si="7"/>
        <v>1.9359094479647121</v>
      </c>
      <c r="BS14" s="105">
        <f t="shared" si="7"/>
        <v>1.7989343974297629</v>
      </c>
      <c r="BT14" s="105">
        <f t="shared" si="7"/>
        <v>1.7989343974297629</v>
      </c>
      <c r="BU14" s="105">
        <f t="shared" ref="BU14:CR14" si="8">SUM(BU11:BU11)</f>
        <v>1.7989343974297629</v>
      </c>
      <c r="BV14" s="105">
        <f t="shared" si="8"/>
        <v>1.7989343974297629</v>
      </c>
      <c r="BW14" s="105">
        <f t="shared" si="8"/>
        <v>1.9566936751201951</v>
      </c>
      <c r="BX14" s="105">
        <f t="shared" si="8"/>
        <v>1.9566936751201951</v>
      </c>
      <c r="BY14" s="105">
        <f t="shared" si="8"/>
        <v>1.9566936751201951</v>
      </c>
      <c r="BZ14" s="105">
        <f t="shared" si="8"/>
        <v>1.9566936751201951</v>
      </c>
      <c r="CA14" s="105">
        <f t="shared" si="8"/>
        <v>1.7927783684751246</v>
      </c>
      <c r="CB14" s="105">
        <f t="shared" si="8"/>
        <v>1.7927783684751246</v>
      </c>
      <c r="CC14" s="105">
        <f t="shared" si="8"/>
        <v>1.7927783684751246</v>
      </c>
      <c r="CD14" s="105">
        <f t="shared" si="8"/>
        <v>1.7927783684751246</v>
      </c>
      <c r="CE14" s="105">
        <f t="shared" si="8"/>
        <v>1.7825566279134868</v>
      </c>
      <c r="CF14" s="105">
        <f t="shared" si="8"/>
        <v>1.7825566279134868</v>
      </c>
      <c r="CG14" s="105">
        <f t="shared" si="8"/>
        <v>1.7825566279134868</v>
      </c>
      <c r="CH14" s="105">
        <f t="shared" si="8"/>
        <v>1.7825566279134868</v>
      </c>
      <c r="CI14" s="105">
        <f t="shared" si="8"/>
        <v>1.9044089240676862</v>
      </c>
      <c r="CJ14" s="105">
        <f t="shared" si="8"/>
        <v>1.9044089240676862</v>
      </c>
      <c r="CK14" s="105">
        <f t="shared" si="8"/>
        <v>1.9044089240676862</v>
      </c>
      <c r="CL14" s="105">
        <f t="shared" si="8"/>
        <v>1.9044089240676862</v>
      </c>
      <c r="CM14" s="105">
        <f t="shared" si="8"/>
        <v>1.8307053999779999</v>
      </c>
      <c r="CN14" s="105">
        <f t="shared" si="8"/>
        <v>1.8307053999779999</v>
      </c>
      <c r="CO14" s="105">
        <f t="shared" si="8"/>
        <v>1.8307053999779999</v>
      </c>
      <c r="CP14" s="105">
        <f t="shared" si="8"/>
        <v>1.8307053999779999</v>
      </c>
      <c r="CQ14" s="105">
        <f t="shared" si="8"/>
        <v>1.8307053999779999</v>
      </c>
      <c r="CR14" s="105">
        <f t="shared" si="8"/>
        <v>1.9137599972657053</v>
      </c>
      <c r="CS14" s="105">
        <f t="shared" ref="CS14:CX14" si="9">SUM(CS11:CS11)</f>
        <v>1.9137599972657053</v>
      </c>
      <c r="CT14" s="105">
        <f t="shared" si="9"/>
        <v>1.9137599972657053</v>
      </c>
      <c r="CU14" s="105">
        <f t="shared" si="9"/>
        <v>1.9137599972657053</v>
      </c>
      <c r="CV14" s="105">
        <f t="shared" si="9"/>
        <v>1.9137599972657053</v>
      </c>
      <c r="CW14" s="105">
        <f t="shared" si="9"/>
        <v>1.9137599972657053</v>
      </c>
      <c r="CX14" s="105">
        <f t="shared" si="9"/>
        <v>1.9137599972657053</v>
      </c>
      <c r="CY14" s="105">
        <f t="shared" ref="CY14:DG14" si="10">SUM(CY11:CY11)</f>
        <v>1.5340761501127897</v>
      </c>
      <c r="CZ14" s="105">
        <f t="shared" si="10"/>
        <v>1.5340761501127897</v>
      </c>
      <c r="DA14" s="105">
        <f t="shared" si="10"/>
        <v>1.5340761501127897</v>
      </c>
      <c r="DB14" s="105">
        <f t="shared" si="10"/>
        <v>1.5340761501127897</v>
      </c>
      <c r="DC14" s="105">
        <f t="shared" si="10"/>
        <v>2.0403212796500103</v>
      </c>
      <c r="DD14" s="105">
        <f t="shared" si="10"/>
        <v>1.948276710643243</v>
      </c>
      <c r="DE14" s="105">
        <f t="shared" si="10"/>
        <v>1.948276710643243</v>
      </c>
      <c r="DF14" s="105">
        <f t="shared" si="10"/>
        <v>1.948276710643243</v>
      </c>
      <c r="DG14" s="105">
        <f t="shared" si="10"/>
        <v>1.948276710643243</v>
      </c>
      <c r="DH14" s="105">
        <f t="shared" ref="DH14:DN14" si="11">SUM(DH11:DH11)</f>
        <v>1.948276710643243</v>
      </c>
      <c r="DI14" s="105">
        <f t="shared" si="11"/>
        <v>1.948276710643243</v>
      </c>
      <c r="DJ14" s="105">
        <f t="shared" si="11"/>
        <v>1.948276710643243</v>
      </c>
      <c r="DK14" s="105">
        <f t="shared" si="11"/>
        <v>1.948276710643243</v>
      </c>
      <c r="DL14" s="105">
        <f t="shared" si="11"/>
        <v>1.948276710643243</v>
      </c>
      <c r="DM14" s="105">
        <f t="shared" si="11"/>
        <v>1.9175951876409871</v>
      </c>
      <c r="DN14" s="105">
        <f t="shared" si="11"/>
        <v>1.9175951876409871</v>
      </c>
      <c r="DO14" s="105">
        <f t="shared" ref="DO14:EA14" si="12">SUM(DO11:DO11)</f>
        <v>1.9175951876409871</v>
      </c>
      <c r="DP14" s="105">
        <f t="shared" si="12"/>
        <v>1.9175951876409871</v>
      </c>
      <c r="DQ14" s="105">
        <f t="shared" si="12"/>
        <v>1.6491318613712489</v>
      </c>
      <c r="DR14" s="105">
        <f t="shared" si="12"/>
        <v>1.6491318613712489</v>
      </c>
      <c r="DS14" s="105">
        <f t="shared" si="12"/>
        <v>1.6491318613712489</v>
      </c>
      <c r="DT14" s="105">
        <f t="shared" si="12"/>
        <v>0</v>
      </c>
      <c r="DU14" s="105">
        <f t="shared" si="12"/>
        <v>0</v>
      </c>
      <c r="DV14" s="105">
        <f t="shared" si="12"/>
        <v>0</v>
      </c>
      <c r="DW14" s="105">
        <f t="shared" si="12"/>
        <v>0</v>
      </c>
      <c r="DX14" s="105">
        <f t="shared" si="12"/>
        <v>0</v>
      </c>
      <c r="DY14" s="105">
        <f t="shared" si="12"/>
        <v>0</v>
      </c>
      <c r="DZ14" s="105">
        <f t="shared" si="12"/>
        <v>0</v>
      </c>
      <c r="EA14" s="105">
        <f t="shared" si="12"/>
        <v>0</v>
      </c>
    </row>
    <row r="15" spans="1:136" s="104" customFormat="1">
      <c r="H15" s="60"/>
      <c r="I15" s="105"/>
      <c r="J15" s="105"/>
      <c r="K15" s="105"/>
      <c r="L15" s="105"/>
      <c r="M15" s="105"/>
      <c r="N15" s="105"/>
      <c r="O15" s="105"/>
      <c r="P15" s="105"/>
      <c r="Q15" s="105"/>
      <c r="R15" s="105"/>
      <c r="S15" s="105"/>
      <c r="T15" s="105"/>
      <c r="U15" s="105"/>
      <c r="V15" s="105"/>
      <c r="W15" s="105"/>
      <c r="X15" s="105"/>
      <c r="Y15" s="105"/>
      <c r="Z15" s="105"/>
      <c r="AA15" s="105"/>
      <c r="AB15" s="105"/>
      <c r="AC15" s="105"/>
      <c r="AD15" s="105"/>
      <c r="AE15" s="105"/>
      <c r="AF15" s="105"/>
      <c r="AG15" s="105"/>
      <c r="AH15" s="105"/>
      <c r="AI15" s="105"/>
      <c r="AJ15" s="105"/>
      <c r="AK15" s="105"/>
      <c r="AL15" s="105"/>
      <c r="AM15" s="105"/>
      <c r="AN15" s="105"/>
      <c r="AO15" s="105"/>
      <c r="AP15" s="105"/>
      <c r="AQ15" s="105"/>
      <c r="AR15" s="105"/>
      <c r="AS15" s="105"/>
      <c r="AT15" s="105"/>
      <c r="AU15" s="105"/>
      <c r="AV15" s="105"/>
      <c r="AW15" s="105"/>
      <c r="AX15" s="105"/>
      <c r="AY15" s="105"/>
      <c r="AZ15" s="105"/>
      <c r="BA15" s="105"/>
      <c r="BB15" s="105"/>
      <c r="BC15" s="105"/>
      <c r="BD15" s="105"/>
      <c r="BE15" s="105"/>
      <c r="BF15" s="105"/>
      <c r="BG15" s="105"/>
      <c r="BH15" s="105"/>
      <c r="BI15" s="105"/>
      <c r="BJ15" s="105"/>
      <c r="BK15" s="105"/>
      <c r="BL15" s="105"/>
      <c r="BM15" s="105"/>
      <c r="BN15" s="105"/>
      <c r="BO15" s="105"/>
      <c r="BP15" s="105"/>
      <c r="BQ15" s="105"/>
      <c r="BR15" s="105"/>
      <c r="BS15" s="105"/>
      <c r="BT15" s="105"/>
      <c r="BU15" s="105"/>
      <c r="BV15" s="105"/>
      <c r="BW15" s="105"/>
      <c r="BX15" s="105"/>
      <c r="BY15" s="105"/>
      <c r="BZ15" s="105"/>
      <c r="CA15" s="105"/>
      <c r="CB15" s="105"/>
      <c r="CC15" s="105"/>
      <c r="CD15" s="105"/>
      <c r="CE15" s="105"/>
      <c r="CF15" s="105"/>
      <c r="CG15" s="105"/>
      <c r="CH15" s="105"/>
      <c r="CI15" s="105"/>
      <c r="CJ15" s="105"/>
      <c r="CK15" s="105"/>
      <c r="CL15" s="105"/>
      <c r="CM15" s="105"/>
      <c r="CN15" s="105"/>
      <c r="CO15" s="105"/>
      <c r="CP15" s="105"/>
      <c r="CQ15" s="105"/>
      <c r="CR15" s="105"/>
      <c r="CS15" s="105"/>
      <c r="CT15" s="105"/>
      <c r="CU15" s="105"/>
      <c r="CV15" s="105"/>
      <c r="CW15" s="105"/>
      <c r="CX15" s="105"/>
      <c r="CY15" s="105"/>
      <c r="CZ15" s="105"/>
      <c r="DA15" s="105"/>
      <c r="DB15" s="105"/>
      <c r="DC15" s="105"/>
      <c r="DD15" s="105"/>
      <c r="DE15" s="105"/>
      <c r="DF15" s="105"/>
      <c r="DG15" s="105"/>
      <c r="DH15" s="105"/>
      <c r="DI15" s="105"/>
      <c r="DJ15" s="105"/>
      <c r="DK15" s="105"/>
      <c r="DL15" s="105"/>
      <c r="DM15" s="105"/>
      <c r="DN15" s="105"/>
    </row>
    <row r="16" spans="1:136" ht="15">
      <c r="A16"/>
      <c r="H16" s="60" t="s">
        <v>429</v>
      </c>
      <c r="I16" s="74"/>
      <c r="J16" s="74"/>
      <c r="K16" s="74"/>
      <c r="L16" s="74"/>
      <c r="M16" s="74"/>
      <c r="N16" s="74"/>
      <c r="O16" s="74"/>
      <c r="P16" s="74"/>
      <c r="Q16" s="74"/>
      <c r="R16" s="74"/>
      <c r="S16" s="74"/>
      <c r="T16" s="74"/>
      <c r="U16" s="74"/>
      <c r="V16" s="74"/>
      <c r="W16" s="74"/>
      <c r="X16" s="74"/>
      <c r="Y16" s="74"/>
      <c r="Z16" s="74"/>
      <c r="AA16" s="74"/>
      <c r="AB16" s="74"/>
      <c r="AC16" s="74"/>
      <c r="AD16" s="74"/>
      <c r="AE16" s="74"/>
      <c r="AF16" s="74"/>
      <c r="AG16" s="74"/>
      <c r="AH16" s="74"/>
      <c r="AI16" s="74"/>
      <c r="AK16" s="74"/>
      <c r="AL16" s="74"/>
      <c r="AM16" s="74"/>
      <c r="AN16" s="74"/>
      <c r="AO16" s="74"/>
      <c r="AP16" s="74"/>
      <c r="AQ16" s="74">
        <f>672/82</f>
        <v>8.1951219512195124</v>
      </c>
      <c r="AR16" s="74"/>
      <c r="AS16" s="74"/>
      <c r="AT16" s="74"/>
      <c r="AU16" s="74"/>
      <c r="AV16" s="74"/>
      <c r="AW16" s="74">
        <f>606/82</f>
        <v>7.3902439024390247</v>
      </c>
      <c r="AX16" s="74"/>
      <c r="AY16" s="74"/>
      <c r="AZ16" s="74"/>
      <c r="BA16" s="74"/>
      <c r="BB16" s="74"/>
      <c r="BC16" s="74"/>
      <c r="BD16" s="74"/>
      <c r="BE16" s="74"/>
      <c r="BF16" s="74"/>
      <c r="BG16" s="74"/>
      <c r="BH16" s="74"/>
      <c r="BI16" s="74"/>
      <c r="BJ16" s="74"/>
      <c r="BK16" s="74"/>
      <c r="BL16" s="74"/>
      <c r="BM16" s="74"/>
      <c r="BN16" s="74"/>
      <c r="BO16" s="74"/>
      <c r="BP16" s="74"/>
      <c r="BQ16" s="74"/>
      <c r="BR16" s="74"/>
      <c r="BS16" s="74"/>
      <c r="BT16" s="74"/>
      <c r="BU16" s="74"/>
      <c r="BV16" s="74"/>
      <c r="BW16" s="74"/>
      <c r="BX16" s="74"/>
      <c r="BY16" s="74"/>
      <c r="BZ16" s="74"/>
      <c r="CA16" s="74">
        <f>638/83.5</f>
        <v>7.6407185628742518</v>
      </c>
      <c r="CB16" s="74"/>
      <c r="CC16" s="74"/>
      <c r="CD16" s="74"/>
      <c r="CE16" s="74"/>
      <c r="CF16" s="74"/>
      <c r="CG16" s="74"/>
      <c r="CH16" s="74"/>
      <c r="CI16" s="74"/>
      <c r="CJ16" s="74"/>
      <c r="CK16" s="74"/>
      <c r="CL16" s="74"/>
      <c r="CM16" s="74"/>
      <c r="CN16" s="74"/>
      <c r="CO16" s="74"/>
      <c r="CP16" s="74"/>
      <c r="CQ16" s="74"/>
      <c r="CR16" s="74"/>
      <c r="CS16" s="74"/>
      <c r="CT16" s="74"/>
      <c r="CU16" s="74"/>
      <c r="CV16" s="74"/>
      <c r="CW16" s="74"/>
      <c r="CX16" s="74"/>
      <c r="CY16" s="74"/>
      <c r="CZ16" s="74"/>
      <c r="DA16" s="74"/>
      <c r="DB16" s="74"/>
      <c r="DC16" s="74"/>
      <c r="DD16" s="74"/>
      <c r="DE16" s="74"/>
      <c r="DF16" s="74"/>
      <c r="DG16" s="74"/>
      <c r="DH16" s="74"/>
      <c r="DI16" s="74"/>
      <c r="DJ16" s="74"/>
      <c r="DK16" s="74"/>
      <c r="DL16" s="74"/>
      <c r="DM16" s="74"/>
      <c r="DN16" s="74"/>
    </row>
    <row r="17" spans="8:130">
      <c r="H17" s="60" t="s">
        <v>406</v>
      </c>
      <c r="I17" s="74"/>
      <c r="J17" s="74"/>
      <c r="K17" s="74"/>
      <c r="L17" s="74"/>
      <c r="M17" s="74"/>
      <c r="N17" s="74"/>
      <c r="O17" s="74"/>
      <c r="P17" s="74"/>
      <c r="Q17" s="74"/>
      <c r="R17" s="74"/>
      <c r="S17" s="74"/>
      <c r="T17" s="74"/>
      <c r="U17" s="74"/>
      <c r="V17" s="74"/>
      <c r="W17" s="74"/>
      <c r="X17" s="74"/>
      <c r="Y17" s="74"/>
      <c r="Z17" s="74"/>
      <c r="AA17" s="74"/>
      <c r="AB17" s="74"/>
      <c r="AC17" s="74"/>
      <c r="AD17" s="74"/>
      <c r="AE17" s="74"/>
      <c r="AF17" s="74"/>
      <c r="AG17" s="74"/>
      <c r="AH17" s="74"/>
      <c r="AI17" s="74"/>
      <c r="AK17" s="74"/>
      <c r="AL17" s="74"/>
      <c r="AM17" s="74"/>
      <c r="AN17" s="74"/>
      <c r="AO17" s="74"/>
      <c r="AP17" s="74"/>
      <c r="AQ17" s="74">
        <f>AQ16-AQ14</f>
        <v>5.8173039185446882</v>
      </c>
      <c r="AR17" s="74"/>
      <c r="AS17" s="74"/>
      <c r="AT17" s="74"/>
      <c r="AU17" s="74"/>
      <c r="AV17" s="74"/>
      <c r="AW17" s="74">
        <f>AW16-AW14</f>
        <v>5.0991997914266527</v>
      </c>
      <c r="AX17" s="74"/>
      <c r="AY17" s="74"/>
      <c r="AZ17" s="74"/>
      <c r="BA17" s="74"/>
      <c r="BB17" s="74"/>
      <c r="BC17" s="74"/>
      <c r="BD17" s="74"/>
      <c r="BE17" s="74"/>
      <c r="BF17" s="74"/>
      <c r="BG17" s="74"/>
      <c r="BH17" s="74"/>
      <c r="BI17" s="74"/>
      <c r="BJ17" s="74"/>
      <c r="BK17" s="74"/>
      <c r="BL17" s="74"/>
      <c r="BM17" s="74"/>
      <c r="BN17" s="74"/>
      <c r="BO17" s="74"/>
      <c r="BP17" s="74"/>
      <c r="BQ17" s="74"/>
      <c r="BR17" s="74"/>
      <c r="BS17" s="74"/>
      <c r="BT17" s="74"/>
      <c r="BU17" s="74"/>
      <c r="BV17" s="74"/>
      <c r="BW17" s="74"/>
      <c r="BX17" s="74"/>
      <c r="BY17" s="74"/>
      <c r="BZ17" s="74"/>
      <c r="CA17" s="74">
        <f>CA16-CA14</f>
        <v>5.8479401943991274</v>
      </c>
      <c r="CB17" s="74"/>
      <c r="CC17" s="74"/>
      <c r="CD17" s="74"/>
      <c r="CE17" s="74"/>
      <c r="CF17" s="74"/>
      <c r="CG17" s="74"/>
      <c r="CH17" s="74"/>
      <c r="CI17" s="74"/>
      <c r="CJ17" s="74"/>
      <c r="CK17" s="74"/>
      <c r="CL17" s="74"/>
      <c r="CM17" s="74"/>
      <c r="CN17" s="74"/>
      <c r="CO17" s="74"/>
      <c r="CP17" s="74"/>
      <c r="CQ17" s="74"/>
      <c r="CR17" s="74"/>
      <c r="CS17" s="74"/>
      <c r="CT17" s="74"/>
      <c r="CU17" s="74"/>
      <c r="CV17" s="74"/>
      <c r="CW17" s="74"/>
      <c r="CX17" s="74"/>
      <c r="CY17" s="74"/>
      <c r="CZ17" s="74"/>
      <c r="DA17" s="74"/>
      <c r="DB17" s="74"/>
      <c r="DC17" s="74"/>
      <c r="DD17" s="74"/>
      <c r="DE17" s="74"/>
      <c r="DF17" s="74"/>
      <c r="DG17" s="74"/>
      <c r="DH17" s="74"/>
      <c r="DI17" s="74"/>
      <c r="DJ17" s="74"/>
      <c r="DK17" s="74"/>
      <c r="DL17" s="74"/>
      <c r="DM17" s="74"/>
      <c r="DN17" s="74"/>
    </row>
    <row r="19" spans="8:130" ht="13" thickBot="1"/>
    <row r="20" spans="8:130" s="73" customFormat="1" ht="13" thickBot="1">
      <c r="H20" s="257" t="s">
        <v>800</v>
      </c>
      <c r="I20" s="258">
        <f>5.1+I14</f>
        <v>6.30382946026279</v>
      </c>
      <c r="J20" s="258">
        <f t="shared" ref="J20:BU20" si="13">5.1+J14</f>
        <v>6.30382946026279</v>
      </c>
      <c r="K20" s="258">
        <f t="shared" si="13"/>
        <v>6.3149298410111365</v>
      </c>
      <c r="L20" s="258">
        <f t="shared" si="13"/>
        <v>6.8781613355812308</v>
      </c>
      <c r="M20" s="258">
        <f t="shared" si="13"/>
        <v>6.8781613355812308</v>
      </c>
      <c r="N20" s="258">
        <f t="shared" si="13"/>
        <v>6.7619158292888546</v>
      </c>
      <c r="O20" s="258">
        <f t="shared" si="13"/>
        <v>6.7914475771103735</v>
      </c>
      <c r="P20" s="258">
        <f t="shared" si="13"/>
        <v>6.7914475771103735</v>
      </c>
      <c r="Q20" s="258">
        <f t="shared" si="13"/>
        <v>6.7107799576184295</v>
      </c>
      <c r="R20" s="258">
        <f t="shared" si="13"/>
        <v>6.3975867267703315</v>
      </c>
      <c r="S20" s="258">
        <f t="shared" si="13"/>
        <v>6.3975867267703315</v>
      </c>
      <c r="T20" s="258">
        <f t="shared" si="13"/>
        <v>6.8028245266251961</v>
      </c>
      <c r="U20" s="258">
        <f t="shared" si="13"/>
        <v>6.8028245266251961</v>
      </c>
      <c r="V20" s="258">
        <f t="shared" si="13"/>
        <v>6.8258356688768878</v>
      </c>
      <c r="W20" s="258">
        <f t="shared" si="13"/>
        <v>6.8258356688768878</v>
      </c>
      <c r="X20" s="258">
        <f t="shared" si="13"/>
        <v>6.8258356688768878</v>
      </c>
      <c r="Y20" s="258">
        <f t="shared" si="13"/>
        <v>6.9025394763825272</v>
      </c>
      <c r="Z20" s="258">
        <f t="shared" si="13"/>
        <v>6.9025394763825272</v>
      </c>
      <c r="AA20" s="258">
        <f t="shared" si="13"/>
        <v>6.9095292560516901</v>
      </c>
      <c r="AB20" s="258">
        <f t="shared" si="13"/>
        <v>6.9095292560516901</v>
      </c>
      <c r="AC20" s="258">
        <f t="shared" si="13"/>
        <v>6.9095292560516901</v>
      </c>
      <c r="AD20" s="258">
        <f t="shared" si="13"/>
        <v>6.9095292560516901</v>
      </c>
      <c r="AE20" s="258">
        <f t="shared" si="13"/>
        <v>6.9095292560516901</v>
      </c>
      <c r="AF20" s="258">
        <f t="shared" si="13"/>
        <v>6.9095292560516901</v>
      </c>
      <c r="AG20" s="258">
        <f t="shared" si="13"/>
        <v>7.9202978893790599</v>
      </c>
      <c r="AH20" s="258">
        <f t="shared" si="13"/>
        <v>7.9202978893790599</v>
      </c>
      <c r="AI20" s="258">
        <f t="shared" si="13"/>
        <v>7.9202978893790599</v>
      </c>
      <c r="AJ20" s="258">
        <f t="shared" si="13"/>
        <v>7.9202978893790599</v>
      </c>
      <c r="AK20" s="258">
        <f t="shared" si="13"/>
        <v>7.6849183129400505</v>
      </c>
      <c r="AL20" s="258">
        <f t="shared" si="13"/>
        <v>7.6849183129400505</v>
      </c>
      <c r="AM20" s="258">
        <f t="shared" si="13"/>
        <v>7.677247932189486</v>
      </c>
      <c r="AN20" s="258">
        <f t="shared" si="13"/>
        <v>7.5161699364276435</v>
      </c>
      <c r="AO20" s="258">
        <f t="shared" si="13"/>
        <v>7.4394661289220041</v>
      </c>
      <c r="AP20" s="258">
        <f t="shared" si="13"/>
        <v>7.3383582506706864</v>
      </c>
      <c r="AQ20" s="258">
        <f t="shared" si="13"/>
        <v>7.4778180326748238</v>
      </c>
      <c r="AR20" s="258">
        <f t="shared" si="13"/>
        <v>7.3060440443697665</v>
      </c>
      <c r="AS20" s="258">
        <f t="shared" si="13"/>
        <v>7.5113375965547879</v>
      </c>
      <c r="AT20" s="258">
        <f t="shared" si="13"/>
        <v>7.448954210154719</v>
      </c>
      <c r="AU20" s="258">
        <f t="shared" si="13"/>
        <v>7.2736520084860796</v>
      </c>
      <c r="AV20" s="258">
        <f t="shared" si="13"/>
        <v>7.2736520084860796</v>
      </c>
      <c r="AW20" s="258">
        <f t="shared" si="13"/>
        <v>7.3910441110123717</v>
      </c>
      <c r="AX20" s="258">
        <f t="shared" si="13"/>
        <v>7.1920204312720273</v>
      </c>
      <c r="AY20" s="258">
        <f t="shared" si="13"/>
        <v>7.0979652225892913</v>
      </c>
      <c r="AZ20" s="258">
        <f t="shared" si="13"/>
        <v>7.0979652225892913</v>
      </c>
      <c r="BA20" s="258">
        <f t="shared" si="13"/>
        <v>7.0979652225892913</v>
      </c>
      <c r="BB20" s="258">
        <f t="shared" si="13"/>
        <v>7.0979652225892913</v>
      </c>
      <c r="BC20" s="258">
        <f t="shared" si="13"/>
        <v>7.0979652225892913</v>
      </c>
      <c r="BD20" s="258">
        <f t="shared" si="13"/>
        <v>7.0979652225892913</v>
      </c>
      <c r="BE20" s="258">
        <f t="shared" si="13"/>
        <v>7.0979652225892913</v>
      </c>
      <c r="BF20" s="258">
        <f t="shared" si="13"/>
        <v>7.0979652225892913</v>
      </c>
      <c r="BG20" s="258">
        <f t="shared" si="13"/>
        <v>6.9999976265152721</v>
      </c>
      <c r="BH20" s="258">
        <f t="shared" si="13"/>
        <v>6.9999976265152721</v>
      </c>
      <c r="BI20" s="258">
        <f t="shared" si="13"/>
        <v>6.9999976265152721</v>
      </c>
      <c r="BJ20" s="258">
        <f t="shared" si="13"/>
        <v>6.9999976265152721</v>
      </c>
      <c r="BK20" s="258">
        <f t="shared" si="13"/>
        <v>6.8989343974297626</v>
      </c>
      <c r="BL20" s="258">
        <f t="shared" si="13"/>
        <v>6.8989343974297626</v>
      </c>
      <c r="BM20" s="258">
        <f t="shared" si="13"/>
        <v>6.8989343974297626</v>
      </c>
      <c r="BN20" s="258">
        <f t="shared" si="13"/>
        <v>6.8989343974297626</v>
      </c>
      <c r="BO20" s="258">
        <f t="shared" si="13"/>
        <v>7.0359094479647117</v>
      </c>
      <c r="BP20" s="258">
        <f t="shared" si="13"/>
        <v>7.0359094479647117</v>
      </c>
      <c r="BQ20" s="258">
        <f t="shared" si="13"/>
        <v>7.0359094479647117</v>
      </c>
      <c r="BR20" s="258">
        <f t="shared" si="13"/>
        <v>7.0359094479647117</v>
      </c>
      <c r="BS20" s="258">
        <f t="shared" si="13"/>
        <v>6.8989343974297626</v>
      </c>
      <c r="BT20" s="258">
        <f t="shared" si="13"/>
        <v>6.8989343974297626</v>
      </c>
      <c r="BU20" s="258">
        <f t="shared" si="13"/>
        <v>6.8989343974297626</v>
      </c>
      <c r="BV20" s="258">
        <f t="shared" ref="BV20:DZ20" si="14">5.1+BV14</f>
        <v>6.8989343974297626</v>
      </c>
      <c r="BW20" s="258">
        <f t="shared" si="14"/>
        <v>7.0566936751201945</v>
      </c>
      <c r="BX20" s="258">
        <f t="shared" si="14"/>
        <v>7.0566936751201945</v>
      </c>
      <c r="BY20" s="258">
        <f t="shared" si="14"/>
        <v>7.0566936751201945</v>
      </c>
      <c r="BZ20" s="258">
        <f t="shared" si="14"/>
        <v>7.0566936751201945</v>
      </c>
      <c r="CA20" s="258">
        <f t="shared" si="14"/>
        <v>6.892778368475124</v>
      </c>
      <c r="CB20" s="258">
        <f t="shared" si="14"/>
        <v>6.892778368475124</v>
      </c>
      <c r="CC20" s="258">
        <f t="shared" si="14"/>
        <v>6.892778368475124</v>
      </c>
      <c r="CD20" s="258">
        <f t="shared" si="14"/>
        <v>6.892778368475124</v>
      </c>
      <c r="CE20" s="258">
        <f t="shared" si="14"/>
        <v>6.8825566279134867</v>
      </c>
      <c r="CF20" s="258">
        <f t="shared" si="14"/>
        <v>6.8825566279134867</v>
      </c>
      <c r="CG20" s="258">
        <f t="shared" si="14"/>
        <v>6.8825566279134867</v>
      </c>
      <c r="CH20" s="258">
        <f t="shared" si="14"/>
        <v>6.8825566279134867</v>
      </c>
      <c r="CI20" s="258">
        <f t="shared" si="14"/>
        <v>7.0044089240676861</v>
      </c>
      <c r="CJ20" s="258">
        <f t="shared" si="14"/>
        <v>7.0044089240676861</v>
      </c>
      <c r="CK20" s="258">
        <f t="shared" si="14"/>
        <v>7.0044089240676861</v>
      </c>
      <c r="CL20" s="258">
        <f t="shared" si="14"/>
        <v>7.0044089240676861</v>
      </c>
      <c r="CM20" s="258">
        <f t="shared" si="14"/>
        <v>6.9307053999779997</v>
      </c>
      <c r="CN20" s="258">
        <f t="shared" si="14"/>
        <v>6.9307053999779997</v>
      </c>
      <c r="CO20" s="258">
        <f t="shared" si="14"/>
        <v>6.9307053999779997</v>
      </c>
      <c r="CP20" s="258">
        <f t="shared" si="14"/>
        <v>6.9307053999779997</v>
      </c>
      <c r="CQ20" s="258">
        <f t="shared" si="14"/>
        <v>6.9307053999779997</v>
      </c>
      <c r="CR20" s="258">
        <f t="shared" si="14"/>
        <v>7.013759997265705</v>
      </c>
      <c r="CS20" s="258">
        <f t="shared" si="14"/>
        <v>7.013759997265705</v>
      </c>
      <c r="CT20" s="258">
        <f t="shared" si="14"/>
        <v>7.013759997265705</v>
      </c>
      <c r="CU20" s="258">
        <f t="shared" si="14"/>
        <v>7.013759997265705</v>
      </c>
      <c r="CV20" s="258">
        <f t="shared" si="14"/>
        <v>7.013759997265705</v>
      </c>
      <c r="CW20" s="258">
        <f t="shared" si="14"/>
        <v>7.013759997265705</v>
      </c>
      <c r="CX20" s="258">
        <f t="shared" si="14"/>
        <v>7.013759997265705</v>
      </c>
      <c r="CY20" s="258">
        <f t="shared" si="14"/>
        <v>6.6340761501127892</v>
      </c>
      <c r="CZ20" s="258">
        <f t="shared" si="14"/>
        <v>6.6340761501127892</v>
      </c>
      <c r="DA20" s="258">
        <f t="shared" si="14"/>
        <v>6.6340761501127892</v>
      </c>
      <c r="DB20" s="258">
        <f t="shared" si="14"/>
        <v>6.6340761501127892</v>
      </c>
      <c r="DC20" s="258">
        <f t="shared" si="14"/>
        <v>7.14032127965001</v>
      </c>
      <c r="DD20" s="258">
        <f t="shared" si="14"/>
        <v>7.0482767106432425</v>
      </c>
      <c r="DE20" s="258">
        <f t="shared" si="14"/>
        <v>7.0482767106432425</v>
      </c>
      <c r="DF20" s="258">
        <f t="shared" si="14"/>
        <v>7.0482767106432425</v>
      </c>
      <c r="DG20" s="258">
        <f t="shared" si="14"/>
        <v>7.0482767106432425</v>
      </c>
      <c r="DH20" s="258">
        <f t="shared" si="14"/>
        <v>7.0482767106432425</v>
      </c>
      <c r="DI20" s="258">
        <f t="shared" si="14"/>
        <v>7.0482767106432425</v>
      </c>
      <c r="DJ20" s="258">
        <f t="shared" si="14"/>
        <v>7.0482767106432425</v>
      </c>
      <c r="DK20" s="258">
        <f t="shared" si="14"/>
        <v>7.0482767106432425</v>
      </c>
      <c r="DL20" s="258">
        <f t="shared" si="14"/>
        <v>7.0482767106432425</v>
      </c>
      <c r="DM20" s="258">
        <f t="shared" si="14"/>
        <v>7.0175951876409872</v>
      </c>
      <c r="DN20" s="258">
        <f t="shared" si="14"/>
        <v>7.0175951876409872</v>
      </c>
      <c r="DO20" s="258">
        <f t="shared" si="14"/>
        <v>7.0175951876409872</v>
      </c>
      <c r="DP20" s="258">
        <f t="shared" si="14"/>
        <v>7.0175951876409872</v>
      </c>
      <c r="DQ20" s="258">
        <f t="shared" si="14"/>
        <v>6.7491318613712483</v>
      </c>
      <c r="DR20" s="258">
        <f t="shared" si="14"/>
        <v>6.7491318613712483</v>
      </c>
      <c r="DS20" s="258">
        <f t="shared" si="14"/>
        <v>6.7491318613712483</v>
      </c>
      <c r="DT20" s="258">
        <f t="shared" si="14"/>
        <v>5.0999999999999996</v>
      </c>
      <c r="DU20" s="258">
        <f t="shared" si="14"/>
        <v>5.0999999999999996</v>
      </c>
      <c r="DV20" s="258">
        <f t="shared" si="14"/>
        <v>5.0999999999999996</v>
      </c>
      <c r="DW20" s="258">
        <f t="shared" si="14"/>
        <v>5.0999999999999996</v>
      </c>
      <c r="DX20" s="258">
        <f t="shared" si="14"/>
        <v>5.0999999999999996</v>
      </c>
      <c r="DY20" s="258">
        <f t="shared" si="14"/>
        <v>5.0999999999999996</v>
      </c>
      <c r="DZ20" s="258">
        <f t="shared" si="14"/>
        <v>5.0999999999999996</v>
      </c>
    </row>
  </sheetData>
  <pageMargins left="0.7" right="0.7" top="0.75" bottom="0.75" header="0.3" footer="0.3"/>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FB20"/>
  <sheetViews>
    <sheetView workbookViewId="0">
      <pane xSplit="11" ySplit="7" topLeftCell="AH8" activePane="bottomRight" state="frozen"/>
      <selection pane="topRight" activeCell="L1" sqref="L1"/>
      <selection pane="bottomLeft" activeCell="A7" sqref="A7"/>
      <selection pane="bottomRight" activeCell="AS17" sqref="AS17"/>
    </sheetView>
  </sheetViews>
  <sheetFormatPr baseColWidth="10" defaultColWidth="22.6640625" defaultRowHeight="12"/>
  <cols>
    <col min="1" max="1" width="13.33203125" style="60" bestFit="1" customWidth="1"/>
    <col min="2" max="2" width="11.33203125" style="60" bestFit="1" customWidth="1"/>
    <col min="3" max="3" width="4.83203125" style="60" bestFit="1" customWidth="1"/>
    <col min="4" max="4" width="12.33203125" style="60" bestFit="1" customWidth="1"/>
    <col min="5" max="5" width="11.83203125" style="60" bestFit="1" customWidth="1"/>
    <col min="6" max="6" width="6" style="60" bestFit="1" customWidth="1"/>
    <col min="7" max="7" width="4.1640625" style="60" bestFit="1" customWidth="1"/>
    <col min="8" max="8" width="22.83203125" style="60" bestFit="1" customWidth="1"/>
    <col min="9" max="9" width="5.1640625" style="60" bestFit="1" customWidth="1"/>
    <col min="10" max="10" width="5.5" style="60" bestFit="1" customWidth="1"/>
    <col min="11" max="11" width="5.6640625" style="60" bestFit="1" customWidth="1"/>
    <col min="12" max="12" width="5.33203125" style="60" bestFit="1" customWidth="1"/>
    <col min="13" max="13" width="5.83203125" style="60" bestFit="1" customWidth="1"/>
    <col min="14" max="14" width="5.1640625" style="60" bestFit="1" customWidth="1"/>
    <col min="15" max="15" width="4.6640625" style="60" bestFit="1" customWidth="1"/>
    <col min="16" max="18" width="5.5" style="60" bestFit="1" customWidth="1"/>
    <col min="19" max="19" width="5.6640625" style="60" bestFit="1" customWidth="1"/>
    <col min="20" max="20" width="5.5" style="60" bestFit="1" customWidth="1"/>
    <col min="21" max="21" width="5.1640625" style="60" bestFit="1" customWidth="1"/>
    <col min="22" max="22" width="5.5" style="60" bestFit="1" customWidth="1"/>
    <col min="23" max="23" width="5.6640625" style="60" bestFit="1" customWidth="1"/>
    <col min="24" max="24" width="5.33203125" style="60" bestFit="1" customWidth="1"/>
    <col min="25" max="25" width="5.83203125" style="60" bestFit="1" customWidth="1"/>
    <col min="26" max="26" width="5.1640625" style="60" bestFit="1" customWidth="1"/>
    <col min="27" max="27" width="4.6640625" style="60" bestFit="1" customWidth="1"/>
    <col min="28" max="30" width="5.5" style="60" bestFit="1" customWidth="1"/>
    <col min="31" max="31" width="5.6640625" style="60" bestFit="1" customWidth="1"/>
    <col min="32" max="32" width="5.5" style="60" bestFit="1" customWidth="1"/>
    <col min="33" max="33" width="5.1640625" style="60" bestFit="1" customWidth="1"/>
    <col min="34" max="34" width="5.5" style="60" bestFit="1" customWidth="1"/>
    <col min="35" max="35" width="5.6640625" style="60" bestFit="1" customWidth="1"/>
    <col min="36" max="36" width="5.33203125" style="60" bestFit="1" customWidth="1"/>
    <col min="37" max="37" width="5.83203125" style="60" bestFit="1" customWidth="1"/>
    <col min="38" max="38" width="5.1640625" style="60" bestFit="1" customWidth="1"/>
    <col min="39" max="39" width="4.6640625" style="60" bestFit="1" customWidth="1"/>
    <col min="40" max="42" width="5.5" style="60" bestFit="1" customWidth="1"/>
    <col min="43" max="43" width="5.6640625" style="60" bestFit="1" customWidth="1"/>
    <col min="44" max="44" width="5.5" style="60" bestFit="1" customWidth="1"/>
    <col min="45" max="45" width="5.1640625" style="60" bestFit="1" customWidth="1"/>
    <col min="46" max="46" width="5.5" style="60" bestFit="1" customWidth="1"/>
    <col min="47" max="47" width="5.6640625" style="60" bestFit="1" customWidth="1"/>
    <col min="48" max="48" width="5.33203125" style="60" bestFit="1" customWidth="1"/>
    <col min="49" max="49" width="5.83203125" style="60" bestFit="1" customWidth="1"/>
    <col min="50" max="50" width="5.1640625" style="60" bestFit="1" customWidth="1"/>
    <col min="51" max="51" width="4.6640625" style="60" bestFit="1" customWidth="1"/>
    <col min="52" max="54" width="7" style="60" bestFit="1" customWidth="1"/>
    <col min="55" max="56" width="5.5" style="60" bestFit="1" customWidth="1"/>
    <col min="57" max="58" width="5.83203125" style="60" bestFit="1" customWidth="1"/>
    <col min="59" max="70" width="5.6640625" style="60" bestFit="1" customWidth="1"/>
    <col min="71" max="74" width="5.5" style="60" bestFit="1" customWidth="1"/>
    <col min="75" max="78" width="5.1640625" style="60" bestFit="1" customWidth="1"/>
    <col min="79" max="82" width="5.5" style="60" bestFit="1" customWidth="1"/>
    <col min="83" max="83" width="6.1640625" style="60" bestFit="1" customWidth="1"/>
    <col min="84" max="86" width="5.6640625" style="60" bestFit="1" customWidth="1"/>
    <col min="87" max="90" width="5.5" style="60" bestFit="1" customWidth="1"/>
    <col min="91" max="95" width="6.33203125" style="60" bestFit="1" customWidth="1"/>
    <col min="96" max="99" width="6.1640625" style="60" bestFit="1" customWidth="1"/>
    <col min="100" max="103" width="5.1640625" style="60" bestFit="1" customWidth="1"/>
    <col min="104" max="107" width="5.83203125" style="60" bestFit="1" customWidth="1"/>
    <col min="108" max="115" width="5.6640625" style="60" bestFit="1" customWidth="1"/>
    <col min="116" max="119" width="6.1640625" style="60" bestFit="1" customWidth="1"/>
    <col min="120" max="123" width="5.83203125" style="60" bestFit="1" customWidth="1"/>
    <col min="124" max="157" width="5.1640625" style="60" bestFit="1" customWidth="1"/>
    <col min="158" max="158" width="3.33203125" style="60" bestFit="1" customWidth="1"/>
    <col min="159" max="16384" width="22.6640625" style="60"/>
  </cols>
  <sheetData>
    <row r="1" spans="1:158" ht="13">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c r="EM1" s="99">
        <v>141</v>
      </c>
      <c r="EN1" s="99">
        <v>142</v>
      </c>
      <c r="EO1" s="99">
        <v>143</v>
      </c>
      <c r="EP1" s="99">
        <v>144</v>
      </c>
      <c r="EQ1" s="99">
        <v>145</v>
      </c>
      <c r="ER1" s="99">
        <v>146</v>
      </c>
      <c r="ES1" s="99">
        <v>147</v>
      </c>
      <c r="ET1" s="99">
        <v>148</v>
      </c>
      <c r="EU1" s="99">
        <v>149</v>
      </c>
      <c r="EV1" s="99">
        <v>150</v>
      </c>
      <c r="EW1" s="99">
        <v>151</v>
      </c>
      <c r="EX1" s="99">
        <v>152</v>
      </c>
      <c r="EY1" s="99">
        <v>153</v>
      </c>
      <c r="EZ1" s="99">
        <v>154</v>
      </c>
      <c r="FA1" s="99">
        <v>155</v>
      </c>
      <c r="FB1" s="99">
        <v>156</v>
      </c>
    </row>
    <row r="2" spans="1:158">
      <c r="A2" s="59"/>
      <c r="B2" s="59"/>
      <c r="C2" s="59"/>
      <c r="D2" s="98"/>
      <c r="E2" s="98"/>
      <c r="F2" s="59"/>
      <c r="H2" s="99"/>
      <c r="I2" s="99"/>
      <c r="J2" s="99"/>
      <c r="K2" s="99"/>
      <c r="L2" s="99"/>
      <c r="M2" s="99"/>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99"/>
      <c r="AP2" s="99"/>
      <c r="AQ2" s="99"/>
      <c r="AR2" s="99"/>
      <c r="AS2" s="99"/>
      <c r="AT2" s="99"/>
      <c r="AU2" s="99"/>
      <c r="AV2" s="99"/>
      <c r="AW2" s="99"/>
      <c r="AX2" s="99"/>
      <c r="AY2" s="99"/>
      <c r="AZ2" s="99"/>
      <c r="BA2" s="99"/>
      <c r="BB2" s="99"/>
      <c r="BC2" s="99"/>
      <c r="BD2" s="99"/>
      <c r="BE2" s="99"/>
      <c r="BF2" s="99"/>
      <c r="BG2" s="99"/>
      <c r="BH2" s="99"/>
      <c r="BI2" s="99"/>
      <c r="BJ2" s="99"/>
      <c r="BK2" s="99"/>
      <c r="BL2" s="99"/>
      <c r="BM2" s="99"/>
      <c r="BN2" s="99"/>
      <c r="BO2" s="99"/>
      <c r="BP2" s="99"/>
      <c r="BQ2" s="99"/>
      <c r="BR2" s="99"/>
      <c r="BS2" s="99"/>
      <c r="BT2" s="99"/>
      <c r="BU2" s="99"/>
      <c r="BV2" s="99"/>
      <c r="BW2" s="99"/>
      <c r="BX2" s="99"/>
      <c r="BY2" s="99"/>
      <c r="BZ2" s="99"/>
      <c r="CA2" s="99"/>
      <c r="CB2" s="99"/>
      <c r="CC2" s="99"/>
      <c r="CD2" s="99"/>
      <c r="CE2" s="99"/>
      <c r="CF2" s="99"/>
      <c r="CG2" s="99"/>
      <c r="CH2" s="99"/>
      <c r="CI2" s="99"/>
      <c r="CJ2" s="99"/>
      <c r="CK2" s="99"/>
      <c r="CL2" s="99"/>
      <c r="CM2" s="99"/>
      <c r="CN2" s="99"/>
    </row>
    <row r="3" spans="1:158" ht="13">
      <c r="A3" s="107" t="s">
        <v>328</v>
      </c>
      <c r="B3" s="100"/>
      <c r="C3" s="101"/>
      <c r="D3" s="282">
        <v>130.09800000000001</v>
      </c>
      <c r="K3" s="102"/>
      <c r="M3" s="102"/>
    </row>
    <row r="4" spans="1:158" ht="26">
      <c r="A4" s="107" t="s">
        <v>821</v>
      </c>
      <c r="B4" s="64"/>
      <c r="D4" s="100"/>
      <c r="E4" s="64"/>
      <c r="F4" s="103"/>
    </row>
    <row r="5" spans="1:158">
      <c r="A5" s="64"/>
      <c r="B5" s="64"/>
      <c r="D5" s="64"/>
      <c r="E5" s="64"/>
      <c r="H5" s="60" t="s">
        <v>387</v>
      </c>
    </row>
    <row r="6" spans="1:158">
      <c r="A6" s="74"/>
      <c r="B6" s="74"/>
    </row>
    <row r="7" spans="1:158">
      <c r="A7" s="59"/>
      <c r="B7" s="59"/>
      <c r="C7" s="59"/>
      <c r="D7" s="98"/>
      <c r="E7" s="98"/>
      <c r="F7" s="59"/>
      <c r="H7" s="59" t="s">
        <v>416</v>
      </c>
      <c r="I7" s="59">
        <v>43831</v>
      </c>
      <c r="J7" s="59">
        <v>43862</v>
      </c>
      <c r="K7" s="59">
        <v>43891</v>
      </c>
      <c r="L7" s="59">
        <v>43922</v>
      </c>
      <c r="M7" s="59">
        <v>43952</v>
      </c>
      <c r="N7" s="59">
        <v>43983</v>
      </c>
      <c r="O7" s="59">
        <v>44013</v>
      </c>
      <c r="P7" s="59">
        <v>44044</v>
      </c>
      <c r="Q7" s="59">
        <v>44075</v>
      </c>
      <c r="R7" s="59">
        <v>44105</v>
      </c>
      <c r="S7" s="59">
        <v>44136</v>
      </c>
      <c r="T7" s="59">
        <v>44166</v>
      </c>
      <c r="U7" s="59">
        <v>44197</v>
      </c>
      <c r="V7" s="59">
        <v>44228</v>
      </c>
      <c r="W7" s="59">
        <v>44256</v>
      </c>
      <c r="X7" s="59">
        <v>44287</v>
      </c>
      <c r="Y7" s="59">
        <v>44317</v>
      </c>
      <c r="Z7" s="59">
        <v>44348</v>
      </c>
      <c r="AA7" s="59">
        <v>44378</v>
      </c>
      <c r="AB7" s="59">
        <v>44409</v>
      </c>
      <c r="AC7" s="59">
        <v>44440</v>
      </c>
      <c r="AD7" s="59">
        <v>44470</v>
      </c>
      <c r="AE7" s="59">
        <v>44501</v>
      </c>
      <c r="AF7" s="59">
        <v>44531</v>
      </c>
      <c r="AG7" s="59">
        <v>44562</v>
      </c>
      <c r="AH7" s="59">
        <v>44593</v>
      </c>
      <c r="AI7" s="59">
        <v>44621</v>
      </c>
      <c r="AJ7" s="59">
        <v>44652</v>
      </c>
      <c r="AK7" s="59">
        <v>44682</v>
      </c>
      <c r="AL7" s="59">
        <v>44713</v>
      </c>
      <c r="AM7" s="59">
        <v>44743</v>
      </c>
      <c r="AN7" s="59">
        <v>44774</v>
      </c>
      <c r="AO7" s="59">
        <v>44805</v>
      </c>
      <c r="AP7" s="59">
        <v>44835</v>
      </c>
      <c r="AQ7" s="59">
        <v>44866</v>
      </c>
      <c r="AR7" s="59">
        <v>44896</v>
      </c>
      <c r="AS7" s="59">
        <v>44927</v>
      </c>
      <c r="AT7" s="59">
        <v>44958</v>
      </c>
      <c r="AU7" s="59">
        <v>44986</v>
      </c>
      <c r="AV7" s="59">
        <v>45017</v>
      </c>
      <c r="AW7" s="59">
        <v>45047</v>
      </c>
      <c r="AX7" s="59">
        <v>45078</v>
      </c>
      <c r="AY7" s="59">
        <v>45108</v>
      </c>
      <c r="AZ7" s="59" t="s">
        <v>530</v>
      </c>
      <c r="BA7" s="59" t="s">
        <v>531</v>
      </c>
      <c r="BB7" s="59" t="s">
        <v>532</v>
      </c>
      <c r="BC7" s="59">
        <v>37104</v>
      </c>
      <c r="BD7" s="59">
        <v>37469</v>
      </c>
      <c r="BE7" s="59" t="s">
        <v>168</v>
      </c>
      <c r="BF7" s="59" t="s">
        <v>169</v>
      </c>
      <c r="BG7" s="59" t="s">
        <v>195</v>
      </c>
      <c r="BH7" s="59" t="s">
        <v>196</v>
      </c>
      <c r="BI7" s="59" t="s">
        <v>197</v>
      </c>
      <c r="BJ7" s="59" t="s">
        <v>198</v>
      </c>
      <c r="BK7" s="59" t="s">
        <v>199</v>
      </c>
      <c r="BL7" s="59" t="s">
        <v>200</v>
      </c>
      <c r="BM7" s="59" t="s">
        <v>201</v>
      </c>
      <c r="BN7" s="59" t="s">
        <v>202</v>
      </c>
      <c r="BO7" s="59">
        <v>37196</v>
      </c>
      <c r="BP7" s="59">
        <v>37561</v>
      </c>
      <c r="BQ7" s="59">
        <v>37926</v>
      </c>
      <c r="BR7" s="59">
        <v>38292</v>
      </c>
      <c r="BS7" s="59">
        <v>37226</v>
      </c>
      <c r="BT7" s="59">
        <v>37591</v>
      </c>
      <c r="BU7" s="59">
        <v>37956</v>
      </c>
      <c r="BV7" s="59">
        <v>38322</v>
      </c>
      <c r="BW7" s="59">
        <v>36892</v>
      </c>
      <c r="BX7" s="59">
        <v>37257</v>
      </c>
      <c r="BY7" s="59">
        <v>37622</v>
      </c>
      <c r="BZ7" s="59">
        <v>37987</v>
      </c>
      <c r="CA7" s="59">
        <v>36923</v>
      </c>
      <c r="CB7" s="59">
        <v>37288</v>
      </c>
      <c r="CC7" s="59">
        <v>37653</v>
      </c>
      <c r="CD7" s="59">
        <v>38018</v>
      </c>
      <c r="CE7" s="59" t="str">
        <f>Sheet8!A15</f>
        <v>Mar-w1</v>
      </c>
      <c r="CF7" s="59">
        <v>37316</v>
      </c>
      <c r="CG7" s="59">
        <v>37681</v>
      </c>
      <c r="CH7" s="59">
        <v>38047</v>
      </c>
      <c r="CI7" s="59" t="str">
        <f>Sheet8!E15</f>
        <v>Apr-w1</v>
      </c>
      <c r="CJ7" s="59" t="str">
        <f>Sheet8!F15</f>
        <v>Apr-w2</v>
      </c>
      <c r="CK7" s="59" t="str">
        <f>Sheet8!G15</f>
        <v>Apr-w3</v>
      </c>
      <c r="CL7" s="59" t="str">
        <f>Sheet8!H15</f>
        <v>Apr-w4</v>
      </c>
      <c r="CM7" s="59" t="str">
        <f>Sheet8!I15</f>
        <v>May-w1</v>
      </c>
      <c r="CN7" s="59" t="str">
        <f>Sheet8!J15</f>
        <v>May-w2</v>
      </c>
      <c r="CO7" s="59" t="str">
        <f>Sheet8!K15</f>
        <v>May-w3</v>
      </c>
      <c r="CP7" s="59" t="str">
        <f>Sheet8!L15</f>
        <v>May-w4</v>
      </c>
      <c r="CQ7" s="59" t="str">
        <f>Sheet8!M15</f>
        <v>May-w5</v>
      </c>
      <c r="CR7" s="59" t="str">
        <f>Sheet8!N15</f>
        <v>june-w1</v>
      </c>
      <c r="CS7" s="59" t="str">
        <f>Sheet8!O15</f>
        <v>june-w2</v>
      </c>
      <c r="CT7" s="59" t="str">
        <f>Sheet8!P15</f>
        <v>june-w3</v>
      </c>
      <c r="CU7" s="59" t="str">
        <f>Sheet8!Q15</f>
        <v>june-w4</v>
      </c>
      <c r="CV7" s="59" t="str">
        <f>Sheet8!R15</f>
        <v>Jul-w1</v>
      </c>
      <c r="CW7" s="59" t="str">
        <f>Sheet8!S15</f>
        <v>Jul-w2</v>
      </c>
      <c r="CX7" s="59" t="str">
        <f>Sheet8!T15</f>
        <v>Jul-w3</v>
      </c>
      <c r="CY7" s="59" t="str">
        <f>Sheet8!U15</f>
        <v>Jul-w4</v>
      </c>
      <c r="CZ7" s="59" t="str">
        <f>Sheet8!V15</f>
        <v>Aug-w1</v>
      </c>
      <c r="DA7" s="59" t="str">
        <f>Sheet8!W15</f>
        <v>Aug-w2</v>
      </c>
      <c r="DB7" s="59" t="str">
        <f>Sheet8!X15</f>
        <v>Aug-w3</v>
      </c>
      <c r="DC7" s="59" t="str">
        <f>Sheet8!Y15</f>
        <v>Aug-w4</v>
      </c>
      <c r="DD7" s="59" t="str">
        <f>Sheet8!Z15</f>
        <v>Sep-w1</v>
      </c>
      <c r="DE7" s="59" t="str">
        <f>Sheet8!AA15</f>
        <v>Sep-w2</v>
      </c>
      <c r="DF7" s="59" t="str">
        <f>Sheet8!AB15</f>
        <v>Sep-w3</v>
      </c>
      <c r="DG7" s="59" t="str">
        <f>Sheet8!AC15</f>
        <v>Sep-w4</v>
      </c>
      <c r="DH7" s="59" t="str">
        <f>Sheet8!AD15</f>
        <v>Oct-w1</v>
      </c>
      <c r="DI7" s="59" t="str">
        <f>Sheet8!AE15</f>
        <v>Oct-w2</v>
      </c>
      <c r="DJ7" s="59" t="str">
        <f>Sheet8!AF15</f>
        <v>Oct-w3</v>
      </c>
      <c r="DK7" s="59" t="str">
        <f>Sheet8!AG15</f>
        <v>Oct-w4</v>
      </c>
      <c r="DL7" s="59" t="str">
        <f>Sheet8!AH15</f>
        <v>Nov-w1</v>
      </c>
      <c r="DM7" s="59" t="str">
        <f>Sheet8!AI15</f>
        <v>Nov-w2</v>
      </c>
      <c r="DN7" s="59" t="str">
        <f>Sheet8!AJ15</f>
        <v>Nov-w3</v>
      </c>
      <c r="DO7" s="59" t="str">
        <f>Sheet8!AK15</f>
        <v>Nov-w4</v>
      </c>
      <c r="DP7" s="59" t="str">
        <f>Sheet8!AL15</f>
        <v>Dec-w1</v>
      </c>
      <c r="DQ7" s="59" t="str">
        <f>Sheet8!AM15</f>
        <v>Dec-w2</v>
      </c>
      <c r="DR7" s="59" t="str">
        <f>Sheet8!AN15</f>
        <v>Dec-w3</v>
      </c>
      <c r="DS7" s="59" t="str">
        <f>Sheet8!AO15</f>
        <v>Dec-w4</v>
      </c>
      <c r="DT7" s="59">
        <f>Sheet8!AP15</f>
        <v>0</v>
      </c>
      <c r="DU7" s="59">
        <f>Sheet8!AQ15</f>
        <v>0</v>
      </c>
      <c r="DV7" s="59">
        <f>Sheet8!AR15</f>
        <v>0</v>
      </c>
      <c r="DW7" s="59">
        <f>Sheet8!AS15</f>
        <v>0</v>
      </c>
      <c r="DX7" s="59">
        <f>Sheet8!AT15</f>
        <v>0</v>
      </c>
      <c r="DY7" s="59">
        <f>Sheet8!AU15</f>
        <v>0</v>
      </c>
      <c r="DZ7" s="59">
        <f>Sheet8!AV15</f>
        <v>0</v>
      </c>
      <c r="EA7" s="59">
        <f>Sheet8!AW15</f>
        <v>0</v>
      </c>
      <c r="EB7" s="59">
        <f>Sheet8!AX15</f>
        <v>0</v>
      </c>
      <c r="EC7" s="59">
        <f>Sheet8!AY15</f>
        <v>0</v>
      </c>
      <c r="ED7" s="59">
        <f>Sheet8!AZ15</f>
        <v>0</v>
      </c>
      <c r="EE7" s="59">
        <f>Sheet8!BA15</f>
        <v>0</v>
      </c>
      <c r="EF7" s="59">
        <f>Sheet8!BB15</f>
        <v>0</v>
      </c>
      <c r="EG7" s="59">
        <f>Sheet8!BC15</f>
        <v>0</v>
      </c>
      <c r="EH7" s="59">
        <f>Sheet8!BD15</f>
        <v>0</v>
      </c>
      <c r="EI7" s="59">
        <f>Sheet8!BE15</f>
        <v>0</v>
      </c>
      <c r="EJ7" s="59">
        <f>Sheet8!BF15</f>
        <v>0</v>
      </c>
      <c r="EK7" s="59">
        <f>Sheet8!BG15</f>
        <v>0</v>
      </c>
      <c r="EL7" s="59">
        <f>Sheet8!BH15</f>
        <v>0</v>
      </c>
      <c r="EM7" s="59">
        <f>Sheet8!BI15</f>
        <v>0</v>
      </c>
      <c r="EN7" s="59">
        <f>Sheet8!BJ15</f>
        <v>0</v>
      </c>
      <c r="EO7" s="59">
        <f>Sheet8!BK15</f>
        <v>0</v>
      </c>
      <c r="EP7" s="59">
        <f>Sheet8!BL15</f>
        <v>0</v>
      </c>
      <c r="EQ7" s="59">
        <f>Sheet8!BM15</f>
        <v>0</v>
      </c>
      <c r="ER7" s="59">
        <f>Sheet8!BN15</f>
        <v>0</v>
      </c>
      <c r="ES7" s="59">
        <f>Sheet8!BO15</f>
        <v>0</v>
      </c>
      <c r="ET7" s="59">
        <f>Sheet8!BP15</f>
        <v>0</v>
      </c>
      <c r="EU7" s="59">
        <f>Sheet8!BQ15</f>
        <v>0</v>
      </c>
      <c r="EV7" s="59">
        <f>Sheet8!BR15</f>
        <v>0</v>
      </c>
      <c r="EW7" s="59">
        <f>Sheet8!BS15</f>
        <v>0</v>
      </c>
      <c r="EX7" s="59">
        <f>Sheet8!BT15</f>
        <v>0</v>
      </c>
      <c r="EY7" s="59">
        <f>Sheet8!BU15</f>
        <v>0</v>
      </c>
      <c r="EZ7" s="59">
        <f>Sheet8!BV15</f>
        <v>0</v>
      </c>
      <c r="FA7" s="59">
        <f>Sheet8!BW15</f>
        <v>0</v>
      </c>
    </row>
    <row r="8" spans="1:158" ht="13">
      <c r="H8" s="107" t="s">
        <v>329</v>
      </c>
      <c r="I8" s="74">
        <f>VLOOKUP($H$8&amp;$F$1,'Input RM sheet'!$A:$BD,H1,0)</f>
        <v>0.76388783947830241</v>
      </c>
      <c r="J8" s="74">
        <f>VLOOKUP($H$8&amp;$F$1,'Input RM sheet'!$A:$BD,I1,0)</f>
        <v>0.76108192326052593</v>
      </c>
      <c r="K8" s="74">
        <f>VLOOKUP($H$8&amp;$F$1,'Input RM sheet'!$A:$DD,J1,0)</f>
        <v>0.73142139363467795</v>
      </c>
      <c r="L8" s="74">
        <f>VLOOKUP($H$8&amp;$F$1,'Input RM sheet'!$A:$DD,K1,0)</f>
        <v>0.7141687185023794</v>
      </c>
      <c r="M8" s="74">
        <f>VLOOKUP($H$8&amp;$F$1,'Input RM sheet'!$A:$DD,L1,0)</f>
        <v>0.72007435117489826</v>
      </c>
      <c r="N8" s="74">
        <f>VLOOKUP($H$8&amp;$F$1,'Input RM sheet'!$A:$DD,M1,0)</f>
        <v>0.71893707933857776</v>
      </c>
      <c r="O8" s="74">
        <f>VLOOKUP($H$8&amp;$F$1,'Input RM sheet'!$A:$DD,N1,0)</f>
        <v>0.72682115530253177</v>
      </c>
      <c r="P8" s="74">
        <f>VLOOKUP($H$8&amp;$F$1,'Input RM sheet'!$A:$DD,O1,0)</f>
        <v>0.73010845670630553</v>
      </c>
      <c r="Q8" s="74">
        <f>VLOOKUP($H$8&amp;$F$1,'Input RM sheet'!$A:$DD,P1,0)</f>
        <v>0.74056389449881166</v>
      </c>
      <c r="R8" s="74">
        <f>VLOOKUP($H$8&amp;$F$1,'Input RM sheet'!$A:$DD,Q1,0)</f>
        <v>0.74073210640001641</v>
      </c>
      <c r="S8" s="74">
        <f>VLOOKUP($H$8&amp;$F$1,'Input RM sheet'!$A:$DD,R1,0)</f>
        <v>0.73359706683156334</v>
      </c>
      <c r="T8" s="74">
        <f>VLOOKUP($H$8&amp;$F$1,'Input RM sheet'!$A:$DD,S1,0)</f>
        <v>0.73857613833989721</v>
      </c>
      <c r="U8" s="74">
        <f>VLOOKUP($H$8&amp;$F$1,'Input RM sheet'!$A:$DD,T1,0)</f>
        <v>0.77034475007111036</v>
      </c>
      <c r="V8" s="74">
        <f>VLOOKUP($H$8&amp;$F$1,'Input RM sheet'!$A:$DD,U1,0)</f>
        <v>0.77383669742720196</v>
      </c>
      <c r="W8" s="74">
        <f>VLOOKUP($H$8&amp;$F$1,'Input RM sheet'!$A:$DD,V1,0)</f>
        <v>0.77383669742720196</v>
      </c>
      <c r="X8" s="74">
        <f>VLOOKUP($H$8&amp;$F$1,'Input RM sheet'!$A:$DD,W1,0)</f>
        <v>0.47515110812625921</v>
      </c>
      <c r="Y8" s="74">
        <f>VLOOKUP($H$8&amp;$F$1,'Input RM sheet'!$A:$DD,X1,0)</f>
        <v>0.48293515358361777</v>
      </c>
      <c r="Z8" s="74">
        <f>VLOOKUP($H$8&amp;$F$1,'Input RM sheet'!$A:$DD,Y1,0)</f>
        <v>0.4810307315746532</v>
      </c>
      <c r="AA8" s="74">
        <f>VLOOKUP($H$8&amp;$F$1,'Input RM sheet'!$A:$DD,Z1,0)</f>
        <v>0.47464108412719708</v>
      </c>
      <c r="AB8" s="74">
        <f>VLOOKUP($H$8&amp;$F$1,'Input RM sheet'!$A:$DD,AA1,0)</f>
        <v>0.78209277238403452</v>
      </c>
      <c r="AC8" s="74">
        <f>VLOOKUP($H$8&amp;$F$1,'Input RM sheet'!$A:$DD,AB1,0)</f>
        <v>0.78857919782460917</v>
      </c>
      <c r="AD8" s="74">
        <f>VLOOKUP($H$8&amp;$F$1,'Input RM sheet'!$A:$DD,AC1,0)</f>
        <v>0.7742624482712589</v>
      </c>
      <c r="AE8" s="74">
        <f>VLOOKUP($H$8&amp;$F$1,'Input RM sheet'!$A:$DD,AD1,0)</f>
        <v>0.77883711561702695</v>
      </c>
      <c r="AF8" s="74">
        <f>VLOOKUP($H$8&amp;$F$1,'Input RM sheet'!$A:$DD,AE1,0)</f>
        <v>0.88676836290201455</v>
      </c>
      <c r="AG8" s="74">
        <f>VLOOKUP($H$8&amp;$F$1,'Input RM sheet'!$A:$DD,AF1,0)</f>
        <v>0.89832196010839405</v>
      </c>
      <c r="AH8" s="74">
        <f>VLOOKUP($H$8&amp;$F$1,'Input RM sheet'!$A:$DD,AG1,0)</f>
        <v>0.89221011112686688</v>
      </c>
      <c r="AI8" s="74">
        <f>VLOOKUP($H$8&amp;$F$1,'Input RM sheet'!$A:$DD,AH1,0)</f>
        <v>0.87757603897218139</v>
      </c>
      <c r="AJ8" s="74">
        <f>VLOOKUP($H$8&amp;$F$1,'Input RM sheet'!$A:$DD,AI1,0)</f>
        <v>0.8752730063046934</v>
      </c>
      <c r="AK8" s="74">
        <f>VLOOKUP($H$8&amp;$F$1,'Input RM sheet'!$A:$DD,AJ1,0)</f>
        <v>0.8649857351878939</v>
      </c>
      <c r="AL8" s="74">
        <f>VLOOKUP($H$8&amp;$F$1,'Input RM sheet'!$A:$DD,AK1,0)</f>
        <v>0.85661776555570612</v>
      </c>
      <c r="AM8" s="74">
        <f>VLOOKUP($H$8&amp;$F$1,'Input RM sheet'!$A:$DD,AL1,0)</f>
        <v>0.84018549801641151</v>
      </c>
      <c r="AN8" s="74">
        <f>VLOOKUP($H$8&amp;$F$1,'Input RM sheet'!$A:$DD,AM1,0)</f>
        <v>0.84076239180479539</v>
      </c>
      <c r="AO8" s="74">
        <f>VLOOKUP($H$8&amp;$F$1,'Input RM sheet'!$A:$DD,AN1,0)</f>
        <v>0.83358811017652112</v>
      </c>
      <c r="AP8" s="74">
        <f>VLOOKUP($H$8&amp;$F$1,'Input RM sheet'!$A:$DD,AO1,0)</f>
        <v>0.81224162215869966</v>
      </c>
      <c r="AQ8" s="74">
        <f>VLOOKUP($H$8&amp;$F$1,'Input RM sheet'!$A:$DD,AP1,0)</f>
        <v>0.8189655899995163</v>
      </c>
      <c r="AR8" s="74">
        <f>VLOOKUP($H$8&amp;$F$1,'Input RM sheet'!$A:$DD,AQ1,0)</f>
        <v>0.81247364214791362</v>
      </c>
      <c r="AS8" s="74">
        <f>VLOOKUP($H$8&amp;$F$1,'Input RM sheet'!$A:$DD,AR1,0)</f>
        <v>0.81807490868318788</v>
      </c>
      <c r="AT8" s="74">
        <f>VLOOKUP($H$8&amp;$F$1,'Input RM sheet'!$A:$DD,AS1,0)</f>
        <v>0.81586280840679648</v>
      </c>
      <c r="AU8" s="74">
        <f>VLOOKUP($H$8&amp;$F$1,'Input RM sheet'!$A:$DD,AT1,0)</f>
        <v>0.84630545051152772</v>
      </c>
      <c r="AV8" s="74">
        <f>VLOOKUP($H$8&amp;$F$1,'Input RM sheet'!$A:$DD,AU1,0)</f>
        <v>0.84630545051152772</v>
      </c>
      <c r="AW8" s="74">
        <f>VLOOKUP($H$8&amp;$F$1,'Input RM sheet'!$A:$DD,AV1,0)</f>
        <v>0.84630545051152772</v>
      </c>
      <c r="AX8" s="74">
        <f>VLOOKUP($H$8&amp;$F$1,'Input RM sheet'!$A:$DD,AW1,0)</f>
        <v>0.84242424242424241</v>
      </c>
      <c r="AY8" s="74">
        <f>VLOOKUP($H$8&amp;$F$1,'Input RM sheet'!$A:$DD,AX1,0)</f>
        <v>0.84303736050460942</v>
      </c>
      <c r="AZ8" s="74">
        <f>VLOOKUP($H$8&amp;$F$1,'Input RM sheet'!$A:$DD,AY1,0)</f>
        <v>0.84570455098564123</v>
      </c>
      <c r="BA8" s="74">
        <f>VLOOKUP($H$8&amp;$F$1,'Input RM sheet'!$A:$DD,AZ1,0)</f>
        <v>0.848388671875</v>
      </c>
      <c r="BB8" s="74">
        <f>VLOOKUP($H$8&amp;$F$1,'Input RM sheet'!$A:$DD,BA1,0)</f>
        <v>0.84488208120593233</v>
      </c>
      <c r="BC8" s="74">
        <f>VLOOKUP($H$8&amp;$F$1,'Input RM sheet'!$A:$DD,BB1,0)</f>
        <v>0.83906797054207416</v>
      </c>
      <c r="BD8" s="74">
        <f>VLOOKUP($H$8&amp;$F$1,'Input RM sheet'!$A:$DD,BC1,0)</f>
        <v>0.83483483483483478</v>
      </c>
      <c r="BE8" s="74">
        <f>VLOOKUP($H$8&amp;$F$1,'Input RM sheet'!$A:$DD,BD1,0)</f>
        <v>0.83483483483483478</v>
      </c>
      <c r="BF8" s="74">
        <f>VLOOKUP($H$8&amp;$F$1,'Input RM sheet'!$A:$DD,BE1,0)</f>
        <v>0.8408953418027828</v>
      </c>
      <c r="BG8" s="74">
        <f>VLOOKUP($H$8&amp;$F$1,'Input RM sheet'!$A:$DD,BF1,0)</f>
        <v>0.83684527393136665</v>
      </c>
      <c r="BH8" s="74">
        <f>VLOOKUP($H$8&amp;$F$1,'Input RM sheet'!$A:$DD,BG1,0)</f>
        <v>0.83795514829997586</v>
      </c>
      <c r="BI8" s="74">
        <f>VLOOKUP($H$8&amp;$F$1,'Input RM sheet'!$A:$DD,BH1,0)</f>
        <v>0.8380561919691305</v>
      </c>
      <c r="BJ8" s="74">
        <f>VLOOKUP($H$8&amp;$F$1,'Input RM sheet'!$A:$DD,BI1,0)</f>
        <v>0.83473456641844823</v>
      </c>
      <c r="BK8" s="74">
        <f>VLOOKUP($H$8&amp;$F$1,'Input RM sheet'!$A:$DD,BJ1,0)</f>
        <v>0.83513578466714733</v>
      </c>
      <c r="BL8" s="74">
        <f>VLOOKUP($H$8&amp;$F$1,'Input RM sheet'!$A:$DD,BK1,0)</f>
        <v>0.83483483483483478</v>
      </c>
      <c r="BM8" s="74">
        <f>VLOOKUP($H$8&amp;$F$1,'Input RM sheet'!$A:$DD,BL1,0)</f>
        <v>0.83614051973051007</v>
      </c>
      <c r="BN8" s="74">
        <f>VLOOKUP($H$8&amp;$F$1,'Input RM sheet'!$A:$DD,BM1,0)</f>
        <v>0.83473456641844823</v>
      </c>
      <c r="BO8" s="74">
        <f>VLOOKUP($H$8&amp;$F$1,'Input RM sheet'!$A:$DD,BN1,0)</f>
        <v>0.85316029800528725</v>
      </c>
      <c r="BP8" s="74">
        <f>VLOOKUP($H$8&amp;$F$1,'Input RM sheet'!$A:$DD,BO1,0)</f>
        <v>0.8534679648996274</v>
      </c>
      <c r="BQ8" s="74">
        <f>VLOOKUP($H$8&amp;$F$1,'Input RM sheet'!$A:$DD,BP1,0)</f>
        <v>0.8534679648996274</v>
      </c>
      <c r="BR8" s="74">
        <f>VLOOKUP($H$8&amp;$F$1,'Input RM sheet'!$A:$DD,BQ1,0)</f>
        <v>0.85203408136325454</v>
      </c>
      <c r="BS8" s="74">
        <f>VLOOKUP($H$8&amp;$F$1,'Input RM sheet'!$A:$DD,BR1,0)</f>
        <v>0.85131894484412463</v>
      </c>
      <c r="BT8" s="74">
        <f>VLOOKUP($H$8&amp;$F$1,'Input RM sheet'!$A:$DD,BS1,0)</f>
        <v>0.85172744721689064</v>
      </c>
      <c r="BU8" s="74">
        <f>VLOOKUP($H$8&amp;$F$1,'Input RM sheet'!$A:$DD,BT1,0)</f>
        <v>0.85295530994714086</v>
      </c>
      <c r="BV8" s="74">
        <f>VLOOKUP($H$8&amp;$F$1,'Input RM sheet'!$A:$DD,BU1,0)</f>
        <v>0.85213634181469045</v>
      </c>
      <c r="BW8" s="74">
        <f>VLOOKUP($H$8&amp;$F$1,'Input RM sheet'!$A:$DD,BV1,0)</f>
        <v>0.82751984604281925</v>
      </c>
      <c r="BX8" s="74">
        <f>VLOOKUP($H$8&amp;$F$1,'Input RM sheet'!$A:$DD,BW1,0)</f>
        <v>0.82742032471437155</v>
      </c>
      <c r="BY8" s="74">
        <f>VLOOKUP($H$8&amp;$F$1,'Input RM sheet'!$A:$DD,BX1,0)</f>
        <v>0.82642642642642639</v>
      </c>
      <c r="BZ8" s="74">
        <f>VLOOKUP($H$8&amp;$F$1,'Input RM sheet'!$A:$DD,BY1,0)</f>
        <v>0.82831687936431486</v>
      </c>
      <c r="CA8" s="74">
        <f>VLOOKUP($H$8&amp;$F$1,'Input RM sheet'!$A:$DD,BZ1,0)</f>
        <v>0.82891566265060235</v>
      </c>
      <c r="CB8" s="74">
        <f>VLOOKUP($H$8&amp;$F$1,'Input RM sheet'!$A:$DD,CA1,0)</f>
        <v>0.82881580532465959</v>
      </c>
      <c r="CC8" s="74">
        <f>VLOOKUP($H$8&amp;$F$1,'Input RM sheet'!$A:$DD,CB1,0)</f>
        <v>0.8299155609167671</v>
      </c>
      <c r="CD8" s="74">
        <f>VLOOKUP($H$8&amp;$F$1,'Input RM sheet'!$A:$DD,CC1,0)</f>
        <v>0.8299155609167671</v>
      </c>
      <c r="CE8" s="74">
        <f>VLOOKUP($H$8&amp;$F$1,'Input RM sheet'!$A:$DD,CD1,0)</f>
        <v>0.83192261185006044</v>
      </c>
      <c r="CF8" s="74">
        <f>VLOOKUP($H$8&amp;$F$1,'Input RM sheet'!$A:$DD,CE1,0)</f>
        <v>0.83131947800869976</v>
      </c>
      <c r="CG8" s="74">
        <f>VLOOKUP($H$8&amp;$F$1,'Input RM sheet'!$A:$DD,CF1,0)</f>
        <v>0.82632716790775873</v>
      </c>
      <c r="CH8" s="74">
        <f>VLOOKUP($H$8&amp;$F$1,'Input RM sheet'!$A:$DD,CG1,0)</f>
        <v>0.82503897349802136</v>
      </c>
      <c r="CI8" s="74">
        <f>VLOOKUP($H$8&amp;$F$1,'Input RM sheet'!$A:$DD,CH1,0)</f>
        <v>0.82682369907463049</v>
      </c>
      <c r="CJ8" s="74">
        <f>VLOOKUP($H$8&amp;$F$1,'Input RM sheet'!$A:$DD,CI1,0)</f>
        <v>0.82494004796163056</v>
      </c>
      <c r="CK8" s="74">
        <f>VLOOKUP($H$8&amp;$F$1,'Input RM sheet'!$A:$DD,CJ1,0)</f>
        <v>0.82286807798110273</v>
      </c>
      <c r="CL8" s="74">
        <f>VLOOKUP($H$8&amp;$F$1,'Input RM sheet'!$A:$DD,CK1,0)</f>
        <v>0.82474226804123707</v>
      </c>
      <c r="CM8" s="74">
        <f>VLOOKUP($H$8&amp;$F$1,'Input RM sheet'!$A:$DD,CL1,0)</f>
        <v>0.82395209580838324</v>
      </c>
      <c r="CN8" s="74">
        <f>VLOOKUP($H$8&amp;$F$1,'Input RM sheet'!$A:$DD,CM1,0)</f>
        <v>0.82543491301739658</v>
      </c>
      <c r="CO8" s="74">
        <f>VLOOKUP($H$8&amp;$F$1,'Input RM sheet'!$A:$DD,CN1,0)</f>
        <v>0.82543491301739658</v>
      </c>
      <c r="CP8" s="74">
        <f>VLOOKUP($H$8&amp;$F$1,'Input RM sheet'!$A:$DD,CO1,0)</f>
        <v>0.82543491301739658</v>
      </c>
      <c r="CQ8" s="74">
        <f>VLOOKUP($H$8&amp;$F$1,'Input RM sheet'!$A:$DD,CP1,0)</f>
        <v>0.82543491301739658</v>
      </c>
      <c r="CR8" s="74">
        <f>VLOOKUP($H$8&amp;$F$1,'Input RM sheet'!$A:$DD,CQ1,0)</f>
        <v>0.82012158779353916</v>
      </c>
      <c r="CS8" s="74">
        <f>VLOOKUP($H$8&amp;$F$1,'Input RM sheet'!$A:$DD,CR1,0)</f>
        <v>0.82494004796163056</v>
      </c>
      <c r="CT8" s="74">
        <f>VLOOKUP($H$8&amp;$F$1,'Input RM sheet'!$A:$DD,CS1,0)</f>
        <v>0.82395209580838324</v>
      </c>
      <c r="CU8" s="74">
        <f>VLOOKUP($H$8&amp;$F$1,'Input RM sheet'!$A:$DD,CT1,0)</f>
        <v>0.8244457759137207</v>
      </c>
      <c r="CV8" s="74">
        <f>VLOOKUP($H$8&amp;$F$1,'Input RM sheet'!$A:$DD,CU1,0)</f>
        <v>0.82424823289804716</v>
      </c>
      <c r="CW8" s="74">
        <f>VLOOKUP($H$8&amp;$F$1,'Input RM sheet'!$A:$DD,CV1,0)</f>
        <v>0.82345900658288451</v>
      </c>
      <c r="CX8" s="74">
        <f>VLOOKUP($H$8&amp;$F$1,'Input RM sheet'!$A:$DD,CW1,0)</f>
        <v>0.82198327359617673</v>
      </c>
      <c r="CY8" s="74">
        <f>VLOOKUP($H$8&amp;$F$1,'Input RM sheet'!$A:$DD,CX1,0)</f>
        <v>0.82168876149528236</v>
      </c>
      <c r="CZ8" s="74">
        <f>VLOOKUP($H$8&amp;$F$1,'Input RM sheet'!$A:$DD,CY1,0)</f>
        <v>0.81953543776057169</v>
      </c>
      <c r="DA8" s="74">
        <f>VLOOKUP($H$8&amp;$F$1,'Input RM sheet'!$A:$DD,CZ1,0)</f>
        <v>0.8194378275369224</v>
      </c>
      <c r="DB8" s="74">
        <f>VLOOKUP($H$8&amp;$F$1,'Input RM sheet'!$A:$DD,DA1,0)</f>
        <v>0.82002383790226452</v>
      </c>
      <c r="DC8" s="74">
        <f>VLOOKUP($H$8&amp;$F$1,'Input RM sheet'!$A:$DD,DB1,0)</f>
        <v>0.82012158779353916</v>
      </c>
      <c r="DD8" s="74">
        <f>VLOOKUP($H$8&amp;$F$1,'Input RM sheet'!$A:$DD,DC1,0)</f>
        <v>0.8194378275369224</v>
      </c>
      <c r="DE8" s="74">
        <f>VLOOKUP($H$8&amp;$F$1,'Input RM sheet'!$A:$DD,DD1,0)</f>
        <v>0.8194378275369224</v>
      </c>
      <c r="DF8" s="74">
        <f>VLOOKUP($H$8&amp;$F$1,'Input RM sheet'!$A:$DD,DE1,0)</f>
        <v>0.82316343622876287</v>
      </c>
      <c r="DG8" s="74">
        <f>VLOOKUP($H$8&amp;$F$1,'Input RM sheet'!$A:$ZZ,DF1,0)</f>
        <v>0.82237628496294524</v>
      </c>
      <c r="DH8" s="74">
        <f>VLOOKUP($H$8&amp;$F$1,'Input RM sheet'!$A:$ZZ,DG1,0)</f>
        <v>0.81934024056210553</v>
      </c>
      <c r="DI8" s="74">
        <f>VLOOKUP($H$8&amp;$F$1,'Input RM sheet'!$A:$ZZ,DH1,0)</f>
        <v>0.818365647674557</v>
      </c>
      <c r="DJ8" s="74">
        <f>VLOOKUP($H$8&amp;$F$1,'Input RM sheet'!$A:$ZZ,DI1,0)</f>
        <v>0.818365647674557</v>
      </c>
      <c r="DK8" s="74">
        <f>VLOOKUP($H$8&amp;$F$1,'Input RM sheet'!$A:$ZZ,DJ1,0)</f>
        <v>0.81826831588962889</v>
      </c>
      <c r="DL8" s="74">
        <f>VLOOKUP($H$8&amp;$F$1,'Input RM sheet'!$A:$ZZ,DK1,0)</f>
        <v>0.81787922016167369</v>
      </c>
      <c r="DM8" s="74">
        <f>VLOOKUP($H$8&amp;$F$1,'Input RM sheet'!$A:$ZZ,DL1,0)</f>
        <v>0.81516587677725105</v>
      </c>
      <c r="DN8" s="74">
        <f>VLOOKUP($H$8&amp;$F$1,'Input RM sheet'!$A:$ZZ,DM1,0)</f>
        <v>0.81642340097306276</v>
      </c>
      <c r="DO8" s="74">
        <f>VLOOKUP($H$8&amp;$F$1,'Input RM sheet'!$A:$ZZ,DN1,0)</f>
        <v>0.81295049036984524</v>
      </c>
      <c r="DP8" s="74">
        <f>VLOOKUP($H$8&amp;$F$1,'Input RM sheet'!$A:$ZZ,DO1,0)</f>
        <v>0.81237454244893137</v>
      </c>
      <c r="DQ8" s="74">
        <f>VLOOKUP($H$8&amp;$F$1,'Input RM sheet'!$A:$ZZ,DP1,0)</f>
        <v>0.81103383237062354</v>
      </c>
      <c r="DR8" s="74">
        <f>VLOOKUP($H$8&amp;$F$1,'Input RM sheet'!$A:$ZZ,DQ1,0)</f>
        <v>0.81017428167687233</v>
      </c>
      <c r="DS8" s="74">
        <f>VLOOKUP($H$8&amp;$F$1,'Input RM sheet'!$A:$ZZ,DR1,0)</f>
        <v>0.80770133834233382</v>
      </c>
      <c r="DT8" s="74" t="e">
        <f>VLOOKUP($H$8&amp;$F$1,'Input RM sheet'!$A:$ZZ,DS1,0)</f>
        <v>#DIV/0!</v>
      </c>
      <c r="DU8" s="74">
        <f>VLOOKUP($H$8&amp;$F$1,'Input RM sheet'!$A:$ZZ,DT1,0)</f>
        <v>0</v>
      </c>
      <c r="DV8" s="74">
        <f>VLOOKUP($H$8&amp;$F$1,'Input RM sheet'!$A:$ZZ,DU1,0)</f>
        <v>0</v>
      </c>
      <c r="DW8" s="74">
        <f>VLOOKUP($H$8&amp;$F$1,'Input RM sheet'!$A:$ZZ,DV1,0)</f>
        <v>0</v>
      </c>
      <c r="DX8" s="74">
        <f>VLOOKUP($H$8&amp;$F$1,'Input RM sheet'!$A:$ZZ,DW1,0)</f>
        <v>0</v>
      </c>
      <c r="DY8" s="74">
        <f>VLOOKUP($H$8&amp;$F$1,'Input RM sheet'!$A:$ZZ,DX1,0)</f>
        <v>0</v>
      </c>
      <c r="DZ8" s="74">
        <f>VLOOKUP($H$8&amp;$F$1,'Input RM sheet'!$A:$ZZ,DY1,0)</f>
        <v>0</v>
      </c>
      <c r="EA8" s="74">
        <f>VLOOKUP($H$8&amp;$F$1,'Input RM sheet'!$A:$ZZ,DZ1,0)</f>
        <v>0</v>
      </c>
      <c r="EB8" s="74" t="e">
        <f>VLOOKUP($H$8&amp;$F$1,'Input RM sheet'!$A:$DD,EA1,0)</f>
        <v>#REF!</v>
      </c>
      <c r="EC8" s="74" t="e">
        <f>VLOOKUP($H$8&amp;$F$1,'Input RM sheet'!$A:$DD,EB1,0)</f>
        <v>#REF!</v>
      </c>
      <c r="ED8" s="74" t="e">
        <f>VLOOKUP($H$8&amp;$F$1,'Input RM sheet'!$A:$DD,EC1,0)</f>
        <v>#REF!</v>
      </c>
      <c r="EE8" s="74" t="e">
        <f>VLOOKUP($H$8&amp;$F$1,'Input RM sheet'!$A:$DD,ED1,0)</f>
        <v>#REF!</v>
      </c>
      <c r="EF8" s="74" t="e">
        <f>VLOOKUP($H$8&amp;$F$1,'Input RM sheet'!$A:$DD,EE1,0)</f>
        <v>#REF!</v>
      </c>
      <c r="EG8" s="74" t="e">
        <f>VLOOKUP($H$8&amp;$F$1,'Input RM sheet'!$A:$DD,EF1,0)</f>
        <v>#REF!</v>
      </c>
      <c r="EH8" s="74" t="e">
        <f>VLOOKUP($H$8&amp;$F$1,'Input RM sheet'!$A:$DD,EG1,0)</f>
        <v>#REF!</v>
      </c>
      <c r="EI8" s="74" t="e">
        <f>VLOOKUP($H$8&amp;$F$1,'Input RM sheet'!$A:$DD,EH1,0)</f>
        <v>#REF!</v>
      </c>
      <c r="EJ8" s="74" t="e">
        <f>VLOOKUP($H$8&amp;$F$1,'Input RM sheet'!$A:$DD,EI1,0)</f>
        <v>#REF!</v>
      </c>
      <c r="EK8" s="74" t="e">
        <f>VLOOKUP($H$8&amp;$F$1,'Input RM sheet'!$A:$DD,EJ1,0)</f>
        <v>#REF!</v>
      </c>
      <c r="EL8" s="74" t="e">
        <f>VLOOKUP($H$8&amp;$F$1,'Input RM sheet'!$A:$DD,EK1,0)</f>
        <v>#REF!</v>
      </c>
      <c r="EM8" s="74" t="e">
        <f>VLOOKUP($H$8&amp;$F$1,'Input RM sheet'!$A:$DD,EL1,0)</f>
        <v>#REF!</v>
      </c>
      <c r="EN8" s="74" t="e">
        <f>VLOOKUP($H$8&amp;$F$1,'Input RM sheet'!$A:$DD,EM1,0)</f>
        <v>#REF!</v>
      </c>
      <c r="EO8" s="74" t="e">
        <f>VLOOKUP($H$8&amp;$F$1,'Input RM sheet'!$A:$DD,EN1,0)</f>
        <v>#REF!</v>
      </c>
      <c r="EP8" s="74" t="e">
        <f>VLOOKUP($H$8&amp;$F$1,'Input RM sheet'!$A:$DD,EO1,0)</f>
        <v>#REF!</v>
      </c>
      <c r="EQ8" s="74" t="e">
        <f>VLOOKUP($H$8&amp;$F$1,'Input RM sheet'!$A:$DD,EP1,0)</f>
        <v>#REF!</v>
      </c>
      <c r="ER8" s="74" t="e">
        <f>VLOOKUP($H$8&amp;$F$1,'Input RM sheet'!$A:$DD,EQ1,0)</f>
        <v>#REF!</v>
      </c>
      <c r="ES8" s="74" t="e">
        <f>VLOOKUP($H$8&amp;$F$1,'Input RM sheet'!$A:$DD,ER1,0)</f>
        <v>#REF!</v>
      </c>
      <c r="ET8" s="74" t="e">
        <f>VLOOKUP($H$8&amp;$F$1,'Input RM sheet'!$A:$DD,ES1,0)</f>
        <v>#REF!</v>
      </c>
      <c r="EU8" s="74" t="e">
        <f>VLOOKUP($H$8&amp;$F$1,'Input RM sheet'!$A:$DD,ET1,0)</f>
        <v>#REF!</v>
      </c>
      <c r="EV8" s="74" t="e">
        <f>VLOOKUP($H$8&amp;$F$1,'Input RM sheet'!$A:$DD,EU1,0)</f>
        <v>#REF!</v>
      </c>
      <c r="EW8" s="74" t="e">
        <f>VLOOKUP($H$8&amp;$F$1,'Input RM sheet'!$A:$DD,EV1,0)</f>
        <v>#REF!</v>
      </c>
      <c r="EX8" s="74" t="e">
        <f>VLOOKUP($H$8&amp;$F$1,'Input RM sheet'!$A:$DD,EW1,0)</f>
        <v>#REF!</v>
      </c>
      <c r="EY8" s="74" t="e">
        <f>VLOOKUP($H$8&amp;$F$1,'Input RM sheet'!$A:$DD,EX1,0)</f>
        <v>#REF!</v>
      </c>
      <c r="EZ8" s="74" t="e">
        <f>VLOOKUP($H$8&amp;$F$1,'Input RM sheet'!$A:$DD,EY1,0)</f>
        <v>#REF!</v>
      </c>
      <c r="FA8" s="74" t="e">
        <f>VLOOKUP($H$8&amp;$F$1,'Input RM sheet'!$A:$DD,EZ1,0)</f>
        <v>#REF!</v>
      </c>
    </row>
    <row r="9" spans="1:158">
      <c r="I9" s="74"/>
      <c r="J9" s="74"/>
      <c r="K9" s="74"/>
      <c r="L9" s="74"/>
      <c r="M9" s="74"/>
      <c r="N9" s="74"/>
      <c r="O9" s="74"/>
      <c r="P9" s="74"/>
      <c r="Q9" s="74"/>
      <c r="R9" s="74"/>
      <c r="S9" s="74"/>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74"/>
      <c r="BG9" s="74"/>
      <c r="BH9" s="74"/>
      <c r="BI9" s="74"/>
      <c r="BJ9" s="74"/>
      <c r="BK9" s="74"/>
      <c r="BL9" s="74"/>
      <c r="BM9" s="74"/>
      <c r="BN9" s="74"/>
      <c r="BO9" s="74"/>
      <c r="BP9" s="74"/>
      <c r="BQ9" s="74"/>
      <c r="BR9" s="74"/>
      <c r="BS9" s="74"/>
      <c r="BT9" s="74"/>
      <c r="BU9" s="74"/>
      <c r="BV9" s="74"/>
      <c r="BW9" s="74"/>
      <c r="BX9" s="74"/>
      <c r="BY9" s="74"/>
      <c r="BZ9" s="74"/>
      <c r="CA9" s="74"/>
      <c r="CB9" s="74"/>
      <c r="CC9" s="74"/>
      <c r="CD9" s="74"/>
      <c r="CE9" s="74"/>
      <c r="CF9" s="74"/>
      <c r="CG9" s="74"/>
      <c r="CH9" s="74"/>
      <c r="CI9" s="74"/>
      <c r="CJ9" s="74"/>
      <c r="CK9" s="74"/>
      <c r="CL9" s="74"/>
      <c r="CM9" s="74"/>
      <c r="CN9" s="74"/>
      <c r="CO9" s="74"/>
      <c r="CP9" s="74"/>
      <c r="CQ9" s="74"/>
      <c r="CR9" s="74"/>
      <c r="CS9" s="74"/>
      <c r="CT9" s="74"/>
      <c r="CU9" s="74"/>
      <c r="CV9" s="74"/>
      <c r="CW9" s="74"/>
      <c r="CX9" s="74"/>
      <c r="CY9" s="74"/>
      <c r="CZ9" s="74"/>
      <c r="DA9" s="74"/>
      <c r="DB9" s="74"/>
      <c r="DC9" s="74"/>
      <c r="DD9" s="74"/>
      <c r="DE9" s="74"/>
      <c r="DF9" s="74"/>
      <c r="DG9" s="74"/>
      <c r="DH9" s="74"/>
      <c r="DI9" s="74"/>
      <c r="DJ9" s="74"/>
      <c r="DK9" s="74"/>
      <c r="DL9" s="74"/>
      <c r="DM9" s="74"/>
      <c r="DN9" s="74"/>
      <c r="DO9" s="74"/>
      <c r="DP9" s="74"/>
      <c r="DQ9" s="74"/>
      <c r="DR9" s="74"/>
      <c r="DS9" s="74"/>
      <c r="DT9" s="74"/>
      <c r="DU9" s="74"/>
      <c r="DV9" s="74"/>
      <c r="DW9" s="74"/>
      <c r="DX9" s="74"/>
      <c r="DY9" s="74"/>
      <c r="DZ9" s="74"/>
      <c r="EA9" s="74"/>
      <c r="EB9" s="74"/>
      <c r="EC9" s="74"/>
      <c r="ED9" s="74"/>
      <c r="EE9" s="74"/>
      <c r="EF9" s="74"/>
      <c r="EG9" s="74"/>
      <c r="EH9" s="74"/>
      <c r="EI9" s="74"/>
      <c r="EJ9" s="74"/>
      <c r="EK9" s="74"/>
      <c r="EL9" s="74"/>
      <c r="EM9" s="74"/>
      <c r="EN9" s="74"/>
      <c r="EO9" s="74"/>
      <c r="EP9" s="74"/>
      <c r="EQ9" s="74"/>
      <c r="ER9" s="74"/>
      <c r="ES9" s="74"/>
      <c r="ET9" s="74"/>
      <c r="EU9" s="74"/>
      <c r="EV9" s="74"/>
      <c r="EW9" s="74"/>
      <c r="EX9" s="74"/>
      <c r="EY9" s="74"/>
      <c r="EZ9" s="74"/>
      <c r="FA9" s="74"/>
    </row>
    <row r="10" spans="1:158" ht="13">
      <c r="A10" s="59" t="s">
        <v>395</v>
      </c>
      <c r="B10" s="59"/>
      <c r="C10" s="59" t="s">
        <v>379</v>
      </c>
      <c r="D10" s="98" t="s">
        <v>380</v>
      </c>
      <c r="E10" s="98" t="s">
        <v>381</v>
      </c>
      <c r="F10" s="59" t="s">
        <v>396</v>
      </c>
      <c r="I10" s="84"/>
      <c r="J10" s="84"/>
      <c r="K10" s="84"/>
      <c r="L10" s="84"/>
      <c r="M10" s="84"/>
      <c r="N10" s="84"/>
      <c r="O10" s="84"/>
      <c r="P10" s="84"/>
      <c r="Q10" s="84"/>
      <c r="R10" s="84"/>
      <c r="S10" s="84"/>
      <c r="T10" s="84"/>
      <c r="U10" s="84"/>
      <c r="V10" s="84"/>
      <c r="W10" s="84"/>
      <c r="X10" s="84"/>
      <c r="Y10" s="84"/>
      <c r="Z10" s="84"/>
      <c r="AA10" s="84"/>
      <c r="AB10" s="84"/>
      <c r="AC10" s="84"/>
      <c r="AD10" s="84"/>
      <c r="AE10" s="84"/>
      <c r="AF10" s="84"/>
      <c r="AG10" s="84"/>
      <c r="AH10" s="84"/>
      <c r="AI10" s="84"/>
      <c r="AJ10" s="84"/>
      <c r="AK10" s="84"/>
      <c r="AL10" s="84"/>
      <c r="AM10" s="84"/>
      <c r="AN10" s="84"/>
      <c r="AO10" s="84"/>
      <c r="AP10" s="84"/>
      <c r="AQ10" s="84"/>
      <c r="AR10" s="84"/>
      <c r="AS10" s="84"/>
      <c r="AT10" s="84"/>
      <c r="AU10" s="84"/>
      <c r="AV10" s="84"/>
      <c r="AW10" s="84"/>
      <c r="AX10" s="84"/>
      <c r="AY10" s="84"/>
      <c r="AZ10" s="84"/>
      <c r="BA10" s="84"/>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84"/>
      <c r="CE10" s="84"/>
      <c r="CF10" s="84"/>
      <c r="CG10" s="84"/>
      <c r="CH10" s="84"/>
      <c r="CI10" s="84"/>
      <c r="CJ10" s="84"/>
      <c r="CK10" s="84"/>
      <c r="CL10" s="84"/>
      <c r="CM10" s="84"/>
      <c r="CN10" s="84"/>
      <c r="CO10" s="84"/>
      <c r="CP10" s="84"/>
      <c r="CQ10" s="84"/>
      <c r="CR10" s="84"/>
      <c r="CS10" s="84"/>
      <c r="CT10" s="84"/>
      <c r="CU10" s="84"/>
      <c r="CV10" s="84"/>
      <c r="CW10" s="84"/>
      <c r="CX10" s="84"/>
      <c r="CY10" s="84"/>
      <c r="CZ10" s="84"/>
      <c r="DA10" s="84"/>
      <c r="DB10" s="84"/>
      <c r="DC10" s="84"/>
      <c r="DD10" s="84"/>
      <c r="DE10" s="84"/>
      <c r="DF10" s="84"/>
      <c r="DG10" s="84"/>
      <c r="DH10" s="84"/>
      <c r="DI10" s="84"/>
      <c r="DJ10" s="84"/>
      <c r="DK10" s="84"/>
      <c r="DL10" s="84"/>
      <c r="DM10" s="84"/>
      <c r="DN10" s="84"/>
      <c r="DO10" s="84"/>
      <c r="DP10" s="84"/>
      <c r="DQ10" s="84"/>
      <c r="DR10" s="84"/>
      <c r="DS10" s="84"/>
      <c r="DT10" s="84"/>
      <c r="DU10" s="84"/>
      <c r="DV10" s="84"/>
      <c r="DW10" s="84"/>
      <c r="DX10" s="84"/>
      <c r="DY10" s="84"/>
      <c r="DZ10" s="84"/>
      <c r="EA10" s="84"/>
      <c r="EB10" s="84"/>
      <c r="EC10" s="84"/>
      <c r="ED10" s="84"/>
      <c r="EE10" s="84"/>
      <c r="EF10" s="84"/>
      <c r="EG10" s="84"/>
      <c r="EH10" s="84"/>
      <c r="EI10" s="84"/>
      <c r="EJ10" s="84"/>
      <c r="EK10" s="84"/>
      <c r="EL10" s="84"/>
      <c r="EM10" s="84"/>
      <c r="EN10" s="84"/>
      <c r="EO10" s="84"/>
      <c r="EP10" s="84"/>
      <c r="EQ10" s="84"/>
      <c r="ER10" s="84"/>
      <c r="ES10" s="84"/>
      <c r="ET10" s="84"/>
      <c r="EU10" s="84"/>
      <c r="EV10" s="84"/>
      <c r="EW10" s="84"/>
      <c r="EX10" s="84"/>
      <c r="EY10" s="84"/>
      <c r="EZ10" s="84"/>
      <c r="FA10" s="84"/>
    </row>
    <row r="11" spans="1:158" ht="13">
      <c r="A11" s="107" t="s">
        <v>397</v>
      </c>
      <c r="B11" s="107" t="s">
        <v>329</v>
      </c>
      <c r="C11" s="60">
        <v>1</v>
      </c>
      <c r="D11" s="65">
        <v>46.08</v>
      </c>
      <c r="E11" s="60">
        <f>D11*C11</f>
        <v>46.08</v>
      </c>
      <c r="F11" s="328">
        <f>E11/$D$3</f>
        <v>0.35419453027717562</v>
      </c>
      <c r="H11" s="60" t="s">
        <v>399</v>
      </c>
      <c r="I11" s="74">
        <f>$F$11*I8</f>
        <v>0.27056489448846388</v>
      </c>
      <c r="J11" s="74">
        <f t="shared" ref="J11:BU11" si="0">$F$11*J8</f>
        <v>0.26957105431171141</v>
      </c>
      <c r="K11" s="74">
        <f t="shared" si="0"/>
        <v>0.25906545695311195</v>
      </c>
      <c r="L11" s="74">
        <f t="shared" si="0"/>
        <v>0.25295465378860271</v>
      </c>
      <c r="M11" s="74">
        <f t="shared" si="0"/>
        <v>0.25504639657903511</v>
      </c>
      <c r="N11" s="74">
        <f t="shared" si="0"/>
        <v>0.2546435811151721</v>
      </c>
      <c r="O11" s="74">
        <f t="shared" si="0"/>
        <v>0.25743607769789434</v>
      </c>
      <c r="P11" s="74">
        <f t="shared" si="0"/>
        <v>0.25860042187448351</v>
      </c>
      <c r="Q11" s="74">
        <f t="shared" si="0"/>
        <v>0.26230368075224242</v>
      </c>
      <c r="R11" s="74">
        <f t="shared" si="0"/>
        <v>0.26236326048757669</v>
      </c>
      <c r="S11" s="74">
        <f t="shared" si="0"/>
        <v>0.25983606849911939</v>
      </c>
      <c r="T11" s="74">
        <f t="shared" si="0"/>
        <v>0.2615996283932302</v>
      </c>
      <c r="U11" s="74">
        <f t="shared" si="0"/>
        <v>0.27285189690292516</v>
      </c>
      <c r="V11" s="74">
        <f t="shared" si="0"/>
        <v>0.27408872555646868</v>
      </c>
      <c r="W11" s="74">
        <f t="shared" si="0"/>
        <v>0.27408872555646868</v>
      </c>
      <c r="X11" s="74">
        <f t="shared" si="0"/>
        <v>0.16829592355345988</v>
      </c>
      <c r="Y11" s="74">
        <f t="shared" si="0"/>
        <v>0.17105298987788517</v>
      </c>
      <c r="Z11" s="74">
        <f t="shared" si="0"/>
        <v>0.17037845401897045</v>
      </c>
      <c r="AA11" s="74">
        <f t="shared" si="0"/>
        <v>0.16811527584268196</v>
      </c>
      <c r="AB11" s="74">
        <f t="shared" si="0"/>
        <v>0.27701298214773712</v>
      </c>
      <c r="AC11" s="74">
        <f t="shared" si="0"/>
        <v>0.27931043855983939</v>
      </c>
      <c r="AD11" s="74">
        <f t="shared" si="0"/>
        <v>0.27423952417669456</v>
      </c>
      <c r="AE11" s="74">
        <f t="shared" si="0"/>
        <v>0.27585984632840316</v>
      </c>
      <c r="AF11" s="74">
        <f t="shared" si="0"/>
        <v>0.31408850376273906</v>
      </c>
      <c r="AG11" s="74">
        <f t="shared" si="0"/>
        <v>0.31818072469826431</v>
      </c>
      <c r="AH11" s="74">
        <f t="shared" si="0"/>
        <v>0.31601594121912729</v>
      </c>
      <c r="AI11" s="74">
        <f t="shared" si="0"/>
        <v>0.31083263290625618</v>
      </c>
      <c r="AJ11" s="74">
        <f t="shared" si="0"/>
        <v>0.31001691133238224</v>
      </c>
      <c r="AK11" s="74">
        <f t="shared" si="0"/>
        <v>0.30637321617133351</v>
      </c>
      <c r="AL11" s="74">
        <f t="shared" si="0"/>
        <v>0.3034093270980871</v>
      </c>
      <c r="AM11" s="74">
        <f t="shared" si="0"/>
        <v>0.29758910781561776</v>
      </c>
      <c r="AN11" s="74">
        <f t="shared" si="0"/>
        <v>0.29779344044001421</v>
      </c>
      <c r="AO11" s="74">
        <f t="shared" si="0"/>
        <v>0.29525234912861142</v>
      </c>
      <c r="AP11" s="74">
        <f t="shared" si="0"/>
        <v>0.2876915398320718</v>
      </c>
      <c r="AQ11" s="74">
        <f t="shared" si="0"/>
        <v>0.29007313246304867</v>
      </c>
      <c r="AR11" s="74">
        <f t="shared" si="0"/>
        <v>0.28777372004316637</v>
      </c>
      <c r="AS11" s="74">
        <f t="shared" si="0"/>
        <v>0.28975765801258507</v>
      </c>
      <c r="AT11" s="74">
        <f t="shared" si="0"/>
        <v>0.28897414419426259</v>
      </c>
      <c r="AU11" s="74">
        <f t="shared" si="0"/>
        <v>0.29975676151494407</v>
      </c>
      <c r="AV11" s="74">
        <f t="shared" si="0"/>
        <v>0.29975676151494407</v>
      </c>
      <c r="AW11" s="74">
        <f t="shared" si="0"/>
        <v>0.29975676151494407</v>
      </c>
      <c r="AX11" s="74">
        <f t="shared" si="0"/>
        <v>0.29838205883956004</v>
      </c>
      <c r="AY11" s="74">
        <f t="shared" si="0"/>
        <v>0.29859922191004012</v>
      </c>
      <c r="AZ11" s="74">
        <f t="shared" si="0"/>
        <v>0.29954392618962894</v>
      </c>
      <c r="BA11" s="74">
        <f t="shared" si="0"/>
        <v>0.30049462712724251</v>
      </c>
      <c r="BB11" s="74">
        <f t="shared" si="0"/>
        <v>0.29925261189233776</v>
      </c>
      <c r="BC11" s="74">
        <f t="shared" si="0"/>
        <v>0.297193285696773</v>
      </c>
      <c r="BD11" s="74">
        <f t="shared" si="0"/>
        <v>0.29569393218334777</v>
      </c>
      <c r="BE11" s="74">
        <f t="shared" si="0"/>
        <v>0.29569393218334777</v>
      </c>
      <c r="BF11" s="74">
        <f t="shared" si="0"/>
        <v>0.29784053060210169</v>
      </c>
      <c r="BG11" s="74">
        <f t="shared" si="0"/>
        <v>0.29640601871479477</v>
      </c>
      <c r="BH11" s="74">
        <f t="shared" si="0"/>
        <v>0.29679913014545101</v>
      </c>
      <c r="BI11" s="74">
        <f t="shared" si="0"/>
        <v>0.29683491926038469</v>
      </c>
      <c r="BJ11" s="74">
        <f t="shared" si="0"/>
        <v>0.29565841765870415</v>
      </c>
      <c r="BK11" s="74">
        <f t="shared" si="0"/>
        <v>0.29580052696784076</v>
      </c>
      <c r="BL11" s="74">
        <f t="shared" si="0"/>
        <v>0.29569393218334777</v>
      </c>
      <c r="BM11" s="74">
        <f t="shared" si="0"/>
        <v>0.29615639863166149</v>
      </c>
      <c r="BN11" s="74">
        <f t="shared" si="0"/>
        <v>0.29565841765870415</v>
      </c>
      <c r="BO11" s="74">
        <f t="shared" si="0"/>
        <v>0.30218471100311789</v>
      </c>
      <c r="BP11" s="74">
        <f t="shared" si="0"/>
        <v>0.30229368493424053</v>
      </c>
      <c r="BQ11" s="74">
        <f t="shared" si="0"/>
        <v>0.30229368493424053</v>
      </c>
      <c r="BR11" s="74">
        <f t="shared" si="0"/>
        <v>0.30178581122860276</v>
      </c>
      <c r="BS11" s="74">
        <f t="shared" si="0"/>
        <v>0.30153251378512552</v>
      </c>
      <c r="BT11" s="74">
        <f t="shared" si="0"/>
        <v>0.30167720309116447</v>
      </c>
      <c r="BU11" s="74">
        <f t="shared" si="0"/>
        <v>0.30211210535415028</v>
      </c>
      <c r="BV11" s="74">
        <f t="shared" ref="BV11:CR11" si="1">$F$11*BV8</f>
        <v>0.30182203132116503</v>
      </c>
      <c r="BW11" s="74">
        <f t="shared" si="1"/>
        <v>0.29310300316417703</v>
      </c>
      <c r="BX11" s="74">
        <f t="shared" si="1"/>
        <v>0.29306775325399498</v>
      </c>
      <c r="BY11" s="74">
        <f t="shared" si="1"/>
        <v>0.29271571991675294</v>
      </c>
      <c r="BZ11" s="74">
        <f t="shared" si="1"/>
        <v>0.29338530800709944</v>
      </c>
      <c r="CA11" s="74">
        <f t="shared" si="1"/>
        <v>0.29359739377192384</v>
      </c>
      <c r="CB11" s="74">
        <f t="shared" si="1"/>
        <v>0.29356202485326682</v>
      </c>
      <c r="CC11" s="74">
        <f t="shared" si="1"/>
        <v>0.29395155226863307</v>
      </c>
      <c r="CD11" s="74">
        <f t="shared" si="1"/>
        <v>0.29395155226863307</v>
      </c>
      <c r="CE11" s="74">
        <f t="shared" si="1"/>
        <v>0.29466243873119324</v>
      </c>
      <c r="CF11" s="74">
        <f t="shared" si="1"/>
        <v>0.29444881202355827</v>
      </c>
      <c r="CG11" s="74">
        <f t="shared" si="1"/>
        <v>0.29268056309235746</v>
      </c>
      <c r="CH11" s="74">
        <f t="shared" si="1"/>
        <v>0.29222429167849484</v>
      </c>
      <c r="CI11" s="74">
        <f t="shared" si="1"/>
        <v>0.29285643171577558</v>
      </c>
      <c r="CJ11" s="74">
        <f t="shared" si="1"/>
        <v>0.29218925279460045</v>
      </c>
      <c r="CK11" s="74">
        <f t="shared" si="1"/>
        <v>0.29145537236059899</v>
      </c>
      <c r="CL11" s="74">
        <f t="shared" si="1"/>
        <v>0.29211920022859844</v>
      </c>
      <c r="CM11" s="74">
        <f t="shared" si="1"/>
        <v>0.29183932554574471</v>
      </c>
      <c r="CN11" s="74">
        <f t="shared" si="1"/>
        <v>0.2923645312905781</v>
      </c>
      <c r="CO11" s="74">
        <f t="shared" si="1"/>
        <v>0.2923645312905781</v>
      </c>
      <c r="CP11" s="74">
        <f t="shared" si="1"/>
        <v>0.2923645312905781</v>
      </c>
      <c r="CQ11" s="74">
        <f t="shared" si="1"/>
        <v>0.2923645312905781</v>
      </c>
      <c r="CR11" s="74">
        <f t="shared" si="1"/>
        <v>0.29048258055870407</v>
      </c>
      <c r="CS11" s="74">
        <f t="shared" ref="CS11:FA11" si="2">$F$11*CS8</f>
        <v>0.29218925279460045</v>
      </c>
      <c r="CT11" s="74">
        <f t="shared" si="2"/>
        <v>0.29183932554574471</v>
      </c>
      <c r="CU11" s="74">
        <f t="shared" si="2"/>
        <v>0.29201418433876192</v>
      </c>
      <c r="CV11" s="74">
        <f t="shared" si="2"/>
        <v>0.29194421568311585</v>
      </c>
      <c r="CW11" s="74">
        <f t="shared" si="2"/>
        <v>0.29166467603913443</v>
      </c>
      <c r="CX11" s="74">
        <f t="shared" si="2"/>
        <v>0.29114197948709297</v>
      </c>
      <c r="CY11" s="74">
        <f t="shared" si="2"/>
        <v>0.29103766491185573</v>
      </c>
      <c r="CZ11" s="74">
        <f t="shared" si="2"/>
        <v>0.29027496942310521</v>
      </c>
      <c r="DA11" s="74">
        <f t="shared" si="2"/>
        <v>0.29024039641578947</v>
      </c>
      <c r="DB11" s="74">
        <f t="shared" si="2"/>
        <v>0.2904479580818794</v>
      </c>
      <c r="DC11" s="74">
        <f t="shared" si="2"/>
        <v>0.29048258055870407</v>
      </c>
      <c r="DD11" s="74">
        <f t="shared" si="2"/>
        <v>0.29024039641578947</v>
      </c>
      <c r="DE11" s="74">
        <f t="shared" si="2"/>
        <v>0.29024039641578947</v>
      </c>
      <c r="DF11" s="74">
        <f t="shared" si="2"/>
        <v>0.29155998663639249</v>
      </c>
      <c r="DG11" s="74">
        <f t="shared" si="2"/>
        <v>0.29128118196353914</v>
      </c>
      <c r="DH11" s="74">
        <f t="shared" si="2"/>
        <v>0.29020583164308306</v>
      </c>
      <c r="DI11" s="74">
        <f t="shared" si="2"/>
        <v>0.28986063617306634</v>
      </c>
      <c r="DJ11" s="74">
        <f t="shared" si="2"/>
        <v>0.28986063617306634</v>
      </c>
      <c r="DK11" s="74">
        <f t="shared" si="2"/>
        <v>0.28982616178722265</v>
      </c>
      <c r="DL11" s="74">
        <f t="shared" si="2"/>
        <v>0.28968834620862671</v>
      </c>
      <c r="DM11" s="74">
        <f t="shared" si="2"/>
        <v>0.28872729482310044</v>
      </c>
      <c r="DN11" s="74">
        <f t="shared" si="2"/>
        <v>0.28917270301494818</v>
      </c>
      <c r="DO11" s="74">
        <f t="shared" si="2"/>
        <v>0.2879426170751469</v>
      </c>
      <c r="DP11" s="74">
        <f t="shared" si="2"/>
        <v>0.28773861947183471</v>
      </c>
      <c r="DQ11" s="74">
        <f t="shared" si="2"/>
        <v>0.2872637472954106</v>
      </c>
      <c r="DR11" s="74">
        <f t="shared" si="2"/>
        <v>0.28695929914118795</v>
      </c>
      <c r="DS11" s="74">
        <f t="shared" si="2"/>
        <v>0.28608339613840905</v>
      </c>
      <c r="DT11" s="74" t="e">
        <f t="shared" si="2"/>
        <v>#DIV/0!</v>
      </c>
      <c r="DU11" s="74">
        <f t="shared" si="2"/>
        <v>0</v>
      </c>
      <c r="DV11" s="74">
        <f t="shared" si="2"/>
        <v>0</v>
      </c>
      <c r="DW11" s="74">
        <f t="shared" si="2"/>
        <v>0</v>
      </c>
      <c r="DX11" s="74">
        <f t="shared" si="2"/>
        <v>0</v>
      </c>
      <c r="DY11" s="74">
        <f t="shared" si="2"/>
        <v>0</v>
      </c>
      <c r="DZ11" s="74">
        <f t="shared" si="2"/>
        <v>0</v>
      </c>
      <c r="EA11" s="74">
        <f t="shared" si="2"/>
        <v>0</v>
      </c>
      <c r="EB11" s="74" t="e">
        <f t="shared" si="2"/>
        <v>#REF!</v>
      </c>
      <c r="EC11" s="74" t="e">
        <f t="shared" si="2"/>
        <v>#REF!</v>
      </c>
      <c r="ED11" s="74" t="e">
        <f t="shared" si="2"/>
        <v>#REF!</v>
      </c>
      <c r="EE11" s="74" t="e">
        <f t="shared" si="2"/>
        <v>#REF!</v>
      </c>
      <c r="EF11" s="74" t="e">
        <f t="shared" si="2"/>
        <v>#REF!</v>
      </c>
      <c r="EG11" s="74" t="e">
        <f t="shared" si="2"/>
        <v>#REF!</v>
      </c>
      <c r="EH11" s="74" t="e">
        <f t="shared" si="2"/>
        <v>#REF!</v>
      </c>
      <c r="EI11" s="74" t="e">
        <f t="shared" si="2"/>
        <v>#REF!</v>
      </c>
      <c r="EJ11" s="74" t="e">
        <f t="shared" si="2"/>
        <v>#REF!</v>
      </c>
      <c r="EK11" s="74" t="e">
        <f t="shared" si="2"/>
        <v>#REF!</v>
      </c>
      <c r="EL11" s="74" t="e">
        <f t="shared" si="2"/>
        <v>#REF!</v>
      </c>
      <c r="EM11" s="74" t="e">
        <f t="shared" si="2"/>
        <v>#REF!</v>
      </c>
      <c r="EN11" s="74" t="e">
        <f t="shared" si="2"/>
        <v>#REF!</v>
      </c>
      <c r="EO11" s="74" t="e">
        <f t="shared" si="2"/>
        <v>#REF!</v>
      </c>
      <c r="EP11" s="74" t="e">
        <f t="shared" si="2"/>
        <v>#REF!</v>
      </c>
      <c r="EQ11" s="74" t="e">
        <f t="shared" si="2"/>
        <v>#REF!</v>
      </c>
      <c r="ER11" s="74" t="e">
        <f t="shared" si="2"/>
        <v>#REF!</v>
      </c>
      <c r="ES11" s="74" t="e">
        <f t="shared" si="2"/>
        <v>#REF!</v>
      </c>
      <c r="ET11" s="74" t="e">
        <f t="shared" si="2"/>
        <v>#REF!</v>
      </c>
      <c r="EU11" s="74" t="e">
        <f t="shared" si="2"/>
        <v>#REF!</v>
      </c>
      <c r="EV11" s="74" t="e">
        <f t="shared" si="2"/>
        <v>#REF!</v>
      </c>
      <c r="EW11" s="74" t="e">
        <f t="shared" si="2"/>
        <v>#REF!</v>
      </c>
      <c r="EX11" s="74" t="e">
        <f t="shared" si="2"/>
        <v>#REF!</v>
      </c>
      <c r="EY11" s="74" t="e">
        <f t="shared" si="2"/>
        <v>#REF!</v>
      </c>
      <c r="EZ11" s="74" t="e">
        <f t="shared" si="2"/>
        <v>#REF!</v>
      </c>
      <c r="FA11" s="74" t="e">
        <f t="shared" si="2"/>
        <v>#REF!</v>
      </c>
    </row>
    <row r="12" spans="1:158">
      <c r="A12" s="67"/>
      <c r="B12" s="107"/>
      <c r="D12" s="77"/>
      <c r="F12" s="65"/>
      <c r="I12" s="74"/>
      <c r="J12" s="74"/>
      <c r="K12" s="74"/>
      <c r="L12" s="74"/>
      <c r="M12" s="74"/>
      <c r="N12" s="74"/>
      <c r="O12" s="74"/>
      <c r="P12" s="74"/>
      <c r="Q12" s="74"/>
      <c r="R12" s="74"/>
      <c r="S12" s="74"/>
      <c r="T12" s="74"/>
      <c r="U12" s="74"/>
      <c r="V12" s="74"/>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c r="BL12" s="74"/>
      <c r="BM12" s="74"/>
      <c r="BN12" s="74"/>
      <c r="BO12" s="74"/>
      <c r="BP12" s="74"/>
      <c r="BQ12" s="74"/>
      <c r="BR12" s="74"/>
      <c r="BS12" s="74"/>
      <c r="BT12" s="74"/>
      <c r="BU12" s="74"/>
      <c r="BV12" s="74"/>
      <c r="BW12" s="74"/>
      <c r="BX12" s="74"/>
      <c r="BY12" s="74"/>
      <c r="BZ12" s="74"/>
      <c r="CA12" s="74"/>
      <c r="CB12" s="74"/>
      <c r="CC12" s="74"/>
      <c r="CD12" s="74"/>
      <c r="CE12" s="74"/>
      <c r="CF12" s="74"/>
      <c r="CG12" s="74"/>
      <c r="CH12" s="74"/>
      <c r="CI12" s="74"/>
      <c r="CJ12" s="74"/>
      <c r="CK12" s="74"/>
      <c r="CL12" s="74"/>
      <c r="CM12" s="74"/>
      <c r="CN12" s="74"/>
      <c r="CO12" s="74"/>
      <c r="CP12" s="74"/>
      <c r="CQ12" s="74"/>
      <c r="CR12" s="74"/>
      <c r="CS12" s="74"/>
      <c r="CT12" s="74"/>
      <c r="CU12" s="74"/>
      <c r="CV12" s="74"/>
      <c r="CW12" s="74"/>
      <c r="CX12" s="74"/>
      <c r="CY12" s="74"/>
      <c r="CZ12" s="74"/>
      <c r="DA12" s="74"/>
      <c r="DB12" s="74"/>
      <c r="DC12" s="74"/>
      <c r="DD12" s="74"/>
      <c r="DE12" s="74"/>
      <c r="DF12" s="74"/>
      <c r="DG12" s="74"/>
      <c r="DH12" s="74"/>
      <c r="DI12" s="74"/>
      <c r="DJ12" s="74"/>
      <c r="DK12" s="74"/>
      <c r="DL12" s="74"/>
      <c r="DM12" s="74"/>
      <c r="DN12" s="74"/>
      <c r="DO12" s="74"/>
      <c r="DP12" s="74"/>
      <c r="DQ12" s="74"/>
      <c r="DR12" s="74"/>
      <c r="DS12" s="74"/>
      <c r="DT12" s="74"/>
      <c r="DU12" s="74"/>
      <c r="DV12" s="74"/>
      <c r="DW12" s="74"/>
      <c r="DX12" s="74"/>
      <c r="DY12" s="74"/>
      <c r="DZ12" s="74"/>
      <c r="EA12" s="74"/>
      <c r="EB12" s="74"/>
      <c r="EC12" s="74"/>
      <c r="ED12" s="74"/>
      <c r="EE12" s="74"/>
      <c r="EF12" s="74"/>
      <c r="EG12" s="74"/>
      <c r="EH12" s="74"/>
      <c r="EI12" s="74"/>
      <c r="EJ12" s="74"/>
      <c r="EK12" s="74"/>
      <c r="EL12" s="74"/>
      <c r="EM12" s="74"/>
      <c r="EN12" s="74"/>
      <c r="EO12" s="74"/>
      <c r="EP12" s="74"/>
      <c r="EQ12" s="74"/>
      <c r="ER12" s="74"/>
      <c r="ES12" s="74"/>
      <c r="ET12" s="74"/>
      <c r="EU12" s="74"/>
      <c r="EV12" s="74"/>
      <c r="EW12" s="74"/>
      <c r="EX12" s="74"/>
      <c r="EY12" s="74"/>
      <c r="EZ12" s="74"/>
      <c r="FA12" s="74"/>
    </row>
    <row r="13" spans="1:158">
      <c r="A13" s="67"/>
      <c r="B13" s="107"/>
      <c r="D13" s="77"/>
      <c r="F13" s="65"/>
      <c r="I13" s="74"/>
      <c r="J13" s="74"/>
      <c r="K13" s="74"/>
      <c r="L13" s="74"/>
      <c r="M13" s="74"/>
      <c r="N13" s="74"/>
      <c r="O13" s="74"/>
      <c r="P13" s="74"/>
      <c r="Q13" s="74"/>
      <c r="R13" s="74"/>
      <c r="S13" s="74"/>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c r="BF13" s="74"/>
      <c r="BG13" s="74"/>
      <c r="BH13" s="74"/>
      <c r="BI13" s="74"/>
      <c r="BJ13" s="74"/>
      <c r="BK13" s="74"/>
      <c r="BL13" s="74"/>
      <c r="BM13" s="74"/>
      <c r="BN13" s="74"/>
      <c r="BO13" s="74"/>
      <c r="BP13" s="74"/>
      <c r="BQ13" s="74"/>
      <c r="BR13" s="74"/>
      <c r="BS13" s="74"/>
      <c r="BT13" s="74"/>
      <c r="BU13" s="74"/>
      <c r="BV13" s="74"/>
      <c r="BW13" s="74"/>
      <c r="BX13" s="74"/>
      <c r="BY13" s="74"/>
      <c r="BZ13" s="74"/>
      <c r="CA13" s="74"/>
      <c r="CB13" s="74"/>
      <c r="CC13" s="74"/>
      <c r="CD13" s="74"/>
      <c r="CE13" s="74"/>
      <c r="CF13" s="74"/>
      <c r="CG13" s="74"/>
      <c r="CH13" s="74"/>
      <c r="CI13" s="74"/>
      <c r="CJ13" s="74"/>
      <c r="CK13" s="74"/>
      <c r="CL13" s="74"/>
      <c r="CM13" s="74"/>
      <c r="CN13" s="74"/>
      <c r="CO13" s="74"/>
      <c r="CP13" s="74"/>
      <c r="CQ13" s="74"/>
      <c r="CR13" s="74"/>
      <c r="CS13" s="74"/>
      <c r="CT13" s="74"/>
      <c r="CU13" s="74"/>
      <c r="CV13" s="74"/>
      <c r="CW13" s="74"/>
      <c r="CX13" s="74"/>
      <c r="CY13" s="74"/>
      <c r="CZ13" s="74"/>
      <c r="DA13" s="74"/>
      <c r="DB13" s="74"/>
      <c r="DC13" s="74"/>
      <c r="DD13" s="74"/>
      <c r="DE13" s="74"/>
      <c r="DF13" s="74"/>
      <c r="DG13" s="74"/>
      <c r="DH13" s="74"/>
      <c r="DI13" s="74"/>
      <c r="DJ13" s="74"/>
      <c r="DK13" s="74"/>
      <c r="DL13" s="74"/>
      <c r="DM13" s="74"/>
      <c r="DN13" s="74"/>
      <c r="DO13" s="74"/>
      <c r="DP13" s="74"/>
      <c r="DQ13" s="74"/>
      <c r="DR13" s="74"/>
      <c r="DS13" s="74"/>
      <c r="DT13" s="74"/>
      <c r="DU13" s="74"/>
      <c r="DV13" s="74"/>
      <c r="DW13" s="74"/>
      <c r="DX13" s="74"/>
      <c r="DY13" s="74"/>
      <c r="DZ13" s="74"/>
      <c r="EA13" s="74"/>
      <c r="EB13" s="74"/>
      <c r="EC13" s="74"/>
      <c r="ED13" s="74"/>
      <c r="EE13" s="74"/>
      <c r="EF13" s="74"/>
      <c r="EG13" s="74"/>
      <c r="EH13" s="74"/>
      <c r="EI13" s="74"/>
      <c r="EJ13" s="74"/>
      <c r="EK13" s="74"/>
      <c r="EL13" s="74"/>
      <c r="EM13" s="74"/>
      <c r="EN13" s="74"/>
      <c r="EO13" s="74"/>
      <c r="EP13" s="74"/>
      <c r="EQ13" s="74"/>
      <c r="ER13" s="74"/>
      <c r="ES13" s="74"/>
      <c r="ET13" s="74"/>
      <c r="EU13" s="74"/>
      <c r="EV13" s="74"/>
      <c r="EW13" s="74"/>
      <c r="EX13" s="74"/>
      <c r="EY13" s="74"/>
      <c r="EZ13" s="74"/>
      <c r="FA13" s="74"/>
    </row>
    <row r="14" spans="1:158" s="104" customFormat="1">
      <c r="H14" s="104" t="s">
        <v>799</v>
      </c>
      <c r="I14" s="105">
        <f t="shared" ref="I14:AN14" si="3">SUM(I11:I11)</f>
        <v>0.27056489448846388</v>
      </c>
      <c r="J14" s="105">
        <f t="shared" si="3"/>
        <v>0.26957105431171141</v>
      </c>
      <c r="K14" s="105">
        <f t="shared" si="3"/>
        <v>0.25906545695311195</v>
      </c>
      <c r="L14" s="105">
        <f t="shared" si="3"/>
        <v>0.25295465378860271</v>
      </c>
      <c r="M14" s="105">
        <f t="shared" si="3"/>
        <v>0.25504639657903511</v>
      </c>
      <c r="N14" s="105">
        <f t="shared" si="3"/>
        <v>0.2546435811151721</v>
      </c>
      <c r="O14" s="105">
        <f t="shared" si="3"/>
        <v>0.25743607769789434</v>
      </c>
      <c r="P14" s="105">
        <f t="shared" si="3"/>
        <v>0.25860042187448351</v>
      </c>
      <c r="Q14" s="105">
        <f t="shared" si="3"/>
        <v>0.26230368075224242</v>
      </c>
      <c r="R14" s="105">
        <f t="shared" si="3"/>
        <v>0.26236326048757669</v>
      </c>
      <c r="S14" s="105">
        <f t="shared" si="3"/>
        <v>0.25983606849911939</v>
      </c>
      <c r="T14" s="105">
        <f t="shared" si="3"/>
        <v>0.2615996283932302</v>
      </c>
      <c r="U14" s="105">
        <f t="shared" si="3"/>
        <v>0.27285189690292516</v>
      </c>
      <c r="V14" s="105">
        <f t="shared" si="3"/>
        <v>0.27408872555646868</v>
      </c>
      <c r="W14" s="105">
        <f t="shared" si="3"/>
        <v>0.27408872555646868</v>
      </c>
      <c r="X14" s="105">
        <f t="shared" si="3"/>
        <v>0.16829592355345988</v>
      </c>
      <c r="Y14" s="105">
        <f t="shared" si="3"/>
        <v>0.17105298987788517</v>
      </c>
      <c r="Z14" s="105">
        <f t="shared" si="3"/>
        <v>0.17037845401897045</v>
      </c>
      <c r="AA14" s="105">
        <f t="shared" si="3"/>
        <v>0.16811527584268196</v>
      </c>
      <c r="AB14" s="105">
        <f t="shared" si="3"/>
        <v>0.27701298214773712</v>
      </c>
      <c r="AC14" s="105">
        <f t="shared" si="3"/>
        <v>0.27931043855983939</v>
      </c>
      <c r="AD14" s="105">
        <f t="shared" si="3"/>
        <v>0.27423952417669456</v>
      </c>
      <c r="AE14" s="105">
        <f t="shared" si="3"/>
        <v>0.27585984632840316</v>
      </c>
      <c r="AF14" s="105">
        <f t="shared" si="3"/>
        <v>0.31408850376273906</v>
      </c>
      <c r="AG14" s="105">
        <f t="shared" si="3"/>
        <v>0.31818072469826431</v>
      </c>
      <c r="AH14" s="105">
        <f t="shared" si="3"/>
        <v>0.31601594121912729</v>
      </c>
      <c r="AI14" s="105">
        <f t="shared" si="3"/>
        <v>0.31083263290625618</v>
      </c>
      <c r="AJ14" s="105">
        <f t="shared" si="3"/>
        <v>0.31001691133238224</v>
      </c>
      <c r="AK14" s="105">
        <f t="shared" si="3"/>
        <v>0.30637321617133351</v>
      </c>
      <c r="AL14" s="105">
        <f t="shared" si="3"/>
        <v>0.3034093270980871</v>
      </c>
      <c r="AM14" s="105">
        <f t="shared" si="3"/>
        <v>0.29758910781561776</v>
      </c>
      <c r="AN14" s="105">
        <f t="shared" si="3"/>
        <v>0.29779344044001421</v>
      </c>
      <c r="AO14" s="105">
        <f t="shared" ref="AO14:CR14" si="4">SUM(AO11:AO11)</f>
        <v>0.29525234912861142</v>
      </c>
      <c r="AP14" s="105">
        <f t="shared" si="4"/>
        <v>0.2876915398320718</v>
      </c>
      <c r="AQ14" s="105">
        <f t="shared" si="4"/>
        <v>0.29007313246304867</v>
      </c>
      <c r="AR14" s="105">
        <f t="shared" si="4"/>
        <v>0.28777372004316637</v>
      </c>
      <c r="AS14" s="105">
        <f t="shared" si="4"/>
        <v>0.28975765801258507</v>
      </c>
      <c r="AT14" s="105">
        <f t="shared" si="4"/>
        <v>0.28897414419426259</v>
      </c>
      <c r="AU14" s="105">
        <f t="shared" si="4"/>
        <v>0.29975676151494407</v>
      </c>
      <c r="AV14" s="105">
        <f t="shared" si="4"/>
        <v>0.29975676151494407</v>
      </c>
      <c r="AW14" s="105">
        <f t="shared" si="4"/>
        <v>0.29975676151494407</v>
      </c>
      <c r="AX14" s="105">
        <f t="shared" si="4"/>
        <v>0.29838205883956004</v>
      </c>
      <c r="AY14" s="105">
        <f t="shared" si="4"/>
        <v>0.29859922191004012</v>
      </c>
      <c r="AZ14" s="105">
        <f t="shared" si="4"/>
        <v>0.29954392618962894</v>
      </c>
      <c r="BA14" s="105">
        <f t="shared" si="4"/>
        <v>0.30049462712724251</v>
      </c>
      <c r="BB14" s="105">
        <f t="shared" si="4"/>
        <v>0.29925261189233776</v>
      </c>
      <c r="BC14" s="105">
        <f t="shared" si="4"/>
        <v>0.297193285696773</v>
      </c>
      <c r="BD14" s="105">
        <f t="shared" si="4"/>
        <v>0.29569393218334777</v>
      </c>
      <c r="BE14" s="105">
        <f t="shared" si="4"/>
        <v>0.29569393218334777</v>
      </c>
      <c r="BF14" s="105">
        <f t="shared" si="4"/>
        <v>0.29784053060210169</v>
      </c>
      <c r="BG14" s="105">
        <f t="shared" si="4"/>
        <v>0.29640601871479477</v>
      </c>
      <c r="BH14" s="105">
        <f t="shared" si="4"/>
        <v>0.29679913014545101</v>
      </c>
      <c r="BI14" s="105">
        <f t="shared" si="4"/>
        <v>0.29683491926038469</v>
      </c>
      <c r="BJ14" s="105">
        <f t="shared" si="4"/>
        <v>0.29565841765870415</v>
      </c>
      <c r="BK14" s="105">
        <f t="shared" si="4"/>
        <v>0.29580052696784076</v>
      </c>
      <c r="BL14" s="105">
        <f t="shared" si="4"/>
        <v>0.29569393218334777</v>
      </c>
      <c r="BM14" s="105">
        <f t="shared" si="4"/>
        <v>0.29615639863166149</v>
      </c>
      <c r="BN14" s="105">
        <f t="shared" si="4"/>
        <v>0.29565841765870415</v>
      </c>
      <c r="BO14" s="105">
        <f t="shared" si="4"/>
        <v>0.30218471100311789</v>
      </c>
      <c r="BP14" s="105">
        <f t="shared" si="4"/>
        <v>0.30229368493424053</v>
      </c>
      <c r="BQ14" s="105">
        <f t="shared" si="4"/>
        <v>0.30229368493424053</v>
      </c>
      <c r="BR14" s="105">
        <f t="shared" si="4"/>
        <v>0.30178581122860276</v>
      </c>
      <c r="BS14" s="105">
        <f t="shared" si="4"/>
        <v>0.30153251378512552</v>
      </c>
      <c r="BT14" s="105">
        <f t="shared" si="4"/>
        <v>0.30167720309116447</v>
      </c>
      <c r="BU14" s="105">
        <f t="shared" si="4"/>
        <v>0.30211210535415028</v>
      </c>
      <c r="BV14" s="105">
        <f t="shared" si="4"/>
        <v>0.30182203132116503</v>
      </c>
      <c r="BW14" s="105">
        <f t="shared" si="4"/>
        <v>0.29310300316417703</v>
      </c>
      <c r="BX14" s="105">
        <f t="shared" si="4"/>
        <v>0.29306775325399498</v>
      </c>
      <c r="BY14" s="105">
        <f t="shared" si="4"/>
        <v>0.29271571991675294</v>
      </c>
      <c r="BZ14" s="105">
        <f t="shared" si="4"/>
        <v>0.29338530800709944</v>
      </c>
      <c r="CA14" s="105">
        <f t="shared" si="4"/>
        <v>0.29359739377192384</v>
      </c>
      <c r="CB14" s="105">
        <f t="shared" si="4"/>
        <v>0.29356202485326682</v>
      </c>
      <c r="CC14" s="105">
        <f t="shared" si="4"/>
        <v>0.29395155226863307</v>
      </c>
      <c r="CD14" s="105">
        <f t="shared" si="4"/>
        <v>0.29395155226863307</v>
      </c>
      <c r="CE14" s="105">
        <f t="shared" si="4"/>
        <v>0.29466243873119324</v>
      </c>
      <c r="CF14" s="105">
        <f t="shared" si="4"/>
        <v>0.29444881202355827</v>
      </c>
      <c r="CG14" s="105">
        <f t="shared" si="4"/>
        <v>0.29268056309235746</v>
      </c>
      <c r="CH14" s="105">
        <f t="shared" si="4"/>
        <v>0.29222429167849484</v>
      </c>
      <c r="CI14" s="105">
        <f t="shared" si="4"/>
        <v>0.29285643171577558</v>
      </c>
      <c r="CJ14" s="105">
        <f t="shared" si="4"/>
        <v>0.29218925279460045</v>
      </c>
      <c r="CK14" s="105">
        <f t="shared" si="4"/>
        <v>0.29145537236059899</v>
      </c>
      <c r="CL14" s="105">
        <f t="shared" si="4"/>
        <v>0.29211920022859844</v>
      </c>
      <c r="CM14" s="105">
        <f t="shared" si="4"/>
        <v>0.29183932554574471</v>
      </c>
      <c r="CN14" s="105">
        <f t="shared" si="4"/>
        <v>0.2923645312905781</v>
      </c>
      <c r="CO14" s="105">
        <f t="shared" si="4"/>
        <v>0.2923645312905781</v>
      </c>
      <c r="CP14" s="105">
        <f t="shared" si="4"/>
        <v>0.2923645312905781</v>
      </c>
      <c r="CQ14" s="105">
        <f t="shared" si="4"/>
        <v>0.2923645312905781</v>
      </c>
      <c r="CR14" s="105">
        <f t="shared" si="4"/>
        <v>0.29048258055870407</v>
      </c>
      <c r="CS14" s="105">
        <f t="shared" ref="CS14:FA14" si="5">SUM(CS11:CS11)</f>
        <v>0.29218925279460045</v>
      </c>
      <c r="CT14" s="105">
        <f t="shared" si="5"/>
        <v>0.29183932554574471</v>
      </c>
      <c r="CU14" s="105">
        <f t="shared" si="5"/>
        <v>0.29201418433876192</v>
      </c>
      <c r="CV14" s="105">
        <f t="shared" si="5"/>
        <v>0.29194421568311585</v>
      </c>
      <c r="CW14" s="105">
        <f t="shared" si="5"/>
        <v>0.29166467603913443</v>
      </c>
      <c r="CX14" s="105">
        <f t="shared" si="5"/>
        <v>0.29114197948709297</v>
      </c>
      <c r="CY14" s="105">
        <f t="shared" si="5"/>
        <v>0.29103766491185573</v>
      </c>
      <c r="CZ14" s="105">
        <f t="shared" si="5"/>
        <v>0.29027496942310521</v>
      </c>
      <c r="DA14" s="105">
        <f t="shared" si="5"/>
        <v>0.29024039641578947</v>
      </c>
      <c r="DB14" s="105">
        <f t="shared" si="5"/>
        <v>0.2904479580818794</v>
      </c>
      <c r="DC14" s="105">
        <f t="shared" si="5"/>
        <v>0.29048258055870407</v>
      </c>
      <c r="DD14" s="105">
        <f t="shared" si="5"/>
        <v>0.29024039641578947</v>
      </c>
      <c r="DE14" s="105">
        <f t="shared" si="5"/>
        <v>0.29024039641578947</v>
      </c>
      <c r="DF14" s="105">
        <f t="shared" si="5"/>
        <v>0.29155998663639249</v>
      </c>
      <c r="DG14" s="105">
        <f t="shared" si="5"/>
        <v>0.29128118196353914</v>
      </c>
      <c r="DH14" s="105">
        <f t="shared" si="5"/>
        <v>0.29020583164308306</v>
      </c>
      <c r="DI14" s="105">
        <f t="shared" si="5"/>
        <v>0.28986063617306634</v>
      </c>
      <c r="DJ14" s="105">
        <f t="shared" si="5"/>
        <v>0.28986063617306634</v>
      </c>
      <c r="DK14" s="105">
        <f t="shared" si="5"/>
        <v>0.28982616178722265</v>
      </c>
      <c r="DL14" s="105">
        <f t="shared" si="5"/>
        <v>0.28968834620862671</v>
      </c>
      <c r="DM14" s="105">
        <f t="shared" si="5"/>
        <v>0.28872729482310044</v>
      </c>
      <c r="DN14" s="105">
        <f t="shared" si="5"/>
        <v>0.28917270301494818</v>
      </c>
      <c r="DO14" s="105">
        <f t="shared" si="5"/>
        <v>0.2879426170751469</v>
      </c>
      <c r="DP14" s="105">
        <f t="shared" si="5"/>
        <v>0.28773861947183471</v>
      </c>
      <c r="DQ14" s="105">
        <f t="shared" si="5"/>
        <v>0.2872637472954106</v>
      </c>
      <c r="DR14" s="105">
        <f t="shared" si="5"/>
        <v>0.28695929914118795</v>
      </c>
      <c r="DS14" s="105">
        <f t="shared" si="5"/>
        <v>0.28608339613840905</v>
      </c>
      <c r="DT14" s="105" t="e">
        <f t="shared" si="5"/>
        <v>#DIV/0!</v>
      </c>
      <c r="DU14" s="105">
        <f t="shared" si="5"/>
        <v>0</v>
      </c>
      <c r="DV14" s="105">
        <f t="shared" si="5"/>
        <v>0</v>
      </c>
      <c r="DW14" s="105">
        <f t="shared" si="5"/>
        <v>0</v>
      </c>
      <c r="DX14" s="105">
        <f t="shared" si="5"/>
        <v>0</v>
      </c>
      <c r="DY14" s="105">
        <f t="shared" si="5"/>
        <v>0</v>
      </c>
      <c r="DZ14" s="105">
        <f t="shared" si="5"/>
        <v>0</v>
      </c>
      <c r="EA14" s="105">
        <f t="shared" si="5"/>
        <v>0</v>
      </c>
      <c r="EB14" s="105" t="e">
        <f t="shared" si="5"/>
        <v>#REF!</v>
      </c>
      <c r="EC14" s="105" t="e">
        <f t="shared" si="5"/>
        <v>#REF!</v>
      </c>
      <c r="ED14" s="105" t="e">
        <f t="shared" si="5"/>
        <v>#REF!</v>
      </c>
      <c r="EE14" s="105" t="e">
        <f t="shared" si="5"/>
        <v>#REF!</v>
      </c>
      <c r="EF14" s="105" t="e">
        <f t="shared" si="5"/>
        <v>#REF!</v>
      </c>
      <c r="EG14" s="105" t="e">
        <f t="shared" si="5"/>
        <v>#REF!</v>
      </c>
      <c r="EH14" s="105" t="e">
        <f t="shared" si="5"/>
        <v>#REF!</v>
      </c>
      <c r="EI14" s="105" t="e">
        <f t="shared" si="5"/>
        <v>#REF!</v>
      </c>
      <c r="EJ14" s="105" t="e">
        <f t="shared" si="5"/>
        <v>#REF!</v>
      </c>
      <c r="EK14" s="105" t="e">
        <f t="shared" si="5"/>
        <v>#REF!</v>
      </c>
      <c r="EL14" s="105" t="e">
        <f t="shared" si="5"/>
        <v>#REF!</v>
      </c>
      <c r="EM14" s="105" t="e">
        <f t="shared" si="5"/>
        <v>#REF!</v>
      </c>
      <c r="EN14" s="105" t="e">
        <f t="shared" si="5"/>
        <v>#REF!</v>
      </c>
      <c r="EO14" s="105" t="e">
        <f t="shared" si="5"/>
        <v>#REF!</v>
      </c>
      <c r="EP14" s="105" t="e">
        <f t="shared" si="5"/>
        <v>#REF!</v>
      </c>
      <c r="EQ14" s="105" t="e">
        <f t="shared" si="5"/>
        <v>#REF!</v>
      </c>
      <c r="ER14" s="105" t="e">
        <f t="shared" si="5"/>
        <v>#REF!</v>
      </c>
      <c r="ES14" s="105" t="e">
        <f t="shared" si="5"/>
        <v>#REF!</v>
      </c>
      <c r="ET14" s="105" t="e">
        <f t="shared" si="5"/>
        <v>#REF!</v>
      </c>
      <c r="EU14" s="105" t="e">
        <f t="shared" si="5"/>
        <v>#REF!</v>
      </c>
      <c r="EV14" s="105" t="e">
        <f t="shared" si="5"/>
        <v>#REF!</v>
      </c>
      <c r="EW14" s="105" t="e">
        <f t="shared" si="5"/>
        <v>#REF!</v>
      </c>
      <c r="EX14" s="105" t="e">
        <f t="shared" si="5"/>
        <v>#REF!</v>
      </c>
      <c r="EY14" s="105" t="e">
        <f t="shared" si="5"/>
        <v>#REF!</v>
      </c>
      <c r="EZ14" s="105" t="e">
        <f t="shared" si="5"/>
        <v>#REF!</v>
      </c>
      <c r="FA14" s="105" t="e">
        <f t="shared" si="5"/>
        <v>#REF!</v>
      </c>
    </row>
    <row r="15" spans="1:158" s="104" customFormat="1">
      <c r="H15" s="60"/>
      <c r="I15" s="105"/>
      <c r="J15" s="105"/>
      <c r="K15" s="105"/>
      <c r="L15" s="105"/>
      <c r="M15" s="105"/>
      <c r="N15" s="105"/>
      <c r="O15" s="105"/>
      <c r="P15" s="105"/>
      <c r="Q15" s="105"/>
      <c r="R15" s="105"/>
      <c r="S15" s="105"/>
      <c r="T15" s="105"/>
      <c r="U15" s="105"/>
      <c r="V15" s="105"/>
      <c r="W15" s="105"/>
      <c r="X15" s="105"/>
      <c r="Y15" s="105"/>
      <c r="Z15" s="105"/>
      <c r="AA15" s="105"/>
      <c r="AB15" s="105"/>
      <c r="AC15" s="105"/>
      <c r="AD15" s="105"/>
      <c r="AE15" s="105"/>
      <c r="AF15" s="105"/>
      <c r="AG15" s="105"/>
      <c r="AH15" s="105"/>
      <c r="AI15" s="105"/>
      <c r="AJ15" s="105"/>
      <c r="AK15" s="105"/>
      <c r="AL15" s="105"/>
      <c r="AM15" s="105"/>
      <c r="AN15" s="105"/>
      <c r="AO15" s="105"/>
      <c r="AP15" s="105"/>
      <c r="AQ15" s="105"/>
      <c r="AR15" s="105"/>
      <c r="AS15" s="105"/>
      <c r="AT15" s="105"/>
      <c r="AU15" s="105"/>
      <c r="AV15" s="105"/>
      <c r="AW15" s="105"/>
      <c r="AX15" s="105"/>
      <c r="AY15" s="105"/>
      <c r="AZ15" s="105"/>
      <c r="BA15" s="105"/>
      <c r="BB15" s="105"/>
      <c r="BC15" s="105"/>
      <c r="BD15" s="105"/>
      <c r="BE15" s="105"/>
      <c r="BF15" s="105"/>
      <c r="BG15" s="105"/>
      <c r="BH15" s="105"/>
      <c r="BI15" s="105"/>
      <c r="BJ15" s="105"/>
      <c r="BK15" s="105"/>
      <c r="BL15" s="105"/>
      <c r="BM15" s="105"/>
      <c r="BN15" s="105"/>
      <c r="BO15" s="105"/>
      <c r="BP15" s="105"/>
      <c r="BQ15" s="105"/>
      <c r="BR15" s="105"/>
      <c r="BS15" s="105"/>
      <c r="BT15" s="105"/>
      <c r="BU15" s="105"/>
      <c r="BV15" s="105"/>
      <c r="BW15" s="105"/>
      <c r="BX15" s="105"/>
      <c r="BY15" s="105"/>
      <c r="BZ15" s="105"/>
      <c r="CA15" s="105"/>
      <c r="CB15" s="105"/>
      <c r="CC15" s="105"/>
      <c r="CD15" s="105"/>
      <c r="CE15" s="105"/>
      <c r="CF15" s="105"/>
      <c r="CG15" s="105"/>
      <c r="CH15" s="105"/>
      <c r="CI15" s="105"/>
      <c r="CJ15" s="105"/>
      <c r="CK15" s="105"/>
      <c r="CL15" s="105"/>
      <c r="CM15" s="105"/>
      <c r="CN15" s="105"/>
      <c r="CO15" s="105"/>
      <c r="CP15" s="105"/>
      <c r="CQ15" s="105"/>
      <c r="CR15" s="105"/>
      <c r="CS15" s="105"/>
      <c r="CT15" s="105"/>
      <c r="CU15" s="105"/>
      <c r="CV15" s="105"/>
      <c r="CW15" s="105"/>
      <c r="CX15" s="105"/>
      <c r="CY15" s="105"/>
      <c r="CZ15" s="105"/>
      <c r="DA15" s="105"/>
      <c r="DB15" s="105"/>
      <c r="DC15" s="105"/>
      <c r="DD15" s="105"/>
      <c r="DE15" s="105"/>
      <c r="DF15" s="105"/>
      <c r="DG15" s="105"/>
      <c r="DH15" s="105"/>
      <c r="DI15" s="105"/>
      <c r="DJ15" s="105"/>
      <c r="DK15" s="105"/>
      <c r="DL15" s="105"/>
      <c r="DM15" s="105"/>
      <c r="DN15" s="105"/>
      <c r="DO15" s="105"/>
      <c r="DP15" s="105"/>
      <c r="DQ15" s="105"/>
      <c r="DR15" s="105"/>
      <c r="DS15" s="105"/>
      <c r="DT15" s="105"/>
      <c r="DU15" s="105"/>
      <c r="DV15" s="105"/>
      <c r="DW15" s="105"/>
      <c r="DX15" s="105"/>
      <c r="DY15" s="105"/>
      <c r="DZ15" s="105"/>
      <c r="EA15" s="105"/>
      <c r="EB15" s="105"/>
      <c r="EC15" s="105"/>
      <c r="ED15" s="105"/>
      <c r="EE15" s="105"/>
      <c r="EF15" s="105"/>
      <c r="EG15" s="105"/>
      <c r="EH15" s="105"/>
      <c r="EI15" s="105"/>
      <c r="EJ15" s="105"/>
      <c r="EK15" s="105"/>
      <c r="EL15" s="105"/>
      <c r="EM15" s="105"/>
      <c r="EN15" s="105"/>
      <c r="EO15" s="105"/>
      <c r="EP15" s="105"/>
      <c r="EQ15" s="105"/>
      <c r="ER15" s="105"/>
      <c r="ES15" s="105"/>
      <c r="ET15" s="105"/>
      <c r="EU15" s="105"/>
      <c r="EV15" s="105"/>
      <c r="EW15" s="105"/>
      <c r="EX15" s="105"/>
      <c r="EY15" s="105"/>
      <c r="EZ15" s="105"/>
      <c r="FA15" s="105"/>
    </row>
    <row r="16" spans="1:158" ht="15">
      <c r="A16"/>
      <c r="H16" s="60" t="s">
        <v>429</v>
      </c>
      <c r="I16" s="74"/>
      <c r="J16" s="74"/>
      <c r="K16" s="74"/>
      <c r="L16" s="74"/>
      <c r="M16" s="74"/>
      <c r="N16" s="74"/>
      <c r="O16" s="74"/>
      <c r="P16" s="74"/>
      <c r="Q16" s="74"/>
      <c r="R16" s="74"/>
      <c r="S16" s="74"/>
      <c r="T16" s="74"/>
      <c r="U16" s="74">
        <f>125/72</f>
        <v>1.7361111111111112</v>
      </c>
      <c r="V16" s="74"/>
      <c r="W16" s="74"/>
      <c r="X16" s="74"/>
      <c r="Y16" s="74"/>
      <c r="AL16" s="74">
        <f>125/76</f>
        <v>1.6447368421052631</v>
      </c>
      <c r="AM16" s="74"/>
      <c r="AN16" s="74"/>
      <c r="AO16" s="74"/>
      <c r="AP16" s="74"/>
      <c r="AQ16" s="74">
        <f>125/76</f>
        <v>1.6447368421052631</v>
      </c>
      <c r="AR16" s="74">
        <f>125/76</f>
        <v>1.6447368421052631</v>
      </c>
      <c r="AS16" s="74"/>
      <c r="AT16" s="74"/>
      <c r="AU16" s="74">
        <f>235/82</f>
        <v>2.8658536585365852</v>
      </c>
      <c r="AW16" s="74"/>
      <c r="AX16" s="74"/>
      <c r="AY16" s="74"/>
      <c r="BA16" s="74"/>
      <c r="BB16" s="74"/>
      <c r="BC16" s="74">
        <f>220/82</f>
        <v>2.6829268292682928</v>
      </c>
      <c r="BD16" s="74"/>
      <c r="BE16" s="74"/>
      <c r="BF16" s="74"/>
      <c r="BG16" s="74"/>
      <c r="BH16" s="74"/>
      <c r="BI16" s="74"/>
      <c r="BJ16" s="74"/>
      <c r="BK16" s="74"/>
      <c r="BL16" s="74"/>
      <c r="BM16" s="74"/>
      <c r="BN16" s="74"/>
      <c r="BO16" s="74">
        <f>221/82</f>
        <v>2.6951219512195124</v>
      </c>
      <c r="BP16" s="74"/>
      <c r="BQ16" s="74"/>
      <c r="BR16" s="74"/>
      <c r="BS16" s="74"/>
      <c r="BT16" s="74"/>
      <c r="BU16" s="74"/>
      <c r="BV16" s="74"/>
      <c r="BW16" s="74"/>
      <c r="BX16" s="74"/>
      <c r="BY16" s="74"/>
      <c r="BZ16" s="74"/>
      <c r="CA16" s="74"/>
      <c r="CB16" s="74"/>
      <c r="CC16" s="74"/>
      <c r="CD16" s="74"/>
      <c r="CE16" s="74">
        <f>223/83</f>
        <v>2.6867469879518073</v>
      </c>
      <c r="CF16" s="74"/>
      <c r="CG16" s="74"/>
      <c r="CH16" s="74"/>
      <c r="CI16" s="74"/>
      <c r="CJ16" s="74"/>
      <c r="CK16" s="74"/>
      <c r="CL16" s="74"/>
      <c r="CM16" s="74">
        <f>125/83</f>
        <v>1.5060240963855422</v>
      </c>
      <c r="CN16" s="74"/>
      <c r="CO16" s="74"/>
      <c r="CP16" s="74"/>
      <c r="CQ16" s="74"/>
      <c r="CR16" s="74"/>
      <c r="CS16" s="74"/>
      <c r="CT16" s="74"/>
      <c r="CU16" s="74"/>
      <c r="CV16" s="74"/>
      <c r="CW16" s="74"/>
      <c r="CX16" s="74"/>
      <c r="CY16" s="74"/>
      <c r="CZ16" s="74"/>
      <c r="DA16" s="74"/>
      <c r="DB16" s="74"/>
      <c r="DC16" s="74"/>
      <c r="DD16" s="74"/>
      <c r="DE16" s="74"/>
      <c r="DF16" s="74"/>
      <c r="DG16" s="74"/>
      <c r="DH16" s="74"/>
      <c r="DI16" s="74"/>
      <c r="DJ16" s="74"/>
      <c r="DK16" s="74"/>
      <c r="DL16" s="74"/>
      <c r="DM16" s="74"/>
      <c r="DN16" s="74"/>
      <c r="DO16" s="74"/>
      <c r="DP16" s="74"/>
      <c r="DQ16" s="74"/>
      <c r="DR16" s="74"/>
      <c r="DS16" s="74"/>
      <c r="DT16" s="74"/>
      <c r="DU16" s="74"/>
      <c r="DV16" s="74"/>
      <c r="DW16" s="74"/>
      <c r="DX16" s="74"/>
      <c r="DY16" s="74"/>
      <c r="DZ16" s="74"/>
      <c r="EA16" s="74"/>
      <c r="EB16" s="74"/>
      <c r="EC16" s="74"/>
      <c r="ED16" s="74"/>
      <c r="EE16" s="74"/>
      <c r="EF16" s="74"/>
      <c r="EG16" s="74"/>
      <c r="EH16" s="74"/>
      <c r="EI16" s="74"/>
      <c r="EJ16" s="74"/>
      <c r="EK16" s="74"/>
      <c r="EL16" s="74"/>
      <c r="EM16" s="74"/>
      <c r="EN16" s="74"/>
      <c r="EO16" s="74"/>
      <c r="EP16" s="74"/>
      <c r="EQ16" s="74"/>
      <c r="ER16" s="74"/>
      <c r="ES16" s="74"/>
      <c r="ET16" s="74"/>
      <c r="EU16" s="74"/>
      <c r="EV16" s="74"/>
      <c r="EW16" s="74"/>
      <c r="EX16" s="74"/>
      <c r="EY16" s="74"/>
      <c r="EZ16" s="74"/>
      <c r="FA16" s="74"/>
    </row>
    <row r="17" spans="8:157">
      <c r="H17" s="60" t="s">
        <v>406</v>
      </c>
      <c r="I17" s="74"/>
      <c r="J17" s="74"/>
      <c r="K17" s="74"/>
      <c r="L17" s="74"/>
      <c r="M17" s="74"/>
      <c r="N17" s="74"/>
      <c r="O17" s="74"/>
      <c r="P17" s="74"/>
      <c r="Q17" s="74"/>
      <c r="R17" s="74"/>
      <c r="S17" s="74"/>
      <c r="T17" s="74"/>
      <c r="U17" s="74">
        <f>U16-U14</f>
        <v>1.4632592142081859</v>
      </c>
      <c r="V17" s="74"/>
      <c r="W17" s="74"/>
      <c r="X17" s="74"/>
      <c r="Y17" s="74"/>
      <c r="AL17" s="74">
        <f>AL16-Z14</f>
        <v>1.4743583880862925</v>
      </c>
      <c r="AM17" s="74"/>
      <c r="AN17" s="74"/>
      <c r="AO17" s="74"/>
      <c r="AP17" s="74"/>
      <c r="AQ17" s="74">
        <f>AQ16-AE14</f>
        <v>1.3688769957768598</v>
      </c>
      <c r="AR17" s="74">
        <f>AR16-AF14</f>
        <v>1.3306483383425241</v>
      </c>
      <c r="AS17" s="74"/>
      <c r="AT17" s="74"/>
      <c r="AU17" s="74">
        <f>AU16-AI14</f>
        <v>2.555021025630329</v>
      </c>
      <c r="AW17" s="74"/>
      <c r="AX17" s="74"/>
      <c r="AY17" s="74"/>
      <c r="BA17" s="74"/>
      <c r="BB17" s="74"/>
      <c r="BC17" s="74">
        <f>BC16-AN14</f>
        <v>2.3851333888282786</v>
      </c>
      <c r="BD17" s="74"/>
      <c r="BE17" s="74"/>
      <c r="BF17" s="74"/>
      <c r="BG17" s="74"/>
      <c r="BH17" s="74"/>
      <c r="BI17" s="74"/>
      <c r="BJ17" s="74"/>
      <c r="BK17" s="74"/>
      <c r="BL17" s="74"/>
      <c r="BM17" s="74"/>
      <c r="BN17" s="74"/>
      <c r="BO17" s="74">
        <f>BO16-AZ14</f>
        <v>2.3955780250298835</v>
      </c>
      <c r="BP17" s="74"/>
      <c r="BQ17" s="74"/>
      <c r="BR17" s="74"/>
      <c r="BS17" s="74"/>
      <c r="BT17" s="74"/>
      <c r="BU17" s="74"/>
      <c r="BV17" s="74"/>
      <c r="BW17" s="74"/>
      <c r="BX17" s="74"/>
      <c r="BY17" s="74"/>
      <c r="BZ17" s="74"/>
      <c r="CA17" s="74"/>
      <c r="CB17" s="74"/>
      <c r="CC17" s="74"/>
      <c r="CD17" s="74"/>
      <c r="CE17" s="74">
        <f>CE16-BP14</f>
        <v>2.3844533030175667</v>
      </c>
      <c r="CF17" s="74"/>
      <c r="CG17" s="74"/>
      <c r="CH17" s="74"/>
      <c r="CI17" s="74"/>
      <c r="CJ17" s="74"/>
      <c r="CK17" s="74"/>
      <c r="CL17" s="74"/>
      <c r="CM17" s="74">
        <f>CM16-BX14</f>
        <v>1.2129563431315473</v>
      </c>
      <c r="CN17" s="74"/>
      <c r="CO17" s="74"/>
      <c r="CP17" s="74"/>
      <c r="CQ17" s="74"/>
      <c r="CR17" s="74"/>
      <c r="CS17" s="74"/>
      <c r="CT17" s="74"/>
      <c r="CU17" s="74"/>
      <c r="CV17" s="74"/>
      <c r="CW17" s="74"/>
      <c r="CX17" s="74"/>
      <c r="CY17" s="74"/>
      <c r="CZ17" s="74"/>
      <c r="DA17" s="74"/>
      <c r="DB17" s="74"/>
      <c r="DC17" s="74"/>
      <c r="DD17" s="74"/>
      <c r="DE17" s="74"/>
      <c r="DF17" s="74"/>
      <c r="DG17" s="74"/>
      <c r="DH17" s="74"/>
      <c r="DI17" s="74"/>
      <c r="DJ17" s="74"/>
      <c r="DK17" s="74"/>
      <c r="DL17" s="74"/>
      <c r="DM17" s="74"/>
      <c r="DN17" s="74"/>
      <c r="DO17" s="74"/>
      <c r="DP17" s="74"/>
      <c r="DQ17" s="74"/>
      <c r="DR17" s="74"/>
      <c r="DS17" s="74"/>
      <c r="DT17" s="74"/>
      <c r="DU17" s="74"/>
      <c r="DV17" s="74"/>
      <c r="DW17" s="74"/>
      <c r="DX17" s="74"/>
      <c r="DY17" s="74"/>
      <c r="DZ17" s="74"/>
      <c r="EA17" s="74"/>
      <c r="EB17" s="74"/>
      <c r="EC17" s="74"/>
      <c r="ED17" s="74"/>
      <c r="EE17" s="74"/>
      <c r="EF17" s="74"/>
      <c r="EG17" s="74"/>
      <c r="EH17" s="74"/>
      <c r="EI17" s="74"/>
      <c r="EJ17" s="74"/>
      <c r="EK17" s="74"/>
      <c r="EL17" s="74"/>
      <c r="EM17" s="74"/>
      <c r="EN17" s="74"/>
      <c r="EO17" s="74"/>
      <c r="EP17" s="74"/>
      <c r="EQ17" s="74"/>
      <c r="ER17" s="74"/>
      <c r="ES17" s="74"/>
      <c r="ET17" s="74"/>
      <c r="EU17" s="74"/>
      <c r="EV17" s="74"/>
      <c r="EW17" s="74"/>
      <c r="EX17" s="74"/>
      <c r="EY17" s="74"/>
      <c r="EZ17" s="74"/>
      <c r="FA17" s="74"/>
    </row>
    <row r="19" spans="8:157" ht="13" thickBot="1"/>
    <row r="20" spans="8:157" s="73" customFormat="1" ht="13" thickBot="1">
      <c r="H20" s="257" t="s">
        <v>800</v>
      </c>
      <c r="I20" s="258">
        <f>1.33+I14</f>
        <v>1.6005648944884641</v>
      </c>
      <c r="J20" s="258">
        <f t="shared" ref="J20:BU20" si="6">1.33+J14</f>
        <v>1.5995710543117114</v>
      </c>
      <c r="K20" s="258">
        <f t="shared" si="6"/>
        <v>1.589065456953112</v>
      </c>
      <c r="L20" s="258">
        <f t="shared" si="6"/>
        <v>1.5829546537886028</v>
      </c>
      <c r="M20" s="258">
        <f t="shared" si="6"/>
        <v>1.5850463965790351</v>
      </c>
      <c r="N20" s="258">
        <f t="shared" si="6"/>
        <v>1.5846435811151722</v>
      </c>
      <c r="O20" s="258">
        <f t="shared" si="6"/>
        <v>1.5874360776978944</v>
      </c>
      <c r="P20" s="258">
        <f t="shared" si="6"/>
        <v>1.5886004218744836</v>
      </c>
      <c r="Q20" s="258">
        <f t="shared" si="6"/>
        <v>1.5923036807522424</v>
      </c>
      <c r="R20" s="258">
        <f t="shared" si="6"/>
        <v>1.5923632604875768</v>
      </c>
      <c r="S20" s="258">
        <f t="shared" si="6"/>
        <v>1.5898360684991195</v>
      </c>
      <c r="T20" s="258">
        <f t="shared" si="6"/>
        <v>1.5915996283932303</v>
      </c>
      <c r="U20" s="258">
        <f t="shared" si="6"/>
        <v>1.6028518969029253</v>
      </c>
      <c r="V20" s="258">
        <f t="shared" si="6"/>
        <v>1.6040887255564686</v>
      </c>
      <c r="W20" s="258">
        <f t="shared" si="6"/>
        <v>1.6040887255564686</v>
      </c>
      <c r="X20" s="258">
        <f t="shared" si="6"/>
        <v>1.4982959235534599</v>
      </c>
      <c r="Y20" s="258">
        <f t="shared" si="6"/>
        <v>1.5010529898778853</v>
      </c>
      <c r="Z20" s="258">
        <f t="shared" si="6"/>
        <v>1.5003784540189704</v>
      </c>
      <c r="AA20" s="258">
        <f t="shared" si="6"/>
        <v>1.4981152758426821</v>
      </c>
      <c r="AB20" s="258">
        <f t="shared" si="6"/>
        <v>1.6070129821477372</v>
      </c>
      <c r="AC20" s="258">
        <f t="shared" si="6"/>
        <v>1.6093104385598394</v>
      </c>
      <c r="AD20" s="258">
        <f t="shared" si="6"/>
        <v>1.6042395241766947</v>
      </c>
      <c r="AE20" s="258">
        <f t="shared" si="6"/>
        <v>1.6058598463284033</v>
      </c>
      <c r="AF20" s="258">
        <f t="shared" si="6"/>
        <v>1.6440885037627391</v>
      </c>
      <c r="AG20" s="258">
        <f t="shared" si="6"/>
        <v>1.6481807246982645</v>
      </c>
      <c r="AH20" s="258">
        <f t="shared" si="6"/>
        <v>1.6460159412191273</v>
      </c>
      <c r="AI20" s="258">
        <f t="shared" si="6"/>
        <v>1.6408326329062564</v>
      </c>
      <c r="AJ20" s="258">
        <f t="shared" si="6"/>
        <v>1.6400169113323824</v>
      </c>
      <c r="AK20" s="258">
        <f t="shared" si="6"/>
        <v>1.6363732161713336</v>
      </c>
      <c r="AL20" s="258">
        <f t="shared" si="6"/>
        <v>1.6334093270980872</v>
      </c>
      <c r="AM20" s="258">
        <f t="shared" si="6"/>
        <v>1.6275891078156177</v>
      </c>
      <c r="AN20" s="258">
        <f>1.33+AN14</f>
        <v>1.6277934404400143</v>
      </c>
      <c r="AO20" s="258">
        <f t="shared" si="6"/>
        <v>1.6252523491286115</v>
      </c>
      <c r="AP20" s="258">
        <f t="shared" si="6"/>
        <v>1.6176915398320719</v>
      </c>
      <c r="AQ20" s="258">
        <f t="shared" si="6"/>
        <v>1.6200731324630486</v>
      </c>
      <c r="AR20" s="258">
        <f t="shared" si="6"/>
        <v>1.6177737200431666</v>
      </c>
      <c r="AS20" s="258">
        <f t="shared" si="6"/>
        <v>1.6197576580125852</v>
      </c>
      <c r="AT20" s="258">
        <f t="shared" si="6"/>
        <v>1.6189741441942627</v>
      </c>
      <c r="AU20" s="258">
        <f t="shared" si="6"/>
        <v>1.6297567615149442</v>
      </c>
      <c r="AV20" s="258">
        <f t="shared" si="6"/>
        <v>1.6297567615149442</v>
      </c>
      <c r="AW20" s="258">
        <f t="shared" si="6"/>
        <v>1.6297567615149442</v>
      </c>
      <c r="AX20" s="258">
        <f t="shared" si="6"/>
        <v>1.6283820588395601</v>
      </c>
      <c r="AY20" s="258">
        <f t="shared" si="6"/>
        <v>1.6285992219100403</v>
      </c>
      <c r="AZ20" s="258">
        <f t="shared" si="6"/>
        <v>1.629543926189629</v>
      </c>
      <c r="BA20" s="258">
        <f t="shared" si="6"/>
        <v>1.6304946271272427</v>
      </c>
      <c r="BB20" s="258">
        <f t="shared" si="6"/>
        <v>1.6292526118923378</v>
      </c>
      <c r="BC20" s="258">
        <f t="shared" si="6"/>
        <v>1.627193285696773</v>
      </c>
      <c r="BD20" s="258">
        <f t="shared" si="6"/>
        <v>1.6256939321833479</v>
      </c>
      <c r="BE20" s="258">
        <f t="shared" si="6"/>
        <v>1.6256939321833479</v>
      </c>
      <c r="BF20" s="258">
        <f t="shared" si="6"/>
        <v>1.6278405306021018</v>
      </c>
      <c r="BG20" s="258">
        <f t="shared" si="6"/>
        <v>1.6264060187147948</v>
      </c>
      <c r="BH20" s="258">
        <f t="shared" si="6"/>
        <v>1.626799130145451</v>
      </c>
      <c r="BI20" s="258">
        <f t="shared" si="6"/>
        <v>1.6268349192603848</v>
      </c>
      <c r="BJ20" s="258">
        <f t="shared" si="6"/>
        <v>1.6256584176587041</v>
      </c>
      <c r="BK20" s="258">
        <f t="shared" si="6"/>
        <v>1.6258005269678408</v>
      </c>
      <c r="BL20" s="258">
        <f t="shared" si="6"/>
        <v>1.6256939321833479</v>
      </c>
      <c r="BM20" s="258">
        <f t="shared" si="6"/>
        <v>1.6261563986316616</v>
      </c>
      <c r="BN20" s="258">
        <f t="shared" si="6"/>
        <v>1.6256584176587041</v>
      </c>
      <c r="BO20" s="258">
        <f t="shared" si="6"/>
        <v>1.632184711003118</v>
      </c>
      <c r="BP20" s="258">
        <f t="shared" si="6"/>
        <v>1.6322936849342407</v>
      </c>
      <c r="BQ20" s="258">
        <f t="shared" si="6"/>
        <v>1.6322936849342407</v>
      </c>
      <c r="BR20" s="258">
        <f t="shared" si="6"/>
        <v>1.6317858112286028</v>
      </c>
      <c r="BS20" s="258">
        <f t="shared" si="6"/>
        <v>1.6315325137851255</v>
      </c>
      <c r="BT20" s="258">
        <f t="shared" si="6"/>
        <v>1.6316772030911646</v>
      </c>
      <c r="BU20" s="258">
        <f t="shared" si="6"/>
        <v>1.6321121053541503</v>
      </c>
      <c r="BV20" s="258">
        <f t="shared" ref="BV20:EG20" si="7">1.33+BV14</f>
        <v>1.6318220313211651</v>
      </c>
      <c r="BW20" s="258">
        <f t="shared" si="7"/>
        <v>1.6231030031641771</v>
      </c>
      <c r="BX20" s="258">
        <f t="shared" si="7"/>
        <v>1.623067753253995</v>
      </c>
      <c r="BY20" s="258">
        <f t="shared" si="7"/>
        <v>1.622715719916753</v>
      </c>
      <c r="BZ20" s="258">
        <f t="shared" si="7"/>
        <v>1.6233853080070995</v>
      </c>
      <c r="CA20" s="258">
        <f t="shared" si="7"/>
        <v>1.6235973937719239</v>
      </c>
      <c r="CB20" s="258">
        <f t="shared" si="7"/>
        <v>1.6235620248532669</v>
      </c>
      <c r="CC20" s="258">
        <f t="shared" si="7"/>
        <v>1.6239515522686332</v>
      </c>
      <c r="CD20" s="258">
        <f t="shared" si="7"/>
        <v>1.6239515522686332</v>
      </c>
      <c r="CE20" s="258">
        <f t="shared" si="7"/>
        <v>1.6246624387311934</v>
      </c>
      <c r="CF20" s="258">
        <f t="shared" si="7"/>
        <v>1.6244488120235583</v>
      </c>
      <c r="CG20" s="258">
        <f t="shared" si="7"/>
        <v>1.6226805630923575</v>
      </c>
      <c r="CH20" s="258">
        <f t="shared" si="7"/>
        <v>1.6222242916784948</v>
      </c>
      <c r="CI20" s="258">
        <f t="shared" si="7"/>
        <v>1.6228564317157756</v>
      </c>
      <c r="CJ20" s="258">
        <f t="shared" si="7"/>
        <v>1.6221892527946005</v>
      </c>
      <c r="CK20" s="258">
        <f t="shared" si="7"/>
        <v>1.6214553723605991</v>
      </c>
      <c r="CL20" s="258">
        <f t="shared" si="7"/>
        <v>1.6221192002285985</v>
      </c>
      <c r="CM20" s="258">
        <f t="shared" si="7"/>
        <v>1.6218393255457448</v>
      </c>
      <c r="CN20" s="258">
        <f t="shared" si="7"/>
        <v>1.6223645312905781</v>
      </c>
      <c r="CO20" s="258">
        <f t="shared" si="7"/>
        <v>1.6223645312905781</v>
      </c>
      <c r="CP20" s="258">
        <f t="shared" si="7"/>
        <v>1.6223645312905781</v>
      </c>
      <c r="CQ20" s="258">
        <f t="shared" si="7"/>
        <v>1.6223645312905781</v>
      </c>
      <c r="CR20" s="258">
        <f t="shared" si="7"/>
        <v>1.6204825805587042</v>
      </c>
      <c r="CS20" s="258">
        <f t="shared" si="7"/>
        <v>1.6221892527946005</v>
      </c>
      <c r="CT20" s="258">
        <f t="shared" si="7"/>
        <v>1.6218393255457448</v>
      </c>
      <c r="CU20" s="258">
        <f t="shared" si="7"/>
        <v>1.6220141843387621</v>
      </c>
      <c r="CV20" s="258">
        <f t="shared" si="7"/>
        <v>1.6219442156831159</v>
      </c>
      <c r="CW20" s="258">
        <f t="shared" si="7"/>
        <v>1.6216646760391344</v>
      </c>
      <c r="CX20" s="258">
        <f t="shared" si="7"/>
        <v>1.6211419794870929</v>
      </c>
      <c r="CY20" s="258">
        <f t="shared" si="7"/>
        <v>1.6210376649118559</v>
      </c>
      <c r="CZ20" s="258">
        <f t="shared" si="7"/>
        <v>1.6202749694231053</v>
      </c>
      <c r="DA20" s="258">
        <f t="shared" si="7"/>
        <v>1.6202403964157894</v>
      </c>
      <c r="DB20" s="258">
        <f t="shared" si="7"/>
        <v>1.6204479580818796</v>
      </c>
      <c r="DC20" s="258">
        <f t="shared" si="7"/>
        <v>1.6204825805587042</v>
      </c>
      <c r="DD20" s="258">
        <f t="shared" si="7"/>
        <v>1.6202403964157894</v>
      </c>
      <c r="DE20" s="258">
        <f t="shared" si="7"/>
        <v>1.6202403964157894</v>
      </c>
      <c r="DF20" s="258">
        <f t="shared" si="7"/>
        <v>1.6215599866363926</v>
      </c>
      <c r="DG20" s="258">
        <f t="shared" si="7"/>
        <v>1.6212811819635391</v>
      </c>
      <c r="DH20" s="258">
        <f t="shared" si="7"/>
        <v>1.6202058316430832</v>
      </c>
      <c r="DI20" s="258">
        <f t="shared" si="7"/>
        <v>1.6198606361730663</v>
      </c>
      <c r="DJ20" s="258">
        <f t="shared" si="7"/>
        <v>1.6198606361730663</v>
      </c>
      <c r="DK20" s="258">
        <f t="shared" si="7"/>
        <v>1.6198261617872227</v>
      </c>
      <c r="DL20" s="258">
        <f t="shared" si="7"/>
        <v>1.6196883462086267</v>
      </c>
      <c r="DM20" s="258">
        <f t="shared" si="7"/>
        <v>1.6187272948231004</v>
      </c>
      <c r="DN20" s="258">
        <f t="shared" si="7"/>
        <v>1.6191727030149483</v>
      </c>
      <c r="DO20" s="258">
        <f t="shared" si="7"/>
        <v>1.617942617075147</v>
      </c>
      <c r="DP20" s="258">
        <f t="shared" si="7"/>
        <v>1.6177386194718348</v>
      </c>
      <c r="DQ20" s="258">
        <f t="shared" si="7"/>
        <v>1.6172637472954108</v>
      </c>
      <c r="DR20" s="258">
        <f t="shared" si="7"/>
        <v>1.6169592991411881</v>
      </c>
      <c r="DS20" s="258">
        <f t="shared" si="7"/>
        <v>1.6160833961384091</v>
      </c>
      <c r="DT20" s="258" t="e">
        <f t="shared" si="7"/>
        <v>#DIV/0!</v>
      </c>
      <c r="DU20" s="258">
        <f t="shared" si="7"/>
        <v>1.33</v>
      </c>
      <c r="DV20" s="258">
        <f t="shared" si="7"/>
        <v>1.33</v>
      </c>
      <c r="DW20" s="258">
        <f t="shared" si="7"/>
        <v>1.33</v>
      </c>
      <c r="DX20" s="258">
        <f t="shared" si="7"/>
        <v>1.33</v>
      </c>
      <c r="DY20" s="258">
        <f t="shared" si="7"/>
        <v>1.33</v>
      </c>
      <c r="DZ20" s="258">
        <f t="shared" si="7"/>
        <v>1.33</v>
      </c>
      <c r="EA20" s="258">
        <f t="shared" si="7"/>
        <v>1.33</v>
      </c>
      <c r="EB20" s="258" t="e">
        <f t="shared" si="7"/>
        <v>#REF!</v>
      </c>
      <c r="EC20" s="258" t="e">
        <f t="shared" si="7"/>
        <v>#REF!</v>
      </c>
      <c r="ED20" s="258" t="e">
        <f t="shared" si="7"/>
        <v>#REF!</v>
      </c>
      <c r="EE20" s="258" t="e">
        <f t="shared" si="7"/>
        <v>#REF!</v>
      </c>
      <c r="EF20" s="258" t="e">
        <f t="shared" si="7"/>
        <v>#REF!</v>
      </c>
      <c r="EG20" s="258" t="e">
        <f t="shared" si="7"/>
        <v>#REF!</v>
      </c>
      <c r="EH20" s="258" t="e">
        <f t="shared" ref="EH20:EY20" si="8">1.33+EH14</f>
        <v>#REF!</v>
      </c>
      <c r="EI20" s="258" t="e">
        <f t="shared" si="8"/>
        <v>#REF!</v>
      </c>
      <c r="EJ20" s="258" t="e">
        <f t="shared" si="8"/>
        <v>#REF!</v>
      </c>
      <c r="EK20" s="258" t="e">
        <f t="shared" si="8"/>
        <v>#REF!</v>
      </c>
      <c r="EL20" s="258" t="e">
        <f t="shared" si="8"/>
        <v>#REF!</v>
      </c>
      <c r="EM20" s="258" t="e">
        <f t="shared" si="8"/>
        <v>#REF!</v>
      </c>
      <c r="EN20" s="258" t="e">
        <f t="shared" si="8"/>
        <v>#REF!</v>
      </c>
      <c r="EO20" s="258" t="e">
        <f t="shared" si="8"/>
        <v>#REF!</v>
      </c>
      <c r="EP20" s="258" t="e">
        <f t="shared" si="8"/>
        <v>#REF!</v>
      </c>
      <c r="EQ20" s="258" t="e">
        <f t="shared" si="8"/>
        <v>#REF!</v>
      </c>
      <c r="ER20" s="258" t="e">
        <f t="shared" si="8"/>
        <v>#REF!</v>
      </c>
      <c r="ES20" s="258" t="e">
        <f t="shared" si="8"/>
        <v>#REF!</v>
      </c>
      <c r="ET20" s="258" t="e">
        <f t="shared" si="8"/>
        <v>#REF!</v>
      </c>
      <c r="EU20" s="258" t="e">
        <f t="shared" si="8"/>
        <v>#REF!</v>
      </c>
      <c r="EV20" s="258" t="e">
        <f t="shared" si="8"/>
        <v>#REF!</v>
      </c>
      <c r="EW20" s="258" t="e">
        <f t="shared" si="8"/>
        <v>#REF!</v>
      </c>
      <c r="EX20" s="258" t="e">
        <f t="shared" si="8"/>
        <v>#REF!</v>
      </c>
      <c r="EY20" s="258" t="e">
        <f t="shared" si="8"/>
        <v>#REF!</v>
      </c>
      <c r="EZ20" s="258" t="e">
        <f>+EZ14</f>
        <v>#REF!</v>
      </c>
      <c r="FA20" s="258" t="e">
        <f>+FA14</f>
        <v>#REF!</v>
      </c>
    </row>
  </sheetData>
  <pageMargins left="0.7" right="0.7" top="0.75" bottom="0.75" header="0.3" footer="0.3"/>
  <drawing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FV20"/>
  <sheetViews>
    <sheetView workbookViewId="0">
      <pane xSplit="11" ySplit="7" topLeftCell="X8" activePane="bottomRight" state="frozen"/>
      <selection pane="topRight" activeCell="L1" sqref="L1"/>
      <selection pane="bottomLeft" activeCell="A7" sqref="A7"/>
      <selection pane="bottomRight" activeCell="G17" sqref="G17"/>
    </sheetView>
  </sheetViews>
  <sheetFormatPr baseColWidth="10" defaultColWidth="22.6640625" defaultRowHeight="12"/>
  <cols>
    <col min="1" max="1" width="12.5" style="60" customWidth="1"/>
    <col min="2" max="2" width="11.5" style="60" bestFit="1" customWidth="1"/>
    <col min="3" max="3" width="4.83203125" style="60" bestFit="1" customWidth="1"/>
    <col min="4" max="4" width="12.33203125" style="60" bestFit="1" customWidth="1"/>
    <col min="5" max="5" width="11.83203125" style="60" bestFit="1" customWidth="1"/>
    <col min="6" max="6" width="6" style="60" bestFit="1" customWidth="1"/>
    <col min="7" max="7" width="4.1640625" style="60" bestFit="1" customWidth="1"/>
    <col min="8" max="8" width="22.83203125" style="60" bestFit="1" customWidth="1"/>
    <col min="9" max="9" width="5.1640625" style="60" hidden="1" customWidth="1"/>
    <col min="10" max="10" width="5.5" style="60" hidden="1" customWidth="1"/>
    <col min="11" max="11" width="5.6640625" style="60" hidden="1" customWidth="1"/>
    <col min="12" max="12" width="5.33203125" style="60" hidden="1" customWidth="1"/>
    <col min="13" max="13" width="5.83203125" style="60" hidden="1" customWidth="1"/>
    <col min="14" max="14" width="5.1640625" style="60" hidden="1" customWidth="1"/>
    <col min="15" max="15" width="4.6640625" style="60" hidden="1" customWidth="1"/>
    <col min="16" max="18" width="5.5" style="60" hidden="1" customWidth="1"/>
    <col min="19" max="19" width="5.6640625" style="60" hidden="1" customWidth="1"/>
    <col min="20" max="20" width="5.5" style="60" hidden="1" customWidth="1"/>
    <col min="21" max="21" width="5.1640625" style="60" hidden="1" customWidth="1"/>
    <col min="22" max="22" width="5.5" style="60" hidden="1" customWidth="1"/>
    <col min="23" max="23" width="5.6640625" style="60" hidden="1" customWidth="1"/>
    <col min="24" max="50" width="6.1640625" style="60" bestFit="1" customWidth="1"/>
    <col min="51" max="51" width="5.5" style="60" bestFit="1" customWidth="1"/>
    <col min="52" max="54" width="7" style="60" bestFit="1" customWidth="1"/>
    <col min="55" max="56" width="5.5" style="60" bestFit="1" customWidth="1"/>
    <col min="57" max="58" width="5.83203125" style="60" bestFit="1" customWidth="1"/>
    <col min="59" max="60" width="5.6640625" style="60" bestFit="1" customWidth="1"/>
    <col min="61" max="64" width="6.1640625" style="60" bestFit="1" customWidth="1"/>
    <col min="65" max="70" width="5.6640625" style="60" bestFit="1" customWidth="1"/>
    <col min="71" max="75" width="5.5" style="60" bestFit="1" customWidth="1"/>
    <col min="76" max="90" width="6.1640625" style="60" bestFit="1" customWidth="1"/>
    <col min="91" max="95" width="6.33203125" style="60" bestFit="1" customWidth="1"/>
    <col min="96" max="105" width="6.1640625" style="60" bestFit="1" customWidth="1"/>
    <col min="106" max="107" width="5.83203125" style="60" bestFit="1" customWidth="1"/>
    <col min="108" max="115" width="5.6640625" style="60" bestFit="1" customWidth="1"/>
    <col min="116" max="119" width="6.1640625" style="60" bestFit="1" customWidth="1"/>
    <col min="120" max="123" width="5.83203125" style="60" bestFit="1" customWidth="1"/>
    <col min="124" max="135" width="5.1640625" style="60" bestFit="1" customWidth="1"/>
    <col min="136" max="178" width="6.5" style="60" bestFit="1" customWidth="1"/>
    <col min="179" max="16384" width="22.6640625" style="60"/>
  </cols>
  <sheetData>
    <row r="1" spans="1:178" ht="13">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row>
    <row r="2" spans="1:178">
      <c r="A2" s="59"/>
      <c r="B2" s="59"/>
      <c r="C2" s="59"/>
      <c r="D2" s="98"/>
      <c r="E2" s="98"/>
      <c r="F2" s="59"/>
      <c r="H2" s="99"/>
      <c r="I2" s="99"/>
      <c r="J2" s="99"/>
      <c r="K2" s="99"/>
      <c r="L2" s="99"/>
      <c r="M2" s="99"/>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99"/>
      <c r="AP2" s="99"/>
      <c r="AQ2" s="99"/>
      <c r="AR2" s="99"/>
      <c r="AS2" s="99"/>
      <c r="AT2" s="99"/>
      <c r="AU2" s="99"/>
      <c r="AV2" s="99"/>
      <c r="AW2" s="99"/>
      <c r="AX2" s="99"/>
      <c r="AY2" s="99"/>
      <c r="AZ2" s="99"/>
      <c r="BA2" s="99"/>
      <c r="BB2" s="99"/>
      <c r="BC2" s="99"/>
      <c r="BD2" s="99"/>
      <c r="BE2" s="99"/>
      <c r="BF2" s="99"/>
      <c r="BG2" s="99"/>
      <c r="BH2" s="99"/>
      <c r="BI2" s="99"/>
      <c r="BJ2" s="99"/>
      <c r="BK2" s="99"/>
      <c r="BL2" s="99"/>
      <c r="BM2" s="99"/>
      <c r="BN2" s="99"/>
      <c r="BO2" s="99"/>
      <c r="BP2" s="99"/>
      <c r="BQ2" s="99"/>
      <c r="BR2" s="99"/>
      <c r="BS2" s="99"/>
      <c r="BT2" s="99"/>
      <c r="BU2" s="99"/>
      <c r="BV2" s="99"/>
      <c r="BW2" s="99"/>
      <c r="BX2" s="99"/>
      <c r="BY2" s="99"/>
      <c r="BZ2" s="99"/>
      <c r="CA2" s="99"/>
      <c r="CB2" s="99"/>
      <c r="CC2" s="99"/>
      <c r="CD2" s="99"/>
      <c r="CE2" s="99"/>
      <c r="CF2" s="99"/>
      <c r="CG2" s="99"/>
      <c r="CH2" s="99"/>
      <c r="CI2" s="99"/>
      <c r="CJ2" s="99"/>
      <c r="CK2" s="99"/>
      <c r="CL2" s="99"/>
      <c r="CM2" s="99"/>
      <c r="CN2" s="99"/>
    </row>
    <row r="3" spans="1:178" ht="26">
      <c r="A3" s="107" t="s">
        <v>822</v>
      </c>
      <c r="B3" s="100"/>
      <c r="C3" s="101"/>
      <c r="D3" s="282">
        <v>191.26</v>
      </c>
      <c r="K3" s="102"/>
      <c r="M3" s="102"/>
    </row>
    <row r="4" spans="1:178">
      <c r="A4" s="36"/>
      <c r="B4" s="64"/>
      <c r="D4" s="100"/>
      <c r="E4" s="64"/>
      <c r="F4" s="103"/>
    </row>
    <row r="5" spans="1:178">
      <c r="A5" s="64"/>
      <c r="B5" s="64"/>
      <c r="D5" s="64"/>
      <c r="E5" s="64"/>
      <c r="H5" s="60" t="s">
        <v>387</v>
      </c>
    </row>
    <row r="6" spans="1:178">
      <c r="A6" s="74"/>
      <c r="B6" s="74"/>
    </row>
    <row r="7" spans="1:178">
      <c r="A7" s="59"/>
      <c r="B7" s="59"/>
      <c r="C7" s="59"/>
      <c r="D7" s="98"/>
      <c r="E7" s="98"/>
      <c r="F7" s="59"/>
      <c r="H7" s="59" t="s">
        <v>416</v>
      </c>
      <c r="I7" s="59">
        <v>43831</v>
      </c>
      <c r="J7" s="59">
        <v>43862</v>
      </c>
      <c r="K7" s="59">
        <v>43891</v>
      </c>
      <c r="L7" s="59">
        <v>43922</v>
      </c>
      <c r="M7" s="59">
        <v>43952</v>
      </c>
      <c r="N7" s="59">
        <v>43983</v>
      </c>
      <c r="O7" s="59">
        <v>44013</v>
      </c>
      <c r="P7" s="59">
        <v>44044</v>
      </c>
      <c r="Q7" s="59">
        <v>44075</v>
      </c>
      <c r="R7" s="59">
        <v>44105</v>
      </c>
      <c r="S7" s="59">
        <v>44136</v>
      </c>
      <c r="T7" s="59">
        <v>44166</v>
      </c>
      <c r="U7" s="59">
        <v>44197</v>
      </c>
      <c r="V7" s="59">
        <v>44228</v>
      </c>
      <c r="W7" s="59">
        <v>44256</v>
      </c>
      <c r="X7" s="59">
        <v>44287</v>
      </c>
      <c r="Y7" s="59">
        <v>44317</v>
      </c>
      <c r="Z7" s="59">
        <v>44348</v>
      </c>
      <c r="AA7" s="59">
        <v>44378</v>
      </c>
      <c r="AB7" s="59">
        <v>44409</v>
      </c>
      <c r="AC7" s="59">
        <v>44440</v>
      </c>
      <c r="AD7" s="59">
        <v>44470</v>
      </c>
      <c r="AE7" s="59">
        <v>44501</v>
      </c>
      <c r="AF7" s="59">
        <v>44531</v>
      </c>
      <c r="AG7" s="59">
        <v>44562</v>
      </c>
      <c r="AH7" s="59">
        <v>44593</v>
      </c>
      <c r="AI7" s="59">
        <v>44621</v>
      </c>
      <c r="AJ7" s="59">
        <v>44652</v>
      </c>
      <c r="AK7" s="59">
        <v>44682</v>
      </c>
      <c r="AL7" s="59">
        <v>44713</v>
      </c>
      <c r="AM7" s="59">
        <v>44743</v>
      </c>
      <c r="AN7" s="59">
        <v>44774</v>
      </c>
      <c r="AO7" s="59">
        <v>44805</v>
      </c>
      <c r="AP7" s="59">
        <v>44835</v>
      </c>
      <c r="AQ7" s="59">
        <v>44866</v>
      </c>
      <c r="AR7" s="59">
        <v>44896</v>
      </c>
      <c r="AS7" s="59">
        <v>44927</v>
      </c>
      <c r="AT7" s="59">
        <v>44958</v>
      </c>
      <c r="AU7" s="59">
        <v>44986</v>
      </c>
      <c r="AV7" s="59">
        <v>45017</v>
      </c>
      <c r="AW7" s="59">
        <v>45047</v>
      </c>
      <c r="AX7" s="59">
        <v>45078</v>
      </c>
      <c r="AY7" s="59">
        <v>45108</v>
      </c>
      <c r="AZ7" s="59" t="s">
        <v>530</v>
      </c>
      <c r="BA7" s="59" t="s">
        <v>531</v>
      </c>
      <c r="BB7" s="59" t="s">
        <v>532</v>
      </c>
      <c r="BC7" s="59">
        <v>37104</v>
      </c>
      <c r="BD7" s="59">
        <v>37469</v>
      </c>
      <c r="BE7" s="59" t="s">
        <v>168</v>
      </c>
      <c r="BF7" s="59" t="s">
        <v>169</v>
      </c>
      <c r="BG7" s="59" t="s">
        <v>195</v>
      </c>
      <c r="BH7" s="59" t="s">
        <v>196</v>
      </c>
      <c r="BI7" s="59" t="s">
        <v>197</v>
      </c>
      <c r="BJ7" s="59" t="s">
        <v>198</v>
      </c>
      <c r="BK7" s="59" t="s">
        <v>199</v>
      </c>
      <c r="BL7" s="59" t="s">
        <v>200</v>
      </c>
      <c r="BM7" s="59" t="s">
        <v>201</v>
      </c>
      <c r="BN7" s="59" t="s">
        <v>202</v>
      </c>
      <c r="BO7" s="59">
        <v>37196</v>
      </c>
      <c r="BP7" s="59">
        <v>37561</v>
      </c>
      <c r="BQ7" s="59">
        <v>37926</v>
      </c>
      <c r="BR7" s="59">
        <v>38292</v>
      </c>
      <c r="BS7" s="59">
        <v>37226</v>
      </c>
      <c r="BT7" s="59">
        <v>37591</v>
      </c>
      <c r="BU7" s="59">
        <v>37956</v>
      </c>
      <c r="BV7" s="59">
        <v>38322</v>
      </c>
      <c r="BW7" s="59">
        <v>36892</v>
      </c>
      <c r="BX7" s="59">
        <v>37257</v>
      </c>
      <c r="BY7" s="59">
        <v>37622</v>
      </c>
      <c r="BZ7" s="59">
        <v>37987</v>
      </c>
      <c r="CA7" s="59">
        <v>36923</v>
      </c>
      <c r="CB7" s="59">
        <v>37288</v>
      </c>
      <c r="CC7" s="59">
        <v>37653</v>
      </c>
      <c r="CD7" s="59">
        <v>38018</v>
      </c>
      <c r="CE7" s="59" t="str">
        <f>Sheet8!A15</f>
        <v>Mar-w1</v>
      </c>
      <c r="CF7" s="59">
        <v>37316</v>
      </c>
      <c r="CG7" s="59">
        <v>37681</v>
      </c>
      <c r="CH7" s="59">
        <v>38047</v>
      </c>
      <c r="CI7" s="59" t="str">
        <f>Sheet8!E15</f>
        <v>Apr-w1</v>
      </c>
      <c r="CJ7" s="59" t="str">
        <f>Sheet8!F15</f>
        <v>Apr-w2</v>
      </c>
      <c r="CK7" s="59" t="str">
        <f>Sheet8!G15</f>
        <v>Apr-w3</v>
      </c>
      <c r="CL7" s="59" t="str">
        <f>Sheet8!H15</f>
        <v>Apr-w4</v>
      </c>
      <c r="CM7" s="59" t="str">
        <f>Sheet8!I15</f>
        <v>May-w1</v>
      </c>
      <c r="CN7" s="59" t="str">
        <f>Sheet8!J15</f>
        <v>May-w2</v>
      </c>
      <c r="CO7" s="59" t="str">
        <f>Sheet8!K15</f>
        <v>May-w3</v>
      </c>
      <c r="CP7" s="59" t="str">
        <f>Sheet8!L15</f>
        <v>May-w4</v>
      </c>
      <c r="CQ7" s="59" t="str">
        <f>Sheet8!M15</f>
        <v>May-w5</v>
      </c>
      <c r="CR7" s="59" t="str">
        <f>Sheet8!N15</f>
        <v>june-w1</v>
      </c>
      <c r="CS7" s="59" t="str">
        <f>Sheet8!O15</f>
        <v>june-w2</v>
      </c>
      <c r="CT7" s="59" t="str">
        <f>Sheet8!P15</f>
        <v>june-w3</v>
      </c>
      <c r="CU7" s="59" t="str">
        <f>Sheet8!Q15</f>
        <v>june-w4</v>
      </c>
      <c r="CV7" s="59" t="str">
        <f>Sheet8!R15</f>
        <v>Jul-w1</v>
      </c>
      <c r="CW7" s="59" t="str">
        <f>Sheet8!S15</f>
        <v>Jul-w2</v>
      </c>
      <c r="CX7" s="59" t="str">
        <f>Sheet8!T15</f>
        <v>Jul-w3</v>
      </c>
      <c r="CY7" s="59" t="str">
        <f>Sheet8!U15</f>
        <v>Jul-w4</v>
      </c>
      <c r="CZ7" s="59" t="str">
        <f>Sheet8!V15</f>
        <v>Aug-w1</v>
      </c>
      <c r="DA7" s="59" t="str">
        <f>Sheet8!W15</f>
        <v>Aug-w2</v>
      </c>
      <c r="DB7" s="59" t="str">
        <f>Sheet8!X15</f>
        <v>Aug-w3</v>
      </c>
      <c r="DC7" s="59" t="str">
        <f>Sheet8!Y15</f>
        <v>Aug-w4</v>
      </c>
      <c r="DD7" s="59" t="str">
        <f>Sheet8!Z15</f>
        <v>Sep-w1</v>
      </c>
      <c r="DE7" s="59" t="str">
        <f>Sheet8!AA15</f>
        <v>Sep-w2</v>
      </c>
      <c r="DF7" s="59" t="str">
        <f>Sheet8!AB15</f>
        <v>Sep-w3</v>
      </c>
      <c r="DG7" s="59" t="str">
        <f>Sheet8!AC15</f>
        <v>Sep-w4</v>
      </c>
      <c r="DH7" s="59" t="str">
        <f>Sheet8!AD15</f>
        <v>Oct-w1</v>
      </c>
      <c r="DI7" s="59" t="str">
        <f>Sheet8!AE15</f>
        <v>Oct-w2</v>
      </c>
      <c r="DJ7" s="59" t="str">
        <f>Sheet8!AF15</f>
        <v>Oct-w3</v>
      </c>
      <c r="DK7" s="59" t="str">
        <f>Sheet8!AG15</f>
        <v>Oct-w4</v>
      </c>
      <c r="DL7" s="59" t="str">
        <f>Sheet8!AH15</f>
        <v>Nov-w1</v>
      </c>
      <c r="DM7" s="59" t="str">
        <f>Sheet8!AI15</f>
        <v>Nov-w2</v>
      </c>
      <c r="DN7" s="59" t="str">
        <f>Sheet8!AJ15</f>
        <v>Nov-w3</v>
      </c>
      <c r="DO7" s="59" t="str">
        <f>Sheet8!AK15</f>
        <v>Nov-w4</v>
      </c>
      <c r="DP7" s="59" t="str">
        <f>Sheet8!AL15</f>
        <v>Dec-w1</v>
      </c>
      <c r="DQ7" s="59" t="str">
        <f>Sheet8!AM15</f>
        <v>Dec-w2</v>
      </c>
      <c r="DR7" s="59" t="str">
        <f>Sheet8!AN15</f>
        <v>Dec-w3</v>
      </c>
      <c r="DS7" s="59" t="str">
        <f>Sheet8!AO15</f>
        <v>Dec-w4</v>
      </c>
      <c r="DT7" s="59">
        <f>Sheet8!AP15</f>
        <v>0</v>
      </c>
      <c r="DU7" s="59">
        <f>Sheet8!AQ15</f>
        <v>0</v>
      </c>
      <c r="DV7" s="59">
        <f>Sheet8!AR15</f>
        <v>0</v>
      </c>
      <c r="DW7" s="59">
        <f>Sheet8!AS15</f>
        <v>0</v>
      </c>
      <c r="DX7" s="59">
        <f>Sheet8!AT15</f>
        <v>0</v>
      </c>
      <c r="DY7" s="59">
        <f>Sheet8!AU15</f>
        <v>0</v>
      </c>
      <c r="DZ7" s="59">
        <f>Sheet8!AV15</f>
        <v>0</v>
      </c>
      <c r="EA7" s="59">
        <f>Sheet8!AW15</f>
        <v>0</v>
      </c>
      <c r="EB7" s="59">
        <f>Sheet8!AX15</f>
        <v>0</v>
      </c>
      <c r="EC7" s="59">
        <f>Sheet8!AY15</f>
        <v>0</v>
      </c>
      <c r="ED7" s="59">
        <f>Sheet8!AZ15</f>
        <v>0</v>
      </c>
      <c r="EE7" s="59">
        <f>Sheet8!BA15</f>
        <v>0</v>
      </c>
      <c r="EF7" s="59">
        <f>Sheet8!BB15</f>
        <v>0</v>
      </c>
      <c r="EG7" s="59">
        <f>Sheet8!BC15</f>
        <v>0</v>
      </c>
      <c r="EH7" s="59">
        <f>Sheet8!BD15</f>
        <v>0</v>
      </c>
      <c r="EI7" s="59">
        <f>Sheet8!BE15</f>
        <v>0</v>
      </c>
      <c r="EJ7" s="59">
        <f>Sheet8!BF15</f>
        <v>0</v>
      </c>
      <c r="EK7" s="59">
        <f>Sheet8!BG15</f>
        <v>0</v>
      </c>
      <c r="EL7" s="59">
        <f>Sheet8!BH15</f>
        <v>0</v>
      </c>
      <c r="EM7" s="59">
        <f>Sheet8!BI15</f>
        <v>0</v>
      </c>
      <c r="EN7" s="59">
        <f>Sheet8!BJ15</f>
        <v>0</v>
      </c>
      <c r="EO7" s="59">
        <f>Sheet8!BK15</f>
        <v>0</v>
      </c>
      <c r="EP7" s="59">
        <f>Sheet8!BL15</f>
        <v>0</v>
      </c>
      <c r="EQ7" s="59">
        <f>Sheet8!BM15</f>
        <v>0</v>
      </c>
      <c r="ER7" s="59">
        <f>Sheet8!BN15</f>
        <v>0</v>
      </c>
      <c r="ES7" s="59">
        <f>Sheet8!BO15</f>
        <v>0</v>
      </c>
      <c r="ET7" s="59">
        <f>Sheet8!BP15</f>
        <v>0</v>
      </c>
      <c r="EU7" s="59">
        <f>Sheet8!BQ15</f>
        <v>0</v>
      </c>
      <c r="EV7" s="59">
        <f>Sheet8!BR15</f>
        <v>0</v>
      </c>
      <c r="EW7" s="59">
        <f>Sheet8!BS15</f>
        <v>0</v>
      </c>
      <c r="EX7" s="59">
        <f>Sheet8!BT15</f>
        <v>0</v>
      </c>
      <c r="EY7" s="59">
        <f>Sheet8!BU15</f>
        <v>0</v>
      </c>
      <c r="EZ7" s="59">
        <f>Sheet8!BV15</f>
        <v>0</v>
      </c>
      <c r="FA7" s="59">
        <f>Sheet8!BW15</f>
        <v>0</v>
      </c>
      <c r="FB7" s="59">
        <f>Sheet8!BX15</f>
        <v>0</v>
      </c>
      <c r="FC7" s="59">
        <f>Sheet8!BY15</f>
        <v>0</v>
      </c>
      <c r="FD7" s="59">
        <f>Sheet8!BZ15</f>
        <v>0</v>
      </c>
      <c r="FE7" s="59">
        <f>Sheet8!CA15</f>
        <v>0</v>
      </c>
      <c r="FF7" s="59">
        <f>Sheet8!CB15</f>
        <v>0</v>
      </c>
      <c r="FG7" s="59">
        <f>Sheet8!CC15</f>
        <v>0</v>
      </c>
      <c r="FH7" s="59">
        <f>Sheet8!CD15</f>
        <v>0</v>
      </c>
      <c r="FI7" s="59">
        <f>Sheet8!CE15</f>
        <v>0</v>
      </c>
      <c r="FJ7" s="59">
        <f>Sheet8!CF15</f>
        <v>0</v>
      </c>
      <c r="FK7" s="59">
        <f>Sheet8!CG15</f>
        <v>0</v>
      </c>
      <c r="FL7" s="59">
        <f>Sheet8!CH15</f>
        <v>0</v>
      </c>
      <c r="FM7" s="59">
        <f>Sheet8!CI15</f>
        <v>0</v>
      </c>
      <c r="FN7" s="59">
        <f>Sheet8!CJ15</f>
        <v>0</v>
      </c>
      <c r="FO7" s="59">
        <f>Sheet8!CK15</f>
        <v>0</v>
      </c>
      <c r="FP7" s="59">
        <f>Sheet8!CL15</f>
        <v>0</v>
      </c>
      <c r="FQ7" s="59">
        <f>Sheet8!CM15</f>
        <v>0</v>
      </c>
      <c r="FR7" s="59">
        <f>Sheet8!CN15</f>
        <v>0</v>
      </c>
      <c r="FS7" s="59">
        <f>Sheet8!CO15</f>
        <v>0</v>
      </c>
      <c r="FT7" s="59">
        <f>Sheet8!CP15</f>
        <v>0</v>
      </c>
      <c r="FU7" s="59">
        <f>Sheet8!CQ15</f>
        <v>0</v>
      </c>
      <c r="FV7" s="59">
        <f>Sheet8!CR15</f>
        <v>0</v>
      </c>
    </row>
    <row r="8" spans="1:178" ht="13">
      <c r="H8" s="107" t="s">
        <v>807</v>
      </c>
      <c r="I8" s="74">
        <f>VLOOKUP($H$8&amp;$F$1,'Input RM sheet'!$A:$BD,H1,0)</f>
        <v>0</v>
      </c>
      <c r="J8" s="74">
        <f>VLOOKUP($H$8&amp;$F$1,'Input RM sheet'!$A:$BD,I1,0)</f>
        <v>0</v>
      </c>
      <c r="K8" s="74">
        <f>VLOOKUP($H$8&amp;$F$1,'Input RM sheet'!$A:$DD,J1,0)</f>
        <v>0</v>
      </c>
      <c r="L8" s="74">
        <f>VLOOKUP($H$8&amp;$F$1,'Input RM sheet'!$A:$DD,K1,0)</f>
        <v>0</v>
      </c>
      <c r="M8" s="74">
        <f>VLOOKUP($H$8&amp;$F$1,'Input RM sheet'!$A:$DD,L1,0)</f>
        <v>0</v>
      </c>
      <c r="N8" s="74">
        <f>VLOOKUP($H$8&amp;$F$1,'Input RM sheet'!$A:$DD,M1,0)</f>
        <v>0</v>
      </c>
      <c r="O8" s="74">
        <f>VLOOKUP($H$8&amp;$F$1,'Input RM sheet'!$A:$DD,N1,0)</f>
        <v>0</v>
      </c>
      <c r="P8" s="74">
        <f>VLOOKUP($H$8&amp;$F$1,'Input RM sheet'!$A:$DD,O1,0)</f>
        <v>0</v>
      </c>
      <c r="Q8" s="74">
        <f>VLOOKUP($H$8&amp;$F$1,'Input RM sheet'!$A:$DD,P1,0)</f>
        <v>0</v>
      </c>
      <c r="R8" s="74">
        <f>VLOOKUP($H$8&amp;$F$1,'Input RM sheet'!$A:$DD,Q1,0)</f>
        <v>0</v>
      </c>
      <c r="S8" s="74">
        <f>VLOOKUP($H$8&amp;$F$1,'Input RM sheet'!$A:$DD,R1,0)</f>
        <v>0</v>
      </c>
      <c r="T8" s="74">
        <f>VLOOKUP($H$8&amp;$F$1,'Input RM sheet'!$A:$DD,S1,0)</f>
        <v>0</v>
      </c>
      <c r="U8" s="74">
        <f>VLOOKUP($H$8&amp;$F$1,'Input RM sheet'!$A:$DD,T1,0)</f>
        <v>0</v>
      </c>
      <c r="V8" s="74">
        <f>VLOOKUP($H$8&amp;$F$1,'Input RM sheet'!$A:$DD,U1,0)</f>
        <v>0</v>
      </c>
      <c r="W8" s="74">
        <f>VLOOKUP($H$8&amp;$F$1,'Input RM sheet'!$A:$DD,V1,0)</f>
        <v>0</v>
      </c>
      <c r="X8" s="74">
        <f>VLOOKUP($H$8&amp;$F$1,'Input RM sheet'!$A:$DD,W1,0)</f>
        <v>2285</v>
      </c>
      <c r="Y8" s="74">
        <f>VLOOKUP($H$8&amp;$F$1,'Input RM sheet'!$A:$DD,X1,0)</f>
        <v>2283.75</v>
      </c>
      <c r="Z8" s="74">
        <f>VLOOKUP($H$8&amp;$F$1,'Input RM sheet'!$A:$DD,Y1,0)</f>
        <v>1775</v>
      </c>
      <c r="AA8" s="74">
        <f>VLOOKUP($H$8&amp;$F$1,'Input RM sheet'!$A:$DD,Z1,0)</f>
        <v>1916</v>
      </c>
      <c r="AB8" s="74">
        <f>VLOOKUP($H$8&amp;$F$1,'Input RM sheet'!$A:$DD,AA1,0)</f>
        <v>2067.5</v>
      </c>
      <c r="AC8" s="74">
        <f>VLOOKUP($H$8&amp;$F$1,'Input RM sheet'!$A:$DD,AB1,0)</f>
        <v>2128.75</v>
      </c>
      <c r="AD8" s="74">
        <f>VLOOKUP($H$8&amp;$F$1,'Input RM sheet'!$A:$DD,AC1,0)</f>
        <v>2226</v>
      </c>
      <c r="AE8" s="74">
        <f>VLOOKUP($H$8&amp;$F$1,'Input RM sheet'!$A:$DD,AD1,0)</f>
        <v>1985</v>
      </c>
      <c r="AF8" s="74">
        <f>VLOOKUP($H$8&amp;$F$1,'Input RM sheet'!$A:$DD,AE1,0)</f>
        <v>1752.5</v>
      </c>
      <c r="AG8" s="74">
        <f>VLOOKUP($H$8&amp;$F$1,'Input RM sheet'!$A:$DD,AF1,0)</f>
        <v>1358.75</v>
      </c>
      <c r="AH8" s="74">
        <f>VLOOKUP($H$8&amp;$F$1,'Input RM sheet'!$A:$DD,AG1,0)</f>
        <v>1408.3330000000001</v>
      </c>
      <c r="AI8" s="74">
        <f>VLOOKUP($H$8&amp;$F$1,'Input RM sheet'!$A:$DD,AH1,0)</f>
        <v>1496.25</v>
      </c>
      <c r="AJ8" s="74">
        <f>VLOOKUP($H$8&amp;$F$1,'Input RM sheet'!$A:$DD,AI1,0)</f>
        <v>1412.5</v>
      </c>
      <c r="AK8" s="74">
        <f>VLOOKUP($H$8&amp;$F$1,'Input RM sheet'!$A:$DD,AJ1,0)</f>
        <v>1336.875</v>
      </c>
      <c r="AL8" s="74">
        <f>VLOOKUP($H$8&amp;$F$1,'Input RM sheet'!$A:$DD,AK1,0)</f>
        <v>1291.875</v>
      </c>
      <c r="AM8" s="74">
        <f>VLOOKUP($H$8&amp;$F$1,'Input RM sheet'!$A:$DD,AL1,0)</f>
        <v>1148</v>
      </c>
      <c r="AN8" s="74">
        <f>VLOOKUP($H$8&amp;$F$1,'Input RM sheet'!$A:$DD,AM1,0)</f>
        <v>1025</v>
      </c>
      <c r="AO8" s="74">
        <f>VLOOKUP($H$8&amp;$F$1,'Input RM sheet'!$A:$DD,AN1,0)</f>
        <v>1120</v>
      </c>
      <c r="AP8" s="74">
        <f>VLOOKUP($H$8&amp;$F$1,'Input RM sheet'!$A:$DD,AO1,0)</f>
        <v>1120.8330000000001</v>
      </c>
      <c r="AQ8" s="74">
        <f>VLOOKUP($H$8&amp;$F$1,'Input RM sheet'!$A:$DD,AP1,0)</f>
        <v>1025</v>
      </c>
      <c r="AR8" s="74">
        <f>VLOOKUP($H$8&amp;$F$1,'Input RM sheet'!$A:$DD,AQ1,0)</f>
        <v>1015.625</v>
      </c>
      <c r="AS8" s="74">
        <f>VLOOKUP($H$8&amp;$F$1,'Input RM sheet'!$A:$DD,AR1,0)</f>
        <v>1012.5</v>
      </c>
      <c r="AT8" s="74">
        <f>VLOOKUP($H$8&amp;$F$1,'Input RM sheet'!$A:$DD,AS1,0)</f>
        <v>1115.625</v>
      </c>
      <c r="AU8" s="74">
        <f>VLOOKUP($H$8&amp;$F$1,'Input RM sheet'!$A:$DD,AT1,0)</f>
        <v>1380</v>
      </c>
      <c r="AV8" s="74">
        <f>VLOOKUP($H$8&amp;$F$1,'Input RM sheet'!$A:$DD,AU1,0)</f>
        <v>1175</v>
      </c>
      <c r="AW8" s="74">
        <f>VLOOKUP($H$8&amp;$F$1,'Input RM sheet'!$A:$DD,AV1,0)</f>
        <v>1165</v>
      </c>
      <c r="AX8" s="74">
        <f>VLOOKUP($H$8&amp;$F$1,'Input RM sheet'!$A:$DD,AW1,0)</f>
        <v>1125</v>
      </c>
      <c r="AY8" s="74">
        <f>VLOOKUP($H$8&amp;$F$1,'Input RM sheet'!$A:$DD,AX1,0)</f>
        <v>950</v>
      </c>
      <c r="AZ8" s="74">
        <f>VLOOKUP($H$8&amp;$F$1,'Input RM sheet'!$A:$DD,AY1,0)</f>
        <v>950</v>
      </c>
      <c r="BA8" s="74">
        <f>VLOOKUP($H$8&amp;$F$1,'Input RM sheet'!$A:$DD,AZ1,0)</f>
        <v>950</v>
      </c>
      <c r="BB8" s="74">
        <f>VLOOKUP($H$8&amp;$F$1,'Input RM sheet'!$A:$DD,BA1,0)</f>
        <v>975</v>
      </c>
      <c r="BC8" s="74">
        <f>VLOOKUP($H$8&amp;$F$1,'Input RM sheet'!$A:$DD,BB1,0)</f>
        <v>975</v>
      </c>
      <c r="BD8" s="74">
        <f>VLOOKUP($H$8&amp;$F$1,'Input RM sheet'!$A:$DD,BC1,0)</f>
        <v>995</v>
      </c>
      <c r="BE8" s="74">
        <f>VLOOKUP($H$8&amp;$F$1,'Input RM sheet'!$A:$DD,BD1,0)</f>
        <v>995</v>
      </c>
      <c r="BF8" s="74">
        <f>VLOOKUP($H$8&amp;$F$1,'Input RM sheet'!$A:$DD,BE1,0)</f>
        <v>982</v>
      </c>
      <c r="BG8" s="74">
        <f>VLOOKUP($H$8&amp;$F$1,'Input RM sheet'!$A:$DD,BF1,0)</f>
        <v>982</v>
      </c>
      <c r="BH8" s="74">
        <f>VLOOKUP($H$8&amp;$F$1,'Input RM sheet'!$A:$DD,BG1,0)</f>
        <v>982</v>
      </c>
      <c r="BI8" s="74">
        <f>VLOOKUP($H$8&amp;$F$1,'Input RM sheet'!$A:$DD,BH1,0)</f>
        <v>1025</v>
      </c>
      <c r="BJ8" s="74">
        <f>VLOOKUP($H$8&amp;$F$1,'Input RM sheet'!$A:$DD,BI1,0)</f>
        <v>1025</v>
      </c>
      <c r="BK8" s="74">
        <f>VLOOKUP($H$8&amp;$F$1,'Input RM sheet'!$A:$DD,BJ1,0)</f>
        <v>1025</v>
      </c>
      <c r="BL8" s="74">
        <f>VLOOKUP($H$8&amp;$F$1,'Input RM sheet'!$A:$DD,BK1,0)</f>
        <v>1052.5</v>
      </c>
      <c r="BM8" s="74">
        <f>VLOOKUP($H$8&amp;$F$1,'Input RM sheet'!$A:$DD,BL1,0)</f>
        <v>960</v>
      </c>
      <c r="BN8" s="74">
        <f>VLOOKUP($H$8&amp;$F$1,'Input RM sheet'!$A:$DD,BM1,0)</f>
        <v>940</v>
      </c>
      <c r="BO8" s="74">
        <f>VLOOKUP($H$8&amp;$F$1,'Input RM sheet'!$A:$DD,BN1,0)</f>
        <v>940</v>
      </c>
      <c r="BP8" s="74">
        <f>VLOOKUP($H$8&amp;$F$1,'Input RM sheet'!$A:$DD,BO1,0)</f>
        <v>935</v>
      </c>
      <c r="BQ8" s="74">
        <f>VLOOKUP($H$8&amp;$F$1,'Input RM sheet'!$A:$DD,BP1,0)</f>
        <v>935</v>
      </c>
      <c r="BR8" s="74">
        <f>VLOOKUP($H$8&amp;$F$1,'Input RM sheet'!$A:$DD,BQ1,0)</f>
        <v>950</v>
      </c>
      <c r="BS8" s="74">
        <f>VLOOKUP($H$8&amp;$F$1,'Input RM sheet'!$A:$DD,BR1,0)</f>
        <v>950</v>
      </c>
      <c r="BT8" s="74">
        <f>VLOOKUP($H$8&amp;$F$1,'Input RM sheet'!$A:$DD,BS1,0)</f>
        <v>940</v>
      </c>
      <c r="BU8" s="74">
        <f>VLOOKUP($H$8&amp;$F$1,'Input RM sheet'!$A:$DD,BT1,0)</f>
        <v>930</v>
      </c>
      <c r="BV8" s="74">
        <f>VLOOKUP($H$8&amp;$F$1,'Input RM sheet'!$A:$DD,BU1,0)</f>
        <v>940</v>
      </c>
      <c r="BW8" s="74">
        <f>VLOOKUP($H$8&amp;$F$1,'Input RM sheet'!$A:$DD,BV1,0)</f>
        <v>940</v>
      </c>
      <c r="BX8" s="74">
        <f>VLOOKUP($H$8&amp;$F$1,'Input RM sheet'!$A:$DD,BW1,0)</f>
        <v>1000</v>
      </c>
      <c r="BY8" s="74">
        <f>VLOOKUP($H$8&amp;$F$1,'Input RM sheet'!$A:$DD,BX1,0)</f>
        <v>1000</v>
      </c>
      <c r="BZ8" s="74">
        <f>VLOOKUP($H$8&amp;$F$1,'Input RM sheet'!$A:$DD,BY1,0)</f>
        <v>1060</v>
      </c>
      <c r="CA8" s="74">
        <f>VLOOKUP($H$8&amp;$F$1,'Input RM sheet'!$A:$DD,BZ1,0)</f>
        <v>1050</v>
      </c>
      <c r="CB8" s="74">
        <f>VLOOKUP($H$8&amp;$F$1,'Input RM sheet'!$A:$DD,CA1,0)</f>
        <v>1050</v>
      </c>
      <c r="CC8" s="74">
        <f>VLOOKUP($H$8&amp;$F$1,'Input RM sheet'!$A:$DD,CB1,0)</f>
        <v>1072</v>
      </c>
      <c r="CD8" s="74">
        <f>VLOOKUP($H$8&amp;$F$1,'Input RM sheet'!$A:$DD,CC1,0)</f>
        <v>1000</v>
      </c>
      <c r="CE8" s="74">
        <f>VLOOKUP($H$8&amp;$F$1,'Input RM sheet'!$A:$DD,CD1,0)</f>
        <v>1010</v>
      </c>
      <c r="CF8" s="74">
        <f>VLOOKUP($H$8&amp;$F$1,'Input RM sheet'!$A:$DD,CE1,0)</f>
        <v>1040</v>
      </c>
      <c r="CG8" s="74">
        <f>VLOOKUP($H$8&amp;$F$1,'Input RM sheet'!$A:$DD,CF1,0)</f>
        <v>1040</v>
      </c>
      <c r="CH8" s="74">
        <f>VLOOKUP($H$8&amp;$F$1,'Input RM sheet'!$A:$DD,CG1,0)</f>
        <v>1010</v>
      </c>
      <c r="CI8" s="74">
        <f>VLOOKUP($H$8&amp;$F$1,'Input RM sheet'!$A:$DD,CH1,0)</f>
        <v>1015</v>
      </c>
      <c r="CJ8" s="74">
        <f>VLOOKUP($H$8&amp;$F$1,'Input RM sheet'!$A:$DD,CI1,0)</f>
        <v>1025</v>
      </c>
      <c r="CK8" s="74">
        <f>VLOOKUP($H$8&amp;$F$1,'Input RM sheet'!$A:$DD,CJ1,0)</f>
        <v>1025</v>
      </c>
      <c r="CL8" s="74">
        <f>VLOOKUP($H$8&amp;$F$1,'Input RM sheet'!$A:$DD,CK1,0)</f>
        <v>1025</v>
      </c>
      <c r="CM8" s="74">
        <f>VLOOKUP($H$8&amp;$F$1,'Input RM sheet'!$A:$DD,CL1,0)</f>
        <v>1025</v>
      </c>
      <c r="CN8" s="74">
        <f>VLOOKUP($H$8&amp;$F$1,'Input RM sheet'!$A:$DD,CM1,0)</f>
        <v>1025</v>
      </c>
      <c r="CO8" s="74">
        <f>VLOOKUP($H$8&amp;$F$1,'Input RM sheet'!$A:$DD,CN1,0)</f>
        <v>1025</v>
      </c>
      <c r="CP8" s="74">
        <f>VLOOKUP($H$8&amp;$F$1,'Input RM sheet'!$A:$DD,CO1,0)</f>
        <v>1025</v>
      </c>
      <c r="CQ8" s="74">
        <f>VLOOKUP($H$8&amp;$F$1,'Input RM sheet'!$A:$DD,CP1,0)</f>
        <v>1025</v>
      </c>
      <c r="CR8" s="74">
        <f>VLOOKUP($H$8&amp;$F$1,'Input RM sheet'!$A:$ZZ,CQ1,0)</f>
        <v>1000</v>
      </c>
      <c r="CS8" s="74">
        <f>VLOOKUP($H$8&amp;$F$1,'Input RM sheet'!$A:$ZZ,CR1,0)</f>
        <v>975</v>
      </c>
      <c r="CT8" s="74">
        <f>VLOOKUP($H$8&amp;$F$1,'Input RM sheet'!$A:$ZZ,CS1,0)</f>
        <v>972</v>
      </c>
      <c r="CU8" s="74">
        <f>VLOOKUP($H$8&amp;$F$1,'Input RM sheet'!$A:$ZZ,CT1,0)</f>
        <v>972</v>
      </c>
      <c r="CV8" s="74">
        <f>VLOOKUP($H$8&amp;$F$1,'Input RM sheet'!$A:$ZZ,CU1,0)</f>
        <v>1000</v>
      </c>
      <c r="CW8" s="74">
        <f>VLOOKUP($H$8&amp;$F$1,'Input RM sheet'!$A:$ZZ,CV1,0)</f>
        <v>1000</v>
      </c>
      <c r="CX8" s="74">
        <f>VLOOKUP($H$8&amp;$F$1,'Input RM sheet'!$A:$ZZ,CW1,0)</f>
        <v>1025</v>
      </c>
      <c r="CY8" s="74">
        <f>VLOOKUP($H$8&amp;$F$1,'Input RM sheet'!$A:$ZZ,CX1,0)</f>
        <v>1025</v>
      </c>
      <c r="CZ8" s="74">
        <f>VLOOKUP($H$8&amp;$F$1,'Input RM sheet'!$A:$ZZ,CY1,0)</f>
        <v>1025</v>
      </c>
      <c r="DA8" s="74">
        <f>VLOOKUP($H$8&amp;$F$1,'Input RM sheet'!$A:$ZZ,CZ1,0)</f>
        <v>1023</v>
      </c>
      <c r="DB8" s="74">
        <f>VLOOKUP($H$8&amp;$F$1,'Input RM sheet'!$A:$ZZ,DA1,0)</f>
        <v>1020</v>
      </c>
      <c r="DC8" s="74">
        <f>VLOOKUP($H$8&amp;$F$1,'Input RM sheet'!$A:$ZZ,DB1,0)</f>
        <v>1050</v>
      </c>
      <c r="DD8" s="74">
        <f>VLOOKUP($H$8&amp;$F$1,'Input RM sheet'!$A:$ZZ,DC1,0)</f>
        <v>1050</v>
      </c>
      <c r="DE8" s="74">
        <f>VLOOKUP($H$8&amp;$F$1,'Input RM sheet'!$A:$ZZ,DD1,0)</f>
        <v>993</v>
      </c>
      <c r="DF8" s="74">
        <f>VLOOKUP($H$8&amp;$F$1,'Input RM sheet'!$A:$ZZ,DE1,0)</f>
        <v>1000</v>
      </c>
      <c r="DG8" s="74">
        <f>VLOOKUP($H$8&amp;$F$1,'Input RM sheet'!$A:$ZZ,DF1,0)</f>
        <v>1008</v>
      </c>
      <c r="DH8" s="74">
        <f>VLOOKUP($H$8&amp;$F$1,'Input RM sheet'!$A:$ZZ,DG1,0)</f>
        <v>985</v>
      </c>
      <c r="DI8" s="74">
        <f>VLOOKUP($H$8&amp;$F$1,'Input RM sheet'!$A:$ZZ,DH1,0)</f>
        <v>985</v>
      </c>
      <c r="DJ8" s="74">
        <f>VLOOKUP($H$8&amp;$F$1,'Input RM sheet'!$A:$ZZ,DI1,0)</f>
        <v>965</v>
      </c>
      <c r="DK8" s="74">
        <f>VLOOKUP($H$8&amp;$F$1,'Input RM sheet'!$A:$ZZ,DJ1,0)</f>
        <v>965</v>
      </c>
      <c r="DL8" s="74">
        <f>VLOOKUP($H$8&amp;$F$1,'Input RM sheet'!$A:$ZZ,DK1,0)</f>
        <v>970</v>
      </c>
      <c r="DM8" s="74">
        <f>VLOOKUP($H$8&amp;$F$1,'Input RM sheet'!$A:$ZZ,DL1,0)</f>
        <v>970</v>
      </c>
      <c r="DN8" s="74">
        <f>VLOOKUP($H$8&amp;$F$1,'Input RM sheet'!$A:$ZZ,DM1,0)</f>
        <v>980</v>
      </c>
      <c r="DO8" s="74">
        <f>VLOOKUP($H$8&amp;$F$1,'Input RM sheet'!$A:$ZZ,DN1,0)</f>
        <v>970</v>
      </c>
      <c r="DP8" s="74">
        <f>VLOOKUP($H$8&amp;$F$1,'Input RM sheet'!$A:$ZZ,DO1,0)</f>
        <v>970</v>
      </c>
      <c r="DQ8" s="74">
        <f>VLOOKUP($H$8&amp;$F$1,'Input RM sheet'!$A:$ZZ,DP1,0)</f>
        <v>970</v>
      </c>
      <c r="DR8" s="74">
        <f>VLOOKUP($H$8&amp;$F$1,'Input RM sheet'!$A:$ZZ,DQ1,0)</f>
        <v>970</v>
      </c>
      <c r="DS8" s="74">
        <f>VLOOKUP($H$8&amp;$F$1,'Input RM sheet'!$A:$ZZ,DR1,0)</f>
        <v>970</v>
      </c>
      <c r="DT8" s="74">
        <f>VLOOKUP($H$8&amp;$F$1,'Input RM sheet'!$A:$ZZ,DS1,0)</f>
        <v>0</v>
      </c>
      <c r="DU8" s="74">
        <f>VLOOKUP($H$8&amp;$F$1,'Input RM sheet'!$A:$ZZ,DT1,0)</f>
        <v>0</v>
      </c>
      <c r="DV8" s="74">
        <f>VLOOKUP($H$8&amp;$F$1,'Input RM sheet'!$A:$ZZ,DU1,0)</f>
        <v>0</v>
      </c>
      <c r="DW8" s="74">
        <f>VLOOKUP($H$8&amp;$F$1,'Input RM sheet'!$A:$ZZ,DV1,0)</f>
        <v>0</v>
      </c>
      <c r="DX8" s="74">
        <f>VLOOKUP($H$8&amp;$F$1,'Input RM sheet'!$A:$ZZ,DW1,0)</f>
        <v>0</v>
      </c>
      <c r="DY8" s="74">
        <f>VLOOKUP($H$8&amp;$F$1,'Input RM sheet'!$A:$ZZ,DX1,0)</f>
        <v>0</v>
      </c>
      <c r="DZ8" s="74">
        <f>VLOOKUP($H$8&amp;$F$1,'Input RM sheet'!$A:$ZZ,DY1,0)</f>
        <v>0</v>
      </c>
      <c r="EA8" s="74">
        <f>VLOOKUP($H$8&amp;$F$1,'Input RM sheet'!$A:$ZZ,DZ1,0)</f>
        <v>0</v>
      </c>
      <c r="EB8" s="74">
        <f>VLOOKUP($H$8&amp;$F$1,'Input RM sheet'!$A:$ZZ,EA1,0)</f>
        <v>0</v>
      </c>
      <c r="EC8" s="74">
        <f>VLOOKUP($H$8&amp;$F$1,'Input RM sheet'!$A:$ZZ,EB1,0)</f>
        <v>0</v>
      </c>
      <c r="ED8" s="74">
        <f>VLOOKUP($H$8&amp;$F$1,'Input RM sheet'!$A:$ZZ,EC1,0)</f>
        <v>0</v>
      </c>
      <c r="EE8" s="74">
        <f>VLOOKUP($H$8&amp;$F$1,'Input RM sheet'!$A:$ZZ,ED1,0)</f>
        <v>0</v>
      </c>
      <c r="EF8" s="74" t="e" vm="1">
        <f>VLOOKUP($H$8&amp;$F$1,'Input RM sheet'!$A:$ZZ,EE1,0)</f>
        <v>#VALUE!</v>
      </c>
      <c r="EG8" s="74" t="e" vm="1">
        <f>VLOOKUP($H$8&amp;$F$1,'Input RM sheet'!$A:$ZZ,EF1,0)</f>
        <v>#VALUE!</v>
      </c>
      <c r="EH8" s="74" t="e" vm="1">
        <f>VLOOKUP($H$8&amp;$F$1,'Input RM sheet'!$A:$ZZ,EG1,0)</f>
        <v>#VALUE!</v>
      </c>
      <c r="EI8" s="74" t="e" vm="1">
        <f>VLOOKUP($H$8&amp;$F$1,'Input RM sheet'!$A:$ZZ,EH1,0)</f>
        <v>#VALUE!</v>
      </c>
      <c r="EJ8" s="74" t="e" vm="1">
        <f>VLOOKUP($H$8&amp;$F$1,'Input RM sheet'!$A:$ZZ,EI1,0)</f>
        <v>#VALUE!</v>
      </c>
      <c r="EK8" s="74" t="e" vm="1">
        <f>VLOOKUP($H$8&amp;$F$1,'Input RM sheet'!$A:$ZZ,EJ1,0)</f>
        <v>#VALUE!</v>
      </c>
      <c r="EL8" s="74" t="e" vm="1">
        <f>VLOOKUP($H$8&amp;$F$1,'Input RM sheet'!$A:$ZZ,EK1,0)</f>
        <v>#VALUE!</v>
      </c>
      <c r="EM8" s="74" t="e" vm="1">
        <f>VLOOKUP($H$8&amp;$F$1,'Input RM sheet'!$A:$ZZ,EL1,0)</f>
        <v>#VALUE!</v>
      </c>
      <c r="EN8" s="74" t="e" vm="1">
        <f>VLOOKUP($H$8&amp;$F$1,'Input RM sheet'!$A:$ZZ,EM1,0)</f>
        <v>#VALUE!</v>
      </c>
      <c r="EO8" s="74" t="e" vm="1">
        <f>VLOOKUP($H$8&amp;$F$1,'Input RM sheet'!$A:$ZZ,EN1,0)</f>
        <v>#VALUE!</v>
      </c>
      <c r="EP8" s="74" t="e" vm="1">
        <f>VLOOKUP($H$8&amp;$F$1,'Input RM sheet'!$A:$ZZ,EO1,0)</f>
        <v>#VALUE!</v>
      </c>
      <c r="EQ8" s="74" t="e" vm="1">
        <f>VLOOKUP($H$8&amp;$F$1,'Input RM sheet'!$A:$ZZ,EP1,0)</f>
        <v>#VALUE!</v>
      </c>
      <c r="ER8" s="74" t="e" vm="1">
        <f>VLOOKUP($H$8&amp;$F$1,'Input RM sheet'!$A:$ZZ,EQ1,0)</f>
        <v>#VALUE!</v>
      </c>
      <c r="ES8" s="74" t="e" vm="1">
        <f>VLOOKUP($H$8&amp;$F$1,'Input RM sheet'!$A:$ZZ,ER1,0)</f>
        <v>#VALUE!</v>
      </c>
      <c r="ET8" s="74" t="e" vm="1">
        <f>VLOOKUP($H$8&amp;$F$1,'Input RM sheet'!$A:$ZZ,ES1,0)</f>
        <v>#VALUE!</v>
      </c>
      <c r="EU8" s="74" t="e" vm="1">
        <f>VLOOKUP($H$8&amp;$F$1,'Input RM sheet'!$A:$ZZ,ET1,0)</f>
        <v>#VALUE!</v>
      </c>
      <c r="EV8" s="74" t="e" vm="1">
        <f>VLOOKUP($H$8&amp;$F$1,'Input RM sheet'!$A:$ZZ,EU1,0)</f>
        <v>#VALUE!</v>
      </c>
      <c r="EW8" s="74" t="e" vm="1">
        <f>VLOOKUP($H$8&amp;$F$1,'Input RM sheet'!$A:$ZZ,EV1,0)</f>
        <v>#VALUE!</v>
      </c>
      <c r="EX8" s="74" t="e" vm="1">
        <f>VLOOKUP($H$8&amp;$F$1,'Input RM sheet'!$A:$ZZ,EW1,0)</f>
        <v>#VALUE!</v>
      </c>
      <c r="EY8" s="74" t="e" vm="1">
        <f>VLOOKUP($H$8&amp;$F$1,'Input RM sheet'!$A:$ZZ,EX1,0)</f>
        <v>#VALUE!</v>
      </c>
      <c r="EZ8" s="74" t="e" vm="1">
        <f>VLOOKUP($H$8&amp;$F$1,'Input RM sheet'!$A:$ZZ,EY1,0)</f>
        <v>#VALUE!</v>
      </c>
      <c r="FA8" s="74" t="e" vm="1">
        <f>VLOOKUP($H$8&amp;$F$1,'Input RM sheet'!$A:$ZZ,EZ1,0)</f>
        <v>#VALUE!</v>
      </c>
      <c r="FB8" s="74" t="e" vm="1">
        <f>VLOOKUP($H$8&amp;$F$1,'Input RM sheet'!$A:$ZZ,FA1,0)</f>
        <v>#VALUE!</v>
      </c>
      <c r="FC8" s="74" t="e" vm="1">
        <f>VLOOKUP($H$8&amp;$F$1,'Input RM sheet'!$A:$ZZ,FB1,0)</f>
        <v>#VALUE!</v>
      </c>
      <c r="FD8" s="74" t="e" vm="1">
        <f>VLOOKUP($H$8&amp;$F$1,'Input RM sheet'!$A:$ZZ,FC1,0)</f>
        <v>#VALUE!</v>
      </c>
      <c r="FE8" s="74" t="e" vm="1">
        <f>VLOOKUP($H$8&amp;$F$1,'Input RM sheet'!$A:$ZZ,FD1,0)</f>
        <v>#VALUE!</v>
      </c>
      <c r="FF8" s="74" t="e" vm="1">
        <f>VLOOKUP($H$8&amp;$F$1,'Input RM sheet'!$A:$ZZ,FE1,0)</f>
        <v>#VALUE!</v>
      </c>
      <c r="FG8" s="74" t="e" vm="1">
        <f>VLOOKUP($H$8&amp;$F$1,'Input RM sheet'!$A:$ZZ,FF1,0)</f>
        <v>#VALUE!</v>
      </c>
      <c r="FH8" s="74" t="e" vm="1">
        <f>VLOOKUP($H$8&amp;$F$1,'Input RM sheet'!$A:$ZZ,FG1,0)</f>
        <v>#VALUE!</v>
      </c>
      <c r="FI8" s="74" t="e" vm="1">
        <f>VLOOKUP($H$8&amp;$F$1,'Input RM sheet'!$A:$ZZ,FH1,0)</f>
        <v>#VALUE!</v>
      </c>
      <c r="FJ8" s="74" t="e" vm="1">
        <f>VLOOKUP($H$8&amp;$F$1,'Input RM sheet'!$A:$ZZ,FI1,0)</f>
        <v>#VALUE!</v>
      </c>
      <c r="FK8" s="74" t="e" vm="1">
        <f>VLOOKUP($H$8&amp;$F$1,'Input RM sheet'!$A:$ZZ,FJ1,0)</f>
        <v>#VALUE!</v>
      </c>
      <c r="FL8" s="74" t="e" vm="1">
        <f>VLOOKUP($H$8&amp;$F$1,'Input RM sheet'!$A:$ZZ,FK1,0)</f>
        <v>#VALUE!</v>
      </c>
      <c r="FM8" s="74" t="e" vm="1">
        <f>VLOOKUP($H$8&amp;$F$1,'Input RM sheet'!$A:$ZZ,FL1,0)</f>
        <v>#VALUE!</v>
      </c>
      <c r="FN8" s="74" t="e" vm="1">
        <f>VLOOKUP($H$8&amp;$F$1,'Input RM sheet'!$A:$ZZ,FM1,0)</f>
        <v>#VALUE!</v>
      </c>
      <c r="FO8" s="74" t="e" vm="1">
        <f>VLOOKUP($H$8&amp;$F$1,'Input RM sheet'!$A:$ZZ,FN1,0)</f>
        <v>#VALUE!</v>
      </c>
      <c r="FP8" s="74" t="e" vm="1">
        <f>VLOOKUP($H$8&amp;$F$1,'Input RM sheet'!$A:$ZZ,FO1,0)</f>
        <v>#VALUE!</v>
      </c>
      <c r="FQ8" s="74" t="e" vm="1">
        <f>VLOOKUP($H$8&amp;$F$1,'Input RM sheet'!$A:$ZZ,FP1,0)</f>
        <v>#VALUE!</v>
      </c>
      <c r="FR8" s="74" t="e" vm="1">
        <f>VLOOKUP($H$8&amp;$F$1,'Input RM sheet'!$A:$ZZ,FQ1,0)</f>
        <v>#VALUE!</v>
      </c>
      <c r="FS8" s="74" t="e" vm="1">
        <f>VLOOKUP($H$8&amp;$F$1,'Input RM sheet'!$A:$ZZ,FR1,0)</f>
        <v>#VALUE!</v>
      </c>
      <c r="FT8" s="74" t="e" vm="1">
        <f>VLOOKUP($H$8&amp;$F$1,'Input RM sheet'!$A:$ZZ,FS1,0)</f>
        <v>#VALUE!</v>
      </c>
      <c r="FU8" s="74" t="e" vm="1">
        <f>VLOOKUP($H$8&amp;$F$1,'Input RM sheet'!$A:$ZZ,FT1,0)</f>
        <v>#VALUE!</v>
      </c>
      <c r="FV8" s="74" t="e" vm="1">
        <f>VLOOKUP($H$8&amp;$F$1,'Input RM sheet'!$A:$ZZ,FU1,0)</f>
        <v>#VALUE!</v>
      </c>
    </row>
    <row r="9" spans="1:178">
      <c r="I9" s="74"/>
      <c r="J9" s="74"/>
      <c r="K9" s="74"/>
      <c r="L9" s="74"/>
      <c r="M9" s="74"/>
      <c r="N9" s="74"/>
      <c r="O9" s="74"/>
      <c r="P9" s="74"/>
      <c r="Q9" s="74"/>
      <c r="R9" s="74"/>
      <c r="S9" s="74"/>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74"/>
      <c r="BG9" s="74"/>
      <c r="BH9" s="74"/>
      <c r="BI9" s="74"/>
      <c r="BJ9" s="74"/>
      <c r="BK9" s="74"/>
      <c r="BL9" s="74"/>
      <c r="BM9" s="74"/>
      <c r="BN9" s="74"/>
      <c r="BO9" s="74"/>
      <c r="BP9" s="74"/>
      <c r="BQ9" s="74"/>
      <c r="BR9" s="74"/>
      <c r="BS9" s="74"/>
      <c r="BT9" s="74"/>
      <c r="BU9" s="74"/>
      <c r="BV9" s="74"/>
      <c r="BW9" s="74"/>
      <c r="BX9" s="74"/>
      <c r="BY9" s="74"/>
      <c r="BZ9" s="74"/>
      <c r="CA9" s="74"/>
      <c r="CB9" s="74"/>
      <c r="CC9" s="74"/>
      <c r="CD9" s="74"/>
      <c r="CE9" s="74"/>
      <c r="CF9" s="74"/>
      <c r="CG9" s="74"/>
      <c r="CH9" s="74"/>
      <c r="CI9" s="74"/>
      <c r="CJ9" s="74"/>
      <c r="CK9" s="74"/>
      <c r="CL9" s="74"/>
      <c r="CM9" s="74"/>
      <c r="CN9" s="74"/>
      <c r="CO9" s="74"/>
      <c r="CP9" s="74"/>
      <c r="CQ9" s="74"/>
      <c r="CR9" s="74"/>
      <c r="CS9" s="74"/>
      <c r="CT9" s="74"/>
      <c r="CU9" s="74"/>
      <c r="CV9" s="74"/>
      <c r="CW9" s="74"/>
      <c r="CX9" s="74"/>
      <c r="CY9" s="74"/>
      <c r="CZ9" s="74"/>
      <c r="DA9" s="74"/>
      <c r="DB9" s="74"/>
      <c r="DC9" s="74"/>
      <c r="DD9" s="74"/>
      <c r="DE9" s="74"/>
      <c r="DF9" s="74"/>
      <c r="DG9" s="74"/>
      <c r="DH9" s="74"/>
      <c r="DI9" s="74"/>
      <c r="DJ9" s="74"/>
      <c r="DK9" s="74"/>
      <c r="DL9" s="74"/>
      <c r="DM9" s="74"/>
      <c r="DN9" s="74"/>
      <c r="DO9" s="74"/>
      <c r="DP9" s="74"/>
      <c r="DQ9" s="74"/>
      <c r="DR9" s="74"/>
      <c r="DS9" s="74"/>
      <c r="DT9" s="74"/>
      <c r="DU9" s="74"/>
      <c r="DV9" s="74"/>
      <c r="DW9" s="74"/>
      <c r="DX9" s="74"/>
      <c r="DY9" s="74"/>
      <c r="DZ9" s="74"/>
      <c r="EA9" s="74"/>
      <c r="EB9" s="74"/>
      <c r="EC9" s="74"/>
      <c r="ED9" s="74"/>
      <c r="EE9" s="74"/>
      <c r="EF9" s="74"/>
      <c r="EG9" s="74"/>
      <c r="EH9" s="74"/>
      <c r="EI9" s="74"/>
      <c r="EJ9" s="74"/>
      <c r="EK9" s="74"/>
      <c r="EL9" s="74"/>
      <c r="EM9" s="74"/>
      <c r="EN9" s="74"/>
      <c r="EO9" s="74"/>
      <c r="EP9" s="74"/>
      <c r="EQ9" s="74"/>
      <c r="ER9" s="74"/>
      <c r="ES9" s="74"/>
      <c r="ET9" s="74"/>
      <c r="EU9" s="74"/>
      <c r="EV9" s="74"/>
      <c r="EW9" s="74"/>
      <c r="EX9" s="74"/>
      <c r="EY9" s="74"/>
      <c r="EZ9" s="74"/>
      <c r="FA9" s="74"/>
      <c r="FB9" s="74"/>
      <c r="FC9" s="74"/>
      <c r="FD9" s="74"/>
      <c r="FE9" s="74"/>
      <c r="FF9" s="74"/>
      <c r="FG9" s="74"/>
      <c r="FH9" s="74"/>
      <c r="FI9" s="74"/>
      <c r="FJ9" s="74"/>
      <c r="FK9" s="74"/>
      <c r="FL9" s="74"/>
      <c r="FM9" s="74"/>
      <c r="FN9" s="74"/>
      <c r="FO9" s="74"/>
      <c r="FP9" s="74"/>
      <c r="FQ9" s="74"/>
      <c r="FR9" s="74"/>
      <c r="FS9" s="74"/>
      <c r="FT9" s="74"/>
      <c r="FU9" s="74"/>
      <c r="FV9" s="74"/>
    </row>
    <row r="10" spans="1:178" ht="13">
      <c r="A10" s="59" t="s">
        <v>395</v>
      </c>
      <c r="B10" s="59"/>
      <c r="C10" s="59" t="s">
        <v>379</v>
      </c>
      <c r="D10" s="98" t="s">
        <v>380</v>
      </c>
      <c r="E10" s="98" t="s">
        <v>381</v>
      </c>
      <c r="F10" s="59" t="s">
        <v>396</v>
      </c>
      <c r="I10" s="84"/>
      <c r="J10" s="84"/>
      <c r="K10" s="84"/>
      <c r="L10" s="84"/>
      <c r="M10" s="84"/>
      <c r="N10" s="84"/>
      <c r="O10" s="84"/>
      <c r="P10" s="84"/>
      <c r="Q10" s="84"/>
      <c r="R10" s="84"/>
      <c r="S10" s="84"/>
      <c r="T10" s="84"/>
      <c r="U10" s="84"/>
      <c r="V10" s="84"/>
      <c r="W10" s="84"/>
      <c r="X10" s="84"/>
      <c r="Y10" s="84"/>
      <c r="Z10" s="84"/>
      <c r="AA10" s="84"/>
      <c r="AB10" s="84"/>
      <c r="AC10" s="84"/>
      <c r="AD10" s="84"/>
      <c r="AE10" s="84"/>
      <c r="AF10" s="84"/>
      <c r="AG10" s="84"/>
      <c r="AH10" s="84"/>
      <c r="AI10" s="84"/>
      <c r="AJ10" s="84"/>
      <c r="AK10" s="84"/>
      <c r="AL10" s="84"/>
      <c r="AM10" s="84"/>
      <c r="AN10" s="84"/>
      <c r="AO10" s="84"/>
      <c r="AP10" s="84"/>
      <c r="AQ10" s="84"/>
      <c r="AR10" s="84"/>
      <c r="AS10" s="84"/>
      <c r="AT10" s="84"/>
      <c r="AU10" s="84"/>
      <c r="AV10" s="84"/>
      <c r="AW10" s="84"/>
      <c r="AX10" s="84"/>
      <c r="AY10" s="84"/>
      <c r="AZ10" s="84"/>
      <c r="BA10" s="84"/>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84"/>
      <c r="CE10" s="84"/>
      <c r="CF10" s="84"/>
      <c r="CG10" s="84"/>
      <c r="CH10" s="84"/>
      <c r="CI10" s="84"/>
      <c r="CJ10" s="84"/>
      <c r="CK10" s="84"/>
      <c r="CL10" s="84"/>
      <c r="CM10" s="84"/>
      <c r="CN10" s="84"/>
      <c r="CO10" s="84"/>
      <c r="CP10" s="84"/>
      <c r="CQ10" s="84"/>
      <c r="CR10" s="84"/>
      <c r="CS10" s="84"/>
      <c r="CT10" s="84"/>
      <c r="CU10" s="84"/>
      <c r="CV10" s="84"/>
      <c r="CW10" s="84"/>
      <c r="CX10" s="84"/>
      <c r="CY10" s="84"/>
      <c r="CZ10" s="84"/>
      <c r="DA10" s="84"/>
      <c r="DB10" s="84"/>
      <c r="DC10" s="84"/>
      <c r="DD10" s="84"/>
      <c r="DE10" s="84"/>
      <c r="DF10" s="84"/>
      <c r="DG10" s="84"/>
      <c r="DH10" s="84"/>
      <c r="DI10" s="84"/>
      <c r="DJ10" s="84"/>
      <c r="DK10" s="84"/>
      <c r="DL10" s="84"/>
      <c r="DM10" s="84"/>
      <c r="DN10" s="84"/>
      <c r="DO10" s="84"/>
      <c r="DP10" s="84"/>
      <c r="DQ10" s="84"/>
      <c r="DR10" s="84"/>
      <c r="DS10" s="84"/>
      <c r="DT10" s="84"/>
      <c r="DU10" s="84"/>
      <c r="DV10" s="84"/>
      <c r="DW10" s="84"/>
      <c r="DX10" s="84"/>
      <c r="DY10" s="84"/>
      <c r="DZ10" s="84"/>
      <c r="EA10" s="84"/>
      <c r="EB10" s="84"/>
      <c r="EC10" s="84"/>
      <c r="ED10" s="84"/>
      <c r="EE10" s="84"/>
      <c r="EF10" s="84"/>
      <c r="EG10" s="84"/>
      <c r="EH10" s="84"/>
      <c r="EI10" s="84"/>
      <c r="EJ10" s="84"/>
      <c r="EK10" s="84"/>
      <c r="EL10" s="84"/>
      <c r="EM10" s="84"/>
      <c r="EN10" s="84"/>
      <c r="EO10" s="84"/>
      <c r="EP10" s="84"/>
      <c r="EQ10" s="84"/>
      <c r="ER10" s="84"/>
      <c r="ES10" s="84"/>
      <c r="ET10" s="84"/>
      <c r="EU10" s="84"/>
      <c r="EV10" s="84"/>
      <c r="EW10" s="84"/>
      <c r="EX10" s="84"/>
      <c r="EY10" s="84"/>
      <c r="EZ10" s="84"/>
      <c r="FA10" s="84"/>
      <c r="FB10" s="84"/>
      <c r="FC10" s="84"/>
      <c r="FD10" s="84"/>
      <c r="FE10" s="84"/>
      <c r="FF10" s="84"/>
      <c r="FG10" s="84"/>
      <c r="FH10" s="84"/>
      <c r="FI10" s="84"/>
      <c r="FJ10" s="84"/>
      <c r="FK10" s="84"/>
      <c r="FL10" s="84"/>
      <c r="FM10" s="84"/>
      <c r="FN10" s="84"/>
      <c r="FO10" s="84"/>
      <c r="FP10" s="84"/>
      <c r="FQ10" s="84"/>
      <c r="FR10" s="84"/>
      <c r="FS10" s="84"/>
      <c r="FT10" s="84"/>
      <c r="FU10" s="84"/>
      <c r="FV10" s="84"/>
    </row>
    <row r="11" spans="1:178" ht="13">
      <c r="A11" s="107" t="s">
        <v>397</v>
      </c>
      <c r="B11" s="107"/>
      <c r="D11" s="65"/>
      <c r="F11" s="328"/>
      <c r="H11" s="60" t="s">
        <v>399</v>
      </c>
      <c r="I11" s="74">
        <f>$F$11*(I8/1000)</f>
        <v>0</v>
      </c>
      <c r="J11" s="74">
        <f t="shared" ref="J11:W11" si="0">$F$11*(J8/1000)</f>
        <v>0</v>
      </c>
      <c r="K11" s="74">
        <f t="shared" si="0"/>
        <v>0</v>
      </c>
      <c r="L11" s="74">
        <f t="shared" si="0"/>
        <v>0</v>
      </c>
      <c r="M11" s="74">
        <f t="shared" si="0"/>
        <v>0</v>
      </c>
      <c r="N11" s="74">
        <f t="shared" si="0"/>
        <v>0</v>
      </c>
      <c r="O11" s="74">
        <f t="shared" si="0"/>
        <v>0</v>
      </c>
      <c r="P11" s="74">
        <f t="shared" si="0"/>
        <v>0</v>
      </c>
      <c r="Q11" s="74">
        <f t="shared" si="0"/>
        <v>0</v>
      </c>
      <c r="R11" s="74">
        <f t="shared" si="0"/>
        <v>0</v>
      </c>
      <c r="S11" s="74">
        <f t="shared" si="0"/>
        <v>0</v>
      </c>
      <c r="T11" s="74">
        <f t="shared" si="0"/>
        <v>0</v>
      </c>
      <c r="U11" s="74">
        <f t="shared" si="0"/>
        <v>0</v>
      </c>
      <c r="V11" s="74">
        <f t="shared" si="0"/>
        <v>0</v>
      </c>
      <c r="W11" s="74">
        <f t="shared" si="0"/>
        <v>0</v>
      </c>
      <c r="X11" s="74">
        <f>$F$12*(X8/1000)</f>
        <v>2.0813021541357317</v>
      </c>
      <c r="Y11" s="74">
        <f t="shared" ref="Y11:CJ11" si="1">$F$12*(Y8/1000)</f>
        <v>2.0801635862177141</v>
      </c>
      <c r="Z11" s="74">
        <f t="shared" si="1"/>
        <v>1.6167664435846494</v>
      </c>
      <c r="AA11" s="74">
        <f t="shared" si="1"/>
        <v>1.7451969047370073</v>
      </c>
      <c r="AB11" s="74">
        <f t="shared" si="1"/>
        <v>1.8831913364007111</v>
      </c>
      <c r="AC11" s="74">
        <f t="shared" si="1"/>
        <v>1.9389811643835619</v>
      </c>
      <c r="AD11" s="74">
        <f t="shared" si="1"/>
        <v>2.0275617484053123</v>
      </c>
      <c r="AE11" s="74">
        <f t="shared" si="1"/>
        <v>1.8080458538115658</v>
      </c>
      <c r="AF11" s="74">
        <f t="shared" si="1"/>
        <v>1.5962722210603368</v>
      </c>
      <c r="AG11" s="74">
        <f t="shared" si="1"/>
        <v>1.2376233268848689</v>
      </c>
      <c r="AH11" s="74">
        <f t="shared" si="1"/>
        <v>1.2827862173481128</v>
      </c>
      <c r="AI11" s="74">
        <f t="shared" si="1"/>
        <v>1.3628657978667784</v>
      </c>
      <c r="AJ11" s="74">
        <f t="shared" si="1"/>
        <v>1.2865817473596155</v>
      </c>
      <c r="AK11" s="74">
        <f t="shared" si="1"/>
        <v>1.2176983883195651</v>
      </c>
      <c r="AL11" s="74">
        <f t="shared" si="1"/>
        <v>1.1767099432709403</v>
      </c>
      <c r="AM11" s="74">
        <f t="shared" si="1"/>
        <v>1.0456607759071421</v>
      </c>
      <c r="AN11" s="74">
        <f t="shared" si="1"/>
        <v>0.93362569277423402</v>
      </c>
      <c r="AO11" s="74">
        <f t="shared" si="1"/>
        <v>1.0201568545435535</v>
      </c>
      <c r="AP11" s="74">
        <f t="shared" si="1"/>
        <v>1.0209155962041203</v>
      </c>
      <c r="AQ11" s="74">
        <f t="shared" si="1"/>
        <v>0.93362569277423402</v>
      </c>
      <c r="AR11" s="74">
        <f t="shared" si="1"/>
        <v>0.9250864333891039</v>
      </c>
      <c r="AS11" s="74">
        <f t="shared" si="1"/>
        <v>0.92224001359406049</v>
      </c>
      <c r="AT11" s="74">
        <f t="shared" si="1"/>
        <v>1.0161718668304927</v>
      </c>
      <c r="AU11" s="74">
        <f t="shared" si="1"/>
        <v>1.2569789814911638</v>
      </c>
      <c r="AV11" s="74">
        <f t="shared" si="1"/>
        <v>1.0702538429363173</v>
      </c>
      <c r="AW11" s="74">
        <f t="shared" si="1"/>
        <v>1.0611452995921784</v>
      </c>
      <c r="AX11" s="74">
        <f t="shared" si="1"/>
        <v>1.0247111262156228</v>
      </c>
      <c r="AY11" s="74">
        <f t="shared" si="1"/>
        <v>0.86531161769319254</v>
      </c>
      <c r="AZ11" s="74">
        <f t="shared" si="1"/>
        <v>0.86531161769319254</v>
      </c>
      <c r="BA11" s="74">
        <f t="shared" si="1"/>
        <v>0.86531161769319254</v>
      </c>
      <c r="BB11" s="74">
        <f t="shared" si="1"/>
        <v>0.88808297605353981</v>
      </c>
      <c r="BC11" s="74">
        <f t="shared" si="1"/>
        <v>0.88808297605353981</v>
      </c>
      <c r="BD11" s="74">
        <f t="shared" si="1"/>
        <v>0.90630006274181751</v>
      </c>
      <c r="BE11" s="74">
        <f t="shared" si="1"/>
        <v>0.90630006274181751</v>
      </c>
      <c r="BF11" s="74">
        <f t="shared" si="1"/>
        <v>0.89445895639443695</v>
      </c>
      <c r="BG11" s="74">
        <f t="shared" si="1"/>
        <v>0.89445895639443695</v>
      </c>
      <c r="BH11" s="74">
        <f t="shared" si="1"/>
        <v>0.89445895639443695</v>
      </c>
      <c r="BI11" s="74">
        <f t="shared" si="1"/>
        <v>0.93362569277423402</v>
      </c>
      <c r="BJ11" s="74">
        <f t="shared" si="1"/>
        <v>0.93362569277423402</v>
      </c>
      <c r="BK11" s="74">
        <f t="shared" si="1"/>
        <v>0.93362569277423402</v>
      </c>
      <c r="BL11" s="74">
        <f t="shared" si="1"/>
        <v>0.95867418697061602</v>
      </c>
      <c r="BM11" s="74">
        <f t="shared" si="1"/>
        <v>0.87442016103733144</v>
      </c>
      <c r="BN11" s="74">
        <f t="shared" si="1"/>
        <v>0.85620307434905374</v>
      </c>
      <c r="BO11" s="74">
        <f t="shared" si="1"/>
        <v>0.85620307434905374</v>
      </c>
      <c r="BP11" s="74">
        <f t="shared" si="1"/>
        <v>0.8516488026769844</v>
      </c>
      <c r="BQ11" s="74">
        <f t="shared" si="1"/>
        <v>0.8516488026769844</v>
      </c>
      <c r="BR11" s="74">
        <f t="shared" si="1"/>
        <v>0.86531161769319254</v>
      </c>
      <c r="BS11" s="74">
        <f t="shared" si="1"/>
        <v>0.86531161769319254</v>
      </c>
      <c r="BT11" s="74">
        <f t="shared" si="1"/>
        <v>0.85620307434905374</v>
      </c>
      <c r="BU11" s="74">
        <f t="shared" si="1"/>
        <v>0.84709453100491494</v>
      </c>
      <c r="BV11" s="74">
        <f t="shared" si="1"/>
        <v>0.85620307434905374</v>
      </c>
      <c r="BW11" s="74">
        <f t="shared" si="1"/>
        <v>0.85620307434905374</v>
      </c>
      <c r="BX11" s="74">
        <f t="shared" si="1"/>
        <v>0.91085433441388697</v>
      </c>
      <c r="BY11" s="74">
        <f t="shared" si="1"/>
        <v>0.91085433441388697</v>
      </c>
      <c r="BZ11" s="74">
        <f t="shared" si="1"/>
        <v>0.9655055944787202</v>
      </c>
      <c r="CA11" s="74">
        <f t="shared" si="1"/>
        <v>0.9563970511345814</v>
      </c>
      <c r="CB11" s="74">
        <f t="shared" si="1"/>
        <v>0.9563970511345814</v>
      </c>
      <c r="CC11" s="74">
        <f t="shared" si="1"/>
        <v>0.97643584649168691</v>
      </c>
      <c r="CD11" s="74">
        <f t="shared" si="1"/>
        <v>0.91085433441388697</v>
      </c>
      <c r="CE11" s="74">
        <f t="shared" si="1"/>
        <v>0.91996287775802588</v>
      </c>
      <c r="CF11" s="74">
        <f t="shared" si="1"/>
        <v>0.94728850779044249</v>
      </c>
      <c r="CG11" s="74">
        <f t="shared" si="1"/>
        <v>0.94728850779044249</v>
      </c>
      <c r="CH11" s="74">
        <f t="shared" si="1"/>
        <v>0.91996287775802588</v>
      </c>
      <c r="CI11" s="74">
        <f t="shared" si="1"/>
        <v>0.92451714943009522</v>
      </c>
      <c r="CJ11" s="74">
        <f t="shared" si="1"/>
        <v>0.93362569277423402</v>
      </c>
      <c r="CK11" s="74">
        <f t="shared" ref="CK11:CR11" si="2">$F$12*(CK8/1000)</f>
        <v>0.93362569277423402</v>
      </c>
      <c r="CL11" s="74">
        <f t="shared" si="2"/>
        <v>0.93362569277423402</v>
      </c>
      <c r="CM11" s="74">
        <f t="shared" si="2"/>
        <v>0.93362569277423402</v>
      </c>
      <c r="CN11" s="74">
        <f t="shared" si="2"/>
        <v>0.93362569277423402</v>
      </c>
      <c r="CO11" s="74">
        <f t="shared" si="2"/>
        <v>0.93362569277423402</v>
      </c>
      <c r="CP11" s="74">
        <f t="shared" si="2"/>
        <v>0.93362569277423402</v>
      </c>
      <c r="CQ11" s="74">
        <f t="shared" si="2"/>
        <v>0.93362569277423402</v>
      </c>
      <c r="CR11" s="74">
        <f t="shared" si="2"/>
        <v>0.91085433441388697</v>
      </c>
      <c r="CS11" s="74">
        <f t="shared" ref="CS11:FD11" si="3">$F$12*(CS8/1000)</f>
        <v>0.88808297605353981</v>
      </c>
      <c r="CT11" s="74">
        <f t="shared" si="3"/>
        <v>0.88535041305029816</v>
      </c>
      <c r="CU11" s="74">
        <f t="shared" si="3"/>
        <v>0.88535041305029816</v>
      </c>
      <c r="CV11" s="74">
        <f t="shared" si="3"/>
        <v>0.91085433441388697</v>
      </c>
      <c r="CW11" s="74">
        <f t="shared" si="3"/>
        <v>0.91085433441388697</v>
      </c>
      <c r="CX11" s="74">
        <f t="shared" si="3"/>
        <v>0.93362569277423402</v>
      </c>
      <c r="CY11" s="74">
        <f t="shared" si="3"/>
        <v>0.93362569277423402</v>
      </c>
      <c r="CZ11" s="74">
        <f t="shared" si="3"/>
        <v>0.93362569277423402</v>
      </c>
      <c r="DA11" s="74">
        <f t="shared" si="3"/>
        <v>0.93180398410540632</v>
      </c>
      <c r="DB11" s="74">
        <f t="shared" si="3"/>
        <v>0.92907142110216467</v>
      </c>
      <c r="DC11" s="74">
        <f t="shared" si="3"/>
        <v>0.9563970511345814</v>
      </c>
      <c r="DD11" s="74">
        <f t="shared" si="3"/>
        <v>0.9563970511345814</v>
      </c>
      <c r="DE11" s="74">
        <f t="shared" si="3"/>
        <v>0.90447835407298971</v>
      </c>
      <c r="DF11" s="74">
        <f t="shared" si="3"/>
        <v>0.91085433441388697</v>
      </c>
      <c r="DG11" s="74">
        <f t="shared" si="3"/>
        <v>0.91814116908919807</v>
      </c>
      <c r="DH11" s="74">
        <f t="shared" si="3"/>
        <v>0.89719151939767861</v>
      </c>
      <c r="DI11" s="74">
        <f t="shared" si="3"/>
        <v>0.89719151939767861</v>
      </c>
      <c r="DJ11" s="74">
        <f t="shared" si="3"/>
        <v>0.8789744327094009</v>
      </c>
      <c r="DK11" s="74">
        <f t="shared" si="3"/>
        <v>0.8789744327094009</v>
      </c>
      <c r="DL11" s="74">
        <f t="shared" si="3"/>
        <v>0.88352870438147035</v>
      </c>
      <c r="DM11" s="74">
        <f t="shared" si="3"/>
        <v>0.88352870438147035</v>
      </c>
      <c r="DN11" s="74">
        <f t="shared" si="3"/>
        <v>0.89263724772560926</v>
      </c>
      <c r="DO11" s="74">
        <f t="shared" si="3"/>
        <v>0.88352870438147035</v>
      </c>
      <c r="DP11" s="74">
        <f t="shared" si="3"/>
        <v>0.88352870438147035</v>
      </c>
      <c r="DQ11" s="74">
        <f t="shared" si="3"/>
        <v>0.88352870438147035</v>
      </c>
      <c r="DR11" s="74">
        <f t="shared" si="3"/>
        <v>0.88352870438147035</v>
      </c>
      <c r="DS11" s="74">
        <f t="shared" si="3"/>
        <v>0.88352870438147035</v>
      </c>
      <c r="DT11" s="74">
        <f t="shared" si="3"/>
        <v>0</v>
      </c>
      <c r="DU11" s="74">
        <f t="shared" si="3"/>
        <v>0</v>
      </c>
      <c r="DV11" s="74">
        <f t="shared" si="3"/>
        <v>0</v>
      </c>
      <c r="DW11" s="74">
        <f t="shared" si="3"/>
        <v>0</v>
      </c>
      <c r="DX11" s="74">
        <f t="shared" si="3"/>
        <v>0</v>
      </c>
      <c r="DY11" s="74">
        <f t="shared" si="3"/>
        <v>0</v>
      </c>
      <c r="DZ11" s="74">
        <f t="shared" si="3"/>
        <v>0</v>
      </c>
      <c r="EA11" s="74">
        <f t="shared" si="3"/>
        <v>0</v>
      </c>
      <c r="EB11" s="74">
        <f t="shared" si="3"/>
        <v>0</v>
      </c>
      <c r="EC11" s="74">
        <f t="shared" si="3"/>
        <v>0</v>
      </c>
      <c r="ED11" s="74">
        <f t="shared" si="3"/>
        <v>0</v>
      </c>
      <c r="EE11" s="74">
        <f t="shared" si="3"/>
        <v>0</v>
      </c>
      <c r="EF11" s="74" t="e" vm="2">
        <f t="shared" si="3"/>
        <v>#VALUE!</v>
      </c>
      <c r="EG11" s="74" t="e" vm="2">
        <f t="shared" si="3"/>
        <v>#VALUE!</v>
      </c>
      <c r="EH11" s="74" t="e" vm="2">
        <f t="shared" si="3"/>
        <v>#VALUE!</v>
      </c>
      <c r="EI11" s="74" t="e" vm="2">
        <f t="shared" si="3"/>
        <v>#VALUE!</v>
      </c>
      <c r="EJ11" s="74" t="e" vm="2">
        <f t="shared" si="3"/>
        <v>#VALUE!</v>
      </c>
      <c r="EK11" s="74" t="e" vm="2">
        <f t="shared" si="3"/>
        <v>#VALUE!</v>
      </c>
      <c r="EL11" s="74" t="e" vm="2">
        <f t="shared" si="3"/>
        <v>#VALUE!</v>
      </c>
      <c r="EM11" s="74" t="e" vm="2">
        <f t="shared" si="3"/>
        <v>#VALUE!</v>
      </c>
      <c r="EN11" s="74" t="e" vm="2">
        <f t="shared" si="3"/>
        <v>#VALUE!</v>
      </c>
      <c r="EO11" s="74" t="e" vm="2">
        <f t="shared" si="3"/>
        <v>#VALUE!</v>
      </c>
      <c r="EP11" s="74" t="e" vm="2">
        <f t="shared" si="3"/>
        <v>#VALUE!</v>
      </c>
      <c r="EQ11" s="74" t="e" vm="2">
        <f t="shared" si="3"/>
        <v>#VALUE!</v>
      </c>
      <c r="ER11" s="74" t="e" vm="2">
        <f t="shared" si="3"/>
        <v>#VALUE!</v>
      </c>
      <c r="ES11" s="74" t="e" vm="2">
        <f t="shared" si="3"/>
        <v>#VALUE!</v>
      </c>
      <c r="ET11" s="74" t="e" vm="2">
        <f t="shared" si="3"/>
        <v>#VALUE!</v>
      </c>
      <c r="EU11" s="74" t="e" vm="2">
        <f t="shared" si="3"/>
        <v>#VALUE!</v>
      </c>
      <c r="EV11" s="74" t="e" vm="2">
        <f t="shared" si="3"/>
        <v>#VALUE!</v>
      </c>
      <c r="EW11" s="74" t="e" vm="2">
        <f t="shared" si="3"/>
        <v>#VALUE!</v>
      </c>
      <c r="EX11" s="74" t="e" vm="2">
        <f t="shared" si="3"/>
        <v>#VALUE!</v>
      </c>
      <c r="EY11" s="74" t="e" vm="2">
        <f t="shared" si="3"/>
        <v>#VALUE!</v>
      </c>
      <c r="EZ11" s="74" t="e" vm="2">
        <f t="shared" si="3"/>
        <v>#VALUE!</v>
      </c>
      <c r="FA11" s="74" t="e" vm="2">
        <f t="shared" si="3"/>
        <v>#VALUE!</v>
      </c>
      <c r="FB11" s="74" t="e" vm="2">
        <f t="shared" si="3"/>
        <v>#VALUE!</v>
      </c>
      <c r="FC11" s="74" t="e" vm="2">
        <f t="shared" si="3"/>
        <v>#VALUE!</v>
      </c>
      <c r="FD11" s="74" t="e" vm="2">
        <f t="shared" si="3"/>
        <v>#VALUE!</v>
      </c>
      <c r="FE11" s="74" t="e" vm="2">
        <f t="shared" ref="FE11:FV11" si="4">$F$12*(FE8/1000)</f>
        <v>#VALUE!</v>
      </c>
      <c r="FF11" s="74" t="e" vm="2">
        <f t="shared" si="4"/>
        <v>#VALUE!</v>
      </c>
      <c r="FG11" s="74" t="e" vm="2">
        <f t="shared" si="4"/>
        <v>#VALUE!</v>
      </c>
      <c r="FH11" s="74" t="e" vm="2">
        <f t="shared" si="4"/>
        <v>#VALUE!</v>
      </c>
      <c r="FI11" s="74" t="e" vm="2">
        <f t="shared" si="4"/>
        <v>#VALUE!</v>
      </c>
      <c r="FJ11" s="74" t="e" vm="2">
        <f t="shared" si="4"/>
        <v>#VALUE!</v>
      </c>
      <c r="FK11" s="74" t="e" vm="2">
        <f t="shared" si="4"/>
        <v>#VALUE!</v>
      </c>
      <c r="FL11" s="74" t="e" vm="2">
        <f t="shared" si="4"/>
        <v>#VALUE!</v>
      </c>
      <c r="FM11" s="74" t="e" vm="2">
        <f t="shared" si="4"/>
        <v>#VALUE!</v>
      </c>
      <c r="FN11" s="74" t="e" vm="2">
        <f t="shared" si="4"/>
        <v>#VALUE!</v>
      </c>
      <c r="FO11" s="74" t="e" vm="2">
        <f t="shared" si="4"/>
        <v>#VALUE!</v>
      </c>
      <c r="FP11" s="74" t="e" vm="2">
        <f t="shared" si="4"/>
        <v>#VALUE!</v>
      </c>
      <c r="FQ11" s="74" t="e" vm="2">
        <f t="shared" si="4"/>
        <v>#VALUE!</v>
      </c>
      <c r="FR11" s="74" t="e" vm="2">
        <f t="shared" si="4"/>
        <v>#VALUE!</v>
      </c>
      <c r="FS11" s="74" t="e" vm="2">
        <f t="shared" si="4"/>
        <v>#VALUE!</v>
      </c>
      <c r="FT11" s="74" t="e" vm="2">
        <f t="shared" si="4"/>
        <v>#VALUE!</v>
      </c>
      <c r="FU11" s="74" t="e" vm="2">
        <f t="shared" si="4"/>
        <v>#VALUE!</v>
      </c>
      <c r="FV11" s="74" t="e" vm="2">
        <f t="shared" si="4"/>
        <v>#VALUE!</v>
      </c>
    </row>
    <row r="12" spans="1:178" ht="13">
      <c r="A12" s="67"/>
      <c r="B12" s="107" t="s">
        <v>807</v>
      </c>
      <c r="C12" s="60">
        <v>3</v>
      </c>
      <c r="D12" s="77">
        <v>58.07</v>
      </c>
      <c r="E12" s="60">
        <f>D12*C12</f>
        <v>174.21</v>
      </c>
      <c r="F12" s="328">
        <f>E12/$D$3</f>
        <v>0.91085433441388697</v>
      </c>
      <c r="I12" s="74"/>
      <c r="J12" s="74"/>
      <c r="K12" s="74"/>
      <c r="L12" s="74"/>
      <c r="M12" s="74"/>
      <c r="N12" s="74"/>
      <c r="O12" s="74"/>
      <c r="P12" s="74"/>
      <c r="Q12" s="74"/>
      <c r="R12" s="74"/>
      <c r="S12" s="74"/>
      <c r="T12" s="74"/>
      <c r="U12" s="74"/>
      <c r="V12" s="74"/>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c r="BL12" s="74"/>
      <c r="BM12" s="74"/>
      <c r="BN12" s="74"/>
      <c r="BO12" s="74"/>
      <c r="BP12" s="74"/>
      <c r="BQ12" s="74"/>
      <c r="BR12" s="74"/>
      <c r="BS12" s="74"/>
      <c r="BT12" s="74"/>
      <c r="BU12" s="74"/>
      <c r="BV12" s="74"/>
      <c r="BW12" s="74"/>
      <c r="BX12" s="74"/>
      <c r="BY12" s="74"/>
      <c r="BZ12" s="74"/>
      <c r="CA12" s="74"/>
      <c r="CB12" s="74"/>
      <c r="CC12" s="74"/>
      <c r="CD12" s="74"/>
      <c r="CE12" s="74"/>
      <c r="CF12" s="74"/>
      <c r="CG12" s="74"/>
      <c r="CH12" s="74"/>
      <c r="CI12" s="74"/>
      <c r="CJ12" s="74"/>
      <c r="CK12" s="74"/>
      <c r="CL12" s="74"/>
      <c r="CM12" s="74"/>
      <c r="CN12" s="74"/>
      <c r="CO12" s="74"/>
      <c r="CP12" s="74"/>
      <c r="CQ12" s="74"/>
      <c r="CR12" s="74"/>
      <c r="CS12" s="74"/>
      <c r="CT12" s="74"/>
      <c r="CU12" s="74"/>
      <c r="CV12" s="74"/>
      <c r="CW12" s="74"/>
      <c r="CX12" s="74"/>
      <c r="CY12" s="74"/>
      <c r="CZ12" s="74"/>
      <c r="DA12" s="74"/>
      <c r="DB12" s="74"/>
      <c r="DC12" s="74"/>
      <c r="DD12" s="74"/>
      <c r="DE12" s="74"/>
      <c r="DF12" s="74"/>
      <c r="DG12" s="74"/>
      <c r="DH12" s="74"/>
      <c r="DI12" s="74"/>
      <c r="DJ12" s="74"/>
      <c r="DK12" s="74"/>
      <c r="DL12" s="74"/>
      <c r="DM12" s="74"/>
      <c r="DN12" s="74"/>
      <c r="DO12" s="74"/>
      <c r="DP12" s="74"/>
      <c r="DQ12" s="74"/>
      <c r="DR12" s="74"/>
      <c r="DS12" s="74"/>
      <c r="DT12" s="74"/>
      <c r="DU12" s="74"/>
      <c r="DV12" s="74"/>
      <c r="DW12" s="74"/>
      <c r="DX12" s="74"/>
      <c r="DY12" s="74"/>
      <c r="DZ12" s="74"/>
      <c r="EA12" s="74"/>
      <c r="EB12" s="74"/>
      <c r="EC12" s="74"/>
      <c r="ED12" s="74"/>
      <c r="EE12" s="74"/>
      <c r="EF12" s="74"/>
      <c r="EG12" s="74"/>
      <c r="EH12" s="74"/>
      <c r="EI12" s="74"/>
      <c r="EJ12" s="74"/>
      <c r="EK12" s="74"/>
      <c r="EL12" s="74"/>
      <c r="EM12" s="74"/>
      <c r="EN12" s="74"/>
      <c r="EO12" s="74"/>
      <c r="EP12" s="74"/>
      <c r="EQ12" s="74"/>
      <c r="ER12" s="74"/>
      <c r="ES12" s="74"/>
      <c r="ET12" s="74"/>
      <c r="EU12" s="74"/>
      <c r="EV12" s="74"/>
      <c r="EW12" s="74"/>
      <c r="EX12" s="74"/>
      <c r="EY12" s="74"/>
      <c r="EZ12" s="74"/>
      <c r="FA12" s="74"/>
      <c r="FB12" s="74"/>
      <c r="FC12" s="74"/>
      <c r="FD12" s="74"/>
      <c r="FE12" s="74"/>
      <c r="FF12" s="74"/>
      <c r="FG12" s="74"/>
      <c r="FH12" s="74"/>
      <c r="FI12" s="74"/>
      <c r="FJ12" s="74"/>
      <c r="FK12" s="74"/>
      <c r="FL12" s="74"/>
      <c r="FM12" s="74"/>
      <c r="FN12" s="74"/>
      <c r="FO12" s="74"/>
      <c r="FP12" s="74"/>
      <c r="FQ12" s="74"/>
      <c r="FR12" s="74"/>
      <c r="FS12" s="74"/>
      <c r="FT12" s="74"/>
      <c r="FU12" s="74"/>
      <c r="FV12" s="74"/>
    </row>
    <row r="13" spans="1:178">
      <c r="A13" s="67"/>
      <c r="B13" s="107"/>
      <c r="D13" s="77"/>
      <c r="F13" s="65"/>
      <c r="I13" s="74"/>
      <c r="J13" s="74"/>
      <c r="K13" s="74"/>
      <c r="L13" s="74"/>
      <c r="M13" s="74"/>
      <c r="N13" s="74"/>
      <c r="O13" s="74"/>
      <c r="P13" s="74"/>
      <c r="Q13" s="74"/>
      <c r="R13" s="74"/>
      <c r="S13" s="74"/>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c r="BF13" s="74"/>
      <c r="BG13" s="74"/>
      <c r="BH13" s="74"/>
      <c r="BI13" s="74"/>
      <c r="BJ13" s="74"/>
      <c r="BK13" s="74"/>
      <c r="BL13" s="74"/>
      <c r="BM13" s="74"/>
      <c r="BN13" s="74"/>
      <c r="BO13" s="74"/>
      <c r="BP13" s="74"/>
      <c r="BQ13" s="74"/>
      <c r="BR13" s="74"/>
      <c r="BS13" s="74"/>
      <c r="BT13" s="74"/>
      <c r="BU13" s="74"/>
      <c r="BV13" s="74"/>
      <c r="BW13" s="74"/>
      <c r="BX13" s="74"/>
      <c r="BY13" s="74"/>
      <c r="BZ13" s="74"/>
      <c r="CA13" s="74"/>
      <c r="CB13" s="74"/>
      <c r="CC13" s="74"/>
      <c r="CD13" s="74"/>
      <c r="CE13" s="74"/>
      <c r="CF13" s="74"/>
      <c r="CG13" s="74"/>
      <c r="CH13" s="74"/>
      <c r="CI13" s="74"/>
      <c r="CJ13" s="74"/>
      <c r="CK13" s="74"/>
      <c r="CL13" s="74"/>
      <c r="CM13" s="74"/>
      <c r="CN13" s="74"/>
      <c r="CO13" s="74"/>
      <c r="CP13" s="74"/>
      <c r="CQ13" s="74"/>
      <c r="CR13" s="74"/>
      <c r="CS13" s="74"/>
      <c r="CT13" s="74"/>
      <c r="CU13" s="74"/>
      <c r="CV13" s="74"/>
      <c r="CW13" s="74"/>
      <c r="CX13" s="74"/>
      <c r="CY13" s="74"/>
      <c r="CZ13" s="74"/>
      <c r="DA13" s="74"/>
      <c r="DB13" s="74"/>
      <c r="DC13" s="74"/>
      <c r="DD13" s="74"/>
      <c r="DE13" s="74"/>
      <c r="DF13" s="74"/>
      <c r="DG13" s="74"/>
      <c r="DH13" s="74"/>
      <c r="DI13" s="74"/>
      <c r="DJ13" s="74"/>
      <c r="DK13" s="74"/>
      <c r="DL13" s="74"/>
      <c r="DM13" s="74"/>
      <c r="DN13" s="74"/>
      <c r="DO13" s="74"/>
      <c r="DP13" s="74"/>
      <c r="DQ13" s="74"/>
      <c r="DR13" s="74"/>
      <c r="DS13" s="74"/>
      <c r="DT13" s="74"/>
      <c r="DU13" s="74"/>
      <c r="DV13" s="74"/>
      <c r="DW13" s="74"/>
      <c r="DX13" s="74"/>
      <c r="DY13" s="74"/>
      <c r="DZ13" s="74"/>
      <c r="EA13" s="74"/>
      <c r="EB13" s="74"/>
      <c r="EC13" s="74"/>
      <c r="ED13" s="74"/>
      <c r="EE13" s="74"/>
      <c r="EF13" s="74"/>
      <c r="EG13" s="74"/>
      <c r="EH13" s="74"/>
      <c r="EI13" s="74"/>
      <c r="EJ13" s="74"/>
      <c r="EK13" s="74"/>
      <c r="EL13" s="74"/>
      <c r="EM13" s="74"/>
      <c r="EN13" s="74"/>
      <c r="EO13" s="74"/>
      <c r="EP13" s="74"/>
      <c r="EQ13" s="74"/>
      <c r="ER13" s="74"/>
      <c r="ES13" s="74"/>
      <c r="ET13" s="74"/>
      <c r="EU13" s="74"/>
      <c r="EV13" s="74"/>
      <c r="EW13" s="74"/>
      <c r="EX13" s="74"/>
      <c r="EY13" s="74"/>
      <c r="EZ13" s="74"/>
      <c r="FA13" s="74"/>
      <c r="FB13" s="74"/>
      <c r="FC13" s="74"/>
      <c r="FD13" s="74"/>
      <c r="FE13" s="74"/>
      <c r="FF13" s="74"/>
      <c r="FG13" s="74"/>
      <c r="FH13" s="74"/>
      <c r="FI13" s="74"/>
      <c r="FJ13" s="74"/>
      <c r="FK13" s="74"/>
      <c r="FL13" s="74"/>
      <c r="FM13" s="74"/>
      <c r="FN13" s="74"/>
      <c r="FO13" s="74"/>
      <c r="FP13" s="74"/>
      <c r="FQ13" s="74"/>
      <c r="FR13" s="74"/>
      <c r="FS13" s="74"/>
      <c r="FT13" s="74"/>
      <c r="FU13" s="74"/>
      <c r="FV13" s="74"/>
    </row>
    <row r="14" spans="1:178" s="104" customFormat="1">
      <c r="H14" s="104" t="s">
        <v>799</v>
      </c>
      <c r="I14" s="105">
        <f t="shared" ref="I14:AN14" si="5">SUM(I11:I11)</f>
        <v>0</v>
      </c>
      <c r="J14" s="105">
        <f t="shared" si="5"/>
        <v>0</v>
      </c>
      <c r="K14" s="105">
        <f t="shared" si="5"/>
        <v>0</v>
      </c>
      <c r="L14" s="105">
        <f t="shared" si="5"/>
        <v>0</v>
      </c>
      <c r="M14" s="105">
        <f t="shared" si="5"/>
        <v>0</v>
      </c>
      <c r="N14" s="105">
        <f t="shared" si="5"/>
        <v>0</v>
      </c>
      <c r="O14" s="105">
        <f t="shared" si="5"/>
        <v>0</v>
      </c>
      <c r="P14" s="105">
        <f t="shared" si="5"/>
        <v>0</v>
      </c>
      <c r="Q14" s="105">
        <f t="shared" si="5"/>
        <v>0</v>
      </c>
      <c r="R14" s="105">
        <f t="shared" si="5"/>
        <v>0</v>
      </c>
      <c r="S14" s="105">
        <f t="shared" si="5"/>
        <v>0</v>
      </c>
      <c r="T14" s="105">
        <f t="shared" si="5"/>
        <v>0</v>
      </c>
      <c r="U14" s="105">
        <f t="shared" si="5"/>
        <v>0</v>
      </c>
      <c r="V14" s="105">
        <f t="shared" si="5"/>
        <v>0</v>
      </c>
      <c r="W14" s="105">
        <f t="shared" si="5"/>
        <v>0</v>
      </c>
      <c r="X14" s="105">
        <f t="shared" si="5"/>
        <v>2.0813021541357317</v>
      </c>
      <c r="Y14" s="105">
        <f t="shared" si="5"/>
        <v>2.0801635862177141</v>
      </c>
      <c r="Z14" s="105">
        <f t="shared" si="5"/>
        <v>1.6167664435846494</v>
      </c>
      <c r="AA14" s="105">
        <f t="shared" si="5"/>
        <v>1.7451969047370073</v>
      </c>
      <c r="AB14" s="105">
        <f t="shared" si="5"/>
        <v>1.8831913364007111</v>
      </c>
      <c r="AC14" s="105">
        <f t="shared" si="5"/>
        <v>1.9389811643835619</v>
      </c>
      <c r="AD14" s="105">
        <f t="shared" si="5"/>
        <v>2.0275617484053123</v>
      </c>
      <c r="AE14" s="105">
        <f t="shared" si="5"/>
        <v>1.8080458538115658</v>
      </c>
      <c r="AF14" s="105">
        <f t="shared" si="5"/>
        <v>1.5962722210603368</v>
      </c>
      <c r="AG14" s="105">
        <f t="shared" si="5"/>
        <v>1.2376233268848689</v>
      </c>
      <c r="AH14" s="105">
        <f t="shared" si="5"/>
        <v>1.2827862173481128</v>
      </c>
      <c r="AI14" s="105">
        <f t="shared" si="5"/>
        <v>1.3628657978667784</v>
      </c>
      <c r="AJ14" s="105">
        <f t="shared" si="5"/>
        <v>1.2865817473596155</v>
      </c>
      <c r="AK14" s="105">
        <f t="shared" si="5"/>
        <v>1.2176983883195651</v>
      </c>
      <c r="AL14" s="105">
        <f t="shared" si="5"/>
        <v>1.1767099432709403</v>
      </c>
      <c r="AM14" s="105">
        <f t="shared" si="5"/>
        <v>1.0456607759071421</v>
      </c>
      <c r="AN14" s="105">
        <f t="shared" si="5"/>
        <v>0.93362569277423402</v>
      </c>
      <c r="AO14" s="105">
        <f t="shared" ref="AO14:CR14" si="6">SUM(AO11:AO11)</f>
        <v>1.0201568545435535</v>
      </c>
      <c r="AP14" s="105">
        <f t="shared" si="6"/>
        <v>1.0209155962041203</v>
      </c>
      <c r="AQ14" s="105">
        <f t="shared" si="6"/>
        <v>0.93362569277423402</v>
      </c>
      <c r="AR14" s="105">
        <f t="shared" si="6"/>
        <v>0.9250864333891039</v>
      </c>
      <c r="AS14" s="105">
        <f t="shared" si="6"/>
        <v>0.92224001359406049</v>
      </c>
      <c r="AT14" s="105">
        <f t="shared" si="6"/>
        <v>1.0161718668304927</v>
      </c>
      <c r="AU14" s="105">
        <f t="shared" si="6"/>
        <v>1.2569789814911638</v>
      </c>
      <c r="AV14" s="105">
        <f t="shared" si="6"/>
        <v>1.0702538429363173</v>
      </c>
      <c r="AW14" s="105">
        <f t="shared" si="6"/>
        <v>1.0611452995921784</v>
      </c>
      <c r="AX14" s="105">
        <f t="shared" si="6"/>
        <v>1.0247111262156228</v>
      </c>
      <c r="AY14" s="105">
        <f t="shared" si="6"/>
        <v>0.86531161769319254</v>
      </c>
      <c r="AZ14" s="105">
        <f t="shared" si="6"/>
        <v>0.86531161769319254</v>
      </c>
      <c r="BA14" s="105">
        <f t="shared" si="6"/>
        <v>0.86531161769319254</v>
      </c>
      <c r="BB14" s="105">
        <f t="shared" si="6"/>
        <v>0.88808297605353981</v>
      </c>
      <c r="BC14" s="105">
        <f t="shared" si="6"/>
        <v>0.88808297605353981</v>
      </c>
      <c r="BD14" s="105">
        <f t="shared" si="6"/>
        <v>0.90630006274181751</v>
      </c>
      <c r="BE14" s="105">
        <f t="shared" si="6"/>
        <v>0.90630006274181751</v>
      </c>
      <c r="BF14" s="105">
        <f t="shared" si="6"/>
        <v>0.89445895639443695</v>
      </c>
      <c r="BG14" s="105">
        <f t="shared" si="6"/>
        <v>0.89445895639443695</v>
      </c>
      <c r="BH14" s="105">
        <f t="shared" si="6"/>
        <v>0.89445895639443695</v>
      </c>
      <c r="BI14" s="105">
        <f t="shared" si="6"/>
        <v>0.93362569277423402</v>
      </c>
      <c r="BJ14" s="105">
        <f t="shared" si="6"/>
        <v>0.93362569277423402</v>
      </c>
      <c r="BK14" s="105">
        <f t="shared" si="6"/>
        <v>0.93362569277423402</v>
      </c>
      <c r="BL14" s="105">
        <f t="shared" si="6"/>
        <v>0.95867418697061602</v>
      </c>
      <c r="BM14" s="105">
        <f t="shared" si="6"/>
        <v>0.87442016103733144</v>
      </c>
      <c r="BN14" s="105">
        <f t="shared" si="6"/>
        <v>0.85620307434905374</v>
      </c>
      <c r="BO14" s="105">
        <f t="shared" si="6"/>
        <v>0.85620307434905374</v>
      </c>
      <c r="BP14" s="105">
        <f t="shared" si="6"/>
        <v>0.8516488026769844</v>
      </c>
      <c r="BQ14" s="105">
        <f t="shared" si="6"/>
        <v>0.8516488026769844</v>
      </c>
      <c r="BR14" s="105">
        <f t="shared" si="6"/>
        <v>0.86531161769319254</v>
      </c>
      <c r="BS14" s="105">
        <f t="shared" si="6"/>
        <v>0.86531161769319254</v>
      </c>
      <c r="BT14" s="105">
        <f t="shared" si="6"/>
        <v>0.85620307434905374</v>
      </c>
      <c r="BU14" s="105">
        <f t="shared" si="6"/>
        <v>0.84709453100491494</v>
      </c>
      <c r="BV14" s="105">
        <f t="shared" si="6"/>
        <v>0.85620307434905374</v>
      </c>
      <c r="BW14" s="105">
        <f t="shared" si="6"/>
        <v>0.85620307434905374</v>
      </c>
      <c r="BX14" s="105">
        <f t="shared" si="6"/>
        <v>0.91085433441388697</v>
      </c>
      <c r="BY14" s="105">
        <f t="shared" si="6"/>
        <v>0.91085433441388697</v>
      </c>
      <c r="BZ14" s="105">
        <f t="shared" si="6"/>
        <v>0.9655055944787202</v>
      </c>
      <c r="CA14" s="105">
        <f t="shared" si="6"/>
        <v>0.9563970511345814</v>
      </c>
      <c r="CB14" s="105">
        <f t="shared" si="6"/>
        <v>0.9563970511345814</v>
      </c>
      <c r="CC14" s="105">
        <f t="shared" si="6"/>
        <v>0.97643584649168691</v>
      </c>
      <c r="CD14" s="105">
        <f t="shared" si="6"/>
        <v>0.91085433441388697</v>
      </c>
      <c r="CE14" s="105">
        <f t="shared" si="6"/>
        <v>0.91996287775802588</v>
      </c>
      <c r="CF14" s="105">
        <f t="shared" si="6"/>
        <v>0.94728850779044249</v>
      </c>
      <c r="CG14" s="105">
        <f t="shared" si="6"/>
        <v>0.94728850779044249</v>
      </c>
      <c r="CH14" s="105">
        <f t="shared" si="6"/>
        <v>0.91996287775802588</v>
      </c>
      <c r="CI14" s="105">
        <f t="shared" si="6"/>
        <v>0.92451714943009522</v>
      </c>
      <c r="CJ14" s="105">
        <f t="shared" si="6"/>
        <v>0.93362569277423402</v>
      </c>
      <c r="CK14" s="105">
        <f t="shared" si="6"/>
        <v>0.93362569277423402</v>
      </c>
      <c r="CL14" s="105">
        <f t="shared" si="6"/>
        <v>0.93362569277423402</v>
      </c>
      <c r="CM14" s="105">
        <f t="shared" si="6"/>
        <v>0.93362569277423402</v>
      </c>
      <c r="CN14" s="105">
        <f t="shared" si="6"/>
        <v>0.93362569277423402</v>
      </c>
      <c r="CO14" s="105">
        <f t="shared" si="6"/>
        <v>0.93362569277423402</v>
      </c>
      <c r="CP14" s="105">
        <f t="shared" si="6"/>
        <v>0.93362569277423402</v>
      </c>
      <c r="CQ14" s="105">
        <f t="shared" si="6"/>
        <v>0.93362569277423402</v>
      </c>
      <c r="CR14" s="105">
        <f t="shared" si="6"/>
        <v>0.91085433441388697</v>
      </c>
      <c r="CS14" s="105">
        <f t="shared" ref="CS14:FD14" si="7">SUM(CS11:CS11)</f>
        <v>0.88808297605353981</v>
      </c>
      <c r="CT14" s="105">
        <f t="shared" si="7"/>
        <v>0.88535041305029816</v>
      </c>
      <c r="CU14" s="105">
        <f t="shared" si="7"/>
        <v>0.88535041305029816</v>
      </c>
      <c r="CV14" s="105">
        <f t="shared" si="7"/>
        <v>0.91085433441388697</v>
      </c>
      <c r="CW14" s="105">
        <f t="shared" si="7"/>
        <v>0.91085433441388697</v>
      </c>
      <c r="CX14" s="105">
        <f t="shared" si="7"/>
        <v>0.93362569277423402</v>
      </c>
      <c r="CY14" s="105">
        <f t="shared" si="7"/>
        <v>0.93362569277423402</v>
      </c>
      <c r="CZ14" s="105">
        <f t="shared" si="7"/>
        <v>0.93362569277423402</v>
      </c>
      <c r="DA14" s="105">
        <f t="shared" si="7"/>
        <v>0.93180398410540632</v>
      </c>
      <c r="DB14" s="105">
        <f t="shared" si="7"/>
        <v>0.92907142110216467</v>
      </c>
      <c r="DC14" s="105">
        <f t="shared" si="7"/>
        <v>0.9563970511345814</v>
      </c>
      <c r="DD14" s="105">
        <f t="shared" si="7"/>
        <v>0.9563970511345814</v>
      </c>
      <c r="DE14" s="105">
        <f t="shared" si="7"/>
        <v>0.90447835407298971</v>
      </c>
      <c r="DF14" s="105">
        <f t="shared" si="7"/>
        <v>0.91085433441388697</v>
      </c>
      <c r="DG14" s="105">
        <f t="shared" si="7"/>
        <v>0.91814116908919807</v>
      </c>
      <c r="DH14" s="105">
        <f t="shared" si="7"/>
        <v>0.89719151939767861</v>
      </c>
      <c r="DI14" s="105">
        <f t="shared" si="7"/>
        <v>0.89719151939767861</v>
      </c>
      <c r="DJ14" s="105">
        <f t="shared" si="7"/>
        <v>0.8789744327094009</v>
      </c>
      <c r="DK14" s="105">
        <f t="shared" si="7"/>
        <v>0.8789744327094009</v>
      </c>
      <c r="DL14" s="105">
        <f t="shared" si="7"/>
        <v>0.88352870438147035</v>
      </c>
      <c r="DM14" s="105">
        <f t="shared" si="7"/>
        <v>0.88352870438147035</v>
      </c>
      <c r="DN14" s="105">
        <f t="shared" si="7"/>
        <v>0.89263724772560926</v>
      </c>
      <c r="DO14" s="105">
        <f t="shared" si="7"/>
        <v>0.88352870438147035</v>
      </c>
      <c r="DP14" s="105">
        <f t="shared" si="7"/>
        <v>0.88352870438147035</v>
      </c>
      <c r="DQ14" s="105">
        <f t="shared" si="7"/>
        <v>0.88352870438147035</v>
      </c>
      <c r="DR14" s="105">
        <f t="shared" si="7"/>
        <v>0.88352870438147035</v>
      </c>
      <c r="DS14" s="105">
        <f t="shared" si="7"/>
        <v>0.88352870438147035</v>
      </c>
      <c r="DT14" s="105">
        <f t="shared" si="7"/>
        <v>0</v>
      </c>
      <c r="DU14" s="105">
        <f t="shared" si="7"/>
        <v>0</v>
      </c>
      <c r="DV14" s="105">
        <f t="shared" si="7"/>
        <v>0</v>
      </c>
      <c r="DW14" s="105">
        <f t="shared" si="7"/>
        <v>0</v>
      </c>
      <c r="DX14" s="105">
        <f t="shared" si="7"/>
        <v>0</v>
      </c>
      <c r="DY14" s="105">
        <f t="shared" si="7"/>
        <v>0</v>
      </c>
      <c r="DZ14" s="105">
        <f t="shared" si="7"/>
        <v>0</v>
      </c>
      <c r="EA14" s="105">
        <f t="shared" si="7"/>
        <v>0</v>
      </c>
      <c r="EB14" s="105">
        <f t="shared" si="7"/>
        <v>0</v>
      </c>
      <c r="EC14" s="105">
        <f t="shared" si="7"/>
        <v>0</v>
      </c>
      <c r="ED14" s="105">
        <f t="shared" si="7"/>
        <v>0</v>
      </c>
      <c r="EE14" s="105">
        <f t="shared" si="7"/>
        <v>0</v>
      </c>
      <c r="EF14" s="105" t="e" vm="2">
        <f t="shared" si="7"/>
        <v>#VALUE!</v>
      </c>
      <c r="EG14" s="105" t="e" vm="2">
        <f t="shared" si="7"/>
        <v>#VALUE!</v>
      </c>
      <c r="EH14" s="105" t="e" vm="2">
        <f t="shared" si="7"/>
        <v>#VALUE!</v>
      </c>
      <c r="EI14" s="105" t="e" vm="2">
        <f t="shared" si="7"/>
        <v>#VALUE!</v>
      </c>
      <c r="EJ14" s="105" t="e" vm="2">
        <f t="shared" si="7"/>
        <v>#VALUE!</v>
      </c>
      <c r="EK14" s="105" t="e" vm="2">
        <f t="shared" si="7"/>
        <v>#VALUE!</v>
      </c>
      <c r="EL14" s="105" t="e" vm="2">
        <f t="shared" si="7"/>
        <v>#VALUE!</v>
      </c>
      <c r="EM14" s="105" t="e" vm="2">
        <f t="shared" si="7"/>
        <v>#VALUE!</v>
      </c>
      <c r="EN14" s="105" t="e" vm="2">
        <f t="shared" si="7"/>
        <v>#VALUE!</v>
      </c>
      <c r="EO14" s="105" t="e" vm="2">
        <f t="shared" si="7"/>
        <v>#VALUE!</v>
      </c>
      <c r="EP14" s="105" t="e" vm="2">
        <f t="shared" si="7"/>
        <v>#VALUE!</v>
      </c>
      <c r="EQ14" s="105" t="e" vm="2">
        <f t="shared" si="7"/>
        <v>#VALUE!</v>
      </c>
      <c r="ER14" s="105" t="e" vm="2">
        <f t="shared" si="7"/>
        <v>#VALUE!</v>
      </c>
      <c r="ES14" s="105" t="e" vm="2">
        <f t="shared" si="7"/>
        <v>#VALUE!</v>
      </c>
      <c r="ET14" s="105" t="e" vm="2">
        <f t="shared" si="7"/>
        <v>#VALUE!</v>
      </c>
      <c r="EU14" s="105" t="e" vm="2">
        <f t="shared" si="7"/>
        <v>#VALUE!</v>
      </c>
      <c r="EV14" s="105" t="e" vm="2">
        <f t="shared" si="7"/>
        <v>#VALUE!</v>
      </c>
      <c r="EW14" s="105" t="e" vm="2">
        <f t="shared" si="7"/>
        <v>#VALUE!</v>
      </c>
      <c r="EX14" s="105" t="e" vm="2">
        <f t="shared" si="7"/>
        <v>#VALUE!</v>
      </c>
      <c r="EY14" s="105" t="e" vm="2">
        <f t="shared" si="7"/>
        <v>#VALUE!</v>
      </c>
      <c r="EZ14" s="105" t="e" vm="2">
        <f t="shared" si="7"/>
        <v>#VALUE!</v>
      </c>
      <c r="FA14" s="105" t="e" vm="2">
        <f t="shared" si="7"/>
        <v>#VALUE!</v>
      </c>
      <c r="FB14" s="105" t="e" vm="2">
        <f t="shared" si="7"/>
        <v>#VALUE!</v>
      </c>
      <c r="FC14" s="105" t="e" vm="2">
        <f t="shared" si="7"/>
        <v>#VALUE!</v>
      </c>
      <c r="FD14" s="105" t="e" vm="2">
        <f t="shared" si="7"/>
        <v>#VALUE!</v>
      </c>
      <c r="FE14" s="105" t="e" vm="2">
        <f t="shared" ref="FE14:FV14" si="8">SUM(FE11:FE11)</f>
        <v>#VALUE!</v>
      </c>
      <c r="FF14" s="105" t="e" vm="2">
        <f t="shared" si="8"/>
        <v>#VALUE!</v>
      </c>
      <c r="FG14" s="105" t="e" vm="2">
        <f t="shared" si="8"/>
        <v>#VALUE!</v>
      </c>
      <c r="FH14" s="105" t="e" vm="2">
        <f t="shared" si="8"/>
        <v>#VALUE!</v>
      </c>
      <c r="FI14" s="105" t="e" vm="2">
        <f t="shared" si="8"/>
        <v>#VALUE!</v>
      </c>
      <c r="FJ14" s="105" t="e" vm="2">
        <f t="shared" si="8"/>
        <v>#VALUE!</v>
      </c>
      <c r="FK14" s="105" t="e" vm="2">
        <f t="shared" si="8"/>
        <v>#VALUE!</v>
      </c>
      <c r="FL14" s="105" t="e" vm="2">
        <f t="shared" si="8"/>
        <v>#VALUE!</v>
      </c>
      <c r="FM14" s="105" t="e" vm="2">
        <f t="shared" si="8"/>
        <v>#VALUE!</v>
      </c>
      <c r="FN14" s="105" t="e" vm="2">
        <f t="shared" si="8"/>
        <v>#VALUE!</v>
      </c>
      <c r="FO14" s="105" t="e" vm="2">
        <f t="shared" si="8"/>
        <v>#VALUE!</v>
      </c>
      <c r="FP14" s="105" t="e" vm="2">
        <f t="shared" si="8"/>
        <v>#VALUE!</v>
      </c>
      <c r="FQ14" s="105" t="e" vm="2">
        <f t="shared" si="8"/>
        <v>#VALUE!</v>
      </c>
      <c r="FR14" s="105" t="e" vm="2">
        <f t="shared" si="8"/>
        <v>#VALUE!</v>
      </c>
      <c r="FS14" s="105" t="e" vm="2">
        <f t="shared" si="8"/>
        <v>#VALUE!</v>
      </c>
      <c r="FT14" s="105" t="e" vm="2">
        <f t="shared" si="8"/>
        <v>#VALUE!</v>
      </c>
      <c r="FU14" s="105" t="e" vm="2">
        <f t="shared" si="8"/>
        <v>#VALUE!</v>
      </c>
      <c r="FV14" s="105" t="e" vm="2">
        <f t="shared" si="8"/>
        <v>#VALUE!</v>
      </c>
    </row>
    <row r="15" spans="1:178" s="104" customFormat="1">
      <c r="H15" s="60"/>
      <c r="I15" s="105"/>
      <c r="J15" s="105"/>
      <c r="K15" s="105"/>
      <c r="L15" s="105"/>
      <c r="M15" s="105"/>
      <c r="N15" s="105"/>
      <c r="O15" s="105"/>
      <c r="P15" s="105"/>
      <c r="Q15" s="105"/>
      <c r="R15" s="105"/>
      <c r="S15" s="105"/>
      <c r="T15" s="105"/>
      <c r="U15" s="105"/>
      <c r="V15" s="105"/>
      <c r="W15" s="105"/>
      <c r="X15" s="105"/>
      <c r="Y15" s="105"/>
      <c r="Z15" s="105"/>
      <c r="AA15" s="105"/>
      <c r="AB15" s="105"/>
      <c r="AC15" s="105"/>
      <c r="AD15" s="105"/>
      <c r="AE15" s="105"/>
      <c r="AF15" s="105"/>
      <c r="AG15" s="105"/>
      <c r="AH15" s="105"/>
      <c r="AI15" s="105"/>
      <c r="AJ15" s="105"/>
      <c r="AK15" s="105"/>
      <c r="AL15" s="105"/>
      <c r="AM15" s="105"/>
      <c r="AN15" s="105"/>
      <c r="AO15" s="105"/>
      <c r="AP15" s="105"/>
      <c r="AQ15" s="105"/>
      <c r="AR15" s="105"/>
      <c r="AS15" s="105"/>
      <c r="AT15" s="105"/>
      <c r="AU15" s="105"/>
      <c r="AV15" s="105"/>
      <c r="AW15" s="105"/>
      <c r="AX15" s="105"/>
      <c r="AY15" s="105"/>
      <c r="AZ15" s="105"/>
      <c r="BA15" s="105"/>
      <c r="BB15" s="105"/>
      <c r="BC15" s="105"/>
      <c r="BD15" s="105"/>
      <c r="BE15" s="105"/>
      <c r="BF15" s="105"/>
      <c r="BG15" s="105"/>
      <c r="BH15" s="105"/>
      <c r="BI15" s="105"/>
      <c r="BJ15" s="105"/>
      <c r="BK15" s="105"/>
      <c r="BL15" s="105"/>
      <c r="BM15" s="105"/>
      <c r="BN15" s="105"/>
      <c r="BO15" s="105"/>
      <c r="BP15" s="105"/>
      <c r="BQ15" s="105"/>
      <c r="BR15" s="105"/>
      <c r="BS15" s="105"/>
      <c r="BT15" s="105"/>
      <c r="BU15" s="105"/>
      <c r="BV15" s="105"/>
      <c r="BW15" s="105"/>
      <c r="BX15" s="105"/>
      <c r="BY15" s="105"/>
      <c r="BZ15" s="105"/>
      <c r="CA15" s="105"/>
      <c r="CB15" s="105"/>
      <c r="CC15" s="105"/>
      <c r="CD15" s="105"/>
      <c r="CE15" s="105"/>
      <c r="CF15" s="105"/>
      <c r="CG15" s="105"/>
      <c r="CH15" s="105"/>
      <c r="CI15" s="105"/>
      <c r="CJ15" s="105"/>
      <c r="CK15" s="105"/>
      <c r="CL15" s="105"/>
      <c r="CM15" s="105"/>
      <c r="CN15" s="105"/>
      <c r="CO15" s="105"/>
      <c r="CP15" s="105"/>
      <c r="CQ15" s="105"/>
      <c r="CR15" s="105"/>
      <c r="CS15" s="105"/>
      <c r="CT15" s="105"/>
      <c r="CU15" s="105"/>
      <c r="CV15" s="105"/>
      <c r="CW15" s="105"/>
      <c r="CX15" s="105"/>
      <c r="CY15" s="105"/>
      <c r="CZ15" s="105"/>
      <c r="DA15" s="105"/>
      <c r="DB15" s="105"/>
      <c r="DC15" s="105"/>
      <c r="DD15" s="105"/>
      <c r="DE15" s="105"/>
      <c r="DF15" s="105"/>
      <c r="DG15" s="105"/>
      <c r="DH15" s="105"/>
      <c r="DI15" s="105"/>
      <c r="DJ15" s="105"/>
      <c r="DK15" s="105"/>
      <c r="DL15" s="105"/>
      <c r="DM15" s="105"/>
      <c r="DN15" s="105"/>
      <c r="DO15" s="105"/>
      <c r="DP15" s="105"/>
      <c r="DQ15" s="105"/>
      <c r="DR15" s="105"/>
      <c r="DS15" s="105"/>
      <c r="DT15" s="105"/>
      <c r="DU15" s="105"/>
      <c r="DV15" s="105"/>
      <c r="DW15" s="105"/>
      <c r="DX15" s="105"/>
      <c r="DY15" s="105"/>
      <c r="DZ15" s="105"/>
      <c r="EA15" s="105"/>
      <c r="EB15" s="105"/>
      <c r="EC15" s="105"/>
      <c r="ED15" s="105"/>
      <c r="EE15" s="105"/>
      <c r="EF15" s="105"/>
      <c r="EG15" s="105"/>
      <c r="EH15" s="105"/>
      <c r="EI15" s="105"/>
      <c r="EJ15" s="105"/>
      <c r="EK15" s="105"/>
      <c r="EL15" s="105"/>
      <c r="EM15" s="105"/>
      <c r="EN15" s="105"/>
      <c r="EO15" s="105"/>
      <c r="EP15" s="105"/>
      <c r="EQ15" s="105"/>
      <c r="ER15" s="105"/>
      <c r="ES15" s="105"/>
      <c r="ET15" s="105"/>
      <c r="EU15" s="105"/>
      <c r="EV15" s="105"/>
      <c r="EW15" s="105"/>
      <c r="EX15" s="105"/>
      <c r="EY15" s="105"/>
      <c r="EZ15" s="105"/>
      <c r="FA15" s="105"/>
      <c r="FB15" s="105"/>
      <c r="FC15" s="105"/>
      <c r="FD15" s="105"/>
      <c r="FE15" s="105"/>
      <c r="FF15" s="105"/>
      <c r="FG15" s="105"/>
      <c r="FH15" s="105"/>
      <c r="FI15" s="105"/>
      <c r="FJ15" s="105"/>
      <c r="FK15" s="105"/>
      <c r="FL15" s="105"/>
      <c r="FM15" s="105"/>
      <c r="FN15" s="105"/>
      <c r="FO15" s="105"/>
      <c r="FP15" s="105"/>
      <c r="FQ15" s="105"/>
      <c r="FR15" s="105"/>
      <c r="FS15" s="105"/>
      <c r="FT15" s="105"/>
      <c r="FU15" s="105"/>
      <c r="FV15" s="105"/>
    </row>
    <row r="16" spans="1:178" ht="15">
      <c r="A16"/>
      <c r="H16" s="60" t="s">
        <v>429</v>
      </c>
      <c r="I16" s="74"/>
      <c r="J16" s="74"/>
      <c r="K16" s="74"/>
      <c r="L16" s="74"/>
      <c r="M16" s="74"/>
      <c r="N16" s="74"/>
      <c r="O16" s="74"/>
      <c r="P16" s="74"/>
      <c r="Q16" s="74"/>
      <c r="R16" s="74"/>
      <c r="S16" s="74"/>
      <c r="T16" s="74"/>
      <c r="U16" s="74"/>
      <c r="V16" s="74"/>
      <c r="W16" s="74"/>
      <c r="X16" s="74"/>
      <c r="Y16" s="74"/>
      <c r="Z16" s="74"/>
      <c r="AA16" s="74"/>
      <c r="AB16" s="74"/>
      <c r="AC16" s="74">
        <v>3.25</v>
      </c>
      <c r="AD16" s="74">
        <v>4.2</v>
      </c>
      <c r="AE16" s="74">
        <v>3.76</v>
      </c>
      <c r="AF16" s="74">
        <v>3.77</v>
      </c>
      <c r="AG16" s="74"/>
      <c r="AH16" s="74"/>
      <c r="AI16" s="74"/>
      <c r="AK16" s="74"/>
      <c r="AL16" s="74"/>
      <c r="AM16" s="74"/>
      <c r="AN16" s="74"/>
      <c r="AO16" s="74"/>
      <c r="AP16" s="74"/>
      <c r="AQ16" s="74"/>
      <c r="AR16" s="74"/>
      <c r="AS16" s="74"/>
      <c r="AT16" s="74"/>
      <c r="AU16" s="74"/>
      <c r="AV16" s="74"/>
      <c r="AW16" s="74"/>
      <c r="AX16" s="74"/>
      <c r="AY16" s="74">
        <v>2.76</v>
      </c>
      <c r="AZ16" s="74"/>
      <c r="BA16" s="74"/>
      <c r="BB16" s="74"/>
      <c r="BC16" s="74"/>
      <c r="BD16" s="74"/>
      <c r="BE16" s="74"/>
      <c r="BF16" s="74"/>
      <c r="BG16" s="74"/>
      <c r="BH16" s="74"/>
      <c r="BI16" s="74">
        <v>3.3</v>
      </c>
      <c r="BJ16" s="74"/>
      <c r="BK16" s="74"/>
      <c r="BL16" s="74"/>
      <c r="BM16" s="74"/>
      <c r="BN16" s="74"/>
      <c r="BO16" s="74"/>
      <c r="BP16" s="74"/>
      <c r="BQ16" s="74"/>
      <c r="BR16" s="74"/>
      <c r="BS16" s="74"/>
      <c r="BT16" s="74"/>
      <c r="BU16" s="74"/>
      <c r="BV16" s="74"/>
      <c r="BW16" s="74"/>
      <c r="BX16" s="74"/>
      <c r="BY16" s="74"/>
      <c r="BZ16" s="74"/>
      <c r="CA16" s="74">
        <v>2.5</v>
      </c>
      <c r="CB16" s="74"/>
      <c r="CC16" s="74"/>
      <c r="CD16" s="74"/>
      <c r="CE16" s="74"/>
      <c r="CF16" s="74"/>
      <c r="CG16" s="74"/>
      <c r="CH16" s="74"/>
      <c r="CI16" s="74"/>
      <c r="CJ16" s="74"/>
      <c r="CK16" s="74"/>
      <c r="CL16" s="74"/>
      <c r="CM16" s="74"/>
      <c r="CN16" s="74"/>
      <c r="CO16" s="74"/>
      <c r="CP16" s="74"/>
      <c r="CQ16" s="74"/>
      <c r="CR16" s="74"/>
      <c r="CS16" s="74"/>
      <c r="CT16" s="74"/>
      <c r="CU16" s="74"/>
      <c r="CV16" s="74"/>
      <c r="CW16" s="74"/>
      <c r="CX16" s="74"/>
      <c r="CY16" s="74"/>
      <c r="CZ16" s="74"/>
      <c r="DA16" s="74"/>
      <c r="DB16" s="74"/>
      <c r="DC16" s="74"/>
      <c r="DD16" s="74"/>
      <c r="DE16" s="74"/>
      <c r="DF16" s="74"/>
      <c r="DG16" s="74"/>
      <c r="DH16" s="74"/>
      <c r="DI16" s="74"/>
      <c r="DJ16" s="74"/>
      <c r="DK16" s="74"/>
      <c r="DL16" s="74"/>
      <c r="DM16" s="74"/>
      <c r="DN16" s="74"/>
      <c r="DO16" s="74"/>
      <c r="DP16" s="74"/>
      <c r="DQ16" s="74"/>
      <c r="DR16" s="74"/>
      <c r="DS16" s="74"/>
      <c r="DT16" s="74"/>
      <c r="DU16" s="74"/>
      <c r="DV16" s="74"/>
      <c r="DW16" s="74"/>
      <c r="DX16" s="74"/>
      <c r="DY16" s="74"/>
      <c r="DZ16" s="74"/>
      <c r="EA16" s="74"/>
      <c r="EB16" s="74"/>
      <c r="EC16" s="74"/>
      <c r="ED16" s="74"/>
      <c r="EE16" s="74"/>
      <c r="EF16" s="74"/>
      <c r="EG16" s="74"/>
      <c r="EH16" s="74"/>
      <c r="EI16" s="74"/>
      <c r="EJ16" s="74"/>
      <c r="EK16" s="74"/>
      <c r="EL16" s="74"/>
      <c r="EM16" s="74"/>
      <c r="EN16" s="74"/>
      <c r="EO16" s="74"/>
      <c r="EP16" s="74"/>
      <c r="EQ16" s="74"/>
      <c r="ER16" s="74"/>
      <c r="ES16" s="74"/>
      <c r="ET16" s="74"/>
      <c r="EU16" s="74"/>
      <c r="EV16" s="74"/>
      <c r="EW16" s="74"/>
      <c r="EX16" s="74"/>
      <c r="EY16" s="74"/>
      <c r="EZ16" s="74"/>
      <c r="FA16" s="74"/>
      <c r="FB16" s="74"/>
      <c r="FC16" s="74"/>
      <c r="FD16" s="74"/>
      <c r="FE16" s="74"/>
      <c r="FF16" s="74"/>
      <c r="FG16" s="74"/>
      <c r="FH16" s="74"/>
      <c r="FI16" s="74"/>
      <c r="FJ16" s="74"/>
      <c r="FK16" s="74"/>
      <c r="FL16" s="74"/>
      <c r="FM16" s="74"/>
      <c r="FN16" s="74"/>
      <c r="FO16" s="74"/>
      <c r="FP16" s="74"/>
      <c r="FQ16" s="74"/>
      <c r="FR16" s="74"/>
      <c r="FS16" s="74"/>
      <c r="FT16" s="74"/>
      <c r="FU16" s="74"/>
      <c r="FV16" s="74"/>
    </row>
    <row r="17" spans="8:178">
      <c r="H17" s="60" t="s">
        <v>406</v>
      </c>
      <c r="I17" s="74"/>
      <c r="J17" s="74"/>
      <c r="K17" s="74"/>
      <c r="L17" s="74"/>
      <c r="M17" s="74"/>
      <c r="N17" s="74"/>
      <c r="O17" s="74"/>
      <c r="P17" s="74"/>
      <c r="Q17" s="74"/>
      <c r="R17" s="74"/>
      <c r="S17" s="74"/>
      <c r="T17" s="74"/>
      <c r="U17" s="74"/>
      <c r="V17" s="74"/>
      <c r="W17" s="74"/>
      <c r="X17" s="74"/>
      <c r="Y17" s="74"/>
      <c r="Z17" s="74"/>
      <c r="AA17" s="74"/>
      <c r="AB17" s="74"/>
      <c r="AC17" s="74">
        <f>AC16-AC14</f>
        <v>1.3110188356164381</v>
      </c>
      <c r="AD17" s="74">
        <f>AD16-AD14</f>
        <v>2.1724382515946878</v>
      </c>
      <c r="AE17" s="74">
        <f>AE16-AE14</f>
        <v>1.951954146188434</v>
      </c>
      <c r="AF17" s="74">
        <f>AF16-AF14</f>
        <v>2.1737277789396634</v>
      </c>
      <c r="AG17" s="74"/>
      <c r="AH17" s="74"/>
      <c r="AI17" s="74"/>
      <c r="AK17" s="74"/>
      <c r="AL17" s="74"/>
      <c r="AM17" s="74"/>
      <c r="AN17" s="74"/>
      <c r="AO17" s="74"/>
      <c r="AP17" s="74"/>
      <c r="AQ17" s="74"/>
      <c r="AR17" s="74"/>
      <c r="AS17" s="74"/>
      <c r="AT17" s="74"/>
      <c r="AU17" s="74"/>
      <c r="AV17" s="74"/>
      <c r="AW17" s="74"/>
      <c r="AX17" s="74"/>
      <c r="AY17" s="74">
        <f>AY16-AY14</f>
        <v>1.8946883823068073</v>
      </c>
      <c r="AZ17" s="74"/>
      <c r="BA17" s="74"/>
      <c r="BB17" s="74"/>
      <c r="BC17" s="74"/>
      <c r="BD17" s="74"/>
      <c r="BE17" s="74"/>
      <c r="BF17" s="74"/>
      <c r="BG17" s="74"/>
      <c r="BH17" s="74"/>
      <c r="BI17" s="74">
        <f>BI16-BI14</f>
        <v>2.3663743072257657</v>
      </c>
      <c r="BJ17" s="74"/>
      <c r="BK17" s="74"/>
      <c r="BL17" s="74"/>
      <c r="BM17" s="74"/>
      <c r="BN17" s="74"/>
      <c r="BO17" s="74"/>
      <c r="BP17" s="74"/>
      <c r="BQ17" s="74"/>
      <c r="BR17" s="74"/>
      <c r="BS17" s="74"/>
      <c r="BT17" s="74"/>
      <c r="BU17" s="74"/>
      <c r="BV17" s="74"/>
      <c r="BW17" s="74"/>
      <c r="BX17" s="74"/>
      <c r="BY17" s="74"/>
      <c r="BZ17" s="74"/>
      <c r="CA17" s="74">
        <f>CA16-CA14</f>
        <v>1.5436029488654186</v>
      </c>
      <c r="CB17" s="74"/>
      <c r="CC17" s="74"/>
      <c r="CD17" s="74"/>
      <c r="CE17" s="74"/>
      <c r="CF17" s="74"/>
      <c r="CG17" s="74"/>
      <c r="CH17" s="74"/>
      <c r="CI17" s="74"/>
      <c r="CJ17" s="74"/>
      <c r="CK17" s="74"/>
      <c r="CL17" s="74"/>
      <c r="CM17" s="74"/>
      <c r="CN17" s="74"/>
      <c r="CO17" s="74"/>
      <c r="CP17" s="74"/>
      <c r="CQ17" s="74"/>
      <c r="CR17" s="74"/>
      <c r="CS17" s="74"/>
      <c r="CT17" s="74"/>
      <c r="CU17" s="74"/>
      <c r="CV17" s="74"/>
      <c r="CW17" s="74"/>
      <c r="CX17" s="74"/>
      <c r="CY17" s="74"/>
      <c r="CZ17" s="74"/>
      <c r="DA17" s="74"/>
      <c r="DB17" s="74"/>
      <c r="DC17" s="74"/>
      <c r="DD17" s="74"/>
      <c r="DE17" s="74"/>
      <c r="DF17" s="74"/>
      <c r="DG17" s="74"/>
      <c r="DH17" s="74"/>
      <c r="DI17" s="74"/>
      <c r="DJ17" s="74"/>
      <c r="DK17" s="74"/>
      <c r="DL17" s="74"/>
      <c r="DM17" s="74"/>
      <c r="DN17" s="74"/>
      <c r="DO17" s="74"/>
      <c r="DP17" s="74"/>
      <c r="DQ17" s="74"/>
      <c r="DR17" s="74"/>
      <c r="DS17" s="74"/>
      <c r="DT17" s="74"/>
      <c r="DU17" s="74"/>
      <c r="DV17" s="74"/>
      <c r="DW17" s="74"/>
      <c r="DX17" s="74"/>
      <c r="DY17" s="74"/>
      <c r="DZ17" s="74"/>
      <c r="EA17" s="74"/>
      <c r="EB17" s="74"/>
      <c r="EC17" s="74"/>
      <c r="ED17" s="74"/>
      <c r="EE17" s="74"/>
      <c r="EF17" s="74"/>
      <c r="EG17" s="74"/>
      <c r="EH17" s="74"/>
      <c r="EI17" s="74"/>
      <c r="EJ17" s="74"/>
      <c r="EK17" s="74"/>
      <c r="EL17" s="74"/>
      <c r="EM17" s="74"/>
      <c r="EN17" s="74"/>
      <c r="EO17" s="74"/>
      <c r="EP17" s="74"/>
      <c r="EQ17" s="74"/>
      <c r="ER17" s="74"/>
      <c r="ES17" s="74"/>
      <c r="ET17" s="74"/>
      <c r="EU17" s="74"/>
      <c r="EV17" s="74"/>
      <c r="EW17" s="74"/>
      <c r="EX17" s="74"/>
      <c r="EY17" s="74"/>
      <c r="EZ17" s="74"/>
      <c r="FA17" s="74"/>
      <c r="FB17" s="74"/>
      <c r="FC17" s="74"/>
      <c r="FD17" s="74"/>
      <c r="FE17" s="74"/>
      <c r="FF17" s="74"/>
      <c r="FG17" s="74"/>
      <c r="FH17" s="74"/>
      <c r="FI17" s="74"/>
      <c r="FJ17" s="74"/>
      <c r="FK17" s="74"/>
      <c r="FL17" s="74"/>
      <c r="FM17" s="74"/>
      <c r="FN17" s="74"/>
      <c r="FO17" s="74"/>
      <c r="FP17" s="74"/>
      <c r="FQ17" s="74"/>
      <c r="FR17" s="74"/>
      <c r="FS17" s="74"/>
      <c r="FT17" s="74"/>
      <c r="FU17" s="74"/>
      <c r="FV17" s="74"/>
    </row>
    <row r="19" spans="8:178" ht="13" thickBot="1"/>
    <row r="20" spans="8:178" s="73" customFormat="1" ht="13" thickBot="1">
      <c r="H20" s="257" t="s">
        <v>800</v>
      </c>
      <c r="I20" s="258">
        <f>+I14</f>
        <v>0</v>
      </c>
      <c r="J20" s="258">
        <f t="shared" ref="J20:W20" si="9">+J14</f>
        <v>0</v>
      </c>
      <c r="K20" s="258">
        <f t="shared" si="9"/>
        <v>0</v>
      </c>
      <c r="L20" s="258">
        <f t="shared" si="9"/>
        <v>0</v>
      </c>
      <c r="M20" s="258">
        <f t="shared" si="9"/>
        <v>0</v>
      </c>
      <c r="N20" s="258">
        <f t="shared" si="9"/>
        <v>0</v>
      </c>
      <c r="O20" s="258">
        <f t="shared" si="9"/>
        <v>0</v>
      </c>
      <c r="P20" s="258">
        <f t="shared" si="9"/>
        <v>0</v>
      </c>
      <c r="Q20" s="258">
        <f t="shared" si="9"/>
        <v>0</v>
      </c>
      <c r="R20" s="258">
        <f t="shared" si="9"/>
        <v>0</v>
      </c>
      <c r="S20" s="258">
        <f t="shared" si="9"/>
        <v>0</v>
      </c>
      <c r="T20" s="258">
        <f t="shared" si="9"/>
        <v>0</v>
      </c>
      <c r="U20" s="258">
        <f t="shared" si="9"/>
        <v>0</v>
      </c>
      <c r="V20" s="258">
        <f t="shared" si="9"/>
        <v>0</v>
      </c>
      <c r="W20" s="258">
        <f t="shared" si="9"/>
        <v>0</v>
      </c>
      <c r="X20" s="258">
        <f>1.31+X14</f>
        <v>3.3913021541357318</v>
      </c>
      <c r="Y20" s="258">
        <f t="shared" ref="Y20:CJ20" si="10">1.31+Y14</f>
        <v>3.3901635862177142</v>
      </c>
      <c r="Z20" s="258">
        <f t="shared" si="10"/>
        <v>2.9267664435846497</v>
      </c>
      <c r="AA20" s="258">
        <f t="shared" si="10"/>
        <v>3.0551969047370076</v>
      </c>
      <c r="AB20" s="258">
        <f t="shared" si="10"/>
        <v>3.1931913364007114</v>
      </c>
      <c r="AC20" s="258">
        <f t="shared" si="10"/>
        <v>3.248981164383562</v>
      </c>
      <c r="AD20" s="258">
        <f t="shared" si="10"/>
        <v>3.3375617484053124</v>
      </c>
      <c r="AE20" s="258">
        <f t="shared" si="10"/>
        <v>3.1180458538115658</v>
      </c>
      <c r="AF20" s="258">
        <f t="shared" si="10"/>
        <v>2.9062722210603367</v>
      </c>
      <c r="AG20" s="258">
        <f t="shared" si="10"/>
        <v>2.5476233268848691</v>
      </c>
      <c r="AH20" s="258">
        <f t="shared" si="10"/>
        <v>2.5927862173481131</v>
      </c>
      <c r="AI20" s="258">
        <f t="shared" si="10"/>
        <v>2.6728657978667787</v>
      </c>
      <c r="AJ20" s="258">
        <f t="shared" si="10"/>
        <v>2.5965817473596156</v>
      </c>
      <c r="AK20" s="258">
        <f t="shared" si="10"/>
        <v>2.5276983883195649</v>
      </c>
      <c r="AL20" s="258">
        <f t="shared" si="10"/>
        <v>2.4867099432709403</v>
      </c>
      <c r="AM20" s="258">
        <f t="shared" si="10"/>
        <v>2.3556607759071424</v>
      </c>
      <c r="AN20" s="258">
        <f t="shared" si="10"/>
        <v>2.2436256927742342</v>
      </c>
      <c r="AO20" s="258">
        <f t="shared" si="10"/>
        <v>2.3301568545435538</v>
      </c>
      <c r="AP20" s="258">
        <f t="shared" si="10"/>
        <v>2.3309155962041204</v>
      </c>
      <c r="AQ20" s="258">
        <f t="shared" si="10"/>
        <v>2.2436256927742342</v>
      </c>
      <c r="AR20" s="258">
        <f t="shared" si="10"/>
        <v>2.2350864333891041</v>
      </c>
      <c r="AS20" s="258">
        <f t="shared" si="10"/>
        <v>2.2322400135940605</v>
      </c>
      <c r="AT20" s="258">
        <f t="shared" si="10"/>
        <v>2.3261718668304927</v>
      </c>
      <c r="AU20" s="258">
        <f t="shared" si="10"/>
        <v>2.5669789814911637</v>
      </c>
      <c r="AV20" s="258">
        <f t="shared" si="10"/>
        <v>2.3802538429363174</v>
      </c>
      <c r="AW20" s="258">
        <f t="shared" si="10"/>
        <v>2.3711452995921785</v>
      </c>
      <c r="AX20" s="258">
        <f t="shared" si="10"/>
        <v>2.3347111262156228</v>
      </c>
      <c r="AY20" s="258">
        <f t="shared" si="10"/>
        <v>2.1753116176931924</v>
      </c>
      <c r="AZ20" s="258">
        <f t="shared" si="10"/>
        <v>2.1753116176931924</v>
      </c>
      <c r="BA20" s="258">
        <f t="shared" si="10"/>
        <v>2.1753116176931924</v>
      </c>
      <c r="BB20" s="258">
        <f t="shared" si="10"/>
        <v>2.1980829760535396</v>
      </c>
      <c r="BC20" s="258">
        <f t="shared" si="10"/>
        <v>2.1980829760535396</v>
      </c>
      <c r="BD20" s="258">
        <f t="shared" si="10"/>
        <v>2.2163000627418175</v>
      </c>
      <c r="BE20" s="258">
        <f t="shared" si="10"/>
        <v>2.2163000627418175</v>
      </c>
      <c r="BF20" s="258">
        <f t="shared" si="10"/>
        <v>2.2044589563944372</v>
      </c>
      <c r="BG20" s="258">
        <f t="shared" si="10"/>
        <v>2.2044589563944372</v>
      </c>
      <c r="BH20" s="258">
        <f t="shared" si="10"/>
        <v>2.2044589563944372</v>
      </c>
      <c r="BI20" s="258">
        <f t="shared" si="10"/>
        <v>2.2436256927742342</v>
      </c>
      <c r="BJ20" s="258">
        <f t="shared" si="10"/>
        <v>2.2436256927742342</v>
      </c>
      <c r="BK20" s="258">
        <f t="shared" si="10"/>
        <v>2.2436256927742342</v>
      </c>
      <c r="BL20" s="258">
        <f t="shared" si="10"/>
        <v>2.2686741869706162</v>
      </c>
      <c r="BM20" s="258">
        <f t="shared" si="10"/>
        <v>2.1844201610373313</v>
      </c>
      <c r="BN20" s="258">
        <f t="shared" si="10"/>
        <v>2.1662030743490539</v>
      </c>
      <c r="BO20" s="258">
        <f t="shared" si="10"/>
        <v>2.1662030743490539</v>
      </c>
      <c r="BP20" s="258">
        <f t="shared" si="10"/>
        <v>2.1616488026769844</v>
      </c>
      <c r="BQ20" s="258">
        <f t="shared" si="10"/>
        <v>2.1616488026769844</v>
      </c>
      <c r="BR20" s="258">
        <f t="shared" si="10"/>
        <v>2.1753116176931924</v>
      </c>
      <c r="BS20" s="258">
        <f t="shared" si="10"/>
        <v>2.1753116176931924</v>
      </c>
      <c r="BT20" s="258">
        <f t="shared" si="10"/>
        <v>2.1662030743490539</v>
      </c>
      <c r="BU20" s="258">
        <f t="shared" si="10"/>
        <v>2.157094531004915</v>
      </c>
      <c r="BV20" s="258">
        <f t="shared" si="10"/>
        <v>2.1662030743490539</v>
      </c>
      <c r="BW20" s="258">
        <f t="shared" si="10"/>
        <v>2.1662030743490539</v>
      </c>
      <c r="BX20" s="258">
        <f t="shared" si="10"/>
        <v>2.2208543344138869</v>
      </c>
      <c r="BY20" s="258">
        <f t="shared" si="10"/>
        <v>2.2208543344138869</v>
      </c>
      <c r="BZ20" s="258">
        <f t="shared" si="10"/>
        <v>2.2755055944787204</v>
      </c>
      <c r="CA20" s="258">
        <f t="shared" si="10"/>
        <v>2.2663970511345815</v>
      </c>
      <c r="CB20" s="258">
        <f t="shared" si="10"/>
        <v>2.2663970511345815</v>
      </c>
      <c r="CC20" s="258">
        <f t="shared" si="10"/>
        <v>2.286435846491687</v>
      </c>
      <c r="CD20" s="258">
        <f t="shared" si="10"/>
        <v>2.2208543344138869</v>
      </c>
      <c r="CE20" s="258">
        <f t="shared" si="10"/>
        <v>2.2299628777580258</v>
      </c>
      <c r="CF20" s="258">
        <f t="shared" si="10"/>
        <v>2.2572885077904425</v>
      </c>
      <c r="CG20" s="258">
        <f t="shared" si="10"/>
        <v>2.2572885077904425</v>
      </c>
      <c r="CH20" s="258">
        <f t="shared" si="10"/>
        <v>2.2299628777580258</v>
      </c>
      <c r="CI20" s="258">
        <f t="shared" si="10"/>
        <v>2.2345171494300953</v>
      </c>
      <c r="CJ20" s="258">
        <f t="shared" si="10"/>
        <v>2.2436256927742342</v>
      </c>
      <c r="CK20" s="258">
        <f t="shared" ref="CK20:EV20" si="11">1.31+CK14</f>
        <v>2.2436256927742342</v>
      </c>
      <c r="CL20" s="258">
        <f t="shared" si="11"/>
        <v>2.2436256927742342</v>
      </c>
      <c r="CM20" s="258">
        <f t="shared" si="11"/>
        <v>2.2436256927742342</v>
      </c>
      <c r="CN20" s="258">
        <f t="shared" si="11"/>
        <v>2.2436256927742342</v>
      </c>
      <c r="CO20" s="258">
        <f t="shared" si="11"/>
        <v>2.2436256927742342</v>
      </c>
      <c r="CP20" s="258">
        <f t="shared" si="11"/>
        <v>2.2436256927742342</v>
      </c>
      <c r="CQ20" s="258">
        <f t="shared" si="11"/>
        <v>2.2436256927742342</v>
      </c>
      <c r="CR20" s="258">
        <f t="shared" si="11"/>
        <v>2.2208543344138869</v>
      </c>
      <c r="CS20" s="258">
        <f t="shared" si="11"/>
        <v>2.1980829760535396</v>
      </c>
      <c r="CT20" s="258">
        <f t="shared" si="11"/>
        <v>2.1953504130502983</v>
      </c>
      <c r="CU20" s="258">
        <f t="shared" si="11"/>
        <v>2.1953504130502983</v>
      </c>
      <c r="CV20" s="258">
        <f t="shared" si="11"/>
        <v>2.2208543344138869</v>
      </c>
      <c r="CW20" s="258">
        <f t="shared" si="11"/>
        <v>2.2208543344138869</v>
      </c>
      <c r="CX20" s="258">
        <f t="shared" si="11"/>
        <v>2.2436256927742342</v>
      </c>
      <c r="CY20" s="258">
        <f t="shared" si="11"/>
        <v>2.2436256927742342</v>
      </c>
      <c r="CZ20" s="258">
        <f t="shared" si="11"/>
        <v>2.2436256927742342</v>
      </c>
      <c r="DA20" s="258">
        <f t="shared" si="11"/>
        <v>2.2418039841054065</v>
      </c>
      <c r="DB20" s="258">
        <f t="shared" si="11"/>
        <v>2.2390714211021647</v>
      </c>
      <c r="DC20" s="258">
        <f t="shared" si="11"/>
        <v>2.2663970511345815</v>
      </c>
      <c r="DD20" s="258">
        <f t="shared" si="11"/>
        <v>2.2663970511345815</v>
      </c>
      <c r="DE20" s="258">
        <f t="shared" si="11"/>
        <v>2.2144783540729898</v>
      </c>
      <c r="DF20" s="258">
        <f t="shared" si="11"/>
        <v>2.2208543344138869</v>
      </c>
      <c r="DG20" s="258">
        <f t="shared" si="11"/>
        <v>2.2281411690891981</v>
      </c>
      <c r="DH20" s="258">
        <f t="shared" si="11"/>
        <v>2.2071915193976785</v>
      </c>
      <c r="DI20" s="258">
        <f t="shared" si="11"/>
        <v>2.2071915193976785</v>
      </c>
      <c r="DJ20" s="258">
        <f t="shared" si="11"/>
        <v>2.1889744327094007</v>
      </c>
      <c r="DK20" s="258">
        <f t="shared" si="11"/>
        <v>2.1889744327094007</v>
      </c>
      <c r="DL20" s="258">
        <f t="shared" si="11"/>
        <v>2.1935287043814702</v>
      </c>
      <c r="DM20" s="258">
        <f t="shared" si="11"/>
        <v>2.1935287043814702</v>
      </c>
      <c r="DN20" s="258">
        <f t="shared" si="11"/>
        <v>2.2026372477256091</v>
      </c>
      <c r="DO20" s="258">
        <f t="shared" si="11"/>
        <v>2.1935287043814702</v>
      </c>
      <c r="DP20" s="258">
        <f t="shared" si="11"/>
        <v>2.1935287043814702</v>
      </c>
      <c r="DQ20" s="258">
        <f t="shared" si="11"/>
        <v>2.1935287043814702</v>
      </c>
      <c r="DR20" s="258">
        <f t="shared" si="11"/>
        <v>2.1935287043814702</v>
      </c>
      <c r="DS20" s="258">
        <f t="shared" si="11"/>
        <v>2.1935287043814702</v>
      </c>
      <c r="DT20" s="258">
        <f t="shared" si="11"/>
        <v>1.31</v>
      </c>
      <c r="DU20" s="258">
        <f t="shared" si="11"/>
        <v>1.31</v>
      </c>
      <c r="DV20" s="258">
        <f t="shared" si="11"/>
        <v>1.31</v>
      </c>
      <c r="DW20" s="258">
        <f t="shared" si="11"/>
        <v>1.31</v>
      </c>
      <c r="DX20" s="258">
        <f t="shared" si="11"/>
        <v>1.31</v>
      </c>
      <c r="DY20" s="258">
        <f t="shared" si="11"/>
        <v>1.31</v>
      </c>
      <c r="DZ20" s="258">
        <f t="shared" si="11"/>
        <v>1.31</v>
      </c>
      <c r="EA20" s="258">
        <f t="shared" si="11"/>
        <v>1.31</v>
      </c>
      <c r="EB20" s="258">
        <f t="shared" si="11"/>
        <v>1.31</v>
      </c>
      <c r="EC20" s="258">
        <f t="shared" si="11"/>
        <v>1.31</v>
      </c>
      <c r="ED20" s="258">
        <f t="shared" si="11"/>
        <v>1.31</v>
      </c>
      <c r="EE20" s="258">
        <f t="shared" si="11"/>
        <v>1.31</v>
      </c>
      <c r="EF20" s="258" t="e" vm="2">
        <f t="shared" si="11"/>
        <v>#VALUE!</v>
      </c>
      <c r="EG20" s="258" t="e" vm="2">
        <f t="shared" si="11"/>
        <v>#VALUE!</v>
      </c>
      <c r="EH20" s="258" t="e" vm="2">
        <f t="shared" si="11"/>
        <v>#VALUE!</v>
      </c>
      <c r="EI20" s="258" t="e" vm="2">
        <f t="shared" si="11"/>
        <v>#VALUE!</v>
      </c>
      <c r="EJ20" s="258" t="e" vm="2">
        <f t="shared" si="11"/>
        <v>#VALUE!</v>
      </c>
      <c r="EK20" s="258" t="e" vm="2">
        <f t="shared" si="11"/>
        <v>#VALUE!</v>
      </c>
      <c r="EL20" s="258" t="e" vm="2">
        <f t="shared" si="11"/>
        <v>#VALUE!</v>
      </c>
      <c r="EM20" s="258" t="e" vm="2">
        <f t="shared" si="11"/>
        <v>#VALUE!</v>
      </c>
      <c r="EN20" s="258" t="e" vm="2">
        <f t="shared" si="11"/>
        <v>#VALUE!</v>
      </c>
      <c r="EO20" s="258" t="e" vm="2">
        <f t="shared" si="11"/>
        <v>#VALUE!</v>
      </c>
      <c r="EP20" s="258" t="e" vm="2">
        <f t="shared" si="11"/>
        <v>#VALUE!</v>
      </c>
      <c r="EQ20" s="258" t="e" vm="2">
        <f t="shared" si="11"/>
        <v>#VALUE!</v>
      </c>
      <c r="ER20" s="258" t="e" vm="2">
        <f t="shared" si="11"/>
        <v>#VALUE!</v>
      </c>
      <c r="ES20" s="258" t="e" vm="2">
        <f t="shared" si="11"/>
        <v>#VALUE!</v>
      </c>
      <c r="ET20" s="258" t="e" vm="2">
        <f t="shared" si="11"/>
        <v>#VALUE!</v>
      </c>
      <c r="EU20" s="258" t="e" vm="2">
        <f t="shared" si="11"/>
        <v>#VALUE!</v>
      </c>
      <c r="EV20" s="258" t="e" vm="2">
        <f t="shared" si="11"/>
        <v>#VALUE!</v>
      </c>
      <c r="EW20" s="258" t="e" vm="2">
        <f t="shared" ref="EW20:FT20" si="12">1.31+EW14</f>
        <v>#VALUE!</v>
      </c>
      <c r="EX20" s="258" t="e" vm="2">
        <f t="shared" si="12"/>
        <v>#VALUE!</v>
      </c>
      <c r="EY20" s="258" t="e" vm="2">
        <f t="shared" si="12"/>
        <v>#VALUE!</v>
      </c>
      <c r="EZ20" s="258" t="e" vm="2">
        <f t="shared" si="12"/>
        <v>#VALUE!</v>
      </c>
      <c r="FA20" s="258" t="e" vm="2">
        <f t="shared" si="12"/>
        <v>#VALUE!</v>
      </c>
      <c r="FB20" s="258" t="e" vm="2">
        <f t="shared" si="12"/>
        <v>#VALUE!</v>
      </c>
      <c r="FC20" s="258" t="e" vm="2">
        <f t="shared" si="12"/>
        <v>#VALUE!</v>
      </c>
      <c r="FD20" s="258" t="e" vm="2">
        <f t="shared" si="12"/>
        <v>#VALUE!</v>
      </c>
      <c r="FE20" s="258" t="e" vm="2">
        <f t="shared" si="12"/>
        <v>#VALUE!</v>
      </c>
      <c r="FF20" s="258" t="e" vm="2">
        <f t="shared" si="12"/>
        <v>#VALUE!</v>
      </c>
      <c r="FG20" s="258" t="e" vm="2">
        <f t="shared" si="12"/>
        <v>#VALUE!</v>
      </c>
      <c r="FH20" s="258" t="e" vm="2">
        <f t="shared" si="12"/>
        <v>#VALUE!</v>
      </c>
      <c r="FI20" s="258" t="e" vm="2">
        <f t="shared" si="12"/>
        <v>#VALUE!</v>
      </c>
      <c r="FJ20" s="258" t="e" vm="2">
        <f t="shared" si="12"/>
        <v>#VALUE!</v>
      </c>
      <c r="FK20" s="258" t="e" vm="2">
        <f t="shared" si="12"/>
        <v>#VALUE!</v>
      </c>
      <c r="FL20" s="258" t="e" vm="2">
        <f t="shared" si="12"/>
        <v>#VALUE!</v>
      </c>
      <c r="FM20" s="258" t="e" vm="2">
        <f t="shared" si="12"/>
        <v>#VALUE!</v>
      </c>
      <c r="FN20" s="258" t="e" vm="2">
        <f t="shared" si="12"/>
        <v>#VALUE!</v>
      </c>
      <c r="FO20" s="258" t="e" vm="2">
        <f t="shared" si="12"/>
        <v>#VALUE!</v>
      </c>
      <c r="FP20" s="258" t="e" vm="2">
        <f t="shared" si="12"/>
        <v>#VALUE!</v>
      </c>
      <c r="FQ20" s="258" t="e" vm="2">
        <f t="shared" si="12"/>
        <v>#VALUE!</v>
      </c>
      <c r="FR20" s="258" t="e" vm="2">
        <f t="shared" si="12"/>
        <v>#VALUE!</v>
      </c>
      <c r="FS20" s="258" t="e" vm="2">
        <f t="shared" si="12"/>
        <v>#VALUE!</v>
      </c>
      <c r="FT20" s="258" t="e" vm="2">
        <f t="shared" si="12"/>
        <v>#VALUE!</v>
      </c>
      <c r="FU20" s="258" t="e" vm="2">
        <f>+FU14</f>
        <v>#VALUE!</v>
      </c>
      <c r="FV20" s="258" t="e" vm="2">
        <f>+FV14</f>
        <v>#VALUE!</v>
      </c>
    </row>
  </sheetData>
  <pageMargins left="0.7" right="0.7" top="0.75" bottom="0.75" header="0.3" footer="0.3"/>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CZ20"/>
  <sheetViews>
    <sheetView workbookViewId="0">
      <pane xSplit="11" ySplit="7" topLeftCell="DA8" activePane="bottomRight" state="frozen"/>
      <selection pane="topRight" activeCell="L1" sqref="L1"/>
      <selection pane="bottomLeft" activeCell="A7" sqref="A7"/>
      <selection pane="bottomRight" activeCell="I20" sqref="I20"/>
    </sheetView>
  </sheetViews>
  <sheetFormatPr baseColWidth="10" defaultColWidth="22.6640625" defaultRowHeight="12"/>
  <cols>
    <col min="1" max="1" width="16.1640625" style="60" bestFit="1" customWidth="1"/>
    <col min="2" max="2" width="13.1640625" style="60" bestFit="1" customWidth="1"/>
    <col min="3" max="3" width="4.83203125" style="60" bestFit="1" customWidth="1"/>
    <col min="4" max="4" width="12.33203125" style="60" bestFit="1" customWidth="1"/>
    <col min="5" max="5" width="18.83203125" style="60" bestFit="1" customWidth="1"/>
    <col min="6" max="6" width="6.5" style="60" bestFit="1" customWidth="1"/>
    <col min="7" max="7" width="4.1640625" style="60" bestFit="1" customWidth="1"/>
    <col min="8" max="8" width="22.83203125" style="60" bestFit="1" customWidth="1"/>
    <col min="9" max="9" width="6.5" style="60" customWidth="1"/>
    <col min="10" max="11" width="6.1640625" style="60" bestFit="1" customWidth="1"/>
    <col min="12" max="12" width="5.5" style="60" bestFit="1" customWidth="1"/>
    <col min="13" max="13" width="5.83203125" style="60" bestFit="1" customWidth="1"/>
    <col min="14" max="18" width="5.5" style="60" bestFit="1" customWidth="1"/>
    <col min="19" max="19" width="5.6640625" style="60" bestFit="1" customWidth="1"/>
    <col min="20" max="20" width="6.1640625" style="60" bestFit="1" customWidth="1"/>
    <col min="21" max="21" width="5.5" style="60" bestFit="1" customWidth="1"/>
    <col min="22" max="26" width="6.1640625" style="60" bestFit="1" customWidth="1"/>
    <col min="27" max="30" width="5.5" style="60" bestFit="1" customWidth="1"/>
    <col min="31" max="31" width="5.6640625" style="60" bestFit="1" customWidth="1"/>
    <col min="32" max="34" width="5.5" style="60" bestFit="1" customWidth="1"/>
    <col min="35" max="35" width="5.6640625" style="60" bestFit="1" customWidth="1"/>
    <col min="36" max="36" width="5.5" style="60" bestFit="1" customWidth="1"/>
    <col min="37" max="37" width="5.83203125" style="60" bestFit="1" customWidth="1"/>
    <col min="38" max="42" width="5.5" style="60" bestFit="1" customWidth="1"/>
    <col min="43" max="43" width="5.6640625" style="60" bestFit="1" customWidth="1"/>
    <col min="44" max="46" width="5.5" style="60" bestFit="1" customWidth="1"/>
    <col min="47" max="47" width="5.6640625" style="60" bestFit="1" customWidth="1"/>
    <col min="48" max="48" width="5.5" style="60" bestFit="1" customWidth="1"/>
    <col min="49" max="49" width="5.83203125" style="60" bestFit="1" customWidth="1"/>
    <col min="50" max="51" width="5.5" style="60" bestFit="1" customWidth="1"/>
    <col min="52" max="54" width="7" style="60" bestFit="1" customWidth="1"/>
    <col min="55" max="56" width="5.5" style="60" bestFit="1" customWidth="1"/>
    <col min="57" max="58" width="5.83203125" style="60" bestFit="1" customWidth="1"/>
    <col min="59" max="70" width="5.6640625" style="60" bestFit="1" customWidth="1"/>
    <col min="71" max="80" width="5.5" style="60" bestFit="1" customWidth="1"/>
    <col min="81" max="90" width="6.1640625" style="60" bestFit="1" customWidth="1"/>
    <col min="91" max="95" width="6.33203125" style="60" bestFit="1" customWidth="1"/>
    <col min="96" max="99" width="6.1640625" style="60" bestFit="1" customWidth="1"/>
    <col min="100" max="104" width="5.1640625" style="60" bestFit="1" customWidth="1"/>
    <col min="105" max="16384" width="22.6640625" style="60"/>
  </cols>
  <sheetData>
    <row r="1" spans="1:104" ht="13">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row>
    <row r="2" spans="1:104">
      <c r="A2" s="59"/>
      <c r="B2" s="59"/>
      <c r="C2" s="59"/>
      <c r="D2" s="98"/>
      <c r="E2" s="98"/>
      <c r="F2" s="59"/>
      <c r="H2" s="99"/>
      <c r="I2" s="99"/>
      <c r="J2" s="99"/>
      <c r="K2" s="99"/>
      <c r="L2" s="99"/>
      <c r="M2" s="99"/>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99"/>
      <c r="AP2" s="99"/>
      <c r="AQ2" s="99"/>
      <c r="AR2" s="99"/>
      <c r="AS2" s="99"/>
      <c r="AT2" s="99"/>
      <c r="AU2" s="99"/>
      <c r="AV2" s="99"/>
      <c r="AW2" s="99"/>
      <c r="AX2" s="99"/>
      <c r="AY2" s="99"/>
      <c r="AZ2" s="99"/>
      <c r="BA2" s="99"/>
      <c r="BB2" s="99"/>
      <c r="BC2" s="99"/>
      <c r="BD2" s="99"/>
      <c r="BE2" s="99"/>
      <c r="BF2" s="99"/>
      <c r="BG2" s="99"/>
      <c r="BH2" s="99"/>
      <c r="BI2" s="99"/>
      <c r="BJ2" s="99"/>
      <c r="BK2" s="99"/>
      <c r="BL2" s="99"/>
      <c r="BM2" s="99"/>
      <c r="BN2" s="99"/>
      <c r="BO2" s="99"/>
      <c r="BP2" s="99"/>
      <c r="BQ2" s="99"/>
      <c r="BR2" s="99"/>
      <c r="BS2" s="99"/>
      <c r="BT2" s="99"/>
      <c r="BU2" s="99"/>
      <c r="BV2" s="99"/>
      <c r="BW2" s="99"/>
      <c r="BX2" s="99"/>
      <c r="BY2" s="99"/>
      <c r="BZ2" s="99"/>
      <c r="CA2" s="99"/>
      <c r="CB2" s="99"/>
      <c r="CC2" s="99"/>
      <c r="CD2" s="99"/>
      <c r="CE2" s="99"/>
      <c r="CF2" s="99"/>
      <c r="CG2" s="99"/>
      <c r="CH2" s="99"/>
      <c r="CI2" s="99"/>
      <c r="CJ2" s="99"/>
      <c r="CK2" s="99"/>
      <c r="CL2" s="99"/>
      <c r="CM2" s="99"/>
      <c r="CN2" s="99"/>
    </row>
    <row r="3" spans="1:104" ht="15">
      <c r="A3" t="s">
        <v>331</v>
      </c>
      <c r="B3" s="100"/>
      <c r="C3" s="101"/>
      <c r="D3" s="282">
        <v>37.83</v>
      </c>
      <c r="K3" s="102"/>
      <c r="M3" s="102"/>
    </row>
    <row r="4" spans="1:104">
      <c r="A4" s="36"/>
      <c r="B4" s="64"/>
      <c r="D4" s="100"/>
      <c r="E4" s="64"/>
      <c r="F4" s="103"/>
    </row>
    <row r="5" spans="1:104">
      <c r="A5" s="64"/>
      <c r="B5" s="64"/>
      <c r="D5" s="64"/>
      <c r="E5" s="64"/>
      <c r="H5" s="60" t="s">
        <v>387</v>
      </c>
    </row>
    <row r="6" spans="1:104">
      <c r="A6" s="74"/>
      <c r="B6" s="74"/>
    </row>
    <row r="7" spans="1:104">
      <c r="A7" s="59"/>
      <c r="B7" s="59"/>
      <c r="C7" s="59"/>
      <c r="D7" s="98"/>
      <c r="E7" s="98"/>
      <c r="F7" s="59"/>
      <c r="H7" s="59" t="s">
        <v>416</v>
      </c>
      <c r="I7" s="59">
        <v>43831</v>
      </c>
      <c r="J7" s="59">
        <v>43862</v>
      </c>
      <c r="K7" s="59">
        <v>43891</v>
      </c>
      <c r="L7" s="59">
        <v>43922</v>
      </c>
      <c r="M7" s="59">
        <v>43952</v>
      </c>
      <c r="N7" s="59">
        <v>43983</v>
      </c>
      <c r="O7" s="59">
        <v>44013</v>
      </c>
      <c r="P7" s="59">
        <v>44044</v>
      </c>
      <c r="Q7" s="59">
        <v>44075</v>
      </c>
      <c r="R7" s="59">
        <v>44105</v>
      </c>
      <c r="S7" s="59">
        <v>44136</v>
      </c>
      <c r="T7" s="59">
        <v>44166</v>
      </c>
      <c r="U7" s="59">
        <v>44197</v>
      </c>
      <c r="V7" s="59">
        <v>44228</v>
      </c>
      <c r="W7" s="59">
        <v>44256</v>
      </c>
      <c r="X7" s="59">
        <v>44287</v>
      </c>
      <c r="Y7" s="59">
        <v>44317</v>
      </c>
      <c r="Z7" s="59">
        <v>44348</v>
      </c>
      <c r="AA7" s="59">
        <v>44378</v>
      </c>
      <c r="AB7" s="59">
        <v>44409</v>
      </c>
      <c r="AC7" s="59">
        <v>44440</v>
      </c>
      <c r="AD7" s="59">
        <v>44470</v>
      </c>
      <c r="AE7" s="59">
        <v>44501</v>
      </c>
      <c r="AF7" s="59">
        <v>44531</v>
      </c>
      <c r="AG7" s="59">
        <v>44562</v>
      </c>
      <c r="AH7" s="59">
        <v>44593</v>
      </c>
      <c r="AI7" s="59">
        <v>44621</v>
      </c>
      <c r="AJ7" s="59">
        <v>44652</v>
      </c>
      <c r="AK7" s="59">
        <v>44682</v>
      </c>
      <c r="AL7" s="59">
        <v>44713</v>
      </c>
      <c r="AM7" s="59">
        <v>44743</v>
      </c>
      <c r="AN7" s="59">
        <v>44774</v>
      </c>
      <c r="AO7" s="59">
        <v>44805</v>
      </c>
      <c r="AP7" s="59">
        <v>44835</v>
      </c>
      <c r="AQ7" s="59">
        <v>44866</v>
      </c>
      <c r="AR7" s="59">
        <v>44896</v>
      </c>
      <c r="AS7" s="59">
        <v>44927</v>
      </c>
      <c r="AT7" s="59">
        <v>44958</v>
      </c>
      <c r="AU7" s="59">
        <v>44986</v>
      </c>
      <c r="AV7" s="59">
        <v>45017</v>
      </c>
      <c r="AW7" s="59">
        <v>45047</v>
      </c>
      <c r="AX7" s="59">
        <v>45078</v>
      </c>
      <c r="AY7" s="59">
        <v>45108</v>
      </c>
      <c r="AZ7" s="59" t="s">
        <v>530</v>
      </c>
      <c r="BA7" s="59" t="s">
        <v>531</v>
      </c>
      <c r="BB7" s="59" t="s">
        <v>532</v>
      </c>
      <c r="BC7" s="59">
        <v>37104</v>
      </c>
      <c r="BD7" s="59">
        <v>37469</v>
      </c>
      <c r="BE7" s="59" t="s">
        <v>168</v>
      </c>
      <c r="BF7" s="59" t="s">
        <v>169</v>
      </c>
      <c r="BG7" s="59" t="s">
        <v>195</v>
      </c>
      <c r="BH7" s="59" t="s">
        <v>196</v>
      </c>
      <c r="BI7" s="59" t="s">
        <v>197</v>
      </c>
      <c r="BJ7" s="59" t="s">
        <v>198</v>
      </c>
      <c r="BK7" s="59" t="s">
        <v>199</v>
      </c>
      <c r="BL7" s="59" t="s">
        <v>200</v>
      </c>
      <c r="BM7" s="59" t="s">
        <v>201</v>
      </c>
      <c r="BN7" s="59" t="s">
        <v>202</v>
      </c>
      <c r="BO7" s="59">
        <v>37196</v>
      </c>
      <c r="BP7" s="59">
        <v>37561</v>
      </c>
      <c r="BQ7" s="59">
        <v>37926</v>
      </c>
      <c r="BR7" s="59">
        <v>38292</v>
      </c>
      <c r="BS7" s="59">
        <v>37226</v>
      </c>
      <c r="BT7" s="59">
        <v>37591</v>
      </c>
      <c r="BU7" s="59">
        <v>37956</v>
      </c>
      <c r="BV7" s="59">
        <v>38322</v>
      </c>
      <c r="BW7" s="59">
        <v>36892</v>
      </c>
      <c r="BX7" s="59">
        <v>37257</v>
      </c>
      <c r="BY7" s="59">
        <v>37622</v>
      </c>
      <c r="BZ7" s="59">
        <v>37987</v>
      </c>
      <c r="CA7" s="59">
        <v>36923</v>
      </c>
      <c r="CB7" s="59">
        <v>37288</v>
      </c>
      <c r="CC7" s="59">
        <v>37653</v>
      </c>
      <c r="CD7" s="59">
        <v>38018</v>
      </c>
      <c r="CE7" s="59" t="str">
        <f>Sheet8!A15</f>
        <v>Mar-w1</v>
      </c>
      <c r="CF7" s="59">
        <v>37316</v>
      </c>
      <c r="CG7" s="59">
        <v>37681</v>
      </c>
      <c r="CH7" s="59">
        <v>38047</v>
      </c>
      <c r="CI7" s="59" t="str">
        <f>Sheet8!E15</f>
        <v>Apr-w1</v>
      </c>
      <c r="CJ7" s="59" t="str">
        <f>Sheet8!F15</f>
        <v>Apr-w2</v>
      </c>
      <c r="CK7" s="59" t="str">
        <f>Sheet8!G15</f>
        <v>Apr-w3</v>
      </c>
      <c r="CL7" s="59" t="str">
        <f>Sheet8!H15</f>
        <v>Apr-w4</v>
      </c>
      <c r="CM7" s="59" t="str">
        <f>Sheet8!I15</f>
        <v>May-w1</v>
      </c>
      <c r="CN7" s="59" t="str">
        <f>Sheet8!J15</f>
        <v>May-w2</v>
      </c>
      <c r="CO7" s="59" t="str">
        <f>Sheet8!K15</f>
        <v>May-w3</v>
      </c>
      <c r="CP7" s="59" t="str">
        <f>Sheet8!L15</f>
        <v>May-w4</v>
      </c>
      <c r="CQ7" s="59" t="str">
        <f>Sheet8!M15</f>
        <v>May-w5</v>
      </c>
      <c r="CR7" s="59" t="str">
        <f>Sheet8!N15</f>
        <v>june-w1</v>
      </c>
      <c r="CS7" s="59" t="str">
        <f>Sheet8!O15</f>
        <v>june-w2</v>
      </c>
      <c r="CT7" s="59" t="str">
        <f>Sheet8!P15</f>
        <v>june-w3</v>
      </c>
      <c r="CU7" s="59" t="str">
        <f>Sheet8!Q15</f>
        <v>june-w4</v>
      </c>
      <c r="CV7" s="59" t="str">
        <f>Sheet8!R15</f>
        <v>Jul-w1</v>
      </c>
      <c r="CW7" s="59" t="str">
        <f>Sheet8!S15</f>
        <v>Jul-w2</v>
      </c>
      <c r="CX7" s="59" t="str">
        <f>Sheet8!T15</f>
        <v>Jul-w3</v>
      </c>
      <c r="CY7" s="59" t="str">
        <f>Sheet8!U15</f>
        <v>Jul-w4</v>
      </c>
      <c r="CZ7" s="59" t="str">
        <f>Sheet8!V15</f>
        <v>Aug-w1</v>
      </c>
    </row>
    <row r="8" spans="1:104" ht="13">
      <c r="H8" s="107" t="s">
        <v>365</v>
      </c>
      <c r="I8" s="74">
        <f>VLOOKUP($H$8&amp;$F$1,'Input RM sheet'!$A:$BD,H1,0)</f>
        <v>0</v>
      </c>
      <c r="J8" s="74">
        <f>VLOOKUP($H$8&amp;$F$1,'Input RM sheet'!$A:$BD,I1,0)</f>
        <v>0</v>
      </c>
      <c r="K8" s="74">
        <f>VLOOKUP($H$8&amp;$F$1,'Input RM sheet'!$A:$DD,J1,0)</f>
        <v>0</v>
      </c>
      <c r="L8" s="74">
        <f>VLOOKUP($H$8&amp;$F$1,'Input RM sheet'!$A:$DD,K1,0)</f>
        <v>0</v>
      </c>
      <c r="M8" s="74">
        <f>VLOOKUP($H$8&amp;$F$1,'Input RM sheet'!$A:$DD,L1,0)</f>
        <v>0</v>
      </c>
      <c r="N8" s="74">
        <f>VLOOKUP($H$8&amp;$F$1,'Input RM sheet'!$A:$DD,M1,0)</f>
        <v>0</v>
      </c>
      <c r="O8" s="74">
        <f>VLOOKUP($H$8&amp;$F$1,'Input RM sheet'!$A:$DD,N1,0)</f>
        <v>0</v>
      </c>
      <c r="P8" s="74">
        <f>VLOOKUP($H$8&amp;$F$1,'Input RM sheet'!$A:$DD,O1,0)</f>
        <v>0</v>
      </c>
      <c r="Q8" s="74">
        <f>VLOOKUP($H$8&amp;$F$1,'Input RM sheet'!$A:$DD,P1,0)</f>
        <v>0</v>
      </c>
      <c r="R8" s="74">
        <f>VLOOKUP($H$8&amp;$F$1,'Input RM sheet'!$A:$DD,Q1,0)</f>
        <v>0</v>
      </c>
      <c r="S8" s="74">
        <f>VLOOKUP($H$8&amp;$F$1,'Input RM sheet'!$A:$DD,R1,0)</f>
        <v>0</v>
      </c>
      <c r="T8" s="74">
        <f>VLOOKUP($H$8&amp;$F$1,'Input RM sheet'!$A:$DD,S1,0)</f>
        <v>0</v>
      </c>
      <c r="U8" s="74">
        <f>VLOOKUP($H$8&amp;$F$1,'Input RM sheet'!$A:$DD,T1,0)</f>
        <v>0</v>
      </c>
      <c r="V8" s="74">
        <f>VLOOKUP($H$8&amp;$F$1,'Input RM sheet'!$A:$DD,U1,0)</f>
        <v>0</v>
      </c>
      <c r="W8" s="74">
        <f>VLOOKUP($H$8&amp;$F$1,'Input RM sheet'!$A:$DD,V1,0)</f>
        <v>0</v>
      </c>
      <c r="X8" s="74">
        <f>VLOOKUP($H$8&amp;$F$1,'Input RM sheet'!$A:$DD,W1,0)</f>
        <v>0</v>
      </c>
      <c r="Y8" s="74">
        <f>VLOOKUP($H$8&amp;$F$1,'Input RM sheet'!$A:$DD,X1,0)</f>
        <v>0</v>
      </c>
      <c r="Z8" s="74">
        <f>VLOOKUP($H$8&amp;$F$1,'Input RM sheet'!$A:$DD,Y1,0)</f>
        <v>0</v>
      </c>
      <c r="AA8" s="74">
        <f>VLOOKUP($H$8&amp;$F$1,'Input RM sheet'!$A:$DD,Z1,0)</f>
        <v>0</v>
      </c>
      <c r="AB8" s="74">
        <f>VLOOKUP($H$8&amp;$F$1,'Input RM sheet'!$A:$DD,AA1,0)</f>
        <v>0</v>
      </c>
      <c r="AC8" s="74">
        <f>VLOOKUP($H$8&amp;$F$1,'Input RM sheet'!$A:$DD,AB1,0)</f>
        <v>0</v>
      </c>
      <c r="AD8" s="74">
        <f>VLOOKUP($H$8&amp;$F$1,'Input RM sheet'!$A:$DD,AC1,0)</f>
        <v>0</v>
      </c>
      <c r="AE8" s="74">
        <f>VLOOKUP($H$8&amp;$F$1,'Input RM sheet'!$A:$DD,AD1,0)</f>
        <v>0</v>
      </c>
      <c r="AF8" s="74">
        <f>VLOOKUP($H$8&amp;$F$1,'Input RM sheet'!$A:$DD,AE1,0)</f>
        <v>0</v>
      </c>
      <c r="AG8" s="74">
        <f>VLOOKUP($H$8&amp;$F$1,'Input RM sheet'!$A:$DD,AF1,0)</f>
        <v>0</v>
      </c>
      <c r="AH8" s="74">
        <f>VLOOKUP($H$8&amp;$F$1,'Input RM sheet'!$A:$DD,AG1,0)</f>
        <v>0</v>
      </c>
      <c r="AI8" s="74">
        <f>VLOOKUP($H$8&amp;$F$1,'Input RM sheet'!$A:$DD,AH1,0)</f>
        <v>0</v>
      </c>
      <c r="AJ8" s="74">
        <f>VLOOKUP($H$8&amp;$F$1,'Input RM sheet'!$A:$DD,AI1,0)</f>
        <v>0</v>
      </c>
      <c r="AK8" s="74">
        <f>VLOOKUP($H$8&amp;$F$1,'Input RM sheet'!$A:$DD,AJ1,0)</f>
        <v>0</v>
      </c>
      <c r="AL8" s="74">
        <f>VLOOKUP($H$8&amp;$F$1,'Input RM sheet'!$A:$DD,AK1,0)</f>
        <v>0</v>
      </c>
      <c r="AM8" s="74">
        <f>VLOOKUP($H$8&amp;$F$1,'Input RM sheet'!$A:$DD,AL1,0)</f>
        <v>0</v>
      </c>
      <c r="AN8" s="74">
        <f>VLOOKUP($H$8&amp;$F$1,'Input RM sheet'!$A:$DD,AM1,0)</f>
        <v>0</v>
      </c>
      <c r="AO8" s="74">
        <f>VLOOKUP($H$8&amp;$F$1,'Input RM sheet'!$A:$DD,AN1,0)</f>
        <v>0</v>
      </c>
      <c r="AP8" s="74">
        <f>VLOOKUP($H$8&amp;$F$1,'Input RM sheet'!$A:$DD,AO1,0)</f>
        <v>0</v>
      </c>
      <c r="AQ8" s="74">
        <f>VLOOKUP($H$8&amp;$F$1,'Input RM sheet'!$A:$DD,AP1,0)</f>
        <v>0</v>
      </c>
      <c r="AR8" s="74">
        <f>VLOOKUP($H$8&amp;$F$1,'Input RM sheet'!$A:$DD,AQ1,0)</f>
        <v>0</v>
      </c>
      <c r="AS8" s="74">
        <f>VLOOKUP($H$8&amp;$F$1,'Input RM sheet'!$A:$DD,AR1,0)</f>
        <v>0</v>
      </c>
      <c r="AT8" s="74">
        <f>VLOOKUP($H$8&amp;$F$1,'Input RM sheet'!$A:$DD,AS1,0)</f>
        <v>0</v>
      </c>
      <c r="AU8" s="74">
        <f>VLOOKUP($H$8&amp;$F$1,'Input RM sheet'!$A:$DD,AT1,0)</f>
        <v>0</v>
      </c>
      <c r="AV8" s="74">
        <f>VLOOKUP($H$8&amp;$F$1,'Input RM sheet'!$A:$DD,AU1,0)</f>
        <v>0</v>
      </c>
      <c r="AW8" s="74">
        <f>VLOOKUP($H$8&amp;$F$1,'Input RM sheet'!$A:$DD,AV1,0)</f>
        <v>0</v>
      </c>
      <c r="AX8" s="74">
        <f>VLOOKUP($H$8&amp;$F$1,'Input RM sheet'!$A:$DD,AW1,0)</f>
        <v>0</v>
      </c>
      <c r="AY8" s="74">
        <f>VLOOKUP($H$8&amp;$F$1,'Input RM sheet'!$A:$DD,AX1,0)</f>
        <v>0</v>
      </c>
      <c r="AZ8" s="74">
        <f>VLOOKUP($H$8&amp;$F$1,'Input RM sheet'!$A:$DD,AY1,0)</f>
        <v>0</v>
      </c>
      <c r="BA8" s="74">
        <f>VLOOKUP($H$8&amp;$F$1,'Input RM sheet'!$A:$DD,AZ1,0)</f>
        <v>0</v>
      </c>
      <c r="BB8" s="74">
        <f>VLOOKUP($H$8&amp;$F$1,'Input RM sheet'!$A:$DD,BA1,0)</f>
        <v>0</v>
      </c>
      <c r="BC8" s="74">
        <f>VLOOKUP($H$8&amp;$F$1,'Input RM sheet'!$A:$DD,BB1,0)</f>
        <v>0</v>
      </c>
      <c r="BD8" s="74">
        <f>VLOOKUP($H$8&amp;$F$1,'Input RM sheet'!$A:$DD,BC1,0)</f>
        <v>0</v>
      </c>
      <c r="BE8" s="74">
        <f>VLOOKUP($H$8&amp;$F$1,'Input RM sheet'!$A:$DD,BD1,0)</f>
        <v>0</v>
      </c>
      <c r="BF8" s="74">
        <f>VLOOKUP($H$8&amp;$F$1,'Input RM sheet'!$A:$DD,BE1,0)</f>
        <v>0</v>
      </c>
      <c r="BG8" s="74">
        <f>VLOOKUP($H$8&amp;$F$1,'Input RM sheet'!$A:$DD,BF1,0)</f>
        <v>0</v>
      </c>
      <c r="BH8" s="74">
        <f>VLOOKUP($H$8&amp;$F$1,'Input RM sheet'!$A:$DD,BG1,0)</f>
        <v>0</v>
      </c>
      <c r="BI8" s="74">
        <f>VLOOKUP($H$8&amp;$F$1,'Input RM sheet'!$A:$DD,BH1,0)</f>
        <v>0</v>
      </c>
      <c r="BJ8" s="74">
        <f>VLOOKUP($H$8&amp;$F$1,'Input RM sheet'!$A:$DD,BI1,0)</f>
        <v>0</v>
      </c>
      <c r="BK8" s="74">
        <f>VLOOKUP($H$8&amp;$F$1,'Input RM sheet'!$A:$DD,BJ1,0)</f>
        <v>0</v>
      </c>
      <c r="BL8" s="74">
        <f>VLOOKUP($H$8&amp;$F$1,'Input RM sheet'!$A:$DD,BK1,0)</f>
        <v>0</v>
      </c>
      <c r="BM8" s="74">
        <f>VLOOKUP($H$8&amp;$F$1,'Input RM sheet'!$A:$DD,BL1,0)</f>
        <v>0</v>
      </c>
      <c r="BN8" s="74">
        <f>VLOOKUP($H$8&amp;$F$1,'Input RM sheet'!$A:$DD,BM1,0)</f>
        <v>0</v>
      </c>
      <c r="BO8" s="74">
        <f>VLOOKUP($H$8&amp;$F$1,'Input RM sheet'!$A:$DD,BN1,0)</f>
        <v>0</v>
      </c>
      <c r="BP8" s="74">
        <f>VLOOKUP($H$8&amp;$F$1,'Input RM sheet'!$A:$DD,BO1,0)</f>
        <v>0</v>
      </c>
      <c r="BQ8" s="74">
        <f>VLOOKUP($H$8&amp;$F$1,'Input RM sheet'!$A:$DD,BP1,0)</f>
        <v>0</v>
      </c>
      <c r="BR8" s="74">
        <f>VLOOKUP($H$8&amp;$F$1,'Input RM sheet'!$A:$DD,BQ1,0)</f>
        <v>0</v>
      </c>
      <c r="BS8" s="74">
        <f>VLOOKUP($H$8&amp;$F$1,'Input RM sheet'!$A:$DD,BR1,0)</f>
        <v>0</v>
      </c>
      <c r="BT8" s="74">
        <f>VLOOKUP($H$8&amp;$F$1,'Input RM sheet'!$A:$DD,BS1,0)</f>
        <v>0</v>
      </c>
      <c r="BU8" s="74">
        <f>VLOOKUP($H$8&amp;$F$1,'Input RM sheet'!$A:$DD,BT1,0)</f>
        <v>0</v>
      </c>
      <c r="BV8" s="74">
        <f>VLOOKUP($H$8&amp;$F$1,'Input RM sheet'!$A:$DD,BU1,0)</f>
        <v>0</v>
      </c>
      <c r="BW8" s="74">
        <f>VLOOKUP($H$8&amp;$F$1,'Input RM sheet'!$A:$DD,BV1,0)</f>
        <v>0</v>
      </c>
      <c r="BX8" s="74">
        <f>VLOOKUP($H$8&amp;$F$1,'Input RM sheet'!$A:$DD,BW1,0)</f>
        <v>0</v>
      </c>
      <c r="BY8" s="74">
        <f>VLOOKUP($H$8&amp;$F$1,'Input RM sheet'!$A:$DD,BX1,0)</f>
        <v>0</v>
      </c>
      <c r="BZ8" s="74">
        <f>VLOOKUP($H$8&amp;$F$1,'Input RM sheet'!$A:$DD,BY1,0)</f>
        <v>0</v>
      </c>
      <c r="CA8" s="74">
        <f>VLOOKUP($H$8&amp;$F$1,'Input RM sheet'!$A:$DD,BZ1,0)</f>
        <v>0</v>
      </c>
      <c r="CB8" s="74">
        <f>VLOOKUP($H$8&amp;$F$1,'Input RM sheet'!$A:$DD,CA1,0)</f>
        <v>0</v>
      </c>
      <c r="CC8" s="74">
        <f>VLOOKUP($H$8&amp;$F$1,'Input RM sheet'!$A:$DD,CB1,0)</f>
        <v>0</v>
      </c>
      <c r="CD8" s="74">
        <f>VLOOKUP($H$8&amp;$F$1,'Input RM sheet'!$A:$DD,CC1,0)</f>
        <v>0</v>
      </c>
      <c r="CE8" s="74">
        <f>VLOOKUP($H$8&amp;$F$1,'Input RM sheet'!$A:$DD,CD1,0)</f>
        <v>0</v>
      </c>
      <c r="CF8" s="74">
        <f>VLOOKUP($H$8&amp;$F$1,'Input RM sheet'!$A:$DD,CE1,0)</f>
        <v>0</v>
      </c>
      <c r="CG8" s="74">
        <f>VLOOKUP($H$8&amp;$F$1,'Input RM sheet'!$A:$DD,CF1,0)</f>
        <v>0</v>
      </c>
      <c r="CH8" s="74">
        <f>VLOOKUP($H$8&amp;$F$1,'Input RM sheet'!$A:$DD,CG1,0)</f>
        <v>0</v>
      </c>
      <c r="CI8" s="74">
        <f>VLOOKUP($H$8&amp;$F$1,'Input RM sheet'!$A:$DD,CH1,0)</f>
        <v>0</v>
      </c>
      <c r="CJ8" s="74">
        <f>VLOOKUP($H$8&amp;$F$1,'Input RM sheet'!$A:$DD,CI1,0)</f>
        <v>0</v>
      </c>
      <c r="CK8" s="74">
        <f>VLOOKUP($H$8&amp;$F$1,'Input RM sheet'!$A:$DD,CJ1,0)</f>
        <v>0</v>
      </c>
      <c r="CL8" s="74">
        <f>VLOOKUP($H$8&amp;$F$1,'Input RM sheet'!$A:$DD,CK1,0)</f>
        <v>0</v>
      </c>
      <c r="CM8" s="74">
        <f>VLOOKUP($H$8&amp;$F$1,'Input RM sheet'!$A:$DD,CL1,0)</f>
        <v>0</v>
      </c>
      <c r="CN8" s="74">
        <f>VLOOKUP($H$8&amp;$F$1,'Input RM sheet'!$A:$DD,CM1,0)</f>
        <v>0</v>
      </c>
      <c r="CO8" s="74">
        <f>VLOOKUP($H$8&amp;$F$1,'Input RM sheet'!$A:$DD,CN1,0)</f>
        <v>0</v>
      </c>
      <c r="CP8" s="74">
        <f>VLOOKUP($H$8&amp;$F$1,'Input RM sheet'!$A:$DD,CO1,0)</f>
        <v>0</v>
      </c>
      <c r="CQ8" s="74">
        <f>VLOOKUP($H$8&amp;$F$1,'Input RM sheet'!$A:$DD,CP1,0)</f>
        <v>0</v>
      </c>
      <c r="CR8" s="74">
        <f>VLOOKUP($H$8&amp;$F$1,'Input RM sheet'!$A:$DD,CQ1,0)</f>
        <v>0</v>
      </c>
    </row>
    <row r="9" spans="1:104" ht="13">
      <c r="H9" s="107" t="s">
        <v>366</v>
      </c>
      <c r="I9" s="74"/>
      <c r="J9" s="74"/>
      <c r="K9" s="74"/>
      <c r="L9" s="74"/>
      <c r="M9" s="74"/>
      <c r="N9" s="74"/>
      <c r="O9" s="74"/>
      <c r="P9" s="74"/>
      <c r="Q9" s="74"/>
      <c r="R9" s="74"/>
      <c r="S9" s="74"/>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74"/>
      <c r="BG9" s="74"/>
      <c r="BH9" s="74"/>
      <c r="BI9" s="74"/>
      <c r="BJ9" s="74"/>
      <c r="BK9" s="74"/>
      <c r="BL9" s="74"/>
      <c r="BM9" s="74"/>
      <c r="BN9" s="74"/>
      <c r="BO9" s="74"/>
      <c r="BP9" s="74"/>
      <c r="BQ9" s="74"/>
      <c r="BR9" s="74"/>
      <c r="BS9" s="74"/>
      <c r="BT9" s="74"/>
      <c r="BU9" s="74"/>
      <c r="BV9" s="74"/>
      <c r="BW9" s="74"/>
      <c r="BX9" s="74"/>
      <c r="BY9" s="74"/>
      <c r="BZ9" s="74"/>
      <c r="CA9" s="74"/>
      <c r="CB9" s="74"/>
      <c r="CC9" s="74"/>
      <c r="CD9" s="74"/>
      <c r="CE9" s="74"/>
      <c r="CF9" s="74"/>
      <c r="CG9" s="74"/>
      <c r="CH9" s="74"/>
      <c r="CI9" s="74"/>
      <c r="CJ9" s="74"/>
      <c r="CK9" s="74"/>
      <c r="CL9" s="74"/>
      <c r="CM9" s="74"/>
      <c r="CN9" s="74"/>
      <c r="CO9" s="74"/>
      <c r="CP9" s="74"/>
      <c r="CQ9" s="74"/>
      <c r="CR9" s="74"/>
    </row>
    <row r="10" spans="1:104" ht="13">
      <c r="A10" s="59" t="s">
        <v>395</v>
      </c>
      <c r="B10" s="59"/>
      <c r="C10" s="59" t="s">
        <v>379</v>
      </c>
      <c r="D10" s="98" t="s">
        <v>380</v>
      </c>
      <c r="E10" s="98" t="s">
        <v>381</v>
      </c>
      <c r="F10" s="59" t="s">
        <v>396</v>
      </c>
      <c r="I10" s="84"/>
      <c r="J10" s="84"/>
      <c r="K10" s="84"/>
      <c r="L10" s="84"/>
      <c r="M10" s="84"/>
      <c r="N10" s="84"/>
      <c r="O10" s="84"/>
      <c r="P10" s="84"/>
      <c r="Q10" s="84"/>
      <c r="R10" s="84"/>
      <c r="S10" s="84"/>
      <c r="T10" s="84"/>
      <c r="U10" s="84"/>
      <c r="V10" s="84"/>
      <c r="W10" s="84"/>
      <c r="X10" s="84"/>
      <c r="Y10" s="84"/>
      <c r="Z10" s="84"/>
      <c r="AA10" s="84"/>
      <c r="AB10" s="84"/>
      <c r="AC10" s="84"/>
      <c r="AD10" s="84"/>
      <c r="AE10" s="84"/>
      <c r="AF10" s="84"/>
      <c r="AG10" s="84"/>
      <c r="AH10" s="84"/>
      <c r="AI10" s="84"/>
      <c r="AJ10" s="84"/>
      <c r="AK10" s="84"/>
      <c r="AL10" s="84"/>
      <c r="AM10" s="84"/>
      <c r="AN10" s="84"/>
      <c r="AO10" s="84"/>
      <c r="AP10" s="84"/>
      <c r="AQ10" s="84"/>
      <c r="AR10" s="84"/>
      <c r="AS10" s="84"/>
      <c r="AT10" s="84"/>
      <c r="AU10" s="84"/>
      <c r="AV10" s="84"/>
      <c r="AW10" s="84"/>
      <c r="AX10" s="84"/>
      <c r="AY10" s="84"/>
      <c r="AZ10" s="84"/>
      <c r="BA10" s="84"/>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84"/>
      <c r="CE10" s="84"/>
      <c r="CF10" s="84"/>
      <c r="CG10" s="84"/>
      <c r="CH10" s="84"/>
      <c r="CI10" s="84"/>
      <c r="CJ10" s="84"/>
      <c r="CK10" s="84"/>
      <c r="CL10" s="84"/>
      <c r="CM10" s="84"/>
      <c r="CN10" s="84"/>
      <c r="CO10" s="84"/>
      <c r="CP10" s="84"/>
      <c r="CQ10" s="84"/>
      <c r="CR10" s="84"/>
    </row>
    <row r="11" spans="1:104" ht="13">
      <c r="A11" s="107" t="s">
        <v>397</v>
      </c>
      <c r="B11" s="107" t="s">
        <v>365</v>
      </c>
      <c r="C11" s="60">
        <v>1</v>
      </c>
      <c r="D11" s="65">
        <v>103.93</v>
      </c>
      <c r="E11" s="60">
        <f>D11*C11</f>
        <v>103.93</v>
      </c>
      <c r="F11" s="328">
        <f>E11/$D$3</f>
        <v>2.7472905101771086</v>
      </c>
      <c r="H11" s="60" t="s">
        <v>399</v>
      </c>
      <c r="I11" s="74">
        <f>$F$11*(I8/1000)</f>
        <v>0</v>
      </c>
      <c r="J11" s="74">
        <f t="shared" ref="J11:BU11" si="0">$F$11*(J8/1000)</f>
        <v>0</v>
      </c>
      <c r="K11" s="74">
        <f t="shared" si="0"/>
        <v>0</v>
      </c>
      <c r="L11" s="74">
        <f t="shared" si="0"/>
        <v>0</v>
      </c>
      <c r="M11" s="74">
        <f t="shared" si="0"/>
        <v>0</v>
      </c>
      <c r="N11" s="74">
        <f t="shared" si="0"/>
        <v>0</v>
      </c>
      <c r="O11" s="74">
        <f t="shared" si="0"/>
        <v>0</v>
      </c>
      <c r="P11" s="74">
        <f t="shared" si="0"/>
        <v>0</v>
      </c>
      <c r="Q11" s="74">
        <f t="shared" si="0"/>
        <v>0</v>
      </c>
      <c r="R11" s="74">
        <f t="shared" si="0"/>
        <v>0</v>
      </c>
      <c r="S11" s="74">
        <f t="shared" si="0"/>
        <v>0</v>
      </c>
      <c r="T11" s="74">
        <f t="shared" si="0"/>
        <v>0</v>
      </c>
      <c r="U11" s="74">
        <f t="shared" si="0"/>
        <v>0</v>
      </c>
      <c r="V11" s="74">
        <f t="shared" si="0"/>
        <v>0</v>
      </c>
      <c r="W11" s="74">
        <f t="shared" si="0"/>
        <v>0</v>
      </c>
      <c r="X11" s="74">
        <f t="shared" si="0"/>
        <v>0</v>
      </c>
      <c r="Y11" s="74">
        <f t="shared" si="0"/>
        <v>0</v>
      </c>
      <c r="Z11" s="74">
        <f t="shared" si="0"/>
        <v>0</v>
      </c>
      <c r="AA11" s="74">
        <f t="shared" si="0"/>
        <v>0</v>
      </c>
      <c r="AB11" s="74">
        <f t="shared" si="0"/>
        <v>0</v>
      </c>
      <c r="AC11" s="74">
        <f t="shared" si="0"/>
        <v>0</v>
      </c>
      <c r="AD11" s="74">
        <f t="shared" si="0"/>
        <v>0</v>
      </c>
      <c r="AE11" s="74">
        <f t="shared" si="0"/>
        <v>0</v>
      </c>
      <c r="AF11" s="74">
        <f t="shared" si="0"/>
        <v>0</v>
      </c>
      <c r="AG11" s="74">
        <f t="shared" si="0"/>
        <v>0</v>
      </c>
      <c r="AH11" s="74">
        <f t="shared" si="0"/>
        <v>0</v>
      </c>
      <c r="AI11" s="74">
        <f t="shared" si="0"/>
        <v>0</v>
      </c>
      <c r="AJ11" s="74">
        <f t="shared" si="0"/>
        <v>0</v>
      </c>
      <c r="AK11" s="74">
        <f t="shared" si="0"/>
        <v>0</v>
      </c>
      <c r="AL11" s="74">
        <f t="shared" si="0"/>
        <v>0</v>
      </c>
      <c r="AM11" s="74">
        <f t="shared" si="0"/>
        <v>0</v>
      </c>
      <c r="AN11" s="74">
        <f t="shared" si="0"/>
        <v>0</v>
      </c>
      <c r="AO11" s="74">
        <f t="shared" si="0"/>
        <v>0</v>
      </c>
      <c r="AP11" s="74">
        <f t="shared" si="0"/>
        <v>0</v>
      </c>
      <c r="AQ11" s="74">
        <f t="shared" si="0"/>
        <v>0</v>
      </c>
      <c r="AR11" s="74">
        <f t="shared" si="0"/>
        <v>0</v>
      </c>
      <c r="AS11" s="74">
        <f t="shared" si="0"/>
        <v>0</v>
      </c>
      <c r="AT11" s="74">
        <f t="shared" si="0"/>
        <v>0</v>
      </c>
      <c r="AU11" s="74">
        <f t="shared" si="0"/>
        <v>0</v>
      </c>
      <c r="AV11" s="74">
        <f t="shared" si="0"/>
        <v>0</v>
      </c>
      <c r="AW11" s="74">
        <f t="shared" si="0"/>
        <v>0</v>
      </c>
      <c r="AX11" s="74">
        <f t="shared" si="0"/>
        <v>0</v>
      </c>
      <c r="AY11" s="74">
        <f t="shared" si="0"/>
        <v>0</v>
      </c>
      <c r="AZ11" s="74">
        <f t="shared" si="0"/>
        <v>0</v>
      </c>
      <c r="BA11" s="74">
        <f t="shared" si="0"/>
        <v>0</v>
      </c>
      <c r="BB11" s="74">
        <f t="shared" si="0"/>
        <v>0</v>
      </c>
      <c r="BC11" s="74">
        <f t="shared" si="0"/>
        <v>0</v>
      </c>
      <c r="BD11" s="74">
        <f t="shared" si="0"/>
        <v>0</v>
      </c>
      <c r="BE11" s="74">
        <f t="shared" si="0"/>
        <v>0</v>
      </c>
      <c r="BF11" s="74">
        <f t="shared" si="0"/>
        <v>0</v>
      </c>
      <c r="BG11" s="74">
        <f t="shared" si="0"/>
        <v>0</v>
      </c>
      <c r="BH11" s="74">
        <f t="shared" si="0"/>
        <v>0</v>
      </c>
      <c r="BI11" s="74">
        <f t="shared" si="0"/>
        <v>0</v>
      </c>
      <c r="BJ11" s="74">
        <f t="shared" si="0"/>
        <v>0</v>
      </c>
      <c r="BK11" s="74">
        <f t="shared" si="0"/>
        <v>0</v>
      </c>
      <c r="BL11" s="74">
        <f t="shared" si="0"/>
        <v>0</v>
      </c>
      <c r="BM11" s="74">
        <f t="shared" si="0"/>
        <v>0</v>
      </c>
      <c r="BN11" s="74">
        <f t="shared" si="0"/>
        <v>0</v>
      </c>
      <c r="BO11" s="74">
        <f t="shared" si="0"/>
        <v>0</v>
      </c>
      <c r="BP11" s="74">
        <f t="shared" si="0"/>
        <v>0</v>
      </c>
      <c r="BQ11" s="74">
        <f t="shared" si="0"/>
        <v>0</v>
      </c>
      <c r="BR11" s="74">
        <f t="shared" si="0"/>
        <v>0</v>
      </c>
      <c r="BS11" s="74">
        <f t="shared" si="0"/>
        <v>0</v>
      </c>
      <c r="BT11" s="74">
        <f t="shared" si="0"/>
        <v>0</v>
      </c>
      <c r="BU11" s="74">
        <f t="shared" si="0"/>
        <v>0</v>
      </c>
      <c r="BV11" s="74">
        <f t="shared" ref="BV11:CR11" si="1">$F$11*(BV8/1000)</f>
        <v>0</v>
      </c>
      <c r="BW11" s="74">
        <f t="shared" si="1"/>
        <v>0</v>
      </c>
      <c r="BX11" s="74">
        <f t="shared" si="1"/>
        <v>0</v>
      </c>
      <c r="BY11" s="74">
        <f t="shared" si="1"/>
        <v>0</v>
      </c>
      <c r="BZ11" s="74">
        <f t="shared" si="1"/>
        <v>0</v>
      </c>
      <c r="CA11" s="74">
        <f t="shared" si="1"/>
        <v>0</v>
      </c>
      <c r="CB11" s="74">
        <f t="shared" si="1"/>
        <v>0</v>
      </c>
      <c r="CC11" s="74">
        <f t="shared" si="1"/>
        <v>0</v>
      </c>
      <c r="CD11" s="74">
        <f t="shared" si="1"/>
        <v>0</v>
      </c>
      <c r="CE11" s="74">
        <f t="shared" si="1"/>
        <v>0</v>
      </c>
      <c r="CF11" s="74">
        <f t="shared" si="1"/>
        <v>0</v>
      </c>
      <c r="CG11" s="74">
        <f t="shared" si="1"/>
        <v>0</v>
      </c>
      <c r="CH11" s="74">
        <f t="shared" si="1"/>
        <v>0</v>
      </c>
      <c r="CI11" s="74">
        <f t="shared" si="1"/>
        <v>0</v>
      </c>
      <c r="CJ11" s="74">
        <f t="shared" si="1"/>
        <v>0</v>
      </c>
      <c r="CK11" s="74">
        <f t="shared" si="1"/>
        <v>0</v>
      </c>
      <c r="CL11" s="74">
        <f t="shared" si="1"/>
        <v>0</v>
      </c>
      <c r="CM11" s="74">
        <f t="shared" si="1"/>
        <v>0</v>
      </c>
      <c r="CN11" s="74">
        <f t="shared" si="1"/>
        <v>0</v>
      </c>
      <c r="CO11" s="74">
        <f t="shared" si="1"/>
        <v>0</v>
      </c>
      <c r="CP11" s="74">
        <f t="shared" si="1"/>
        <v>0</v>
      </c>
      <c r="CQ11" s="74">
        <f t="shared" si="1"/>
        <v>0</v>
      </c>
      <c r="CR11" s="74">
        <f t="shared" si="1"/>
        <v>0</v>
      </c>
    </row>
    <row r="12" spans="1:104" ht="13">
      <c r="A12" s="67"/>
      <c r="B12" s="107" t="s">
        <v>366</v>
      </c>
      <c r="C12" s="60">
        <v>4</v>
      </c>
      <c r="D12" s="77">
        <v>24</v>
      </c>
      <c r="E12" s="60">
        <f>D12*C12</f>
        <v>96</v>
      </c>
      <c r="F12" s="328">
        <f>E12/$D$3</f>
        <v>2.5376685170499607</v>
      </c>
      <c r="I12" s="74"/>
      <c r="J12" s="74"/>
      <c r="K12" s="74"/>
      <c r="L12" s="74"/>
      <c r="M12" s="74"/>
      <c r="N12" s="74"/>
      <c r="O12" s="74"/>
      <c r="P12" s="74"/>
      <c r="Q12" s="74"/>
      <c r="R12" s="74"/>
      <c r="S12" s="74"/>
      <c r="T12" s="74"/>
      <c r="U12" s="74"/>
      <c r="V12" s="74"/>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c r="BL12" s="74"/>
      <c r="BM12" s="74"/>
      <c r="BN12" s="74"/>
      <c r="BO12" s="74"/>
      <c r="BP12" s="74"/>
      <c r="BQ12" s="74"/>
      <c r="BR12" s="74"/>
      <c r="BS12" s="74"/>
      <c r="BT12" s="74"/>
      <c r="BU12" s="74"/>
      <c r="BV12" s="74"/>
      <c r="BW12" s="74"/>
      <c r="BX12" s="74"/>
      <c r="BY12" s="74"/>
      <c r="BZ12" s="74"/>
      <c r="CA12" s="74"/>
      <c r="CB12" s="74"/>
      <c r="CC12" s="74"/>
      <c r="CD12" s="74"/>
      <c r="CE12" s="74"/>
      <c r="CF12" s="74"/>
      <c r="CG12" s="74"/>
      <c r="CH12" s="74"/>
      <c r="CI12" s="74"/>
      <c r="CJ12" s="74"/>
      <c r="CK12" s="74"/>
      <c r="CL12" s="74"/>
      <c r="CM12" s="74"/>
      <c r="CN12" s="74"/>
      <c r="CO12" s="74"/>
      <c r="CP12" s="74"/>
      <c r="CQ12" s="74"/>
      <c r="CR12" s="74"/>
    </row>
    <row r="13" spans="1:104">
      <c r="A13" s="67"/>
      <c r="B13" s="107"/>
      <c r="D13" s="77"/>
      <c r="F13" s="65"/>
      <c r="I13" s="74"/>
      <c r="J13" s="74"/>
      <c r="K13" s="74"/>
      <c r="L13" s="74"/>
      <c r="M13" s="74"/>
      <c r="N13" s="74"/>
      <c r="O13" s="74"/>
      <c r="P13" s="74"/>
      <c r="Q13" s="74"/>
      <c r="R13" s="74"/>
      <c r="S13" s="74"/>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c r="BF13" s="74"/>
      <c r="BG13" s="74"/>
      <c r="BH13" s="74"/>
      <c r="BI13" s="74"/>
      <c r="BJ13" s="74"/>
      <c r="BK13" s="74"/>
      <c r="BL13" s="74"/>
      <c r="BM13" s="74"/>
      <c r="BN13" s="74"/>
      <c r="BO13" s="74"/>
      <c r="BP13" s="74"/>
      <c r="BQ13" s="74"/>
      <c r="BR13" s="74"/>
      <c r="BS13" s="74"/>
      <c r="BT13" s="74"/>
      <c r="BU13" s="74"/>
      <c r="BV13" s="74"/>
      <c r="BW13" s="74"/>
      <c r="BX13" s="74"/>
      <c r="BY13" s="74"/>
      <c r="BZ13" s="74"/>
      <c r="CA13" s="74"/>
      <c r="CB13" s="74"/>
      <c r="CC13" s="74"/>
      <c r="CD13" s="74"/>
      <c r="CE13" s="74"/>
      <c r="CF13" s="74"/>
      <c r="CG13" s="74"/>
      <c r="CH13" s="74"/>
      <c r="CI13" s="74"/>
      <c r="CJ13" s="74"/>
      <c r="CK13" s="74"/>
      <c r="CL13" s="74"/>
      <c r="CM13" s="74"/>
      <c r="CN13" s="74"/>
      <c r="CO13" s="74"/>
      <c r="CP13" s="74"/>
      <c r="CQ13" s="74"/>
      <c r="CR13" s="74"/>
    </row>
    <row r="14" spans="1:104" s="104" customFormat="1">
      <c r="H14" s="104" t="s">
        <v>799</v>
      </c>
      <c r="I14" s="105">
        <f t="shared" ref="I14:AN14" si="2">SUM(I11:I11)</f>
        <v>0</v>
      </c>
      <c r="J14" s="105">
        <f t="shared" si="2"/>
        <v>0</v>
      </c>
      <c r="K14" s="105">
        <f t="shared" si="2"/>
        <v>0</v>
      </c>
      <c r="L14" s="105">
        <f t="shared" si="2"/>
        <v>0</v>
      </c>
      <c r="M14" s="105">
        <f t="shared" si="2"/>
        <v>0</v>
      </c>
      <c r="N14" s="105">
        <f t="shared" si="2"/>
        <v>0</v>
      </c>
      <c r="O14" s="105">
        <f t="shared" si="2"/>
        <v>0</v>
      </c>
      <c r="P14" s="105">
        <f t="shared" si="2"/>
        <v>0</v>
      </c>
      <c r="Q14" s="105">
        <f t="shared" si="2"/>
        <v>0</v>
      </c>
      <c r="R14" s="105">
        <f t="shared" si="2"/>
        <v>0</v>
      </c>
      <c r="S14" s="105">
        <f t="shared" si="2"/>
        <v>0</v>
      </c>
      <c r="T14" s="105">
        <f t="shared" si="2"/>
        <v>0</v>
      </c>
      <c r="U14" s="105">
        <f t="shared" si="2"/>
        <v>0</v>
      </c>
      <c r="V14" s="105">
        <f t="shared" si="2"/>
        <v>0</v>
      </c>
      <c r="W14" s="105">
        <f t="shared" si="2"/>
        <v>0</v>
      </c>
      <c r="X14" s="105">
        <f t="shared" si="2"/>
        <v>0</v>
      </c>
      <c r="Y14" s="105">
        <f t="shared" si="2"/>
        <v>0</v>
      </c>
      <c r="Z14" s="105">
        <f t="shared" si="2"/>
        <v>0</v>
      </c>
      <c r="AA14" s="105">
        <f t="shared" si="2"/>
        <v>0</v>
      </c>
      <c r="AB14" s="105">
        <f t="shared" si="2"/>
        <v>0</v>
      </c>
      <c r="AC14" s="105">
        <f t="shared" si="2"/>
        <v>0</v>
      </c>
      <c r="AD14" s="105">
        <f t="shared" si="2"/>
        <v>0</v>
      </c>
      <c r="AE14" s="105">
        <f t="shared" si="2"/>
        <v>0</v>
      </c>
      <c r="AF14" s="105">
        <f t="shared" si="2"/>
        <v>0</v>
      </c>
      <c r="AG14" s="105">
        <f t="shared" si="2"/>
        <v>0</v>
      </c>
      <c r="AH14" s="105">
        <f t="shared" si="2"/>
        <v>0</v>
      </c>
      <c r="AI14" s="105">
        <f t="shared" si="2"/>
        <v>0</v>
      </c>
      <c r="AJ14" s="105">
        <f t="shared" si="2"/>
        <v>0</v>
      </c>
      <c r="AK14" s="105">
        <f t="shared" si="2"/>
        <v>0</v>
      </c>
      <c r="AL14" s="105">
        <f t="shared" si="2"/>
        <v>0</v>
      </c>
      <c r="AM14" s="105">
        <f t="shared" si="2"/>
        <v>0</v>
      </c>
      <c r="AN14" s="105">
        <f t="shared" si="2"/>
        <v>0</v>
      </c>
      <c r="AO14" s="105">
        <f t="shared" ref="AO14:CR14" si="3">SUM(AO11:AO11)</f>
        <v>0</v>
      </c>
      <c r="AP14" s="105">
        <f t="shared" si="3"/>
        <v>0</v>
      </c>
      <c r="AQ14" s="105">
        <f t="shared" si="3"/>
        <v>0</v>
      </c>
      <c r="AR14" s="105">
        <f t="shared" si="3"/>
        <v>0</v>
      </c>
      <c r="AS14" s="105">
        <f t="shared" si="3"/>
        <v>0</v>
      </c>
      <c r="AT14" s="105">
        <f t="shared" si="3"/>
        <v>0</v>
      </c>
      <c r="AU14" s="105">
        <f t="shared" si="3"/>
        <v>0</v>
      </c>
      <c r="AV14" s="105">
        <f t="shared" si="3"/>
        <v>0</v>
      </c>
      <c r="AW14" s="105">
        <f t="shared" si="3"/>
        <v>0</v>
      </c>
      <c r="AX14" s="105">
        <f t="shared" si="3"/>
        <v>0</v>
      </c>
      <c r="AY14" s="105">
        <f t="shared" si="3"/>
        <v>0</v>
      </c>
      <c r="AZ14" s="105">
        <f t="shared" si="3"/>
        <v>0</v>
      </c>
      <c r="BA14" s="105">
        <f t="shared" si="3"/>
        <v>0</v>
      </c>
      <c r="BB14" s="105">
        <f t="shared" si="3"/>
        <v>0</v>
      </c>
      <c r="BC14" s="105">
        <f t="shared" si="3"/>
        <v>0</v>
      </c>
      <c r="BD14" s="105">
        <f t="shared" si="3"/>
        <v>0</v>
      </c>
      <c r="BE14" s="105">
        <f t="shared" si="3"/>
        <v>0</v>
      </c>
      <c r="BF14" s="105">
        <f t="shared" si="3"/>
        <v>0</v>
      </c>
      <c r="BG14" s="105">
        <f t="shared" si="3"/>
        <v>0</v>
      </c>
      <c r="BH14" s="105">
        <f t="shared" si="3"/>
        <v>0</v>
      </c>
      <c r="BI14" s="105">
        <f t="shared" si="3"/>
        <v>0</v>
      </c>
      <c r="BJ14" s="105">
        <f t="shared" si="3"/>
        <v>0</v>
      </c>
      <c r="BK14" s="105">
        <f t="shared" si="3"/>
        <v>0</v>
      </c>
      <c r="BL14" s="105">
        <f t="shared" si="3"/>
        <v>0</v>
      </c>
      <c r="BM14" s="105">
        <f t="shared" si="3"/>
        <v>0</v>
      </c>
      <c r="BN14" s="105">
        <f t="shared" si="3"/>
        <v>0</v>
      </c>
      <c r="BO14" s="105">
        <f t="shared" si="3"/>
        <v>0</v>
      </c>
      <c r="BP14" s="105">
        <f t="shared" si="3"/>
        <v>0</v>
      </c>
      <c r="BQ14" s="105">
        <f t="shared" si="3"/>
        <v>0</v>
      </c>
      <c r="BR14" s="105">
        <f t="shared" si="3"/>
        <v>0</v>
      </c>
      <c r="BS14" s="105">
        <f t="shared" si="3"/>
        <v>0</v>
      </c>
      <c r="BT14" s="105">
        <f t="shared" si="3"/>
        <v>0</v>
      </c>
      <c r="BU14" s="105">
        <f t="shared" si="3"/>
        <v>0</v>
      </c>
      <c r="BV14" s="105">
        <f t="shared" si="3"/>
        <v>0</v>
      </c>
      <c r="BW14" s="105">
        <f t="shared" si="3"/>
        <v>0</v>
      </c>
      <c r="BX14" s="105">
        <f t="shared" si="3"/>
        <v>0</v>
      </c>
      <c r="BY14" s="105">
        <f t="shared" si="3"/>
        <v>0</v>
      </c>
      <c r="BZ14" s="105">
        <f t="shared" si="3"/>
        <v>0</v>
      </c>
      <c r="CA14" s="105">
        <f t="shared" si="3"/>
        <v>0</v>
      </c>
      <c r="CB14" s="105">
        <f t="shared" si="3"/>
        <v>0</v>
      </c>
      <c r="CC14" s="105">
        <f t="shared" si="3"/>
        <v>0</v>
      </c>
      <c r="CD14" s="105">
        <f t="shared" si="3"/>
        <v>0</v>
      </c>
      <c r="CE14" s="105">
        <f t="shared" si="3"/>
        <v>0</v>
      </c>
      <c r="CF14" s="105">
        <f t="shared" si="3"/>
        <v>0</v>
      </c>
      <c r="CG14" s="105">
        <f t="shared" si="3"/>
        <v>0</v>
      </c>
      <c r="CH14" s="105">
        <f t="shared" si="3"/>
        <v>0</v>
      </c>
      <c r="CI14" s="105">
        <f t="shared" si="3"/>
        <v>0</v>
      </c>
      <c r="CJ14" s="105">
        <f t="shared" si="3"/>
        <v>0</v>
      </c>
      <c r="CK14" s="105">
        <f t="shared" si="3"/>
        <v>0</v>
      </c>
      <c r="CL14" s="105">
        <f t="shared" si="3"/>
        <v>0</v>
      </c>
      <c r="CM14" s="105">
        <f t="shared" si="3"/>
        <v>0</v>
      </c>
      <c r="CN14" s="105">
        <f t="shared" si="3"/>
        <v>0</v>
      </c>
      <c r="CO14" s="105">
        <f t="shared" si="3"/>
        <v>0</v>
      </c>
      <c r="CP14" s="105">
        <f t="shared" si="3"/>
        <v>0</v>
      </c>
      <c r="CQ14" s="105">
        <f t="shared" si="3"/>
        <v>0</v>
      </c>
      <c r="CR14" s="105">
        <f t="shared" si="3"/>
        <v>0</v>
      </c>
    </row>
    <row r="15" spans="1:104" s="104" customFormat="1">
      <c r="H15" s="60"/>
      <c r="I15" s="105"/>
      <c r="J15" s="105"/>
      <c r="K15" s="105"/>
      <c r="L15" s="105"/>
      <c r="M15" s="105"/>
      <c r="N15" s="105"/>
      <c r="O15" s="105"/>
      <c r="P15" s="105"/>
      <c r="Q15" s="105"/>
      <c r="R15" s="105"/>
      <c r="S15" s="105"/>
      <c r="T15" s="105"/>
      <c r="U15" s="105"/>
      <c r="V15" s="105"/>
      <c r="W15" s="105"/>
      <c r="X15" s="105"/>
      <c r="Y15" s="105"/>
      <c r="Z15" s="105"/>
      <c r="AA15" s="105"/>
      <c r="AB15" s="105"/>
      <c r="AC15" s="105"/>
      <c r="AD15" s="105"/>
      <c r="AE15" s="105"/>
      <c r="AF15" s="105"/>
      <c r="AG15" s="105"/>
      <c r="AH15" s="105"/>
      <c r="AI15" s="105"/>
      <c r="AJ15" s="105"/>
      <c r="AK15" s="105"/>
      <c r="AL15" s="105"/>
      <c r="AM15" s="105"/>
      <c r="AN15" s="105"/>
      <c r="AO15" s="105"/>
      <c r="AP15" s="105"/>
      <c r="AQ15" s="105"/>
      <c r="AR15" s="105"/>
      <c r="AS15" s="105"/>
      <c r="AT15" s="105"/>
      <c r="AU15" s="105"/>
      <c r="AV15" s="105"/>
      <c r="AW15" s="105"/>
      <c r="AX15" s="105"/>
      <c r="AY15" s="105"/>
      <c r="AZ15" s="105"/>
      <c r="BA15" s="105"/>
      <c r="BB15" s="105"/>
      <c r="BC15" s="105"/>
      <c r="BD15" s="105"/>
      <c r="BE15" s="105"/>
      <c r="BF15" s="105"/>
      <c r="BG15" s="105"/>
      <c r="BH15" s="105"/>
      <c r="BI15" s="105"/>
      <c r="BJ15" s="105"/>
      <c r="BK15" s="105"/>
      <c r="BL15" s="105"/>
      <c r="BM15" s="105"/>
      <c r="BN15" s="105"/>
      <c r="BO15" s="105"/>
      <c r="BP15" s="105"/>
      <c r="BQ15" s="105"/>
      <c r="BR15" s="105"/>
      <c r="BS15" s="105"/>
      <c r="BT15" s="105"/>
      <c r="BU15" s="105"/>
      <c r="BV15" s="105"/>
      <c r="BW15" s="105"/>
      <c r="BX15" s="105"/>
      <c r="BY15" s="105"/>
      <c r="BZ15" s="105"/>
      <c r="CA15" s="105"/>
      <c r="CB15" s="105"/>
      <c r="CC15" s="105"/>
      <c r="CD15" s="105"/>
      <c r="CE15" s="105"/>
      <c r="CF15" s="105"/>
      <c r="CG15" s="105"/>
      <c r="CH15" s="105"/>
      <c r="CI15" s="105"/>
      <c r="CJ15" s="105"/>
      <c r="CK15" s="105"/>
      <c r="CL15" s="105"/>
      <c r="CM15" s="105"/>
      <c r="CN15" s="105"/>
      <c r="CO15" s="105"/>
      <c r="CP15" s="105"/>
      <c r="CQ15" s="105"/>
      <c r="CR15" s="105"/>
    </row>
    <row r="16" spans="1:104" ht="15">
      <c r="A16"/>
      <c r="H16" s="60" t="s">
        <v>429</v>
      </c>
      <c r="I16" s="74"/>
      <c r="J16" s="74"/>
      <c r="K16" s="74"/>
      <c r="L16" s="74"/>
      <c r="M16" s="74"/>
      <c r="N16" s="74"/>
      <c r="O16" s="74"/>
      <c r="P16" s="74"/>
      <c r="Q16" s="74"/>
      <c r="R16" s="74"/>
      <c r="S16" s="74"/>
      <c r="T16" s="74"/>
      <c r="U16" s="74"/>
      <c r="V16" s="74"/>
      <c r="W16" s="74"/>
      <c r="X16" s="74"/>
      <c r="Y16" s="74"/>
      <c r="Z16" s="74"/>
      <c r="AA16" s="74"/>
      <c r="AB16" s="74"/>
      <c r="AC16" s="74"/>
      <c r="AD16" s="74"/>
      <c r="AE16" s="74"/>
      <c r="AF16" s="74"/>
      <c r="AG16" s="74"/>
      <c r="AH16" s="74"/>
      <c r="AI16" s="74"/>
      <c r="AK16" s="74"/>
      <c r="AL16" s="74"/>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c r="BM16" s="74"/>
      <c r="BN16" s="74"/>
      <c r="BO16" s="74"/>
      <c r="BP16" s="74"/>
      <c r="BQ16" s="74"/>
      <c r="BR16" s="74"/>
      <c r="BS16" s="74"/>
      <c r="BT16" s="74"/>
      <c r="BU16" s="74"/>
      <c r="BV16" s="74"/>
      <c r="BW16" s="74"/>
      <c r="BX16" s="74"/>
      <c r="BY16" s="74"/>
      <c r="BZ16" s="74"/>
      <c r="CA16" s="74"/>
      <c r="CB16" s="74"/>
      <c r="CC16" s="74"/>
      <c r="CD16" s="74"/>
      <c r="CE16" s="74"/>
      <c r="CF16" s="74"/>
      <c r="CG16" s="74"/>
      <c r="CH16" s="74"/>
      <c r="CI16" s="74"/>
      <c r="CJ16" s="74"/>
      <c r="CK16" s="74"/>
      <c r="CL16" s="74"/>
      <c r="CM16" s="74"/>
      <c r="CN16" s="74"/>
      <c r="CO16" s="74"/>
      <c r="CP16" s="74"/>
      <c r="CQ16" s="74"/>
      <c r="CR16" s="74"/>
    </row>
    <row r="17" spans="8:96">
      <c r="H17" s="60" t="s">
        <v>406</v>
      </c>
      <c r="I17" s="74"/>
      <c r="J17" s="74"/>
      <c r="K17" s="74"/>
      <c r="L17" s="74"/>
      <c r="M17" s="74"/>
      <c r="N17" s="74"/>
      <c r="O17" s="74"/>
      <c r="P17" s="74"/>
      <c r="Q17" s="74"/>
      <c r="R17" s="74"/>
      <c r="S17" s="74"/>
      <c r="T17" s="74"/>
      <c r="U17" s="74"/>
      <c r="V17" s="74"/>
      <c r="W17" s="74"/>
      <c r="X17" s="74"/>
      <c r="Y17" s="74"/>
      <c r="Z17" s="74"/>
      <c r="AA17" s="74"/>
      <c r="AB17" s="74"/>
      <c r="AC17" s="74"/>
      <c r="AD17" s="74"/>
      <c r="AE17" s="74"/>
      <c r="AF17" s="74"/>
      <c r="AG17" s="74"/>
      <c r="AH17" s="74"/>
      <c r="AI17" s="74"/>
      <c r="AK17" s="74"/>
      <c r="AL17" s="74"/>
      <c r="AM17" s="74"/>
      <c r="AN17" s="74"/>
      <c r="AO17" s="74"/>
      <c r="AP17" s="74"/>
      <c r="AQ17" s="74"/>
      <c r="AR17" s="74"/>
      <c r="AS17" s="74"/>
      <c r="AT17" s="74"/>
      <c r="AU17" s="74"/>
      <c r="AV17" s="74"/>
      <c r="AW17" s="74"/>
      <c r="AX17" s="74"/>
      <c r="AY17" s="74"/>
      <c r="AZ17" s="74"/>
      <c r="BA17" s="74"/>
      <c r="BB17" s="74"/>
      <c r="BC17" s="74"/>
      <c r="BD17" s="74"/>
      <c r="BE17" s="74"/>
      <c r="BF17" s="74"/>
      <c r="BG17" s="74"/>
      <c r="BH17" s="74"/>
      <c r="BI17" s="74"/>
      <c r="BJ17" s="74"/>
      <c r="BK17" s="74"/>
      <c r="BL17" s="74"/>
      <c r="BM17" s="74"/>
      <c r="BN17" s="74"/>
      <c r="BO17" s="74"/>
      <c r="BP17" s="74"/>
      <c r="BQ17" s="74"/>
      <c r="BR17" s="74"/>
      <c r="BS17" s="74"/>
      <c r="BT17" s="74"/>
      <c r="BU17" s="74"/>
      <c r="BV17" s="74"/>
      <c r="BW17" s="74"/>
      <c r="BX17" s="74"/>
      <c r="BY17" s="74"/>
      <c r="BZ17" s="74"/>
      <c r="CA17" s="74"/>
      <c r="CB17" s="74"/>
      <c r="CC17" s="74"/>
      <c r="CD17" s="74"/>
      <c r="CE17" s="74"/>
      <c r="CF17" s="74"/>
      <c r="CG17" s="74"/>
      <c r="CH17" s="74"/>
      <c r="CI17" s="74"/>
      <c r="CJ17" s="74"/>
      <c r="CK17" s="74"/>
      <c r="CL17" s="74"/>
      <c r="CM17" s="74"/>
      <c r="CN17" s="74"/>
      <c r="CO17" s="74"/>
      <c r="CP17" s="74"/>
      <c r="CQ17" s="74"/>
      <c r="CR17" s="74"/>
    </row>
    <row r="19" spans="8:96" ht="13" thickBot="1"/>
    <row r="20" spans="8:96" s="73" customFormat="1" ht="13" thickBot="1">
      <c r="H20" s="257" t="s">
        <v>800</v>
      </c>
      <c r="I20" s="258">
        <f>+I14</f>
        <v>0</v>
      </c>
      <c r="J20" s="258">
        <f t="shared" ref="J20:BU20" si="4">+J14</f>
        <v>0</v>
      </c>
      <c r="K20" s="258">
        <f t="shared" si="4"/>
        <v>0</v>
      </c>
      <c r="L20" s="258">
        <f t="shared" si="4"/>
        <v>0</v>
      </c>
      <c r="M20" s="258">
        <f t="shared" si="4"/>
        <v>0</v>
      </c>
      <c r="N20" s="258">
        <f t="shared" si="4"/>
        <v>0</v>
      </c>
      <c r="O20" s="258">
        <f t="shared" si="4"/>
        <v>0</v>
      </c>
      <c r="P20" s="258">
        <f t="shared" si="4"/>
        <v>0</v>
      </c>
      <c r="Q20" s="258">
        <f t="shared" si="4"/>
        <v>0</v>
      </c>
      <c r="R20" s="258">
        <f t="shared" si="4"/>
        <v>0</v>
      </c>
      <c r="S20" s="258">
        <f t="shared" si="4"/>
        <v>0</v>
      </c>
      <c r="T20" s="258">
        <f t="shared" si="4"/>
        <v>0</v>
      </c>
      <c r="U20" s="258">
        <f t="shared" si="4"/>
        <v>0</v>
      </c>
      <c r="V20" s="258">
        <f t="shared" si="4"/>
        <v>0</v>
      </c>
      <c r="W20" s="258">
        <f t="shared" si="4"/>
        <v>0</v>
      </c>
      <c r="X20" s="258">
        <f t="shared" si="4"/>
        <v>0</v>
      </c>
      <c r="Y20" s="258">
        <f t="shared" si="4"/>
        <v>0</v>
      </c>
      <c r="Z20" s="258">
        <f t="shared" si="4"/>
        <v>0</v>
      </c>
      <c r="AA20" s="258">
        <f t="shared" si="4"/>
        <v>0</v>
      </c>
      <c r="AB20" s="258">
        <f t="shared" si="4"/>
        <v>0</v>
      </c>
      <c r="AC20" s="258">
        <f t="shared" si="4"/>
        <v>0</v>
      </c>
      <c r="AD20" s="258">
        <f t="shared" si="4"/>
        <v>0</v>
      </c>
      <c r="AE20" s="258">
        <f t="shared" si="4"/>
        <v>0</v>
      </c>
      <c r="AF20" s="258">
        <f t="shared" si="4"/>
        <v>0</v>
      </c>
      <c r="AG20" s="258">
        <f t="shared" si="4"/>
        <v>0</v>
      </c>
      <c r="AH20" s="258">
        <f t="shared" si="4"/>
        <v>0</v>
      </c>
      <c r="AI20" s="258">
        <f t="shared" si="4"/>
        <v>0</v>
      </c>
      <c r="AJ20" s="258">
        <f t="shared" si="4"/>
        <v>0</v>
      </c>
      <c r="AK20" s="258">
        <f t="shared" si="4"/>
        <v>0</v>
      </c>
      <c r="AL20" s="258">
        <f t="shared" si="4"/>
        <v>0</v>
      </c>
      <c r="AM20" s="258">
        <f t="shared" si="4"/>
        <v>0</v>
      </c>
      <c r="AN20" s="258">
        <f t="shared" si="4"/>
        <v>0</v>
      </c>
      <c r="AO20" s="258">
        <f t="shared" si="4"/>
        <v>0</v>
      </c>
      <c r="AP20" s="258">
        <f t="shared" si="4"/>
        <v>0</v>
      </c>
      <c r="AQ20" s="258">
        <f t="shared" si="4"/>
        <v>0</v>
      </c>
      <c r="AR20" s="258">
        <f t="shared" si="4"/>
        <v>0</v>
      </c>
      <c r="AS20" s="258">
        <f t="shared" si="4"/>
        <v>0</v>
      </c>
      <c r="AT20" s="258">
        <f t="shared" si="4"/>
        <v>0</v>
      </c>
      <c r="AU20" s="258">
        <f t="shared" si="4"/>
        <v>0</v>
      </c>
      <c r="AV20" s="258">
        <f t="shared" si="4"/>
        <v>0</v>
      </c>
      <c r="AW20" s="258">
        <f t="shared" si="4"/>
        <v>0</v>
      </c>
      <c r="AX20" s="258">
        <f t="shared" si="4"/>
        <v>0</v>
      </c>
      <c r="AY20" s="258">
        <f t="shared" si="4"/>
        <v>0</v>
      </c>
      <c r="AZ20" s="258">
        <f t="shared" si="4"/>
        <v>0</v>
      </c>
      <c r="BA20" s="258">
        <f t="shared" si="4"/>
        <v>0</v>
      </c>
      <c r="BB20" s="258">
        <f t="shared" si="4"/>
        <v>0</v>
      </c>
      <c r="BC20" s="258">
        <f t="shared" si="4"/>
        <v>0</v>
      </c>
      <c r="BD20" s="258">
        <f t="shared" si="4"/>
        <v>0</v>
      </c>
      <c r="BE20" s="258">
        <f t="shared" si="4"/>
        <v>0</v>
      </c>
      <c r="BF20" s="258">
        <f t="shared" si="4"/>
        <v>0</v>
      </c>
      <c r="BG20" s="258">
        <f t="shared" si="4"/>
        <v>0</v>
      </c>
      <c r="BH20" s="258">
        <f t="shared" si="4"/>
        <v>0</v>
      </c>
      <c r="BI20" s="258">
        <f t="shared" si="4"/>
        <v>0</v>
      </c>
      <c r="BJ20" s="258">
        <f t="shared" si="4"/>
        <v>0</v>
      </c>
      <c r="BK20" s="258">
        <f t="shared" si="4"/>
        <v>0</v>
      </c>
      <c r="BL20" s="258">
        <f t="shared" si="4"/>
        <v>0</v>
      </c>
      <c r="BM20" s="258">
        <f t="shared" si="4"/>
        <v>0</v>
      </c>
      <c r="BN20" s="258">
        <f t="shared" si="4"/>
        <v>0</v>
      </c>
      <c r="BO20" s="258">
        <f t="shared" si="4"/>
        <v>0</v>
      </c>
      <c r="BP20" s="258">
        <f t="shared" si="4"/>
        <v>0</v>
      </c>
      <c r="BQ20" s="258">
        <f t="shared" si="4"/>
        <v>0</v>
      </c>
      <c r="BR20" s="258">
        <f t="shared" si="4"/>
        <v>0</v>
      </c>
      <c r="BS20" s="258">
        <f t="shared" si="4"/>
        <v>0</v>
      </c>
      <c r="BT20" s="258">
        <f t="shared" si="4"/>
        <v>0</v>
      </c>
      <c r="BU20" s="258">
        <f t="shared" si="4"/>
        <v>0</v>
      </c>
      <c r="BV20" s="258">
        <f t="shared" ref="BV20:CR20" si="5">+BV14</f>
        <v>0</v>
      </c>
      <c r="BW20" s="258">
        <f t="shared" si="5"/>
        <v>0</v>
      </c>
      <c r="BX20" s="258">
        <f t="shared" si="5"/>
        <v>0</v>
      </c>
      <c r="BY20" s="258">
        <f t="shared" si="5"/>
        <v>0</v>
      </c>
      <c r="BZ20" s="258">
        <f t="shared" si="5"/>
        <v>0</v>
      </c>
      <c r="CA20" s="258">
        <f t="shared" si="5"/>
        <v>0</v>
      </c>
      <c r="CB20" s="258">
        <f t="shared" si="5"/>
        <v>0</v>
      </c>
      <c r="CC20" s="258">
        <f t="shared" si="5"/>
        <v>0</v>
      </c>
      <c r="CD20" s="258">
        <f t="shared" si="5"/>
        <v>0</v>
      </c>
      <c r="CE20" s="258">
        <f t="shared" si="5"/>
        <v>0</v>
      </c>
      <c r="CF20" s="258">
        <f t="shared" si="5"/>
        <v>0</v>
      </c>
      <c r="CG20" s="258">
        <f t="shared" si="5"/>
        <v>0</v>
      </c>
      <c r="CH20" s="258">
        <f t="shared" si="5"/>
        <v>0</v>
      </c>
      <c r="CI20" s="258">
        <f t="shared" si="5"/>
        <v>0</v>
      </c>
      <c r="CJ20" s="258">
        <f t="shared" si="5"/>
        <v>0</v>
      </c>
      <c r="CK20" s="258">
        <f t="shared" si="5"/>
        <v>0</v>
      </c>
      <c r="CL20" s="258">
        <f t="shared" si="5"/>
        <v>0</v>
      </c>
      <c r="CM20" s="258">
        <f t="shared" si="5"/>
        <v>0</v>
      </c>
      <c r="CN20" s="258">
        <f t="shared" si="5"/>
        <v>0</v>
      </c>
      <c r="CO20" s="258">
        <f t="shared" si="5"/>
        <v>0</v>
      </c>
      <c r="CP20" s="258">
        <f t="shared" si="5"/>
        <v>0</v>
      </c>
      <c r="CQ20" s="258">
        <f t="shared" si="5"/>
        <v>0</v>
      </c>
      <c r="CR20" s="258">
        <f t="shared" si="5"/>
        <v>0</v>
      </c>
    </row>
  </sheetData>
  <pageMargins left="0.7" right="0.7" top="0.75" bottom="0.75" header="0.3" footer="0.3"/>
  <drawing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CZ20"/>
  <sheetViews>
    <sheetView workbookViewId="0">
      <pane xSplit="11" ySplit="7" topLeftCell="L8" activePane="bottomRight" state="frozen"/>
      <selection pane="topRight" activeCell="L1" sqref="L1"/>
      <selection pane="bottomLeft" activeCell="A7" sqref="A7"/>
      <selection pane="bottomRight" activeCell="J20" sqref="J20"/>
    </sheetView>
  </sheetViews>
  <sheetFormatPr baseColWidth="10" defaultColWidth="22.6640625" defaultRowHeight="12"/>
  <cols>
    <col min="1" max="1" width="16.1640625" style="60" bestFit="1" customWidth="1"/>
    <col min="2" max="2" width="13.1640625" style="60" bestFit="1" customWidth="1"/>
    <col min="3" max="3" width="4.83203125" style="60" bestFit="1" customWidth="1"/>
    <col min="4" max="4" width="12.33203125" style="60" bestFit="1" customWidth="1"/>
    <col min="5" max="5" width="18.83203125" style="60" bestFit="1" customWidth="1"/>
    <col min="6" max="6" width="6.5" style="60" bestFit="1" customWidth="1"/>
    <col min="7" max="7" width="4.1640625" style="60" bestFit="1" customWidth="1"/>
    <col min="8" max="8" width="22.83203125" style="60" bestFit="1" customWidth="1"/>
    <col min="9" max="9" width="6.5" style="60" customWidth="1"/>
    <col min="10" max="11" width="6.1640625" style="60" bestFit="1" customWidth="1"/>
    <col min="12" max="12" width="5.5" style="60" bestFit="1" customWidth="1"/>
    <col min="13" max="13" width="5.83203125" style="60" bestFit="1" customWidth="1"/>
    <col min="14" max="18" width="5.5" style="60" bestFit="1" customWidth="1"/>
    <col min="19" max="19" width="5.6640625" style="60" bestFit="1" customWidth="1"/>
    <col min="20" max="20" width="6.1640625" style="60" bestFit="1" customWidth="1"/>
    <col min="21" max="21" width="5.5" style="60" bestFit="1" customWidth="1"/>
    <col min="22" max="26" width="6.1640625" style="60" bestFit="1" customWidth="1"/>
    <col min="27" max="30" width="5.5" style="60" bestFit="1" customWidth="1"/>
    <col min="31" max="31" width="5.6640625" style="60" bestFit="1" customWidth="1"/>
    <col min="32" max="34" width="5.5" style="60" bestFit="1" customWidth="1"/>
    <col min="35" max="35" width="5.6640625" style="60" bestFit="1" customWidth="1"/>
    <col min="36" max="36" width="5.5" style="60" bestFit="1" customWidth="1"/>
    <col min="37" max="37" width="5.83203125" style="60" bestFit="1" customWidth="1"/>
    <col min="38" max="42" width="5.5" style="60" bestFit="1" customWidth="1"/>
    <col min="43" max="43" width="5.6640625" style="60" bestFit="1" customWidth="1"/>
    <col min="44" max="46" width="5.5" style="60" bestFit="1" customWidth="1"/>
    <col min="47" max="47" width="5.6640625" style="60" bestFit="1" customWidth="1"/>
    <col min="48" max="48" width="5.5" style="60" bestFit="1" customWidth="1"/>
    <col min="49" max="49" width="5.83203125" style="60" bestFit="1" customWidth="1"/>
    <col min="50" max="51" width="5.5" style="60" bestFit="1" customWidth="1"/>
    <col min="52" max="54" width="7" style="60" bestFit="1" customWidth="1"/>
    <col min="55" max="56" width="5.5" style="60" bestFit="1" customWidth="1"/>
    <col min="57" max="58" width="5.83203125" style="60" bestFit="1" customWidth="1"/>
    <col min="59" max="70" width="5.6640625" style="60" bestFit="1" customWidth="1"/>
    <col min="71" max="80" width="5.5" style="60" bestFit="1" customWidth="1"/>
    <col min="81" max="90" width="6.1640625" style="60" bestFit="1" customWidth="1"/>
    <col min="91" max="95" width="6.33203125" style="60" bestFit="1" customWidth="1"/>
    <col min="96" max="99" width="6.1640625" style="60" bestFit="1" customWidth="1"/>
    <col min="100" max="104" width="5.1640625" style="60" bestFit="1" customWidth="1"/>
    <col min="105" max="16384" width="22.6640625" style="60"/>
  </cols>
  <sheetData>
    <row r="1" spans="1:104" ht="13">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row>
    <row r="2" spans="1:104">
      <c r="A2" s="59"/>
      <c r="B2" s="59"/>
      <c r="C2" s="59"/>
      <c r="D2" s="98"/>
      <c r="E2" s="98"/>
      <c r="F2" s="59"/>
      <c r="H2" s="99"/>
      <c r="I2" s="99"/>
      <c r="J2" s="99"/>
      <c r="K2" s="99"/>
      <c r="L2" s="99"/>
      <c r="M2" s="99"/>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99"/>
      <c r="AP2" s="99"/>
      <c r="AQ2" s="99"/>
      <c r="AR2" s="99"/>
      <c r="AS2" s="99"/>
      <c r="AT2" s="99"/>
      <c r="AU2" s="99"/>
      <c r="AV2" s="99"/>
      <c r="AW2" s="99"/>
      <c r="AX2" s="99"/>
      <c r="AY2" s="99"/>
      <c r="AZ2" s="99"/>
      <c r="BA2" s="99"/>
      <c r="BB2" s="99"/>
      <c r="BC2" s="99"/>
      <c r="BD2" s="99"/>
      <c r="BE2" s="99"/>
      <c r="BF2" s="99"/>
      <c r="BG2" s="99"/>
      <c r="BH2" s="99"/>
      <c r="BI2" s="99"/>
      <c r="BJ2" s="99"/>
      <c r="BK2" s="99"/>
      <c r="BL2" s="99"/>
      <c r="BM2" s="99"/>
      <c r="BN2" s="99"/>
      <c r="BO2" s="99"/>
      <c r="BP2" s="99"/>
      <c r="BQ2" s="99"/>
      <c r="BR2" s="99"/>
      <c r="BS2" s="99"/>
      <c r="BT2" s="99"/>
      <c r="BU2" s="99"/>
      <c r="BV2" s="99"/>
      <c r="BW2" s="99"/>
      <c r="BX2" s="99"/>
      <c r="BY2" s="99"/>
      <c r="BZ2" s="99"/>
      <c r="CA2" s="99"/>
      <c r="CB2" s="99"/>
      <c r="CC2" s="99"/>
      <c r="CD2" s="99"/>
      <c r="CE2" s="99"/>
      <c r="CF2" s="99"/>
      <c r="CG2" s="99"/>
      <c r="CH2" s="99"/>
      <c r="CI2" s="99"/>
      <c r="CJ2" s="99"/>
      <c r="CK2" s="99"/>
      <c r="CL2" s="99"/>
      <c r="CM2" s="99"/>
      <c r="CN2" s="99"/>
    </row>
    <row r="3" spans="1:104" ht="15">
      <c r="A3" t="s">
        <v>823</v>
      </c>
      <c r="B3" s="100"/>
      <c r="C3" s="101"/>
      <c r="D3" s="282">
        <v>152.22999999999999</v>
      </c>
      <c r="K3" s="102"/>
      <c r="M3" s="102"/>
    </row>
    <row r="4" spans="1:104">
      <c r="A4" s="36"/>
      <c r="B4" s="64"/>
      <c r="D4" s="100"/>
      <c r="E4" s="64"/>
      <c r="F4" s="103"/>
    </row>
    <row r="5" spans="1:104">
      <c r="A5" s="64"/>
      <c r="B5" s="64"/>
      <c r="D5" s="64"/>
      <c r="E5" s="64"/>
      <c r="H5" s="60" t="s">
        <v>387</v>
      </c>
    </row>
    <row r="6" spans="1:104">
      <c r="A6" s="74"/>
      <c r="B6" s="74"/>
    </row>
    <row r="7" spans="1:104">
      <c r="A7" s="59"/>
      <c r="B7" s="59"/>
      <c r="C7" s="59"/>
      <c r="D7" s="98"/>
      <c r="E7" s="98"/>
      <c r="F7" s="59"/>
      <c r="H7" s="59" t="s">
        <v>416</v>
      </c>
      <c r="I7" s="59">
        <v>43831</v>
      </c>
      <c r="J7" s="59">
        <v>43862</v>
      </c>
      <c r="K7" s="59">
        <v>43891</v>
      </c>
      <c r="L7" s="59">
        <v>43922</v>
      </c>
      <c r="M7" s="59">
        <v>43952</v>
      </c>
      <c r="N7" s="59">
        <v>43983</v>
      </c>
      <c r="O7" s="59">
        <v>44013</v>
      </c>
      <c r="P7" s="59">
        <v>44044</v>
      </c>
      <c r="Q7" s="59">
        <v>44075</v>
      </c>
      <c r="R7" s="59">
        <v>44105</v>
      </c>
      <c r="S7" s="59">
        <v>44136</v>
      </c>
      <c r="T7" s="59">
        <v>44166</v>
      </c>
      <c r="U7" s="59">
        <v>44197</v>
      </c>
      <c r="V7" s="59">
        <v>44228</v>
      </c>
      <c r="W7" s="59">
        <v>44256</v>
      </c>
      <c r="X7" s="59">
        <v>44287</v>
      </c>
      <c r="Y7" s="59">
        <v>44317</v>
      </c>
      <c r="Z7" s="59">
        <v>44348</v>
      </c>
      <c r="AA7" s="59">
        <v>44378</v>
      </c>
      <c r="AB7" s="59">
        <v>44409</v>
      </c>
      <c r="AC7" s="59">
        <v>44440</v>
      </c>
      <c r="AD7" s="59">
        <v>44470</v>
      </c>
      <c r="AE7" s="59">
        <v>44501</v>
      </c>
      <c r="AF7" s="59">
        <v>44531</v>
      </c>
      <c r="AG7" s="59">
        <v>44562</v>
      </c>
      <c r="AH7" s="59">
        <v>44593</v>
      </c>
      <c r="AI7" s="59">
        <v>44621</v>
      </c>
      <c r="AJ7" s="59">
        <v>44652</v>
      </c>
      <c r="AK7" s="59">
        <v>44682</v>
      </c>
      <c r="AL7" s="59">
        <v>44713</v>
      </c>
      <c r="AM7" s="59">
        <v>44743</v>
      </c>
      <c r="AN7" s="59">
        <v>44774</v>
      </c>
      <c r="AO7" s="59">
        <v>44805</v>
      </c>
      <c r="AP7" s="59">
        <v>44835</v>
      </c>
      <c r="AQ7" s="59">
        <v>44866</v>
      </c>
      <c r="AR7" s="59">
        <v>44896</v>
      </c>
      <c r="AS7" s="59">
        <v>44927</v>
      </c>
      <c r="AT7" s="59">
        <v>44958</v>
      </c>
      <c r="AU7" s="59">
        <v>44986</v>
      </c>
      <c r="AV7" s="59">
        <v>45017</v>
      </c>
      <c r="AW7" s="59">
        <v>45047</v>
      </c>
      <c r="AX7" s="59">
        <v>45078</v>
      </c>
      <c r="AY7" s="59">
        <v>45108</v>
      </c>
      <c r="AZ7" s="59" t="s">
        <v>530</v>
      </c>
      <c r="BA7" s="59" t="s">
        <v>531</v>
      </c>
      <c r="BB7" s="59" t="s">
        <v>532</v>
      </c>
      <c r="BC7" s="59">
        <v>37104</v>
      </c>
      <c r="BD7" s="59">
        <v>37469</v>
      </c>
      <c r="BE7" s="59" t="s">
        <v>168</v>
      </c>
      <c r="BF7" s="59" t="s">
        <v>169</v>
      </c>
      <c r="BG7" s="59" t="s">
        <v>195</v>
      </c>
      <c r="BH7" s="59" t="s">
        <v>196</v>
      </c>
      <c r="BI7" s="59" t="s">
        <v>197</v>
      </c>
      <c r="BJ7" s="59" t="s">
        <v>198</v>
      </c>
      <c r="BK7" s="59" t="s">
        <v>199</v>
      </c>
      <c r="BL7" s="59" t="s">
        <v>200</v>
      </c>
      <c r="BM7" s="59" t="s">
        <v>201</v>
      </c>
      <c r="BN7" s="59" t="s">
        <v>202</v>
      </c>
      <c r="BO7" s="59">
        <v>37196</v>
      </c>
      <c r="BP7" s="59">
        <v>37561</v>
      </c>
      <c r="BQ7" s="59">
        <v>37926</v>
      </c>
      <c r="BR7" s="59">
        <v>38292</v>
      </c>
      <c r="BS7" s="59">
        <v>37226</v>
      </c>
      <c r="BT7" s="59">
        <v>37591</v>
      </c>
      <c r="BU7" s="59">
        <v>37956</v>
      </c>
      <c r="BV7" s="59">
        <v>38322</v>
      </c>
      <c r="BW7" s="59">
        <v>36892</v>
      </c>
      <c r="BX7" s="59">
        <v>37257</v>
      </c>
      <c r="BY7" s="59">
        <v>37622</v>
      </c>
      <c r="BZ7" s="59">
        <v>37987</v>
      </c>
      <c r="CA7" s="59">
        <v>36923</v>
      </c>
      <c r="CB7" s="59">
        <v>37288</v>
      </c>
      <c r="CC7" s="59">
        <v>37653</v>
      </c>
      <c r="CD7" s="59">
        <v>38018</v>
      </c>
      <c r="CE7" s="59" t="str">
        <f>Sheet8!A15</f>
        <v>Mar-w1</v>
      </c>
      <c r="CF7" s="59">
        <v>37316</v>
      </c>
      <c r="CG7" s="59">
        <v>37681</v>
      </c>
      <c r="CH7" s="59">
        <v>38047</v>
      </c>
      <c r="CI7" s="59" t="str">
        <f>Sheet8!E15</f>
        <v>Apr-w1</v>
      </c>
      <c r="CJ7" s="59" t="str">
        <f>Sheet8!F15</f>
        <v>Apr-w2</v>
      </c>
      <c r="CK7" s="59" t="str">
        <f>Sheet8!G15</f>
        <v>Apr-w3</v>
      </c>
      <c r="CL7" s="59" t="str">
        <f>Sheet8!H15</f>
        <v>Apr-w4</v>
      </c>
      <c r="CM7" s="59" t="str">
        <f>Sheet8!I15</f>
        <v>May-w1</v>
      </c>
      <c r="CN7" s="59" t="str">
        <f>Sheet8!J15</f>
        <v>May-w2</v>
      </c>
      <c r="CO7" s="59" t="str">
        <f>Sheet8!K15</f>
        <v>May-w3</v>
      </c>
      <c r="CP7" s="59" t="str">
        <f>Sheet8!L15</f>
        <v>May-w4</v>
      </c>
      <c r="CQ7" s="59" t="str">
        <f>Sheet8!M15</f>
        <v>May-w5</v>
      </c>
      <c r="CR7" s="59" t="str">
        <f>Sheet8!N15</f>
        <v>june-w1</v>
      </c>
      <c r="CS7" s="59" t="str">
        <f>Sheet8!O15</f>
        <v>june-w2</v>
      </c>
      <c r="CT7" s="59" t="str">
        <f>Sheet8!P15</f>
        <v>june-w3</v>
      </c>
      <c r="CU7" s="59" t="str">
        <f>Sheet8!Q15</f>
        <v>june-w4</v>
      </c>
      <c r="CV7" s="59" t="str">
        <f>Sheet8!R15</f>
        <v>Jul-w1</v>
      </c>
      <c r="CW7" s="59" t="str">
        <f>Sheet8!S15</f>
        <v>Jul-w2</v>
      </c>
      <c r="CX7" s="59" t="str">
        <f>Sheet8!T15</f>
        <v>Jul-w3</v>
      </c>
      <c r="CY7" s="59" t="str">
        <f>Sheet8!U15</f>
        <v>Jul-w4</v>
      </c>
      <c r="CZ7" s="59" t="str">
        <f>Sheet8!V15</f>
        <v>Aug-w1</v>
      </c>
    </row>
    <row r="8" spans="1:104" ht="13">
      <c r="H8" s="107" t="s">
        <v>364</v>
      </c>
      <c r="I8" s="74">
        <f>VLOOKUP($H$8&amp;$F$1,'Input RM sheet'!$A:$BD,H1,0)</f>
        <v>0</v>
      </c>
      <c r="J8" s="74">
        <f>VLOOKUP($H$8&amp;$F$1,'Input RM sheet'!$A:$BD,I1,0)</f>
        <v>0</v>
      </c>
      <c r="K8" s="74">
        <f>VLOOKUP($H$8&amp;$F$1,'Input RM sheet'!$A:$DD,J1,0)</f>
        <v>0</v>
      </c>
      <c r="L8" s="74">
        <f>VLOOKUP($H$8&amp;$F$1,'Input RM sheet'!$A:$DD,K1,0)</f>
        <v>0</v>
      </c>
      <c r="M8" s="74">
        <f>VLOOKUP($H$8&amp;$F$1,'Input RM sheet'!$A:$DD,L1,0)</f>
        <v>0</v>
      </c>
      <c r="N8" s="74">
        <f>VLOOKUP($H$8&amp;$F$1,'Input RM sheet'!$A:$DD,M1,0)</f>
        <v>0</v>
      </c>
      <c r="O8" s="74">
        <f>VLOOKUP($H$8&amp;$F$1,'Input RM sheet'!$A:$DD,N1,0)</f>
        <v>0</v>
      </c>
      <c r="P8" s="74">
        <f>VLOOKUP($H$8&amp;$F$1,'Input RM sheet'!$A:$DD,O1,0)</f>
        <v>0</v>
      </c>
      <c r="Q8" s="74">
        <f>VLOOKUP($H$8&amp;$F$1,'Input RM sheet'!$A:$DD,P1,0)</f>
        <v>0</v>
      </c>
      <c r="R8" s="74">
        <f>VLOOKUP($H$8&amp;$F$1,'Input RM sheet'!$A:$DD,Q1,0)</f>
        <v>0</v>
      </c>
      <c r="S8" s="74">
        <f>VLOOKUP($H$8&amp;$F$1,'Input RM sheet'!$A:$DD,R1,0)</f>
        <v>0</v>
      </c>
      <c r="T8" s="74">
        <f>VLOOKUP($H$8&amp;$F$1,'Input RM sheet'!$A:$DD,S1,0)</f>
        <v>0</v>
      </c>
      <c r="U8" s="74">
        <f>VLOOKUP($H$8&amp;$F$1,'Input RM sheet'!$A:$DD,T1,0)</f>
        <v>0</v>
      </c>
      <c r="V8" s="74">
        <f>VLOOKUP($H$8&amp;$F$1,'Input RM sheet'!$A:$DD,U1,0)</f>
        <v>0</v>
      </c>
      <c r="W8" s="74">
        <f>VLOOKUP($H$8&amp;$F$1,'Input RM sheet'!$A:$DD,V1,0)</f>
        <v>0</v>
      </c>
      <c r="X8" s="74">
        <f>VLOOKUP($H$8&amp;$F$1,'Input RM sheet'!$A:$DD,W1,0)</f>
        <v>0</v>
      </c>
      <c r="Y8" s="74">
        <f>VLOOKUP($H$8&amp;$F$1,'Input RM sheet'!$A:$DD,X1,0)</f>
        <v>0</v>
      </c>
      <c r="Z8" s="74">
        <f>VLOOKUP($H$8&amp;$F$1,'Input RM sheet'!$A:$DD,Y1,0)</f>
        <v>0</v>
      </c>
      <c r="AA8" s="74">
        <f>VLOOKUP($H$8&amp;$F$1,'Input RM sheet'!$A:$DD,Z1,0)</f>
        <v>0</v>
      </c>
      <c r="AB8" s="74">
        <f>VLOOKUP($H$8&amp;$F$1,'Input RM sheet'!$A:$DD,AA1,0)</f>
        <v>0</v>
      </c>
      <c r="AC8" s="74">
        <f>VLOOKUP($H$8&amp;$F$1,'Input RM sheet'!$A:$DD,AB1,0)</f>
        <v>0</v>
      </c>
      <c r="AD8" s="74">
        <f>VLOOKUP($H$8&amp;$F$1,'Input RM sheet'!$A:$DD,AC1,0)</f>
        <v>0</v>
      </c>
      <c r="AE8" s="74">
        <f>VLOOKUP($H$8&amp;$F$1,'Input RM sheet'!$A:$DD,AD1,0)</f>
        <v>0</v>
      </c>
      <c r="AF8" s="74">
        <f>VLOOKUP($H$8&amp;$F$1,'Input RM sheet'!$A:$DD,AE1,0)</f>
        <v>0</v>
      </c>
      <c r="AG8" s="74">
        <f>VLOOKUP($H$8&amp;$F$1,'Input RM sheet'!$A:$DD,AF1,0)</f>
        <v>0</v>
      </c>
      <c r="AH8" s="74">
        <f>VLOOKUP($H$8&amp;$F$1,'Input RM sheet'!$A:$DD,AG1,0)</f>
        <v>0</v>
      </c>
      <c r="AI8" s="74">
        <f>VLOOKUP($H$8&amp;$F$1,'Input RM sheet'!$A:$DD,AH1,0)</f>
        <v>0</v>
      </c>
      <c r="AJ8" s="74">
        <f>VLOOKUP($H$8&amp;$F$1,'Input RM sheet'!$A:$DD,AI1,0)</f>
        <v>0</v>
      </c>
      <c r="AK8" s="74">
        <f>VLOOKUP($H$8&amp;$F$1,'Input RM sheet'!$A:$DD,AJ1,0)</f>
        <v>0</v>
      </c>
      <c r="AL8" s="74">
        <f>VLOOKUP($H$8&amp;$F$1,'Input RM sheet'!$A:$DD,AK1,0)</f>
        <v>0</v>
      </c>
      <c r="AM8" s="74">
        <f>VLOOKUP($H$8&amp;$F$1,'Input RM sheet'!$A:$DD,AL1,0)</f>
        <v>0</v>
      </c>
      <c r="AN8" s="74">
        <f>VLOOKUP($H$8&amp;$F$1,'Input RM sheet'!$A:$DD,AM1,0)</f>
        <v>0</v>
      </c>
      <c r="AO8" s="74">
        <f>VLOOKUP($H$8&amp;$F$1,'Input RM sheet'!$A:$DD,AN1,0)</f>
        <v>0</v>
      </c>
      <c r="AP8" s="74">
        <f>VLOOKUP($H$8&amp;$F$1,'Input RM sheet'!$A:$DD,AO1,0)</f>
        <v>0</v>
      </c>
      <c r="AQ8" s="74">
        <f>VLOOKUP($H$8&amp;$F$1,'Input RM sheet'!$A:$DD,AP1,0)</f>
        <v>0</v>
      </c>
      <c r="AR8" s="74">
        <f>VLOOKUP($H$8&amp;$F$1,'Input RM sheet'!$A:$DD,AQ1,0)</f>
        <v>0</v>
      </c>
      <c r="AS8" s="74">
        <f>VLOOKUP($H$8&amp;$F$1,'Input RM sheet'!$A:$DD,AR1,0)</f>
        <v>0</v>
      </c>
      <c r="AT8" s="74">
        <f>VLOOKUP($H$8&amp;$F$1,'Input RM sheet'!$A:$DD,AS1,0)</f>
        <v>0</v>
      </c>
      <c r="AU8" s="74">
        <f>VLOOKUP($H$8&amp;$F$1,'Input RM sheet'!$A:$DD,AT1,0)</f>
        <v>0</v>
      </c>
      <c r="AV8" s="74">
        <f>VLOOKUP($H$8&amp;$F$1,'Input RM sheet'!$A:$DD,AU1,0)</f>
        <v>0</v>
      </c>
      <c r="AW8" s="74">
        <f>VLOOKUP($H$8&amp;$F$1,'Input RM sheet'!$A:$DD,AV1,0)</f>
        <v>0</v>
      </c>
      <c r="AX8" s="74">
        <f>VLOOKUP($H$8&amp;$F$1,'Input RM sheet'!$A:$DD,AW1,0)</f>
        <v>0</v>
      </c>
      <c r="AY8" s="74">
        <f>VLOOKUP($H$8&amp;$F$1,'Input RM sheet'!$A:$DD,AX1,0)</f>
        <v>0</v>
      </c>
      <c r="AZ8" s="74">
        <f>VLOOKUP($H$8&amp;$F$1,'Input RM sheet'!$A:$DD,AY1,0)</f>
        <v>0</v>
      </c>
      <c r="BA8" s="74">
        <f>VLOOKUP($H$8&amp;$F$1,'Input RM sheet'!$A:$DD,AZ1,0)</f>
        <v>0</v>
      </c>
      <c r="BB8" s="74">
        <f>VLOOKUP($H$8&amp;$F$1,'Input RM sheet'!$A:$DD,BA1,0)</f>
        <v>0</v>
      </c>
      <c r="BC8" s="74">
        <f>VLOOKUP($H$8&amp;$F$1,'Input RM sheet'!$A:$DD,BB1,0)</f>
        <v>0</v>
      </c>
      <c r="BD8" s="74">
        <f>VLOOKUP($H$8&amp;$F$1,'Input RM sheet'!$A:$DD,BC1,0)</f>
        <v>0</v>
      </c>
      <c r="BE8" s="74">
        <f>VLOOKUP($H$8&amp;$F$1,'Input RM sheet'!$A:$DD,BD1,0)</f>
        <v>0</v>
      </c>
      <c r="BF8" s="74">
        <f>VLOOKUP($H$8&amp;$F$1,'Input RM sheet'!$A:$DD,BE1,0)</f>
        <v>0</v>
      </c>
      <c r="BG8" s="74">
        <f>VLOOKUP($H$8&amp;$F$1,'Input RM sheet'!$A:$DD,BF1,0)</f>
        <v>0</v>
      </c>
      <c r="BH8" s="74">
        <f>VLOOKUP($H$8&amp;$F$1,'Input RM sheet'!$A:$DD,BG1,0)</f>
        <v>0</v>
      </c>
      <c r="BI8" s="74">
        <f>VLOOKUP($H$8&amp;$F$1,'Input RM sheet'!$A:$DD,BH1,0)</f>
        <v>0</v>
      </c>
      <c r="BJ8" s="74">
        <f>VLOOKUP($H$8&amp;$F$1,'Input RM sheet'!$A:$DD,BI1,0)</f>
        <v>0</v>
      </c>
      <c r="BK8" s="74">
        <f>VLOOKUP($H$8&amp;$F$1,'Input RM sheet'!$A:$DD,BJ1,0)</f>
        <v>0</v>
      </c>
      <c r="BL8" s="74">
        <f>VLOOKUP($H$8&amp;$F$1,'Input RM sheet'!$A:$DD,BK1,0)</f>
        <v>0</v>
      </c>
      <c r="BM8" s="74">
        <f>VLOOKUP($H$8&amp;$F$1,'Input RM sheet'!$A:$DD,BL1,0)</f>
        <v>0</v>
      </c>
      <c r="BN8" s="74">
        <f>VLOOKUP($H$8&amp;$F$1,'Input RM sheet'!$A:$DD,BM1,0)</f>
        <v>0</v>
      </c>
      <c r="BO8" s="74">
        <f>VLOOKUP($H$8&amp;$F$1,'Input RM sheet'!$A:$DD,BN1,0)</f>
        <v>0</v>
      </c>
      <c r="BP8" s="74">
        <f>VLOOKUP($H$8&amp;$F$1,'Input RM sheet'!$A:$DD,BO1,0)</f>
        <v>0</v>
      </c>
      <c r="BQ8" s="74">
        <f>VLOOKUP($H$8&amp;$F$1,'Input RM sheet'!$A:$DD,BP1,0)</f>
        <v>0</v>
      </c>
      <c r="BR8" s="74">
        <f>VLOOKUP($H$8&amp;$F$1,'Input RM sheet'!$A:$DD,BQ1,0)</f>
        <v>0</v>
      </c>
      <c r="BS8" s="74">
        <f>VLOOKUP($H$8&amp;$F$1,'Input RM sheet'!$A:$DD,BR1,0)</f>
        <v>0</v>
      </c>
      <c r="BT8" s="74">
        <f>VLOOKUP($H$8&amp;$F$1,'Input RM sheet'!$A:$DD,BS1,0)</f>
        <v>0</v>
      </c>
      <c r="BU8" s="74">
        <f>VLOOKUP($H$8&amp;$F$1,'Input RM sheet'!$A:$DD,BT1,0)</f>
        <v>0</v>
      </c>
      <c r="BV8" s="74">
        <f>VLOOKUP($H$8&amp;$F$1,'Input RM sheet'!$A:$DD,BU1,0)</f>
        <v>0</v>
      </c>
      <c r="BW8" s="74">
        <f>VLOOKUP($H$8&amp;$F$1,'Input RM sheet'!$A:$DD,BV1,0)</f>
        <v>0</v>
      </c>
      <c r="BX8" s="74">
        <f>VLOOKUP($H$8&amp;$F$1,'Input RM sheet'!$A:$DD,BW1,0)</f>
        <v>0</v>
      </c>
      <c r="BY8" s="74">
        <f>VLOOKUP($H$8&amp;$F$1,'Input RM sheet'!$A:$DD,BX1,0)</f>
        <v>0</v>
      </c>
      <c r="BZ8" s="74">
        <f>VLOOKUP($H$8&amp;$F$1,'Input RM sheet'!$A:$DD,BY1,0)</f>
        <v>0</v>
      </c>
      <c r="CA8" s="74">
        <f>VLOOKUP($H$8&amp;$F$1,'Input RM sheet'!$A:$DD,BZ1,0)</f>
        <v>0</v>
      </c>
      <c r="CB8" s="74">
        <f>VLOOKUP($H$8&amp;$F$1,'Input RM sheet'!$A:$DD,CA1,0)</f>
        <v>0</v>
      </c>
      <c r="CC8" s="74">
        <f>VLOOKUP($H$8&amp;$F$1,'Input RM sheet'!$A:$DD,CB1,0)</f>
        <v>0</v>
      </c>
      <c r="CD8" s="74">
        <f>VLOOKUP($H$8&amp;$F$1,'Input RM sheet'!$A:$DD,CC1,0)</f>
        <v>0</v>
      </c>
      <c r="CE8" s="74">
        <f>VLOOKUP($H$8&amp;$F$1,'Input RM sheet'!$A:$DD,CD1,0)</f>
        <v>0</v>
      </c>
      <c r="CF8" s="74">
        <f>VLOOKUP($H$8&amp;$F$1,'Input RM sheet'!$A:$DD,CE1,0)</f>
        <v>0</v>
      </c>
      <c r="CG8" s="74">
        <f>VLOOKUP($H$8&amp;$F$1,'Input RM sheet'!$A:$DD,CF1,0)</f>
        <v>0</v>
      </c>
      <c r="CH8" s="74">
        <f>VLOOKUP($H$8&amp;$F$1,'Input RM sheet'!$A:$DD,CG1,0)</f>
        <v>0</v>
      </c>
      <c r="CI8" s="74">
        <f>VLOOKUP($H$8&amp;$F$1,'Input RM sheet'!$A:$DD,CH1,0)</f>
        <v>0</v>
      </c>
      <c r="CJ8" s="74">
        <f>VLOOKUP($H$8&amp;$F$1,'Input RM sheet'!$A:$DD,CI1,0)</f>
        <v>0</v>
      </c>
      <c r="CK8" s="74">
        <f>VLOOKUP($H$8&amp;$F$1,'Input RM sheet'!$A:$DD,CJ1,0)</f>
        <v>0</v>
      </c>
      <c r="CL8" s="74">
        <f>VLOOKUP($H$8&amp;$F$1,'Input RM sheet'!$A:$DD,CK1,0)</f>
        <v>0</v>
      </c>
      <c r="CM8" s="74">
        <f>VLOOKUP($H$8&amp;$F$1,'Input RM sheet'!$A:$DD,CL1,0)</f>
        <v>0</v>
      </c>
      <c r="CN8" s="74">
        <f>VLOOKUP($H$8&amp;$F$1,'Input RM sheet'!$A:$DD,CM1,0)</f>
        <v>0</v>
      </c>
      <c r="CO8" s="74">
        <f>VLOOKUP($H$8&amp;$F$1,'Input RM sheet'!$A:$DD,CN1,0)</f>
        <v>0</v>
      </c>
      <c r="CP8" s="74">
        <f>VLOOKUP($H$8&amp;$F$1,'Input RM sheet'!$A:$DD,CO1,0)</f>
        <v>0</v>
      </c>
      <c r="CQ8" s="74">
        <f>VLOOKUP($H$8&amp;$F$1,'Input RM sheet'!$A:$DD,CP1,0)</f>
        <v>0</v>
      </c>
      <c r="CR8" s="74">
        <f>VLOOKUP($H$8&amp;$F$1,'Input RM sheet'!$A:$DD,CQ1,0)</f>
        <v>0</v>
      </c>
    </row>
    <row r="9" spans="1:104">
      <c r="H9" s="107"/>
      <c r="I9" s="74"/>
      <c r="J9" s="74"/>
      <c r="K9" s="74"/>
      <c r="L9" s="74"/>
      <c r="M9" s="74"/>
      <c r="N9" s="74"/>
      <c r="O9" s="74"/>
      <c r="P9" s="74"/>
      <c r="Q9" s="74"/>
      <c r="R9" s="74"/>
      <c r="S9" s="74"/>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74"/>
      <c r="BG9" s="74"/>
      <c r="BH9" s="74"/>
      <c r="BI9" s="74"/>
      <c r="BJ9" s="74"/>
      <c r="BK9" s="74"/>
      <c r="BL9" s="74"/>
      <c r="BM9" s="74"/>
      <c r="BN9" s="74"/>
      <c r="BO9" s="74"/>
      <c r="BP9" s="74"/>
      <c r="BQ9" s="74"/>
      <c r="BR9" s="74"/>
      <c r="BS9" s="74"/>
      <c r="BT9" s="74"/>
      <c r="BU9" s="74"/>
      <c r="BV9" s="74"/>
      <c r="BW9" s="74"/>
      <c r="BX9" s="74"/>
      <c r="BY9" s="74"/>
      <c r="BZ9" s="74"/>
      <c r="CA9" s="74"/>
      <c r="CB9" s="74"/>
      <c r="CC9" s="74"/>
      <c r="CD9" s="74"/>
      <c r="CE9" s="74"/>
      <c r="CF9" s="74"/>
      <c r="CG9" s="74"/>
      <c r="CH9" s="74"/>
      <c r="CI9" s="74"/>
      <c r="CJ9" s="74"/>
      <c r="CK9" s="74"/>
      <c r="CL9" s="74"/>
      <c r="CM9" s="74"/>
      <c r="CN9" s="74"/>
      <c r="CO9" s="74"/>
      <c r="CP9" s="74"/>
      <c r="CQ9" s="74"/>
      <c r="CR9" s="74"/>
    </row>
    <row r="10" spans="1:104" ht="13">
      <c r="A10" s="59" t="s">
        <v>395</v>
      </c>
      <c r="B10" s="59"/>
      <c r="C10" s="59" t="s">
        <v>379</v>
      </c>
      <c r="D10" s="98" t="s">
        <v>380</v>
      </c>
      <c r="E10" s="98" t="s">
        <v>381</v>
      </c>
      <c r="F10" s="59" t="s">
        <v>396</v>
      </c>
      <c r="I10" s="84"/>
      <c r="J10" s="84"/>
      <c r="K10" s="84"/>
      <c r="L10" s="84"/>
      <c r="M10" s="84"/>
      <c r="N10" s="84"/>
      <c r="O10" s="84"/>
      <c r="P10" s="84"/>
      <c r="Q10" s="84"/>
      <c r="R10" s="84"/>
      <c r="S10" s="84"/>
      <c r="T10" s="84"/>
      <c r="U10" s="84"/>
      <c r="V10" s="84"/>
      <c r="W10" s="84"/>
      <c r="X10" s="84"/>
      <c r="Y10" s="84"/>
      <c r="Z10" s="84"/>
      <c r="AA10" s="84"/>
      <c r="AB10" s="84"/>
      <c r="AC10" s="84"/>
      <c r="AD10" s="84"/>
      <c r="AE10" s="84"/>
      <c r="AF10" s="84"/>
      <c r="AG10" s="84"/>
      <c r="AH10" s="84"/>
      <c r="AI10" s="84"/>
      <c r="AJ10" s="84"/>
      <c r="AK10" s="84"/>
      <c r="AL10" s="84"/>
      <c r="AM10" s="84"/>
      <c r="AN10" s="84"/>
      <c r="AO10" s="84"/>
      <c r="AP10" s="84"/>
      <c r="AQ10" s="84"/>
      <c r="AR10" s="84"/>
      <c r="AS10" s="84"/>
      <c r="AT10" s="84"/>
      <c r="AU10" s="84"/>
      <c r="AV10" s="84"/>
      <c r="AW10" s="84"/>
      <c r="AX10" s="84"/>
      <c r="AY10" s="84"/>
      <c r="AZ10" s="84"/>
      <c r="BA10" s="84"/>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84"/>
      <c r="CE10" s="84"/>
      <c r="CF10" s="84"/>
      <c r="CG10" s="84"/>
      <c r="CH10" s="84"/>
      <c r="CI10" s="84"/>
      <c r="CJ10" s="84"/>
      <c r="CK10" s="84"/>
      <c r="CL10" s="84"/>
      <c r="CM10" s="84"/>
      <c r="CN10" s="84"/>
      <c r="CO10" s="84"/>
      <c r="CP10" s="84"/>
      <c r="CQ10" s="84"/>
      <c r="CR10" s="84"/>
    </row>
    <row r="11" spans="1:104" ht="13">
      <c r="A11" s="107" t="s">
        <v>397</v>
      </c>
      <c r="B11" s="107" t="s">
        <v>364</v>
      </c>
      <c r="C11" s="60">
        <v>1</v>
      </c>
      <c r="D11" s="65">
        <v>136.22999999999999</v>
      </c>
      <c r="E11" s="60">
        <f>D11*C11</f>
        <v>136.22999999999999</v>
      </c>
      <c r="F11" s="328">
        <f>E11/$D$3</f>
        <v>0.89489588123234576</v>
      </c>
      <c r="H11" s="60" t="s">
        <v>399</v>
      </c>
      <c r="I11" s="74">
        <f>$F$11*(I8/1000)</f>
        <v>0</v>
      </c>
      <c r="J11" s="74">
        <f t="shared" ref="J11:BU11" si="0">$F$11*(J8/1000)</f>
        <v>0</v>
      </c>
      <c r="K11" s="74">
        <f t="shared" si="0"/>
        <v>0</v>
      </c>
      <c r="L11" s="74">
        <f t="shared" si="0"/>
        <v>0</v>
      </c>
      <c r="M11" s="74">
        <f t="shared" si="0"/>
        <v>0</v>
      </c>
      <c r="N11" s="74">
        <f t="shared" si="0"/>
        <v>0</v>
      </c>
      <c r="O11" s="74">
        <f t="shared" si="0"/>
        <v>0</v>
      </c>
      <c r="P11" s="74">
        <f t="shared" si="0"/>
        <v>0</v>
      </c>
      <c r="Q11" s="74">
        <f t="shared" si="0"/>
        <v>0</v>
      </c>
      <c r="R11" s="74">
        <f t="shared" si="0"/>
        <v>0</v>
      </c>
      <c r="S11" s="74">
        <f t="shared" si="0"/>
        <v>0</v>
      </c>
      <c r="T11" s="74">
        <f t="shared" si="0"/>
        <v>0</v>
      </c>
      <c r="U11" s="74">
        <f t="shared" si="0"/>
        <v>0</v>
      </c>
      <c r="V11" s="74">
        <f t="shared" si="0"/>
        <v>0</v>
      </c>
      <c r="W11" s="74">
        <f t="shared" si="0"/>
        <v>0</v>
      </c>
      <c r="X11" s="74">
        <f t="shared" si="0"/>
        <v>0</v>
      </c>
      <c r="Y11" s="74">
        <f t="shared" si="0"/>
        <v>0</v>
      </c>
      <c r="Z11" s="74">
        <f t="shared" si="0"/>
        <v>0</v>
      </c>
      <c r="AA11" s="74">
        <f t="shared" si="0"/>
        <v>0</v>
      </c>
      <c r="AB11" s="74">
        <f t="shared" si="0"/>
        <v>0</v>
      </c>
      <c r="AC11" s="74">
        <f t="shared" si="0"/>
        <v>0</v>
      </c>
      <c r="AD11" s="74">
        <f t="shared" si="0"/>
        <v>0</v>
      </c>
      <c r="AE11" s="74">
        <f t="shared" si="0"/>
        <v>0</v>
      </c>
      <c r="AF11" s="74">
        <f t="shared" si="0"/>
        <v>0</v>
      </c>
      <c r="AG11" s="74">
        <f t="shared" si="0"/>
        <v>0</v>
      </c>
      <c r="AH11" s="74">
        <f t="shared" si="0"/>
        <v>0</v>
      </c>
      <c r="AI11" s="74">
        <f t="shared" si="0"/>
        <v>0</v>
      </c>
      <c r="AJ11" s="74">
        <f t="shared" si="0"/>
        <v>0</v>
      </c>
      <c r="AK11" s="74">
        <f t="shared" si="0"/>
        <v>0</v>
      </c>
      <c r="AL11" s="74">
        <f t="shared" si="0"/>
        <v>0</v>
      </c>
      <c r="AM11" s="74">
        <f t="shared" si="0"/>
        <v>0</v>
      </c>
      <c r="AN11" s="74">
        <f t="shared" si="0"/>
        <v>0</v>
      </c>
      <c r="AO11" s="74">
        <f t="shared" si="0"/>
        <v>0</v>
      </c>
      <c r="AP11" s="74">
        <f t="shared" si="0"/>
        <v>0</v>
      </c>
      <c r="AQ11" s="74">
        <f t="shared" si="0"/>
        <v>0</v>
      </c>
      <c r="AR11" s="74">
        <f t="shared" si="0"/>
        <v>0</v>
      </c>
      <c r="AS11" s="74">
        <f t="shared" si="0"/>
        <v>0</v>
      </c>
      <c r="AT11" s="74">
        <f t="shared" si="0"/>
        <v>0</v>
      </c>
      <c r="AU11" s="74">
        <f t="shared" si="0"/>
        <v>0</v>
      </c>
      <c r="AV11" s="74">
        <f t="shared" si="0"/>
        <v>0</v>
      </c>
      <c r="AW11" s="74">
        <f t="shared" si="0"/>
        <v>0</v>
      </c>
      <c r="AX11" s="74">
        <f t="shared" si="0"/>
        <v>0</v>
      </c>
      <c r="AY11" s="74">
        <f t="shared" si="0"/>
        <v>0</v>
      </c>
      <c r="AZ11" s="74">
        <f t="shared" si="0"/>
        <v>0</v>
      </c>
      <c r="BA11" s="74">
        <f t="shared" si="0"/>
        <v>0</v>
      </c>
      <c r="BB11" s="74">
        <f t="shared" si="0"/>
        <v>0</v>
      </c>
      <c r="BC11" s="74">
        <f t="shared" si="0"/>
        <v>0</v>
      </c>
      <c r="BD11" s="74">
        <f t="shared" si="0"/>
        <v>0</v>
      </c>
      <c r="BE11" s="74">
        <f t="shared" si="0"/>
        <v>0</v>
      </c>
      <c r="BF11" s="74">
        <f t="shared" si="0"/>
        <v>0</v>
      </c>
      <c r="BG11" s="74">
        <f t="shared" si="0"/>
        <v>0</v>
      </c>
      <c r="BH11" s="74">
        <f t="shared" si="0"/>
        <v>0</v>
      </c>
      <c r="BI11" s="74">
        <f t="shared" si="0"/>
        <v>0</v>
      </c>
      <c r="BJ11" s="74">
        <f t="shared" si="0"/>
        <v>0</v>
      </c>
      <c r="BK11" s="74">
        <f t="shared" si="0"/>
        <v>0</v>
      </c>
      <c r="BL11" s="74">
        <f t="shared" si="0"/>
        <v>0</v>
      </c>
      <c r="BM11" s="74">
        <f t="shared" si="0"/>
        <v>0</v>
      </c>
      <c r="BN11" s="74">
        <f t="shared" si="0"/>
        <v>0</v>
      </c>
      <c r="BO11" s="74">
        <f t="shared" si="0"/>
        <v>0</v>
      </c>
      <c r="BP11" s="74">
        <f t="shared" si="0"/>
        <v>0</v>
      </c>
      <c r="BQ11" s="74">
        <f t="shared" si="0"/>
        <v>0</v>
      </c>
      <c r="BR11" s="74">
        <f t="shared" si="0"/>
        <v>0</v>
      </c>
      <c r="BS11" s="74">
        <f t="shared" si="0"/>
        <v>0</v>
      </c>
      <c r="BT11" s="74">
        <f t="shared" si="0"/>
        <v>0</v>
      </c>
      <c r="BU11" s="74">
        <f t="shared" si="0"/>
        <v>0</v>
      </c>
      <c r="BV11" s="74">
        <f t="shared" ref="BV11:CR11" si="1">$F$11*(BV8/1000)</f>
        <v>0</v>
      </c>
      <c r="BW11" s="74">
        <f t="shared" si="1"/>
        <v>0</v>
      </c>
      <c r="BX11" s="74">
        <f t="shared" si="1"/>
        <v>0</v>
      </c>
      <c r="BY11" s="74">
        <f t="shared" si="1"/>
        <v>0</v>
      </c>
      <c r="BZ11" s="74">
        <f t="shared" si="1"/>
        <v>0</v>
      </c>
      <c r="CA11" s="74">
        <f t="shared" si="1"/>
        <v>0</v>
      </c>
      <c r="CB11" s="74">
        <f t="shared" si="1"/>
        <v>0</v>
      </c>
      <c r="CC11" s="74">
        <f t="shared" si="1"/>
        <v>0</v>
      </c>
      <c r="CD11" s="74">
        <f t="shared" si="1"/>
        <v>0</v>
      </c>
      <c r="CE11" s="74">
        <f t="shared" si="1"/>
        <v>0</v>
      </c>
      <c r="CF11" s="74">
        <f t="shared" si="1"/>
        <v>0</v>
      </c>
      <c r="CG11" s="74">
        <f t="shared" si="1"/>
        <v>0</v>
      </c>
      <c r="CH11" s="74">
        <f t="shared" si="1"/>
        <v>0</v>
      </c>
      <c r="CI11" s="74">
        <f t="shared" si="1"/>
        <v>0</v>
      </c>
      <c r="CJ11" s="74">
        <f t="shared" si="1"/>
        <v>0</v>
      </c>
      <c r="CK11" s="74">
        <f t="shared" si="1"/>
        <v>0</v>
      </c>
      <c r="CL11" s="74">
        <f t="shared" si="1"/>
        <v>0</v>
      </c>
      <c r="CM11" s="74">
        <f t="shared" si="1"/>
        <v>0</v>
      </c>
      <c r="CN11" s="74">
        <f t="shared" si="1"/>
        <v>0</v>
      </c>
      <c r="CO11" s="74">
        <f t="shared" si="1"/>
        <v>0</v>
      </c>
      <c r="CP11" s="74">
        <f t="shared" si="1"/>
        <v>0</v>
      </c>
      <c r="CQ11" s="74">
        <f t="shared" si="1"/>
        <v>0</v>
      </c>
      <c r="CR11" s="74">
        <f t="shared" si="1"/>
        <v>0</v>
      </c>
    </row>
    <row r="12" spans="1:104">
      <c r="A12" s="67"/>
      <c r="B12" s="107"/>
      <c r="D12" s="77"/>
      <c r="F12" s="328"/>
      <c r="I12" s="74"/>
      <c r="J12" s="74"/>
      <c r="K12" s="74"/>
      <c r="L12" s="74"/>
      <c r="M12" s="74"/>
      <c r="N12" s="74"/>
      <c r="O12" s="74"/>
      <c r="P12" s="74"/>
      <c r="Q12" s="74"/>
      <c r="R12" s="74"/>
      <c r="S12" s="74"/>
      <c r="T12" s="74"/>
      <c r="U12" s="74"/>
      <c r="V12" s="74"/>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c r="BL12" s="74"/>
      <c r="BM12" s="74"/>
      <c r="BN12" s="74"/>
      <c r="BO12" s="74"/>
      <c r="BP12" s="74"/>
      <c r="BQ12" s="74"/>
      <c r="BR12" s="74"/>
      <c r="BS12" s="74"/>
      <c r="BT12" s="74"/>
      <c r="BU12" s="74"/>
      <c r="BV12" s="74"/>
      <c r="BW12" s="74"/>
      <c r="BX12" s="74"/>
      <c r="BY12" s="74"/>
      <c r="BZ12" s="74"/>
      <c r="CA12" s="74"/>
      <c r="CB12" s="74"/>
      <c r="CC12" s="74"/>
      <c r="CD12" s="74"/>
      <c r="CE12" s="74"/>
      <c r="CF12" s="74"/>
      <c r="CG12" s="74"/>
      <c r="CH12" s="74"/>
      <c r="CI12" s="74"/>
      <c r="CJ12" s="74"/>
      <c r="CK12" s="74"/>
      <c r="CL12" s="74"/>
      <c r="CM12" s="74"/>
      <c r="CN12" s="74"/>
      <c r="CO12" s="74"/>
      <c r="CP12" s="74"/>
      <c r="CQ12" s="74"/>
      <c r="CR12" s="74"/>
    </row>
    <row r="13" spans="1:104">
      <c r="A13" s="67"/>
      <c r="B13" s="107"/>
      <c r="D13" s="77"/>
      <c r="F13" s="65"/>
      <c r="I13" s="74"/>
      <c r="J13" s="74"/>
      <c r="K13" s="74"/>
      <c r="L13" s="74"/>
      <c r="M13" s="74"/>
      <c r="N13" s="74"/>
      <c r="O13" s="74"/>
      <c r="P13" s="74"/>
      <c r="Q13" s="74"/>
      <c r="R13" s="74"/>
      <c r="S13" s="74"/>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c r="BF13" s="74"/>
      <c r="BG13" s="74"/>
      <c r="BH13" s="74"/>
      <c r="BI13" s="74"/>
      <c r="BJ13" s="74"/>
      <c r="BK13" s="74"/>
      <c r="BL13" s="74"/>
      <c r="BM13" s="74"/>
      <c r="BN13" s="74"/>
      <c r="BO13" s="74"/>
      <c r="BP13" s="74"/>
      <c r="BQ13" s="74"/>
      <c r="BR13" s="74"/>
      <c r="BS13" s="74"/>
      <c r="BT13" s="74"/>
      <c r="BU13" s="74"/>
      <c r="BV13" s="74"/>
      <c r="BW13" s="74"/>
      <c r="BX13" s="74"/>
      <c r="BY13" s="74"/>
      <c r="BZ13" s="74"/>
      <c r="CA13" s="74"/>
      <c r="CB13" s="74"/>
      <c r="CC13" s="74"/>
      <c r="CD13" s="74"/>
      <c r="CE13" s="74"/>
      <c r="CF13" s="74"/>
      <c r="CG13" s="74"/>
      <c r="CH13" s="74"/>
      <c r="CI13" s="74"/>
      <c r="CJ13" s="74"/>
      <c r="CK13" s="74"/>
      <c r="CL13" s="74"/>
      <c r="CM13" s="74"/>
      <c r="CN13" s="74"/>
      <c r="CO13" s="74"/>
      <c r="CP13" s="74"/>
      <c r="CQ13" s="74"/>
      <c r="CR13" s="74"/>
    </row>
    <row r="14" spans="1:104" s="104" customFormat="1">
      <c r="H14" s="104" t="s">
        <v>799</v>
      </c>
      <c r="I14" s="105">
        <f t="shared" ref="I14:AN14" si="2">SUM(I11:I11)</f>
        <v>0</v>
      </c>
      <c r="J14" s="105">
        <f t="shared" si="2"/>
        <v>0</v>
      </c>
      <c r="K14" s="105">
        <f t="shared" si="2"/>
        <v>0</v>
      </c>
      <c r="L14" s="105">
        <f t="shared" si="2"/>
        <v>0</v>
      </c>
      <c r="M14" s="105">
        <f t="shared" si="2"/>
        <v>0</v>
      </c>
      <c r="N14" s="105">
        <f t="shared" si="2"/>
        <v>0</v>
      </c>
      <c r="O14" s="105">
        <f t="shared" si="2"/>
        <v>0</v>
      </c>
      <c r="P14" s="105">
        <f t="shared" si="2"/>
        <v>0</v>
      </c>
      <c r="Q14" s="105">
        <f t="shared" si="2"/>
        <v>0</v>
      </c>
      <c r="R14" s="105">
        <f t="shared" si="2"/>
        <v>0</v>
      </c>
      <c r="S14" s="105">
        <f t="shared" si="2"/>
        <v>0</v>
      </c>
      <c r="T14" s="105">
        <f t="shared" si="2"/>
        <v>0</v>
      </c>
      <c r="U14" s="105">
        <f t="shared" si="2"/>
        <v>0</v>
      </c>
      <c r="V14" s="105">
        <f t="shared" si="2"/>
        <v>0</v>
      </c>
      <c r="W14" s="105">
        <f t="shared" si="2"/>
        <v>0</v>
      </c>
      <c r="X14" s="105">
        <f t="shared" si="2"/>
        <v>0</v>
      </c>
      <c r="Y14" s="105">
        <f t="shared" si="2"/>
        <v>0</v>
      </c>
      <c r="Z14" s="105">
        <f t="shared" si="2"/>
        <v>0</v>
      </c>
      <c r="AA14" s="105">
        <f t="shared" si="2"/>
        <v>0</v>
      </c>
      <c r="AB14" s="105">
        <f t="shared" si="2"/>
        <v>0</v>
      </c>
      <c r="AC14" s="105">
        <f t="shared" si="2"/>
        <v>0</v>
      </c>
      <c r="AD14" s="105">
        <f t="shared" si="2"/>
        <v>0</v>
      </c>
      <c r="AE14" s="105">
        <f t="shared" si="2"/>
        <v>0</v>
      </c>
      <c r="AF14" s="105">
        <f t="shared" si="2"/>
        <v>0</v>
      </c>
      <c r="AG14" s="105">
        <f t="shared" si="2"/>
        <v>0</v>
      </c>
      <c r="AH14" s="105">
        <f t="shared" si="2"/>
        <v>0</v>
      </c>
      <c r="AI14" s="105">
        <f t="shared" si="2"/>
        <v>0</v>
      </c>
      <c r="AJ14" s="105">
        <f t="shared" si="2"/>
        <v>0</v>
      </c>
      <c r="AK14" s="105">
        <f t="shared" si="2"/>
        <v>0</v>
      </c>
      <c r="AL14" s="105">
        <f t="shared" si="2"/>
        <v>0</v>
      </c>
      <c r="AM14" s="105">
        <f t="shared" si="2"/>
        <v>0</v>
      </c>
      <c r="AN14" s="105">
        <f t="shared" si="2"/>
        <v>0</v>
      </c>
      <c r="AO14" s="105">
        <f t="shared" ref="AO14:CR14" si="3">SUM(AO11:AO11)</f>
        <v>0</v>
      </c>
      <c r="AP14" s="105">
        <f t="shared" si="3"/>
        <v>0</v>
      </c>
      <c r="AQ14" s="105">
        <f t="shared" si="3"/>
        <v>0</v>
      </c>
      <c r="AR14" s="105">
        <f t="shared" si="3"/>
        <v>0</v>
      </c>
      <c r="AS14" s="105">
        <f t="shared" si="3"/>
        <v>0</v>
      </c>
      <c r="AT14" s="105">
        <f t="shared" si="3"/>
        <v>0</v>
      </c>
      <c r="AU14" s="105">
        <f t="shared" si="3"/>
        <v>0</v>
      </c>
      <c r="AV14" s="105">
        <f t="shared" si="3"/>
        <v>0</v>
      </c>
      <c r="AW14" s="105">
        <f t="shared" si="3"/>
        <v>0</v>
      </c>
      <c r="AX14" s="105">
        <f t="shared" si="3"/>
        <v>0</v>
      </c>
      <c r="AY14" s="105">
        <f t="shared" si="3"/>
        <v>0</v>
      </c>
      <c r="AZ14" s="105">
        <f t="shared" si="3"/>
        <v>0</v>
      </c>
      <c r="BA14" s="105">
        <f t="shared" si="3"/>
        <v>0</v>
      </c>
      <c r="BB14" s="105">
        <f t="shared" si="3"/>
        <v>0</v>
      </c>
      <c r="BC14" s="105">
        <f t="shared" si="3"/>
        <v>0</v>
      </c>
      <c r="BD14" s="105">
        <f t="shared" si="3"/>
        <v>0</v>
      </c>
      <c r="BE14" s="105">
        <f t="shared" si="3"/>
        <v>0</v>
      </c>
      <c r="BF14" s="105">
        <f t="shared" si="3"/>
        <v>0</v>
      </c>
      <c r="BG14" s="105">
        <f t="shared" si="3"/>
        <v>0</v>
      </c>
      <c r="BH14" s="105">
        <f t="shared" si="3"/>
        <v>0</v>
      </c>
      <c r="BI14" s="105">
        <f t="shared" si="3"/>
        <v>0</v>
      </c>
      <c r="BJ14" s="105">
        <f t="shared" si="3"/>
        <v>0</v>
      </c>
      <c r="BK14" s="105">
        <f t="shared" si="3"/>
        <v>0</v>
      </c>
      <c r="BL14" s="105">
        <f t="shared" si="3"/>
        <v>0</v>
      </c>
      <c r="BM14" s="105">
        <f t="shared" si="3"/>
        <v>0</v>
      </c>
      <c r="BN14" s="105">
        <f t="shared" si="3"/>
        <v>0</v>
      </c>
      <c r="BO14" s="105">
        <f t="shared" si="3"/>
        <v>0</v>
      </c>
      <c r="BP14" s="105">
        <f t="shared" si="3"/>
        <v>0</v>
      </c>
      <c r="BQ14" s="105">
        <f t="shared" si="3"/>
        <v>0</v>
      </c>
      <c r="BR14" s="105">
        <f t="shared" si="3"/>
        <v>0</v>
      </c>
      <c r="BS14" s="105">
        <f t="shared" si="3"/>
        <v>0</v>
      </c>
      <c r="BT14" s="105">
        <f t="shared" si="3"/>
        <v>0</v>
      </c>
      <c r="BU14" s="105">
        <f t="shared" si="3"/>
        <v>0</v>
      </c>
      <c r="BV14" s="105">
        <f t="shared" si="3"/>
        <v>0</v>
      </c>
      <c r="BW14" s="105">
        <f t="shared" si="3"/>
        <v>0</v>
      </c>
      <c r="BX14" s="105">
        <f t="shared" si="3"/>
        <v>0</v>
      </c>
      <c r="BY14" s="105">
        <f t="shared" si="3"/>
        <v>0</v>
      </c>
      <c r="BZ14" s="105">
        <f t="shared" si="3"/>
        <v>0</v>
      </c>
      <c r="CA14" s="105">
        <f t="shared" si="3"/>
        <v>0</v>
      </c>
      <c r="CB14" s="105">
        <f t="shared" si="3"/>
        <v>0</v>
      </c>
      <c r="CC14" s="105">
        <f t="shared" si="3"/>
        <v>0</v>
      </c>
      <c r="CD14" s="105">
        <f t="shared" si="3"/>
        <v>0</v>
      </c>
      <c r="CE14" s="105">
        <f t="shared" si="3"/>
        <v>0</v>
      </c>
      <c r="CF14" s="105">
        <f t="shared" si="3"/>
        <v>0</v>
      </c>
      <c r="CG14" s="105">
        <f t="shared" si="3"/>
        <v>0</v>
      </c>
      <c r="CH14" s="105">
        <f t="shared" si="3"/>
        <v>0</v>
      </c>
      <c r="CI14" s="105">
        <f t="shared" si="3"/>
        <v>0</v>
      </c>
      <c r="CJ14" s="105">
        <f t="shared" si="3"/>
        <v>0</v>
      </c>
      <c r="CK14" s="105">
        <f t="shared" si="3"/>
        <v>0</v>
      </c>
      <c r="CL14" s="105">
        <f t="shared" si="3"/>
        <v>0</v>
      </c>
      <c r="CM14" s="105">
        <f t="shared" si="3"/>
        <v>0</v>
      </c>
      <c r="CN14" s="105">
        <f t="shared" si="3"/>
        <v>0</v>
      </c>
      <c r="CO14" s="105">
        <f t="shared" si="3"/>
        <v>0</v>
      </c>
      <c r="CP14" s="105">
        <f t="shared" si="3"/>
        <v>0</v>
      </c>
      <c r="CQ14" s="105">
        <f t="shared" si="3"/>
        <v>0</v>
      </c>
      <c r="CR14" s="105">
        <f t="shared" si="3"/>
        <v>0</v>
      </c>
    </row>
    <row r="15" spans="1:104" s="104" customFormat="1">
      <c r="H15" s="60"/>
      <c r="I15" s="105"/>
      <c r="J15" s="105"/>
      <c r="K15" s="105"/>
      <c r="L15" s="105"/>
      <c r="M15" s="105"/>
      <c r="N15" s="105"/>
      <c r="O15" s="105"/>
      <c r="P15" s="105"/>
      <c r="Q15" s="105"/>
      <c r="R15" s="105"/>
      <c r="S15" s="105"/>
      <c r="T15" s="105"/>
      <c r="U15" s="105"/>
      <c r="V15" s="105"/>
      <c r="W15" s="105"/>
      <c r="X15" s="105"/>
      <c r="Y15" s="105"/>
      <c r="Z15" s="105"/>
      <c r="AA15" s="105"/>
      <c r="AB15" s="105"/>
      <c r="AC15" s="105"/>
      <c r="AD15" s="105"/>
      <c r="AE15" s="105"/>
      <c r="AF15" s="105"/>
      <c r="AG15" s="105"/>
      <c r="AH15" s="105"/>
      <c r="AI15" s="105"/>
      <c r="AJ15" s="105"/>
      <c r="AK15" s="105"/>
      <c r="AL15" s="105"/>
      <c r="AM15" s="105"/>
      <c r="AN15" s="105"/>
      <c r="AO15" s="105"/>
      <c r="AP15" s="105"/>
      <c r="AQ15" s="105"/>
      <c r="AR15" s="105"/>
      <c r="AS15" s="105"/>
      <c r="AT15" s="105"/>
      <c r="AU15" s="105"/>
      <c r="AV15" s="105"/>
      <c r="AW15" s="105"/>
      <c r="AX15" s="105"/>
      <c r="AY15" s="105"/>
      <c r="AZ15" s="105"/>
      <c r="BA15" s="105"/>
      <c r="BB15" s="105"/>
      <c r="BC15" s="105"/>
      <c r="BD15" s="105"/>
      <c r="BE15" s="105"/>
      <c r="BF15" s="105"/>
      <c r="BG15" s="105"/>
      <c r="BH15" s="105"/>
      <c r="BI15" s="105"/>
      <c r="BJ15" s="105"/>
      <c r="BK15" s="105"/>
      <c r="BL15" s="105"/>
      <c r="BM15" s="105"/>
      <c r="BN15" s="105"/>
      <c r="BO15" s="105"/>
      <c r="BP15" s="105"/>
      <c r="BQ15" s="105"/>
      <c r="BR15" s="105"/>
      <c r="BS15" s="105"/>
      <c r="BT15" s="105"/>
      <c r="BU15" s="105"/>
      <c r="BV15" s="105"/>
      <c r="BW15" s="105"/>
      <c r="BX15" s="105"/>
      <c r="BY15" s="105"/>
      <c r="BZ15" s="105"/>
      <c r="CA15" s="105"/>
      <c r="CB15" s="105"/>
      <c r="CC15" s="105"/>
      <c r="CD15" s="105"/>
      <c r="CE15" s="105"/>
      <c r="CF15" s="105"/>
      <c r="CG15" s="105"/>
      <c r="CH15" s="105"/>
      <c r="CI15" s="105"/>
      <c r="CJ15" s="105"/>
      <c r="CK15" s="105"/>
      <c r="CL15" s="105"/>
      <c r="CM15" s="105"/>
      <c r="CN15" s="105"/>
      <c r="CO15" s="105"/>
      <c r="CP15" s="105"/>
      <c r="CQ15" s="105"/>
      <c r="CR15" s="105"/>
    </row>
    <row r="16" spans="1:104" ht="15">
      <c r="A16"/>
      <c r="H16" s="60" t="s">
        <v>429</v>
      </c>
      <c r="I16" s="74"/>
      <c r="J16" s="74"/>
      <c r="K16" s="74"/>
      <c r="L16" s="74"/>
      <c r="M16" s="74"/>
      <c r="N16" s="74"/>
      <c r="O16" s="74"/>
      <c r="P16" s="74"/>
      <c r="Q16" s="74"/>
      <c r="R16" s="74"/>
      <c r="S16" s="74"/>
      <c r="T16" s="74"/>
      <c r="U16" s="74"/>
      <c r="V16" s="74"/>
      <c r="W16" s="74"/>
      <c r="X16" s="74"/>
      <c r="Y16" s="74"/>
      <c r="Z16" s="74"/>
      <c r="AA16" s="74"/>
      <c r="AB16" s="74"/>
      <c r="AC16" s="74"/>
      <c r="AD16" s="74"/>
      <c r="AE16" s="74"/>
      <c r="AF16" s="74"/>
      <c r="AG16" s="74"/>
      <c r="AH16" s="74"/>
      <c r="AI16" s="74"/>
      <c r="AK16" s="74"/>
      <c r="AL16" s="74"/>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c r="BM16" s="74"/>
      <c r="BN16" s="74"/>
      <c r="BO16" s="74"/>
      <c r="BP16" s="74"/>
      <c r="BQ16" s="74"/>
      <c r="BR16" s="74"/>
      <c r="BS16" s="74"/>
      <c r="BT16" s="74"/>
      <c r="BU16" s="74"/>
      <c r="BV16" s="74"/>
      <c r="BW16" s="74"/>
      <c r="BX16" s="74"/>
      <c r="BY16" s="74"/>
      <c r="BZ16" s="74"/>
      <c r="CA16" s="74"/>
      <c r="CB16" s="74"/>
      <c r="CC16" s="74"/>
      <c r="CD16" s="74"/>
      <c r="CE16" s="74"/>
      <c r="CF16" s="74"/>
      <c r="CG16" s="74"/>
      <c r="CH16" s="74"/>
      <c r="CI16" s="74"/>
      <c r="CJ16" s="74"/>
      <c r="CK16" s="74"/>
      <c r="CL16" s="74"/>
      <c r="CM16" s="74"/>
      <c r="CN16" s="74"/>
      <c r="CO16" s="74"/>
      <c r="CP16" s="74"/>
      <c r="CQ16" s="74"/>
      <c r="CR16" s="74"/>
    </row>
    <row r="17" spans="8:96">
      <c r="H17" s="60" t="s">
        <v>406</v>
      </c>
      <c r="I17" s="74"/>
      <c r="J17" s="74"/>
      <c r="K17" s="74"/>
      <c r="L17" s="74"/>
      <c r="M17" s="74"/>
      <c r="N17" s="74"/>
      <c r="O17" s="74"/>
      <c r="P17" s="74"/>
      <c r="Q17" s="74"/>
      <c r="R17" s="74"/>
      <c r="S17" s="74"/>
      <c r="T17" s="74"/>
      <c r="U17" s="74"/>
      <c r="V17" s="74"/>
      <c r="W17" s="74"/>
      <c r="X17" s="74"/>
      <c r="Y17" s="74"/>
      <c r="Z17" s="74"/>
      <c r="AA17" s="74"/>
      <c r="AB17" s="74"/>
      <c r="AC17" s="74"/>
      <c r="AD17" s="74"/>
      <c r="AE17" s="74"/>
      <c r="AF17" s="74"/>
      <c r="AG17" s="74"/>
      <c r="AH17" s="74"/>
      <c r="AI17" s="74"/>
      <c r="AK17" s="74"/>
      <c r="AL17" s="74"/>
      <c r="AM17" s="74"/>
      <c r="AN17" s="74"/>
      <c r="AO17" s="74"/>
      <c r="AP17" s="74"/>
      <c r="AQ17" s="74"/>
      <c r="AR17" s="74"/>
      <c r="AS17" s="74"/>
      <c r="AT17" s="74"/>
      <c r="AU17" s="74"/>
      <c r="AV17" s="74"/>
      <c r="AW17" s="74"/>
      <c r="AX17" s="74"/>
      <c r="AY17" s="74"/>
      <c r="AZ17" s="74"/>
      <c r="BA17" s="74"/>
      <c r="BB17" s="74"/>
      <c r="BC17" s="74"/>
      <c r="BD17" s="74"/>
      <c r="BE17" s="74"/>
      <c r="BF17" s="74"/>
      <c r="BG17" s="74"/>
      <c r="BH17" s="74"/>
      <c r="BI17" s="74"/>
      <c r="BJ17" s="74"/>
      <c r="BK17" s="74"/>
      <c r="BL17" s="74"/>
      <c r="BM17" s="74"/>
      <c r="BN17" s="74"/>
      <c r="BO17" s="74"/>
      <c r="BP17" s="74"/>
      <c r="BQ17" s="74"/>
      <c r="BR17" s="74"/>
      <c r="BS17" s="74"/>
      <c r="BT17" s="74"/>
      <c r="BU17" s="74"/>
      <c r="BV17" s="74"/>
      <c r="BW17" s="74"/>
      <c r="BX17" s="74"/>
      <c r="BY17" s="74"/>
      <c r="BZ17" s="74"/>
      <c r="CA17" s="74"/>
      <c r="CB17" s="74"/>
      <c r="CC17" s="74"/>
      <c r="CD17" s="74"/>
      <c r="CE17" s="74"/>
      <c r="CF17" s="74"/>
      <c r="CG17" s="74"/>
      <c r="CH17" s="74"/>
      <c r="CI17" s="74"/>
      <c r="CJ17" s="74"/>
      <c r="CK17" s="74"/>
      <c r="CL17" s="74"/>
      <c r="CM17" s="74"/>
      <c r="CN17" s="74"/>
      <c r="CO17" s="74"/>
      <c r="CP17" s="74"/>
      <c r="CQ17" s="74"/>
      <c r="CR17" s="74"/>
    </row>
    <row r="19" spans="8:96" ht="13" thickBot="1"/>
    <row r="20" spans="8:96" s="73" customFormat="1" ht="13" thickBot="1">
      <c r="H20" s="257" t="s">
        <v>800</v>
      </c>
      <c r="I20" s="258">
        <f>+I14</f>
        <v>0</v>
      </c>
      <c r="J20" s="258">
        <f t="shared" ref="J20:BU20" si="4">+J14</f>
        <v>0</v>
      </c>
      <c r="K20" s="258">
        <f t="shared" si="4"/>
        <v>0</v>
      </c>
      <c r="L20" s="258">
        <f t="shared" si="4"/>
        <v>0</v>
      </c>
      <c r="M20" s="258">
        <f t="shared" si="4"/>
        <v>0</v>
      </c>
      <c r="N20" s="258">
        <f t="shared" si="4"/>
        <v>0</v>
      </c>
      <c r="O20" s="258">
        <f t="shared" si="4"/>
        <v>0</v>
      </c>
      <c r="P20" s="258">
        <f t="shared" si="4"/>
        <v>0</v>
      </c>
      <c r="Q20" s="258">
        <f t="shared" si="4"/>
        <v>0</v>
      </c>
      <c r="R20" s="258">
        <f t="shared" si="4"/>
        <v>0</v>
      </c>
      <c r="S20" s="258">
        <f t="shared" si="4"/>
        <v>0</v>
      </c>
      <c r="T20" s="258">
        <f t="shared" si="4"/>
        <v>0</v>
      </c>
      <c r="U20" s="258">
        <f t="shared" si="4"/>
        <v>0</v>
      </c>
      <c r="V20" s="258">
        <f t="shared" si="4"/>
        <v>0</v>
      </c>
      <c r="W20" s="258">
        <f t="shared" si="4"/>
        <v>0</v>
      </c>
      <c r="X20" s="258">
        <f t="shared" si="4"/>
        <v>0</v>
      </c>
      <c r="Y20" s="258">
        <f t="shared" si="4"/>
        <v>0</v>
      </c>
      <c r="Z20" s="258">
        <f t="shared" si="4"/>
        <v>0</v>
      </c>
      <c r="AA20" s="258">
        <f t="shared" si="4"/>
        <v>0</v>
      </c>
      <c r="AB20" s="258">
        <f t="shared" si="4"/>
        <v>0</v>
      </c>
      <c r="AC20" s="258">
        <f t="shared" si="4"/>
        <v>0</v>
      </c>
      <c r="AD20" s="258">
        <f t="shared" si="4"/>
        <v>0</v>
      </c>
      <c r="AE20" s="258">
        <f t="shared" si="4"/>
        <v>0</v>
      </c>
      <c r="AF20" s="258">
        <f t="shared" si="4"/>
        <v>0</v>
      </c>
      <c r="AG20" s="258">
        <f t="shared" si="4"/>
        <v>0</v>
      </c>
      <c r="AH20" s="258">
        <f t="shared" si="4"/>
        <v>0</v>
      </c>
      <c r="AI20" s="258">
        <f t="shared" si="4"/>
        <v>0</v>
      </c>
      <c r="AJ20" s="258">
        <f t="shared" si="4"/>
        <v>0</v>
      </c>
      <c r="AK20" s="258">
        <f t="shared" si="4"/>
        <v>0</v>
      </c>
      <c r="AL20" s="258">
        <f t="shared" si="4"/>
        <v>0</v>
      </c>
      <c r="AM20" s="258">
        <f t="shared" si="4"/>
        <v>0</v>
      </c>
      <c r="AN20" s="258">
        <f t="shared" si="4"/>
        <v>0</v>
      </c>
      <c r="AO20" s="258">
        <f t="shared" si="4"/>
        <v>0</v>
      </c>
      <c r="AP20" s="258">
        <f t="shared" si="4"/>
        <v>0</v>
      </c>
      <c r="AQ20" s="258">
        <f t="shared" si="4"/>
        <v>0</v>
      </c>
      <c r="AR20" s="258">
        <f t="shared" si="4"/>
        <v>0</v>
      </c>
      <c r="AS20" s="258">
        <f t="shared" si="4"/>
        <v>0</v>
      </c>
      <c r="AT20" s="258">
        <f t="shared" si="4"/>
        <v>0</v>
      </c>
      <c r="AU20" s="258">
        <f t="shared" si="4"/>
        <v>0</v>
      </c>
      <c r="AV20" s="258">
        <f t="shared" si="4"/>
        <v>0</v>
      </c>
      <c r="AW20" s="258">
        <f t="shared" si="4"/>
        <v>0</v>
      </c>
      <c r="AX20" s="258">
        <f t="shared" si="4"/>
        <v>0</v>
      </c>
      <c r="AY20" s="258">
        <f t="shared" si="4"/>
        <v>0</v>
      </c>
      <c r="AZ20" s="258">
        <f t="shared" si="4"/>
        <v>0</v>
      </c>
      <c r="BA20" s="258">
        <f t="shared" si="4"/>
        <v>0</v>
      </c>
      <c r="BB20" s="258">
        <f t="shared" si="4"/>
        <v>0</v>
      </c>
      <c r="BC20" s="258">
        <f t="shared" si="4"/>
        <v>0</v>
      </c>
      <c r="BD20" s="258">
        <f t="shared" si="4"/>
        <v>0</v>
      </c>
      <c r="BE20" s="258">
        <f t="shared" si="4"/>
        <v>0</v>
      </c>
      <c r="BF20" s="258">
        <f t="shared" si="4"/>
        <v>0</v>
      </c>
      <c r="BG20" s="258">
        <f t="shared" si="4"/>
        <v>0</v>
      </c>
      <c r="BH20" s="258">
        <f t="shared" si="4"/>
        <v>0</v>
      </c>
      <c r="BI20" s="258">
        <f t="shared" si="4"/>
        <v>0</v>
      </c>
      <c r="BJ20" s="258">
        <f t="shared" si="4"/>
        <v>0</v>
      </c>
      <c r="BK20" s="258">
        <f t="shared" si="4"/>
        <v>0</v>
      </c>
      <c r="BL20" s="258">
        <f t="shared" si="4"/>
        <v>0</v>
      </c>
      <c r="BM20" s="258">
        <f t="shared" si="4"/>
        <v>0</v>
      </c>
      <c r="BN20" s="258">
        <f t="shared" si="4"/>
        <v>0</v>
      </c>
      <c r="BO20" s="258">
        <f t="shared" si="4"/>
        <v>0</v>
      </c>
      <c r="BP20" s="258">
        <f t="shared" si="4"/>
        <v>0</v>
      </c>
      <c r="BQ20" s="258">
        <f t="shared" si="4"/>
        <v>0</v>
      </c>
      <c r="BR20" s="258">
        <f t="shared" si="4"/>
        <v>0</v>
      </c>
      <c r="BS20" s="258">
        <f t="shared" si="4"/>
        <v>0</v>
      </c>
      <c r="BT20" s="258">
        <f t="shared" si="4"/>
        <v>0</v>
      </c>
      <c r="BU20" s="258">
        <f t="shared" si="4"/>
        <v>0</v>
      </c>
      <c r="BV20" s="258">
        <f t="shared" ref="BV20:CR20" si="5">+BV14</f>
        <v>0</v>
      </c>
      <c r="BW20" s="258">
        <f t="shared" si="5"/>
        <v>0</v>
      </c>
      <c r="BX20" s="258">
        <f t="shared" si="5"/>
        <v>0</v>
      </c>
      <c r="BY20" s="258">
        <f t="shared" si="5"/>
        <v>0</v>
      </c>
      <c r="BZ20" s="258">
        <f t="shared" si="5"/>
        <v>0</v>
      </c>
      <c r="CA20" s="258">
        <f t="shared" si="5"/>
        <v>0</v>
      </c>
      <c r="CB20" s="258">
        <f t="shared" si="5"/>
        <v>0</v>
      </c>
      <c r="CC20" s="258">
        <f t="shared" si="5"/>
        <v>0</v>
      </c>
      <c r="CD20" s="258">
        <f t="shared" si="5"/>
        <v>0</v>
      </c>
      <c r="CE20" s="258">
        <f t="shared" si="5"/>
        <v>0</v>
      </c>
      <c r="CF20" s="258">
        <f t="shared" si="5"/>
        <v>0</v>
      </c>
      <c r="CG20" s="258">
        <f t="shared" si="5"/>
        <v>0</v>
      </c>
      <c r="CH20" s="258">
        <f t="shared" si="5"/>
        <v>0</v>
      </c>
      <c r="CI20" s="258">
        <f t="shared" si="5"/>
        <v>0</v>
      </c>
      <c r="CJ20" s="258">
        <f t="shared" si="5"/>
        <v>0</v>
      </c>
      <c r="CK20" s="258">
        <f t="shared" si="5"/>
        <v>0</v>
      </c>
      <c r="CL20" s="258">
        <f t="shared" si="5"/>
        <v>0</v>
      </c>
      <c r="CM20" s="258">
        <f t="shared" si="5"/>
        <v>0</v>
      </c>
      <c r="CN20" s="258">
        <f t="shared" si="5"/>
        <v>0</v>
      </c>
      <c r="CO20" s="258">
        <f t="shared" si="5"/>
        <v>0</v>
      </c>
      <c r="CP20" s="258">
        <f t="shared" si="5"/>
        <v>0</v>
      </c>
      <c r="CQ20" s="258">
        <f t="shared" si="5"/>
        <v>0</v>
      </c>
      <c r="CR20" s="258">
        <f t="shared" si="5"/>
        <v>0</v>
      </c>
    </row>
  </sheetData>
  <pageMargins left="0.7" right="0.7" top="0.75" bottom="0.75" header="0.3" footer="0.3"/>
  <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CZ20"/>
  <sheetViews>
    <sheetView workbookViewId="0">
      <pane xSplit="11" ySplit="7" topLeftCell="CC8" activePane="bottomRight" state="frozen"/>
      <selection pane="topRight" activeCell="L1" sqref="L1"/>
      <selection pane="bottomLeft" activeCell="A7" sqref="A7"/>
      <selection pane="bottomRight" activeCell="J20" sqref="J20"/>
    </sheetView>
  </sheetViews>
  <sheetFormatPr baseColWidth="10" defaultColWidth="22.6640625" defaultRowHeight="12"/>
  <cols>
    <col min="1" max="1" width="16.1640625" style="60" bestFit="1" customWidth="1"/>
    <col min="2" max="2" width="13.1640625" style="60" bestFit="1" customWidth="1"/>
    <col min="3" max="3" width="4.83203125" style="60" bestFit="1" customWidth="1"/>
    <col min="4" max="4" width="12.33203125" style="60" bestFit="1" customWidth="1"/>
    <col min="5" max="5" width="18.83203125" style="60" bestFit="1" customWidth="1"/>
    <col min="6" max="6" width="6.5" style="60" bestFit="1" customWidth="1"/>
    <col min="7" max="7" width="4.1640625" style="60" bestFit="1" customWidth="1"/>
    <col min="8" max="8" width="22.83203125" style="60" bestFit="1" customWidth="1"/>
    <col min="9" max="9" width="6.5" style="60" customWidth="1"/>
    <col min="10" max="11" width="6.1640625" style="60" bestFit="1" customWidth="1"/>
    <col min="12" max="12" width="5.5" style="60" bestFit="1" customWidth="1"/>
    <col min="13" max="13" width="5.83203125" style="60" bestFit="1" customWidth="1"/>
    <col min="14" max="18" width="5.5" style="60" bestFit="1" customWidth="1"/>
    <col min="19" max="19" width="5.6640625" style="60" bestFit="1" customWidth="1"/>
    <col min="20" max="20" width="6.1640625" style="60" bestFit="1" customWidth="1"/>
    <col min="21" max="21" width="5.5" style="60" bestFit="1" customWidth="1"/>
    <col min="22" max="26" width="6.1640625" style="60" bestFit="1" customWidth="1"/>
    <col min="27" max="30" width="5.5" style="60" bestFit="1" customWidth="1"/>
    <col min="31" max="31" width="5.6640625" style="60" bestFit="1" customWidth="1"/>
    <col min="32" max="34" width="5.5" style="60" bestFit="1" customWidth="1"/>
    <col min="35" max="35" width="5.6640625" style="60" bestFit="1" customWidth="1"/>
    <col min="36" max="36" width="5.5" style="60" bestFit="1" customWidth="1"/>
    <col min="37" max="37" width="5.83203125" style="60" bestFit="1" customWidth="1"/>
    <col min="38" max="42" width="5.5" style="60" bestFit="1" customWidth="1"/>
    <col min="43" max="43" width="5.6640625" style="60" bestFit="1" customWidth="1"/>
    <col min="44" max="46" width="5.5" style="60" bestFit="1" customWidth="1"/>
    <col min="47" max="47" width="5.6640625" style="60" bestFit="1" customWidth="1"/>
    <col min="48" max="48" width="5.5" style="60" bestFit="1" customWidth="1"/>
    <col min="49" max="49" width="5.83203125" style="60" bestFit="1" customWidth="1"/>
    <col min="50" max="51" width="5.5" style="60" bestFit="1" customWidth="1"/>
    <col min="52" max="54" width="7" style="60" bestFit="1" customWidth="1"/>
    <col min="55" max="56" width="5.5" style="60" bestFit="1" customWidth="1"/>
    <col min="57" max="58" width="5.83203125" style="60" bestFit="1" customWidth="1"/>
    <col min="59" max="70" width="5.6640625" style="60" bestFit="1" customWidth="1"/>
    <col min="71" max="80" width="5.5" style="60" bestFit="1" customWidth="1"/>
    <col min="81" max="90" width="6.1640625" style="60" bestFit="1" customWidth="1"/>
    <col min="91" max="95" width="6.33203125" style="60" bestFit="1" customWidth="1"/>
    <col min="96" max="99" width="6.1640625" style="60" bestFit="1" customWidth="1"/>
    <col min="100" max="104" width="5.1640625" style="60" bestFit="1" customWidth="1"/>
    <col min="105" max="16384" width="22.6640625" style="60"/>
  </cols>
  <sheetData>
    <row r="1" spans="1:104" ht="13">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row>
    <row r="2" spans="1:104">
      <c r="A2" s="59"/>
      <c r="B2" s="59"/>
      <c r="C2" s="59"/>
      <c r="D2" s="98"/>
      <c r="E2" s="98"/>
      <c r="F2" s="59"/>
      <c r="H2" s="99"/>
      <c r="I2" s="99"/>
      <c r="J2" s="99"/>
      <c r="K2" s="99"/>
      <c r="L2" s="99"/>
      <c r="M2" s="99"/>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99"/>
      <c r="AP2" s="99"/>
      <c r="AQ2" s="99"/>
      <c r="AR2" s="99"/>
      <c r="AS2" s="99"/>
      <c r="AT2" s="99"/>
      <c r="AU2" s="99"/>
      <c r="AV2" s="99"/>
      <c r="AW2" s="99"/>
      <c r="AX2" s="99"/>
      <c r="AY2" s="99"/>
      <c r="AZ2" s="99"/>
      <c r="BA2" s="99"/>
      <c r="BB2" s="99"/>
      <c r="BC2" s="99"/>
      <c r="BD2" s="99"/>
      <c r="BE2" s="99"/>
      <c r="BF2" s="99"/>
      <c r="BG2" s="99"/>
      <c r="BH2" s="99"/>
      <c r="BI2" s="99"/>
      <c r="BJ2" s="99"/>
      <c r="BK2" s="99"/>
      <c r="BL2" s="99"/>
      <c r="BM2" s="99"/>
      <c r="BN2" s="99"/>
      <c r="BO2" s="99"/>
      <c r="BP2" s="99"/>
      <c r="BQ2" s="99"/>
      <c r="BR2" s="99"/>
      <c r="BS2" s="99"/>
      <c r="BT2" s="99"/>
      <c r="BU2" s="99"/>
      <c r="BV2" s="99"/>
      <c r="BW2" s="99"/>
      <c r="BX2" s="99"/>
      <c r="BY2" s="99"/>
      <c r="BZ2" s="99"/>
      <c r="CA2" s="99"/>
      <c r="CB2" s="99"/>
      <c r="CC2" s="99"/>
      <c r="CD2" s="99"/>
      <c r="CE2" s="99"/>
      <c r="CF2" s="99"/>
      <c r="CG2" s="99"/>
      <c r="CH2" s="99"/>
      <c r="CI2" s="99"/>
      <c r="CJ2" s="99"/>
      <c r="CK2" s="99"/>
      <c r="CL2" s="99"/>
      <c r="CM2" s="99"/>
      <c r="CN2" s="99"/>
    </row>
    <row r="3" spans="1:104" ht="15">
      <c r="A3" s="1" t="s">
        <v>824</v>
      </c>
      <c r="B3" s="100"/>
      <c r="C3" s="101"/>
      <c r="D3" s="282">
        <v>113.16</v>
      </c>
      <c r="K3" s="102"/>
      <c r="M3" s="102"/>
    </row>
    <row r="4" spans="1:104">
      <c r="A4" s="36"/>
      <c r="B4" s="64"/>
      <c r="D4" s="100"/>
      <c r="E4" s="64"/>
      <c r="F4" s="103"/>
    </row>
    <row r="5" spans="1:104">
      <c r="A5" s="64"/>
      <c r="B5" s="64"/>
      <c r="D5" s="64"/>
      <c r="E5" s="64"/>
      <c r="H5" s="60" t="s">
        <v>387</v>
      </c>
    </row>
    <row r="6" spans="1:104">
      <c r="A6" s="74"/>
      <c r="B6" s="74"/>
    </row>
    <row r="7" spans="1:104">
      <c r="A7" s="59"/>
      <c r="B7" s="59"/>
      <c r="C7" s="59"/>
      <c r="D7" s="98"/>
      <c r="E7" s="98"/>
      <c r="F7" s="59"/>
      <c r="H7" s="59" t="s">
        <v>416</v>
      </c>
      <c r="I7" s="59">
        <v>43831</v>
      </c>
      <c r="J7" s="59">
        <v>43862</v>
      </c>
      <c r="K7" s="59">
        <v>43891</v>
      </c>
      <c r="L7" s="59">
        <v>43922</v>
      </c>
      <c r="M7" s="59">
        <v>43952</v>
      </c>
      <c r="N7" s="59">
        <v>43983</v>
      </c>
      <c r="O7" s="59">
        <v>44013</v>
      </c>
      <c r="P7" s="59">
        <v>44044</v>
      </c>
      <c r="Q7" s="59">
        <v>44075</v>
      </c>
      <c r="R7" s="59">
        <v>44105</v>
      </c>
      <c r="S7" s="59">
        <v>44136</v>
      </c>
      <c r="T7" s="59">
        <v>44166</v>
      </c>
      <c r="U7" s="59">
        <v>44197</v>
      </c>
      <c r="V7" s="59">
        <v>44228</v>
      </c>
      <c r="W7" s="59">
        <v>44256</v>
      </c>
      <c r="X7" s="59">
        <v>44287</v>
      </c>
      <c r="Y7" s="59">
        <v>44317</v>
      </c>
      <c r="Z7" s="59">
        <v>44348</v>
      </c>
      <c r="AA7" s="59">
        <v>44378</v>
      </c>
      <c r="AB7" s="59">
        <v>44409</v>
      </c>
      <c r="AC7" s="59">
        <v>44440</v>
      </c>
      <c r="AD7" s="59">
        <v>44470</v>
      </c>
      <c r="AE7" s="59">
        <v>44501</v>
      </c>
      <c r="AF7" s="59">
        <v>44531</v>
      </c>
      <c r="AG7" s="59">
        <v>44562</v>
      </c>
      <c r="AH7" s="59">
        <v>44593</v>
      </c>
      <c r="AI7" s="59">
        <v>44621</v>
      </c>
      <c r="AJ7" s="59">
        <v>44652</v>
      </c>
      <c r="AK7" s="59">
        <v>44682</v>
      </c>
      <c r="AL7" s="59">
        <v>44713</v>
      </c>
      <c r="AM7" s="59">
        <v>44743</v>
      </c>
      <c r="AN7" s="59">
        <v>44774</v>
      </c>
      <c r="AO7" s="59">
        <v>44805</v>
      </c>
      <c r="AP7" s="59">
        <v>44835</v>
      </c>
      <c r="AQ7" s="59">
        <v>44866</v>
      </c>
      <c r="AR7" s="59">
        <v>44896</v>
      </c>
      <c r="AS7" s="59">
        <v>44927</v>
      </c>
      <c r="AT7" s="59">
        <v>44958</v>
      </c>
      <c r="AU7" s="59">
        <v>44986</v>
      </c>
      <c r="AV7" s="59">
        <v>45017</v>
      </c>
      <c r="AW7" s="59">
        <v>45047</v>
      </c>
      <c r="AX7" s="59">
        <v>45078</v>
      </c>
      <c r="AY7" s="59">
        <v>45108</v>
      </c>
      <c r="AZ7" s="59" t="s">
        <v>530</v>
      </c>
      <c r="BA7" s="59" t="s">
        <v>531</v>
      </c>
      <c r="BB7" s="59" t="s">
        <v>532</v>
      </c>
      <c r="BC7" s="59">
        <v>37104</v>
      </c>
      <c r="BD7" s="59">
        <v>37469</v>
      </c>
      <c r="BE7" s="59" t="s">
        <v>168</v>
      </c>
      <c r="BF7" s="59" t="s">
        <v>169</v>
      </c>
      <c r="BG7" s="59" t="s">
        <v>195</v>
      </c>
      <c r="BH7" s="59" t="s">
        <v>196</v>
      </c>
      <c r="BI7" s="59" t="s">
        <v>197</v>
      </c>
      <c r="BJ7" s="59" t="s">
        <v>198</v>
      </c>
      <c r="BK7" s="59" t="s">
        <v>199</v>
      </c>
      <c r="BL7" s="59" t="s">
        <v>200</v>
      </c>
      <c r="BM7" s="59" t="s">
        <v>201</v>
      </c>
      <c r="BN7" s="59" t="s">
        <v>202</v>
      </c>
      <c r="BO7" s="59">
        <v>37196</v>
      </c>
      <c r="BP7" s="59">
        <v>37561</v>
      </c>
      <c r="BQ7" s="59">
        <v>37926</v>
      </c>
      <c r="BR7" s="59">
        <v>38292</v>
      </c>
      <c r="BS7" s="59">
        <v>37226</v>
      </c>
      <c r="BT7" s="59">
        <v>37591</v>
      </c>
      <c r="BU7" s="59">
        <v>37956</v>
      </c>
      <c r="BV7" s="59">
        <v>38322</v>
      </c>
      <c r="BW7" s="59">
        <v>36892</v>
      </c>
      <c r="BX7" s="59">
        <v>37257</v>
      </c>
      <c r="BY7" s="59">
        <v>37622</v>
      </c>
      <c r="BZ7" s="59">
        <v>37987</v>
      </c>
      <c r="CA7" s="59">
        <v>36923</v>
      </c>
      <c r="CB7" s="59">
        <v>37288</v>
      </c>
      <c r="CC7" s="59">
        <v>37653</v>
      </c>
      <c r="CD7" s="59">
        <v>38018</v>
      </c>
      <c r="CE7" s="59" t="str">
        <f>Sheet8!A15</f>
        <v>Mar-w1</v>
      </c>
      <c r="CF7" s="59">
        <v>37316</v>
      </c>
      <c r="CG7" s="59">
        <v>37681</v>
      </c>
      <c r="CH7" s="59">
        <v>38047</v>
      </c>
      <c r="CI7" s="59" t="str">
        <f>Sheet8!E15</f>
        <v>Apr-w1</v>
      </c>
      <c r="CJ7" s="59" t="str">
        <f>Sheet8!F15</f>
        <v>Apr-w2</v>
      </c>
      <c r="CK7" s="59" t="str">
        <f>Sheet8!G15</f>
        <v>Apr-w3</v>
      </c>
      <c r="CL7" s="59" t="str">
        <f>Sheet8!H15</f>
        <v>Apr-w4</v>
      </c>
      <c r="CM7" s="59" t="str">
        <f>Sheet8!I15</f>
        <v>May-w1</v>
      </c>
      <c r="CN7" s="59" t="str">
        <f>Sheet8!J15</f>
        <v>May-w2</v>
      </c>
      <c r="CO7" s="59" t="str">
        <f>Sheet8!K15</f>
        <v>May-w3</v>
      </c>
      <c r="CP7" s="59" t="str">
        <f>Sheet8!L15</f>
        <v>May-w4</v>
      </c>
      <c r="CQ7" s="59" t="str">
        <f>Sheet8!M15</f>
        <v>May-w5</v>
      </c>
      <c r="CR7" s="59" t="str">
        <f>Sheet8!N15</f>
        <v>june-w1</v>
      </c>
      <c r="CS7" s="59" t="str">
        <f>Sheet8!O15</f>
        <v>june-w2</v>
      </c>
      <c r="CT7" s="59" t="str">
        <f>Sheet8!P15</f>
        <v>june-w3</v>
      </c>
      <c r="CU7" s="59" t="str">
        <f>Sheet8!Q15</f>
        <v>june-w4</v>
      </c>
      <c r="CV7" s="59" t="str">
        <f>Sheet8!R15</f>
        <v>Jul-w1</v>
      </c>
      <c r="CW7" s="59" t="str">
        <f>Sheet8!S15</f>
        <v>Jul-w2</v>
      </c>
      <c r="CX7" s="59" t="str">
        <f>Sheet8!T15</f>
        <v>Jul-w3</v>
      </c>
      <c r="CY7" s="59" t="str">
        <f>Sheet8!U15</f>
        <v>Jul-w4</v>
      </c>
      <c r="CZ7" s="59" t="str">
        <f>Sheet8!V15</f>
        <v>Aug-w1</v>
      </c>
    </row>
    <row r="8" spans="1:104" ht="13">
      <c r="H8" s="107" t="s">
        <v>362</v>
      </c>
      <c r="I8" s="74">
        <f>VLOOKUP($H$8&amp;$F$1,'Input RM sheet'!$A:$BD,H1,0)</f>
        <v>0</v>
      </c>
      <c r="J8" s="74">
        <f>VLOOKUP($H$8&amp;$F$1,'Input RM sheet'!$A:$BD,I1,0)</f>
        <v>0</v>
      </c>
      <c r="K8" s="74">
        <f>VLOOKUP($H$8&amp;$F$1,'Input RM sheet'!$A:$DD,J1,0)</f>
        <v>0</v>
      </c>
      <c r="L8" s="74">
        <f>VLOOKUP($H$8&amp;$F$1,'Input RM sheet'!$A:$DD,K1,0)</f>
        <v>0</v>
      </c>
      <c r="M8" s="74">
        <f>VLOOKUP($H$8&amp;$F$1,'Input RM sheet'!$A:$DD,L1,0)</f>
        <v>0</v>
      </c>
      <c r="N8" s="74">
        <f>VLOOKUP($H$8&amp;$F$1,'Input RM sheet'!$A:$DD,M1,0)</f>
        <v>0</v>
      </c>
      <c r="O8" s="74">
        <f>VLOOKUP($H$8&amp;$F$1,'Input RM sheet'!$A:$DD,N1,0)</f>
        <v>0</v>
      </c>
      <c r="P8" s="74">
        <f>VLOOKUP($H$8&amp;$F$1,'Input RM sheet'!$A:$DD,O1,0)</f>
        <v>0</v>
      </c>
      <c r="Q8" s="74">
        <f>VLOOKUP($H$8&amp;$F$1,'Input RM sheet'!$A:$DD,P1,0)</f>
        <v>0</v>
      </c>
      <c r="R8" s="74">
        <f>VLOOKUP($H$8&amp;$F$1,'Input RM sheet'!$A:$DD,Q1,0)</f>
        <v>0</v>
      </c>
      <c r="S8" s="74">
        <f>VLOOKUP($H$8&amp;$F$1,'Input RM sheet'!$A:$DD,R1,0)</f>
        <v>0</v>
      </c>
      <c r="T8" s="74">
        <f>VLOOKUP($H$8&amp;$F$1,'Input RM sheet'!$A:$DD,S1,0)</f>
        <v>0</v>
      </c>
      <c r="U8" s="74">
        <f>VLOOKUP($H$8&amp;$F$1,'Input RM sheet'!$A:$DD,T1,0)</f>
        <v>0</v>
      </c>
      <c r="V8" s="74">
        <f>VLOOKUP($H$8&amp;$F$1,'Input RM sheet'!$A:$DD,U1,0)</f>
        <v>0</v>
      </c>
      <c r="W8" s="74">
        <f>VLOOKUP($H$8&amp;$F$1,'Input RM sheet'!$A:$DD,V1,0)</f>
        <v>0</v>
      </c>
      <c r="X8" s="74">
        <f>VLOOKUP($H$8&amp;$F$1,'Input RM sheet'!$A:$DD,W1,0)</f>
        <v>0</v>
      </c>
      <c r="Y8" s="74">
        <f>VLOOKUP($H$8&amp;$F$1,'Input RM sheet'!$A:$DD,X1,0)</f>
        <v>0</v>
      </c>
      <c r="Z8" s="74">
        <f>VLOOKUP($H$8&amp;$F$1,'Input RM sheet'!$A:$DD,Y1,0)</f>
        <v>0</v>
      </c>
      <c r="AA8" s="74">
        <f>VLOOKUP($H$8&amp;$F$1,'Input RM sheet'!$A:$DD,Z1,0)</f>
        <v>0</v>
      </c>
      <c r="AB8" s="74">
        <f>VLOOKUP($H$8&amp;$F$1,'Input RM sheet'!$A:$DD,AA1,0)</f>
        <v>0</v>
      </c>
      <c r="AC8" s="74">
        <f>VLOOKUP($H$8&amp;$F$1,'Input RM sheet'!$A:$DD,AB1,0)</f>
        <v>0</v>
      </c>
      <c r="AD8" s="74">
        <f>VLOOKUP($H$8&amp;$F$1,'Input RM sheet'!$A:$DD,AC1,0)</f>
        <v>0</v>
      </c>
      <c r="AE8" s="74">
        <f>VLOOKUP($H$8&amp;$F$1,'Input RM sheet'!$A:$DD,AD1,0)</f>
        <v>0</v>
      </c>
      <c r="AF8" s="74">
        <f>VLOOKUP($H$8&amp;$F$1,'Input RM sheet'!$A:$DD,AE1,0)</f>
        <v>0</v>
      </c>
      <c r="AG8" s="74">
        <f>VLOOKUP($H$8&amp;$F$1,'Input RM sheet'!$A:$DD,AF1,0)</f>
        <v>0</v>
      </c>
      <c r="AH8" s="74">
        <f>VLOOKUP($H$8&amp;$F$1,'Input RM sheet'!$A:$DD,AG1,0)</f>
        <v>0</v>
      </c>
      <c r="AI8" s="74">
        <f>VLOOKUP($H$8&amp;$F$1,'Input RM sheet'!$A:$DD,AH1,0)</f>
        <v>0</v>
      </c>
      <c r="AJ8" s="74">
        <f>VLOOKUP($H$8&amp;$F$1,'Input RM sheet'!$A:$DD,AI1,0)</f>
        <v>0</v>
      </c>
      <c r="AK8" s="74">
        <f>VLOOKUP($H$8&amp;$F$1,'Input RM sheet'!$A:$DD,AJ1,0)</f>
        <v>0</v>
      </c>
      <c r="AL8" s="74">
        <f>VLOOKUP($H$8&amp;$F$1,'Input RM sheet'!$A:$DD,AK1,0)</f>
        <v>0</v>
      </c>
      <c r="AM8" s="74">
        <f>VLOOKUP($H$8&amp;$F$1,'Input RM sheet'!$A:$DD,AL1,0)</f>
        <v>0</v>
      </c>
      <c r="AN8" s="74">
        <f>VLOOKUP($H$8&amp;$F$1,'Input RM sheet'!$A:$DD,AM1,0)</f>
        <v>0</v>
      </c>
      <c r="AO8" s="74">
        <f>VLOOKUP($H$8&amp;$F$1,'Input RM sheet'!$A:$DD,AN1,0)</f>
        <v>0</v>
      </c>
      <c r="AP8" s="74">
        <f>VLOOKUP($H$8&amp;$F$1,'Input RM sheet'!$A:$DD,AO1,0)</f>
        <v>0</v>
      </c>
      <c r="AQ8" s="74">
        <f>VLOOKUP($H$8&amp;$F$1,'Input RM sheet'!$A:$DD,AP1,0)</f>
        <v>0</v>
      </c>
      <c r="AR8" s="74">
        <f>VLOOKUP($H$8&amp;$F$1,'Input RM sheet'!$A:$DD,AQ1,0)</f>
        <v>0</v>
      </c>
      <c r="AS8" s="74">
        <f>VLOOKUP($H$8&amp;$F$1,'Input RM sheet'!$A:$DD,AR1,0)</f>
        <v>0</v>
      </c>
      <c r="AT8" s="74">
        <f>VLOOKUP($H$8&amp;$F$1,'Input RM sheet'!$A:$DD,AS1,0)</f>
        <v>0</v>
      </c>
      <c r="AU8" s="74">
        <f>VLOOKUP($H$8&amp;$F$1,'Input RM sheet'!$A:$DD,AT1,0)</f>
        <v>0</v>
      </c>
      <c r="AV8" s="74">
        <f>VLOOKUP($H$8&amp;$F$1,'Input RM sheet'!$A:$DD,AU1,0)</f>
        <v>0</v>
      </c>
      <c r="AW8" s="74">
        <f>VLOOKUP($H$8&amp;$F$1,'Input RM sheet'!$A:$DD,AV1,0)</f>
        <v>0</v>
      </c>
      <c r="AX8" s="74">
        <f>VLOOKUP($H$8&amp;$F$1,'Input RM sheet'!$A:$DD,AW1,0)</f>
        <v>0</v>
      </c>
      <c r="AY8" s="74">
        <f>VLOOKUP($H$8&amp;$F$1,'Input RM sheet'!$A:$DD,AX1,0)</f>
        <v>0</v>
      </c>
      <c r="AZ8" s="74">
        <f>VLOOKUP($H$8&amp;$F$1,'Input RM sheet'!$A:$DD,AY1,0)</f>
        <v>0</v>
      </c>
      <c r="BA8" s="74">
        <f>VLOOKUP($H$8&amp;$F$1,'Input RM sheet'!$A:$DD,AZ1,0)</f>
        <v>0</v>
      </c>
      <c r="BB8" s="74">
        <f>VLOOKUP($H$8&amp;$F$1,'Input RM sheet'!$A:$DD,BA1,0)</f>
        <v>0</v>
      </c>
      <c r="BC8" s="74">
        <f>VLOOKUP($H$8&amp;$F$1,'Input RM sheet'!$A:$DD,BB1,0)</f>
        <v>0</v>
      </c>
      <c r="BD8" s="74">
        <f>VLOOKUP($H$8&amp;$F$1,'Input RM sheet'!$A:$DD,BC1,0)</f>
        <v>0</v>
      </c>
      <c r="BE8" s="74">
        <f>VLOOKUP($H$8&amp;$F$1,'Input RM sheet'!$A:$DD,BD1,0)</f>
        <v>0</v>
      </c>
      <c r="BF8" s="74">
        <f>VLOOKUP($H$8&amp;$F$1,'Input RM sheet'!$A:$DD,BE1,0)</f>
        <v>0</v>
      </c>
      <c r="BG8" s="74">
        <f>VLOOKUP($H$8&amp;$F$1,'Input RM sheet'!$A:$DD,BF1,0)</f>
        <v>0</v>
      </c>
      <c r="BH8" s="74">
        <f>VLOOKUP($H$8&amp;$F$1,'Input RM sheet'!$A:$DD,BG1,0)</f>
        <v>0</v>
      </c>
      <c r="BI8" s="74">
        <f>VLOOKUP($H$8&amp;$F$1,'Input RM sheet'!$A:$DD,BH1,0)</f>
        <v>0</v>
      </c>
      <c r="BJ8" s="74">
        <f>VLOOKUP($H$8&amp;$F$1,'Input RM sheet'!$A:$DD,BI1,0)</f>
        <v>0</v>
      </c>
      <c r="BK8" s="74">
        <f>VLOOKUP($H$8&amp;$F$1,'Input RM sheet'!$A:$DD,BJ1,0)</f>
        <v>0</v>
      </c>
      <c r="BL8" s="74">
        <f>VLOOKUP($H$8&amp;$F$1,'Input RM sheet'!$A:$DD,BK1,0)</f>
        <v>0</v>
      </c>
      <c r="BM8" s="74">
        <f>VLOOKUP($H$8&amp;$F$1,'Input RM sheet'!$A:$DD,BL1,0)</f>
        <v>0</v>
      </c>
      <c r="BN8" s="74">
        <f>VLOOKUP($H$8&amp;$F$1,'Input RM sheet'!$A:$DD,BM1,0)</f>
        <v>0</v>
      </c>
      <c r="BO8" s="74">
        <f>VLOOKUP($H$8&amp;$F$1,'Input RM sheet'!$A:$DD,BN1,0)</f>
        <v>0</v>
      </c>
      <c r="BP8" s="74">
        <f>VLOOKUP($H$8&amp;$F$1,'Input RM sheet'!$A:$DD,BO1,0)</f>
        <v>0</v>
      </c>
      <c r="BQ8" s="74">
        <f>VLOOKUP($H$8&amp;$F$1,'Input RM sheet'!$A:$DD,BP1,0)</f>
        <v>0</v>
      </c>
      <c r="BR8" s="74">
        <f>VLOOKUP($H$8&amp;$F$1,'Input RM sheet'!$A:$DD,BQ1,0)</f>
        <v>0</v>
      </c>
      <c r="BS8" s="74">
        <f>VLOOKUP($H$8&amp;$F$1,'Input RM sheet'!$A:$DD,BR1,0)</f>
        <v>0</v>
      </c>
      <c r="BT8" s="74">
        <f>VLOOKUP($H$8&amp;$F$1,'Input RM sheet'!$A:$DD,BS1,0)</f>
        <v>0</v>
      </c>
      <c r="BU8" s="74">
        <f>VLOOKUP($H$8&amp;$F$1,'Input RM sheet'!$A:$DD,BT1,0)</f>
        <v>0</v>
      </c>
      <c r="BV8" s="74">
        <f>VLOOKUP($H$8&amp;$F$1,'Input RM sheet'!$A:$DD,BU1,0)</f>
        <v>0</v>
      </c>
      <c r="BW8" s="74">
        <f>VLOOKUP($H$8&amp;$F$1,'Input RM sheet'!$A:$DD,BV1,0)</f>
        <v>0</v>
      </c>
      <c r="BX8" s="74">
        <f>VLOOKUP($H$8&amp;$F$1,'Input RM sheet'!$A:$DD,BW1,0)</f>
        <v>0</v>
      </c>
      <c r="BY8" s="74">
        <f>VLOOKUP($H$8&amp;$F$1,'Input RM sheet'!$A:$DD,BX1,0)</f>
        <v>0</v>
      </c>
      <c r="BZ8" s="74">
        <f>VLOOKUP($H$8&amp;$F$1,'Input RM sheet'!$A:$DD,BY1,0)</f>
        <v>0</v>
      </c>
      <c r="CA8" s="74">
        <f>VLOOKUP($H$8&amp;$F$1,'Input RM sheet'!$A:$DD,BZ1,0)</f>
        <v>0</v>
      </c>
      <c r="CB8" s="74">
        <f>VLOOKUP($H$8&amp;$F$1,'Input RM sheet'!$A:$DD,CA1,0)</f>
        <v>0</v>
      </c>
      <c r="CC8" s="74">
        <f>VLOOKUP($H$8&amp;$F$1,'Input RM sheet'!$A:$DD,CB1,0)</f>
        <v>0</v>
      </c>
      <c r="CD8" s="74">
        <f>VLOOKUP($H$8&amp;$F$1,'Input RM sheet'!$A:$DD,CC1,0)</f>
        <v>0</v>
      </c>
      <c r="CE8" s="74">
        <f>VLOOKUP($H$8&amp;$F$1,'Input RM sheet'!$A:$DD,CD1,0)</f>
        <v>0</v>
      </c>
      <c r="CF8" s="74">
        <f>VLOOKUP($H$8&amp;$F$1,'Input RM sheet'!$A:$DD,CE1,0)</f>
        <v>0</v>
      </c>
      <c r="CG8" s="74">
        <f>VLOOKUP($H$8&amp;$F$1,'Input RM sheet'!$A:$DD,CF1,0)</f>
        <v>0</v>
      </c>
      <c r="CH8" s="74">
        <f>VLOOKUP($H$8&amp;$F$1,'Input RM sheet'!$A:$DD,CG1,0)</f>
        <v>0</v>
      </c>
      <c r="CI8" s="74">
        <f>VLOOKUP($H$8&amp;$F$1,'Input RM sheet'!$A:$DD,CH1,0)</f>
        <v>0</v>
      </c>
      <c r="CJ8" s="74">
        <f>VLOOKUP($H$8&amp;$F$1,'Input RM sheet'!$A:$DD,CI1,0)</f>
        <v>0</v>
      </c>
      <c r="CK8" s="74">
        <f>VLOOKUP($H$8&amp;$F$1,'Input RM sheet'!$A:$DD,CJ1,0)</f>
        <v>0</v>
      </c>
      <c r="CL8" s="74">
        <f>VLOOKUP($H$8&amp;$F$1,'Input RM sheet'!$A:$DD,CK1,0)</f>
        <v>0</v>
      </c>
      <c r="CM8" s="74">
        <f>VLOOKUP($H$8&amp;$F$1,'Input RM sheet'!$A:$DD,CL1,0)</f>
        <v>0</v>
      </c>
      <c r="CN8" s="74">
        <f>VLOOKUP($H$8&amp;$F$1,'Input RM sheet'!$A:$DD,CM1,0)</f>
        <v>0</v>
      </c>
      <c r="CO8" s="74">
        <f>VLOOKUP($H$8&amp;$F$1,'Input RM sheet'!$A:$DD,CN1,0)</f>
        <v>0</v>
      </c>
      <c r="CP8" s="74">
        <f>VLOOKUP($H$8&amp;$F$1,'Input RM sheet'!$A:$DD,CO1,0)</f>
        <v>0</v>
      </c>
      <c r="CQ8" s="74">
        <f>VLOOKUP($H$8&amp;$F$1,'Input RM sheet'!$A:$DD,CP1,0)</f>
        <v>0</v>
      </c>
      <c r="CR8" s="74">
        <f>VLOOKUP($H$8&amp;$F$1,'Input RM sheet'!$A:$DD,CQ1,0)</f>
        <v>0</v>
      </c>
    </row>
    <row r="9" spans="1:104" ht="13">
      <c r="H9" s="107" t="s">
        <v>363</v>
      </c>
      <c r="I9" s="74"/>
      <c r="J9" s="74"/>
      <c r="K9" s="74"/>
      <c r="L9" s="74"/>
      <c r="M9" s="74"/>
      <c r="N9" s="74"/>
      <c r="O9" s="74"/>
      <c r="P9" s="74"/>
      <c r="Q9" s="74"/>
      <c r="R9" s="74"/>
      <c r="S9" s="74"/>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74"/>
      <c r="BG9" s="74"/>
      <c r="BH9" s="74"/>
      <c r="BI9" s="74"/>
      <c r="BJ9" s="74"/>
      <c r="BK9" s="74"/>
      <c r="BL9" s="74"/>
      <c r="BM9" s="74"/>
      <c r="BN9" s="74"/>
      <c r="BO9" s="74"/>
      <c r="BP9" s="74"/>
      <c r="BQ9" s="74"/>
      <c r="BR9" s="74"/>
      <c r="BS9" s="74"/>
      <c r="BT9" s="74"/>
      <c r="BU9" s="74"/>
      <c r="BV9" s="74"/>
      <c r="BW9" s="74"/>
      <c r="BX9" s="74"/>
      <c r="BY9" s="74"/>
      <c r="BZ9" s="74"/>
      <c r="CA9" s="74"/>
      <c r="CB9" s="74"/>
      <c r="CC9" s="74"/>
      <c r="CD9" s="74"/>
      <c r="CE9" s="74"/>
      <c r="CF9" s="74"/>
      <c r="CG9" s="74"/>
      <c r="CH9" s="74"/>
      <c r="CI9" s="74"/>
      <c r="CJ9" s="74"/>
      <c r="CK9" s="74"/>
      <c r="CL9" s="74"/>
      <c r="CM9" s="74"/>
      <c r="CN9" s="74"/>
      <c r="CO9" s="74"/>
      <c r="CP9" s="74"/>
      <c r="CQ9" s="74"/>
      <c r="CR9" s="74"/>
    </row>
    <row r="10" spans="1:104" ht="13">
      <c r="A10" s="59" t="s">
        <v>395</v>
      </c>
      <c r="B10" s="59"/>
      <c r="C10" s="59" t="s">
        <v>379</v>
      </c>
      <c r="D10" s="98" t="s">
        <v>380</v>
      </c>
      <c r="E10" s="98" t="s">
        <v>381</v>
      </c>
      <c r="F10" s="59" t="s">
        <v>396</v>
      </c>
      <c r="I10" s="84"/>
      <c r="J10" s="84"/>
      <c r="K10" s="84"/>
      <c r="L10" s="84"/>
      <c r="M10" s="84"/>
      <c r="N10" s="84"/>
      <c r="O10" s="84"/>
      <c r="P10" s="84"/>
      <c r="Q10" s="84"/>
      <c r="R10" s="84"/>
      <c r="S10" s="84"/>
      <c r="T10" s="84"/>
      <c r="U10" s="84"/>
      <c r="V10" s="84"/>
      <c r="W10" s="84"/>
      <c r="X10" s="84"/>
      <c r="Y10" s="84"/>
      <c r="Z10" s="84"/>
      <c r="AA10" s="84"/>
      <c r="AB10" s="84"/>
      <c r="AC10" s="84"/>
      <c r="AD10" s="84"/>
      <c r="AE10" s="84"/>
      <c r="AF10" s="84"/>
      <c r="AG10" s="84"/>
      <c r="AH10" s="84"/>
      <c r="AI10" s="84"/>
      <c r="AJ10" s="84"/>
      <c r="AK10" s="84"/>
      <c r="AL10" s="84"/>
      <c r="AM10" s="84"/>
      <c r="AN10" s="84"/>
      <c r="AO10" s="84"/>
      <c r="AP10" s="84"/>
      <c r="AQ10" s="84"/>
      <c r="AR10" s="84"/>
      <c r="AS10" s="84"/>
      <c r="AT10" s="84"/>
      <c r="AU10" s="84"/>
      <c r="AV10" s="84"/>
      <c r="AW10" s="84"/>
      <c r="AX10" s="84"/>
      <c r="AY10" s="84"/>
      <c r="AZ10" s="84"/>
      <c r="BA10" s="84"/>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84"/>
      <c r="CE10" s="84"/>
      <c r="CF10" s="84"/>
      <c r="CG10" s="84"/>
      <c r="CH10" s="84"/>
      <c r="CI10" s="84"/>
      <c r="CJ10" s="84"/>
      <c r="CK10" s="84"/>
      <c r="CL10" s="84"/>
      <c r="CM10" s="84"/>
      <c r="CN10" s="84"/>
      <c r="CO10" s="84"/>
      <c r="CP10" s="84"/>
      <c r="CQ10" s="84"/>
      <c r="CR10" s="84"/>
    </row>
    <row r="11" spans="1:104" ht="13">
      <c r="A11" s="107" t="s">
        <v>397</v>
      </c>
      <c r="B11" s="107" t="s">
        <v>362</v>
      </c>
      <c r="C11" s="60">
        <v>1</v>
      </c>
      <c r="D11" s="65">
        <v>98.15</v>
      </c>
      <c r="E11" s="60">
        <f>D11*C11</f>
        <v>98.15</v>
      </c>
      <c r="F11" s="328">
        <f>E11/$D$3</f>
        <v>0.86735595616825745</v>
      </c>
      <c r="H11" s="60" t="s">
        <v>399</v>
      </c>
      <c r="I11" s="74">
        <f>$F$11*(I8/1000)</f>
        <v>0</v>
      </c>
      <c r="J11" s="74">
        <f t="shared" ref="J11:BU11" si="0">$F$11*(J8/1000)</f>
        <v>0</v>
      </c>
      <c r="K11" s="74">
        <f t="shared" si="0"/>
        <v>0</v>
      </c>
      <c r="L11" s="74">
        <f t="shared" si="0"/>
        <v>0</v>
      </c>
      <c r="M11" s="74">
        <f t="shared" si="0"/>
        <v>0</v>
      </c>
      <c r="N11" s="74">
        <f t="shared" si="0"/>
        <v>0</v>
      </c>
      <c r="O11" s="74">
        <f t="shared" si="0"/>
        <v>0</v>
      </c>
      <c r="P11" s="74">
        <f t="shared" si="0"/>
        <v>0</v>
      </c>
      <c r="Q11" s="74">
        <f t="shared" si="0"/>
        <v>0</v>
      </c>
      <c r="R11" s="74">
        <f t="shared" si="0"/>
        <v>0</v>
      </c>
      <c r="S11" s="74">
        <f t="shared" si="0"/>
        <v>0</v>
      </c>
      <c r="T11" s="74">
        <f t="shared" si="0"/>
        <v>0</v>
      </c>
      <c r="U11" s="74">
        <f t="shared" si="0"/>
        <v>0</v>
      </c>
      <c r="V11" s="74">
        <f t="shared" si="0"/>
        <v>0</v>
      </c>
      <c r="W11" s="74">
        <f t="shared" si="0"/>
        <v>0</v>
      </c>
      <c r="X11" s="74">
        <f t="shared" si="0"/>
        <v>0</v>
      </c>
      <c r="Y11" s="74">
        <f t="shared" si="0"/>
        <v>0</v>
      </c>
      <c r="Z11" s="74">
        <f t="shared" si="0"/>
        <v>0</v>
      </c>
      <c r="AA11" s="74">
        <f t="shared" si="0"/>
        <v>0</v>
      </c>
      <c r="AB11" s="74">
        <f t="shared" si="0"/>
        <v>0</v>
      </c>
      <c r="AC11" s="74">
        <f t="shared" si="0"/>
        <v>0</v>
      </c>
      <c r="AD11" s="74">
        <f t="shared" si="0"/>
        <v>0</v>
      </c>
      <c r="AE11" s="74">
        <f t="shared" si="0"/>
        <v>0</v>
      </c>
      <c r="AF11" s="74">
        <f t="shared" si="0"/>
        <v>0</v>
      </c>
      <c r="AG11" s="74">
        <f t="shared" si="0"/>
        <v>0</v>
      </c>
      <c r="AH11" s="74">
        <f t="shared" si="0"/>
        <v>0</v>
      </c>
      <c r="AI11" s="74">
        <f t="shared" si="0"/>
        <v>0</v>
      </c>
      <c r="AJ11" s="74">
        <f t="shared" si="0"/>
        <v>0</v>
      </c>
      <c r="AK11" s="74">
        <f t="shared" si="0"/>
        <v>0</v>
      </c>
      <c r="AL11" s="74">
        <f t="shared" si="0"/>
        <v>0</v>
      </c>
      <c r="AM11" s="74">
        <f t="shared" si="0"/>
        <v>0</v>
      </c>
      <c r="AN11" s="74">
        <f t="shared" si="0"/>
        <v>0</v>
      </c>
      <c r="AO11" s="74">
        <f t="shared" si="0"/>
        <v>0</v>
      </c>
      <c r="AP11" s="74">
        <f t="shared" si="0"/>
        <v>0</v>
      </c>
      <c r="AQ11" s="74">
        <f t="shared" si="0"/>
        <v>0</v>
      </c>
      <c r="AR11" s="74">
        <f t="shared" si="0"/>
        <v>0</v>
      </c>
      <c r="AS11" s="74">
        <f t="shared" si="0"/>
        <v>0</v>
      </c>
      <c r="AT11" s="74">
        <f t="shared" si="0"/>
        <v>0</v>
      </c>
      <c r="AU11" s="74">
        <f t="shared" si="0"/>
        <v>0</v>
      </c>
      <c r="AV11" s="74">
        <f t="shared" si="0"/>
        <v>0</v>
      </c>
      <c r="AW11" s="74">
        <f t="shared" si="0"/>
        <v>0</v>
      </c>
      <c r="AX11" s="74">
        <f t="shared" si="0"/>
        <v>0</v>
      </c>
      <c r="AY11" s="74">
        <f t="shared" si="0"/>
        <v>0</v>
      </c>
      <c r="AZ11" s="74">
        <f t="shared" si="0"/>
        <v>0</v>
      </c>
      <c r="BA11" s="74">
        <f t="shared" si="0"/>
        <v>0</v>
      </c>
      <c r="BB11" s="74">
        <f t="shared" si="0"/>
        <v>0</v>
      </c>
      <c r="BC11" s="74">
        <f t="shared" si="0"/>
        <v>0</v>
      </c>
      <c r="BD11" s="74">
        <f t="shared" si="0"/>
        <v>0</v>
      </c>
      <c r="BE11" s="74">
        <f t="shared" si="0"/>
        <v>0</v>
      </c>
      <c r="BF11" s="74">
        <f t="shared" si="0"/>
        <v>0</v>
      </c>
      <c r="BG11" s="74">
        <f t="shared" si="0"/>
        <v>0</v>
      </c>
      <c r="BH11" s="74">
        <f t="shared" si="0"/>
        <v>0</v>
      </c>
      <c r="BI11" s="74">
        <f t="shared" si="0"/>
        <v>0</v>
      </c>
      <c r="BJ11" s="74">
        <f t="shared" si="0"/>
        <v>0</v>
      </c>
      <c r="BK11" s="74">
        <f t="shared" si="0"/>
        <v>0</v>
      </c>
      <c r="BL11" s="74">
        <f t="shared" si="0"/>
        <v>0</v>
      </c>
      <c r="BM11" s="74">
        <f t="shared" si="0"/>
        <v>0</v>
      </c>
      <c r="BN11" s="74">
        <f t="shared" si="0"/>
        <v>0</v>
      </c>
      <c r="BO11" s="74">
        <f t="shared" si="0"/>
        <v>0</v>
      </c>
      <c r="BP11" s="74">
        <f t="shared" si="0"/>
        <v>0</v>
      </c>
      <c r="BQ11" s="74">
        <f t="shared" si="0"/>
        <v>0</v>
      </c>
      <c r="BR11" s="74">
        <f t="shared" si="0"/>
        <v>0</v>
      </c>
      <c r="BS11" s="74">
        <f t="shared" si="0"/>
        <v>0</v>
      </c>
      <c r="BT11" s="74">
        <f t="shared" si="0"/>
        <v>0</v>
      </c>
      <c r="BU11" s="74">
        <f t="shared" si="0"/>
        <v>0</v>
      </c>
      <c r="BV11" s="74">
        <f t="shared" ref="BV11:CR11" si="1">$F$11*(BV8/1000)</f>
        <v>0</v>
      </c>
      <c r="BW11" s="74">
        <f t="shared" si="1"/>
        <v>0</v>
      </c>
      <c r="BX11" s="74">
        <f t="shared" si="1"/>
        <v>0</v>
      </c>
      <c r="BY11" s="74">
        <f t="shared" si="1"/>
        <v>0</v>
      </c>
      <c r="BZ11" s="74">
        <f t="shared" si="1"/>
        <v>0</v>
      </c>
      <c r="CA11" s="74">
        <f t="shared" si="1"/>
        <v>0</v>
      </c>
      <c r="CB11" s="74">
        <f t="shared" si="1"/>
        <v>0</v>
      </c>
      <c r="CC11" s="74">
        <f t="shared" si="1"/>
        <v>0</v>
      </c>
      <c r="CD11" s="74">
        <f t="shared" si="1"/>
        <v>0</v>
      </c>
      <c r="CE11" s="74">
        <f t="shared" si="1"/>
        <v>0</v>
      </c>
      <c r="CF11" s="74">
        <f t="shared" si="1"/>
        <v>0</v>
      </c>
      <c r="CG11" s="74">
        <f t="shared" si="1"/>
        <v>0</v>
      </c>
      <c r="CH11" s="74">
        <f t="shared" si="1"/>
        <v>0</v>
      </c>
      <c r="CI11" s="74">
        <f t="shared" si="1"/>
        <v>0</v>
      </c>
      <c r="CJ11" s="74">
        <f t="shared" si="1"/>
        <v>0</v>
      </c>
      <c r="CK11" s="74">
        <f t="shared" si="1"/>
        <v>0</v>
      </c>
      <c r="CL11" s="74">
        <f t="shared" si="1"/>
        <v>0</v>
      </c>
      <c r="CM11" s="74">
        <f t="shared" si="1"/>
        <v>0</v>
      </c>
      <c r="CN11" s="74">
        <f t="shared" si="1"/>
        <v>0</v>
      </c>
      <c r="CO11" s="74">
        <f t="shared" si="1"/>
        <v>0</v>
      </c>
      <c r="CP11" s="74">
        <f t="shared" si="1"/>
        <v>0</v>
      </c>
      <c r="CQ11" s="74">
        <f t="shared" si="1"/>
        <v>0</v>
      </c>
      <c r="CR11" s="74">
        <f t="shared" si="1"/>
        <v>0</v>
      </c>
    </row>
    <row r="12" spans="1:104" ht="13">
      <c r="A12" s="67"/>
      <c r="B12" s="107" t="s">
        <v>363</v>
      </c>
      <c r="C12" s="60">
        <v>1</v>
      </c>
      <c r="D12" s="77">
        <v>33.03</v>
      </c>
      <c r="E12" s="60">
        <f>D12*C12</f>
        <v>33.03</v>
      </c>
      <c r="F12" s="328">
        <f>E12/$D$3</f>
        <v>0.29188759278897136</v>
      </c>
      <c r="I12" s="74"/>
      <c r="J12" s="74"/>
      <c r="K12" s="74"/>
      <c r="L12" s="74"/>
      <c r="M12" s="74"/>
      <c r="N12" s="74"/>
      <c r="O12" s="74"/>
      <c r="P12" s="74"/>
      <c r="Q12" s="74"/>
      <c r="R12" s="74"/>
      <c r="S12" s="74"/>
      <c r="T12" s="74"/>
      <c r="U12" s="74"/>
      <c r="V12" s="74"/>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c r="BL12" s="74"/>
      <c r="BM12" s="74"/>
      <c r="BN12" s="74"/>
      <c r="BO12" s="74"/>
      <c r="BP12" s="74"/>
      <c r="BQ12" s="74"/>
      <c r="BR12" s="74"/>
      <c r="BS12" s="74"/>
      <c r="BT12" s="74"/>
      <c r="BU12" s="74"/>
      <c r="BV12" s="74"/>
      <c r="BW12" s="74"/>
      <c r="BX12" s="74"/>
      <c r="BY12" s="74"/>
      <c r="BZ12" s="74"/>
      <c r="CA12" s="74"/>
      <c r="CB12" s="74"/>
      <c r="CC12" s="74"/>
      <c r="CD12" s="74"/>
      <c r="CE12" s="74"/>
      <c r="CF12" s="74"/>
      <c r="CG12" s="74"/>
      <c r="CH12" s="74"/>
      <c r="CI12" s="74"/>
      <c r="CJ12" s="74"/>
      <c r="CK12" s="74"/>
      <c r="CL12" s="74"/>
      <c r="CM12" s="74"/>
      <c r="CN12" s="74"/>
      <c r="CO12" s="74"/>
      <c r="CP12" s="74"/>
      <c r="CQ12" s="74"/>
      <c r="CR12" s="74"/>
    </row>
    <row r="13" spans="1:104">
      <c r="A13" s="67"/>
      <c r="B13" s="107"/>
      <c r="D13" s="77"/>
      <c r="F13" s="65"/>
      <c r="I13" s="74"/>
      <c r="J13" s="74"/>
      <c r="K13" s="74"/>
      <c r="L13" s="74"/>
      <c r="M13" s="74"/>
      <c r="N13" s="74"/>
      <c r="O13" s="74"/>
      <c r="P13" s="74"/>
      <c r="Q13" s="74"/>
      <c r="R13" s="74"/>
      <c r="S13" s="74"/>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c r="BF13" s="74"/>
      <c r="BG13" s="74"/>
      <c r="BH13" s="74"/>
      <c r="BI13" s="74"/>
      <c r="BJ13" s="74"/>
      <c r="BK13" s="74"/>
      <c r="BL13" s="74"/>
      <c r="BM13" s="74"/>
      <c r="BN13" s="74"/>
      <c r="BO13" s="74"/>
      <c r="BP13" s="74"/>
      <c r="BQ13" s="74"/>
      <c r="BR13" s="74"/>
      <c r="BS13" s="74"/>
      <c r="BT13" s="74"/>
      <c r="BU13" s="74"/>
      <c r="BV13" s="74"/>
      <c r="BW13" s="74"/>
      <c r="BX13" s="74"/>
      <c r="BY13" s="74"/>
      <c r="BZ13" s="74"/>
      <c r="CA13" s="74"/>
      <c r="CB13" s="74"/>
      <c r="CC13" s="74"/>
      <c r="CD13" s="74"/>
      <c r="CE13" s="74"/>
      <c r="CF13" s="74"/>
      <c r="CG13" s="74"/>
      <c r="CH13" s="74"/>
      <c r="CI13" s="74"/>
      <c r="CJ13" s="74"/>
      <c r="CK13" s="74"/>
      <c r="CL13" s="74"/>
      <c r="CM13" s="74"/>
      <c r="CN13" s="74"/>
      <c r="CO13" s="74"/>
      <c r="CP13" s="74"/>
      <c r="CQ13" s="74"/>
      <c r="CR13" s="74"/>
    </row>
    <row r="14" spans="1:104" s="104" customFormat="1">
      <c r="H14" s="104" t="s">
        <v>799</v>
      </c>
      <c r="I14" s="105">
        <f t="shared" ref="I14:AN14" si="2">SUM(I11:I11)</f>
        <v>0</v>
      </c>
      <c r="J14" s="105">
        <f t="shared" si="2"/>
        <v>0</v>
      </c>
      <c r="K14" s="105">
        <f t="shared" si="2"/>
        <v>0</v>
      </c>
      <c r="L14" s="105">
        <f t="shared" si="2"/>
        <v>0</v>
      </c>
      <c r="M14" s="105">
        <f t="shared" si="2"/>
        <v>0</v>
      </c>
      <c r="N14" s="105">
        <f t="shared" si="2"/>
        <v>0</v>
      </c>
      <c r="O14" s="105">
        <f t="shared" si="2"/>
        <v>0</v>
      </c>
      <c r="P14" s="105">
        <f t="shared" si="2"/>
        <v>0</v>
      </c>
      <c r="Q14" s="105">
        <f t="shared" si="2"/>
        <v>0</v>
      </c>
      <c r="R14" s="105">
        <f t="shared" si="2"/>
        <v>0</v>
      </c>
      <c r="S14" s="105">
        <f t="shared" si="2"/>
        <v>0</v>
      </c>
      <c r="T14" s="105">
        <f t="shared" si="2"/>
        <v>0</v>
      </c>
      <c r="U14" s="105">
        <f t="shared" si="2"/>
        <v>0</v>
      </c>
      <c r="V14" s="105">
        <f t="shared" si="2"/>
        <v>0</v>
      </c>
      <c r="W14" s="105">
        <f t="shared" si="2"/>
        <v>0</v>
      </c>
      <c r="X14" s="105">
        <f t="shared" si="2"/>
        <v>0</v>
      </c>
      <c r="Y14" s="105">
        <f t="shared" si="2"/>
        <v>0</v>
      </c>
      <c r="Z14" s="105">
        <f t="shared" si="2"/>
        <v>0</v>
      </c>
      <c r="AA14" s="105">
        <f t="shared" si="2"/>
        <v>0</v>
      </c>
      <c r="AB14" s="105">
        <f t="shared" si="2"/>
        <v>0</v>
      </c>
      <c r="AC14" s="105">
        <f t="shared" si="2"/>
        <v>0</v>
      </c>
      <c r="AD14" s="105">
        <f t="shared" si="2"/>
        <v>0</v>
      </c>
      <c r="AE14" s="105">
        <f t="shared" si="2"/>
        <v>0</v>
      </c>
      <c r="AF14" s="105">
        <f t="shared" si="2"/>
        <v>0</v>
      </c>
      <c r="AG14" s="105">
        <f t="shared" si="2"/>
        <v>0</v>
      </c>
      <c r="AH14" s="105">
        <f t="shared" si="2"/>
        <v>0</v>
      </c>
      <c r="AI14" s="105">
        <f t="shared" si="2"/>
        <v>0</v>
      </c>
      <c r="AJ14" s="105">
        <f t="shared" si="2"/>
        <v>0</v>
      </c>
      <c r="AK14" s="105">
        <f t="shared" si="2"/>
        <v>0</v>
      </c>
      <c r="AL14" s="105">
        <f t="shared" si="2"/>
        <v>0</v>
      </c>
      <c r="AM14" s="105">
        <f t="shared" si="2"/>
        <v>0</v>
      </c>
      <c r="AN14" s="105">
        <f t="shared" si="2"/>
        <v>0</v>
      </c>
      <c r="AO14" s="105">
        <f t="shared" ref="AO14:CR14" si="3">SUM(AO11:AO11)</f>
        <v>0</v>
      </c>
      <c r="AP14" s="105">
        <f t="shared" si="3"/>
        <v>0</v>
      </c>
      <c r="AQ14" s="105">
        <f t="shared" si="3"/>
        <v>0</v>
      </c>
      <c r="AR14" s="105">
        <f t="shared" si="3"/>
        <v>0</v>
      </c>
      <c r="AS14" s="105">
        <f t="shared" si="3"/>
        <v>0</v>
      </c>
      <c r="AT14" s="105">
        <f t="shared" si="3"/>
        <v>0</v>
      </c>
      <c r="AU14" s="105">
        <f t="shared" si="3"/>
        <v>0</v>
      </c>
      <c r="AV14" s="105">
        <f t="shared" si="3"/>
        <v>0</v>
      </c>
      <c r="AW14" s="105">
        <f t="shared" si="3"/>
        <v>0</v>
      </c>
      <c r="AX14" s="105">
        <f t="shared" si="3"/>
        <v>0</v>
      </c>
      <c r="AY14" s="105">
        <f t="shared" si="3"/>
        <v>0</v>
      </c>
      <c r="AZ14" s="105">
        <f t="shared" si="3"/>
        <v>0</v>
      </c>
      <c r="BA14" s="105">
        <f t="shared" si="3"/>
        <v>0</v>
      </c>
      <c r="BB14" s="105">
        <f t="shared" si="3"/>
        <v>0</v>
      </c>
      <c r="BC14" s="105">
        <f t="shared" si="3"/>
        <v>0</v>
      </c>
      <c r="BD14" s="105">
        <f t="shared" si="3"/>
        <v>0</v>
      </c>
      <c r="BE14" s="105">
        <f t="shared" si="3"/>
        <v>0</v>
      </c>
      <c r="BF14" s="105">
        <f t="shared" si="3"/>
        <v>0</v>
      </c>
      <c r="BG14" s="105">
        <f t="shared" si="3"/>
        <v>0</v>
      </c>
      <c r="BH14" s="105">
        <f t="shared" si="3"/>
        <v>0</v>
      </c>
      <c r="BI14" s="105">
        <f t="shared" si="3"/>
        <v>0</v>
      </c>
      <c r="BJ14" s="105">
        <f t="shared" si="3"/>
        <v>0</v>
      </c>
      <c r="BK14" s="105">
        <f t="shared" si="3"/>
        <v>0</v>
      </c>
      <c r="BL14" s="105">
        <f t="shared" si="3"/>
        <v>0</v>
      </c>
      <c r="BM14" s="105">
        <f t="shared" si="3"/>
        <v>0</v>
      </c>
      <c r="BN14" s="105">
        <f t="shared" si="3"/>
        <v>0</v>
      </c>
      <c r="BO14" s="105">
        <f t="shared" si="3"/>
        <v>0</v>
      </c>
      <c r="BP14" s="105">
        <f t="shared" si="3"/>
        <v>0</v>
      </c>
      <c r="BQ14" s="105">
        <f t="shared" si="3"/>
        <v>0</v>
      </c>
      <c r="BR14" s="105">
        <f t="shared" si="3"/>
        <v>0</v>
      </c>
      <c r="BS14" s="105">
        <f t="shared" si="3"/>
        <v>0</v>
      </c>
      <c r="BT14" s="105">
        <f t="shared" si="3"/>
        <v>0</v>
      </c>
      <c r="BU14" s="105">
        <f t="shared" si="3"/>
        <v>0</v>
      </c>
      <c r="BV14" s="105">
        <f t="shared" si="3"/>
        <v>0</v>
      </c>
      <c r="BW14" s="105">
        <f t="shared" si="3"/>
        <v>0</v>
      </c>
      <c r="BX14" s="105">
        <f t="shared" si="3"/>
        <v>0</v>
      </c>
      <c r="BY14" s="105">
        <f t="shared" si="3"/>
        <v>0</v>
      </c>
      <c r="BZ14" s="105">
        <f t="shared" si="3"/>
        <v>0</v>
      </c>
      <c r="CA14" s="105">
        <f t="shared" si="3"/>
        <v>0</v>
      </c>
      <c r="CB14" s="105">
        <f t="shared" si="3"/>
        <v>0</v>
      </c>
      <c r="CC14" s="105">
        <f t="shared" si="3"/>
        <v>0</v>
      </c>
      <c r="CD14" s="105">
        <f t="shared" si="3"/>
        <v>0</v>
      </c>
      <c r="CE14" s="105">
        <f t="shared" si="3"/>
        <v>0</v>
      </c>
      <c r="CF14" s="105">
        <f t="shared" si="3"/>
        <v>0</v>
      </c>
      <c r="CG14" s="105">
        <f t="shared" si="3"/>
        <v>0</v>
      </c>
      <c r="CH14" s="105">
        <f t="shared" si="3"/>
        <v>0</v>
      </c>
      <c r="CI14" s="105">
        <f t="shared" si="3"/>
        <v>0</v>
      </c>
      <c r="CJ14" s="105">
        <f t="shared" si="3"/>
        <v>0</v>
      </c>
      <c r="CK14" s="105">
        <f t="shared" si="3"/>
        <v>0</v>
      </c>
      <c r="CL14" s="105">
        <f t="shared" si="3"/>
        <v>0</v>
      </c>
      <c r="CM14" s="105">
        <f t="shared" si="3"/>
        <v>0</v>
      </c>
      <c r="CN14" s="105">
        <f t="shared" si="3"/>
        <v>0</v>
      </c>
      <c r="CO14" s="105">
        <f t="shared" si="3"/>
        <v>0</v>
      </c>
      <c r="CP14" s="105">
        <f t="shared" si="3"/>
        <v>0</v>
      </c>
      <c r="CQ14" s="105">
        <f t="shared" si="3"/>
        <v>0</v>
      </c>
      <c r="CR14" s="105">
        <f t="shared" si="3"/>
        <v>0</v>
      </c>
    </row>
    <row r="15" spans="1:104" s="104" customFormat="1">
      <c r="H15" s="60"/>
      <c r="I15" s="105"/>
      <c r="J15" s="105"/>
      <c r="K15" s="105"/>
      <c r="L15" s="105"/>
      <c r="M15" s="105"/>
      <c r="N15" s="105"/>
      <c r="O15" s="105"/>
      <c r="P15" s="105"/>
      <c r="Q15" s="105"/>
      <c r="R15" s="105"/>
      <c r="S15" s="105"/>
      <c r="T15" s="105"/>
      <c r="U15" s="105"/>
      <c r="V15" s="105"/>
      <c r="W15" s="105"/>
      <c r="X15" s="105"/>
      <c r="Y15" s="105"/>
      <c r="Z15" s="105"/>
      <c r="AA15" s="105"/>
      <c r="AB15" s="105"/>
      <c r="AC15" s="105"/>
      <c r="AD15" s="105"/>
      <c r="AE15" s="105"/>
      <c r="AF15" s="105"/>
      <c r="AG15" s="105"/>
      <c r="AH15" s="105"/>
      <c r="AI15" s="105"/>
      <c r="AJ15" s="105"/>
      <c r="AK15" s="105"/>
      <c r="AL15" s="105"/>
      <c r="AM15" s="105"/>
      <c r="AN15" s="105"/>
      <c r="AO15" s="105"/>
      <c r="AP15" s="105"/>
      <c r="AQ15" s="105"/>
      <c r="AR15" s="105"/>
      <c r="AS15" s="105"/>
      <c r="AT15" s="105"/>
      <c r="AU15" s="105"/>
      <c r="AV15" s="105"/>
      <c r="AW15" s="105"/>
      <c r="AX15" s="105"/>
      <c r="AY15" s="105"/>
      <c r="AZ15" s="105"/>
      <c r="BA15" s="105"/>
      <c r="BB15" s="105"/>
      <c r="BC15" s="105"/>
      <c r="BD15" s="105"/>
      <c r="BE15" s="105"/>
      <c r="BF15" s="105"/>
      <c r="BG15" s="105"/>
      <c r="BH15" s="105"/>
      <c r="BI15" s="105"/>
      <c r="BJ15" s="105"/>
      <c r="BK15" s="105"/>
      <c r="BL15" s="105"/>
      <c r="BM15" s="105"/>
      <c r="BN15" s="105"/>
      <c r="BO15" s="105"/>
      <c r="BP15" s="105"/>
      <c r="BQ15" s="105"/>
      <c r="BR15" s="105"/>
      <c r="BS15" s="105"/>
      <c r="BT15" s="105"/>
      <c r="BU15" s="105"/>
      <c r="BV15" s="105"/>
      <c r="BW15" s="105"/>
      <c r="BX15" s="105"/>
      <c r="BY15" s="105"/>
      <c r="BZ15" s="105"/>
      <c r="CA15" s="105"/>
      <c r="CB15" s="105"/>
      <c r="CC15" s="105"/>
      <c r="CD15" s="105"/>
      <c r="CE15" s="105"/>
      <c r="CF15" s="105"/>
      <c r="CG15" s="105"/>
      <c r="CH15" s="105"/>
      <c r="CI15" s="105"/>
      <c r="CJ15" s="105"/>
      <c r="CK15" s="105"/>
      <c r="CL15" s="105"/>
      <c r="CM15" s="105"/>
      <c r="CN15" s="105"/>
      <c r="CO15" s="105"/>
      <c r="CP15" s="105"/>
      <c r="CQ15" s="105"/>
      <c r="CR15" s="105"/>
    </row>
    <row r="16" spans="1:104" ht="15">
      <c r="A16"/>
      <c r="H16" s="60" t="s">
        <v>429</v>
      </c>
      <c r="I16" s="74"/>
      <c r="J16" s="74"/>
      <c r="K16" s="74"/>
      <c r="L16" s="74"/>
      <c r="M16" s="74"/>
      <c r="N16" s="74"/>
      <c r="O16" s="74"/>
      <c r="P16" s="74"/>
      <c r="Q16" s="74"/>
      <c r="R16" s="74"/>
      <c r="S16" s="74"/>
      <c r="T16" s="74"/>
      <c r="U16" s="74"/>
      <c r="V16" s="74"/>
      <c r="W16" s="74"/>
      <c r="X16" s="74"/>
      <c r="Y16" s="74"/>
      <c r="Z16" s="74"/>
      <c r="AA16" s="74"/>
      <c r="AB16" s="74"/>
      <c r="AC16" s="74"/>
      <c r="AD16" s="74"/>
      <c r="AE16" s="74"/>
      <c r="AF16" s="74"/>
      <c r="AG16" s="74"/>
      <c r="AH16" s="74"/>
      <c r="AI16" s="74"/>
      <c r="AK16" s="74"/>
      <c r="AL16" s="74"/>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c r="BM16" s="74"/>
      <c r="BN16" s="74"/>
      <c r="BO16" s="74"/>
      <c r="BP16" s="74"/>
      <c r="BQ16" s="74"/>
      <c r="BR16" s="74"/>
      <c r="BS16" s="74"/>
      <c r="BT16" s="74"/>
      <c r="BU16" s="74"/>
      <c r="BV16" s="74"/>
      <c r="BW16" s="74"/>
      <c r="BX16" s="74"/>
      <c r="BY16" s="74"/>
      <c r="BZ16" s="74"/>
      <c r="CA16" s="74"/>
      <c r="CB16" s="74"/>
      <c r="CC16" s="74"/>
      <c r="CD16" s="74"/>
      <c r="CE16" s="74"/>
      <c r="CF16" s="74"/>
      <c r="CG16" s="74"/>
      <c r="CH16" s="74"/>
      <c r="CI16" s="74"/>
      <c r="CJ16" s="74"/>
      <c r="CK16" s="74"/>
      <c r="CL16" s="74"/>
      <c r="CM16" s="74"/>
      <c r="CN16" s="74"/>
      <c r="CO16" s="74"/>
      <c r="CP16" s="74"/>
      <c r="CQ16" s="74"/>
      <c r="CR16" s="74"/>
    </row>
    <row r="17" spans="8:96">
      <c r="H17" s="60" t="s">
        <v>406</v>
      </c>
      <c r="I17" s="74"/>
      <c r="J17" s="74"/>
      <c r="K17" s="74"/>
      <c r="L17" s="74"/>
      <c r="M17" s="74"/>
      <c r="N17" s="74"/>
      <c r="O17" s="74"/>
      <c r="P17" s="74"/>
      <c r="Q17" s="74"/>
      <c r="R17" s="74"/>
      <c r="S17" s="74"/>
      <c r="T17" s="74"/>
      <c r="U17" s="74"/>
      <c r="V17" s="74"/>
      <c r="W17" s="74"/>
      <c r="X17" s="74"/>
      <c r="Y17" s="74"/>
      <c r="Z17" s="74"/>
      <c r="AA17" s="74"/>
      <c r="AB17" s="74"/>
      <c r="AC17" s="74"/>
      <c r="AD17" s="74"/>
      <c r="AE17" s="74"/>
      <c r="AF17" s="74"/>
      <c r="AG17" s="74"/>
      <c r="AH17" s="74"/>
      <c r="AI17" s="74"/>
      <c r="AK17" s="74"/>
      <c r="AL17" s="74"/>
      <c r="AM17" s="74"/>
      <c r="AN17" s="74"/>
      <c r="AO17" s="74"/>
      <c r="AP17" s="74"/>
      <c r="AQ17" s="74"/>
      <c r="AR17" s="74"/>
      <c r="AS17" s="74"/>
      <c r="AT17" s="74"/>
      <c r="AU17" s="74"/>
      <c r="AV17" s="74"/>
      <c r="AW17" s="74"/>
      <c r="AX17" s="74"/>
      <c r="AY17" s="74"/>
      <c r="AZ17" s="74"/>
      <c r="BA17" s="74"/>
      <c r="BB17" s="74"/>
      <c r="BC17" s="74"/>
      <c r="BD17" s="74"/>
      <c r="BE17" s="74"/>
      <c r="BF17" s="74"/>
      <c r="BG17" s="74"/>
      <c r="BH17" s="74"/>
      <c r="BI17" s="74"/>
      <c r="BJ17" s="74"/>
      <c r="BK17" s="74"/>
      <c r="BL17" s="74"/>
      <c r="BM17" s="74"/>
      <c r="BN17" s="74"/>
      <c r="BO17" s="74"/>
      <c r="BP17" s="74"/>
      <c r="BQ17" s="74"/>
      <c r="BR17" s="74"/>
      <c r="BS17" s="74"/>
      <c r="BT17" s="74"/>
      <c r="BU17" s="74"/>
      <c r="BV17" s="74"/>
      <c r="BW17" s="74"/>
      <c r="BX17" s="74"/>
      <c r="BY17" s="74"/>
      <c r="BZ17" s="74"/>
      <c r="CA17" s="74"/>
      <c r="CB17" s="74"/>
      <c r="CC17" s="74"/>
      <c r="CD17" s="74"/>
      <c r="CE17" s="74"/>
      <c r="CF17" s="74"/>
      <c r="CG17" s="74"/>
      <c r="CH17" s="74"/>
      <c r="CI17" s="74"/>
      <c r="CJ17" s="74"/>
      <c r="CK17" s="74"/>
      <c r="CL17" s="74"/>
      <c r="CM17" s="74"/>
      <c r="CN17" s="74"/>
      <c r="CO17" s="74"/>
      <c r="CP17" s="74"/>
      <c r="CQ17" s="74"/>
      <c r="CR17" s="74"/>
    </row>
    <row r="19" spans="8:96" ht="13" thickBot="1"/>
    <row r="20" spans="8:96" s="73" customFormat="1" ht="13" thickBot="1">
      <c r="H20" s="257" t="s">
        <v>800</v>
      </c>
      <c r="I20" s="258">
        <f>+I14</f>
        <v>0</v>
      </c>
      <c r="J20" s="258">
        <f t="shared" ref="J20:BU20" si="4">+J14</f>
        <v>0</v>
      </c>
      <c r="K20" s="258">
        <f t="shared" si="4"/>
        <v>0</v>
      </c>
      <c r="L20" s="258">
        <f t="shared" si="4"/>
        <v>0</v>
      </c>
      <c r="M20" s="258">
        <f t="shared" si="4"/>
        <v>0</v>
      </c>
      <c r="N20" s="258">
        <f t="shared" si="4"/>
        <v>0</v>
      </c>
      <c r="O20" s="258">
        <f t="shared" si="4"/>
        <v>0</v>
      </c>
      <c r="P20" s="258">
        <f t="shared" si="4"/>
        <v>0</v>
      </c>
      <c r="Q20" s="258">
        <f t="shared" si="4"/>
        <v>0</v>
      </c>
      <c r="R20" s="258">
        <f t="shared" si="4"/>
        <v>0</v>
      </c>
      <c r="S20" s="258">
        <f t="shared" si="4"/>
        <v>0</v>
      </c>
      <c r="T20" s="258">
        <f t="shared" si="4"/>
        <v>0</v>
      </c>
      <c r="U20" s="258">
        <f t="shared" si="4"/>
        <v>0</v>
      </c>
      <c r="V20" s="258">
        <f t="shared" si="4"/>
        <v>0</v>
      </c>
      <c r="W20" s="258">
        <f t="shared" si="4"/>
        <v>0</v>
      </c>
      <c r="X20" s="258">
        <f t="shared" si="4"/>
        <v>0</v>
      </c>
      <c r="Y20" s="258">
        <f t="shared" si="4"/>
        <v>0</v>
      </c>
      <c r="Z20" s="258">
        <f t="shared" si="4"/>
        <v>0</v>
      </c>
      <c r="AA20" s="258">
        <f t="shared" si="4"/>
        <v>0</v>
      </c>
      <c r="AB20" s="258">
        <f t="shared" si="4"/>
        <v>0</v>
      </c>
      <c r="AC20" s="258">
        <f t="shared" si="4"/>
        <v>0</v>
      </c>
      <c r="AD20" s="258">
        <f t="shared" si="4"/>
        <v>0</v>
      </c>
      <c r="AE20" s="258">
        <f t="shared" si="4"/>
        <v>0</v>
      </c>
      <c r="AF20" s="258">
        <f t="shared" si="4"/>
        <v>0</v>
      </c>
      <c r="AG20" s="258">
        <f t="shared" si="4"/>
        <v>0</v>
      </c>
      <c r="AH20" s="258">
        <f t="shared" si="4"/>
        <v>0</v>
      </c>
      <c r="AI20" s="258">
        <f t="shared" si="4"/>
        <v>0</v>
      </c>
      <c r="AJ20" s="258">
        <f t="shared" si="4"/>
        <v>0</v>
      </c>
      <c r="AK20" s="258">
        <f t="shared" si="4"/>
        <v>0</v>
      </c>
      <c r="AL20" s="258">
        <f t="shared" si="4"/>
        <v>0</v>
      </c>
      <c r="AM20" s="258">
        <f t="shared" si="4"/>
        <v>0</v>
      </c>
      <c r="AN20" s="258">
        <f t="shared" si="4"/>
        <v>0</v>
      </c>
      <c r="AO20" s="258">
        <f t="shared" si="4"/>
        <v>0</v>
      </c>
      <c r="AP20" s="258">
        <f t="shared" si="4"/>
        <v>0</v>
      </c>
      <c r="AQ20" s="258">
        <f t="shared" si="4"/>
        <v>0</v>
      </c>
      <c r="AR20" s="258">
        <f t="shared" si="4"/>
        <v>0</v>
      </c>
      <c r="AS20" s="258">
        <f t="shared" si="4"/>
        <v>0</v>
      </c>
      <c r="AT20" s="258">
        <f t="shared" si="4"/>
        <v>0</v>
      </c>
      <c r="AU20" s="258">
        <f t="shared" si="4"/>
        <v>0</v>
      </c>
      <c r="AV20" s="258">
        <f t="shared" si="4"/>
        <v>0</v>
      </c>
      <c r="AW20" s="258">
        <f t="shared" si="4"/>
        <v>0</v>
      </c>
      <c r="AX20" s="258">
        <f t="shared" si="4"/>
        <v>0</v>
      </c>
      <c r="AY20" s="258">
        <f t="shared" si="4"/>
        <v>0</v>
      </c>
      <c r="AZ20" s="258">
        <f t="shared" si="4"/>
        <v>0</v>
      </c>
      <c r="BA20" s="258">
        <f t="shared" si="4"/>
        <v>0</v>
      </c>
      <c r="BB20" s="258">
        <f t="shared" si="4"/>
        <v>0</v>
      </c>
      <c r="BC20" s="258">
        <f t="shared" si="4"/>
        <v>0</v>
      </c>
      <c r="BD20" s="258">
        <f t="shared" si="4"/>
        <v>0</v>
      </c>
      <c r="BE20" s="258">
        <f t="shared" si="4"/>
        <v>0</v>
      </c>
      <c r="BF20" s="258">
        <f t="shared" si="4"/>
        <v>0</v>
      </c>
      <c r="BG20" s="258">
        <f t="shared" si="4"/>
        <v>0</v>
      </c>
      <c r="BH20" s="258">
        <f t="shared" si="4"/>
        <v>0</v>
      </c>
      <c r="BI20" s="258">
        <f t="shared" si="4"/>
        <v>0</v>
      </c>
      <c r="BJ20" s="258">
        <f t="shared" si="4"/>
        <v>0</v>
      </c>
      <c r="BK20" s="258">
        <f t="shared" si="4"/>
        <v>0</v>
      </c>
      <c r="BL20" s="258">
        <f t="shared" si="4"/>
        <v>0</v>
      </c>
      <c r="BM20" s="258">
        <f t="shared" si="4"/>
        <v>0</v>
      </c>
      <c r="BN20" s="258">
        <f t="shared" si="4"/>
        <v>0</v>
      </c>
      <c r="BO20" s="258">
        <f t="shared" si="4"/>
        <v>0</v>
      </c>
      <c r="BP20" s="258">
        <f t="shared" si="4"/>
        <v>0</v>
      </c>
      <c r="BQ20" s="258">
        <f t="shared" si="4"/>
        <v>0</v>
      </c>
      <c r="BR20" s="258">
        <f t="shared" si="4"/>
        <v>0</v>
      </c>
      <c r="BS20" s="258">
        <f t="shared" si="4"/>
        <v>0</v>
      </c>
      <c r="BT20" s="258">
        <f t="shared" si="4"/>
        <v>0</v>
      </c>
      <c r="BU20" s="258">
        <f t="shared" si="4"/>
        <v>0</v>
      </c>
      <c r="BV20" s="258">
        <f t="shared" ref="BV20:CR20" si="5">+BV14</f>
        <v>0</v>
      </c>
      <c r="BW20" s="258">
        <f t="shared" si="5"/>
        <v>0</v>
      </c>
      <c r="BX20" s="258">
        <f t="shared" si="5"/>
        <v>0</v>
      </c>
      <c r="BY20" s="258">
        <f t="shared" si="5"/>
        <v>0</v>
      </c>
      <c r="BZ20" s="258">
        <f t="shared" si="5"/>
        <v>0</v>
      </c>
      <c r="CA20" s="258">
        <f t="shared" si="5"/>
        <v>0</v>
      </c>
      <c r="CB20" s="258">
        <f t="shared" si="5"/>
        <v>0</v>
      </c>
      <c r="CC20" s="258">
        <f t="shared" si="5"/>
        <v>0</v>
      </c>
      <c r="CD20" s="258">
        <f t="shared" si="5"/>
        <v>0</v>
      </c>
      <c r="CE20" s="258">
        <f t="shared" si="5"/>
        <v>0</v>
      </c>
      <c r="CF20" s="258">
        <f t="shared" si="5"/>
        <v>0</v>
      </c>
      <c r="CG20" s="258">
        <f t="shared" si="5"/>
        <v>0</v>
      </c>
      <c r="CH20" s="258">
        <f t="shared" si="5"/>
        <v>0</v>
      </c>
      <c r="CI20" s="258">
        <f t="shared" si="5"/>
        <v>0</v>
      </c>
      <c r="CJ20" s="258">
        <f t="shared" si="5"/>
        <v>0</v>
      </c>
      <c r="CK20" s="258">
        <f t="shared" si="5"/>
        <v>0</v>
      </c>
      <c r="CL20" s="258">
        <f t="shared" si="5"/>
        <v>0</v>
      </c>
      <c r="CM20" s="258">
        <f t="shared" si="5"/>
        <v>0</v>
      </c>
      <c r="CN20" s="258">
        <f t="shared" si="5"/>
        <v>0</v>
      </c>
      <c r="CO20" s="258">
        <f t="shared" si="5"/>
        <v>0</v>
      </c>
      <c r="CP20" s="258">
        <f t="shared" si="5"/>
        <v>0</v>
      </c>
      <c r="CQ20" s="258">
        <f t="shared" si="5"/>
        <v>0</v>
      </c>
      <c r="CR20" s="258">
        <f t="shared" si="5"/>
        <v>0</v>
      </c>
    </row>
  </sheetData>
  <pageMargins left="0.7" right="0.7" top="0.75" bottom="0.75" header="0.3" footer="0.3"/>
  <drawing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GP20"/>
  <sheetViews>
    <sheetView workbookViewId="0">
      <pane xSplit="11" ySplit="7" topLeftCell="AY8" activePane="bottomRight" state="frozen"/>
      <selection pane="topRight" activeCell="L1" sqref="L1"/>
      <selection pane="bottomLeft" activeCell="A7" sqref="A7"/>
      <selection pane="bottomRight" activeCell="AZ20" sqref="AZ20"/>
    </sheetView>
  </sheetViews>
  <sheetFormatPr baseColWidth="10" defaultColWidth="22.6640625" defaultRowHeight="12"/>
  <cols>
    <col min="1" max="1" width="16.1640625" style="60" bestFit="1" customWidth="1"/>
    <col min="2" max="2" width="13.1640625" style="60" bestFit="1" customWidth="1"/>
    <col min="3" max="3" width="4.83203125" style="60" bestFit="1" customWidth="1"/>
    <col min="4" max="4" width="12.33203125" style="60" bestFit="1" customWidth="1"/>
    <col min="5" max="5" width="18.83203125" style="60" bestFit="1" customWidth="1"/>
    <col min="6" max="6" width="6.5" style="60" bestFit="1" customWidth="1"/>
    <col min="7" max="7" width="4.1640625" style="60" bestFit="1" customWidth="1"/>
    <col min="8" max="8" width="22.83203125" style="60" bestFit="1" customWidth="1"/>
    <col min="9" max="9" width="6.5" style="60" hidden="1" customWidth="1"/>
    <col min="10" max="11" width="6.1640625" style="60" hidden="1" customWidth="1"/>
    <col min="12" max="12" width="5.5" style="60" hidden="1" customWidth="1"/>
    <col min="13" max="13" width="5.83203125" style="60" hidden="1" customWidth="1"/>
    <col min="14" max="18" width="5.5" style="60" hidden="1" customWidth="1"/>
    <col min="19" max="19" width="5.6640625" style="60" hidden="1" customWidth="1"/>
    <col min="20" max="20" width="6.1640625" style="60" bestFit="1" customWidth="1"/>
    <col min="21" max="21" width="5.5" style="60" bestFit="1" customWidth="1"/>
    <col min="22" max="26" width="6.1640625" style="60" bestFit="1" customWidth="1"/>
    <col min="27" max="30" width="5.5" style="60" bestFit="1" customWidth="1"/>
    <col min="31" max="31" width="5.6640625" style="60" bestFit="1" customWidth="1"/>
    <col min="32" max="34" width="5.5" style="60" bestFit="1" customWidth="1"/>
    <col min="35" max="35" width="5.6640625" style="60" bestFit="1" customWidth="1"/>
    <col min="36" max="36" width="5.5" style="60" bestFit="1" customWidth="1"/>
    <col min="37" max="37" width="5.83203125" style="60" bestFit="1" customWidth="1"/>
    <col min="38" max="42" width="5.5" style="60" bestFit="1" customWidth="1"/>
    <col min="43" max="43" width="5.6640625" style="60" bestFit="1" customWidth="1"/>
    <col min="44" max="46" width="5.5" style="60" bestFit="1" customWidth="1"/>
    <col min="47" max="47" width="5.6640625" style="60" bestFit="1" customWidth="1"/>
    <col min="48" max="48" width="5.5" style="60" bestFit="1" customWidth="1"/>
    <col min="49" max="49" width="5.83203125" style="60" bestFit="1" customWidth="1"/>
    <col min="50" max="51" width="5.5" style="60" bestFit="1" customWidth="1"/>
    <col min="52" max="54" width="7" style="60" bestFit="1" customWidth="1"/>
    <col min="55" max="56" width="5.5" style="60" bestFit="1" customWidth="1"/>
    <col min="57" max="58" width="5.83203125" style="60" bestFit="1" customWidth="1"/>
    <col min="59" max="70" width="5.6640625" style="60" bestFit="1" customWidth="1"/>
    <col min="71" max="80" width="5.5" style="60" bestFit="1" customWidth="1"/>
    <col min="81" max="90" width="6.1640625" style="60" bestFit="1" customWidth="1"/>
    <col min="91" max="95" width="6.33203125" style="60" bestFit="1" customWidth="1"/>
    <col min="96" max="99" width="6.1640625" style="60" bestFit="1" customWidth="1"/>
    <col min="100" max="104" width="5.1640625" style="60" bestFit="1" customWidth="1"/>
    <col min="105" max="16384" width="22.6640625" style="60"/>
  </cols>
  <sheetData>
    <row r="1" spans="1:198" ht="13">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row>
    <row r="2" spans="1:198">
      <c r="A2" s="59"/>
      <c r="B2" s="59"/>
      <c r="C2" s="59"/>
      <c r="D2" s="98"/>
      <c r="E2" s="98"/>
      <c r="F2" s="59"/>
      <c r="H2" s="99"/>
      <c r="I2" s="99"/>
      <c r="J2" s="99"/>
      <c r="K2" s="99"/>
      <c r="L2" s="99"/>
      <c r="M2" s="99"/>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99"/>
      <c r="AP2" s="99"/>
      <c r="AQ2" s="99"/>
      <c r="AR2" s="99"/>
      <c r="AS2" s="99"/>
      <c r="AT2" s="99"/>
      <c r="AU2" s="99"/>
      <c r="AV2" s="99"/>
      <c r="AW2" s="99"/>
      <c r="AX2" s="99"/>
      <c r="AY2" s="99"/>
      <c r="AZ2" s="99"/>
      <c r="BA2" s="99"/>
      <c r="BB2" s="99"/>
      <c r="BC2" s="99"/>
      <c r="BD2" s="99"/>
      <c r="BE2" s="99"/>
      <c r="BF2" s="99"/>
      <c r="BG2" s="99"/>
      <c r="BH2" s="99"/>
      <c r="BI2" s="99"/>
      <c r="BJ2" s="99"/>
      <c r="BK2" s="99"/>
      <c r="BL2" s="99"/>
      <c r="BM2" s="99"/>
      <c r="BN2" s="99"/>
      <c r="BO2" s="99"/>
      <c r="BP2" s="99"/>
      <c r="BQ2" s="99"/>
      <c r="BR2" s="99"/>
      <c r="BS2" s="99"/>
      <c r="BT2" s="99"/>
      <c r="BU2" s="99"/>
      <c r="BV2" s="99"/>
      <c r="BW2" s="99"/>
      <c r="BX2" s="99"/>
      <c r="BY2" s="99"/>
      <c r="BZ2" s="99"/>
      <c r="CA2" s="99"/>
      <c r="CB2" s="99"/>
      <c r="CC2" s="99"/>
      <c r="CD2" s="99"/>
      <c r="CE2" s="99"/>
      <c r="CF2" s="99"/>
      <c r="CG2" s="99"/>
      <c r="CH2" s="99"/>
      <c r="CI2" s="99"/>
      <c r="CJ2" s="99"/>
      <c r="CK2" s="99"/>
      <c r="CL2" s="99"/>
      <c r="CM2" s="99"/>
      <c r="CN2" s="99"/>
    </row>
    <row r="3" spans="1:198" ht="15">
      <c r="A3" t="s">
        <v>334</v>
      </c>
      <c r="B3" s="100"/>
      <c r="C3" s="101"/>
      <c r="D3" s="282">
        <v>113.16</v>
      </c>
      <c r="K3" s="102"/>
      <c r="M3" s="102"/>
    </row>
    <row r="4" spans="1:198">
      <c r="A4" s="36"/>
      <c r="B4" s="64"/>
      <c r="D4" s="100"/>
      <c r="E4" s="64"/>
      <c r="F4" s="103"/>
    </row>
    <row r="5" spans="1:198">
      <c r="A5" s="64"/>
      <c r="B5" s="64"/>
      <c r="D5" s="64"/>
      <c r="E5" s="64"/>
      <c r="H5" s="60" t="s">
        <v>387</v>
      </c>
    </row>
    <row r="6" spans="1:198">
      <c r="A6" s="74"/>
      <c r="B6" s="74"/>
    </row>
    <row r="7" spans="1:198">
      <c r="A7" s="59"/>
      <c r="B7" s="59"/>
      <c r="C7" s="59"/>
      <c r="D7" s="98"/>
      <c r="E7" s="98"/>
      <c r="F7" s="59"/>
      <c r="H7" s="59" t="s">
        <v>416</v>
      </c>
      <c r="I7" s="59">
        <v>43831</v>
      </c>
      <c r="J7" s="59">
        <v>43862</v>
      </c>
      <c r="K7" s="59">
        <v>43891</v>
      </c>
      <c r="L7" s="59">
        <v>43922</v>
      </c>
      <c r="M7" s="59">
        <v>43952</v>
      </c>
      <c r="N7" s="59">
        <v>43983</v>
      </c>
      <c r="O7" s="59">
        <v>44013</v>
      </c>
      <c r="P7" s="59">
        <v>44044</v>
      </c>
      <c r="Q7" s="59">
        <v>44075</v>
      </c>
      <c r="R7" s="59">
        <v>44105</v>
      </c>
      <c r="S7" s="59">
        <v>44136</v>
      </c>
      <c r="T7" s="59">
        <v>44166</v>
      </c>
      <c r="U7" s="59">
        <v>44197</v>
      </c>
      <c r="V7" s="59">
        <v>44228</v>
      </c>
      <c r="W7" s="59">
        <v>44256</v>
      </c>
      <c r="X7" s="59">
        <v>44287</v>
      </c>
      <c r="Y7" s="59">
        <v>44317</v>
      </c>
      <c r="Z7" s="59">
        <v>44348</v>
      </c>
      <c r="AA7" s="59">
        <v>44378</v>
      </c>
      <c r="AB7" s="59">
        <v>44409</v>
      </c>
      <c r="AC7" s="59">
        <v>44440</v>
      </c>
      <c r="AD7" s="59">
        <v>44470</v>
      </c>
      <c r="AE7" s="59">
        <v>44501</v>
      </c>
      <c r="AF7" s="59">
        <v>44531</v>
      </c>
      <c r="AG7" s="59">
        <v>44562</v>
      </c>
      <c r="AH7" s="59">
        <v>44593</v>
      </c>
      <c r="AI7" s="59">
        <v>44621</v>
      </c>
      <c r="AJ7" s="59">
        <v>44652</v>
      </c>
      <c r="AK7" s="59">
        <v>44682</v>
      </c>
      <c r="AL7" s="59">
        <v>44713</v>
      </c>
      <c r="AM7" s="59">
        <v>44743</v>
      </c>
      <c r="AN7" s="59">
        <v>44774</v>
      </c>
      <c r="AO7" s="59">
        <v>44805</v>
      </c>
      <c r="AP7" s="59">
        <v>44835</v>
      </c>
      <c r="AQ7" s="59">
        <v>44866</v>
      </c>
      <c r="AR7" s="59">
        <v>44896</v>
      </c>
      <c r="AS7" s="59">
        <v>44927</v>
      </c>
      <c r="AT7" s="59">
        <v>44958</v>
      </c>
      <c r="AU7" s="59">
        <v>44986</v>
      </c>
      <c r="AV7" s="59">
        <v>45017</v>
      </c>
      <c r="AW7" s="59">
        <v>45047</v>
      </c>
      <c r="AX7" s="59">
        <v>45078</v>
      </c>
      <c r="AY7" s="59">
        <v>45108</v>
      </c>
      <c r="AZ7" s="59" t="s">
        <v>530</v>
      </c>
      <c r="BA7" s="59" t="s">
        <v>531</v>
      </c>
      <c r="BB7" s="59" t="s">
        <v>532</v>
      </c>
      <c r="BC7" s="59">
        <v>37104</v>
      </c>
      <c r="BD7" s="59">
        <v>37469</v>
      </c>
      <c r="BE7" s="59" t="s">
        <v>168</v>
      </c>
      <c r="BF7" s="59" t="s">
        <v>169</v>
      </c>
      <c r="BG7" s="59" t="s">
        <v>195</v>
      </c>
      <c r="BH7" s="59" t="s">
        <v>196</v>
      </c>
      <c r="BI7" s="59" t="s">
        <v>197</v>
      </c>
      <c r="BJ7" s="59" t="s">
        <v>198</v>
      </c>
      <c r="BK7" s="59" t="s">
        <v>199</v>
      </c>
      <c r="BL7" s="59" t="s">
        <v>200</v>
      </c>
      <c r="BM7" s="59" t="s">
        <v>201</v>
      </c>
      <c r="BN7" s="59" t="s">
        <v>202</v>
      </c>
      <c r="BO7" s="59">
        <v>37196</v>
      </c>
      <c r="BP7" s="59">
        <v>37561</v>
      </c>
      <c r="BQ7" s="59">
        <v>37926</v>
      </c>
      <c r="BR7" s="59">
        <v>38292</v>
      </c>
      <c r="BS7" s="59">
        <v>37226</v>
      </c>
      <c r="BT7" s="59">
        <v>37591</v>
      </c>
      <c r="BU7" s="59">
        <v>37956</v>
      </c>
      <c r="BV7" s="59">
        <v>38322</v>
      </c>
      <c r="BW7" s="59">
        <v>36892</v>
      </c>
      <c r="BX7" s="59">
        <v>37257</v>
      </c>
      <c r="BY7" s="59">
        <v>37622</v>
      </c>
      <c r="BZ7" s="59">
        <v>37987</v>
      </c>
      <c r="CA7" s="59">
        <v>36923</v>
      </c>
      <c r="CB7" s="59">
        <v>37288</v>
      </c>
      <c r="CC7" s="59">
        <v>37653</v>
      </c>
      <c r="CD7" s="59">
        <v>38018</v>
      </c>
      <c r="CE7" s="59" t="str">
        <f>Sheet8!A15</f>
        <v>Mar-w1</v>
      </c>
      <c r="CF7" s="59">
        <v>37316</v>
      </c>
      <c r="CG7" s="59">
        <v>37681</v>
      </c>
      <c r="CH7" s="59">
        <v>38047</v>
      </c>
      <c r="CI7" s="59" t="str">
        <f>Sheet8!E15</f>
        <v>Apr-w1</v>
      </c>
      <c r="CJ7" s="59" t="str">
        <f>Sheet8!F15</f>
        <v>Apr-w2</v>
      </c>
      <c r="CK7" s="59" t="str">
        <f>Sheet8!G15</f>
        <v>Apr-w3</v>
      </c>
      <c r="CL7" s="59" t="str">
        <f>Sheet8!H15</f>
        <v>Apr-w4</v>
      </c>
      <c r="CM7" s="59" t="str">
        <f>Sheet8!I15</f>
        <v>May-w1</v>
      </c>
      <c r="CN7" s="59" t="str">
        <f>Sheet8!J15</f>
        <v>May-w2</v>
      </c>
      <c r="CO7" s="59" t="str">
        <f>Sheet8!K15</f>
        <v>May-w3</v>
      </c>
      <c r="CP7" s="59" t="str">
        <f>Sheet8!L15</f>
        <v>May-w4</v>
      </c>
      <c r="CQ7" s="59" t="str">
        <f>Sheet8!M15</f>
        <v>May-w5</v>
      </c>
      <c r="CR7" s="59" t="str">
        <f>Sheet8!N15</f>
        <v>june-w1</v>
      </c>
      <c r="CS7" s="59" t="str">
        <f>Sheet8!O15</f>
        <v>june-w2</v>
      </c>
      <c r="CT7" s="59" t="str">
        <f>Sheet8!P15</f>
        <v>june-w3</v>
      </c>
      <c r="CU7" s="59" t="str">
        <f>Sheet8!Q15</f>
        <v>june-w4</v>
      </c>
      <c r="CV7" s="59" t="str">
        <f>Sheet8!R15</f>
        <v>Jul-w1</v>
      </c>
      <c r="CW7" s="59" t="str">
        <f>Sheet8!S15</f>
        <v>Jul-w2</v>
      </c>
      <c r="CX7" s="59" t="str">
        <f>Sheet8!T15</f>
        <v>Jul-w3</v>
      </c>
      <c r="CY7" s="59" t="str">
        <f>Sheet8!U15</f>
        <v>Jul-w4</v>
      </c>
      <c r="CZ7" s="59" t="str">
        <f>Sheet8!V15</f>
        <v>Aug-w1</v>
      </c>
      <c r="DA7" s="59" t="str">
        <f>Sheet8!W15</f>
        <v>Aug-w2</v>
      </c>
      <c r="DB7" s="59" t="str">
        <f>Sheet8!X15</f>
        <v>Aug-w3</v>
      </c>
      <c r="DC7" s="59" t="str">
        <f>Sheet8!Y15</f>
        <v>Aug-w4</v>
      </c>
      <c r="DD7" s="59" t="str">
        <f>Sheet8!Z15</f>
        <v>Sep-w1</v>
      </c>
      <c r="DE7" s="59" t="str">
        <f>Sheet8!AA15</f>
        <v>Sep-w2</v>
      </c>
      <c r="DF7" s="59" t="str">
        <f>Sheet8!AB15</f>
        <v>Sep-w3</v>
      </c>
      <c r="DG7" s="59" t="str">
        <f>Sheet8!AC15</f>
        <v>Sep-w4</v>
      </c>
      <c r="DH7" s="59" t="str">
        <f>Sheet8!AD15</f>
        <v>Oct-w1</v>
      </c>
      <c r="DI7" s="59" t="str">
        <f>Sheet8!AE15</f>
        <v>Oct-w2</v>
      </c>
      <c r="DJ7" s="59" t="str">
        <f>Sheet8!AF15</f>
        <v>Oct-w3</v>
      </c>
      <c r="DK7" s="59" t="str">
        <f>Sheet8!AG15</f>
        <v>Oct-w4</v>
      </c>
      <c r="DL7" s="59" t="str">
        <f>Sheet8!AH15</f>
        <v>Nov-w1</v>
      </c>
      <c r="DM7" s="59" t="str">
        <f>Sheet8!AI15</f>
        <v>Nov-w2</v>
      </c>
      <c r="DN7" s="59" t="str">
        <f>Sheet8!AJ15</f>
        <v>Nov-w3</v>
      </c>
      <c r="DO7" s="59" t="str">
        <f>Sheet8!AK15</f>
        <v>Nov-w4</v>
      </c>
      <c r="DP7" s="59" t="str">
        <f>Sheet8!AL15</f>
        <v>Dec-w1</v>
      </c>
      <c r="DQ7" s="59" t="str">
        <f>Sheet8!AM15</f>
        <v>Dec-w2</v>
      </c>
      <c r="DR7" s="59" t="str">
        <f>Sheet8!AN15</f>
        <v>Dec-w3</v>
      </c>
      <c r="DS7" s="59" t="str">
        <f>Sheet8!AO15</f>
        <v>Dec-w4</v>
      </c>
      <c r="DT7" s="59">
        <f>Sheet8!AP15</f>
        <v>0</v>
      </c>
      <c r="DU7" s="59">
        <f>Sheet8!AQ15</f>
        <v>0</v>
      </c>
      <c r="DV7" s="59">
        <f>Sheet8!AR15</f>
        <v>0</v>
      </c>
      <c r="DW7" s="59">
        <f>Sheet8!AS15</f>
        <v>0</v>
      </c>
      <c r="DX7" s="59">
        <f>Sheet8!AT15</f>
        <v>0</v>
      </c>
      <c r="DY7" s="59">
        <f>Sheet8!AU15</f>
        <v>0</v>
      </c>
      <c r="DZ7" s="59">
        <f>Sheet8!AV15</f>
        <v>0</v>
      </c>
      <c r="EA7" s="59">
        <f>Sheet8!AW15</f>
        <v>0</v>
      </c>
      <c r="EB7" s="59">
        <f>Sheet8!AX15</f>
        <v>0</v>
      </c>
      <c r="EC7" s="59">
        <f>Sheet8!AY15</f>
        <v>0</v>
      </c>
      <c r="ED7" s="59">
        <f>Sheet8!AZ15</f>
        <v>0</v>
      </c>
      <c r="EE7" s="59">
        <f>Sheet8!BA15</f>
        <v>0</v>
      </c>
      <c r="EF7" s="59">
        <f>Sheet8!BB15</f>
        <v>0</v>
      </c>
      <c r="EG7" s="59">
        <f>Sheet8!BC15</f>
        <v>0</v>
      </c>
      <c r="EH7" s="59">
        <f>Sheet8!BD15</f>
        <v>0</v>
      </c>
      <c r="EI7" s="59">
        <f>Sheet8!BE15</f>
        <v>0</v>
      </c>
      <c r="EJ7" s="59">
        <f>Sheet8!BF15</f>
        <v>0</v>
      </c>
      <c r="EK7" s="59">
        <f>Sheet8!BG15</f>
        <v>0</v>
      </c>
      <c r="EL7" s="59">
        <f>Sheet8!BH15</f>
        <v>0</v>
      </c>
      <c r="EM7" s="59">
        <f>Sheet8!BI15</f>
        <v>0</v>
      </c>
      <c r="EN7" s="59">
        <f>Sheet8!BJ15</f>
        <v>0</v>
      </c>
      <c r="EO7" s="59">
        <f>Sheet8!BK15</f>
        <v>0</v>
      </c>
      <c r="EP7" s="59">
        <f>Sheet8!BL15</f>
        <v>0</v>
      </c>
      <c r="EQ7" s="59">
        <f>Sheet8!BM15</f>
        <v>0</v>
      </c>
      <c r="ER7" s="59">
        <f>Sheet8!BN15</f>
        <v>0</v>
      </c>
      <c r="ES7" s="59">
        <f>Sheet8!BO15</f>
        <v>0</v>
      </c>
      <c r="ET7" s="59">
        <f>Sheet8!BP15</f>
        <v>0</v>
      </c>
      <c r="EU7" s="59">
        <f>Sheet8!BQ15</f>
        <v>0</v>
      </c>
      <c r="EV7" s="59">
        <f>Sheet8!BR15</f>
        <v>0</v>
      </c>
      <c r="EW7" s="59">
        <f>Sheet8!BS15</f>
        <v>0</v>
      </c>
      <c r="EX7" s="59">
        <f>Sheet8!BT15</f>
        <v>0</v>
      </c>
      <c r="EY7" s="59">
        <f>Sheet8!BU15</f>
        <v>0</v>
      </c>
      <c r="EZ7" s="59">
        <f>Sheet8!BV15</f>
        <v>0</v>
      </c>
      <c r="FA7" s="59">
        <f>Sheet8!BW15</f>
        <v>0</v>
      </c>
      <c r="FB7" s="59">
        <f>Sheet8!BX15</f>
        <v>0</v>
      </c>
      <c r="FC7" s="59">
        <f>Sheet8!BY15</f>
        <v>0</v>
      </c>
      <c r="FD7" s="59">
        <f>Sheet8!BZ15</f>
        <v>0</v>
      </c>
      <c r="FE7" s="59">
        <f>Sheet8!CA15</f>
        <v>0</v>
      </c>
      <c r="FF7" s="59">
        <f>Sheet8!CB15</f>
        <v>0</v>
      </c>
      <c r="FG7" s="59">
        <f>Sheet8!CC15</f>
        <v>0</v>
      </c>
      <c r="FH7" s="59">
        <f>Sheet8!CD15</f>
        <v>0</v>
      </c>
      <c r="FI7" s="59">
        <f>Sheet8!CE15</f>
        <v>0</v>
      </c>
      <c r="FJ7" s="59">
        <f>Sheet8!CF15</f>
        <v>0</v>
      </c>
      <c r="FK7" s="59">
        <f>Sheet8!CG15</f>
        <v>0</v>
      </c>
      <c r="FL7" s="59">
        <f>Sheet8!CH15</f>
        <v>0</v>
      </c>
      <c r="FM7" s="59">
        <f>Sheet8!CI15</f>
        <v>0</v>
      </c>
      <c r="FN7" s="59">
        <f>Sheet8!CJ15</f>
        <v>0</v>
      </c>
      <c r="FO7" s="59">
        <f>Sheet8!CK15</f>
        <v>0</v>
      </c>
      <c r="FP7" s="59">
        <f>Sheet8!CL15</f>
        <v>0</v>
      </c>
      <c r="FQ7" s="59">
        <f>Sheet8!CM15</f>
        <v>0</v>
      </c>
      <c r="FR7" s="59">
        <f>Sheet8!CN15</f>
        <v>0</v>
      </c>
      <c r="FS7" s="59">
        <f>Sheet8!CO15</f>
        <v>0</v>
      </c>
      <c r="FT7" s="59">
        <f>Sheet8!CP15</f>
        <v>0</v>
      </c>
      <c r="FU7" s="59">
        <f>Sheet8!CQ15</f>
        <v>0</v>
      </c>
      <c r="FV7" s="59">
        <f>Sheet8!CR15</f>
        <v>0</v>
      </c>
      <c r="FW7" s="59">
        <f>Sheet8!CS15</f>
        <v>0</v>
      </c>
      <c r="FX7" s="59">
        <f>Sheet8!CT15</f>
        <v>0</v>
      </c>
      <c r="FY7" s="59">
        <f>Sheet8!CU15</f>
        <v>0</v>
      </c>
      <c r="FZ7" s="59">
        <f>Sheet8!CV15</f>
        <v>0</v>
      </c>
      <c r="GA7" s="59">
        <f>Sheet8!CW15</f>
        <v>0</v>
      </c>
      <c r="GB7" s="59">
        <f>Sheet8!CX15</f>
        <v>0</v>
      </c>
      <c r="GC7" s="59">
        <f>Sheet8!CY15</f>
        <v>0</v>
      </c>
      <c r="GD7" s="59">
        <f>Sheet8!CZ15</f>
        <v>0</v>
      </c>
      <c r="GE7" s="59">
        <f>Sheet8!DA15</f>
        <v>0</v>
      </c>
      <c r="GF7" s="59">
        <f>Sheet8!DB15</f>
        <v>0</v>
      </c>
      <c r="GG7" s="59">
        <f>Sheet8!DC15</f>
        <v>0</v>
      </c>
      <c r="GH7" s="59">
        <f>Sheet8!DD15</f>
        <v>0</v>
      </c>
      <c r="GI7" s="59">
        <f>Sheet8!DE15</f>
        <v>0</v>
      </c>
      <c r="GJ7" s="59">
        <f>Sheet8!DF15</f>
        <v>0</v>
      </c>
      <c r="GK7" s="59">
        <f>Sheet8!DG15</f>
        <v>0</v>
      </c>
      <c r="GL7" s="59">
        <f>Sheet8!DH15</f>
        <v>0</v>
      </c>
      <c r="GM7" s="59">
        <f>Sheet8!DI15</f>
        <v>0</v>
      </c>
      <c r="GN7" s="59">
        <f>Sheet8!DJ15</f>
        <v>0</v>
      </c>
      <c r="GO7" s="59">
        <f>Sheet8!DK15</f>
        <v>0</v>
      </c>
      <c r="GP7" s="59">
        <f>Sheet8!DL15</f>
        <v>0</v>
      </c>
    </row>
    <row r="8" spans="1:198">
      <c r="H8" s="44" t="s">
        <v>313</v>
      </c>
      <c r="I8" s="74">
        <f>VLOOKUP($H$8&amp;$F$1,'Input RM sheet'!$A:$BD,H1,0)</f>
        <v>0</v>
      </c>
      <c r="J8" s="74">
        <f>VLOOKUP($H$8&amp;$F$1,'Input RM sheet'!$A:$BD,I1,0)</f>
        <v>0</v>
      </c>
      <c r="K8" s="74">
        <f>VLOOKUP($H$8&amp;$F$1,'Input RM sheet'!$A:$DD,J1,0)</f>
        <v>0</v>
      </c>
      <c r="L8" s="74">
        <f>VLOOKUP($H$8&amp;$F$1,'Input RM sheet'!$A:$DD,K1,0)</f>
        <v>0</v>
      </c>
      <c r="M8" s="74">
        <f>VLOOKUP($H$8&amp;$F$1,'Input RM sheet'!$A:$DD,L1,0)</f>
        <v>0</v>
      </c>
      <c r="N8" s="74">
        <f>VLOOKUP($H$8&amp;$F$1,'Input RM sheet'!$A:$DD,M1,0)</f>
        <v>0</v>
      </c>
      <c r="O8" s="74">
        <f>VLOOKUP($H$8&amp;$F$1,'Input RM sheet'!$A:$DD,N1,0)</f>
        <v>0</v>
      </c>
      <c r="P8" s="74">
        <f>VLOOKUP($H$8&amp;$F$1,'Input RM sheet'!$A:$DD,O1,0)</f>
        <v>0</v>
      </c>
      <c r="Q8" s="74">
        <f>VLOOKUP($H$8&amp;$F$1,'Input RM sheet'!$A:$DD,P1,0)</f>
        <v>0</v>
      </c>
      <c r="R8" s="74">
        <f>VLOOKUP($H$8&amp;$F$1,'Input RM sheet'!$A:$DD,Q1,0)</f>
        <v>0</v>
      </c>
      <c r="S8" s="74">
        <f>VLOOKUP($H$8&amp;$F$1,'Input RM sheet'!$A:$DD,R1,0)</f>
        <v>0</v>
      </c>
      <c r="T8" s="74">
        <f>VLOOKUP($H$8&amp;$F$1,'Input RM sheet'!$A:$DD,S1,0)</f>
        <v>0.83799999999999997</v>
      </c>
      <c r="U8" s="74">
        <f>VLOOKUP($H$8&amp;$F$1,'Input RM sheet'!$A:$DD,T1,0)</f>
        <v>0.93700000000000006</v>
      </c>
      <c r="V8" s="74">
        <f>VLOOKUP($H$8&amp;$F$1,'Input RM sheet'!$A:$DD,U1,0)</f>
        <v>0.97</v>
      </c>
      <c r="W8" s="74">
        <f>VLOOKUP($H$8&amp;$F$1,'Input RM sheet'!$A:$DD,V1,0)</f>
        <v>1.0755999999999999</v>
      </c>
      <c r="X8" s="74">
        <f>VLOOKUP($H$8&amp;$F$1,'Input RM sheet'!$A:$DD,W1,0)</f>
        <v>1.224</v>
      </c>
      <c r="Y8" s="74">
        <f>VLOOKUP($H$8&amp;$F$1,'Input RM sheet'!$A:$DD,X1,0)</f>
        <v>1.1881999999999999</v>
      </c>
      <c r="Z8" s="74">
        <f>VLOOKUP($H$8&amp;$F$1,'Input RM sheet'!$A:$DD,Y1,0)</f>
        <v>1.2569999999999999</v>
      </c>
      <c r="AA8" s="74">
        <f>VLOOKUP($H$8&amp;$F$1,'Input RM sheet'!$A:$DD,Z1,0)</f>
        <v>1.3076000000000001</v>
      </c>
      <c r="AB8" s="74">
        <f>VLOOKUP($H$8&amp;$F$1,'Input RM sheet'!$A:$DD,AA1,0)</f>
        <v>1.444</v>
      </c>
      <c r="AC8" s="74">
        <f>VLOOKUP($H$8&amp;$F$1,'Input RM sheet'!$A:$DD,AB1,0)</f>
        <v>1.5209999999999999</v>
      </c>
      <c r="AD8" s="74">
        <f>VLOOKUP($H$8&amp;$F$1,'Input RM sheet'!$A:$DD,AC1,0)</f>
        <v>1.4219999999999999</v>
      </c>
      <c r="AE8" s="74">
        <f>VLOOKUP($H$8&amp;$F$1,'Input RM sheet'!$A:$DD,AD1,0)</f>
        <v>1.532</v>
      </c>
      <c r="AF8" s="74">
        <f>VLOOKUP($H$8&amp;$F$1,'Input RM sheet'!$A:$DD,AE1,0)</f>
        <v>1.2769999999999999</v>
      </c>
      <c r="AG8" s="74">
        <f>VLOOKUP($H$8&amp;$F$1,'Input RM sheet'!$A:$DD,AF1,0)</f>
        <v>1.444</v>
      </c>
      <c r="AH8" s="74">
        <f>VLOOKUP($H$8&amp;$F$1,'Input RM sheet'!$A:$DD,AG1,0)</f>
        <v>1.5580000000000001</v>
      </c>
      <c r="AI8" s="74">
        <f>VLOOKUP($H$8&amp;$F$1,'Input RM sheet'!$A:$DD,AH1,0)</f>
        <v>1.653</v>
      </c>
      <c r="AJ8" s="74">
        <f>VLOOKUP($H$8&amp;$F$1,'Input RM sheet'!$A:$DD,AI1,0)</f>
        <v>1.609</v>
      </c>
      <c r="AK8" s="74">
        <f>VLOOKUP($H$8&amp;$F$1,'Input RM sheet'!$A:$DD,AJ1,0)</f>
        <v>1.7749999999999999</v>
      </c>
      <c r="AL8" s="74">
        <f>VLOOKUP($H$8&amp;$F$1,'Input RM sheet'!$A:$DD,AK1,0)</f>
        <v>1.7749999999999999</v>
      </c>
      <c r="AM8" s="74">
        <f>VLOOKUP($H$8&amp;$F$1,'Input RM sheet'!$A:$DD,AL1,0)</f>
        <v>1.8080000000000001</v>
      </c>
      <c r="AN8" s="74">
        <f>VLOOKUP($H$8&amp;$F$1,'Input RM sheet'!$A:$DD,AM1,0)</f>
        <v>1.7749999999999999</v>
      </c>
      <c r="AO8" s="74">
        <f>VLOOKUP($H$8&amp;$F$1,'Input RM sheet'!$A:$DD,AN1,0)</f>
        <v>1.786</v>
      </c>
      <c r="AP8" s="74">
        <f>VLOOKUP($H$8&amp;$F$1,'Input RM sheet'!$A:$DD,AO1,0)</f>
        <v>1.631</v>
      </c>
      <c r="AQ8" s="74">
        <f>VLOOKUP($H$8&amp;$F$1,'Input RM sheet'!$A:$DD,AP1,0)</f>
        <v>1.631</v>
      </c>
      <c r="AR8" s="74">
        <f>VLOOKUP($H$8&amp;$F$1,'Input RM sheet'!$A:$DD,AQ1,0)</f>
        <v>1.556</v>
      </c>
      <c r="AS8" s="74">
        <f>VLOOKUP($H$8&amp;$F$1,'Input RM sheet'!$A:$DD,AR1,0)</f>
        <v>1.5429999999999999</v>
      </c>
      <c r="AT8" s="74">
        <f>VLOOKUP($H$8&amp;$F$1,'Input RM sheet'!$A:$DD,AS1,0)</f>
        <v>1.337</v>
      </c>
      <c r="AU8" s="74">
        <f>VLOOKUP($H$8&amp;$F$1,'Input RM sheet'!$A:$DD,AT1,0)</f>
        <v>1.2350000000000001</v>
      </c>
      <c r="AV8" s="74">
        <f>VLOOKUP($H$8&amp;$F$1,'Input RM sheet'!$A:$DD,AU1,0)</f>
        <v>1.141</v>
      </c>
      <c r="AW8" s="74">
        <f>VLOOKUP($H$8&amp;$F$1,'Input RM sheet'!$A:$DD,AV1,0)</f>
        <v>1.25</v>
      </c>
      <c r="AX8" s="74">
        <f>VLOOKUP($H$8&amp;$F$1,'Input RM sheet'!$A:$DD,AW1,0)</f>
        <v>1.2569999999999999</v>
      </c>
      <c r="AY8" s="74">
        <f>VLOOKUP($H$8&amp;$F$1,'Input RM sheet'!$A:$DD,AX1,0)</f>
        <v>1.4</v>
      </c>
      <c r="AZ8" s="74">
        <f>VLOOKUP($H$8&amp;$F$1,'Input RM sheet'!$A:$DD,AY1,0)</f>
        <v>1.4330000000000001</v>
      </c>
      <c r="BA8" s="74">
        <f>VLOOKUP($H$8&amp;$F$1,'Input RM sheet'!$A:$DD,AZ1,0)</f>
        <v>1.4810000000000001</v>
      </c>
      <c r="BB8" s="74">
        <f>VLOOKUP($H$8&amp;$F$1,'Input RM sheet'!$A:$DD,BA1,0)</f>
        <v>1.488</v>
      </c>
      <c r="BC8" s="74">
        <f>VLOOKUP($H$8&amp;$F$1,'Input RM sheet'!$A:$DD,BB1,0)</f>
        <v>1.488</v>
      </c>
      <c r="BD8" s="74">
        <f>VLOOKUP($H$8&amp;$F$1,'Input RM sheet'!$A:$DD,BC1,0)</f>
        <v>1.5009999999999999</v>
      </c>
      <c r="BE8" s="74">
        <f>VLOOKUP($H$8&amp;$F$1,'Input RM sheet'!$A:$DD,BD1,0)</f>
        <v>1.5229999999999999</v>
      </c>
      <c r="BF8" s="74">
        <f>VLOOKUP($H$8&amp;$F$1,'Input RM sheet'!$A:$DD,BE1,0)</f>
        <v>1.532</v>
      </c>
      <c r="BG8" s="74">
        <f>VLOOKUP($H$8&amp;$F$1,'Input RM sheet'!$A:$DD,BF1,0)</f>
        <v>1.532</v>
      </c>
      <c r="BH8" s="74">
        <f>VLOOKUP($H$8&amp;$F$1,'Input RM sheet'!$A:$DD,BG1,0)</f>
        <v>1.532</v>
      </c>
      <c r="BI8" s="74">
        <f>VLOOKUP($H$8&amp;$F$1,'Input RM sheet'!$A:$DD,BH1,0)</f>
        <v>1.5389999999999999</v>
      </c>
      <c r="BJ8" s="74">
        <f>VLOOKUP($H$8&amp;$F$1,'Input RM sheet'!$A:$DD,BI1,0)</f>
        <v>1.5429999999999999</v>
      </c>
      <c r="BK8" s="74">
        <f>VLOOKUP($H$8&amp;$F$1,'Input RM sheet'!$A:$DD,BJ1,0)</f>
        <v>1.51</v>
      </c>
      <c r="BL8" s="74">
        <f>VLOOKUP($H$8&amp;$F$1,'Input RM sheet'!$A:$DD,BK1,0)</f>
        <v>1.4810000000000001</v>
      </c>
      <c r="BM8" s="74">
        <f>VLOOKUP($H$8&amp;$F$1,'Input RM sheet'!$A:$DD,BL1,0)</f>
        <v>1.369</v>
      </c>
      <c r="BN8" s="74">
        <f>VLOOKUP($H$8&amp;$F$1,'Input RM sheet'!$A:$DD,BM1,0)</f>
        <v>1.2789999999999999</v>
      </c>
      <c r="BO8" s="74">
        <f>VLOOKUP($H$8&amp;$F$1,'Input RM sheet'!$A:$DD,BN1,0)</f>
        <v>1.2110000000000001</v>
      </c>
      <c r="BP8" s="74">
        <f>VLOOKUP($H$8&amp;$F$1,'Input RM sheet'!$A:$DD,BO1,0)</f>
        <v>1.1779999999999999</v>
      </c>
      <c r="BQ8" s="74">
        <f>VLOOKUP($H$8&amp;$F$1,'Input RM sheet'!$A:$DD,BP1,0)</f>
        <v>1.1559999999999999</v>
      </c>
      <c r="BR8" s="74">
        <f>VLOOKUP($H$8&amp;$F$1,'Input RM sheet'!$A:$DD,BQ1,0)</f>
        <v>1.1240000000000001</v>
      </c>
      <c r="BS8" s="74">
        <f>VLOOKUP($H$8&amp;$F$1,'Input RM sheet'!$A:$DD,BR1,0)</f>
        <v>1.1240000000000001</v>
      </c>
      <c r="BT8" s="74">
        <f>VLOOKUP($H$8&amp;$F$1,'Input RM sheet'!$A:$DD,BS1,0)</f>
        <v>1.1240000000000001</v>
      </c>
      <c r="BU8" s="74">
        <f>VLOOKUP($H$8&amp;$F$1,'Input RM sheet'!$A:$DD,BT1,0)</f>
        <v>1.0580000000000001</v>
      </c>
      <c r="BV8" s="74">
        <f>VLOOKUP($H$8&amp;$F$1,'Input RM sheet'!$A:$DD,BU1,0)</f>
        <v>0.999</v>
      </c>
      <c r="BW8" s="74">
        <f>VLOOKUP($H$8&amp;$F$1,'Input RM sheet'!$A:$DD,BV1,0)</f>
        <v>0.96799999999999997</v>
      </c>
      <c r="BX8" s="74">
        <f>VLOOKUP($H$8&amp;$F$1,'Input RM sheet'!$A:$DD,BW1,0)</f>
        <v>0.95899999999999996</v>
      </c>
      <c r="BY8" s="74">
        <f>VLOOKUP($H$8&amp;$F$1,'Input RM sheet'!$A:$DD,BX1,0)</f>
        <v>0.95899999999999996</v>
      </c>
      <c r="BZ8" s="74">
        <f>VLOOKUP($H$8&amp;$F$1,'Input RM sheet'!$A:$DD,BY1,0)</f>
        <v>0.93899999999999995</v>
      </c>
      <c r="CA8" s="74">
        <f>VLOOKUP($H$8&amp;$F$1,'Input RM sheet'!$A:$DD,BZ1,0)</f>
        <v>0.92600000000000005</v>
      </c>
      <c r="CB8" s="74">
        <f>VLOOKUP($H$8&amp;$F$1,'Input RM sheet'!$A:$DD,CA1,0)</f>
        <v>0.92600000000000005</v>
      </c>
      <c r="CC8" s="74">
        <f>VLOOKUP($H$8&amp;$F$1,'Input RM sheet'!$A:$DD,CB1,0)</f>
        <v>0.89300000000000002</v>
      </c>
      <c r="CD8" s="74">
        <f>VLOOKUP($H$8&amp;$F$1,'Input RM sheet'!$A:$DD,CC1,0)</f>
        <v>0.88300000000000001</v>
      </c>
      <c r="CE8" s="74">
        <f>VLOOKUP($H$8&amp;$F$1,'Input RM sheet'!$A:$DD,CD1,0)</f>
        <v>0.92400000000000004</v>
      </c>
      <c r="CF8" s="74">
        <f>VLOOKUP($H$8&amp;$F$1,'Input RM sheet'!$A:$DD,CE1,0)</f>
        <v>0.92900000000000005</v>
      </c>
      <c r="CG8" s="74">
        <f>VLOOKUP($H$8&amp;$F$1,'Input RM sheet'!$A:$DD,CF1,0)</f>
        <v>0.92900000000000005</v>
      </c>
      <c r="CH8" s="74">
        <f>VLOOKUP($H$8&amp;$F$1,'Input RM sheet'!$A:$DD,CG1,0)</f>
        <v>0.93500000000000005</v>
      </c>
      <c r="CI8" s="74">
        <f>VLOOKUP($H$8&amp;$F$1,'Input RM sheet'!$A:$DD,CH1,0)</f>
        <v>0.95499999999999996</v>
      </c>
      <c r="CJ8" s="74">
        <f>VLOOKUP($H$8&amp;$F$1,'Input RM sheet'!$A:$DD,CI1,0)</f>
        <v>0.95899999999999996</v>
      </c>
      <c r="CK8" s="74">
        <f>VLOOKUP($H$8&amp;$F$1,'Input RM sheet'!$A:$DD,CJ1,0)</f>
        <v>0.95899999999999996</v>
      </c>
      <c r="CL8" s="74">
        <f>VLOOKUP($H$8&amp;$F$1,'Input RM sheet'!$A:$DD,CK1,0)</f>
        <v>0.95899999999999996</v>
      </c>
      <c r="CM8" s="74">
        <f>VLOOKUP($H$8&amp;$F$1,'Input RM sheet'!$A:$DD,CL1,0)</f>
        <v>0.95899999999999996</v>
      </c>
      <c r="CN8" s="74">
        <f>VLOOKUP($H$8&amp;$F$1,'Input RM sheet'!$A:$DD,CM1,0)</f>
        <v>0.95899999999999996</v>
      </c>
      <c r="CO8" s="74">
        <f>VLOOKUP($H$8&amp;$F$1,'Input RM sheet'!$A:$DD,CN1,0)</f>
        <v>0.93200000000000005</v>
      </c>
      <c r="CP8" s="74">
        <f>VLOOKUP($H$8&amp;$F$1,'Input RM sheet'!$A:$DD,CO1,0)</f>
        <v>0.89300000000000002</v>
      </c>
      <c r="CQ8" s="74">
        <f>VLOOKUP($H$8&amp;$F$1,'Input RM sheet'!$A:$DD,CP1,0)</f>
        <v>0.90600000000000003</v>
      </c>
      <c r="CR8" s="74">
        <f>VLOOKUP($H$8&amp;$F$1,'Input RM sheet'!$A:$ZZ,CQ1,0)</f>
        <v>0.92600000000000005</v>
      </c>
      <c r="CS8" s="74">
        <f>VLOOKUP($H$8&amp;$F$1,'Input RM sheet'!$A:$ZZ,CR1,0)</f>
        <v>0.94399999999999995</v>
      </c>
      <c r="CT8" s="74">
        <f>VLOOKUP($H$8&amp;$F$1,'Input RM sheet'!$A:$ZZ,CS1,0)</f>
        <v>0.97299999999999998</v>
      </c>
      <c r="CU8" s="74">
        <f>VLOOKUP($H$8&amp;$F$1,'Input RM sheet'!$A:$ZZ,CT1,0)</f>
        <v>0.98499999999999999</v>
      </c>
      <c r="CV8" s="74">
        <f>VLOOKUP($H$8&amp;$F$1,'Input RM sheet'!$A:$ZZ,CU1,0)</f>
        <v>1.1459999999999999</v>
      </c>
      <c r="CW8" s="74">
        <f>VLOOKUP($H$8&amp;$F$1,'Input RM sheet'!$A:$ZZ,CV1,0)</f>
        <v>1.1459999999999999</v>
      </c>
      <c r="CX8" s="74">
        <f>VLOOKUP($H$8&amp;$F$1,'Input RM sheet'!$A:$ZZ,CW1,0)</f>
        <v>1.1459999999999999</v>
      </c>
      <c r="CY8" s="74">
        <f>VLOOKUP($H$8&amp;$F$1,'Input RM sheet'!$A:$ZZ,CX1,0)</f>
        <v>1.1459999999999999</v>
      </c>
      <c r="CZ8" s="74">
        <f>VLOOKUP($H$8&amp;$F$1,'Input RM sheet'!$A:$ZZ,CY1,0)</f>
        <v>1.1200000000000001</v>
      </c>
      <c r="DA8" s="74">
        <f>VLOOKUP($H$8&amp;$F$1,'Input RM sheet'!$A:$ZZ,CZ1,0)</f>
        <v>1.0660000000000001</v>
      </c>
      <c r="DB8" s="74">
        <f>VLOOKUP($H$8&amp;$F$1,'Input RM sheet'!$A:$ZZ,DA1,0)</f>
        <v>1.05</v>
      </c>
      <c r="DC8" s="74">
        <f>VLOOKUP($H$8&amp;$F$1,'Input RM sheet'!$A:$ZZ,DB1,0)</f>
        <v>1.05</v>
      </c>
      <c r="DD8" s="74">
        <f>VLOOKUP($H$8&amp;$F$1,'Input RM sheet'!$A:$ZZ,DC1,0)</f>
        <v>1.05</v>
      </c>
      <c r="DE8" s="74">
        <f>VLOOKUP($H$8&amp;$F$1,'Input RM sheet'!$A:$ZZ,DD1,0)</f>
        <v>1.05</v>
      </c>
      <c r="DF8" s="74">
        <f>VLOOKUP($H$8&amp;$F$1,'Input RM sheet'!$A:$ZZ,DE1,0)</f>
        <v>1.05</v>
      </c>
      <c r="DG8" s="74">
        <f>VLOOKUP($H$8&amp;$F$1,'Input RM sheet'!$A:$ZZ,DF1,0)</f>
        <v>1.05</v>
      </c>
      <c r="DH8" s="74">
        <f>VLOOKUP($H$8&amp;$F$1,'Input RM sheet'!$A:$ZZ,DG1,0)</f>
        <v>1.05</v>
      </c>
      <c r="DI8" s="74">
        <f>VLOOKUP($H$8&amp;$F$1,'Input RM sheet'!$A:$ZZ,DH1,0)</f>
        <v>1.05</v>
      </c>
      <c r="DJ8" s="74">
        <f>VLOOKUP($H$8&amp;$F$1,'Input RM sheet'!$A:$ZZ,DI1,0)</f>
        <v>1.05</v>
      </c>
      <c r="DK8" s="74">
        <f>VLOOKUP($H$8&amp;$F$1,'Input RM sheet'!$A:$ZZ,DJ1,0)</f>
        <v>1.05</v>
      </c>
      <c r="DL8" s="74">
        <f>VLOOKUP($H$8&amp;$F$1,'Input RM sheet'!$A:$ZZ,DK1,0)</f>
        <v>1.05</v>
      </c>
      <c r="DM8" s="74">
        <f>VLOOKUP($H$8&amp;$F$1,'Input RM sheet'!$A:$ZZ,DL1,0)</f>
        <v>0.95599999999999996</v>
      </c>
      <c r="DN8" s="74">
        <f>VLOOKUP($H$8&amp;$F$1,'Input RM sheet'!$A:$ZZ,DM1,0)</f>
        <v>0.98099999999999998</v>
      </c>
      <c r="DO8" s="74">
        <f>VLOOKUP($H$8&amp;$F$1,'Input RM sheet'!$A:$ZZ,DN1,0)</f>
        <v>0.98099999999999998</v>
      </c>
      <c r="DP8" s="74">
        <f>VLOOKUP($H$8&amp;$F$1,'Input RM sheet'!$A:$ZZ,DO1,0)</f>
        <v>0.98099999999999998</v>
      </c>
      <c r="DQ8" s="74">
        <f>VLOOKUP($H$8&amp;$F$1,'Input RM sheet'!$A:$ZZ,DP1,0)</f>
        <v>0.94799999999999995</v>
      </c>
      <c r="DR8" s="74">
        <f>VLOOKUP($H$8&amp;$F$1,'Input RM sheet'!$A:$ZZ,DQ1,0)</f>
        <v>0.94799999999999995</v>
      </c>
      <c r="DS8" s="74">
        <f>VLOOKUP($H$8&amp;$F$1,'Input RM sheet'!$A:$ZZ,DR1,0)</f>
        <v>0.94799999999999995</v>
      </c>
      <c r="DT8" s="74">
        <f>VLOOKUP($H$8&amp;$F$1,'Input RM sheet'!$A:$ZZ,DS1,0)</f>
        <v>0</v>
      </c>
      <c r="DU8" s="74">
        <f>VLOOKUP($H$8&amp;$F$1,'Input RM sheet'!$A:$ZZ,DT1,0)</f>
        <v>0</v>
      </c>
      <c r="DV8" s="74">
        <f>VLOOKUP($H$8&amp;$F$1,'Input RM sheet'!$A:$ZZ,DU1,0)</f>
        <v>0</v>
      </c>
      <c r="DW8" s="74">
        <f>VLOOKUP($H$8&amp;$F$1,'Input RM sheet'!$A:$ZZ,DV1,0)</f>
        <v>0</v>
      </c>
      <c r="DX8" s="74">
        <f>VLOOKUP($H$8&amp;$F$1,'Input RM sheet'!$A:$ZZ,DW1,0)</f>
        <v>0</v>
      </c>
      <c r="DY8" s="74">
        <f>VLOOKUP($H$8&amp;$F$1,'Input RM sheet'!$A:$ZZ,DX1,0)</f>
        <v>0</v>
      </c>
      <c r="DZ8" s="74">
        <f>VLOOKUP($H$8&amp;$F$1,'Input RM sheet'!$A:$ZZ,DY1,0)</f>
        <v>0</v>
      </c>
      <c r="EA8" s="74" t="e" vm="1">
        <f>VLOOKUP($H$8&amp;$F$1,'Input RM sheet'!$A:$ZZ,DZ1,0)</f>
        <v>#VALUE!</v>
      </c>
      <c r="EB8" s="74" t="e" vm="1">
        <f>VLOOKUP($H$8&amp;$F$1,'Input RM sheet'!$A:$ZZ,EA1,0)</f>
        <v>#VALUE!</v>
      </c>
      <c r="EC8" s="74" t="e" vm="1">
        <f>VLOOKUP($H$8&amp;$F$1,'Input RM sheet'!$A:$ZZ,EB1,0)</f>
        <v>#VALUE!</v>
      </c>
      <c r="ED8" s="74" t="e" vm="1">
        <f>VLOOKUP($H$8&amp;$F$1,'Input RM sheet'!$A:$ZZ,EC1,0)</f>
        <v>#VALUE!</v>
      </c>
      <c r="EE8" s="74" t="e" vm="1">
        <f>VLOOKUP($H$8&amp;$F$1,'Input RM sheet'!$A:$ZZ,ED1,0)</f>
        <v>#VALUE!</v>
      </c>
      <c r="EF8" s="74" t="e" vm="1">
        <f>VLOOKUP($H$8&amp;$F$1,'Input RM sheet'!$A:$ZZ,EE1,0)</f>
        <v>#VALUE!</v>
      </c>
      <c r="EG8" s="74" t="e" vm="1">
        <f>VLOOKUP($H$8&amp;$F$1,'Input RM sheet'!$A:$ZZ,EF1,0)</f>
        <v>#VALUE!</v>
      </c>
      <c r="EH8" s="74" t="e" vm="1">
        <f>VLOOKUP($H$8&amp;$F$1,'Input RM sheet'!$A:$ZZ,EG1,0)</f>
        <v>#VALUE!</v>
      </c>
      <c r="EI8" s="74" t="e" vm="1">
        <f>VLOOKUP($H$8&amp;$F$1,'Input RM sheet'!$A:$ZZ,EH1,0)</f>
        <v>#VALUE!</v>
      </c>
      <c r="EJ8" s="74" t="e" vm="1">
        <f>VLOOKUP($H$8&amp;$F$1,'Input RM sheet'!$A:$ZZ,EI1,0)</f>
        <v>#VALUE!</v>
      </c>
      <c r="EK8" s="74" t="e" vm="1">
        <f>VLOOKUP($H$8&amp;$F$1,'Input RM sheet'!$A:$ZZ,EJ1,0)</f>
        <v>#VALUE!</v>
      </c>
      <c r="EL8" s="74" t="e" vm="1">
        <f>VLOOKUP($H$8&amp;$F$1,'Input RM sheet'!$A:$ZZ,EK1,0)</f>
        <v>#VALUE!</v>
      </c>
      <c r="EM8" s="74" t="e" vm="1">
        <f>VLOOKUP($H$8&amp;$F$1,'Input RM sheet'!$A:$ZZ,EL1,0)</f>
        <v>#VALUE!</v>
      </c>
      <c r="EN8" s="74" t="e" vm="1">
        <f>VLOOKUP($H$8&amp;$F$1,'Input RM sheet'!$A:$ZZ,EM1,0)</f>
        <v>#VALUE!</v>
      </c>
      <c r="EO8" s="74" t="e" vm="1">
        <f>VLOOKUP($H$8&amp;$F$1,'Input RM sheet'!$A:$ZZ,EN1,0)</f>
        <v>#VALUE!</v>
      </c>
      <c r="EP8" s="74" t="e" vm="1">
        <f>VLOOKUP($H$8&amp;$F$1,'Input RM sheet'!$A:$ZZ,EO1,0)</f>
        <v>#VALUE!</v>
      </c>
      <c r="EQ8" s="74" t="e" vm="1">
        <f>VLOOKUP($H$8&amp;$F$1,'Input RM sheet'!$A:$ZZ,EP1,0)</f>
        <v>#VALUE!</v>
      </c>
      <c r="ER8" s="74" t="e" vm="1">
        <f>VLOOKUP($H$8&amp;$F$1,'Input RM sheet'!$A:$ZZ,EQ1,0)</f>
        <v>#VALUE!</v>
      </c>
      <c r="ES8" s="74" t="e" vm="1">
        <f>VLOOKUP($H$8&amp;$F$1,'Input RM sheet'!$A:$ZZ,ER1,0)</f>
        <v>#VALUE!</v>
      </c>
      <c r="ET8" s="74" t="e" vm="1">
        <f>VLOOKUP($H$8&amp;$F$1,'Input RM sheet'!$A:$ZZ,ES1,0)</f>
        <v>#VALUE!</v>
      </c>
      <c r="EU8" s="74" t="e" vm="1">
        <f>VLOOKUP($H$8&amp;$F$1,'Input RM sheet'!$A:$ZZ,ET1,0)</f>
        <v>#VALUE!</v>
      </c>
      <c r="EV8" s="74" t="e" vm="1">
        <f>VLOOKUP($H$8&amp;$F$1,'Input RM sheet'!$A:$ZZ,EU1,0)</f>
        <v>#VALUE!</v>
      </c>
      <c r="EW8" s="74" t="e" vm="1">
        <f>VLOOKUP($H$8&amp;$F$1,'Input RM sheet'!$A:$ZZ,EV1,0)</f>
        <v>#VALUE!</v>
      </c>
      <c r="EX8" s="74" t="e" vm="1">
        <f>VLOOKUP($H$8&amp;$F$1,'Input RM sheet'!$A:$ZZ,EW1,0)</f>
        <v>#VALUE!</v>
      </c>
      <c r="EY8" s="74" t="e" vm="1">
        <f>VLOOKUP($H$8&amp;$F$1,'Input RM sheet'!$A:$ZZ,EX1,0)</f>
        <v>#VALUE!</v>
      </c>
      <c r="EZ8" s="74" t="e" vm="1">
        <f>VLOOKUP($H$8&amp;$F$1,'Input RM sheet'!$A:$ZZ,EY1,0)</f>
        <v>#VALUE!</v>
      </c>
      <c r="FA8" s="74" t="e" vm="1">
        <f>VLOOKUP($H$8&amp;$F$1,'Input RM sheet'!$A:$ZZ,EZ1,0)</f>
        <v>#VALUE!</v>
      </c>
      <c r="FB8" s="74" t="e" vm="1">
        <f>VLOOKUP($H$8&amp;$F$1,'Input RM sheet'!$A:$ZZ,FA1,0)</f>
        <v>#VALUE!</v>
      </c>
      <c r="FC8" s="74" t="e" vm="1">
        <f>VLOOKUP($H$8&amp;$F$1,'Input RM sheet'!$A:$ZZ,FB1,0)</f>
        <v>#VALUE!</v>
      </c>
      <c r="FD8" s="74" t="e" vm="1">
        <f>VLOOKUP($H$8&amp;$F$1,'Input RM sheet'!$A:$ZZ,FC1,0)</f>
        <v>#VALUE!</v>
      </c>
      <c r="FE8" s="74" t="e" vm="1">
        <f>VLOOKUP($H$8&amp;$F$1,'Input RM sheet'!$A:$ZZ,FD1,0)</f>
        <v>#VALUE!</v>
      </c>
      <c r="FF8" s="74" t="e" vm="1">
        <f>VLOOKUP($H$8&amp;$F$1,'Input RM sheet'!$A:$ZZ,FE1,0)</f>
        <v>#VALUE!</v>
      </c>
      <c r="FG8" s="74" t="e" vm="1">
        <f>VLOOKUP($H$8&amp;$F$1,'Input RM sheet'!$A:$ZZ,FF1,0)</f>
        <v>#VALUE!</v>
      </c>
      <c r="FH8" s="74" t="e" vm="1">
        <f>VLOOKUP($H$8&amp;$F$1,'Input RM sheet'!$A:$ZZ,FG1,0)</f>
        <v>#VALUE!</v>
      </c>
      <c r="FI8" s="74" t="e" vm="1">
        <f>VLOOKUP($H$8&amp;$F$1,'Input RM sheet'!$A:$ZZ,FH1,0)</f>
        <v>#VALUE!</v>
      </c>
      <c r="FJ8" s="74" t="e" vm="1">
        <f>VLOOKUP($H$8&amp;$F$1,'Input RM sheet'!$A:$ZZ,FI1,0)</f>
        <v>#VALUE!</v>
      </c>
      <c r="FK8" s="74" t="e" vm="1">
        <f>VLOOKUP($H$8&amp;$F$1,'Input RM sheet'!$A:$ZZ,FJ1,0)</f>
        <v>#VALUE!</v>
      </c>
      <c r="FL8" s="74" t="e" vm="1">
        <f>VLOOKUP($H$8&amp;$F$1,'Input RM sheet'!$A:$ZZ,FK1,0)</f>
        <v>#VALUE!</v>
      </c>
      <c r="FM8" s="74" t="e" vm="1">
        <f>VLOOKUP($H$8&amp;$F$1,'Input RM sheet'!$A:$ZZ,FL1,0)</f>
        <v>#VALUE!</v>
      </c>
      <c r="FN8" s="74" t="e" vm="1">
        <f>VLOOKUP($H$8&amp;$F$1,'Input RM sheet'!$A:$ZZ,FM1,0)</f>
        <v>#VALUE!</v>
      </c>
      <c r="FO8" s="74" t="e" vm="1">
        <f>VLOOKUP($H$8&amp;$F$1,'Input RM sheet'!$A:$ZZ,FN1,0)</f>
        <v>#VALUE!</v>
      </c>
      <c r="FP8" s="74" t="e" vm="1">
        <f>VLOOKUP($H$8&amp;$F$1,'Input RM sheet'!$A:$ZZ,FO1,0)</f>
        <v>#VALUE!</v>
      </c>
      <c r="FQ8" s="74" t="e" vm="1">
        <f>VLOOKUP($H$8&amp;$F$1,'Input RM sheet'!$A:$ZZ,FP1,0)</f>
        <v>#VALUE!</v>
      </c>
      <c r="FR8" s="74" t="e" vm="1">
        <f>VLOOKUP($H$8&amp;$F$1,'Input RM sheet'!$A:$ZZ,FQ1,0)</f>
        <v>#VALUE!</v>
      </c>
      <c r="FS8" s="74" t="e" vm="1">
        <f>VLOOKUP($H$8&amp;$F$1,'Input RM sheet'!$A:$ZZ,FR1,0)</f>
        <v>#VALUE!</v>
      </c>
      <c r="FT8" s="74" t="e" vm="1">
        <f>VLOOKUP($H$8&amp;$F$1,'Input RM sheet'!$A:$ZZ,FS1,0)</f>
        <v>#VALUE!</v>
      </c>
      <c r="FU8" s="74" t="e" vm="1">
        <f>VLOOKUP($H$8&amp;$F$1,'Input RM sheet'!$A:$ZZ,FT1,0)</f>
        <v>#VALUE!</v>
      </c>
      <c r="FV8" s="74" t="e" vm="1">
        <f>VLOOKUP($H$8&amp;$F$1,'Input RM sheet'!$A:$ZZ,FU1,0)</f>
        <v>#VALUE!</v>
      </c>
      <c r="FW8" s="74" t="e" vm="1">
        <f>VLOOKUP($H$8&amp;$F$1,'Input RM sheet'!$A:$ZZ,FV1,0)</f>
        <v>#VALUE!</v>
      </c>
      <c r="FX8" s="74" t="e" vm="1">
        <f>VLOOKUP($H$8&amp;$F$1,'Input RM sheet'!$A:$ZZ,FW1,0)</f>
        <v>#VALUE!</v>
      </c>
      <c r="FY8" s="74" t="e" vm="1">
        <f>VLOOKUP($H$8&amp;$F$1,'Input RM sheet'!$A:$ZZ,FX1,0)</f>
        <v>#VALUE!</v>
      </c>
      <c r="FZ8" s="74" t="e" vm="1">
        <f>VLOOKUP($H$8&amp;$F$1,'Input RM sheet'!$A:$ZZ,FY1,0)</f>
        <v>#VALUE!</v>
      </c>
      <c r="GA8" s="74" t="e" vm="1">
        <f>VLOOKUP($H$8&amp;$F$1,'Input RM sheet'!$A:$ZZ,FZ1,0)</f>
        <v>#VALUE!</v>
      </c>
      <c r="GB8" s="74" t="e" vm="1">
        <f>VLOOKUP($H$8&amp;$F$1,'Input RM sheet'!$A:$ZZ,GA1,0)</f>
        <v>#VALUE!</v>
      </c>
      <c r="GC8" s="74" t="e" vm="1">
        <f>VLOOKUP($H$8&amp;$F$1,'Input RM sheet'!$A:$ZZ,GB1,0)</f>
        <v>#VALUE!</v>
      </c>
      <c r="GD8" s="74" t="e" vm="1">
        <f>VLOOKUP($H$8&amp;$F$1,'Input RM sheet'!$A:$ZZ,GC1,0)</f>
        <v>#VALUE!</v>
      </c>
      <c r="GE8" s="74" t="e" vm="1">
        <f>VLOOKUP($H$8&amp;$F$1,'Input RM sheet'!$A:$ZZ,GD1,0)</f>
        <v>#VALUE!</v>
      </c>
      <c r="GF8" s="74" t="e" vm="1">
        <f>VLOOKUP($H$8&amp;$F$1,'Input RM sheet'!$A:$ZZ,GE1,0)</f>
        <v>#VALUE!</v>
      </c>
      <c r="GG8" s="74" t="e" vm="1">
        <f>VLOOKUP($H$8&amp;$F$1,'Input RM sheet'!$A:$ZZ,GF1,0)</f>
        <v>#VALUE!</v>
      </c>
      <c r="GH8" s="74" t="e" vm="1">
        <f>VLOOKUP($H$8&amp;$F$1,'Input RM sheet'!$A:$ZZ,GG1,0)</f>
        <v>#VALUE!</v>
      </c>
      <c r="GI8" s="74" t="e" vm="1">
        <f>VLOOKUP($H$8&amp;$F$1,'Input RM sheet'!$A:$ZZ,GH1,0)</f>
        <v>#VALUE!</v>
      </c>
      <c r="GJ8" s="74" t="e" vm="1">
        <f>VLOOKUP($H$8&amp;$F$1,'Input RM sheet'!$A:$ZZ,GI1,0)</f>
        <v>#VALUE!</v>
      </c>
      <c r="GK8" s="74" t="e" vm="1">
        <f>VLOOKUP($H$8&amp;$F$1,'Input RM sheet'!$A:$ZZ,GJ1,0)</f>
        <v>#VALUE!</v>
      </c>
      <c r="GL8" s="74" t="e" vm="1">
        <f>VLOOKUP($H$8&amp;$F$1,'Input RM sheet'!$A:$ZZ,GK1,0)</f>
        <v>#VALUE!</v>
      </c>
      <c r="GM8" s="74" t="e" vm="1">
        <f>VLOOKUP($H$8&amp;$F$1,'Input RM sheet'!$A:$ZZ,GL1,0)</f>
        <v>#VALUE!</v>
      </c>
      <c r="GN8" s="74" t="e" vm="1">
        <f>VLOOKUP($H$8&amp;$F$1,'Input RM sheet'!$A:$ZZ,GM1,0)</f>
        <v>#VALUE!</v>
      </c>
      <c r="GO8" s="74" t="e" vm="1">
        <f>VLOOKUP($H$8&amp;$F$1,'Input RM sheet'!$A:$ZZ,GN1,0)</f>
        <v>#VALUE!</v>
      </c>
      <c r="GP8" s="74" t="e" vm="1">
        <f>VLOOKUP($H$8&amp;$F$1,'Input RM sheet'!$A:$ZZ,GO1,0)</f>
        <v>#VALUE!</v>
      </c>
    </row>
    <row r="9" spans="1:198" ht="13">
      <c r="H9" s="107" t="s">
        <v>361</v>
      </c>
      <c r="I9" s="74"/>
      <c r="J9" s="74"/>
      <c r="K9" s="74"/>
      <c r="L9" s="74"/>
      <c r="M9" s="74"/>
      <c r="N9" s="74"/>
      <c r="O9" s="74"/>
      <c r="P9" s="74"/>
      <c r="Q9" s="74"/>
      <c r="R9" s="74"/>
      <c r="S9" s="74"/>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74"/>
      <c r="BG9" s="74"/>
      <c r="BH9" s="74"/>
      <c r="BI9" s="74"/>
      <c r="BJ9" s="74"/>
      <c r="BK9" s="74"/>
      <c r="BL9" s="74"/>
      <c r="BM9" s="74"/>
      <c r="BN9" s="74"/>
      <c r="BO9" s="74"/>
      <c r="BP9" s="74"/>
      <c r="BQ9" s="74"/>
      <c r="BR9" s="74"/>
      <c r="BS9" s="74"/>
      <c r="BT9" s="74"/>
      <c r="BU9" s="74"/>
      <c r="BV9" s="74"/>
      <c r="BW9" s="74"/>
      <c r="BX9" s="74"/>
      <c r="BY9" s="74"/>
      <c r="BZ9" s="74"/>
      <c r="CA9" s="74"/>
      <c r="CB9" s="74"/>
      <c r="CC9" s="74"/>
      <c r="CD9" s="74"/>
      <c r="CE9" s="74"/>
      <c r="CF9" s="74"/>
      <c r="CG9" s="74"/>
      <c r="CH9" s="74"/>
      <c r="CI9" s="74"/>
      <c r="CJ9" s="74"/>
      <c r="CK9" s="74"/>
      <c r="CL9" s="74"/>
      <c r="CM9" s="74"/>
      <c r="CN9" s="74"/>
      <c r="CO9" s="74"/>
      <c r="CP9" s="74"/>
      <c r="CQ9" s="74"/>
      <c r="CR9" s="74"/>
      <c r="CS9" s="74"/>
      <c r="CT9" s="74"/>
      <c r="CU9" s="74"/>
      <c r="CV9" s="74"/>
      <c r="CW9" s="74"/>
      <c r="CX9" s="74"/>
      <c r="CY9" s="74"/>
      <c r="CZ9" s="74"/>
      <c r="DA9" s="74"/>
      <c r="DB9" s="74"/>
      <c r="DC9" s="74"/>
      <c r="DD9" s="74"/>
      <c r="DE9" s="74"/>
      <c r="DF9" s="74"/>
      <c r="DG9" s="74"/>
      <c r="DH9" s="74"/>
      <c r="DI9" s="74"/>
      <c r="DJ9" s="74"/>
      <c r="DK9" s="74"/>
      <c r="DL9" s="74"/>
      <c r="DM9" s="74"/>
      <c r="DN9" s="74"/>
      <c r="DO9" s="74"/>
      <c r="DP9" s="74"/>
      <c r="DQ9" s="74"/>
      <c r="DR9" s="74"/>
      <c r="DS9" s="74"/>
      <c r="DT9" s="74"/>
      <c r="DU9" s="74"/>
      <c r="DV9" s="74"/>
      <c r="DW9" s="74"/>
      <c r="DX9" s="74"/>
      <c r="DY9" s="74"/>
      <c r="DZ9" s="74"/>
      <c r="EA9" s="74"/>
      <c r="EB9" s="74"/>
      <c r="EC9" s="74"/>
      <c r="ED9" s="74"/>
      <c r="EE9" s="74"/>
      <c r="EF9" s="74"/>
      <c r="EG9" s="74"/>
      <c r="EH9" s="74"/>
      <c r="EI9" s="74"/>
      <c r="EJ9" s="74"/>
      <c r="EK9" s="74"/>
      <c r="EL9" s="74"/>
      <c r="EM9" s="74"/>
      <c r="EN9" s="74"/>
      <c r="EO9" s="74"/>
      <c r="EP9" s="74"/>
      <c r="EQ9" s="74"/>
      <c r="ER9" s="74"/>
      <c r="ES9" s="74"/>
      <c r="ET9" s="74"/>
      <c r="EU9" s="74"/>
      <c r="EV9" s="74"/>
      <c r="EW9" s="74"/>
      <c r="EX9" s="74"/>
      <c r="EY9" s="74"/>
      <c r="EZ9" s="74"/>
      <c r="FA9" s="74"/>
      <c r="FB9" s="74"/>
      <c r="FC9" s="74"/>
      <c r="FD9" s="74"/>
      <c r="FE9" s="74"/>
      <c r="FF9" s="74"/>
      <c r="FG9" s="74"/>
      <c r="FH9" s="74"/>
      <c r="FI9" s="74"/>
      <c r="FJ9" s="74"/>
      <c r="FK9" s="74"/>
      <c r="FL9" s="74"/>
      <c r="FM9" s="74"/>
      <c r="FN9" s="74"/>
      <c r="FO9" s="74"/>
      <c r="FP9" s="74"/>
      <c r="FQ9" s="74"/>
      <c r="FR9" s="74"/>
      <c r="FS9" s="74"/>
      <c r="FT9" s="74"/>
      <c r="FU9" s="74"/>
      <c r="FV9" s="74"/>
      <c r="FW9" s="74"/>
      <c r="FX9" s="74"/>
      <c r="FY9" s="74"/>
      <c r="FZ9" s="74"/>
      <c r="GA9" s="74"/>
      <c r="GB9" s="74"/>
      <c r="GC9" s="74"/>
      <c r="GD9" s="74"/>
      <c r="GE9" s="74"/>
      <c r="GF9" s="74"/>
      <c r="GG9" s="74"/>
      <c r="GH9" s="74"/>
      <c r="GI9" s="74"/>
      <c r="GJ9" s="74"/>
      <c r="GK9" s="74"/>
      <c r="GL9" s="74"/>
      <c r="GM9" s="74"/>
      <c r="GN9" s="74"/>
      <c r="GO9" s="74"/>
      <c r="GP9" s="74"/>
    </row>
    <row r="10" spans="1:198" ht="13">
      <c r="A10" s="59" t="s">
        <v>395</v>
      </c>
      <c r="B10" s="59"/>
      <c r="C10" s="59" t="s">
        <v>379</v>
      </c>
      <c r="D10" s="98" t="s">
        <v>380</v>
      </c>
      <c r="E10" s="98" t="s">
        <v>381</v>
      </c>
      <c r="F10" s="59" t="s">
        <v>396</v>
      </c>
      <c r="I10" s="84"/>
      <c r="J10" s="84"/>
      <c r="K10" s="84"/>
      <c r="L10" s="84"/>
      <c r="M10" s="84"/>
      <c r="N10" s="84"/>
      <c r="O10" s="84"/>
      <c r="P10" s="84"/>
      <c r="Q10" s="84"/>
      <c r="R10" s="84"/>
      <c r="S10" s="84"/>
      <c r="T10" s="84"/>
      <c r="U10" s="84"/>
      <c r="V10" s="84"/>
      <c r="W10" s="84"/>
      <c r="X10" s="84"/>
      <c r="Y10" s="84"/>
      <c r="Z10" s="84"/>
      <c r="AA10" s="84"/>
      <c r="AB10" s="84"/>
      <c r="AC10" s="84"/>
      <c r="AD10" s="84"/>
      <c r="AE10" s="84"/>
      <c r="AF10" s="84"/>
      <c r="AG10" s="84"/>
      <c r="AH10" s="84"/>
      <c r="AI10" s="84"/>
      <c r="AJ10" s="84"/>
      <c r="AK10" s="84"/>
      <c r="AL10" s="84"/>
      <c r="AM10" s="84"/>
      <c r="AN10" s="84"/>
      <c r="AO10" s="84"/>
      <c r="AP10" s="84"/>
      <c r="AQ10" s="84"/>
      <c r="AR10" s="84"/>
      <c r="AS10" s="84"/>
      <c r="AT10" s="84"/>
      <c r="AU10" s="84"/>
      <c r="AV10" s="84"/>
      <c r="AW10" s="84"/>
      <c r="AX10" s="84"/>
      <c r="AY10" s="84"/>
      <c r="AZ10" s="84"/>
      <c r="BA10" s="84"/>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84"/>
      <c r="CE10" s="84"/>
      <c r="CF10" s="84"/>
      <c r="CG10" s="84"/>
      <c r="CH10" s="84"/>
      <c r="CI10" s="84"/>
      <c r="CJ10" s="84"/>
      <c r="CK10" s="84"/>
      <c r="CL10" s="84"/>
      <c r="CM10" s="84"/>
      <c r="CN10" s="84"/>
      <c r="CO10" s="84"/>
      <c r="CP10" s="84"/>
      <c r="CQ10" s="84"/>
      <c r="CR10" s="84"/>
      <c r="CS10" s="84"/>
      <c r="CT10" s="84"/>
      <c r="CU10" s="84"/>
      <c r="CV10" s="84"/>
      <c r="CW10" s="84"/>
      <c r="CX10" s="84"/>
      <c r="CY10" s="84"/>
      <c r="CZ10" s="84"/>
      <c r="DA10" s="84"/>
      <c r="DB10" s="84"/>
      <c r="DC10" s="84"/>
      <c r="DD10" s="84"/>
      <c r="DE10" s="84"/>
      <c r="DF10" s="84"/>
      <c r="DG10" s="84"/>
      <c r="DH10" s="84"/>
      <c r="DI10" s="84"/>
      <c r="DJ10" s="84"/>
      <c r="DK10" s="84"/>
      <c r="DL10" s="84"/>
      <c r="DM10" s="84"/>
      <c r="DN10" s="84"/>
      <c r="DO10" s="84"/>
      <c r="DP10" s="84"/>
      <c r="DQ10" s="84"/>
      <c r="DR10" s="84"/>
      <c r="DS10" s="84"/>
      <c r="DT10" s="84"/>
      <c r="DU10" s="84"/>
      <c r="DV10" s="84"/>
      <c r="DW10" s="84"/>
      <c r="DX10" s="84"/>
      <c r="DY10" s="84"/>
      <c r="DZ10" s="84"/>
      <c r="EA10" s="84"/>
      <c r="EB10" s="84"/>
      <c r="EC10" s="84"/>
      <c r="ED10" s="84"/>
      <c r="EE10" s="84"/>
      <c r="EF10" s="84"/>
      <c r="EG10" s="84"/>
      <c r="EH10" s="84"/>
      <c r="EI10" s="84"/>
      <c r="EJ10" s="84"/>
      <c r="EK10" s="84"/>
      <c r="EL10" s="84"/>
      <c r="EM10" s="84"/>
      <c r="EN10" s="84"/>
      <c r="EO10" s="84"/>
      <c r="EP10" s="84"/>
      <c r="EQ10" s="84"/>
      <c r="ER10" s="84"/>
      <c r="ES10" s="84"/>
      <c r="ET10" s="84"/>
      <c r="EU10" s="84"/>
      <c r="EV10" s="84"/>
      <c r="EW10" s="84"/>
      <c r="EX10" s="84"/>
      <c r="EY10" s="84"/>
      <c r="EZ10" s="84"/>
      <c r="FA10" s="84"/>
      <c r="FB10" s="84"/>
      <c r="FC10" s="84"/>
      <c r="FD10" s="84"/>
      <c r="FE10" s="84"/>
      <c r="FF10" s="84"/>
      <c r="FG10" s="84"/>
      <c r="FH10" s="84"/>
      <c r="FI10" s="84"/>
      <c r="FJ10" s="84"/>
      <c r="FK10" s="84"/>
      <c r="FL10" s="84"/>
      <c r="FM10" s="84"/>
      <c r="FN10" s="84"/>
      <c r="FO10" s="84"/>
      <c r="FP10" s="84"/>
      <c r="FQ10" s="84"/>
      <c r="FR10" s="84"/>
      <c r="FS10" s="84"/>
      <c r="FT10" s="84"/>
      <c r="FU10" s="84"/>
      <c r="FV10" s="84"/>
      <c r="FW10" s="84"/>
      <c r="FX10" s="84"/>
      <c r="FY10" s="84"/>
      <c r="FZ10" s="84"/>
      <c r="GA10" s="84"/>
      <c r="GB10" s="84"/>
      <c r="GC10" s="84"/>
      <c r="GD10" s="84"/>
      <c r="GE10" s="84"/>
      <c r="GF10" s="84"/>
      <c r="GG10" s="84"/>
      <c r="GH10" s="84"/>
      <c r="GI10" s="84"/>
      <c r="GJ10" s="84"/>
      <c r="GK10" s="84"/>
      <c r="GL10" s="84"/>
      <c r="GM10" s="84"/>
      <c r="GN10" s="84"/>
      <c r="GO10" s="84"/>
      <c r="GP10" s="84"/>
    </row>
    <row r="11" spans="1:198" ht="13">
      <c r="A11" s="107" t="s">
        <v>397</v>
      </c>
      <c r="B11" s="107" t="s">
        <v>360</v>
      </c>
      <c r="D11" s="65"/>
      <c r="F11" s="328">
        <v>1.1000000000000001</v>
      </c>
      <c r="H11" s="60" t="s">
        <v>399</v>
      </c>
      <c r="I11" s="74">
        <f>$F$11*(I8/1000)</f>
        <v>0</v>
      </c>
      <c r="J11" s="74">
        <f t="shared" ref="J11:S11" si="0">$F$11*(J8/1000)</f>
        <v>0</v>
      </c>
      <c r="K11" s="74">
        <f t="shared" si="0"/>
        <v>0</v>
      </c>
      <c r="L11" s="74">
        <f t="shared" si="0"/>
        <v>0</v>
      </c>
      <c r="M11" s="74">
        <f t="shared" si="0"/>
        <v>0</v>
      </c>
      <c r="N11" s="74">
        <f t="shared" si="0"/>
        <v>0</v>
      </c>
      <c r="O11" s="74">
        <f t="shared" si="0"/>
        <v>0</v>
      </c>
      <c r="P11" s="74">
        <f t="shared" si="0"/>
        <v>0</v>
      </c>
      <c r="Q11" s="74">
        <f t="shared" si="0"/>
        <v>0</v>
      </c>
      <c r="R11" s="74">
        <f t="shared" si="0"/>
        <v>0</v>
      </c>
      <c r="S11" s="74">
        <f t="shared" si="0"/>
        <v>0</v>
      </c>
      <c r="T11" s="74">
        <f>$F$11*T8</f>
        <v>0.92180000000000006</v>
      </c>
      <c r="U11" s="74">
        <f t="shared" ref="U11:CF11" si="1">$F$11*U8</f>
        <v>1.0307000000000002</v>
      </c>
      <c r="V11" s="74">
        <f t="shared" si="1"/>
        <v>1.0669999999999999</v>
      </c>
      <c r="W11" s="74">
        <f t="shared" si="1"/>
        <v>1.18316</v>
      </c>
      <c r="X11" s="74">
        <f t="shared" si="1"/>
        <v>1.3464</v>
      </c>
      <c r="Y11" s="74">
        <f t="shared" si="1"/>
        <v>1.3070200000000001</v>
      </c>
      <c r="Z11" s="74">
        <f t="shared" si="1"/>
        <v>1.3827</v>
      </c>
      <c r="AA11" s="74">
        <f t="shared" si="1"/>
        <v>1.4383600000000003</v>
      </c>
      <c r="AB11" s="74">
        <f t="shared" si="1"/>
        <v>1.5884</v>
      </c>
      <c r="AC11" s="74">
        <f t="shared" si="1"/>
        <v>1.6731</v>
      </c>
      <c r="AD11" s="74">
        <f t="shared" si="1"/>
        <v>1.5642</v>
      </c>
      <c r="AE11" s="74">
        <f t="shared" si="1"/>
        <v>1.6852000000000003</v>
      </c>
      <c r="AF11" s="74">
        <f t="shared" si="1"/>
        <v>1.4047000000000001</v>
      </c>
      <c r="AG11" s="74">
        <f t="shared" si="1"/>
        <v>1.5884</v>
      </c>
      <c r="AH11" s="74">
        <f t="shared" si="1"/>
        <v>1.7138000000000002</v>
      </c>
      <c r="AI11" s="74">
        <f t="shared" si="1"/>
        <v>1.8183000000000002</v>
      </c>
      <c r="AJ11" s="74">
        <f t="shared" si="1"/>
        <v>1.7699</v>
      </c>
      <c r="AK11" s="74">
        <f t="shared" si="1"/>
        <v>1.9525000000000001</v>
      </c>
      <c r="AL11" s="74">
        <f t="shared" si="1"/>
        <v>1.9525000000000001</v>
      </c>
      <c r="AM11" s="74">
        <f t="shared" si="1"/>
        <v>1.9888000000000001</v>
      </c>
      <c r="AN11" s="74">
        <f t="shared" si="1"/>
        <v>1.9525000000000001</v>
      </c>
      <c r="AO11" s="74">
        <f t="shared" si="1"/>
        <v>1.9646000000000001</v>
      </c>
      <c r="AP11" s="74">
        <f t="shared" si="1"/>
        <v>1.7941000000000003</v>
      </c>
      <c r="AQ11" s="74">
        <f t="shared" si="1"/>
        <v>1.7941000000000003</v>
      </c>
      <c r="AR11" s="74">
        <f t="shared" si="1"/>
        <v>1.7116000000000002</v>
      </c>
      <c r="AS11" s="74">
        <f t="shared" si="1"/>
        <v>1.6973</v>
      </c>
      <c r="AT11" s="74">
        <f t="shared" si="1"/>
        <v>1.4707000000000001</v>
      </c>
      <c r="AU11" s="74">
        <f t="shared" si="1"/>
        <v>1.3585000000000003</v>
      </c>
      <c r="AV11" s="74">
        <f t="shared" si="1"/>
        <v>1.2551000000000001</v>
      </c>
      <c r="AW11" s="74">
        <f t="shared" si="1"/>
        <v>1.375</v>
      </c>
      <c r="AX11" s="74">
        <f t="shared" si="1"/>
        <v>1.3827</v>
      </c>
      <c r="AY11" s="74">
        <f t="shared" si="1"/>
        <v>1.54</v>
      </c>
      <c r="AZ11" s="74">
        <f t="shared" si="1"/>
        <v>1.5763000000000003</v>
      </c>
      <c r="BA11" s="74">
        <f t="shared" si="1"/>
        <v>1.6291000000000002</v>
      </c>
      <c r="BB11" s="74">
        <f t="shared" si="1"/>
        <v>1.6368</v>
      </c>
      <c r="BC11" s="74">
        <f t="shared" si="1"/>
        <v>1.6368</v>
      </c>
      <c r="BD11" s="74">
        <f t="shared" si="1"/>
        <v>1.6511</v>
      </c>
      <c r="BE11" s="74">
        <f t="shared" si="1"/>
        <v>1.6753</v>
      </c>
      <c r="BF11" s="74">
        <f t="shared" si="1"/>
        <v>1.6852000000000003</v>
      </c>
      <c r="BG11" s="74">
        <f t="shared" si="1"/>
        <v>1.6852000000000003</v>
      </c>
      <c r="BH11" s="74">
        <f t="shared" si="1"/>
        <v>1.6852000000000003</v>
      </c>
      <c r="BI11" s="74">
        <f t="shared" si="1"/>
        <v>1.6929000000000001</v>
      </c>
      <c r="BJ11" s="74">
        <f t="shared" si="1"/>
        <v>1.6973</v>
      </c>
      <c r="BK11" s="74">
        <f t="shared" si="1"/>
        <v>1.6610000000000003</v>
      </c>
      <c r="BL11" s="74">
        <f t="shared" si="1"/>
        <v>1.6291000000000002</v>
      </c>
      <c r="BM11" s="74">
        <f t="shared" si="1"/>
        <v>1.5059</v>
      </c>
      <c r="BN11" s="74">
        <f t="shared" si="1"/>
        <v>1.4069</v>
      </c>
      <c r="BO11" s="74">
        <f t="shared" si="1"/>
        <v>1.3321000000000003</v>
      </c>
      <c r="BP11" s="74">
        <f t="shared" si="1"/>
        <v>1.2958000000000001</v>
      </c>
      <c r="BQ11" s="74">
        <f t="shared" si="1"/>
        <v>1.2716000000000001</v>
      </c>
      <c r="BR11" s="74">
        <f t="shared" si="1"/>
        <v>1.2364000000000002</v>
      </c>
      <c r="BS11" s="74">
        <f t="shared" si="1"/>
        <v>1.2364000000000002</v>
      </c>
      <c r="BT11" s="74">
        <f t="shared" si="1"/>
        <v>1.2364000000000002</v>
      </c>
      <c r="BU11" s="74">
        <f t="shared" si="1"/>
        <v>1.1638000000000002</v>
      </c>
      <c r="BV11" s="74">
        <f t="shared" si="1"/>
        <v>1.0989</v>
      </c>
      <c r="BW11" s="74">
        <f t="shared" si="1"/>
        <v>1.0648</v>
      </c>
      <c r="BX11" s="74">
        <f t="shared" si="1"/>
        <v>1.0548999999999999</v>
      </c>
      <c r="BY11" s="74">
        <f t="shared" si="1"/>
        <v>1.0548999999999999</v>
      </c>
      <c r="BZ11" s="74">
        <f t="shared" si="1"/>
        <v>1.0328999999999999</v>
      </c>
      <c r="CA11" s="74">
        <f t="shared" si="1"/>
        <v>1.0186000000000002</v>
      </c>
      <c r="CB11" s="74">
        <f t="shared" si="1"/>
        <v>1.0186000000000002</v>
      </c>
      <c r="CC11" s="74">
        <f t="shared" si="1"/>
        <v>0.98230000000000006</v>
      </c>
      <c r="CD11" s="74">
        <f t="shared" si="1"/>
        <v>0.97130000000000005</v>
      </c>
      <c r="CE11" s="74">
        <f t="shared" si="1"/>
        <v>1.0164000000000002</v>
      </c>
      <c r="CF11" s="74">
        <f t="shared" si="1"/>
        <v>1.0219</v>
      </c>
      <c r="CG11" s="74">
        <f t="shared" ref="CG11:CR11" si="2">$F$11*CG8</f>
        <v>1.0219</v>
      </c>
      <c r="CH11" s="74">
        <f t="shared" si="2"/>
        <v>1.0285000000000002</v>
      </c>
      <c r="CI11" s="74">
        <f t="shared" si="2"/>
        <v>1.0505</v>
      </c>
      <c r="CJ11" s="74">
        <f t="shared" si="2"/>
        <v>1.0548999999999999</v>
      </c>
      <c r="CK11" s="74">
        <f t="shared" si="2"/>
        <v>1.0548999999999999</v>
      </c>
      <c r="CL11" s="74">
        <f t="shared" si="2"/>
        <v>1.0548999999999999</v>
      </c>
      <c r="CM11" s="74">
        <f t="shared" si="2"/>
        <v>1.0548999999999999</v>
      </c>
      <c r="CN11" s="74">
        <f t="shared" si="2"/>
        <v>1.0548999999999999</v>
      </c>
      <c r="CO11" s="74">
        <f t="shared" si="2"/>
        <v>1.0252000000000001</v>
      </c>
      <c r="CP11" s="74">
        <f t="shared" si="2"/>
        <v>0.98230000000000006</v>
      </c>
      <c r="CQ11" s="74">
        <f t="shared" si="2"/>
        <v>0.99660000000000015</v>
      </c>
      <c r="CR11" s="74">
        <f t="shared" si="2"/>
        <v>1.0186000000000002</v>
      </c>
      <c r="CS11" s="74">
        <f t="shared" ref="CS11:DA11" si="3">$F$11*CS8</f>
        <v>1.0384</v>
      </c>
      <c r="CT11" s="74">
        <f t="shared" si="3"/>
        <v>1.0703</v>
      </c>
      <c r="CU11" s="74">
        <f t="shared" si="3"/>
        <v>1.0835000000000001</v>
      </c>
      <c r="CV11" s="74">
        <f t="shared" si="3"/>
        <v>1.2605999999999999</v>
      </c>
      <c r="CW11" s="74">
        <f t="shared" si="3"/>
        <v>1.2605999999999999</v>
      </c>
      <c r="CX11" s="74">
        <f t="shared" si="3"/>
        <v>1.2605999999999999</v>
      </c>
      <c r="CY11" s="74">
        <f t="shared" si="3"/>
        <v>1.2605999999999999</v>
      </c>
      <c r="CZ11" s="74">
        <f t="shared" si="3"/>
        <v>1.2320000000000002</v>
      </c>
      <c r="DA11" s="74">
        <f t="shared" si="3"/>
        <v>1.1726000000000001</v>
      </c>
      <c r="DB11" s="74">
        <f t="shared" ref="DB11:FM11" si="4">$F$11*DB8</f>
        <v>1.1550000000000002</v>
      </c>
      <c r="DC11" s="74">
        <f t="shared" si="4"/>
        <v>1.1550000000000002</v>
      </c>
      <c r="DD11" s="74">
        <f t="shared" si="4"/>
        <v>1.1550000000000002</v>
      </c>
      <c r="DE11" s="74">
        <f t="shared" si="4"/>
        <v>1.1550000000000002</v>
      </c>
      <c r="DF11" s="74">
        <f t="shared" si="4"/>
        <v>1.1550000000000002</v>
      </c>
      <c r="DG11" s="74">
        <f t="shared" si="4"/>
        <v>1.1550000000000002</v>
      </c>
      <c r="DH11" s="74">
        <f t="shared" si="4"/>
        <v>1.1550000000000002</v>
      </c>
      <c r="DI11" s="74">
        <f t="shared" si="4"/>
        <v>1.1550000000000002</v>
      </c>
      <c r="DJ11" s="74">
        <f t="shared" si="4"/>
        <v>1.1550000000000002</v>
      </c>
      <c r="DK11" s="74">
        <f t="shared" si="4"/>
        <v>1.1550000000000002</v>
      </c>
      <c r="DL11" s="74">
        <f t="shared" si="4"/>
        <v>1.1550000000000002</v>
      </c>
      <c r="DM11" s="74">
        <f t="shared" si="4"/>
        <v>1.0516000000000001</v>
      </c>
      <c r="DN11" s="74">
        <f t="shared" si="4"/>
        <v>1.0791000000000002</v>
      </c>
      <c r="DO11" s="74">
        <f t="shared" si="4"/>
        <v>1.0791000000000002</v>
      </c>
      <c r="DP11" s="74">
        <f t="shared" si="4"/>
        <v>1.0791000000000002</v>
      </c>
      <c r="DQ11" s="74">
        <f t="shared" si="4"/>
        <v>1.0427999999999999</v>
      </c>
      <c r="DR11" s="74">
        <f t="shared" si="4"/>
        <v>1.0427999999999999</v>
      </c>
      <c r="DS11" s="74">
        <f t="shared" si="4"/>
        <v>1.0427999999999999</v>
      </c>
      <c r="DT11" s="74">
        <f t="shared" si="4"/>
        <v>0</v>
      </c>
      <c r="DU11" s="74">
        <f t="shared" si="4"/>
        <v>0</v>
      </c>
      <c r="DV11" s="74">
        <f t="shared" si="4"/>
        <v>0</v>
      </c>
      <c r="DW11" s="74">
        <f t="shared" si="4"/>
        <v>0</v>
      </c>
      <c r="DX11" s="74">
        <f t="shared" si="4"/>
        <v>0</v>
      </c>
      <c r="DY11" s="74">
        <f t="shared" si="4"/>
        <v>0</v>
      </c>
      <c r="DZ11" s="74">
        <f t="shared" si="4"/>
        <v>0</v>
      </c>
      <c r="EA11" s="74" t="e" vm="2">
        <f t="shared" si="4"/>
        <v>#VALUE!</v>
      </c>
      <c r="EB11" s="74" t="e" vm="2">
        <f t="shared" si="4"/>
        <v>#VALUE!</v>
      </c>
      <c r="EC11" s="74" t="e" vm="2">
        <f t="shared" si="4"/>
        <v>#VALUE!</v>
      </c>
      <c r="ED11" s="74" t="e" vm="2">
        <f t="shared" si="4"/>
        <v>#VALUE!</v>
      </c>
      <c r="EE11" s="74" t="e" vm="2">
        <f t="shared" si="4"/>
        <v>#VALUE!</v>
      </c>
      <c r="EF11" s="74" t="e" vm="2">
        <f t="shared" si="4"/>
        <v>#VALUE!</v>
      </c>
      <c r="EG11" s="74" t="e" vm="2">
        <f t="shared" si="4"/>
        <v>#VALUE!</v>
      </c>
      <c r="EH11" s="74" t="e" vm="2">
        <f t="shared" si="4"/>
        <v>#VALUE!</v>
      </c>
      <c r="EI11" s="74" t="e" vm="2">
        <f t="shared" si="4"/>
        <v>#VALUE!</v>
      </c>
      <c r="EJ11" s="74" t="e" vm="2">
        <f t="shared" si="4"/>
        <v>#VALUE!</v>
      </c>
      <c r="EK11" s="74" t="e" vm="2">
        <f t="shared" si="4"/>
        <v>#VALUE!</v>
      </c>
      <c r="EL11" s="74" t="e" vm="2">
        <f t="shared" si="4"/>
        <v>#VALUE!</v>
      </c>
      <c r="EM11" s="74" t="e" vm="2">
        <f t="shared" si="4"/>
        <v>#VALUE!</v>
      </c>
      <c r="EN11" s="74" t="e" vm="2">
        <f t="shared" si="4"/>
        <v>#VALUE!</v>
      </c>
      <c r="EO11" s="74" t="e" vm="2">
        <f t="shared" si="4"/>
        <v>#VALUE!</v>
      </c>
      <c r="EP11" s="74" t="e" vm="2">
        <f t="shared" si="4"/>
        <v>#VALUE!</v>
      </c>
      <c r="EQ11" s="74" t="e" vm="2">
        <f t="shared" si="4"/>
        <v>#VALUE!</v>
      </c>
      <c r="ER11" s="74" t="e" vm="2">
        <f t="shared" si="4"/>
        <v>#VALUE!</v>
      </c>
      <c r="ES11" s="74" t="e" vm="2">
        <f t="shared" si="4"/>
        <v>#VALUE!</v>
      </c>
      <c r="ET11" s="74" t="e" vm="2">
        <f t="shared" si="4"/>
        <v>#VALUE!</v>
      </c>
      <c r="EU11" s="74" t="e" vm="2">
        <f t="shared" si="4"/>
        <v>#VALUE!</v>
      </c>
      <c r="EV11" s="74" t="e" vm="2">
        <f t="shared" si="4"/>
        <v>#VALUE!</v>
      </c>
      <c r="EW11" s="74" t="e" vm="2">
        <f t="shared" si="4"/>
        <v>#VALUE!</v>
      </c>
      <c r="EX11" s="74" t="e" vm="2">
        <f t="shared" si="4"/>
        <v>#VALUE!</v>
      </c>
      <c r="EY11" s="74" t="e" vm="2">
        <f t="shared" si="4"/>
        <v>#VALUE!</v>
      </c>
      <c r="EZ11" s="74" t="e" vm="2">
        <f t="shared" si="4"/>
        <v>#VALUE!</v>
      </c>
      <c r="FA11" s="74" t="e" vm="2">
        <f t="shared" si="4"/>
        <v>#VALUE!</v>
      </c>
      <c r="FB11" s="74" t="e" vm="2">
        <f t="shared" si="4"/>
        <v>#VALUE!</v>
      </c>
      <c r="FC11" s="74" t="e" vm="2">
        <f t="shared" si="4"/>
        <v>#VALUE!</v>
      </c>
      <c r="FD11" s="74" t="e" vm="2">
        <f t="shared" si="4"/>
        <v>#VALUE!</v>
      </c>
      <c r="FE11" s="74" t="e" vm="2">
        <f t="shared" si="4"/>
        <v>#VALUE!</v>
      </c>
      <c r="FF11" s="74" t="e" vm="2">
        <f t="shared" si="4"/>
        <v>#VALUE!</v>
      </c>
      <c r="FG11" s="74" t="e" vm="2">
        <f t="shared" si="4"/>
        <v>#VALUE!</v>
      </c>
      <c r="FH11" s="74" t="e" vm="2">
        <f t="shared" si="4"/>
        <v>#VALUE!</v>
      </c>
      <c r="FI11" s="74" t="e" vm="2">
        <f t="shared" si="4"/>
        <v>#VALUE!</v>
      </c>
      <c r="FJ11" s="74" t="e" vm="2">
        <f t="shared" si="4"/>
        <v>#VALUE!</v>
      </c>
      <c r="FK11" s="74" t="e" vm="2">
        <f t="shared" si="4"/>
        <v>#VALUE!</v>
      </c>
      <c r="FL11" s="74" t="e" vm="2">
        <f t="shared" si="4"/>
        <v>#VALUE!</v>
      </c>
      <c r="FM11" s="74" t="e" vm="2">
        <f t="shared" si="4"/>
        <v>#VALUE!</v>
      </c>
      <c r="FN11" s="74" t="e" vm="2">
        <f t="shared" ref="FN11:GP11" si="5">$F$11*FN8</f>
        <v>#VALUE!</v>
      </c>
      <c r="FO11" s="74" t="e" vm="2">
        <f t="shared" si="5"/>
        <v>#VALUE!</v>
      </c>
      <c r="FP11" s="74" t="e" vm="2">
        <f t="shared" si="5"/>
        <v>#VALUE!</v>
      </c>
      <c r="FQ11" s="74" t="e" vm="2">
        <f t="shared" si="5"/>
        <v>#VALUE!</v>
      </c>
      <c r="FR11" s="74" t="e" vm="2">
        <f t="shared" si="5"/>
        <v>#VALUE!</v>
      </c>
      <c r="FS11" s="74" t="e" vm="2">
        <f t="shared" si="5"/>
        <v>#VALUE!</v>
      </c>
      <c r="FT11" s="74" t="e" vm="2">
        <f t="shared" si="5"/>
        <v>#VALUE!</v>
      </c>
      <c r="FU11" s="74" t="e" vm="2">
        <f t="shared" si="5"/>
        <v>#VALUE!</v>
      </c>
      <c r="FV11" s="74" t="e" vm="2">
        <f t="shared" si="5"/>
        <v>#VALUE!</v>
      </c>
      <c r="FW11" s="74" t="e" vm="2">
        <f t="shared" si="5"/>
        <v>#VALUE!</v>
      </c>
      <c r="FX11" s="74" t="e" vm="2">
        <f t="shared" si="5"/>
        <v>#VALUE!</v>
      </c>
      <c r="FY11" s="74" t="e" vm="2">
        <f t="shared" si="5"/>
        <v>#VALUE!</v>
      </c>
      <c r="FZ11" s="74" t="e" vm="2">
        <f t="shared" si="5"/>
        <v>#VALUE!</v>
      </c>
      <c r="GA11" s="74" t="e" vm="2">
        <f t="shared" si="5"/>
        <v>#VALUE!</v>
      </c>
      <c r="GB11" s="74" t="e" vm="2">
        <f t="shared" si="5"/>
        <v>#VALUE!</v>
      </c>
      <c r="GC11" s="74" t="e" vm="2">
        <f t="shared" si="5"/>
        <v>#VALUE!</v>
      </c>
      <c r="GD11" s="74" t="e" vm="2">
        <f t="shared" si="5"/>
        <v>#VALUE!</v>
      </c>
      <c r="GE11" s="74" t="e" vm="2">
        <f t="shared" si="5"/>
        <v>#VALUE!</v>
      </c>
      <c r="GF11" s="74" t="e" vm="2">
        <f t="shared" si="5"/>
        <v>#VALUE!</v>
      </c>
      <c r="GG11" s="74" t="e" vm="2">
        <f t="shared" si="5"/>
        <v>#VALUE!</v>
      </c>
      <c r="GH11" s="74" t="e" vm="2">
        <f t="shared" si="5"/>
        <v>#VALUE!</v>
      </c>
      <c r="GI11" s="74" t="e" vm="2">
        <f t="shared" si="5"/>
        <v>#VALUE!</v>
      </c>
      <c r="GJ11" s="74" t="e" vm="2">
        <f t="shared" si="5"/>
        <v>#VALUE!</v>
      </c>
      <c r="GK11" s="74" t="e" vm="2">
        <f t="shared" si="5"/>
        <v>#VALUE!</v>
      </c>
      <c r="GL11" s="74" t="e" vm="2">
        <f t="shared" si="5"/>
        <v>#VALUE!</v>
      </c>
      <c r="GM11" s="74" t="e" vm="2">
        <f t="shared" si="5"/>
        <v>#VALUE!</v>
      </c>
      <c r="GN11" s="74" t="e" vm="2">
        <f t="shared" si="5"/>
        <v>#VALUE!</v>
      </c>
      <c r="GO11" s="74" t="e" vm="2">
        <f t="shared" si="5"/>
        <v>#VALUE!</v>
      </c>
      <c r="GP11" s="74" t="e" vm="2">
        <f t="shared" si="5"/>
        <v>#VALUE!</v>
      </c>
    </row>
    <row r="12" spans="1:198" ht="13">
      <c r="A12" s="67"/>
      <c r="B12" s="107" t="s">
        <v>361</v>
      </c>
      <c r="D12" s="77"/>
      <c r="F12" s="328">
        <v>0.8</v>
      </c>
      <c r="I12" s="74"/>
      <c r="J12" s="74"/>
      <c r="K12" s="74"/>
      <c r="L12" s="74"/>
      <c r="M12" s="74"/>
      <c r="N12" s="74"/>
      <c r="O12" s="74"/>
      <c r="P12" s="74"/>
      <c r="Q12" s="74"/>
      <c r="R12" s="74"/>
      <c r="S12" s="74"/>
      <c r="T12" s="74"/>
      <c r="U12" s="74"/>
      <c r="V12" s="74"/>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c r="BL12" s="74"/>
      <c r="BM12" s="74"/>
      <c r="BN12" s="74"/>
      <c r="BO12" s="74"/>
      <c r="BP12" s="74"/>
      <c r="BQ12" s="74"/>
      <c r="BR12" s="74"/>
      <c r="BS12" s="74"/>
      <c r="BT12" s="74"/>
      <c r="BU12" s="74"/>
      <c r="BV12" s="74"/>
      <c r="BW12" s="74"/>
      <c r="BX12" s="74"/>
      <c r="BY12" s="74"/>
      <c r="BZ12" s="74"/>
      <c r="CA12" s="74"/>
      <c r="CB12" s="74"/>
      <c r="CC12" s="74"/>
      <c r="CD12" s="74"/>
      <c r="CE12" s="74"/>
      <c r="CF12" s="74"/>
      <c r="CG12" s="74"/>
      <c r="CH12" s="74"/>
      <c r="CI12" s="74"/>
      <c r="CJ12" s="74"/>
      <c r="CK12" s="74"/>
      <c r="CL12" s="74"/>
      <c r="CM12" s="74"/>
      <c r="CN12" s="74"/>
      <c r="CO12" s="74"/>
      <c r="CP12" s="74"/>
      <c r="CQ12" s="74"/>
      <c r="CR12" s="74"/>
      <c r="CS12" s="74"/>
      <c r="CT12" s="74"/>
      <c r="CU12" s="74"/>
      <c r="CV12" s="74"/>
      <c r="CW12" s="74"/>
      <c r="CX12" s="74"/>
      <c r="CY12" s="74"/>
      <c r="CZ12" s="74"/>
      <c r="DA12" s="74"/>
      <c r="DB12" s="74"/>
      <c r="DC12" s="74"/>
      <c r="DD12" s="74"/>
      <c r="DE12" s="74"/>
      <c r="DF12" s="74"/>
      <c r="DG12" s="74"/>
      <c r="DH12" s="74"/>
      <c r="DI12" s="74"/>
      <c r="DJ12" s="74"/>
      <c r="DK12" s="74"/>
      <c r="DL12" s="74"/>
      <c r="DM12" s="74"/>
      <c r="DN12" s="74"/>
      <c r="DO12" s="74"/>
      <c r="DP12" s="74"/>
      <c r="DQ12" s="74"/>
      <c r="DR12" s="74"/>
      <c r="DS12" s="74"/>
      <c r="DT12" s="74"/>
      <c r="DU12" s="74"/>
      <c r="DV12" s="74"/>
      <c r="DW12" s="74"/>
      <c r="DX12" s="74"/>
      <c r="DY12" s="74"/>
      <c r="DZ12" s="74"/>
      <c r="EA12" s="74"/>
      <c r="EB12" s="74"/>
      <c r="EC12" s="74"/>
      <c r="ED12" s="74"/>
      <c r="EE12" s="74"/>
      <c r="EF12" s="74"/>
      <c r="EG12" s="74"/>
      <c r="EH12" s="74"/>
      <c r="EI12" s="74"/>
      <c r="EJ12" s="74"/>
      <c r="EK12" s="74"/>
      <c r="EL12" s="74"/>
      <c r="EM12" s="74"/>
      <c r="EN12" s="74"/>
      <c r="EO12" s="74"/>
      <c r="EP12" s="74"/>
      <c r="EQ12" s="74"/>
      <c r="ER12" s="74"/>
      <c r="ES12" s="74"/>
      <c r="ET12" s="74"/>
      <c r="EU12" s="74"/>
      <c r="EV12" s="74"/>
      <c r="EW12" s="74"/>
      <c r="EX12" s="74"/>
      <c r="EY12" s="74"/>
      <c r="EZ12" s="74"/>
      <c r="FA12" s="74"/>
      <c r="FB12" s="74"/>
      <c r="FC12" s="74"/>
      <c r="FD12" s="74"/>
      <c r="FE12" s="74"/>
      <c r="FF12" s="74"/>
      <c r="FG12" s="74"/>
      <c r="FH12" s="74"/>
      <c r="FI12" s="74"/>
      <c r="FJ12" s="74"/>
      <c r="FK12" s="74"/>
      <c r="FL12" s="74"/>
      <c r="FM12" s="74"/>
      <c r="FN12" s="74"/>
      <c r="FO12" s="74"/>
      <c r="FP12" s="74"/>
      <c r="FQ12" s="74"/>
      <c r="FR12" s="74"/>
      <c r="FS12" s="74"/>
      <c r="FT12" s="74"/>
      <c r="FU12" s="74"/>
      <c r="FV12" s="74"/>
      <c r="FW12" s="74"/>
      <c r="FX12" s="74"/>
      <c r="FY12" s="74"/>
      <c r="FZ12" s="74"/>
      <c r="GA12" s="74"/>
      <c r="GB12" s="74"/>
      <c r="GC12" s="74"/>
      <c r="GD12" s="74"/>
      <c r="GE12" s="74"/>
      <c r="GF12" s="74"/>
      <c r="GG12" s="74"/>
      <c r="GH12" s="74"/>
      <c r="GI12" s="74"/>
      <c r="GJ12" s="74"/>
      <c r="GK12" s="74"/>
      <c r="GL12" s="74"/>
      <c r="GM12" s="74"/>
      <c r="GN12" s="74"/>
      <c r="GO12" s="74"/>
      <c r="GP12" s="74"/>
    </row>
    <row r="13" spans="1:198">
      <c r="A13" s="67"/>
      <c r="B13" s="107"/>
      <c r="D13" s="77"/>
      <c r="F13" s="65"/>
      <c r="I13" s="74"/>
      <c r="J13" s="74"/>
      <c r="K13" s="74"/>
      <c r="L13" s="74"/>
      <c r="M13" s="74"/>
      <c r="N13" s="74"/>
      <c r="O13" s="74"/>
      <c r="P13" s="74"/>
      <c r="Q13" s="74"/>
      <c r="R13" s="74"/>
      <c r="S13" s="74"/>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c r="BF13" s="74"/>
      <c r="BG13" s="74"/>
      <c r="BH13" s="74"/>
      <c r="BI13" s="74"/>
      <c r="BJ13" s="74"/>
      <c r="BK13" s="74"/>
      <c r="BL13" s="74"/>
      <c r="BM13" s="74"/>
      <c r="BN13" s="74"/>
      <c r="BO13" s="74"/>
      <c r="BP13" s="74"/>
      <c r="BQ13" s="74"/>
      <c r="BR13" s="74"/>
      <c r="BS13" s="74"/>
      <c r="BT13" s="74"/>
      <c r="BU13" s="74"/>
      <c r="BV13" s="74"/>
      <c r="BW13" s="74"/>
      <c r="BX13" s="74"/>
      <c r="BY13" s="74"/>
      <c r="BZ13" s="74"/>
      <c r="CA13" s="74"/>
      <c r="CB13" s="74"/>
      <c r="CC13" s="74"/>
      <c r="CD13" s="74"/>
      <c r="CE13" s="74"/>
      <c r="CF13" s="74"/>
      <c r="CG13" s="74"/>
      <c r="CH13" s="74"/>
      <c r="CI13" s="74"/>
      <c r="CJ13" s="74"/>
      <c r="CK13" s="74"/>
      <c r="CL13" s="74"/>
      <c r="CM13" s="74"/>
      <c r="CN13" s="74"/>
      <c r="CO13" s="74"/>
      <c r="CP13" s="74"/>
      <c r="CQ13" s="74"/>
      <c r="CR13" s="74"/>
      <c r="CS13" s="74"/>
      <c r="CT13" s="74"/>
      <c r="CU13" s="74"/>
      <c r="CV13" s="74"/>
      <c r="CW13" s="74"/>
      <c r="CX13" s="74"/>
      <c r="CY13" s="74"/>
      <c r="CZ13" s="74"/>
      <c r="DA13" s="74"/>
      <c r="DB13" s="74"/>
      <c r="DC13" s="74"/>
      <c r="DD13" s="74"/>
      <c r="DE13" s="74"/>
      <c r="DF13" s="74"/>
      <c r="DG13" s="74"/>
      <c r="DH13" s="74"/>
      <c r="DI13" s="74"/>
      <c r="DJ13" s="74"/>
      <c r="DK13" s="74"/>
      <c r="DL13" s="74"/>
      <c r="DM13" s="74"/>
      <c r="DN13" s="74"/>
      <c r="DO13" s="74"/>
      <c r="DP13" s="74"/>
      <c r="DQ13" s="74"/>
      <c r="DR13" s="74"/>
      <c r="DS13" s="74"/>
      <c r="DT13" s="74"/>
      <c r="DU13" s="74"/>
      <c r="DV13" s="74"/>
      <c r="DW13" s="74"/>
      <c r="DX13" s="74"/>
      <c r="DY13" s="74"/>
      <c r="DZ13" s="74"/>
      <c r="EA13" s="74"/>
      <c r="EB13" s="74"/>
      <c r="EC13" s="74"/>
      <c r="ED13" s="74"/>
      <c r="EE13" s="74"/>
      <c r="EF13" s="74"/>
      <c r="EG13" s="74"/>
      <c r="EH13" s="74"/>
      <c r="EI13" s="74"/>
      <c r="EJ13" s="74"/>
      <c r="EK13" s="74"/>
      <c r="EL13" s="74"/>
      <c r="EM13" s="74"/>
      <c r="EN13" s="74"/>
      <c r="EO13" s="74"/>
      <c r="EP13" s="74"/>
      <c r="EQ13" s="74"/>
      <c r="ER13" s="74"/>
      <c r="ES13" s="74"/>
      <c r="ET13" s="74"/>
      <c r="EU13" s="74"/>
      <c r="EV13" s="74"/>
      <c r="EW13" s="74"/>
      <c r="EX13" s="74"/>
      <c r="EY13" s="74"/>
      <c r="EZ13" s="74"/>
      <c r="FA13" s="74"/>
      <c r="FB13" s="74"/>
      <c r="FC13" s="74"/>
      <c r="FD13" s="74"/>
      <c r="FE13" s="74"/>
      <c r="FF13" s="74"/>
      <c r="FG13" s="74"/>
      <c r="FH13" s="74"/>
      <c r="FI13" s="74"/>
      <c r="FJ13" s="74"/>
      <c r="FK13" s="74"/>
      <c r="FL13" s="74"/>
      <c r="FM13" s="74"/>
      <c r="FN13" s="74"/>
      <c r="FO13" s="74"/>
      <c r="FP13" s="74"/>
      <c r="FQ13" s="74"/>
      <c r="FR13" s="74"/>
      <c r="FS13" s="74"/>
      <c r="FT13" s="74"/>
      <c r="FU13" s="74"/>
      <c r="FV13" s="74"/>
      <c r="FW13" s="74"/>
      <c r="FX13" s="74"/>
      <c r="FY13" s="74"/>
      <c r="FZ13" s="74"/>
      <c r="GA13" s="74"/>
      <c r="GB13" s="74"/>
      <c r="GC13" s="74"/>
      <c r="GD13" s="74"/>
      <c r="GE13" s="74"/>
      <c r="GF13" s="74"/>
      <c r="GG13" s="74"/>
      <c r="GH13" s="74"/>
      <c r="GI13" s="74"/>
      <c r="GJ13" s="74"/>
      <c r="GK13" s="74"/>
      <c r="GL13" s="74"/>
      <c r="GM13" s="74"/>
      <c r="GN13" s="74"/>
      <c r="GO13" s="74"/>
      <c r="GP13" s="74"/>
    </row>
    <row r="14" spans="1:198" s="104" customFormat="1">
      <c r="H14" s="104" t="s">
        <v>799</v>
      </c>
      <c r="I14" s="105">
        <f t="shared" ref="I14:AN14" si="6">SUM(I11:I11)</f>
        <v>0</v>
      </c>
      <c r="J14" s="105">
        <f t="shared" si="6"/>
        <v>0</v>
      </c>
      <c r="K14" s="105">
        <f t="shared" si="6"/>
        <v>0</v>
      </c>
      <c r="L14" s="105">
        <f t="shared" si="6"/>
        <v>0</v>
      </c>
      <c r="M14" s="105">
        <f t="shared" si="6"/>
        <v>0</v>
      </c>
      <c r="N14" s="105">
        <f t="shared" si="6"/>
        <v>0</v>
      </c>
      <c r="O14" s="105">
        <f t="shared" si="6"/>
        <v>0</v>
      </c>
      <c r="P14" s="105">
        <f t="shared" si="6"/>
        <v>0</v>
      </c>
      <c r="Q14" s="105">
        <f t="shared" si="6"/>
        <v>0</v>
      </c>
      <c r="R14" s="105">
        <f t="shared" si="6"/>
        <v>0</v>
      </c>
      <c r="S14" s="105">
        <f t="shared" si="6"/>
        <v>0</v>
      </c>
      <c r="T14" s="105">
        <f t="shared" si="6"/>
        <v>0.92180000000000006</v>
      </c>
      <c r="U14" s="105">
        <f t="shared" si="6"/>
        <v>1.0307000000000002</v>
      </c>
      <c r="V14" s="105">
        <f t="shared" si="6"/>
        <v>1.0669999999999999</v>
      </c>
      <c r="W14" s="105">
        <f t="shared" si="6"/>
        <v>1.18316</v>
      </c>
      <c r="X14" s="105">
        <f t="shared" si="6"/>
        <v>1.3464</v>
      </c>
      <c r="Y14" s="105">
        <f t="shared" si="6"/>
        <v>1.3070200000000001</v>
      </c>
      <c r="Z14" s="105">
        <f t="shared" si="6"/>
        <v>1.3827</v>
      </c>
      <c r="AA14" s="105">
        <f t="shared" si="6"/>
        <v>1.4383600000000003</v>
      </c>
      <c r="AB14" s="105">
        <f t="shared" si="6"/>
        <v>1.5884</v>
      </c>
      <c r="AC14" s="105">
        <f t="shared" si="6"/>
        <v>1.6731</v>
      </c>
      <c r="AD14" s="105">
        <f t="shared" si="6"/>
        <v>1.5642</v>
      </c>
      <c r="AE14" s="105">
        <f t="shared" si="6"/>
        <v>1.6852000000000003</v>
      </c>
      <c r="AF14" s="105">
        <f t="shared" si="6"/>
        <v>1.4047000000000001</v>
      </c>
      <c r="AG14" s="105">
        <f t="shared" si="6"/>
        <v>1.5884</v>
      </c>
      <c r="AH14" s="105">
        <f t="shared" si="6"/>
        <v>1.7138000000000002</v>
      </c>
      <c r="AI14" s="105">
        <f t="shared" si="6"/>
        <v>1.8183000000000002</v>
      </c>
      <c r="AJ14" s="105">
        <f t="shared" si="6"/>
        <v>1.7699</v>
      </c>
      <c r="AK14" s="105">
        <f t="shared" si="6"/>
        <v>1.9525000000000001</v>
      </c>
      <c r="AL14" s="105">
        <f t="shared" si="6"/>
        <v>1.9525000000000001</v>
      </c>
      <c r="AM14" s="105">
        <f t="shared" si="6"/>
        <v>1.9888000000000001</v>
      </c>
      <c r="AN14" s="105">
        <f t="shared" si="6"/>
        <v>1.9525000000000001</v>
      </c>
      <c r="AO14" s="105">
        <f t="shared" ref="AO14:CR14" si="7">SUM(AO11:AO11)</f>
        <v>1.9646000000000001</v>
      </c>
      <c r="AP14" s="105">
        <f t="shared" si="7"/>
        <v>1.7941000000000003</v>
      </c>
      <c r="AQ14" s="105">
        <f t="shared" si="7"/>
        <v>1.7941000000000003</v>
      </c>
      <c r="AR14" s="105">
        <f t="shared" si="7"/>
        <v>1.7116000000000002</v>
      </c>
      <c r="AS14" s="105">
        <f t="shared" si="7"/>
        <v>1.6973</v>
      </c>
      <c r="AT14" s="105">
        <f t="shared" si="7"/>
        <v>1.4707000000000001</v>
      </c>
      <c r="AU14" s="105">
        <f t="shared" si="7"/>
        <v>1.3585000000000003</v>
      </c>
      <c r="AV14" s="105">
        <f t="shared" si="7"/>
        <v>1.2551000000000001</v>
      </c>
      <c r="AW14" s="105">
        <f t="shared" si="7"/>
        <v>1.375</v>
      </c>
      <c r="AX14" s="105">
        <f t="shared" si="7"/>
        <v>1.3827</v>
      </c>
      <c r="AY14" s="105">
        <f t="shared" si="7"/>
        <v>1.54</v>
      </c>
      <c r="AZ14" s="105">
        <f t="shared" si="7"/>
        <v>1.5763000000000003</v>
      </c>
      <c r="BA14" s="105">
        <f t="shared" si="7"/>
        <v>1.6291000000000002</v>
      </c>
      <c r="BB14" s="105">
        <f t="shared" si="7"/>
        <v>1.6368</v>
      </c>
      <c r="BC14" s="105">
        <f t="shared" si="7"/>
        <v>1.6368</v>
      </c>
      <c r="BD14" s="105">
        <f t="shared" si="7"/>
        <v>1.6511</v>
      </c>
      <c r="BE14" s="105">
        <f t="shared" si="7"/>
        <v>1.6753</v>
      </c>
      <c r="BF14" s="105">
        <f t="shared" si="7"/>
        <v>1.6852000000000003</v>
      </c>
      <c r="BG14" s="105">
        <f t="shared" si="7"/>
        <v>1.6852000000000003</v>
      </c>
      <c r="BH14" s="105">
        <f t="shared" si="7"/>
        <v>1.6852000000000003</v>
      </c>
      <c r="BI14" s="105">
        <f t="shared" si="7"/>
        <v>1.6929000000000001</v>
      </c>
      <c r="BJ14" s="105">
        <f t="shared" si="7"/>
        <v>1.6973</v>
      </c>
      <c r="BK14" s="105">
        <f t="shared" si="7"/>
        <v>1.6610000000000003</v>
      </c>
      <c r="BL14" s="105">
        <f t="shared" si="7"/>
        <v>1.6291000000000002</v>
      </c>
      <c r="BM14" s="105">
        <f t="shared" si="7"/>
        <v>1.5059</v>
      </c>
      <c r="BN14" s="105">
        <f t="shared" si="7"/>
        <v>1.4069</v>
      </c>
      <c r="BO14" s="105">
        <f t="shared" si="7"/>
        <v>1.3321000000000003</v>
      </c>
      <c r="BP14" s="105">
        <f t="shared" si="7"/>
        <v>1.2958000000000001</v>
      </c>
      <c r="BQ14" s="105">
        <f t="shared" si="7"/>
        <v>1.2716000000000001</v>
      </c>
      <c r="BR14" s="105">
        <f t="shared" si="7"/>
        <v>1.2364000000000002</v>
      </c>
      <c r="BS14" s="105">
        <f t="shared" si="7"/>
        <v>1.2364000000000002</v>
      </c>
      <c r="BT14" s="105">
        <f t="shared" si="7"/>
        <v>1.2364000000000002</v>
      </c>
      <c r="BU14" s="105">
        <f t="shared" si="7"/>
        <v>1.1638000000000002</v>
      </c>
      <c r="BV14" s="105">
        <f t="shared" si="7"/>
        <v>1.0989</v>
      </c>
      <c r="BW14" s="105">
        <f t="shared" si="7"/>
        <v>1.0648</v>
      </c>
      <c r="BX14" s="105">
        <f t="shared" si="7"/>
        <v>1.0548999999999999</v>
      </c>
      <c r="BY14" s="105">
        <f t="shared" si="7"/>
        <v>1.0548999999999999</v>
      </c>
      <c r="BZ14" s="105">
        <f t="shared" si="7"/>
        <v>1.0328999999999999</v>
      </c>
      <c r="CA14" s="105">
        <f t="shared" si="7"/>
        <v>1.0186000000000002</v>
      </c>
      <c r="CB14" s="105">
        <f t="shared" si="7"/>
        <v>1.0186000000000002</v>
      </c>
      <c r="CC14" s="105">
        <f t="shared" si="7"/>
        <v>0.98230000000000006</v>
      </c>
      <c r="CD14" s="105">
        <f t="shared" si="7"/>
        <v>0.97130000000000005</v>
      </c>
      <c r="CE14" s="105">
        <f t="shared" si="7"/>
        <v>1.0164000000000002</v>
      </c>
      <c r="CF14" s="105">
        <f t="shared" si="7"/>
        <v>1.0219</v>
      </c>
      <c r="CG14" s="105">
        <f t="shared" si="7"/>
        <v>1.0219</v>
      </c>
      <c r="CH14" s="105">
        <f t="shared" si="7"/>
        <v>1.0285000000000002</v>
      </c>
      <c r="CI14" s="105">
        <f t="shared" si="7"/>
        <v>1.0505</v>
      </c>
      <c r="CJ14" s="105">
        <f t="shared" si="7"/>
        <v>1.0548999999999999</v>
      </c>
      <c r="CK14" s="105">
        <f t="shared" si="7"/>
        <v>1.0548999999999999</v>
      </c>
      <c r="CL14" s="105">
        <f t="shared" si="7"/>
        <v>1.0548999999999999</v>
      </c>
      <c r="CM14" s="105">
        <f t="shared" si="7"/>
        <v>1.0548999999999999</v>
      </c>
      <c r="CN14" s="105">
        <f t="shared" si="7"/>
        <v>1.0548999999999999</v>
      </c>
      <c r="CO14" s="105">
        <f t="shared" si="7"/>
        <v>1.0252000000000001</v>
      </c>
      <c r="CP14" s="105">
        <f t="shared" si="7"/>
        <v>0.98230000000000006</v>
      </c>
      <c r="CQ14" s="105">
        <f t="shared" si="7"/>
        <v>0.99660000000000015</v>
      </c>
      <c r="CR14" s="105">
        <f t="shared" si="7"/>
        <v>1.0186000000000002</v>
      </c>
      <c r="CS14" s="105">
        <f t="shared" ref="CS14:DA14" si="8">SUM(CS11:CS11)</f>
        <v>1.0384</v>
      </c>
      <c r="CT14" s="105">
        <f t="shared" si="8"/>
        <v>1.0703</v>
      </c>
      <c r="CU14" s="105">
        <f t="shared" si="8"/>
        <v>1.0835000000000001</v>
      </c>
      <c r="CV14" s="105">
        <f t="shared" si="8"/>
        <v>1.2605999999999999</v>
      </c>
      <c r="CW14" s="105">
        <f t="shared" si="8"/>
        <v>1.2605999999999999</v>
      </c>
      <c r="CX14" s="105">
        <f t="shared" si="8"/>
        <v>1.2605999999999999</v>
      </c>
      <c r="CY14" s="105">
        <f t="shared" si="8"/>
        <v>1.2605999999999999</v>
      </c>
      <c r="CZ14" s="105">
        <f t="shared" si="8"/>
        <v>1.2320000000000002</v>
      </c>
      <c r="DA14" s="105">
        <f t="shared" si="8"/>
        <v>1.1726000000000001</v>
      </c>
      <c r="DB14" s="105">
        <f t="shared" ref="DB14:FM14" si="9">SUM(DB11:DB11)</f>
        <v>1.1550000000000002</v>
      </c>
      <c r="DC14" s="105">
        <f t="shared" si="9"/>
        <v>1.1550000000000002</v>
      </c>
      <c r="DD14" s="105">
        <f t="shared" si="9"/>
        <v>1.1550000000000002</v>
      </c>
      <c r="DE14" s="105">
        <f t="shared" si="9"/>
        <v>1.1550000000000002</v>
      </c>
      <c r="DF14" s="105">
        <f t="shared" si="9"/>
        <v>1.1550000000000002</v>
      </c>
      <c r="DG14" s="105">
        <f t="shared" si="9"/>
        <v>1.1550000000000002</v>
      </c>
      <c r="DH14" s="105">
        <f t="shared" si="9"/>
        <v>1.1550000000000002</v>
      </c>
      <c r="DI14" s="105">
        <f t="shared" si="9"/>
        <v>1.1550000000000002</v>
      </c>
      <c r="DJ14" s="105">
        <f t="shared" si="9"/>
        <v>1.1550000000000002</v>
      </c>
      <c r="DK14" s="105">
        <f t="shared" si="9"/>
        <v>1.1550000000000002</v>
      </c>
      <c r="DL14" s="105">
        <f t="shared" si="9"/>
        <v>1.1550000000000002</v>
      </c>
      <c r="DM14" s="105">
        <f t="shared" si="9"/>
        <v>1.0516000000000001</v>
      </c>
      <c r="DN14" s="105">
        <f t="shared" si="9"/>
        <v>1.0791000000000002</v>
      </c>
      <c r="DO14" s="105">
        <f t="shared" si="9"/>
        <v>1.0791000000000002</v>
      </c>
      <c r="DP14" s="105">
        <f t="shared" si="9"/>
        <v>1.0791000000000002</v>
      </c>
      <c r="DQ14" s="105">
        <f t="shared" si="9"/>
        <v>1.0427999999999999</v>
      </c>
      <c r="DR14" s="105">
        <f t="shared" si="9"/>
        <v>1.0427999999999999</v>
      </c>
      <c r="DS14" s="105">
        <f t="shared" si="9"/>
        <v>1.0427999999999999</v>
      </c>
      <c r="DT14" s="105">
        <f t="shared" si="9"/>
        <v>0</v>
      </c>
      <c r="DU14" s="105">
        <f t="shared" si="9"/>
        <v>0</v>
      </c>
      <c r="DV14" s="105">
        <f t="shared" si="9"/>
        <v>0</v>
      </c>
      <c r="DW14" s="105">
        <f t="shared" si="9"/>
        <v>0</v>
      </c>
      <c r="DX14" s="105">
        <f t="shared" si="9"/>
        <v>0</v>
      </c>
      <c r="DY14" s="105">
        <f t="shared" si="9"/>
        <v>0</v>
      </c>
      <c r="DZ14" s="105">
        <f t="shared" si="9"/>
        <v>0</v>
      </c>
      <c r="EA14" s="105" t="e" vm="2">
        <f t="shared" si="9"/>
        <v>#VALUE!</v>
      </c>
      <c r="EB14" s="105" t="e" vm="2">
        <f t="shared" si="9"/>
        <v>#VALUE!</v>
      </c>
      <c r="EC14" s="105" t="e" vm="2">
        <f t="shared" si="9"/>
        <v>#VALUE!</v>
      </c>
      <c r="ED14" s="105" t="e" vm="2">
        <f t="shared" si="9"/>
        <v>#VALUE!</v>
      </c>
      <c r="EE14" s="105" t="e" vm="2">
        <f t="shared" si="9"/>
        <v>#VALUE!</v>
      </c>
      <c r="EF14" s="105" t="e" vm="2">
        <f t="shared" si="9"/>
        <v>#VALUE!</v>
      </c>
      <c r="EG14" s="105" t="e" vm="2">
        <f t="shared" si="9"/>
        <v>#VALUE!</v>
      </c>
      <c r="EH14" s="105" t="e" vm="2">
        <f t="shared" si="9"/>
        <v>#VALUE!</v>
      </c>
      <c r="EI14" s="105" t="e" vm="2">
        <f t="shared" si="9"/>
        <v>#VALUE!</v>
      </c>
      <c r="EJ14" s="105" t="e" vm="2">
        <f t="shared" si="9"/>
        <v>#VALUE!</v>
      </c>
      <c r="EK14" s="105" t="e" vm="2">
        <f t="shared" si="9"/>
        <v>#VALUE!</v>
      </c>
      <c r="EL14" s="105" t="e" vm="2">
        <f t="shared" si="9"/>
        <v>#VALUE!</v>
      </c>
      <c r="EM14" s="105" t="e" vm="2">
        <f t="shared" si="9"/>
        <v>#VALUE!</v>
      </c>
      <c r="EN14" s="105" t="e" vm="2">
        <f t="shared" si="9"/>
        <v>#VALUE!</v>
      </c>
      <c r="EO14" s="105" t="e" vm="2">
        <f t="shared" si="9"/>
        <v>#VALUE!</v>
      </c>
      <c r="EP14" s="105" t="e" vm="2">
        <f t="shared" si="9"/>
        <v>#VALUE!</v>
      </c>
      <c r="EQ14" s="105" t="e" vm="2">
        <f t="shared" si="9"/>
        <v>#VALUE!</v>
      </c>
      <c r="ER14" s="105" t="e" vm="2">
        <f t="shared" si="9"/>
        <v>#VALUE!</v>
      </c>
      <c r="ES14" s="105" t="e" vm="2">
        <f t="shared" si="9"/>
        <v>#VALUE!</v>
      </c>
      <c r="ET14" s="105" t="e" vm="2">
        <f t="shared" si="9"/>
        <v>#VALUE!</v>
      </c>
      <c r="EU14" s="105" t="e" vm="2">
        <f t="shared" si="9"/>
        <v>#VALUE!</v>
      </c>
      <c r="EV14" s="105" t="e" vm="2">
        <f t="shared" si="9"/>
        <v>#VALUE!</v>
      </c>
      <c r="EW14" s="105" t="e" vm="2">
        <f t="shared" si="9"/>
        <v>#VALUE!</v>
      </c>
      <c r="EX14" s="105" t="e" vm="2">
        <f t="shared" si="9"/>
        <v>#VALUE!</v>
      </c>
      <c r="EY14" s="105" t="e" vm="2">
        <f t="shared" si="9"/>
        <v>#VALUE!</v>
      </c>
      <c r="EZ14" s="105" t="e" vm="2">
        <f t="shared" si="9"/>
        <v>#VALUE!</v>
      </c>
      <c r="FA14" s="105" t="e" vm="2">
        <f t="shared" si="9"/>
        <v>#VALUE!</v>
      </c>
      <c r="FB14" s="105" t="e" vm="2">
        <f t="shared" si="9"/>
        <v>#VALUE!</v>
      </c>
      <c r="FC14" s="105" t="e" vm="2">
        <f t="shared" si="9"/>
        <v>#VALUE!</v>
      </c>
      <c r="FD14" s="105" t="e" vm="2">
        <f t="shared" si="9"/>
        <v>#VALUE!</v>
      </c>
      <c r="FE14" s="105" t="e" vm="2">
        <f t="shared" si="9"/>
        <v>#VALUE!</v>
      </c>
      <c r="FF14" s="105" t="e" vm="2">
        <f t="shared" si="9"/>
        <v>#VALUE!</v>
      </c>
      <c r="FG14" s="105" t="e" vm="2">
        <f t="shared" si="9"/>
        <v>#VALUE!</v>
      </c>
      <c r="FH14" s="105" t="e" vm="2">
        <f t="shared" si="9"/>
        <v>#VALUE!</v>
      </c>
      <c r="FI14" s="105" t="e" vm="2">
        <f t="shared" si="9"/>
        <v>#VALUE!</v>
      </c>
      <c r="FJ14" s="105" t="e" vm="2">
        <f t="shared" si="9"/>
        <v>#VALUE!</v>
      </c>
      <c r="FK14" s="105" t="e" vm="2">
        <f t="shared" si="9"/>
        <v>#VALUE!</v>
      </c>
      <c r="FL14" s="105" t="e" vm="2">
        <f t="shared" si="9"/>
        <v>#VALUE!</v>
      </c>
      <c r="FM14" s="105" t="e" vm="2">
        <f t="shared" si="9"/>
        <v>#VALUE!</v>
      </c>
      <c r="FN14" s="105" t="e" vm="2">
        <f t="shared" ref="FN14:GP14" si="10">SUM(FN11:FN11)</f>
        <v>#VALUE!</v>
      </c>
      <c r="FO14" s="105" t="e" vm="2">
        <f t="shared" si="10"/>
        <v>#VALUE!</v>
      </c>
      <c r="FP14" s="105" t="e" vm="2">
        <f t="shared" si="10"/>
        <v>#VALUE!</v>
      </c>
      <c r="FQ14" s="105" t="e" vm="2">
        <f t="shared" si="10"/>
        <v>#VALUE!</v>
      </c>
      <c r="FR14" s="105" t="e" vm="2">
        <f t="shared" si="10"/>
        <v>#VALUE!</v>
      </c>
      <c r="FS14" s="105" t="e" vm="2">
        <f t="shared" si="10"/>
        <v>#VALUE!</v>
      </c>
      <c r="FT14" s="105" t="e" vm="2">
        <f t="shared" si="10"/>
        <v>#VALUE!</v>
      </c>
      <c r="FU14" s="105" t="e" vm="2">
        <f t="shared" si="10"/>
        <v>#VALUE!</v>
      </c>
      <c r="FV14" s="105" t="e" vm="2">
        <f t="shared" si="10"/>
        <v>#VALUE!</v>
      </c>
      <c r="FW14" s="105" t="e" vm="2">
        <f t="shared" si="10"/>
        <v>#VALUE!</v>
      </c>
      <c r="FX14" s="105" t="e" vm="2">
        <f t="shared" si="10"/>
        <v>#VALUE!</v>
      </c>
      <c r="FY14" s="105" t="e" vm="2">
        <f t="shared" si="10"/>
        <v>#VALUE!</v>
      </c>
      <c r="FZ14" s="105" t="e" vm="2">
        <f t="shared" si="10"/>
        <v>#VALUE!</v>
      </c>
      <c r="GA14" s="105" t="e" vm="2">
        <f t="shared" si="10"/>
        <v>#VALUE!</v>
      </c>
      <c r="GB14" s="105" t="e" vm="2">
        <f t="shared" si="10"/>
        <v>#VALUE!</v>
      </c>
      <c r="GC14" s="105" t="e" vm="2">
        <f t="shared" si="10"/>
        <v>#VALUE!</v>
      </c>
      <c r="GD14" s="105" t="e" vm="2">
        <f t="shared" si="10"/>
        <v>#VALUE!</v>
      </c>
      <c r="GE14" s="105" t="e" vm="2">
        <f t="shared" si="10"/>
        <v>#VALUE!</v>
      </c>
      <c r="GF14" s="105" t="e" vm="2">
        <f t="shared" si="10"/>
        <v>#VALUE!</v>
      </c>
      <c r="GG14" s="105" t="e" vm="2">
        <f t="shared" si="10"/>
        <v>#VALUE!</v>
      </c>
      <c r="GH14" s="105" t="e" vm="2">
        <f t="shared" si="10"/>
        <v>#VALUE!</v>
      </c>
      <c r="GI14" s="105" t="e" vm="2">
        <f t="shared" si="10"/>
        <v>#VALUE!</v>
      </c>
      <c r="GJ14" s="105" t="e" vm="2">
        <f t="shared" si="10"/>
        <v>#VALUE!</v>
      </c>
      <c r="GK14" s="105" t="e" vm="2">
        <f t="shared" si="10"/>
        <v>#VALUE!</v>
      </c>
      <c r="GL14" s="105" t="e" vm="2">
        <f t="shared" si="10"/>
        <v>#VALUE!</v>
      </c>
      <c r="GM14" s="105" t="e" vm="2">
        <f t="shared" si="10"/>
        <v>#VALUE!</v>
      </c>
      <c r="GN14" s="105" t="e" vm="2">
        <f t="shared" si="10"/>
        <v>#VALUE!</v>
      </c>
      <c r="GO14" s="105" t="e" vm="2">
        <f t="shared" si="10"/>
        <v>#VALUE!</v>
      </c>
      <c r="GP14" s="105" t="e" vm="2">
        <f t="shared" si="10"/>
        <v>#VALUE!</v>
      </c>
    </row>
    <row r="15" spans="1:198" s="104" customFormat="1">
      <c r="H15" s="60"/>
      <c r="I15" s="105"/>
      <c r="J15" s="105"/>
      <c r="K15" s="105"/>
      <c r="L15" s="105"/>
      <c r="M15" s="105"/>
      <c r="N15" s="105"/>
      <c r="O15" s="105"/>
      <c r="P15" s="105"/>
      <c r="Q15" s="105"/>
      <c r="R15" s="105"/>
      <c r="S15" s="105"/>
      <c r="T15" s="105"/>
      <c r="U15" s="105"/>
      <c r="V15" s="105"/>
      <c r="W15" s="105"/>
      <c r="X15" s="105"/>
      <c r="Y15" s="105"/>
      <c r="Z15" s="105"/>
      <c r="AA15" s="105"/>
      <c r="AB15" s="105"/>
      <c r="AC15" s="105"/>
      <c r="AD15" s="105"/>
      <c r="AE15" s="105"/>
      <c r="AF15" s="105"/>
      <c r="AG15" s="105"/>
      <c r="AH15" s="105"/>
      <c r="AI15" s="105"/>
      <c r="AJ15" s="105"/>
      <c r="AK15" s="105"/>
      <c r="AL15" s="105"/>
      <c r="AM15" s="105"/>
      <c r="AN15" s="105"/>
      <c r="AO15" s="105"/>
      <c r="AP15" s="105"/>
      <c r="AQ15" s="105"/>
      <c r="AR15" s="105"/>
      <c r="AS15" s="105"/>
      <c r="AT15" s="105"/>
      <c r="AU15" s="105"/>
      <c r="AV15" s="105"/>
      <c r="AW15" s="105"/>
      <c r="AX15" s="105"/>
      <c r="AY15" s="105"/>
      <c r="AZ15" s="105"/>
      <c r="BA15" s="105"/>
      <c r="BB15" s="105"/>
      <c r="BC15" s="105"/>
      <c r="BD15" s="105"/>
      <c r="BE15" s="105"/>
      <c r="BF15" s="105"/>
      <c r="BG15" s="105"/>
      <c r="BH15" s="105"/>
      <c r="BI15" s="105"/>
      <c r="BJ15" s="105"/>
      <c r="BK15" s="105"/>
      <c r="BL15" s="105"/>
      <c r="BM15" s="105"/>
      <c r="BN15" s="105"/>
      <c r="BO15" s="105"/>
      <c r="BP15" s="105"/>
      <c r="BQ15" s="105"/>
      <c r="BR15" s="105"/>
      <c r="BS15" s="105"/>
      <c r="BT15" s="105"/>
      <c r="BU15" s="105"/>
      <c r="BV15" s="105"/>
      <c r="BW15" s="105"/>
      <c r="BX15" s="105"/>
      <c r="BY15" s="105"/>
      <c r="BZ15" s="105"/>
      <c r="CA15" s="105"/>
      <c r="CB15" s="105"/>
      <c r="CC15" s="105"/>
      <c r="CD15" s="105"/>
      <c r="CE15" s="105"/>
      <c r="CF15" s="105"/>
      <c r="CG15" s="105"/>
      <c r="CH15" s="105"/>
      <c r="CI15" s="105"/>
      <c r="CJ15" s="105"/>
      <c r="CK15" s="105"/>
      <c r="CL15" s="105"/>
      <c r="CM15" s="105"/>
      <c r="CN15" s="105"/>
      <c r="CO15" s="105"/>
      <c r="CP15" s="105"/>
      <c r="CQ15" s="105"/>
      <c r="CR15" s="105"/>
      <c r="CS15" s="105"/>
      <c r="CT15" s="105"/>
      <c r="CU15" s="105"/>
      <c r="CV15" s="105"/>
      <c r="CW15" s="105"/>
      <c r="CX15" s="105"/>
      <c r="CY15" s="105"/>
      <c r="CZ15" s="105"/>
      <c r="DA15" s="105"/>
      <c r="DB15" s="105"/>
      <c r="DC15" s="105"/>
      <c r="DD15" s="105"/>
      <c r="DE15" s="105"/>
      <c r="DF15" s="105"/>
      <c r="DG15" s="105"/>
      <c r="DH15" s="105"/>
      <c r="DI15" s="105"/>
      <c r="DJ15" s="105"/>
      <c r="DK15" s="105"/>
      <c r="DL15" s="105"/>
      <c r="DM15" s="105"/>
      <c r="DN15" s="105"/>
      <c r="DO15" s="105"/>
      <c r="DP15" s="105"/>
      <c r="DQ15" s="105"/>
      <c r="DR15" s="105"/>
      <c r="DS15" s="105"/>
      <c r="DT15" s="105"/>
      <c r="DU15" s="105"/>
      <c r="DV15" s="105"/>
      <c r="DW15" s="105"/>
      <c r="DX15" s="105"/>
      <c r="DY15" s="105"/>
      <c r="DZ15" s="105"/>
      <c r="EA15" s="105"/>
      <c r="EB15" s="105"/>
      <c r="EC15" s="105"/>
      <c r="ED15" s="105"/>
      <c r="EE15" s="105"/>
      <c r="EF15" s="105"/>
      <c r="EG15" s="105"/>
      <c r="EH15" s="105"/>
      <c r="EI15" s="105"/>
      <c r="EJ15" s="105"/>
      <c r="EK15" s="105"/>
      <c r="EL15" s="105"/>
      <c r="EM15" s="105"/>
      <c r="EN15" s="105"/>
      <c r="EO15" s="105"/>
      <c r="EP15" s="105"/>
      <c r="EQ15" s="105"/>
      <c r="ER15" s="105"/>
      <c r="ES15" s="105"/>
      <c r="ET15" s="105"/>
      <c r="EU15" s="105"/>
      <c r="EV15" s="105"/>
      <c r="EW15" s="105"/>
      <c r="EX15" s="105"/>
      <c r="EY15" s="105"/>
      <c r="EZ15" s="105"/>
      <c r="FA15" s="105"/>
      <c r="FB15" s="105"/>
      <c r="FC15" s="105"/>
      <c r="FD15" s="105"/>
      <c r="FE15" s="105"/>
      <c r="FF15" s="105"/>
      <c r="FG15" s="105"/>
      <c r="FH15" s="105"/>
      <c r="FI15" s="105"/>
      <c r="FJ15" s="105"/>
      <c r="FK15" s="105"/>
      <c r="FL15" s="105"/>
      <c r="FM15" s="105"/>
      <c r="FN15" s="105"/>
      <c r="FO15" s="105"/>
      <c r="FP15" s="105"/>
      <c r="FQ15" s="105"/>
      <c r="FR15" s="105"/>
      <c r="FS15" s="105"/>
      <c r="FT15" s="105"/>
      <c r="FU15" s="105"/>
      <c r="FV15" s="105"/>
      <c r="FW15" s="105"/>
      <c r="FX15" s="105"/>
      <c r="FY15" s="105"/>
      <c r="FZ15" s="105"/>
      <c r="GA15" s="105"/>
      <c r="GB15" s="105"/>
      <c r="GC15" s="105"/>
      <c r="GD15" s="105"/>
      <c r="GE15" s="105"/>
      <c r="GF15" s="105"/>
      <c r="GG15" s="105"/>
      <c r="GH15" s="105"/>
      <c r="GI15" s="105"/>
      <c r="GJ15" s="105"/>
      <c r="GK15" s="105"/>
      <c r="GL15" s="105"/>
      <c r="GM15" s="105"/>
      <c r="GN15" s="105"/>
      <c r="GO15" s="105"/>
      <c r="GP15" s="105"/>
    </row>
    <row r="16" spans="1:198" ht="15">
      <c r="A16"/>
      <c r="H16" s="60" t="s">
        <v>429</v>
      </c>
      <c r="I16" s="74"/>
      <c r="J16" s="74">
        <v>2.72</v>
      </c>
      <c r="K16" s="74"/>
      <c r="L16" s="74"/>
      <c r="M16" s="74"/>
      <c r="N16" s="74"/>
      <c r="O16" s="74"/>
      <c r="P16" s="74"/>
      <c r="Q16" s="74"/>
      <c r="R16" s="74">
        <f>183/72</f>
        <v>2.5416666666666665</v>
      </c>
      <c r="S16" s="74"/>
      <c r="T16" s="74"/>
      <c r="U16" s="74"/>
      <c r="V16" s="74"/>
      <c r="W16" s="74"/>
      <c r="X16" s="74"/>
      <c r="Y16" s="74">
        <f>228/74</f>
        <v>3.0810810810810811</v>
      </c>
      <c r="Z16" s="74"/>
      <c r="AA16" s="74"/>
      <c r="AB16" s="74"/>
      <c r="AC16" s="74">
        <f>298/74</f>
        <v>4.0270270270270272</v>
      </c>
      <c r="AD16" s="74">
        <v>4.6500000000000004</v>
      </c>
      <c r="AE16" s="74"/>
      <c r="AF16" s="74">
        <v>4.25</v>
      </c>
      <c r="AG16" s="74"/>
      <c r="AH16" s="74"/>
      <c r="AI16" s="74">
        <v>5.35</v>
      </c>
      <c r="AK16" s="74"/>
      <c r="AL16" s="74"/>
      <c r="AM16" s="74"/>
      <c r="AN16" s="74"/>
      <c r="AO16" s="74">
        <v>3.91</v>
      </c>
      <c r="AP16" s="74"/>
      <c r="AQ16" s="74"/>
      <c r="AR16" s="74">
        <v>3.2</v>
      </c>
      <c r="AS16" s="74"/>
      <c r="AT16" s="74"/>
      <c r="AU16" s="74">
        <v>3.2</v>
      </c>
      <c r="AV16" s="74"/>
      <c r="AW16" s="74"/>
      <c r="AX16" s="74"/>
      <c r="AY16" s="74"/>
      <c r="AZ16" s="74"/>
      <c r="BA16" s="74"/>
      <c r="BB16" s="74"/>
      <c r="BC16" s="74"/>
      <c r="BD16" s="74"/>
      <c r="BE16" s="74"/>
      <c r="BF16" s="74"/>
      <c r="BG16" s="74"/>
      <c r="BH16" s="74"/>
      <c r="BI16" s="74"/>
      <c r="BJ16" s="74"/>
      <c r="BK16" s="74"/>
      <c r="BL16" s="74"/>
      <c r="BM16" s="74"/>
      <c r="BN16" s="74"/>
      <c r="BO16" s="74"/>
      <c r="BP16" s="74"/>
      <c r="BQ16" s="74"/>
      <c r="BR16" s="74"/>
      <c r="BS16" s="74">
        <v>2.78</v>
      </c>
      <c r="BT16" s="74"/>
      <c r="BU16" s="74"/>
      <c r="BV16" s="74"/>
      <c r="BW16" s="74">
        <v>2.75</v>
      </c>
      <c r="BX16" s="74"/>
      <c r="BY16" s="74"/>
      <c r="BZ16" s="74"/>
      <c r="CA16" s="74"/>
      <c r="CB16" s="74"/>
      <c r="CC16" s="74"/>
      <c r="CD16" s="74"/>
      <c r="CE16" s="74"/>
      <c r="CF16" s="74"/>
      <c r="CG16" s="74"/>
      <c r="CH16" s="74"/>
      <c r="CI16" s="74"/>
      <c r="CJ16" s="74"/>
      <c r="CK16" s="74"/>
      <c r="CL16" s="74"/>
      <c r="CM16" s="74"/>
      <c r="CN16" s="74"/>
      <c r="CO16" s="74"/>
      <c r="CP16" s="74"/>
      <c r="CQ16" s="74"/>
      <c r="CR16" s="74"/>
      <c r="CS16" s="74"/>
      <c r="CT16" s="74"/>
      <c r="CU16" s="74"/>
      <c r="CV16" s="74"/>
      <c r="CW16" s="74"/>
      <c r="CX16" s="74"/>
      <c r="CY16" s="74"/>
      <c r="CZ16" s="74"/>
      <c r="DA16" s="74"/>
      <c r="DB16" s="74"/>
      <c r="DC16" s="74"/>
      <c r="DD16" s="74"/>
      <c r="DE16" s="74"/>
      <c r="DF16" s="74"/>
      <c r="DG16" s="74"/>
      <c r="DH16" s="74"/>
      <c r="DI16" s="74"/>
      <c r="DJ16" s="74"/>
      <c r="DK16" s="74"/>
      <c r="DL16" s="74"/>
      <c r="DM16" s="74"/>
      <c r="DN16" s="74"/>
      <c r="DO16" s="74"/>
      <c r="DP16" s="74"/>
      <c r="DQ16" s="74"/>
      <c r="DR16" s="74"/>
      <c r="DS16" s="74"/>
      <c r="DT16" s="74"/>
      <c r="DU16" s="74"/>
      <c r="DV16" s="74"/>
      <c r="DW16" s="74"/>
      <c r="DX16" s="74"/>
      <c r="DY16" s="74"/>
      <c r="DZ16" s="74"/>
      <c r="EA16" s="74"/>
      <c r="EB16" s="74"/>
      <c r="EC16" s="74"/>
      <c r="ED16" s="74"/>
      <c r="EE16" s="74"/>
      <c r="EF16" s="74"/>
      <c r="EG16" s="74"/>
      <c r="EH16" s="74"/>
      <c r="EI16" s="74"/>
      <c r="EJ16" s="74"/>
      <c r="EK16" s="74"/>
      <c r="EL16" s="74"/>
      <c r="EM16" s="74"/>
      <c r="EN16" s="74"/>
      <c r="EO16" s="74"/>
      <c r="EP16" s="74"/>
      <c r="EQ16" s="74"/>
      <c r="ER16" s="74"/>
      <c r="ES16" s="74"/>
      <c r="ET16" s="74"/>
      <c r="EU16" s="74"/>
      <c r="EV16" s="74"/>
      <c r="EW16" s="74"/>
      <c r="EX16" s="74"/>
      <c r="EY16" s="74"/>
      <c r="EZ16" s="74"/>
      <c r="FA16" s="74"/>
      <c r="FB16" s="74"/>
      <c r="FC16" s="74"/>
      <c r="FD16" s="74"/>
      <c r="FE16" s="74"/>
      <c r="FF16" s="74"/>
      <c r="FG16" s="74"/>
      <c r="FH16" s="74"/>
      <c r="FI16" s="74"/>
      <c r="FJ16" s="74"/>
      <c r="FK16" s="74"/>
      <c r="FL16" s="74"/>
      <c r="FM16" s="74"/>
      <c r="FN16" s="74"/>
      <c r="FO16" s="74"/>
      <c r="FP16" s="74"/>
      <c r="FQ16" s="74"/>
      <c r="FR16" s="74"/>
      <c r="FS16" s="74"/>
      <c r="FT16" s="74"/>
      <c r="FU16" s="74"/>
      <c r="FV16" s="74"/>
      <c r="FW16" s="74"/>
      <c r="FX16" s="74"/>
      <c r="FY16" s="74"/>
      <c r="FZ16" s="74"/>
      <c r="GA16" s="74"/>
      <c r="GB16" s="74"/>
      <c r="GC16" s="74"/>
      <c r="GD16" s="74"/>
      <c r="GE16" s="74"/>
      <c r="GF16" s="74"/>
      <c r="GG16" s="74"/>
      <c r="GH16" s="74"/>
      <c r="GI16" s="74"/>
      <c r="GJ16" s="74"/>
      <c r="GK16" s="74"/>
      <c r="GL16" s="74"/>
      <c r="GM16" s="74"/>
      <c r="GN16" s="74"/>
      <c r="GO16" s="74"/>
      <c r="GP16" s="74"/>
    </row>
    <row r="17" spans="8:198">
      <c r="H17" s="60" t="s">
        <v>406</v>
      </c>
      <c r="I17" s="74"/>
      <c r="J17" s="74">
        <f>J16-J14</f>
        <v>2.72</v>
      </c>
      <c r="K17" s="74"/>
      <c r="L17" s="74"/>
      <c r="M17" s="74"/>
      <c r="N17" s="74"/>
      <c r="O17" s="74"/>
      <c r="P17" s="74"/>
      <c r="Q17" s="74"/>
      <c r="R17" s="74">
        <f>R16-R14</f>
        <v>2.5416666666666665</v>
      </c>
      <c r="S17" s="74"/>
      <c r="T17" s="74"/>
      <c r="U17" s="74"/>
      <c r="V17" s="74"/>
      <c r="W17" s="74"/>
      <c r="X17" s="74"/>
      <c r="Y17" s="74">
        <f>Y16-Y14</f>
        <v>1.7740610810810811</v>
      </c>
      <c r="Z17" s="74"/>
      <c r="AA17" s="74"/>
      <c r="AB17" s="74"/>
      <c r="AC17" s="74">
        <f>AC16-AC14</f>
        <v>2.3539270270270274</v>
      </c>
      <c r="AD17" s="74">
        <f>AD16-AD14</f>
        <v>3.0858000000000003</v>
      </c>
      <c r="AE17" s="74"/>
      <c r="AF17" s="74">
        <f>AF16-AF14</f>
        <v>2.8452999999999999</v>
      </c>
      <c r="AG17" s="74"/>
      <c r="AH17" s="74"/>
      <c r="AI17" s="74">
        <f>AI16-AI14</f>
        <v>3.5316999999999994</v>
      </c>
      <c r="AK17" s="74"/>
      <c r="AL17" s="74"/>
      <c r="AM17" s="74"/>
      <c r="AN17" s="74"/>
      <c r="AO17" s="74">
        <f>AO16-AO14</f>
        <v>1.9454</v>
      </c>
      <c r="AP17" s="74"/>
      <c r="AQ17" s="74"/>
      <c r="AR17" s="74">
        <f>AR16-AR14</f>
        <v>1.4883999999999999</v>
      </c>
      <c r="AS17" s="74"/>
      <c r="AT17" s="74"/>
      <c r="AU17" s="74">
        <f>AU16-AU14</f>
        <v>1.8414999999999999</v>
      </c>
      <c r="AV17" s="74"/>
      <c r="AW17" s="74"/>
      <c r="AX17" s="74"/>
      <c r="AY17" s="74"/>
      <c r="AZ17" s="74"/>
      <c r="BA17" s="74"/>
      <c r="BB17" s="74"/>
      <c r="BC17" s="74"/>
      <c r="BD17" s="74"/>
      <c r="BE17" s="74"/>
      <c r="BF17" s="74"/>
      <c r="BG17" s="74"/>
      <c r="BH17" s="74"/>
      <c r="BI17" s="74"/>
      <c r="BJ17" s="74"/>
      <c r="BK17" s="74"/>
      <c r="BL17" s="74"/>
      <c r="BM17" s="74"/>
      <c r="BN17" s="74"/>
      <c r="BO17" s="74"/>
      <c r="BP17" s="74"/>
      <c r="BQ17" s="74"/>
      <c r="BR17" s="74"/>
      <c r="BS17" s="74">
        <f>BS16-BS14</f>
        <v>1.5435999999999996</v>
      </c>
      <c r="BT17" s="74"/>
      <c r="BU17" s="74"/>
      <c r="BV17" s="74"/>
      <c r="BW17" s="74">
        <f>BW16-BW14</f>
        <v>1.6852</v>
      </c>
      <c r="BX17" s="74"/>
      <c r="BY17" s="74"/>
      <c r="BZ17" s="74"/>
      <c r="CA17" s="74"/>
      <c r="CB17" s="74"/>
      <c r="CC17" s="74"/>
      <c r="CD17" s="74"/>
      <c r="CE17" s="74"/>
      <c r="CF17" s="74"/>
      <c r="CG17" s="74"/>
      <c r="CH17" s="74"/>
      <c r="CI17" s="74"/>
      <c r="CJ17" s="74"/>
      <c r="CK17" s="74"/>
      <c r="CL17" s="74"/>
      <c r="CM17" s="74"/>
      <c r="CN17" s="74"/>
      <c r="CO17" s="74"/>
      <c r="CP17" s="74"/>
      <c r="CQ17" s="74"/>
      <c r="CR17" s="74"/>
      <c r="CS17" s="74"/>
      <c r="CT17" s="74"/>
      <c r="CU17" s="74"/>
      <c r="CV17" s="74"/>
      <c r="CW17" s="74"/>
      <c r="CX17" s="74"/>
      <c r="CY17" s="74"/>
      <c r="CZ17" s="74"/>
      <c r="DA17" s="74"/>
      <c r="DB17" s="74"/>
      <c r="DC17" s="74"/>
      <c r="DD17" s="74"/>
      <c r="DE17" s="74"/>
      <c r="DF17" s="74"/>
      <c r="DG17" s="74"/>
      <c r="DH17" s="74"/>
      <c r="DI17" s="74"/>
      <c r="DJ17" s="74"/>
      <c r="DK17" s="74"/>
      <c r="DL17" s="74"/>
      <c r="DM17" s="74"/>
      <c r="DN17" s="74"/>
      <c r="DO17" s="74"/>
      <c r="DP17" s="74"/>
      <c r="DQ17" s="74"/>
      <c r="DR17" s="74"/>
      <c r="DS17" s="74"/>
      <c r="DT17" s="74"/>
      <c r="DU17" s="74"/>
      <c r="DV17" s="74"/>
      <c r="DW17" s="74"/>
      <c r="DX17" s="74"/>
      <c r="DY17" s="74"/>
      <c r="DZ17" s="74"/>
      <c r="EA17" s="74"/>
      <c r="EB17" s="74"/>
      <c r="EC17" s="74"/>
      <c r="ED17" s="74"/>
      <c r="EE17" s="74"/>
      <c r="EF17" s="74"/>
      <c r="EG17" s="74"/>
      <c r="EH17" s="74"/>
      <c r="EI17" s="74"/>
      <c r="EJ17" s="74"/>
      <c r="EK17" s="74"/>
      <c r="EL17" s="74"/>
      <c r="EM17" s="74"/>
      <c r="EN17" s="74"/>
      <c r="EO17" s="74"/>
      <c r="EP17" s="74"/>
      <c r="EQ17" s="74"/>
      <c r="ER17" s="74"/>
      <c r="ES17" s="74"/>
      <c r="ET17" s="74"/>
      <c r="EU17" s="74"/>
      <c r="EV17" s="74"/>
      <c r="EW17" s="74"/>
      <c r="EX17" s="74"/>
      <c r="EY17" s="74"/>
      <c r="EZ17" s="74"/>
      <c r="FA17" s="74"/>
      <c r="FB17" s="74"/>
      <c r="FC17" s="74"/>
      <c r="FD17" s="74"/>
      <c r="FE17" s="74"/>
      <c r="FF17" s="74"/>
      <c r="FG17" s="74"/>
      <c r="FH17" s="74"/>
      <c r="FI17" s="74"/>
      <c r="FJ17" s="74"/>
      <c r="FK17" s="74"/>
      <c r="FL17" s="74"/>
      <c r="FM17" s="74"/>
      <c r="FN17" s="74"/>
      <c r="FO17" s="74"/>
      <c r="FP17" s="74"/>
      <c r="FQ17" s="74"/>
      <c r="FR17" s="74"/>
      <c r="FS17" s="74"/>
      <c r="FT17" s="74"/>
      <c r="FU17" s="74"/>
      <c r="FV17" s="74"/>
      <c r="FW17" s="74"/>
      <c r="FX17" s="74"/>
      <c r="FY17" s="74"/>
      <c r="FZ17" s="74"/>
      <c r="GA17" s="74"/>
      <c r="GB17" s="74"/>
      <c r="GC17" s="74"/>
      <c r="GD17" s="74"/>
      <c r="GE17" s="74"/>
      <c r="GF17" s="74"/>
      <c r="GG17" s="74"/>
      <c r="GH17" s="74"/>
      <c r="GI17" s="74"/>
      <c r="GJ17" s="74"/>
      <c r="GK17" s="74"/>
      <c r="GL17" s="74"/>
      <c r="GM17" s="74"/>
      <c r="GN17" s="74"/>
      <c r="GO17" s="74"/>
      <c r="GP17" s="74"/>
    </row>
    <row r="19" spans="8:198" ht="13" thickBot="1"/>
    <row r="20" spans="8:198" s="73" customFormat="1" ht="13" thickBot="1">
      <c r="H20" s="257" t="s">
        <v>800</v>
      </c>
      <c r="I20" s="258">
        <f>1.49+I14</f>
        <v>1.49</v>
      </c>
      <c r="J20" s="258">
        <f t="shared" ref="J20:BU20" si="11">1.49+J14</f>
        <v>1.49</v>
      </c>
      <c r="K20" s="258">
        <f t="shared" si="11"/>
        <v>1.49</v>
      </c>
      <c r="L20" s="258">
        <f t="shared" si="11"/>
        <v>1.49</v>
      </c>
      <c r="M20" s="258">
        <f t="shared" si="11"/>
        <v>1.49</v>
      </c>
      <c r="N20" s="258">
        <f t="shared" si="11"/>
        <v>1.49</v>
      </c>
      <c r="O20" s="258">
        <f t="shared" si="11"/>
        <v>1.49</v>
      </c>
      <c r="P20" s="258">
        <f t="shared" si="11"/>
        <v>1.49</v>
      </c>
      <c r="Q20" s="258">
        <f t="shared" si="11"/>
        <v>1.49</v>
      </c>
      <c r="R20" s="258">
        <f t="shared" si="11"/>
        <v>1.49</v>
      </c>
      <c r="S20" s="258">
        <f t="shared" si="11"/>
        <v>1.49</v>
      </c>
      <c r="T20" s="258">
        <f t="shared" si="11"/>
        <v>2.4117999999999999</v>
      </c>
      <c r="U20" s="258">
        <f t="shared" si="11"/>
        <v>2.5207000000000002</v>
      </c>
      <c r="V20" s="258">
        <f t="shared" si="11"/>
        <v>2.5569999999999999</v>
      </c>
      <c r="W20" s="258">
        <f t="shared" si="11"/>
        <v>2.6731600000000002</v>
      </c>
      <c r="X20" s="258">
        <f t="shared" si="11"/>
        <v>2.8364000000000003</v>
      </c>
      <c r="Y20" s="258">
        <f t="shared" si="11"/>
        <v>2.7970199999999998</v>
      </c>
      <c r="Z20" s="258">
        <f t="shared" si="11"/>
        <v>2.8727</v>
      </c>
      <c r="AA20" s="258">
        <f t="shared" si="11"/>
        <v>2.9283600000000005</v>
      </c>
      <c r="AB20" s="258">
        <f t="shared" si="11"/>
        <v>3.0784000000000002</v>
      </c>
      <c r="AC20" s="258">
        <f t="shared" si="11"/>
        <v>3.1631</v>
      </c>
      <c r="AD20" s="258">
        <f t="shared" si="11"/>
        <v>3.0541999999999998</v>
      </c>
      <c r="AE20" s="258">
        <f t="shared" si="11"/>
        <v>3.1752000000000002</v>
      </c>
      <c r="AF20" s="258">
        <f t="shared" si="11"/>
        <v>2.8947000000000003</v>
      </c>
      <c r="AG20" s="258">
        <f t="shared" si="11"/>
        <v>3.0784000000000002</v>
      </c>
      <c r="AH20" s="258">
        <f t="shared" si="11"/>
        <v>3.2038000000000002</v>
      </c>
      <c r="AI20" s="258">
        <f t="shared" si="11"/>
        <v>3.3083</v>
      </c>
      <c r="AJ20" s="258">
        <f t="shared" si="11"/>
        <v>3.2599</v>
      </c>
      <c r="AK20" s="258">
        <f t="shared" si="11"/>
        <v>3.4424999999999999</v>
      </c>
      <c r="AL20" s="258">
        <f t="shared" si="11"/>
        <v>3.4424999999999999</v>
      </c>
      <c r="AM20" s="258">
        <f t="shared" si="11"/>
        <v>3.4788000000000001</v>
      </c>
      <c r="AN20" s="258">
        <f t="shared" si="11"/>
        <v>3.4424999999999999</v>
      </c>
      <c r="AO20" s="258">
        <f t="shared" si="11"/>
        <v>3.4546000000000001</v>
      </c>
      <c r="AP20" s="258">
        <f t="shared" si="11"/>
        <v>3.2841000000000005</v>
      </c>
      <c r="AQ20" s="258">
        <f t="shared" si="11"/>
        <v>3.2841000000000005</v>
      </c>
      <c r="AR20" s="258">
        <f t="shared" si="11"/>
        <v>3.2016</v>
      </c>
      <c r="AS20" s="258">
        <f t="shared" si="11"/>
        <v>3.1873</v>
      </c>
      <c r="AT20" s="258">
        <f t="shared" si="11"/>
        <v>2.9607000000000001</v>
      </c>
      <c r="AU20" s="258">
        <f t="shared" si="11"/>
        <v>2.8485000000000005</v>
      </c>
      <c r="AV20" s="258">
        <f t="shared" si="11"/>
        <v>2.7450999999999999</v>
      </c>
      <c r="AW20" s="258">
        <f t="shared" si="11"/>
        <v>2.8650000000000002</v>
      </c>
      <c r="AX20" s="258">
        <f t="shared" si="11"/>
        <v>2.8727</v>
      </c>
      <c r="AY20" s="258">
        <f t="shared" si="11"/>
        <v>3.0300000000000002</v>
      </c>
      <c r="AZ20" s="258">
        <f t="shared" si="11"/>
        <v>3.0663</v>
      </c>
      <c r="BA20" s="258">
        <f t="shared" si="11"/>
        <v>3.1191000000000004</v>
      </c>
      <c r="BB20" s="258">
        <f t="shared" si="11"/>
        <v>3.1268000000000002</v>
      </c>
      <c r="BC20" s="258">
        <f t="shared" si="11"/>
        <v>3.1268000000000002</v>
      </c>
      <c r="BD20" s="258">
        <f t="shared" si="11"/>
        <v>3.1410999999999998</v>
      </c>
      <c r="BE20" s="258">
        <f t="shared" si="11"/>
        <v>3.1653000000000002</v>
      </c>
      <c r="BF20" s="258">
        <f t="shared" si="11"/>
        <v>3.1752000000000002</v>
      </c>
      <c r="BG20" s="258">
        <f t="shared" si="11"/>
        <v>3.1752000000000002</v>
      </c>
      <c r="BH20" s="258">
        <f t="shared" si="11"/>
        <v>3.1752000000000002</v>
      </c>
      <c r="BI20" s="258">
        <f t="shared" si="11"/>
        <v>3.1829000000000001</v>
      </c>
      <c r="BJ20" s="258">
        <f t="shared" si="11"/>
        <v>3.1873</v>
      </c>
      <c r="BK20" s="258">
        <f t="shared" si="11"/>
        <v>3.1510000000000002</v>
      </c>
      <c r="BL20" s="258">
        <f t="shared" si="11"/>
        <v>3.1191000000000004</v>
      </c>
      <c r="BM20" s="258">
        <f t="shared" si="11"/>
        <v>2.9958999999999998</v>
      </c>
      <c r="BN20" s="258">
        <f t="shared" si="11"/>
        <v>2.8969</v>
      </c>
      <c r="BO20" s="258">
        <f t="shared" si="11"/>
        <v>2.8221000000000003</v>
      </c>
      <c r="BP20" s="258">
        <f t="shared" si="11"/>
        <v>2.7858000000000001</v>
      </c>
      <c r="BQ20" s="258">
        <f t="shared" si="11"/>
        <v>2.7616000000000001</v>
      </c>
      <c r="BR20" s="258">
        <f t="shared" si="11"/>
        <v>2.7263999999999999</v>
      </c>
      <c r="BS20" s="258">
        <f t="shared" si="11"/>
        <v>2.7263999999999999</v>
      </c>
      <c r="BT20" s="258">
        <f t="shared" si="11"/>
        <v>2.7263999999999999</v>
      </c>
      <c r="BU20" s="258">
        <f t="shared" si="11"/>
        <v>2.6538000000000004</v>
      </c>
      <c r="BV20" s="258">
        <f t="shared" ref="BV20:DW20" si="12">1.49+BV14</f>
        <v>2.5888999999999998</v>
      </c>
      <c r="BW20" s="258">
        <f t="shared" si="12"/>
        <v>2.5548000000000002</v>
      </c>
      <c r="BX20" s="258">
        <f t="shared" si="12"/>
        <v>2.5449000000000002</v>
      </c>
      <c r="BY20" s="258">
        <f t="shared" si="12"/>
        <v>2.5449000000000002</v>
      </c>
      <c r="BZ20" s="258">
        <f t="shared" si="12"/>
        <v>2.5228999999999999</v>
      </c>
      <c r="CA20" s="258">
        <f t="shared" si="12"/>
        <v>2.5086000000000004</v>
      </c>
      <c r="CB20" s="258">
        <f t="shared" si="12"/>
        <v>2.5086000000000004</v>
      </c>
      <c r="CC20" s="258">
        <f t="shared" si="12"/>
        <v>2.4723000000000002</v>
      </c>
      <c r="CD20" s="258">
        <f t="shared" si="12"/>
        <v>2.4613</v>
      </c>
      <c r="CE20" s="258">
        <f t="shared" si="12"/>
        <v>2.5064000000000002</v>
      </c>
      <c r="CF20" s="258">
        <f t="shared" si="12"/>
        <v>2.5118999999999998</v>
      </c>
      <c r="CG20" s="258">
        <f t="shared" si="12"/>
        <v>2.5118999999999998</v>
      </c>
      <c r="CH20" s="258">
        <f t="shared" si="12"/>
        <v>2.5185000000000004</v>
      </c>
      <c r="CI20" s="258">
        <f t="shared" si="12"/>
        <v>2.5404999999999998</v>
      </c>
      <c r="CJ20" s="258">
        <f t="shared" si="12"/>
        <v>2.5449000000000002</v>
      </c>
      <c r="CK20" s="258">
        <f t="shared" si="12"/>
        <v>2.5449000000000002</v>
      </c>
      <c r="CL20" s="258">
        <f t="shared" si="12"/>
        <v>2.5449000000000002</v>
      </c>
      <c r="CM20" s="258">
        <f t="shared" si="12"/>
        <v>2.5449000000000002</v>
      </c>
      <c r="CN20" s="258">
        <f t="shared" si="12"/>
        <v>2.5449000000000002</v>
      </c>
      <c r="CO20" s="258">
        <f t="shared" si="12"/>
        <v>2.5152000000000001</v>
      </c>
      <c r="CP20" s="258">
        <f t="shared" si="12"/>
        <v>2.4723000000000002</v>
      </c>
      <c r="CQ20" s="258">
        <f t="shared" si="12"/>
        <v>2.4866000000000001</v>
      </c>
      <c r="CR20" s="258">
        <f t="shared" si="12"/>
        <v>2.5086000000000004</v>
      </c>
      <c r="CS20" s="258">
        <f t="shared" si="12"/>
        <v>2.5284</v>
      </c>
      <c r="CT20" s="258">
        <f t="shared" si="12"/>
        <v>2.5602999999999998</v>
      </c>
      <c r="CU20" s="258">
        <f t="shared" si="12"/>
        <v>2.5735000000000001</v>
      </c>
      <c r="CV20" s="258">
        <f t="shared" si="12"/>
        <v>2.7505999999999999</v>
      </c>
      <c r="CW20" s="258">
        <f t="shared" si="12"/>
        <v>2.7505999999999999</v>
      </c>
      <c r="CX20" s="258">
        <f t="shared" si="12"/>
        <v>2.7505999999999999</v>
      </c>
      <c r="CY20" s="258">
        <f t="shared" si="12"/>
        <v>2.7505999999999999</v>
      </c>
      <c r="CZ20" s="258">
        <f t="shared" si="12"/>
        <v>2.7220000000000004</v>
      </c>
      <c r="DA20" s="258">
        <f t="shared" si="12"/>
        <v>2.6626000000000003</v>
      </c>
      <c r="DB20" s="258">
        <f t="shared" si="12"/>
        <v>2.6450000000000005</v>
      </c>
      <c r="DC20" s="258">
        <f t="shared" si="12"/>
        <v>2.6450000000000005</v>
      </c>
      <c r="DD20" s="258">
        <f t="shared" si="12"/>
        <v>2.6450000000000005</v>
      </c>
      <c r="DE20" s="258">
        <f t="shared" si="12"/>
        <v>2.6450000000000005</v>
      </c>
      <c r="DF20" s="258">
        <f t="shared" si="12"/>
        <v>2.6450000000000005</v>
      </c>
      <c r="DG20" s="258">
        <f t="shared" si="12"/>
        <v>2.6450000000000005</v>
      </c>
      <c r="DH20" s="258">
        <f t="shared" si="12"/>
        <v>2.6450000000000005</v>
      </c>
      <c r="DI20" s="258">
        <f t="shared" si="12"/>
        <v>2.6450000000000005</v>
      </c>
      <c r="DJ20" s="258">
        <f t="shared" si="12"/>
        <v>2.6450000000000005</v>
      </c>
      <c r="DK20" s="258">
        <f t="shared" si="12"/>
        <v>2.6450000000000005</v>
      </c>
      <c r="DL20" s="258">
        <f t="shared" si="12"/>
        <v>2.6450000000000005</v>
      </c>
      <c r="DM20" s="258">
        <f t="shared" si="12"/>
        <v>2.5415999999999999</v>
      </c>
      <c r="DN20" s="258">
        <f t="shared" si="12"/>
        <v>2.5691000000000002</v>
      </c>
      <c r="DO20" s="258">
        <f t="shared" si="12"/>
        <v>2.5691000000000002</v>
      </c>
      <c r="DP20" s="258">
        <f t="shared" si="12"/>
        <v>2.5691000000000002</v>
      </c>
      <c r="DQ20" s="258">
        <f t="shared" si="12"/>
        <v>2.5327999999999999</v>
      </c>
      <c r="DR20" s="258">
        <f t="shared" si="12"/>
        <v>2.5327999999999999</v>
      </c>
      <c r="DS20" s="258">
        <f t="shared" si="12"/>
        <v>2.5327999999999999</v>
      </c>
      <c r="DT20" s="258">
        <f t="shared" si="12"/>
        <v>1.49</v>
      </c>
      <c r="DU20" s="258">
        <f t="shared" si="12"/>
        <v>1.49</v>
      </c>
      <c r="DV20" s="258">
        <f t="shared" si="12"/>
        <v>1.49</v>
      </c>
      <c r="DW20" s="258">
        <f t="shared" si="12"/>
        <v>1.49</v>
      </c>
      <c r="DX20" s="258">
        <f t="shared" ref="DX20:FM20" si="13">+DX14</f>
        <v>0</v>
      </c>
      <c r="DY20" s="258">
        <f t="shared" si="13"/>
        <v>0</v>
      </c>
      <c r="DZ20" s="258">
        <f t="shared" si="13"/>
        <v>0</v>
      </c>
      <c r="EA20" s="258" t="e" vm="2">
        <f t="shared" si="13"/>
        <v>#VALUE!</v>
      </c>
      <c r="EB20" s="258" t="e" vm="2">
        <f t="shared" si="13"/>
        <v>#VALUE!</v>
      </c>
      <c r="EC20" s="258" t="e" vm="2">
        <f t="shared" si="13"/>
        <v>#VALUE!</v>
      </c>
      <c r="ED20" s="258" t="e" vm="2">
        <f t="shared" si="13"/>
        <v>#VALUE!</v>
      </c>
      <c r="EE20" s="258" t="e" vm="2">
        <f t="shared" si="13"/>
        <v>#VALUE!</v>
      </c>
      <c r="EF20" s="258" t="e" vm="2">
        <f t="shared" si="13"/>
        <v>#VALUE!</v>
      </c>
      <c r="EG20" s="258" t="e" vm="2">
        <f t="shared" si="13"/>
        <v>#VALUE!</v>
      </c>
      <c r="EH20" s="258" t="e" vm="2">
        <f t="shared" si="13"/>
        <v>#VALUE!</v>
      </c>
      <c r="EI20" s="258" t="e" vm="2">
        <f t="shared" si="13"/>
        <v>#VALUE!</v>
      </c>
      <c r="EJ20" s="258" t="e" vm="2">
        <f t="shared" si="13"/>
        <v>#VALUE!</v>
      </c>
      <c r="EK20" s="258" t="e" vm="2">
        <f t="shared" si="13"/>
        <v>#VALUE!</v>
      </c>
      <c r="EL20" s="258" t="e" vm="2">
        <f t="shared" si="13"/>
        <v>#VALUE!</v>
      </c>
      <c r="EM20" s="258" t="e" vm="2">
        <f t="shared" si="13"/>
        <v>#VALUE!</v>
      </c>
      <c r="EN20" s="258" t="e" vm="2">
        <f t="shared" si="13"/>
        <v>#VALUE!</v>
      </c>
      <c r="EO20" s="258" t="e" vm="2">
        <f t="shared" si="13"/>
        <v>#VALUE!</v>
      </c>
      <c r="EP20" s="258" t="e" vm="2">
        <f t="shared" si="13"/>
        <v>#VALUE!</v>
      </c>
      <c r="EQ20" s="258" t="e" vm="2">
        <f t="shared" si="13"/>
        <v>#VALUE!</v>
      </c>
      <c r="ER20" s="258" t="e" vm="2">
        <f t="shared" si="13"/>
        <v>#VALUE!</v>
      </c>
      <c r="ES20" s="258" t="e" vm="2">
        <f t="shared" si="13"/>
        <v>#VALUE!</v>
      </c>
      <c r="ET20" s="258" t="e" vm="2">
        <f t="shared" si="13"/>
        <v>#VALUE!</v>
      </c>
      <c r="EU20" s="258" t="e" vm="2">
        <f t="shared" si="13"/>
        <v>#VALUE!</v>
      </c>
      <c r="EV20" s="258" t="e" vm="2">
        <f t="shared" si="13"/>
        <v>#VALUE!</v>
      </c>
      <c r="EW20" s="258" t="e" vm="2">
        <f t="shared" si="13"/>
        <v>#VALUE!</v>
      </c>
      <c r="EX20" s="258" t="e" vm="2">
        <f t="shared" si="13"/>
        <v>#VALUE!</v>
      </c>
      <c r="EY20" s="258" t="e" vm="2">
        <f t="shared" si="13"/>
        <v>#VALUE!</v>
      </c>
      <c r="EZ20" s="258" t="e" vm="2">
        <f t="shared" si="13"/>
        <v>#VALUE!</v>
      </c>
      <c r="FA20" s="258" t="e" vm="2">
        <f t="shared" si="13"/>
        <v>#VALUE!</v>
      </c>
      <c r="FB20" s="258" t="e" vm="2">
        <f t="shared" si="13"/>
        <v>#VALUE!</v>
      </c>
      <c r="FC20" s="258" t="e" vm="2">
        <f t="shared" si="13"/>
        <v>#VALUE!</v>
      </c>
      <c r="FD20" s="258" t="e" vm="2">
        <f t="shared" si="13"/>
        <v>#VALUE!</v>
      </c>
      <c r="FE20" s="258" t="e" vm="2">
        <f t="shared" si="13"/>
        <v>#VALUE!</v>
      </c>
      <c r="FF20" s="258" t="e" vm="2">
        <f t="shared" si="13"/>
        <v>#VALUE!</v>
      </c>
      <c r="FG20" s="258" t="e" vm="2">
        <f t="shared" si="13"/>
        <v>#VALUE!</v>
      </c>
      <c r="FH20" s="258" t="e" vm="2">
        <f t="shared" si="13"/>
        <v>#VALUE!</v>
      </c>
      <c r="FI20" s="258" t="e" vm="2">
        <f t="shared" si="13"/>
        <v>#VALUE!</v>
      </c>
      <c r="FJ20" s="258" t="e" vm="2">
        <f t="shared" si="13"/>
        <v>#VALUE!</v>
      </c>
      <c r="FK20" s="258" t="e" vm="2">
        <f t="shared" si="13"/>
        <v>#VALUE!</v>
      </c>
      <c r="FL20" s="258" t="e" vm="2">
        <f t="shared" si="13"/>
        <v>#VALUE!</v>
      </c>
      <c r="FM20" s="258" t="e" vm="2">
        <f t="shared" si="13"/>
        <v>#VALUE!</v>
      </c>
      <c r="FN20" s="258" t="e" vm="2">
        <f t="shared" ref="FN20:GP20" si="14">+FN14</f>
        <v>#VALUE!</v>
      </c>
      <c r="FO20" s="258" t="e" vm="2">
        <f t="shared" si="14"/>
        <v>#VALUE!</v>
      </c>
      <c r="FP20" s="258" t="e" vm="2">
        <f t="shared" si="14"/>
        <v>#VALUE!</v>
      </c>
      <c r="FQ20" s="258" t="e" vm="2">
        <f t="shared" si="14"/>
        <v>#VALUE!</v>
      </c>
      <c r="FR20" s="258" t="e" vm="2">
        <f t="shared" si="14"/>
        <v>#VALUE!</v>
      </c>
      <c r="FS20" s="258" t="e" vm="2">
        <f t="shared" si="14"/>
        <v>#VALUE!</v>
      </c>
      <c r="FT20" s="258" t="e" vm="2">
        <f t="shared" si="14"/>
        <v>#VALUE!</v>
      </c>
      <c r="FU20" s="258" t="e" vm="2">
        <f t="shared" si="14"/>
        <v>#VALUE!</v>
      </c>
      <c r="FV20" s="258" t="e" vm="2">
        <f t="shared" si="14"/>
        <v>#VALUE!</v>
      </c>
      <c r="FW20" s="258" t="e" vm="2">
        <f t="shared" si="14"/>
        <v>#VALUE!</v>
      </c>
      <c r="FX20" s="258" t="e" vm="2">
        <f t="shared" si="14"/>
        <v>#VALUE!</v>
      </c>
      <c r="FY20" s="258" t="e" vm="2">
        <f t="shared" si="14"/>
        <v>#VALUE!</v>
      </c>
      <c r="FZ20" s="258" t="e" vm="2">
        <f t="shared" si="14"/>
        <v>#VALUE!</v>
      </c>
      <c r="GA20" s="258" t="e" vm="2">
        <f t="shared" si="14"/>
        <v>#VALUE!</v>
      </c>
      <c r="GB20" s="258" t="e" vm="2">
        <f t="shared" si="14"/>
        <v>#VALUE!</v>
      </c>
      <c r="GC20" s="258" t="e" vm="2">
        <f t="shared" si="14"/>
        <v>#VALUE!</v>
      </c>
      <c r="GD20" s="258" t="e" vm="2">
        <f t="shared" si="14"/>
        <v>#VALUE!</v>
      </c>
      <c r="GE20" s="258" t="e" vm="2">
        <f t="shared" si="14"/>
        <v>#VALUE!</v>
      </c>
      <c r="GF20" s="258" t="e" vm="2">
        <f t="shared" si="14"/>
        <v>#VALUE!</v>
      </c>
      <c r="GG20" s="258" t="e" vm="2">
        <f t="shared" si="14"/>
        <v>#VALUE!</v>
      </c>
      <c r="GH20" s="258" t="e" vm="2">
        <f t="shared" si="14"/>
        <v>#VALUE!</v>
      </c>
      <c r="GI20" s="258" t="e" vm="2">
        <f t="shared" si="14"/>
        <v>#VALUE!</v>
      </c>
      <c r="GJ20" s="258" t="e" vm="2">
        <f t="shared" si="14"/>
        <v>#VALUE!</v>
      </c>
      <c r="GK20" s="258" t="e" vm="2">
        <f t="shared" si="14"/>
        <v>#VALUE!</v>
      </c>
      <c r="GL20" s="258" t="e" vm="2">
        <f t="shared" si="14"/>
        <v>#VALUE!</v>
      </c>
      <c r="GM20" s="258" t="e" vm="2">
        <f t="shared" si="14"/>
        <v>#VALUE!</v>
      </c>
      <c r="GN20" s="258" t="e" vm="2">
        <f t="shared" si="14"/>
        <v>#VALUE!</v>
      </c>
      <c r="GO20" s="258" t="e" vm="2">
        <f t="shared" si="14"/>
        <v>#VALUE!</v>
      </c>
      <c r="GP20" s="258" t="e" vm="2">
        <f t="shared" si="14"/>
        <v>#VALUE!</v>
      </c>
    </row>
  </sheetData>
  <pageMargins left="0.7" right="0.7" top="0.75" bottom="0.75" header="0.3" footer="0.3"/>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FB20"/>
  <sheetViews>
    <sheetView workbookViewId="0">
      <pane xSplit="11" ySplit="7" topLeftCell="AX8" activePane="bottomRight" state="frozen"/>
      <selection pane="topRight" activeCell="L1" sqref="L1"/>
      <selection pane="bottomLeft" activeCell="A7" sqref="A7"/>
      <selection pane="bottomRight" activeCell="AY17" sqref="AY17"/>
    </sheetView>
  </sheetViews>
  <sheetFormatPr baseColWidth="10" defaultColWidth="22.6640625" defaultRowHeight="12"/>
  <cols>
    <col min="1" max="1" width="16.1640625" style="60" bestFit="1" customWidth="1"/>
    <col min="2" max="2" width="13.1640625" style="60" bestFit="1" customWidth="1"/>
    <col min="3" max="3" width="4.83203125" style="60" bestFit="1" customWidth="1"/>
    <col min="4" max="4" width="12.33203125" style="60" bestFit="1" customWidth="1"/>
    <col min="5" max="5" width="18.83203125" style="60" bestFit="1" customWidth="1"/>
    <col min="6" max="6" width="6.5" style="60" bestFit="1" customWidth="1"/>
    <col min="7" max="7" width="4.1640625" style="60" bestFit="1" customWidth="1"/>
    <col min="8" max="8" width="22.83203125" style="60" bestFit="1" customWidth="1"/>
    <col min="9" max="9" width="6.5" style="60" customWidth="1"/>
    <col min="10" max="11" width="6.1640625" style="60" bestFit="1" customWidth="1"/>
    <col min="12" max="12" width="5.5" style="60" bestFit="1" customWidth="1"/>
    <col min="13" max="13" width="5.83203125" style="60" bestFit="1" customWidth="1"/>
    <col min="14" max="18" width="5.5" style="60" bestFit="1" customWidth="1"/>
    <col min="19" max="19" width="5.6640625" style="60" bestFit="1" customWidth="1"/>
    <col min="20" max="20" width="6.1640625" style="60" bestFit="1" customWidth="1"/>
    <col min="21" max="21" width="5.5" style="60" bestFit="1" customWidth="1"/>
    <col min="22" max="26" width="6.1640625" style="60" bestFit="1" customWidth="1"/>
    <col min="27" max="30" width="5.5" style="60" bestFit="1" customWidth="1"/>
    <col min="31" max="31" width="5.6640625" style="60" bestFit="1" customWidth="1"/>
    <col min="32" max="34" width="5.5" style="60" bestFit="1" customWidth="1"/>
    <col min="35" max="35" width="5.6640625" style="60" bestFit="1" customWidth="1"/>
    <col min="36" max="36" width="5.5" style="60" bestFit="1" customWidth="1"/>
    <col min="37" max="37" width="5.83203125" style="60" bestFit="1" customWidth="1"/>
    <col min="38" max="42" width="5.5" style="60" bestFit="1" customWidth="1"/>
    <col min="43" max="43" width="5.6640625" style="60" bestFit="1" customWidth="1"/>
    <col min="44" max="46" width="5.5" style="60" bestFit="1" customWidth="1"/>
    <col min="47" max="47" width="5.6640625" style="60" bestFit="1" customWidth="1"/>
    <col min="48" max="48" width="5.5" style="60" bestFit="1" customWidth="1"/>
    <col min="49" max="49" width="5.83203125" style="60" bestFit="1" customWidth="1"/>
    <col min="50" max="51" width="5.5" style="60" bestFit="1" customWidth="1"/>
    <col min="52" max="54" width="7" style="60" bestFit="1" customWidth="1"/>
    <col min="55" max="56" width="5.5" style="60" bestFit="1" customWidth="1"/>
    <col min="57" max="58" width="5.83203125" style="60" bestFit="1" customWidth="1"/>
    <col min="59" max="70" width="5.6640625" style="60" bestFit="1" customWidth="1"/>
    <col min="71" max="80" width="5.5" style="60" bestFit="1" customWidth="1"/>
    <col min="81" max="90" width="6.1640625" style="60" bestFit="1" customWidth="1"/>
    <col min="91" max="95" width="6.33203125" style="60" bestFit="1" customWidth="1"/>
    <col min="96" max="99" width="6.1640625" style="60" bestFit="1" customWidth="1"/>
    <col min="100" max="104" width="5.1640625" style="60" bestFit="1" customWidth="1"/>
    <col min="105" max="105" width="5.83203125" style="60" bestFit="1" customWidth="1"/>
    <col min="106" max="16384" width="22.6640625" style="60"/>
  </cols>
  <sheetData>
    <row r="1" spans="1:158" ht="13">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c r="EM1" s="99">
        <v>141</v>
      </c>
      <c r="EN1" s="99">
        <v>142</v>
      </c>
      <c r="EO1" s="99">
        <v>143</v>
      </c>
      <c r="EP1" s="99">
        <v>144</v>
      </c>
      <c r="EQ1" s="99">
        <v>145</v>
      </c>
      <c r="ER1" s="99">
        <v>146</v>
      </c>
      <c r="ES1" s="99">
        <v>147</v>
      </c>
      <c r="ET1" s="99">
        <v>148</v>
      </c>
      <c r="EU1" s="99">
        <v>149</v>
      </c>
      <c r="EV1" s="99">
        <v>150</v>
      </c>
      <c r="EW1" s="99">
        <v>151</v>
      </c>
      <c r="EX1" s="99">
        <v>152</v>
      </c>
      <c r="EY1" s="99">
        <v>153</v>
      </c>
      <c r="EZ1" s="99">
        <v>154</v>
      </c>
      <c r="FA1" s="99">
        <v>155</v>
      </c>
      <c r="FB1" s="99">
        <v>156</v>
      </c>
    </row>
    <row r="2" spans="1:158">
      <c r="A2" s="59"/>
      <c r="B2" s="59"/>
      <c r="C2" s="59"/>
      <c r="D2" s="98"/>
      <c r="E2" s="98"/>
      <c r="F2" s="59"/>
      <c r="H2" s="99"/>
      <c r="I2" s="99"/>
      <c r="J2" s="99"/>
      <c r="K2" s="99"/>
      <c r="L2" s="99"/>
      <c r="M2" s="99"/>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99"/>
      <c r="AP2" s="99"/>
      <c r="AQ2" s="99"/>
      <c r="AR2" s="99"/>
      <c r="AS2" s="99"/>
      <c r="AT2" s="99"/>
      <c r="AU2" s="99"/>
      <c r="AV2" s="99"/>
      <c r="AW2" s="99"/>
      <c r="AX2" s="99"/>
      <c r="AY2" s="99"/>
      <c r="AZ2" s="99"/>
      <c r="BA2" s="99"/>
      <c r="BB2" s="99"/>
      <c r="BC2" s="99"/>
      <c r="BD2" s="99"/>
      <c r="BE2" s="99"/>
      <c r="BF2" s="99"/>
      <c r="BG2" s="99"/>
      <c r="BH2" s="99"/>
      <c r="BI2" s="99"/>
      <c r="BJ2" s="99"/>
      <c r="BK2" s="99"/>
      <c r="BL2" s="99"/>
      <c r="BM2" s="99"/>
      <c r="BN2" s="99"/>
      <c r="BO2" s="99"/>
      <c r="BP2" s="99"/>
      <c r="BQ2" s="99"/>
      <c r="BR2" s="99"/>
      <c r="BS2" s="99"/>
      <c r="BT2" s="99"/>
      <c r="BU2" s="99"/>
      <c r="BV2" s="99"/>
      <c r="BW2" s="99"/>
      <c r="BX2" s="99"/>
      <c r="BY2" s="99"/>
      <c r="BZ2" s="99"/>
      <c r="CA2" s="99"/>
      <c r="CB2" s="99"/>
      <c r="CC2" s="99"/>
      <c r="CD2" s="99"/>
      <c r="CE2" s="99"/>
      <c r="CF2" s="99"/>
      <c r="CG2" s="99"/>
      <c r="CH2" s="99"/>
      <c r="CI2" s="99"/>
      <c r="CJ2" s="99"/>
      <c r="CK2" s="99"/>
      <c r="CL2" s="99"/>
      <c r="CM2" s="99"/>
      <c r="CN2" s="99"/>
    </row>
    <row r="3" spans="1:158" ht="15">
      <c r="A3" t="s">
        <v>825</v>
      </c>
      <c r="B3" s="100"/>
      <c r="C3" s="101"/>
      <c r="D3" s="282">
        <v>210.8</v>
      </c>
      <c r="K3" s="102"/>
      <c r="M3" s="102"/>
    </row>
    <row r="4" spans="1:158">
      <c r="A4" s="36"/>
      <c r="B4" s="64"/>
      <c r="D4" s="100"/>
      <c r="E4" s="64"/>
      <c r="F4" s="103"/>
    </row>
    <row r="5" spans="1:158">
      <c r="A5" s="64"/>
      <c r="B5" s="64"/>
      <c r="D5" s="64"/>
      <c r="E5" s="64"/>
      <c r="H5" s="60" t="s">
        <v>387</v>
      </c>
    </row>
    <row r="6" spans="1:158">
      <c r="A6" s="74"/>
      <c r="B6" s="74"/>
    </row>
    <row r="7" spans="1:158">
      <c r="A7" s="59"/>
      <c r="B7" s="59"/>
      <c r="C7" s="59"/>
      <c r="D7" s="98"/>
      <c r="E7" s="98"/>
      <c r="F7" s="59"/>
      <c r="H7" s="59" t="s">
        <v>416</v>
      </c>
      <c r="I7" s="59">
        <v>43831</v>
      </c>
      <c r="J7" s="59">
        <v>43862</v>
      </c>
      <c r="K7" s="59">
        <v>43891</v>
      </c>
      <c r="L7" s="59">
        <v>43922</v>
      </c>
      <c r="M7" s="59">
        <v>43952</v>
      </c>
      <c r="N7" s="59">
        <v>43983</v>
      </c>
      <c r="O7" s="59">
        <v>44013</v>
      </c>
      <c r="P7" s="59">
        <v>44044</v>
      </c>
      <c r="Q7" s="59">
        <v>44075</v>
      </c>
      <c r="R7" s="59">
        <v>44105</v>
      </c>
      <c r="S7" s="59">
        <v>44136</v>
      </c>
      <c r="T7" s="59">
        <v>44166</v>
      </c>
      <c r="U7" s="59">
        <v>44197</v>
      </c>
      <c r="V7" s="59">
        <v>44228</v>
      </c>
      <c r="W7" s="59">
        <v>44256</v>
      </c>
      <c r="X7" s="59">
        <v>44287</v>
      </c>
      <c r="Y7" s="59">
        <v>44317</v>
      </c>
      <c r="Z7" s="59">
        <v>44348</v>
      </c>
      <c r="AA7" s="59">
        <v>44378</v>
      </c>
      <c r="AB7" s="59">
        <v>44409</v>
      </c>
      <c r="AC7" s="59">
        <v>44440</v>
      </c>
      <c r="AD7" s="59">
        <v>44470</v>
      </c>
      <c r="AE7" s="59">
        <v>44501</v>
      </c>
      <c r="AF7" s="59">
        <v>44531</v>
      </c>
      <c r="AG7" s="59">
        <v>44562</v>
      </c>
      <c r="AH7" s="59">
        <v>44593</v>
      </c>
      <c r="AI7" s="59">
        <v>44621</v>
      </c>
      <c r="AJ7" s="59">
        <v>44652</v>
      </c>
      <c r="AK7" s="59">
        <v>44682</v>
      </c>
      <c r="AL7" s="59">
        <v>44713</v>
      </c>
      <c r="AM7" s="59">
        <v>44743</v>
      </c>
      <c r="AN7" s="59">
        <v>44774</v>
      </c>
      <c r="AO7" s="59">
        <v>44805</v>
      </c>
      <c r="AP7" s="59">
        <v>44835</v>
      </c>
      <c r="AQ7" s="59">
        <v>44866</v>
      </c>
      <c r="AR7" s="59">
        <v>44896</v>
      </c>
      <c r="AS7" s="59">
        <v>44927</v>
      </c>
      <c r="AT7" s="59">
        <v>44958</v>
      </c>
      <c r="AU7" s="59">
        <v>44986</v>
      </c>
      <c r="AV7" s="59">
        <v>45017</v>
      </c>
      <c r="AW7" s="59">
        <v>45047</v>
      </c>
      <c r="AX7" s="59">
        <v>45078</v>
      </c>
      <c r="AY7" s="59">
        <v>45108</v>
      </c>
      <c r="AZ7" s="59" t="s">
        <v>530</v>
      </c>
      <c r="BA7" s="59" t="s">
        <v>531</v>
      </c>
      <c r="BB7" s="59" t="s">
        <v>532</v>
      </c>
      <c r="BC7" s="59">
        <v>37104</v>
      </c>
      <c r="BD7" s="59">
        <v>37469</v>
      </c>
      <c r="BE7" s="59" t="s">
        <v>168</v>
      </c>
      <c r="BF7" s="59" t="s">
        <v>169</v>
      </c>
      <c r="BG7" s="59" t="s">
        <v>195</v>
      </c>
      <c r="BH7" s="59" t="s">
        <v>196</v>
      </c>
      <c r="BI7" s="59" t="s">
        <v>197</v>
      </c>
      <c r="BJ7" s="59" t="s">
        <v>198</v>
      </c>
      <c r="BK7" s="59" t="s">
        <v>199</v>
      </c>
      <c r="BL7" s="59" t="s">
        <v>200</v>
      </c>
      <c r="BM7" s="59" t="s">
        <v>201</v>
      </c>
      <c r="BN7" s="59" t="s">
        <v>202</v>
      </c>
      <c r="BO7" s="59">
        <v>37196</v>
      </c>
      <c r="BP7" s="59">
        <v>37561</v>
      </c>
      <c r="BQ7" s="59">
        <v>37926</v>
      </c>
      <c r="BR7" s="59">
        <v>38292</v>
      </c>
      <c r="BS7" s="59">
        <v>37226</v>
      </c>
      <c r="BT7" s="59">
        <v>37591</v>
      </c>
      <c r="BU7" s="59">
        <v>37956</v>
      </c>
      <c r="BV7" s="59">
        <v>38322</v>
      </c>
      <c r="BW7" s="59">
        <v>36892</v>
      </c>
      <c r="BX7" s="59">
        <v>37257</v>
      </c>
      <c r="BY7" s="59">
        <v>37622</v>
      </c>
      <c r="BZ7" s="59">
        <v>37987</v>
      </c>
      <c r="CA7" s="59">
        <v>36923</v>
      </c>
      <c r="CB7" s="59">
        <v>37288</v>
      </c>
      <c r="CC7" s="59">
        <v>37653</v>
      </c>
      <c r="CD7" s="59">
        <v>38018</v>
      </c>
      <c r="CE7" s="59" t="str">
        <f>Sheet8!A15</f>
        <v>Mar-w1</v>
      </c>
      <c r="CF7" s="59">
        <v>37316</v>
      </c>
      <c r="CG7" s="59">
        <v>37681</v>
      </c>
      <c r="CH7" s="59">
        <v>38047</v>
      </c>
      <c r="CI7" s="59" t="str">
        <f>Sheet8!E15</f>
        <v>Apr-w1</v>
      </c>
      <c r="CJ7" s="59" t="str">
        <f>Sheet8!F15</f>
        <v>Apr-w2</v>
      </c>
      <c r="CK7" s="59" t="str">
        <f>Sheet8!G15</f>
        <v>Apr-w3</v>
      </c>
      <c r="CL7" s="59" t="str">
        <f>Sheet8!H15</f>
        <v>Apr-w4</v>
      </c>
      <c r="CM7" s="59" t="str">
        <f>Sheet8!I15</f>
        <v>May-w1</v>
      </c>
      <c r="CN7" s="59" t="str">
        <f>Sheet8!J15</f>
        <v>May-w2</v>
      </c>
      <c r="CO7" s="59" t="str">
        <f>Sheet8!K15</f>
        <v>May-w3</v>
      </c>
      <c r="CP7" s="59" t="str">
        <f>Sheet8!L15</f>
        <v>May-w4</v>
      </c>
      <c r="CQ7" s="59" t="str">
        <f>Sheet8!M15</f>
        <v>May-w5</v>
      </c>
      <c r="CR7" s="59" t="str">
        <f>Sheet8!N15</f>
        <v>june-w1</v>
      </c>
      <c r="CS7" s="59" t="str">
        <f>Sheet8!O15</f>
        <v>june-w2</v>
      </c>
      <c r="CT7" s="59" t="str">
        <f>Sheet8!P15</f>
        <v>june-w3</v>
      </c>
      <c r="CU7" s="59" t="str">
        <f>Sheet8!Q15</f>
        <v>june-w4</v>
      </c>
      <c r="CV7" s="59" t="str">
        <f>Sheet8!R15</f>
        <v>Jul-w1</v>
      </c>
      <c r="CW7" s="59" t="str">
        <f>Sheet8!S15</f>
        <v>Jul-w2</v>
      </c>
      <c r="CX7" s="59" t="str">
        <f>Sheet8!T15</f>
        <v>Jul-w3</v>
      </c>
      <c r="CY7" s="59" t="str">
        <f>Sheet8!U15</f>
        <v>Jul-w4</v>
      </c>
      <c r="CZ7" s="59" t="str">
        <f>Sheet8!V15</f>
        <v>Aug-w1</v>
      </c>
      <c r="DA7" s="59" t="str">
        <f>Sheet8!W15</f>
        <v>Aug-w2</v>
      </c>
      <c r="DB7" s="59" t="str">
        <f>Sheet8!X15</f>
        <v>Aug-w3</v>
      </c>
      <c r="DC7" s="59" t="str">
        <f>Sheet8!Y15</f>
        <v>Aug-w4</v>
      </c>
      <c r="DD7" s="59" t="str">
        <f>Sheet8!Z15</f>
        <v>Sep-w1</v>
      </c>
      <c r="DE7" s="59" t="str">
        <f>Sheet8!AA15</f>
        <v>Sep-w2</v>
      </c>
      <c r="DF7" s="59" t="str">
        <f>Sheet8!AB15</f>
        <v>Sep-w3</v>
      </c>
      <c r="DG7" s="59" t="str">
        <f>Sheet8!AC15</f>
        <v>Sep-w4</v>
      </c>
      <c r="DH7" s="59" t="str">
        <f>Sheet8!AD15</f>
        <v>Oct-w1</v>
      </c>
      <c r="DI7" s="59" t="str">
        <f>Sheet8!AE15</f>
        <v>Oct-w2</v>
      </c>
      <c r="DJ7" s="59" t="str">
        <f>Sheet8!AF15</f>
        <v>Oct-w3</v>
      </c>
      <c r="DK7" s="59" t="str">
        <f>Sheet8!AG15</f>
        <v>Oct-w4</v>
      </c>
      <c r="DL7" s="59" t="str">
        <f>Sheet8!AH15</f>
        <v>Nov-w1</v>
      </c>
      <c r="DM7" s="59" t="str">
        <f>Sheet8!AI15</f>
        <v>Nov-w2</v>
      </c>
      <c r="DN7" s="59" t="str">
        <f>Sheet8!AJ15</f>
        <v>Nov-w3</v>
      </c>
      <c r="DO7" s="59" t="str">
        <f>Sheet8!AK15</f>
        <v>Nov-w4</v>
      </c>
      <c r="DP7" s="59" t="str">
        <f>Sheet8!AL15</f>
        <v>Dec-w1</v>
      </c>
      <c r="DQ7" s="59" t="str">
        <f>Sheet8!AM15</f>
        <v>Dec-w2</v>
      </c>
      <c r="DR7" s="59" t="str">
        <f>Sheet8!AN15</f>
        <v>Dec-w3</v>
      </c>
      <c r="DS7" s="59" t="str">
        <f>Sheet8!AO15</f>
        <v>Dec-w4</v>
      </c>
      <c r="DT7" s="59">
        <f>Sheet8!AP15</f>
        <v>0</v>
      </c>
      <c r="DU7" s="59">
        <f>Sheet8!AQ15</f>
        <v>0</v>
      </c>
      <c r="DV7" s="59">
        <f>Sheet8!AR15</f>
        <v>0</v>
      </c>
      <c r="DW7" s="59">
        <f>Sheet8!AS15</f>
        <v>0</v>
      </c>
      <c r="DX7" s="59">
        <f>Sheet8!AT15</f>
        <v>0</v>
      </c>
      <c r="DY7" s="59">
        <f>Sheet8!AU15</f>
        <v>0</v>
      </c>
      <c r="DZ7" s="59">
        <f>Sheet8!AV15</f>
        <v>0</v>
      </c>
      <c r="EA7" s="59">
        <f>Sheet8!AW15</f>
        <v>0</v>
      </c>
      <c r="EB7" s="59">
        <f>Sheet8!AX15</f>
        <v>0</v>
      </c>
      <c r="EC7" s="59">
        <f>Sheet8!AY15</f>
        <v>0</v>
      </c>
      <c r="ED7" s="59">
        <f>Sheet8!AZ15</f>
        <v>0</v>
      </c>
      <c r="EE7" s="59">
        <f>Sheet8!BA15</f>
        <v>0</v>
      </c>
      <c r="EF7" s="59">
        <f>Sheet8!BB15</f>
        <v>0</v>
      </c>
      <c r="EG7" s="59">
        <f>Sheet8!BC15</f>
        <v>0</v>
      </c>
      <c r="EH7" s="59">
        <f>Sheet8!BD15</f>
        <v>0</v>
      </c>
      <c r="EI7" s="59">
        <f>Sheet8!BE15</f>
        <v>0</v>
      </c>
      <c r="EJ7" s="59">
        <f>Sheet8!BF15</f>
        <v>0</v>
      </c>
      <c r="EK7" s="59">
        <f>Sheet8!BG15</f>
        <v>0</v>
      </c>
      <c r="EL7" s="59">
        <f>Sheet8!BH15</f>
        <v>0</v>
      </c>
      <c r="EM7" s="59">
        <f>Sheet8!BI15</f>
        <v>0</v>
      </c>
      <c r="EN7" s="59">
        <f>Sheet8!BJ15</f>
        <v>0</v>
      </c>
      <c r="EO7" s="59">
        <f>Sheet8!BK15</f>
        <v>0</v>
      </c>
      <c r="EP7" s="59">
        <f>Sheet8!BL15</f>
        <v>0</v>
      </c>
      <c r="EQ7" s="59">
        <f>Sheet8!BM15</f>
        <v>0</v>
      </c>
      <c r="ER7" s="59">
        <f>Sheet8!BN15</f>
        <v>0</v>
      </c>
      <c r="ES7" s="59">
        <f>Sheet8!BO15</f>
        <v>0</v>
      </c>
      <c r="ET7" s="59">
        <f>Sheet8!BP15</f>
        <v>0</v>
      </c>
      <c r="EU7" s="59">
        <f>Sheet8!BQ15</f>
        <v>0</v>
      </c>
      <c r="EV7" s="59">
        <f>Sheet8!BR15</f>
        <v>0</v>
      </c>
      <c r="EW7" s="59">
        <f>Sheet8!BS15</f>
        <v>0</v>
      </c>
      <c r="EX7" s="59">
        <f>Sheet8!BT15</f>
        <v>0</v>
      </c>
      <c r="EY7" s="59">
        <f>Sheet8!BU15</f>
        <v>0</v>
      </c>
      <c r="EZ7" s="59">
        <f>Sheet8!BV15</f>
        <v>0</v>
      </c>
    </row>
    <row r="8" spans="1:158" ht="13">
      <c r="H8" s="107" t="s">
        <v>357</v>
      </c>
      <c r="I8" s="74">
        <f>VLOOKUP($H$8&amp;$F$1,'Input RM sheet'!$A:$BD,H1,0)</f>
        <v>6.25</v>
      </c>
      <c r="J8" s="74">
        <f>VLOOKUP($H$8&amp;$F$1,'Input RM sheet'!$A:$BD,I1,0)</f>
        <v>6.25</v>
      </c>
      <c r="K8" s="74">
        <f>VLOOKUP($H$8&amp;$F$1,'Input RM sheet'!$A:$DD,J1,0)</f>
        <v>6.25</v>
      </c>
      <c r="L8" s="74">
        <f>VLOOKUP($H$8&amp;$F$1,'Input RM sheet'!$A:$DD,K1,0)</f>
        <v>6.25</v>
      </c>
      <c r="M8" s="74">
        <f>VLOOKUP($H$8&amp;$F$1,'Input RM sheet'!$A:$DD,L1,0)</f>
        <v>6.25</v>
      </c>
      <c r="N8" s="74">
        <f>VLOOKUP($H$8&amp;$F$1,'Input RM sheet'!$A:$DD,M1,0)</f>
        <v>5.3</v>
      </c>
      <c r="O8" s="74">
        <f>VLOOKUP($H$8&amp;$F$1,'Input RM sheet'!$A:$DD,N1,0)</f>
        <v>5.3</v>
      </c>
      <c r="P8" s="74">
        <f>VLOOKUP($H$8&amp;$F$1,'Input RM sheet'!$A:$DD,O1,0)</f>
        <v>5.3</v>
      </c>
      <c r="Q8" s="74">
        <f>VLOOKUP($H$8&amp;$F$1,'Input RM sheet'!$A:$DD,P1,0)</f>
        <v>5.3</v>
      </c>
      <c r="R8" s="74">
        <f>VLOOKUP($H$8&amp;$F$1,'Input RM sheet'!$A:$DD,Q1,0)</f>
        <v>5.6</v>
      </c>
      <c r="S8" s="74">
        <f>VLOOKUP($H$8&amp;$F$1,'Input RM sheet'!$A:$DD,R1,0)</f>
        <v>6.0000000390760473</v>
      </c>
      <c r="T8" s="74">
        <f>VLOOKUP($H$8&amp;$F$1,'Input RM sheet'!$A:$DD,S1,0)</f>
        <v>6.0000000390760473</v>
      </c>
      <c r="U8" s="74">
        <f>VLOOKUP($H$8&amp;$F$1,'Input RM sheet'!$A:$DD,T1,0)</f>
        <v>6.0000000390760473</v>
      </c>
      <c r="V8" s="74">
        <f>VLOOKUP($H$8&amp;$F$1,'Input RM sheet'!$A:$DD,U1,0)</f>
        <v>6.1999951368642678</v>
      </c>
      <c r="W8" s="74">
        <f>VLOOKUP($H$8&amp;$F$1,'Input RM sheet'!$A:$DD,V1,0)</f>
        <v>6.1178844584085725</v>
      </c>
      <c r="X8" s="74">
        <f>VLOOKUP($H$8&amp;$F$1,'Input RM sheet'!$A:$DD,W1,0)</f>
        <v>6.1178844584085725</v>
      </c>
      <c r="Y8" s="74">
        <f>VLOOKUP($H$8&amp;$F$1,'Input RM sheet'!$A:$DD,X1,0)</f>
        <v>6.3615692716258021</v>
      </c>
      <c r="Z8" s="74">
        <f>VLOOKUP($H$8&amp;$F$1,'Input RM sheet'!$A:$DD,Y1,0)</f>
        <v>6.3615692716258021</v>
      </c>
      <c r="AA8" s="74">
        <f>VLOOKUP($H$8&amp;$F$1,'Input RM sheet'!$A:$DD,Z1,0)</f>
        <v>5.9141635880017933</v>
      </c>
      <c r="AB8" s="74">
        <f>VLOOKUP($H$8&amp;$F$1,'Input RM sheet'!$A:$DD,AA1,0)</f>
        <v>5.8767527795542973</v>
      </c>
      <c r="AC8" s="74">
        <f>VLOOKUP($H$8&amp;$F$1,'Input RM sheet'!$A:$DD,AB1,0)</f>
        <v>5.8767527795542973</v>
      </c>
      <c r="AD8" s="74">
        <f>VLOOKUP($H$8&amp;$F$1,'Input RM sheet'!$A:$DD,AC1,0)</f>
        <v>5.8767527795542973</v>
      </c>
      <c r="AE8" s="74">
        <f>VLOOKUP($H$8&amp;$F$1,'Input RM sheet'!$A:$DD,AD1,0)</f>
        <v>6.2000084673447047</v>
      </c>
      <c r="AF8" s="74">
        <f>VLOOKUP($H$8&amp;$F$1,'Input RM sheet'!$A:$DD,AE1,0)</f>
        <v>6.2000084673447047</v>
      </c>
      <c r="AG8" s="74">
        <f>VLOOKUP($H$8&amp;$F$1,'Input RM sheet'!$A:$DD,AF1,0)</f>
        <v>6.3094247270011063</v>
      </c>
      <c r="AH8" s="74">
        <f>VLOOKUP($H$8&amp;$F$1,'Input RM sheet'!$A:$DD,AG1,0)</f>
        <v>6.3094247270011063</v>
      </c>
      <c r="AI8" s="74">
        <f>VLOOKUP($H$8&amp;$F$1,'Input RM sheet'!$A:$DD,AH1,0)</f>
        <v>6.7445384395761074</v>
      </c>
      <c r="AJ8" s="74">
        <f>VLOOKUP($H$8&amp;$F$1,'Input RM sheet'!$A:$DD,AI1,0)</f>
        <v>6.3209177030061694</v>
      </c>
      <c r="AK8" s="74">
        <f>VLOOKUP($H$8&amp;$F$1,'Input RM sheet'!$A:$DD,AJ1,0)</f>
        <v>6.3209177030061694</v>
      </c>
      <c r="AL8" s="74">
        <f>VLOOKUP($H$8&amp;$F$1,'Input RM sheet'!$A:$DD,AK1,0)</f>
        <v>6.48</v>
      </c>
      <c r="AM8" s="74">
        <f>VLOOKUP($H$8&amp;$F$1,'Input RM sheet'!$A:$DD,AL1,0)</f>
        <v>6.48</v>
      </c>
      <c r="AN8" s="74">
        <f>VLOOKUP($H$8&amp;$F$1,'Input RM sheet'!$A:$DD,AM1,0)</f>
        <v>6.48</v>
      </c>
      <c r="AO8" s="74">
        <f>VLOOKUP($H$8&amp;$F$1,'Input RM sheet'!$A:$DD,AN1,0)</f>
        <v>6.48</v>
      </c>
      <c r="AP8" s="74">
        <f>VLOOKUP($H$8&amp;$F$1,'Input RM sheet'!$A:$DD,AO1,0)</f>
        <v>6.48</v>
      </c>
      <c r="AQ8" s="74">
        <f>VLOOKUP($H$8&amp;$F$1,'Input RM sheet'!$A:$DD,AP1,0)</f>
        <v>6.6620097027260039</v>
      </c>
      <c r="AR8" s="74">
        <f>VLOOKUP($H$8&amp;$F$1,'Input RM sheet'!$A:$DD,AQ1,0)</f>
        <v>6.7107236721766004</v>
      </c>
      <c r="AS8" s="74">
        <f>VLOOKUP($H$8&amp;$F$1,'Input RM sheet'!$A:$DD,AR1,0)</f>
        <v>6.7107236721766004</v>
      </c>
      <c r="AT8" s="74">
        <f>VLOOKUP($H$8&amp;$F$1,'Input RM sheet'!$A:$DD,AS1,0)</f>
        <v>6.6486940757408739</v>
      </c>
      <c r="AU8" s="74">
        <f>VLOOKUP($H$8&amp;$F$1,'Input RM sheet'!$A:$DD,AT1,0)</f>
        <v>6.4870000000000001</v>
      </c>
      <c r="AV8" s="74">
        <f>VLOOKUP($H$8&amp;$F$1,'Input RM sheet'!$A:$DD,AU1,0)</f>
        <v>7.179508156686528</v>
      </c>
      <c r="AW8" s="74">
        <f>VLOOKUP($H$8&amp;$F$1,'Input RM sheet'!$A:$DD,AV1,0)</f>
        <v>7.179508156686528</v>
      </c>
      <c r="AX8" s="74">
        <f>VLOOKUP($H$8&amp;$F$1,'Input RM sheet'!$A:$DD,AW1,0)</f>
        <v>8.013927576601672</v>
      </c>
      <c r="AY8" s="74">
        <f>VLOOKUP($H$8&amp;$F$1,'Input RM sheet'!$A:$DD,AX1,0)</f>
        <v>8.0139363909389782</v>
      </c>
      <c r="AZ8" s="74">
        <f>VLOOKUP($H$8&amp;$F$1,'Input RM sheet'!$A:$DD,AY1,0)</f>
        <v>8.0139363909389782</v>
      </c>
      <c r="BA8" s="74">
        <f>VLOOKUP($H$8&amp;$F$1,'Input RM sheet'!$A:$DD,AZ1,0)</f>
        <v>8.0139363909389782</v>
      </c>
      <c r="BB8" s="74">
        <f>VLOOKUP($H$8&amp;$F$1,'Input RM sheet'!$A:$DD,BA1,0)</f>
        <v>8.0139363909389782</v>
      </c>
      <c r="BC8" s="74">
        <f>VLOOKUP($H$8&amp;$F$1,'Input RM sheet'!$A:$DD,BB1,0)</f>
        <v>8.0139363909389782</v>
      </c>
      <c r="BD8" s="74">
        <f>VLOOKUP($H$8&amp;$F$1,'Input RM sheet'!$A:$DD,BC1,0)</f>
        <v>8.0139363909389782</v>
      </c>
      <c r="BE8" s="74">
        <f>VLOOKUP($H$8&amp;$F$1,'Input RM sheet'!$A:$DD,BD1,0)</f>
        <v>8.0139363909389782</v>
      </c>
      <c r="BF8" s="74">
        <f>VLOOKUP($H$8&amp;$F$1,'Input RM sheet'!$A:$DD,BE1,0)</f>
        <v>8.0139363909389782</v>
      </c>
      <c r="BG8" s="74">
        <f>VLOOKUP($H$8&amp;$F$1,'Input RM sheet'!$A:$DD,BF1,0)</f>
        <v>8.0139363909389782</v>
      </c>
      <c r="BH8" s="74">
        <f>VLOOKUP($H$8&amp;$F$1,'Input RM sheet'!$A:$DD,BG1,0)</f>
        <v>8.0139363909389782</v>
      </c>
      <c r="BI8" s="74">
        <f>VLOOKUP($H$8&amp;$F$1,'Input RM sheet'!$A:$DD,BH1,0)</f>
        <v>8.0139363909389782</v>
      </c>
      <c r="BJ8" s="74">
        <f>VLOOKUP($H$8&amp;$F$1,'Input RM sheet'!$A:$DD,BI1,0)</f>
        <v>8.0139363909389782</v>
      </c>
      <c r="BK8" s="74">
        <f>VLOOKUP($H$8&amp;$F$1,'Input RM sheet'!$A:$DD,BJ1,0)</f>
        <v>7.4214269230769228</v>
      </c>
      <c r="BL8" s="74">
        <f>VLOOKUP($H$8&amp;$F$1,'Input RM sheet'!$A:$DD,BK1,0)</f>
        <v>7.4214269230769228</v>
      </c>
      <c r="BM8" s="74">
        <f>VLOOKUP($H$8&amp;$F$1,'Input RM sheet'!$A:$DD,BL1,0)</f>
        <v>7.4214269230769228</v>
      </c>
      <c r="BN8" s="74">
        <f>VLOOKUP($H$8&amp;$F$1,'Input RM sheet'!$A:$DD,BM1,0)</f>
        <v>7.4214269230769228</v>
      </c>
      <c r="BO8" s="74">
        <f>VLOOKUP($H$8&amp;$F$1,'Input RM sheet'!$A:$DD,BN1,0)</f>
        <v>7.4214269230769228</v>
      </c>
      <c r="BP8" s="74">
        <f>VLOOKUP($H$8&amp;$F$1,'Input RM sheet'!$A:$DD,BO1,0)</f>
        <v>7.4214269230769228</v>
      </c>
      <c r="BQ8" s="74">
        <f>VLOOKUP($H$8&amp;$F$1,'Input RM sheet'!$A:$DD,BP1,0)</f>
        <v>7.4214269230769228</v>
      </c>
      <c r="BR8" s="74">
        <f>VLOOKUP($H$8&amp;$F$1,'Input RM sheet'!$A:$DD,BQ1,0)</f>
        <v>7.4214269230769228</v>
      </c>
      <c r="BS8" s="74">
        <f>VLOOKUP($H$8&amp;$F$1,'Input RM sheet'!$A:$DD,BR1,0)</f>
        <v>7.4214269230769228</v>
      </c>
      <c r="BT8" s="74">
        <f>VLOOKUP($H$8&amp;$F$1,'Input RM sheet'!$A:$DD,BS1,0)</f>
        <v>7.4214269230769228</v>
      </c>
      <c r="BU8" s="74">
        <f>VLOOKUP($H$8&amp;$F$1,'Input RM sheet'!$A:$DD,BT1,0)</f>
        <v>7.4214269230769228</v>
      </c>
      <c r="BV8" s="74">
        <f>VLOOKUP($H$8&amp;$F$1,'Input RM sheet'!$A:$DD,BU1,0)</f>
        <v>7.4214269230769228</v>
      </c>
      <c r="BW8" s="74">
        <f>VLOOKUP($H$8&amp;$F$1,'Input RM sheet'!$A:$DD,BV1,0)</f>
        <v>7.4214269230769228</v>
      </c>
      <c r="BX8" s="74">
        <f>VLOOKUP($H$8&amp;$F$1,'Input RM sheet'!$A:$DD,BW1,0)</f>
        <v>7.4214269230769228</v>
      </c>
      <c r="BY8" s="74">
        <f>VLOOKUP($H$8&amp;$F$1,'Input RM sheet'!$A:$DD,BX1,0)</f>
        <v>7.4214269230769228</v>
      </c>
      <c r="BZ8" s="74">
        <f>VLOOKUP($H$8&amp;$F$1,'Input RM sheet'!$A:$DD,BY1,0)</f>
        <v>7.4214269230769228</v>
      </c>
      <c r="CA8" s="74">
        <f>VLOOKUP($H$8&amp;$F$1,'Input RM sheet'!$A:$DD,BZ1,0)</f>
        <v>7.7145674960943307</v>
      </c>
      <c r="CB8" s="74">
        <f>VLOOKUP($H$8&amp;$F$1,'Input RM sheet'!$A:$DD,CA1,0)</f>
        <v>7.7145674960943307</v>
      </c>
      <c r="CC8" s="74">
        <f>VLOOKUP($H$8&amp;$F$1,'Input RM sheet'!$A:$DD,CB1,0)</f>
        <v>7.7145674960943307</v>
      </c>
      <c r="CD8" s="74">
        <f>VLOOKUP($H$8&amp;$F$1,'Input RM sheet'!$A:$DD,CC1,0)</f>
        <v>7.7145674960943307</v>
      </c>
      <c r="CE8" s="74">
        <f>VLOOKUP($H$8&amp;$F$1,'Input RM sheet'!$A:$DD,CD1,0)</f>
        <v>7.7145674960943307</v>
      </c>
      <c r="CF8" s="74">
        <f>VLOOKUP($H$8&amp;$F$1,'Input RM sheet'!$A:$DD,CE1,0)</f>
        <v>7.7145674960943307</v>
      </c>
      <c r="CG8" s="74">
        <f>VLOOKUP($H$8&amp;$F$1,'Input RM sheet'!$A:$DD,CF1,0)</f>
        <v>7.7145674960943307</v>
      </c>
      <c r="CH8" s="74">
        <f>VLOOKUP($H$8&amp;$F$1,'Input RM sheet'!$A:$DD,CG1,0)</f>
        <v>7.7145674960943307</v>
      </c>
      <c r="CI8" s="74">
        <f>VLOOKUP($H$8&amp;$F$1,'Input RM sheet'!$A:$DD,CH1,0)</f>
        <v>7.7145674960943307</v>
      </c>
      <c r="CJ8" s="74">
        <f>VLOOKUP($H$8&amp;$F$1,'Input RM sheet'!$A:$DD,CI1,0)</f>
        <v>7.7145674960943307</v>
      </c>
      <c r="CK8" s="74">
        <f>VLOOKUP($H$8&amp;$F$1,'Input RM sheet'!$A:$DD,CJ1,0)</f>
        <v>7.7145674960943307</v>
      </c>
      <c r="CL8" s="74">
        <f>VLOOKUP($H$8&amp;$F$1,'Input RM sheet'!$A:$DD,CK1,0)</f>
        <v>7.7145674960943307</v>
      </c>
      <c r="CM8" s="74">
        <f>VLOOKUP($H$8&amp;$F$1,'Input RM sheet'!$A:$DD,CL1,0)</f>
        <v>7.7145674960943307</v>
      </c>
      <c r="CN8" s="74">
        <f>VLOOKUP($H$8&amp;$F$1,'Input RM sheet'!$A:$DD,CM1,0)</f>
        <v>7.7145674960943307</v>
      </c>
      <c r="CO8" s="74">
        <f>VLOOKUP($H$8&amp;$F$1,'Input RM sheet'!$A:$DD,CN1,0)</f>
        <v>7.7145674960943307</v>
      </c>
      <c r="CP8" s="74">
        <f>VLOOKUP($H$8&amp;$F$1,'Input RM sheet'!$A:$DD,CO1,0)</f>
        <v>7.7145674960943307</v>
      </c>
      <c r="CQ8" s="74">
        <f>VLOOKUP($H$8&amp;$F$1,'Input RM sheet'!$A:$DD,CP1,0)</f>
        <v>7.7145674960943307</v>
      </c>
      <c r="CR8" s="74">
        <f>VLOOKUP($H$8&amp;$F$1,'Input RM sheet'!$A:$ZZ,CQ1,0)</f>
        <v>7.7145674960943307</v>
      </c>
      <c r="CS8" s="74">
        <f>VLOOKUP($H$8&amp;$F$1,'Input RM sheet'!$A:$ZZ,CR1,0)</f>
        <v>7.7145674960943307</v>
      </c>
      <c r="CT8" s="74">
        <f>VLOOKUP($H$8&amp;$F$1,'Input RM sheet'!$A:$ZZ,CS1,0)</f>
        <v>7.7145674960943307</v>
      </c>
      <c r="CU8" s="74">
        <f>VLOOKUP($H$8&amp;$F$1,'Input RM sheet'!$A:$ZZ,CT1,0)</f>
        <v>7.7145674960943307</v>
      </c>
      <c r="CV8" s="74">
        <f>VLOOKUP($H$8&amp;$F$1,'Input RM sheet'!$A:$ZZ,CU1,0)</f>
        <v>7.7145674960943307</v>
      </c>
      <c r="CW8" s="74">
        <f>VLOOKUP($H$8&amp;$F$1,'Input RM sheet'!$A:$ZZ,CV1,0)</f>
        <v>7.7145674960943307</v>
      </c>
      <c r="CX8" s="74">
        <f>VLOOKUP($H$8&amp;$F$1,'Input RM sheet'!$A:$ZZ,CW1,0)</f>
        <v>7.7145674960943307</v>
      </c>
      <c r="CY8" s="74">
        <f>VLOOKUP($H$8&amp;$F$1,'Input RM sheet'!$A:$ZZ,CX1,0)</f>
        <v>7.7145674960943307</v>
      </c>
      <c r="CZ8" s="74">
        <f>VLOOKUP($H$8&amp;$F$1,'Input RM sheet'!$A:$ZZ,CY1,0)</f>
        <v>7.7145674960943307</v>
      </c>
      <c r="DA8" s="74">
        <f>VLOOKUP($H$8&amp;$F$1,'Input RM sheet'!$A:$ZZ,CZ1,0)</f>
        <v>7.7145674960943307</v>
      </c>
      <c r="DB8" s="74">
        <f>VLOOKUP($H$8&amp;$F$1,'Input RM sheet'!$A:$ZZ,DA1,0)</f>
        <v>7.7145674960943307</v>
      </c>
      <c r="DC8" s="74">
        <f>VLOOKUP($H$8&amp;$F$1,'Input RM sheet'!$A:$ZZ,DB1,0)</f>
        <v>7.7145674960943307</v>
      </c>
      <c r="DD8" s="74">
        <f>VLOOKUP($H$8&amp;$F$1,'Input RM sheet'!$A:$ZZ,DC1,0)</f>
        <v>7.7145674960943307</v>
      </c>
      <c r="DE8" s="74">
        <f>VLOOKUP($H$8&amp;$F$1,'Input RM sheet'!$A:$ZZ,DD1,0)</f>
        <v>7.7145674960943307</v>
      </c>
      <c r="DF8" s="74">
        <f>VLOOKUP($H$8&amp;$F$1,'Input RM sheet'!$A:$ZZ,DE1,0)</f>
        <v>7.7145674960943307</v>
      </c>
      <c r="DG8" s="74">
        <f>VLOOKUP($H$8&amp;$F$1,'Input RM sheet'!$A:$ZZ,DF1,0)</f>
        <v>7.7145674960943307</v>
      </c>
      <c r="DH8" s="74">
        <f>VLOOKUP($H$8&amp;$F$1,'Input RM sheet'!$A:$ZZ,DG1,0)</f>
        <v>7.7145674960943307</v>
      </c>
      <c r="DI8" s="74">
        <f>VLOOKUP($H$8&amp;$F$1,'Input RM sheet'!$A:$ZZ,DH1,0)</f>
        <v>7.7145674960943307</v>
      </c>
      <c r="DJ8" s="74">
        <f>VLOOKUP($H$8&amp;$F$1,'Input RM sheet'!$A:$ZZ,DI1,0)</f>
        <v>7.7145674960943307</v>
      </c>
      <c r="DK8" s="74">
        <f>VLOOKUP($H$8&amp;$F$1,'Input RM sheet'!$A:$ZZ,DJ1,0)</f>
        <v>7.7145674960943307</v>
      </c>
      <c r="DL8" s="74">
        <f>VLOOKUP($H$8&amp;$F$1,'Input RM sheet'!$A:$ZZ,DK1,0)</f>
        <v>7.7145674960943307</v>
      </c>
      <c r="DM8" s="74">
        <f>VLOOKUP($H$8&amp;$F$1,'Input RM sheet'!$A:$ZZ,DL1,0)</f>
        <v>7.7145674960943307</v>
      </c>
      <c r="DN8" s="74">
        <f>VLOOKUP($H$8&amp;$F$1,'Input RM sheet'!$A:$ZZ,DM1,0)</f>
        <v>7.7145674960943307</v>
      </c>
      <c r="DO8" s="74">
        <f>VLOOKUP($H$8&amp;$F$1,'Input RM sheet'!$A:$ZZ,DN1,0)</f>
        <v>7.7145674960943307</v>
      </c>
      <c r="DP8" s="74">
        <f>VLOOKUP($H$8&amp;$F$1,'Input RM sheet'!$A:$ZZ,DO1,0)</f>
        <v>7.7145674960943307</v>
      </c>
      <c r="DQ8" s="74">
        <f>VLOOKUP($H$8&amp;$F$1,'Input RM sheet'!$A:$ZZ,DP1,0)</f>
        <v>7.7145674960943307</v>
      </c>
      <c r="DR8" s="74">
        <f>VLOOKUP($H$8&amp;$F$1,'Input RM sheet'!$A:$ZZ,DQ1,0)</f>
        <v>7.7145674960943307</v>
      </c>
      <c r="DS8" s="74">
        <f>VLOOKUP($H$8&amp;$F$1,'Input RM sheet'!$A:$ZZ,DR1,0)</f>
        <v>7.7145674960943307</v>
      </c>
      <c r="DT8" s="74">
        <f>VLOOKUP($H$8&amp;$F$1,'Input RM sheet'!$A:$ZZ,DS1,0)</f>
        <v>0</v>
      </c>
      <c r="DU8" s="74">
        <f>VLOOKUP($H$8&amp;$F$1,'Input RM sheet'!$A:$ZZ,DT1,0)</f>
        <v>0</v>
      </c>
      <c r="DV8" s="74">
        <f>VLOOKUP($H$8&amp;$F$1,'Input RM sheet'!$A:$ZZ,DU1,0)</f>
        <v>0</v>
      </c>
      <c r="DW8" s="74">
        <f>VLOOKUP($H$8&amp;$F$1,'Input RM sheet'!$A:$ZZ,DV1,0)</f>
        <v>0</v>
      </c>
      <c r="DX8" s="74">
        <f>VLOOKUP($H$8&amp;$F$1,'Input RM sheet'!$A:$ZZ,DW1,0)</f>
        <v>0</v>
      </c>
      <c r="DY8" s="74">
        <f>VLOOKUP($H$8&amp;$F$1,'Input RM sheet'!$A:$ZZ,DX1,0)</f>
        <v>0</v>
      </c>
      <c r="DZ8" s="74">
        <f>VLOOKUP($H$8&amp;$F$1,'Input RM sheet'!$A:$ZZ,DY1,0)</f>
        <v>0</v>
      </c>
      <c r="EA8" s="74">
        <f>VLOOKUP($H$8&amp;$F$1,'Input RM sheet'!$A:$ZZ,DZ1,0)</f>
        <v>0</v>
      </c>
      <c r="EB8" s="74">
        <f>VLOOKUP($H$8&amp;$F$1,'Input RM sheet'!$A:$ZZ,EA1,0)</f>
        <v>0</v>
      </c>
      <c r="EC8" s="74">
        <f>VLOOKUP($H$8&amp;$F$1,'Input RM sheet'!$A:$ZZ,EB1,0)</f>
        <v>0</v>
      </c>
      <c r="ED8" s="74">
        <f>VLOOKUP($H$8&amp;$F$1,'Input RM sheet'!$A:$ZZ,EC1,0)</f>
        <v>0</v>
      </c>
      <c r="EE8" s="74">
        <f>VLOOKUP($H$8&amp;$F$1,'Input RM sheet'!$A:$ZZ,ED1,0)</f>
        <v>0</v>
      </c>
      <c r="EF8" s="74">
        <f>VLOOKUP($H$8&amp;$F$1,'Input RM sheet'!$A:$ZZ,EE1,0)</f>
        <v>0</v>
      </c>
      <c r="EG8" s="74">
        <f>VLOOKUP($H$8&amp;$F$1,'Input RM sheet'!$A:$ZZ,EF1,0)</f>
        <v>0</v>
      </c>
      <c r="EH8" s="74">
        <f>VLOOKUP($H$8&amp;$F$1,'Input RM sheet'!$A:$ZZ,EG1,0)</f>
        <v>0</v>
      </c>
      <c r="EI8" s="74">
        <f>VLOOKUP($H$8&amp;$F$1,'Input RM sheet'!$A:$ZZ,EH1,0)</f>
        <v>0</v>
      </c>
      <c r="EJ8" s="74">
        <f>VLOOKUP($H$8&amp;$F$1,'Input RM sheet'!$A:$ZZ,EI1,0)</f>
        <v>0</v>
      </c>
      <c r="EK8" s="74">
        <f>VLOOKUP($H$8&amp;$F$1,'Input RM sheet'!$A:$ZZ,EJ1,0)</f>
        <v>0</v>
      </c>
      <c r="EL8" s="74">
        <f>VLOOKUP($H$8&amp;$F$1,'Input RM sheet'!$A:$ZZ,EK1,0)</f>
        <v>0</v>
      </c>
      <c r="EM8" s="74">
        <f>VLOOKUP($H$8&amp;$F$1,'Input RM sheet'!$A:$ZZ,EL1,0)</f>
        <v>0</v>
      </c>
      <c r="EN8" s="74">
        <f>VLOOKUP($H$8&amp;$F$1,'Input RM sheet'!$A:$ZZ,EM1,0)</f>
        <v>0</v>
      </c>
      <c r="EO8" s="74">
        <f>VLOOKUP($H$8&amp;$F$1,'Input RM sheet'!$A:$ZZ,EN1,0)</f>
        <v>0</v>
      </c>
      <c r="EP8" s="74">
        <f>VLOOKUP($H$8&amp;$F$1,'Input RM sheet'!$A:$ZZ,EO1,0)</f>
        <v>0</v>
      </c>
      <c r="EQ8" s="74">
        <f>VLOOKUP($H$8&amp;$F$1,'Input RM sheet'!$A:$ZZ,EP1,0)</f>
        <v>0</v>
      </c>
      <c r="ER8" s="74">
        <f>VLOOKUP($H$8&amp;$F$1,'Input RM sheet'!$A:$ZZ,EQ1,0)</f>
        <v>0</v>
      </c>
      <c r="ES8" s="74">
        <f>VLOOKUP($H$8&amp;$F$1,'Input RM sheet'!$A:$ZZ,ER1,0)</f>
        <v>0</v>
      </c>
      <c r="ET8" s="74">
        <f>VLOOKUP($H$8&amp;$F$1,'Input RM sheet'!$A:$ZZ,ES1,0)</f>
        <v>0</v>
      </c>
      <c r="EU8" s="74">
        <f>VLOOKUP($H$8&amp;$F$1,'Input RM sheet'!$A:$ZZ,ET1,0)</f>
        <v>0</v>
      </c>
      <c r="EV8" s="74">
        <f>VLOOKUP($H$8&amp;$F$1,'Input RM sheet'!$A:$ZZ,EU1,0)</f>
        <v>0</v>
      </c>
      <c r="EW8" s="74">
        <f>VLOOKUP($H$8&amp;$F$1,'Input RM sheet'!$A:$ZZ,EV1,0)</f>
        <v>0</v>
      </c>
      <c r="EX8" s="74">
        <f>VLOOKUP($H$8&amp;$F$1,'Input RM sheet'!$A:$ZZ,EW1,0)</f>
        <v>0</v>
      </c>
      <c r="EY8" s="74">
        <f>VLOOKUP($H$8&amp;$F$1,'Input RM sheet'!$A:$ZZ,EX1,0)</f>
        <v>0</v>
      </c>
      <c r="EZ8" s="74">
        <f>VLOOKUP($H$8&amp;$F$1,'Input RM sheet'!$A:$ZZ,EY1,0)</f>
        <v>0</v>
      </c>
    </row>
    <row r="9" spans="1:158" ht="13">
      <c r="H9" s="107" t="s">
        <v>358</v>
      </c>
      <c r="I9" s="74"/>
      <c r="J9" s="74"/>
      <c r="K9" s="74"/>
      <c r="L9" s="74"/>
      <c r="M9" s="74"/>
      <c r="N9" s="74"/>
      <c r="O9" s="74"/>
      <c r="P9" s="74"/>
      <c r="Q9" s="74"/>
      <c r="R9" s="74"/>
      <c r="S9" s="74"/>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74"/>
      <c r="BG9" s="74"/>
      <c r="BH9" s="74"/>
      <c r="BI9" s="74"/>
      <c r="BJ9" s="74"/>
      <c r="BK9" s="74"/>
      <c r="BL9" s="74"/>
      <c r="BM9" s="74"/>
      <c r="BN9" s="74"/>
      <c r="BO9" s="74"/>
      <c r="BP9" s="74"/>
      <c r="BQ9" s="74"/>
      <c r="BR9" s="74"/>
      <c r="BS9" s="74"/>
      <c r="BT9" s="74"/>
      <c r="BU9" s="74"/>
      <c r="BV9" s="74"/>
      <c r="BW9" s="74"/>
      <c r="BX9" s="74"/>
      <c r="BY9" s="74"/>
      <c r="BZ9" s="74"/>
      <c r="CA9" s="74"/>
      <c r="CB9" s="74"/>
      <c r="CC9" s="74"/>
      <c r="CD9" s="74"/>
      <c r="CE9" s="74"/>
      <c r="CF9" s="74"/>
      <c r="CG9" s="74"/>
      <c r="CH9" s="74"/>
      <c r="CI9" s="74"/>
      <c r="CJ9" s="74"/>
      <c r="CK9" s="74"/>
      <c r="CL9" s="74"/>
      <c r="CM9" s="74"/>
      <c r="CN9" s="74"/>
      <c r="CO9" s="74"/>
      <c r="CP9" s="74"/>
      <c r="CQ9" s="74"/>
      <c r="CR9" s="74"/>
      <c r="CS9" s="74"/>
      <c r="CT9" s="74"/>
      <c r="CU9" s="74"/>
      <c r="CV9" s="74"/>
      <c r="CW9" s="74"/>
      <c r="CX9" s="74"/>
      <c r="CY9" s="74"/>
      <c r="CZ9" s="74"/>
      <c r="DA9" s="74"/>
      <c r="DB9" s="74"/>
      <c r="DC9" s="74"/>
      <c r="DD9" s="74"/>
      <c r="DE9" s="74"/>
      <c r="DF9" s="74"/>
      <c r="DG9" s="74"/>
      <c r="DH9" s="74"/>
      <c r="DI9" s="74"/>
      <c r="DJ9" s="74"/>
      <c r="DK9" s="74"/>
      <c r="DL9" s="74"/>
      <c r="DM9" s="74"/>
      <c r="DN9" s="74"/>
      <c r="DO9" s="74"/>
      <c r="DP9" s="74"/>
      <c r="DQ9" s="74"/>
      <c r="DR9" s="74"/>
      <c r="DS9" s="74"/>
      <c r="DT9" s="74"/>
      <c r="DU9" s="74"/>
      <c r="DV9" s="74"/>
      <c r="DW9" s="74"/>
      <c r="DX9" s="74"/>
      <c r="DY9" s="74"/>
      <c r="DZ9" s="74"/>
      <c r="EA9" s="74"/>
      <c r="EB9" s="74"/>
      <c r="EC9" s="74"/>
      <c r="ED9" s="74"/>
      <c r="EE9" s="74"/>
      <c r="EF9" s="74"/>
      <c r="EG9" s="74"/>
      <c r="EH9" s="74"/>
      <c r="EI9" s="74"/>
      <c r="EJ9" s="74"/>
      <c r="EK9" s="74"/>
      <c r="EL9" s="74"/>
      <c r="EM9" s="74"/>
      <c r="EN9" s="74"/>
      <c r="EO9" s="74"/>
      <c r="EP9" s="74"/>
      <c r="EQ9" s="74"/>
      <c r="ER9" s="74"/>
      <c r="ES9" s="74"/>
      <c r="ET9" s="74"/>
      <c r="EU9" s="74"/>
      <c r="EV9" s="74"/>
      <c r="EW9" s="74"/>
      <c r="EX9" s="74"/>
      <c r="EY9" s="74"/>
      <c r="EZ9" s="74"/>
    </row>
    <row r="10" spans="1:158" ht="13">
      <c r="A10" s="59" t="s">
        <v>395</v>
      </c>
      <c r="B10" s="59"/>
      <c r="C10" s="59" t="s">
        <v>379</v>
      </c>
      <c r="D10" s="98" t="s">
        <v>380</v>
      </c>
      <c r="E10" s="98" t="s">
        <v>381</v>
      </c>
      <c r="F10" s="59" t="s">
        <v>396</v>
      </c>
      <c r="H10" s="107"/>
      <c r="I10" s="84"/>
      <c r="J10" s="84"/>
      <c r="K10" s="84"/>
      <c r="L10" s="84"/>
      <c r="M10" s="84"/>
      <c r="N10" s="84"/>
      <c r="O10" s="84"/>
      <c r="P10" s="84"/>
      <c r="Q10" s="84"/>
      <c r="R10" s="84"/>
      <c r="S10" s="84"/>
      <c r="T10" s="84"/>
      <c r="U10" s="84"/>
      <c r="V10" s="84"/>
      <c r="W10" s="84"/>
      <c r="X10" s="84"/>
      <c r="Y10" s="84"/>
      <c r="Z10" s="84"/>
      <c r="AA10" s="84"/>
      <c r="AB10" s="84"/>
      <c r="AC10" s="84"/>
      <c r="AD10" s="84"/>
      <c r="AE10" s="84"/>
      <c r="AF10" s="84"/>
      <c r="AG10" s="84"/>
      <c r="AH10" s="84"/>
      <c r="AI10" s="84"/>
      <c r="AJ10" s="84"/>
      <c r="AK10" s="84"/>
      <c r="AL10" s="84"/>
      <c r="AM10" s="84"/>
      <c r="AN10" s="84"/>
      <c r="AO10" s="84"/>
      <c r="AP10" s="84"/>
      <c r="AQ10" s="84"/>
      <c r="AR10" s="84"/>
      <c r="AS10" s="84"/>
      <c r="AT10" s="84"/>
      <c r="AU10" s="84"/>
      <c r="AV10" s="84"/>
      <c r="AW10" s="84"/>
      <c r="AX10" s="84"/>
      <c r="AY10" s="84"/>
      <c r="AZ10" s="84"/>
      <c r="BA10" s="84"/>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84"/>
      <c r="CE10" s="84"/>
      <c r="CF10" s="84"/>
      <c r="CG10" s="84"/>
      <c r="CH10" s="84"/>
      <c r="CI10" s="84"/>
      <c r="CJ10" s="84"/>
      <c r="CK10" s="84"/>
      <c r="CL10" s="84"/>
      <c r="CM10" s="84"/>
      <c r="CN10" s="84"/>
      <c r="CO10" s="84"/>
      <c r="CP10" s="84"/>
      <c r="CQ10" s="84"/>
      <c r="CR10" s="84"/>
      <c r="CS10" s="84"/>
      <c r="CT10" s="84"/>
      <c r="CU10" s="84"/>
      <c r="CV10" s="84"/>
      <c r="CW10" s="84"/>
      <c r="CX10" s="84"/>
      <c r="CY10" s="84"/>
      <c r="CZ10" s="84"/>
      <c r="DA10" s="84"/>
      <c r="DB10" s="84"/>
      <c r="DC10" s="84"/>
      <c r="DD10" s="84"/>
      <c r="DE10" s="84"/>
      <c r="DF10" s="84"/>
      <c r="DG10" s="84"/>
      <c r="DH10" s="84"/>
      <c r="DI10" s="84"/>
      <c r="DJ10" s="84"/>
      <c r="DK10" s="84"/>
      <c r="DL10" s="84"/>
      <c r="DM10" s="84"/>
      <c r="DN10" s="84"/>
      <c r="DO10" s="84"/>
      <c r="DP10" s="84"/>
      <c r="DQ10" s="84"/>
      <c r="DR10" s="84"/>
      <c r="DS10" s="84"/>
      <c r="DT10" s="84"/>
      <c r="DU10" s="84"/>
      <c r="DV10" s="84"/>
      <c r="DW10" s="84"/>
      <c r="DX10" s="84"/>
      <c r="DY10" s="84"/>
      <c r="DZ10" s="84"/>
      <c r="EA10" s="84"/>
      <c r="EB10" s="84"/>
      <c r="EC10" s="84"/>
      <c r="ED10" s="84"/>
      <c r="EE10" s="84"/>
      <c r="EF10" s="84"/>
      <c r="EG10" s="84"/>
      <c r="EH10" s="84"/>
      <c r="EI10" s="84"/>
      <c r="EJ10" s="84"/>
      <c r="EK10" s="84"/>
      <c r="EL10" s="84"/>
      <c r="EM10" s="84"/>
      <c r="EN10" s="84"/>
      <c r="EO10" s="84"/>
      <c r="EP10" s="84"/>
      <c r="EQ10" s="84"/>
      <c r="ER10" s="84"/>
      <c r="ES10" s="84"/>
      <c r="ET10" s="84"/>
      <c r="EU10" s="84"/>
      <c r="EV10" s="84"/>
      <c r="EW10" s="84"/>
      <c r="EX10" s="84"/>
      <c r="EY10" s="84"/>
      <c r="EZ10" s="84"/>
    </row>
    <row r="11" spans="1:158" ht="13">
      <c r="A11" s="107" t="s">
        <v>397</v>
      </c>
      <c r="B11" s="107" t="s">
        <v>357</v>
      </c>
      <c r="C11" s="60">
        <v>1</v>
      </c>
      <c r="D11" s="65">
        <v>136.80000000000001</v>
      </c>
      <c r="E11" s="60">
        <f>D11*C11</f>
        <v>136.80000000000001</v>
      </c>
      <c r="F11" s="328">
        <f>E11/D3</f>
        <v>0.64895635673624286</v>
      </c>
      <c r="H11" s="60" t="s">
        <v>399</v>
      </c>
      <c r="I11" s="74">
        <f>$F$11*I8</f>
        <v>4.0559772296015177</v>
      </c>
      <c r="J11" s="74">
        <f t="shared" ref="J11:BU11" si="0">$F$11*J8</f>
        <v>4.0559772296015177</v>
      </c>
      <c r="K11" s="74">
        <f t="shared" si="0"/>
        <v>4.0559772296015177</v>
      </c>
      <c r="L11" s="74">
        <f t="shared" si="0"/>
        <v>4.0559772296015177</v>
      </c>
      <c r="M11" s="74">
        <f t="shared" si="0"/>
        <v>4.0559772296015177</v>
      </c>
      <c r="N11" s="74">
        <f t="shared" si="0"/>
        <v>3.4394686907020868</v>
      </c>
      <c r="O11" s="74">
        <f t="shared" si="0"/>
        <v>3.4394686907020868</v>
      </c>
      <c r="P11" s="74">
        <f t="shared" si="0"/>
        <v>3.4394686907020868</v>
      </c>
      <c r="Q11" s="74">
        <f t="shared" si="0"/>
        <v>3.4394686907020868</v>
      </c>
      <c r="R11" s="74">
        <f t="shared" si="0"/>
        <v>3.6341555977229598</v>
      </c>
      <c r="S11" s="74">
        <f t="shared" si="0"/>
        <v>3.8937381657761065</v>
      </c>
      <c r="T11" s="74">
        <f t="shared" si="0"/>
        <v>3.8937381657761065</v>
      </c>
      <c r="U11" s="74">
        <f t="shared" si="0"/>
        <v>3.8937381657761065</v>
      </c>
      <c r="V11" s="74">
        <f t="shared" si="0"/>
        <v>4.0235262558018583</v>
      </c>
      <c r="W11" s="74">
        <f t="shared" si="0"/>
        <v>3.9702400090621097</v>
      </c>
      <c r="X11" s="74">
        <f t="shared" si="0"/>
        <v>3.9702400090621097</v>
      </c>
      <c r="Y11" s="74">
        <f t="shared" si="0"/>
        <v>4.1283808176395143</v>
      </c>
      <c r="Z11" s="74">
        <f t="shared" si="0"/>
        <v>4.1283808176395143</v>
      </c>
      <c r="AA11" s="74">
        <f t="shared" si="0"/>
        <v>3.8380340552117898</v>
      </c>
      <c r="AB11" s="74">
        <f t="shared" si="0"/>
        <v>3.8137560732591456</v>
      </c>
      <c r="AC11" s="74">
        <f t="shared" si="0"/>
        <v>3.8137560732591456</v>
      </c>
      <c r="AD11" s="74">
        <f t="shared" si="0"/>
        <v>3.8137560732591456</v>
      </c>
      <c r="AE11" s="74">
        <f t="shared" si="0"/>
        <v>4.0235349067018769</v>
      </c>
      <c r="AF11" s="74">
        <f t="shared" si="0"/>
        <v>4.0235349067018769</v>
      </c>
      <c r="AG11" s="74">
        <f t="shared" si="0"/>
        <v>4.0945412839362021</v>
      </c>
      <c r="AH11" s="74">
        <f t="shared" si="0"/>
        <v>4.0945412839362021</v>
      </c>
      <c r="AI11" s="74">
        <f t="shared" si="0"/>
        <v>4.3769110936148552</v>
      </c>
      <c r="AJ11" s="74">
        <f t="shared" si="0"/>
        <v>4.1019997237725043</v>
      </c>
      <c r="AK11" s="74">
        <f t="shared" si="0"/>
        <v>4.1019997237725043</v>
      </c>
      <c r="AL11" s="74">
        <f t="shared" si="0"/>
        <v>4.2052371916508537</v>
      </c>
      <c r="AM11" s="74">
        <f t="shared" si="0"/>
        <v>4.2052371916508537</v>
      </c>
      <c r="AN11" s="74">
        <f t="shared" si="0"/>
        <v>4.2052371916508537</v>
      </c>
      <c r="AO11" s="74">
        <f t="shared" si="0"/>
        <v>4.2052371916508537</v>
      </c>
      <c r="AP11" s="74">
        <f t="shared" si="0"/>
        <v>4.2052371916508537</v>
      </c>
      <c r="AQ11" s="74">
        <f t="shared" si="0"/>
        <v>4.3233535452225675</v>
      </c>
      <c r="AR11" s="74">
        <f t="shared" si="0"/>
        <v>4.3549667853593874</v>
      </c>
      <c r="AS11" s="74">
        <f t="shared" si="0"/>
        <v>4.3549667853593874</v>
      </c>
      <c r="AT11" s="74">
        <f t="shared" si="0"/>
        <v>4.3147122844466388</v>
      </c>
      <c r="AU11" s="74">
        <f t="shared" si="0"/>
        <v>4.2097798861480076</v>
      </c>
      <c r="AV11" s="74">
        <f t="shared" si="0"/>
        <v>4.659187456521428</v>
      </c>
      <c r="AW11" s="74">
        <f t="shared" si="0"/>
        <v>4.659187456521428</v>
      </c>
      <c r="AX11" s="74">
        <f t="shared" si="0"/>
        <v>5.2006892432595286</v>
      </c>
      <c r="AY11" s="74">
        <f t="shared" si="0"/>
        <v>5.2006949633797541</v>
      </c>
      <c r="AZ11" s="74">
        <f t="shared" si="0"/>
        <v>5.2006949633797541</v>
      </c>
      <c r="BA11" s="74">
        <f t="shared" si="0"/>
        <v>5.2006949633797541</v>
      </c>
      <c r="BB11" s="74">
        <f t="shared" si="0"/>
        <v>5.2006949633797541</v>
      </c>
      <c r="BC11" s="74">
        <f t="shared" si="0"/>
        <v>5.2006949633797541</v>
      </c>
      <c r="BD11" s="74">
        <f t="shared" si="0"/>
        <v>5.2006949633797541</v>
      </c>
      <c r="BE11" s="74">
        <f t="shared" si="0"/>
        <v>5.2006949633797541</v>
      </c>
      <c r="BF11" s="74">
        <f t="shared" si="0"/>
        <v>5.2006949633797541</v>
      </c>
      <c r="BG11" s="74">
        <f t="shared" si="0"/>
        <v>5.2006949633797541</v>
      </c>
      <c r="BH11" s="74">
        <f t="shared" si="0"/>
        <v>5.2006949633797541</v>
      </c>
      <c r="BI11" s="74">
        <f t="shared" si="0"/>
        <v>5.2006949633797541</v>
      </c>
      <c r="BJ11" s="74">
        <f t="shared" si="0"/>
        <v>5.2006949633797541</v>
      </c>
      <c r="BK11" s="74">
        <f t="shared" si="0"/>
        <v>4.8161821777842651</v>
      </c>
      <c r="BL11" s="74">
        <f t="shared" si="0"/>
        <v>4.8161821777842651</v>
      </c>
      <c r="BM11" s="74">
        <f t="shared" si="0"/>
        <v>4.8161821777842651</v>
      </c>
      <c r="BN11" s="74">
        <f t="shared" si="0"/>
        <v>4.8161821777842651</v>
      </c>
      <c r="BO11" s="74">
        <f t="shared" si="0"/>
        <v>4.8161821777842651</v>
      </c>
      <c r="BP11" s="74">
        <f t="shared" si="0"/>
        <v>4.8161821777842651</v>
      </c>
      <c r="BQ11" s="74">
        <f t="shared" si="0"/>
        <v>4.8161821777842651</v>
      </c>
      <c r="BR11" s="74">
        <f t="shared" si="0"/>
        <v>4.8161821777842651</v>
      </c>
      <c r="BS11" s="74">
        <f t="shared" si="0"/>
        <v>4.8161821777842651</v>
      </c>
      <c r="BT11" s="74">
        <f t="shared" si="0"/>
        <v>4.8161821777842651</v>
      </c>
      <c r="BU11" s="74">
        <f t="shared" si="0"/>
        <v>4.8161821777842651</v>
      </c>
      <c r="BV11" s="74">
        <f t="shared" ref="BV11:CR11" si="1">$F$11*BV8</f>
        <v>4.8161821777842651</v>
      </c>
      <c r="BW11" s="74">
        <f t="shared" si="1"/>
        <v>4.8161821777842651</v>
      </c>
      <c r="BX11" s="74">
        <f t="shared" si="1"/>
        <v>4.8161821777842651</v>
      </c>
      <c r="BY11" s="74">
        <f t="shared" si="1"/>
        <v>4.8161821777842651</v>
      </c>
      <c r="BZ11" s="74">
        <f t="shared" si="1"/>
        <v>4.8161821777842651</v>
      </c>
      <c r="CA11" s="74">
        <f t="shared" si="1"/>
        <v>5.0064176160612162</v>
      </c>
      <c r="CB11" s="74">
        <f t="shared" si="1"/>
        <v>5.0064176160612162</v>
      </c>
      <c r="CC11" s="74">
        <f t="shared" si="1"/>
        <v>5.0064176160612162</v>
      </c>
      <c r="CD11" s="74">
        <f t="shared" si="1"/>
        <v>5.0064176160612162</v>
      </c>
      <c r="CE11" s="74">
        <f t="shared" si="1"/>
        <v>5.0064176160612162</v>
      </c>
      <c r="CF11" s="74">
        <f t="shared" si="1"/>
        <v>5.0064176160612162</v>
      </c>
      <c r="CG11" s="74">
        <f t="shared" si="1"/>
        <v>5.0064176160612162</v>
      </c>
      <c r="CH11" s="74">
        <f t="shared" si="1"/>
        <v>5.0064176160612162</v>
      </c>
      <c r="CI11" s="74">
        <f t="shared" si="1"/>
        <v>5.0064176160612162</v>
      </c>
      <c r="CJ11" s="74">
        <f t="shared" si="1"/>
        <v>5.0064176160612162</v>
      </c>
      <c r="CK11" s="74">
        <f t="shared" si="1"/>
        <v>5.0064176160612162</v>
      </c>
      <c r="CL11" s="74">
        <f t="shared" si="1"/>
        <v>5.0064176160612162</v>
      </c>
      <c r="CM11" s="74">
        <f t="shared" si="1"/>
        <v>5.0064176160612162</v>
      </c>
      <c r="CN11" s="74">
        <f t="shared" si="1"/>
        <v>5.0064176160612162</v>
      </c>
      <c r="CO11" s="74">
        <f t="shared" si="1"/>
        <v>5.0064176160612162</v>
      </c>
      <c r="CP11" s="74">
        <f t="shared" si="1"/>
        <v>5.0064176160612162</v>
      </c>
      <c r="CQ11" s="74">
        <f t="shared" si="1"/>
        <v>5.0064176160612162</v>
      </c>
      <c r="CR11" s="74">
        <f t="shared" si="1"/>
        <v>5.0064176160612162</v>
      </c>
      <c r="CS11" s="74">
        <f t="shared" ref="CS11:EZ11" si="2">$F$11*CS8</f>
        <v>5.0064176160612162</v>
      </c>
      <c r="CT11" s="74">
        <f t="shared" si="2"/>
        <v>5.0064176160612162</v>
      </c>
      <c r="CU11" s="74">
        <f t="shared" si="2"/>
        <v>5.0064176160612162</v>
      </c>
      <c r="CV11" s="74">
        <f t="shared" si="2"/>
        <v>5.0064176160612162</v>
      </c>
      <c r="CW11" s="74">
        <f t="shared" si="2"/>
        <v>5.0064176160612162</v>
      </c>
      <c r="CX11" s="74">
        <f t="shared" si="2"/>
        <v>5.0064176160612162</v>
      </c>
      <c r="CY11" s="74">
        <f t="shared" si="2"/>
        <v>5.0064176160612162</v>
      </c>
      <c r="CZ11" s="74">
        <f t="shared" si="2"/>
        <v>5.0064176160612162</v>
      </c>
      <c r="DA11" s="74">
        <f t="shared" si="2"/>
        <v>5.0064176160612162</v>
      </c>
      <c r="DB11" s="74">
        <f t="shared" si="2"/>
        <v>5.0064176160612162</v>
      </c>
      <c r="DC11" s="74">
        <f t="shared" si="2"/>
        <v>5.0064176160612162</v>
      </c>
      <c r="DD11" s="74">
        <f t="shared" si="2"/>
        <v>5.0064176160612162</v>
      </c>
      <c r="DE11" s="74">
        <f t="shared" si="2"/>
        <v>5.0064176160612162</v>
      </c>
      <c r="DF11" s="74">
        <f t="shared" si="2"/>
        <v>5.0064176160612162</v>
      </c>
      <c r="DG11" s="74">
        <f t="shared" si="2"/>
        <v>5.0064176160612162</v>
      </c>
      <c r="DH11" s="74">
        <f t="shared" si="2"/>
        <v>5.0064176160612162</v>
      </c>
      <c r="DI11" s="74">
        <f t="shared" si="2"/>
        <v>5.0064176160612162</v>
      </c>
      <c r="DJ11" s="74">
        <f t="shared" si="2"/>
        <v>5.0064176160612162</v>
      </c>
      <c r="DK11" s="74">
        <f t="shared" si="2"/>
        <v>5.0064176160612162</v>
      </c>
      <c r="DL11" s="74">
        <f t="shared" si="2"/>
        <v>5.0064176160612162</v>
      </c>
      <c r="DM11" s="74">
        <f t="shared" si="2"/>
        <v>5.0064176160612162</v>
      </c>
      <c r="DN11" s="74">
        <f t="shared" si="2"/>
        <v>5.0064176160612162</v>
      </c>
      <c r="DO11" s="74">
        <f t="shared" si="2"/>
        <v>5.0064176160612162</v>
      </c>
      <c r="DP11" s="74">
        <f t="shared" si="2"/>
        <v>5.0064176160612162</v>
      </c>
      <c r="DQ11" s="74">
        <f t="shared" si="2"/>
        <v>5.0064176160612162</v>
      </c>
      <c r="DR11" s="74">
        <f t="shared" si="2"/>
        <v>5.0064176160612162</v>
      </c>
      <c r="DS11" s="74">
        <f t="shared" si="2"/>
        <v>5.0064176160612162</v>
      </c>
      <c r="DT11" s="74">
        <f t="shared" si="2"/>
        <v>0</v>
      </c>
      <c r="DU11" s="74">
        <f t="shared" si="2"/>
        <v>0</v>
      </c>
      <c r="DV11" s="74">
        <f t="shared" si="2"/>
        <v>0</v>
      </c>
      <c r="DW11" s="74">
        <f t="shared" si="2"/>
        <v>0</v>
      </c>
      <c r="DX11" s="74">
        <f t="shared" si="2"/>
        <v>0</v>
      </c>
      <c r="DY11" s="74">
        <f t="shared" si="2"/>
        <v>0</v>
      </c>
      <c r="DZ11" s="74">
        <f t="shared" si="2"/>
        <v>0</v>
      </c>
      <c r="EA11" s="74">
        <f t="shared" si="2"/>
        <v>0</v>
      </c>
      <c r="EB11" s="74">
        <f t="shared" si="2"/>
        <v>0</v>
      </c>
      <c r="EC11" s="74">
        <f t="shared" si="2"/>
        <v>0</v>
      </c>
      <c r="ED11" s="74">
        <f t="shared" si="2"/>
        <v>0</v>
      </c>
      <c r="EE11" s="74">
        <f t="shared" si="2"/>
        <v>0</v>
      </c>
      <c r="EF11" s="74">
        <f t="shared" si="2"/>
        <v>0</v>
      </c>
      <c r="EG11" s="74">
        <f t="shared" si="2"/>
        <v>0</v>
      </c>
      <c r="EH11" s="74">
        <f t="shared" si="2"/>
        <v>0</v>
      </c>
      <c r="EI11" s="74">
        <f t="shared" si="2"/>
        <v>0</v>
      </c>
      <c r="EJ11" s="74">
        <f t="shared" si="2"/>
        <v>0</v>
      </c>
      <c r="EK11" s="74">
        <f t="shared" si="2"/>
        <v>0</v>
      </c>
      <c r="EL11" s="74">
        <f t="shared" si="2"/>
        <v>0</v>
      </c>
      <c r="EM11" s="74">
        <f t="shared" si="2"/>
        <v>0</v>
      </c>
      <c r="EN11" s="74">
        <f t="shared" si="2"/>
        <v>0</v>
      </c>
      <c r="EO11" s="74">
        <f t="shared" si="2"/>
        <v>0</v>
      </c>
      <c r="EP11" s="74">
        <f t="shared" si="2"/>
        <v>0</v>
      </c>
      <c r="EQ11" s="74">
        <f t="shared" si="2"/>
        <v>0</v>
      </c>
      <c r="ER11" s="74">
        <f t="shared" si="2"/>
        <v>0</v>
      </c>
      <c r="ES11" s="74">
        <f t="shared" si="2"/>
        <v>0</v>
      </c>
      <c r="ET11" s="74">
        <f t="shared" si="2"/>
        <v>0</v>
      </c>
      <c r="EU11" s="74">
        <f t="shared" si="2"/>
        <v>0</v>
      </c>
      <c r="EV11" s="74">
        <f t="shared" si="2"/>
        <v>0</v>
      </c>
      <c r="EW11" s="74">
        <f t="shared" si="2"/>
        <v>0</v>
      </c>
      <c r="EX11" s="74">
        <f t="shared" si="2"/>
        <v>0</v>
      </c>
      <c r="EY11" s="74">
        <f t="shared" si="2"/>
        <v>0</v>
      </c>
      <c r="EZ11" s="74">
        <f t="shared" si="2"/>
        <v>0</v>
      </c>
    </row>
    <row r="12" spans="1:158" ht="13">
      <c r="A12" s="67"/>
      <c r="B12" s="107" t="s">
        <v>358</v>
      </c>
      <c r="C12" s="60">
        <v>2</v>
      </c>
      <c r="D12" s="77">
        <v>74.12</v>
      </c>
      <c r="E12" s="60">
        <f>D12*C12</f>
        <v>148.24</v>
      </c>
      <c r="F12" s="328">
        <f>E12/D3</f>
        <v>0.70322580645161292</v>
      </c>
      <c r="I12" s="74"/>
      <c r="J12" s="74"/>
      <c r="K12" s="74"/>
      <c r="L12" s="74"/>
      <c r="M12" s="74"/>
      <c r="N12" s="74"/>
      <c r="O12" s="74"/>
      <c r="P12" s="74"/>
      <c r="Q12" s="74"/>
      <c r="R12" s="74"/>
      <c r="S12" s="74"/>
      <c r="T12" s="74"/>
      <c r="U12" s="74"/>
      <c r="V12" s="74"/>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c r="BL12" s="74"/>
      <c r="BM12" s="74"/>
      <c r="BN12" s="74"/>
      <c r="BO12" s="74"/>
      <c r="BP12" s="74"/>
      <c r="BQ12" s="74"/>
      <c r="BR12" s="74"/>
      <c r="BS12" s="74"/>
      <c r="BT12" s="74"/>
      <c r="BU12" s="74"/>
      <c r="BV12" s="74"/>
      <c r="BW12" s="74"/>
      <c r="BX12" s="74"/>
      <c r="BY12" s="74"/>
      <c r="BZ12" s="74"/>
      <c r="CA12" s="74"/>
      <c r="CB12" s="74"/>
      <c r="CC12" s="74"/>
      <c r="CD12" s="74"/>
      <c r="CE12" s="74"/>
      <c r="CF12" s="74"/>
      <c r="CG12" s="74"/>
      <c r="CH12" s="74"/>
      <c r="CI12" s="74"/>
      <c r="CJ12" s="74"/>
      <c r="CK12" s="74"/>
      <c r="CL12" s="74"/>
      <c r="CM12" s="74"/>
      <c r="CN12" s="74"/>
      <c r="CO12" s="74"/>
      <c r="CP12" s="74"/>
      <c r="CQ12" s="74"/>
      <c r="CR12" s="74"/>
      <c r="CS12" s="74"/>
      <c r="CT12" s="74"/>
      <c r="CU12" s="74"/>
      <c r="CV12" s="74"/>
      <c r="CW12" s="74"/>
      <c r="CX12" s="74"/>
      <c r="CY12" s="74"/>
      <c r="CZ12" s="74"/>
      <c r="DA12" s="74"/>
      <c r="DB12" s="74"/>
      <c r="DC12" s="74"/>
      <c r="DD12" s="74"/>
      <c r="DE12" s="74"/>
      <c r="DF12" s="74"/>
      <c r="DG12" s="74"/>
      <c r="DH12" s="74"/>
      <c r="DI12" s="74"/>
      <c r="DJ12" s="74"/>
      <c r="DK12" s="74"/>
      <c r="DL12" s="74"/>
      <c r="DM12" s="74"/>
      <c r="DN12" s="74"/>
      <c r="DO12" s="74"/>
      <c r="DP12" s="74"/>
      <c r="DQ12" s="74"/>
      <c r="DR12" s="74"/>
      <c r="DS12" s="74"/>
      <c r="DT12" s="74"/>
      <c r="DU12" s="74"/>
      <c r="DV12" s="74"/>
      <c r="DW12" s="74"/>
      <c r="DX12" s="74"/>
      <c r="DY12" s="74"/>
      <c r="DZ12" s="74"/>
      <c r="EA12" s="74"/>
      <c r="EB12" s="74"/>
      <c r="EC12" s="74"/>
      <c r="ED12" s="74"/>
      <c r="EE12" s="74"/>
      <c r="EF12" s="74"/>
      <c r="EG12" s="74"/>
      <c r="EH12" s="74"/>
      <c r="EI12" s="74"/>
      <c r="EJ12" s="74"/>
      <c r="EK12" s="74"/>
      <c r="EL12" s="74"/>
      <c r="EM12" s="74"/>
      <c r="EN12" s="74"/>
      <c r="EO12" s="74"/>
      <c r="EP12" s="74"/>
      <c r="EQ12" s="74"/>
      <c r="ER12" s="74"/>
      <c r="ES12" s="74"/>
      <c r="ET12" s="74"/>
      <c r="EU12" s="74"/>
      <c r="EV12" s="74"/>
      <c r="EW12" s="74"/>
      <c r="EX12" s="74"/>
      <c r="EY12" s="74"/>
      <c r="EZ12" s="74"/>
    </row>
    <row r="13" spans="1:158">
      <c r="A13" s="67"/>
      <c r="B13" s="107"/>
      <c r="D13" s="77"/>
      <c r="F13" s="65"/>
      <c r="I13" s="74"/>
      <c r="J13" s="74"/>
      <c r="K13" s="74"/>
      <c r="L13" s="74"/>
      <c r="M13" s="74"/>
      <c r="N13" s="74"/>
      <c r="O13" s="74"/>
      <c r="P13" s="74"/>
      <c r="Q13" s="74"/>
      <c r="R13" s="74"/>
      <c r="S13" s="74"/>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c r="BF13" s="74"/>
      <c r="BG13" s="74"/>
      <c r="BH13" s="74"/>
      <c r="BI13" s="74"/>
      <c r="BJ13" s="74"/>
      <c r="BK13" s="74"/>
      <c r="BL13" s="74"/>
      <c r="BM13" s="74"/>
      <c r="BN13" s="74"/>
      <c r="BO13" s="74"/>
      <c r="BP13" s="74"/>
      <c r="BQ13" s="74"/>
      <c r="BR13" s="74"/>
      <c r="BS13" s="74"/>
      <c r="BT13" s="74"/>
      <c r="BU13" s="74"/>
      <c r="BV13" s="74"/>
      <c r="BW13" s="74"/>
      <c r="BX13" s="74"/>
      <c r="BY13" s="74"/>
      <c r="BZ13" s="74"/>
      <c r="CA13" s="74"/>
      <c r="CB13" s="74"/>
      <c r="CC13" s="74"/>
      <c r="CD13" s="74"/>
      <c r="CE13" s="74"/>
      <c r="CF13" s="74"/>
      <c r="CG13" s="74"/>
      <c r="CH13" s="74"/>
      <c r="CI13" s="74"/>
      <c r="CJ13" s="74"/>
      <c r="CK13" s="74"/>
      <c r="CL13" s="74"/>
      <c r="CM13" s="74"/>
      <c r="CN13" s="74"/>
      <c r="CO13" s="74"/>
      <c r="CP13" s="74"/>
      <c r="CQ13" s="74"/>
      <c r="CR13" s="74"/>
      <c r="CS13" s="74"/>
      <c r="CT13" s="74"/>
      <c r="CU13" s="74"/>
      <c r="CV13" s="74"/>
      <c r="CW13" s="74"/>
      <c r="CX13" s="74"/>
      <c r="CY13" s="74"/>
      <c r="CZ13" s="74"/>
      <c r="DA13" s="74"/>
      <c r="DB13" s="74"/>
      <c r="DC13" s="74"/>
      <c r="DD13" s="74"/>
      <c r="DE13" s="74"/>
      <c r="DF13" s="74"/>
      <c r="DG13" s="74"/>
      <c r="DH13" s="74"/>
      <c r="DI13" s="74"/>
      <c r="DJ13" s="74"/>
      <c r="DK13" s="74"/>
      <c r="DL13" s="74"/>
      <c r="DM13" s="74"/>
      <c r="DN13" s="74"/>
      <c r="DO13" s="74"/>
      <c r="DP13" s="74"/>
      <c r="DQ13" s="74"/>
      <c r="DR13" s="74"/>
      <c r="DS13" s="74"/>
      <c r="DT13" s="74"/>
      <c r="DU13" s="74"/>
      <c r="DV13" s="74"/>
      <c r="DW13" s="74"/>
      <c r="DX13" s="74"/>
      <c r="DY13" s="74"/>
      <c r="DZ13" s="74"/>
      <c r="EA13" s="74"/>
      <c r="EB13" s="74"/>
      <c r="EC13" s="74"/>
      <c r="ED13" s="74"/>
      <c r="EE13" s="74"/>
      <c r="EF13" s="74"/>
      <c r="EG13" s="74"/>
      <c r="EH13" s="74"/>
      <c r="EI13" s="74"/>
      <c r="EJ13" s="74"/>
      <c r="EK13" s="74"/>
      <c r="EL13" s="74"/>
      <c r="EM13" s="74"/>
      <c r="EN13" s="74"/>
      <c r="EO13" s="74"/>
      <c r="EP13" s="74"/>
      <c r="EQ13" s="74"/>
      <c r="ER13" s="74"/>
      <c r="ES13" s="74"/>
      <c r="ET13" s="74"/>
      <c r="EU13" s="74"/>
      <c r="EV13" s="74"/>
      <c r="EW13" s="74"/>
      <c r="EX13" s="74"/>
      <c r="EY13" s="74"/>
      <c r="EZ13" s="74"/>
    </row>
    <row r="14" spans="1:158" s="104" customFormat="1">
      <c r="H14" s="104" t="s">
        <v>799</v>
      </c>
      <c r="I14" s="105">
        <f t="shared" ref="I14:AN14" si="3">SUM(I11:I11)</f>
        <v>4.0559772296015177</v>
      </c>
      <c r="J14" s="105">
        <f t="shared" si="3"/>
        <v>4.0559772296015177</v>
      </c>
      <c r="K14" s="105">
        <f t="shared" si="3"/>
        <v>4.0559772296015177</v>
      </c>
      <c r="L14" s="105">
        <f t="shared" si="3"/>
        <v>4.0559772296015177</v>
      </c>
      <c r="M14" s="105">
        <f t="shared" si="3"/>
        <v>4.0559772296015177</v>
      </c>
      <c r="N14" s="105">
        <f t="shared" si="3"/>
        <v>3.4394686907020868</v>
      </c>
      <c r="O14" s="105">
        <f t="shared" si="3"/>
        <v>3.4394686907020868</v>
      </c>
      <c r="P14" s="105">
        <f t="shared" si="3"/>
        <v>3.4394686907020868</v>
      </c>
      <c r="Q14" s="105">
        <f t="shared" si="3"/>
        <v>3.4394686907020868</v>
      </c>
      <c r="R14" s="105">
        <f t="shared" si="3"/>
        <v>3.6341555977229598</v>
      </c>
      <c r="S14" s="105">
        <f t="shared" si="3"/>
        <v>3.8937381657761065</v>
      </c>
      <c r="T14" s="105">
        <f t="shared" si="3"/>
        <v>3.8937381657761065</v>
      </c>
      <c r="U14" s="105">
        <f t="shared" si="3"/>
        <v>3.8937381657761065</v>
      </c>
      <c r="V14" s="105">
        <f t="shared" si="3"/>
        <v>4.0235262558018583</v>
      </c>
      <c r="W14" s="105">
        <f t="shared" si="3"/>
        <v>3.9702400090621097</v>
      </c>
      <c r="X14" s="105">
        <f t="shared" si="3"/>
        <v>3.9702400090621097</v>
      </c>
      <c r="Y14" s="105">
        <f t="shared" si="3"/>
        <v>4.1283808176395143</v>
      </c>
      <c r="Z14" s="105">
        <f t="shared" si="3"/>
        <v>4.1283808176395143</v>
      </c>
      <c r="AA14" s="105">
        <f t="shared" si="3"/>
        <v>3.8380340552117898</v>
      </c>
      <c r="AB14" s="105">
        <f t="shared" si="3"/>
        <v>3.8137560732591456</v>
      </c>
      <c r="AC14" s="105">
        <f t="shared" si="3"/>
        <v>3.8137560732591456</v>
      </c>
      <c r="AD14" s="105">
        <f t="shared" si="3"/>
        <v>3.8137560732591456</v>
      </c>
      <c r="AE14" s="105">
        <f t="shared" si="3"/>
        <v>4.0235349067018769</v>
      </c>
      <c r="AF14" s="105">
        <f t="shared" si="3"/>
        <v>4.0235349067018769</v>
      </c>
      <c r="AG14" s="105">
        <f t="shared" si="3"/>
        <v>4.0945412839362021</v>
      </c>
      <c r="AH14" s="105">
        <f t="shared" si="3"/>
        <v>4.0945412839362021</v>
      </c>
      <c r="AI14" s="105">
        <f t="shared" si="3"/>
        <v>4.3769110936148552</v>
      </c>
      <c r="AJ14" s="105">
        <f t="shared" si="3"/>
        <v>4.1019997237725043</v>
      </c>
      <c r="AK14" s="105">
        <f t="shared" si="3"/>
        <v>4.1019997237725043</v>
      </c>
      <c r="AL14" s="105">
        <f t="shared" si="3"/>
        <v>4.2052371916508537</v>
      </c>
      <c r="AM14" s="105">
        <f t="shared" si="3"/>
        <v>4.2052371916508537</v>
      </c>
      <c r="AN14" s="105">
        <f t="shared" si="3"/>
        <v>4.2052371916508537</v>
      </c>
      <c r="AO14" s="105">
        <f t="shared" ref="AO14:CR14" si="4">SUM(AO11:AO11)</f>
        <v>4.2052371916508537</v>
      </c>
      <c r="AP14" s="105">
        <f t="shared" si="4"/>
        <v>4.2052371916508537</v>
      </c>
      <c r="AQ14" s="105">
        <f t="shared" si="4"/>
        <v>4.3233535452225675</v>
      </c>
      <c r="AR14" s="105">
        <f t="shared" si="4"/>
        <v>4.3549667853593874</v>
      </c>
      <c r="AS14" s="105">
        <f t="shared" si="4"/>
        <v>4.3549667853593874</v>
      </c>
      <c r="AT14" s="105">
        <f t="shared" si="4"/>
        <v>4.3147122844466388</v>
      </c>
      <c r="AU14" s="105">
        <f t="shared" si="4"/>
        <v>4.2097798861480076</v>
      </c>
      <c r="AV14" s="105">
        <f t="shared" si="4"/>
        <v>4.659187456521428</v>
      </c>
      <c r="AW14" s="105">
        <f t="shared" si="4"/>
        <v>4.659187456521428</v>
      </c>
      <c r="AX14" s="105">
        <f t="shared" si="4"/>
        <v>5.2006892432595286</v>
      </c>
      <c r="AY14" s="105">
        <f t="shared" si="4"/>
        <v>5.2006949633797541</v>
      </c>
      <c r="AZ14" s="105">
        <f t="shared" si="4"/>
        <v>5.2006949633797541</v>
      </c>
      <c r="BA14" s="105">
        <f t="shared" si="4"/>
        <v>5.2006949633797541</v>
      </c>
      <c r="BB14" s="105">
        <f t="shared" si="4"/>
        <v>5.2006949633797541</v>
      </c>
      <c r="BC14" s="105">
        <f t="shared" si="4"/>
        <v>5.2006949633797541</v>
      </c>
      <c r="BD14" s="105">
        <f t="shared" si="4"/>
        <v>5.2006949633797541</v>
      </c>
      <c r="BE14" s="105">
        <f t="shared" si="4"/>
        <v>5.2006949633797541</v>
      </c>
      <c r="BF14" s="105">
        <f t="shared" si="4"/>
        <v>5.2006949633797541</v>
      </c>
      <c r="BG14" s="105">
        <f t="shared" si="4"/>
        <v>5.2006949633797541</v>
      </c>
      <c r="BH14" s="105">
        <f t="shared" si="4"/>
        <v>5.2006949633797541</v>
      </c>
      <c r="BI14" s="105">
        <f t="shared" si="4"/>
        <v>5.2006949633797541</v>
      </c>
      <c r="BJ14" s="105">
        <f t="shared" si="4"/>
        <v>5.2006949633797541</v>
      </c>
      <c r="BK14" s="105">
        <f t="shared" si="4"/>
        <v>4.8161821777842651</v>
      </c>
      <c r="BL14" s="105">
        <f t="shared" si="4"/>
        <v>4.8161821777842651</v>
      </c>
      <c r="BM14" s="105">
        <f t="shared" si="4"/>
        <v>4.8161821777842651</v>
      </c>
      <c r="BN14" s="105">
        <f t="shared" si="4"/>
        <v>4.8161821777842651</v>
      </c>
      <c r="BO14" s="105">
        <f t="shared" si="4"/>
        <v>4.8161821777842651</v>
      </c>
      <c r="BP14" s="105">
        <f t="shared" si="4"/>
        <v>4.8161821777842651</v>
      </c>
      <c r="BQ14" s="105">
        <f t="shared" si="4"/>
        <v>4.8161821777842651</v>
      </c>
      <c r="BR14" s="105">
        <f t="shared" si="4"/>
        <v>4.8161821777842651</v>
      </c>
      <c r="BS14" s="105">
        <f t="shared" si="4"/>
        <v>4.8161821777842651</v>
      </c>
      <c r="BT14" s="105">
        <f t="shared" si="4"/>
        <v>4.8161821777842651</v>
      </c>
      <c r="BU14" s="105">
        <f t="shared" si="4"/>
        <v>4.8161821777842651</v>
      </c>
      <c r="BV14" s="105">
        <f t="shared" si="4"/>
        <v>4.8161821777842651</v>
      </c>
      <c r="BW14" s="105">
        <f t="shared" si="4"/>
        <v>4.8161821777842651</v>
      </c>
      <c r="BX14" s="105">
        <f t="shared" si="4"/>
        <v>4.8161821777842651</v>
      </c>
      <c r="BY14" s="105">
        <f t="shared" si="4"/>
        <v>4.8161821777842651</v>
      </c>
      <c r="BZ14" s="105">
        <f t="shared" si="4"/>
        <v>4.8161821777842651</v>
      </c>
      <c r="CA14" s="105">
        <f t="shared" si="4"/>
        <v>5.0064176160612162</v>
      </c>
      <c r="CB14" s="105">
        <f t="shared" si="4"/>
        <v>5.0064176160612162</v>
      </c>
      <c r="CC14" s="105">
        <f t="shared" si="4"/>
        <v>5.0064176160612162</v>
      </c>
      <c r="CD14" s="105">
        <f t="shared" si="4"/>
        <v>5.0064176160612162</v>
      </c>
      <c r="CE14" s="105">
        <f t="shared" si="4"/>
        <v>5.0064176160612162</v>
      </c>
      <c r="CF14" s="105">
        <f t="shared" si="4"/>
        <v>5.0064176160612162</v>
      </c>
      <c r="CG14" s="105">
        <f t="shared" si="4"/>
        <v>5.0064176160612162</v>
      </c>
      <c r="CH14" s="105">
        <f t="shared" si="4"/>
        <v>5.0064176160612162</v>
      </c>
      <c r="CI14" s="105">
        <f t="shared" si="4"/>
        <v>5.0064176160612162</v>
      </c>
      <c r="CJ14" s="105">
        <f t="shared" si="4"/>
        <v>5.0064176160612162</v>
      </c>
      <c r="CK14" s="105">
        <f t="shared" si="4"/>
        <v>5.0064176160612162</v>
      </c>
      <c r="CL14" s="105">
        <f t="shared" si="4"/>
        <v>5.0064176160612162</v>
      </c>
      <c r="CM14" s="105">
        <f t="shared" si="4"/>
        <v>5.0064176160612162</v>
      </c>
      <c r="CN14" s="105">
        <f t="shared" si="4"/>
        <v>5.0064176160612162</v>
      </c>
      <c r="CO14" s="105">
        <f t="shared" si="4"/>
        <v>5.0064176160612162</v>
      </c>
      <c r="CP14" s="105">
        <f t="shared" si="4"/>
        <v>5.0064176160612162</v>
      </c>
      <c r="CQ14" s="105">
        <f t="shared" si="4"/>
        <v>5.0064176160612162</v>
      </c>
      <c r="CR14" s="105">
        <f t="shared" si="4"/>
        <v>5.0064176160612162</v>
      </c>
      <c r="CS14" s="105">
        <f t="shared" ref="CS14:EZ14" si="5">SUM(CS11:CS11)</f>
        <v>5.0064176160612162</v>
      </c>
      <c r="CT14" s="105">
        <f t="shared" si="5"/>
        <v>5.0064176160612162</v>
      </c>
      <c r="CU14" s="105">
        <f t="shared" si="5"/>
        <v>5.0064176160612162</v>
      </c>
      <c r="CV14" s="105">
        <f t="shared" si="5"/>
        <v>5.0064176160612162</v>
      </c>
      <c r="CW14" s="105">
        <f t="shared" si="5"/>
        <v>5.0064176160612162</v>
      </c>
      <c r="CX14" s="105">
        <f t="shared" si="5"/>
        <v>5.0064176160612162</v>
      </c>
      <c r="CY14" s="105">
        <f t="shared" si="5"/>
        <v>5.0064176160612162</v>
      </c>
      <c r="CZ14" s="105">
        <f t="shared" si="5"/>
        <v>5.0064176160612162</v>
      </c>
      <c r="DA14" s="105">
        <f t="shared" si="5"/>
        <v>5.0064176160612162</v>
      </c>
      <c r="DB14" s="105">
        <f t="shared" si="5"/>
        <v>5.0064176160612162</v>
      </c>
      <c r="DC14" s="105">
        <f t="shared" si="5"/>
        <v>5.0064176160612162</v>
      </c>
      <c r="DD14" s="105">
        <f t="shared" si="5"/>
        <v>5.0064176160612162</v>
      </c>
      <c r="DE14" s="105">
        <f t="shared" si="5"/>
        <v>5.0064176160612162</v>
      </c>
      <c r="DF14" s="105">
        <f t="shared" si="5"/>
        <v>5.0064176160612162</v>
      </c>
      <c r="DG14" s="105">
        <f t="shared" si="5"/>
        <v>5.0064176160612162</v>
      </c>
      <c r="DH14" s="105">
        <f t="shared" si="5"/>
        <v>5.0064176160612162</v>
      </c>
      <c r="DI14" s="105">
        <f t="shared" si="5"/>
        <v>5.0064176160612162</v>
      </c>
      <c r="DJ14" s="105">
        <f t="shared" si="5"/>
        <v>5.0064176160612162</v>
      </c>
      <c r="DK14" s="105">
        <f t="shared" si="5"/>
        <v>5.0064176160612162</v>
      </c>
      <c r="DL14" s="105">
        <f t="shared" si="5"/>
        <v>5.0064176160612162</v>
      </c>
      <c r="DM14" s="105">
        <f t="shared" si="5"/>
        <v>5.0064176160612162</v>
      </c>
      <c r="DN14" s="105">
        <f t="shared" si="5"/>
        <v>5.0064176160612162</v>
      </c>
      <c r="DO14" s="105">
        <f t="shared" si="5"/>
        <v>5.0064176160612162</v>
      </c>
      <c r="DP14" s="105">
        <f t="shared" si="5"/>
        <v>5.0064176160612162</v>
      </c>
      <c r="DQ14" s="105">
        <f t="shared" si="5"/>
        <v>5.0064176160612162</v>
      </c>
      <c r="DR14" s="105">
        <f t="shared" si="5"/>
        <v>5.0064176160612162</v>
      </c>
      <c r="DS14" s="105">
        <f t="shared" si="5"/>
        <v>5.0064176160612162</v>
      </c>
      <c r="DT14" s="105">
        <f t="shared" si="5"/>
        <v>0</v>
      </c>
      <c r="DU14" s="105">
        <f t="shared" si="5"/>
        <v>0</v>
      </c>
      <c r="DV14" s="105">
        <f t="shared" si="5"/>
        <v>0</v>
      </c>
      <c r="DW14" s="105">
        <f t="shared" si="5"/>
        <v>0</v>
      </c>
      <c r="DX14" s="105">
        <f t="shared" si="5"/>
        <v>0</v>
      </c>
      <c r="DY14" s="105">
        <f t="shared" si="5"/>
        <v>0</v>
      </c>
      <c r="DZ14" s="105">
        <f t="shared" si="5"/>
        <v>0</v>
      </c>
      <c r="EA14" s="105">
        <f t="shared" si="5"/>
        <v>0</v>
      </c>
      <c r="EB14" s="105">
        <f t="shared" si="5"/>
        <v>0</v>
      </c>
      <c r="EC14" s="105">
        <f t="shared" si="5"/>
        <v>0</v>
      </c>
      <c r="ED14" s="105">
        <f t="shared" si="5"/>
        <v>0</v>
      </c>
      <c r="EE14" s="105">
        <f t="shared" si="5"/>
        <v>0</v>
      </c>
      <c r="EF14" s="105">
        <f t="shared" si="5"/>
        <v>0</v>
      </c>
      <c r="EG14" s="105">
        <f t="shared" si="5"/>
        <v>0</v>
      </c>
      <c r="EH14" s="105">
        <f t="shared" si="5"/>
        <v>0</v>
      </c>
      <c r="EI14" s="105">
        <f t="shared" si="5"/>
        <v>0</v>
      </c>
      <c r="EJ14" s="105">
        <f t="shared" si="5"/>
        <v>0</v>
      </c>
      <c r="EK14" s="105">
        <f t="shared" si="5"/>
        <v>0</v>
      </c>
      <c r="EL14" s="105">
        <f t="shared" si="5"/>
        <v>0</v>
      </c>
      <c r="EM14" s="105">
        <f t="shared" si="5"/>
        <v>0</v>
      </c>
      <c r="EN14" s="105">
        <f t="shared" si="5"/>
        <v>0</v>
      </c>
      <c r="EO14" s="105">
        <f t="shared" si="5"/>
        <v>0</v>
      </c>
      <c r="EP14" s="105">
        <f t="shared" si="5"/>
        <v>0</v>
      </c>
      <c r="EQ14" s="105">
        <f t="shared" si="5"/>
        <v>0</v>
      </c>
      <c r="ER14" s="105">
        <f t="shared" si="5"/>
        <v>0</v>
      </c>
      <c r="ES14" s="105">
        <f t="shared" si="5"/>
        <v>0</v>
      </c>
      <c r="ET14" s="105">
        <f t="shared" si="5"/>
        <v>0</v>
      </c>
      <c r="EU14" s="105">
        <f t="shared" si="5"/>
        <v>0</v>
      </c>
      <c r="EV14" s="105">
        <f t="shared" si="5"/>
        <v>0</v>
      </c>
      <c r="EW14" s="105">
        <f t="shared" si="5"/>
        <v>0</v>
      </c>
      <c r="EX14" s="105">
        <f t="shared" si="5"/>
        <v>0</v>
      </c>
      <c r="EY14" s="105">
        <f t="shared" si="5"/>
        <v>0</v>
      </c>
      <c r="EZ14" s="105">
        <f t="shared" si="5"/>
        <v>0</v>
      </c>
    </row>
    <row r="15" spans="1:158" s="104" customFormat="1">
      <c r="H15" s="60"/>
      <c r="I15" s="105"/>
      <c r="J15" s="105"/>
      <c r="K15" s="105"/>
      <c r="L15" s="105"/>
      <c r="M15" s="105"/>
      <c r="N15" s="105"/>
      <c r="O15" s="105"/>
      <c r="P15" s="105"/>
      <c r="Q15" s="105"/>
      <c r="R15" s="105"/>
      <c r="S15" s="105"/>
      <c r="T15" s="105"/>
      <c r="U15" s="105"/>
      <c r="V15" s="105"/>
      <c r="W15" s="105"/>
      <c r="X15" s="105"/>
      <c r="Y15" s="105"/>
      <c r="Z15" s="105"/>
      <c r="AA15" s="105"/>
      <c r="AB15" s="105"/>
      <c r="AC15" s="105"/>
      <c r="AD15" s="105"/>
      <c r="AE15" s="105"/>
      <c r="AF15" s="105"/>
      <c r="AG15" s="105"/>
      <c r="AH15" s="105"/>
      <c r="AI15" s="105"/>
      <c r="AJ15" s="105"/>
      <c r="AK15" s="105"/>
      <c r="AL15" s="105"/>
      <c r="AM15" s="105"/>
      <c r="AN15" s="105"/>
      <c r="AO15" s="105"/>
      <c r="AP15" s="105"/>
      <c r="AQ15" s="105"/>
      <c r="AR15" s="105"/>
      <c r="AS15" s="105"/>
      <c r="AT15" s="105"/>
      <c r="AU15" s="105"/>
      <c r="AV15" s="105"/>
      <c r="AW15" s="105"/>
      <c r="AX15" s="105"/>
      <c r="AY15" s="105"/>
      <c r="AZ15" s="105"/>
      <c r="BA15" s="105"/>
      <c r="BB15" s="105"/>
      <c r="BC15" s="105"/>
      <c r="BD15" s="105"/>
      <c r="BE15" s="105"/>
      <c r="BF15" s="105"/>
      <c r="BG15" s="105"/>
      <c r="BH15" s="105"/>
      <c r="BI15" s="105"/>
      <c r="BJ15" s="105"/>
      <c r="BK15" s="105"/>
      <c r="BL15" s="105"/>
      <c r="BM15" s="105"/>
      <c r="BN15" s="105"/>
      <c r="BO15" s="105"/>
      <c r="BP15" s="105"/>
      <c r="BQ15" s="105"/>
      <c r="BR15" s="105"/>
      <c r="BS15" s="105"/>
      <c r="BT15" s="105"/>
      <c r="BU15" s="105"/>
      <c r="BV15" s="105"/>
      <c r="BW15" s="105"/>
      <c r="BX15" s="105"/>
      <c r="BY15" s="105"/>
      <c r="BZ15" s="105"/>
      <c r="CA15" s="105"/>
      <c r="CB15" s="105"/>
      <c r="CC15" s="105"/>
      <c r="CD15" s="105"/>
      <c r="CE15" s="105"/>
      <c r="CF15" s="105"/>
      <c r="CG15" s="105"/>
      <c r="CH15" s="105"/>
      <c r="CI15" s="105"/>
      <c r="CJ15" s="105"/>
      <c r="CK15" s="105"/>
      <c r="CL15" s="105"/>
      <c r="CM15" s="105"/>
      <c r="CN15" s="105"/>
      <c r="CO15" s="105"/>
      <c r="CP15" s="105"/>
      <c r="CQ15" s="105"/>
      <c r="CR15" s="105"/>
      <c r="CS15" s="105"/>
      <c r="CT15" s="105"/>
      <c r="CU15" s="105"/>
      <c r="CV15" s="105"/>
      <c r="CW15" s="105"/>
      <c r="CX15" s="105"/>
      <c r="CY15" s="105"/>
      <c r="CZ15" s="105"/>
      <c r="DA15" s="105"/>
      <c r="DB15" s="105"/>
      <c r="DC15" s="105"/>
      <c r="DD15" s="105"/>
      <c r="DE15" s="105"/>
      <c r="DF15" s="105"/>
      <c r="DG15" s="105"/>
      <c r="DH15" s="105"/>
      <c r="DI15" s="105"/>
      <c r="DJ15" s="105"/>
      <c r="DK15" s="105"/>
      <c r="DL15" s="105"/>
      <c r="DM15" s="105"/>
      <c r="DN15" s="105"/>
      <c r="DO15" s="105"/>
      <c r="DP15" s="105"/>
      <c r="DQ15" s="105"/>
      <c r="DR15" s="105"/>
      <c r="DS15" s="105"/>
      <c r="DT15" s="105"/>
      <c r="DU15" s="105"/>
      <c r="DV15" s="105"/>
      <c r="DW15" s="105"/>
      <c r="DX15" s="105"/>
      <c r="DY15" s="105"/>
      <c r="DZ15" s="105"/>
      <c r="EA15" s="105"/>
      <c r="EB15" s="105"/>
      <c r="EC15" s="105"/>
      <c r="ED15" s="105"/>
      <c r="EE15" s="105"/>
      <c r="EF15" s="105"/>
      <c r="EG15" s="105"/>
      <c r="EH15" s="105"/>
      <c r="EI15" s="105"/>
      <c r="EJ15" s="105"/>
      <c r="EK15" s="105"/>
      <c r="EL15" s="105"/>
      <c r="EM15" s="105"/>
      <c r="EN15" s="105"/>
      <c r="EO15" s="105"/>
      <c r="EP15" s="105"/>
      <c r="EQ15" s="105"/>
      <c r="ER15" s="105"/>
      <c r="ES15" s="105"/>
      <c r="ET15" s="105"/>
      <c r="EU15" s="105"/>
      <c r="EV15" s="105"/>
      <c r="EW15" s="105"/>
      <c r="EX15" s="105"/>
      <c r="EY15" s="105"/>
      <c r="EZ15" s="105"/>
    </row>
    <row r="16" spans="1:158" ht="13">
      <c r="A16" s="331" t="s">
        <v>826</v>
      </c>
      <c r="H16" s="60" t="s">
        <v>429</v>
      </c>
      <c r="I16" s="74"/>
      <c r="J16" s="74"/>
      <c r="K16" s="74"/>
      <c r="L16" s="74"/>
      <c r="M16" s="74">
        <f>340/70</f>
        <v>4.8571428571428568</v>
      </c>
      <c r="N16" s="74"/>
      <c r="O16" s="74"/>
      <c r="P16" s="74"/>
      <c r="Q16" s="74">
        <f>340/70</f>
        <v>4.8571428571428568</v>
      </c>
      <c r="R16" s="74"/>
      <c r="S16" s="74"/>
      <c r="T16" s="74"/>
      <c r="U16" s="74"/>
      <c r="V16" s="74"/>
      <c r="W16" s="74"/>
      <c r="X16" s="74">
        <f>340/70</f>
        <v>4.8571428571428568</v>
      </c>
      <c r="Y16" s="74"/>
      <c r="Z16" s="74"/>
      <c r="AA16" s="74">
        <f>360/70</f>
        <v>5.1428571428571432</v>
      </c>
      <c r="AB16" s="74"/>
      <c r="AC16" s="74"/>
      <c r="AD16" s="74"/>
      <c r="AE16" s="74"/>
      <c r="AF16" s="74"/>
      <c r="AG16" s="74"/>
      <c r="AH16" s="74"/>
      <c r="AI16" s="74"/>
      <c r="AK16" s="74"/>
      <c r="AL16" s="74">
        <f>410/74</f>
        <v>5.5405405405405403</v>
      </c>
      <c r="AM16" s="74">
        <f>410/74</f>
        <v>5.5405405405405403</v>
      </c>
      <c r="AN16" s="74"/>
      <c r="AO16" s="74">
        <f>414/74</f>
        <v>5.5945945945945947</v>
      </c>
      <c r="AP16" s="74"/>
      <c r="AQ16" s="74"/>
      <c r="AR16" s="74">
        <f>414/74</f>
        <v>5.5945945945945947</v>
      </c>
      <c r="AS16" s="74">
        <f>414/82</f>
        <v>5.0487804878048781</v>
      </c>
      <c r="AT16" s="74"/>
      <c r="AU16" s="74">
        <f>414/82</f>
        <v>5.0487804878048781</v>
      </c>
      <c r="AV16" s="74"/>
      <c r="AW16" s="74">
        <f>400/82</f>
        <v>4.8780487804878048</v>
      </c>
      <c r="AX16" s="74"/>
      <c r="AY16" s="74">
        <f>400/82</f>
        <v>4.8780487804878048</v>
      </c>
      <c r="AZ16" s="74"/>
      <c r="BA16" s="74"/>
      <c r="BB16" s="74"/>
      <c r="BC16" s="74">
        <f>400/82</f>
        <v>4.8780487804878048</v>
      </c>
      <c r="BD16" s="74"/>
      <c r="BE16" s="74"/>
      <c r="BF16" s="74"/>
      <c r="BG16" s="74"/>
      <c r="BH16" s="74">
        <f>400/82</f>
        <v>4.8780487804878048</v>
      </c>
      <c r="BI16" s="74"/>
      <c r="BJ16" s="74"/>
      <c r="BK16" s="74"/>
      <c r="BL16" s="74"/>
      <c r="BM16" s="74">
        <f>400/82</f>
        <v>4.8780487804878048</v>
      </c>
      <c r="BN16" s="74"/>
      <c r="BO16" s="74">
        <f>400/82</f>
        <v>4.8780487804878048</v>
      </c>
      <c r="BP16" s="74"/>
      <c r="BQ16" s="74"/>
      <c r="BR16" s="74"/>
      <c r="BS16" s="74"/>
      <c r="BT16" s="74"/>
      <c r="BU16" s="74"/>
      <c r="BV16" s="74"/>
      <c r="BW16" s="74">
        <f>400/83</f>
        <v>4.8192771084337354</v>
      </c>
      <c r="BX16" s="74"/>
      <c r="BY16" s="74"/>
      <c r="BZ16" s="74"/>
      <c r="CA16" s="74"/>
      <c r="CB16" s="74"/>
      <c r="CC16" s="74"/>
      <c r="CD16" s="74"/>
      <c r="CE16" s="74">
        <f>400/83</f>
        <v>4.8192771084337354</v>
      </c>
      <c r="CF16" s="74"/>
      <c r="CG16" s="74"/>
      <c r="CH16" s="74"/>
      <c r="CI16" s="74">
        <f>400/83</f>
        <v>4.8192771084337354</v>
      </c>
      <c r="CJ16" s="74"/>
      <c r="CK16" s="74"/>
      <c r="CL16" s="74"/>
      <c r="CM16" s="74">
        <f>395/83</f>
        <v>4.7590361445783129</v>
      </c>
      <c r="CN16" s="74"/>
      <c r="CO16" s="74"/>
      <c r="CP16" s="74"/>
      <c r="CQ16" s="74"/>
      <c r="CR16" s="74">
        <f>395/83</f>
        <v>4.7590361445783129</v>
      </c>
      <c r="CS16" s="74"/>
      <c r="CT16" s="74"/>
      <c r="CU16" s="74"/>
      <c r="CV16" s="74">
        <f>395/83</f>
        <v>4.7590361445783129</v>
      </c>
      <c r="CW16" s="74"/>
      <c r="CX16" s="74"/>
      <c r="CY16" s="74"/>
      <c r="CZ16" s="74"/>
      <c r="DA16" s="74"/>
      <c r="DB16" s="74"/>
      <c r="DC16" s="74"/>
      <c r="DD16" s="74"/>
      <c r="DE16" s="74"/>
      <c r="DF16" s="74"/>
      <c r="DG16" s="74"/>
      <c r="DH16" s="74"/>
      <c r="DI16" s="74"/>
      <c r="DJ16" s="74"/>
      <c r="DK16" s="74"/>
      <c r="DL16" s="74"/>
      <c r="DM16" s="74"/>
      <c r="DN16" s="74"/>
      <c r="DO16" s="74"/>
      <c r="DP16" s="74"/>
      <c r="DQ16" s="74"/>
      <c r="DR16" s="74"/>
      <c r="DS16" s="74"/>
      <c r="DT16" s="74"/>
      <c r="DU16" s="74"/>
      <c r="DV16" s="74"/>
      <c r="DW16" s="74"/>
      <c r="DX16" s="74"/>
      <c r="DY16" s="74"/>
      <c r="DZ16" s="74"/>
      <c r="EA16" s="74"/>
      <c r="EB16" s="74"/>
      <c r="EC16" s="74"/>
      <c r="ED16" s="74"/>
      <c r="EE16" s="74"/>
      <c r="EF16" s="74"/>
      <c r="EG16" s="74"/>
      <c r="EH16" s="74"/>
      <c r="EI16" s="74"/>
      <c r="EJ16" s="74"/>
      <c r="EK16" s="74"/>
      <c r="EL16" s="74"/>
      <c r="EM16" s="74"/>
      <c r="EN16" s="74"/>
      <c r="EO16" s="74"/>
      <c r="EP16" s="74"/>
      <c r="EQ16" s="74"/>
      <c r="ER16" s="74"/>
      <c r="ES16" s="74"/>
      <c r="ET16" s="74"/>
      <c r="EU16" s="74"/>
      <c r="EV16" s="74"/>
      <c r="EW16" s="74"/>
      <c r="EX16" s="74"/>
      <c r="EY16" s="74"/>
      <c r="EZ16" s="74"/>
    </row>
    <row r="17" spans="8:156">
      <c r="H17" s="60" t="s">
        <v>406</v>
      </c>
      <c r="I17" s="74"/>
      <c r="J17" s="74"/>
      <c r="K17" s="74"/>
      <c r="L17" s="74"/>
      <c r="M17" s="74">
        <f>M16-M14</f>
        <v>0.80116562754133902</v>
      </c>
      <c r="N17" s="74"/>
      <c r="O17" s="74"/>
      <c r="P17" s="74"/>
      <c r="Q17" s="74">
        <f>Q16-Q14</f>
        <v>1.4176741664407699</v>
      </c>
      <c r="R17" s="74"/>
      <c r="S17" s="74"/>
      <c r="T17" s="74"/>
      <c r="U17" s="74"/>
      <c r="V17" s="74"/>
      <c r="W17" s="74"/>
      <c r="X17" s="74">
        <f>X16-X14</f>
        <v>0.88690284808074704</v>
      </c>
      <c r="Y17" s="74"/>
      <c r="Z17" s="74"/>
      <c r="AA17" s="74">
        <f>AA16-AA14</f>
        <v>1.3048230876453535</v>
      </c>
      <c r="AB17" s="74"/>
      <c r="AC17" s="74"/>
      <c r="AD17" s="74"/>
      <c r="AE17" s="74"/>
      <c r="AF17" s="74"/>
      <c r="AG17" s="74"/>
      <c r="AH17" s="74"/>
      <c r="AI17" s="74"/>
      <c r="AK17" s="74"/>
      <c r="AL17" s="74">
        <f>AL16-AL14</f>
        <v>1.3353033488896866</v>
      </c>
      <c r="AM17" s="74">
        <f>AM16-AM14</f>
        <v>1.3353033488896866</v>
      </c>
      <c r="AN17" s="74"/>
      <c r="AO17" s="74">
        <f>AO16-AO14</f>
        <v>1.389357402943741</v>
      </c>
      <c r="AP17" s="74"/>
      <c r="AQ17" s="74"/>
      <c r="AR17" s="74">
        <f>AR16-AR14</f>
        <v>1.2396278092352073</v>
      </c>
      <c r="AS17" s="74">
        <f>AS16-AS14</f>
        <v>0.69381370244549068</v>
      </c>
      <c r="AT17" s="74"/>
      <c r="AU17" s="74">
        <f>AU16-AU14</f>
        <v>0.83900060165687051</v>
      </c>
      <c r="AV17" s="74"/>
      <c r="AW17" s="74">
        <f>AW16-AW14</f>
        <v>0.21886132396637681</v>
      </c>
      <c r="AX17" s="74"/>
      <c r="AY17" s="74">
        <f>AY16-AY14</f>
        <v>-0.32264618289194935</v>
      </c>
      <c r="AZ17" s="74"/>
      <c r="BA17" s="74"/>
      <c r="BB17" s="74"/>
      <c r="BC17" s="74">
        <f>BC16-BC14</f>
        <v>-0.32264618289194935</v>
      </c>
      <c r="BD17" s="74"/>
      <c r="BE17" s="74"/>
      <c r="BF17" s="74"/>
      <c r="BG17" s="74"/>
      <c r="BH17" s="74">
        <f>BH16-BH14</f>
        <v>-0.32264618289194935</v>
      </c>
      <c r="BI17" s="74"/>
      <c r="BJ17" s="74"/>
      <c r="BK17" s="74"/>
      <c r="BL17" s="74"/>
      <c r="BM17" s="74">
        <f>BM16-BM14</f>
        <v>6.1866602703539719E-2</v>
      </c>
      <c r="BN17" s="74"/>
      <c r="BO17" s="74">
        <f>BO16-BO14</f>
        <v>6.1866602703539719E-2</v>
      </c>
      <c r="BP17" s="74"/>
      <c r="BQ17" s="74"/>
      <c r="BR17" s="74"/>
      <c r="BS17" s="74"/>
      <c r="BT17" s="74"/>
      <c r="BU17" s="74"/>
      <c r="BV17" s="74"/>
      <c r="BW17" s="74">
        <f>BW16-BW14</f>
        <v>3.0949306494703066E-3</v>
      </c>
      <c r="BX17" s="74"/>
      <c r="BY17" s="74"/>
      <c r="BZ17" s="74"/>
      <c r="CA17" s="74"/>
      <c r="CB17" s="74"/>
      <c r="CC17" s="74"/>
      <c r="CD17" s="74"/>
      <c r="CE17" s="74">
        <f>CE16-CE14</f>
        <v>-0.1871405076274808</v>
      </c>
      <c r="CF17" s="74"/>
      <c r="CG17" s="74"/>
      <c r="CH17" s="74"/>
      <c r="CI17" s="74">
        <f>CI16-CI14</f>
        <v>-0.1871405076274808</v>
      </c>
      <c r="CJ17" s="74"/>
      <c r="CK17" s="74"/>
      <c r="CL17" s="74"/>
      <c r="CM17" s="74">
        <f>CM16-CM14</f>
        <v>-0.24738147148290324</v>
      </c>
      <c r="CN17" s="74"/>
      <c r="CO17" s="74"/>
      <c r="CP17" s="74"/>
      <c r="CQ17" s="74"/>
      <c r="CR17" s="74">
        <f>CR16-CR14</f>
        <v>-0.24738147148290324</v>
      </c>
      <c r="CS17" s="74"/>
      <c r="CT17" s="74"/>
      <c r="CU17" s="74"/>
      <c r="CV17" s="74">
        <f>CV16-CV14</f>
        <v>-0.24738147148290324</v>
      </c>
      <c r="CW17" s="74"/>
      <c r="CX17" s="74"/>
      <c r="CY17" s="74"/>
      <c r="CZ17" s="74"/>
      <c r="DA17" s="74"/>
      <c r="DB17" s="74"/>
      <c r="DC17" s="74"/>
      <c r="DD17" s="74"/>
      <c r="DE17" s="74"/>
      <c r="DF17" s="74"/>
      <c r="DG17" s="74"/>
      <c r="DH17" s="74"/>
      <c r="DI17" s="74"/>
      <c r="DJ17" s="74"/>
      <c r="DK17" s="74"/>
      <c r="DL17" s="74"/>
      <c r="DM17" s="74"/>
      <c r="DN17" s="74"/>
      <c r="DO17" s="74"/>
      <c r="DP17" s="74"/>
      <c r="DQ17" s="74"/>
      <c r="DR17" s="74"/>
      <c r="DS17" s="74"/>
      <c r="DT17" s="74"/>
      <c r="DU17" s="74"/>
      <c r="DV17" s="74"/>
      <c r="DW17" s="74"/>
      <c r="DX17" s="74"/>
      <c r="DY17" s="74"/>
      <c r="DZ17" s="74"/>
      <c r="EA17" s="74"/>
      <c r="EB17" s="74"/>
      <c r="EC17" s="74"/>
      <c r="ED17" s="74"/>
      <c r="EE17" s="74"/>
      <c r="EF17" s="74"/>
      <c r="EG17" s="74"/>
      <c r="EH17" s="74"/>
      <c r="EI17" s="74"/>
      <c r="EJ17" s="74"/>
      <c r="EK17" s="74"/>
      <c r="EL17" s="74"/>
      <c r="EM17" s="74"/>
      <c r="EN17" s="74"/>
      <c r="EO17" s="74"/>
      <c r="EP17" s="74"/>
      <c r="EQ17" s="74"/>
      <c r="ER17" s="74"/>
      <c r="ES17" s="74"/>
      <c r="ET17" s="74"/>
      <c r="EU17" s="74"/>
      <c r="EV17" s="74"/>
      <c r="EW17" s="74"/>
      <c r="EX17" s="74"/>
      <c r="EY17" s="74"/>
      <c r="EZ17" s="74"/>
    </row>
    <row r="19" spans="8:156" ht="13" thickBot="1"/>
    <row r="20" spans="8:156" s="73" customFormat="1" ht="13" thickBot="1">
      <c r="H20" s="257" t="s">
        <v>800</v>
      </c>
      <c r="I20" s="258">
        <f>+I14</f>
        <v>4.0559772296015177</v>
      </c>
      <c r="J20" s="258">
        <f t="shared" ref="J20:BU20" si="6">+J14</f>
        <v>4.0559772296015177</v>
      </c>
      <c r="K20" s="258">
        <f t="shared" si="6"/>
        <v>4.0559772296015177</v>
      </c>
      <c r="L20" s="258">
        <f t="shared" si="6"/>
        <v>4.0559772296015177</v>
      </c>
      <c r="M20" s="258">
        <f t="shared" si="6"/>
        <v>4.0559772296015177</v>
      </c>
      <c r="N20" s="258">
        <f t="shared" si="6"/>
        <v>3.4394686907020868</v>
      </c>
      <c r="O20" s="258">
        <f t="shared" si="6"/>
        <v>3.4394686907020868</v>
      </c>
      <c r="P20" s="258">
        <f t="shared" si="6"/>
        <v>3.4394686907020868</v>
      </c>
      <c r="Q20" s="258">
        <f t="shared" si="6"/>
        <v>3.4394686907020868</v>
      </c>
      <c r="R20" s="258">
        <f t="shared" si="6"/>
        <v>3.6341555977229598</v>
      </c>
      <c r="S20" s="258">
        <f t="shared" si="6"/>
        <v>3.8937381657761065</v>
      </c>
      <c r="T20" s="258">
        <f t="shared" si="6"/>
        <v>3.8937381657761065</v>
      </c>
      <c r="U20" s="258">
        <f t="shared" si="6"/>
        <v>3.8937381657761065</v>
      </c>
      <c r="V20" s="258">
        <f t="shared" si="6"/>
        <v>4.0235262558018583</v>
      </c>
      <c r="W20" s="258">
        <f t="shared" si="6"/>
        <v>3.9702400090621097</v>
      </c>
      <c r="X20" s="258">
        <f t="shared" si="6"/>
        <v>3.9702400090621097</v>
      </c>
      <c r="Y20" s="258">
        <f t="shared" si="6"/>
        <v>4.1283808176395143</v>
      </c>
      <c r="Z20" s="258">
        <f t="shared" si="6"/>
        <v>4.1283808176395143</v>
      </c>
      <c r="AA20" s="258">
        <f t="shared" si="6"/>
        <v>3.8380340552117898</v>
      </c>
      <c r="AB20" s="258">
        <f t="shared" si="6"/>
        <v>3.8137560732591456</v>
      </c>
      <c r="AC20" s="258">
        <f t="shared" si="6"/>
        <v>3.8137560732591456</v>
      </c>
      <c r="AD20" s="258">
        <f t="shared" si="6"/>
        <v>3.8137560732591456</v>
      </c>
      <c r="AE20" s="258">
        <f t="shared" si="6"/>
        <v>4.0235349067018769</v>
      </c>
      <c r="AF20" s="258">
        <f t="shared" si="6"/>
        <v>4.0235349067018769</v>
      </c>
      <c r="AG20" s="258">
        <f t="shared" si="6"/>
        <v>4.0945412839362021</v>
      </c>
      <c r="AH20" s="258">
        <f t="shared" si="6"/>
        <v>4.0945412839362021</v>
      </c>
      <c r="AI20" s="258">
        <f t="shared" si="6"/>
        <v>4.3769110936148552</v>
      </c>
      <c r="AJ20" s="258">
        <f t="shared" si="6"/>
        <v>4.1019997237725043</v>
      </c>
      <c r="AK20" s="258">
        <f t="shared" si="6"/>
        <v>4.1019997237725043</v>
      </c>
      <c r="AL20" s="258">
        <f t="shared" si="6"/>
        <v>4.2052371916508537</v>
      </c>
      <c r="AM20" s="258">
        <f t="shared" si="6"/>
        <v>4.2052371916508537</v>
      </c>
      <c r="AN20" s="258">
        <f t="shared" si="6"/>
        <v>4.2052371916508537</v>
      </c>
      <c r="AO20" s="258">
        <f t="shared" si="6"/>
        <v>4.2052371916508537</v>
      </c>
      <c r="AP20" s="258">
        <f t="shared" si="6"/>
        <v>4.2052371916508537</v>
      </c>
      <c r="AQ20" s="258">
        <f t="shared" si="6"/>
        <v>4.3233535452225675</v>
      </c>
      <c r="AR20" s="258">
        <f t="shared" si="6"/>
        <v>4.3549667853593874</v>
      </c>
      <c r="AS20" s="258">
        <f t="shared" si="6"/>
        <v>4.3549667853593874</v>
      </c>
      <c r="AT20" s="258">
        <f t="shared" si="6"/>
        <v>4.3147122844466388</v>
      </c>
      <c r="AU20" s="258">
        <f t="shared" si="6"/>
        <v>4.2097798861480076</v>
      </c>
      <c r="AV20" s="258">
        <f t="shared" si="6"/>
        <v>4.659187456521428</v>
      </c>
      <c r="AW20" s="258">
        <f t="shared" si="6"/>
        <v>4.659187456521428</v>
      </c>
      <c r="AX20" s="258">
        <f t="shared" si="6"/>
        <v>5.2006892432595286</v>
      </c>
      <c r="AY20" s="258">
        <f>+AY14</f>
        <v>5.2006949633797541</v>
      </c>
      <c r="AZ20" s="258">
        <f t="shared" si="6"/>
        <v>5.2006949633797541</v>
      </c>
      <c r="BA20" s="258">
        <f t="shared" si="6"/>
        <v>5.2006949633797541</v>
      </c>
      <c r="BB20" s="258">
        <f t="shared" si="6"/>
        <v>5.2006949633797541</v>
      </c>
      <c r="BC20" s="258">
        <f t="shared" si="6"/>
        <v>5.2006949633797541</v>
      </c>
      <c r="BD20" s="258">
        <f t="shared" si="6"/>
        <v>5.2006949633797541</v>
      </c>
      <c r="BE20" s="258">
        <f t="shared" si="6"/>
        <v>5.2006949633797541</v>
      </c>
      <c r="BF20" s="258">
        <f t="shared" si="6"/>
        <v>5.2006949633797541</v>
      </c>
      <c r="BG20" s="258">
        <f t="shared" si="6"/>
        <v>5.2006949633797541</v>
      </c>
      <c r="BH20" s="258">
        <f t="shared" si="6"/>
        <v>5.2006949633797541</v>
      </c>
      <c r="BI20" s="258">
        <f t="shared" si="6"/>
        <v>5.2006949633797541</v>
      </c>
      <c r="BJ20" s="258">
        <f t="shared" si="6"/>
        <v>5.2006949633797541</v>
      </c>
      <c r="BK20" s="258">
        <f t="shared" si="6"/>
        <v>4.8161821777842651</v>
      </c>
      <c r="BL20" s="258">
        <f t="shared" si="6"/>
        <v>4.8161821777842651</v>
      </c>
      <c r="BM20" s="258">
        <f t="shared" si="6"/>
        <v>4.8161821777842651</v>
      </c>
      <c r="BN20" s="258">
        <f t="shared" si="6"/>
        <v>4.8161821777842651</v>
      </c>
      <c r="BO20" s="258">
        <f t="shared" si="6"/>
        <v>4.8161821777842651</v>
      </c>
      <c r="BP20" s="258">
        <f t="shared" si="6"/>
        <v>4.8161821777842651</v>
      </c>
      <c r="BQ20" s="258">
        <f t="shared" si="6"/>
        <v>4.8161821777842651</v>
      </c>
      <c r="BR20" s="258">
        <f t="shared" si="6"/>
        <v>4.8161821777842651</v>
      </c>
      <c r="BS20" s="258">
        <f t="shared" si="6"/>
        <v>4.8161821777842651</v>
      </c>
      <c r="BT20" s="258">
        <f t="shared" si="6"/>
        <v>4.8161821777842651</v>
      </c>
      <c r="BU20" s="258">
        <f t="shared" si="6"/>
        <v>4.8161821777842651</v>
      </c>
      <c r="BV20" s="258">
        <f t="shared" ref="BV20:CR20" si="7">+BV14</f>
        <v>4.8161821777842651</v>
      </c>
      <c r="BW20" s="258">
        <f t="shared" si="7"/>
        <v>4.8161821777842651</v>
      </c>
      <c r="BX20" s="258">
        <f t="shared" si="7"/>
        <v>4.8161821777842651</v>
      </c>
      <c r="BY20" s="258">
        <f t="shared" si="7"/>
        <v>4.8161821777842651</v>
      </c>
      <c r="BZ20" s="258">
        <f t="shared" si="7"/>
        <v>4.8161821777842651</v>
      </c>
      <c r="CA20" s="258">
        <f t="shared" si="7"/>
        <v>5.0064176160612162</v>
      </c>
      <c r="CB20" s="258">
        <f t="shared" si="7"/>
        <v>5.0064176160612162</v>
      </c>
      <c r="CC20" s="258">
        <f t="shared" si="7"/>
        <v>5.0064176160612162</v>
      </c>
      <c r="CD20" s="258">
        <f t="shared" si="7"/>
        <v>5.0064176160612162</v>
      </c>
      <c r="CE20" s="258">
        <f t="shared" si="7"/>
        <v>5.0064176160612162</v>
      </c>
      <c r="CF20" s="258">
        <f t="shared" si="7"/>
        <v>5.0064176160612162</v>
      </c>
      <c r="CG20" s="258">
        <f t="shared" si="7"/>
        <v>5.0064176160612162</v>
      </c>
      <c r="CH20" s="258">
        <f t="shared" si="7"/>
        <v>5.0064176160612162</v>
      </c>
      <c r="CI20" s="258">
        <f t="shared" si="7"/>
        <v>5.0064176160612162</v>
      </c>
      <c r="CJ20" s="258">
        <f t="shared" si="7"/>
        <v>5.0064176160612162</v>
      </c>
      <c r="CK20" s="258">
        <f t="shared" si="7"/>
        <v>5.0064176160612162</v>
      </c>
      <c r="CL20" s="258">
        <f t="shared" si="7"/>
        <v>5.0064176160612162</v>
      </c>
      <c r="CM20" s="258">
        <f t="shared" si="7"/>
        <v>5.0064176160612162</v>
      </c>
      <c r="CN20" s="258">
        <f t="shared" si="7"/>
        <v>5.0064176160612162</v>
      </c>
      <c r="CO20" s="258">
        <f t="shared" si="7"/>
        <v>5.0064176160612162</v>
      </c>
      <c r="CP20" s="258">
        <f t="shared" si="7"/>
        <v>5.0064176160612162</v>
      </c>
      <c r="CQ20" s="258">
        <f t="shared" si="7"/>
        <v>5.0064176160612162</v>
      </c>
      <c r="CR20" s="258">
        <f t="shared" si="7"/>
        <v>5.0064176160612162</v>
      </c>
      <c r="CS20" s="258">
        <f t="shared" ref="CS20:EZ20" si="8">+CS14</f>
        <v>5.0064176160612162</v>
      </c>
      <c r="CT20" s="258">
        <f t="shared" si="8"/>
        <v>5.0064176160612162</v>
      </c>
      <c r="CU20" s="258">
        <f t="shared" si="8"/>
        <v>5.0064176160612162</v>
      </c>
      <c r="CV20" s="258">
        <f t="shared" si="8"/>
        <v>5.0064176160612162</v>
      </c>
      <c r="CW20" s="258">
        <f t="shared" si="8"/>
        <v>5.0064176160612162</v>
      </c>
      <c r="CX20" s="258">
        <f t="shared" si="8"/>
        <v>5.0064176160612162</v>
      </c>
      <c r="CY20" s="258">
        <f t="shared" si="8"/>
        <v>5.0064176160612162</v>
      </c>
      <c r="CZ20" s="258">
        <f t="shared" si="8"/>
        <v>5.0064176160612162</v>
      </c>
      <c r="DA20" s="258">
        <f t="shared" si="8"/>
        <v>5.0064176160612162</v>
      </c>
      <c r="DB20" s="258">
        <f t="shared" si="8"/>
        <v>5.0064176160612162</v>
      </c>
      <c r="DC20" s="258">
        <f t="shared" si="8"/>
        <v>5.0064176160612162</v>
      </c>
      <c r="DD20" s="258">
        <f t="shared" si="8"/>
        <v>5.0064176160612162</v>
      </c>
      <c r="DE20" s="258">
        <f t="shared" si="8"/>
        <v>5.0064176160612162</v>
      </c>
      <c r="DF20" s="258">
        <f t="shared" si="8"/>
        <v>5.0064176160612162</v>
      </c>
      <c r="DG20" s="258">
        <f t="shared" si="8"/>
        <v>5.0064176160612162</v>
      </c>
      <c r="DH20" s="258">
        <f t="shared" si="8"/>
        <v>5.0064176160612162</v>
      </c>
      <c r="DI20" s="258">
        <f t="shared" si="8"/>
        <v>5.0064176160612162</v>
      </c>
      <c r="DJ20" s="258">
        <f t="shared" si="8"/>
        <v>5.0064176160612162</v>
      </c>
      <c r="DK20" s="258">
        <f t="shared" si="8"/>
        <v>5.0064176160612162</v>
      </c>
      <c r="DL20" s="258">
        <f t="shared" si="8"/>
        <v>5.0064176160612162</v>
      </c>
      <c r="DM20" s="258">
        <f t="shared" si="8"/>
        <v>5.0064176160612162</v>
      </c>
      <c r="DN20" s="258">
        <f t="shared" si="8"/>
        <v>5.0064176160612162</v>
      </c>
      <c r="DO20" s="258">
        <f t="shared" si="8"/>
        <v>5.0064176160612162</v>
      </c>
      <c r="DP20" s="258">
        <f t="shared" si="8"/>
        <v>5.0064176160612162</v>
      </c>
      <c r="DQ20" s="258">
        <f t="shared" si="8"/>
        <v>5.0064176160612162</v>
      </c>
      <c r="DR20" s="258">
        <f t="shared" si="8"/>
        <v>5.0064176160612162</v>
      </c>
      <c r="DS20" s="258">
        <f t="shared" si="8"/>
        <v>5.0064176160612162</v>
      </c>
      <c r="DT20" s="258">
        <f t="shared" si="8"/>
        <v>0</v>
      </c>
      <c r="DU20" s="258">
        <f t="shared" si="8"/>
        <v>0</v>
      </c>
      <c r="DV20" s="258">
        <f t="shared" si="8"/>
        <v>0</v>
      </c>
      <c r="DW20" s="258">
        <f t="shared" si="8"/>
        <v>0</v>
      </c>
      <c r="DX20" s="258">
        <f t="shared" si="8"/>
        <v>0</v>
      </c>
      <c r="DY20" s="258">
        <f t="shared" si="8"/>
        <v>0</v>
      </c>
      <c r="DZ20" s="258">
        <f t="shared" si="8"/>
        <v>0</v>
      </c>
      <c r="EA20" s="258">
        <f t="shared" si="8"/>
        <v>0</v>
      </c>
      <c r="EB20" s="258">
        <f t="shared" si="8"/>
        <v>0</v>
      </c>
      <c r="EC20" s="258">
        <f t="shared" si="8"/>
        <v>0</v>
      </c>
      <c r="ED20" s="258">
        <f t="shared" si="8"/>
        <v>0</v>
      </c>
      <c r="EE20" s="258">
        <f t="shared" si="8"/>
        <v>0</v>
      </c>
      <c r="EF20" s="258">
        <f t="shared" si="8"/>
        <v>0</v>
      </c>
      <c r="EG20" s="258">
        <f t="shared" si="8"/>
        <v>0</v>
      </c>
      <c r="EH20" s="258">
        <f t="shared" si="8"/>
        <v>0</v>
      </c>
      <c r="EI20" s="258">
        <f t="shared" si="8"/>
        <v>0</v>
      </c>
      <c r="EJ20" s="258">
        <f t="shared" si="8"/>
        <v>0</v>
      </c>
      <c r="EK20" s="258">
        <f t="shared" si="8"/>
        <v>0</v>
      </c>
      <c r="EL20" s="258">
        <f t="shared" si="8"/>
        <v>0</v>
      </c>
      <c r="EM20" s="258">
        <f t="shared" si="8"/>
        <v>0</v>
      </c>
      <c r="EN20" s="258">
        <f t="shared" si="8"/>
        <v>0</v>
      </c>
      <c r="EO20" s="258">
        <f t="shared" si="8"/>
        <v>0</v>
      </c>
      <c r="EP20" s="258">
        <f t="shared" si="8"/>
        <v>0</v>
      </c>
      <c r="EQ20" s="258">
        <f t="shared" si="8"/>
        <v>0</v>
      </c>
      <c r="ER20" s="258">
        <f t="shared" si="8"/>
        <v>0</v>
      </c>
      <c r="ES20" s="258">
        <f t="shared" si="8"/>
        <v>0</v>
      </c>
      <c r="ET20" s="258">
        <f t="shared" si="8"/>
        <v>0</v>
      </c>
      <c r="EU20" s="258">
        <f t="shared" si="8"/>
        <v>0</v>
      </c>
      <c r="EV20" s="258">
        <f t="shared" si="8"/>
        <v>0</v>
      </c>
      <c r="EW20" s="258">
        <f t="shared" si="8"/>
        <v>0</v>
      </c>
      <c r="EX20" s="258">
        <f t="shared" si="8"/>
        <v>0</v>
      </c>
      <c r="EY20" s="258">
        <f t="shared" si="8"/>
        <v>0</v>
      </c>
      <c r="EZ20" s="258">
        <f t="shared" si="8"/>
        <v>0</v>
      </c>
    </row>
  </sheetData>
  <pageMargins left="0.7" right="0.7" top="0.75" bottom="0.75" header="0.3" footer="0.3"/>
  <drawing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FL24"/>
  <sheetViews>
    <sheetView workbookViewId="0">
      <pane xSplit="11" ySplit="7" topLeftCell="BK12" activePane="bottomRight" state="frozen"/>
      <selection pane="topRight" activeCell="L1" sqref="L1"/>
      <selection pane="bottomLeft" activeCell="A7" sqref="A7"/>
      <selection pane="bottomRight" sqref="A1:XFD1048576"/>
    </sheetView>
  </sheetViews>
  <sheetFormatPr baseColWidth="10" defaultColWidth="22.6640625" defaultRowHeight="12"/>
  <cols>
    <col min="1" max="1" width="48" style="60" bestFit="1" customWidth="1"/>
    <col min="2" max="2" width="12.5" style="60" bestFit="1" customWidth="1"/>
    <col min="3" max="3" width="4.83203125" style="60" bestFit="1" customWidth="1"/>
    <col min="4" max="4" width="12.33203125" style="60" bestFit="1" customWidth="1"/>
    <col min="5" max="5" width="11.83203125" style="60" bestFit="1" customWidth="1"/>
    <col min="6" max="6" width="6" style="60" bestFit="1" customWidth="1"/>
    <col min="7" max="7" width="4.1640625" style="60" bestFit="1" customWidth="1"/>
    <col min="8" max="8" width="22.83203125" style="60" bestFit="1" customWidth="1"/>
    <col min="9" max="9" width="5.1640625" style="60" bestFit="1" customWidth="1"/>
    <col min="10" max="10" width="5.5" style="60" bestFit="1" customWidth="1"/>
    <col min="11" max="11" width="5.6640625" style="60" bestFit="1" customWidth="1"/>
    <col min="12" max="12" width="5.33203125" style="60" bestFit="1" customWidth="1"/>
    <col min="13" max="13" width="5.83203125" style="60" bestFit="1" customWidth="1"/>
    <col min="14" max="14" width="5.1640625" style="60" bestFit="1" customWidth="1"/>
    <col min="15" max="15" width="4.6640625" style="60" bestFit="1" customWidth="1"/>
    <col min="16" max="18" width="5.5" style="60" bestFit="1" customWidth="1"/>
    <col min="19" max="19" width="5.6640625" style="60" bestFit="1" customWidth="1"/>
    <col min="20" max="20" width="5.5" style="60" bestFit="1" customWidth="1"/>
    <col min="21" max="21" width="5.1640625" style="60" bestFit="1" customWidth="1"/>
    <col min="22" max="22" width="5.5" style="60" bestFit="1" customWidth="1"/>
    <col min="23" max="23" width="5.6640625" style="60" bestFit="1" customWidth="1"/>
    <col min="24" max="24" width="5.33203125" style="60" bestFit="1" customWidth="1"/>
    <col min="25" max="25" width="5.83203125" style="60" bestFit="1" customWidth="1"/>
    <col min="26" max="26" width="5.1640625" style="60" bestFit="1" customWidth="1"/>
    <col min="27" max="27" width="4.6640625" style="60" bestFit="1" customWidth="1"/>
    <col min="28" max="30" width="5.5" style="60" bestFit="1" customWidth="1"/>
    <col min="31" max="31" width="5.6640625" style="60" bestFit="1" customWidth="1"/>
    <col min="32" max="32" width="5.5" style="60" bestFit="1" customWidth="1"/>
    <col min="33" max="33" width="5.1640625" style="60" bestFit="1" customWidth="1"/>
    <col min="34" max="34" width="5.5" style="60" bestFit="1" customWidth="1"/>
    <col min="35" max="35" width="5.6640625" style="60" bestFit="1" customWidth="1"/>
    <col min="36" max="36" width="5.33203125" style="60" bestFit="1" customWidth="1"/>
    <col min="37" max="37" width="5.83203125" style="60" bestFit="1" customWidth="1"/>
    <col min="38" max="38" width="5.1640625" style="60" bestFit="1" customWidth="1"/>
    <col min="39" max="39" width="4.6640625" style="60" bestFit="1" customWidth="1"/>
    <col min="40" max="42" width="5.5" style="60" bestFit="1" customWidth="1"/>
    <col min="43" max="43" width="5.6640625" style="60" bestFit="1" customWidth="1"/>
    <col min="44" max="44" width="5.5" style="60" bestFit="1" customWidth="1"/>
    <col min="45" max="45" width="5.1640625" style="60" bestFit="1" customWidth="1"/>
    <col min="46" max="46" width="5.5" style="60" bestFit="1" customWidth="1"/>
    <col min="47" max="47" width="5.6640625" style="60" bestFit="1" customWidth="1"/>
    <col min="48" max="48" width="5.33203125" style="60" bestFit="1" customWidth="1"/>
    <col min="49" max="49" width="5.83203125" style="60" bestFit="1" customWidth="1"/>
    <col min="50" max="50" width="5.1640625" style="60" bestFit="1" customWidth="1"/>
    <col min="51" max="51" width="4.6640625" style="60" bestFit="1" customWidth="1"/>
    <col min="52" max="54" width="7" style="60" bestFit="1" customWidth="1"/>
    <col min="55" max="56" width="5.5" style="60" bestFit="1" customWidth="1"/>
    <col min="57" max="58" width="5.83203125" style="60" bestFit="1" customWidth="1"/>
    <col min="59" max="70" width="5.6640625" style="60" bestFit="1" customWidth="1"/>
    <col min="71" max="74" width="5.5" style="60" bestFit="1" customWidth="1"/>
    <col min="75" max="78" width="5.1640625" style="60" bestFit="1" customWidth="1"/>
    <col min="79" max="82" width="5.5" style="60" bestFit="1" customWidth="1"/>
    <col min="83" max="83" width="6.1640625" style="60" bestFit="1" customWidth="1"/>
    <col min="84" max="86" width="5.6640625" style="60" bestFit="1" customWidth="1"/>
    <col min="87" max="90" width="5.5" style="60" bestFit="1" customWidth="1"/>
    <col min="91" max="95" width="6.33203125" style="60" bestFit="1" customWidth="1"/>
    <col min="96" max="99" width="6.1640625" style="60" bestFit="1" customWidth="1"/>
    <col min="100" max="103" width="5.1640625" style="60" bestFit="1" customWidth="1"/>
    <col min="104" max="107" width="5.83203125" style="60" bestFit="1" customWidth="1"/>
    <col min="108" max="115" width="5.6640625" style="60" bestFit="1" customWidth="1"/>
    <col min="116" max="119" width="6.1640625" style="60" bestFit="1" customWidth="1"/>
    <col min="120" max="123" width="5.83203125" style="60" bestFit="1" customWidth="1"/>
    <col min="124" max="168" width="5.1640625" style="60" bestFit="1" customWidth="1"/>
    <col min="169" max="16384" width="22.6640625" style="60"/>
  </cols>
  <sheetData>
    <row r="1" spans="1:168" ht="13">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c r="EM1" s="99">
        <v>141</v>
      </c>
      <c r="EN1" s="99">
        <v>142</v>
      </c>
      <c r="EO1" s="99">
        <v>143</v>
      </c>
      <c r="EP1" s="99">
        <v>144</v>
      </c>
      <c r="EQ1" s="99">
        <v>145</v>
      </c>
      <c r="ER1" s="99">
        <v>146</v>
      </c>
      <c r="ES1" s="99">
        <v>147</v>
      </c>
      <c r="ET1" s="99">
        <v>148</v>
      </c>
      <c r="EU1" s="99">
        <v>149</v>
      </c>
      <c r="EV1" s="99">
        <v>150</v>
      </c>
      <c r="EW1" s="99">
        <v>151</v>
      </c>
      <c r="EX1" s="99">
        <v>152</v>
      </c>
      <c r="EY1" s="99">
        <v>153</v>
      </c>
      <c r="EZ1" s="99">
        <v>154</v>
      </c>
      <c r="FA1" s="99">
        <v>155</v>
      </c>
      <c r="FB1" s="99">
        <v>156</v>
      </c>
      <c r="FC1" s="99">
        <v>157</v>
      </c>
      <c r="FD1" s="99">
        <v>158</v>
      </c>
      <c r="FE1" s="99">
        <v>159</v>
      </c>
      <c r="FF1" s="99">
        <v>160</v>
      </c>
      <c r="FG1" s="99">
        <v>161</v>
      </c>
      <c r="FH1" s="99">
        <v>162</v>
      </c>
      <c r="FI1" s="99">
        <v>163</v>
      </c>
      <c r="FJ1" s="99">
        <v>164</v>
      </c>
      <c r="FK1" s="99">
        <v>165</v>
      </c>
      <c r="FL1" s="99">
        <v>166</v>
      </c>
    </row>
    <row r="2" spans="1:168">
      <c r="A2" s="59"/>
      <c r="B2" s="59"/>
      <c r="C2" s="59"/>
      <c r="D2" s="98"/>
      <c r="E2" s="98"/>
      <c r="F2" s="59"/>
      <c r="H2" s="99"/>
      <c r="I2" s="99"/>
      <c r="J2" s="99"/>
      <c r="K2" s="99"/>
      <c r="L2" s="99"/>
      <c r="M2" s="99"/>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99"/>
      <c r="AP2" s="99"/>
      <c r="AQ2" s="99"/>
      <c r="AR2" s="99"/>
      <c r="AS2" s="99"/>
      <c r="AT2" s="99"/>
      <c r="AU2" s="99"/>
      <c r="AV2" s="99"/>
      <c r="AW2" s="99"/>
      <c r="AX2" s="99"/>
      <c r="AY2" s="99"/>
      <c r="AZ2" s="99"/>
      <c r="BA2" s="99"/>
      <c r="BB2" s="99"/>
      <c r="BC2" s="99"/>
      <c r="BD2" s="99"/>
      <c r="BE2" s="99"/>
      <c r="BF2" s="99"/>
      <c r="BG2" s="99"/>
      <c r="BH2" s="99"/>
      <c r="BI2" s="99"/>
      <c r="BJ2" s="99"/>
      <c r="BK2" s="99"/>
      <c r="BL2" s="99"/>
      <c r="BM2" s="99"/>
      <c r="BN2" s="99"/>
      <c r="BO2" s="99"/>
      <c r="BP2" s="99"/>
      <c r="BQ2" s="99"/>
      <c r="BR2" s="99"/>
      <c r="BS2" s="99"/>
      <c r="BT2" s="99"/>
      <c r="BU2" s="99"/>
      <c r="BV2" s="99"/>
      <c r="BW2" s="99"/>
      <c r="BX2" s="99"/>
      <c r="BY2" s="99"/>
      <c r="BZ2" s="99"/>
      <c r="CA2" s="99"/>
      <c r="CB2" s="99"/>
      <c r="CC2" s="99"/>
      <c r="CD2" s="99"/>
      <c r="CE2" s="99"/>
      <c r="CF2" s="99"/>
      <c r="CG2" s="99"/>
      <c r="CH2" s="99"/>
      <c r="CI2" s="99"/>
      <c r="CJ2" s="99"/>
      <c r="CK2" s="99"/>
      <c r="CL2" s="99"/>
      <c r="CM2" s="99"/>
      <c r="CN2" s="99"/>
    </row>
    <row r="3" spans="1:168" ht="15">
      <c r="A3" t="s">
        <v>827</v>
      </c>
      <c r="B3" s="100"/>
      <c r="C3" s="101"/>
      <c r="D3" s="282">
        <v>248.25</v>
      </c>
      <c r="K3" s="102"/>
      <c r="M3" s="102"/>
    </row>
    <row r="4" spans="1:168">
      <c r="A4" s="36"/>
      <c r="B4" s="64"/>
      <c r="D4" s="100"/>
      <c r="E4" s="64"/>
      <c r="F4" s="103"/>
    </row>
    <row r="5" spans="1:168">
      <c r="A5" s="64"/>
      <c r="B5" s="64"/>
      <c r="D5" s="64"/>
      <c r="E5" s="64"/>
      <c r="H5" s="60" t="s">
        <v>387</v>
      </c>
    </row>
    <row r="6" spans="1:168">
      <c r="A6" s="74"/>
      <c r="B6" s="74"/>
    </row>
    <row r="7" spans="1:168">
      <c r="A7" s="59"/>
      <c r="B7" s="59"/>
      <c r="C7" s="59"/>
      <c r="D7" s="98"/>
      <c r="E7" s="98"/>
      <c r="F7" s="59"/>
      <c r="H7" s="59" t="s">
        <v>416</v>
      </c>
      <c r="I7" s="59">
        <v>43831</v>
      </c>
      <c r="J7" s="59">
        <v>43862</v>
      </c>
      <c r="K7" s="59">
        <v>43891</v>
      </c>
      <c r="L7" s="59">
        <v>43922</v>
      </c>
      <c r="M7" s="59">
        <v>43952</v>
      </c>
      <c r="N7" s="59">
        <v>43983</v>
      </c>
      <c r="O7" s="59">
        <v>44013</v>
      </c>
      <c r="P7" s="59">
        <v>44044</v>
      </c>
      <c r="Q7" s="59">
        <v>44075</v>
      </c>
      <c r="R7" s="59">
        <v>44105</v>
      </c>
      <c r="S7" s="59">
        <v>44136</v>
      </c>
      <c r="T7" s="59">
        <v>44166</v>
      </c>
      <c r="U7" s="59">
        <v>44197</v>
      </c>
      <c r="V7" s="59">
        <v>44228</v>
      </c>
      <c r="W7" s="59">
        <v>44256</v>
      </c>
      <c r="X7" s="59">
        <v>44287</v>
      </c>
      <c r="Y7" s="59">
        <v>44317</v>
      </c>
      <c r="Z7" s="59">
        <v>44348</v>
      </c>
      <c r="AA7" s="59">
        <v>44378</v>
      </c>
      <c r="AB7" s="59">
        <v>44409</v>
      </c>
      <c r="AC7" s="59">
        <v>44440</v>
      </c>
      <c r="AD7" s="59">
        <v>44470</v>
      </c>
      <c r="AE7" s="59">
        <v>44501</v>
      </c>
      <c r="AF7" s="59">
        <v>44531</v>
      </c>
      <c r="AG7" s="59">
        <v>44562</v>
      </c>
      <c r="AH7" s="59">
        <v>44593</v>
      </c>
      <c r="AI7" s="59">
        <v>44621</v>
      </c>
      <c r="AJ7" s="59">
        <v>44652</v>
      </c>
      <c r="AK7" s="59">
        <v>44682</v>
      </c>
      <c r="AL7" s="59">
        <v>44713</v>
      </c>
      <c r="AM7" s="59">
        <v>44743</v>
      </c>
      <c r="AN7" s="59">
        <v>44774</v>
      </c>
      <c r="AO7" s="59">
        <v>44805</v>
      </c>
      <c r="AP7" s="59">
        <v>44835</v>
      </c>
      <c r="AQ7" s="59">
        <v>44866</v>
      </c>
      <c r="AR7" s="59">
        <v>44896</v>
      </c>
      <c r="AS7" s="59">
        <v>44927</v>
      </c>
      <c r="AT7" s="59">
        <v>44958</v>
      </c>
      <c r="AU7" s="59">
        <v>44986</v>
      </c>
      <c r="AV7" s="59">
        <v>45017</v>
      </c>
      <c r="AW7" s="59">
        <v>45047</v>
      </c>
      <c r="AX7" s="59">
        <v>45078</v>
      </c>
      <c r="AY7" s="59">
        <v>45108</v>
      </c>
      <c r="AZ7" s="59" t="s">
        <v>530</v>
      </c>
      <c r="BA7" s="59" t="s">
        <v>531</v>
      </c>
      <c r="BB7" s="59" t="s">
        <v>532</v>
      </c>
      <c r="BC7" s="59">
        <v>37104</v>
      </c>
      <c r="BD7" s="59">
        <v>37469</v>
      </c>
      <c r="BE7" s="59" t="s">
        <v>168</v>
      </c>
      <c r="BF7" s="59" t="s">
        <v>169</v>
      </c>
      <c r="BG7" s="59" t="s">
        <v>195</v>
      </c>
      <c r="BH7" s="59" t="s">
        <v>196</v>
      </c>
      <c r="BI7" s="59" t="s">
        <v>197</v>
      </c>
      <c r="BJ7" s="59" t="s">
        <v>198</v>
      </c>
      <c r="BK7" s="59" t="s">
        <v>199</v>
      </c>
      <c r="BL7" s="59" t="s">
        <v>200</v>
      </c>
      <c r="BM7" s="59" t="s">
        <v>201</v>
      </c>
      <c r="BN7" s="59" t="s">
        <v>202</v>
      </c>
      <c r="BO7" s="59">
        <v>37196</v>
      </c>
      <c r="BP7" s="59">
        <v>37561</v>
      </c>
      <c r="BQ7" s="59">
        <v>37926</v>
      </c>
      <c r="BR7" s="59">
        <v>38292</v>
      </c>
      <c r="BS7" s="59">
        <v>37226</v>
      </c>
      <c r="BT7" s="59">
        <v>37591</v>
      </c>
      <c r="BU7" s="59">
        <v>37956</v>
      </c>
      <c r="BV7" s="59">
        <v>38322</v>
      </c>
      <c r="BW7" s="59">
        <v>36892</v>
      </c>
      <c r="BX7" s="59">
        <v>37257</v>
      </c>
      <c r="BY7" s="59">
        <v>37622</v>
      </c>
      <c r="BZ7" s="59">
        <v>37987</v>
      </c>
      <c r="CA7" s="59">
        <v>36923</v>
      </c>
      <c r="CB7" s="59">
        <v>37288</v>
      </c>
      <c r="CC7" s="59">
        <v>37653</v>
      </c>
      <c r="CD7" s="59">
        <v>38018</v>
      </c>
      <c r="CE7" s="59" t="str">
        <f>Sheet8!A15</f>
        <v>Mar-w1</v>
      </c>
      <c r="CF7" s="59">
        <v>37316</v>
      </c>
      <c r="CG7" s="59">
        <v>37681</v>
      </c>
      <c r="CH7" s="59">
        <v>38047</v>
      </c>
      <c r="CI7" s="59" t="str">
        <f>Sheet8!E15</f>
        <v>Apr-w1</v>
      </c>
      <c r="CJ7" s="59" t="str">
        <f>Sheet8!F15</f>
        <v>Apr-w2</v>
      </c>
      <c r="CK7" s="59" t="str">
        <f>Sheet8!G15</f>
        <v>Apr-w3</v>
      </c>
      <c r="CL7" s="59" t="str">
        <f>Sheet8!H15</f>
        <v>Apr-w4</v>
      </c>
      <c r="CM7" s="59" t="str">
        <f>Sheet8!I15</f>
        <v>May-w1</v>
      </c>
      <c r="CN7" s="59" t="str">
        <f>Sheet8!J15</f>
        <v>May-w2</v>
      </c>
      <c r="CO7" s="59" t="str">
        <f>Sheet8!K15</f>
        <v>May-w3</v>
      </c>
      <c r="CP7" s="59" t="str">
        <f>Sheet8!L15</f>
        <v>May-w4</v>
      </c>
      <c r="CQ7" s="59" t="str">
        <f>Sheet8!M15</f>
        <v>May-w5</v>
      </c>
      <c r="CR7" s="59" t="str">
        <f>Sheet8!N15</f>
        <v>june-w1</v>
      </c>
      <c r="CS7" s="59" t="str">
        <f>Sheet8!O15</f>
        <v>june-w2</v>
      </c>
      <c r="CT7" s="59" t="str">
        <f>Sheet8!P15</f>
        <v>june-w3</v>
      </c>
      <c r="CU7" s="59" t="str">
        <f>Sheet8!Q15</f>
        <v>june-w4</v>
      </c>
      <c r="CV7" s="59" t="str">
        <f>Sheet8!R15</f>
        <v>Jul-w1</v>
      </c>
      <c r="CW7" s="59" t="str">
        <f>Sheet8!S15</f>
        <v>Jul-w2</v>
      </c>
      <c r="CX7" s="59" t="str">
        <f>Sheet8!T15</f>
        <v>Jul-w3</v>
      </c>
      <c r="CY7" s="59" t="str">
        <f>Sheet8!U15</f>
        <v>Jul-w4</v>
      </c>
      <c r="CZ7" s="59" t="str">
        <f>Sheet8!V15</f>
        <v>Aug-w1</v>
      </c>
      <c r="DA7" s="59" t="str">
        <f>Sheet8!W15</f>
        <v>Aug-w2</v>
      </c>
      <c r="DB7" s="59" t="str">
        <f>Sheet8!X15</f>
        <v>Aug-w3</v>
      </c>
      <c r="DC7" s="59" t="str">
        <f>Sheet8!Y15</f>
        <v>Aug-w4</v>
      </c>
      <c r="DD7" s="59" t="str">
        <f>Sheet8!Z15</f>
        <v>Sep-w1</v>
      </c>
      <c r="DE7" s="59" t="str">
        <f>Sheet8!AA15</f>
        <v>Sep-w2</v>
      </c>
      <c r="DF7" s="59" t="str">
        <f>Sheet8!AB15</f>
        <v>Sep-w3</v>
      </c>
      <c r="DG7" s="59" t="str">
        <f>Sheet8!AC15</f>
        <v>Sep-w4</v>
      </c>
      <c r="DH7" s="59" t="str">
        <f>Sheet8!AD15</f>
        <v>Oct-w1</v>
      </c>
      <c r="DI7" s="59" t="str">
        <f>Sheet8!AE15</f>
        <v>Oct-w2</v>
      </c>
      <c r="DJ7" s="59" t="str">
        <f>Sheet8!AF15</f>
        <v>Oct-w3</v>
      </c>
      <c r="DK7" s="59" t="str">
        <f>Sheet8!AG15</f>
        <v>Oct-w4</v>
      </c>
      <c r="DL7" s="59" t="str">
        <f>Sheet8!AH15</f>
        <v>Nov-w1</v>
      </c>
      <c r="DM7" s="59" t="str">
        <f>Sheet8!AI15</f>
        <v>Nov-w2</v>
      </c>
      <c r="DN7" s="59" t="str">
        <f>Sheet8!AJ15</f>
        <v>Nov-w3</v>
      </c>
      <c r="DO7" s="59" t="str">
        <f>Sheet8!AK15</f>
        <v>Nov-w4</v>
      </c>
      <c r="DP7" s="59" t="str">
        <f>Sheet8!AL15</f>
        <v>Dec-w1</v>
      </c>
      <c r="DQ7" s="59" t="str">
        <f>Sheet8!AM15</f>
        <v>Dec-w2</v>
      </c>
      <c r="DR7" s="59" t="str">
        <f>Sheet8!AN15</f>
        <v>Dec-w3</v>
      </c>
      <c r="DS7" s="59" t="str">
        <f>Sheet8!AO15</f>
        <v>Dec-w4</v>
      </c>
      <c r="DT7" s="59">
        <f>Sheet8!AP15</f>
        <v>0</v>
      </c>
      <c r="DU7" s="59">
        <f>Sheet8!AQ15</f>
        <v>0</v>
      </c>
      <c r="DV7" s="59">
        <f>Sheet8!AR15</f>
        <v>0</v>
      </c>
      <c r="DW7" s="59">
        <f>Sheet8!AS15</f>
        <v>0</v>
      </c>
      <c r="DX7" s="59">
        <f>Sheet8!AT15</f>
        <v>0</v>
      </c>
      <c r="DY7" s="59">
        <f>Sheet8!AU15</f>
        <v>0</v>
      </c>
      <c r="DZ7" s="59">
        <f>Sheet8!AV15</f>
        <v>0</v>
      </c>
      <c r="EA7" s="59">
        <f>Sheet8!AW15</f>
        <v>0</v>
      </c>
      <c r="EB7" s="59">
        <f>Sheet8!AX15</f>
        <v>0</v>
      </c>
      <c r="EC7" s="59">
        <f>Sheet8!AY15</f>
        <v>0</v>
      </c>
      <c r="ED7" s="59">
        <f>Sheet8!AZ15</f>
        <v>0</v>
      </c>
      <c r="EE7" s="59">
        <f>Sheet8!BA15</f>
        <v>0</v>
      </c>
      <c r="EF7" s="59">
        <f>Sheet8!BB15</f>
        <v>0</v>
      </c>
      <c r="EG7" s="59">
        <f>Sheet8!BC15</f>
        <v>0</v>
      </c>
      <c r="EH7" s="59">
        <f>Sheet8!BD15</f>
        <v>0</v>
      </c>
      <c r="EI7" s="59">
        <f>Sheet8!BE15</f>
        <v>0</v>
      </c>
      <c r="EJ7" s="59">
        <f>Sheet8!BF15</f>
        <v>0</v>
      </c>
      <c r="EK7" s="59">
        <f>Sheet8!BG15</f>
        <v>0</v>
      </c>
      <c r="EL7" s="59">
        <f>Sheet8!BH15</f>
        <v>0</v>
      </c>
      <c r="EM7" s="59">
        <f>Sheet8!BI15</f>
        <v>0</v>
      </c>
      <c r="EN7" s="59">
        <f>Sheet8!BJ15</f>
        <v>0</v>
      </c>
      <c r="EO7" s="59">
        <f>Sheet8!BK15</f>
        <v>0</v>
      </c>
      <c r="EP7" s="59">
        <f>Sheet8!BL15</f>
        <v>0</v>
      </c>
      <c r="EQ7" s="59">
        <f>Sheet8!BM15</f>
        <v>0</v>
      </c>
      <c r="ER7" s="59">
        <f>Sheet8!BN15</f>
        <v>0</v>
      </c>
      <c r="ES7" s="59">
        <f>Sheet8!BO15</f>
        <v>0</v>
      </c>
      <c r="ET7" s="59">
        <f>Sheet8!BP15</f>
        <v>0</v>
      </c>
      <c r="EU7" s="59">
        <f>Sheet8!BQ15</f>
        <v>0</v>
      </c>
      <c r="EV7" s="59">
        <f>Sheet8!BR15</f>
        <v>0</v>
      </c>
      <c r="EW7" s="59">
        <f>Sheet8!BS15</f>
        <v>0</v>
      </c>
      <c r="EX7" s="59">
        <f>Sheet8!BT15</f>
        <v>0</v>
      </c>
      <c r="EY7" s="59">
        <f>Sheet8!BU15</f>
        <v>0</v>
      </c>
      <c r="EZ7" s="59">
        <f>Sheet8!BV15</f>
        <v>0</v>
      </c>
      <c r="FA7" s="59">
        <f>Sheet8!BW15</f>
        <v>0</v>
      </c>
      <c r="FB7" s="59">
        <f>Sheet8!BX15</f>
        <v>0</v>
      </c>
      <c r="FC7" s="59">
        <f>Sheet8!BY15</f>
        <v>0</v>
      </c>
      <c r="FD7" s="59">
        <f>Sheet8!BZ15</f>
        <v>0</v>
      </c>
      <c r="FE7" s="59">
        <f>Sheet8!CA15</f>
        <v>0</v>
      </c>
      <c r="FF7" s="59">
        <f>Sheet8!CB15</f>
        <v>0</v>
      </c>
      <c r="FG7" s="59">
        <f>Sheet8!CC15</f>
        <v>0</v>
      </c>
      <c r="FH7" s="59">
        <f>Sheet8!CD15</f>
        <v>0</v>
      </c>
      <c r="FI7" s="59">
        <f>Sheet8!CE15</f>
        <v>0</v>
      </c>
      <c r="FJ7" s="59">
        <f>Sheet8!CF15</f>
        <v>0</v>
      </c>
      <c r="FK7" s="59">
        <f>Sheet8!CG15</f>
        <v>0</v>
      </c>
      <c r="FL7" s="59">
        <f>Sheet8!CH15</f>
        <v>0</v>
      </c>
    </row>
    <row r="8" spans="1:168" ht="13">
      <c r="E8" s="60" t="s">
        <v>828</v>
      </c>
      <c r="H8" s="107" t="s">
        <v>355</v>
      </c>
      <c r="I8" s="74">
        <f>VLOOKUP($H$8&amp;$F$1,'Input RM sheet'!$A:$ZZ,H1,0)</f>
        <v>1.1686860573522071</v>
      </c>
      <c r="J8" s="74">
        <f>VLOOKUP($H$8&amp;$F$1,'Input RM sheet'!$A:$ZZ,I1,0)</f>
        <v>1.156357203445213</v>
      </c>
      <c r="K8" s="74">
        <f>VLOOKUP($H$8&amp;$F$1,'Input RM sheet'!$A:$ZZ,J1,0)</f>
        <v>1.1315322012430717</v>
      </c>
      <c r="L8" s="74">
        <f>VLOOKUP($H$8&amp;$F$1,'Input RM sheet'!$A:$ZZ,K1,0)</f>
        <v>1.1077710683510926</v>
      </c>
      <c r="M8" s="74">
        <f>VLOOKUP($H$8&amp;$F$1,'Input RM sheet'!$A:$ZZ,L1,0)</f>
        <v>1.1612197154051911</v>
      </c>
      <c r="N8" s="74">
        <f>VLOOKUP($H$8&amp;$F$1,'Input RM sheet'!$A:$ZZ,M1,0)</f>
        <v>1.082529369392158</v>
      </c>
      <c r="O8" s="74">
        <f>VLOOKUP($H$8&amp;$F$1,'Input RM sheet'!$A:$ZZ,N1,0)</f>
        <v>1.0942104554325476</v>
      </c>
      <c r="P8" s="74">
        <f>VLOOKUP($H$8&amp;$F$1,'Input RM sheet'!$A:$ZZ,O1,0)</f>
        <v>1.0668441242206581</v>
      </c>
      <c r="Q8" s="74">
        <f>VLOOKUP($H$8&amp;$F$1,'Input RM sheet'!$A:$ZZ,P1,0)</f>
        <v>1.11294156803931</v>
      </c>
      <c r="R8" s="74">
        <f>VLOOKUP($H$8&amp;$F$1,'Input RM sheet'!$A:$ZZ,Q1,0)</f>
        <v>1.1381539445770759</v>
      </c>
      <c r="S8" s="74">
        <f>VLOOKUP($H$8&amp;$F$1,'Input RM sheet'!$A:$ZZ,R1,0)</f>
        <v>1.1147751142068751</v>
      </c>
      <c r="T8" s="74">
        <f>VLOOKUP($H$8&amp;$F$1,'Input RM sheet'!$A:$ZZ,S1,0)</f>
        <v>1.0943057101727447</v>
      </c>
      <c r="U8" s="74">
        <f>VLOOKUP($H$8&amp;$F$1,'Input RM sheet'!$A:$ZZ,T1,0)</f>
        <v>1.170568642809821</v>
      </c>
      <c r="V8" s="74">
        <f>VLOOKUP($H$8&amp;$F$1,'Input RM sheet'!$A:$ZZ,U1,0)</f>
        <v>1.1854104620705985</v>
      </c>
      <c r="W8" s="74">
        <f>VLOOKUP($H$8&amp;$F$1,'Input RM sheet'!$A:$ZZ,V1,0)</f>
        <v>1.2034502627864756</v>
      </c>
      <c r="X8" s="74">
        <f>VLOOKUP($H$8&amp;$F$1,'Input RM sheet'!$A:$ZZ,W1,0)</f>
        <v>1.2143400335795638</v>
      </c>
      <c r="Y8" s="74">
        <f>VLOOKUP($H$8&amp;$F$1,'Input RM sheet'!$A:$ZZ,X1,0)</f>
        <v>1.2133387262214759</v>
      </c>
      <c r="Z8" s="74">
        <f>VLOOKUP($H$8&amp;$F$1,'Input RM sheet'!$A:$ZZ,Y1,0)</f>
        <v>1.1490869008466618</v>
      </c>
      <c r="AA8" s="74">
        <f>VLOOKUP($H$8&amp;$F$1,'Input RM sheet'!$A:$ZZ,Z1,0)</f>
        <v>1.1939927917083106</v>
      </c>
      <c r="AB8" s="74">
        <f>VLOOKUP($H$8&amp;$F$1,'Input RM sheet'!$A:$ZZ,AA1,0)</f>
        <v>1.113520944846577</v>
      </c>
      <c r="AC8" s="74">
        <f>VLOOKUP($H$8&amp;$F$1,'Input RM sheet'!$A:$ZZ,AB1,0)</f>
        <v>1.3540664332353658</v>
      </c>
      <c r="AD8" s="74">
        <f>VLOOKUP($H$8&amp;$F$1,'Input RM sheet'!$A:$ZZ,AC1,0)</f>
        <v>2.6553258636292751</v>
      </c>
      <c r="AE8" s="74">
        <f>VLOOKUP($H$8&amp;$F$1,'Input RM sheet'!$A:$ZZ,AD1,0)</f>
        <v>3.6251581311313927</v>
      </c>
      <c r="AF8" s="74">
        <f>VLOOKUP($H$8&amp;$F$1,'Input RM sheet'!$A:$ZZ,AE1,0)</f>
        <v>3.2126856839160509</v>
      </c>
      <c r="AG8" s="74">
        <f>VLOOKUP($H$8&amp;$F$1,'Input RM sheet'!$A:$ZZ,AF1,0)</f>
        <v>2.9807896770994486</v>
      </c>
      <c r="AH8" s="74">
        <f>VLOOKUP($H$8&amp;$F$1,'Input RM sheet'!$A:$ZZ,AG1,0)</f>
        <v>3.1243069023310275</v>
      </c>
      <c r="AI8" s="74">
        <f>VLOOKUP($H$8&amp;$F$1,'Input RM sheet'!$A:$ZZ,AH1,0)</f>
        <v>2.8389174566882138</v>
      </c>
      <c r="AJ8" s="74">
        <f>VLOOKUP($H$8&amp;$F$1,'Input RM sheet'!$A:$ZZ,AI1,0)</f>
        <v>2.7980332278481006</v>
      </c>
      <c r="AK8" s="74">
        <f>VLOOKUP($H$8&amp;$F$1,'Input RM sheet'!$A:$ZZ,AJ1,0)</f>
        <v>3.0538633630289533</v>
      </c>
      <c r="AL8" s="74">
        <f>VLOOKUP($H$8&amp;$F$1,'Input RM sheet'!$A:$ZZ,AK1,0)</f>
        <v>3.1741932666666668</v>
      </c>
      <c r="AM8" s="74">
        <f>VLOOKUP($H$8&amp;$F$1,'Input RM sheet'!$A:$ZZ,AL1,0)</f>
        <v>3.2189899565448741</v>
      </c>
      <c r="AN8" s="74">
        <f>VLOOKUP($H$8&amp;$F$1,'Input RM sheet'!$A:$ZZ,AM1,0)</f>
        <v>3.2336203522504881</v>
      </c>
      <c r="AO8" s="74">
        <f>VLOOKUP($H$8&amp;$F$1,'Input RM sheet'!$A:$ZZ,AN1,0)</f>
        <v>2.4832288122856632</v>
      </c>
      <c r="AP8" s="74">
        <f>VLOOKUP($H$8&amp;$F$1,'Input RM sheet'!$A:$ZZ,AO1,0)</f>
        <v>2.4431155002614582</v>
      </c>
      <c r="AQ8" s="74">
        <f>VLOOKUP($H$8&amp;$F$1,'Input RM sheet'!$A:$ZZ,AP1,0)</f>
        <v>2.3183138343688787</v>
      </c>
      <c r="AR8" s="74">
        <f>VLOOKUP($H$8&amp;$F$1,'Input RM sheet'!$A:$ZZ,AQ1,0)</f>
        <v>2.3381461378759223</v>
      </c>
      <c r="AS8" s="74">
        <f>VLOOKUP($H$8&amp;$F$1,'Input RM sheet'!$A:$ZZ,AR1,0)</f>
        <v>2.0949771194028668</v>
      </c>
      <c r="AT8" s="74">
        <f>VLOOKUP($H$8&amp;$F$1,'Input RM sheet'!$A:$ZZ,AS1,0)</f>
        <v>1.9097239876458478</v>
      </c>
      <c r="AU8" s="74">
        <f>VLOOKUP($H$8&amp;$F$1,'Input RM sheet'!$A:$ZZ,AT1,0)</f>
        <v>2.0237202603471292</v>
      </c>
      <c r="AV8" s="74">
        <f>VLOOKUP($H$8&amp;$F$1,'Input RM sheet'!$A:$ZZ,AU1,0)</f>
        <v>1.7650299788881068</v>
      </c>
      <c r="AW8" s="74">
        <f>VLOOKUP($H$8&amp;$F$1,'Input RM sheet'!$A:$ZZ,AV1,0)</f>
        <v>2.672567770739525</v>
      </c>
      <c r="AX8" s="74">
        <f>VLOOKUP($H$8&amp;$F$1,'Input RM sheet'!$A:$ZZ,AW1,0)</f>
        <v>1.7250852139163138</v>
      </c>
      <c r="AY8" s="74">
        <f>VLOOKUP($H$8&amp;$F$1,'Input RM sheet'!$A:$ZZ,AX1,0)</f>
        <v>1.6061695995785037</v>
      </c>
      <c r="AZ8" s="74">
        <f>VLOOKUP($H$8&amp;$F$1,'Input RM sheet'!$A:$ZZ,AY1,0)</f>
        <v>1.6061695995785037</v>
      </c>
      <c r="BA8" s="74">
        <f>VLOOKUP($H$8&amp;$F$1,'Input RM sheet'!$A:$ZZ,AZ1,0)</f>
        <v>1.6061695995785037</v>
      </c>
      <c r="BB8" s="74">
        <f>VLOOKUP($H$8&amp;$F$1,'Input RM sheet'!$A:$ZZ,BA1,0)</f>
        <v>1.6061695995785037</v>
      </c>
      <c r="BC8" s="74">
        <f>VLOOKUP($H$8&amp;$F$1,'Input RM sheet'!$A:$ZZ,BB1,0)</f>
        <v>2.1035981436110065</v>
      </c>
      <c r="BD8" s="74">
        <f>VLOOKUP($H$8&amp;$F$1,'Input RM sheet'!$A:$ZZ,BC1,0)</f>
        <v>2.1035981436110065</v>
      </c>
      <c r="BE8" s="74">
        <f>VLOOKUP($H$8&amp;$F$1,'Input RM sheet'!$A:$ZZ,BD1,0)</f>
        <v>2.1035981436110065</v>
      </c>
      <c r="BF8" s="74">
        <f>VLOOKUP($H$8&amp;$F$1,'Input RM sheet'!$A:$ZZ,BE1,0)</f>
        <v>2.1035981436110065</v>
      </c>
      <c r="BG8" s="74">
        <f>VLOOKUP($H$8&amp;$F$1,'Input RM sheet'!$A:$ZZ,BF1,0)</f>
        <v>1.8131999557522125</v>
      </c>
      <c r="BH8" s="74">
        <f>VLOOKUP($H$8&amp;$F$1,'Input RM sheet'!$A:$ZZ,BG1,0)</f>
        <v>1.8131999557522125</v>
      </c>
      <c r="BI8" s="74">
        <f>VLOOKUP($H$8&amp;$F$1,'Input RM sheet'!$A:$ZZ,BH1,0)</f>
        <v>1.8131999557522125</v>
      </c>
      <c r="BJ8" s="74">
        <f>VLOOKUP($H$8&amp;$F$1,'Input RM sheet'!$A:$ZZ,BI1,0)</f>
        <v>1.8131999557522125</v>
      </c>
      <c r="BK8" s="74">
        <f>VLOOKUP($H$8&amp;$F$1,'Input RM sheet'!$A:$ZZ,BJ1,0)</f>
        <v>1.6399928188267865</v>
      </c>
      <c r="BL8" s="74">
        <f>VLOOKUP($H$8&amp;$F$1,'Input RM sheet'!$A:$ZZ,BK1,0)</f>
        <v>1.6399928188267865</v>
      </c>
      <c r="BM8" s="74">
        <f>VLOOKUP($H$8&amp;$F$1,'Input RM sheet'!$A:$ZZ,BL1,0)</f>
        <v>1.6399928188267865</v>
      </c>
      <c r="BN8" s="74">
        <f>VLOOKUP($H$8&amp;$F$1,'Input RM sheet'!$A:$ZZ,BM1,0)</f>
        <v>1.6399928188267865</v>
      </c>
      <c r="BO8" s="74">
        <f>VLOOKUP($H$8&amp;$F$1,'Input RM sheet'!$A:$ZZ,BN1,0)</f>
        <v>1.5240000717385842</v>
      </c>
      <c r="BP8" s="74">
        <f>VLOOKUP($H$8&amp;$F$1,'Input RM sheet'!$A:$ZZ,BO1,0)</f>
        <v>1.5240000717385842</v>
      </c>
      <c r="BQ8" s="74">
        <f>VLOOKUP($H$8&amp;$F$1,'Input RM sheet'!$A:$ZZ,BP1,0)</f>
        <v>1.5240000717385842</v>
      </c>
      <c r="BR8" s="74">
        <f>VLOOKUP($H$8&amp;$F$1,'Input RM sheet'!$A:$ZZ,BQ1,0)</f>
        <v>1.5240000717385842</v>
      </c>
      <c r="BS8" s="74">
        <f>VLOOKUP($H$8&amp;$F$1,'Input RM sheet'!$A:$ZZ,BR1,0)</f>
        <v>1.6232249321006282</v>
      </c>
      <c r="BT8" s="74">
        <f>VLOOKUP($H$8&amp;$F$1,'Input RM sheet'!$A:$ZZ,BS1,0)</f>
        <v>1.6232249321006282</v>
      </c>
      <c r="BU8" s="74">
        <f>VLOOKUP($H$8&amp;$F$1,'Input RM sheet'!$A:$ZZ,BT1,0)</f>
        <v>1.6232249321006282</v>
      </c>
      <c r="BV8" s="74">
        <f>VLOOKUP($H$8&amp;$F$1,'Input RM sheet'!$A:$ZZ,BU1,0)</f>
        <v>1.6232249321006282</v>
      </c>
      <c r="BW8" s="74">
        <f>VLOOKUP($H$8&amp;$F$1,'Input RM sheet'!$A:$ZZ,BV1,0)</f>
        <v>1.4311061508905607</v>
      </c>
      <c r="BX8" s="74">
        <f>VLOOKUP($H$8&amp;$F$1,'Input RM sheet'!$A:$ZZ,BW1,0)</f>
        <v>1.4311061508905607</v>
      </c>
      <c r="BY8" s="74">
        <f>VLOOKUP($H$8&amp;$F$1,'Input RM sheet'!$A:$ZZ,BX1,0)</f>
        <v>1.4311061508905607</v>
      </c>
      <c r="BZ8" s="74">
        <f>VLOOKUP($H$8&amp;$F$1,'Input RM sheet'!$A:$ZZ,BY1,0)</f>
        <v>1.4311061508905607</v>
      </c>
      <c r="CA8" s="74">
        <f>VLOOKUP($H$8&amp;$F$1,'Input RM sheet'!$A:$ZZ,BZ1,0)</f>
        <v>1.3694531730500417</v>
      </c>
      <c r="CB8" s="74">
        <f>VLOOKUP($H$8&amp;$F$1,'Input RM sheet'!$A:$ZZ,CA1,0)</f>
        <v>1.3694531730500417</v>
      </c>
      <c r="CC8" s="74">
        <f>VLOOKUP($H$8&amp;$F$1,'Input RM sheet'!$A:$ZZ,CB1,0)</f>
        <v>1.3694531730500417</v>
      </c>
      <c r="CD8" s="74">
        <f>VLOOKUP($H$8&amp;$F$1,'Input RM sheet'!$A:$ZZ,CC1,0)</f>
        <v>1.3694531730500417</v>
      </c>
      <c r="CE8" s="74">
        <f>VLOOKUP($H$8&amp;$F$1,'Input RM sheet'!$A:$ZZ,CD1,0)</f>
        <v>1.5056262315923299</v>
      </c>
      <c r="CF8" s="74">
        <f>VLOOKUP($H$8&amp;$F$1,'Input RM sheet'!$A:$ZZ,CE1,0)</f>
        <v>1.5056262315923299</v>
      </c>
      <c r="CG8" s="74">
        <f>VLOOKUP($H$8&amp;$F$1,'Input RM sheet'!$A:$ZZ,CF1,0)</f>
        <v>1.5056262315923299</v>
      </c>
      <c r="CH8" s="74">
        <f>VLOOKUP($H$8&amp;$F$1,'Input RM sheet'!$A:$ZZ,CG1,0)</f>
        <v>1.5056262315923299</v>
      </c>
      <c r="CI8" s="74">
        <f>VLOOKUP($H$8&amp;$F$1,'Input RM sheet'!$A:$ZZ,CH1,0)</f>
        <v>1.7846271766919106</v>
      </c>
      <c r="CJ8" s="74">
        <f>VLOOKUP($H$8&amp;$F$1,'Input RM sheet'!$A:$ZZ,CI1,0)</f>
        <v>1.7846271766919106</v>
      </c>
      <c r="CK8" s="74">
        <f>VLOOKUP($H$8&amp;$F$1,'Input RM sheet'!$A:$ZZ,CJ1,0)</f>
        <v>1.7846271766919106</v>
      </c>
      <c r="CL8" s="74">
        <f>VLOOKUP($H$8&amp;$F$1,'Input RM sheet'!$A:$ZZ,CK1,0)</f>
        <v>1.7846271766919106</v>
      </c>
      <c r="CM8" s="74">
        <f>VLOOKUP($H$8&amp;$F$1,'Input RM sheet'!$A:$ZZ,CL1,0)</f>
        <v>1.4623755239977099</v>
      </c>
      <c r="CN8" s="74">
        <f>VLOOKUP($H$8&amp;$F$1,'Input RM sheet'!$A:$ZZ,CM1,0)</f>
        <v>1.4623755239977099</v>
      </c>
      <c r="CO8" s="74">
        <f>VLOOKUP($H$8&amp;$F$1,'Input RM sheet'!$A:$ZZ,CN1,0)</f>
        <v>1.4623755239977099</v>
      </c>
      <c r="CP8" s="74">
        <f>VLOOKUP($H$8&amp;$F$1,'Input RM sheet'!$A:$ZZ,CO1,0)</f>
        <v>1.4623755239977099</v>
      </c>
      <c r="CQ8" s="74">
        <f>VLOOKUP($H$8&amp;$F$1,'Input RM sheet'!$A:$ZZ,CP1,0)</f>
        <v>1.4623755239977099</v>
      </c>
      <c r="CR8" s="74">
        <f>VLOOKUP($H$8&amp;$F$1,'Input RM sheet'!$A:$ZZ,CQ1,0)</f>
        <v>1.5325801304825266</v>
      </c>
      <c r="CS8" s="74">
        <f>VLOOKUP($H$8&amp;$F$1,'Input RM sheet'!$A:$ZZ,CR1,0)</f>
        <v>1.5325801304825266</v>
      </c>
      <c r="CT8" s="74">
        <f>VLOOKUP($H$8&amp;$F$1,'Input RM sheet'!$A:$ZZ,CS1,0)</f>
        <v>1.5325801304825266</v>
      </c>
      <c r="CU8" s="74">
        <f>VLOOKUP($H$8&amp;$F$1,'Input RM sheet'!$A:$ZZ,CT1,0)</f>
        <v>1.5325801304825266</v>
      </c>
      <c r="CV8" s="74">
        <f>VLOOKUP($H$8&amp;$F$1,'Input RM sheet'!$A:$ZZ,CU1,0)</f>
        <v>1.3561042603863456</v>
      </c>
      <c r="CW8" s="74">
        <f>VLOOKUP($H$8&amp;$F$1,'Input RM sheet'!$A:$ZZ,CV1,0)</f>
        <v>1.3561042603863456</v>
      </c>
      <c r="CX8" s="74">
        <f>VLOOKUP($H$8&amp;$F$1,'Input RM sheet'!$A:$ZZ,CW1,0)</f>
        <v>1.3561042603863456</v>
      </c>
      <c r="CY8" s="74">
        <f>VLOOKUP($H$8&amp;$F$1,'Input RM sheet'!$A:$ZZ,CX1,0)</f>
        <v>1.3561042603863456</v>
      </c>
      <c r="CZ8" s="74">
        <f>VLOOKUP($H$8&amp;$F$1,'Input RM sheet'!$A:$ZZ,CY1,0)</f>
        <v>1.3561042603863456</v>
      </c>
      <c r="DA8" s="74">
        <f>VLOOKUP($H$8&amp;$F$1,'Input RM sheet'!$A:$ZZ,CZ1,0)</f>
        <v>1.3561042603863456</v>
      </c>
      <c r="DB8" s="74">
        <f>VLOOKUP($H$8&amp;$F$1,'Input RM sheet'!$A:$ZZ,DA1,0)</f>
        <v>1.3561042603863456</v>
      </c>
      <c r="DC8" s="74">
        <f>VLOOKUP($H$8&amp;$F$1,'Input RM sheet'!$A:$ZZ,DB1,0)</f>
        <v>1.3561042603863456</v>
      </c>
      <c r="DD8" s="74">
        <f>VLOOKUP($H$8&amp;$F$1,'Input RM sheet'!$A:$ZZ,DC1,0)</f>
        <v>1.3561042603863456</v>
      </c>
      <c r="DE8" s="74">
        <f>VLOOKUP($H$8&amp;$F$1,'Input RM sheet'!$A:$ZZ,DD1,0)</f>
        <v>1.3561042603863456</v>
      </c>
      <c r="DF8" s="74">
        <f>VLOOKUP($H$8&amp;$F$1,'Input RM sheet'!$A:$ZZ,DE1,0)</f>
        <v>1.3561042603863456</v>
      </c>
      <c r="DG8" s="74">
        <f>VLOOKUP($H$8&amp;$F$1,'Input RM sheet'!$A:$ZZ,DF1,0)</f>
        <v>1.3561042603863456</v>
      </c>
      <c r="DH8" s="74">
        <f>VLOOKUP($H$8&amp;$F$1,'Input RM sheet'!$A:$ZZ,DG1,0)</f>
        <v>1.3561042603863456</v>
      </c>
      <c r="DI8" s="74">
        <f>VLOOKUP($H$8&amp;$F$1,'Input RM sheet'!$A:$ZZ,DH1,0)</f>
        <v>1.3561042603863456</v>
      </c>
      <c r="DJ8" s="74">
        <f>VLOOKUP($H$8&amp;$F$1,'Input RM sheet'!$A:$ZZ,DI1,0)</f>
        <v>1.3561042603863456</v>
      </c>
      <c r="DK8" s="74">
        <f>VLOOKUP($H$8&amp;$F$1,'Input RM sheet'!$A:$ZZ,DJ1,0)</f>
        <v>1.3561042603863456</v>
      </c>
      <c r="DL8" s="74">
        <f>VLOOKUP($H$8&amp;$F$1,'Input RM sheet'!$A:$ZZ,DK1,0)</f>
        <v>1.3561042603863456</v>
      </c>
      <c r="DM8" s="74">
        <f>VLOOKUP($H$8&amp;$F$1,'Input RM sheet'!$A:$ZZ,DL1,0)</f>
        <v>1.3561042603863456</v>
      </c>
      <c r="DN8" s="74">
        <f>VLOOKUP($H$8&amp;$F$1,'Input RM sheet'!$A:$ZZ,DM1,0)</f>
        <v>1.3561042603863456</v>
      </c>
      <c r="DO8" s="74">
        <f>VLOOKUP($H$8&amp;$F$1,'Input RM sheet'!$A:$ZZ,DN1,0)</f>
        <v>1.3561042603863456</v>
      </c>
      <c r="DP8" s="74">
        <f>VLOOKUP($H$8&amp;$F$1,'Input RM sheet'!$A:$ZZ,DO1,0)</f>
        <v>1.3561042603863456</v>
      </c>
      <c r="DQ8" s="74">
        <f>VLOOKUP($H$8&amp;$F$1,'Input RM sheet'!$A:$ZZ,DP1,0)</f>
        <v>1.3561042603863456</v>
      </c>
      <c r="DR8" s="74">
        <f>VLOOKUP($H$8&amp;$F$1,'Input RM sheet'!$A:$ZZ,DQ1,0)</f>
        <v>1.3561042603863456</v>
      </c>
      <c r="DS8" s="74">
        <f>VLOOKUP($H$8&amp;$F$1,'Input RM sheet'!$A:$ZZ,DR1,0)</f>
        <v>1.3561042603863456</v>
      </c>
      <c r="DT8" s="74">
        <f>VLOOKUP($H$8&amp;$F$1,'Input RM sheet'!$A:$ZZ,DS1,0)</f>
        <v>0</v>
      </c>
      <c r="DU8" s="74">
        <f>VLOOKUP($H$8&amp;$F$1,'Input RM sheet'!$A:$ZZ,DT1,0)</f>
        <v>0</v>
      </c>
      <c r="DV8" s="74">
        <f>VLOOKUP($H$8&amp;$F$1,'Input RM sheet'!$A:$ZZ,DU1,0)</f>
        <v>0</v>
      </c>
      <c r="DW8" s="74">
        <f>VLOOKUP($H$8&amp;$F$1,'Input RM sheet'!$A:$ZZ,DV1,0)</f>
        <v>0</v>
      </c>
      <c r="DX8" s="74">
        <f>VLOOKUP($H$8&amp;$F$1,'Input RM sheet'!$A:$ZZ,DW1,0)</f>
        <v>0</v>
      </c>
      <c r="DY8" s="74">
        <f>VLOOKUP($H$8&amp;$F$1,'Input RM sheet'!$A:$ZZ,DX1,0)</f>
        <v>0</v>
      </c>
      <c r="DZ8" s="74">
        <f>VLOOKUP($H$8&amp;$F$1,'Input RM sheet'!$A:$ZZ,DY1,0)</f>
        <v>0</v>
      </c>
      <c r="EA8" s="74">
        <f>VLOOKUP($H$8&amp;$F$1,'Input RM sheet'!$A:$ZZ,DZ1,0)</f>
        <v>0</v>
      </c>
      <c r="EB8" s="74">
        <f>VLOOKUP($H$8&amp;$F$1,'Input RM sheet'!$A:$ZZ,EA1,0)</f>
        <v>0</v>
      </c>
      <c r="EC8" s="74">
        <f>VLOOKUP($H$8&amp;$F$1,'Input RM sheet'!$A:$ZZ,EB1,0)</f>
        <v>0</v>
      </c>
      <c r="ED8" s="74">
        <f>VLOOKUP($H$8&amp;$F$1,'Input RM sheet'!$A:$ZZ,EC1,0)</f>
        <v>0</v>
      </c>
      <c r="EE8" s="74">
        <f>VLOOKUP($H$8&amp;$F$1,'Input RM sheet'!$A:$ZZ,ED1,0)</f>
        <v>0</v>
      </c>
      <c r="EF8" s="74">
        <f>VLOOKUP($H$8&amp;$F$1,'Input RM sheet'!$A:$ZZ,EE1,0)</f>
        <v>0</v>
      </c>
      <c r="EG8" s="74">
        <f>VLOOKUP($H$8&amp;$F$1,'Input RM sheet'!$A:$ZZ,EF1,0)</f>
        <v>0</v>
      </c>
      <c r="EH8" s="74">
        <f>VLOOKUP($H$8&amp;$F$1,'Input RM sheet'!$A:$ZZ,EG1,0)</f>
        <v>0</v>
      </c>
      <c r="EI8" s="74">
        <f>VLOOKUP($H$8&amp;$F$1,'Input RM sheet'!$A:$ZZ,EH1,0)</f>
        <v>0</v>
      </c>
      <c r="EJ8" s="74">
        <f>VLOOKUP($H$8&amp;$F$1,'Input RM sheet'!$A:$ZZ,EI1,0)</f>
        <v>0</v>
      </c>
      <c r="EK8" s="74">
        <f>VLOOKUP($H$8&amp;$F$1,'Input RM sheet'!$A:$ZZ,EJ1,0)</f>
        <v>0</v>
      </c>
      <c r="EL8" s="74">
        <f>VLOOKUP($H$8&amp;$F$1,'Input RM sheet'!$A:$ZZ,EK1,0)</f>
        <v>0</v>
      </c>
      <c r="EM8" s="74">
        <f>VLOOKUP($H$8&amp;$F$1,'Input RM sheet'!$A:$ZZ,EL1,0)</f>
        <v>0</v>
      </c>
      <c r="EN8" s="74">
        <f>VLOOKUP($H$8&amp;$F$1,'Input RM sheet'!$A:$ZZ,EM1,0)</f>
        <v>0</v>
      </c>
      <c r="EO8" s="74">
        <f>VLOOKUP($H$8&amp;$F$1,'Input RM sheet'!$A:$ZZ,EN1,0)</f>
        <v>0</v>
      </c>
      <c r="EP8" s="74">
        <f>VLOOKUP($H$8&amp;$F$1,'Input RM sheet'!$A:$ZZ,EO1,0)</f>
        <v>0</v>
      </c>
      <c r="EQ8" s="74">
        <f>VLOOKUP($H$8&amp;$F$1,'Input RM sheet'!$A:$ZZ,EP1,0)</f>
        <v>0</v>
      </c>
      <c r="ER8" s="74">
        <f>VLOOKUP($H$8&amp;$F$1,'Input RM sheet'!$A:$ZZ,EQ1,0)</f>
        <v>0</v>
      </c>
      <c r="ES8" s="74">
        <f>VLOOKUP($H$8&amp;$F$1,'Input RM sheet'!$A:$ZZ,ER1,0)</f>
        <v>0</v>
      </c>
      <c r="ET8" s="74">
        <f>VLOOKUP($H$8&amp;$F$1,'Input RM sheet'!$A:$ZZ,ES1,0)</f>
        <v>0</v>
      </c>
      <c r="EU8" s="74">
        <f>VLOOKUP($H$8&amp;$F$1,'Input RM sheet'!$A:$ZZ,ET1,0)</f>
        <v>0</v>
      </c>
      <c r="EV8" s="74">
        <f>VLOOKUP($H$8&amp;$F$1,'Input RM sheet'!$A:$ZZ,EU1,0)</f>
        <v>0</v>
      </c>
      <c r="EW8" s="74">
        <f>VLOOKUP($H$8&amp;$F$1,'Input RM sheet'!$A:$ZZ,EV1,0)</f>
        <v>0</v>
      </c>
      <c r="EX8" s="74">
        <f>VLOOKUP($H$8&amp;$F$1,'Input RM sheet'!$A:$ZZ,EW1,0)</f>
        <v>0</v>
      </c>
      <c r="EY8" s="74">
        <f>VLOOKUP($H$8&amp;$F$1,'Input RM sheet'!$A:$ZZ,EX1,0)</f>
        <v>0</v>
      </c>
      <c r="EZ8" s="74">
        <f>VLOOKUP($H$8&amp;$F$1,'Input RM sheet'!$A:$ZZ,EY1,0)</f>
        <v>0</v>
      </c>
      <c r="FA8" s="74">
        <f>VLOOKUP($H$8&amp;$F$1,'Input RM sheet'!$A:$ZZ,EZ1,0)</f>
        <v>0</v>
      </c>
      <c r="FB8" s="74">
        <f>VLOOKUP($H$8&amp;$F$1,'Input RM sheet'!$A:$ZZ,FA1,0)</f>
        <v>0</v>
      </c>
      <c r="FC8" s="74">
        <f>VLOOKUP($H$8&amp;$F$1,'Input RM sheet'!$A:$ZZ,FB1,0)</f>
        <v>0</v>
      </c>
      <c r="FD8" s="74">
        <f>VLOOKUP($H$8&amp;$F$1,'Input RM sheet'!$A:$ZZ,FC1,0)</f>
        <v>0</v>
      </c>
      <c r="FE8" s="74">
        <f>VLOOKUP($H$8&amp;$F$1,'Input RM sheet'!$A:$ZZ,FD1,0)</f>
        <v>0</v>
      </c>
      <c r="FF8" s="74">
        <f>VLOOKUP($H$8&amp;$F$1,'Input RM sheet'!$A:$ZZ,FE1,0)</f>
        <v>0</v>
      </c>
      <c r="FG8" s="74">
        <f>VLOOKUP($H$8&amp;$F$1,'Input RM sheet'!$A:$ZZ,FF1,0)</f>
        <v>0</v>
      </c>
      <c r="FH8" s="74">
        <f>VLOOKUP($H$8&amp;$F$1,'Input RM sheet'!$A:$ZZ,FG1,0)</f>
        <v>0</v>
      </c>
      <c r="FI8" s="74">
        <f>VLOOKUP($H$8&amp;$F$1,'Input RM sheet'!$A:$ZZ,FH1,0)</f>
        <v>0</v>
      </c>
      <c r="FJ8" s="74">
        <f>VLOOKUP($H$8&amp;$F$1,'Input RM sheet'!$A:$ZZ,FI1,0)</f>
        <v>0</v>
      </c>
      <c r="FK8" s="74">
        <f>VLOOKUP($H$8&amp;$F$1,'Input RM sheet'!$A:$ZZ,FJ1,0)</f>
        <v>0</v>
      </c>
      <c r="FL8" s="74">
        <f>VLOOKUP($H$8&amp;$F$1,'Input RM sheet'!$A:$ZZ,FK1,0)</f>
        <v>0</v>
      </c>
    </row>
    <row r="9" spans="1:168" ht="13">
      <c r="E9" s="60" t="s">
        <v>829</v>
      </c>
      <c r="H9" s="107" t="s">
        <v>59</v>
      </c>
      <c r="I9" s="74">
        <f>'Formaldehyde 37%'!I16</f>
        <v>0.22362587412587412</v>
      </c>
      <c r="J9" s="74">
        <f>'Formaldehyde 37%'!J16</f>
        <v>0.2473117882117882</v>
      </c>
      <c r="K9" s="74">
        <f>'Formaldehyde 37%'!K16</f>
        <v>0.23250809190809188</v>
      </c>
      <c r="L9" s="74">
        <f>'Formaldehyde 37%'!L16</f>
        <v>0.20290069930069929</v>
      </c>
      <c r="M9" s="74">
        <f>'Formaldehyde 37%'!M16</f>
        <v>0.18908391608391606</v>
      </c>
      <c r="N9" s="74">
        <f>'Formaldehyde 37%'!N16</f>
        <v>0.18612317682317681</v>
      </c>
      <c r="O9" s="74">
        <f>'Formaldehyde 37%'!O16</f>
        <v>0.19105774225774225</v>
      </c>
      <c r="P9" s="74">
        <f>'Formaldehyde 37%'!P16</f>
        <v>0.20684835164835164</v>
      </c>
      <c r="Q9" s="74">
        <f>'Formaldehyde 37%'!Q16</f>
        <v>0.21079600399600398</v>
      </c>
      <c r="R9" s="74">
        <f>'Formaldehyde 37%'!R16</f>
        <v>0.21474365634365633</v>
      </c>
      <c r="S9" s="74">
        <f>'Formaldehyde 37%'!S16</f>
        <v>0.2265866133866134</v>
      </c>
      <c r="T9" s="74">
        <f>'Formaldehyde 37%'!T16</f>
        <v>0.23842957042957041</v>
      </c>
      <c r="U9" s="74">
        <f>'Formaldehyde 37%'!U16</f>
        <v>0.2621154845154845</v>
      </c>
      <c r="V9" s="74">
        <f>'Formaldehyde 37%'!V16</f>
        <v>0.26408931068931063</v>
      </c>
      <c r="W9" s="74">
        <f>'Formaldehyde 37%'!W16</f>
        <v>0.26014165834165831</v>
      </c>
      <c r="X9" s="74">
        <f>'Formaldehyde 37%'!X16</f>
        <v>0.2542201798201798</v>
      </c>
      <c r="Y9" s="74">
        <f>'Formaldehyde 37%'!Y16</f>
        <v>0.25718091908091906</v>
      </c>
      <c r="Z9" s="74">
        <f>'Formaldehyde 37%'!Z16</f>
        <v>0.26112857142857138</v>
      </c>
      <c r="AA9" s="74">
        <f>'Formaldehyde 37%'!AA16</f>
        <v>0.2621154845154845</v>
      </c>
      <c r="AB9" s="74">
        <f>'Formaldehyde 37%'!AB16</f>
        <v>0.26606313686313687</v>
      </c>
      <c r="AC9" s="74">
        <f>'Formaldehyde 37%'!AC16</f>
        <v>0.27395844155844151</v>
      </c>
      <c r="AD9" s="74">
        <f>'Formaldehyde 37%'!AD16</f>
        <v>0.30455274725274728</v>
      </c>
      <c r="AE9" s="74">
        <f>'Formaldehyde 37%'!AE16</f>
        <v>0.27494535464535463</v>
      </c>
      <c r="AF9" s="74">
        <f>'Formaldehyde 37%'!AF16</f>
        <v>0.2542201798201798</v>
      </c>
      <c r="AG9" s="74">
        <f>'Formaldehyde 37%'!AG16</f>
        <v>0.24237722277722276</v>
      </c>
      <c r="AH9" s="74">
        <f>'Formaldehyde 37%'!AH16</f>
        <v>0.27395844155844151</v>
      </c>
      <c r="AI9" s="74">
        <f>'Formaldehyde 37%'!AI16</f>
        <v>0.2897490509490509</v>
      </c>
      <c r="AJ9" s="74">
        <f>'Formaldehyde 37%'!AJ16</f>
        <v>0.27395844155844151</v>
      </c>
      <c r="AK9" s="74">
        <f>'Formaldehyde 37%'!AK16</f>
        <v>0.25816783216783212</v>
      </c>
      <c r="AL9" s="74">
        <f>'Formaldehyde 37%'!AL16</f>
        <v>0.2542201798201798</v>
      </c>
      <c r="AM9" s="74">
        <f>'Formaldehyde 37%'!AM16</f>
        <v>0.24435104895104892</v>
      </c>
      <c r="AN9" s="74">
        <f>'Formaldehyde 37%'!AN16</f>
        <v>0.24435104895104892</v>
      </c>
      <c r="AO9" s="74">
        <f>'Formaldehyde 37%'!AO16</f>
        <v>0.24435104895104892</v>
      </c>
      <c r="AP9" s="74">
        <f>'Formaldehyde 37%'!AP16</f>
        <v>0.2482987012987013</v>
      </c>
      <c r="AQ9" s="74">
        <f>'Formaldehyde 37%'!AQ16</f>
        <v>0.2482987012987013</v>
      </c>
      <c r="AR9" s="74">
        <f>'Formaldehyde 37%'!AR16</f>
        <v>0.24435104895104892</v>
      </c>
      <c r="AS9" s="74">
        <f>'Formaldehyde 37%'!AS16</f>
        <v>0.2482987012987013</v>
      </c>
      <c r="AT9" s="74">
        <f>'Formaldehyde 37%'!AT16</f>
        <v>0.25718091908091906</v>
      </c>
      <c r="AU9" s="74">
        <f>'Formaldehyde 37%'!AU16</f>
        <v>0.26310239760239762</v>
      </c>
      <c r="AV9" s="74">
        <f>'Formaldehyde 37%'!AV16</f>
        <v>0.25224635364635362</v>
      </c>
      <c r="AW9" s="74">
        <f>'Formaldehyde 37%'!AW16</f>
        <v>0.24237722277722276</v>
      </c>
      <c r="AX9" s="74">
        <f>'Formaldehyde 37%'!AX16</f>
        <v>0.23842957042957041</v>
      </c>
      <c r="AY9" s="74">
        <f>'Formaldehyde 37%'!AY16</f>
        <v>0.23842957042957041</v>
      </c>
      <c r="AZ9" s="74">
        <f>'Formaldehyde 37%'!AZ16</f>
        <v>0.23448191808191804</v>
      </c>
      <c r="BA9" s="74">
        <f>'Formaldehyde 37%'!BA16</f>
        <v>0.23448191808191804</v>
      </c>
      <c r="BB9" s="74">
        <f>'Formaldehyde 37%'!BB16</f>
        <v>0.23448191808191804</v>
      </c>
      <c r="BC9" s="74">
        <f>'Formaldehyde 37%'!BC16</f>
        <v>0.23448191808191804</v>
      </c>
      <c r="BD9" s="74">
        <f>'Formaldehyde 37%'!BD16</f>
        <v>0.24237722277722276</v>
      </c>
      <c r="BE9" s="74">
        <f>'Formaldehyde 37%'!BE16</f>
        <v>0.24237722277722276</v>
      </c>
      <c r="BF9" s="74">
        <f>'Formaldehyde 37%'!BF16</f>
        <v>0.24237722277722276</v>
      </c>
      <c r="BG9" s="74">
        <f>'Formaldehyde 37%'!BG16</f>
        <v>0.24237722277722276</v>
      </c>
      <c r="BH9" s="74">
        <f>'Formaldehyde 37%'!BH16</f>
        <v>0.24237722277722276</v>
      </c>
      <c r="BI9" s="74">
        <f>'Formaldehyde 37%'!BI16</f>
        <v>0.25027252747252748</v>
      </c>
      <c r="BJ9" s="74">
        <f>'Formaldehyde 37%'!BJ16</f>
        <v>0.25027252747252748</v>
      </c>
      <c r="BK9" s="74">
        <f>'Formaldehyde 37%'!BK16</f>
        <v>0.25027252747252748</v>
      </c>
      <c r="BL9" s="74">
        <f>'Formaldehyde 37%'!BL16</f>
        <v>0.25027252747252748</v>
      </c>
      <c r="BM9" s="74">
        <f>'Formaldehyde 37%'!BM16</f>
        <v>0.25027252747252748</v>
      </c>
      <c r="BN9" s="74">
        <f>'Formaldehyde 37%'!BN16</f>
        <v>0.25027252747252748</v>
      </c>
      <c r="BO9" s="74">
        <f>'Formaldehyde 37%'!BO16</f>
        <v>0.25027252747252748</v>
      </c>
      <c r="BP9" s="74">
        <f>'Formaldehyde 37%'!BP16</f>
        <v>0.24435104895104892</v>
      </c>
      <c r="BQ9" s="74">
        <f>'Formaldehyde 37%'!BQ16</f>
        <v>0.24435104895104892</v>
      </c>
      <c r="BR9" s="74">
        <f>'Formaldehyde 37%'!BR16</f>
        <v>0.24435104895104892</v>
      </c>
      <c r="BS9" s="74">
        <f>'Formaldehyde 37%'!BS16</f>
        <v>0.24435104895104892</v>
      </c>
      <c r="BT9" s="74">
        <f>'Formaldehyde 37%'!BT16</f>
        <v>0.25224635364635362</v>
      </c>
      <c r="BU9" s="74">
        <f>'Formaldehyde 37%'!BU16</f>
        <v>0.25224635364635362</v>
      </c>
      <c r="BV9" s="74">
        <f>'Formaldehyde 37%'!BV16</f>
        <v>0.25224635364635362</v>
      </c>
      <c r="BW9" s="74">
        <f>'Formaldehyde 37%'!BW16</f>
        <v>0.25323326673326674</v>
      </c>
      <c r="BX9" s="74">
        <f>'Formaldehyde 37%'!BX16</f>
        <v>0.25323326673326674</v>
      </c>
      <c r="BY9" s="74">
        <f>'Formaldehyde 37%'!BY16</f>
        <v>0.25323326673326674</v>
      </c>
      <c r="BZ9" s="74">
        <f>'Formaldehyde 37%'!BZ16</f>
        <v>0.25718091908091906</v>
      </c>
      <c r="CA9" s="74">
        <f>'Formaldehyde 37%'!CA16</f>
        <v>0.25718091908091906</v>
      </c>
      <c r="CB9" s="74">
        <f>'Formaldehyde 37%'!CB16</f>
        <v>0.25718091908091906</v>
      </c>
      <c r="CC9" s="74">
        <f>'Formaldehyde 37%'!CC16</f>
        <v>0.25718091908091906</v>
      </c>
      <c r="CD9" s="74">
        <f>'Formaldehyde 37%'!CD16</f>
        <v>0.25718091908091906</v>
      </c>
      <c r="CE9" s="74">
        <f>'Formaldehyde 37%'!CE16</f>
        <v>0.25718091908091906</v>
      </c>
      <c r="CF9" s="74">
        <f>'Formaldehyde 37%'!CF16</f>
        <v>0.25718091908091906</v>
      </c>
      <c r="CG9" s="74">
        <f>'Formaldehyde 37%'!CG16</f>
        <v>0.26014165834165831</v>
      </c>
      <c r="CH9" s="74">
        <f>'Formaldehyde 37%'!CH16</f>
        <v>0.26014165834165831</v>
      </c>
      <c r="CI9" s="74">
        <f>'Formaldehyde 37%'!CI16</f>
        <v>0.25619400599400599</v>
      </c>
      <c r="CJ9" s="74">
        <f>'Formaldehyde 37%'!CJ16</f>
        <v>0.25619400599400599</v>
      </c>
      <c r="CK9" s="74">
        <f>'Formaldehyde 37%'!CK16</f>
        <v>0.25619400599400599</v>
      </c>
      <c r="CL9" s="74">
        <f>'Formaldehyde 37%'!CL16</f>
        <v>0.25619400599400599</v>
      </c>
      <c r="CM9" s="74">
        <f>'Formaldehyde 37%'!CM16</f>
        <v>0.25520709290709287</v>
      </c>
      <c r="CN9" s="74">
        <f>'Formaldehyde 37%'!CN16</f>
        <v>0.25520709290709287</v>
      </c>
      <c r="CO9" s="74">
        <f>'Formaldehyde 37%'!CO16</f>
        <v>0.25520709290709287</v>
      </c>
      <c r="CP9" s="74">
        <f>'Formaldehyde 37%'!CP16</f>
        <v>0.25520709290709287</v>
      </c>
      <c r="CQ9" s="74">
        <f>'Formaldehyde 37%'!CQ16</f>
        <v>0.25520709290709287</v>
      </c>
      <c r="CR9" s="74">
        <f>'Formaldehyde 37%'!CR16</f>
        <v>0.25520709290709287</v>
      </c>
      <c r="CS9" s="74">
        <f>'Formaldehyde 37%'!CS16</f>
        <v>0.2542201798201798</v>
      </c>
      <c r="CT9" s="74">
        <f>'Formaldehyde 37%'!CT16</f>
        <v>0.2542201798201798</v>
      </c>
      <c r="CU9" s="74">
        <f>'Formaldehyde 37%'!CU16</f>
        <v>0.2542201798201798</v>
      </c>
      <c r="CV9" s="74">
        <f>'Formaldehyde 37%'!CV16</f>
        <v>0.2542201798201798</v>
      </c>
      <c r="CW9" s="74">
        <f>'Formaldehyde 37%'!CW16</f>
        <v>0.25224635364635362</v>
      </c>
      <c r="CX9" s="74">
        <f>'Formaldehyde 37%'!CX16</f>
        <v>0.25224635364635362</v>
      </c>
      <c r="CY9" s="74">
        <f>'Formaldehyde 37%'!CY16</f>
        <v>0.25224635364635362</v>
      </c>
      <c r="CZ9" s="74">
        <f>'Formaldehyde 37%'!CZ16</f>
        <v>0.25224635364635362</v>
      </c>
      <c r="DA9" s="74">
        <f>'Formaldehyde 37%'!DA16</f>
        <v>0.25224635364635362</v>
      </c>
      <c r="DB9" s="74">
        <f>'Formaldehyde 37%'!DB16</f>
        <v>0.25224635364635362</v>
      </c>
      <c r="DC9" s="74">
        <f>'Formaldehyde 37%'!DC16</f>
        <v>0.25224635364635362</v>
      </c>
      <c r="DD9" s="74">
        <f>'Formaldehyde 37%'!DD16</f>
        <v>0.25224635364635362</v>
      </c>
      <c r="DE9" s="74">
        <f>'Formaldehyde 37%'!DE16</f>
        <v>0.25224635364635362</v>
      </c>
      <c r="DF9" s="74">
        <f>'Formaldehyde 37%'!DF16</f>
        <v>0.25224635364635362</v>
      </c>
      <c r="DG9" s="74">
        <f>'Formaldehyde 37%'!DG16</f>
        <v>0.25224635364635362</v>
      </c>
      <c r="DH9" s="74">
        <f>'Formaldehyde 37%'!DH16</f>
        <v>0.25224635364635362</v>
      </c>
      <c r="DI9" s="74">
        <f>'Formaldehyde 37%'!DI16</f>
        <v>0.25224635364635362</v>
      </c>
      <c r="DJ9" s="74">
        <f>'Formaldehyde 37%'!DJ16</f>
        <v>0.25619400599400599</v>
      </c>
      <c r="DK9" s="74">
        <f>'Formaldehyde 37%'!DK16</f>
        <v>0.25619400599400599</v>
      </c>
      <c r="DL9" s="74">
        <f>'Formaldehyde 37%'!DL16</f>
        <v>0.25619400599400599</v>
      </c>
      <c r="DM9" s="74">
        <f>'Formaldehyde 37%'!DM16</f>
        <v>0.25619400599400599</v>
      </c>
      <c r="DN9" s="74">
        <f>'Formaldehyde 37%'!DN16</f>
        <v>0.25027252747252748</v>
      </c>
      <c r="DO9" s="74">
        <f>'Formaldehyde 37%'!DO16</f>
        <v>0.25027252747252748</v>
      </c>
      <c r="DP9" s="74">
        <f>'Formaldehyde 37%'!DP16</f>
        <v>0.25027252747252748</v>
      </c>
      <c r="DQ9" s="74">
        <f>'Formaldehyde 37%'!DQ16</f>
        <v>0.25027252747252748</v>
      </c>
      <c r="DR9" s="74">
        <f>'Formaldehyde 37%'!DR16</f>
        <v>0.25027252747252748</v>
      </c>
      <c r="DS9" s="74">
        <f>'Formaldehyde 37%'!DS16</f>
        <v>0.25718091908091906</v>
      </c>
      <c r="DT9" s="74">
        <f>'Formaldehyde 37%'!DT16</f>
        <v>0.12</v>
      </c>
      <c r="DU9" s="74">
        <f>'Formaldehyde 37%'!DU16</f>
        <v>0.12</v>
      </c>
      <c r="DV9" s="74">
        <f>'Formaldehyde 37%'!DV16</f>
        <v>0.12</v>
      </c>
      <c r="DW9" s="74">
        <f>'Formaldehyde 37%'!DW16</f>
        <v>0.12</v>
      </c>
      <c r="DX9" s="74">
        <f>'Formaldehyde 37%'!DX16</f>
        <v>0.12</v>
      </c>
      <c r="DY9" s="74">
        <f>'Formaldehyde 37%'!DY16</f>
        <v>0.12</v>
      </c>
      <c r="DZ9" s="74">
        <f>'Formaldehyde 37%'!DZ16</f>
        <v>0.12</v>
      </c>
      <c r="EA9" s="74">
        <f>'Formaldehyde 37%'!EA16</f>
        <v>0.12</v>
      </c>
      <c r="EB9" s="74">
        <f>'Formaldehyde 37%'!EB16</f>
        <v>0.12</v>
      </c>
      <c r="EC9" s="74">
        <f>'Formaldehyde 37%'!EC16</f>
        <v>0.12</v>
      </c>
      <c r="ED9" s="74">
        <f>'Formaldehyde 37%'!ED16</f>
        <v>0.12</v>
      </c>
      <c r="EE9" s="74">
        <f>'Formaldehyde 37%'!EE16</f>
        <v>0.12</v>
      </c>
      <c r="EF9" s="74">
        <f>'Formaldehyde 37%'!EF16</f>
        <v>0.12</v>
      </c>
      <c r="EG9" s="74">
        <f>'Formaldehyde 37%'!EG16</f>
        <v>0.12</v>
      </c>
      <c r="EH9" s="74">
        <f>'Formaldehyde 37%'!EH16</f>
        <v>0.12</v>
      </c>
      <c r="EI9" s="74">
        <f>'Formaldehyde 37%'!EI16</f>
        <v>0.12</v>
      </c>
      <c r="EJ9" s="74">
        <f>'Formaldehyde 37%'!EJ16</f>
        <v>0.12</v>
      </c>
      <c r="EK9" s="74">
        <f>'Formaldehyde 37%'!EK16</f>
        <v>0.12</v>
      </c>
      <c r="EL9" s="74">
        <f>'Formaldehyde 37%'!EL16</f>
        <v>0.12</v>
      </c>
      <c r="EM9" s="74">
        <f>'Formaldehyde 37%'!EM16</f>
        <v>0.12</v>
      </c>
      <c r="EN9" s="74">
        <f>'Formaldehyde 37%'!EN16</f>
        <v>0.12</v>
      </c>
      <c r="EO9" s="74">
        <f>'Formaldehyde 37%'!EO16</f>
        <v>0.12</v>
      </c>
      <c r="EP9" s="74">
        <f>'Formaldehyde 37%'!EP16</f>
        <v>0.12</v>
      </c>
      <c r="EQ9" s="74">
        <f>'Formaldehyde 37%'!EQ16</f>
        <v>0.12</v>
      </c>
      <c r="ER9" s="74">
        <f>'Formaldehyde 37%'!ER16</f>
        <v>0.12</v>
      </c>
      <c r="ES9" s="74">
        <f>'Formaldehyde 37%'!ES16</f>
        <v>0.12</v>
      </c>
      <c r="ET9" s="74">
        <f>'Formaldehyde 37%'!ET16</f>
        <v>0.12</v>
      </c>
      <c r="EU9" s="74">
        <f>'Formaldehyde 37%'!EU16</f>
        <v>0.12</v>
      </c>
      <c r="EV9" s="74">
        <f>'Formaldehyde 37%'!EV16</f>
        <v>0.12</v>
      </c>
      <c r="EW9" s="74">
        <f>'Formaldehyde 37%'!EW16</f>
        <v>0.12</v>
      </c>
      <c r="EX9" s="74">
        <f>'Formaldehyde 37%'!EX16</f>
        <v>0.12</v>
      </c>
      <c r="EY9" s="74">
        <f>'Formaldehyde 37%'!EY16</f>
        <v>0.12</v>
      </c>
      <c r="EZ9" s="74">
        <f>'Formaldehyde 37%'!EZ16</f>
        <v>0.12</v>
      </c>
      <c r="FA9" s="74">
        <f>'Formaldehyde 37%'!FA16</f>
        <v>0.12</v>
      </c>
      <c r="FB9" s="74">
        <f>'Formaldehyde 37%'!FB16</f>
        <v>0.12</v>
      </c>
      <c r="FC9" s="74">
        <f>'Formaldehyde 37%'!FC16</f>
        <v>0.12</v>
      </c>
      <c r="FD9" s="74">
        <f>'Formaldehyde 37%'!FD16</f>
        <v>0.12</v>
      </c>
      <c r="FE9" s="74">
        <f>'Formaldehyde 37%'!FE16</f>
        <v>0.12</v>
      </c>
      <c r="FF9" s="74">
        <f>'Formaldehyde 37%'!FF16</f>
        <v>0.12</v>
      </c>
      <c r="FG9" s="74">
        <f>'Formaldehyde 37%'!FG16</f>
        <v>0.12</v>
      </c>
      <c r="FH9" s="74">
        <f>'Formaldehyde 37%'!FH16</f>
        <v>0.12</v>
      </c>
      <c r="FI9" s="74">
        <f>'Formaldehyde 37%'!FI16</f>
        <v>0.12</v>
      </c>
      <c r="FJ9" s="74">
        <f>'Formaldehyde 37%'!FJ16</f>
        <v>0.12</v>
      </c>
      <c r="FK9" s="74">
        <f>'Formaldehyde 37%'!FK16</f>
        <v>0</v>
      </c>
      <c r="FL9" s="74">
        <f>'Formaldehyde 37%'!FL16</f>
        <v>0</v>
      </c>
    </row>
    <row r="10" spans="1:168" ht="13">
      <c r="H10" s="107" t="s">
        <v>356</v>
      </c>
      <c r="I10" s="74"/>
      <c r="J10" s="74"/>
      <c r="K10" s="74"/>
      <c r="L10" s="74"/>
      <c r="M10" s="74"/>
      <c r="N10" s="74"/>
      <c r="O10" s="7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c r="CE10" s="74"/>
      <c r="CF10" s="74"/>
      <c r="CG10" s="74"/>
      <c r="CH10" s="74"/>
      <c r="CI10" s="74"/>
      <c r="CJ10" s="74"/>
      <c r="CK10" s="74"/>
      <c r="CL10" s="74"/>
      <c r="CM10" s="74"/>
      <c r="CN10" s="74"/>
      <c r="CO10" s="74"/>
      <c r="CP10" s="74"/>
      <c r="CQ10" s="74"/>
      <c r="CR10" s="74"/>
      <c r="CS10" s="74"/>
      <c r="CT10" s="74"/>
      <c r="CU10" s="74"/>
      <c r="CV10" s="74"/>
      <c r="CW10" s="74"/>
      <c r="CX10" s="74"/>
      <c r="CY10" s="74"/>
      <c r="CZ10" s="74"/>
      <c r="DA10" s="74"/>
      <c r="DB10" s="74"/>
      <c r="DC10" s="74"/>
      <c r="DD10" s="74"/>
      <c r="DE10" s="74"/>
      <c r="DF10" s="74"/>
      <c r="DG10" s="74"/>
      <c r="DH10" s="74"/>
      <c r="DI10" s="74"/>
      <c r="DJ10" s="74"/>
      <c r="DK10" s="74"/>
      <c r="DL10" s="74"/>
      <c r="DM10" s="74"/>
      <c r="DN10" s="74"/>
      <c r="DO10" s="74"/>
      <c r="DP10" s="74"/>
      <c r="DQ10" s="74"/>
      <c r="DR10" s="74"/>
      <c r="DS10" s="74"/>
      <c r="DT10" s="74"/>
      <c r="DU10" s="74"/>
      <c r="DV10" s="74"/>
      <c r="DW10" s="74"/>
      <c r="DX10" s="74"/>
      <c r="DY10" s="74"/>
      <c r="DZ10" s="74"/>
      <c r="EA10" s="74"/>
      <c r="EB10" s="74"/>
      <c r="EC10" s="74"/>
      <c r="ED10" s="74"/>
      <c r="EE10" s="74"/>
      <c r="EF10" s="74"/>
      <c r="EG10" s="74"/>
      <c r="EH10" s="74"/>
      <c r="EI10" s="74"/>
      <c r="EJ10" s="74"/>
      <c r="EK10" s="74"/>
      <c r="EL10" s="74"/>
      <c r="EM10" s="74"/>
      <c r="EN10" s="74"/>
      <c r="EO10" s="74"/>
      <c r="EP10" s="74"/>
      <c r="EQ10" s="74"/>
      <c r="ER10" s="74"/>
      <c r="ES10" s="74"/>
      <c r="ET10" s="74"/>
      <c r="EU10" s="74"/>
      <c r="EV10" s="74"/>
      <c r="EW10" s="74"/>
      <c r="EX10" s="74"/>
      <c r="EY10" s="74"/>
      <c r="EZ10" s="74"/>
      <c r="FA10" s="74"/>
      <c r="FB10" s="74"/>
      <c r="FC10" s="74"/>
      <c r="FD10" s="74"/>
      <c r="FE10" s="74"/>
      <c r="FF10" s="74"/>
      <c r="FG10" s="74"/>
      <c r="FH10" s="74"/>
      <c r="FI10" s="74"/>
      <c r="FJ10" s="74"/>
      <c r="FK10" s="74"/>
      <c r="FL10" s="74"/>
    </row>
    <row r="11" spans="1:168" ht="13">
      <c r="H11" s="107" t="s">
        <v>830</v>
      </c>
      <c r="I11" s="74"/>
      <c r="J11" s="74"/>
      <c r="K11" s="74"/>
      <c r="L11" s="74"/>
      <c r="M11" s="74"/>
      <c r="N11" s="74"/>
      <c r="O11" s="74"/>
      <c r="P11" s="74"/>
      <c r="Q11" s="74"/>
      <c r="R11" s="74"/>
      <c r="S11" s="74"/>
      <c r="T11" s="74"/>
      <c r="U11" s="74"/>
      <c r="V11" s="74"/>
      <c r="W11" s="74"/>
      <c r="X11" s="74"/>
      <c r="Y11" s="74"/>
      <c r="Z11" s="74"/>
      <c r="AA11" s="74"/>
      <c r="AB11" s="74"/>
      <c r="AC11" s="74"/>
      <c r="AD11" s="74"/>
      <c r="AE11" s="74"/>
      <c r="AF11" s="74"/>
      <c r="AG11" s="74"/>
      <c r="AH11" s="74"/>
      <c r="AI11" s="74"/>
      <c r="AJ11" s="74"/>
      <c r="AK11" s="74"/>
      <c r="AL11" s="74"/>
      <c r="AM11" s="74"/>
      <c r="AN11" s="74"/>
      <c r="AO11" s="74"/>
      <c r="AP11" s="74"/>
      <c r="AQ11" s="74"/>
      <c r="AR11" s="74"/>
      <c r="AS11" s="74"/>
      <c r="AT11" s="74"/>
      <c r="AU11" s="74"/>
      <c r="AV11" s="74"/>
      <c r="AW11" s="74"/>
      <c r="AX11" s="74"/>
      <c r="AY11" s="74"/>
      <c r="AZ11" s="74"/>
      <c r="BA11" s="74"/>
      <c r="BB11" s="74"/>
      <c r="BC11" s="74"/>
      <c r="BD11" s="74"/>
      <c r="BE11" s="74"/>
      <c r="BF11" s="74"/>
      <c r="BG11" s="74"/>
      <c r="BH11" s="74"/>
      <c r="BI11" s="74"/>
      <c r="BJ11" s="74"/>
      <c r="BK11" s="74"/>
      <c r="BL11" s="74"/>
      <c r="BM11" s="74"/>
      <c r="BN11" s="74"/>
      <c r="BO11" s="74"/>
      <c r="BP11" s="74"/>
      <c r="BQ11" s="74"/>
      <c r="BR11" s="74"/>
      <c r="BS11" s="74"/>
      <c r="BT11" s="74"/>
      <c r="BU11" s="74"/>
      <c r="BV11" s="74"/>
      <c r="BW11" s="74"/>
      <c r="BX11" s="74"/>
      <c r="BY11" s="74"/>
      <c r="BZ11" s="74"/>
      <c r="CA11" s="74"/>
      <c r="CB11" s="74"/>
      <c r="CC11" s="74"/>
      <c r="CD11" s="74"/>
      <c r="CE11" s="74"/>
      <c r="CF11" s="74"/>
      <c r="CG11" s="74"/>
      <c r="CH11" s="74"/>
      <c r="CI11" s="74"/>
      <c r="CJ11" s="74"/>
      <c r="CK11" s="74"/>
      <c r="CL11" s="74"/>
      <c r="CM11" s="74"/>
      <c r="CN11" s="74"/>
      <c r="CO11" s="74"/>
      <c r="CP11" s="74"/>
      <c r="CQ11" s="74"/>
      <c r="CR11" s="74"/>
      <c r="CS11" s="74"/>
      <c r="CT11" s="74"/>
      <c r="CU11" s="74"/>
      <c r="CV11" s="74"/>
      <c r="CW11" s="74"/>
      <c r="CX11" s="74"/>
      <c r="CY11" s="74"/>
      <c r="CZ11" s="74"/>
      <c r="DA11" s="74"/>
      <c r="DB11" s="74"/>
      <c r="DC11" s="74"/>
      <c r="DD11" s="74"/>
      <c r="DE11" s="74"/>
      <c r="DF11" s="74"/>
      <c r="DG11" s="74"/>
      <c r="DH11" s="74"/>
      <c r="DI11" s="74"/>
      <c r="DJ11" s="74"/>
      <c r="DK11" s="74"/>
      <c r="DL11" s="74"/>
      <c r="DM11" s="74"/>
      <c r="DN11" s="74"/>
      <c r="DO11" s="74"/>
      <c r="DP11" s="74"/>
      <c r="DQ11" s="74"/>
      <c r="DR11" s="74"/>
      <c r="DS11" s="74"/>
      <c r="DT11" s="74"/>
      <c r="DU11" s="74"/>
      <c r="DV11" s="74"/>
      <c r="DW11" s="74"/>
      <c r="DX11" s="74"/>
      <c r="DY11" s="74"/>
      <c r="DZ11" s="74"/>
      <c r="EA11" s="74"/>
      <c r="EB11" s="74"/>
      <c r="EC11" s="74"/>
      <c r="ED11" s="74"/>
      <c r="EE11" s="74"/>
      <c r="EF11" s="74"/>
      <c r="EG11" s="74"/>
      <c r="EH11" s="74"/>
      <c r="EI11" s="74"/>
      <c r="EJ11" s="74"/>
      <c r="EK11" s="74"/>
      <c r="EL11" s="74"/>
      <c r="EM11" s="74"/>
      <c r="EN11" s="74"/>
      <c r="EO11" s="74"/>
      <c r="EP11" s="74"/>
      <c r="EQ11" s="74"/>
      <c r="ER11" s="74"/>
      <c r="ES11" s="74"/>
      <c r="ET11" s="74"/>
      <c r="EU11" s="74"/>
      <c r="EV11" s="74"/>
      <c r="EW11" s="74"/>
      <c r="EX11" s="74"/>
      <c r="EY11" s="74"/>
      <c r="EZ11" s="74"/>
      <c r="FA11" s="74"/>
      <c r="FB11" s="74"/>
      <c r="FC11" s="74"/>
      <c r="FD11" s="74"/>
      <c r="FE11" s="74"/>
      <c r="FF11" s="74"/>
      <c r="FG11" s="74"/>
      <c r="FH11" s="74"/>
      <c r="FI11" s="74"/>
      <c r="FJ11" s="74"/>
      <c r="FK11" s="74"/>
      <c r="FL11" s="74"/>
    </row>
    <row r="12" spans="1:168" ht="13">
      <c r="A12" s="59" t="s">
        <v>395</v>
      </c>
      <c r="B12" s="59"/>
      <c r="C12" s="59" t="s">
        <v>379</v>
      </c>
      <c r="D12" s="98" t="s">
        <v>380</v>
      </c>
      <c r="E12" s="98" t="s">
        <v>381</v>
      </c>
      <c r="F12" s="59" t="s">
        <v>396</v>
      </c>
      <c r="H12" s="107"/>
      <c r="I12" s="84"/>
      <c r="J12" s="84"/>
      <c r="K12" s="84"/>
      <c r="L12" s="84"/>
      <c r="M12" s="84"/>
      <c r="N12" s="84"/>
      <c r="O12" s="84"/>
      <c r="P12" s="84"/>
      <c r="Q12" s="84"/>
      <c r="R12" s="84"/>
      <c r="S12" s="84"/>
      <c r="T12" s="84"/>
      <c r="U12" s="84"/>
      <c r="V12" s="84"/>
      <c r="W12" s="84"/>
      <c r="X12" s="84"/>
      <c r="Y12" s="84"/>
      <c r="Z12" s="84"/>
      <c r="AA12" s="84"/>
      <c r="AB12" s="84"/>
      <c r="AC12" s="84"/>
      <c r="AD12" s="84"/>
      <c r="AE12" s="84"/>
      <c r="AF12" s="84"/>
      <c r="AG12" s="84"/>
      <c r="AH12" s="84"/>
      <c r="AI12" s="84"/>
      <c r="AJ12" s="84"/>
      <c r="AK12" s="84"/>
      <c r="AL12" s="84"/>
      <c r="AM12" s="84"/>
      <c r="AN12" s="84"/>
      <c r="AO12" s="84"/>
      <c r="AP12" s="84"/>
      <c r="AQ12" s="84"/>
      <c r="AR12" s="84"/>
      <c r="AS12" s="84"/>
      <c r="AT12" s="84"/>
      <c r="AU12" s="84"/>
      <c r="AV12" s="84"/>
      <c r="AW12" s="84"/>
      <c r="AX12" s="84"/>
      <c r="AY12" s="84"/>
      <c r="AZ12" s="84"/>
      <c r="BA12" s="84"/>
      <c r="BB12" s="84"/>
      <c r="BC12" s="84"/>
      <c r="BD12" s="84"/>
      <c r="BE12" s="84"/>
      <c r="BF12" s="84"/>
      <c r="BG12" s="84"/>
      <c r="BH12" s="84"/>
      <c r="BI12" s="84"/>
      <c r="BJ12" s="84"/>
      <c r="BK12" s="84"/>
      <c r="BL12" s="84"/>
      <c r="BM12" s="84"/>
      <c r="BN12" s="84"/>
      <c r="BO12" s="84"/>
      <c r="BP12" s="84"/>
      <c r="BQ12" s="84"/>
      <c r="BR12" s="84"/>
      <c r="BS12" s="84"/>
      <c r="BT12" s="84"/>
      <c r="BU12" s="84"/>
      <c r="BV12" s="84"/>
      <c r="BW12" s="84"/>
      <c r="BX12" s="84"/>
      <c r="BY12" s="84"/>
      <c r="BZ12" s="84"/>
      <c r="CA12" s="84"/>
      <c r="CB12" s="84"/>
      <c r="CC12" s="84"/>
      <c r="CD12" s="84"/>
      <c r="CE12" s="84"/>
      <c r="CF12" s="84"/>
      <c r="CG12" s="84"/>
      <c r="CH12" s="84"/>
      <c r="CI12" s="84"/>
      <c r="CJ12" s="84"/>
      <c r="CK12" s="84"/>
      <c r="CL12" s="84"/>
      <c r="CM12" s="84"/>
      <c r="CN12" s="84"/>
      <c r="CO12" s="84"/>
      <c r="CP12" s="84"/>
      <c r="CQ12" s="84"/>
      <c r="CR12" s="84"/>
      <c r="CS12" s="84"/>
      <c r="CT12" s="84"/>
      <c r="CU12" s="84"/>
      <c r="CV12" s="84"/>
      <c r="CW12" s="84"/>
      <c r="CX12" s="84"/>
      <c r="CY12" s="84"/>
      <c r="CZ12" s="84"/>
      <c r="DA12" s="84"/>
      <c r="DB12" s="84"/>
      <c r="DC12" s="84"/>
      <c r="DD12" s="84"/>
      <c r="DE12" s="84"/>
      <c r="DF12" s="84"/>
      <c r="DG12" s="84"/>
      <c r="DH12" s="84"/>
      <c r="DI12" s="84"/>
      <c r="DJ12" s="84"/>
      <c r="DK12" s="84"/>
      <c r="DL12" s="84"/>
      <c r="DM12" s="84"/>
      <c r="DN12" s="84"/>
      <c r="DO12" s="84"/>
      <c r="DP12" s="84"/>
      <c r="DQ12" s="84"/>
      <c r="DR12" s="84"/>
      <c r="DS12" s="84"/>
      <c r="DT12" s="84"/>
      <c r="DU12" s="84"/>
      <c r="DV12" s="84"/>
      <c r="DW12" s="84"/>
      <c r="DX12" s="84"/>
      <c r="DY12" s="84"/>
      <c r="DZ12" s="84"/>
      <c r="EA12" s="84"/>
      <c r="EB12" s="84"/>
      <c r="EC12" s="84"/>
      <c r="ED12" s="84"/>
      <c r="EE12" s="84"/>
      <c r="EF12" s="84"/>
      <c r="EG12" s="84"/>
      <c r="EH12" s="84"/>
      <c r="EI12" s="84"/>
      <c r="EJ12" s="84"/>
      <c r="EK12" s="84"/>
      <c r="EL12" s="84"/>
      <c r="EM12" s="84"/>
      <c r="EN12" s="84"/>
      <c r="EO12" s="84"/>
      <c r="EP12" s="84"/>
      <c r="EQ12" s="84"/>
      <c r="ER12" s="84"/>
      <c r="ES12" s="84"/>
      <c r="ET12" s="84"/>
      <c r="EU12" s="84"/>
      <c r="EV12" s="84"/>
      <c r="EW12" s="84"/>
      <c r="EX12" s="84"/>
      <c r="EY12" s="84"/>
      <c r="EZ12" s="84"/>
      <c r="FA12" s="84"/>
      <c r="FB12" s="84"/>
      <c r="FC12" s="84"/>
      <c r="FD12" s="84"/>
      <c r="FE12" s="84"/>
      <c r="FF12" s="84"/>
      <c r="FG12" s="84"/>
      <c r="FH12" s="84"/>
      <c r="FI12" s="84"/>
      <c r="FJ12" s="84"/>
      <c r="FK12" s="84"/>
      <c r="FL12" s="84"/>
    </row>
    <row r="13" spans="1:168" ht="26">
      <c r="A13" s="107" t="s">
        <v>397</v>
      </c>
      <c r="B13" s="107" t="s">
        <v>355</v>
      </c>
      <c r="C13" s="60">
        <v>1</v>
      </c>
      <c r="D13" s="65">
        <v>137.33000000000001</v>
      </c>
      <c r="E13" s="60">
        <f>D13*C13</f>
        <v>137.33000000000001</v>
      </c>
      <c r="F13" s="328">
        <f>E13/D3</f>
        <v>0.55319234642497483</v>
      </c>
      <c r="H13" s="60" t="s">
        <v>399</v>
      </c>
      <c r="I13" s="74">
        <f t="shared" ref="I13:N13" si="0">$F$13*I8</f>
        <v>0.64650818230082019</v>
      </c>
      <c r="J13" s="74">
        <f t="shared" si="0"/>
        <v>0.63968795467927941</v>
      </c>
      <c r="K13" s="74">
        <f t="shared" si="0"/>
        <v>0.62595495346107166</v>
      </c>
      <c r="L13" s="74">
        <f t="shared" si="0"/>
        <v>0.61281047660284216</v>
      </c>
      <c r="M13" s="74">
        <f t="shared" si="0"/>
        <v>0.64237785907993916</v>
      </c>
      <c r="N13" s="74">
        <f t="shared" si="0"/>
        <v>0.59884696192799625</v>
      </c>
      <c r="O13" s="74">
        <f t="shared" ref="O13:Z13" si="1">$F$13*O8</f>
        <v>0.6053088493234714</v>
      </c>
      <c r="P13" s="74">
        <f t="shared" si="1"/>
        <v>0.59017000434732314</v>
      </c>
      <c r="Q13" s="74">
        <f t="shared" si="1"/>
        <v>0.61567075745755673</v>
      </c>
      <c r="R13" s="74">
        <f t="shared" si="1"/>
        <v>0.62961805119343339</v>
      </c>
      <c r="S13" s="74">
        <f t="shared" si="1"/>
        <v>0.61668506116427058</v>
      </c>
      <c r="T13" s="74">
        <f t="shared" si="1"/>
        <v>0.60536154351670912</v>
      </c>
      <c r="U13" s="74">
        <f t="shared" si="1"/>
        <v>0.64754961416746315</v>
      </c>
      <c r="V13" s="74">
        <f t="shared" si="1"/>
        <v>0.65575999498954807</v>
      </c>
      <c r="W13" s="74">
        <f t="shared" si="1"/>
        <v>0.66573947467660299</v>
      </c>
      <c r="X13" s="74">
        <f t="shared" si="1"/>
        <v>0.67176361253366157</v>
      </c>
      <c r="Y13" s="74">
        <f t="shared" si="1"/>
        <v>0.67120969696674837</v>
      </c>
      <c r="Z13" s="74">
        <f t="shared" si="1"/>
        <v>0.63566607892556726</v>
      </c>
      <c r="AA13" s="74">
        <f t="shared" ref="AA13:CL13" si="2">$F$13*AA8</f>
        <v>0.66050767405962663</v>
      </c>
      <c r="AB13" s="74">
        <f t="shared" si="2"/>
        <v>0.61599126427303297</v>
      </c>
      <c r="AC13" s="74">
        <f t="shared" si="2"/>
        <v>0.74905918741676858</v>
      </c>
      <c r="AD13" s="74">
        <f t="shared" si="2"/>
        <v>1.4689059450240014</v>
      </c>
      <c r="AE13" s="74">
        <f t="shared" si="2"/>
        <v>2.0054097327221516</v>
      </c>
      <c r="AF13" s="74">
        <f t="shared" si="2"/>
        <v>1.7772331318114452</v>
      </c>
      <c r="AG13" s="74">
        <f t="shared" si="2"/>
        <v>1.648950035673987</v>
      </c>
      <c r="AH13" s="74">
        <f t="shared" si="2"/>
        <v>1.7283426662522459</v>
      </c>
      <c r="AI13" s="74">
        <f t="shared" si="2"/>
        <v>1.5704674091721749</v>
      </c>
      <c r="AJ13" s="74">
        <f t="shared" si="2"/>
        <v>1.5478505666883371</v>
      </c>
      <c r="AK13" s="74">
        <f t="shared" si="2"/>
        <v>1.6893738394552515</v>
      </c>
      <c r="AL13" s="74">
        <f t="shared" si="2"/>
        <v>1.7559394211936892</v>
      </c>
      <c r="AM13" s="74">
        <f t="shared" si="2"/>
        <v>1.7807206071794868</v>
      </c>
      <c r="AN13" s="74">
        <f t="shared" si="2"/>
        <v>1.7888140301090012</v>
      </c>
      <c r="AO13" s="74">
        <f t="shared" si="2"/>
        <v>1.3737031733784093</v>
      </c>
      <c r="AP13" s="74">
        <f t="shared" si="2"/>
        <v>1.3515127961768623</v>
      </c>
      <c r="AQ13" s="74">
        <f t="shared" si="2"/>
        <v>1.2824734697840006</v>
      </c>
      <c r="AR13" s="74">
        <f t="shared" si="2"/>
        <v>1.2934445482960741</v>
      </c>
      <c r="AS13" s="74">
        <f t="shared" si="2"/>
        <v>1.1589253083891065</v>
      </c>
      <c r="AT13" s="74">
        <f t="shared" si="2"/>
        <v>1.0564446937498662</v>
      </c>
      <c r="AU13" s="74">
        <f t="shared" si="2"/>
        <v>1.1195065593291893</v>
      </c>
      <c r="AV13" s="74">
        <f t="shared" si="2"/>
        <v>0.97640107553153554</v>
      </c>
      <c r="AW13" s="74">
        <f t="shared" si="2"/>
        <v>1.4784440360751621</v>
      </c>
      <c r="AX13" s="74">
        <f t="shared" si="2"/>
        <v>0.95430393726939522</v>
      </c>
      <c r="AY13" s="74">
        <f t="shared" si="2"/>
        <v>0.88852072954729477</v>
      </c>
      <c r="AZ13" s="74">
        <f t="shared" si="2"/>
        <v>0.88852072954729477</v>
      </c>
      <c r="BA13" s="74">
        <f t="shared" si="2"/>
        <v>0.88852072954729477</v>
      </c>
      <c r="BB13" s="74">
        <f t="shared" si="2"/>
        <v>0.88852072954729477</v>
      </c>
      <c r="BC13" s="74">
        <f t="shared" si="2"/>
        <v>1.1636943929993939</v>
      </c>
      <c r="BD13" s="74">
        <f t="shared" si="2"/>
        <v>1.1636943929993939</v>
      </c>
      <c r="BE13" s="74">
        <f t="shared" si="2"/>
        <v>1.1636943929993939</v>
      </c>
      <c r="BF13" s="74">
        <f t="shared" si="2"/>
        <v>1.1636943929993939</v>
      </c>
      <c r="BG13" s="74">
        <f t="shared" si="2"/>
        <v>1.0030483380602269</v>
      </c>
      <c r="BH13" s="74">
        <f t="shared" si="2"/>
        <v>1.0030483380602269</v>
      </c>
      <c r="BI13" s="74">
        <f t="shared" si="2"/>
        <v>1.0030483380602269</v>
      </c>
      <c r="BJ13" s="74">
        <f t="shared" si="2"/>
        <v>1.0030483380602269</v>
      </c>
      <c r="BK13" s="74">
        <f t="shared" si="2"/>
        <v>0.90723147556689865</v>
      </c>
      <c r="BL13" s="74">
        <f t="shared" si="2"/>
        <v>0.90723147556689865</v>
      </c>
      <c r="BM13" s="74">
        <f t="shared" si="2"/>
        <v>0.90723147556689865</v>
      </c>
      <c r="BN13" s="74">
        <f t="shared" si="2"/>
        <v>0.90723147556689865</v>
      </c>
      <c r="BO13" s="74">
        <f t="shared" si="2"/>
        <v>0.84306517563689742</v>
      </c>
      <c r="BP13" s="74">
        <f t="shared" si="2"/>
        <v>0.84306517563689742</v>
      </c>
      <c r="BQ13" s="74">
        <f t="shared" si="2"/>
        <v>0.84306517563689742</v>
      </c>
      <c r="BR13" s="74">
        <f t="shared" si="2"/>
        <v>0.84306517563689742</v>
      </c>
      <c r="BS13" s="74">
        <f t="shared" si="2"/>
        <v>0.89795560896426696</v>
      </c>
      <c r="BT13" s="74">
        <f t="shared" si="2"/>
        <v>0.89795560896426696</v>
      </c>
      <c r="BU13" s="74">
        <f t="shared" si="2"/>
        <v>0.89795560896426696</v>
      </c>
      <c r="BV13" s="74">
        <f t="shared" si="2"/>
        <v>0.89795560896426696</v>
      </c>
      <c r="BW13" s="74">
        <f t="shared" si="2"/>
        <v>0.7916769695943634</v>
      </c>
      <c r="BX13" s="74">
        <f t="shared" si="2"/>
        <v>0.7916769695943634</v>
      </c>
      <c r="BY13" s="74">
        <f t="shared" si="2"/>
        <v>0.7916769695943634</v>
      </c>
      <c r="BZ13" s="74">
        <f t="shared" si="2"/>
        <v>0.7916769695943634</v>
      </c>
      <c r="CA13" s="74">
        <f t="shared" si="2"/>
        <v>0.75757101411867966</v>
      </c>
      <c r="CB13" s="74">
        <f t="shared" si="2"/>
        <v>0.75757101411867966</v>
      </c>
      <c r="CC13" s="74">
        <f t="shared" si="2"/>
        <v>0.75757101411867966</v>
      </c>
      <c r="CD13" s="74">
        <f t="shared" si="2"/>
        <v>0.75757101411867966</v>
      </c>
      <c r="CE13" s="74">
        <f t="shared" si="2"/>
        <v>0.83290090789355353</v>
      </c>
      <c r="CF13" s="74">
        <f t="shared" si="2"/>
        <v>0.83290090789355353</v>
      </c>
      <c r="CG13" s="74">
        <f t="shared" si="2"/>
        <v>0.83290090789355353</v>
      </c>
      <c r="CH13" s="74">
        <f t="shared" si="2"/>
        <v>0.83290090789355353</v>
      </c>
      <c r="CI13" s="74">
        <f t="shared" si="2"/>
        <v>0.98724209536797625</v>
      </c>
      <c r="CJ13" s="74">
        <f t="shared" si="2"/>
        <v>0.98724209536797625</v>
      </c>
      <c r="CK13" s="74">
        <f t="shared" si="2"/>
        <v>0.98724209536797625</v>
      </c>
      <c r="CL13" s="74">
        <f t="shared" si="2"/>
        <v>0.98724209536797625</v>
      </c>
      <c r="CM13" s="74">
        <f t="shared" ref="CM13:EX13" si="3">$F$13*CM8</f>
        <v>0.80897494747474519</v>
      </c>
      <c r="CN13" s="74">
        <f t="shared" si="3"/>
        <v>0.80897494747474519</v>
      </c>
      <c r="CO13" s="74">
        <f t="shared" si="3"/>
        <v>0.80897494747474519</v>
      </c>
      <c r="CP13" s="74">
        <f t="shared" si="3"/>
        <v>0.80897494747474519</v>
      </c>
      <c r="CQ13" s="74">
        <f t="shared" si="3"/>
        <v>0.80897494747474519</v>
      </c>
      <c r="CR13" s="74">
        <f t="shared" si="3"/>
        <v>0.84781159846592302</v>
      </c>
      <c r="CS13" s="74">
        <f t="shared" si="3"/>
        <v>0.84781159846592302</v>
      </c>
      <c r="CT13" s="74">
        <f t="shared" si="3"/>
        <v>0.84781159846592302</v>
      </c>
      <c r="CU13" s="74">
        <f t="shared" si="3"/>
        <v>0.84781159846592302</v>
      </c>
      <c r="CV13" s="74">
        <f t="shared" si="3"/>
        <v>0.75018649780002755</v>
      </c>
      <c r="CW13" s="74">
        <f t="shared" si="3"/>
        <v>0.75018649780002755</v>
      </c>
      <c r="CX13" s="74">
        <f t="shared" si="3"/>
        <v>0.75018649780002755</v>
      </c>
      <c r="CY13" s="74">
        <f t="shared" si="3"/>
        <v>0.75018649780002755</v>
      </c>
      <c r="CZ13" s="74">
        <f t="shared" si="3"/>
        <v>0.75018649780002755</v>
      </c>
      <c r="DA13" s="74">
        <f t="shared" si="3"/>
        <v>0.75018649780002755</v>
      </c>
      <c r="DB13" s="74">
        <f t="shared" si="3"/>
        <v>0.75018649780002755</v>
      </c>
      <c r="DC13" s="74">
        <f t="shared" si="3"/>
        <v>0.75018649780002755</v>
      </c>
      <c r="DD13" s="74">
        <f t="shared" si="3"/>
        <v>0.75018649780002755</v>
      </c>
      <c r="DE13" s="74">
        <f t="shared" si="3"/>
        <v>0.75018649780002755</v>
      </c>
      <c r="DF13" s="74">
        <f t="shared" si="3"/>
        <v>0.75018649780002755</v>
      </c>
      <c r="DG13" s="74">
        <f t="shared" si="3"/>
        <v>0.75018649780002755</v>
      </c>
      <c r="DH13" s="74">
        <f t="shared" si="3"/>
        <v>0.75018649780002755</v>
      </c>
      <c r="DI13" s="74">
        <f t="shared" si="3"/>
        <v>0.75018649780002755</v>
      </c>
      <c r="DJ13" s="74">
        <f t="shared" si="3"/>
        <v>0.75018649780002755</v>
      </c>
      <c r="DK13" s="74">
        <f t="shared" si="3"/>
        <v>0.75018649780002755</v>
      </c>
      <c r="DL13" s="74">
        <f t="shared" si="3"/>
        <v>0.75018649780002755</v>
      </c>
      <c r="DM13" s="74">
        <f t="shared" si="3"/>
        <v>0.75018649780002755</v>
      </c>
      <c r="DN13" s="74">
        <f t="shared" si="3"/>
        <v>0.75018649780002755</v>
      </c>
      <c r="DO13" s="74">
        <f t="shared" si="3"/>
        <v>0.75018649780002755</v>
      </c>
      <c r="DP13" s="74">
        <f t="shared" si="3"/>
        <v>0.75018649780002755</v>
      </c>
      <c r="DQ13" s="74">
        <f t="shared" si="3"/>
        <v>0.75018649780002755</v>
      </c>
      <c r="DR13" s="74">
        <f t="shared" si="3"/>
        <v>0.75018649780002755</v>
      </c>
      <c r="DS13" s="74">
        <f t="shared" si="3"/>
        <v>0.75018649780002755</v>
      </c>
      <c r="DT13" s="74">
        <f t="shared" si="3"/>
        <v>0</v>
      </c>
      <c r="DU13" s="74">
        <f t="shared" si="3"/>
        <v>0</v>
      </c>
      <c r="DV13" s="74">
        <f t="shared" si="3"/>
        <v>0</v>
      </c>
      <c r="DW13" s="74">
        <f t="shared" si="3"/>
        <v>0</v>
      </c>
      <c r="DX13" s="74">
        <f t="shared" si="3"/>
        <v>0</v>
      </c>
      <c r="DY13" s="74">
        <f t="shared" si="3"/>
        <v>0</v>
      </c>
      <c r="DZ13" s="74">
        <f t="shared" si="3"/>
        <v>0</v>
      </c>
      <c r="EA13" s="74">
        <f t="shared" si="3"/>
        <v>0</v>
      </c>
      <c r="EB13" s="74">
        <f t="shared" si="3"/>
        <v>0</v>
      </c>
      <c r="EC13" s="74">
        <f t="shared" si="3"/>
        <v>0</v>
      </c>
      <c r="ED13" s="74">
        <f t="shared" si="3"/>
        <v>0</v>
      </c>
      <c r="EE13" s="74">
        <f t="shared" si="3"/>
        <v>0</v>
      </c>
      <c r="EF13" s="74">
        <f t="shared" si="3"/>
        <v>0</v>
      </c>
      <c r="EG13" s="74">
        <f t="shared" si="3"/>
        <v>0</v>
      </c>
      <c r="EH13" s="74">
        <f t="shared" si="3"/>
        <v>0</v>
      </c>
      <c r="EI13" s="74">
        <f t="shared" si="3"/>
        <v>0</v>
      </c>
      <c r="EJ13" s="74">
        <f t="shared" si="3"/>
        <v>0</v>
      </c>
      <c r="EK13" s="74">
        <f t="shared" si="3"/>
        <v>0</v>
      </c>
      <c r="EL13" s="74">
        <f t="shared" si="3"/>
        <v>0</v>
      </c>
      <c r="EM13" s="74">
        <f t="shared" si="3"/>
        <v>0</v>
      </c>
      <c r="EN13" s="74">
        <f t="shared" si="3"/>
        <v>0</v>
      </c>
      <c r="EO13" s="74">
        <f t="shared" si="3"/>
        <v>0</v>
      </c>
      <c r="EP13" s="74">
        <f t="shared" si="3"/>
        <v>0</v>
      </c>
      <c r="EQ13" s="74">
        <f t="shared" si="3"/>
        <v>0</v>
      </c>
      <c r="ER13" s="74">
        <f t="shared" si="3"/>
        <v>0</v>
      </c>
      <c r="ES13" s="74">
        <f t="shared" si="3"/>
        <v>0</v>
      </c>
      <c r="ET13" s="74">
        <f t="shared" si="3"/>
        <v>0</v>
      </c>
      <c r="EU13" s="74">
        <f t="shared" si="3"/>
        <v>0</v>
      </c>
      <c r="EV13" s="74">
        <f t="shared" si="3"/>
        <v>0</v>
      </c>
      <c r="EW13" s="74">
        <f t="shared" si="3"/>
        <v>0</v>
      </c>
      <c r="EX13" s="74">
        <f t="shared" si="3"/>
        <v>0</v>
      </c>
      <c r="EY13" s="74">
        <f t="shared" ref="EY13:FL13" si="4">$F$13*EY8</f>
        <v>0</v>
      </c>
      <c r="EZ13" s="74">
        <f t="shared" si="4"/>
        <v>0</v>
      </c>
      <c r="FA13" s="74">
        <f t="shared" si="4"/>
        <v>0</v>
      </c>
      <c r="FB13" s="74">
        <f t="shared" si="4"/>
        <v>0</v>
      </c>
      <c r="FC13" s="74">
        <f t="shared" si="4"/>
        <v>0</v>
      </c>
      <c r="FD13" s="74">
        <f t="shared" si="4"/>
        <v>0</v>
      </c>
      <c r="FE13" s="74">
        <f t="shared" si="4"/>
        <v>0</v>
      </c>
      <c r="FF13" s="74">
        <f t="shared" si="4"/>
        <v>0</v>
      </c>
      <c r="FG13" s="74">
        <f t="shared" si="4"/>
        <v>0</v>
      </c>
      <c r="FH13" s="74">
        <f t="shared" si="4"/>
        <v>0</v>
      </c>
      <c r="FI13" s="74">
        <f t="shared" si="4"/>
        <v>0</v>
      </c>
      <c r="FJ13" s="74">
        <f t="shared" si="4"/>
        <v>0</v>
      </c>
      <c r="FK13" s="74">
        <f t="shared" si="4"/>
        <v>0</v>
      </c>
      <c r="FL13" s="74">
        <f t="shared" si="4"/>
        <v>0</v>
      </c>
    </row>
    <row r="14" spans="1:168" ht="13">
      <c r="A14" s="67"/>
      <c r="B14" s="107" t="s">
        <v>59</v>
      </c>
      <c r="C14" s="60">
        <v>3</v>
      </c>
      <c r="D14" s="77">
        <v>30.03</v>
      </c>
      <c r="E14" s="60">
        <f>D14*C14</f>
        <v>90.09</v>
      </c>
      <c r="F14" s="328">
        <f>E14/D3</f>
        <v>0.36290030211480362</v>
      </c>
      <c r="I14" s="74">
        <f t="shared" ref="I14:N14" si="5">$F$14*I9</f>
        <v>8.1153897280966766E-2</v>
      </c>
      <c r="J14" s="74">
        <f t="shared" si="5"/>
        <v>8.9749522658610262E-2</v>
      </c>
      <c r="K14" s="74">
        <f t="shared" si="5"/>
        <v>8.4377256797583067E-2</v>
      </c>
      <c r="L14" s="74">
        <f t="shared" si="5"/>
        <v>7.3632725075528691E-2</v>
      </c>
      <c r="M14" s="74">
        <f t="shared" si="5"/>
        <v>6.8618610271903316E-2</v>
      </c>
      <c r="N14" s="74">
        <f t="shared" si="5"/>
        <v>6.7544157099697882E-2</v>
      </c>
      <c r="O14" s="74">
        <f t="shared" ref="O14:Z14" si="6">$F$14*O9</f>
        <v>6.9334912386706943E-2</v>
      </c>
      <c r="P14" s="74">
        <f t="shared" si="6"/>
        <v>7.5065329305135944E-2</v>
      </c>
      <c r="Q14" s="74">
        <f t="shared" si="6"/>
        <v>7.6497933534743198E-2</v>
      </c>
      <c r="R14" s="74">
        <f t="shared" si="6"/>
        <v>7.7930537764350452E-2</v>
      </c>
      <c r="S14" s="74">
        <f t="shared" si="6"/>
        <v>8.2228350453172214E-2</v>
      </c>
      <c r="T14" s="74">
        <f t="shared" si="6"/>
        <v>8.6526163141993948E-2</v>
      </c>
      <c r="U14" s="74">
        <f t="shared" si="6"/>
        <v>9.5121788519637457E-2</v>
      </c>
      <c r="V14" s="74">
        <f t="shared" si="6"/>
        <v>9.583809063444107E-2</v>
      </c>
      <c r="W14" s="74">
        <f t="shared" si="6"/>
        <v>9.440548640483383E-2</v>
      </c>
      <c r="X14" s="74">
        <f t="shared" si="6"/>
        <v>9.2256580060422949E-2</v>
      </c>
      <c r="Y14" s="74">
        <f t="shared" si="6"/>
        <v>9.3331033232628383E-2</v>
      </c>
      <c r="Z14" s="74">
        <f t="shared" si="6"/>
        <v>9.4763637462235623E-2</v>
      </c>
      <c r="AA14" s="74">
        <f t="shared" ref="AA14:CL14" si="7">$F$14*AA9</f>
        <v>9.5121788519637457E-2</v>
      </c>
      <c r="AB14" s="74">
        <f t="shared" si="7"/>
        <v>9.6554392749244711E-2</v>
      </c>
      <c r="AC14" s="74">
        <f t="shared" si="7"/>
        <v>9.9419601208459191E-2</v>
      </c>
      <c r="AD14" s="74">
        <f t="shared" si="7"/>
        <v>0.11052228398791542</v>
      </c>
      <c r="AE14" s="74">
        <f t="shared" si="7"/>
        <v>9.9777752265861025E-2</v>
      </c>
      <c r="AF14" s="74">
        <f t="shared" si="7"/>
        <v>9.2256580060422949E-2</v>
      </c>
      <c r="AG14" s="74">
        <f t="shared" si="7"/>
        <v>8.7958767371601201E-2</v>
      </c>
      <c r="AH14" s="74">
        <f t="shared" si="7"/>
        <v>9.9419601208459191E-2</v>
      </c>
      <c r="AI14" s="74">
        <f t="shared" si="7"/>
        <v>0.10515001812688819</v>
      </c>
      <c r="AJ14" s="74">
        <f t="shared" si="7"/>
        <v>9.9419601208459191E-2</v>
      </c>
      <c r="AK14" s="74">
        <f t="shared" si="7"/>
        <v>9.3689184290030189E-2</v>
      </c>
      <c r="AL14" s="74">
        <f t="shared" si="7"/>
        <v>9.2256580060422949E-2</v>
      </c>
      <c r="AM14" s="74">
        <f t="shared" si="7"/>
        <v>8.8675069486404828E-2</v>
      </c>
      <c r="AN14" s="74">
        <f t="shared" si="7"/>
        <v>8.8675069486404828E-2</v>
      </c>
      <c r="AO14" s="74">
        <f t="shared" si="7"/>
        <v>8.8675069486404828E-2</v>
      </c>
      <c r="AP14" s="74">
        <f t="shared" si="7"/>
        <v>9.0107673716012082E-2</v>
      </c>
      <c r="AQ14" s="74">
        <f t="shared" si="7"/>
        <v>9.0107673716012082E-2</v>
      </c>
      <c r="AR14" s="74">
        <f t="shared" si="7"/>
        <v>8.8675069486404828E-2</v>
      </c>
      <c r="AS14" s="74">
        <f t="shared" si="7"/>
        <v>9.0107673716012082E-2</v>
      </c>
      <c r="AT14" s="74">
        <f t="shared" si="7"/>
        <v>9.3331033232628383E-2</v>
      </c>
      <c r="AU14" s="74">
        <f t="shared" si="7"/>
        <v>9.5479939577039277E-2</v>
      </c>
      <c r="AV14" s="74">
        <f t="shared" si="7"/>
        <v>9.1540277945619322E-2</v>
      </c>
      <c r="AW14" s="74">
        <f t="shared" si="7"/>
        <v>8.7958767371601201E-2</v>
      </c>
      <c r="AX14" s="74">
        <f t="shared" si="7"/>
        <v>8.6526163141993948E-2</v>
      </c>
      <c r="AY14" s="74">
        <f t="shared" si="7"/>
        <v>8.6526163141993948E-2</v>
      </c>
      <c r="AZ14" s="74">
        <f t="shared" si="7"/>
        <v>8.5093558912386694E-2</v>
      </c>
      <c r="BA14" s="74">
        <f t="shared" si="7"/>
        <v>8.5093558912386694E-2</v>
      </c>
      <c r="BB14" s="74">
        <f t="shared" si="7"/>
        <v>8.5093558912386694E-2</v>
      </c>
      <c r="BC14" s="74">
        <f t="shared" si="7"/>
        <v>8.5093558912386694E-2</v>
      </c>
      <c r="BD14" s="74">
        <f t="shared" si="7"/>
        <v>8.7958767371601201E-2</v>
      </c>
      <c r="BE14" s="74">
        <f t="shared" si="7"/>
        <v>8.7958767371601201E-2</v>
      </c>
      <c r="BF14" s="74">
        <f t="shared" si="7"/>
        <v>8.7958767371601201E-2</v>
      </c>
      <c r="BG14" s="74">
        <f t="shared" si="7"/>
        <v>8.7958767371601201E-2</v>
      </c>
      <c r="BH14" s="74">
        <f t="shared" si="7"/>
        <v>8.7958767371601201E-2</v>
      </c>
      <c r="BI14" s="74">
        <f t="shared" si="7"/>
        <v>9.0823975830815709E-2</v>
      </c>
      <c r="BJ14" s="74">
        <f t="shared" si="7"/>
        <v>9.0823975830815709E-2</v>
      </c>
      <c r="BK14" s="74">
        <f t="shared" si="7"/>
        <v>9.0823975830815709E-2</v>
      </c>
      <c r="BL14" s="74">
        <f t="shared" si="7"/>
        <v>9.0823975830815709E-2</v>
      </c>
      <c r="BM14" s="74">
        <f t="shared" si="7"/>
        <v>9.0823975830815709E-2</v>
      </c>
      <c r="BN14" s="74">
        <f t="shared" si="7"/>
        <v>9.0823975830815709E-2</v>
      </c>
      <c r="BO14" s="74">
        <f t="shared" si="7"/>
        <v>9.0823975830815709E-2</v>
      </c>
      <c r="BP14" s="74">
        <f t="shared" si="7"/>
        <v>8.8675069486404828E-2</v>
      </c>
      <c r="BQ14" s="74">
        <f t="shared" si="7"/>
        <v>8.8675069486404828E-2</v>
      </c>
      <c r="BR14" s="74">
        <f t="shared" si="7"/>
        <v>8.8675069486404828E-2</v>
      </c>
      <c r="BS14" s="74">
        <f t="shared" si="7"/>
        <v>8.8675069486404828E-2</v>
      </c>
      <c r="BT14" s="74">
        <f t="shared" si="7"/>
        <v>9.1540277945619322E-2</v>
      </c>
      <c r="BU14" s="74">
        <f t="shared" si="7"/>
        <v>9.1540277945619322E-2</v>
      </c>
      <c r="BV14" s="74">
        <f t="shared" si="7"/>
        <v>9.1540277945619322E-2</v>
      </c>
      <c r="BW14" s="74">
        <f t="shared" si="7"/>
        <v>9.1898429003021143E-2</v>
      </c>
      <c r="BX14" s="74">
        <f t="shared" si="7"/>
        <v>9.1898429003021143E-2</v>
      </c>
      <c r="BY14" s="74">
        <f t="shared" si="7"/>
        <v>9.1898429003021143E-2</v>
      </c>
      <c r="BZ14" s="74">
        <f t="shared" si="7"/>
        <v>9.3331033232628383E-2</v>
      </c>
      <c r="CA14" s="74">
        <f t="shared" si="7"/>
        <v>9.3331033232628383E-2</v>
      </c>
      <c r="CB14" s="74">
        <f t="shared" si="7"/>
        <v>9.3331033232628383E-2</v>
      </c>
      <c r="CC14" s="74">
        <f t="shared" si="7"/>
        <v>9.3331033232628383E-2</v>
      </c>
      <c r="CD14" s="74">
        <f t="shared" si="7"/>
        <v>9.3331033232628383E-2</v>
      </c>
      <c r="CE14" s="74">
        <f t="shared" si="7"/>
        <v>9.3331033232628383E-2</v>
      </c>
      <c r="CF14" s="74">
        <f t="shared" si="7"/>
        <v>9.3331033232628383E-2</v>
      </c>
      <c r="CG14" s="74">
        <f t="shared" si="7"/>
        <v>9.440548640483383E-2</v>
      </c>
      <c r="CH14" s="74">
        <f t="shared" si="7"/>
        <v>9.440548640483383E-2</v>
      </c>
      <c r="CI14" s="74">
        <f t="shared" si="7"/>
        <v>9.297288217522659E-2</v>
      </c>
      <c r="CJ14" s="74">
        <f t="shared" si="7"/>
        <v>9.297288217522659E-2</v>
      </c>
      <c r="CK14" s="74">
        <f t="shared" si="7"/>
        <v>9.297288217522659E-2</v>
      </c>
      <c r="CL14" s="74">
        <f t="shared" si="7"/>
        <v>9.297288217522659E-2</v>
      </c>
      <c r="CM14" s="74">
        <f t="shared" ref="CM14:EX14" si="8">$F$14*CM9</f>
        <v>9.2614731117824756E-2</v>
      </c>
      <c r="CN14" s="74">
        <f t="shared" si="8"/>
        <v>9.2614731117824756E-2</v>
      </c>
      <c r="CO14" s="74">
        <f t="shared" si="8"/>
        <v>9.2614731117824756E-2</v>
      </c>
      <c r="CP14" s="74">
        <f t="shared" si="8"/>
        <v>9.2614731117824756E-2</v>
      </c>
      <c r="CQ14" s="74">
        <f t="shared" si="8"/>
        <v>9.2614731117824756E-2</v>
      </c>
      <c r="CR14" s="74">
        <f t="shared" si="8"/>
        <v>9.2614731117824756E-2</v>
      </c>
      <c r="CS14" s="74">
        <f t="shared" si="8"/>
        <v>9.2256580060422949E-2</v>
      </c>
      <c r="CT14" s="74">
        <f t="shared" si="8"/>
        <v>9.2256580060422949E-2</v>
      </c>
      <c r="CU14" s="74">
        <f t="shared" si="8"/>
        <v>9.2256580060422949E-2</v>
      </c>
      <c r="CV14" s="74">
        <f t="shared" si="8"/>
        <v>9.2256580060422949E-2</v>
      </c>
      <c r="CW14" s="74">
        <f t="shared" si="8"/>
        <v>9.1540277945619322E-2</v>
      </c>
      <c r="CX14" s="74">
        <f t="shared" si="8"/>
        <v>9.1540277945619322E-2</v>
      </c>
      <c r="CY14" s="74">
        <f t="shared" si="8"/>
        <v>9.1540277945619322E-2</v>
      </c>
      <c r="CZ14" s="74">
        <f t="shared" si="8"/>
        <v>9.1540277945619322E-2</v>
      </c>
      <c r="DA14" s="74">
        <f t="shared" si="8"/>
        <v>9.1540277945619322E-2</v>
      </c>
      <c r="DB14" s="74">
        <f t="shared" si="8"/>
        <v>9.1540277945619322E-2</v>
      </c>
      <c r="DC14" s="74">
        <f t="shared" si="8"/>
        <v>9.1540277945619322E-2</v>
      </c>
      <c r="DD14" s="74">
        <f t="shared" si="8"/>
        <v>9.1540277945619322E-2</v>
      </c>
      <c r="DE14" s="74">
        <f t="shared" si="8"/>
        <v>9.1540277945619322E-2</v>
      </c>
      <c r="DF14" s="74">
        <f t="shared" si="8"/>
        <v>9.1540277945619322E-2</v>
      </c>
      <c r="DG14" s="74">
        <f t="shared" si="8"/>
        <v>9.1540277945619322E-2</v>
      </c>
      <c r="DH14" s="74">
        <f t="shared" si="8"/>
        <v>9.1540277945619322E-2</v>
      </c>
      <c r="DI14" s="74">
        <f t="shared" si="8"/>
        <v>9.1540277945619322E-2</v>
      </c>
      <c r="DJ14" s="74">
        <f t="shared" si="8"/>
        <v>9.297288217522659E-2</v>
      </c>
      <c r="DK14" s="74">
        <f t="shared" si="8"/>
        <v>9.297288217522659E-2</v>
      </c>
      <c r="DL14" s="74">
        <f t="shared" si="8"/>
        <v>9.297288217522659E-2</v>
      </c>
      <c r="DM14" s="74">
        <f t="shared" si="8"/>
        <v>9.297288217522659E-2</v>
      </c>
      <c r="DN14" s="74">
        <f t="shared" si="8"/>
        <v>9.0823975830815709E-2</v>
      </c>
      <c r="DO14" s="74">
        <f t="shared" si="8"/>
        <v>9.0823975830815709E-2</v>
      </c>
      <c r="DP14" s="74">
        <f t="shared" si="8"/>
        <v>9.0823975830815709E-2</v>
      </c>
      <c r="DQ14" s="74">
        <f t="shared" si="8"/>
        <v>9.0823975830815709E-2</v>
      </c>
      <c r="DR14" s="74">
        <f t="shared" si="8"/>
        <v>9.0823975830815709E-2</v>
      </c>
      <c r="DS14" s="74">
        <f t="shared" si="8"/>
        <v>9.3331033232628383E-2</v>
      </c>
      <c r="DT14" s="74">
        <f t="shared" si="8"/>
        <v>4.3548036253776436E-2</v>
      </c>
      <c r="DU14" s="74">
        <f t="shared" si="8"/>
        <v>4.3548036253776436E-2</v>
      </c>
      <c r="DV14" s="74">
        <f t="shared" si="8"/>
        <v>4.3548036253776436E-2</v>
      </c>
      <c r="DW14" s="74">
        <f t="shared" si="8"/>
        <v>4.3548036253776436E-2</v>
      </c>
      <c r="DX14" s="74">
        <f t="shared" si="8"/>
        <v>4.3548036253776436E-2</v>
      </c>
      <c r="DY14" s="74">
        <f t="shared" si="8"/>
        <v>4.3548036253776436E-2</v>
      </c>
      <c r="DZ14" s="74">
        <f t="shared" si="8"/>
        <v>4.3548036253776436E-2</v>
      </c>
      <c r="EA14" s="74">
        <f t="shared" si="8"/>
        <v>4.3548036253776436E-2</v>
      </c>
      <c r="EB14" s="74">
        <f t="shared" si="8"/>
        <v>4.3548036253776436E-2</v>
      </c>
      <c r="EC14" s="74">
        <f t="shared" si="8"/>
        <v>4.3548036253776436E-2</v>
      </c>
      <c r="ED14" s="74">
        <f t="shared" si="8"/>
        <v>4.3548036253776436E-2</v>
      </c>
      <c r="EE14" s="74">
        <f t="shared" si="8"/>
        <v>4.3548036253776436E-2</v>
      </c>
      <c r="EF14" s="74">
        <f t="shared" si="8"/>
        <v>4.3548036253776436E-2</v>
      </c>
      <c r="EG14" s="74">
        <f t="shared" si="8"/>
        <v>4.3548036253776436E-2</v>
      </c>
      <c r="EH14" s="74">
        <f t="shared" si="8"/>
        <v>4.3548036253776436E-2</v>
      </c>
      <c r="EI14" s="74">
        <f t="shared" si="8"/>
        <v>4.3548036253776436E-2</v>
      </c>
      <c r="EJ14" s="74">
        <f t="shared" si="8"/>
        <v>4.3548036253776436E-2</v>
      </c>
      <c r="EK14" s="74">
        <f t="shared" si="8"/>
        <v>4.3548036253776436E-2</v>
      </c>
      <c r="EL14" s="74">
        <f t="shared" si="8"/>
        <v>4.3548036253776436E-2</v>
      </c>
      <c r="EM14" s="74">
        <f t="shared" si="8"/>
        <v>4.3548036253776436E-2</v>
      </c>
      <c r="EN14" s="74">
        <f t="shared" si="8"/>
        <v>4.3548036253776436E-2</v>
      </c>
      <c r="EO14" s="74">
        <f t="shared" si="8"/>
        <v>4.3548036253776436E-2</v>
      </c>
      <c r="EP14" s="74">
        <f t="shared" si="8"/>
        <v>4.3548036253776436E-2</v>
      </c>
      <c r="EQ14" s="74">
        <f t="shared" si="8"/>
        <v>4.3548036253776436E-2</v>
      </c>
      <c r="ER14" s="74">
        <f t="shared" si="8"/>
        <v>4.3548036253776436E-2</v>
      </c>
      <c r="ES14" s="74">
        <f t="shared" si="8"/>
        <v>4.3548036253776436E-2</v>
      </c>
      <c r="ET14" s="74">
        <f t="shared" si="8"/>
        <v>4.3548036253776436E-2</v>
      </c>
      <c r="EU14" s="74">
        <f t="shared" si="8"/>
        <v>4.3548036253776436E-2</v>
      </c>
      <c r="EV14" s="74">
        <f t="shared" si="8"/>
        <v>4.3548036253776436E-2</v>
      </c>
      <c r="EW14" s="74">
        <f t="shared" si="8"/>
        <v>4.3548036253776436E-2</v>
      </c>
      <c r="EX14" s="74">
        <f t="shared" si="8"/>
        <v>4.3548036253776436E-2</v>
      </c>
      <c r="EY14" s="74">
        <f t="shared" ref="EY14:FL14" si="9">$F$14*EY9</f>
        <v>4.3548036253776436E-2</v>
      </c>
      <c r="EZ14" s="74">
        <f t="shared" si="9"/>
        <v>4.3548036253776436E-2</v>
      </c>
      <c r="FA14" s="74">
        <f t="shared" si="9"/>
        <v>4.3548036253776436E-2</v>
      </c>
      <c r="FB14" s="74">
        <f t="shared" si="9"/>
        <v>4.3548036253776436E-2</v>
      </c>
      <c r="FC14" s="74">
        <f t="shared" si="9"/>
        <v>4.3548036253776436E-2</v>
      </c>
      <c r="FD14" s="74">
        <f t="shared" si="9"/>
        <v>4.3548036253776436E-2</v>
      </c>
      <c r="FE14" s="74">
        <f t="shared" si="9"/>
        <v>4.3548036253776436E-2</v>
      </c>
      <c r="FF14" s="74">
        <f t="shared" si="9"/>
        <v>4.3548036253776436E-2</v>
      </c>
      <c r="FG14" s="74">
        <f t="shared" si="9"/>
        <v>4.3548036253776436E-2</v>
      </c>
      <c r="FH14" s="74">
        <f t="shared" si="9"/>
        <v>4.3548036253776436E-2</v>
      </c>
      <c r="FI14" s="74">
        <f t="shared" si="9"/>
        <v>4.3548036253776436E-2</v>
      </c>
      <c r="FJ14" s="74">
        <f t="shared" si="9"/>
        <v>4.3548036253776436E-2</v>
      </c>
      <c r="FK14" s="74">
        <f t="shared" si="9"/>
        <v>0</v>
      </c>
      <c r="FL14" s="74">
        <f t="shared" si="9"/>
        <v>0</v>
      </c>
    </row>
    <row r="15" spans="1:168" ht="13">
      <c r="A15" s="67"/>
      <c r="B15" s="107" t="s">
        <v>356</v>
      </c>
      <c r="C15" s="60">
        <v>1</v>
      </c>
      <c r="D15" s="77">
        <v>40</v>
      </c>
      <c r="E15" s="60">
        <f>D15*C15</f>
        <v>40</v>
      </c>
      <c r="F15" s="328">
        <f>E15/D3</f>
        <v>0.16112789526686808</v>
      </c>
      <c r="I15" s="74"/>
      <c r="J15" s="74"/>
      <c r="K15" s="74"/>
      <c r="L15" s="74"/>
      <c r="M15" s="74"/>
      <c r="N15" s="74"/>
      <c r="O15" s="74"/>
      <c r="P15" s="74"/>
      <c r="Q15" s="74"/>
      <c r="R15" s="74"/>
      <c r="S15" s="74"/>
      <c r="T15" s="74"/>
      <c r="U15" s="74"/>
      <c r="V15" s="74"/>
      <c r="W15" s="74"/>
      <c r="X15" s="74"/>
      <c r="Y15" s="74"/>
      <c r="Z15" s="74"/>
      <c r="AA15" s="74"/>
      <c r="AB15" s="74"/>
      <c r="AC15" s="74"/>
      <c r="AD15" s="74"/>
      <c r="AE15" s="74"/>
      <c r="AF15" s="74"/>
      <c r="AG15" s="74"/>
      <c r="AH15" s="74"/>
      <c r="AI15" s="74"/>
      <c r="AJ15" s="74"/>
      <c r="AK15" s="74"/>
      <c r="AL15" s="74"/>
      <c r="AM15" s="74"/>
      <c r="AN15" s="74"/>
      <c r="AO15" s="74"/>
      <c r="AP15" s="74"/>
      <c r="AQ15" s="74"/>
      <c r="AR15" s="74"/>
      <c r="AS15" s="74"/>
      <c r="AT15" s="74"/>
      <c r="AU15" s="74"/>
      <c r="AV15" s="74"/>
      <c r="AW15" s="74"/>
      <c r="AX15" s="74"/>
      <c r="AY15" s="74"/>
      <c r="AZ15" s="74"/>
      <c r="BA15" s="74"/>
      <c r="BB15" s="74"/>
      <c r="BC15" s="74"/>
      <c r="BD15" s="74"/>
      <c r="BE15" s="74"/>
      <c r="BF15" s="74"/>
      <c r="BG15" s="74"/>
      <c r="BH15" s="74"/>
      <c r="BI15" s="74"/>
      <c r="BJ15" s="74"/>
      <c r="BK15" s="74"/>
      <c r="BL15" s="74"/>
      <c r="BM15" s="74"/>
      <c r="BN15" s="74"/>
      <c r="BO15" s="74"/>
      <c r="BP15" s="74"/>
      <c r="BQ15" s="74"/>
      <c r="BR15" s="74"/>
      <c r="BS15" s="74"/>
      <c r="BT15" s="74"/>
      <c r="BU15" s="74"/>
      <c r="BV15" s="74"/>
      <c r="BW15" s="74"/>
      <c r="BX15" s="74"/>
      <c r="BY15" s="74"/>
      <c r="BZ15" s="74"/>
      <c r="CA15" s="74"/>
      <c r="CB15" s="74"/>
      <c r="CC15" s="74"/>
      <c r="CD15" s="74"/>
      <c r="CE15" s="74"/>
      <c r="CF15" s="74"/>
      <c r="CG15" s="74"/>
      <c r="CH15" s="74"/>
      <c r="CI15" s="74"/>
      <c r="CJ15" s="74"/>
      <c r="CK15" s="74"/>
      <c r="CL15" s="74"/>
      <c r="CM15" s="74"/>
      <c r="CN15" s="74"/>
      <c r="CO15" s="74"/>
      <c r="CP15" s="74"/>
      <c r="CQ15" s="74"/>
      <c r="CR15" s="74"/>
      <c r="CS15" s="74"/>
      <c r="CT15" s="74"/>
      <c r="CU15" s="74"/>
      <c r="CV15" s="74"/>
      <c r="CW15" s="74"/>
      <c r="CX15" s="74"/>
      <c r="CY15" s="74"/>
      <c r="CZ15" s="74"/>
      <c r="DA15" s="74"/>
      <c r="DB15" s="74"/>
      <c r="DC15" s="74"/>
      <c r="DD15" s="74"/>
      <c r="DE15" s="74"/>
      <c r="DF15" s="74"/>
      <c r="DG15" s="74"/>
      <c r="DH15" s="74"/>
      <c r="DI15" s="74"/>
      <c r="DJ15" s="74"/>
      <c r="DK15" s="74"/>
      <c r="DL15" s="74"/>
      <c r="DM15" s="74"/>
      <c r="DN15" s="74"/>
      <c r="DO15" s="74"/>
      <c r="DP15" s="74"/>
      <c r="DQ15" s="74"/>
      <c r="DR15" s="74"/>
      <c r="DS15" s="74"/>
      <c r="DT15" s="74"/>
      <c r="DU15" s="74"/>
      <c r="DV15" s="74"/>
      <c r="DW15" s="74"/>
      <c r="DX15" s="74"/>
      <c r="DY15" s="74"/>
      <c r="DZ15" s="74"/>
      <c r="EA15" s="74"/>
      <c r="EB15" s="74"/>
      <c r="EC15" s="74"/>
      <c r="ED15" s="74"/>
      <c r="EE15" s="74"/>
      <c r="EF15" s="74"/>
      <c r="EG15" s="74"/>
      <c r="EH15" s="74"/>
      <c r="EI15" s="74"/>
      <c r="EJ15" s="74"/>
      <c r="EK15" s="74"/>
      <c r="EL15" s="74"/>
      <c r="EM15" s="74"/>
      <c r="EN15" s="74"/>
      <c r="EO15" s="74"/>
      <c r="EP15" s="74"/>
      <c r="EQ15" s="74"/>
      <c r="ER15" s="74"/>
      <c r="ES15" s="74"/>
      <c r="ET15" s="74"/>
      <c r="EU15" s="74"/>
      <c r="EV15" s="74"/>
      <c r="EW15" s="74"/>
      <c r="EX15" s="74"/>
      <c r="EY15" s="74"/>
      <c r="EZ15" s="74"/>
      <c r="FA15" s="74"/>
      <c r="FB15" s="74"/>
      <c r="FC15" s="74"/>
      <c r="FD15" s="74"/>
      <c r="FE15" s="74"/>
      <c r="FF15" s="74"/>
      <c r="FG15" s="74"/>
      <c r="FH15" s="74"/>
      <c r="FI15" s="74"/>
      <c r="FJ15" s="74"/>
      <c r="FK15" s="74"/>
      <c r="FL15" s="74"/>
    </row>
    <row r="16" spans="1:168" ht="13">
      <c r="A16" s="67"/>
      <c r="B16" s="107" t="s">
        <v>830</v>
      </c>
      <c r="C16" s="60">
        <v>4</v>
      </c>
      <c r="D16" s="77">
        <v>98.08</v>
      </c>
      <c r="E16" s="60">
        <f>D16*C16</f>
        <v>392.32</v>
      </c>
      <c r="F16" s="328">
        <f>E16/D3</f>
        <v>1.5803423967774421</v>
      </c>
      <c r="I16" s="74"/>
      <c r="J16" s="74"/>
      <c r="K16" s="74"/>
      <c r="L16" s="74"/>
      <c r="M16" s="74"/>
      <c r="N16" s="74"/>
      <c r="O16" s="74"/>
      <c r="P16" s="74"/>
      <c r="Q16" s="74"/>
      <c r="R16" s="74"/>
      <c r="S16" s="74"/>
      <c r="T16" s="74"/>
      <c r="U16" s="74"/>
      <c r="V16" s="74"/>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c r="BM16" s="74"/>
      <c r="BN16" s="74"/>
      <c r="BO16" s="74"/>
      <c r="BP16" s="74"/>
      <c r="BQ16" s="74"/>
      <c r="BR16" s="74"/>
      <c r="BS16" s="74"/>
      <c r="BT16" s="74"/>
      <c r="BU16" s="74"/>
      <c r="BV16" s="74"/>
      <c r="BW16" s="74"/>
      <c r="BX16" s="74"/>
      <c r="BY16" s="74"/>
      <c r="BZ16" s="74"/>
      <c r="CA16" s="74"/>
      <c r="CB16" s="74"/>
      <c r="CC16" s="74"/>
      <c r="CD16" s="74"/>
      <c r="CE16" s="74"/>
      <c r="CF16" s="74"/>
      <c r="CG16" s="74"/>
      <c r="CH16" s="74"/>
      <c r="CI16" s="74"/>
      <c r="CJ16" s="74"/>
      <c r="CK16" s="74"/>
      <c r="CL16" s="74"/>
      <c r="CM16" s="74"/>
      <c r="CN16" s="74"/>
      <c r="CO16" s="74"/>
      <c r="CP16" s="74"/>
      <c r="CQ16" s="74"/>
      <c r="CR16" s="74"/>
      <c r="CS16" s="74"/>
      <c r="CT16" s="74"/>
      <c r="CU16" s="74"/>
      <c r="CV16" s="74"/>
      <c r="CW16" s="74"/>
      <c r="CX16" s="74"/>
      <c r="CY16" s="74"/>
      <c r="CZ16" s="74"/>
      <c r="DA16" s="74"/>
      <c r="DB16" s="74"/>
      <c r="DC16" s="74"/>
      <c r="DD16" s="74"/>
      <c r="DE16" s="74"/>
      <c r="DF16" s="74"/>
      <c r="DG16" s="74"/>
      <c r="DH16" s="74"/>
      <c r="DI16" s="74"/>
      <c r="DJ16" s="74"/>
      <c r="DK16" s="74"/>
      <c r="DL16" s="74"/>
      <c r="DM16" s="74"/>
      <c r="DN16" s="74"/>
      <c r="DO16" s="74"/>
      <c r="DP16" s="74"/>
      <c r="DQ16" s="74"/>
      <c r="DR16" s="74"/>
      <c r="DS16" s="74"/>
      <c r="DT16" s="74"/>
      <c r="DU16" s="74"/>
      <c r="DV16" s="74"/>
      <c r="DW16" s="74"/>
      <c r="DX16" s="74"/>
      <c r="DY16" s="74"/>
      <c r="DZ16" s="74"/>
      <c r="EA16" s="74"/>
      <c r="EB16" s="74"/>
      <c r="EC16" s="74"/>
      <c r="ED16" s="74"/>
      <c r="EE16" s="74"/>
      <c r="EF16" s="74"/>
      <c r="EG16" s="74"/>
      <c r="EH16" s="74"/>
      <c r="EI16" s="74"/>
      <c r="EJ16" s="74"/>
      <c r="EK16" s="74"/>
      <c r="EL16" s="74"/>
      <c r="EM16" s="74"/>
      <c r="EN16" s="74"/>
      <c r="EO16" s="74"/>
      <c r="EP16" s="74"/>
      <c r="EQ16" s="74"/>
      <c r="ER16" s="74"/>
      <c r="ES16" s="74"/>
      <c r="ET16" s="74"/>
      <c r="EU16" s="74"/>
      <c r="EV16" s="74"/>
      <c r="EW16" s="74"/>
      <c r="EX16" s="74"/>
      <c r="EY16" s="74"/>
      <c r="EZ16" s="74"/>
      <c r="FA16" s="74"/>
      <c r="FB16" s="74"/>
      <c r="FC16" s="74"/>
      <c r="FD16" s="74"/>
      <c r="FE16" s="74"/>
      <c r="FF16" s="74"/>
      <c r="FG16" s="74"/>
      <c r="FH16" s="74"/>
      <c r="FI16" s="74"/>
      <c r="FJ16" s="74"/>
      <c r="FK16" s="74"/>
      <c r="FL16" s="74"/>
    </row>
    <row r="17" spans="1:168">
      <c r="A17" s="67"/>
      <c r="B17" s="107"/>
      <c r="D17" s="77"/>
      <c r="F17" s="65"/>
      <c r="I17" s="74"/>
      <c r="J17" s="74"/>
      <c r="K17" s="74"/>
      <c r="L17" s="74"/>
      <c r="M17" s="74"/>
      <c r="N17" s="74"/>
      <c r="O17" s="74"/>
      <c r="P17" s="74"/>
      <c r="Q17" s="74"/>
      <c r="R17" s="74"/>
      <c r="S17" s="74"/>
      <c r="T17" s="74"/>
      <c r="U17" s="74"/>
      <c r="V17" s="74"/>
      <c r="W17" s="74"/>
      <c r="X17" s="74"/>
      <c r="Y17" s="74"/>
      <c r="Z17" s="74"/>
      <c r="AA17" s="74"/>
      <c r="AB17" s="74"/>
      <c r="AC17" s="74"/>
      <c r="AD17" s="74"/>
      <c r="AE17" s="74"/>
      <c r="AF17" s="74"/>
      <c r="AG17" s="74"/>
      <c r="AH17" s="74"/>
      <c r="AI17" s="74"/>
      <c r="AJ17" s="74"/>
      <c r="AK17" s="74"/>
      <c r="AL17" s="74"/>
      <c r="AM17" s="74"/>
      <c r="AN17" s="74"/>
      <c r="AO17" s="74"/>
      <c r="AP17" s="74"/>
      <c r="AQ17" s="74"/>
      <c r="AR17" s="74"/>
      <c r="AS17" s="74"/>
      <c r="AT17" s="74"/>
      <c r="AU17" s="74"/>
      <c r="AV17" s="74"/>
      <c r="AW17" s="74"/>
      <c r="AX17" s="74"/>
      <c r="AY17" s="74"/>
      <c r="AZ17" s="74"/>
      <c r="BA17" s="74"/>
      <c r="BB17" s="74"/>
      <c r="BC17" s="74"/>
      <c r="BD17" s="74"/>
      <c r="BE17" s="74"/>
      <c r="BF17" s="74"/>
      <c r="BG17" s="74"/>
      <c r="BH17" s="74"/>
      <c r="BI17" s="74"/>
      <c r="BJ17" s="74"/>
      <c r="BK17" s="74"/>
      <c r="BL17" s="74"/>
      <c r="BM17" s="74"/>
      <c r="BN17" s="74"/>
      <c r="BO17" s="74"/>
      <c r="BP17" s="74"/>
      <c r="BQ17" s="74"/>
      <c r="BR17" s="74"/>
      <c r="BS17" s="74"/>
      <c r="BT17" s="74"/>
      <c r="BU17" s="74"/>
      <c r="BV17" s="74"/>
      <c r="BW17" s="74"/>
      <c r="BX17" s="74"/>
      <c r="BY17" s="74"/>
      <c r="BZ17" s="74"/>
      <c r="CA17" s="74"/>
      <c r="CB17" s="74"/>
      <c r="CC17" s="74"/>
      <c r="CD17" s="74"/>
      <c r="CE17" s="74"/>
      <c r="CF17" s="74"/>
      <c r="CG17" s="74"/>
      <c r="CH17" s="74"/>
      <c r="CI17" s="74"/>
      <c r="CJ17" s="74"/>
      <c r="CK17" s="74"/>
      <c r="CL17" s="74"/>
      <c r="CM17" s="74"/>
      <c r="CN17" s="74"/>
      <c r="CO17" s="74"/>
      <c r="CP17" s="74"/>
      <c r="CQ17" s="74"/>
      <c r="CR17" s="74"/>
      <c r="CS17" s="74"/>
      <c r="CT17" s="74"/>
      <c r="CU17" s="74"/>
      <c r="CV17" s="74"/>
      <c r="CW17" s="74"/>
      <c r="CX17" s="74"/>
      <c r="CY17" s="74"/>
      <c r="CZ17" s="74"/>
      <c r="DA17" s="74"/>
      <c r="DB17" s="74"/>
      <c r="DC17" s="74"/>
      <c r="DD17" s="74"/>
      <c r="DE17" s="74"/>
      <c r="DF17" s="74"/>
      <c r="DG17" s="74"/>
      <c r="DH17" s="74"/>
      <c r="DI17" s="74"/>
      <c r="DJ17" s="74"/>
      <c r="DK17" s="74"/>
      <c r="DL17" s="74"/>
      <c r="DM17" s="74"/>
      <c r="DN17" s="74"/>
      <c r="DO17" s="74"/>
      <c r="DP17" s="74"/>
      <c r="DQ17" s="74"/>
      <c r="DR17" s="74"/>
      <c r="DS17" s="74"/>
      <c r="DT17" s="74"/>
      <c r="DU17" s="74"/>
      <c r="DV17" s="74"/>
      <c r="DW17" s="74"/>
      <c r="DX17" s="74"/>
      <c r="DY17" s="74"/>
      <c r="DZ17" s="74"/>
      <c r="EA17" s="74"/>
      <c r="EB17" s="74"/>
      <c r="EC17" s="74"/>
      <c r="ED17" s="74"/>
      <c r="EE17" s="74"/>
      <c r="EF17" s="74"/>
      <c r="EG17" s="74"/>
      <c r="EH17" s="74"/>
      <c r="EI17" s="74"/>
      <c r="EJ17" s="74"/>
      <c r="EK17" s="74"/>
      <c r="EL17" s="74"/>
      <c r="EM17" s="74"/>
      <c r="EN17" s="74"/>
      <c r="EO17" s="74"/>
      <c r="EP17" s="74"/>
      <c r="EQ17" s="74"/>
      <c r="ER17" s="74"/>
      <c r="ES17" s="74"/>
      <c r="ET17" s="74"/>
      <c r="EU17" s="74"/>
      <c r="EV17" s="74"/>
      <c r="EW17" s="74"/>
      <c r="EX17" s="74"/>
      <c r="EY17" s="74"/>
      <c r="EZ17" s="74"/>
      <c r="FA17" s="74"/>
      <c r="FB17" s="74"/>
      <c r="FC17" s="74"/>
      <c r="FD17" s="74"/>
      <c r="FE17" s="74"/>
      <c r="FF17" s="74"/>
      <c r="FG17" s="74"/>
      <c r="FH17" s="74"/>
      <c r="FI17" s="74"/>
      <c r="FJ17" s="74"/>
      <c r="FK17" s="74"/>
      <c r="FL17" s="74"/>
    </row>
    <row r="18" spans="1:168" s="104" customFormat="1">
      <c r="H18" s="104" t="s">
        <v>799</v>
      </c>
      <c r="I18" s="105">
        <f>SUM(I13:I14)</f>
        <v>0.72766207958178697</v>
      </c>
      <c r="J18" s="105">
        <f t="shared" ref="J18:BU18" si="10">SUM(J13:J14)</f>
        <v>0.72943747733788966</v>
      </c>
      <c r="K18" s="105">
        <f t="shared" si="10"/>
        <v>0.71033221025865467</v>
      </c>
      <c r="L18" s="105">
        <f t="shared" si="10"/>
        <v>0.68644320167837081</v>
      </c>
      <c r="M18" s="105">
        <f t="shared" si="10"/>
        <v>0.71099646935184246</v>
      </c>
      <c r="N18" s="105">
        <f t="shared" si="10"/>
        <v>0.6663911190276941</v>
      </c>
      <c r="O18" s="105">
        <f t="shared" si="10"/>
        <v>0.67464376171017837</v>
      </c>
      <c r="P18" s="105">
        <f t="shared" si="10"/>
        <v>0.66523533365245913</v>
      </c>
      <c r="Q18" s="105">
        <f t="shared" si="10"/>
        <v>0.69216869099229994</v>
      </c>
      <c r="R18" s="105">
        <f t="shared" si="10"/>
        <v>0.70754858895778383</v>
      </c>
      <c r="S18" s="105">
        <f t="shared" si="10"/>
        <v>0.6989134116174428</v>
      </c>
      <c r="T18" s="105">
        <f t="shared" si="10"/>
        <v>0.69188770665870303</v>
      </c>
      <c r="U18" s="105">
        <f t="shared" si="10"/>
        <v>0.74267140268710063</v>
      </c>
      <c r="V18" s="105">
        <f t="shared" si="10"/>
        <v>0.75159808562398911</v>
      </c>
      <c r="W18" s="105">
        <f t="shared" si="10"/>
        <v>0.76014496108143681</v>
      </c>
      <c r="X18" s="105">
        <f t="shared" si="10"/>
        <v>0.76402019259408449</v>
      </c>
      <c r="Y18" s="105">
        <f t="shared" si="10"/>
        <v>0.76454073019937674</v>
      </c>
      <c r="Z18" s="105">
        <f t="shared" si="10"/>
        <v>0.73042971638780285</v>
      </c>
      <c r="AA18" s="105">
        <f t="shared" si="10"/>
        <v>0.75562946257926411</v>
      </c>
      <c r="AB18" s="105">
        <f t="shared" si="10"/>
        <v>0.71254565702227768</v>
      </c>
      <c r="AC18" s="105">
        <f t="shared" si="10"/>
        <v>0.84847878862522774</v>
      </c>
      <c r="AD18" s="105">
        <f t="shared" si="10"/>
        <v>1.5794282290119168</v>
      </c>
      <c r="AE18" s="105">
        <f t="shared" si="10"/>
        <v>2.1051874849880128</v>
      </c>
      <c r="AF18" s="105">
        <f t="shared" si="10"/>
        <v>1.8694897118718681</v>
      </c>
      <c r="AG18" s="105">
        <f t="shared" si="10"/>
        <v>1.7369088030455881</v>
      </c>
      <c r="AH18" s="105">
        <f t="shared" si="10"/>
        <v>1.827762267460705</v>
      </c>
      <c r="AI18" s="105">
        <f t="shared" si="10"/>
        <v>1.6756174272990632</v>
      </c>
      <c r="AJ18" s="105">
        <f t="shared" si="10"/>
        <v>1.6472701678967963</v>
      </c>
      <c r="AK18" s="105">
        <f t="shared" si="10"/>
        <v>1.7830630237452818</v>
      </c>
      <c r="AL18" s="105">
        <f t="shared" si="10"/>
        <v>1.8481960012541121</v>
      </c>
      <c r="AM18" s="105">
        <f t="shared" si="10"/>
        <v>1.8693956766658917</v>
      </c>
      <c r="AN18" s="105">
        <f t="shared" si="10"/>
        <v>1.8774890995954061</v>
      </c>
      <c r="AO18" s="105">
        <f t="shared" si="10"/>
        <v>1.4623782428648142</v>
      </c>
      <c r="AP18" s="105">
        <f t="shared" si="10"/>
        <v>1.4416204698928743</v>
      </c>
      <c r="AQ18" s="105">
        <f t="shared" si="10"/>
        <v>1.3725811435000126</v>
      </c>
      <c r="AR18" s="105">
        <f t="shared" si="10"/>
        <v>1.382119617782479</v>
      </c>
      <c r="AS18" s="105">
        <f t="shared" si="10"/>
        <v>1.2490329821051185</v>
      </c>
      <c r="AT18" s="105">
        <f t="shared" si="10"/>
        <v>1.1497757269824946</v>
      </c>
      <c r="AU18" s="105">
        <f t="shared" si="10"/>
        <v>1.2149864989062287</v>
      </c>
      <c r="AV18" s="105">
        <f t="shared" si="10"/>
        <v>1.0679413534771549</v>
      </c>
      <c r="AW18" s="105">
        <f t="shared" si="10"/>
        <v>1.5664028034467632</v>
      </c>
      <c r="AX18" s="105">
        <f t="shared" si="10"/>
        <v>1.0408301004113891</v>
      </c>
      <c r="AY18" s="105">
        <f t="shared" si="10"/>
        <v>0.97504689268928868</v>
      </c>
      <c r="AZ18" s="105">
        <f t="shared" si="10"/>
        <v>0.97361428845968145</v>
      </c>
      <c r="BA18" s="105">
        <f t="shared" si="10"/>
        <v>0.97361428845968145</v>
      </c>
      <c r="BB18" s="105">
        <f t="shared" si="10"/>
        <v>0.97361428845968145</v>
      </c>
      <c r="BC18" s="105">
        <f t="shared" si="10"/>
        <v>1.2487879519117806</v>
      </c>
      <c r="BD18" s="105">
        <f t="shared" si="10"/>
        <v>1.2516531603709951</v>
      </c>
      <c r="BE18" s="105">
        <f t="shared" si="10"/>
        <v>1.2516531603709951</v>
      </c>
      <c r="BF18" s="105">
        <f t="shared" si="10"/>
        <v>1.2516531603709951</v>
      </c>
      <c r="BG18" s="105">
        <f t="shared" si="10"/>
        <v>1.091007105431828</v>
      </c>
      <c r="BH18" s="105">
        <f t="shared" si="10"/>
        <v>1.091007105431828</v>
      </c>
      <c r="BI18" s="105">
        <f t="shared" si="10"/>
        <v>1.0938723138910427</v>
      </c>
      <c r="BJ18" s="105">
        <f t="shared" si="10"/>
        <v>1.0938723138910427</v>
      </c>
      <c r="BK18" s="105">
        <f t="shared" si="10"/>
        <v>0.99805545139771434</v>
      </c>
      <c r="BL18" s="105">
        <f t="shared" si="10"/>
        <v>0.99805545139771434</v>
      </c>
      <c r="BM18" s="105">
        <f t="shared" si="10"/>
        <v>0.99805545139771434</v>
      </c>
      <c r="BN18" s="105">
        <f t="shared" si="10"/>
        <v>0.99805545139771434</v>
      </c>
      <c r="BO18" s="105">
        <f t="shared" si="10"/>
        <v>0.93388915146771312</v>
      </c>
      <c r="BP18" s="105">
        <f t="shared" si="10"/>
        <v>0.93174024512330222</v>
      </c>
      <c r="BQ18" s="105">
        <f t="shared" si="10"/>
        <v>0.93174024512330222</v>
      </c>
      <c r="BR18" s="105">
        <f t="shared" si="10"/>
        <v>0.93174024512330222</v>
      </c>
      <c r="BS18" s="105">
        <f t="shared" si="10"/>
        <v>0.98663067845067176</v>
      </c>
      <c r="BT18" s="105">
        <f t="shared" si="10"/>
        <v>0.98949588690988632</v>
      </c>
      <c r="BU18" s="105">
        <f t="shared" si="10"/>
        <v>0.98949588690988632</v>
      </c>
      <c r="BV18" s="105">
        <f t="shared" ref="BV18:EG18" si="11">SUM(BV13:BV14)</f>
        <v>0.98949588690988632</v>
      </c>
      <c r="BW18" s="105">
        <f t="shared" si="11"/>
        <v>0.88357539859738454</v>
      </c>
      <c r="BX18" s="105">
        <f t="shared" si="11"/>
        <v>0.88357539859738454</v>
      </c>
      <c r="BY18" s="105">
        <f t="shared" si="11"/>
        <v>0.88357539859738454</v>
      </c>
      <c r="BZ18" s="105">
        <f t="shared" si="11"/>
        <v>0.88500800282699177</v>
      </c>
      <c r="CA18" s="105">
        <f t="shared" si="11"/>
        <v>0.85090204735130803</v>
      </c>
      <c r="CB18" s="105">
        <f t="shared" si="11"/>
        <v>0.85090204735130803</v>
      </c>
      <c r="CC18" s="105">
        <f t="shared" si="11"/>
        <v>0.85090204735130803</v>
      </c>
      <c r="CD18" s="105">
        <f t="shared" si="11"/>
        <v>0.85090204735130803</v>
      </c>
      <c r="CE18" s="105">
        <f t="shared" si="11"/>
        <v>0.9262319411261819</v>
      </c>
      <c r="CF18" s="105">
        <f t="shared" si="11"/>
        <v>0.9262319411261819</v>
      </c>
      <c r="CG18" s="105">
        <f t="shared" si="11"/>
        <v>0.92730639429838735</v>
      </c>
      <c r="CH18" s="105">
        <f t="shared" si="11"/>
        <v>0.92730639429838735</v>
      </c>
      <c r="CI18" s="105">
        <f t="shared" si="11"/>
        <v>1.0802149775432028</v>
      </c>
      <c r="CJ18" s="105">
        <f t="shared" si="11"/>
        <v>1.0802149775432028</v>
      </c>
      <c r="CK18" s="105">
        <f t="shared" si="11"/>
        <v>1.0802149775432028</v>
      </c>
      <c r="CL18" s="105">
        <f t="shared" si="11"/>
        <v>1.0802149775432028</v>
      </c>
      <c r="CM18" s="105">
        <f t="shared" si="11"/>
        <v>0.90158967859256989</v>
      </c>
      <c r="CN18" s="105">
        <f t="shared" si="11"/>
        <v>0.90158967859256989</v>
      </c>
      <c r="CO18" s="105">
        <f t="shared" si="11"/>
        <v>0.90158967859256989</v>
      </c>
      <c r="CP18" s="105">
        <f t="shared" si="11"/>
        <v>0.90158967859256989</v>
      </c>
      <c r="CQ18" s="105">
        <f t="shared" si="11"/>
        <v>0.90158967859256989</v>
      </c>
      <c r="CR18" s="105">
        <f t="shared" si="11"/>
        <v>0.94042632958374783</v>
      </c>
      <c r="CS18" s="105">
        <f t="shared" si="11"/>
        <v>0.94006817852634594</v>
      </c>
      <c r="CT18" s="105">
        <f t="shared" si="11"/>
        <v>0.94006817852634594</v>
      </c>
      <c r="CU18" s="105">
        <f t="shared" si="11"/>
        <v>0.94006817852634594</v>
      </c>
      <c r="CV18" s="105">
        <f t="shared" si="11"/>
        <v>0.84244307786045047</v>
      </c>
      <c r="CW18" s="105">
        <f t="shared" si="11"/>
        <v>0.84172677574564692</v>
      </c>
      <c r="CX18" s="105">
        <f t="shared" si="11"/>
        <v>0.84172677574564692</v>
      </c>
      <c r="CY18" s="105">
        <f t="shared" si="11"/>
        <v>0.84172677574564692</v>
      </c>
      <c r="CZ18" s="105">
        <f t="shared" si="11"/>
        <v>0.84172677574564692</v>
      </c>
      <c r="DA18" s="105">
        <f t="shared" si="11"/>
        <v>0.84172677574564692</v>
      </c>
      <c r="DB18" s="105">
        <f t="shared" si="11"/>
        <v>0.84172677574564692</v>
      </c>
      <c r="DC18" s="105">
        <f t="shared" si="11"/>
        <v>0.84172677574564692</v>
      </c>
      <c r="DD18" s="105">
        <f t="shared" si="11"/>
        <v>0.84172677574564692</v>
      </c>
      <c r="DE18" s="105">
        <f t="shared" si="11"/>
        <v>0.84172677574564692</v>
      </c>
      <c r="DF18" s="105">
        <f t="shared" si="11"/>
        <v>0.84172677574564692</v>
      </c>
      <c r="DG18" s="105">
        <f t="shared" si="11"/>
        <v>0.84172677574564692</v>
      </c>
      <c r="DH18" s="105">
        <f t="shared" si="11"/>
        <v>0.84172677574564692</v>
      </c>
      <c r="DI18" s="105">
        <f t="shared" si="11"/>
        <v>0.84172677574564692</v>
      </c>
      <c r="DJ18" s="105">
        <f t="shared" si="11"/>
        <v>0.84315937997525414</v>
      </c>
      <c r="DK18" s="105">
        <f t="shared" si="11"/>
        <v>0.84315937997525414</v>
      </c>
      <c r="DL18" s="105">
        <f t="shared" si="11"/>
        <v>0.84315937997525414</v>
      </c>
      <c r="DM18" s="105">
        <f t="shared" si="11"/>
        <v>0.84315937997525414</v>
      </c>
      <c r="DN18" s="105">
        <f t="shared" si="11"/>
        <v>0.84101047363084325</v>
      </c>
      <c r="DO18" s="105">
        <f t="shared" si="11"/>
        <v>0.84101047363084325</v>
      </c>
      <c r="DP18" s="105">
        <f t="shared" si="11"/>
        <v>0.84101047363084325</v>
      </c>
      <c r="DQ18" s="105">
        <f t="shared" si="11"/>
        <v>0.84101047363084325</v>
      </c>
      <c r="DR18" s="105">
        <f t="shared" si="11"/>
        <v>0.84101047363084325</v>
      </c>
      <c r="DS18" s="105">
        <f t="shared" si="11"/>
        <v>0.84351753103265592</v>
      </c>
      <c r="DT18" s="105">
        <f t="shared" si="11"/>
        <v>4.3548036253776436E-2</v>
      </c>
      <c r="DU18" s="105">
        <f t="shared" si="11"/>
        <v>4.3548036253776436E-2</v>
      </c>
      <c r="DV18" s="105">
        <f t="shared" si="11"/>
        <v>4.3548036253776436E-2</v>
      </c>
      <c r="DW18" s="105">
        <f t="shared" si="11"/>
        <v>4.3548036253776436E-2</v>
      </c>
      <c r="DX18" s="105">
        <f t="shared" si="11"/>
        <v>4.3548036253776436E-2</v>
      </c>
      <c r="DY18" s="105">
        <f t="shared" si="11"/>
        <v>4.3548036253776436E-2</v>
      </c>
      <c r="DZ18" s="105">
        <f t="shared" si="11"/>
        <v>4.3548036253776436E-2</v>
      </c>
      <c r="EA18" s="105">
        <f t="shared" si="11"/>
        <v>4.3548036253776436E-2</v>
      </c>
      <c r="EB18" s="105">
        <f t="shared" si="11"/>
        <v>4.3548036253776436E-2</v>
      </c>
      <c r="EC18" s="105">
        <f t="shared" si="11"/>
        <v>4.3548036253776436E-2</v>
      </c>
      <c r="ED18" s="105">
        <f t="shared" si="11"/>
        <v>4.3548036253776436E-2</v>
      </c>
      <c r="EE18" s="105">
        <f t="shared" si="11"/>
        <v>4.3548036253776436E-2</v>
      </c>
      <c r="EF18" s="105">
        <f t="shared" si="11"/>
        <v>4.3548036253776436E-2</v>
      </c>
      <c r="EG18" s="105">
        <f t="shared" si="11"/>
        <v>4.3548036253776436E-2</v>
      </c>
      <c r="EH18" s="105">
        <f t="shared" ref="EH18:FL18" si="12">SUM(EH13:EH14)</f>
        <v>4.3548036253776436E-2</v>
      </c>
      <c r="EI18" s="105">
        <f t="shared" si="12"/>
        <v>4.3548036253776436E-2</v>
      </c>
      <c r="EJ18" s="105">
        <f t="shared" si="12"/>
        <v>4.3548036253776436E-2</v>
      </c>
      <c r="EK18" s="105">
        <f t="shared" si="12"/>
        <v>4.3548036253776436E-2</v>
      </c>
      <c r="EL18" s="105">
        <f t="shared" si="12"/>
        <v>4.3548036253776436E-2</v>
      </c>
      <c r="EM18" s="105">
        <f t="shared" si="12"/>
        <v>4.3548036253776436E-2</v>
      </c>
      <c r="EN18" s="105">
        <f t="shared" si="12"/>
        <v>4.3548036253776436E-2</v>
      </c>
      <c r="EO18" s="105">
        <f t="shared" si="12"/>
        <v>4.3548036253776436E-2</v>
      </c>
      <c r="EP18" s="105">
        <f t="shared" si="12"/>
        <v>4.3548036253776436E-2</v>
      </c>
      <c r="EQ18" s="105">
        <f t="shared" si="12"/>
        <v>4.3548036253776436E-2</v>
      </c>
      <c r="ER18" s="105">
        <f t="shared" si="12"/>
        <v>4.3548036253776436E-2</v>
      </c>
      <c r="ES18" s="105">
        <f t="shared" si="12"/>
        <v>4.3548036253776436E-2</v>
      </c>
      <c r="ET18" s="105">
        <f t="shared" si="12"/>
        <v>4.3548036253776436E-2</v>
      </c>
      <c r="EU18" s="105">
        <f t="shared" si="12"/>
        <v>4.3548036253776436E-2</v>
      </c>
      <c r="EV18" s="105">
        <f t="shared" si="12"/>
        <v>4.3548036253776436E-2</v>
      </c>
      <c r="EW18" s="105">
        <f t="shared" si="12"/>
        <v>4.3548036253776436E-2</v>
      </c>
      <c r="EX18" s="105">
        <f t="shared" si="12"/>
        <v>4.3548036253776436E-2</v>
      </c>
      <c r="EY18" s="105">
        <f t="shared" si="12"/>
        <v>4.3548036253776436E-2</v>
      </c>
      <c r="EZ18" s="105">
        <f t="shared" si="12"/>
        <v>4.3548036253776436E-2</v>
      </c>
      <c r="FA18" s="105">
        <f t="shared" si="12"/>
        <v>4.3548036253776436E-2</v>
      </c>
      <c r="FB18" s="105">
        <f t="shared" si="12"/>
        <v>4.3548036253776436E-2</v>
      </c>
      <c r="FC18" s="105">
        <f t="shared" si="12"/>
        <v>4.3548036253776436E-2</v>
      </c>
      <c r="FD18" s="105">
        <f t="shared" si="12"/>
        <v>4.3548036253776436E-2</v>
      </c>
      <c r="FE18" s="105">
        <f t="shared" si="12"/>
        <v>4.3548036253776436E-2</v>
      </c>
      <c r="FF18" s="105">
        <f t="shared" si="12"/>
        <v>4.3548036253776436E-2</v>
      </c>
      <c r="FG18" s="105">
        <f t="shared" si="12"/>
        <v>4.3548036253776436E-2</v>
      </c>
      <c r="FH18" s="105">
        <f t="shared" si="12"/>
        <v>4.3548036253776436E-2</v>
      </c>
      <c r="FI18" s="105">
        <f t="shared" si="12"/>
        <v>4.3548036253776436E-2</v>
      </c>
      <c r="FJ18" s="105">
        <f t="shared" si="12"/>
        <v>4.3548036253776436E-2</v>
      </c>
      <c r="FK18" s="105">
        <f t="shared" si="12"/>
        <v>0</v>
      </c>
      <c r="FL18" s="105">
        <f t="shared" si="12"/>
        <v>0</v>
      </c>
    </row>
    <row r="19" spans="1:168" s="104" customFormat="1">
      <c r="H19" s="60"/>
      <c r="I19" s="105"/>
      <c r="J19" s="105"/>
      <c r="K19" s="105"/>
      <c r="L19" s="105"/>
      <c r="M19" s="105"/>
      <c r="N19" s="105"/>
      <c r="O19" s="105"/>
      <c r="P19" s="105"/>
      <c r="Q19" s="105"/>
      <c r="R19" s="105"/>
      <c r="S19" s="105"/>
      <c r="T19" s="105"/>
      <c r="U19" s="105"/>
      <c r="V19" s="105"/>
      <c r="W19" s="105"/>
      <c r="X19" s="105"/>
      <c r="Y19" s="105"/>
      <c r="Z19" s="105"/>
      <c r="AA19" s="105"/>
      <c r="AB19" s="105"/>
      <c r="AC19" s="105"/>
      <c r="AD19" s="105"/>
      <c r="AE19" s="105"/>
      <c r="AF19" s="105"/>
      <c r="AG19" s="105"/>
      <c r="AH19" s="105"/>
      <c r="AI19" s="105"/>
      <c r="AJ19" s="105"/>
      <c r="AK19" s="105"/>
      <c r="AL19" s="105"/>
      <c r="AM19" s="105"/>
      <c r="AN19" s="105"/>
      <c r="AO19" s="105"/>
      <c r="AP19" s="105"/>
      <c r="AQ19" s="105"/>
      <c r="AR19" s="105"/>
      <c r="AS19" s="105"/>
      <c r="AT19" s="105"/>
      <c r="AU19" s="105"/>
      <c r="AV19" s="105"/>
      <c r="AW19" s="105"/>
      <c r="AX19" s="105"/>
      <c r="AY19" s="105"/>
      <c r="AZ19" s="105"/>
      <c r="BA19" s="105"/>
      <c r="BB19" s="105"/>
      <c r="BC19" s="105"/>
      <c r="BD19" s="105"/>
      <c r="BE19" s="105"/>
      <c r="BF19" s="105"/>
      <c r="BG19" s="105"/>
      <c r="BH19" s="105"/>
      <c r="BI19" s="105"/>
      <c r="BJ19" s="105"/>
      <c r="BK19" s="105"/>
      <c r="BL19" s="105"/>
      <c r="BM19" s="105"/>
      <c r="BN19" s="105"/>
      <c r="BO19" s="105"/>
      <c r="BP19" s="105"/>
      <c r="BQ19" s="105"/>
      <c r="BR19" s="105"/>
      <c r="BS19" s="105"/>
      <c r="BT19" s="105"/>
      <c r="BU19" s="105"/>
      <c r="BV19" s="105"/>
      <c r="BW19" s="105"/>
      <c r="BX19" s="105"/>
      <c r="BY19" s="105"/>
      <c r="BZ19" s="105"/>
      <c r="CA19" s="105"/>
      <c r="CB19" s="105"/>
      <c r="CC19" s="105"/>
      <c r="CD19" s="105"/>
      <c r="CE19" s="105"/>
      <c r="CF19" s="105"/>
      <c r="CG19" s="105"/>
      <c r="CH19" s="105"/>
      <c r="CI19" s="105"/>
      <c r="CJ19" s="105"/>
      <c r="CK19" s="105"/>
      <c r="CL19" s="105"/>
      <c r="CM19" s="105"/>
      <c r="CN19" s="105"/>
      <c r="CO19" s="105"/>
      <c r="CP19" s="105"/>
      <c r="CQ19" s="105"/>
      <c r="CR19" s="105"/>
    </row>
    <row r="20" spans="1:168" ht="13">
      <c r="A20" s="331" t="s">
        <v>831</v>
      </c>
      <c r="H20" s="60" t="s">
        <v>429</v>
      </c>
      <c r="I20" s="74"/>
      <c r="J20" s="74"/>
      <c r="K20" s="74"/>
      <c r="L20" s="74"/>
      <c r="M20" s="74"/>
      <c r="N20" s="74">
        <f>1-4/72</f>
        <v>0.94444444444444442</v>
      </c>
      <c r="O20" s="74"/>
      <c r="P20" s="74"/>
      <c r="Q20" s="74"/>
      <c r="R20" s="74"/>
      <c r="S20" s="74"/>
      <c r="T20" s="74"/>
      <c r="U20" s="74"/>
      <c r="V20" s="74"/>
      <c r="W20" s="74"/>
      <c r="X20" s="74">
        <f>125/74</f>
        <v>1.6891891891891893</v>
      </c>
      <c r="Y20" s="74"/>
      <c r="Z20" s="74"/>
      <c r="AA20" s="74"/>
      <c r="AB20" s="74"/>
      <c r="AC20" s="74"/>
      <c r="AD20" s="74"/>
      <c r="AE20" s="74"/>
      <c r="AF20" s="74"/>
      <c r="AG20" s="74"/>
      <c r="AH20" s="74"/>
      <c r="AI20" s="74"/>
      <c r="AK20" s="74"/>
      <c r="AL20" s="74"/>
      <c r="AM20" s="74"/>
      <c r="AN20" s="74"/>
      <c r="AO20" s="74"/>
      <c r="AP20" s="74"/>
      <c r="AQ20" s="74"/>
      <c r="AR20" s="74"/>
      <c r="AS20" s="74"/>
      <c r="AT20" s="74"/>
      <c r="AU20" s="74"/>
      <c r="AV20" s="74"/>
      <c r="AW20" s="74">
        <f>135/77</f>
        <v>1.7532467532467533</v>
      </c>
      <c r="AX20" s="74">
        <f>135/77</f>
        <v>1.7532467532467533</v>
      </c>
      <c r="AY20" s="74">
        <v>0.98</v>
      </c>
      <c r="AZ20" s="74"/>
      <c r="BA20" s="74"/>
      <c r="BB20" s="74"/>
      <c r="BC20" s="74">
        <v>1.3</v>
      </c>
      <c r="BD20" s="74"/>
      <c r="BE20" s="74"/>
      <c r="BF20" s="74"/>
      <c r="BG20" s="74"/>
      <c r="BH20" s="74"/>
      <c r="BI20" s="74"/>
      <c r="BJ20" s="74"/>
      <c r="BK20" s="74"/>
      <c r="BL20" s="74"/>
      <c r="BM20" s="74"/>
      <c r="BN20" s="74"/>
      <c r="BO20" s="74">
        <v>1.45</v>
      </c>
      <c r="BP20" s="74"/>
      <c r="BQ20" s="74"/>
      <c r="BR20" s="74"/>
      <c r="BS20" s="74"/>
      <c r="BT20" s="74"/>
      <c r="BU20" s="74"/>
      <c r="BV20" s="74"/>
      <c r="BW20" s="74"/>
      <c r="BX20" s="74"/>
      <c r="BY20" s="74"/>
      <c r="BZ20" s="74"/>
      <c r="CA20" s="74"/>
      <c r="CB20" s="74">
        <v>1.32</v>
      </c>
      <c r="CC20" s="74"/>
      <c r="CD20" s="74"/>
      <c r="CE20" s="74"/>
      <c r="CF20" s="74"/>
      <c r="CG20" s="74"/>
      <c r="CH20" s="74"/>
      <c r="CI20" s="74"/>
      <c r="CJ20" s="74"/>
      <c r="CK20" s="74"/>
      <c r="CL20" s="74"/>
      <c r="CM20" s="74">
        <v>1.38</v>
      </c>
      <c r="CN20" s="74"/>
      <c r="CO20" s="74"/>
      <c r="CP20" s="74"/>
      <c r="CQ20" s="74"/>
      <c r="CR20" s="74"/>
      <c r="CV20" s="74">
        <v>1.31</v>
      </c>
      <c r="DE20" s="60">
        <v>1.125</v>
      </c>
      <c r="DK20" s="60">
        <v>1.1599999999999999</v>
      </c>
    </row>
    <row r="21" spans="1:168">
      <c r="H21" s="60" t="s">
        <v>406</v>
      </c>
      <c r="I21" s="74"/>
      <c r="J21" s="74"/>
      <c r="K21" s="74"/>
      <c r="L21" s="74"/>
      <c r="M21" s="74"/>
      <c r="N21" s="74">
        <f>N20-N18</f>
        <v>0.27805332541675032</v>
      </c>
      <c r="O21" s="74"/>
      <c r="P21" s="74"/>
      <c r="Q21" s="74"/>
      <c r="R21" s="74"/>
      <c r="S21" s="74"/>
      <c r="T21" s="74"/>
      <c r="U21" s="74"/>
      <c r="V21" s="74"/>
      <c r="W21" s="74"/>
      <c r="X21" s="74">
        <f>X20-X18</f>
        <v>0.92516899659510476</v>
      </c>
      <c r="Y21" s="74"/>
      <c r="Z21" s="74"/>
      <c r="AA21" s="74"/>
      <c r="AB21" s="74"/>
      <c r="AC21" s="74"/>
      <c r="AD21" s="74"/>
      <c r="AE21" s="74"/>
      <c r="AF21" s="74"/>
      <c r="AG21" s="74"/>
      <c r="AH21" s="74"/>
      <c r="AI21" s="74"/>
      <c r="AK21" s="74"/>
      <c r="AL21" s="74"/>
      <c r="AM21" s="74"/>
      <c r="AN21" s="74"/>
      <c r="AO21" s="74"/>
      <c r="AP21" s="74"/>
      <c r="AQ21" s="74"/>
      <c r="AR21" s="74"/>
      <c r="AS21" s="74"/>
      <c r="AT21" s="74"/>
      <c r="AU21" s="74"/>
      <c r="AV21" s="74"/>
      <c r="AW21" s="74">
        <f>AW20-AW18</f>
        <v>0.18684394979999008</v>
      </c>
      <c r="AX21" s="74">
        <f>AX20-AX18</f>
        <v>0.71241665283536415</v>
      </c>
      <c r="AY21" s="74">
        <f>AY20-AY18</f>
        <v>4.9531073107113022E-3</v>
      </c>
      <c r="AZ21" s="74"/>
      <c r="BA21" s="74"/>
      <c r="BB21" s="74"/>
      <c r="BC21" s="74">
        <f>BC20-BC18</f>
        <v>5.1212048088219442E-2</v>
      </c>
      <c r="BD21" s="74"/>
      <c r="BE21" s="74"/>
      <c r="BF21" s="74"/>
      <c r="BG21" s="74"/>
      <c r="BH21" s="74"/>
      <c r="BI21" s="74"/>
      <c r="BJ21" s="74"/>
      <c r="BK21" s="74"/>
      <c r="BL21" s="74"/>
      <c r="BM21" s="74"/>
      <c r="BN21" s="74"/>
      <c r="BO21" s="74">
        <f>BO20-BO18</f>
        <v>0.51611084853228684</v>
      </c>
      <c r="BP21" s="74"/>
      <c r="BQ21" s="74"/>
      <c r="BR21" s="74"/>
      <c r="BS21" s="74"/>
      <c r="BT21" s="74"/>
      <c r="BU21" s="74"/>
      <c r="BV21" s="74"/>
      <c r="BW21" s="74"/>
      <c r="BX21" s="74"/>
      <c r="BY21" s="74"/>
      <c r="BZ21" s="74"/>
      <c r="CA21" s="74"/>
      <c r="CB21" s="74">
        <f>CB20-CB18</f>
        <v>0.46909795264869203</v>
      </c>
      <c r="CC21" s="74"/>
      <c r="CD21" s="74"/>
      <c r="CE21" s="74"/>
      <c r="CF21" s="74"/>
      <c r="CG21" s="74"/>
      <c r="CH21" s="74"/>
      <c r="CI21" s="74"/>
      <c r="CJ21" s="74"/>
      <c r="CK21" s="74"/>
      <c r="CL21" s="74"/>
      <c r="CM21" s="74">
        <f>CM20-CM18</f>
        <v>0.47841032140743001</v>
      </c>
      <c r="CN21" s="74"/>
      <c r="CO21" s="74"/>
      <c r="CP21" s="74"/>
      <c r="CQ21" s="74"/>
      <c r="CR21" s="74"/>
      <c r="CV21" s="74">
        <f>CV20-CV18</f>
        <v>0.46755692213954958</v>
      </c>
      <c r="DE21" s="65">
        <f>DE20-DE18</f>
        <v>0.28327322425435308</v>
      </c>
      <c r="DK21" s="65">
        <f>DK20-DK18</f>
        <v>0.31684062002474578</v>
      </c>
    </row>
    <row r="23" spans="1:168" ht="13" thickBot="1"/>
    <row r="24" spans="1:168" s="73" customFormat="1" ht="13" thickBot="1">
      <c r="H24" s="257" t="s">
        <v>800</v>
      </c>
      <c r="I24" s="258">
        <f>0.04+I18</f>
        <v>0.767662079581787</v>
      </c>
      <c r="J24" s="258">
        <f t="shared" ref="J24:BU24" si="13">0.04+J18</f>
        <v>0.7694374773378897</v>
      </c>
      <c r="K24" s="258">
        <f t="shared" si="13"/>
        <v>0.75033221025865471</v>
      </c>
      <c r="L24" s="258">
        <f t="shared" si="13"/>
        <v>0.72644320167837084</v>
      </c>
      <c r="M24" s="258">
        <f t="shared" si="13"/>
        <v>0.7509964693518425</v>
      </c>
      <c r="N24" s="258">
        <f t="shared" si="13"/>
        <v>0.70639111902769414</v>
      </c>
      <c r="O24" s="258">
        <f t="shared" si="13"/>
        <v>0.7146437617101784</v>
      </c>
      <c r="P24" s="258">
        <f t="shared" si="13"/>
        <v>0.70523533365245916</v>
      </c>
      <c r="Q24" s="258">
        <f t="shared" si="13"/>
        <v>0.73216869099229998</v>
      </c>
      <c r="R24" s="258">
        <f t="shared" si="13"/>
        <v>0.74754858895778387</v>
      </c>
      <c r="S24" s="258">
        <f t="shared" si="13"/>
        <v>0.73891341161744284</v>
      </c>
      <c r="T24" s="258">
        <f t="shared" si="13"/>
        <v>0.73188770665870306</v>
      </c>
      <c r="U24" s="258">
        <f t="shared" si="13"/>
        <v>0.78267140268710067</v>
      </c>
      <c r="V24" s="258">
        <f t="shared" si="13"/>
        <v>0.79159808562398914</v>
      </c>
      <c r="W24" s="258">
        <f t="shared" si="13"/>
        <v>0.80014496108143685</v>
      </c>
      <c r="X24" s="258">
        <f>0.04+X18</f>
        <v>0.80402019259408453</v>
      </c>
      <c r="Y24" s="258">
        <f t="shared" si="13"/>
        <v>0.80454073019937677</v>
      </c>
      <c r="Z24" s="258">
        <f t="shared" si="13"/>
        <v>0.77042971638780289</v>
      </c>
      <c r="AA24" s="258">
        <f t="shared" si="13"/>
        <v>0.79562946257926415</v>
      </c>
      <c r="AB24" s="258">
        <f t="shared" si="13"/>
        <v>0.75254565702227771</v>
      </c>
      <c r="AC24" s="258">
        <f t="shared" si="13"/>
        <v>0.88847878862522778</v>
      </c>
      <c r="AD24" s="258">
        <f t="shared" si="13"/>
        <v>1.6194282290119169</v>
      </c>
      <c r="AE24" s="258">
        <f t="shared" si="13"/>
        <v>2.1451874849880128</v>
      </c>
      <c r="AF24" s="258">
        <f t="shared" si="13"/>
        <v>1.9094897118718681</v>
      </c>
      <c r="AG24" s="258">
        <f t="shared" si="13"/>
        <v>1.7769088030455882</v>
      </c>
      <c r="AH24" s="258">
        <f t="shared" si="13"/>
        <v>1.8677622674607051</v>
      </c>
      <c r="AI24" s="258">
        <f t="shared" si="13"/>
        <v>1.7156174272990632</v>
      </c>
      <c r="AJ24" s="258">
        <f t="shared" si="13"/>
        <v>1.6872701678967963</v>
      </c>
      <c r="AK24" s="258">
        <f t="shared" si="13"/>
        <v>1.8230630237452818</v>
      </c>
      <c r="AL24" s="258">
        <f t="shared" si="13"/>
        <v>1.8881960012541121</v>
      </c>
      <c r="AM24" s="258">
        <f t="shared" si="13"/>
        <v>1.9093956766658917</v>
      </c>
      <c r="AN24" s="258">
        <f t="shared" si="13"/>
        <v>1.9174890995954061</v>
      </c>
      <c r="AO24" s="258">
        <f t="shared" si="13"/>
        <v>1.5023782428648143</v>
      </c>
      <c r="AP24" s="258">
        <f t="shared" si="13"/>
        <v>1.4816204698928743</v>
      </c>
      <c r="AQ24" s="258">
        <f t="shared" si="13"/>
        <v>1.4125811435000126</v>
      </c>
      <c r="AR24" s="258">
        <f t="shared" si="13"/>
        <v>1.4221196177824791</v>
      </c>
      <c r="AS24" s="258">
        <f t="shared" si="13"/>
        <v>1.2890329821051185</v>
      </c>
      <c r="AT24" s="258">
        <f t="shared" si="13"/>
        <v>1.1897757269824947</v>
      </c>
      <c r="AU24" s="258">
        <f t="shared" si="13"/>
        <v>1.2549864989062287</v>
      </c>
      <c r="AV24" s="258">
        <f t="shared" si="13"/>
        <v>1.1079413534771549</v>
      </c>
      <c r="AW24" s="258">
        <f t="shared" si="13"/>
        <v>1.6064028034467632</v>
      </c>
      <c r="AX24" s="258">
        <f t="shared" si="13"/>
        <v>1.0808301004113892</v>
      </c>
      <c r="AY24" s="258">
        <f>0.04+AY18</f>
        <v>1.0150468926892886</v>
      </c>
      <c r="AZ24" s="258">
        <f>0.04+AZ18</f>
        <v>1.0136142884596815</v>
      </c>
      <c r="BA24" s="258">
        <f t="shared" si="13"/>
        <v>1.0136142884596815</v>
      </c>
      <c r="BB24" s="258">
        <f t="shared" si="13"/>
        <v>1.0136142884596815</v>
      </c>
      <c r="BC24" s="258">
        <f t="shared" si="13"/>
        <v>1.2887879519117806</v>
      </c>
      <c r="BD24" s="258">
        <f t="shared" si="13"/>
        <v>1.2916531603709951</v>
      </c>
      <c r="BE24" s="258">
        <f>0.04+BE18</f>
        <v>1.2916531603709951</v>
      </c>
      <c r="BF24" s="258">
        <f t="shared" si="13"/>
        <v>1.2916531603709951</v>
      </c>
      <c r="BG24" s="258">
        <f t="shared" si="13"/>
        <v>1.131007105431828</v>
      </c>
      <c r="BH24" s="258">
        <f t="shared" si="13"/>
        <v>1.131007105431828</v>
      </c>
      <c r="BI24" s="258">
        <f t="shared" si="13"/>
        <v>1.1338723138910427</v>
      </c>
      <c r="BJ24" s="258">
        <f t="shared" si="13"/>
        <v>1.1338723138910427</v>
      </c>
      <c r="BK24" s="258">
        <f t="shared" si="13"/>
        <v>1.0380554513977143</v>
      </c>
      <c r="BL24" s="258">
        <f t="shared" si="13"/>
        <v>1.0380554513977143</v>
      </c>
      <c r="BM24" s="258">
        <f t="shared" si="13"/>
        <v>1.0380554513977143</v>
      </c>
      <c r="BN24" s="258">
        <f t="shared" si="13"/>
        <v>1.0380554513977143</v>
      </c>
      <c r="BO24" s="258">
        <f t="shared" si="13"/>
        <v>0.97388915146771315</v>
      </c>
      <c r="BP24" s="258">
        <f t="shared" si="13"/>
        <v>0.97174024512330226</v>
      </c>
      <c r="BQ24" s="258">
        <f t="shared" si="13"/>
        <v>0.97174024512330226</v>
      </c>
      <c r="BR24" s="258">
        <f t="shared" si="13"/>
        <v>0.97174024512330226</v>
      </c>
      <c r="BS24" s="258">
        <f t="shared" si="13"/>
        <v>1.0266306784506718</v>
      </c>
      <c r="BT24" s="258">
        <f t="shared" si="13"/>
        <v>1.0294958869098862</v>
      </c>
      <c r="BU24" s="258">
        <f t="shared" si="13"/>
        <v>1.0294958869098862</v>
      </c>
      <c r="BV24" s="258">
        <f t="shared" ref="BV24:EG24" si="14">0.04+BV18</f>
        <v>1.0294958869098862</v>
      </c>
      <c r="BW24" s="258">
        <f t="shared" si="14"/>
        <v>0.92357539859738458</v>
      </c>
      <c r="BX24" s="258">
        <f t="shared" si="14"/>
        <v>0.92357539859738458</v>
      </c>
      <c r="BY24" s="258">
        <f t="shared" si="14"/>
        <v>0.92357539859738458</v>
      </c>
      <c r="BZ24" s="258">
        <f t="shared" si="14"/>
        <v>0.9250080028269918</v>
      </c>
      <c r="CA24" s="258">
        <f t="shared" si="14"/>
        <v>0.89090204735130807</v>
      </c>
      <c r="CB24" s="258">
        <f t="shared" si="14"/>
        <v>0.89090204735130807</v>
      </c>
      <c r="CC24" s="258">
        <f t="shared" si="14"/>
        <v>0.89090204735130807</v>
      </c>
      <c r="CD24" s="258">
        <f t="shared" si="14"/>
        <v>0.89090204735130807</v>
      </c>
      <c r="CE24" s="258">
        <f t="shared" si="14"/>
        <v>0.96623194112618194</v>
      </c>
      <c r="CF24" s="258">
        <f t="shared" si="14"/>
        <v>0.96623194112618194</v>
      </c>
      <c r="CG24" s="258">
        <f t="shared" si="14"/>
        <v>0.96730639429838738</v>
      </c>
      <c r="CH24" s="258">
        <f t="shared" si="14"/>
        <v>0.96730639429838738</v>
      </c>
      <c r="CI24" s="258">
        <f t="shared" si="14"/>
        <v>1.1202149775432029</v>
      </c>
      <c r="CJ24" s="258">
        <f t="shared" si="14"/>
        <v>1.1202149775432029</v>
      </c>
      <c r="CK24" s="258">
        <f t="shared" si="14"/>
        <v>1.1202149775432029</v>
      </c>
      <c r="CL24" s="258">
        <f t="shared" si="14"/>
        <v>1.1202149775432029</v>
      </c>
      <c r="CM24" s="258">
        <f t="shared" si="14"/>
        <v>0.94158967859256992</v>
      </c>
      <c r="CN24" s="258">
        <f t="shared" si="14"/>
        <v>0.94158967859256992</v>
      </c>
      <c r="CO24" s="258">
        <f t="shared" si="14"/>
        <v>0.94158967859256992</v>
      </c>
      <c r="CP24" s="258">
        <f t="shared" si="14"/>
        <v>0.94158967859256992</v>
      </c>
      <c r="CQ24" s="258">
        <f t="shared" si="14"/>
        <v>0.94158967859256992</v>
      </c>
      <c r="CR24" s="258">
        <f t="shared" si="14"/>
        <v>0.98042632958374787</v>
      </c>
      <c r="CS24" s="258">
        <f t="shared" si="14"/>
        <v>0.98006817852634598</v>
      </c>
      <c r="CT24" s="258">
        <f t="shared" si="14"/>
        <v>0.98006817852634598</v>
      </c>
      <c r="CU24" s="258">
        <f t="shared" si="14"/>
        <v>0.98006817852634598</v>
      </c>
      <c r="CV24" s="258">
        <f t="shared" si="14"/>
        <v>0.88244307786045051</v>
      </c>
      <c r="CW24" s="258">
        <f t="shared" si="14"/>
        <v>0.88172677574564695</v>
      </c>
      <c r="CX24" s="258">
        <f t="shared" si="14"/>
        <v>0.88172677574564695</v>
      </c>
      <c r="CY24" s="258">
        <f t="shared" si="14"/>
        <v>0.88172677574564695</v>
      </c>
      <c r="CZ24" s="258">
        <f t="shared" si="14"/>
        <v>0.88172677574564695</v>
      </c>
      <c r="DA24" s="258">
        <f t="shared" si="14"/>
        <v>0.88172677574564695</v>
      </c>
      <c r="DB24" s="258">
        <f t="shared" si="14"/>
        <v>0.88172677574564695</v>
      </c>
      <c r="DC24" s="258">
        <f t="shared" si="14"/>
        <v>0.88172677574564695</v>
      </c>
      <c r="DD24" s="258">
        <f t="shared" si="14"/>
        <v>0.88172677574564695</v>
      </c>
      <c r="DE24" s="258">
        <f t="shared" si="14"/>
        <v>0.88172677574564695</v>
      </c>
      <c r="DF24" s="258">
        <f t="shared" si="14"/>
        <v>0.88172677574564695</v>
      </c>
      <c r="DG24" s="258">
        <f t="shared" si="14"/>
        <v>0.88172677574564695</v>
      </c>
      <c r="DH24" s="258">
        <f t="shared" si="14"/>
        <v>0.88172677574564695</v>
      </c>
      <c r="DI24" s="258">
        <f t="shared" si="14"/>
        <v>0.88172677574564695</v>
      </c>
      <c r="DJ24" s="258">
        <f t="shared" si="14"/>
        <v>0.88315937997525418</v>
      </c>
      <c r="DK24" s="258">
        <f t="shared" si="14"/>
        <v>0.88315937997525418</v>
      </c>
      <c r="DL24" s="258">
        <f t="shared" si="14"/>
        <v>0.88315937997525418</v>
      </c>
      <c r="DM24" s="258">
        <f t="shared" si="14"/>
        <v>0.88315937997525418</v>
      </c>
      <c r="DN24" s="258">
        <f t="shared" si="14"/>
        <v>0.88101047363084328</v>
      </c>
      <c r="DO24" s="258">
        <f t="shared" si="14"/>
        <v>0.88101047363084328</v>
      </c>
      <c r="DP24" s="258">
        <f t="shared" si="14"/>
        <v>0.88101047363084328</v>
      </c>
      <c r="DQ24" s="258">
        <f t="shared" si="14"/>
        <v>0.88101047363084328</v>
      </c>
      <c r="DR24" s="258">
        <f t="shared" si="14"/>
        <v>0.88101047363084328</v>
      </c>
      <c r="DS24" s="258">
        <f t="shared" si="14"/>
        <v>0.88351753103265596</v>
      </c>
      <c r="DT24" s="258">
        <f t="shared" si="14"/>
        <v>8.3548036253776436E-2</v>
      </c>
      <c r="DU24" s="258">
        <f t="shared" si="14"/>
        <v>8.3548036253776436E-2</v>
      </c>
      <c r="DV24" s="258">
        <f t="shared" si="14"/>
        <v>8.3548036253776436E-2</v>
      </c>
      <c r="DW24" s="258">
        <f t="shared" si="14"/>
        <v>8.3548036253776436E-2</v>
      </c>
      <c r="DX24" s="258">
        <f t="shared" si="14"/>
        <v>8.3548036253776436E-2</v>
      </c>
      <c r="DY24" s="258">
        <f t="shared" si="14"/>
        <v>8.3548036253776436E-2</v>
      </c>
      <c r="DZ24" s="258">
        <f t="shared" si="14"/>
        <v>8.3548036253776436E-2</v>
      </c>
      <c r="EA24" s="258">
        <f t="shared" si="14"/>
        <v>8.3548036253776436E-2</v>
      </c>
      <c r="EB24" s="258">
        <f t="shared" si="14"/>
        <v>8.3548036253776436E-2</v>
      </c>
      <c r="EC24" s="258">
        <f t="shared" si="14"/>
        <v>8.3548036253776436E-2</v>
      </c>
      <c r="ED24" s="258">
        <f t="shared" si="14"/>
        <v>8.3548036253776436E-2</v>
      </c>
      <c r="EE24" s="258">
        <f t="shared" si="14"/>
        <v>8.3548036253776436E-2</v>
      </c>
      <c r="EF24" s="258">
        <f t="shared" si="14"/>
        <v>8.3548036253776436E-2</v>
      </c>
      <c r="EG24" s="258">
        <f t="shared" si="14"/>
        <v>8.3548036253776436E-2</v>
      </c>
      <c r="EH24" s="258">
        <f t="shared" ref="EH24:ES24" si="15">0.04+EH18</f>
        <v>8.3548036253776436E-2</v>
      </c>
      <c r="EI24" s="258">
        <f t="shared" si="15"/>
        <v>8.3548036253776436E-2</v>
      </c>
      <c r="EJ24" s="258">
        <f t="shared" si="15"/>
        <v>8.3548036253776436E-2</v>
      </c>
      <c r="EK24" s="258">
        <f t="shared" si="15"/>
        <v>8.3548036253776436E-2</v>
      </c>
      <c r="EL24" s="258">
        <f t="shared" si="15"/>
        <v>8.3548036253776436E-2</v>
      </c>
      <c r="EM24" s="258">
        <f t="shared" si="15"/>
        <v>8.3548036253776436E-2</v>
      </c>
      <c r="EN24" s="258">
        <f t="shared" si="15"/>
        <v>8.3548036253776436E-2</v>
      </c>
      <c r="EO24" s="258">
        <f t="shared" si="15"/>
        <v>8.3548036253776436E-2</v>
      </c>
      <c r="EP24" s="258">
        <f t="shared" si="15"/>
        <v>8.3548036253776436E-2</v>
      </c>
      <c r="EQ24" s="258">
        <f t="shared" si="15"/>
        <v>8.3548036253776436E-2</v>
      </c>
      <c r="ER24" s="258">
        <f t="shared" si="15"/>
        <v>8.3548036253776436E-2</v>
      </c>
      <c r="ES24" s="258">
        <f t="shared" si="15"/>
        <v>8.3548036253776436E-2</v>
      </c>
    </row>
  </sheetData>
  <pageMargins left="0.7" right="0.7" top="0.75" bottom="0.75" header="0.3" footer="0.3"/>
  <drawing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ES24"/>
  <sheetViews>
    <sheetView workbookViewId="0">
      <pane xSplit="11" ySplit="7" topLeftCell="BC14" activePane="bottomRight" state="frozen"/>
      <selection pane="topRight" activeCell="L1" sqref="L1"/>
      <selection pane="bottomLeft" activeCell="A7" sqref="A7"/>
      <selection pane="bottomRight" activeCell="BJ25" sqref="BJ25"/>
    </sheetView>
  </sheetViews>
  <sheetFormatPr baseColWidth="10" defaultColWidth="22.6640625" defaultRowHeight="12"/>
  <cols>
    <col min="1" max="1" width="16.1640625" style="60" bestFit="1" customWidth="1"/>
    <col min="2" max="2" width="12.5" style="60" bestFit="1" customWidth="1"/>
    <col min="3" max="3" width="4.83203125" style="60" bestFit="1" customWidth="1"/>
    <col min="4" max="4" width="12.33203125" style="60" bestFit="1" customWidth="1"/>
    <col min="5" max="5" width="18.83203125" style="60" bestFit="1" customWidth="1"/>
    <col min="6" max="6" width="6.5" style="60" bestFit="1" customWidth="1"/>
    <col min="7" max="7" width="4.1640625" style="60" bestFit="1" customWidth="1"/>
    <col min="8" max="8" width="22.83203125" style="60" bestFit="1" customWidth="1"/>
    <col min="9" max="9" width="6.5" style="60" customWidth="1"/>
    <col min="10" max="11" width="6.1640625" style="60" bestFit="1" customWidth="1"/>
    <col min="12" max="12" width="5.5" style="60" bestFit="1" customWidth="1"/>
    <col min="13" max="13" width="5.83203125" style="60" bestFit="1" customWidth="1"/>
    <col min="14" max="18" width="5.5" style="60" bestFit="1" customWidth="1"/>
    <col min="19" max="19" width="5.6640625" style="60" bestFit="1" customWidth="1"/>
    <col min="20" max="20" width="6.1640625" style="60" bestFit="1" customWidth="1"/>
    <col min="21" max="21" width="5.5" style="60" bestFit="1" customWidth="1"/>
    <col min="22" max="26" width="6.1640625" style="60" bestFit="1" customWidth="1"/>
    <col min="27" max="30" width="5.5" style="60" bestFit="1" customWidth="1"/>
    <col min="31" max="31" width="5.6640625" style="60" bestFit="1" customWidth="1"/>
    <col min="32" max="34" width="5.5" style="60" bestFit="1" customWidth="1"/>
    <col min="35" max="35" width="5.6640625" style="60" bestFit="1" customWidth="1"/>
    <col min="36" max="36" width="5.5" style="60" bestFit="1" customWidth="1"/>
    <col min="37" max="37" width="5.83203125" style="60" bestFit="1" customWidth="1"/>
    <col min="38" max="42" width="5.5" style="60" bestFit="1" customWidth="1"/>
    <col min="43" max="43" width="5.6640625" style="60" bestFit="1" customWidth="1"/>
    <col min="44" max="46" width="5.5" style="60" bestFit="1" customWidth="1"/>
    <col min="47" max="47" width="5.6640625" style="60" bestFit="1" customWidth="1"/>
    <col min="48" max="48" width="5.5" style="60" bestFit="1" customWidth="1"/>
    <col min="49" max="49" width="5.83203125" style="60" bestFit="1" customWidth="1"/>
    <col min="50" max="51" width="5.5" style="60" bestFit="1" customWidth="1"/>
    <col min="52" max="54" width="7" style="60" bestFit="1" customWidth="1"/>
    <col min="55" max="56" width="5.5" style="60" bestFit="1" customWidth="1"/>
    <col min="57" max="58" width="5.83203125" style="60" bestFit="1" customWidth="1"/>
    <col min="59" max="70" width="5.6640625" style="60" bestFit="1" customWidth="1"/>
    <col min="71" max="80" width="5.5" style="60" bestFit="1" customWidth="1"/>
    <col min="81" max="90" width="6.1640625" style="60" bestFit="1" customWidth="1"/>
    <col min="91" max="95" width="6.33203125" style="60" bestFit="1" customWidth="1"/>
    <col min="96" max="99" width="6.1640625" style="60" bestFit="1" customWidth="1"/>
    <col min="100" max="104" width="5.1640625" style="60" bestFit="1" customWidth="1"/>
    <col min="105" max="16384" width="22.6640625" style="60"/>
  </cols>
  <sheetData>
    <row r="1" spans="1:149" ht="13">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c r="EM1" s="99">
        <v>141</v>
      </c>
      <c r="EN1" s="99">
        <v>142</v>
      </c>
      <c r="EO1" s="99">
        <v>143</v>
      </c>
      <c r="EP1" s="99">
        <v>144</v>
      </c>
      <c r="EQ1" s="99">
        <v>145</v>
      </c>
      <c r="ER1" s="99">
        <v>146</v>
      </c>
      <c r="ES1" s="99">
        <v>147</v>
      </c>
    </row>
    <row r="2" spans="1:149">
      <c r="A2" s="59"/>
      <c r="B2" s="59"/>
      <c r="C2" s="59"/>
      <c r="D2" s="98"/>
      <c r="E2" s="98"/>
      <c r="F2" s="59"/>
      <c r="H2" s="99"/>
      <c r="I2" s="99"/>
      <c r="J2" s="99"/>
      <c r="K2" s="99"/>
      <c r="L2" s="99"/>
      <c r="M2" s="99"/>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99"/>
      <c r="AP2" s="99"/>
      <c r="AQ2" s="99"/>
      <c r="AR2" s="99"/>
      <c r="AS2" s="99"/>
      <c r="AT2" s="99"/>
      <c r="AU2" s="99"/>
      <c r="AV2" s="99"/>
      <c r="AW2" s="99"/>
      <c r="AX2" s="99"/>
      <c r="AY2" s="99"/>
      <c r="AZ2" s="99"/>
      <c r="BA2" s="99"/>
      <c r="BB2" s="99"/>
      <c r="BC2" s="99"/>
      <c r="BD2" s="99"/>
      <c r="BE2" s="99"/>
      <c r="BF2" s="99"/>
      <c r="BG2" s="99"/>
      <c r="BH2" s="99"/>
      <c r="BI2" s="99"/>
      <c r="BJ2" s="99"/>
      <c r="BK2" s="99"/>
      <c r="BL2" s="99"/>
      <c r="BM2" s="99"/>
      <c r="BN2" s="99"/>
      <c r="BO2" s="99"/>
      <c r="BP2" s="99"/>
      <c r="BQ2" s="99"/>
      <c r="BR2" s="99"/>
      <c r="BS2" s="99"/>
      <c r="BT2" s="99"/>
      <c r="BU2" s="99"/>
      <c r="BV2" s="99"/>
      <c r="BW2" s="99"/>
      <c r="BX2" s="99"/>
      <c r="BY2" s="99"/>
      <c r="BZ2" s="99"/>
      <c r="CA2" s="99"/>
      <c r="CB2" s="99"/>
      <c r="CC2" s="99"/>
      <c r="CD2" s="99"/>
      <c r="CE2" s="99"/>
      <c r="CF2" s="99"/>
      <c r="CG2" s="99"/>
      <c r="CH2" s="99"/>
      <c r="CI2" s="99"/>
      <c r="CJ2" s="99"/>
      <c r="CK2" s="99"/>
      <c r="CL2" s="99"/>
      <c r="CM2" s="99"/>
      <c r="CN2" s="99"/>
    </row>
    <row r="3" spans="1:149" ht="15">
      <c r="A3" t="s">
        <v>832</v>
      </c>
      <c r="B3" s="100"/>
      <c r="C3" s="101"/>
      <c r="D3" s="282">
        <v>101.19</v>
      </c>
      <c r="K3" s="102"/>
      <c r="M3" s="102"/>
    </row>
    <row r="4" spans="1:149">
      <c r="A4" s="36"/>
      <c r="B4" s="64"/>
      <c r="D4" s="100"/>
      <c r="E4" s="64"/>
      <c r="F4" s="103"/>
    </row>
    <row r="5" spans="1:149">
      <c r="A5" s="64"/>
      <c r="B5" s="64"/>
      <c r="D5" s="64"/>
      <c r="E5" s="64"/>
      <c r="H5" s="60" t="s">
        <v>387</v>
      </c>
    </row>
    <row r="6" spans="1:149">
      <c r="A6" s="74"/>
      <c r="B6" s="74"/>
    </row>
    <row r="7" spans="1:149">
      <c r="A7" s="59"/>
      <c r="B7" s="59"/>
      <c r="C7" s="59"/>
      <c r="D7" s="98"/>
      <c r="E7" s="98"/>
      <c r="F7" s="59"/>
      <c r="H7" s="59" t="s">
        <v>416</v>
      </c>
      <c r="I7" s="59">
        <v>43831</v>
      </c>
      <c r="J7" s="59">
        <v>43862</v>
      </c>
      <c r="K7" s="59">
        <v>43891</v>
      </c>
      <c r="L7" s="59">
        <v>43922</v>
      </c>
      <c r="M7" s="59">
        <v>43952</v>
      </c>
      <c r="N7" s="59">
        <v>43983</v>
      </c>
      <c r="O7" s="59">
        <v>44013</v>
      </c>
      <c r="P7" s="59">
        <v>44044</v>
      </c>
      <c r="Q7" s="59">
        <v>44075</v>
      </c>
      <c r="R7" s="59">
        <v>44105</v>
      </c>
      <c r="S7" s="59">
        <v>44136</v>
      </c>
      <c r="T7" s="59">
        <v>44166</v>
      </c>
      <c r="U7" s="59">
        <v>44197</v>
      </c>
      <c r="V7" s="59">
        <v>44228</v>
      </c>
      <c r="W7" s="59">
        <v>44256</v>
      </c>
      <c r="X7" s="59">
        <v>44287</v>
      </c>
      <c r="Y7" s="59">
        <v>44317</v>
      </c>
      <c r="Z7" s="59">
        <v>44348</v>
      </c>
      <c r="AA7" s="59">
        <v>44378</v>
      </c>
      <c r="AB7" s="59">
        <v>44409</v>
      </c>
      <c r="AC7" s="59">
        <v>44440</v>
      </c>
      <c r="AD7" s="59">
        <v>44470</v>
      </c>
      <c r="AE7" s="59">
        <v>44501</v>
      </c>
      <c r="AF7" s="59">
        <v>44531</v>
      </c>
      <c r="AG7" s="59">
        <v>44562</v>
      </c>
      <c r="AH7" s="59">
        <v>44593</v>
      </c>
      <c r="AI7" s="59">
        <v>44621</v>
      </c>
      <c r="AJ7" s="59">
        <v>44652</v>
      </c>
      <c r="AK7" s="59">
        <v>44682</v>
      </c>
      <c r="AL7" s="59">
        <v>44713</v>
      </c>
      <c r="AM7" s="59">
        <v>44743</v>
      </c>
      <c r="AN7" s="59">
        <v>44774</v>
      </c>
      <c r="AO7" s="59">
        <v>44805</v>
      </c>
      <c r="AP7" s="59">
        <v>44835</v>
      </c>
      <c r="AQ7" s="59">
        <v>44866</v>
      </c>
      <c r="AR7" s="59">
        <v>44896</v>
      </c>
      <c r="AS7" s="59">
        <v>44927</v>
      </c>
      <c r="AT7" s="59">
        <v>44958</v>
      </c>
      <c r="AU7" s="59">
        <v>44986</v>
      </c>
      <c r="AV7" s="59">
        <v>45017</v>
      </c>
      <c r="AW7" s="59">
        <v>45047</v>
      </c>
      <c r="AX7" s="59">
        <v>45078</v>
      </c>
      <c r="AY7" s="59">
        <v>45108</v>
      </c>
      <c r="AZ7" s="59" t="s">
        <v>530</v>
      </c>
      <c r="BA7" s="59" t="s">
        <v>531</v>
      </c>
      <c r="BB7" s="59" t="s">
        <v>532</v>
      </c>
      <c r="BC7" s="59">
        <v>37104</v>
      </c>
      <c r="BD7" s="59">
        <v>37469</v>
      </c>
      <c r="BE7" s="59" t="s">
        <v>168</v>
      </c>
      <c r="BF7" s="59" t="s">
        <v>169</v>
      </c>
      <c r="BG7" s="59" t="s">
        <v>195</v>
      </c>
      <c r="BH7" s="59" t="s">
        <v>196</v>
      </c>
      <c r="BI7" s="59" t="s">
        <v>197</v>
      </c>
      <c r="BJ7" s="59" t="s">
        <v>198</v>
      </c>
      <c r="BK7" s="59" t="s">
        <v>199</v>
      </c>
      <c r="BL7" s="59" t="s">
        <v>200</v>
      </c>
      <c r="BM7" s="59" t="s">
        <v>201</v>
      </c>
      <c r="BN7" s="59" t="s">
        <v>202</v>
      </c>
      <c r="BO7" s="59">
        <v>37196</v>
      </c>
      <c r="BP7" s="59">
        <v>37561</v>
      </c>
      <c r="BQ7" s="59">
        <v>37926</v>
      </c>
      <c r="BR7" s="59">
        <v>38292</v>
      </c>
      <c r="BS7" s="59">
        <v>37226</v>
      </c>
      <c r="BT7" s="59">
        <v>37591</v>
      </c>
      <c r="BU7" s="59">
        <v>37956</v>
      </c>
      <c r="BV7" s="59">
        <v>38322</v>
      </c>
      <c r="BW7" s="59">
        <v>36892</v>
      </c>
      <c r="BX7" s="59">
        <v>37257</v>
      </c>
      <c r="BY7" s="59">
        <v>37622</v>
      </c>
      <c r="BZ7" s="59">
        <v>37987</v>
      </c>
      <c r="CA7" s="59">
        <v>36923</v>
      </c>
      <c r="CB7" s="59">
        <v>37288</v>
      </c>
      <c r="CC7" s="59">
        <v>37653</v>
      </c>
      <c r="CD7" s="59">
        <v>38018</v>
      </c>
      <c r="CE7" s="59" t="str">
        <f>Sheet8!A15</f>
        <v>Mar-w1</v>
      </c>
      <c r="CF7" s="59">
        <v>37316</v>
      </c>
      <c r="CG7" s="59">
        <v>37681</v>
      </c>
      <c r="CH7" s="59">
        <v>38047</v>
      </c>
      <c r="CI7" s="59" t="str">
        <f>Sheet8!E15</f>
        <v>Apr-w1</v>
      </c>
      <c r="CJ7" s="59" t="str">
        <f>Sheet8!F15</f>
        <v>Apr-w2</v>
      </c>
      <c r="CK7" s="59" t="str">
        <f>Sheet8!G15</f>
        <v>Apr-w3</v>
      </c>
      <c r="CL7" s="59" t="str">
        <f>Sheet8!H15</f>
        <v>Apr-w4</v>
      </c>
      <c r="CM7" s="59" t="str">
        <f>Sheet8!I15</f>
        <v>May-w1</v>
      </c>
      <c r="CN7" s="59" t="str">
        <f>Sheet8!J15</f>
        <v>May-w2</v>
      </c>
      <c r="CO7" s="59" t="str">
        <f>Sheet8!K15</f>
        <v>May-w3</v>
      </c>
      <c r="CP7" s="59" t="str">
        <f>Sheet8!L15</f>
        <v>May-w4</v>
      </c>
      <c r="CQ7" s="59" t="str">
        <f>Sheet8!M15</f>
        <v>May-w5</v>
      </c>
      <c r="CR7" s="59" t="str">
        <f>Sheet8!N15</f>
        <v>june-w1</v>
      </c>
      <c r="CS7" s="59" t="str">
        <f>Sheet8!O15</f>
        <v>june-w2</v>
      </c>
      <c r="CT7" s="59" t="str">
        <f>Sheet8!P15</f>
        <v>june-w3</v>
      </c>
      <c r="CU7" s="59" t="str">
        <f>Sheet8!Q15</f>
        <v>june-w4</v>
      </c>
      <c r="CV7" s="59" t="str">
        <f>Sheet8!R15</f>
        <v>Jul-w1</v>
      </c>
      <c r="CW7" s="59" t="str">
        <f>Sheet8!S15</f>
        <v>Jul-w2</v>
      </c>
      <c r="CX7" s="59" t="str">
        <f>Sheet8!T15</f>
        <v>Jul-w3</v>
      </c>
      <c r="CY7" s="59" t="str">
        <f>Sheet8!U15</f>
        <v>Jul-w4</v>
      </c>
      <c r="CZ7" s="59" t="str">
        <f>Sheet8!V15</f>
        <v>Aug-w1</v>
      </c>
      <c r="DA7" s="59" t="str">
        <f>Sheet8!W15</f>
        <v>Aug-w2</v>
      </c>
      <c r="DB7" s="59" t="str">
        <f>Sheet8!X15</f>
        <v>Aug-w3</v>
      </c>
      <c r="DC7" s="59" t="str">
        <f>Sheet8!Y15</f>
        <v>Aug-w4</v>
      </c>
      <c r="DD7" s="59" t="str">
        <f>Sheet8!Z15</f>
        <v>Sep-w1</v>
      </c>
      <c r="DE7" s="59" t="str">
        <f>Sheet8!AA15</f>
        <v>Sep-w2</v>
      </c>
      <c r="DF7" s="59" t="str">
        <f>Sheet8!AB15</f>
        <v>Sep-w3</v>
      </c>
      <c r="DG7" s="59" t="str">
        <f>Sheet8!AC15</f>
        <v>Sep-w4</v>
      </c>
      <c r="DH7" s="59" t="str">
        <f>Sheet8!AD15</f>
        <v>Oct-w1</v>
      </c>
      <c r="DI7" s="59" t="str">
        <f>Sheet8!AE15</f>
        <v>Oct-w2</v>
      </c>
      <c r="DJ7" s="59" t="str">
        <f>Sheet8!AF15</f>
        <v>Oct-w3</v>
      </c>
      <c r="DK7" s="59" t="str">
        <f>Sheet8!AG15</f>
        <v>Oct-w4</v>
      </c>
      <c r="DL7" s="59" t="str">
        <f>Sheet8!AH15</f>
        <v>Nov-w1</v>
      </c>
      <c r="DM7" s="59" t="str">
        <f>Sheet8!AI15</f>
        <v>Nov-w2</v>
      </c>
      <c r="DN7" s="59" t="str">
        <f>Sheet8!AJ15</f>
        <v>Nov-w3</v>
      </c>
      <c r="DO7" s="59" t="str">
        <f>Sheet8!AK15</f>
        <v>Nov-w4</v>
      </c>
      <c r="DP7" s="59" t="str">
        <f>Sheet8!AL15</f>
        <v>Dec-w1</v>
      </c>
      <c r="DQ7" s="59" t="str">
        <f>Sheet8!AM15</f>
        <v>Dec-w2</v>
      </c>
      <c r="DR7" s="59" t="str">
        <f>Sheet8!AN15</f>
        <v>Dec-w3</v>
      </c>
      <c r="DS7" s="59" t="str">
        <f>Sheet8!AO15</f>
        <v>Dec-w4</v>
      </c>
      <c r="DT7" s="59">
        <f>Sheet8!AP15</f>
        <v>0</v>
      </c>
      <c r="DU7" s="59">
        <f>Sheet8!AQ15</f>
        <v>0</v>
      </c>
      <c r="DV7" s="59">
        <f>Sheet8!AR15</f>
        <v>0</v>
      </c>
      <c r="DW7" s="59">
        <f>Sheet8!AS15</f>
        <v>0</v>
      </c>
      <c r="DX7" s="59">
        <f>Sheet8!AT15</f>
        <v>0</v>
      </c>
      <c r="DY7" s="59">
        <f>Sheet8!AU15</f>
        <v>0</v>
      </c>
      <c r="DZ7" s="59">
        <f>Sheet8!AV15</f>
        <v>0</v>
      </c>
      <c r="EA7" s="59">
        <f>Sheet8!AW15</f>
        <v>0</v>
      </c>
      <c r="EB7" s="59">
        <f>Sheet8!AX15</f>
        <v>0</v>
      </c>
      <c r="EC7" s="59">
        <f>Sheet8!AY15</f>
        <v>0</v>
      </c>
      <c r="ED7" s="59">
        <f>Sheet8!AZ15</f>
        <v>0</v>
      </c>
      <c r="EE7" s="59">
        <f>Sheet8!BA15</f>
        <v>0</v>
      </c>
      <c r="EF7" s="59">
        <f>Sheet8!BB15</f>
        <v>0</v>
      </c>
      <c r="EG7" s="59">
        <f>Sheet8!BC15</f>
        <v>0</v>
      </c>
      <c r="EH7" s="59">
        <f>Sheet8!BD15</f>
        <v>0</v>
      </c>
      <c r="EI7" s="59">
        <f>Sheet8!BE15</f>
        <v>0</v>
      </c>
      <c r="EJ7" s="59">
        <f>Sheet8!BF15</f>
        <v>0</v>
      </c>
      <c r="EK7" s="59">
        <f>Sheet8!BG15</f>
        <v>0</v>
      </c>
      <c r="EL7" s="59">
        <f>Sheet8!BH15</f>
        <v>0</v>
      </c>
      <c r="EM7" s="59">
        <f>Sheet8!BI15</f>
        <v>0</v>
      </c>
      <c r="EN7" s="59">
        <f>Sheet8!BJ15</f>
        <v>0</v>
      </c>
      <c r="EO7" s="59">
        <f>Sheet8!BK15</f>
        <v>0</v>
      </c>
      <c r="EP7" s="59">
        <f>Sheet8!BL15</f>
        <v>0</v>
      </c>
      <c r="EQ7" s="59">
        <f>Sheet8!BM15</f>
        <v>0</v>
      </c>
      <c r="ER7" s="59">
        <f>Sheet8!BN15</f>
        <v>0</v>
      </c>
      <c r="ES7" s="59">
        <f>Sheet8!BO15</f>
        <v>0</v>
      </c>
    </row>
    <row r="8" spans="1:149" ht="13">
      <c r="H8" s="107" t="s">
        <v>114</v>
      </c>
      <c r="I8" s="74">
        <f>VLOOKUP($H$8&amp;$F$1,'Input RM sheet'!$A:$BD,H1,0)</f>
        <v>950</v>
      </c>
      <c r="J8" s="74">
        <f>VLOOKUP($H$8&amp;$F$1,'Input RM sheet'!$A:$BD,I1,0)</f>
        <v>810</v>
      </c>
      <c r="K8" s="74">
        <f>VLOOKUP($H$8&amp;$F$1,'Input RM sheet'!$A:$DD,J1,0)</f>
        <v>780</v>
      </c>
      <c r="L8" s="74">
        <f>VLOOKUP($H$8&amp;$F$1,'Input RM sheet'!$A:$DD,K1,0)</f>
        <v>560</v>
      </c>
      <c r="M8" s="74">
        <f>VLOOKUP($H$8&amp;$F$1,'Input RM sheet'!$A:$DD,L1,0)</f>
        <v>680</v>
      </c>
      <c r="N8" s="74">
        <f>VLOOKUP($H$8&amp;$F$1,'Input RM sheet'!$A:$DD,M1,0)</f>
        <v>720</v>
      </c>
      <c r="O8" s="74">
        <f>VLOOKUP($H$8&amp;$F$1,'Input RM sheet'!$A:$DD,N1,0)</f>
        <v>780</v>
      </c>
      <c r="P8" s="74">
        <f>VLOOKUP($H$8&amp;$F$1,'Input RM sheet'!$A:$DD,O1,0)</f>
        <v>780</v>
      </c>
      <c r="Q8" s="74">
        <f>VLOOKUP($H$8&amp;$F$1,'Input RM sheet'!$A:$DD,P1,0)</f>
        <v>850</v>
      </c>
      <c r="R8" s="74">
        <f>VLOOKUP($H$8&amp;$F$1,'Input RM sheet'!$A:$DD,Q1,0)</f>
        <v>860</v>
      </c>
      <c r="S8" s="74">
        <f>VLOOKUP($H$8&amp;$F$1,'Input RM sheet'!$A:$DD,R1,0)</f>
        <v>850</v>
      </c>
      <c r="T8" s="74">
        <f>VLOOKUP($H$8&amp;$F$1,'Input RM sheet'!$A:$DD,S1,0)</f>
        <v>940</v>
      </c>
      <c r="U8" s="74">
        <f>VLOOKUP($H$8&amp;$F$1,'Input RM sheet'!$A:$DD,T1,0)</f>
        <v>920</v>
      </c>
      <c r="V8" s="74">
        <f>VLOOKUP($H$8&amp;$F$1,'Input RM sheet'!$A:$DD,U1,0)</f>
        <v>930</v>
      </c>
      <c r="W8" s="74">
        <f>VLOOKUP($H$8&amp;$F$1,'Input RM sheet'!$A:$DD,V1,0)</f>
        <v>1150</v>
      </c>
      <c r="X8" s="74">
        <f>VLOOKUP($H$8&amp;$F$1,'Input RM sheet'!$A:$DD,W1,0)</f>
        <v>1060</v>
      </c>
      <c r="Y8" s="74">
        <f>VLOOKUP($H$8&amp;$F$1,'Input RM sheet'!$A:$DD,X1,0)</f>
        <v>1090</v>
      </c>
      <c r="Z8" s="74">
        <f>VLOOKUP($H$8&amp;$F$1,'Input RM sheet'!$A:$DD,Y1,0)</f>
        <v>920</v>
      </c>
      <c r="AA8" s="74">
        <f>VLOOKUP($H$8&amp;$F$1,'Input RM sheet'!$A:$DD,Z1,0)</f>
        <v>940</v>
      </c>
      <c r="AB8" s="74">
        <f>VLOOKUP($H$8&amp;$F$1,'Input RM sheet'!$A:$DD,AA1,0)</f>
        <v>940</v>
      </c>
      <c r="AC8" s="74">
        <f>VLOOKUP($H$8&amp;$F$1,'Input RM sheet'!$A:$DD,AB1,0)</f>
        <v>940</v>
      </c>
      <c r="AD8" s="74">
        <f>VLOOKUP($H$8&amp;$F$1,'Input RM sheet'!$A:$DD,AC1,0)</f>
        <v>1020</v>
      </c>
      <c r="AE8" s="74">
        <f>VLOOKUP($H$8&amp;$F$1,'Input RM sheet'!$A:$DD,AD1,0)</f>
        <v>960</v>
      </c>
      <c r="AF8" s="74">
        <f>VLOOKUP($H$8&amp;$F$1,'Input RM sheet'!$A:$DD,AE1,0)</f>
        <v>900</v>
      </c>
      <c r="AG8" s="74">
        <f>VLOOKUP($H$8&amp;$F$1,'Input RM sheet'!$A:$DD,AF1,0)</f>
        <v>950</v>
      </c>
      <c r="AH8" s="74">
        <f>VLOOKUP($H$8&amp;$F$1,'Input RM sheet'!$A:$DD,AG1,0)</f>
        <v>1200</v>
      </c>
      <c r="AI8" s="74">
        <f>VLOOKUP($H$8&amp;$F$1,'Input RM sheet'!$A:$DD,AH1,0)</f>
        <v>1320</v>
      </c>
      <c r="AJ8" s="74">
        <f>VLOOKUP($H$8&amp;$F$1,'Input RM sheet'!$A:$DD,AI1,0)</f>
        <v>1290</v>
      </c>
      <c r="AK8" s="74">
        <f>VLOOKUP($H$8&amp;$F$1,'Input RM sheet'!$A:$DD,AJ1,0)</f>
        <v>1200</v>
      </c>
      <c r="AL8" s="74">
        <f>VLOOKUP($H$8&amp;$F$1,'Input RM sheet'!$A:$DD,AK1,0)</f>
        <v>1040</v>
      </c>
      <c r="AM8" s="74">
        <f>VLOOKUP($H$8&amp;$F$1,'Input RM sheet'!$A:$DD,AL1,0)</f>
        <v>950</v>
      </c>
      <c r="AN8" s="74">
        <f>VLOOKUP($H$8&amp;$F$1,'Input RM sheet'!$A:$DD,AM1,0)</f>
        <v>890</v>
      </c>
      <c r="AO8" s="74">
        <f>VLOOKUP($H$8&amp;$F$1,'Input RM sheet'!$A:$DD,AN1,0)</f>
        <v>890</v>
      </c>
      <c r="AP8" s="74">
        <f>VLOOKUP($H$8&amp;$F$1,'Input RM sheet'!$A:$DD,AO1,0)</f>
        <v>890</v>
      </c>
      <c r="AQ8" s="74">
        <f>VLOOKUP($H$8&amp;$F$1,'Input RM sheet'!$A:$DD,AP1,0)</f>
        <v>850</v>
      </c>
      <c r="AR8" s="74">
        <f>VLOOKUP($H$8&amp;$F$1,'Input RM sheet'!$A:$DD,AQ1,0)</f>
        <v>880</v>
      </c>
      <c r="AS8" s="74">
        <f>VLOOKUP($H$8&amp;$F$1,'Input RM sheet'!$A:$DD,AR1,0)</f>
        <v>880</v>
      </c>
      <c r="AT8" s="74">
        <f>VLOOKUP($H$8&amp;$F$1,'Input RM sheet'!$A:$DD,AS1,0)</f>
        <v>980</v>
      </c>
      <c r="AU8" s="74">
        <f>VLOOKUP($H$8&amp;$F$1,'Input RM sheet'!$A:$DD,AT1,0)</f>
        <v>920</v>
      </c>
      <c r="AV8" s="74">
        <f>VLOOKUP($H$8&amp;$F$1,'Input RM sheet'!$A:$DD,AU1,0)</f>
        <v>940</v>
      </c>
      <c r="AW8" s="74">
        <f>VLOOKUP($H$8&amp;$F$1,'Input RM sheet'!$A:$DD,AV1,0)</f>
        <v>890</v>
      </c>
      <c r="AX8" s="74">
        <f>VLOOKUP($H$8&amp;$F$1,'Input RM sheet'!$A:$DD,AW1,0)</f>
        <v>750</v>
      </c>
      <c r="AY8" s="74">
        <f>VLOOKUP($H$8&amp;$F$1,'Input RM sheet'!$A:$DD,AX1,0)</f>
        <v>730</v>
      </c>
      <c r="AZ8" s="74">
        <f>VLOOKUP($H$8&amp;$F$1,'Input RM sheet'!$A:$DD,AY1,0)</f>
        <v>730</v>
      </c>
      <c r="BA8" s="74">
        <f>VLOOKUP($H$8&amp;$F$1,'Input RM sheet'!$A:$DD,AZ1,0)</f>
        <v>754</v>
      </c>
      <c r="BB8" s="74">
        <f>VLOOKUP($H$8&amp;$F$1,'Input RM sheet'!$A:$DD,BA1,0)</f>
        <v>778</v>
      </c>
      <c r="BC8" s="74">
        <f>VLOOKUP($H$8&amp;$F$1,'Input RM sheet'!$A:$DD,BB1,0)</f>
        <v>785</v>
      </c>
      <c r="BD8" s="74">
        <f>VLOOKUP($H$8&amp;$F$1,'Input RM sheet'!$A:$DD,BC1,0)</f>
        <v>825</v>
      </c>
      <c r="BE8" s="74">
        <f>VLOOKUP($H$8&amp;$F$1,'Input RM sheet'!$A:$DD,BD1,0)</f>
        <v>854</v>
      </c>
      <c r="BF8" s="74">
        <f>VLOOKUP($H$8&amp;$F$1,'Input RM sheet'!$A:$DD,BE1,0)</f>
        <v>854</v>
      </c>
      <c r="BG8" s="74">
        <f>VLOOKUP($H$8&amp;$F$1,'Input RM sheet'!$A:$DD,BF1,0)</f>
        <v>842</v>
      </c>
      <c r="BH8" s="74">
        <f>VLOOKUP($H$8&amp;$F$1,'Input RM sheet'!$A:$DD,BG1,0)</f>
        <v>830</v>
      </c>
      <c r="BI8" s="74">
        <f>VLOOKUP($H$8&amp;$F$1,'Input RM sheet'!$A:$DD,BH1,0)</f>
        <v>814</v>
      </c>
      <c r="BJ8" s="74">
        <f>VLOOKUP($H$8&amp;$F$1,'Input RM sheet'!$A:$DD,BI1,0)</f>
        <v>805</v>
      </c>
      <c r="BK8" s="74">
        <f>VLOOKUP($H$8&amp;$F$1,'Input RM sheet'!$A:$DD,BJ1,0)</f>
        <v>805</v>
      </c>
      <c r="BL8" s="74">
        <f>VLOOKUP($H$8&amp;$F$1,'Input RM sheet'!$A:$DD,BK1,0)</f>
        <v>799</v>
      </c>
      <c r="BM8" s="74">
        <f>VLOOKUP($H$8&amp;$F$1,'Input RM sheet'!$A:$DD,BL1,0)</f>
        <v>799</v>
      </c>
      <c r="BN8" s="74">
        <f>VLOOKUP($H$8&amp;$F$1,'Input RM sheet'!$A:$DD,BM1,0)</f>
        <v>794</v>
      </c>
      <c r="BO8" s="74">
        <f>VLOOKUP($H$8&amp;$F$1,'Input RM sheet'!$A:$DD,BN1,0)</f>
        <v>794</v>
      </c>
      <c r="BP8" s="74">
        <f>VLOOKUP($H$8&amp;$F$1,'Input RM sheet'!$A:$DD,BO1,0)</f>
        <v>799</v>
      </c>
      <c r="BQ8" s="74">
        <f>VLOOKUP($H$8&amp;$F$1,'Input RM sheet'!$A:$DD,BP1,0)</f>
        <v>799</v>
      </c>
      <c r="BR8" s="74">
        <f>VLOOKUP($H$8&amp;$F$1,'Input RM sheet'!$A:$DD,BQ1,0)</f>
        <v>804</v>
      </c>
      <c r="BS8" s="74">
        <f>VLOOKUP($H$8&amp;$F$1,'Input RM sheet'!$A:$DD,BR1,0)</f>
        <v>799</v>
      </c>
      <c r="BT8" s="74">
        <f>VLOOKUP($H$8&amp;$F$1,'Input RM sheet'!$A:$DD,BS1,0)</f>
        <v>799</v>
      </c>
      <c r="BU8" s="74">
        <f>VLOOKUP($H$8&amp;$F$1,'Input RM sheet'!$A:$DD,BT1,0)</f>
        <v>798</v>
      </c>
      <c r="BV8" s="74">
        <f>VLOOKUP($H$8&amp;$F$1,'Input RM sheet'!$A:$DD,BU1,0)</f>
        <v>804</v>
      </c>
      <c r="BW8" s="74">
        <f>VLOOKUP($H$8&amp;$F$1,'Input RM sheet'!$A:$DD,BV1,0)</f>
        <v>838</v>
      </c>
      <c r="BX8" s="74">
        <f>VLOOKUP($H$8&amp;$F$1,'Input RM sheet'!$A:$DD,BW1,0)</f>
        <v>920</v>
      </c>
      <c r="BY8" s="74">
        <f>VLOOKUP($H$8&amp;$F$1,'Input RM sheet'!$A:$DD,BX1,0)</f>
        <v>940</v>
      </c>
      <c r="BZ8" s="74">
        <f>VLOOKUP($H$8&amp;$F$1,'Input RM sheet'!$A:$DD,BY1,0)</f>
        <v>998</v>
      </c>
      <c r="CA8" s="74">
        <f>VLOOKUP($H$8&amp;$F$1,'Input RM sheet'!$A:$DD,BZ1,0)</f>
        <v>960</v>
      </c>
      <c r="CB8" s="74">
        <f>VLOOKUP($H$8&amp;$F$1,'Input RM sheet'!$A:$DD,CA1,0)</f>
        <v>914</v>
      </c>
      <c r="CC8" s="74">
        <f>VLOOKUP($H$8&amp;$F$1,'Input RM sheet'!$A:$DD,CB1,0)</f>
        <v>870</v>
      </c>
      <c r="CD8" s="74">
        <f>VLOOKUP($H$8&amp;$F$1,'Input RM sheet'!$A:$DD,CC1,0)</f>
        <v>860</v>
      </c>
      <c r="CE8" s="74">
        <f>VLOOKUP($H$8&amp;$F$1,'Input RM sheet'!$A:$DD,CD1,0)</f>
        <v>860</v>
      </c>
      <c r="CF8" s="74">
        <f>VLOOKUP($H$8&amp;$F$1,'Input RM sheet'!$A:$DD,CE1,0)</f>
        <v>867</v>
      </c>
      <c r="CG8" s="74">
        <f>VLOOKUP($H$8&amp;$F$1,'Input RM sheet'!$A:$DD,CF1,0)</f>
        <v>845</v>
      </c>
      <c r="CH8" s="74">
        <f>VLOOKUP($H$8&amp;$F$1,'Input RM sheet'!$A:$DD,CG1,0)</f>
        <v>844</v>
      </c>
      <c r="CI8" s="74">
        <f>VLOOKUP($H$8&amp;$F$1,'Input RM sheet'!$A:$DD,CH1,0)</f>
        <v>844</v>
      </c>
      <c r="CJ8" s="74">
        <f>VLOOKUP($H$8&amp;$F$1,'Input RM sheet'!$A:$DD,CI1,0)</f>
        <v>844</v>
      </c>
      <c r="CK8" s="74">
        <f>VLOOKUP($H$8&amp;$F$1,'Input RM sheet'!$A:$DD,CJ1,0)</f>
        <v>844</v>
      </c>
      <c r="CL8" s="74">
        <f>VLOOKUP($H$8&amp;$F$1,'Input RM sheet'!$A:$DD,CK1,0)</f>
        <v>827</v>
      </c>
      <c r="CM8" s="74">
        <f>VLOOKUP($H$8&amp;$F$1,'Input RM sheet'!$A:$DD,CL1,0)</f>
        <v>818</v>
      </c>
      <c r="CN8" s="74">
        <f>VLOOKUP($H$8&amp;$F$1,'Input RM sheet'!$A:$DD,CM1,0)</f>
        <v>814</v>
      </c>
      <c r="CO8" s="74">
        <f>VLOOKUP($H$8&amp;$F$1,'Input RM sheet'!$A:$DD,CN1,0)</f>
        <v>810</v>
      </c>
      <c r="CP8" s="74">
        <f>VLOOKUP($H$8&amp;$F$1,'Input RM sheet'!$A:$DD,CO1,0)</f>
        <v>827</v>
      </c>
      <c r="CQ8" s="74">
        <f>VLOOKUP($H$8&amp;$F$1,'Input RM sheet'!$A:$DD,CP1,0)</f>
        <v>827</v>
      </c>
      <c r="CR8" s="74">
        <f>VLOOKUP($H$8&amp;$F$1,'Input RM sheet'!$A:$ZZ,CQ1,0)</f>
        <v>827</v>
      </c>
      <c r="CS8" s="74">
        <f>VLOOKUP($H$8&amp;$F$1,'Input RM sheet'!$A:$ZZ,CR1,0)</f>
        <v>818</v>
      </c>
      <c r="CT8" s="74">
        <f>VLOOKUP($H$8&amp;$F$1,'Input RM sheet'!$A:$ZZ,CS1,0)</f>
        <v>818</v>
      </c>
      <c r="CU8" s="74">
        <f>VLOOKUP($H$8&amp;$F$1,'Input RM sheet'!$A:$ZZ,CT1,0)</f>
        <v>818</v>
      </c>
      <c r="CV8" s="74">
        <f>VLOOKUP($H$8&amp;$F$1,'Input RM sheet'!$A:$ZZ,CU1,0)</f>
        <v>850</v>
      </c>
      <c r="CW8" s="74">
        <f>VLOOKUP($H$8&amp;$F$1,'Input RM sheet'!$A:$ZZ,CV1,0)</f>
        <v>909</v>
      </c>
      <c r="CX8" s="74">
        <f>VLOOKUP($H$8&amp;$F$1,'Input RM sheet'!$A:$ZZ,CW1,0)</f>
        <v>909</v>
      </c>
      <c r="CY8" s="74">
        <f>VLOOKUP($H$8&amp;$F$1,'Input RM sheet'!$A:$ZZ,CX1,0)</f>
        <v>918</v>
      </c>
      <c r="CZ8" s="74">
        <f>VLOOKUP($H$8&amp;$F$1,'Input RM sheet'!$A:$ZZ,CY1,0)</f>
        <v>918</v>
      </c>
      <c r="DA8" s="74">
        <f>VLOOKUP($H$8&amp;$F$1,'Input RM sheet'!$A:$ZZ,CZ1,0)</f>
        <v>918</v>
      </c>
      <c r="DB8" s="74">
        <f>VLOOKUP($H$8&amp;$F$1,'Input RM sheet'!$A:$ZZ,DA1,0)</f>
        <v>918</v>
      </c>
      <c r="DC8" s="74">
        <f>VLOOKUP($H$8&amp;$F$1,'Input RM sheet'!$A:$ZZ,DB1,0)</f>
        <v>894</v>
      </c>
      <c r="DD8" s="74">
        <f>VLOOKUP($H$8&amp;$F$1,'Input RM sheet'!$A:$ZZ,DC1,0)</f>
        <v>830</v>
      </c>
      <c r="DE8" s="74">
        <f>VLOOKUP($H$8&amp;$F$1,'Input RM sheet'!$A:$ZZ,DD1,0)</f>
        <v>830</v>
      </c>
      <c r="DF8" s="74">
        <f>VLOOKUP($H$8&amp;$F$1,'Input RM sheet'!$A:$ZZ,DE1,0)</f>
        <v>809</v>
      </c>
      <c r="DG8" s="74">
        <f>VLOOKUP($H$8&amp;$F$1,'Input RM sheet'!$A:$ZZ,DF1,0)</f>
        <v>799</v>
      </c>
      <c r="DH8" s="74">
        <f>VLOOKUP($H$8&amp;$F$1,'Input RM sheet'!$A:$ZZ,DG1,0)</f>
        <v>799</v>
      </c>
      <c r="DI8" s="74">
        <f>VLOOKUP($H$8&amp;$F$1,'Input RM sheet'!$A:$ZZ,DH1,0)</f>
        <v>804</v>
      </c>
      <c r="DJ8" s="74">
        <f>VLOOKUP($H$8&amp;$F$1,'Input RM sheet'!$A:$ZZ,DI1,0)</f>
        <v>820</v>
      </c>
      <c r="DK8" s="74">
        <f>VLOOKUP($H$8&amp;$F$1,'Input RM sheet'!$A:$ZZ,DJ1,0)</f>
        <v>822</v>
      </c>
      <c r="DL8" s="74">
        <f>VLOOKUP($H$8&amp;$F$1,'Input RM sheet'!$A:$ZZ,DK1,0)</f>
        <v>828</v>
      </c>
      <c r="DM8" s="74">
        <f>VLOOKUP($H$8&amp;$F$1,'Input RM sheet'!$A:$ZZ,DL1,0)</f>
        <v>834</v>
      </c>
      <c r="DN8" s="74">
        <f>VLOOKUP($H$8&amp;$F$1,'Input RM sheet'!$A:$ZZ,DM1,0)</f>
        <v>819</v>
      </c>
      <c r="DO8" s="74">
        <f>VLOOKUP($H$8&amp;$F$1,'Input RM sheet'!$A:$ZZ,DN1,0)</f>
        <v>824</v>
      </c>
      <c r="DP8" s="74">
        <f>VLOOKUP($H$8&amp;$F$1,'Input RM sheet'!$A:$ZZ,DO1,0)</f>
        <v>824</v>
      </c>
      <c r="DQ8" s="74">
        <f>VLOOKUP($H$8&amp;$F$1,'Input RM sheet'!$A:$ZZ,DP1,0)</f>
        <v>824</v>
      </c>
      <c r="DR8" s="74">
        <f>VLOOKUP($H$8&amp;$F$1,'Input RM sheet'!$A:$ZZ,DQ1,0)</f>
        <v>824</v>
      </c>
      <c r="DS8" s="74">
        <f>VLOOKUP($H$8&amp;$F$1,'Input RM sheet'!$A:$ZZ,DR1,0)</f>
        <v>829</v>
      </c>
      <c r="DT8" s="74">
        <f>VLOOKUP($H$8&amp;$F$1,'Input RM sheet'!$A:$ZZ,DS1,0)</f>
        <v>0</v>
      </c>
      <c r="DU8" s="74">
        <f>VLOOKUP($H$8&amp;$F$1,'Input RM sheet'!$A:$ZZ,DT1,0)</f>
        <v>0</v>
      </c>
      <c r="DV8" s="74">
        <f>VLOOKUP($H$8&amp;$F$1,'Input RM sheet'!$A:$ZZ,DU1,0)</f>
        <v>0</v>
      </c>
      <c r="DW8" s="74">
        <f>VLOOKUP($H$8&amp;$F$1,'Input RM sheet'!$A:$ZZ,DV1,0)</f>
        <v>0</v>
      </c>
      <c r="DX8" s="74">
        <f>VLOOKUP($H$8&amp;$F$1,'Input RM sheet'!$A:$ZZ,DW1,0)</f>
        <v>0</v>
      </c>
      <c r="DY8" s="74">
        <f>VLOOKUP($H$8&amp;$F$1,'Input RM sheet'!$A:$ZZ,DX1,0)</f>
        <v>0</v>
      </c>
      <c r="DZ8" s="74">
        <f>VLOOKUP($H$8&amp;$F$1,'Input RM sheet'!$A:$ZZ,DY1,0)</f>
        <v>0</v>
      </c>
      <c r="EA8" s="74">
        <f>VLOOKUP($H$8&amp;$F$1,'Input RM sheet'!$A:$ZZ,DZ1,0)</f>
        <v>0</v>
      </c>
      <c r="EB8" s="74">
        <f>VLOOKUP($H$8&amp;$F$1,'Input RM sheet'!$A:$ZZ,EA1,0)</f>
        <v>0</v>
      </c>
      <c r="EC8" s="74">
        <f>VLOOKUP($H$8&amp;$F$1,'Input RM sheet'!$A:$ZZ,EB1,0)</f>
        <v>0</v>
      </c>
      <c r="ED8" s="74">
        <f>VLOOKUP($H$8&amp;$F$1,'Input RM sheet'!$A:$ZZ,EC1,0)</f>
        <v>0</v>
      </c>
      <c r="EE8" s="74">
        <f>VLOOKUP($H$8&amp;$F$1,'Input RM sheet'!$A:$ZZ,ED1,0)</f>
        <v>0</v>
      </c>
      <c r="EF8" s="74">
        <f>VLOOKUP($H$8&amp;$F$1,'Input RM sheet'!$A:$ZZ,EE1,0)</f>
        <v>0</v>
      </c>
      <c r="EG8" s="74">
        <f>VLOOKUP($H$8&amp;$F$1,'Input RM sheet'!$A:$ZZ,EF1,0)</f>
        <v>0</v>
      </c>
      <c r="EH8" s="74">
        <f>VLOOKUP($H$8&amp;$F$1,'Input RM sheet'!$A:$ZZ,EG1,0)</f>
        <v>0</v>
      </c>
      <c r="EI8" s="74">
        <f>VLOOKUP($H$8&amp;$F$1,'Input RM sheet'!$A:$ZZ,EH1,0)</f>
        <v>0</v>
      </c>
      <c r="EJ8" s="74">
        <f>VLOOKUP($H$8&amp;$F$1,'Input RM sheet'!$A:$ZZ,EI1,0)</f>
        <v>0</v>
      </c>
      <c r="EK8" s="74">
        <f>VLOOKUP($H$8&amp;$F$1,'Input RM sheet'!$A:$ZZ,EJ1,0)</f>
        <v>0</v>
      </c>
      <c r="EL8" s="74">
        <f>VLOOKUP($H$8&amp;$F$1,'Input RM sheet'!$A:$ZZ,EK1,0)</f>
        <v>0</v>
      </c>
      <c r="EM8" s="74">
        <f>VLOOKUP($H$8&amp;$F$1,'Input RM sheet'!$A:$ZZ,EL1,0)</f>
        <v>0</v>
      </c>
      <c r="EN8" s="74">
        <f>VLOOKUP($H$8&amp;$F$1,'Input RM sheet'!$A:$ZZ,EM1,0)</f>
        <v>0</v>
      </c>
      <c r="EO8" s="74">
        <f>VLOOKUP($H$8&amp;$F$1,'Input RM sheet'!$A:$ZZ,EN1,0)</f>
        <v>0</v>
      </c>
      <c r="EP8" s="74">
        <f>VLOOKUP($H$8&amp;$F$1,'Input RM sheet'!$A:$ZZ,EO1,0)</f>
        <v>0</v>
      </c>
      <c r="EQ8" s="74">
        <f>VLOOKUP($H$8&amp;$F$1,'Input RM sheet'!$A:$ZZ,EP1,0)</f>
        <v>0</v>
      </c>
      <c r="ER8" s="74">
        <f>VLOOKUP($H$8&amp;$F$1,'Input RM sheet'!$A:$ZZ,EQ1,0)</f>
        <v>0</v>
      </c>
      <c r="ES8" s="74">
        <f>VLOOKUP($H$8&amp;$F$1,'Input RM sheet'!$A:$ZZ,ER1,0)</f>
        <v>0</v>
      </c>
    </row>
    <row r="9" spans="1:149">
      <c r="H9" s="178" t="s">
        <v>45</v>
      </c>
      <c r="I9" s="74">
        <f>VLOOKUP($H$9&amp;$F$1,'Input RM sheet'!$A:$BD,H1,0)</f>
        <v>0.50625069064173545</v>
      </c>
      <c r="J9" s="74">
        <f>VLOOKUP($H$9&amp;$F$1,'Input RM sheet'!$A:$BD,I1,0)</f>
        <v>0.50605053403738476</v>
      </c>
      <c r="K9" s="74">
        <f>VLOOKUP($H$9&amp;$F$1,'Input RM sheet'!$A:$ZZ,J1,0)</f>
        <v>0.48566205346589675</v>
      </c>
      <c r="L9" s="74">
        <f>VLOOKUP($H$9&amp;$F$1,'Input RM sheet'!$A:$ZZ,K1,0)</f>
        <v>0.46604911475979133</v>
      </c>
      <c r="M9" s="74">
        <f>VLOOKUP($H$9&amp;$F$1,'Input RM sheet'!$A:$ZZ,L1,0)</f>
        <v>0.47286371932487081</v>
      </c>
      <c r="N9" s="74">
        <f>VLOOKUP($H$9&amp;$F$1,'Input RM sheet'!$A:$ZZ,M1,0)</f>
        <v>0.44148091934964817</v>
      </c>
      <c r="O9" s="74">
        <f>VLOOKUP($H$9&amp;$F$1,'Input RM sheet'!$A:$ZZ,N1,0)</f>
        <v>0.43426534003337747</v>
      </c>
      <c r="P9" s="74">
        <f>VLOOKUP($H$9&amp;$F$1,'Input RM sheet'!$A:$ZZ,O1,0)</f>
        <v>0.4253624199790475</v>
      </c>
      <c r="Q9" s="74">
        <f>VLOOKUP($H$9&amp;$F$1,'Input RM sheet'!$A:$ZZ,P1,0)</f>
        <v>0.43233741458081631</v>
      </c>
      <c r="R9" s="74">
        <f>VLOOKUP($H$9&amp;$F$1,'Input RM sheet'!$A:$ZZ,Q1,0)</f>
        <v>0.4289746699475917</v>
      </c>
      <c r="S9" s="74">
        <f>VLOOKUP($H$9&amp;$F$1,'Input RM sheet'!$A:$ZZ,R1,0)</f>
        <v>0.42484260760346637</v>
      </c>
      <c r="T9" s="74">
        <f>VLOOKUP($H$9&amp;$F$1,'Input RM sheet'!$A:$ZZ,S1,0)</f>
        <v>0.45075951239765033</v>
      </c>
      <c r="U9" s="74">
        <f>VLOOKUP($H$9&amp;$F$1,'Input RM sheet'!$A:$ZZ,T1,0)</f>
        <v>0.47632070741601718</v>
      </c>
      <c r="V9" s="74">
        <f>VLOOKUP($H$9&amp;$F$1,'Input RM sheet'!$A:$ZZ,U1,0)</f>
        <v>0.50824175824175821</v>
      </c>
      <c r="W9" s="74">
        <f>VLOOKUP($H$9&amp;$F$1,'Input RM sheet'!$A:$ZZ,V1,0)</f>
        <v>0.50824175824175821</v>
      </c>
      <c r="X9" s="74">
        <f>VLOOKUP($H$9&amp;$F$1,'Input RM sheet'!$A:$ZZ,W1,0)</f>
        <v>0.53357522262827839</v>
      </c>
      <c r="Y9" s="74">
        <f>VLOOKUP($H$9&amp;$F$1,'Input RM sheet'!$A:$ZZ,X1,0)</f>
        <v>0.59385665529010234</v>
      </c>
      <c r="Z9" s="74">
        <f>VLOOKUP($H$9&amp;$F$1,'Input RM sheet'!$A:$ZZ,Y1,0)</f>
        <v>0.63431872099725806</v>
      </c>
      <c r="AA9" s="74">
        <f>VLOOKUP($H$9&amp;$F$1,'Input RM sheet'!$A:$ZZ,Z1,0)</f>
        <v>0.72591659871949687</v>
      </c>
      <c r="AB9" s="74">
        <f>VLOOKUP($H$9&amp;$F$1,'Input RM sheet'!$A:$ZZ,AA1,0)</f>
        <v>0.72889455792717117</v>
      </c>
      <c r="AC9" s="74">
        <f>VLOOKUP($H$9&amp;$F$1,'Input RM sheet'!$A:$ZZ,AB1,0)</f>
        <v>0.74862988980369449</v>
      </c>
      <c r="AD9" s="74">
        <f>VLOOKUP($H$9&amp;$F$1,'Input RM sheet'!$A:$ZZ,AC1,0)</f>
        <v>0.79168514687656644</v>
      </c>
      <c r="AE9" s="74">
        <f>VLOOKUP($H$9&amp;$F$1,'Input RM sheet'!$A:$ZZ,AD1,0)</f>
        <v>0.82087330176727136</v>
      </c>
      <c r="AF9" s="74">
        <f>VLOOKUP($H$9&amp;$F$1,'Input RM sheet'!$A:$ZZ,AE1,0)</f>
        <v>0.84614593649711278</v>
      </c>
      <c r="AG9" s="74">
        <f>VLOOKUP($H$9&amp;$F$1,'Input RM sheet'!$A:$ZZ,AF1,0)</f>
        <v>1.0564787620243885</v>
      </c>
      <c r="AH9" s="74">
        <f>VLOOKUP($H$9&amp;$F$1,'Input RM sheet'!$A:$ZZ,AG1,0)</f>
        <v>1.2058469531568468</v>
      </c>
      <c r="AI9" s="74">
        <f>VLOOKUP($H$9&amp;$F$1,'Input RM sheet'!$A:$ZZ,AH1,0)</f>
        <v>1.328155753838079</v>
      </c>
      <c r="AJ9" s="74">
        <f>VLOOKUP($H$9&amp;$F$1,'Input RM sheet'!$A:$ZZ,AI1,0)</f>
        <v>1.2605824467442697</v>
      </c>
      <c r="AK9" s="74">
        <f>VLOOKUP($H$9&amp;$F$1,'Input RM sheet'!$A:$ZZ,AJ1,0)</f>
        <v>1.1242096737595759</v>
      </c>
      <c r="AL9" s="74">
        <f>VLOOKUP($H$9&amp;$F$1,'Input RM sheet'!$A:$ZZ,AK1,0)</f>
        <v>1.1179786985052897</v>
      </c>
      <c r="AM9" s="74">
        <f>VLOOKUP($H$9&amp;$F$1,'Input RM sheet'!$A:$ZZ,AL1,0)</f>
        <v>1.0829322457612403</v>
      </c>
      <c r="AN9" s="74">
        <f>VLOOKUP($H$9&amp;$F$1,'Input RM sheet'!$A:$ZZ,AM1,0)</f>
        <v>1.0855018240664733</v>
      </c>
      <c r="AO9" s="74">
        <f>VLOOKUP($H$9&amp;$F$1,'Input RM sheet'!$A:$ZZ,AN1,0)</f>
        <v>1.0549821404108952</v>
      </c>
      <c r="AP9" s="74">
        <f>VLOOKUP($H$9&amp;$F$1,'Input RM sheet'!$A:$ZZ,AO1,0)</f>
        <v>1.0740005833527477</v>
      </c>
      <c r="AQ9" s="74">
        <f>VLOOKUP($H$9&amp;$F$1,'Input RM sheet'!$A:$ZZ,AP1,0)</f>
        <v>1.1385193276752337</v>
      </c>
      <c r="AR9" s="74">
        <f>VLOOKUP($H$9&amp;$F$1,'Input RM sheet'!$A:$ZZ,AQ1,0)</f>
        <v>1.0816813265611029</v>
      </c>
      <c r="AS9" s="74">
        <f>VLOOKUP($H$9&amp;$F$1,'Input RM sheet'!$A:$ZZ,AR1,0)</f>
        <v>0.99756298566293211</v>
      </c>
      <c r="AT9" s="74">
        <f>VLOOKUP($H$9&amp;$F$1,'Input RM sheet'!$A:$ZZ,AS1,0)</f>
        <v>0.92545631998382882</v>
      </c>
      <c r="AU9" s="74">
        <f>VLOOKUP($H$9&amp;$F$1,'Input RM sheet'!$A:$ZZ,AT1,0)</f>
        <v>0.9011022063000439</v>
      </c>
      <c r="AV9" s="74">
        <f>VLOOKUP($H$9&amp;$F$1,'Input RM sheet'!$A:$ZZ,AU1,0)</f>
        <v>0.74767129009219857</v>
      </c>
      <c r="AW9" s="74">
        <f>VLOOKUP($H$9&amp;$F$1,'Input RM sheet'!$A:$ZZ,AV1,0)</f>
        <v>0.70626929682976414</v>
      </c>
      <c r="AX9" s="74">
        <f>VLOOKUP($H$9&amp;$F$1,'Input RM sheet'!$A:$ZZ,AW1,0)</f>
        <v>0.61818181818181817</v>
      </c>
      <c r="AY9" s="74">
        <f>VLOOKUP($H$9&amp;$F$1,'Input RM sheet'!$A:$ZZ,AX1,0)</f>
        <v>0.61863173216885003</v>
      </c>
      <c r="AZ9" s="74">
        <f>VLOOKUP($H$9&amp;$F$1,'Input RM sheet'!$A:$ZZ,AY1,0)</f>
        <v>0.6205889510829885</v>
      </c>
      <c r="BA9" s="74">
        <f>VLOOKUP($H$9&amp;$F$1,'Input RM sheet'!$A:$ZZ,AZ1,0)</f>
        <v>0.62255859375</v>
      </c>
      <c r="BB9" s="74">
        <f>VLOOKUP($H$9&amp;$F$1,'Input RM sheet'!$A:$ZZ,BA1,0)</f>
        <v>0.59567225869195228</v>
      </c>
      <c r="BC9" s="74">
        <f>VLOOKUP($H$9&amp;$F$1,'Input RM sheet'!$A:$ZZ,BB1,0)</f>
        <v>0.59157310153326093</v>
      </c>
      <c r="BD9" s="74">
        <f>VLOOKUP($H$9&amp;$F$1,'Input RM sheet'!$A:$ZZ,BC1,0)</f>
        <v>0.58858858858858853</v>
      </c>
      <c r="BE9" s="74">
        <f>VLOOKUP($H$9&amp;$F$1,'Input RM sheet'!$A:$ZZ,BD1,0)</f>
        <v>0.58858858858858853</v>
      </c>
      <c r="BF9" s="74">
        <f>VLOOKUP($H$9&amp;$F$1,'Input RM sheet'!$A:$ZZ,BE1,0)</f>
        <v>0.59286146400483963</v>
      </c>
      <c r="BG9" s="74">
        <f>VLOOKUP($H$9&amp;$F$1,'Input RM sheet'!$A:$ZZ,BF1,0)</f>
        <v>0.5900060204695966</v>
      </c>
      <c r="BH9" s="74">
        <f>VLOOKUP($H$9&amp;$F$1,'Input RM sheet'!$A:$ZZ,BG1,0)</f>
        <v>0.5666747046057391</v>
      </c>
      <c r="BI9" s="74">
        <f>VLOOKUP($H$9&amp;$F$1,'Input RM sheet'!$A:$ZZ,BH1,0)</f>
        <v>0.59085976124442297</v>
      </c>
      <c r="BJ9" s="74">
        <f>VLOOKUP($H$9&amp;$F$1,'Input RM sheet'!$A:$ZZ,BI1,0)</f>
        <v>0.58851789574825841</v>
      </c>
      <c r="BK9" s="74">
        <f>VLOOKUP($H$9&amp;$F$1,'Input RM sheet'!$A:$ZZ,BJ1,0)</f>
        <v>0.68493150684931503</v>
      </c>
      <c r="BL9" s="74">
        <f>VLOOKUP($H$9&amp;$F$1,'Input RM sheet'!$A:$ZZ,BK1,0)</f>
        <v>0.68468468468468469</v>
      </c>
      <c r="BM9" s="74">
        <f>VLOOKUP($H$9&amp;$F$1,'Input RM sheet'!$A:$ZZ,BL1,0)</f>
        <v>0.66169393647738206</v>
      </c>
      <c r="BN9" s="74">
        <f>VLOOKUP($H$9&amp;$F$1,'Input RM sheet'!$A:$ZZ,BM1,0)</f>
        <v>0.69661301945712217</v>
      </c>
      <c r="BO9" s="74">
        <f>VLOOKUP($H$9&amp;$F$1,'Input RM sheet'!$A:$ZZ,BN1,0)</f>
        <v>0.69694784907474161</v>
      </c>
      <c r="BP9" s="74">
        <f>VLOOKUP($H$9&amp;$F$1,'Input RM sheet'!$A:$ZZ,BO1,0)</f>
        <v>0.69719918259406177</v>
      </c>
      <c r="BQ9" s="74">
        <f>VLOOKUP($H$9&amp;$F$1,'Input RM sheet'!$A:$ZZ,BP1,0)</f>
        <v>0.69719918259406177</v>
      </c>
      <c r="BR9" s="74">
        <f>VLOOKUP($H$9&amp;$F$1,'Input RM sheet'!$A:$ZZ,BQ1,0)</f>
        <v>0.69602784111364457</v>
      </c>
      <c r="BS9" s="74">
        <f>VLOOKUP($H$9&amp;$F$1,'Input RM sheet'!$A:$ZZ,BR1,0)</f>
        <v>0.69544364508393286</v>
      </c>
      <c r="BT9" s="74">
        <f>VLOOKUP($H$9&amp;$F$1,'Input RM sheet'!$A:$ZZ,BS1,0)</f>
        <v>0.63579654510556627</v>
      </c>
      <c r="BU9" s="74">
        <f>VLOOKUP($H$9&amp;$F$1,'Input RM sheet'!$A:$ZZ,BT1,0)</f>
        <v>0.64872657376261422</v>
      </c>
      <c r="BV9" s="74">
        <f>VLOOKUP($H$9&amp;$F$1,'Input RM sheet'!$A:$ZZ,BU1,0)</f>
        <v>0.64810369659145473</v>
      </c>
      <c r="BW9" s="74">
        <f>VLOOKUP($H$9&amp;$F$1,'Input RM sheet'!$A:$ZZ,BV1,0)</f>
        <v>0.63146499879720952</v>
      </c>
      <c r="BX9" s="74">
        <f>VLOOKUP($H$9&amp;$F$1,'Input RM sheet'!$A:$ZZ,BW1,0)</f>
        <v>0.66145520144317493</v>
      </c>
      <c r="BY9" s="74">
        <f>VLOOKUP($H$9&amp;$F$1,'Input RM sheet'!$A:$ZZ,BX1,0)</f>
        <v>0.66066066066066065</v>
      </c>
      <c r="BZ9" s="74">
        <f>VLOOKUP($H$9&amp;$F$1,'Input RM sheet'!$A:$ZZ,BY1,0)</f>
        <v>0.67421141343607027</v>
      </c>
      <c r="CA9" s="74">
        <f>VLOOKUP($H$9&amp;$F$1,'Input RM sheet'!$A:$ZZ,BZ1,0)</f>
        <v>0.67469879518072284</v>
      </c>
      <c r="CB9" s="74">
        <f>VLOOKUP($H$9&amp;$F$1,'Input RM sheet'!$A:$ZZ,CA1,0)</f>
        <v>0.6746175159619322</v>
      </c>
      <c r="CC9" s="74">
        <f>VLOOKUP($H$9&amp;$F$1,'Input RM sheet'!$A:$ZZ,CB1,0)</f>
        <v>0.67551266586248493</v>
      </c>
      <c r="CD9" s="74">
        <f>VLOOKUP($H$9&amp;$F$1,'Input RM sheet'!$A:$ZZ,CC1,0)</f>
        <v>0.67551266586248493</v>
      </c>
      <c r="CE9" s="74">
        <f>VLOOKUP($H$9&amp;$F$1,'Input RM sheet'!$A:$ZZ,CD1,0)</f>
        <v>0.64087061668681977</v>
      </c>
      <c r="CF9" s="74">
        <f>VLOOKUP($H$9&amp;$F$1,'Input RM sheet'!$A:$ZZ,CE1,0)</f>
        <v>0.64040599323344605</v>
      </c>
      <c r="CG9" s="74">
        <f>VLOOKUP($H$9&amp;$F$1,'Input RM sheet'!$A:$ZZ,CF1,0)</f>
        <v>0.63656017295219791</v>
      </c>
      <c r="CH9" s="74">
        <f>VLOOKUP($H$9&amp;$F$1,'Input RM sheet'!$A:$ZZ,CG1,0)</f>
        <v>0.63556781388655714</v>
      </c>
      <c r="CI9" s="74">
        <f>VLOOKUP($H$9&amp;$F$1,'Input RM sheet'!$A:$ZZ,CH1,0)</f>
        <v>0.63694267515923575</v>
      </c>
      <c r="CJ9" s="74">
        <f>VLOOKUP($H$9&amp;$F$1,'Input RM sheet'!$A:$ZZ,CI1,0)</f>
        <v>0.63549160671462823</v>
      </c>
      <c r="CK9" s="74">
        <f>VLOOKUP($H$9&amp;$F$1,'Input RM sheet'!$A:$ZZ,CJ1,0)</f>
        <v>0.63389546704939603</v>
      </c>
      <c r="CL9" s="74">
        <f>VLOOKUP($H$9&amp;$F$1,'Input RM sheet'!$A:$ZZ,CK1,0)</f>
        <v>0.65931431311436106</v>
      </c>
      <c r="CM9" s="74">
        <f>VLOOKUP($H$9&amp;$F$1,'Input RM sheet'!$A:$ZZ,CL1,0)</f>
        <v>0.6586826347305389</v>
      </c>
      <c r="CN9" s="74">
        <f>VLOOKUP($H$9&amp;$F$1,'Input RM sheet'!$A:$ZZ,CM1,0)</f>
        <v>0.65986802639472109</v>
      </c>
      <c r="CO9" s="74">
        <f>VLOOKUP($H$9&amp;$F$1,'Input RM sheet'!$A:$ZZ,CN1,0)</f>
        <v>0.62387522495500902</v>
      </c>
      <c r="CP9" s="74">
        <f>VLOOKUP($H$9&amp;$F$1,'Input RM sheet'!$A:$ZZ,CO1,0)</f>
        <v>0.62387522495500902</v>
      </c>
      <c r="CQ9" s="74">
        <f>VLOOKUP($H$9&amp;$F$1,'Input RM sheet'!$A:$ZZ,CP1,0)</f>
        <v>0.62387522495500902</v>
      </c>
      <c r="CR9" s="74">
        <f>VLOOKUP($H$9&amp;$F$1,'Input RM sheet'!$A:$ZZ,CQ1,0)</f>
        <v>0.61985933961139583</v>
      </c>
      <c r="CS9" s="74">
        <f>VLOOKUP($H$9&amp;$F$1,'Input RM sheet'!$A:$ZZ,CR1,0)</f>
        <v>0.64748201438848918</v>
      </c>
      <c r="CT9" s="74">
        <f>VLOOKUP($H$9&amp;$F$1,'Input RM sheet'!$A:$ZZ,CS1,0)</f>
        <v>0.6467065868263473</v>
      </c>
      <c r="CU9" s="74">
        <f>VLOOKUP($H$9&amp;$F$1,'Input RM sheet'!$A:$ZZ,CT1,0)</f>
        <v>0.67106051527860988</v>
      </c>
      <c r="CV9" s="74">
        <f>VLOOKUP($H$9&amp;$F$1,'Input RM sheet'!$A:$ZZ,CU1,0)</f>
        <v>0.67089972445189894</v>
      </c>
      <c r="CW9" s="74">
        <f>VLOOKUP($H$9&amp;$F$1,'Input RM sheet'!$A:$ZZ,CV1,0)</f>
        <v>0.67025733093955719</v>
      </c>
      <c r="CX9" s="74">
        <f>VLOOKUP($H$9&amp;$F$1,'Input RM sheet'!$A:$ZZ,CW1,0)</f>
        <v>0.65710872162485068</v>
      </c>
      <c r="CY9" s="74">
        <f>VLOOKUP($H$9&amp;$F$1,'Input RM sheet'!$A:$ZZ,CX1,0)</f>
        <v>0.65687328317210081</v>
      </c>
      <c r="CZ9" s="74">
        <f>VLOOKUP($H$9&amp;$F$1,'Input RM sheet'!$A:$ZZ,CY1,0)</f>
        <v>0.67897558070279929</v>
      </c>
      <c r="DA9" s="74">
        <f>VLOOKUP($H$9&amp;$F$1,'Input RM sheet'!$A:$ZZ,CZ1,0)</f>
        <v>0.67889471176750837</v>
      </c>
      <c r="DB9" s="74">
        <f>VLOOKUP($H$9&amp;$F$1,'Input RM sheet'!$A:$ZZ,DA1,0)</f>
        <v>0.6793802145411203</v>
      </c>
      <c r="DC9" s="74">
        <f>VLOOKUP($H$9&amp;$F$1,'Input RM sheet'!$A:$ZZ,DB1,0)</f>
        <v>0.67946119918941472</v>
      </c>
      <c r="DD9" s="74">
        <f>VLOOKUP($H$9&amp;$F$1,'Input RM sheet'!$A:$ZZ,DC1,0)</f>
        <v>0.62529776083849453</v>
      </c>
      <c r="DE9" s="74">
        <f>VLOOKUP($H$9&amp;$F$1,'Input RM sheet'!$A:$ZZ,DD1,0)</f>
        <v>0.62529776083849453</v>
      </c>
      <c r="DF9" s="74">
        <f>VLOOKUP($H$9&amp;$F$1,'Input RM sheet'!$A:$ZZ,DE1,0)</f>
        <v>0.59224694903086861</v>
      </c>
      <c r="DG9" s="74">
        <f>VLOOKUP($H$9&amp;$F$1,'Input RM sheet'!$A:$ZZ,DF1,0)</f>
        <v>0.59168061200095623</v>
      </c>
      <c r="DH9" s="74">
        <f>VLOOKUP($H$9&amp;$F$1,'Input RM sheet'!$A:$ZZ,DG1,0)</f>
        <v>0.58949624866023576</v>
      </c>
      <c r="DI9" s="74">
        <f>VLOOKUP($H$9&amp;$F$1,'Input RM sheet'!$A:$ZZ,DH1,0)</f>
        <v>0.60068990127274891</v>
      </c>
      <c r="DJ9" s="74">
        <f>VLOOKUP($H$9&amp;$F$1,'Input RM sheet'!$A:$ZZ,DI1,0)</f>
        <v>0.60068990127274891</v>
      </c>
      <c r="DK9" s="74">
        <f>VLOOKUP($H$9&amp;$F$1,'Input RM sheet'!$A:$ZZ,DJ1,0)</f>
        <v>0.60061845861084684</v>
      </c>
      <c r="DL9" s="74">
        <f>VLOOKUP($H$9&amp;$F$1,'Input RM sheet'!$A:$ZZ,DK1,0)</f>
        <v>0.60033285782215884</v>
      </c>
      <c r="DM9" s="74">
        <f>VLOOKUP($H$9&amp;$F$1,'Input RM sheet'!$A:$ZZ,DL1,0)</f>
        <v>0.59834123222748814</v>
      </c>
      <c r="DN9" s="74">
        <f>VLOOKUP($H$9&amp;$F$1,'Input RM sheet'!$A:$ZZ,DM1,0)</f>
        <v>0.61706419840987303</v>
      </c>
      <c r="DO9" s="74">
        <f>VLOOKUP($H$9&amp;$F$1,'Input RM sheet'!$A:$ZZ,DN1,0)</f>
        <v>0.61443932411674351</v>
      </c>
      <c r="DP9" s="74">
        <f>VLOOKUP($H$9&amp;$F$1,'Input RM sheet'!$A:$ZZ,DO1,0)</f>
        <v>0.6376195536663124</v>
      </c>
      <c r="DQ9" s="74">
        <f>VLOOKUP($H$9&amp;$F$1,'Input RM sheet'!$A:$ZZ,DP1,0)</f>
        <v>0.63067311092773781</v>
      </c>
      <c r="DR9" s="74">
        <f>VLOOKUP($H$9&amp;$F$1,'Input RM sheet'!$A:$ZZ,DQ1,0)</f>
        <v>0.63000471031559113</v>
      </c>
      <c r="DS9" s="74">
        <f>VLOOKUP($H$9&amp;$F$1,'Input RM sheet'!$A:$ZZ,DR1,0)</f>
        <v>0.62808170932143692</v>
      </c>
      <c r="DT9" s="74">
        <f>VLOOKUP($H$9&amp;$F$1,'Input RM sheet'!$A:$ZZ,DS1,0)</f>
        <v>0</v>
      </c>
      <c r="DU9" s="74">
        <f>VLOOKUP($H$9&amp;$F$1,'Input RM sheet'!$A:$ZZ,DT1,0)</f>
        <v>0</v>
      </c>
      <c r="DV9" s="74">
        <f>VLOOKUP($H$9&amp;$F$1,'Input RM sheet'!$A:$ZZ,DU1,0)</f>
        <v>0</v>
      </c>
      <c r="DW9" s="74">
        <f>VLOOKUP($H$9&amp;$F$1,'Input RM sheet'!$A:$ZZ,DV1,0)</f>
        <v>0</v>
      </c>
      <c r="DX9" s="74">
        <f>VLOOKUP($H$9&amp;$F$1,'Input RM sheet'!$A:$ZZ,DW1,0)</f>
        <v>0</v>
      </c>
      <c r="DY9" s="74">
        <f>VLOOKUP($H$9&amp;$F$1,'Input RM sheet'!$A:$ZZ,DX1,0)</f>
        <v>0</v>
      </c>
      <c r="DZ9" s="74">
        <f>VLOOKUP($H$9&amp;$F$1,'Input RM sheet'!$A:$ZZ,DY1,0)</f>
        <v>0</v>
      </c>
      <c r="EA9" s="74">
        <f>VLOOKUP($H$9&amp;$F$1,'Input RM sheet'!$A:$ZZ,DZ1,0)</f>
        <v>0</v>
      </c>
      <c r="EB9" s="74">
        <f>VLOOKUP($H$9&amp;$F$1,'Input RM sheet'!$A:$ZZ,EA1,0)</f>
        <v>0</v>
      </c>
      <c r="EC9" s="74">
        <f>VLOOKUP($H$9&amp;$F$1,'Input RM sheet'!$A:$ZZ,EB1,0)</f>
        <v>0</v>
      </c>
      <c r="ED9" s="74">
        <f>VLOOKUP($H$9&amp;$F$1,'Input RM sheet'!$A:$ZZ,EC1,0)</f>
        <v>0</v>
      </c>
      <c r="EE9" s="74">
        <f>VLOOKUP($H$9&amp;$F$1,'Input RM sheet'!$A:$ZZ,ED1,0)</f>
        <v>0</v>
      </c>
      <c r="EF9" s="74">
        <f>VLOOKUP($H$9&amp;$F$1,'Input RM sheet'!$A:$ZZ,EE1,0)</f>
        <v>0</v>
      </c>
      <c r="EG9" s="74">
        <f>VLOOKUP($H$9&amp;$F$1,'Input RM sheet'!$A:$ZZ,EF1,0)</f>
        <v>0</v>
      </c>
      <c r="EH9" s="74">
        <f>VLOOKUP($H$9&amp;$F$1,'Input RM sheet'!$A:$ZZ,EG1,0)</f>
        <v>0</v>
      </c>
      <c r="EI9" s="74">
        <f>VLOOKUP($H$9&amp;$F$1,'Input RM sheet'!$A:$ZZ,EH1,0)</f>
        <v>0</v>
      </c>
      <c r="EJ9" s="74">
        <f>VLOOKUP($H$9&amp;$F$1,'Input RM sheet'!$A:$ZZ,EI1,0)</f>
        <v>0</v>
      </c>
      <c r="EK9" s="74">
        <f>VLOOKUP($H$9&amp;$F$1,'Input RM sheet'!$A:$ZZ,EJ1,0)</f>
        <v>0</v>
      </c>
      <c r="EL9" s="74">
        <f>VLOOKUP($H$9&amp;$F$1,'Input RM sheet'!$A:$ZZ,EK1,0)</f>
        <v>0</v>
      </c>
      <c r="EM9" s="74">
        <f>VLOOKUP($H$9&amp;$F$1,'Input RM sheet'!$A:$ZZ,EL1,0)</f>
        <v>0</v>
      </c>
      <c r="EN9" s="74">
        <f>VLOOKUP($H$9&amp;$F$1,'Input RM sheet'!$A:$ZZ,EM1,0)</f>
        <v>0</v>
      </c>
      <c r="EO9" s="74">
        <f>VLOOKUP($H$9&amp;$F$1,'Input RM sheet'!$A:$ZZ,EN1,0)</f>
        <v>0</v>
      </c>
      <c r="EP9" s="74">
        <f>VLOOKUP($H$9&amp;$F$1,'Input RM sheet'!$A:$ZZ,EO1,0)</f>
        <v>0</v>
      </c>
      <c r="EQ9" s="74">
        <f>VLOOKUP($H$9&amp;$F$1,'Input RM sheet'!$A:$ZZ,EP1,0)</f>
        <v>0</v>
      </c>
      <c r="ER9" s="74">
        <f>VLOOKUP($H$9&amp;$F$1,'Input RM sheet'!$A:$ZZ,EQ1,0)</f>
        <v>0</v>
      </c>
      <c r="ES9" s="74">
        <f>VLOOKUP($H$9&amp;$F$1,'Input RM sheet'!$A:$ZZ,ER1,0)</f>
        <v>0</v>
      </c>
    </row>
    <row r="10" spans="1:149">
      <c r="H10" s="107"/>
      <c r="I10" s="74"/>
      <c r="J10" s="74"/>
      <c r="K10" s="74"/>
      <c r="L10" s="74"/>
      <c r="M10" s="74"/>
      <c r="N10" s="74"/>
      <c r="O10" s="7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c r="CE10" s="74"/>
      <c r="CF10" s="74"/>
      <c r="CG10" s="74"/>
      <c r="CH10" s="74"/>
      <c r="CI10" s="74"/>
      <c r="CJ10" s="74"/>
      <c r="CK10" s="74"/>
      <c r="CL10" s="74"/>
      <c r="CM10" s="74"/>
      <c r="CN10" s="74"/>
      <c r="CO10" s="74"/>
      <c r="CP10" s="74"/>
      <c r="CQ10" s="74"/>
      <c r="CR10" s="74"/>
      <c r="CS10" s="74"/>
      <c r="CT10" s="74"/>
      <c r="CU10" s="74"/>
      <c r="CV10" s="74"/>
      <c r="CW10" s="74"/>
      <c r="CX10" s="74"/>
      <c r="CY10" s="74"/>
      <c r="CZ10" s="74"/>
      <c r="DA10" s="74"/>
      <c r="DB10" s="74"/>
      <c r="DC10" s="74"/>
      <c r="DD10" s="74"/>
      <c r="DE10" s="74"/>
      <c r="DF10" s="74"/>
      <c r="DG10" s="74"/>
      <c r="DH10" s="74"/>
      <c r="DI10" s="74"/>
      <c r="DJ10" s="74"/>
      <c r="DK10" s="74"/>
      <c r="DL10" s="74"/>
      <c r="DM10" s="74"/>
      <c r="DN10" s="74"/>
      <c r="DO10" s="74"/>
      <c r="DP10" s="74"/>
      <c r="DQ10" s="74"/>
      <c r="DR10" s="74"/>
      <c r="DS10" s="74"/>
      <c r="DT10" s="74"/>
      <c r="DU10" s="74"/>
      <c r="DV10" s="74"/>
      <c r="DW10" s="74"/>
      <c r="DX10" s="74"/>
      <c r="DY10" s="74"/>
      <c r="DZ10" s="74"/>
      <c r="EA10" s="74"/>
      <c r="EB10" s="74"/>
      <c r="EC10" s="74"/>
      <c r="ED10" s="74"/>
      <c r="EE10" s="74"/>
      <c r="EF10" s="74"/>
      <c r="EG10" s="74"/>
      <c r="EH10" s="74"/>
      <c r="EI10" s="74"/>
      <c r="EJ10" s="74"/>
      <c r="EK10" s="74"/>
      <c r="EL10" s="74"/>
      <c r="EM10" s="74"/>
      <c r="EN10" s="74"/>
      <c r="EO10" s="74"/>
      <c r="EP10" s="74"/>
      <c r="EQ10" s="74"/>
      <c r="ER10" s="74"/>
      <c r="ES10" s="74"/>
    </row>
    <row r="11" spans="1:149">
      <c r="H11" s="107"/>
      <c r="I11" s="74"/>
      <c r="J11" s="74"/>
      <c r="K11" s="74"/>
      <c r="L11" s="74"/>
      <c r="M11" s="74"/>
      <c r="N11" s="74"/>
      <c r="O11" s="74"/>
      <c r="P11" s="74"/>
      <c r="Q11" s="74"/>
      <c r="R11" s="74"/>
      <c r="S11" s="74"/>
      <c r="T11" s="74"/>
      <c r="U11" s="74"/>
      <c r="V11" s="74"/>
      <c r="W11" s="74"/>
      <c r="X11" s="74"/>
      <c r="Y11" s="74"/>
      <c r="Z11" s="74"/>
      <c r="AA11" s="74"/>
      <c r="AB11" s="74"/>
      <c r="AC11" s="74"/>
      <c r="AD11" s="74"/>
      <c r="AE11" s="74"/>
      <c r="AF11" s="74"/>
      <c r="AG11" s="74"/>
      <c r="AH11" s="74"/>
      <c r="AI11" s="74"/>
      <c r="AJ11" s="74"/>
      <c r="AK11" s="74"/>
      <c r="AL11" s="74"/>
      <c r="AM11" s="74"/>
      <c r="AN11" s="74"/>
      <c r="AO11" s="74"/>
      <c r="AP11" s="74"/>
      <c r="AQ11" s="74"/>
      <c r="AR11" s="74"/>
      <c r="AS11" s="74"/>
      <c r="AT11" s="74"/>
      <c r="AU11" s="74"/>
      <c r="AV11" s="74"/>
      <c r="AW11" s="74"/>
      <c r="AX11" s="74"/>
      <c r="AY11" s="74"/>
      <c r="AZ11" s="74"/>
      <c r="BA11" s="74"/>
      <c r="BB11" s="74"/>
      <c r="BC11" s="74"/>
      <c r="BD11" s="74"/>
      <c r="BE11" s="74"/>
      <c r="BF11" s="74"/>
      <c r="BG11" s="74"/>
      <c r="BH11" s="74"/>
      <c r="BI11" s="74"/>
      <c r="BJ11" s="74"/>
      <c r="BK11" s="74"/>
      <c r="BL11" s="74"/>
      <c r="BM11" s="74"/>
      <c r="BN11" s="74"/>
      <c r="BO11" s="74"/>
      <c r="BP11" s="74"/>
      <c r="BQ11" s="74"/>
      <c r="BR11" s="74"/>
      <c r="BS11" s="74"/>
      <c r="BT11" s="74"/>
      <c r="BU11" s="74"/>
      <c r="BV11" s="74"/>
      <c r="BW11" s="74"/>
      <c r="BX11" s="74"/>
      <c r="BY11" s="74"/>
      <c r="BZ11" s="74"/>
      <c r="CA11" s="74"/>
      <c r="CB11" s="74"/>
      <c r="CC11" s="74"/>
      <c r="CD11" s="74"/>
      <c r="CE11" s="74"/>
      <c r="CF11" s="74"/>
      <c r="CG11" s="74"/>
      <c r="CH11" s="74"/>
      <c r="CI11" s="74"/>
      <c r="CJ11" s="74"/>
      <c r="CK11" s="74"/>
      <c r="CL11" s="74"/>
      <c r="CM11" s="74"/>
      <c r="CN11" s="74"/>
      <c r="CO11" s="74"/>
      <c r="CP11" s="74"/>
      <c r="CQ11" s="74"/>
      <c r="CR11" s="74"/>
      <c r="CS11" s="74"/>
      <c r="CT11" s="74"/>
      <c r="CU11" s="74"/>
      <c r="CV11" s="74"/>
      <c r="CW11" s="74"/>
      <c r="CX11" s="74"/>
      <c r="CY11" s="74"/>
      <c r="CZ11" s="74"/>
      <c r="DA11" s="74"/>
      <c r="DB11" s="74"/>
      <c r="DC11" s="74"/>
      <c r="DD11" s="74"/>
      <c r="DE11" s="74"/>
      <c r="DF11" s="74"/>
      <c r="DG11" s="74"/>
      <c r="DH11" s="74"/>
      <c r="DI11" s="74"/>
      <c r="DJ11" s="74"/>
      <c r="DK11" s="74"/>
      <c r="DL11" s="74"/>
      <c r="DM11" s="74"/>
      <c r="DN11" s="74"/>
      <c r="DO11" s="74"/>
      <c r="DP11" s="74"/>
      <c r="DQ11" s="74"/>
      <c r="DR11" s="74"/>
      <c r="DS11" s="74"/>
      <c r="DT11" s="74"/>
      <c r="DU11" s="74"/>
      <c r="DV11" s="74"/>
      <c r="DW11" s="74"/>
      <c r="DX11" s="74"/>
      <c r="DY11" s="74"/>
      <c r="DZ11" s="74"/>
      <c r="EA11" s="74"/>
      <c r="EB11" s="74"/>
      <c r="EC11" s="74"/>
      <c r="ED11" s="74"/>
      <c r="EE11" s="74"/>
      <c r="EF11" s="74"/>
      <c r="EG11" s="74"/>
      <c r="EH11" s="74"/>
      <c r="EI11" s="74"/>
      <c r="EJ11" s="74"/>
      <c r="EK11" s="74"/>
      <c r="EL11" s="74"/>
      <c r="EM11" s="74"/>
      <c r="EN11" s="74"/>
      <c r="EO11" s="74"/>
      <c r="EP11" s="74"/>
      <c r="EQ11" s="74"/>
      <c r="ER11" s="74"/>
      <c r="ES11" s="74"/>
    </row>
    <row r="12" spans="1:149" ht="13">
      <c r="A12" s="59" t="s">
        <v>395</v>
      </c>
      <c r="B12" s="59"/>
      <c r="C12" s="59" t="s">
        <v>379</v>
      </c>
      <c r="D12" s="98" t="s">
        <v>380</v>
      </c>
      <c r="E12" s="98" t="s">
        <v>381</v>
      </c>
      <c r="F12" s="59" t="s">
        <v>396</v>
      </c>
      <c r="H12" s="107"/>
      <c r="I12" s="84"/>
      <c r="J12" s="84"/>
      <c r="K12" s="84"/>
      <c r="L12" s="84"/>
      <c r="M12" s="84"/>
      <c r="N12" s="84"/>
      <c r="O12" s="84"/>
      <c r="P12" s="84"/>
      <c r="Q12" s="84"/>
      <c r="R12" s="84"/>
      <c r="S12" s="84"/>
      <c r="T12" s="84"/>
      <c r="U12" s="84"/>
      <c r="V12" s="84"/>
      <c r="W12" s="84"/>
      <c r="X12" s="84"/>
      <c r="Y12" s="84"/>
      <c r="Z12" s="84"/>
      <c r="AA12" s="84"/>
      <c r="AB12" s="84"/>
      <c r="AC12" s="84"/>
      <c r="AD12" s="84"/>
      <c r="AE12" s="84"/>
      <c r="AF12" s="84"/>
      <c r="AG12" s="84"/>
      <c r="AH12" s="84"/>
      <c r="AI12" s="84"/>
      <c r="AJ12" s="84"/>
      <c r="AK12" s="84"/>
      <c r="AL12" s="84"/>
      <c r="AM12" s="84"/>
      <c r="AN12" s="84"/>
      <c r="AO12" s="84"/>
      <c r="AP12" s="84"/>
      <c r="AQ12" s="84"/>
      <c r="AR12" s="84"/>
      <c r="AS12" s="84"/>
      <c r="AT12" s="84"/>
      <c r="AU12" s="84"/>
      <c r="AV12" s="84"/>
      <c r="AW12" s="84"/>
      <c r="AX12" s="84"/>
      <c r="AY12" s="84"/>
      <c r="AZ12" s="84"/>
      <c r="BA12" s="84"/>
      <c r="BB12" s="84"/>
      <c r="BC12" s="84"/>
      <c r="BD12" s="84"/>
      <c r="BE12" s="84"/>
      <c r="BF12" s="84"/>
      <c r="BG12" s="84"/>
      <c r="BH12" s="84"/>
      <c r="BI12" s="84"/>
      <c r="BJ12" s="84"/>
      <c r="BK12" s="84"/>
      <c r="BL12" s="84"/>
      <c r="BM12" s="84"/>
      <c r="BN12" s="84"/>
      <c r="BO12" s="84"/>
      <c r="BP12" s="84"/>
      <c r="BQ12" s="84"/>
      <c r="BR12" s="84"/>
      <c r="BS12" s="84"/>
      <c r="BT12" s="84"/>
      <c r="BU12" s="84"/>
      <c r="BV12" s="84"/>
      <c r="BW12" s="84"/>
      <c r="BX12" s="84"/>
      <c r="BY12" s="84"/>
      <c r="BZ12" s="84"/>
      <c r="CA12" s="84"/>
      <c r="CB12" s="84"/>
      <c r="CC12" s="84"/>
      <c r="CD12" s="84"/>
      <c r="CE12" s="84"/>
      <c r="CF12" s="84"/>
      <c r="CG12" s="84"/>
      <c r="CH12" s="84"/>
      <c r="CI12" s="84"/>
      <c r="CJ12" s="84"/>
      <c r="CK12" s="84"/>
      <c r="CL12" s="84"/>
      <c r="CM12" s="84"/>
      <c r="CN12" s="84"/>
      <c r="CO12" s="84"/>
      <c r="CP12" s="84"/>
      <c r="CQ12" s="84"/>
      <c r="CR12" s="84"/>
      <c r="CS12" s="84"/>
      <c r="CT12" s="84"/>
      <c r="CU12" s="84"/>
      <c r="CV12" s="84"/>
      <c r="CW12" s="84"/>
      <c r="CX12" s="84"/>
      <c r="CY12" s="84"/>
      <c r="CZ12" s="84"/>
      <c r="DA12" s="84"/>
      <c r="DB12" s="84"/>
      <c r="DC12" s="84"/>
      <c r="DD12" s="84"/>
      <c r="DE12" s="84"/>
      <c r="DF12" s="84"/>
      <c r="DG12" s="84"/>
      <c r="DH12" s="84"/>
      <c r="DI12" s="84"/>
      <c r="DJ12" s="84"/>
      <c r="DK12" s="84"/>
      <c r="DL12" s="84"/>
      <c r="DM12" s="84"/>
      <c r="DN12" s="84"/>
      <c r="DO12" s="84"/>
      <c r="DP12" s="84"/>
      <c r="DQ12" s="84"/>
      <c r="DR12" s="84"/>
      <c r="DS12" s="84"/>
      <c r="DT12" s="84"/>
      <c r="DU12" s="84"/>
      <c r="DV12" s="84"/>
      <c r="DW12" s="84"/>
      <c r="DX12" s="84"/>
      <c r="DY12" s="84"/>
      <c r="DZ12" s="84"/>
      <c r="EA12" s="84"/>
      <c r="EB12" s="84"/>
      <c r="EC12" s="84"/>
      <c r="ED12" s="84"/>
      <c r="EE12" s="84"/>
      <c r="EF12" s="84"/>
      <c r="EG12" s="84"/>
      <c r="EH12" s="84"/>
      <c r="EI12" s="84"/>
      <c r="EJ12" s="84"/>
      <c r="EK12" s="84"/>
      <c r="EL12" s="84"/>
      <c r="EM12" s="84"/>
      <c r="EN12" s="84"/>
      <c r="EO12" s="84"/>
      <c r="EP12" s="84"/>
      <c r="EQ12" s="84"/>
      <c r="ER12" s="84"/>
      <c r="ES12" s="84"/>
    </row>
    <row r="13" spans="1:149" ht="13">
      <c r="A13" s="107" t="s">
        <v>397</v>
      </c>
      <c r="B13" s="107" t="s">
        <v>114</v>
      </c>
      <c r="C13" s="60">
        <v>2</v>
      </c>
      <c r="D13" s="65">
        <v>42.08</v>
      </c>
      <c r="E13" s="60">
        <f>D13*C13</f>
        <v>84.16</v>
      </c>
      <c r="F13" s="328">
        <f>E13/D3</f>
        <v>0.83170273742464673</v>
      </c>
      <c r="H13" s="60" t="s">
        <v>399</v>
      </c>
      <c r="I13" s="74">
        <f>$F$13*(I8/1000)</f>
        <v>0.7901176005534144</v>
      </c>
      <c r="J13" s="74">
        <f t="shared" ref="J13:BU13" si="0">$F$13*(J8/1000)</f>
        <v>0.67367921731396385</v>
      </c>
      <c r="K13" s="74">
        <f t="shared" si="0"/>
        <v>0.64872813519122452</v>
      </c>
      <c r="L13" s="74">
        <f t="shared" si="0"/>
        <v>0.4657535329578022</v>
      </c>
      <c r="M13" s="74">
        <f t="shared" si="0"/>
        <v>0.56555786144875986</v>
      </c>
      <c r="N13" s="74">
        <f t="shared" si="0"/>
        <v>0.59882597094574563</v>
      </c>
      <c r="O13" s="74">
        <f t="shared" si="0"/>
        <v>0.64872813519122452</v>
      </c>
      <c r="P13" s="74">
        <f t="shared" si="0"/>
        <v>0.64872813519122452</v>
      </c>
      <c r="Q13" s="74">
        <f t="shared" si="0"/>
        <v>0.70694732681094974</v>
      </c>
      <c r="R13" s="74">
        <f t="shared" si="0"/>
        <v>0.71526435418519618</v>
      </c>
      <c r="S13" s="74">
        <f t="shared" si="0"/>
        <v>0.70694732681094974</v>
      </c>
      <c r="T13" s="74">
        <f t="shared" si="0"/>
        <v>0.78180057317916785</v>
      </c>
      <c r="U13" s="74">
        <f t="shared" si="0"/>
        <v>0.76516651843067507</v>
      </c>
      <c r="V13" s="74">
        <f t="shared" si="0"/>
        <v>0.77348354580492151</v>
      </c>
      <c r="W13" s="74">
        <f t="shared" si="0"/>
        <v>0.95645814803834361</v>
      </c>
      <c r="X13" s="74">
        <f t="shared" si="0"/>
        <v>0.88160490167012562</v>
      </c>
      <c r="Y13" s="74">
        <f t="shared" si="0"/>
        <v>0.90655598379286495</v>
      </c>
      <c r="Z13" s="74">
        <f t="shared" si="0"/>
        <v>0.76516651843067507</v>
      </c>
      <c r="AA13" s="74">
        <f t="shared" si="0"/>
        <v>0.78180057317916785</v>
      </c>
      <c r="AB13" s="74">
        <f t="shared" si="0"/>
        <v>0.78180057317916785</v>
      </c>
      <c r="AC13" s="74">
        <f t="shared" si="0"/>
        <v>0.78180057317916785</v>
      </c>
      <c r="AD13" s="74">
        <f t="shared" si="0"/>
        <v>0.84833679217313973</v>
      </c>
      <c r="AE13" s="74">
        <f t="shared" si="0"/>
        <v>0.79843462792766084</v>
      </c>
      <c r="AF13" s="74">
        <f t="shared" si="0"/>
        <v>0.74853246368218207</v>
      </c>
      <c r="AG13" s="74">
        <f t="shared" si="0"/>
        <v>0.7901176005534144</v>
      </c>
      <c r="AH13" s="74">
        <f t="shared" si="0"/>
        <v>0.99804328490957606</v>
      </c>
      <c r="AI13" s="74">
        <f t="shared" si="0"/>
        <v>1.0978476134005337</v>
      </c>
      <c r="AJ13" s="74">
        <f t="shared" si="0"/>
        <v>1.0728965312777943</v>
      </c>
      <c r="AK13" s="74">
        <f t="shared" si="0"/>
        <v>0.99804328490957606</v>
      </c>
      <c r="AL13" s="74">
        <f t="shared" si="0"/>
        <v>0.86497084692163262</v>
      </c>
      <c r="AM13" s="74">
        <f t="shared" si="0"/>
        <v>0.7901176005534144</v>
      </c>
      <c r="AN13" s="74">
        <f t="shared" si="0"/>
        <v>0.74021543630793563</v>
      </c>
      <c r="AO13" s="74">
        <f t="shared" si="0"/>
        <v>0.74021543630793563</v>
      </c>
      <c r="AP13" s="74">
        <f t="shared" si="0"/>
        <v>0.74021543630793563</v>
      </c>
      <c r="AQ13" s="74">
        <f t="shared" si="0"/>
        <v>0.70694732681094974</v>
      </c>
      <c r="AR13" s="74">
        <f t="shared" si="0"/>
        <v>0.73189840893368918</v>
      </c>
      <c r="AS13" s="74">
        <f t="shared" si="0"/>
        <v>0.73189840893368918</v>
      </c>
      <c r="AT13" s="74">
        <f t="shared" si="0"/>
        <v>0.81506868267615373</v>
      </c>
      <c r="AU13" s="74">
        <f t="shared" si="0"/>
        <v>0.76516651843067507</v>
      </c>
      <c r="AV13" s="74">
        <f t="shared" si="0"/>
        <v>0.78180057317916785</v>
      </c>
      <c r="AW13" s="74">
        <f t="shared" si="0"/>
        <v>0.74021543630793563</v>
      </c>
      <c r="AX13" s="74">
        <f t="shared" si="0"/>
        <v>0.62377705306848508</v>
      </c>
      <c r="AY13" s="74">
        <f t="shared" si="0"/>
        <v>0.60714299831999208</v>
      </c>
      <c r="AZ13" s="74">
        <f t="shared" si="0"/>
        <v>0.60714299831999208</v>
      </c>
      <c r="BA13" s="74">
        <f t="shared" si="0"/>
        <v>0.62710386401818363</v>
      </c>
      <c r="BB13" s="74">
        <f t="shared" si="0"/>
        <v>0.64706472971637519</v>
      </c>
      <c r="BC13" s="74">
        <f t="shared" si="0"/>
        <v>0.65288664887834769</v>
      </c>
      <c r="BD13" s="74">
        <f t="shared" si="0"/>
        <v>0.68615475837533346</v>
      </c>
      <c r="BE13" s="74">
        <f t="shared" si="0"/>
        <v>0.71027413776064829</v>
      </c>
      <c r="BF13" s="74">
        <f t="shared" si="0"/>
        <v>0.71027413776064829</v>
      </c>
      <c r="BG13" s="74">
        <f t="shared" si="0"/>
        <v>0.70029370491155252</v>
      </c>
      <c r="BH13" s="74">
        <f t="shared" si="0"/>
        <v>0.69031327206245674</v>
      </c>
      <c r="BI13" s="74">
        <f t="shared" si="0"/>
        <v>0.67700602826366241</v>
      </c>
      <c r="BJ13" s="74">
        <f t="shared" si="0"/>
        <v>0.66952070362684069</v>
      </c>
      <c r="BK13" s="74">
        <f t="shared" si="0"/>
        <v>0.66952070362684069</v>
      </c>
      <c r="BL13" s="74">
        <f t="shared" si="0"/>
        <v>0.6645304872022928</v>
      </c>
      <c r="BM13" s="74">
        <f t="shared" si="0"/>
        <v>0.6645304872022928</v>
      </c>
      <c r="BN13" s="74">
        <f t="shared" si="0"/>
        <v>0.66037197351516952</v>
      </c>
      <c r="BO13" s="74">
        <f t="shared" si="0"/>
        <v>0.66037197351516952</v>
      </c>
      <c r="BP13" s="74">
        <f t="shared" si="0"/>
        <v>0.6645304872022928</v>
      </c>
      <c r="BQ13" s="74">
        <f t="shared" si="0"/>
        <v>0.6645304872022928</v>
      </c>
      <c r="BR13" s="74">
        <f t="shared" si="0"/>
        <v>0.66868900088941596</v>
      </c>
      <c r="BS13" s="74">
        <f t="shared" si="0"/>
        <v>0.6645304872022928</v>
      </c>
      <c r="BT13" s="74">
        <f t="shared" si="0"/>
        <v>0.6645304872022928</v>
      </c>
      <c r="BU13" s="74">
        <f t="shared" si="0"/>
        <v>0.66369878446486807</v>
      </c>
      <c r="BV13" s="74">
        <f t="shared" ref="BV13:CR13" si="1">$F$13*(BV8/1000)</f>
        <v>0.66868900088941596</v>
      </c>
      <c r="BW13" s="74">
        <f t="shared" si="1"/>
        <v>0.69696689396185396</v>
      </c>
      <c r="BX13" s="74">
        <f t="shared" si="1"/>
        <v>0.76516651843067507</v>
      </c>
      <c r="BY13" s="74">
        <f t="shared" si="1"/>
        <v>0.78180057317916785</v>
      </c>
      <c r="BZ13" s="74">
        <f t="shared" si="1"/>
        <v>0.8300393319497974</v>
      </c>
      <c r="CA13" s="74">
        <f t="shared" si="1"/>
        <v>0.79843462792766084</v>
      </c>
      <c r="CB13" s="74">
        <f t="shared" si="1"/>
        <v>0.76017630200612718</v>
      </c>
      <c r="CC13" s="74">
        <f t="shared" si="1"/>
        <v>0.72358138155944263</v>
      </c>
      <c r="CD13" s="74">
        <f t="shared" si="1"/>
        <v>0.71526435418519618</v>
      </c>
      <c r="CE13" s="74">
        <f t="shared" si="1"/>
        <v>0.71526435418519618</v>
      </c>
      <c r="CF13" s="74">
        <f t="shared" si="1"/>
        <v>0.72108627334716868</v>
      </c>
      <c r="CG13" s="74">
        <f t="shared" si="1"/>
        <v>0.70278881312382646</v>
      </c>
      <c r="CH13" s="74">
        <f t="shared" si="1"/>
        <v>0.70195711038640185</v>
      </c>
      <c r="CI13" s="74">
        <f t="shared" si="1"/>
        <v>0.70195711038640185</v>
      </c>
      <c r="CJ13" s="74">
        <f t="shared" si="1"/>
        <v>0.70195711038640185</v>
      </c>
      <c r="CK13" s="74">
        <f t="shared" si="1"/>
        <v>0.70195711038640185</v>
      </c>
      <c r="CL13" s="74">
        <f t="shared" si="1"/>
        <v>0.6878181638501828</v>
      </c>
      <c r="CM13" s="74">
        <f t="shared" si="1"/>
        <v>0.68033283921336096</v>
      </c>
      <c r="CN13" s="74">
        <f t="shared" si="1"/>
        <v>0.67700602826366241</v>
      </c>
      <c r="CO13" s="74">
        <f t="shared" si="1"/>
        <v>0.67367921731396385</v>
      </c>
      <c r="CP13" s="74">
        <f t="shared" si="1"/>
        <v>0.6878181638501828</v>
      </c>
      <c r="CQ13" s="74">
        <f t="shared" si="1"/>
        <v>0.6878181638501828</v>
      </c>
      <c r="CR13" s="74">
        <f t="shared" si="1"/>
        <v>0.6878181638501828</v>
      </c>
      <c r="CS13" s="74">
        <f>$F$13*(CS8/1000)</f>
        <v>0.68033283921336096</v>
      </c>
      <c r="CT13" s="74">
        <f>$F$13*(CT8/1000)</f>
        <v>0.68033283921336096</v>
      </c>
      <c r="CU13" s="74">
        <f>$F$13*(CU8/1000)</f>
        <v>0.68033283921336096</v>
      </c>
      <c r="CV13" s="74">
        <f t="shared" ref="CV13:ES13" si="2">$F$13*(CV8/1000)</f>
        <v>0.70694732681094974</v>
      </c>
      <c r="CW13" s="74">
        <f t="shared" si="2"/>
        <v>0.7560177883190039</v>
      </c>
      <c r="CX13" s="74">
        <f t="shared" si="2"/>
        <v>0.7560177883190039</v>
      </c>
      <c r="CY13" s="74">
        <f t="shared" si="2"/>
        <v>0.76350311295582574</v>
      </c>
      <c r="CZ13" s="74">
        <f t="shared" si="2"/>
        <v>0.76350311295582574</v>
      </c>
      <c r="DA13" s="74">
        <f t="shared" si="2"/>
        <v>0.76350311295582574</v>
      </c>
      <c r="DB13" s="74">
        <f t="shared" si="2"/>
        <v>0.76350311295582574</v>
      </c>
      <c r="DC13" s="74">
        <f t="shared" si="2"/>
        <v>0.74354224725763418</v>
      </c>
      <c r="DD13" s="74">
        <f t="shared" si="2"/>
        <v>0.69031327206245674</v>
      </c>
      <c r="DE13" s="74">
        <f t="shared" si="2"/>
        <v>0.69031327206245674</v>
      </c>
      <c r="DF13" s="74">
        <f t="shared" si="2"/>
        <v>0.67284751457653924</v>
      </c>
      <c r="DG13" s="74">
        <f t="shared" si="2"/>
        <v>0.6645304872022928</v>
      </c>
      <c r="DH13" s="74">
        <f t="shared" si="2"/>
        <v>0.6645304872022928</v>
      </c>
      <c r="DI13" s="74">
        <f t="shared" si="2"/>
        <v>0.66868900088941596</v>
      </c>
      <c r="DJ13" s="74">
        <f t="shared" si="2"/>
        <v>0.6819962446882103</v>
      </c>
      <c r="DK13" s="74">
        <f t="shared" si="2"/>
        <v>0.68365965016305963</v>
      </c>
      <c r="DL13" s="74">
        <f t="shared" si="2"/>
        <v>0.68864986658760741</v>
      </c>
      <c r="DM13" s="74">
        <f t="shared" si="2"/>
        <v>0.6936400830121553</v>
      </c>
      <c r="DN13" s="74">
        <f t="shared" si="2"/>
        <v>0.68116454195078568</v>
      </c>
      <c r="DO13" s="74">
        <f t="shared" si="2"/>
        <v>0.68532305563790885</v>
      </c>
      <c r="DP13" s="74">
        <f t="shared" si="2"/>
        <v>0.68532305563790885</v>
      </c>
      <c r="DQ13" s="74">
        <f t="shared" si="2"/>
        <v>0.68532305563790885</v>
      </c>
      <c r="DR13" s="74">
        <f t="shared" si="2"/>
        <v>0.68532305563790885</v>
      </c>
      <c r="DS13" s="74">
        <f t="shared" si="2"/>
        <v>0.68948156932503213</v>
      </c>
      <c r="DT13" s="74">
        <f t="shared" si="2"/>
        <v>0</v>
      </c>
      <c r="DU13" s="74">
        <f t="shared" si="2"/>
        <v>0</v>
      </c>
      <c r="DV13" s="74">
        <f t="shared" si="2"/>
        <v>0</v>
      </c>
      <c r="DW13" s="74">
        <f t="shared" si="2"/>
        <v>0</v>
      </c>
      <c r="DX13" s="74">
        <f t="shared" si="2"/>
        <v>0</v>
      </c>
      <c r="DY13" s="74">
        <f t="shared" si="2"/>
        <v>0</v>
      </c>
      <c r="DZ13" s="74">
        <f t="shared" si="2"/>
        <v>0</v>
      </c>
      <c r="EA13" s="74">
        <f t="shared" si="2"/>
        <v>0</v>
      </c>
      <c r="EB13" s="74">
        <f t="shared" si="2"/>
        <v>0</v>
      </c>
      <c r="EC13" s="74">
        <f t="shared" si="2"/>
        <v>0</v>
      </c>
      <c r="ED13" s="74">
        <f t="shared" si="2"/>
        <v>0</v>
      </c>
      <c r="EE13" s="74">
        <f t="shared" si="2"/>
        <v>0</v>
      </c>
      <c r="EF13" s="74">
        <f t="shared" si="2"/>
        <v>0</v>
      </c>
      <c r="EG13" s="74">
        <f t="shared" si="2"/>
        <v>0</v>
      </c>
      <c r="EH13" s="74">
        <f t="shared" si="2"/>
        <v>0</v>
      </c>
      <c r="EI13" s="74">
        <f t="shared" si="2"/>
        <v>0</v>
      </c>
      <c r="EJ13" s="74">
        <f t="shared" si="2"/>
        <v>0</v>
      </c>
      <c r="EK13" s="74">
        <f t="shared" si="2"/>
        <v>0</v>
      </c>
      <c r="EL13" s="74">
        <f t="shared" si="2"/>
        <v>0</v>
      </c>
      <c r="EM13" s="74">
        <f t="shared" si="2"/>
        <v>0</v>
      </c>
      <c r="EN13" s="74">
        <f t="shared" si="2"/>
        <v>0</v>
      </c>
      <c r="EO13" s="74">
        <f t="shared" si="2"/>
        <v>0</v>
      </c>
      <c r="EP13" s="74">
        <f t="shared" si="2"/>
        <v>0</v>
      </c>
      <c r="EQ13" s="74">
        <f t="shared" si="2"/>
        <v>0</v>
      </c>
      <c r="ER13" s="74">
        <f t="shared" si="2"/>
        <v>0</v>
      </c>
      <c r="ES13" s="74">
        <f t="shared" si="2"/>
        <v>0</v>
      </c>
    </row>
    <row r="14" spans="1:149" ht="13">
      <c r="A14" s="67"/>
      <c r="B14" s="107" t="s">
        <v>444</v>
      </c>
      <c r="C14" s="60">
        <v>1</v>
      </c>
      <c r="D14" s="77">
        <v>17.03</v>
      </c>
      <c r="E14" s="60">
        <f>D14*C14</f>
        <v>17.03</v>
      </c>
      <c r="F14" s="328">
        <f>E14/D3</f>
        <v>0.16829726257535332</v>
      </c>
      <c r="I14" s="74">
        <f>$F$14*I9</f>
        <v>8.5200605411886121E-2</v>
      </c>
      <c r="J14" s="74">
        <f t="shared" ref="J14:BU14" si="3">$F$14*J9</f>
        <v>8.5166919603287511E-2</v>
      </c>
      <c r="K14" s="74">
        <f t="shared" si="3"/>
        <v>8.1735594135035311E-2</v>
      </c>
      <c r="L14" s="74">
        <f t="shared" si="3"/>
        <v>7.843479023973958E-2</v>
      </c>
      <c r="M14" s="74">
        <f t="shared" si="3"/>
        <v>7.9581669533575955E-2</v>
      </c>
      <c r="N14" s="74">
        <f t="shared" si="3"/>
        <v>7.4300030205796119E-2</v>
      </c>
      <c r="O14" s="74">
        <f t="shared" si="3"/>
        <v>7.3085667958972422E-2</v>
      </c>
      <c r="P14" s="74">
        <f t="shared" si="3"/>
        <v>7.1587330884901476E-2</v>
      </c>
      <c r="Q14" s="74">
        <f t="shared" si="3"/>
        <v>7.2761203382857034E-2</v>
      </c>
      <c r="R14" s="74">
        <f t="shared" si="3"/>
        <v>7.2195262666345364E-2</v>
      </c>
      <c r="S14" s="74">
        <f t="shared" si="3"/>
        <v>7.1499847885038381E-2</v>
      </c>
      <c r="T14" s="74">
        <f t="shared" si="3"/>
        <v>7.5861592016325585E-2</v>
      </c>
      <c r="U14" s="74">
        <f t="shared" si="3"/>
        <v>8.016347116607149E-2</v>
      </c>
      <c r="V14" s="74">
        <f t="shared" si="3"/>
        <v>8.5535696638572425E-2</v>
      </c>
      <c r="W14" s="74">
        <f t="shared" si="3"/>
        <v>8.5535696638572425E-2</v>
      </c>
      <c r="X14" s="74">
        <f t="shared" si="3"/>
        <v>8.9799249346373969E-2</v>
      </c>
      <c r="Y14" s="74">
        <f t="shared" si="3"/>
        <v>9.9944449447479447E-2</v>
      </c>
      <c r="Z14" s="74">
        <f t="shared" si="3"/>
        <v>0.10675410434413782</v>
      </c>
      <c r="AA14" s="74">
        <f t="shared" si="3"/>
        <v>0.12216977642250255</v>
      </c>
      <c r="AB14" s="74">
        <f t="shared" si="3"/>
        <v>0.12267095880521521</v>
      </c>
      <c r="AC14" s="74">
        <f t="shared" si="3"/>
        <v>0.1259923611360502</v>
      </c>
      <c r="AD14" s="74">
        <f t="shared" si="3"/>
        <v>0.13323844304089266</v>
      </c>
      <c r="AE14" s="74">
        <f t="shared" si="3"/>
        <v>0.13815072960862371</v>
      </c>
      <c r="AF14" s="74">
        <f t="shared" si="3"/>
        <v>0.14240404485172284</v>
      </c>
      <c r="AG14" s="74">
        <f t="shared" si="3"/>
        <v>0.17780248361770273</v>
      </c>
      <c r="AH14" s="74">
        <f t="shared" si="3"/>
        <v>0.20294074130112763</v>
      </c>
      <c r="AI14" s="74">
        <f t="shared" si="3"/>
        <v>0.22352497764465351</v>
      </c>
      <c r="AJ14" s="74">
        <f t="shared" si="3"/>
        <v>0.21215257503760171</v>
      </c>
      <c r="AK14" s="74">
        <f t="shared" si="3"/>
        <v>0.18920141065446763</v>
      </c>
      <c r="AL14" s="74">
        <f t="shared" si="3"/>
        <v>0.18815275457599651</v>
      </c>
      <c r="AM14" s="74">
        <f t="shared" si="3"/>
        <v>0.1822545325161965</v>
      </c>
      <c r="AN14" s="74">
        <f t="shared" si="3"/>
        <v>0.18268698551094026</v>
      </c>
      <c r="AO14" s="74">
        <f t="shared" si="3"/>
        <v>0.1775506062970407</v>
      </c>
      <c r="AP14" s="74">
        <f t="shared" si="3"/>
        <v>0.18075135818260002</v>
      </c>
      <c r="AQ14" s="74">
        <f t="shared" si="3"/>
        <v>0.19160968623687352</v>
      </c>
      <c r="AR14" s="74">
        <f t="shared" si="3"/>
        <v>0.18204400623911043</v>
      </c>
      <c r="AS14" s="74">
        <f t="shared" si="3"/>
        <v>0.1678871197335679</v>
      </c>
      <c r="AT14" s="74">
        <f t="shared" si="3"/>
        <v>0.15575176528633863</v>
      </c>
      <c r="AU14" s="74">
        <f t="shared" si="3"/>
        <v>0.15165303462090868</v>
      </c>
      <c r="AV14" s="74">
        <f t="shared" si="3"/>
        <v>0.12583103142869992</v>
      </c>
      <c r="AW14" s="74">
        <f t="shared" si="3"/>
        <v>0.11886318929746897</v>
      </c>
      <c r="AX14" s="74">
        <f t="shared" si="3"/>
        <v>0.10403830777385478</v>
      </c>
      <c r="AY14" s="74">
        <f t="shared" si="3"/>
        <v>0.1041140270662666</v>
      </c>
      <c r="AZ14" s="74">
        <f t="shared" si="3"/>
        <v>0.10444342165177682</v>
      </c>
      <c r="BA14" s="74">
        <f t="shared" si="3"/>
        <v>0.10477490712088647</v>
      </c>
      <c r="BB14" s="74">
        <f t="shared" si="3"/>
        <v>0.10025001052993328</v>
      </c>
      <c r="BC14" s="74">
        <f t="shared" si="3"/>
        <v>9.9560133601259371E-2</v>
      </c>
      <c r="BD14" s="74">
        <f t="shared" si="3"/>
        <v>9.9057848242550289E-2</v>
      </c>
      <c r="BE14" s="74">
        <f t="shared" si="3"/>
        <v>9.9057848242550289E-2</v>
      </c>
      <c r="BF14" s="74">
        <f t="shared" si="3"/>
        <v>9.9776961478430876E-2</v>
      </c>
      <c r="BG14" s="74">
        <f t="shared" si="3"/>
        <v>9.9296398148010986E-2</v>
      </c>
      <c r="BH14" s="74">
        <f t="shared" si="3"/>
        <v>9.5369801555842848E-2</v>
      </c>
      <c r="BI14" s="74">
        <f t="shared" si="3"/>
        <v>9.944008038336323E-2</v>
      </c>
      <c r="BJ14" s="74">
        <f t="shared" si="3"/>
        <v>9.9045950831039065E-2</v>
      </c>
      <c r="BK14" s="74">
        <f t="shared" si="3"/>
        <v>0.11527209765435159</v>
      </c>
      <c r="BL14" s="74">
        <f t="shared" si="3"/>
        <v>0.11523055815970137</v>
      </c>
      <c r="BM14" s="74">
        <f t="shared" si="3"/>
        <v>0.11136127817185314</v>
      </c>
      <c r="BN14" s="74">
        <f t="shared" si="3"/>
        <v>0.117238064248985</v>
      </c>
      <c r="BO14" s="74">
        <f t="shared" si="3"/>
        <v>0.1172944151570595</v>
      </c>
      <c r="BP14" s="74">
        <f t="shared" si="3"/>
        <v>0.11733671390035452</v>
      </c>
      <c r="BQ14" s="74">
        <f t="shared" si="3"/>
        <v>0.11733671390035452</v>
      </c>
      <c r="BR14" s="74">
        <f t="shared" si="3"/>
        <v>0.11713958033565934</v>
      </c>
      <c r="BS14" s="74">
        <f t="shared" si="3"/>
        <v>0.11704126174305148</v>
      </c>
      <c r="BT14" s="74">
        <f t="shared" si="3"/>
        <v>0.10700281809613396</v>
      </c>
      <c r="BU14" s="74">
        <f t="shared" si="3"/>
        <v>0.109178906524136</v>
      </c>
      <c r="BV14" s="74">
        <f t="shared" ref="BV14:CR14" si="4">$F$14*BV9</f>
        <v>0.10907407800130918</v>
      </c>
      <c r="BW14" s="74">
        <f t="shared" si="4"/>
        <v>0.10627383070971914</v>
      </c>
      <c r="BX14" s="74">
        <f t="shared" si="4"/>
        <v>0.11132109971911523</v>
      </c>
      <c r="BY14" s="74">
        <f t="shared" si="4"/>
        <v>0.1111873806804136</v>
      </c>
      <c r="BZ14" s="74">
        <f t="shared" si="4"/>
        <v>0.11346793527835042</v>
      </c>
      <c r="CA14" s="74">
        <f t="shared" si="4"/>
        <v>0.11354996029180464</v>
      </c>
      <c r="CB14" s="74">
        <f t="shared" si="4"/>
        <v>0.11353628122177792</v>
      </c>
      <c r="CC14" s="74">
        <f t="shared" si="4"/>
        <v>0.11368693249963555</v>
      </c>
      <c r="CD14" s="74">
        <f t="shared" si="4"/>
        <v>0.11368693249963555</v>
      </c>
      <c r="CE14" s="74">
        <f t="shared" si="4"/>
        <v>0.10785677045337032</v>
      </c>
      <c r="CF14" s="74">
        <f t="shared" si="4"/>
        <v>0.10777857559803922</v>
      </c>
      <c r="CG14" s="74">
        <f t="shared" si="4"/>
        <v>0.10713133457234837</v>
      </c>
      <c r="CH14" s="74">
        <f t="shared" si="4"/>
        <v>0.1069643232581092</v>
      </c>
      <c r="CI14" s="74">
        <f t="shared" si="4"/>
        <v>0.10719570864672187</v>
      </c>
      <c r="CJ14" s="74">
        <f t="shared" si="4"/>
        <v>0.10695149779968495</v>
      </c>
      <c r="CK14" s="74">
        <f t="shared" si="4"/>
        <v>0.10668287186333844</v>
      </c>
      <c r="CL14" s="74">
        <f t="shared" si="4"/>
        <v>0.11096079407389633</v>
      </c>
      <c r="CM14" s="74">
        <f t="shared" si="4"/>
        <v>0.11085448433107105</v>
      </c>
      <c r="CN14" s="74">
        <f t="shared" si="4"/>
        <v>0.11105398250323255</v>
      </c>
      <c r="CO14" s="74">
        <f t="shared" si="4"/>
        <v>0.10499649254851078</v>
      </c>
      <c r="CP14" s="74">
        <f t="shared" si="4"/>
        <v>0.10499649254851078</v>
      </c>
      <c r="CQ14" s="74">
        <f t="shared" si="4"/>
        <v>0.10499649254851078</v>
      </c>
      <c r="CR14" s="74">
        <f t="shared" si="4"/>
        <v>0.1043206300383642</v>
      </c>
      <c r="CS14" s="74">
        <f>$F$14*CS9</f>
        <v>0.10896945058835826</v>
      </c>
      <c r="CT14" s="74">
        <f t="shared" ref="CT14:ES14" si="5">$F$14*CT9</f>
        <v>0.10883894825232431</v>
      </c>
      <c r="CU14" s="74">
        <f t="shared" si="5"/>
        <v>0.11293764774379611</v>
      </c>
      <c r="CV14" s="74">
        <f t="shared" si="5"/>
        <v>0.11291058708781343</v>
      </c>
      <c r="CW14" s="74">
        <f t="shared" si="5"/>
        <v>0.11280247401819014</v>
      </c>
      <c r="CX14" s="74">
        <f t="shared" si="5"/>
        <v>0.11058959906385225</v>
      </c>
      <c r="CY14" s="74">
        <f t="shared" si="5"/>
        <v>0.11054997541674946</v>
      </c>
      <c r="CZ14" s="74">
        <f t="shared" si="5"/>
        <v>0.11426973158779201</v>
      </c>
      <c r="DA14" s="74">
        <f t="shared" si="5"/>
        <v>0.11425612156735517</v>
      </c>
      <c r="DB14" s="74">
        <f t="shared" si="5"/>
        <v>0.11433783035512679</v>
      </c>
      <c r="DC14" s="74">
        <f t="shared" si="5"/>
        <v>0.11435145984974537</v>
      </c>
      <c r="DD14" s="74">
        <f t="shared" si="5"/>
        <v>0.10523590144361659</v>
      </c>
      <c r="DE14" s="74">
        <f t="shared" si="5"/>
        <v>0.10523590144361659</v>
      </c>
      <c r="DF14" s="74">
        <f t="shared" si="5"/>
        <v>9.967354029049999E-2</v>
      </c>
      <c r="DG14" s="74">
        <f t="shared" si="5"/>
        <v>9.9578227318670678E-2</v>
      </c>
      <c r="DH14" s="74">
        <f t="shared" si="5"/>
        <v>9.921060494795747E-2</v>
      </c>
      <c r="DI14" s="74">
        <f t="shared" si="5"/>
        <v>0.10109446604086289</v>
      </c>
      <c r="DJ14" s="74">
        <f t="shared" si="5"/>
        <v>0.10109446604086289</v>
      </c>
      <c r="DK14" s="74">
        <f t="shared" si="5"/>
        <v>0.10108244243643368</v>
      </c>
      <c r="DL14" s="74">
        <f t="shared" si="5"/>
        <v>0.10103437660550812</v>
      </c>
      <c r="DM14" s="74">
        <f t="shared" si="5"/>
        <v>0.10069919146985003</v>
      </c>
      <c r="DN14" s="74">
        <f t="shared" si="5"/>
        <v>0.10385021542563633</v>
      </c>
      <c r="DO14" s="74">
        <f t="shared" si="5"/>
        <v>0.10340845626749821</v>
      </c>
      <c r="DP14" s="74">
        <f t="shared" si="5"/>
        <v>0.10730962544655896</v>
      </c>
      <c r="DQ14" s="74">
        <f t="shared" si="5"/>
        <v>0.10614055814902043</v>
      </c>
      <c r="DR14" s="74">
        <f t="shared" si="5"/>
        <v>0.10602806815569245</v>
      </c>
      <c r="DS14" s="74">
        <f t="shared" si="5"/>
        <v>0.10570443235244661</v>
      </c>
      <c r="DT14" s="74">
        <f t="shared" si="5"/>
        <v>0</v>
      </c>
      <c r="DU14" s="74">
        <f t="shared" si="5"/>
        <v>0</v>
      </c>
      <c r="DV14" s="74">
        <f t="shared" si="5"/>
        <v>0</v>
      </c>
      <c r="DW14" s="74">
        <f t="shared" si="5"/>
        <v>0</v>
      </c>
      <c r="DX14" s="74">
        <f t="shared" si="5"/>
        <v>0</v>
      </c>
      <c r="DY14" s="74">
        <f t="shared" si="5"/>
        <v>0</v>
      </c>
      <c r="DZ14" s="74">
        <f t="shared" si="5"/>
        <v>0</v>
      </c>
      <c r="EA14" s="74">
        <f t="shared" si="5"/>
        <v>0</v>
      </c>
      <c r="EB14" s="74">
        <f t="shared" si="5"/>
        <v>0</v>
      </c>
      <c r="EC14" s="74">
        <f t="shared" si="5"/>
        <v>0</v>
      </c>
      <c r="ED14" s="74">
        <f t="shared" si="5"/>
        <v>0</v>
      </c>
      <c r="EE14" s="74">
        <f t="shared" si="5"/>
        <v>0</v>
      </c>
      <c r="EF14" s="74">
        <f t="shared" si="5"/>
        <v>0</v>
      </c>
      <c r="EG14" s="74">
        <f t="shared" si="5"/>
        <v>0</v>
      </c>
      <c r="EH14" s="74">
        <f t="shared" si="5"/>
        <v>0</v>
      </c>
      <c r="EI14" s="74">
        <f t="shared" si="5"/>
        <v>0</v>
      </c>
      <c r="EJ14" s="74">
        <f t="shared" si="5"/>
        <v>0</v>
      </c>
      <c r="EK14" s="74">
        <f t="shared" si="5"/>
        <v>0</v>
      </c>
      <c r="EL14" s="74">
        <f t="shared" si="5"/>
        <v>0</v>
      </c>
      <c r="EM14" s="74">
        <f t="shared" si="5"/>
        <v>0</v>
      </c>
      <c r="EN14" s="74">
        <f t="shared" si="5"/>
        <v>0</v>
      </c>
      <c r="EO14" s="74">
        <f t="shared" si="5"/>
        <v>0</v>
      </c>
      <c r="EP14" s="74">
        <f t="shared" si="5"/>
        <v>0</v>
      </c>
      <c r="EQ14" s="74">
        <f t="shared" si="5"/>
        <v>0</v>
      </c>
      <c r="ER14" s="74">
        <f t="shared" si="5"/>
        <v>0</v>
      </c>
      <c r="ES14" s="74">
        <f t="shared" si="5"/>
        <v>0</v>
      </c>
    </row>
    <row r="15" spans="1:149">
      <c r="A15" s="67"/>
      <c r="B15" s="107"/>
      <c r="D15" s="77"/>
      <c r="F15" s="328"/>
      <c r="I15" s="74"/>
      <c r="J15" s="74"/>
      <c r="K15" s="74"/>
      <c r="L15" s="74"/>
      <c r="M15" s="74"/>
      <c r="N15" s="74"/>
      <c r="O15" s="74"/>
      <c r="P15" s="74"/>
      <c r="Q15" s="74"/>
      <c r="R15" s="74"/>
      <c r="S15" s="74"/>
      <c r="T15" s="74"/>
      <c r="U15" s="74"/>
      <c r="V15" s="74"/>
      <c r="W15" s="74"/>
      <c r="X15" s="74"/>
      <c r="Y15" s="74"/>
      <c r="Z15" s="74"/>
      <c r="AA15" s="74"/>
      <c r="AB15" s="74"/>
      <c r="AC15" s="74"/>
      <c r="AD15" s="74"/>
      <c r="AE15" s="74"/>
      <c r="AF15" s="74"/>
      <c r="AG15" s="74"/>
      <c r="AH15" s="74"/>
      <c r="AI15" s="74"/>
      <c r="AJ15" s="74"/>
      <c r="AK15" s="74"/>
      <c r="AL15" s="74"/>
      <c r="AM15" s="74"/>
      <c r="AN15" s="74"/>
      <c r="AO15" s="74"/>
      <c r="AP15" s="74"/>
      <c r="AQ15" s="74"/>
      <c r="AR15" s="74"/>
      <c r="AS15" s="74"/>
      <c r="AT15" s="74"/>
      <c r="AU15" s="74"/>
      <c r="AV15" s="74"/>
      <c r="AW15" s="74"/>
      <c r="AX15" s="74"/>
      <c r="AY15" s="74"/>
      <c r="AZ15" s="74"/>
      <c r="BA15" s="74"/>
      <c r="BB15" s="74"/>
      <c r="BC15" s="74"/>
      <c r="BD15" s="74"/>
      <c r="BE15" s="74"/>
      <c r="BF15" s="74"/>
      <c r="BG15" s="74"/>
      <c r="BH15" s="74"/>
      <c r="BI15" s="74"/>
      <c r="BJ15" s="74"/>
      <c r="BK15" s="74"/>
      <c r="BL15" s="74"/>
      <c r="BM15" s="74"/>
      <c r="BN15" s="74"/>
      <c r="BO15" s="74"/>
      <c r="BP15" s="74"/>
      <c r="BQ15" s="74"/>
      <c r="BR15" s="74"/>
      <c r="BS15" s="74"/>
      <c r="BT15" s="74"/>
      <c r="BU15" s="74"/>
      <c r="BV15" s="74"/>
      <c r="BW15" s="74"/>
      <c r="BX15" s="74"/>
      <c r="BY15" s="74"/>
      <c r="BZ15" s="74"/>
      <c r="CA15" s="74"/>
      <c r="CB15" s="74"/>
      <c r="CC15" s="74"/>
      <c r="CD15" s="74"/>
      <c r="CE15" s="74"/>
      <c r="CF15" s="74"/>
      <c r="CG15" s="74"/>
      <c r="CH15" s="74"/>
      <c r="CI15" s="74"/>
      <c r="CJ15" s="74"/>
      <c r="CK15" s="74"/>
      <c r="CL15" s="74"/>
      <c r="CM15" s="74"/>
      <c r="CN15" s="74"/>
      <c r="CO15" s="74"/>
      <c r="CP15" s="74"/>
      <c r="CQ15" s="74"/>
      <c r="CR15" s="74"/>
      <c r="CS15" s="74"/>
      <c r="CT15" s="74"/>
      <c r="CU15" s="74"/>
      <c r="CV15" s="74"/>
      <c r="CW15" s="74"/>
      <c r="CX15" s="74"/>
      <c r="CY15" s="74"/>
      <c r="CZ15" s="74"/>
      <c r="DA15" s="74"/>
      <c r="DB15" s="74"/>
      <c r="DC15" s="74"/>
      <c r="DD15" s="74"/>
      <c r="DE15" s="74"/>
      <c r="DF15" s="74"/>
      <c r="DG15" s="74"/>
      <c r="DH15" s="74"/>
      <c r="DI15" s="74"/>
      <c r="DJ15" s="74"/>
      <c r="DK15" s="74"/>
      <c r="DL15" s="74"/>
      <c r="DM15" s="74"/>
      <c r="DN15" s="74"/>
      <c r="DO15" s="74"/>
      <c r="DP15" s="74"/>
      <c r="DQ15" s="74"/>
      <c r="DR15" s="74"/>
      <c r="DS15" s="74"/>
      <c r="DT15" s="74"/>
      <c r="DU15" s="74"/>
      <c r="DV15" s="74"/>
      <c r="DW15" s="74"/>
      <c r="DX15" s="74"/>
      <c r="DY15" s="74"/>
      <c r="DZ15" s="74"/>
      <c r="EA15" s="74"/>
      <c r="EB15" s="74"/>
      <c r="EC15" s="74"/>
      <c r="ED15" s="74"/>
      <c r="EE15" s="74"/>
      <c r="EF15" s="74"/>
      <c r="EG15" s="74"/>
      <c r="EH15" s="74"/>
      <c r="EI15" s="74"/>
      <c r="EJ15" s="74"/>
      <c r="EK15" s="74"/>
      <c r="EL15" s="74"/>
      <c r="EM15" s="74"/>
      <c r="EN15" s="74"/>
      <c r="EO15" s="74"/>
      <c r="EP15" s="74"/>
      <c r="EQ15" s="74"/>
      <c r="ER15" s="74"/>
      <c r="ES15" s="74"/>
    </row>
    <row r="16" spans="1:149">
      <c r="A16" s="67"/>
      <c r="B16" s="107"/>
      <c r="D16" s="77"/>
      <c r="F16" s="328"/>
      <c r="I16" s="74"/>
      <c r="J16" s="74"/>
      <c r="K16" s="74"/>
      <c r="L16" s="74"/>
      <c r="M16" s="74"/>
      <c r="N16" s="74"/>
      <c r="O16" s="74"/>
      <c r="P16" s="74"/>
      <c r="Q16" s="74"/>
      <c r="R16" s="74"/>
      <c r="S16" s="74"/>
      <c r="T16" s="74"/>
      <c r="U16" s="74"/>
      <c r="V16" s="74"/>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c r="BM16" s="74"/>
      <c r="BN16" s="74"/>
      <c r="BO16" s="74"/>
      <c r="BP16" s="74"/>
      <c r="BQ16" s="74"/>
      <c r="BR16" s="74"/>
      <c r="BS16" s="74"/>
      <c r="BT16" s="74"/>
      <c r="BU16" s="74"/>
      <c r="BV16" s="74"/>
      <c r="BW16" s="74"/>
      <c r="BX16" s="74"/>
      <c r="BY16" s="74"/>
      <c r="BZ16" s="74"/>
      <c r="CA16" s="74"/>
      <c r="CB16" s="74"/>
      <c r="CC16" s="74"/>
      <c r="CD16" s="74"/>
      <c r="CE16" s="74"/>
      <c r="CF16" s="74"/>
      <c r="CG16" s="74"/>
      <c r="CH16" s="74"/>
      <c r="CI16" s="74"/>
      <c r="CJ16" s="74"/>
      <c r="CK16" s="74"/>
      <c r="CL16" s="74"/>
      <c r="CM16" s="74"/>
      <c r="CN16" s="74"/>
      <c r="CO16" s="74"/>
      <c r="CP16" s="74"/>
      <c r="CQ16" s="74"/>
      <c r="CR16" s="74"/>
      <c r="CS16" s="74"/>
      <c r="CT16" s="74"/>
      <c r="CU16" s="74"/>
      <c r="CV16" s="74"/>
      <c r="CW16" s="74"/>
      <c r="CX16" s="74"/>
      <c r="CY16" s="74"/>
      <c r="CZ16" s="74"/>
      <c r="DA16" s="74"/>
      <c r="DB16" s="74"/>
      <c r="DC16" s="74"/>
      <c r="DD16" s="74"/>
      <c r="DE16" s="74"/>
      <c r="DF16" s="74"/>
      <c r="DG16" s="74"/>
      <c r="DH16" s="74"/>
      <c r="DI16" s="74"/>
      <c r="DJ16" s="74"/>
      <c r="DK16" s="74"/>
      <c r="DL16" s="74"/>
      <c r="DM16" s="74"/>
      <c r="DN16" s="74"/>
      <c r="DO16" s="74"/>
      <c r="DP16" s="74"/>
      <c r="DQ16" s="74"/>
      <c r="DR16" s="74"/>
      <c r="DS16" s="74"/>
      <c r="DT16" s="74"/>
      <c r="DU16" s="74"/>
      <c r="DV16" s="74"/>
      <c r="DW16" s="74"/>
      <c r="DX16" s="74"/>
      <c r="DY16" s="74"/>
      <c r="DZ16" s="74"/>
      <c r="EA16" s="74"/>
      <c r="EB16" s="74"/>
      <c r="EC16" s="74"/>
      <c r="ED16" s="74"/>
      <c r="EE16" s="74"/>
      <c r="EF16" s="74"/>
      <c r="EG16" s="74"/>
      <c r="EH16" s="74"/>
      <c r="EI16" s="74"/>
      <c r="EJ16" s="74"/>
      <c r="EK16" s="74"/>
      <c r="EL16" s="74"/>
      <c r="EM16" s="74"/>
      <c r="EN16" s="74"/>
      <c r="EO16" s="74"/>
      <c r="EP16" s="74"/>
      <c r="EQ16" s="74"/>
      <c r="ER16" s="74"/>
      <c r="ES16" s="74"/>
    </row>
    <row r="17" spans="1:149">
      <c r="A17" s="67"/>
      <c r="B17" s="107"/>
      <c r="D17" s="77"/>
      <c r="F17" s="65"/>
      <c r="I17" s="74"/>
      <c r="J17" s="74"/>
      <c r="K17" s="74"/>
      <c r="L17" s="74"/>
      <c r="M17" s="74"/>
      <c r="N17" s="74"/>
      <c r="O17" s="74"/>
      <c r="P17" s="74"/>
      <c r="Q17" s="74"/>
      <c r="R17" s="74"/>
      <c r="S17" s="74"/>
      <c r="T17" s="74"/>
      <c r="U17" s="74"/>
      <c r="V17" s="74"/>
      <c r="W17" s="74"/>
      <c r="X17" s="74"/>
      <c r="Y17" s="74"/>
      <c r="Z17" s="74"/>
      <c r="AA17" s="74"/>
      <c r="AB17" s="74"/>
      <c r="AC17" s="74"/>
      <c r="AD17" s="74"/>
      <c r="AE17" s="74"/>
      <c r="AF17" s="74"/>
      <c r="AG17" s="74"/>
      <c r="AH17" s="74"/>
      <c r="AI17" s="74"/>
      <c r="AJ17" s="74"/>
      <c r="AK17" s="74"/>
      <c r="AL17" s="74"/>
      <c r="AM17" s="74"/>
      <c r="AN17" s="74"/>
      <c r="AO17" s="74"/>
      <c r="AP17" s="74"/>
      <c r="AQ17" s="74"/>
      <c r="AR17" s="74"/>
      <c r="AS17" s="74"/>
      <c r="AT17" s="74"/>
      <c r="AU17" s="74"/>
      <c r="AV17" s="74"/>
      <c r="AW17" s="74"/>
      <c r="AX17" s="74"/>
      <c r="AY17" s="74"/>
      <c r="AZ17" s="74"/>
      <c r="BA17" s="74"/>
      <c r="BB17" s="74"/>
      <c r="BC17" s="74"/>
      <c r="BD17" s="74"/>
      <c r="BE17" s="74"/>
      <c r="BF17" s="74"/>
      <c r="BG17" s="74"/>
      <c r="BH17" s="74"/>
      <c r="BI17" s="74"/>
      <c r="BJ17" s="74"/>
      <c r="BK17" s="74"/>
      <c r="BL17" s="74"/>
      <c r="BM17" s="74"/>
      <c r="BN17" s="74"/>
      <c r="BO17" s="74"/>
      <c r="BP17" s="74"/>
      <c r="BQ17" s="74"/>
      <c r="BR17" s="74"/>
      <c r="BS17" s="74"/>
      <c r="BT17" s="74"/>
      <c r="BU17" s="74"/>
      <c r="BV17" s="74"/>
      <c r="BW17" s="74"/>
      <c r="BX17" s="74"/>
      <c r="BY17" s="74"/>
      <c r="BZ17" s="74"/>
      <c r="CA17" s="74"/>
      <c r="CB17" s="74"/>
      <c r="CC17" s="74"/>
      <c r="CD17" s="74"/>
      <c r="CE17" s="74"/>
      <c r="CF17" s="74"/>
      <c r="CG17" s="74"/>
      <c r="CH17" s="74"/>
      <c r="CI17" s="74"/>
      <c r="CJ17" s="74"/>
      <c r="CK17" s="74"/>
      <c r="CL17" s="74"/>
      <c r="CM17" s="74"/>
      <c r="CN17" s="74"/>
      <c r="CO17" s="74"/>
      <c r="CP17" s="74"/>
      <c r="CQ17" s="74"/>
      <c r="CR17" s="74"/>
      <c r="CS17" s="74"/>
      <c r="CT17" s="74"/>
      <c r="CU17" s="74"/>
      <c r="CV17" s="74"/>
      <c r="CW17" s="74"/>
      <c r="CX17" s="74"/>
      <c r="CY17" s="74"/>
      <c r="CZ17" s="74"/>
      <c r="DA17" s="74"/>
      <c r="DB17" s="74"/>
      <c r="DC17" s="74"/>
      <c r="DD17" s="74"/>
      <c r="DE17" s="74"/>
      <c r="DF17" s="74"/>
      <c r="DG17" s="74"/>
      <c r="DH17" s="74"/>
      <c r="DI17" s="74"/>
      <c r="DJ17" s="74"/>
      <c r="DK17" s="74"/>
      <c r="DL17" s="74"/>
      <c r="DM17" s="74"/>
      <c r="DN17" s="74"/>
      <c r="DO17" s="74"/>
      <c r="DP17" s="74"/>
      <c r="DQ17" s="74"/>
      <c r="DR17" s="74"/>
      <c r="DS17" s="74"/>
      <c r="DT17" s="74"/>
      <c r="DU17" s="74"/>
      <c r="DV17" s="74"/>
      <c r="DW17" s="74"/>
      <c r="DX17" s="74"/>
      <c r="DY17" s="74"/>
      <c r="DZ17" s="74"/>
      <c r="EA17" s="74"/>
      <c r="EB17" s="74"/>
      <c r="EC17" s="74"/>
      <c r="ED17" s="74"/>
      <c r="EE17" s="74"/>
      <c r="EF17" s="74"/>
      <c r="EG17" s="74"/>
      <c r="EH17" s="74"/>
      <c r="EI17" s="74"/>
      <c r="EJ17" s="74"/>
      <c r="EK17" s="74"/>
      <c r="EL17" s="74"/>
      <c r="EM17" s="74"/>
      <c r="EN17" s="74"/>
      <c r="EO17" s="74"/>
      <c r="EP17" s="74"/>
      <c r="EQ17" s="74"/>
      <c r="ER17" s="74"/>
      <c r="ES17" s="74"/>
    </row>
    <row r="18" spans="1:149" s="104" customFormat="1">
      <c r="H18" s="104" t="s">
        <v>799</v>
      </c>
      <c r="I18" s="105">
        <f>SUM(I13:I14)</f>
        <v>0.87531820596530052</v>
      </c>
      <c r="J18" s="105">
        <f t="shared" ref="J18:BU18" si="6">SUM(J13:J14)</f>
        <v>0.75884613691725133</v>
      </c>
      <c r="K18" s="105">
        <f t="shared" si="6"/>
        <v>0.7304637293262598</v>
      </c>
      <c r="L18" s="105">
        <f t="shared" si="6"/>
        <v>0.54418832319754173</v>
      </c>
      <c r="M18" s="105">
        <f t="shared" si="6"/>
        <v>0.64513953098233578</v>
      </c>
      <c r="N18" s="105">
        <f t="shared" si="6"/>
        <v>0.67312600115154175</v>
      </c>
      <c r="O18" s="105">
        <f t="shared" si="6"/>
        <v>0.72181380315019694</v>
      </c>
      <c r="P18" s="105">
        <f t="shared" si="6"/>
        <v>0.72031546607612595</v>
      </c>
      <c r="Q18" s="105">
        <f t="shared" si="6"/>
        <v>0.77970853019380681</v>
      </c>
      <c r="R18" s="105">
        <f t="shared" si="6"/>
        <v>0.78745961685154153</v>
      </c>
      <c r="S18" s="105">
        <f t="shared" si="6"/>
        <v>0.77844717469598812</v>
      </c>
      <c r="T18" s="105">
        <f t="shared" si="6"/>
        <v>0.85766216519549343</v>
      </c>
      <c r="U18" s="105">
        <f t="shared" si="6"/>
        <v>0.84532998959674654</v>
      </c>
      <c r="V18" s="105">
        <f t="shared" si="6"/>
        <v>0.85901924244349392</v>
      </c>
      <c r="W18" s="105">
        <f t="shared" si="6"/>
        <v>1.0419938446769161</v>
      </c>
      <c r="X18" s="105">
        <f t="shared" si="6"/>
        <v>0.97140415101649957</v>
      </c>
      <c r="Y18" s="105">
        <f t="shared" si="6"/>
        <v>1.0065004332403444</v>
      </c>
      <c r="Z18" s="105">
        <f t="shared" si="6"/>
        <v>0.87192062277481286</v>
      </c>
      <c r="AA18" s="105">
        <f t="shared" si="6"/>
        <v>0.90397034960167044</v>
      </c>
      <c r="AB18" s="105">
        <f t="shared" si="6"/>
        <v>0.90447153198438301</v>
      </c>
      <c r="AC18" s="105">
        <f t="shared" si="6"/>
        <v>0.90779293431521801</v>
      </c>
      <c r="AD18" s="105">
        <f t="shared" si="6"/>
        <v>0.98157523521403234</v>
      </c>
      <c r="AE18" s="105">
        <f t="shared" si="6"/>
        <v>0.93658535753628458</v>
      </c>
      <c r="AF18" s="105">
        <f t="shared" si="6"/>
        <v>0.89093650853390494</v>
      </c>
      <c r="AG18" s="105">
        <f t="shared" si="6"/>
        <v>0.96792008417111708</v>
      </c>
      <c r="AH18" s="105">
        <f t="shared" si="6"/>
        <v>1.2009840262107037</v>
      </c>
      <c r="AI18" s="105">
        <f t="shared" si="6"/>
        <v>1.3213725910451872</v>
      </c>
      <c r="AJ18" s="105">
        <f t="shared" si="6"/>
        <v>1.2850491063153959</v>
      </c>
      <c r="AK18" s="105">
        <f t="shared" si="6"/>
        <v>1.1872446955640437</v>
      </c>
      <c r="AL18" s="105">
        <f t="shared" si="6"/>
        <v>1.0531236014976291</v>
      </c>
      <c r="AM18" s="105">
        <f t="shared" si="6"/>
        <v>0.9723721330696109</v>
      </c>
      <c r="AN18" s="105">
        <f t="shared" si="6"/>
        <v>0.92290242181887594</v>
      </c>
      <c r="AO18" s="105">
        <f t="shared" si="6"/>
        <v>0.9177660426049763</v>
      </c>
      <c r="AP18" s="105">
        <f t="shared" si="6"/>
        <v>0.92096679449053565</v>
      </c>
      <c r="AQ18" s="105">
        <f t="shared" si="6"/>
        <v>0.89855701304782332</v>
      </c>
      <c r="AR18" s="105">
        <f t="shared" si="6"/>
        <v>0.91394241517279962</v>
      </c>
      <c r="AS18" s="105">
        <f t="shared" si="6"/>
        <v>0.89978552866725714</v>
      </c>
      <c r="AT18" s="105">
        <f t="shared" si="6"/>
        <v>0.97082044796249234</v>
      </c>
      <c r="AU18" s="105">
        <f t="shared" si="6"/>
        <v>0.91681955305158369</v>
      </c>
      <c r="AV18" s="105">
        <f t="shared" si="6"/>
        <v>0.90763160460786774</v>
      </c>
      <c r="AW18" s="105">
        <f t="shared" si="6"/>
        <v>0.8590786256054046</v>
      </c>
      <c r="AX18" s="105">
        <f t="shared" si="6"/>
        <v>0.72781536084233989</v>
      </c>
      <c r="AY18" s="105">
        <f t="shared" si="6"/>
        <v>0.71125702538625868</v>
      </c>
      <c r="AZ18" s="105">
        <f t="shared" si="6"/>
        <v>0.71158641997176886</v>
      </c>
      <c r="BA18" s="105">
        <f t="shared" si="6"/>
        <v>0.73187877113907007</v>
      </c>
      <c r="BB18" s="105">
        <f t="shared" si="6"/>
        <v>0.74731474024630851</v>
      </c>
      <c r="BC18" s="105">
        <f t="shared" si="6"/>
        <v>0.75244678247960706</v>
      </c>
      <c r="BD18" s="105">
        <f t="shared" si="6"/>
        <v>0.78521260661788372</v>
      </c>
      <c r="BE18" s="105">
        <f t="shared" si="6"/>
        <v>0.80933198600319856</v>
      </c>
      <c r="BF18" s="105">
        <f t="shared" si="6"/>
        <v>0.81005109923907914</v>
      </c>
      <c r="BG18" s="105">
        <f t="shared" si="6"/>
        <v>0.79959010305956346</v>
      </c>
      <c r="BH18" s="105">
        <f t="shared" si="6"/>
        <v>0.78568307361829959</v>
      </c>
      <c r="BI18" s="105">
        <f t="shared" si="6"/>
        <v>0.77644610864702568</v>
      </c>
      <c r="BJ18" s="105">
        <f t="shared" si="6"/>
        <v>0.76856665445787975</v>
      </c>
      <c r="BK18" s="105">
        <f t="shared" si="6"/>
        <v>0.78479280128119222</v>
      </c>
      <c r="BL18" s="105">
        <f t="shared" si="6"/>
        <v>0.7797610453619942</v>
      </c>
      <c r="BM18" s="105">
        <f t="shared" si="6"/>
        <v>0.77589176537414595</v>
      </c>
      <c r="BN18" s="105">
        <f t="shared" si="6"/>
        <v>0.77761003776415449</v>
      </c>
      <c r="BO18" s="105">
        <f t="shared" si="6"/>
        <v>0.77766638867222904</v>
      </c>
      <c r="BP18" s="105">
        <f t="shared" si="6"/>
        <v>0.78186720110264729</v>
      </c>
      <c r="BQ18" s="105">
        <f t="shared" si="6"/>
        <v>0.78186720110264729</v>
      </c>
      <c r="BR18" s="105">
        <f t="shared" si="6"/>
        <v>0.78582858122507526</v>
      </c>
      <c r="BS18" s="105">
        <f t="shared" si="6"/>
        <v>0.78157174894534431</v>
      </c>
      <c r="BT18" s="105">
        <f t="shared" si="6"/>
        <v>0.77153330529842679</v>
      </c>
      <c r="BU18" s="105">
        <f t="shared" si="6"/>
        <v>0.77287769098900405</v>
      </c>
      <c r="BV18" s="105">
        <f t="shared" ref="BV18:DV18" si="7">SUM(BV13:BV14)</f>
        <v>0.77776307889072516</v>
      </c>
      <c r="BW18" s="105">
        <f t="shared" si="7"/>
        <v>0.80324072467157315</v>
      </c>
      <c r="BX18" s="105">
        <f t="shared" si="7"/>
        <v>0.87648761814979026</v>
      </c>
      <c r="BY18" s="105">
        <f t="shared" si="7"/>
        <v>0.89298795385958141</v>
      </c>
      <c r="BZ18" s="105">
        <f t="shared" si="7"/>
        <v>0.94350726722814782</v>
      </c>
      <c r="CA18" s="105">
        <f t="shared" si="7"/>
        <v>0.91198458821946549</v>
      </c>
      <c r="CB18" s="105">
        <f t="shared" si="7"/>
        <v>0.87371258322790513</v>
      </c>
      <c r="CC18" s="105">
        <f t="shared" si="7"/>
        <v>0.8372683140590782</v>
      </c>
      <c r="CD18" s="105">
        <f t="shared" si="7"/>
        <v>0.82895128668483176</v>
      </c>
      <c r="CE18" s="105">
        <f t="shared" si="7"/>
        <v>0.82312112463856646</v>
      </c>
      <c r="CF18" s="105">
        <f t="shared" si="7"/>
        <v>0.82886484894520795</v>
      </c>
      <c r="CG18" s="105">
        <f t="shared" si="7"/>
        <v>0.80992014769617482</v>
      </c>
      <c r="CH18" s="105">
        <f t="shared" si="7"/>
        <v>0.80892143364451108</v>
      </c>
      <c r="CI18" s="105">
        <f t="shared" si="7"/>
        <v>0.80915281903312375</v>
      </c>
      <c r="CJ18" s="105">
        <f t="shared" si="7"/>
        <v>0.80890860818608679</v>
      </c>
      <c r="CK18" s="105">
        <f t="shared" si="7"/>
        <v>0.80863998224974032</v>
      </c>
      <c r="CL18" s="105">
        <f t="shared" si="7"/>
        <v>0.79877895792407916</v>
      </c>
      <c r="CM18" s="105">
        <f t="shared" si="7"/>
        <v>0.791187323544432</v>
      </c>
      <c r="CN18" s="105">
        <f t="shared" si="7"/>
        <v>0.78806001076689491</v>
      </c>
      <c r="CO18" s="105">
        <f t="shared" si="7"/>
        <v>0.77867570986247459</v>
      </c>
      <c r="CP18" s="105">
        <f t="shared" si="7"/>
        <v>0.79281465639869353</v>
      </c>
      <c r="CQ18" s="105">
        <f t="shared" si="7"/>
        <v>0.79281465639869353</v>
      </c>
      <c r="CR18" s="105">
        <f t="shared" si="7"/>
        <v>0.79213879388854702</v>
      </c>
      <c r="CS18" s="105">
        <f t="shared" si="7"/>
        <v>0.78930228980171924</v>
      </c>
      <c r="CT18" s="105">
        <f t="shared" si="7"/>
        <v>0.78917178746568528</v>
      </c>
      <c r="CU18" s="105">
        <f t="shared" si="7"/>
        <v>0.79327048695715707</v>
      </c>
      <c r="CV18" s="105">
        <f t="shared" si="7"/>
        <v>0.81985791389876317</v>
      </c>
      <c r="CW18" s="105">
        <f t="shared" si="7"/>
        <v>0.868820262337194</v>
      </c>
      <c r="CX18" s="105">
        <f t="shared" si="7"/>
        <v>0.86660738738285614</v>
      </c>
      <c r="CY18" s="105">
        <f t="shared" si="7"/>
        <v>0.87405308837257523</v>
      </c>
      <c r="CZ18" s="105">
        <f t="shared" si="7"/>
        <v>0.8777728445436177</v>
      </c>
      <c r="DA18" s="105">
        <f t="shared" si="7"/>
        <v>0.87775923452318094</v>
      </c>
      <c r="DB18" s="105">
        <f t="shared" si="7"/>
        <v>0.87784094331095253</v>
      </c>
      <c r="DC18" s="105">
        <f t="shared" si="7"/>
        <v>0.85789370710737956</v>
      </c>
      <c r="DD18" s="105">
        <f t="shared" si="7"/>
        <v>0.79554917350607335</v>
      </c>
      <c r="DE18" s="105">
        <f t="shared" si="7"/>
        <v>0.79554917350607335</v>
      </c>
      <c r="DF18" s="105">
        <f t="shared" si="7"/>
        <v>0.77252105486703926</v>
      </c>
      <c r="DG18" s="105">
        <f t="shared" si="7"/>
        <v>0.76410871452096352</v>
      </c>
      <c r="DH18" s="105">
        <f t="shared" si="7"/>
        <v>0.76374109215025032</v>
      </c>
      <c r="DI18" s="105">
        <f t="shared" si="7"/>
        <v>0.76978346693027888</v>
      </c>
      <c r="DJ18" s="105">
        <f t="shared" si="7"/>
        <v>0.78309071072907321</v>
      </c>
      <c r="DK18" s="105">
        <f t="shared" si="7"/>
        <v>0.78474209259949335</v>
      </c>
      <c r="DL18" s="105">
        <f t="shared" si="7"/>
        <v>0.78968424319311548</v>
      </c>
      <c r="DM18" s="105">
        <f t="shared" si="7"/>
        <v>0.79433927448200536</v>
      </c>
      <c r="DN18" s="105">
        <f t="shared" si="7"/>
        <v>0.78501475737642201</v>
      </c>
      <c r="DO18" s="105">
        <f t="shared" si="7"/>
        <v>0.78873151190540702</v>
      </c>
      <c r="DP18" s="105">
        <f t="shared" si="7"/>
        <v>0.79263268108446783</v>
      </c>
      <c r="DQ18" s="105">
        <f t="shared" si="7"/>
        <v>0.79146361378692931</v>
      </c>
      <c r="DR18" s="105">
        <f t="shared" si="7"/>
        <v>0.79135112379360129</v>
      </c>
      <c r="DS18" s="105">
        <f t="shared" si="7"/>
        <v>0.79518600167747877</v>
      </c>
      <c r="DT18" s="105">
        <f t="shared" si="7"/>
        <v>0</v>
      </c>
      <c r="DU18" s="105">
        <f t="shared" si="7"/>
        <v>0</v>
      </c>
      <c r="DV18" s="105">
        <f t="shared" si="7"/>
        <v>0</v>
      </c>
      <c r="DW18" s="105">
        <f t="shared" ref="DW18:ES18" si="8">SUM(DW13:DW13)</f>
        <v>0</v>
      </c>
      <c r="DX18" s="105">
        <f t="shared" si="8"/>
        <v>0</v>
      </c>
      <c r="DY18" s="105">
        <f t="shared" si="8"/>
        <v>0</v>
      </c>
      <c r="DZ18" s="105">
        <f t="shared" si="8"/>
        <v>0</v>
      </c>
      <c r="EA18" s="105">
        <f t="shared" si="8"/>
        <v>0</v>
      </c>
      <c r="EB18" s="105">
        <f t="shared" si="8"/>
        <v>0</v>
      </c>
      <c r="EC18" s="105">
        <f t="shared" si="8"/>
        <v>0</v>
      </c>
      <c r="ED18" s="105">
        <f t="shared" si="8"/>
        <v>0</v>
      </c>
      <c r="EE18" s="105">
        <f t="shared" si="8"/>
        <v>0</v>
      </c>
      <c r="EF18" s="105">
        <f t="shared" si="8"/>
        <v>0</v>
      </c>
      <c r="EG18" s="105">
        <f t="shared" si="8"/>
        <v>0</v>
      </c>
      <c r="EH18" s="105">
        <f t="shared" si="8"/>
        <v>0</v>
      </c>
      <c r="EI18" s="105">
        <f t="shared" si="8"/>
        <v>0</v>
      </c>
      <c r="EJ18" s="105">
        <f t="shared" si="8"/>
        <v>0</v>
      </c>
      <c r="EK18" s="105">
        <f t="shared" si="8"/>
        <v>0</v>
      </c>
      <c r="EL18" s="105">
        <f t="shared" si="8"/>
        <v>0</v>
      </c>
      <c r="EM18" s="105">
        <f t="shared" si="8"/>
        <v>0</v>
      </c>
      <c r="EN18" s="105">
        <f t="shared" si="8"/>
        <v>0</v>
      </c>
      <c r="EO18" s="105">
        <f t="shared" si="8"/>
        <v>0</v>
      </c>
      <c r="EP18" s="105">
        <f t="shared" si="8"/>
        <v>0</v>
      </c>
      <c r="EQ18" s="105">
        <f t="shared" si="8"/>
        <v>0</v>
      </c>
      <c r="ER18" s="105">
        <f t="shared" si="8"/>
        <v>0</v>
      </c>
      <c r="ES18" s="105">
        <f t="shared" si="8"/>
        <v>0</v>
      </c>
    </row>
    <row r="19" spans="1:149" s="104" customFormat="1">
      <c r="H19" s="60"/>
      <c r="I19" s="105"/>
      <c r="J19" s="105"/>
      <c r="K19" s="105"/>
      <c r="L19" s="105"/>
      <c r="M19" s="105"/>
      <c r="N19" s="105"/>
      <c r="O19" s="105"/>
      <c r="P19" s="105"/>
      <c r="Q19" s="105"/>
      <c r="R19" s="105"/>
      <c r="S19" s="105"/>
      <c r="T19" s="105"/>
      <c r="U19" s="105"/>
      <c r="V19" s="105"/>
      <c r="W19" s="105"/>
      <c r="X19" s="105"/>
      <c r="Y19" s="105"/>
      <c r="Z19" s="105"/>
      <c r="AA19" s="105"/>
      <c r="AB19" s="105"/>
      <c r="AC19" s="105"/>
      <c r="AD19" s="105"/>
      <c r="AE19" s="105"/>
      <c r="AF19" s="105"/>
      <c r="AG19" s="105"/>
      <c r="AH19" s="105"/>
      <c r="AI19" s="105"/>
      <c r="AJ19" s="105"/>
      <c r="AK19" s="105"/>
      <c r="AL19" s="105"/>
      <c r="AM19" s="105"/>
      <c r="AN19" s="105"/>
      <c r="AO19" s="105"/>
      <c r="AP19" s="105"/>
      <c r="AQ19" s="105"/>
      <c r="AR19" s="105"/>
      <c r="AS19" s="105"/>
      <c r="AT19" s="105"/>
      <c r="AU19" s="105"/>
      <c r="AV19" s="105"/>
      <c r="AW19" s="105"/>
      <c r="AX19" s="105"/>
      <c r="AY19" s="105"/>
      <c r="AZ19" s="105"/>
      <c r="BA19" s="105"/>
      <c r="BB19" s="105"/>
      <c r="BC19" s="105"/>
      <c r="BD19" s="105"/>
      <c r="BE19" s="105"/>
      <c r="BF19" s="105"/>
      <c r="BG19" s="105"/>
      <c r="BH19" s="105"/>
      <c r="BI19" s="105"/>
      <c r="BJ19" s="105"/>
      <c r="BK19" s="105"/>
      <c r="BL19" s="105"/>
      <c r="BM19" s="105"/>
      <c r="BN19" s="105"/>
      <c r="BO19" s="105"/>
      <c r="BP19" s="105"/>
      <c r="BQ19" s="105"/>
      <c r="BR19" s="105"/>
      <c r="BS19" s="105"/>
      <c r="BT19" s="105"/>
      <c r="BU19" s="105"/>
      <c r="BV19" s="105"/>
      <c r="BW19" s="105"/>
      <c r="BX19" s="105"/>
      <c r="BY19" s="105"/>
      <c r="BZ19" s="105"/>
      <c r="CA19" s="105"/>
      <c r="CB19" s="105"/>
      <c r="CC19" s="105"/>
      <c r="CD19" s="105"/>
      <c r="CE19" s="105"/>
      <c r="CF19" s="105"/>
      <c r="CG19" s="105"/>
      <c r="CH19" s="105"/>
      <c r="CI19" s="105"/>
      <c r="CJ19" s="105"/>
      <c r="CK19" s="105"/>
      <c r="CL19" s="105"/>
      <c r="CM19" s="105"/>
      <c r="CN19" s="105"/>
      <c r="CO19" s="105"/>
      <c r="CP19" s="105"/>
      <c r="CQ19" s="105"/>
      <c r="CR19" s="105"/>
    </row>
    <row r="20" spans="1:149" ht="13">
      <c r="A20" s="331" t="s">
        <v>833</v>
      </c>
      <c r="H20" s="60" t="s">
        <v>429</v>
      </c>
      <c r="I20" s="74"/>
      <c r="J20" s="74"/>
      <c r="K20" s="74"/>
      <c r="L20" s="74"/>
      <c r="M20" s="74"/>
      <c r="N20" s="74">
        <v>2</v>
      </c>
      <c r="O20" s="74"/>
      <c r="P20" s="74"/>
      <c r="Q20" s="74"/>
      <c r="R20" s="74"/>
      <c r="S20" s="74"/>
      <c r="T20" s="74"/>
      <c r="U20" s="74"/>
      <c r="V20" s="74"/>
      <c r="W20" s="74"/>
      <c r="X20" s="74"/>
      <c r="Y20" s="74"/>
      <c r="Z20" s="74"/>
      <c r="AA20" s="74"/>
      <c r="AB20" s="74"/>
      <c r="AC20" s="74"/>
      <c r="AD20" s="74"/>
      <c r="AE20" s="74">
        <f>187.75/76</f>
        <v>2.4703947368421053</v>
      </c>
      <c r="AF20" s="74"/>
      <c r="AG20" s="74"/>
      <c r="AH20" s="74"/>
      <c r="AI20" s="74"/>
      <c r="AK20" s="74"/>
      <c r="AL20" s="74"/>
      <c r="AM20" s="74"/>
      <c r="AN20" s="74"/>
      <c r="AO20" s="74">
        <f>208/82</f>
        <v>2.5365853658536586</v>
      </c>
      <c r="AP20" s="74"/>
      <c r="AQ20" s="74"/>
      <c r="AR20" s="74"/>
      <c r="AS20" s="74"/>
      <c r="AT20" s="74"/>
      <c r="AU20" s="74"/>
      <c r="AV20" s="74"/>
      <c r="AW20" s="74"/>
      <c r="AX20" s="74"/>
      <c r="AY20" s="74">
        <v>2.09</v>
      </c>
      <c r="AZ20" s="74"/>
      <c r="BA20" s="74"/>
      <c r="BB20" s="74"/>
      <c r="BC20" s="74"/>
      <c r="BD20" s="74"/>
      <c r="BE20" s="74"/>
      <c r="BF20" s="74"/>
      <c r="BG20" s="74">
        <v>2.09</v>
      </c>
      <c r="BH20" s="74"/>
      <c r="BI20" s="74"/>
      <c r="BJ20" s="74"/>
      <c r="BK20" s="74"/>
      <c r="BL20" s="74"/>
      <c r="BM20" s="74"/>
      <c r="BN20" s="74"/>
      <c r="BO20" s="74"/>
      <c r="BP20" s="74"/>
      <c r="BQ20" s="74"/>
      <c r="BR20" s="74"/>
      <c r="BS20" s="74"/>
      <c r="BT20" s="74"/>
      <c r="BU20" s="74"/>
      <c r="BV20" s="74"/>
      <c r="BW20" s="74">
        <v>2.15</v>
      </c>
      <c r="BX20" s="74"/>
      <c r="BY20" s="74"/>
      <c r="BZ20" s="74"/>
      <c r="CA20" s="74"/>
      <c r="CB20" s="74"/>
      <c r="CC20" s="74"/>
      <c r="CD20" s="74"/>
      <c r="CE20" s="74">
        <v>2.13</v>
      </c>
      <c r="CF20" s="74"/>
      <c r="CG20" s="74"/>
      <c r="CH20" s="74"/>
      <c r="CI20" s="74"/>
      <c r="CJ20" s="74"/>
      <c r="CK20" s="74"/>
      <c r="CL20" s="74"/>
      <c r="CM20" s="74"/>
      <c r="CN20" s="74"/>
      <c r="CO20" s="74"/>
      <c r="CP20" s="74"/>
      <c r="CQ20" s="74"/>
      <c r="CR20" s="74"/>
    </row>
    <row r="21" spans="1:149">
      <c r="H21" s="60" t="s">
        <v>406</v>
      </c>
      <c r="I21" s="74"/>
      <c r="J21" s="74"/>
      <c r="K21" s="74"/>
      <c r="L21" s="74"/>
      <c r="M21" s="74"/>
      <c r="N21" s="74">
        <f>N20-N18</f>
        <v>1.3268739988484581</v>
      </c>
      <c r="O21" s="74"/>
      <c r="P21" s="74"/>
      <c r="Q21" s="74"/>
      <c r="R21" s="74"/>
      <c r="S21" s="74"/>
      <c r="T21" s="74"/>
      <c r="U21" s="74"/>
      <c r="V21" s="74"/>
      <c r="W21" s="74"/>
      <c r="X21" s="74"/>
      <c r="Y21" s="74"/>
      <c r="Z21" s="74"/>
      <c r="AA21" s="74"/>
      <c r="AB21" s="74"/>
      <c r="AC21" s="74"/>
      <c r="AD21" s="74"/>
      <c r="AE21" s="74">
        <f>AE20-AE18</f>
        <v>1.5338093793058207</v>
      </c>
      <c r="AF21" s="74"/>
      <c r="AG21" s="74"/>
      <c r="AH21" s="74"/>
      <c r="AI21" s="74"/>
      <c r="AK21" s="74"/>
      <c r="AL21" s="74"/>
      <c r="AM21" s="74"/>
      <c r="AN21" s="74"/>
      <c r="AO21" s="74">
        <f>AO20-AO18</f>
        <v>1.6188193232486823</v>
      </c>
      <c r="AP21" s="74"/>
      <c r="AQ21" s="74"/>
      <c r="AR21" s="74"/>
      <c r="AS21" s="74"/>
      <c r="AT21" s="74"/>
      <c r="AU21" s="74"/>
      <c r="AV21" s="74"/>
      <c r="AW21" s="74"/>
      <c r="AX21" s="74"/>
      <c r="AY21" s="74">
        <f>AY20-AY18</f>
        <v>1.3787429746137412</v>
      </c>
      <c r="AZ21" s="74"/>
      <c r="BA21" s="74"/>
      <c r="BB21" s="74"/>
      <c r="BC21" s="74"/>
      <c r="BD21" s="74"/>
      <c r="BE21" s="74"/>
      <c r="BF21" s="74"/>
      <c r="BG21" s="74">
        <f>BG20-BG18</f>
        <v>1.2904098969404365</v>
      </c>
      <c r="BH21" s="74"/>
      <c r="BI21" s="74"/>
      <c r="BJ21" s="74"/>
      <c r="BK21" s="74"/>
      <c r="BL21" s="74"/>
      <c r="BM21" s="74"/>
      <c r="BN21" s="74"/>
      <c r="BO21" s="74"/>
      <c r="BP21" s="74"/>
      <c r="BQ21" s="74"/>
      <c r="BR21" s="74"/>
      <c r="BS21" s="74"/>
      <c r="BT21" s="74"/>
      <c r="BU21" s="74"/>
      <c r="BV21" s="74"/>
      <c r="BW21" s="74">
        <f>BW20-BW18</f>
        <v>1.3467592753284268</v>
      </c>
      <c r="BX21" s="74"/>
      <c r="BY21" s="74"/>
      <c r="BZ21" s="74"/>
      <c r="CA21" s="74"/>
      <c r="CB21" s="74"/>
      <c r="CC21" s="74"/>
      <c r="CD21" s="74"/>
      <c r="CE21" s="74">
        <f>CE20-CE18</f>
        <v>1.3068788753614333</v>
      </c>
      <c r="CF21" s="74"/>
      <c r="CG21" s="74"/>
      <c r="CH21" s="74"/>
      <c r="CI21" s="74"/>
      <c r="CJ21" s="74"/>
      <c r="CK21" s="74"/>
      <c r="CL21" s="74"/>
      <c r="CM21" s="74"/>
      <c r="CN21" s="74"/>
      <c r="CO21" s="74"/>
      <c r="CP21" s="74"/>
      <c r="CQ21" s="74"/>
      <c r="CR21" s="74"/>
    </row>
    <row r="23" spans="1:149" ht="13" thickBot="1"/>
    <row r="24" spans="1:149" s="73" customFormat="1" ht="13" thickBot="1">
      <c r="H24" s="257" t="s">
        <v>800</v>
      </c>
      <c r="I24" s="258">
        <f>1.29+I18</f>
        <v>2.1653182059653004</v>
      </c>
      <c r="J24" s="258">
        <f t="shared" ref="J24:BU24" si="9">1.29+J18</f>
        <v>2.0488461369172515</v>
      </c>
      <c r="K24" s="258">
        <f t="shared" si="9"/>
        <v>2.0204637293262597</v>
      </c>
      <c r="L24" s="258">
        <f t="shared" si="9"/>
        <v>1.8341883231975418</v>
      </c>
      <c r="M24" s="258">
        <f t="shared" si="9"/>
        <v>1.9351395309823358</v>
      </c>
      <c r="N24" s="258">
        <f t="shared" si="9"/>
        <v>1.9631260011515419</v>
      </c>
      <c r="O24" s="258">
        <f t="shared" si="9"/>
        <v>2.0118138031501971</v>
      </c>
      <c r="P24" s="258">
        <f t="shared" si="9"/>
        <v>2.010315466076126</v>
      </c>
      <c r="Q24" s="258">
        <f t="shared" si="9"/>
        <v>2.069708530193807</v>
      </c>
      <c r="R24" s="258">
        <f t="shared" si="9"/>
        <v>2.0774596168515416</v>
      </c>
      <c r="S24" s="258">
        <f t="shared" si="9"/>
        <v>2.0684471746959883</v>
      </c>
      <c r="T24" s="258">
        <f t="shared" si="9"/>
        <v>2.1476621651954932</v>
      </c>
      <c r="U24" s="258">
        <f t="shared" si="9"/>
        <v>2.1353299895967464</v>
      </c>
      <c r="V24" s="258">
        <f t="shared" si="9"/>
        <v>2.1490192424434937</v>
      </c>
      <c r="W24" s="258">
        <f t="shared" si="9"/>
        <v>2.3319938446769162</v>
      </c>
      <c r="X24" s="258">
        <f t="shared" si="9"/>
        <v>2.2614041510164995</v>
      </c>
      <c r="Y24" s="258">
        <f t="shared" si="9"/>
        <v>2.2965004332403445</v>
      </c>
      <c r="Z24" s="258">
        <f t="shared" si="9"/>
        <v>2.1619206227748129</v>
      </c>
      <c r="AA24" s="258">
        <f t="shared" si="9"/>
        <v>2.1939703496016705</v>
      </c>
      <c r="AB24" s="258">
        <f t="shared" si="9"/>
        <v>2.1944715319843828</v>
      </c>
      <c r="AC24" s="258">
        <f t="shared" si="9"/>
        <v>2.1977929343152178</v>
      </c>
      <c r="AD24" s="258">
        <f t="shared" si="9"/>
        <v>2.2715752352140326</v>
      </c>
      <c r="AE24" s="258">
        <f t="shared" si="9"/>
        <v>2.2265853575362846</v>
      </c>
      <c r="AF24" s="258">
        <f t="shared" si="9"/>
        <v>2.1809365085339047</v>
      </c>
      <c r="AG24" s="258">
        <f t="shared" si="9"/>
        <v>2.2579200841711171</v>
      </c>
      <c r="AH24" s="258">
        <f t="shared" si="9"/>
        <v>2.4909840262107039</v>
      </c>
      <c r="AI24" s="258">
        <f t="shared" si="9"/>
        <v>2.6113725910451873</v>
      </c>
      <c r="AJ24" s="258">
        <f t="shared" si="9"/>
        <v>2.575049106315396</v>
      </c>
      <c r="AK24" s="258">
        <f t="shared" si="9"/>
        <v>2.4772446955640435</v>
      </c>
      <c r="AL24" s="258">
        <f t="shared" si="9"/>
        <v>2.3431236014976289</v>
      </c>
      <c r="AM24" s="258">
        <f t="shared" si="9"/>
        <v>2.2623721330696109</v>
      </c>
      <c r="AN24" s="258">
        <f t="shared" si="9"/>
        <v>2.212902421818876</v>
      </c>
      <c r="AO24" s="258">
        <f t="shared" si="9"/>
        <v>2.2077660426049763</v>
      </c>
      <c r="AP24" s="258">
        <f t="shared" si="9"/>
        <v>2.2109667944905356</v>
      </c>
      <c r="AQ24" s="258">
        <f t="shared" si="9"/>
        <v>2.1885570130478236</v>
      </c>
      <c r="AR24" s="258">
        <f t="shared" si="9"/>
        <v>2.2039424151727998</v>
      </c>
      <c r="AS24" s="258">
        <f t="shared" si="9"/>
        <v>2.1897855286672572</v>
      </c>
      <c r="AT24" s="258">
        <f t="shared" si="9"/>
        <v>2.2608204479624923</v>
      </c>
      <c r="AU24" s="258">
        <f t="shared" si="9"/>
        <v>2.2068195530515835</v>
      </c>
      <c r="AV24" s="258">
        <f t="shared" si="9"/>
        <v>2.1976316046078677</v>
      </c>
      <c r="AW24" s="258">
        <f t="shared" si="9"/>
        <v>2.1490786256054046</v>
      </c>
      <c r="AX24" s="258">
        <f t="shared" si="9"/>
        <v>2.0178153608423397</v>
      </c>
      <c r="AY24" s="258">
        <f t="shared" si="9"/>
        <v>2.0012570253862587</v>
      </c>
      <c r="AZ24" s="258">
        <f t="shared" si="9"/>
        <v>2.001586419971769</v>
      </c>
      <c r="BA24" s="258">
        <f t="shared" si="9"/>
        <v>2.02187877113907</v>
      </c>
      <c r="BB24" s="258">
        <f t="shared" si="9"/>
        <v>2.0373147402463085</v>
      </c>
      <c r="BC24" s="258">
        <f t="shared" si="9"/>
        <v>2.0424467824796073</v>
      </c>
      <c r="BD24" s="258">
        <f t="shared" si="9"/>
        <v>2.0752126066178835</v>
      </c>
      <c r="BE24" s="258">
        <f t="shared" si="9"/>
        <v>2.0993319860031985</v>
      </c>
      <c r="BF24" s="258">
        <f t="shared" si="9"/>
        <v>2.1000510992390793</v>
      </c>
      <c r="BG24" s="258">
        <f t="shared" si="9"/>
        <v>2.0895901030595634</v>
      </c>
      <c r="BH24" s="258">
        <f t="shared" si="9"/>
        <v>2.0756830736182996</v>
      </c>
      <c r="BI24" s="258">
        <f t="shared" si="9"/>
        <v>2.0664461086470256</v>
      </c>
      <c r="BJ24" s="258">
        <f t="shared" si="9"/>
        <v>2.0585666544578798</v>
      </c>
      <c r="BK24" s="258">
        <f t="shared" si="9"/>
        <v>2.074792801281192</v>
      </c>
      <c r="BL24" s="258">
        <f t="shared" si="9"/>
        <v>2.0697610453619943</v>
      </c>
      <c r="BM24" s="258">
        <f t="shared" si="9"/>
        <v>2.065891765374146</v>
      </c>
      <c r="BN24" s="258">
        <f t="shared" si="9"/>
        <v>2.0676100377641546</v>
      </c>
      <c r="BO24" s="258">
        <f t="shared" si="9"/>
        <v>2.0676663886722291</v>
      </c>
      <c r="BP24" s="258">
        <f t="shared" si="9"/>
        <v>2.0718672011026475</v>
      </c>
      <c r="BQ24" s="258">
        <f t="shared" si="9"/>
        <v>2.0718672011026475</v>
      </c>
      <c r="BR24" s="258">
        <f t="shared" si="9"/>
        <v>2.0758285812250752</v>
      </c>
      <c r="BS24" s="258">
        <f t="shared" si="9"/>
        <v>2.0715717489453445</v>
      </c>
      <c r="BT24" s="258">
        <f t="shared" si="9"/>
        <v>2.0615333052984268</v>
      </c>
      <c r="BU24" s="258">
        <f t="shared" si="9"/>
        <v>2.0628776909890041</v>
      </c>
      <c r="BV24" s="258">
        <f t="shared" ref="BV24:EG24" si="10">1.29+BV18</f>
        <v>2.0677630788907253</v>
      </c>
      <c r="BW24" s="258">
        <f t="shared" si="10"/>
        <v>2.0932407246715732</v>
      </c>
      <c r="BX24" s="258">
        <f t="shared" si="10"/>
        <v>2.1664876181497901</v>
      </c>
      <c r="BY24" s="258">
        <f t="shared" si="10"/>
        <v>2.1829879538595813</v>
      </c>
      <c r="BZ24" s="258">
        <f t="shared" si="10"/>
        <v>2.233507267228148</v>
      </c>
      <c r="CA24" s="258">
        <f t="shared" si="10"/>
        <v>2.2019845882194655</v>
      </c>
      <c r="CB24" s="258">
        <f t="shared" si="10"/>
        <v>2.1637125832279054</v>
      </c>
      <c r="CC24" s="258">
        <f t="shared" si="10"/>
        <v>2.1272683140590782</v>
      </c>
      <c r="CD24" s="258">
        <f t="shared" si="10"/>
        <v>2.1189512866848319</v>
      </c>
      <c r="CE24" s="258">
        <f t="shared" si="10"/>
        <v>2.1131211246385666</v>
      </c>
      <c r="CF24" s="258">
        <f t="shared" si="10"/>
        <v>2.1188648489452078</v>
      </c>
      <c r="CG24" s="258">
        <f t="shared" si="10"/>
        <v>2.0999201476961749</v>
      </c>
      <c r="CH24" s="258">
        <f t="shared" si="10"/>
        <v>2.0989214336445112</v>
      </c>
      <c r="CI24" s="258">
        <f t="shared" si="10"/>
        <v>2.0991528190331237</v>
      </c>
      <c r="CJ24" s="258">
        <f t="shared" si="10"/>
        <v>2.098908608186087</v>
      </c>
      <c r="CK24" s="258">
        <f t="shared" si="10"/>
        <v>2.0986399822497406</v>
      </c>
      <c r="CL24" s="258">
        <f t="shared" si="10"/>
        <v>2.0887789579240792</v>
      </c>
      <c r="CM24" s="258">
        <f t="shared" si="10"/>
        <v>2.081187323544432</v>
      </c>
      <c r="CN24" s="258">
        <f t="shared" si="10"/>
        <v>2.0780600107668947</v>
      </c>
      <c r="CO24" s="258">
        <f t="shared" si="10"/>
        <v>2.0686757098624744</v>
      </c>
      <c r="CP24" s="258">
        <f t="shared" si="10"/>
        <v>2.0828146563986936</v>
      </c>
      <c r="CQ24" s="258">
        <f t="shared" si="10"/>
        <v>2.0828146563986936</v>
      </c>
      <c r="CR24" s="258">
        <f t="shared" si="10"/>
        <v>2.0821387938885469</v>
      </c>
      <c r="CS24" s="258">
        <f t="shared" si="10"/>
        <v>2.0793022898017193</v>
      </c>
      <c r="CT24" s="258">
        <f t="shared" si="10"/>
        <v>2.0791717874656852</v>
      </c>
      <c r="CU24" s="258">
        <f t="shared" si="10"/>
        <v>2.083270486957157</v>
      </c>
      <c r="CV24" s="258">
        <f t="shared" si="10"/>
        <v>2.1098579138987632</v>
      </c>
      <c r="CW24" s="258">
        <f t="shared" si="10"/>
        <v>2.1588202623371942</v>
      </c>
      <c r="CX24" s="258">
        <f t="shared" si="10"/>
        <v>2.1566073873828562</v>
      </c>
      <c r="CY24" s="258">
        <f t="shared" si="10"/>
        <v>2.164053088372575</v>
      </c>
      <c r="CZ24" s="258">
        <f t="shared" si="10"/>
        <v>2.1677728445436175</v>
      </c>
      <c r="DA24" s="258">
        <f t="shared" si="10"/>
        <v>2.1677592345231811</v>
      </c>
      <c r="DB24" s="258">
        <f t="shared" si="10"/>
        <v>2.1678409433109525</v>
      </c>
      <c r="DC24" s="258">
        <f t="shared" si="10"/>
        <v>2.1478937071073796</v>
      </c>
      <c r="DD24" s="258">
        <f t="shared" si="10"/>
        <v>2.0855491735060734</v>
      </c>
      <c r="DE24" s="258">
        <f t="shared" si="10"/>
        <v>2.0855491735060734</v>
      </c>
      <c r="DF24" s="258">
        <f t="shared" si="10"/>
        <v>2.0625210548670392</v>
      </c>
      <c r="DG24" s="258">
        <f t="shared" si="10"/>
        <v>2.0541087145209636</v>
      </c>
      <c r="DH24" s="258">
        <f t="shared" si="10"/>
        <v>2.0537410921502506</v>
      </c>
      <c r="DI24" s="258">
        <f t="shared" si="10"/>
        <v>2.0597834669302788</v>
      </c>
      <c r="DJ24" s="258">
        <f t="shared" si="10"/>
        <v>2.0730907107290735</v>
      </c>
      <c r="DK24" s="258">
        <f t="shared" si="10"/>
        <v>2.0747420925994935</v>
      </c>
      <c r="DL24" s="258">
        <f t="shared" si="10"/>
        <v>2.0796842431931157</v>
      </c>
      <c r="DM24" s="258">
        <f t="shared" si="10"/>
        <v>2.0843392744820055</v>
      </c>
      <c r="DN24" s="258">
        <f t="shared" si="10"/>
        <v>2.0750147573764219</v>
      </c>
      <c r="DO24" s="258">
        <f t="shared" si="10"/>
        <v>2.0787315119054073</v>
      </c>
      <c r="DP24" s="258">
        <f t="shared" si="10"/>
        <v>2.0826326810844678</v>
      </c>
      <c r="DQ24" s="258">
        <f t="shared" si="10"/>
        <v>2.0814636137869291</v>
      </c>
      <c r="DR24" s="258">
        <f t="shared" si="10"/>
        <v>2.0813511237936013</v>
      </c>
      <c r="DS24" s="258">
        <f t="shared" si="10"/>
        <v>2.0851860016774788</v>
      </c>
      <c r="DT24" s="258">
        <f t="shared" si="10"/>
        <v>1.29</v>
      </c>
      <c r="DU24" s="258">
        <f t="shared" si="10"/>
        <v>1.29</v>
      </c>
      <c r="DV24" s="258">
        <f t="shared" si="10"/>
        <v>1.29</v>
      </c>
      <c r="DW24" s="258">
        <f t="shared" si="10"/>
        <v>1.29</v>
      </c>
      <c r="DX24" s="258">
        <f t="shared" si="10"/>
        <v>1.29</v>
      </c>
      <c r="DY24" s="258">
        <f t="shared" si="10"/>
        <v>1.29</v>
      </c>
      <c r="DZ24" s="258">
        <f t="shared" si="10"/>
        <v>1.29</v>
      </c>
      <c r="EA24" s="258">
        <f t="shared" si="10"/>
        <v>1.29</v>
      </c>
      <c r="EB24" s="258">
        <f t="shared" si="10"/>
        <v>1.29</v>
      </c>
      <c r="EC24" s="258">
        <f t="shared" si="10"/>
        <v>1.29</v>
      </c>
      <c r="ED24" s="258">
        <f t="shared" si="10"/>
        <v>1.29</v>
      </c>
      <c r="EE24" s="258">
        <f t="shared" si="10"/>
        <v>1.29</v>
      </c>
      <c r="EF24" s="258">
        <f t="shared" si="10"/>
        <v>1.29</v>
      </c>
      <c r="EG24" s="258">
        <f t="shared" si="10"/>
        <v>1.29</v>
      </c>
      <c r="EH24" s="258">
        <f t="shared" ref="EH24:ES24" si="11">1.29+EH18</f>
        <v>1.29</v>
      </c>
      <c r="EI24" s="258">
        <f t="shared" si="11"/>
        <v>1.29</v>
      </c>
      <c r="EJ24" s="258">
        <f t="shared" si="11"/>
        <v>1.29</v>
      </c>
      <c r="EK24" s="258">
        <f t="shared" si="11"/>
        <v>1.29</v>
      </c>
      <c r="EL24" s="258">
        <f t="shared" si="11"/>
        <v>1.29</v>
      </c>
      <c r="EM24" s="258">
        <f t="shared" si="11"/>
        <v>1.29</v>
      </c>
      <c r="EN24" s="258">
        <f t="shared" si="11"/>
        <v>1.29</v>
      </c>
      <c r="EO24" s="258">
        <f t="shared" si="11"/>
        <v>1.29</v>
      </c>
      <c r="EP24" s="258">
        <f t="shared" si="11"/>
        <v>1.29</v>
      </c>
      <c r="EQ24" s="258">
        <f t="shared" si="11"/>
        <v>1.29</v>
      </c>
      <c r="ER24" s="258">
        <f t="shared" si="11"/>
        <v>1.29</v>
      </c>
      <c r="ES24" s="258">
        <f t="shared" si="11"/>
        <v>1.29</v>
      </c>
    </row>
  </sheetData>
  <pageMargins left="0.7" right="0.7" top="0.75" bottom="0.75" header="0.3" footer="0.3"/>
  <drawing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FL25"/>
  <sheetViews>
    <sheetView workbookViewId="0">
      <pane xSplit="11" ySplit="7" topLeftCell="DH11" activePane="bottomRight" state="frozen"/>
      <selection pane="topRight" activeCell="L1" sqref="L1"/>
      <selection pane="bottomLeft" activeCell="A7" sqref="A7"/>
      <selection pane="bottomRight" activeCell="DR25" sqref="DR25"/>
    </sheetView>
  </sheetViews>
  <sheetFormatPr baseColWidth="10" defaultColWidth="22.83203125" defaultRowHeight="12"/>
  <cols>
    <col min="1" max="1" width="13.33203125" style="60" bestFit="1" customWidth="1"/>
    <col min="2" max="2" width="11.5" style="60" bestFit="1" customWidth="1"/>
    <col min="3" max="3" width="4.83203125" style="60" bestFit="1" customWidth="1"/>
    <col min="4" max="4" width="12.33203125" style="60" bestFit="1" customWidth="1"/>
    <col min="5" max="5" width="11.83203125" style="60" bestFit="1" customWidth="1"/>
    <col min="6" max="6" width="6" style="60" bestFit="1" customWidth="1"/>
    <col min="7" max="7" width="0" style="60" hidden="1" customWidth="1"/>
    <col min="8" max="8" width="22.83203125" style="60" bestFit="1" customWidth="1"/>
    <col min="9" max="9" width="5.1640625" style="60" hidden="1" customWidth="1"/>
    <col min="10" max="10" width="5.5" style="60" hidden="1" customWidth="1"/>
    <col min="11" max="11" width="5.6640625" style="60" hidden="1" customWidth="1"/>
    <col min="12" max="12" width="5.33203125" style="60" hidden="1" customWidth="1"/>
    <col min="13" max="13" width="5.83203125" style="60" hidden="1" customWidth="1"/>
    <col min="14" max="14" width="5.1640625" style="60" hidden="1" customWidth="1"/>
    <col min="15" max="15" width="4.6640625" style="60" hidden="1" customWidth="1"/>
    <col min="16" max="18" width="5.5" style="60" hidden="1" customWidth="1"/>
    <col min="19" max="19" width="5.6640625" style="60" hidden="1" customWidth="1"/>
    <col min="20" max="20" width="5.5" style="60" hidden="1" customWidth="1"/>
    <col min="21" max="21" width="5.1640625" style="60" hidden="1" customWidth="1"/>
    <col min="22" max="22" width="5.5" style="60" hidden="1" customWidth="1"/>
    <col min="23" max="23" width="5.6640625" style="60" hidden="1" customWidth="1"/>
    <col min="24" max="24" width="5.33203125" style="60" hidden="1" customWidth="1"/>
    <col min="25" max="25" width="5.83203125" style="60" hidden="1" customWidth="1"/>
    <col min="26" max="26" width="5.1640625" style="60" hidden="1" customWidth="1"/>
    <col min="27" max="27" width="4.6640625" style="60" hidden="1" customWidth="1"/>
    <col min="28" max="51" width="6.1640625" style="60" bestFit="1" customWidth="1"/>
    <col min="52" max="54" width="7" style="60" bestFit="1" customWidth="1"/>
    <col min="55" max="90" width="6.1640625" style="60" bestFit="1" customWidth="1"/>
    <col min="91" max="95" width="6.33203125" style="60" bestFit="1" customWidth="1"/>
    <col min="96" max="100" width="6.1640625" style="60" bestFit="1" customWidth="1"/>
    <col min="101" max="103" width="5.5" style="60" bestFit="1" customWidth="1"/>
    <col min="104" max="107" width="5.83203125" style="60" bestFit="1" customWidth="1"/>
    <col min="108" max="115" width="5.6640625" style="60" bestFit="1" customWidth="1"/>
    <col min="116" max="119" width="6.1640625" style="60" bestFit="1" customWidth="1"/>
    <col min="120" max="123" width="5.83203125" style="60" bestFit="1" customWidth="1"/>
    <col min="124" max="162" width="5.1640625" style="60" bestFit="1" customWidth="1"/>
    <col min="163" max="168" width="3.33203125" style="60" bestFit="1" customWidth="1"/>
    <col min="169" max="16384" width="22.83203125" style="60"/>
  </cols>
  <sheetData>
    <row r="1" spans="1:168" ht="13">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c r="EM1" s="99">
        <v>141</v>
      </c>
      <c r="EN1" s="99">
        <v>142</v>
      </c>
      <c r="EO1" s="99">
        <v>143</v>
      </c>
      <c r="EP1" s="99">
        <v>144</v>
      </c>
      <c r="EQ1" s="99">
        <v>145</v>
      </c>
      <c r="ER1" s="99">
        <v>146</v>
      </c>
      <c r="ES1" s="99">
        <v>147</v>
      </c>
      <c r="ET1" s="99">
        <v>148</v>
      </c>
      <c r="EU1" s="99">
        <v>149</v>
      </c>
      <c r="EV1" s="99">
        <v>150</v>
      </c>
      <c r="EW1" s="99">
        <v>151</v>
      </c>
      <c r="EX1" s="99">
        <v>152</v>
      </c>
      <c r="EY1" s="99">
        <v>153</v>
      </c>
      <c r="EZ1" s="99">
        <v>154</v>
      </c>
      <c r="FA1" s="99">
        <v>155</v>
      </c>
      <c r="FB1" s="99">
        <v>156</v>
      </c>
      <c r="FC1" s="99">
        <v>157</v>
      </c>
      <c r="FD1" s="99">
        <v>158</v>
      </c>
      <c r="FE1" s="99">
        <v>159</v>
      </c>
      <c r="FF1" s="99">
        <v>160</v>
      </c>
      <c r="FG1" s="99">
        <v>161</v>
      </c>
      <c r="FH1" s="99">
        <v>162</v>
      </c>
      <c r="FI1" s="99">
        <v>163</v>
      </c>
      <c r="FJ1" s="99">
        <v>164</v>
      </c>
      <c r="FK1" s="99">
        <v>165</v>
      </c>
      <c r="FL1" s="99">
        <v>166</v>
      </c>
    </row>
    <row r="2" spans="1:168">
      <c r="A2" s="59"/>
      <c r="B2" s="59"/>
      <c r="C2" s="59"/>
      <c r="D2" s="98"/>
      <c r="E2" s="98"/>
      <c r="F2" s="59"/>
      <c r="H2" s="99"/>
      <c r="I2" s="99"/>
      <c r="J2" s="99"/>
      <c r="K2" s="99"/>
      <c r="L2" s="99"/>
      <c r="M2" s="99"/>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99"/>
      <c r="AP2" s="99"/>
      <c r="AQ2" s="99"/>
      <c r="AR2" s="99"/>
      <c r="AS2" s="99"/>
      <c r="AT2" s="99"/>
      <c r="AU2" s="99"/>
      <c r="AV2" s="99"/>
      <c r="AW2" s="99"/>
      <c r="AX2" s="99"/>
      <c r="AY2" s="99"/>
      <c r="AZ2" s="99"/>
      <c r="BA2" s="99"/>
      <c r="BB2" s="99"/>
      <c r="BC2" s="99"/>
      <c r="BD2" s="99"/>
      <c r="BE2" s="99"/>
      <c r="BF2" s="99"/>
      <c r="BG2" s="99"/>
      <c r="BH2" s="99"/>
      <c r="BI2" s="99"/>
      <c r="BJ2" s="99"/>
      <c r="BK2" s="99"/>
      <c r="BL2" s="99"/>
      <c r="BM2" s="99"/>
      <c r="BN2" s="99"/>
      <c r="BO2" s="99"/>
      <c r="BP2" s="99"/>
      <c r="BQ2" s="99"/>
      <c r="BR2" s="99"/>
      <c r="BS2" s="99"/>
      <c r="BT2" s="99"/>
      <c r="BU2" s="99"/>
      <c r="BV2" s="99"/>
      <c r="BW2" s="99"/>
      <c r="BX2" s="99"/>
      <c r="BY2" s="99"/>
      <c r="BZ2" s="99"/>
      <c r="CA2" s="99"/>
      <c r="CB2" s="99"/>
      <c r="CC2" s="99"/>
      <c r="CD2" s="99"/>
      <c r="CE2" s="99"/>
      <c r="CF2" s="99"/>
      <c r="CG2" s="99"/>
      <c r="CH2" s="99"/>
      <c r="CI2" s="99"/>
      <c r="CJ2" s="99"/>
      <c r="CK2" s="99"/>
      <c r="CL2" s="99"/>
      <c r="CM2" s="99"/>
      <c r="CN2" s="99"/>
    </row>
    <row r="3" spans="1:168" ht="13">
      <c r="A3" s="107" t="s">
        <v>338</v>
      </c>
      <c r="B3" s="100"/>
      <c r="C3" s="101"/>
      <c r="D3" s="282">
        <v>87.12</v>
      </c>
      <c r="K3" s="102"/>
      <c r="M3" s="102"/>
    </row>
    <row r="4" spans="1:168">
      <c r="A4" s="36"/>
      <c r="B4" s="64"/>
      <c r="D4" s="100"/>
      <c r="E4" s="64"/>
      <c r="F4" s="103"/>
    </row>
    <row r="5" spans="1:168">
      <c r="A5" s="64"/>
      <c r="B5" s="64"/>
      <c r="D5" s="64"/>
      <c r="E5" s="64"/>
      <c r="H5" s="60" t="s">
        <v>387</v>
      </c>
    </row>
    <row r="6" spans="1:168">
      <c r="A6" s="74"/>
      <c r="B6" s="74"/>
    </row>
    <row r="7" spans="1:168">
      <c r="A7" s="59"/>
      <c r="B7" s="59"/>
      <c r="C7" s="59"/>
      <c r="D7" s="98"/>
      <c r="E7" s="98"/>
      <c r="F7" s="59"/>
      <c r="H7" s="59" t="s">
        <v>416</v>
      </c>
      <c r="I7" s="59">
        <v>43831</v>
      </c>
      <c r="J7" s="59">
        <v>43862</v>
      </c>
      <c r="K7" s="59">
        <v>43891</v>
      </c>
      <c r="L7" s="59">
        <v>43922</v>
      </c>
      <c r="M7" s="59">
        <v>43952</v>
      </c>
      <c r="N7" s="59">
        <v>43983</v>
      </c>
      <c r="O7" s="59">
        <v>44013</v>
      </c>
      <c r="P7" s="59">
        <v>44044</v>
      </c>
      <c r="Q7" s="59">
        <v>44075</v>
      </c>
      <c r="R7" s="59">
        <v>44105</v>
      </c>
      <c r="S7" s="59">
        <v>44136</v>
      </c>
      <c r="T7" s="59">
        <v>44166</v>
      </c>
      <c r="U7" s="59">
        <v>44197</v>
      </c>
      <c r="V7" s="59">
        <v>44228</v>
      </c>
      <c r="W7" s="59">
        <v>44256</v>
      </c>
      <c r="X7" s="59">
        <v>44287</v>
      </c>
      <c r="Y7" s="59">
        <v>44317</v>
      </c>
      <c r="Z7" s="59">
        <v>44348</v>
      </c>
      <c r="AA7" s="59">
        <v>44378</v>
      </c>
      <c r="AB7" s="59">
        <v>44409</v>
      </c>
      <c r="AC7" s="59">
        <v>44440</v>
      </c>
      <c r="AD7" s="59">
        <v>44470</v>
      </c>
      <c r="AE7" s="59">
        <v>44501</v>
      </c>
      <c r="AF7" s="59">
        <v>44531</v>
      </c>
      <c r="AG7" s="59">
        <v>44562</v>
      </c>
      <c r="AH7" s="59">
        <v>44593</v>
      </c>
      <c r="AI7" s="59">
        <v>44621</v>
      </c>
      <c r="AJ7" s="59">
        <v>44652</v>
      </c>
      <c r="AK7" s="59">
        <v>44682</v>
      </c>
      <c r="AL7" s="59">
        <v>44713</v>
      </c>
      <c r="AM7" s="59">
        <v>44743</v>
      </c>
      <c r="AN7" s="59">
        <v>44774</v>
      </c>
      <c r="AO7" s="59">
        <v>44805</v>
      </c>
      <c r="AP7" s="59">
        <v>44835</v>
      </c>
      <c r="AQ7" s="59">
        <v>44866</v>
      </c>
      <c r="AR7" s="59">
        <v>44896</v>
      </c>
      <c r="AS7" s="59">
        <v>44927</v>
      </c>
      <c r="AT7" s="59">
        <v>44958</v>
      </c>
      <c r="AU7" s="59">
        <v>44986</v>
      </c>
      <c r="AV7" s="59">
        <v>45017</v>
      </c>
      <c r="AW7" s="59">
        <v>45047</v>
      </c>
      <c r="AX7" s="59">
        <v>45078</v>
      </c>
      <c r="AY7" s="59">
        <v>45108</v>
      </c>
      <c r="AZ7" s="59" t="s">
        <v>530</v>
      </c>
      <c r="BA7" s="59" t="s">
        <v>531</v>
      </c>
      <c r="BB7" s="59" t="s">
        <v>532</v>
      </c>
      <c r="BC7" s="59">
        <v>37104</v>
      </c>
      <c r="BD7" s="59">
        <v>37469</v>
      </c>
      <c r="BE7" s="59" t="s">
        <v>168</v>
      </c>
      <c r="BF7" s="59" t="s">
        <v>169</v>
      </c>
      <c r="BG7" s="59" t="s">
        <v>195</v>
      </c>
      <c r="BH7" s="59" t="s">
        <v>196</v>
      </c>
      <c r="BI7" s="59" t="s">
        <v>197</v>
      </c>
      <c r="BJ7" s="59" t="s">
        <v>198</v>
      </c>
      <c r="BK7" s="59" t="s">
        <v>199</v>
      </c>
      <c r="BL7" s="59" t="s">
        <v>200</v>
      </c>
      <c r="BM7" s="59" t="s">
        <v>201</v>
      </c>
      <c r="BN7" s="59" t="s">
        <v>202</v>
      </c>
      <c r="BO7" s="59">
        <v>37196</v>
      </c>
      <c r="BP7" s="59">
        <v>37561</v>
      </c>
      <c r="BQ7" s="59">
        <v>37926</v>
      </c>
      <c r="BR7" s="59">
        <v>38292</v>
      </c>
      <c r="BS7" s="59">
        <v>37226</v>
      </c>
      <c r="BT7" s="59">
        <v>37591</v>
      </c>
      <c r="BU7" s="59">
        <v>37956</v>
      </c>
      <c r="BV7" s="59">
        <v>38322</v>
      </c>
      <c r="BW7" s="59">
        <v>36892</v>
      </c>
      <c r="BX7" s="59">
        <v>37257</v>
      </c>
      <c r="BY7" s="59">
        <v>37622</v>
      </c>
      <c r="BZ7" s="59">
        <v>37987</v>
      </c>
      <c r="CA7" s="59">
        <v>36923</v>
      </c>
      <c r="CB7" s="59">
        <v>37288</v>
      </c>
      <c r="CC7" s="59">
        <v>37653</v>
      </c>
      <c r="CD7" s="59">
        <v>38018</v>
      </c>
      <c r="CE7" s="59" t="str">
        <f>Sheet8!A15</f>
        <v>Mar-w1</v>
      </c>
      <c r="CF7" s="59">
        <v>37316</v>
      </c>
      <c r="CG7" s="59">
        <v>37681</v>
      </c>
      <c r="CH7" s="59">
        <v>38047</v>
      </c>
      <c r="CI7" s="59" t="str">
        <f>Sheet8!E15</f>
        <v>Apr-w1</v>
      </c>
      <c r="CJ7" s="59" t="str">
        <f>Sheet8!F15</f>
        <v>Apr-w2</v>
      </c>
      <c r="CK7" s="59" t="str">
        <f>Sheet8!G15</f>
        <v>Apr-w3</v>
      </c>
      <c r="CL7" s="59" t="str">
        <f>Sheet8!H15</f>
        <v>Apr-w4</v>
      </c>
      <c r="CM7" s="59" t="str">
        <f>Sheet8!I15</f>
        <v>May-w1</v>
      </c>
      <c r="CN7" s="59" t="str">
        <f>Sheet8!J15</f>
        <v>May-w2</v>
      </c>
      <c r="CO7" s="59" t="str">
        <f>Sheet8!K15</f>
        <v>May-w3</v>
      </c>
      <c r="CP7" s="59" t="str">
        <f>Sheet8!L15</f>
        <v>May-w4</v>
      </c>
      <c r="CQ7" s="59" t="str">
        <f>Sheet8!M15</f>
        <v>May-w5</v>
      </c>
      <c r="CR7" s="59" t="str">
        <f>Sheet8!N15</f>
        <v>june-w1</v>
      </c>
      <c r="CS7" s="59" t="str">
        <f>Sheet8!O15</f>
        <v>june-w2</v>
      </c>
      <c r="CT7" s="59" t="str">
        <f>Sheet8!P15</f>
        <v>june-w3</v>
      </c>
      <c r="CU7" s="59" t="str">
        <f>Sheet8!Q15</f>
        <v>june-w4</v>
      </c>
      <c r="CV7" s="59" t="str">
        <f>Sheet8!R15</f>
        <v>Jul-w1</v>
      </c>
      <c r="CW7" s="59" t="str">
        <f>Sheet8!S15</f>
        <v>Jul-w2</v>
      </c>
      <c r="CX7" s="59" t="str">
        <f>Sheet8!T15</f>
        <v>Jul-w3</v>
      </c>
      <c r="CY7" s="59" t="str">
        <f>Sheet8!U15</f>
        <v>Jul-w4</v>
      </c>
      <c r="CZ7" s="59" t="str">
        <f>Sheet8!V15</f>
        <v>Aug-w1</v>
      </c>
      <c r="DA7" s="59" t="str">
        <f>Sheet8!W15</f>
        <v>Aug-w2</v>
      </c>
      <c r="DB7" s="59" t="str">
        <f>Sheet8!X15</f>
        <v>Aug-w3</v>
      </c>
      <c r="DC7" s="59" t="str">
        <f>Sheet8!Y15</f>
        <v>Aug-w4</v>
      </c>
      <c r="DD7" s="59" t="str">
        <f>Sheet8!Z15</f>
        <v>Sep-w1</v>
      </c>
      <c r="DE7" s="59" t="str">
        <f>Sheet8!AA15</f>
        <v>Sep-w2</v>
      </c>
      <c r="DF7" s="59" t="str">
        <f>Sheet8!AB15</f>
        <v>Sep-w3</v>
      </c>
      <c r="DG7" s="59" t="str">
        <f>Sheet8!AC15</f>
        <v>Sep-w4</v>
      </c>
      <c r="DH7" s="59" t="str">
        <f>Sheet8!AD15</f>
        <v>Oct-w1</v>
      </c>
      <c r="DI7" s="59" t="str">
        <f>Sheet8!AE15</f>
        <v>Oct-w2</v>
      </c>
      <c r="DJ7" s="59" t="str">
        <f>Sheet8!AF15</f>
        <v>Oct-w3</v>
      </c>
      <c r="DK7" s="59" t="str">
        <f>Sheet8!AG15</f>
        <v>Oct-w4</v>
      </c>
      <c r="DL7" s="59" t="str">
        <f>Sheet8!AH15</f>
        <v>Nov-w1</v>
      </c>
      <c r="DM7" s="59" t="str">
        <f>Sheet8!AI15</f>
        <v>Nov-w2</v>
      </c>
      <c r="DN7" s="59" t="str">
        <f>Sheet8!AJ15</f>
        <v>Nov-w3</v>
      </c>
      <c r="DO7" s="59" t="str">
        <f>Sheet8!AK15</f>
        <v>Nov-w4</v>
      </c>
      <c r="DP7" s="59" t="str">
        <f>Sheet8!AL15</f>
        <v>Dec-w1</v>
      </c>
      <c r="DQ7" s="59" t="str">
        <f>Sheet8!AM15</f>
        <v>Dec-w2</v>
      </c>
      <c r="DR7" s="59" t="str">
        <f>Sheet8!AN15</f>
        <v>Dec-w3</v>
      </c>
      <c r="DS7" s="59" t="str">
        <f>Sheet8!AO15</f>
        <v>Dec-w4</v>
      </c>
      <c r="DT7" s="59">
        <f>Sheet8!AP15</f>
        <v>0</v>
      </c>
      <c r="DU7" s="59">
        <f>Sheet8!AQ15</f>
        <v>0</v>
      </c>
      <c r="DV7" s="59">
        <f>Sheet8!AR15</f>
        <v>0</v>
      </c>
      <c r="DW7" s="59">
        <f>Sheet8!AS15</f>
        <v>0</v>
      </c>
      <c r="DX7" s="59">
        <f>Sheet8!AT15</f>
        <v>0</v>
      </c>
      <c r="DY7" s="59">
        <f>Sheet8!AU15</f>
        <v>0</v>
      </c>
      <c r="DZ7" s="59">
        <f>Sheet8!AV15</f>
        <v>0</v>
      </c>
      <c r="EA7" s="59">
        <f>Sheet8!AW15</f>
        <v>0</v>
      </c>
      <c r="EB7" s="59">
        <f>Sheet8!AX15</f>
        <v>0</v>
      </c>
      <c r="EC7" s="59">
        <f>Sheet8!AY15</f>
        <v>0</v>
      </c>
      <c r="ED7" s="59">
        <f>Sheet8!AZ15</f>
        <v>0</v>
      </c>
      <c r="EE7" s="59">
        <f>Sheet8!BA15</f>
        <v>0</v>
      </c>
      <c r="EF7" s="59">
        <f>Sheet8!BB15</f>
        <v>0</v>
      </c>
      <c r="EG7" s="59">
        <f>Sheet8!BC15</f>
        <v>0</v>
      </c>
      <c r="EH7" s="59">
        <f>Sheet8!BD15</f>
        <v>0</v>
      </c>
      <c r="EI7" s="59">
        <f>Sheet8!BE15</f>
        <v>0</v>
      </c>
      <c r="EJ7" s="59">
        <f>Sheet8!BF15</f>
        <v>0</v>
      </c>
      <c r="EK7" s="59">
        <f>Sheet8!BG15</f>
        <v>0</v>
      </c>
      <c r="EL7" s="59">
        <f>Sheet8!BH15</f>
        <v>0</v>
      </c>
      <c r="EM7" s="59">
        <f>Sheet8!BI15</f>
        <v>0</v>
      </c>
      <c r="EN7" s="59">
        <f>Sheet8!BJ15</f>
        <v>0</v>
      </c>
      <c r="EO7" s="59">
        <f>Sheet8!BK15</f>
        <v>0</v>
      </c>
      <c r="EP7" s="59">
        <f>Sheet8!BL15</f>
        <v>0</v>
      </c>
      <c r="EQ7" s="59">
        <f>Sheet8!BM15</f>
        <v>0</v>
      </c>
      <c r="ER7" s="59">
        <f>Sheet8!BN15</f>
        <v>0</v>
      </c>
      <c r="ES7" s="59">
        <f>Sheet8!BO15</f>
        <v>0</v>
      </c>
      <c r="ET7" s="59">
        <f>Sheet8!BP15</f>
        <v>0</v>
      </c>
      <c r="EU7" s="59">
        <f>Sheet8!BQ15</f>
        <v>0</v>
      </c>
      <c r="EV7" s="59">
        <f>Sheet8!BR15</f>
        <v>0</v>
      </c>
      <c r="EW7" s="59">
        <f>Sheet8!BS15</f>
        <v>0</v>
      </c>
      <c r="EX7" s="59">
        <f>Sheet8!BT15</f>
        <v>0</v>
      </c>
      <c r="EY7" s="59">
        <f>Sheet8!BU15</f>
        <v>0</v>
      </c>
      <c r="EZ7" s="59">
        <f>Sheet8!BV15</f>
        <v>0</v>
      </c>
      <c r="FA7" s="59">
        <f>Sheet8!BW15</f>
        <v>0</v>
      </c>
      <c r="FB7" s="59">
        <f>Sheet8!BX15</f>
        <v>0</v>
      </c>
      <c r="FC7" s="59">
        <f>Sheet8!BY15</f>
        <v>0</v>
      </c>
      <c r="FD7" s="59">
        <f>Sheet8!BZ15</f>
        <v>0</v>
      </c>
      <c r="FE7" s="59">
        <f>Sheet8!CA15</f>
        <v>0</v>
      </c>
      <c r="FF7" s="59">
        <f>Sheet8!CB15</f>
        <v>0</v>
      </c>
    </row>
    <row r="8" spans="1:168" ht="13">
      <c r="H8" s="107" t="s">
        <v>131</v>
      </c>
      <c r="I8" s="74">
        <f>VLOOKUP($H$8&amp;$F$1,'Input RM sheet'!$A:$BD,H1,0)</f>
        <v>0</v>
      </c>
      <c r="J8" s="74">
        <f>VLOOKUP($H$8&amp;$F$1,'Input RM sheet'!$A:$BD,I1,0)</f>
        <v>0</v>
      </c>
      <c r="K8" s="74">
        <f>VLOOKUP($H$8&amp;$F$1,'Input RM sheet'!$A:$DD,J1,0)</f>
        <v>0</v>
      </c>
      <c r="L8" s="74">
        <f>VLOOKUP($H$8&amp;$F$1,'Input RM sheet'!$A:$DD,K1,0)</f>
        <v>0</v>
      </c>
      <c r="M8" s="74">
        <f>VLOOKUP($H$8&amp;$F$1,'Input RM sheet'!$A:$DD,L1,0)</f>
        <v>0</v>
      </c>
      <c r="N8" s="74">
        <f>VLOOKUP($H$8&amp;$F$1,'Input RM sheet'!$A:$DD,M1,0)</f>
        <v>0</v>
      </c>
      <c r="O8" s="74">
        <f>VLOOKUP($H$8&amp;$F$1,'Input RM sheet'!$A:$DD,N1,0)</f>
        <v>0</v>
      </c>
      <c r="P8" s="74">
        <f>VLOOKUP($H$8&amp;$F$1,'Input RM sheet'!$A:$DD,O1,0)</f>
        <v>0</v>
      </c>
      <c r="Q8" s="74">
        <f>VLOOKUP($H$8&amp;$F$1,'Input RM sheet'!$A:$DD,P1,0)</f>
        <v>0</v>
      </c>
      <c r="R8" s="74">
        <f>VLOOKUP($H$8&amp;$F$1,'Input RM sheet'!$A:$DD,Q1,0)</f>
        <v>0</v>
      </c>
      <c r="S8" s="74">
        <f>VLOOKUP($H$8&amp;$F$1,'Input RM sheet'!$A:$DD,R1,0)</f>
        <v>0</v>
      </c>
      <c r="T8" s="74">
        <f>VLOOKUP($H$8&amp;$F$1,'Input RM sheet'!$A:$DD,S1,0)</f>
        <v>0</v>
      </c>
      <c r="U8" s="74">
        <f>VLOOKUP($H$8&amp;$F$1,'Input RM sheet'!$A:$DD,T1,0)</f>
        <v>0</v>
      </c>
      <c r="V8" s="74">
        <f>VLOOKUP($H$8&amp;$F$1,'Input RM sheet'!$A:$DD,U1,0)</f>
        <v>0</v>
      </c>
      <c r="W8" s="74">
        <f>VLOOKUP($H$8&amp;$F$1,'Input RM sheet'!$A:$DD,V1,0)</f>
        <v>0</v>
      </c>
      <c r="X8" s="74">
        <f>VLOOKUP($H$8&amp;$F$1,'Input RM sheet'!$A:$DD,W1,0)</f>
        <v>0</v>
      </c>
      <c r="Y8" s="74">
        <f>VLOOKUP($H$8&amp;$F$1,'Input RM sheet'!$A:$DD,X1,0)</f>
        <v>0</v>
      </c>
      <c r="Z8" s="74">
        <f>VLOOKUP($H$8&amp;$F$1,'Input RM sheet'!$A:$DD,Y1,0)</f>
        <v>0</v>
      </c>
      <c r="AA8" s="74">
        <f>VLOOKUP($H$8&amp;$F$1,'Input RM sheet'!$A:$DD,Z1,0)</f>
        <v>0</v>
      </c>
      <c r="AB8" s="74">
        <f>VLOOKUP($H$8&amp;$F$1,'Input RM sheet'!$A:$DD,AA1,0)</f>
        <v>1251.25</v>
      </c>
      <c r="AC8" s="74">
        <f>VLOOKUP($H$8&amp;$F$1,'Input RM sheet'!$A:$DD,AB1,0)</f>
        <v>1230</v>
      </c>
      <c r="AD8" s="74">
        <f>VLOOKUP($H$8&amp;$F$1,'Input RM sheet'!$A:$DD,AC1,0)</f>
        <v>1307.5</v>
      </c>
      <c r="AE8" s="74">
        <f>VLOOKUP($H$8&amp;$F$1,'Input RM sheet'!$A:$DD,AD1,0)</f>
        <v>1325</v>
      </c>
      <c r="AF8" s="74">
        <f>VLOOKUP($H$8&amp;$F$1,'Input RM sheet'!$A:$DD,AE1,0)</f>
        <v>1301.25</v>
      </c>
      <c r="AG8" s="74">
        <f>VLOOKUP($H$8&amp;$F$1,'Input RM sheet'!$A:$DD,AF1,0)</f>
        <v>1275</v>
      </c>
      <c r="AH8" s="74">
        <f>VLOOKUP($H$8&amp;$F$1,'Input RM sheet'!$A:$DD,AG1,0)</f>
        <v>1291.6669999999999</v>
      </c>
      <c r="AI8" s="74">
        <f>VLOOKUP($H$8&amp;$F$1,'Input RM sheet'!$A:$DD,AH1,0)</f>
        <v>1345</v>
      </c>
      <c r="AJ8" s="74">
        <f>VLOOKUP($H$8&amp;$F$1,'Input RM sheet'!$A:$DD,AI1,0)</f>
        <v>1375</v>
      </c>
      <c r="AK8" s="74">
        <f>VLOOKUP($H$8&amp;$F$1,'Input RM sheet'!$A:$DD,AJ1,0)</f>
        <v>1412.5</v>
      </c>
      <c r="AL8" s="74">
        <f>VLOOKUP($H$8&amp;$F$1,'Input RM sheet'!$A:$DD,AK1,0)</f>
        <v>1308</v>
      </c>
      <c r="AM8" s="74">
        <f>VLOOKUP($H$8&amp;$F$1,'Input RM sheet'!$A:$DD,AL1,0)</f>
        <v>1232.5</v>
      </c>
      <c r="AN8" s="74">
        <f>VLOOKUP($H$8&amp;$F$1,'Input RM sheet'!$A:$DD,AM1,0)</f>
        <v>1159</v>
      </c>
      <c r="AO8" s="74">
        <f>VLOOKUP($H$8&amp;$F$1,'Input RM sheet'!$A:$DD,AN1,0)</f>
        <v>1081.25</v>
      </c>
      <c r="AP8" s="74">
        <f>VLOOKUP($H$8&amp;$F$1,'Input RM sheet'!$A:$DD,AO1,0)</f>
        <v>1048.75</v>
      </c>
      <c r="AQ8" s="74">
        <f>VLOOKUP($H$8&amp;$F$1,'Input RM sheet'!$A:$DD,AP1,0)</f>
        <v>1040</v>
      </c>
      <c r="AR8" s="74">
        <f>VLOOKUP($H$8&amp;$F$1,'Input RM sheet'!$A:$DD,AQ1,0)</f>
        <v>1040</v>
      </c>
      <c r="AS8" s="74">
        <f>VLOOKUP($H$8&amp;$F$1,'Input RM sheet'!$A:$DD,AR1,0)</f>
        <v>1040</v>
      </c>
      <c r="AT8" s="74">
        <f>VLOOKUP($H$8&amp;$F$1,'Input RM sheet'!$A:$DD,AS1,0)</f>
        <v>1116.25</v>
      </c>
      <c r="AU8" s="74">
        <f>VLOOKUP($H$8&amp;$F$1,'Input RM sheet'!$A:$DD,AT1,0)</f>
        <v>1230</v>
      </c>
      <c r="AV8" s="74">
        <f>VLOOKUP($H$8&amp;$F$1,'Input RM sheet'!$A:$DD,AU1,0)</f>
        <v>1250</v>
      </c>
      <c r="AW8" s="74">
        <f>VLOOKUP($H$8&amp;$F$1,'Input RM sheet'!$A:$DD,AV1,0)</f>
        <v>1195</v>
      </c>
      <c r="AX8" s="74">
        <f>VLOOKUP($H$8&amp;$F$1,'Input RM sheet'!$A:$DD,AW1,0)</f>
        <v>1175</v>
      </c>
      <c r="AY8" s="74">
        <f>VLOOKUP($H$8&amp;$F$1,'Input RM sheet'!$A:$DD,AX1,0)</f>
        <v>1175</v>
      </c>
      <c r="AZ8" s="74">
        <f>VLOOKUP($H$8&amp;$F$1,'Input RM sheet'!$A:$DD,AY1,0)</f>
        <v>1175</v>
      </c>
      <c r="BA8" s="74">
        <f>VLOOKUP($H$8&amp;$F$1,'Input RM sheet'!$A:$DD,AZ1,0)</f>
        <v>1125</v>
      </c>
      <c r="BB8" s="74">
        <f>VLOOKUP($H$8&amp;$F$1,'Input RM sheet'!$A:$DD,BA1,0)</f>
        <v>1125</v>
      </c>
      <c r="BC8" s="74">
        <f>VLOOKUP($H$8&amp;$F$1,'Input RM sheet'!$A:$DD,BB1,0)</f>
        <v>1000</v>
      </c>
      <c r="BD8" s="74">
        <f>VLOOKUP($H$8&amp;$F$1,'Input RM sheet'!$A:$DD,BC1,0)</f>
        <v>1000</v>
      </c>
      <c r="BE8" s="74">
        <f>VLOOKUP($H$8&amp;$F$1,'Input RM sheet'!$A:$DD,BD1,0)</f>
        <v>1000</v>
      </c>
      <c r="BF8" s="74">
        <f>VLOOKUP($H$8&amp;$F$1,'Input RM sheet'!$A:$DD,BE1,0)</f>
        <v>1000</v>
      </c>
      <c r="BG8" s="74">
        <f>VLOOKUP($H$8&amp;$F$1,'Input RM sheet'!$A:$DD,BF1,0)</f>
        <v>1025</v>
      </c>
      <c r="BH8" s="74">
        <f>VLOOKUP($H$8&amp;$F$1,'Input RM sheet'!$A:$DD,BG1,0)</f>
        <v>1025</v>
      </c>
      <c r="BI8" s="74">
        <f>VLOOKUP($H$8&amp;$F$1,'Input RM sheet'!$A:$DD,BH1,0)</f>
        <v>1225</v>
      </c>
      <c r="BJ8" s="74">
        <f>VLOOKUP($H$8&amp;$F$1,'Input RM sheet'!$A:$DD,BI1,0)</f>
        <v>1225</v>
      </c>
      <c r="BK8" s="74">
        <f>VLOOKUP($H$8&amp;$F$1,'Input RM sheet'!$A:$DD,BJ1,0)</f>
        <v>1200</v>
      </c>
      <c r="BL8" s="74">
        <f>VLOOKUP($H$8&amp;$F$1,'Input RM sheet'!$A:$DD,BK1,0)</f>
        <v>1200</v>
      </c>
      <c r="BM8" s="74">
        <f>VLOOKUP($H$8&amp;$F$1,'Input RM sheet'!$A:$DD,BL1,0)</f>
        <v>1200</v>
      </c>
      <c r="BN8" s="74">
        <f>VLOOKUP($H$8&amp;$F$1,'Input RM sheet'!$A:$DD,BM1,0)</f>
        <v>1200</v>
      </c>
      <c r="BO8" s="74">
        <f>VLOOKUP($H$8&amp;$F$1,'Input RM sheet'!$A:$DD,BN1,0)</f>
        <v>1200</v>
      </c>
      <c r="BP8" s="74">
        <f>VLOOKUP($H$8&amp;$F$1,'Input RM sheet'!$A:$DD,BO1,0)</f>
        <v>1150</v>
      </c>
      <c r="BQ8" s="74">
        <f>VLOOKUP($H$8&amp;$F$1,'Input RM sheet'!$A:$DD,BP1,0)</f>
        <v>1150</v>
      </c>
      <c r="BR8" s="74">
        <f>VLOOKUP($H$8&amp;$F$1,'Input RM sheet'!$A:$DD,BQ1,0)</f>
        <v>1125</v>
      </c>
      <c r="BS8" s="74">
        <f>VLOOKUP($H$8&amp;$F$1,'Input RM sheet'!$A:$DD,BR1,0)</f>
        <v>1125</v>
      </c>
      <c r="BT8" s="74">
        <f>VLOOKUP($H$8&amp;$F$1,'Input RM sheet'!$A:$DD,BS1,0)</f>
        <v>1125</v>
      </c>
      <c r="BU8" s="74">
        <f>VLOOKUP($H$8&amp;$F$1,'Input RM sheet'!$A:$DD,BT1,0)</f>
        <v>1125</v>
      </c>
      <c r="BV8" s="74">
        <f>VLOOKUP($H$8&amp;$F$1,'Input RM sheet'!$A:$DD,BU1,0)</f>
        <v>1125</v>
      </c>
      <c r="BW8" s="74">
        <f>VLOOKUP($H$8&amp;$F$1,'Input RM sheet'!$A:$DD,BV1,0)</f>
        <v>1125</v>
      </c>
      <c r="BX8" s="74">
        <f>VLOOKUP($H$8&amp;$F$1,'Input RM sheet'!$A:$DD,BW1,0)</f>
        <v>1125</v>
      </c>
      <c r="BY8" s="74">
        <f>VLOOKUP($H$8&amp;$F$1,'Input RM sheet'!$A:$DD,BX1,0)</f>
        <v>1125</v>
      </c>
      <c r="BZ8" s="74">
        <f>VLOOKUP($H$8&amp;$F$1,'Input RM sheet'!$A:$DD,BY1,0)</f>
        <v>1125</v>
      </c>
      <c r="CA8" s="74">
        <f>VLOOKUP($H$8&amp;$F$1,'Input RM sheet'!$A:$DD,BZ1,0)</f>
        <v>1125</v>
      </c>
      <c r="CB8" s="74">
        <f>VLOOKUP($H$8&amp;$F$1,'Input RM sheet'!$A:$DD,CA1,0)</f>
        <v>1125</v>
      </c>
      <c r="CC8" s="74">
        <f>VLOOKUP($H$8&amp;$F$1,'Input RM sheet'!$A:$DD,CB1,0)</f>
        <v>1125</v>
      </c>
      <c r="CD8" s="74">
        <f>VLOOKUP($H$8&amp;$F$1,'Input RM sheet'!$A:$DD,CC1,0)</f>
        <v>1050</v>
      </c>
      <c r="CE8" s="74">
        <f>VLOOKUP($H$8&amp;$F$1,'Input RM sheet'!$A:$DD,CD1,0)</f>
        <v>1050</v>
      </c>
      <c r="CF8" s="74">
        <f>VLOOKUP($H$8&amp;$F$1,'Input RM sheet'!$A:$DD,CE1,0)</f>
        <v>1050</v>
      </c>
      <c r="CG8" s="74">
        <f>VLOOKUP($H$8&amp;$F$1,'Input RM sheet'!$A:$DD,CF1,0)</f>
        <v>1050</v>
      </c>
      <c r="CH8" s="74">
        <f>VLOOKUP($H$8&amp;$F$1,'Input RM sheet'!$A:$DD,CG1,0)</f>
        <v>1100</v>
      </c>
      <c r="CI8" s="74">
        <f>VLOOKUP($H$8&amp;$F$1,'Input RM sheet'!$A:$DD,CH1,0)</f>
        <v>1100</v>
      </c>
      <c r="CJ8" s="74">
        <f>VLOOKUP($H$8&amp;$F$1,'Input RM sheet'!$A:$DD,CI1,0)</f>
        <v>1100</v>
      </c>
      <c r="CK8" s="74">
        <f>VLOOKUP($H$8&amp;$F$1,'Input RM sheet'!$A:$DD,CJ1,0)</f>
        <v>1150</v>
      </c>
      <c r="CL8" s="74">
        <f>VLOOKUP($H$8&amp;$F$1,'Input RM sheet'!$A:$DD,CK1,0)</f>
        <v>1150</v>
      </c>
      <c r="CM8" s="74">
        <f>VLOOKUP($H$8&amp;$F$1,'Input RM sheet'!$A:$DD,CL1,0)</f>
        <v>1150</v>
      </c>
      <c r="CN8" s="74">
        <f>VLOOKUP($H$8&amp;$F$1,'Input RM sheet'!$A:$DD,CM1,0)</f>
        <v>1150</v>
      </c>
      <c r="CO8" s="74">
        <f>VLOOKUP($H$8&amp;$F$1,'Input RM sheet'!$A:$DD,CN1,0)</f>
        <v>1150</v>
      </c>
      <c r="CP8" s="74">
        <f>VLOOKUP($H$8&amp;$F$1,'Input RM sheet'!$A:$DD,CO1,0)</f>
        <v>1150</v>
      </c>
      <c r="CQ8" s="74">
        <f>VLOOKUP($H$8&amp;$F$1,'Input RM sheet'!$A:$DD,CP1,0)</f>
        <v>1150</v>
      </c>
      <c r="CR8" s="74">
        <f>VLOOKUP($H$8&amp;$F$1,'Input RM sheet'!$A:$ZZ,CQ1,0)</f>
        <v>1150</v>
      </c>
      <c r="CS8" s="74">
        <f>VLOOKUP($H$8&amp;$F$1,'Input RM sheet'!$A:$ZZ,CR1,0)</f>
        <v>1100</v>
      </c>
      <c r="CT8" s="74">
        <f>VLOOKUP($H$8&amp;$F$1,'Input RM sheet'!$A:$ZZ,CS1,0)</f>
        <v>1075</v>
      </c>
      <c r="CU8" s="74">
        <f>VLOOKUP($H$8&amp;$F$1,'Input RM sheet'!$A:$ZZ,CT1,0)</f>
        <v>1075</v>
      </c>
      <c r="CV8" s="74">
        <f>VLOOKUP($H$8&amp;$F$1,'Input RM sheet'!$A:$ZZ,CU1,0)</f>
        <v>1075</v>
      </c>
      <c r="CW8" s="74">
        <f>VLOOKUP($H$8&amp;$F$1,'Input RM sheet'!$A:$ZZ,CV1,0)</f>
        <v>900</v>
      </c>
      <c r="CX8" s="74">
        <f>VLOOKUP($H$8&amp;$F$1,'Input RM sheet'!$A:$ZZ,CW1,0)</f>
        <v>900</v>
      </c>
      <c r="CY8" s="74">
        <f>VLOOKUP($H$8&amp;$F$1,'Input RM sheet'!$A:$ZZ,CX1,0)</f>
        <v>900</v>
      </c>
      <c r="CZ8" s="74">
        <f>VLOOKUP($H$8&amp;$F$1,'Input RM sheet'!$A:$ZZ,CY1,0)</f>
        <v>900</v>
      </c>
      <c r="DA8" s="74">
        <f>VLOOKUP($H$8&amp;$F$1,'Input RM sheet'!$A:$ZZ,CZ1,0)</f>
        <v>900</v>
      </c>
      <c r="DB8" s="74">
        <f>VLOOKUP($H$8&amp;$F$1,'Input RM sheet'!$A:$ZZ,DA1,0)</f>
        <v>850</v>
      </c>
      <c r="DC8" s="74">
        <f>VLOOKUP($H$8&amp;$F$1,'Input RM sheet'!$A:$ZZ,DB1,0)</f>
        <v>850</v>
      </c>
      <c r="DD8" s="74">
        <f>VLOOKUP($H$8&amp;$F$1,'Input RM sheet'!$A:$ZZ,DC1,0)</f>
        <v>850</v>
      </c>
      <c r="DE8" s="74">
        <f>VLOOKUP($H$8&amp;$F$1,'Input RM sheet'!$A:$ZZ,DD1,0)</f>
        <v>850</v>
      </c>
      <c r="DF8" s="74">
        <f>VLOOKUP($H$8&amp;$F$1,'Input RM sheet'!$A:$ZZ,DE1,0)</f>
        <v>850</v>
      </c>
      <c r="DG8" s="74">
        <f>VLOOKUP($H$8&amp;$F$1,'Input RM sheet'!$A:$ZZ,DF1,0)</f>
        <v>850</v>
      </c>
      <c r="DH8" s="74">
        <f>VLOOKUP($H$8&amp;$F$1,'Input RM sheet'!$A:$ZZ,DG1,0)</f>
        <v>850</v>
      </c>
      <c r="DI8" s="74">
        <f>VLOOKUP($H$8&amp;$F$1,'Input RM sheet'!$A:$ZZ,DH1,0)</f>
        <v>850</v>
      </c>
      <c r="DJ8" s="74">
        <f>VLOOKUP($H$8&amp;$F$1,'Input RM sheet'!$A:$ZZ,DI1,0)</f>
        <v>850</v>
      </c>
      <c r="DK8" s="74">
        <f>VLOOKUP($H$8&amp;$F$1,'Input RM sheet'!$A:$ZZ,DJ1,0)</f>
        <v>850</v>
      </c>
      <c r="DL8" s="74">
        <f>VLOOKUP($H$8&amp;$F$1,'Input RM sheet'!$A:$ZZ,DK1,0)</f>
        <v>800</v>
      </c>
      <c r="DM8" s="74">
        <f>VLOOKUP($H$8&amp;$F$1,'Input RM sheet'!$A:$ZZ,DL1,0)</f>
        <v>800</v>
      </c>
      <c r="DN8" s="74">
        <f>VLOOKUP($H$8&amp;$F$1,'Input RM sheet'!$A:$ZZ,DM1,0)</f>
        <v>800</v>
      </c>
      <c r="DO8" s="74">
        <f>VLOOKUP($H$8&amp;$F$1,'Input RM sheet'!$A:$ZZ,DN1,0)</f>
        <v>800</v>
      </c>
      <c r="DP8" s="74">
        <f>VLOOKUP($H$8&amp;$F$1,'Input RM sheet'!$A:$ZZ,DO1,0)</f>
        <v>800</v>
      </c>
      <c r="DQ8" s="74">
        <f>VLOOKUP($H$8&amp;$F$1,'Input RM sheet'!$A:$ZZ,DP1,0)</f>
        <v>800</v>
      </c>
      <c r="DR8" s="74">
        <f>VLOOKUP($H$8&amp;$F$1,'Input RM sheet'!$A:$ZZ,DQ1,0)</f>
        <v>675</v>
      </c>
      <c r="DS8" s="74">
        <f>VLOOKUP($H$8&amp;$F$1,'Input RM sheet'!$A:$ZZ,DR1,0)</f>
        <v>675</v>
      </c>
      <c r="DT8" s="74">
        <f>VLOOKUP($H$8&amp;$F$1,'Input RM sheet'!$A:$ZZ,DS1,0)</f>
        <v>0</v>
      </c>
      <c r="DU8" s="74">
        <f>VLOOKUP($H$8&amp;$F$1,'Input RM sheet'!$A:$ZZ,DT1,0)</f>
        <v>0</v>
      </c>
      <c r="DV8" s="74">
        <f>VLOOKUP($H$8&amp;$F$1,'Input RM sheet'!$A:$ZZ,DU1,0)</f>
        <v>0</v>
      </c>
      <c r="DW8" s="74">
        <f>VLOOKUP($H$8&amp;$F$1,'Input RM sheet'!$A:$ZZ,DV1,0)</f>
        <v>0</v>
      </c>
      <c r="DX8" s="74">
        <f>VLOOKUP($H$8&amp;$F$1,'Input RM sheet'!$A:$ZZ,DW1,0)</f>
        <v>0</v>
      </c>
      <c r="DY8" s="74">
        <f>VLOOKUP($H$8&amp;$F$1,'Input RM sheet'!$A:$ZZ,DX1,0)</f>
        <v>0</v>
      </c>
      <c r="DZ8" s="74">
        <f>VLOOKUP($H$8&amp;$F$1,'Input RM sheet'!$A:$ZZ,DY1,0)</f>
        <v>0</v>
      </c>
      <c r="EA8" s="74">
        <f>VLOOKUP($H$8&amp;$F$1,'Input RM sheet'!$A:$ZZ,DZ1,0)</f>
        <v>0</v>
      </c>
      <c r="EB8" s="74">
        <f>VLOOKUP($H$8&amp;$F$1,'Input RM sheet'!$A:$ZZ,EA1,0)</f>
        <v>0</v>
      </c>
      <c r="EC8" s="74">
        <f>VLOOKUP($H$8&amp;$F$1,'Input RM sheet'!$A:$ZZ,EB1,0)</f>
        <v>0</v>
      </c>
      <c r="ED8" s="74">
        <f>VLOOKUP($H$8&amp;$F$1,'Input RM sheet'!$A:$ZZ,EC1,0)</f>
        <v>0</v>
      </c>
      <c r="EE8" s="74">
        <f>VLOOKUP($H$8&amp;$F$1,'Input RM sheet'!$A:$ZZ,ED1,0)</f>
        <v>0</v>
      </c>
      <c r="EF8" s="74">
        <f>VLOOKUP($H$8&amp;$F$1,'Input RM sheet'!$A:$ZZ,EE1,0)</f>
        <v>0</v>
      </c>
      <c r="EG8" s="74">
        <f>VLOOKUP($H$8&amp;$F$1,'Input RM sheet'!$A:$ZZ,EF1,0)</f>
        <v>0</v>
      </c>
      <c r="EH8" s="74">
        <f>VLOOKUP($H$8&amp;$F$1,'Input RM sheet'!$A:$ZZ,EG1,0)</f>
        <v>0</v>
      </c>
      <c r="EI8" s="74">
        <f>VLOOKUP($H$8&amp;$F$1,'Input RM sheet'!$A:$ZZ,EH1,0)</f>
        <v>0</v>
      </c>
      <c r="EJ8" s="74">
        <f>VLOOKUP($H$8&amp;$F$1,'Input RM sheet'!$A:$ZZ,EI1,0)</f>
        <v>0</v>
      </c>
      <c r="EK8" s="74">
        <f>VLOOKUP($H$8&amp;$F$1,'Input RM sheet'!$A:$ZZ,EJ1,0)</f>
        <v>0</v>
      </c>
      <c r="EL8" s="74">
        <f>VLOOKUP($H$8&amp;$F$1,'Input RM sheet'!$A:$ZZ,EK1,0)</f>
        <v>0</v>
      </c>
      <c r="EM8" s="74">
        <f>VLOOKUP($H$8&amp;$F$1,'Input RM sheet'!$A:$ZZ,EL1,0)</f>
        <v>0</v>
      </c>
      <c r="EN8" s="74">
        <f>VLOOKUP($H$8&amp;$F$1,'Input RM sheet'!$A:$ZZ,EM1,0)</f>
        <v>0</v>
      </c>
      <c r="EO8" s="74">
        <f>VLOOKUP($H$8&amp;$F$1,'Input RM sheet'!$A:$ZZ,EN1,0)</f>
        <v>0</v>
      </c>
      <c r="EP8" s="74">
        <f>VLOOKUP($H$8&amp;$F$1,'Input RM sheet'!$A:$ZZ,EO1,0)</f>
        <v>0</v>
      </c>
      <c r="EQ8" s="74">
        <f>VLOOKUP($H$8&amp;$F$1,'Input RM sheet'!$A:$ZZ,EP1,0)</f>
        <v>0</v>
      </c>
      <c r="ER8" s="74">
        <f>VLOOKUP($H$8&amp;$F$1,'Input RM sheet'!$A:$ZZ,EQ1,0)</f>
        <v>0</v>
      </c>
      <c r="ES8" s="74">
        <f>VLOOKUP($H$8&amp;$F$1,'Input RM sheet'!$A:$ZZ,ER1,0)</f>
        <v>0</v>
      </c>
      <c r="ET8" s="74">
        <f>VLOOKUP($H$8&amp;$F$1,'Input RM sheet'!$A:$ZZ,ES1,0)</f>
        <v>0</v>
      </c>
      <c r="EU8" s="74">
        <f>VLOOKUP($H$8&amp;$F$1,'Input RM sheet'!$A:$ZZ,ET1,0)</f>
        <v>0</v>
      </c>
      <c r="EV8" s="74">
        <f>VLOOKUP($H$8&amp;$F$1,'Input RM sheet'!$A:$ZZ,EU1,0)</f>
        <v>0</v>
      </c>
      <c r="EW8" s="74">
        <f>VLOOKUP($H$8&amp;$F$1,'Input RM sheet'!$A:$ZZ,EV1,0)</f>
        <v>0</v>
      </c>
      <c r="EX8" s="74">
        <f>VLOOKUP($H$8&amp;$F$1,'Input RM sheet'!$A:$ZZ,EW1,0)</f>
        <v>0</v>
      </c>
      <c r="EY8" s="74">
        <f>VLOOKUP($H$8&amp;$F$1,'Input RM sheet'!$A:$ZZ,EX1,0)</f>
        <v>0</v>
      </c>
      <c r="EZ8" s="74">
        <f>VLOOKUP($H$8&amp;$F$1,'Input RM sheet'!$A:$ZZ,EY1,0)</f>
        <v>0</v>
      </c>
      <c r="FA8" s="74">
        <f>VLOOKUP($H$8&amp;$F$1,'Input RM sheet'!$A:$ZZ,EZ1,0)</f>
        <v>0</v>
      </c>
      <c r="FB8" s="74">
        <f>VLOOKUP($H$8&amp;$F$1,'Input RM sheet'!$A:$ZZ,FA1,0)</f>
        <v>0</v>
      </c>
      <c r="FC8" s="74">
        <f>VLOOKUP($H$8&amp;$F$1,'Input RM sheet'!$A:$ZZ,FB1,0)</f>
        <v>0</v>
      </c>
      <c r="FD8" s="74">
        <f>VLOOKUP($H$8&amp;$F$1,'Input RM sheet'!$A:$ZZ,FC1,0)</f>
        <v>0</v>
      </c>
      <c r="FE8" s="74">
        <f>VLOOKUP($H$8&amp;$F$1,'Input RM sheet'!$A:$ZZ,FD1,0)</f>
        <v>0</v>
      </c>
      <c r="FF8" s="74">
        <f>VLOOKUP($H$8&amp;$F$1,'Input RM sheet'!$A:$ZZ,FE1,0)</f>
        <v>0</v>
      </c>
    </row>
    <row r="9" spans="1:168" ht="13">
      <c r="H9" s="107" t="s">
        <v>95</v>
      </c>
      <c r="I9" s="74"/>
      <c r="J9" s="74"/>
      <c r="K9" s="74"/>
      <c r="L9" s="74"/>
      <c r="M9" s="74"/>
      <c r="N9" s="74"/>
      <c r="O9" s="74"/>
      <c r="P9" s="74"/>
      <c r="Q9" s="74"/>
      <c r="R9" s="74"/>
      <c r="S9" s="74"/>
      <c r="T9" s="74"/>
      <c r="U9" s="74"/>
      <c r="V9" s="74"/>
      <c r="W9" s="74"/>
      <c r="X9" s="74"/>
      <c r="Y9" s="74"/>
      <c r="Z9" s="74"/>
      <c r="AA9" s="74"/>
      <c r="AB9" s="74">
        <f>VLOOKUP($H$9&amp;$F$1,'Input RM sheet'!$A:$DD,AA1,0)</f>
        <v>0</v>
      </c>
      <c r="AC9" s="74">
        <f>VLOOKUP($H$9&amp;$F$1,'Input RM sheet'!$A:$DD,AB1,0)</f>
        <v>0</v>
      </c>
      <c r="AD9" s="74">
        <f>VLOOKUP($H$9&amp;$F$1,'Input RM sheet'!$A:$DD,AC1,0)</f>
        <v>0</v>
      </c>
      <c r="AE9" s="74">
        <f>VLOOKUP($H$9&amp;$F$1,'Input RM sheet'!$A:$DD,AD1,0)</f>
        <v>0</v>
      </c>
      <c r="AF9" s="74">
        <f>VLOOKUP($H$9&amp;$F$1,'Input RM sheet'!$A:$DD,AE1,0)</f>
        <v>0</v>
      </c>
      <c r="AG9" s="74">
        <f>VLOOKUP($H$9&amp;$F$1,'Input RM sheet'!$A:$DD,AF1,0)</f>
        <v>0.71826401684923735</v>
      </c>
      <c r="AH9" s="74">
        <f>VLOOKUP($H$9&amp;$F$1,'Input RM sheet'!$A:$DD,AG1,0)</f>
        <v>0.62754309868024927</v>
      </c>
      <c r="AI9" s="74">
        <f>VLOOKUP($H$9&amp;$F$1,'Input RM sheet'!$A:$DD,AH1,0)</f>
        <v>0.59810064024711396</v>
      </c>
      <c r="AJ9" s="74">
        <f>VLOOKUP($H$9&amp;$F$1,'Input RM sheet'!$A:$DD,AI1,0)</f>
        <v>0.66076440523786273</v>
      </c>
      <c r="AK9" s="74">
        <f>VLOOKUP($H$9&amp;$F$1,'Input RM sheet'!$A:$DD,AJ1,0)</f>
        <v>0.67975742375930026</v>
      </c>
      <c r="AL9" s="74">
        <f>VLOOKUP($H$9&amp;$F$1,'Input RM sheet'!$A:$DD,AK1,0)</f>
        <v>0.62314132986159076</v>
      </c>
      <c r="AM9" s="74">
        <f>VLOOKUP($H$9&amp;$F$1,'Input RM sheet'!$A:$DD,AL1,0)</f>
        <v>0.66826566510008012</v>
      </c>
      <c r="AN9" s="74">
        <f>VLOOKUP($H$9&amp;$F$1,'Input RM sheet'!$A:$DD,AM1,0)</f>
        <v>0.69838668883179689</v>
      </c>
      <c r="AO9" s="74">
        <f>VLOOKUP($H$9&amp;$F$1,'Input RM sheet'!$A:$DD,AN1,0)</f>
        <v>0.67839118199248039</v>
      </c>
      <c r="AP9" s="74">
        <f>VLOOKUP($H$9&amp;$F$1,'Input RM sheet'!$A:$DD,AO1,0)</f>
        <v>0.64995588909748325</v>
      </c>
      <c r="AQ9" s="74">
        <f>VLOOKUP($H$9&amp;$F$1,'Input RM sheet'!$A:$DD,AP1,0)</f>
        <v>0.6467439684485834</v>
      </c>
      <c r="AR9" s="74">
        <f>VLOOKUP($H$9&amp;$F$1,'Input RM sheet'!$A:$DD,AQ1,0)</f>
        <v>0.61880865603209168</v>
      </c>
      <c r="AS9" s="74">
        <f>VLOOKUP($H$9&amp;$F$1,'Input RM sheet'!$A:$DD,AR1,0)</f>
        <v>0.65632293065998315</v>
      </c>
      <c r="AT9" s="74">
        <f>VLOOKUP($H$9&amp;$F$1,'Input RM sheet'!$A:$DD,AS1,0)</f>
        <v>0.64117021010710895</v>
      </c>
      <c r="AU9" s="74">
        <f>VLOOKUP($H$9&amp;$F$1,'Input RM sheet'!$A:$DD,AT1,0)</f>
        <v>0.66803238053011516</v>
      </c>
      <c r="AV9" s="74">
        <f>VLOOKUP($H$9&amp;$F$1,'Input RM sheet'!$A:$DD,AU1,0)</f>
        <v>0.78164645063512239</v>
      </c>
      <c r="AW9" s="74">
        <f>VLOOKUP($H$9&amp;$F$1,'Input RM sheet'!$A:$DD,AV1,0)</f>
        <v>0.8926183241609178</v>
      </c>
      <c r="AX9" s="74">
        <f>VLOOKUP($H$9&amp;$F$1,'Input RM sheet'!$A:$DD,AW1,0)</f>
        <v>0.8926183241609178</v>
      </c>
      <c r="AY9" s="74">
        <f>VLOOKUP($H$9&amp;$F$1,'Input RM sheet'!$A:$DD,AX1,0)</f>
        <v>0.8926183241609178</v>
      </c>
      <c r="AZ9" s="74">
        <f>VLOOKUP($H$9&amp;$F$1,'Input RM sheet'!$A:$DD,AY1,0)</f>
        <v>0.8926183241609178</v>
      </c>
      <c r="BA9" s="74">
        <f>VLOOKUP($H$9&amp;$F$1,'Input RM sheet'!$A:$DD,AZ1,0)</f>
        <v>0.8926183241609178</v>
      </c>
      <c r="BB9" s="74">
        <f>VLOOKUP($H$9&amp;$F$1,'Input RM sheet'!$A:$DD,BA1,0)</f>
        <v>0.8926183241609178</v>
      </c>
      <c r="BC9" s="74">
        <f>VLOOKUP($H$9&amp;$F$1,'Input RM sheet'!$A:$DD,BB1,0)</f>
        <v>0.8926183241609178</v>
      </c>
      <c r="BD9" s="74">
        <f>VLOOKUP($H$9&amp;$F$1,'Input RM sheet'!$A:$DD,BC1,0)</f>
        <v>0.8926183241609178</v>
      </c>
      <c r="BE9" s="74">
        <f>VLOOKUP($H$9&amp;$F$1,'Input RM sheet'!$A:$DD,BD1,0)</f>
        <v>0.8926183241609178</v>
      </c>
      <c r="BF9" s="74">
        <f>VLOOKUP($H$9&amp;$F$1,'Input RM sheet'!$A:$DD,BE1,0)</f>
        <v>0.8926183241609178</v>
      </c>
      <c r="BG9" s="74">
        <f>VLOOKUP($H$9&amp;$F$1,'Input RM sheet'!$A:$DD,BF1,0)</f>
        <v>0.8926183241609178</v>
      </c>
      <c r="BH9" s="74">
        <f>VLOOKUP($H$9&amp;$F$1,'Input RM sheet'!$A:$DD,BG1,0)</f>
        <v>0.73</v>
      </c>
      <c r="BI9" s="74">
        <f>VLOOKUP($H$9&amp;$F$1,'Input RM sheet'!$A:$DD,BH1,0)</f>
        <v>0.73</v>
      </c>
      <c r="BJ9" s="74">
        <f>VLOOKUP($H$9&amp;$F$1,'Input RM sheet'!$A:$DD,BI1,0)</f>
        <v>0.73</v>
      </c>
      <c r="BK9" s="74">
        <f>VLOOKUP($H$9&amp;$F$1,'Input RM sheet'!$A:$DD,BJ1,0)</f>
        <v>0.73</v>
      </c>
      <c r="BL9" s="74">
        <f>VLOOKUP($H$9&amp;$F$1,'Input RM sheet'!$A:$DD,BK1,0)</f>
        <v>0.73</v>
      </c>
      <c r="BM9" s="74">
        <f>VLOOKUP($H$9&amp;$F$1,'Input RM sheet'!$A:$DD,BL1,0)</f>
        <v>0.73</v>
      </c>
      <c r="BN9" s="74">
        <f>VLOOKUP($H$9&amp;$F$1,'Input RM sheet'!$A:$DD,BM1,0)</f>
        <v>0.71</v>
      </c>
      <c r="BO9" s="74">
        <f>VLOOKUP($H$9&amp;$F$1,'Input RM sheet'!$A:$DD,BN1,0)</f>
        <v>0.71</v>
      </c>
      <c r="BP9" s="74">
        <f>VLOOKUP($H$9&amp;$F$1,'Input RM sheet'!$A:$DD,BO1,0)</f>
        <v>0.71</v>
      </c>
      <c r="BQ9" s="74">
        <f>VLOOKUP($H$9&amp;$F$1,'Input RM sheet'!$A:$DD,BP1,0)</f>
        <v>0.71</v>
      </c>
      <c r="BR9" s="74">
        <f>VLOOKUP($H$9&amp;$F$1,'Input RM sheet'!$A:$DD,BQ1,0)</f>
        <v>0.64</v>
      </c>
      <c r="BS9" s="74">
        <f>VLOOKUP($H$9&amp;$F$1,'Input RM sheet'!$A:$DD,BR1,0)</f>
        <v>0.64</v>
      </c>
      <c r="BT9" s="74">
        <f>VLOOKUP($H$9&amp;$F$1,'Input RM sheet'!$A:$DD,BS1,0)</f>
        <v>0.64</v>
      </c>
      <c r="BU9" s="74">
        <f>VLOOKUP($H$9&amp;$F$1,'Input RM sheet'!$A:$DD,BT1,0)</f>
        <v>0.79</v>
      </c>
      <c r="BV9" s="74">
        <f>VLOOKUP($H$9&amp;$F$1,'Input RM sheet'!$A:$DD,BU1,0)</f>
        <v>0.79</v>
      </c>
      <c r="BW9" s="74">
        <f>VLOOKUP($H$9&amp;$F$1,'Input RM sheet'!$A:$DD,BV1,0)</f>
        <v>0.79</v>
      </c>
      <c r="BX9" s="74">
        <f>VLOOKUP($H$9&amp;$F$1,'Input RM sheet'!$A:$DD,BW1,0)</f>
        <v>0.79</v>
      </c>
      <c r="BY9" s="74">
        <f>VLOOKUP($H$9&amp;$F$1,'Input RM sheet'!$A:$DD,BX1,0)</f>
        <v>0.79</v>
      </c>
      <c r="BZ9" s="74">
        <f>VLOOKUP($H$9&amp;$F$1,'Input RM sheet'!$A:$DD,BY1,0)</f>
        <v>0.79</v>
      </c>
      <c r="CA9" s="74">
        <f>VLOOKUP($H$9&amp;$F$1,'Input RM sheet'!$A:$DD,BZ1,0)</f>
        <v>0.79</v>
      </c>
      <c r="CB9" s="74">
        <f>VLOOKUP($H$9&amp;$F$1,'Input RM sheet'!$A:$DD,CA1,0)</f>
        <v>0.79</v>
      </c>
      <c r="CC9" s="74">
        <f>VLOOKUP($H$9&amp;$F$1,'Input RM sheet'!$A:$DD,CB1,0)</f>
        <v>0.79</v>
      </c>
      <c r="CD9" s="74">
        <f>VLOOKUP($H$9&amp;$F$1,'Input RM sheet'!$A:$DD,CC1,0)</f>
        <v>0.79</v>
      </c>
      <c r="CE9" s="74">
        <f>VLOOKUP($H$9&amp;$F$1,'Input RM sheet'!$A:$DD,CD1,0)</f>
        <v>0.79</v>
      </c>
      <c r="CF9" s="74">
        <f>VLOOKUP($H$9&amp;$F$1,'Input RM sheet'!$A:$DD,CE1,0)</f>
        <v>0.79</v>
      </c>
      <c r="CG9" s="74">
        <f>VLOOKUP($H$9&amp;$F$1,'Input RM sheet'!$A:$DD,CF1,0)</f>
        <v>0.79</v>
      </c>
      <c r="CH9" s="74">
        <f>VLOOKUP($H$9&amp;$F$1,'Input RM sheet'!$A:$DD,CG1,0)</f>
        <v>0.79</v>
      </c>
      <c r="CI9" s="74">
        <f>VLOOKUP($H$9&amp;$F$1,'Input RM sheet'!$A:$DD,CH1,0)</f>
        <v>0.79</v>
      </c>
      <c r="CJ9" s="74">
        <f>VLOOKUP($H$9&amp;$F$1,'Input RM sheet'!$A:$DD,CI1,0)</f>
        <v>0.73</v>
      </c>
      <c r="CK9" s="74">
        <f>VLOOKUP($H$9&amp;$F$1,'Input RM sheet'!$A:$DD,CJ1,0)</f>
        <v>0.6</v>
      </c>
      <c r="CL9" s="74">
        <f>VLOOKUP($H$9&amp;$F$1,'Input RM sheet'!$A:$DD,CK1,0)</f>
        <v>0.6</v>
      </c>
      <c r="CM9" s="74">
        <f>VLOOKUP($H$9&amp;$F$1,'Input RM sheet'!$A:$DD,CL1,0)</f>
        <v>0.6</v>
      </c>
      <c r="CN9" s="74">
        <f>VLOOKUP($H$9&amp;$F$1,'Input RM sheet'!$A:$DD,CM1,0)</f>
        <v>0.6</v>
      </c>
      <c r="CO9" s="74">
        <f>VLOOKUP($H$9&amp;$F$1,'Input RM sheet'!$A:$DD,CN1,0)</f>
        <v>0.6</v>
      </c>
      <c r="CP9" s="74">
        <f>VLOOKUP($H$9&amp;$F$1,'Input RM sheet'!$A:$DD,CO1,0)</f>
        <v>0.6</v>
      </c>
      <c r="CQ9" s="74">
        <f>VLOOKUP($H$9&amp;$F$1,'Input RM sheet'!$A:$DD,CP1,0)</f>
        <v>0.6</v>
      </c>
      <c r="CR9" s="74">
        <f>VLOOKUP($H$9&amp;$F$1,'Input RM sheet'!$A:$DD,CQ1,0)</f>
        <v>0.6</v>
      </c>
      <c r="CS9" s="74">
        <f>VLOOKUP($H$9&amp;$F$1,'Input RM sheet'!$A:$DD,CR1,0)</f>
        <v>0.6</v>
      </c>
      <c r="CT9" s="74">
        <f>VLOOKUP($H$9&amp;$F$1,'Input RM sheet'!$A:$DD,CS1,0)</f>
        <v>0.6</v>
      </c>
      <c r="CU9" s="74">
        <f>VLOOKUP($H$9&amp;$F$1,'Input RM sheet'!$A:$DD,CT1,0)</f>
        <v>0.6</v>
      </c>
      <c r="CV9" s="74">
        <f>VLOOKUP($H$9&amp;$F$1,'Input RM sheet'!$A:$DD,CU1,0)</f>
        <v>0.6</v>
      </c>
      <c r="CW9" s="74">
        <f>VLOOKUP($H$9&amp;$F$1,'Input RM sheet'!$A:$DD,CV1,0)</f>
        <v>0.6</v>
      </c>
      <c r="CX9" s="74">
        <f>VLOOKUP($H$9&amp;$F$1,'Input RM sheet'!$A:$DD,CW1,0)</f>
        <v>0.6</v>
      </c>
      <c r="CY9" s="74">
        <f>VLOOKUP($H$9&amp;$F$1,'Input RM sheet'!$A:$DD,CX1,0)</f>
        <v>0.6</v>
      </c>
      <c r="CZ9" s="74">
        <f>VLOOKUP($H$9&amp;$F$1,'Input RM sheet'!$A:$DD,CY1,0)</f>
        <v>0.6</v>
      </c>
      <c r="DA9" s="74">
        <f>VLOOKUP($H$9&amp;$F$1,'Input RM sheet'!$A:$DD,CZ1,0)</f>
        <v>0.6</v>
      </c>
      <c r="DB9" s="74">
        <f>VLOOKUP($H$9&amp;$F$1,'Input RM sheet'!$A:$DD,DA1,0)</f>
        <v>0.6</v>
      </c>
      <c r="DC9" s="74">
        <f>VLOOKUP($H$9&amp;$F$1,'Input RM sheet'!$A:$DD,DB1,0)</f>
        <v>0.6</v>
      </c>
      <c r="DD9" s="74">
        <f>VLOOKUP($H$9&amp;$F$1,'Input RM sheet'!$A:$DD,DC1,0)</f>
        <v>0.6</v>
      </c>
      <c r="DE9" s="74">
        <f>VLOOKUP($H$9&amp;$F$1,'Input RM sheet'!$A:$DD,DD1,0)</f>
        <v>0.6</v>
      </c>
      <c r="DF9" s="74">
        <f>VLOOKUP($H$9&amp;$F$1,'Input RM sheet'!$A:$ZZ,DE1,0)</f>
        <v>0.6</v>
      </c>
      <c r="DG9" s="74">
        <f>VLOOKUP($H$9&amp;$F$1,'Input RM sheet'!$A:$ZZ,DF1,0)</f>
        <v>0.6</v>
      </c>
      <c r="DH9" s="74">
        <f>VLOOKUP($H$9&amp;$F$1,'Input RM sheet'!$A:$ZZ,DG1,0)</f>
        <v>0.6</v>
      </c>
      <c r="DI9" s="74">
        <f>VLOOKUP($H$9&amp;$F$1,'Input RM sheet'!$A:$ZZ,DH1,0)</f>
        <v>0.6</v>
      </c>
      <c r="DJ9" s="74">
        <f>VLOOKUP($H$9&amp;$F$1,'Input RM sheet'!$A:$ZZ,DI1,0)</f>
        <v>0.6</v>
      </c>
      <c r="DK9" s="74">
        <f>VLOOKUP($H$9&amp;$F$1,'Input RM sheet'!$A:$ZZ,DJ1,0)</f>
        <v>0.6</v>
      </c>
      <c r="DL9" s="74">
        <f>VLOOKUP($H$9&amp;$F$1,'Input RM sheet'!$A:$ZZ,DK1,0)</f>
        <v>0.6</v>
      </c>
      <c r="DM9" s="74">
        <f>VLOOKUP($H$9&amp;$F$1,'Input RM sheet'!$A:$ZZ,DL1,0)</f>
        <v>0.6</v>
      </c>
      <c r="DN9" s="74">
        <f>VLOOKUP($H$9&amp;$F$1,'Input RM sheet'!$A:$ZZ,DM1,0)</f>
        <v>0.6</v>
      </c>
      <c r="DO9" s="74">
        <f>VLOOKUP($H$9&amp;$F$1,'Input RM sheet'!$A:$ZZ,DN1,0)</f>
        <v>0.6</v>
      </c>
      <c r="DP9" s="74">
        <f>VLOOKUP($H$9&amp;$F$1,'Input RM sheet'!$A:$ZZ,DO1,0)</f>
        <v>0.6</v>
      </c>
      <c r="DQ9" s="74">
        <f>VLOOKUP($H$9&amp;$F$1,'Input RM sheet'!$A:$ZZ,DP1,0)</f>
        <v>0.6</v>
      </c>
      <c r="DR9" s="74">
        <f>VLOOKUP($H$9&amp;$F$1,'Input RM sheet'!$A:$ZZ,DQ1,0)</f>
        <v>0.6</v>
      </c>
      <c r="DS9" s="74">
        <f>VLOOKUP($H$9&amp;$F$1,'Input RM sheet'!$A:$ZZ,DR1,0)</f>
        <v>0.56999999999999995</v>
      </c>
      <c r="DT9" s="74">
        <f>VLOOKUP($H$9&amp;$F$1,'Input RM sheet'!$A:$ZZ,DS1,0)</f>
        <v>0</v>
      </c>
      <c r="DU9" s="74">
        <f>VLOOKUP($H$9&amp;$F$1,'Input RM sheet'!$A:$ZZ,DT1,0)</f>
        <v>0</v>
      </c>
      <c r="DV9" s="74">
        <f>VLOOKUP($H$9&amp;$F$1,'Input RM sheet'!$A:$ZZ,DU1,0)</f>
        <v>0</v>
      </c>
      <c r="DW9" s="74">
        <f>VLOOKUP($H$9&amp;$F$1,'Input RM sheet'!$A:$ZZ,DV1,0)</f>
        <v>0</v>
      </c>
      <c r="DX9" s="74">
        <f>VLOOKUP($H$9&amp;$F$1,'Input RM sheet'!$A:$ZZ,DW1,0)</f>
        <v>0</v>
      </c>
      <c r="DY9" s="74">
        <f>VLOOKUP($H$9&amp;$F$1,'Input RM sheet'!$A:$ZZ,DX1,0)</f>
        <v>0</v>
      </c>
      <c r="DZ9" s="74">
        <f>VLOOKUP($H$9&amp;$F$1,'Input RM sheet'!$A:$ZZ,DY1,0)</f>
        <v>0</v>
      </c>
      <c r="EA9" s="74">
        <f>VLOOKUP($H$9&amp;$F$1,'Input RM sheet'!$A:$ZZ,DZ1,0)</f>
        <v>0</v>
      </c>
      <c r="EB9" s="74"/>
      <c r="EC9" s="74"/>
      <c r="ED9" s="74"/>
      <c r="EE9" s="74"/>
      <c r="EF9" s="74"/>
      <c r="EG9" s="74"/>
      <c r="EH9" s="74"/>
      <c r="EI9" s="74"/>
      <c r="EJ9" s="74"/>
      <c r="EK9" s="74"/>
      <c r="EL9" s="74"/>
      <c r="EM9" s="74"/>
      <c r="EN9" s="74"/>
      <c r="EO9" s="74"/>
      <c r="EP9" s="74"/>
      <c r="EQ9" s="74"/>
      <c r="ER9" s="74"/>
      <c r="ES9" s="74"/>
      <c r="ET9" s="74"/>
      <c r="EU9" s="74"/>
      <c r="EV9" s="74"/>
      <c r="EW9" s="74"/>
      <c r="EX9" s="74"/>
      <c r="EY9" s="74"/>
      <c r="EZ9" s="74"/>
      <c r="FA9" s="74"/>
      <c r="FB9" s="74"/>
      <c r="FC9" s="74"/>
      <c r="FD9" s="74"/>
      <c r="FE9" s="74"/>
      <c r="FF9" s="74"/>
    </row>
    <row r="10" spans="1:168">
      <c r="H10" s="107"/>
      <c r="I10" s="74"/>
      <c r="J10" s="74"/>
      <c r="K10" s="74"/>
      <c r="L10" s="74"/>
      <c r="M10" s="74"/>
      <c r="N10" s="74"/>
      <c r="O10" s="7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c r="CE10" s="74"/>
      <c r="CF10" s="74"/>
      <c r="CG10" s="74"/>
      <c r="CH10" s="74"/>
      <c r="CI10" s="74"/>
      <c r="CJ10" s="74"/>
      <c r="CK10" s="74"/>
      <c r="CL10" s="74"/>
      <c r="CM10" s="74"/>
      <c r="CN10" s="74"/>
      <c r="CO10" s="74"/>
      <c r="CP10" s="74"/>
      <c r="CQ10" s="74"/>
      <c r="CR10" s="74"/>
      <c r="CS10" s="74"/>
      <c r="CT10" s="74"/>
      <c r="CU10" s="74"/>
      <c r="CV10" s="74"/>
      <c r="CW10" s="74"/>
      <c r="CX10" s="74"/>
      <c r="CY10" s="74"/>
      <c r="CZ10" s="74"/>
      <c r="DA10" s="74"/>
      <c r="DB10" s="74"/>
      <c r="DC10" s="74"/>
      <c r="DD10" s="74"/>
      <c r="DE10" s="74"/>
      <c r="DF10" s="74"/>
      <c r="DG10" s="74"/>
      <c r="DH10" s="74"/>
      <c r="DI10" s="74"/>
      <c r="DJ10" s="74"/>
      <c r="DK10" s="74"/>
      <c r="DL10" s="74"/>
      <c r="DM10" s="74"/>
      <c r="DN10" s="74"/>
      <c r="DO10" s="74"/>
      <c r="DP10" s="74"/>
      <c r="DQ10" s="74"/>
      <c r="DR10" s="74"/>
      <c r="DS10" s="74"/>
      <c r="DT10" s="74"/>
      <c r="DU10" s="74"/>
      <c r="DV10" s="74"/>
      <c r="DW10" s="74"/>
      <c r="DX10" s="74"/>
      <c r="DY10" s="74"/>
      <c r="DZ10" s="74"/>
      <c r="EA10" s="74"/>
      <c r="EB10" s="74"/>
      <c r="EC10" s="74"/>
      <c r="ED10" s="74"/>
      <c r="EE10" s="74"/>
      <c r="EF10" s="74"/>
      <c r="EG10" s="74"/>
      <c r="EH10" s="74"/>
      <c r="EI10" s="74"/>
      <c r="EJ10" s="74"/>
      <c r="EK10" s="74"/>
      <c r="EL10" s="74"/>
      <c r="EM10" s="74"/>
      <c r="EN10" s="74"/>
      <c r="EO10" s="74"/>
      <c r="EP10" s="74"/>
      <c r="EQ10" s="74"/>
      <c r="ER10" s="74"/>
      <c r="ES10" s="74"/>
      <c r="ET10" s="74"/>
      <c r="EU10" s="74"/>
      <c r="EV10" s="74"/>
      <c r="EW10" s="74"/>
      <c r="EX10" s="74"/>
      <c r="EY10" s="74"/>
      <c r="EZ10" s="74"/>
      <c r="FA10" s="74"/>
      <c r="FB10" s="74"/>
      <c r="FC10" s="74"/>
      <c r="FD10" s="74"/>
      <c r="FE10" s="74"/>
      <c r="FF10" s="74"/>
    </row>
    <row r="11" spans="1:168">
      <c r="H11" s="107"/>
      <c r="I11" s="74"/>
      <c r="J11" s="74"/>
      <c r="K11" s="74"/>
      <c r="L11" s="74"/>
      <c r="M11" s="74"/>
      <c r="N11" s="74"/>
      <c r="O11" s="74"/>
      <c r="P11" s="74"/>
      <c r="Q11" s="74"/>
      <c r="R11" s="74"/>
      <c r="S11" s="74"/>
      <c r="T11" s="74"/>
      <c r="U11" s="74"/>
      <c r="V11" s="74"/>
      <c r="W11" s="74"/>
      <c r="X11" s="74"/>
      <c r="Y11" s="74"/>
      <c r="Z11" s="74"/>
      <c r="AA11" s="74"/>
      <c r="AB11" s="74"/>
      <c r="AC11" s="74"/>
      <c r="AD11" s="74"/>
      <c r="AE11" s="74"/>
      <c r="AF11" s="74"/>
      <c r="AG11" s="74"/>
      <c r="AH11" s="74"/>
      <c r="AI11" s="74"/>
      <c r="AJ11" s="74"/>
      <c r="AK11" s="74"/>
      <c r="AL11" s="74"/>
      <c r="AM11" s="74"/>
      <c r="AN11" s="74"/>
      <c r="AO11" s="74"/>
      <c r="AP11" s="74"/>
      <c r="AQ11" s="74"/>
      <c r="AR11" s="74"/>
      <c r="AS11" s="74"/>
      <c r="AT11" s="74"/>
      <c r="AU11" s="74"/>
      <c r="AV11" s="74"/>
      <c r="AW11" s="74"/>
      <c r="AX11" s="74"/>
      <c r="AY11" s="74"/>
      <c r="AZ11" s="74"/>
      <c r="BA11" s="74"/>
      <c r="BB11" s="74"/>
      <c r="BC11" s="74"/>
      <c r="BD11" s="74"/>
      <c r="BE11" s="74"/>
      <c r="BF11" s="74"/>
      <c r="BG11" s="74"/>
      <c r="BH11" s="74"/>
      <c r="BI11" s="74"/>
      <c r="BJ11" s="74"/>
      <c r="BK11" s="74"/>
      <c r="BL11" s="74"/>
      <c r="BM11" s="74"/>
      <c r="BN11" s="74"/>
      <c r="BO11" s="74"/>
      <c r="BP11" s="74"/>
      <c r="BQ11" s="74"/>
      <c r="BR11" s="74"/>
      <c r="BS11" s="74"/>
      <c r="BT11" s="74"/>
      <c r="BU11" s="74"/>
      <c r="BV11" s="74"/>
      <c r="BW11" s="74"/>
      <c r="BX11" s="74"/>
      <c r="BY11" s="74"/>
      <c r="BZ11" s="74"/>
      <c r="CA11" s="74"/>
      <c r="CB11" s="74"/>
      <c r="CC11" s="74"/>
      <c r="CD11" s="74"/>
      <c r="CE11" s="74"/>
      <c r="CF11" s="74"/>
      <c r="CG11" s="74"/>
      <c r="CH11" s="74"/>
      <c r="CI11" s="74"/>
      <c r="CJ11" s="74"/>
      <c r="CK11" s="74"/>
      <c r="CL11" s="74"/>
      <c r="CM11" s="74"/>
      <c r="CN11" s="74"/>
      <c r="CO11" s="74"/>
      <c r="CP11" s="74"/>
      <c r="CQ11" s="74"/>
      <c r="CR11" s="74"/>
      <c r="CS11" s="74"/>
      <c r="CT11" s="74"/>
      <c r="CU11" s="74"/>
      <c r="CV11" s="74"/>
      <c r="CW11" s="74"/>
      <c r="CX11" s="74"/>
      <c r="CY11" s="74"/>
      <c r="CZ11" s="74"/>
      <c r="DA11" s="74"/>
      <c r="DB11" s="74"/>
      <c r="DC11" s="74"/>
      <c r="DD11" s="74"/>
      <c r="DE11" s="74"/>
      <c r="DF11" s="74"/>
      <c r="DG11" s="74"/>
      <c r="DH11" s="74"/>
      <c r="DI11" s="74"/>
      <c r="DJ11" s="74"/>
      <c r="DK11" s="74"/>
      <c r="DL11" s="74"/>
      <c r="DM11" s="74"/>
      <c r="DN11" s="74"/>
      <c r="DO11" s="74"/>
      <c r="DP11" s="74"/>
      <c r="DQ11" s="74"/>
      <c r="DR11" s="74"/>
      <c r="DS11" s="74"/>
      <c r="DT11" s="74"/>
      <c r="DU11" s="74"/>
      <c r="DV11" s="74"/>
      <c r="DW11" s="74"/>
      <c r="DX11" s="74"/>
      <c r="DY11" s="74"/>
      <c r="DZ11" s="74"/>
      <c r="EA11" s="74"/>
      <c r="EB11" s="74"/>
      <c r="EC11" s="74"/>
      <c r="ED11" s="74"/>
      <c r="EE11" s="74"/>
      <c r="EF11" s="74"/>
      <c r="EG11" s="74"/>
      <c r="EH11" s="74"/>
      <c r="EI11" s="74"/>
      <c r="EJ11" s="74"/>
      <c r="EK11" s="74"/>
      <c r="EL11" s="74"/>
      <c r="EM11" s="74"/>
      <c r="EN11" s="74"/>
      <c r="EO11" s="74"/>
      <c r="EP11" s="74"/>
      <c r="EQ11" s="74"/>
      <c r="ER11" s="74"/>
      <c r="ES11" s="74"/>
      <c r="ET11" s="74"/>
      <c r="EU11" s="74"/>
      <c r="EV11" s="74"/>
      <c r="EW11" s="74"/>
      <c r="EX11" s="74"/>
      <c r="EY11" s="74"/>
      <c r="EZ11" s="74"/>
      <c r="FA11" s="74"/>
      <c r="FB11" s="74"/>
      <c r="FC11" s="74"/>
      <c r="FD11" s="74"/>
      <c r="FE11" s="74"/>
      <c r="FF11" s="74"/>
    </row>
    <row r="12" spans="1:168" ht="13">
      <c r="A12" s="59" t="s">
        <v>395</v>
      </c>
      <c r="B12" s="59"/>
      <c r="C12" s="59" t="s">
        <v>379</v>
      </c>
      <c r="D12" s="98" t="s">
        <v>380</v>
      </c>
      <c r="E12" s="98" t="s">
        <v>381</v>
      </c>
      <c r="F12" s="59" t="s">
        <v>396</v>
      </c>
      <c r="H12" s="107"/>
      <c r="I12" s="84"/>
      <c r="J12" s="84"/>
      <c r="K12" s="84"/>
      <c r="L12" s="84"/>
      <c r="M12" s="84"/>
      <c r="N12" s="84"/>
      <c r="O12" s="84"/>
      <c r="P12" s="84"/>
      <c r="Q12" s="84"/>
      <c r="R12" s="84"/>
      <c r="S12" s="84"/>
      <c r="T12" s="84"/>
      <c r="U12" s="84"/>
      <c r="V12" s="84"/>
      <c r="W12" s="84"/>
      <c r="X12" s="84"/>
      <c r="Y12" s="84"/>
      <c r="Z12" s="84"/>
      <c r="AA12" s="84"/>
      <c r="AB12" s="84"/>
      <c r="AC12" s="84"/>
      <c r="AD12" s="84"/>
      <c r="AE12" s="84"/>
      <c r="AF12" s="84"/>
      <c r="AG12" s="84"/>
      <c r="AH12" s="84"/>
      <c r="AI12" s="84"/>
      <c r="AJ12" s="84"/>
      <c r="AK12" s="84"/>
      <c r="AL12" s="84"/>
      <c r="AM12" s="84"/>
      <c r="AN12" s="84"/>
      <c r="AO12" s="84"/>
      <c r="AP12" s="84"/>
      <c r="AQ12" s="84"/>
      <c r="AR12" s="84"/>
      <c r="AS12" s="84"/>
      <c r="AT12" s="84"/>
      <c r="AU12" s="84"/>
      <c r="AV12" s="84"/>
      <c r="AW12" s="84"/>
      <c r="AX12" s="84"/>
      <c r="AY12" s="84"/>
      <c r="AZ12" s="84"/>
      <c r="BA12" s="84"/>
      <c r="BB12" s="84"/>
      <c r="BC12" s="84"/>
      <c r="BD12" s="84"/>
      <c r="BE12" s="84"/>
      <c r="BF12" s="84"/>
      <c r="BG12" s="84"/>
      <c r="BH12" s="84"/>
      <c r="BI12" s="84"/>
      <c r="BJ12" s="84"/>
      <c r="BK12" s="84"/>
      <c r="BL12" s="84"/>
      <c r="BM12" s="84"/>
      <c r="BN12" s="84"/>
      <c r="BO12" s="84"/>
      <c r="BP12" s="84"/>
      <c r="BQ12" s="84"/>
      <c r="BR12" s="84"/>
      <c r="BS12" s="84"/>
      <c r="BT12" s="84"/>
      <c r="BU12" s="84"/>
      <c r="BV12" s="84"/>
      <c r="BW12" s="84"/>
      <c r="BX12" s="84"/>
      <c r="BY12" s="84"/>
      <c r="BZ12" s="84"/>
      <c r="CA12" s="84"/>
      <c r="CB12" s="84"/>
      <c r="CC12" s="84"/>
      <c r="CD12" s="84"/>
      <c r="CE12" s="84"/>
      <c r="CF12" s="84"/>
      <c r="CG12" s="84"/>
      <c r="CH12" s="84"/>
      <c r="CI12" s="84"/>
      <c r="CJ12" s="84"/>
      <c r="CK12" s="84"/>
      <c r="CL12" s="84"/>
      <c r="CM12" s="84"/>
      <c r="CN12" s="84"/>
      <c r="CO12" s="84"/>
      <c r="CP12" s="84"/>
      <c r="CQ12" s="84"/>
      <c r="CR12" s="84"/>
      <c r="CS12" s="84"/>
      <c r="CT12" s="84"/>
      <c r="CU12" s="84"/>
      <c r="CV12" s="84"/>
      <c r="CW12" s="84"/>
      <c r="CX12" s="84"/>
      <c r="CY12" s="84"/>
      <c r="CZ12" s="84"/>
      <c r="DA12" s="84"/>
      <c r="DB12" s="84"/>
      <c r="DC12" s="84"/>
      <c r="DD12" s="84"/>
      <c r="DE12" s="84"/>
      <c r="DF12" s="84"/>
      <c r="DG12" s="84"/>
      <c r="DH12" s="84"/>
      <c r="DI12" s="84"/>
      <c r="DJ12" s="84"/>
      <c r="DK12" s="84"/>
      <c r="DL12" s="84"/>
      <c r="DM12" s="84"/>
      <c r="DN12" s="84"/>
      <c r="DO12" s="84"/>
      <c r="DP12" s="84"/>
      <c r="DQ12" s="84"/>
      <c r="DR12" s="84"/>
      <c r="DS12" s="84"/>
      <c r="DT12" s="84"/>
      <c r="DU12" s="84"/>
      <c r="DV12" s="84"/>
      <c r="DW12" s="84"/>
      <c r="DX12" s="84"/>
      <c r="DY12" s="84"/>
      <c r="DZ12" s="84"/>
      <c r="EA12" s="84"/>
      <c r="EB12" s="84"/>
      <c r="EC12" s="84"/>
      <c r="ED12" s="84"/>
      <c r="EE12" s="84"/>
      <c r="EF12" s="84"/>
      <c r="EG12" s="84"/>
      <c r="EH12" s="84"/>
      <c r="EI12" s="84"/>
      <c r="EJ12" s="84"/>
      <c r="EK12" s="84"/>
      <c r="EL12" s="84"/>
      <c r="EM12" s="84"/>
      <c r="EN12" s="84"/>
      <c r="EO12" s="84"/>
      <c r="EP12" s="84"/>
      <c r="EQ12" s="84"/>
      <c r="ER12" s="84"/>
      <c r="ES12" s="84"/>
      <c r="ET12" s="84"/>
      <c r="EU12" s="84"/>
      <c r="EV12" s="84"/>
      <c r="EW12" s="84"/>
      <c r="EX12" s="84"/>
      <c r="EY12" s="84"/>
      <c r="EZ12" s="84"/>
      <c r="FA12" s="84"/>
      <c r="FB12" s="84"/>
      <c r="FC12" s="84"/>
      <c r="FD12" s="84"/>
      <c r="FE12" s="84"/>
      <c r="FF12" s="84"/>
    </row>
    <row r="13" spans="1:168" ht="13">
      <c r="A13" s="107" t="s">
        <v>397</v>
      </c>
      <c r="B13" s="107" t="s">
        <v>834</v>
      </c>
      <c r="C13" s="60">
        <v>1</v>
      </c>
      <c r="D13" s="65">
        <v>105.14</v>
      </c>
      <c r="E13" s="60">
        <f>D13*C13</f>
        <v>105.14</v>
      </c>
      <c r="F13" s="328">
        <f>E13/D3</f>
        <v>1.2068411386593205</v>
      </c>
      <c r="H13" s="60" t="s">
        <v>399</v>
      </c>
      <c r="I13" s="74">
        <f>$F$13*(I8/1000)</f>
        <v>0</v>
      </c>
      <c r="J13" s="74">
        <f t="shared" ref="J13:BU13" si="0">$F$13*(J8/1000)</f>
        <v>0</v>
      </c>
      <c r="K13" s="74">
        <f t="shared" si="0"/>
        <v>0</v>
      </c>
      <c r="L13" s="74">
        <f t="shared" si="0"/>
        <v>0</v>
      </c>
      <c r="M13" s="74">
        <f t="shared" si="0"/>
        <v>0</v>
      </c>
      <c r="N13" s="74">
        <f t="shared" si="0"/>
        <v>0</v>
      </c>
      <c r="O13" s="74">
        <f t="shared" si="0"/>
        <v>0</v>
      </c>
      <c r="P13" s="74">
        <f t="shared" si="0"/>
        <v>0</v>
      </c>
      <c r="Q13" s="74">
        <f t="shared" si="0"/>
        <v>0</v>
      </c>
      <c r="R13" s="74">
        <f t="shared" si="0"/>
        <v>0</v>
      </c>
      <c r="S13" s="74">
        <f t="shared" si="0"/>
        <v>0</v>
      </c>
      <c r="T13" s="74">
        <f t="shared" si="0"/>
        <v>0</v>
      </c>
      <c r="U13" s="74">
        <f t="shared" si="0"/>
        <v>0</v>
      </c>
      <c r="V13" s="74">
        <f t="shared" si="0"/>
        <v>0</v>
      </c>
      <c r="W13" s="74">
        <f t="shared" si="0"/>
        <v>0</v>
      </c>
      <c r="X13" s="74">
        <f t="shared" si="0"/>
        <v>0</v>
      </c>
      <c r="Y13" s="74">
        <f t="shared" si="0"/>
        <v>0</v>
      </c>
      <c r="Z13" s="74">
        <f t="shared" si="0"/>
        <v>0</v>
      </c>
      <c r="AA13" s="74">
        <f t="shared" si="0"/>
        <v>0</v>
      </c>
      <c r="AB13" s="74">
        <f>$F$13*(AB8/1000)</f>
        <v>1.5100599747474748</v>
      </c>
      <c r="AC13" s="74">
        <f t="shared" si="0"/>
        <v>1.4844146005509642</v>
      </c>
      <c r="AD13" s="74">
        <f t="shared" si="0"/>
        <v>1.5779447887970617</v>
      </c>
      <c r="AE13" s="74">
        <f t="shared" si="0"/>
        <v>1.5990645087235997</v>
      </c>
      <c r="AF13" s="74">
        <f t="shared" si="0"/>
        <v>1.5704020316804408</v>
      </c>
      <c r="AG13" s="74">
        <f t="shared" si="0"/>
        <v>1.5387224517906335</v>
      </c>
      <c r="AH13" s="74">
        <f t="shared" si="0"/>
        <v>1.5588368730486684</v>
      </c>
      <c r="AI13" s="74">
        <f t="shared" si="0"/>
        <v>1.6232013314967861</v>
      </c>
      <c r="AJ13" s="74">
        <f t="shared" si="0"/>
        <v>1.6594065656565657</v>
      </c>
      <c r="AK13" s="74">
        <f t="shared" si="0"/>
        <v>1.7046631083562904</v>
      </c>
      <c r="AL13" s="74">
        <f t="shared" si="0"/>
        <v>1.5785482093663914</v>
      </c>
      <c r="AM13" s="74">
        <f t="shared" si="0"/>
        <v>1.4874317033976125</v>
      </c>
      <c r="AN13" s="74">
        <f t="shared" si="0"/>
        <v>1.3987288797061526</v>
      </c>
      <c r="AO13" s="74">
        <f t="shared" si="0"/>
        <v>1.3048969811753903</v>
      </c>
      <c r="AP13" s="74">
        <f t="shared" si="0"/>
        <v>1.2656746441689626</v>
      </c>
      <c r="AQ13" s="74">
        <f t="shared" si="0"/>
        <v>1.2551147842056933</v>
      </c>
      <c r="AR13" s="74">
        <f t="shared" si="0"/>
        <v>1.2551147842056933</v>
      </c>
      <c r="AS13" s="74">
        <f t="shared" si="0"/>
        <v>1.2551147842056933</v>
      </c>
      <c r="AT13" s="74">
        <f t="shared" si="0"/>
        <v>1.3471364210284664</v>
      </c>
      <c r="AU13" s="74">
        <f t="shared" si="0"/>
        <v>1.4844146005509642</v>
      </c>
      <c r="AV13" s="74">
        <f t="shared" si="0"/>
        <v>1.5085514233241506</v>
      </c>
      <c r="AW13" s="74">
        <f t="shared" si="0"/>
        <v>1.4421751606978881</v>
      </c>
      <c r="AX13" s="74">
        <f t="shared" si="0"/>
        <v>1.4180383379247017</v>
      </c>
      <c r="AY13" s="74">
        <f t="shared" si="0"/>
        <v>1.4180383379247017</v>
      </c>
      <c r="AZ13" s="74">
        <f t="shared" si="0"/>
        <v>1.4180383379247017</v>
      </c>
      <c r="BA13" s="74">
        <f t="shared" si="0"/>
        <v>1.3576962809917357</v>
      </c>
      <c r="BB13" s="74">
        <f t="shared" si="0"/>
        <v>1.3576962809917357</v>
      </c>
      <c r="BC13" s="74">
        <f t="shared" si="0"/>
        <v>1.2068411386593205</v>
      </c>
      <c r="BD13" s="74">
        <f t="shared" si="0"/>
        <v>1.2068411386593205</v>
      </c>
      <c r="BE13" s="74">
        <f t="shared" si="0"/>
        <v>1.2068411386593205</v>
      </c>
      <c r="BF13" s="74">
        <f t="shared" si="0"/>
        <v>1.2068411386593205</v>
      </c>
      <c r="BG13" s="74">
        <f t="shared" si="0"/>
        <v>1.2370121671258034</v>
      </c>
      <c r="BH13" s="74">
        <f t="shared" si="0"/>
        <v>1.2370121671258034</v>
      </c>
      <c r="BI13" s="74">
        <f t="shared" si="0"/>
        <v>1.4783803948576677</v>
      </c>
      <c r="BJ13" s="74">
        <f t="shared" si="0"/>
        <v>1.4783803948576677</v>
      </c>
      <c r="BK13" s="74">
        <f t="shared" si="0"/>
        <v>1.4482093663911846</v>
      </c>
      <c r="BL13" s="74">
        <f t="shared" si="0"/>
        <v>1.4482093663911846</v>
      </c>
      <c r="BM13" s="74">
        <f t="shared" si="0"/>
        <v>1.4482093663911846</v>
      </c>
      <c r="BN13" s="74">
        <f t="shared" si="0"/>
        <v>1.4482093663911846</v>
      </c>
      <c r="BO13" s="74">
        <f t="shared" si="0"/>
        <v>1.4482093663911846</v>
      </c>
      <c r="BP13" s="74">
        <f t="shared" si="0"/>
        <v>1.3878673094582186</v>
      </c>
      <c r="BQ13" s="74">
        <f t="shared" si="0"/>
        <v>1.3878673094582186</v>
      </c>
      <c r="BR13" s="74">
        <f t="shared" si="0"/>
        <v>1.3576962809917357</v>
      </c>
      <c r="BS13" s="74">
        <f t="shared" si="0"/>
        <v>1.3576962809917357</v>
      </c>
      <c r="BT13" s="74">
        <f t="shared" si="0"/>
        <v>1.3576962809917357</v>
      </c>
      <c r="BU13" s="74">
        <f t="shared" si="0"/>
        <v>1.3576962809917357</v>
      </c>
      <c r="BV13" s="74">
        <f t="shared" ref="BV13:CR13" si="1">$F$13*(BV8/1000)</f>
        <v>1.3576962809917357</v>
      </c>
      <c r="BW13" s="74">
        <f t="shared" si="1"/>
        <v>1.3576962809917357</v>
      </c>
      <c r="BX13" s="74">
        <f>$F$13*(BX8/1000)</f>
        <v>1.3576962809917357</v>
      </c>
      <c r="BY13" s="74">
        <f t="shared" si="1"/>
        <v>1.3576962809917357</v>
      </c>
      <c r="BZ13" s="74">
        <f t="shared" si="1"/>
        <v>1.3576962809917357</v>
      </c>
      <c r="CA13" s="74">
        <f t="shared" si="1"/>
        <v>1.3576962809917357</v>
      </c>
      <c r="CB13" s="74">
        <f t="shared" si="1"/>
        <v>1.3576962809917357</v>
      </c>
      <c r="CC13" s="74">
        <f t="shared" si="1"/>
        <v>1.3576962809917357</v>
      </c>
      <c r="CD13" s="74">
        <f t="shared" si="1"/>
        <v>1.2671831955922865</v>
      </c>
      <c r="CE13" s="74">
        <f t="shared" si="1"/>
        <v>1.2671831955922865</v>
      </c>
      <c r="CF13" s="74">
        <f t="shared" si="1"/>
        <v>1.2671831955922865</v>
      </c>
      <c r="CG13" s="74">
        <f t="shared" si="1"/>
        <v>1.2671831955922865</v>
      </c>
      <c r="CH13" s="74">
        <f t="shared" si="1"/>
        <v>1.3275252525252528</v>
      </c>
      <c r="CI13" s="74">
        <f t="shared" si="1"/>
        <v>1.3275252525252528</v>
      </c>
      <c r="CJ13" s="74">
        <f t="shared" si="1"/>
        <v>1.3275252525252528</v>
      </c>
      <c r="CK13" s="74">
        <f t="shared" si="1"/>
        <v>1.3878673094582186</v>
      </c>
      <c r="CL13" s="74">
        <f t="shared" si="1"/>
        <v>1.3878673094582186</v>
      </c>
      <c r="CM13" s="74">
        <f t="shared" si="1"/>
        <v>1.3878673094582186</v>
      </c>
      <c r="CN13" s="74">
        <f t="shared" si="1"/>
        <v>1.3878673094582186</v>
      </c>
      <c r="CO13" s="74">
        <f t="shared" si="1"/>
        <v>1.3878673094582186</v>
      </c>
      <c r="CP13" s="74">
        <f t="shared" si="1"/>
        <v>1.3878673094582186</v>
      </c>
      <c r="CQ13" s="74">
        <f t="shared" si="1"/>
        <v>1.3878673094582186</v>
      </c>
      <c r="CR13" s="74">
        <f t="shared" si="1"/>
        <v>1.3878673094582186</v>
      </c>
      <c r="CS13" s="74">
        <f t="shared" ref="CS13:DA13" si="2">$F$13*(CS8/1000)</f>
        <v>1.3275252525252528</v>
      </c>
      <c r="CT13" s="74">
        <f t="shared" si="2"/>
        <v>1.2973542240587694</v>
      </c>
      <c r="CU13" s="74">
        <f t="shared" si="2"/>
        <v>1.2973542240587694</v>
      </c>
      <c r="CV13" s="74">
        <f t="shared" si="2"/>
        <v>1.2973542240587694</v>
      </c>
      <c r="CW13" s="74">
        <f t="shared" si="2"/>
        <v>1.0861570247933885</v>
      </c>
      <c r="CX13" s="74">
        <f t="shared" si="2"/>
        <v>1.0861570247933885</v>
      </c>
      <c r="CY13" s="74">
        <f t="shared" si="2"/>
        <v>1.0861570247933885</v>
      </c>
      <c r="CZ13" s="74">
        <f t="shared" si="2"/>
        <v>1.0861570247933885</v>
      </c>
      <c r="DA13" s="74">
        <f t="shared" si="2"/>
        <v>1.0861570247933885</v>
      </c>
      <c r="DB13" s="74">
        <f t="shared" ref="DB13:FF13" si="3">$F$13*(DB8/1000)</f>
        <v>1.0258149678604225</v>
      </c>
      <c r="DC13" s="74">
        <f t="shared" si="3"/>
        <v>1.0258149678604225</v>
      </c>
      <c r="DD13" s="74">
        <f t="shared" si="3"/>
        <v>1.0258149678604225</v>
      </c>
      <c r="DE13" s="74">
        <f t="shared" si="3"/>
        <v>1.0258149678604225</v>
      </c>
      <c r="DF13" s="74">
        <f t="shared" si="3"/>
        <v>1.0258149678604225</v>
      </c>
      <c r="DG13" s="74">
        <f t="shared" si="3"/>
        <v>1.0258149678604225</v>
      </c>
      <c r="DH13" s="74">
        <f t="shared" si="3"/>
        <v>1.0258149678604225</v>
      </c>
      <c r="DI13" s="74">
        <f t="shared" si="3"/>
        <v>1.0258149678604225</v>
      </c>
      <c r="DJ13" s="74">
        <f t="shared" si="3"/>
        <v>1.0258149678604225</v>
      </c>
      <c r="DK13" s="74">
        <f t="shared" si="3"/>
        <v>1.0258149678604225</v>
      </c>
      <c r="DL13" s="74">
        <f t="shared" si="3"/>
        <v>0.96547291092745646</v>
      </c>
      <c r="DM13" s="74">
        <f t="shared" si="3"/>
        <v>0.96547291092745646</v>
      </c>
      <c r="DN13" s="74">
        <f t="shared" si="3"/>
        <v>0.96547291092745646</v>
      </c>
      <c r="DO13" s="74">
        <f t="shared" si="3"/>
        <v>0.96547291092745646</v>
      </c>
      <c r="DP13" s="74">
        <f t="shared" si="3"/>
        <v>0.96547291092745646</v>
      </c>
      <c r="DQ13" s="74">
        <f t="shared" si="3"/>
        <v>0.96547291092745646</v>
      </c>
      <c r="DR13" s="74">
        <f t="shared" si="3"/>
        <v>0.81461776859504142</v>
      </c>
      <c r="DS13" s="74">
        <f t="shared" si="3"/>
        <v>0.81461776859504142</v>
      </c>
      <c r="DT13" s="74">
        <f t="shared" si="3"/>
        <v>0</v>
      </c>
      <c r="DU13" s="74">
        <f t="shared" si="3"/>
        <v>0</v>
      </c>
      <c r="DV13" s="74">
        <f t="shared" si="3"/>
        <v>0</v>
      </c>
      <c r="DW13" s="74">
        <f t="shared" si="3"/>
        <v>0</v>
      </c>
      <c r="DX13" s="74">
        <f t="shared" si="3"/>
        <v>0</v>
      </c>
      <c r="DY13" s="74">
        <f t="shared" si="3"/>
        <v>0</v>
      </c>
      <c r="DZ13" s="74">
        <f t="shared" si="3"/>
        <v>0</v>
      </c>
      <c r="EA13" s="74">
        <f t="shared" si="3"/>
        <v>0</v>
      </c>
      <c r="EB13" s="74">
        <f t="shared" si="3"/>
        <v>0</v>
      </c>
      <c r="EC13" s="74">
        <f t="shared" si="3"/>
        <v>0</v>
      </c>
      <c r="ED13" s="74">
        <f t="shared" si="3"/>
        <v>0</v>
      </c>
      <c r="EE13" s="74">
        <f t="shared" si="3"/>
        <v>0</v>
      </c>
      <c r="EF13" s="74">
        <f t="shared" si="3"/>
        <v>0</v>
      </c>
      <c r="EG13" s="74">
        <f t="shared" si="3"/>
        <v>0</v>
      </c>
      <c r="EH13" s="74">
        <f t="shared" si="3"/>
        <v>0</v>
      </c>
      <c r="EI13" s="74">
        <f t="shared" si="3"/>
        <v>0</v>
      </c>
      <c r="EJ13" s="74">
        <f t="shared" si="3"/>
        <v>0</v>
      </c>
      <c r="EK13" s="74">
        <f t="shared" si="3"/>
        <v>0</v>
      </c>
      <c r="EL13" s="74">
        <f t="shared" si="3"/>
        <v>0</v>
      </c>
      <c r="EM13" s="74">
        <f t="shared" si="3"/>
        <v>0</v>
      </c>
      <c r="EN13" s="74">
        <f t="shared" si="3"/>
        <v>0</v>
      </c>
      <c r="EO13" s="74">
        <f t="shared" si="3"/>
        <v>0</v>
      </c>
      <c r="EP13" s="74">
        <f t="shared" si="3"/>
        <v>0</v>
      </c>
      <c r="EQ13" s="74">
        <f t="shared" si="3"/>
        <v>0</v>
      </c>
      <c r="ER13" s="74">
        <f t="shared" si="3"/>
        <v>0</v>
      </c>
      <c r="ES13" s="74">
        <f t="shared" si="3"/>
        <v>0</v>
      </c>
      <c r="ET13" s="74">
        <f t="shared" si="3"/>
        <v>0</v>
      </c>
      <c r="EU13" s="74">
        <f t="shared" si="3"/>
        <v>0</v>
      </c>
      <c r="EV13" s="74">
        <f t="shared" si="3"/>
        <v>0</v>
      </c>
      <c r="EW13" s="74">
        <f t="shared" si="3"/>
        <v>0</v>
      </c>
      <c r="EX13" s="74">
        <f t="shared" si="3"/>
        <v>0</v>
      </c>
      <c r="EY13" s="74">
        <f t="shared" si="3"/>
        <v>0</v>
      </c>
      <c r="EZ13" s="74">
        <f t="shared" si="3"/>
        <v>0</v>
      </c>
      <c r="FA13" s="74">
        <f t="shared" si="3"/>
        <v>0</v>
      </c>
      <c r="FB13" s="74">
        <f t="shared" si="3"/>
        <v>0</v>
      </c>
      <c r="FC13" s="74">
        <f t="shared" si="3"/>
        <v>0</v>
      </c>
      <c r="FD13" s="74">
        <f t="shared" si="3"/>
        <v>0</v>
      </c>
      <c r="FE13" s="74">
        <f t="shared" si="3"/>
        <v>0</v>
      </c>
      <c r="FF13" s="74">
        <f t="shared" si="3"/>
        <v>0</v>
      </c>
    </row>
    <row r="14" spans="1:168" ht="13">
      <c r="A14" s="67"/>
      <c r="B14" s="107" t="s">
        <v>95</v>
      </c>
      <c r="C14" s="60">
        <v>1</v>
      </c>
      <c r="D14" s="77">
        <v>106.12</v>
      </c>
      <c r="E14" s="60">
        <f>D14*C14</f>
        <v>106.12</v>
      </c>
      <c r="F14" s="328">
        <f>E14/D3</f>
        <v>1.2180899908172635</v>
      </c>
      <c r="I14" s="74"/>
      <c r="J14" s="74"/>
      <c r="K14" s="74"/>
      <c r="L14" s="74"/>
      <c r="M14" s="74"/>
      <c r="N14" s="74"/>
      <c r="O14" s="74"/>
      <c r="P14" s="74"/>
      <c r="Q14" s="74"/>
      <c r="R14" s="74"/>
      <c r="S14" s="74"/>
      <c r="T14" s="74"/>
      <c r="U14" s="74"/>
      <c r="V14" s="74"/>
      <c r="W14" s="74"/>
      <c r="X14" s="74"/>
      <c r="Y14" s="74"/>
      <c r="Z14" s="74"/>
      <c r="AA14" s="74"/>
      <c r="AB14" s="74">
        <f>$F$14*AB9</f>
        <v>0</v>
      </c>
      <c r="AC14" s="74">
        <f t="shared" ref="AC14:CN14" si="4">$F$14*AC9</f>
        <v>0</v>
      </c>
      <c r="AD14" s="74">
        <f t="shared" si="4"/>
        <v>0</v>
      </c>
      <c r="AE14" s="74">
        <f t="shared" si="4"/>
        <v>0</v>
      </c>
      <c r="AF14" s="74">
        <f t="shared" si="4"/>
        <v>0</v>
      </c>
      <c r="AG14" s="74">
        <f t="shared" si="4"/>
        <v>0.87491020968825839</v>
      </c>
      <c r="AH14" s="74">
        <f t="shared" si="4"/>
        <v>0.76440396730886195</v>
      </c>
      <c r="AI14" s="74">
        <f t="shared" si="4"/>
        <v>0.72854040338640647</v>
      </c>
      <c r="AJ14" s="74">
        <f t="shared" si="4"/>
        <v>0.80487050830856277</v>
      </c>
      <c r="AK14" s="74">
        <f t="shared" si="4"/>
        <v>0.82800571406493273</v>
      </c>
      <c r="AL14" s="74">
        <f t="shared" si="4"/>
        <v>0.75904221676896244</v>
      </c>
      <c r="AM14" s="74">
        <f t="shared" si="4"/>
        <v>0.81400771786524906</v>
      </c>
      <c r="AN14" s="74">
        <f t="shared" si="4"/>
        <v>0.85069783538602262</v>
      </c>
      <c r="AO14" s="74">
        <f t="shared" si="4"/>
        <v>0.82634150864373301</v>
      </c>
      <c r="AP14" s="74">
        <f t="shared" si="4"/>
        <v>0.79170476298237968</v>
      </c>
      <c r="AQ14" s="74">
        <f t="shared" si="4"/>
        <v>0.78779235458865549</v>
      </c>
      <c r="AR14" s="74">
        <f t="shared" si="4"/>
        <v>0.75376463014377371</v>
      </c>
      <c r="AS14" s="74">
        <f t="shared" si="4"/>
        <v>0.79946039258077839</v>
      </c>
      <c r="AT14" s="74">
        <f t="shared" si="4"/>
        <v>0.78100301534167127</v>
      </c>
      <c r="AU14" s="74">
        <f t="shared" si="4"/>
        <v>0.8137235562655627</v>
      </c>
      <c r="AV14" s="74">
        <f t="shared" si="4"/>
        <v>0.95211571787648286</v>
      </c>
      <c r="AW14" s="74">
        <f t="shared" si="4"/>
        <v>1.0872894462804936</v>
      </c>
      <c r="AX14" s="74">
        <f t="shared" si="4"/>
        <v>1.0872894462804936</v>
      </c>
      <c r="AY14" s="74">
        <f t="shared" si="4"/>
        <v>1.0872894462804936</v>
      </c>
      <c r="AZ14" s="74">
        <f t="shared" si="4"/>
        <v>1.0872894462804936</v>
      </c>
      <c r="BA14" s="74">
        <f t="shared" si="4"/>
        <v>1.0872894462804936</v>
      </c>
      <c r="BB14" s="74">
        <f t="shared" si="4"/>
        <v>1.0872894462804936</v>
      </c>
      <c r="BC14" s="74">
        <f t="shared" si="4"/>
        <v>1.0872894462804936</v>
      </c>
      <c r="BD14" s="74">
        <f t="shared" si="4"/>
        <v>1.0872894462804936</v>
      </c>
      <c r="BE14" s="74">
        <f t="shared" si="4"/>
        <v>1.0872894462804936</v>
      </c>
      <c r="BF14" s="74">
        <f t="shared" si="4"/>
        <v>1.0872894462804936</v>
      </c>
      <c r="BG14" s="74">
        <f t="shared" si="4"/>
        <v>1.0872894462804936</v>
      </c>
      <c r="BH14" s="74">
        <f t="shared" si="4"/>
        <v>0.88920569329660237</v>
      </c>
      <c r="BI14" s="74">
        <f t="shared" si="4"/>
        <v>0.88920569329660237</v>
      </c>
      <c r="BJ14" s="74">
        <f t="shared" si="4"/>
        <v>0.88920569329660237</v>
      </c>
      <c r="BK14" s="74">
        <f t="shared" si="4"/>
        <v>0.88920569329660237</v>
      </c>
      <c r="BL14" s="74">
        <f t="shared" si="4"/>
        <v>0.88920569329660237</v>
      </c>
      <c r="BM14" s="74">
        <f t="shared" si="4"/>
        <v>0.88920569329660237</v>
      </c>
      <c r="BN14" s="74">
        <f t="shared" si="4"/>
        <v>0.86484389348025703</v>
      </c>
      <c r="BO14" s="74">
        <f t="shared" si="4"/>
        <v>0.86484389348025703</v>
      </c>
      <c r="BP14" s="74">
        <f t="shared" si="4"/>
        <v>0.86484389348025703</v>
      </c>
      <c r="BQ14" s="74">
        <f t="shared" si="4"/>
        <v>0.86484389348025703</v>
      </c>
      <c r="BR14" s="74">
        <f t="shared" si="4"/>
        <v>0.77957759412304872</v>
      </c>
      <c r="BS14" s="74">
        <f t="shared" si="4"/>
        <v>0.77957759412304872</v>
      </c>
      <c r="BT14" s="74">
        <f t="shared" si="4"/>
        <v>0.77957759412304872</v>
      </c>
      <c r="BU14" s="74">
        <f t="shared" si="4"/>
        <v>0.96229109274563829</v>
      </c>
      <c r="BV14" s="74">
        <f t="shared" si="4"/>
        <v>0.96229109274563829</v>
      </c>
      <c r="BW14" s="74">
        <f t="shared" si="4"/>
        <v>0.96229109274563829</v>
      </c>
      <c r="BX14" s="74">
        <f t="shared" si="4"/>
        <v>0.96229109274563829</v>
      </c>
      <c r="BY14" s="74">
        <f t="shared" si="4"/>
        <v>0.96229109274563829</v>
      </c>
      <c r="BZ14" s="74">
        <f t="shared" si="4"/>
        <v>0.96229109274563829</v>
      </c>
      <c r="CA14" s="74">
        <f t="shared" si="4"/>
        <v>0.96229109274563829</v>
      </c>
      <c r="CB14" s="74">
        <f t="shared" si="4"/>
        <v>0.96229109274563829</v>
      </c>
      <c r="CC14" s="74">
        <f t="shared" si="4"/>
        <v>0.96229109274563829</v>
      </c>
      <c r="CD14" s="74">
        <f t="shared" si="4"/>
        <v>0.96229109274563829</v>
      </c>
      <c r="CE14" s="74">
        <f t="shared" si="4"/>
        <v>0.96229109274563829</v>
      </c>
      <c r="CF14" s="74">
        <f t="shared" si="4"/>
        <v>0.96229109274563829</v>
      </c>
      <c r="CG14" s="74">
        <f t="shared" si="4"/>
        <v>0.96229109274563829</v>
      </c>
      <c r="CH14" s="74">
        <f t="shared" si="4"/>
        <v>0.96229109274563829</v>
      </c>
      <c r="CI14" s="74">
        <f t="shared" si="4"/>
        <v>0.96229109274563829</v>
      </c>
      <c r="CJ14" s="74">
        <f t="shared" si="4"/>
        <v>0.88920569329660237</v>
      </c>
      <c r="CK14" s="74">
        <f t="shared" si="4"/>
        <v>0.73085399449035815</v>
      </c>
      <c r="CL14" s="74">
        <f t="shared" si="4"/>
        <v>0.73085399449035815</v>
      </c>
      <c r="CM14" s="74">
        <f t="shared" si="4"/>
        <v>0.73085399449035815</v>
      </c>
      <c r="CN14" s="74">
        <f t="shared" si="4"/>
        <v>0.73085399449035815</v>
      </c>
      <c r="CO14" s="74">
        <f t="shared" ref="CO14:EZ14" si="5">$F$14*CO9</f>
        <v>0.73085399449035815</v>
      </c>
      <c r="CP14" s="74">
        <f t="shared" si="5"/>
        <v>0.73085399449035815</v>
      </c>
      <c r="CQ14" s="74">
        <f t="shared" si="5"/>
        <v>0.73085399449035815</v>
      </c>
      <c r="CR14" s="74">
        <f t="shared" si="5"/>
        <v>0.73085399449035815</v>
      </c>
      <c r="CS14" s="74">
        <f t="shared" si="5"/>
        <v>0.73085399449035815</v>
      </c>
      <c r="CT14" s="74">
        <f t="shared" si="5"/>
        <v>0.73085399449035815</v>
      </c>
      <c r="CU14" s="74">
        <f t="shared" si="5"/>
        <v>0.73085399449035815</v>
      </c>
      <c r="CV14" s="74">
        <f t="shared" si="5"/>
        <v>0.73085399449035815</v>
      </c>
      <c r="CW14" s="74">
        <f t="shared" si="5"/>
        <v>0.73085399449035815</v>
      </c>
      <c r="CX14" s="74">
        <f t="shared" si="5"/>
        <v>0.73085399449035815</v>
      </c>
      <c r="CY14" s="74">
        <f t="shared" si="5"/>
        <v>0.73085399449035815</v>
      </c>
      <c r="CZ14" s="74">
        <f t="shared" si="5"/>
        <v>0.73085399449035815</v>
      </c>
      <c r="DA14" s="74">
        <f t="shared" si="5"/>
        <v>0.73085399449035815</v>
      </c>
      <c r="DB14" s="74">
        <f t="shared" si="5"/>
        <v>0.73085399449035815</v>
      </c>
      <c r="DC14" s="74">
        <f t="shared" si="5"/>
        <v>0.73085399449035815</v>
      </c>
      <c r="DD14" s="74">
        <f t="shared" si="5"/>
        <v>0.73085399449035815</v>
      </c>
      <c r="DE14" s="74">
        <f t="shared" si="5"/>
        <v>0.73085399449035815</v>
      </c>
      <c r="DF14" s="74">
        <f t="shared" si="5"/>
        <v>0.73085399449035815</v>
      </c>
      <c r="DG14" s="74">
        <f t="shared" si="5"/>
        <v>0.73085399449035815</v>
      </c>
      <c r="DH14" s="74">
        <f t="shared" si="5"/>
        <v>0.73085399449035815</v>
      </c>
      <c r="DI14" s="74">
        <f t="shared" si="5"/>
        <v>0.73085399449035815</v>
      </c>
      <c r="DJ14" s="74">
        <f t="shared" si="5"/>
        <v>0.73085399449035815</v>
      </c>
      <c r="DK14" s="74">
        <f t="shared" si="5"/>
        <v>0.73085399449035815</v>
      </c>
      <c r="DL14" s="74">
        <f t="shared" si="5"/>
        <v>0.73085399449035815</v>
      </c>
      <c r="DM14" s="74">
        <f t="shared" si="5"/>
        <v>0.73085399449035815</v>
      </c>
      <c r="DN14" s="74">
        <f t="shared" si="5"/>
        <v>0.73085399449035815</v>
      </c>
      <c r="DO14" s="74">
        <f t="shared" si="5"/>
        <v>0.73085399449035815</v>
      </c>
      <c r="DP14" s="74">
        <f t="shared" si="5"/>
        <v>0.73085399449035815</v>
      </c>
      <c r="DQ14" s="74">
        <f t="shared" si="5"/>
        <v>0.73085399449035815</v>
      </c>
      <c r="DR14" s="74">
        <f t="shared" si="5"/>
        <v>0.73085399449035815</v>
      </c>
      <c r="DS14" s="74">
        <f t="shared" si="5"/>
        <v>0.69431129476584019</v>
      </c>
      <c r="DT14" s="74">
        <f t="shared" si="5"/>
        <v>0</v>
      </c>
      <c r="DU14" s="74">
        <f t="shared" si="5"/>
        <v>0</v>
      </c>
      <c r="DV14" s="74">
        <f t="shared" si="5"/>
        <v>0</v>
      </c>
      <c r="DW14" s="74">
        <f t="shared" si="5"/>
        <v>0</v>
      </c>
      <c r="DX14" s="74">
        <f t="shared" si="5"/>
        <v>0</v>
      </c>
      <c r="DY14" s="74">
        <f t="shared" si="5"/>
        <v>0</v>
      </c>
      <c r="DZ14" s="74">
        <f t="shared" si="5"/>
        <v>0</v>
      </c>
      <c r="EA14" s="74">
        <f t="shared" si="5"/>
        <v>0</v>
      </c>
      <c r="EB14" s="74">
        <f t="shared" si="5"/>
        <v>0</v>
      </c>
      <c r="EC14" s="74">
        <f t="shared" si="5"/>
        <v>0</v>
      </c>
      <c r="ED14" s="74">
        <f t="shared" si="5"/>
        <v>0</v>
      </c>
      <c r="EE14" s="74">
        <f t="shared" si="5"/>
        <v>0</v>
      </c>
      <c r="EF14" s="74">
        <f t="shared" si="5"/>
        <v>0</v>
      </c>
      <c r="EG14" s="74">
        <f t="shared" si="5"/>
        <v>0</v>
      </c>
      <c r="EH14" s="74">
        <f t="shared" si="5"/>
        <v>0</v>
      </c>
      <c r="EI14" s="74">
        <f t="shared" si="5"/>
        <v>0</v>
      </c>
      <c r="EJ14" s="74">
        <f t="shared" si="5"/>
        <v>0</v>
      </c>
      <c r="EK14" s="74">
        <f t="shared" si="5"/>
        <v>0</v>
      </c>
      <c r="EL14" s="74">
        <f t="shared" si="5"/>
        <v>0</v>
      </c>
      <c r="EM14" s="74">
        <f t="shared" si="5"/>
        <v>0</v>
      </c>
      <c r="EN14" s="74">
        <f t="shared" si="5"/>
        <v>0</v>
      </c>
      <c r="EO14" s="74">
        <f t="shared" si="5"/>
        <v>0</v>
      </c>
      <c r="EP14" s="74">
        <f t="shared" si="5"/>
        <v>0</v>
      </c>
      <c r="EQ14" s="74">
        <f t="shared" si="5"/>
        <v>0</v>
      </c>
      <c r="ER14" s="74">
        <f t="shared" si="5"/>
        <v>0</v>
      </c>
      <c r="ES14" s="74">
        <f t="shared" si="5"/>
        <v>0</v>
      </c>
      <c r="ET14" s="74">
        <f t="shared" si="5"/>
        <v>0</v>
      </c>
      <c r="EU14" s="74">
        <f t="shared" si="5"/>
        <v>0</v>
      </c>
      <c r="EV14" s="74">
        <f t="shared" si="5"/>
        <v>0</v>
      </c>
      <c r="EW14" s="74">
        <f t="shared" si="5"/>
        <v>0</v>
      </c>
      <c r="EX14" s="74">
        <f t="shared" si="5"/>
        <v>0</v>
      </c>
      <c r="EY14" s="74">
        <f t="shared" si="5"/>
        <v>0</v>
      </c>
      <c r="EZ14" s="74">
        <f t="shared" si="5"/>
        <v>0</v>
      </c>
      <c r="FA14" s="74">
        <f t="shared" ref="FA14:FG14" si="6">$F$14*FA9</f>
        <v>0</v>
      </c>
      <c r="FB14" s="74">
        <f t="shared" si="6"/>
        <v>0</v>
      </c>
      <c r="FC14" s="74">
        <f t="shared" si="6"/>
        <v>0</v>
      </c>
      <c r="FD14" s="74">
        <f t="shared" si="6"/>
        <v>0</v>
      </c>
      <c r="FE14" s="74">
        <f t="shared" si="6"/>
        <v>0</v>
      </c>
      <c r="FF14" s="74">
        <f t="shared" si="6"/>
        <v>0</v>
      </c>
      <c r="FG14" s="74">
        <f t="shared" si="6"/>
        <v>0</v>
      </c>
    </row>
    <row r="15" spans="1:168">
      <c r="A15" s="67"/>
      <c r="B15" s="107"/>
      <c r="D15" s="77"/>
      <c r="F15" s="328"/>
      <c r="I15" s="74"/>
      <c r="J15" s="74"/>
      <c r="K15" s="74"/>
      <c r="L15" s="74"/>
      <c r="M15" s="74"/>
      <c r="N15" s="74"/>
      <c r="O15" s="74"/>
      <c r="P15" s="74"/>
      <c r="Q15" s="74"/>
      <c r="R15" s="74"/>
      <c r="S15" s="74"/>
      <c r="T15" s="74"/>
      <c r="U15" s="74"/>
      <c r="V15" s="74"/>
      <c r="W15" s="74"/>
      <c r="X15" s="74"/>
      <c r="Y15" s="74"/>
      <c r="Z15" s="74"/>
      <c r="AA15" s="74"/>
      <c r="AB15" s="74"/>
      <c r="AC15" s="74"/>
      <c r="AD15" s="74"/>
      <c r="AE15" s="74"/>
      <c r="AF15" s="74"/>
      <c r="AG15" s="74"/>
      <c r="AH15" s="74"/>
      <c r="AI15" s="74"/>
      <c r="AJ15" s="74"/>
      <c r="AK15" s="74"/>
      <c r="AL15" s="74"/>
      <c r="AM15" s="74"/>
      <c r="AN15" s="74"/>
      <c r="AO15" s="74"/>
      <c r="AP15" s="74"/>
      <c r="AQ15" s="74"/>
      <c r="AR15" s="74"/>
      <c r="AS15" s="74"/>
      <c r="AT15" s="74"/>
      <c r="AU15" s="74"/>
      <c r="AV15" s="74"/>
      <c r="AW15" s="74"/>
      <c r="AX15" s="74"/>
      <c r="AY15" s="74"/>
      <c r="AZ15" s="74"/>
      <c r="BA15" s="74"/>
      <c r="BB15" s="74"/>
      <c r="BC15" s="74"/>
      <c r="BD15" s="74"/>
      <c r="BE15" s="74"/>
      <c r="BF15" s="74"/>
      <c r="BG15" s="74"/>
      <c r="BH15" s="74"/>
      <c r="BI15" s="74"/>
      <c r="BJ15" s="74"/>
      <c r="BK15" s="74"/>
      <c r="BL15" s="74"/>
      <c r="BM15" s="74"/>
      <c r="BN15" s="74"/>
      <c r="BO15" s="74"/>
      <c r="BP15" s="74"/>
      <c r="BQ15" s="74"/>
      <c r="BR15" s="74"/>
      <c r="BS15" s="74"/>
      <c r="BT15" s="74"/>
      <c r="BU15" s="74"/>
      <c r="BV15" s="74"/>
      <c r="BW15" s="74"/>
      <c r="BX15" s="74"/>
      <c r="BY15" s="74"/>
      <c r="BZ15" s="74"/>
      <c r="CA15" s="74"/>
      <c r="CB15" s="74"/>
      <c r="CC15" s="74"/>
      <c r="CD15" s="74"/>
      <c r="CE15" s="74"/>
      <c r="CF15" s="74"/>
      <c r="CG15" s="74"/>
      <c r="CH15" s="74"/>
      <c r="CI15" s="74"/>
      <c r="CJ15" s="74"/>
      <c r="CK15" s="74"/>
      <c r="CL15" s="74"/>
      <c r="CM15" s="74"/>
      <c r="CN15" s="74"/>
      <c r="CO15" s="74"/>
      <c r="CP15" s="74"/>
      <c r="CQ15" s="74"/>
      <c r="CR15" s="74"/>
      <c r="CS15" s="74"/>
      <c r="CT15" s="74"/>
      <c r="CU15" s="74"/>
      <c r="CV15" s="74"/>
      <c r="CW15" s="74"/>
      <c r="CX15" s="74"/>
      <c r="CY15" s="74"/>
      <c r="CZ15" s="74"/>
      <c r="DA15" s="74"/>
      <c r="DB15" s="74"/>
      <c r="DC15" s="74"/>
      <c r="DD15" s="74"/>
      <c r="DE15" s="74"/>
      <c r="DF15" s="74"/>
      <c r="DG15" s="74"/>
      <c r="DH15" s="74"/>
      <c r="DI15" s="74"/>
      <c r="DJ15" s="74"/>
      <c r="DK15" s="74"/>
      <c r="DL15" s="74"/>
      <c r="DM15" s="74"/>
      <c r="DN15" s="74"/>
      <c r="DO15" s="74"/>
      <c r="DP15" s="74"/>
      <c r="DQ15" s="74"/>
      <c r="DR15" s="74"/>
      <c r="DS15" s="74"/>
      <c r="DT15" s="74"/>
      <c r="DU15" s="74"/>
      <c r="DV15" s="74"/>
      <c r="DW15" s="74"/>
      <c r="DX15" s="74"/>
      <c r="DY15" s="74"/>
      <c r="DZ15" s="74"/>
      <c r="EA15" s="74"/>
      <c r="EB15" s="74"/>
      <c r="EC15" s="74"/>
      <c r="ED15" s="74"/>
      <c r="EE15" s="74"/>
      <c r="EF15" s="74"/>
      <c r="EG15" s="74"/>
      <c r="EH15" s="74"/>
      <c r="EI15" s="74"/>
      <c r="EJ15" s="74"/>
      <c r="EK15" s="74"/>
      <c r="EL15" s="74"/>
      <c r="EM15" s="74"/>
      <c r="EN15" s="74"/>
      <c r="EO15" s="74"/>
      <c r="EP15" s="74"/>
      <c r="EQ15" s="74"/>
      <c r="ER15" s="74"/>
      <c r="ES15" s="74"/>
      <c r="ET15" s="74"/>
      <c r="EU15" s="74"/>
      <c r="EV15" s="74"/>
      <c r="EW15" s="74"/>
      <c r="EX15" s="74"/>
      <c r="EY15" s="74"/>
      <c r="EZ15" s="74"/>
      <c r="FA15" s="74"/>
      <c r="FB15" s="74"/>
      <c r="FC15" s="74"/>
      <c r="FD15" s="74"/>
      <c r="FE15" s="74"/>
      <c r="FF15" s="74"/>
    </row>
    <row r="16" spans="1:168">
      <c r="A16" s="67"/>
      <c r="B16" s="107"/>
      <c r="D16" s="77"/>
      <c r="F16" s="328"/>
      <c r="I16" s="74"/>
      <c r="J16" s="74"/>
      <c r="K16" s="74"/>
      <c r="L16" s="74"/>
      <c r="M16" s="74"/>
      <c r="N16" s="74"/>
      <c r="O16" s="74"/>
      <c r="P16" s="74"/>
      <c r="Q16" s="74"/>
      <c r="R16" s="74"/>
      <c r="S16" s="74"/>
      <c r="T16" s="74"/>
      <c r="U16" s="74"/>
      <c r="V16" s="74"/>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c r="BM16" s="74"/>
      <c r="BN16" s="74"/>
      <c r="BO16" s="74"/>
      <c r="BP16" s="74"/>
      <c r="BQ16" s="74"/>
      <c r="BR16" s="74"/>
      <c r="BS16" s="74"/>
      <c r="BT16" s="74"/>
      <c r="BU16" s="74"/>
      <c r="BV16" s="74"/>
      <c r="BW16" s="74"/>
      <c r="BX16" s="74"/>
      <c r="BY16" s="74"/>
      <c r="BZ16" s="74"/>
      <c r="CA16" s="74"/>
      <c r="CB16" s="74"/>
      <c r="CC16" s="74"/>
      <c r="CD16" s="74"/>
      <c r="CE16" s="74"/>
      <c r="CF16" s="74"/>
      <c r="CG16" s="74"/>
      <c r="CH16" s="74"/>
      <c r="CI16" s="74"/>
      <c r="CJ16" s="74"/>
      <c r="CK16" s="74"/>
      <c r="CL16" s="74"/>
      <c r="CM16" s="74"/>
      <c r="CN16" s="74"/>
      <c r="CO16" s="74"/>
      <c r="CP16" s="74"/>
      <c r="CQ16" s="74"/>
      <c r="CR16" s="74"/>
      <c r="CS16" s="74"/>
      <c r="CT16" s="74"/>
      <c r="CU16" s="74"/>
      <c r="CV16" s="74"/>
      <c r="CW16" s="74"/>
      <c r="CX16" s="74"/>
      <c r="CY16" s="74"/>
      <c r="CZ16" s="74"/>
      <c r="DA16" s="74"/>
      <c r="DB16" s="74"/>
      <c r="DC16" s="74"/>
      <c r="DD16" s="74"/>
      <c r="DE16" s="74"/>
      <c r="DF16" s="74"/>
      <c r="DG16" s="74"/>
      <c r="DH16" s="74"/>
      <c r="DI16" s="74"/>
      <c r="DJ16" s="74"/>
      <c r="DK16" s="74"/>
      <c r="DL16" s="74"/>
      <c r="DM16" s="74"/>
      <c r="DN16" s="74"/>
      <c r="DO16" s="74"/>
      <c r="DP16" s="74"/>
      <c r="DQ16" s="74"/>
      <c r="DR16" s="74"/>
      <c r="DS16" s="74"/>
      <c r="DT16" s="74"/>
      <c r="DU16" s="74"/>
      <c r="DV16" s="74"/>
      <c r="DW16" s="74"/>
      <c r="DX16" s="74"/>
      <c r="DY16" s="74"/>
      <c r="DZ16" s="74"/>
      <c r="EA16" s="74"/>
      <c r="EB16" s="74"/>
      <c r="EC16" s="74"/>
      <c r="ED16" s="74"/>
      <c r="EE16" s="74"/>
      <c r="EF16" s="74"/>
      <c r="EG16" s="74"/>
      <c r="EH16" s="74"/>
      <c r="EI16" s="74"/>
      <c r="EJ16" s="74"/>
      <c r="EK16" s="74"/>
      <c r="EL16" s="74"/>
      <c r="EM16" s="74"/>
      <c r="EN16" s="74"/>
      <c r="EO16" s="74"/>
      <c r="EP16" s="74"/>
      <c r="EQ16" s="74"/>
      <c r="ER16" s="74"/>
      <c r="ES16" s="74"/>
      <c r="ET16" s="74"/>
      <c r="EU16" s="74"/>
      <c r="EV16" s="74"/>
      <c r="EW16" s="74"/>
      <c r="EX16" s="74"/>
      <c r="EY16" s="74"/>
      <c r="EZ16" s="74"/>
      <c r="FA16" s="74"/>
      <c r="FB16" s="74"/>
      <c r="FC16" s="74"/>
      <c r="FD16" s="74"/>
      <c r="FE16" s="74"/>
      <c r="FF16" s="74"/>
    </row>
    <row r="17" spans="1:162">
      <c r="A17" s="67"/>
      <c r="B17" s="107"/>
      <c r="D17" s="77"/>
      <c r="F17" s="65"/>
      <c r="I17" s="74"/>
      <c r="J17" s="74"/>
      <c r="K17" s="74"/>
      <c r="L17" s="74"/>
      <c r="M17" s="74"/>
      <c r="N17" s="74"/>
      <c r="O17" s="74"/>
      <c r="P17" s="74"/>
      <c r="Q17" s="74"/>
      <c r="R17" s="74"/>
      <c r="S17" s="74"/>
      <c r="T17" s="74"/>
      <c r="U17" s="74"/>
      <c r="V17" s="74"/>
      <c r="W17" s="74"/>
      <c r="X17" s="74"/>
      <c r="Y17" s="74"/>
      <c r="Z17" s="74"/>
      <c r="AA17" s="74"/>
      <c r="AB17" s="74"/>
      <c r="AC17" s="74"/>
      <c r="AD17" s="74"/>
      <c r="AE17" s="74"/>
      <c r="AF17" s="74"/>
      <c r="AG17" s="74"/>
      <c r="AH17" s="74"/>
      <c r="AI17" s="74"/>
      <c r="AJ17" s="74"/>
      <c r="AK17" s="74"/>
      <c r="AL17" s="74"/>
      <c r="AM17" s="74"/>
      <c r="AN17" s="74"/>
      <c r="AO17" s="74"/>
      <c r="AP17" s="74"/>
      <c r="AQ17" s="74"/>
      <c r="AR17" s="74"/>
      <c r="AS17" s="74"/>
      <c r="AT17" s="74"/>
      <c r="AU17" s="74"/>
      <c r="AV17" s="74"/>
      <c r="AW17" s="74"/>
      <c r="AX17" s="74"/>
      <c r="AY17" s="74"/>
      <c r="AZ17" s="74"/>
      <c r="BA17" s="74"/>
      <c r="BB17" s="74"/>
      <c r="BC17" s="74"/>
      <c r="BD17" s="74"/>
      <c r="BE17" s="74"/>
      <c r="BF17" s="74"/>
      <c r="BG17" s="74"/>
      <c r="BH17" s="74"/>
      <c r="BI17" s="74"/>
      <c r="BJ17" s="74"/>
      <c r="BK17" s="74"/>
      <c r="BL17" s="74"/>
      <c r="BM17" s="74"/>
      <c r="BN17" s="74"/>
      <c r="BO17" s="74"/>
      <c r="BP17" s="74"/>
      <c r="BQ17" s="74"/>
      <c r="BR17" s="74"/>
      <c r="BS17" s="74"/>
      <c r="BT17" s="74"/>
      <c r="BU17" s="74"/>
      <c r="BV17" s="74"/>
      <c r="BW17" s="74"/>
      <c r="BX17" s="74"/>
      <c r="BY17" s="74"/>
      <c r="BZ17" s="74"/>
      <c r="CA17" s="74"/>
      <c r="CB17" s="74"/>
      <c r="CC17" s="74"/>
      <c r="CD17" s="74"/>
      <c r="CE17" s="74"/>
      <c r="CF17" s="74"/>
      <c r="CG17" s="74"/>
      <c r="CH17" s="74"/>
      <c r="CI17" s="74"/>
      <c r="CJ17" s="74"/>
      <c r="CK17" s="74"/>
      <c r="CL17" s="74"/>
      <c r="CM17" s="74"/>
      <c r="CN17" s="74"/>
      <c r="CO17" s="74"/>
      <c r="CP17" s="74"/>
      <c r="CQ17" s="74"/>
      <c r="CR17" s="74"/>
      <c r="CS17" s="74"/>
      <c r="CT17" s="74"/>
      <c r="CU17" s="74"/>
      <c r="CV17" s="74"/>
      <c r="CW17" s="74"/>
      <c r="CX17" s="74"/>
      <c r="CY17" s="74"/>
      <c r="CZ17" s="74"/>
      <c r="DA17" s="74"/>
      <c r="DB17" s="74"/>
      <c r="DC17" s="74"/>
      <c r="DD17" s="74"/>
      <c r="DE17" s="74"/>
      <c r="DF17" s="74"/>
      <c r="DG17" s="74"/>
      <c r="DH17" s="74"/>
      <c r="DI17" s="74"/>
      <c r="DJ17" s="74"/>
      <c r="DK17" s="74"/>
      <c r="DL17" s="74"/>
      <c r="DM17" s="74"/>
      <c r="DN17" s="74"/>
      <c r="DO17" s="74"/>
      <c r="DP17" s="74"/>
      <c r="DQ17" s="74"/>
      <c r="DR17" s="74"/>
      <c r="DS17" s="74"/>
      <c r="DT17" s="74"/>
      <c r="DU17" s="74"/>
      <c r="DV17" s="74"/>
      <c r="DW17" s="74"/>
      <c r="DX17" s="74"/>
      <c r="DY17" s="74"/>
      <c r="DZ17" s="74"/>
      <c r="EA17" s="74"/>
      <c r="EB17" s="74"/>
      <c r="EC17" s="74"/>
      <c r="ED17" s="74"/>
      <c r="EE17" s="74"/>
      <c r="EF17" s="74"/>
      <c r="EG17" s="74"/>
      <c r="EH17" s="74"/>
      <c r="EI17" s="74"/>
      <c r="EJ17" s="74"/>
      <c r="EK17" s="74"/>
      <c r="EL17" s="74"/>
      <c r="EM17" s="74"/>
      <c r="EN17" s="74"/>
      <c r="EO17" s="74"/>
      <c r="EP17" s="74"/>
      <c r="EQ17" s="74"/>
      <c r="ER17" s="74"/>
      <c r="ES17" s="74"/>
      <c r="ET17" s="74"/>
      <c r="EU17" s="74"/>
      <c r="EV17" s="74"/>
      <c r="EW17" s="74"/>
      <c r="EX17" s="74"/>
      <c r="EY17" s="74"/>
      <c r="EZ17" s="74"/>
      <c r="FA17" s="74"/>
      <c r="FB17" s="74"/>
      <c r="FC17" s="74"/>
      <c r="FD17" s="74"/>
      <c r="FE17" s="74"/>
      <c r="FF17" s="74"/>
    </row>
    <row r="18" spans="1:162" s="104" customFormat="1">
      <c r="H18" s="104" t="s">
        <v>835</v>
      </c>
      <c r="I18" s="105">
        <f t="shared" ref="I18:AN18" si="7">SUM(I13:I13)</f>
        <v>0</v>
      </c>
      <c r="J18" s="105">
        <f t="shared" si="7"/>
        <v>0</v>
      </c>
      <c r="K18" s="105">
        <f t="shared" si="7"/>
        <v>0</v>
      </c>
      <c r="L18" s="105">
        <f t="shared" si="7"/>
        <v>0</v>
      </c>
      <c r="M18" s="105">
        <f t="shared" si="7"/>
        <v>0</v>
      </c>
      <c r="N18" s="105">
        <f t="shared" si="7"/>
        <v>0</v>
      </c>
      <c r="O18" s="105">
        <f t="shared" si="7"/>
        <v>0</v>
      </c>
      <c r="P18" s="105">
        <f t="shared" si="7"/>
        <v>0</v>
      </c>
      <c r="Q18" s="105">
        <f t="shared" si="7"/>
        <v>0</v>
      </c>
      <c r="R18" s="105">
        <f t="shared" si="7"/>
        <v>0</v>
      </c>
      <c r="S18" s="105">
        <f t="shared" si="7"/>
        <v>0</v>
      </c>
      <c r="T18" s="105">
        <f t="shared" si="7"/>
        <v>0</v>
      </c>
      <c r="U18" s="105">
        <f t="shared" si="7"/>
        <v>0</v>
      </c>
      <c r="V18" s="105">
        <f t="shared" si="7"/>
        <v>0</v>
      </c>
      <c r="W18" s="105">
        <f t="shared" si="7"/>
        <v>0</v>
      </c>
      <c r="X18" s="105">
        <f t="shared" si="7"/>
        <v>0</v>
      </c>
      <c r="Y18" s="105">
        <f t="shared" si="7"/>
        <v>0</v>
      </c>
      <c r="Z18" s="105">
        <f t="shared" si="7"/>
        <v>0</v>
      </c>
      <c r="AA18" s="105">
        <f t="shared" si="7"/>
        <v>0</v>
      </c>
      <c r="AB18" s="105">
        <f>SUM(AB13:AB13)</f>
        <v>1.5100599747474748</v>
      </c>
      <c r="AC18" s="105">
        <f t="shared" si="7"/>
        <v>1.4844146005509642</v>
      </c>
      <c r="AD18" s="105">
        <f t="shared" si="7"/>
        <v>1.5779447887970617</v>
      </c>
      <c r="AE18" s="105">
        <f t="shared" si="7"/>
        <v>1.5990645087235997</v>
      </c>
      <c r="AF18" s="105">
        <f t="shared" si="7"/>
        <v>1.5704020316804408</v>
      </c>
      <c r="AG18" s="105">
        <f t="shared" si="7"/>
        <v>1.5387224517906335</v>
      </c>
      <c r="AH18" s="105">
        <f t="shared" si="7"/>
        <v>1.5588368730486684</v>
      </c>
      <c r="AI18" s="105">
        <f t="shared" si="7"/>
        <v>1.6232013314967861</v>
      </c>
      <c r="AJ18" s="105">
        <f t="shared" si="7"/>
        <v>1.6594065656565657</v>
      </c>
      <c r="AK18" s="105">
        <f t="shared" si="7"/>
        <v>1.7046631083562904</v>
      </c>
      <c r="AL18" s="105">
        <f t="shared" si="7"/>
        <v>1.5785482093663914</v>
      </c>
      <c r="AM18" s="105">
        <f t="shared" si="7"/>
        <v>1.4874317033976125</v>
      </c>
      <c r="AN18" s="105">
        <f t="shared" si="7"/>
        <v>1.3987288797061526</v>
      </c>
      <c r="AO18" s="105">
        <f t="shared" ref="AO18:CR18" si="8">SUM(AO13:AO13)</f>
        <v>1.3048969811753903</v>
      </c>
      <c r="AP18" s="105">
        <f t="shared" si="8"/>
        <v>1.2656746441689626</v>
      </c>
      <c r="AQ18" s="105">
        <f t="shared" si="8"/>
        <v>1.2551147842056933</v>
      </c>
      <c r="AR18" s="105">
        <f t="shared" si="8"/>
        <v>1.2551147842056933</v>
      </c>
      <c r="AS18" s="105">
        <f t="shared" si="8"/>
        <v>1.2551147842056933</v>
      </c>
      <c r="AT18" s="105">
        <f t="shared" si="8"/>
        <v>1.3471364210284664</v>
      </c>
      <c r="AU18" s="105">
        <f t="shared" si="8"/>
        <v>1.4844146005509642</v>
      </c>
      <c r="AV18" s="105">
        <f t="shared" si="8"/>
        <v>1.5085514233241506</v>
      </c>
      <c r="AW18" s="105">
        <f t="shared" si="8"/>
        <v>1.4421751606978881</v>
      </c>
      <c r="AX18" s="105">
        <f t="shared" si="8"/>
        <v>1.4180383379247017</v>
      </c>
      <c r="AY18" s="105">
        <f t="shared" si="8"/>
        <v>1.4180383379247017</v>
      </c>
      <c r="AZ18" s="105">
        <f t="shared" si="8"/>
        <v>1.4180383379247017</v>
      </c>
      <c r="BA18" s="105">
        <f t="shared" si="8"/>
        <v>1.3576962809917357</v>
      </c>
      <c r="BB18" s="105">
        <f t="shared" si="8"/>
        <v>1.3576962809917357</v>
      </c>
      <c r="BC18" s="105">
        <f t="shared" si="8"/>
        <v>1.2068411386593205</v>
      </c>
      <c r="BD18" s="105">
        <f t="shared" si="8"/>
        <v>1.2068411386593205</v>
      </c>
      <c r="BE18" s="105">
        <f t="shared" si="8"/>
        <v>1.2068411386593205</v>
      </c>
      <c r="BF18" s="105">
        <f t="shared" si="8"/>
        <v>1.2068411386593205</v>
      </c>
      <c r="BG18" s="105">
        <f t="shared" si="8"/>
        <v>1.2370121671258034</v>
      </c>
      <c r="BH18" s="105">
        <f t="shared" si="8"/>
        <v>1.2370121671258034</v>
      </c>
      <c r="BI18" s="105">
        <f t="shared" si="8"/>
        <v>1.4783803948576677</v>
      </c>
      <c r="BJ18" s="105">
        <f t="shared" si="8"/>
        <v>1.4783803948576677</v>
      </c>
      <c r="BK18" s="105">
        <f t="shared" si="8"/>
        <v>1.4482093663911846</v>
      </c>
      <c r="BL18" s="105">
        <f t="shared" si="8"/>
        <v>1.4482093663911846</v>
      </c>
      <c r="BM18" s="105">
        <f t="shared" si="8"/>
        <v>1.4482093663911846</v>
      </c>
      <c r="BN18" s="105">
        <f t="shared" si="8"/>
        <v>1.4482093663911846</v>
      </c>
      <c r="BO18" s="105">
        <f t="shared" si="8"/>
        <v>1.4482093663911846</v>
      </c>
      <c r="BP18" s="105">
        <f t="shared" si="8"/>
        <v>1.3878673094582186</v>
      </c>
      <c r="BQ18" s="105">
        <f t="shared" si="8"/>
        <v>1.3878673094582186</v>
      </c>
      <c r="BR18" s="105">
        <f t="shared" si="8"/>
        <v>1.3576962809917357</v>
      </c>
      <c r="BS18" s="105">
        <f t="shared" si="8"/>
        <v>1.3576962809917357</v>
      </c>
      <c r="BT18" s="105">
        <f t="shared" si="8"/>
        <v>1.3576962809917357</v>
      </c>
      <c r="BU18" s="105">
        <f t="shared" si="8"/>
        <v>1.3576962809917357</v>
      </c>
      <c r="BV18" s="105">
        <f t="shared" si="8"/>
        <v>1.3576962809917357</v>
      </c>
      <c r="BW18" s="105">
        <f t="shared" si="8"/>
        <v>1.3576962809917357</v>
      </c>
      <c r="BX18" s="105">
        <f t="shared" si="8"/>
        <v>1.3576962809917357</v>
      </c>
      <c r="BY18" s="105">
        <f t="shared" si="8"/>
        <v>1.3576962809917357</v>
      </c>
      <c r="BZ18" s="105">
        <f t="shared" si="8"/>
        <v>1.3576962809917357</v>
      </c>
      <c r="CA18" s="105">
        <f t="shared" si="8"/>
        <v>1.3576962809917357</v>
      </c>
      <c r="CB18" s="105">
        <f t="shared" si="8"/>
        <v>1.3576962809917357</v>
      </c>
      <c r="CC18" s="105">
        <f t="shared" si="8"/>
        <v>1.3576962809917357</v>
      </c>
      <c r="CD18" s="105">
        <f t="shared" si="8"/>
        <v>1.2671831955922865</v>
      </c>
      <c r="CE18" s="105">
        <f t="shared" si="8"/>
        <v>1.2671831955922865</v>
      </c>
      <c r="CF18" s="105">
        <f t="shared" si="8"/>
        <v>1.2671831955922865</v>
      </c>
      <c r="CG18" s="105">
        <f t="shared" si="8"/>
        <v>1.2671831955922865</v>
      </c>
      <c r="CH18" s="105">
        <f t="shared" si="8"/>
        <v>1.3275252525252528</v>
      </c>
      <c r="CI18" s="105">
        <f t="shared" si="8"/>
        <v>1.3275252525252528</v>
      </c>
      <c r="CJ18" s="105">
        <f t="shared" si="8"/>
        <v>1.3275252525252528</v>
      </c>
      <c r="CK18" s="105">
        <f t="shared" si="8"/>
        <v>1.3878673094582186</v>
      </c>
      <c r="CL18" s="105">
        <f t="shared" si="8"/>
        <v>1.3878673094582186</v>
      </c>
      <c r="CM18" s="105">
        <f t="shared" si="8"/>
        <v>1.3878673094582186</v>
      </c>
      <c r="CN18" s="105">
        <f t="shared" si="8"/>
        <v>1.3878673094582186</v>
      </c>
      <c r="CO18" s="105">
        <f t="shared" si="8"/>
        <v>1.3878673094582186</v>
      </c>
      <c r="CP18" s="105">
        <f t="shared" si="8"/>
        <v>1.3878673094582186</v>
      </c>
      <c r="CQ18" s="105">
        <f t="shared" si="8"/>
        <v>1.3878673094582186</v>
      </c>
      <c r="CR18" s="105">
        <f t="shared" si="8"/>
        <v>1.3878673094582186</v>
      </c>
      <c r="CS18" s="105">
        <f t="shared" ref="CS18:DA18" si="9">SUM(CS13:CS13)</f>
        <v>1.3275252525252528</v>
      </c>
      <c r="CT18" s="105">
        <f t="shared" si="9"/>
        <v>1.2973542240587694</v>
      </c>
      <c r="CU18" s="105">
        <f t="shared" si="9"/>
        <v>1.2973542240587694</v>
      </c>
      <c r="CV18" s="105">
        <f t="shared" si="9"/>
        <v>1.2973542240587694</v>
      </c>
      <c r="CW18" s="105">
        <f t="shared" si="9"/>
        <v>1.0861570247933885</v>
      </c>
      <c r="CX18" s="105">
        <f t="shared" si="9"/>
        <v>1.0861570247933885</v>
      </c>
      <c r="CY18" s="105">
        <f t="shared" si="9"/>
        <v>1.0861570247933885</v>
      </c>
      <c r="CZ18" s="105">
        <f t="shared" si="9"/>
        <v>1.0861570247933885</v>
      </c>
      <c r="DA18" s="105">
        <f t="shared" si="9"/>
        <v>1.0861570247933885</v>
      </c>
      <c r="DB18" s="105">
        <f t="shared" ref="DB18:FF18" si="10">SUM(DB13:DB13)</f>
        <v>1.0258149678604225</v>
      </c>
      <c r="DC18" s="105">
        <f t="shared" si="10"/>
        <v>1.0258149678604225</v>
      </c>
      <c r="DD18" s="105">
        <f t="shared" si="10"/>
        <v>1.0258149678604225</v>
      </c>
      <c r="DE18" s="105">
        <f t="shared" si="10"/>
        <v>1.0258149678604225</v>
      </c>
      <c r="DF18" s="105">
        <f t="shared" si="10"/>
        <v>1.0258149678604225</v>
      </c>
      <c r="DG18" s="105">
        <f t="shared" si="10"/>
        <v>1.0258149678604225</v>
      </c>
      <c r="DH18" s="105">
        <f t="shared" si="10"/>
        <v>1.0258149678604225</v>
      </c>
      <c r="DI18" s="105">
        <f t="shared" si="10"/>
        <v>1.0258149678604225</v>
      </c>
      <c r="DJ18" s="105">
        <f t="shared" si="10"/>
        <v>1.0258149678604225</v>
      </c>
      <c r="DK18" s="105">
        <f t="shared" si="10"/>
        <v>1.0258149678604225</v>
      </c>
      <c r="DL18" s="105">
        <f t="shared" si="10"/>
        <v>0.96547291092745646</v>
      </c>
      <c r="DM18" s="105">
        <f t="shared" si="10"/>
        <v>0.96547291092745646</v>
      </c>
      <c r="DN18" s="105">
        <f t="shared" si="10"/>
        <v>0.96547291092745646</v>
      </c>
      <c r="DO18" s="105">
        <f t="shared" si="10"/>
        <v>0.96547291092745646</v>
      </c>
      <c r="DP18" s="105">
        <f t="shared" si="10"/>
        <v>0.96547291092745646</v>
      </c>
      <c r="DQ18" s="105">
        <f t="shared" si="10"/>
        <v>0.96547291092745646</v>
      </c>
      <c r="DR18" s="105">
        <f t="shared" si="10"/>
        <v>0.81461776859504142</v>
      </c>
      <c r="DS18" s="105">
        <f t="shared" si="10"/>
        <v>0.81461776859504142</v>
      </c>
      <c r="DT18" s="105">
        <f t="shared" si="10"/>
        <v>0</v>
      </c>
      <c r="DU18" s="105">
        <f t="shared" si="10"/>
        <v>0</v>
      </c>
      <c r="DV18" s="105">
        <f t="shared" si="10"/>
        <v>0</v>
      </c>
      <c r="DW18" s="105">
        <f t="shared" si="10"/>
        <v>0</v>
      </c>
      <c r="DX18" s="105">
        <f t="shared" si="10"/>
        <v>0</v>
      </c>
      <c r="DY18" s="105">
        <f t="shared" si="10"/>
        <v>0</v>
      </c>
      <c r="DZ18" s="105">
        <f t="shared" si="10"/>
        <v>0</v>
      </c>
      <c r="EA18" s="105">
        <f t="shared" si="10"/>
        <v>0</v>
      </c>
      <c r="EB18" s="105">
        <f t="shared" si="10"/>
        <v>0</v>
      </c>
      <c r="EC18" s="105">
        <f t="shared" si="10"/>
        <v>0</v>
      </c>
      <c r="ED18" s="105">
        <f t="shared" si="10"/>
        <v>0</v>
      </c>
      <c r="EE18" s="105">
        <f t="shared" si="10"/>
        <v>0</v>
      </c>
      <c r="EF18" s="105">
        <f t="shared" si="10"/>
        <v>0</v>
      </c>
      <c r="EG18" s="105">
        <f t="shared" si="10"/>
        <v>0</v>
      </c>
      <c r="EH18" s="105">
        <f t="shared" si="10"/>
        <v>0</v>
      </c>
      <c r="EI18" s="105">
        <f t="shared" si="10"/>
        <v>0</v>
      </c>
      <c r="EJ18" s="105">
        <f t="shared" si="10"/>
        <v>0</v>
      </c>
      <c r="EK18" s="105">
        <f t="shared" si="10"/>
        <v>0</v>
      </c>
      <c r="EL18" s="105">
        <f t="shared" si="10"/>
        <v>0</v>
      </c>
      <c r="EM18" s="105">
        <f t="shared" si="10"/>
        <v>0</v>
      </c>
      <c r="EN18" s="105">
        <f t="shared" si="10"/>
        <v>0</v>
      </c>
      <c r="EO18" s="105">
        <f t="shared" si="10"/>
        <v>0</v>
      </c>
      <c r="EP18" s="105">
        <f t="shared" si="10"/>
        <v>0</v>
      </c>
      <c r="EQ18" s="105">
        <f t="shared" si="10"/>
        <v>0</v>
      </c>
      <c r="ER18" s="105">
        <f t="shared" si="10"/>
        <v>0</v>
      </c>
      <c r="ES18" s="105">
        <f t="shared" si="10"/>
        <v>0</v>
      </c>
      <c r="ET18" s="105">
        <f t="shared" si="10"/>
        <v>0</v>
      </c>
      <c r="EU18" s="105">
        <f t="shared" si="10"/>
        <v>0</v>
      </c>
      <c r="EV18" s="105">
        <f t="shared" si="10"/>
        <v>0</v>
      </c>
      <c r="EW18" s="105">
        <f t="shared" si="10"/>
        <v>0</v>
      </c>
      <c r="EX18" s="105">
        <f t="shared" si="10"/>
        <v>0</v>
      </c>
      <c r="EY18" s="105">
        <f t="shared" si="10"/>
        <v>0</v>
      </c>
      <c r="EZ18" s="105">
        <f t="shared" si="10"/>
        <v>0</v>
      </c>
      <c r="FA18" s="105">
        <f t="shared" si="10"/>
        <v>0</v>
      </c>
      <c r="FB18" s="105">
        <f t="shared" si="10"/>
        <v>0</v>
      </c>
      <c r="FC18" s="105">
        <f t="shared" si="10"/>
        <v>0</v>
      </c>
      <c r="FD18" s="105">
        <f t="shared" si="10"/>
        <v>0</v>
      </c>
      <c r="FE18" s="105">
        <f t="shared" si="10"/>
        <v>0</v>
      </c>
      <c r="FF18" s="105">
        <f t="shared" si="10"/>
        <v>0</v>
      </c>
    </row>
    <row r="19" spans="1:162" s="104" customFormat="1">
      <c r="H19" s="60" t="s">
        <v>836</v>
      </c>
      <c r="I19" s="105"/>
      <c r="J19" s="105"/>
      <c r="K19" s="105"/>
      <c r="L19" s="105"/>
      <c r="M19" s="105"/>
      <c r="N19" s="105"/>
      <c r="O19" s="105"/>
      <c r="P19" s="105"/>
      <c r="Q19" s="105"/>
      <c r="R19" s="105"/>
      <c r="S19" s="105"/>
      <c r="T19" s="105"/>
      <c r="U19" s="105"/>
      <c r="V19" s="105"/>
      <c r="W19" s="105"/>
      <c r="X19" s="105"/>
      <c r="Y19" s="105"/>
      <c r="Z19" s="105"/>
      <c r="AA19" s="105"/>
      <c r="AB19" s="105">
        <f>AB14</f>
        <v>0</v>
      </c>
      <c r="AC19" s="105">
        <f t="shared" ref="AC19:CN19" si="11">AC14</f>
        <v>0</v>
      </c>
      <c r="AD19" s="105">
        <f t="shared" si="11"/>
        <v>0</v>
      </c>
      <c r="AE19" s="105">
        <f t="shared" si="11"/>
        <v>0</v>
      </c>
      <c r="AF19" s="105">
        <f t="shared" si="11"/>
        <v>0</v>
      </c>
      <c r="AG19" s="105">
        <f t="shared" si="11"/>
        <v>0.87491020968825839</v>
      </c>
      <c r="AH19" s="105">
        <f t="shared" si="11"/>
        <v>0.76440396730886195</v>
      </c>
      <c r="AI19" s="105">
        <f t="shared" si="11"/>
        <v>0.72854040338640647</v>
      </c>
      <c r="AJ19" s="105">
        <f t="shared" si="11"/>
        <v>0.80487050830856277</v>
      </c>
      <c r="AK19" s="105">
        <f t="shared" si="11"/>
        <v>0.82800571406493273</v>
      </c>
      <c r="AL19" s="105">
        <f t="shared" si="11"/>
        <v>0.75904221676896244</v>
      </c>
      <c r="AM19" s="105">
        <f t="shared" si="11"/>
        <v>0.81400771786524906</v>
      </c>
      <c r="AN19" s="105">
        <f t="shared" si="11"/>
        <v>0.85069783538602262</v>
      </c>
      <c r="AO19" s="105">
        <f t="shared" si="11"/>
        <v>0.82634150864373301</v>
      </c>
      <c r="AP19" s="105">
        <f t="shared" si="11"/>
        <v>0.79170476298237968</v>
      </c>
      <c r="AQ19" s="105">
        <f t="shared" si="11"/>
        <v>0.78779235458865549</v>
      </c>
      <c r="AR19" s="105">
        <f t="shared" si="11"/>
        <v>0.75376463014377371</v>
      </c>
      <c r="AS19" s="105">
        <f t="shared" si="11"/>
        <v>0.79946039258077839</v>
      </c>
      <c r="AT19" s="105">
        <f t="shared" si="11"/>
        <v>0.78100301534167127</v>
      </c>
      <c r="AU19" s="105">
        <f t="shared" si="11"/>
        <v>0.8137235562655627</v>
      </c>
      <c r="AV19" s="105">
        <f t="shared" si="11"/>
        <v>0.95211571787648286</v>
      </c>
      <c r="AW19" s="105">
        <f t="shared" si="11"/>
        <v>1.0872894462804936</v>
      </c>
      <c r="AX19" s="105">
        <f t="shared" si="11"/>
        <v>1.0872894462804936</v>
      </c>
      <c r="AY19" s="105">
        <f t="shared" si="11"/>
        <v>1.0872894462804936</v>
      </c>
      <c r="AZ19" s="105">
        <f t="shared" si="11"/>
        <v>1.0872894462804936</v>
      </c>
      <c r="BA19" s="105">
        <f t="shared" si="11"/>
        <v>1.0872894462804936</v>
      </c>
      <c r="BB19" s="105">
        <f t="shared" si="11"/>
        <v>1.0872894462804936</v>
      </c>
      <c r="BC19" s="105">
        <f t="shared" si="11"/>
        <v>1.0872894462804936</v>
      </c>
      <c r="BD19" s="105">
        <f t="shared" si="11"/>
        <v>1.0872894462804936</v>
      </c>
      <c r="BE19" s="105">
        <f t="shared" si="11"/>
        <v>1.0872894462804936</v>
      </c>
      <c r="BF19" s="105">
        <f t="shared" si="11"/>
        <v>1.0872894462804936</v>
      </c>
      <c r="BG19" s="105">
        <f t="shared" si="11"/>
        <v>1.0872894462804936</v>
      </c>
      <c r="BH19" s="105">
        <f t="shared" si="11"/>
        <v>0.88920569329660237</v>
      </c>
      <c r="BI19" s="105">
        <f t="shared" si="11"/>
        <v>0.88920569329660237</v>
      </c>
      <c r="BJ19" s="105">
        <f t="shared" si="11"/>
        <v>0.88920569329660237</v>
      </c>
      <c r="BK19" s="105">
        <f t="shared" si="11"/>
        <v>0.88920569329660237</v>
      </c>
      <c r="BL19" s="105">
        <f t="shared" si="11"/>
        <v>0.88920569329660237</v>
      </c>
      <c r="BM19" s="105">
        <f t="shared" si="11"/>
        <v>0.88920569329660237</v>
      </c>
      <c r="BN19" s="105">
        <f t="shared" si="11"/>
        <v>0.86484389348025703</v>
      </c>
      <c r="BO19" s="105">
        <f t="shared" si="11"/>
        <v>0.86484389348025703</v>
      </c>
      <c r="BP19" s="105">
        <f t="shared" si="11"/>
        <v>0.86484389348025703</v>
      </c>
      <c r="BQ19" s="105">
        <f t="shared" si="11"/>
        <v>0.86484389348025703</v>
      </c>
      <c r="BR19" s="105">
        <f t="shared" si="11"/>
        <v>0.77957759412304872</v>
      </c>
      <c r="BS19" s="105">
        <f t="shared" si="11"/>
        <v>0.77957759412304872</v>
      </c>
      <c r="BT19" s="105">
        <f t="shared" si="11"/>
        <v>0.77957759412304872</v>
      </c>
      <c r="BU19" s="105">
        <f t="shared" si="11"/>
        <v>0.96229109274563829</v>
      </c>
      <c r="BV19" s="105">
        <f t="shared" si="11"/>
        <v>0.96229109274563829</v>
      </c>
      <c r="BW19" s="105">
        <f t="shared" si="11"/>
        <v>0.96229109274563829</v>
      </c>
      <c r="BX19" s="105">
        <f t="shared" si="11"/>
        <v>0.96229109274563829</v>
      </c>
      <c r="BY19" s="105">
        <f t="shared" si="11"/>
        <v>0.96229109274563829</v>
      </c>
      <c r="BZ19" s="105">
        <f t="shared" si="11"/>
        <v>0.96229109274563829</v>
      </c>
      <c r="CA19" s="105">
        <f t="shared" si="11"/>
        <v>0.96229109274563829</v>
      </c>
      <c r="CB19" s="105">
        <f t="shared" si="11"/>
        <v>0.96229109274563829</v>
      </c>
      <c r="CC19" s="105">
        <f t="shared" si="11"/>
        <v>0.96229109274563829</v>
      </c>
      <c r="CD19" s="105">
        <f t="shared" si="11"/>
        <v>0.96229109274563829</v>
      </c>
      <c r="CE19" s="105">
        <f t="shared" si="11"/>
        <v>0.96229109274563829</v>
      </c>
      <c r="CF19" s="105">
        <f t="shared" si="11"/>
        <v>0.96229109274563829</v>
      </c>
      <c r="CG19" s="105">
        <f t="shared" si="11"/>
        <v>0.96229109274563829</v>
      </c>
      <c r="CH19" s="105">
        <f t="shared" si="11"/>
        <v>0.96229109274563829</v>
      </c>
      <c r="CI19" s="105">
        <f t="shared" si="11"/>
        <v>0.96229109274563829</v>
      </c>
      <c r="CJ19" s="105">
        <f t="shared" si="11"/>
        <v>0.88920569329660237</v>
      </c>
      <c r="CK19" s="105">
        <f t="shared" si="11"/>
        <v>0.73085399449035815</v>
      </c>
      <c r="CL19" s="105">
        <f t="shared" si="11"/>
        <v>0.73085399449035815</v>
      </c>
      <c r="CM19" s="105">
        <f t="shared" si="11"/>
        <v>0.73085399449035815</v>
      </c>
      <c r="CN19" s="105">
        <f t="shared" si="11"/>
        <v>0.73085399449035815</v>
      </c>
      <c r="CO19" s="105">
        <f t="shared" ref="CO19:DR19" si="12">CO14</f>
        <v>0.73085399449035815</v>
      </c>
      <c r="CP19" s="105">
        <f t="shared" si="12"/>
        <v>0.73085399449035815</v>
      </c>
      <c r="CQ19" s="105">
        <f t="shared" si="12"/>
        <v>0.73085399449035815</v>
      </c>
      <c r="CR19" s="105">
        <f t="shared" si="12"/>
        <v>0.73085399449035815</v>
      </c>
      <c r="CS19" s="105">
        <f t="shared" si="12"/>
        <v>0.73085399449035815</v>
      </c>
      <c r="CT19" s="105">
        <f t="shared" si="12"/>
        <v>0.73085399449035815</v>
      </c>
      <c r="CU19" s="105">
        <f t="shared" si="12"/>
        <v>0.73085399449035815</v>
      </c>
      <c r="CV19" s="105">
        <f t="shared" si="12"/>
        <v>0.73085399449035815</v>
      </c>
      <c r="CW19" s="105">
        <f t="shared" si="12"/>
        <v>0.73085399449035815</v>
      </c>
      <c r="CX19" s="105">
        <f t="shared" si="12"/>
        <v>0.73085399449035815</v>
      </c>
      <c r="CY19" s="105">
        <f t="shared" si="12"/>
        <v>0.73085399449035815</v>
      </c>
      <c r="CZ19" s="105">
        <f t="shared" si="12"/>
        <v>0.73085399449035815</v>
      </c>
      <c r="DA19" s="105">
        <f t="shared" si="12"/>
        <v>0.73085399449035815</v>
      </c>
      <c r="DB19" s="105">
        <f t="shared" si="12"/>
        <v>0.73085399449035815</v>
      </c>
      <c r="DC19" s="105">
        <f t="shared" si="12"/>
        <v>0.73085399449035815</v>
      </c>
      <c r="DD19" s="105">
        <f t="shared" si="12"/>
        <v>0.73085399449035815</v>
      </c>
      <c r="DE19" s="105">
        <f t="shared" si="12"/>
        <v>0.73085399449035815</v>
      </c>
      <c r="DF19" s="105">
        <f t="shared" si="12"/>
        <v>0.73085399449035815</v>
      </c>
      <c r="DG19" s="105">
        <f t="shared" si="12"/>
        <v>0.73085399449035815</v>
      </c>
      <c r="DH19" s="105">
        <f t="shared" si="12"/>
        <v>0.73085399449035815</v>
      </c>
      <c r="DI19" s="105">
        <f t="shared" si="12"/>
        <v>0.73085399449035815</v>
      </c>
      <c r="DJ19" s="105">
        <f t="shared" si="12"/>
        <v>0.73085399449035815</v>
      </c>
      <c r="DK19" s="105">
        <f t="shared" si="12"/>
        <v>0.73085399449035815</v>
      </c>
      <c r="DL19" s="105">
        <f t="shared" si="12"/>
        <v>0.73085399449035815</v>
      </c>
      <c r="DM19" s="105">
        <f t="shared" si="12"/>
        <v>0.73085399449035815</v>
      </c>
      <c r="DN19" s="105">
        <f t="shared" si="12"/>
        <v>0.73085399449035815</v>
      </c>
      <c r="DO19" s="105">
        <f t="shared" si="12"/>
        <v>0.73085399449035815</v>
      </c>
      <c r="DP19" s="105">
        <f t="shared" si="12"/>
        <v>0.73085399449035815</v>
      </c>
      <c r="DQ19" s="105">
        <f t="shared" si="12"/>
        <v>0.73085399449035815</v>
      </c>
      <c r="DR19" s="105">
        <f t="shared" si="12"/>
        <v>0.73085399449035815</v>
      </c>
    </row>
    <row r="20" spans="1:162" ht="15">
      <c r="A20"/>
      <c r="H20" s="60" t="s">
        <v>429</v>
      </c>
      <c r="I20" s="74"/>
      <c r="J20" s="74"/>
      <c r="K20" s="74"/>
      <c r="L20" s="74"/>
      <c r="M20" s="74"/>
      <c r="N20" s="74"/>
      <c r="O20" s="74"/>
      <c r="P20" s="74"/>
      <c r="Q20" s="74"/>
      <c r="R20" s="74"/>
      <c r="S20" s="74"/>
      <c r="T20" s="74"/>
      <c r="U20" s="74"/>
      <c r="V20" s="74"/>
      <c r="W20" s="74"/>
      <c r="X20" s="74"/>
      <c r="Y20" s="74"/>
      <c r="Z20" s="74"/>
      <c r="AA20" s="74"/>
      <c r="AB20" s="74"/>
      <c r="AC20" s="74"/>
      <c r="AD20" s="74"/>
      <c r="AE20" s="74"/>
      <c r="AF20" s="74"/>
      <c r="AG20" s="74"/>
      <c r="AH20" s="74"/>
      <c r="AI20" s="74"/>
      <c r="AK20" s="74"/>
      <c r="AL20" s="74"/>
      <c r="AM20" s="74"/>
      <c r="AN20" s="74"/>
      <c r="AO20" s="74"/>
      <c r="AP20" s="74"/>
      <c r="AQ20" s="74"/>
      <c r="AR20" s="74"/>
      <c r="AS20" s="74">
        <f>195/82</f>
        <v>2.3780487804878048</v>
      </c>
      <c r="AT20" s="74"/>
      <c r="AU20" s="74">
        <v>2.15</v>
      </c>
      <c r="AV20" s="74"/>
      <c r="AW20" s="74">
        <f>214/82</f>
        <v>2.6097560975609757</v>
      </c>
      <c r="AX20" s="74"/>
      <c r="AY20" s="74">
        <f>165/82</f>
        <v>2.0121951219512195</v>
      </c>
      <c r="AZ20" s="74"/>
      <c r="BA20" s="74"/>
      <c r="BB20" s="74"/>
      <c r="BC20" s="74"/>
      <c r="BD20" s="74"/>
      <c r="BE20" s="74"/>
      <c r="BF20" s="74"/>
      <c r="BG20" s="74">
        <f>163/82</f>
        <v>1.9878048780487805</v>
      </c>
      <c r="BH20" s="74"/>
      <c r="BI20" s="74"/>
      <c r="BJ20" s="74"/>
      <c r="BK20" s="74"/>
      <c r="BL20" s="74"/>
      <c r="BM20" s="74"/>
      <c r="BN20" s="74"/>
      <c r="BO20" s="74">
        <f>158/82</f>
        <v>1.9268292682926829</v>
      </c>
      <c r="BP20" s="74"/>
      <c r="BQ20" s="74"/>
      <c r="BR20" s="74"/>
      <c r="BS20" s="74"/>
      <c r="BT20" s="74"/>
      <c r="BU20" s="74"/>
      <c r="BV20" s="74"/>
      <c r="BW20" s="74">
        <v>1.8</v>
      </c>
      <c r="BX20" s="74"/>
      <c r="BY20" s="74"/>
      <c r="BZ20" s="74"/>
      <c r="CA20" s="74"/>
      <c r="CB20" s="74"/>
      <c r="CC20" s="74"/>
      <c r="CD20" s="74"/>
      <c r="CE20" s="74"/>
      <c r="CF20" s="74"/>
      <c r="CG20" s="74"/>
      <c r="CH20" s="74"/>
      <c r="CI20" s="74">
        <f>170/83.5</f>
        <v>2.0359281437125749</v>
      </c>
      <c r="CJ20" s="74"/>
      <c r="CK20" s="74"/>
      <c r="CL20" s="74"/>
      <c r="CM20" s="74"/>
      <c r="CN20" s="74"/>
      <c r="CO20" s="74">
        <f>165/83.5</f>
        <v>1.9760479041916168</v>
      </c>
      <c r="CP20" s="74"/>
      <c r="CQ20" s="74"/>
      <c r="CR20" s="74"/>
      <c r="CZ20" s="74">
        <f>162/83.5</f>
        <v>1.9401197604790419</v>
      </c>
    </row>
    <row r="21" spans="1:162">
      <c r="H21" s="60" t="s">
        <v>837</v>
      </c>
      <c r="I21" s="74"/>
      <c r="J21" s="74"/>
      <c r="K21" s="74"/>
      <c r="L21" s="74"/>
      <c r="M21" s="74"/>
      <c r="N21" s="74"/>
      <c r="O21" s="74"/>
      <c r="P21" s="74"/>
      <c r="Q21" s="74"/>
      <c r="R21" s="74"/>
      <c r="S21" s="74"/>
      <c r="T21" s="74"/>
      <c r="U21" s="74"/>
      <c r="V21" s="74"/>
      <c r="W21" s="74"/>
      <c r="X21" s="74"/>
      <c r="Y21" s="74"/>
      <c r="Z21" s="74"/>
      <c r="AA21" s="74"/>
      <c r="AB21" s="74"/>
      <c r="AC21" s="74"/>
      <c r="AD21" s="74"/>
      <c r="AE21" s="74"/>
      <c r="AF21" s="74"/>
      <c r="AG21" s="74"/>
      <c r="AH21" s="74"/>
      <c r="AI21" s="74"/>
      <c r="AK21" s="74"/>
      <c r="AL21" s="74"/>
      <c r="AM21" s="74"/>
      <c r="AN21" s="74"/>
      <c r="AO21" s="74"/>
      <c r="AP21" s="74"/>
      <c r="AQ21" s="74"/>
      <c r="AR21" s="74"/>
      <c r="AS21" s="74">
        <f>AS20-AS18</f>
        <v>1.1229339962821114</v>
      </c>
      <c r="AT21" s="74"/>
      <c r="AU21" s="74">
        <f>AU20-AU18</f>
        <v>0.66558539944903572</v>
      </c>
      <c r="AV21" s="74"/>
      <c r="AW21" s="74">
        <f>AW20-AW18</f>
        <v>1.1675809368630876</v>
      </c>
      <c r="AX21" s="74"/>
      <c r="AY21" s="74">
        <f>AY20-AY18</f>
        <v>0.59415678402651784</v>
      </c>
      <c r="AZ21" s="74"/>
      <c r="BA21" s="74"/>
      <c r="BB21" s="74"/>
      <c r="BC21" s="74"/>
      <c r="BD21" s="74"/>
      <c r="BE21" s="74"/>
      <c r="BF21" s="74"/>
      <c r="BG21" s="74">
        <f>BG20-BG18</f>
        <v>0.75079271092297706</v>
      </c>
      <c r="BH21" s="74"/>
      <c r="BI21" s="74"/>
      <c r="BJ21" s="74"/>
      <c r="BK21" s="74"/>
      <c r="BL21" s="74"/>
      <c r="BM21" s="74"/>
      <c r="BN21" s="74"/>
      <c r="BO21" s="74">
        <f>BO20-BO18</f>
        <v>0.47861990190149828</v>
      </c>
      <c r="BP21" s="74"/>
      <c r="BQ21" s="74"/>
      <c r="BR21" s="74"/>
      <c r="BS21" s="74"/>
      <c r="BT21" s="74"/>
      <c r="BU21" s="74"/>
      <c r="BV21" s="74"/>
      <c r="BW21" s="74">
        <f>BW20-BW18</f>
        <v>0.44230371900826437</v>
      </c>
      <c r="BX21" s="74"/>
      <c r="BY21" s="74"/>
      <c r="BZ21" s="74"/>
      <c r="CA21" s="74"/>
      <c r="CB21" s="74"/>
      <c r="CC21" s="74"/>
      <c r="CD21" s="74"/>
      <c r="CE21" s="74"/>
      <c r="CF21" s="74"/>
      <c r="CG21" s="74"/>
      <c r="CH21" s="74"/>
      <c r="CI21" s="74">
        <f>CI20-CI18</f>
        <v>0.70840289118732214</v>
      </c>
      <c r="CJ21" s="74"/>
      <c r="CK21" s="74"/>
      <c r="CL21" s="74"/>
      <c r="CM21" s="74"/>
      <c r="CN21" s="74"/>
      <c r="CO21" s="74">
        <f>CO20-CO18</f>
        <v>0.58818059473339823</v>
      </c>
      <c r="CP21" s="74"/>
      <c r="CQ21" s="74"/>
      <c r="CR21" s="74"/>
      <c r="CZ21" s="74">
        <f>CZ20-CZ18</f>
        <v>0.8539627356856534</v>
      </c>
    </row>
    <row r="22" spans="1:162">
      <c r="H22" s="60" t="s">
        <v>838</v>
      </c>
      <c r="AS22" s="65">
        <f>AS20-AS19</f>
        <v>1.5785883879070264</v>
      </c>
      <c r="AU22" s="65">
        <f>AU20-AU19</f>
        <v>1.3362764437344372</v>
      </c>
      <c r="AW22" s="65">
        <f>AW20-AW19</f>
        <v>1.5224666512804821</v>
      </c>
      <c r="AY22" s="65">
        <f>AY20-AY19</f>
        <v>0.9249056756707259</v>
      </c>
      <c r="BG22" s="65">
        <f>BG20-BG19</f>
        <v>0.90051543176828686</v>
      </c>
      <c r="BO22" s="65">
        <f>BO20-BO19</f>
        <v>1.0619853748124259</v>
      </c>
      <c r="BW22" s="65">
        <f>BW20-BW19</f>
        <v>0.83770890725436176</v>
      </c>
      <c r="CI22" s="65">
        <f>CI20-CI19</f>
        <v>1.0736370509669366</v>
      </c>
      <c r="CO22" s="65">
        <f>CO20-CO19</f>
        <v>1.2451939097012588</v>
      </c>
      <c r="CZ22" s="65">
        <f>CZ20-CZ19</f>
        <v>1.2092657659886838</v>
      </c>
    </row>
    <row r="23" spans="1:162" ht="13" thickBot="1"/>
    <row r="24" spans="1:162" s="73" customFormat="1" ht="13" thickBot="1">
      <c r="H24" s="257" t="s">
        <v>839</v>
      </c>
      <c r="I24" s="258">
        <f>+I18</f>
        <v>0</v>
      </c>
      <c r="J24" s="258">
        <f t="shared" ref="J24:AA24" si="13">+J18</f>
        <v>0</v>
      </c>
      <c r="K24" s="258">
        <f t="shared" si="13"/>
        <v>0</v>
      </c>
      <c r="L24" s="258">
        <f t="shared" si="13"/>
        <v>0</v>
      </c>
      <c r="M24" s="258">
        <f t="shared" si="13"/>
        <v>0</v>
      </c>
      <c r="N24" s="258">
        <f t="shared" si="13"/>
        <v>0</v>
      </c>
      <c r="O24" s="258">
        <f t="shared" si="13"/>
        <v>0</v>
      </c>
      <c r="P24" s="258">
        <f t="shared" si="13"/>
        <v>0</v>
      </c>
      <c r="Q24" s="258">
        <f t="shared" si="13"/>
        <v>0</v>
      </c>
      <c r="R24" s="258">
        <f t="shared" si="13"/>
        <v>0</v>
      </c>
      <c r="S24" s="258">
        <f t="shared" si="13"/>
        <v>0</v>
      </c>
      <c r="T24" s="258">
        <f t="shared" si="13"/>
        <v>0</v>
      </c>
      <c r="U24" s="258">
        <f t="shared" si="13"/>
        <v>0</v>
      </c>
      <c r="V24" s="258">
        <f t="shared" si="13"/>
        <v>0</v>
      </c>
      <c r="W24" s="258">
        <f t="shared" si="13"/>
        <v>0</v>
      </c>
      <c r="X24" s="258">
        <f t="shared" si="13"/>
        <v>0</v>
      </c>
      <c r="Y24" s="258">
        <f t="shared" si="13"/>
        <v>0</v>
      </c>
      <c r="Z24" s="258">
        <f t="shared" si="13"/>
        <v>0</v>
      </c>
      <c r="AA24" s="258">
        <f t="shared" si="13"/>
        <v>0</v>
      </c>
      <c r="AB24" s="258">
        <f>0.44+AB18</f>
        <v>1.9500599747474747</v>
      </c>
      <c r="AC24" s="258">
        <f t="shared" ref="AC24:CN24" si="14">0.44+AC18</f>
        <v>1.9244146005509641</v>
      </c>
      <c r="AD24" s="258">
        <f t="shared" si="14"/>
        <v>2.0179447887970619</v>
      </c>
      <c r="AE24" s="258">
        <f t="shared" si="14"/>
        <v>2.0390645087235999</v>
      </c>
      <c r="AF24" s="258">
        <f t="shared" si="14"/>
        <v>2.010402031680441</v>
      </c>
      <c r="AG24" s="258">
        <f t="shared" si="14"/>
        <v>1.9787224517906334</v>
      </c>
      <c r="AH24" s="258">
        <f t="shared" si="14"/>
        <v>1.9988368730486683</v>
      </c>
      <c r="AI24" s="258">
        <f t="shared" si="14"/>
        <v>2.0632013314967863</v>
      </c>
      <c r="AJ24" s="258">
        <f t="shared" si="14"/>
        <v>2.0994065656565657</v>
      </c>
      <c r="AK24" s="258">
        <f t="shared" si="14"/>
        <v>2.1446631083562906</v>
      </c>
      <c r="AL24" s="258">
        <f t="shared" si="14"/>
        <v>2.0185482093663913</v>
      </c>
      <c r="AM24" s="258">
        <f t="shared" si="14"/>
        <v>1.9274317033976125</v>
      </c>
      <c r="AN24" s="258">
        <f t="shared" si="14"/>
        <v>1.8387288797061525</v>
      </c>
      <c r="AO24" s="258">
        <f t="shared" si="14"/>
        <v>1.7448969811753903</v>
      </c>
      <c r="AP24" s="258">
        <f t="shared" si="14"/>
        <v>1.7056746441689625</v>
      </c>
      <c r="AQ24" s="258">
        <f t="shared" si="14"/>
        <v>1.6951147842056933</v>
      </c>
      <c r="AR24" s="258">
        <f t="shared" si="14"/>
        <v>1.6951147842056933</v>
      </c>
      <c r="AS24" s="258">
        <f t="shared" si="14"/>
        <v>1.6951147842056933</v>
      </c>
      <c r="AT24" s="258">
        <f t="shared" si="14"/>
        <v>1.7871364210284664</v>
      </c>
      <c r="AU24" s="258">
        <f t="shared" si="14"/>
        <v>1.9244146005509641</v>
      </c>
      <c r="AV24" s="258">
        <f t="shared" si="14"/>
        <v>1.9485514233241505</v>
      </c>
      <c r="AW24" s="258">
        <f t="shared" si="14"/>
        <v>1.882175160697888</v>
      </c>
      <c r="AX24" s="258">
        <f t="shared" si="14"/>
        <v>1.8580383379247016</v>
      </c>
      <c r="AY24" s="258">
        <f t="shared" si="14"/>
        <v>1.8580383379247016</v>
      </c>
      <c r="AZ24" s="258">
        <f t="shared" si="14"/>
        <v>1.8580383379247016</v>
      </c>
      <c r="BA24" s="258">
        <f t="shared" si="14"/>
        <v>1.7976962809917356</v>
      </c>
      <c r="BB24" s="258">
        <f t="shared" si="14"/>
        <v>1.7976962809917356</v>
      </c>
      <c r="BC24" s="258">
        <f t="shared" si="14"/>
        <v>1.6468411386593205</v>
      </c>
      <c r="BD24" s="258">
        <f t="shared" si="14"/>
        <v>1.6468411386593205</v>
      </c>
      <c r="BE24" s="258">
        <f t="shared" si="14"/>
        <v>1.6468411386593205</v>
      </c>
      <c r="BF24" s="258">
        <f t="shared" si="14"/>
        <v>1.6468411386593205</v>
      </c>
      <c r="BG24" s="258">
        <f t="shared" si="14"/>
        <v>1.6770121671258034</v>
      </c>
      <c r="BH24" s="258">
        <f t="shared" si="14"/>
        <v>1.6770121671258034</v>
      </c>
      <c r="BI24" s="258">
        <f t="shared" si="14"/>
        <v>1.9183803948576676</v>
      </c>
      <c r="BJ24" s="258">
        <f t="shared" si="14"/>
        <v>1.9183803948576676</v>
      </c>
      <c r="BK24" s="258">
        <f t="shared" si="14"/>
        <v>1.8882093663911845</v>
      </c>
      <c r="BL24" s="258">
        <f t="shared" si="14"/>
        <v>1.8882093663911845</v>
      </c>
      <c r="BM24" s="258">
        <f t="shared" si="14"/>
        <v>1.8882093663911845</v>
      </c>
      <c r="BN24" s="258">
        <f t="shared" si="14"/>
        <v>1.8882093663911845</v>
      </c>
      <c r="BO24" s="258">
        <f t="shared" si="14"/>
        <v>1.8882093663911845</v>
      </c>
      <c r="BP24" s="258">
        <f t="shared" si="14"/>
        <v>1.8278673094582185</v>
      </c>
      <c r="BQ24" s="258">
        <f t="shared" si="14"/>
        <v>1.8278673094582185</v>
      </c>
      <c r="BR24" s="258">
        <f t="shared" si="14"/>
        <v>1.7976962809917356</v>
      </c>
      <c r="BS24" s="258">
        <f t="shared" si="14"/>
        <v>1.7976962809917356</v>
      </c>
      <c r="BT24" s="258">
        <f t="shared" si="14"/>
        <v>1.7976962809917356</v>
      </c>
      <c r="BU24" s="258">
        <f t="shared" si="14"/>
        <v>1.7976962809917356</v>
      </c>
      <c r="BV24" s="258">
        <f t="shared" si="14"/>
        <v>1.7976962809917356</v>
      </c>
      <c r="BW24" s="258">
        <f t="shared" si="14"/>
        <v>1.7976962809917356</v>
      </c>
      <c r="BX24" s="258">
        <f t="shared" si="14"/>
        <v>1.7976962809917356</v>
      </c>
      <c r="BY24" s="258">
        <f t="shared" si="14"/>
        <v>1.7976962809917356</v>
      </c>
      <c r="BZ24" s="258">
        <f t="shared" si="14"/>
        <v>1.7976962809917356</v>
      </c>
      <c r="CA24" s="258">
        <f t="shared" si="14"/>
        <v>1.7976962809917356</v>
      </c>
      <c r="CB24" s="258">
        <f t="shared" si="14"/>
        <v>1.7976962809917356</v>
      </c>
      <c r="CC24" s="258">
        <f t="shared" si="14"/>
        <v>1.7976962809917356</v>
      </c>
      <c r="CD24" s="258">
        <f t="shared" si="14"/>
        <v>1.7071831955922865</v>
      </c>
      <c r="CE24" s="258">
        <f t="shared" si="14"/>
        <v>1.7071831955922865</v>
      </c>
      <c r="CF24" s="258">
        <f t="shared" si="14"/>
        <v>1.7071831955922865</v>
      </c>
      <c r="CG24" s="258">
        <f t="shared" si="14"/>
        <v>1.7071831955922865</v>
      </c>
      <c r="CH24" s="258">
        <f t="shared" si="14"/>
        <v>1.7675252525252527</v>
      </c>
      <c r="CI24" s="258">
        <f t="shared" si="14"/>
        <v>1.7675252525252527</v>
      </c>
      <c r="CJ24" s="258">
        <f t="shared" si="14"/>
        <v>1.7675252525252527</v>
      </c>
      <c r="CK24" s="258">
        <f t="shared" si="14"/>
        <v>1.8278673094582185</v>
      </c>
      <c r="CL24" s="258">
        <f t="shared" si="14"/>
        <v>1.8278673094582185</v>
      </c>
      <c r="CM24" s="258">
        <f t="shared" si="14"/>
        <v>1.8278673094582185</v>
      </c>
      <c r="CN24" s="258">
        <f t="shared" si="14"/>
        <v>1.8278673094582185</v>
      </c>
      <c r="CO24" s="258">
        <f t="shared" ref="CO24:CZ24" si="15">0.44+CO18</f>
        <v>1.8278673094582185</v>
      </c>
      <c r="CP24" s="258">
        <f t="shared" si="15"/>
        <v>1.8278673094582185</v>
      </c>
      <c r="CQ24" s="258">
        <f t="shared" si="15"/>
        <v>1.8278673094582185</v>
      </c>
      <c r="CR24" s="258">
        <f t="shared" si="15"/>
        <v>1.8278673094582185</v>
      </c>
      <c r="CS24" s="258">
        <f t="shared" si="15"/>
        <v>1.7675252525252527</v>
      </c>
      <c r="CT24" s="258">
        <f t="shared" si="15"/>
        <v>1.7373542240587694</v>
      </c>
      <c r="CU24" s="258">
        <f t="shared" si="15"/>
        <v>1.7373542240587694</v>
      </c>
      <c r="CV24" s="258">
        <f t="shared" si="15"/>
        <v>1.7373542240587694</v>
      </c>
      <c r="CW24" s="258">
        <f t="shared" si="15"/>
        <v>1.5261570247933884</v>
      </c>
      <c r="CX24" s="258">
        <f t="shared" si="15"/>
        <v>1.5261570247933884</v>
      </c>
      <c r="CY24" s="258">
        <f t="shared" si="15"/>
        <v>1.5261570247933884</v>
      </c>
      <c r="CZ24" s="258">
        <f t="shared" si="15"/>
        <v>1.5261570247933884</v>
      </c>
      <c r="DA24" s="258">
        <f>0.44+DA18</f>
        <v>1.5261570247933884</v>
      </c>
      <c r="DB24" s="258">
        <f t="shared" ref="DB24:FF24" si="16">0.44+DB18</f>
        <v>1.4658149678604224</v>
      </c>
      <c r="DC24" s="258">
        <f t="shared" si="16"/>
        <v>1.4658149678604224</v>
      </c>
      <c r="DD24" s="258">
        <f t="shared" si="16"/>
        <v>1.4658149678604224</v>
      </c>
      <c r="DE24" s="258">
        <f t="shared" si="16"/>
        <v>1.4658149678604224</v>
      </c>
      <c r="DF24" s="258">
        <f t="shared" si="16"/>
        <v>1.4658149678604224</v>
      </c>
      <c r="DG24" s="258">
        <f t="shared" si="16"/>
        <v>1.4658149678604224</v>
      </c>
      <c r="DH24" s="258">
        <f t="shared" si="16"/>
        <v>1.4658149678604224</v>
      </c>
      <c r="DI24" s="258">
        <f t="shared" si="16"/>
        <v>1.4658149678604224</v>
      </c>
      <c r="DJ24" s="258">
        <f t="shared" si="16"/>
        <v>1.4658149678604224</v>
      </c>
      <c r="DK24" s="258">
        <f t="shared" si="16"/>
        <v>1.4658149678604224</v>
      </c>
      <c r="DL24" s="258">
        <f t="shared" si="16"/>
        <v>1.4054729109274564</v>
      </c>
      <c r="DM24" s="258">
        <f t="shared" si="16"/>
        <v>1.4054729109274564</v>
      </c>
      <c r="DN24" s="258">
        <f t="shared" si="16"/>
        <v>1.4054729109274564</v>
      </c>
      <c r="DO24" s="258">
        <f t="shared" si="16"/>
        <v>1.4054729109274564</v>
      </c>
      <c r="DP24" s="258">
        <f t="shared" si="16"/>
        <v>1.4054729109274564</v>
      </c>
      <c r="DQ24" s="258">
        <f t="shared" si="16"/>
        <v>1.4054729109274564</v>
      </c>
      <c r="DR24" s="258">
        <f>0.44+DR18</f>
        <v>1.2546177685950415</v>
      </c>
      <c r="DS24" s="258">
        <f t="shared" si="16"/>
        <v>1.2546177685950415</v>
      </c>
      <c r="DT24" s="258">
        <f t="shared" si="16"/>
        <v>0.44</v>
      </c>
      <c r="DU24" s="258">
        <f t="shared" si="16"/>
        <v>0.44</v>
      </c>
      <c r="DV24" s="258">
        <f t="shared" si="16"/>
        <v>0.44</v>
      </c>
      <c r="DW24" s="258">
        <f t="shared" si="16"/>
        <v>0.44</v>
      </c>
      <c r="DX24" s="258">
        <f t="shared" si="16"/>
        <v>0.44</v>
      </c>
      <c r="DY24" s="258">
        <f t="shared" si="16"/>
        <v>0.44</v>
      </c>
      <c r="DZ24" s="258">
        <f t="shared" si="16"/>
        <v>0.44</v>
      </c>
      <c r="EA24" s="258">
        <f t="shared" si="16"/>
        <v>0.44</v>
      </c>
      <c r="EB24" s="258">
        <f t="shared" si="16"/>
        <v>0.44</v>
      </c>
      <c r="EC24" s="258">
        <f t="shared" si="16"/>
        <v>0.44</v>
      </c>
      <c r="ED24" s="258">
        <f t="shared" si="16"/>
        <v>0.44</v>
      </c>
      <c r="EE24" s="258">
        <f t="shared" si="16"/>
        <v>0.44</v>
      </c>
      <c r="EF24" s="258">
        <f t="shared" si="16"/>
        <v>0.44</v>
      </c>
      <c r="EG24" s="258">
        <f t="shared" si="16"/>
        <v>0.44</v>
      </c>
      <c r="EH24" s="258">
        <f t="shared" si="16"/>
        <v>0.44</v>
      </c>
      <c r="EI24" s="258">
        <f t="shared" si="16"/>
        <v>0.44</v>
      </c>
      <c r="EJ24" s="258">
        <f t="shared" si="16"/>
        <v>0.44</v>
      </c>
      <c r="EK24" s="258">
        <f t="shared" si="16"/>
        <v>0.44</v>
      </c>
      <c r="EL24" s="258">
        <f t="shared" si="16"/>
        <v>0.44</v>
      </c>
      <c r="EM24" s="258">
        <f t="shared" si="16"/>
        <v>0.44</v>
      </c>
      <c r="EN24" s="258">
        <f t="shared" si="16"/>
        <v>0.44</v>
      </c>
      <c r="EO24" s="258">
        <f t="shared" si="16"/>
        <v>0.44</v>
      </c>
      <c r="EP24" s="258">
        <f t="shared" si="16"/>
        <v>0.44</v>
      </c>
      <c r="EQ24" s="258">
        <f t="shared" si="16"/>
        <v>0.44</v>
      </c>
      <c r="ER24" s="258">
        <f t="shared" si="16"/>
        <v>0.44</v>
      </c>
      <c r="ES24" s="258">
        <f t="shared" si="16"/>
        <v>0.44</v>
      </c>
      <c r="ET24" s="258">
        <f t="shared" si="16"/>
        <v>0.44</v>
      </c>
      <c r="EU24" s="258">
        <f t="shared" si="16"/>
        <v>0.44</v>
      </c>
      <c r="EV24" s="258">
        <f t="shared" si="16"/>
        <v>0.44</v>
      </c>
      <c r="EW24" s="258">
        <f t="shared" si="16"/>
        <v>0.44</v>
      </c>
      <c r="EX24" s="258">
        <f t="shared" si="16"/>
        <v>0.44</v>
      </c>
      <c r="EY24" s="258">
        <f t="shared" si="16"/>
        <v>0.44</v>
      </c>
      <c r="EZ24" s="258">
        <f t="shared" si="16"/>
        <v>0.44</v>
      </c>
      <c r="FA24" s="258">
        <f t="shared" si="16"/>
        <v>0.44</v>
      </c>
      <c r="FB24" s="258">
        <f t="shared" si="16"/>
        <v>0.44</v>
      </c>
      <c r="FC24" s="258">
        <f t="shared" si="16"/>
        <v>0.44</v>
      </c>
      <c r="FD24" s="258">
        <f t="shared" si="16"/>
        <v>0.44</v>
      </c>
      <c r="FE24" s="258">
        <f t="shared" si="16"/>
        <v>0.44</v>
      </c>
      <c r="FF24" s="258">
        <f t="shared" si="16"/>
        <v>0.44</v>
      </c>
    </row>
    <row r="25" spans="1:162" ht="13" thickBot="1">
      <c r="H25" s="257" t="s">
        <v>840</v>
      </c>
      <c r="AB25" s="65"/>
      <c r="AC25" s="65"/>
      <c r="AD25" s="65"/>
      <c r="AE25" s="65"/>
      <c r="AF25" s="65"/>
      <c r="AG25" s="65">
        <f t="shared" ref="AG25:CN25" si="17">0.84+AG19</f>
        <v>1.7149102096882585</v>
      </c>
      <c r="AH25" s="65">
        <f t="shared" si="17"/>
        <v>1.6044039673088619</v>
      </c>
      <c r="AI25" s="65">
        <f t="shared" si="17"/>
        <v>1.5685404033864065</v>
      </c>
      <c r="AJ25" s="65">
        <f t="shared" si="17"/>
        <v>1.6448705083085629</v>
      </c>
      <c r="AK25" s="65">
        <f t="shared" si="17"/>
        <v>1.6680057140649327</v>
      </c>
      <c r="AL25" s="65">
        <f t="shared" si="17"/>
        <v>1.5990422167689624</v>
      </c>
      <c r="AM25" s="65">
        <f t="shared" si="17"/>
        <v>1.654007717865249</v>
      </c>
      <c r="AN25" s="65">
        <f t="shared" si="17"/>
        <v>1.6906978353860227</v>
      </c>
      <c r="AO25" s="65">
        <f t="shared" si="17"/>
        <v>1.666341508643733</v>
      </c>
      <c r="AP25" s="65">
        <f t="shared" si="17"/>
        <v>1.6317047629823795</v>
      </c>
      <c r="AQ25" s="65">
        <f t="shared" si="17"/>
        <v>1.6277923545886555</v>
      </c>
      <c r="AR25" s="65">
        <f t="shared" si="17"/>
        <v>1.5937646301437738</v>
      </c>
      <c r="AS25" s="65">
        <f t="shared" si="17"/>
        <v>1.6394603925807782</v>
      </c>
      <c r="AT25" s="65">
        <f t="shared" si="17"/>
        <v>1.6210030153416712</v>
      </c>
      <c r="AU25" s="65">
        <f t="shared" si="17"/>
        <v>1.6537235562655628</v>
      </c>
      <c r="AV25" s="65">
        <f t="shared" si="17"/>
        <v>1.7921157178764828</v>
      </c>
      <c r="AW25" s="65">
        <f t="shared" si="17"/>
        <v>1.9272894462804935</v>
      </c>
      <c r="AX25" s="65">
        <f t="shared" si="17"/>
        <v>1.9272894462804935</v>
      </c>
      <c r="AY25" s="65">
        <f t="shared" si="17"/>
        <v>1.9272894462804935</v>
      </c>
      <c r="AZ25" s="65">
        <f t="shared" si="17"/>
        <v>1.9272894462804935</v>
      </c>
      <c r="BA25" s="65">
        <f t="shared" si="17"/>
        <v>1.9272894462804935</v>
      </c>
      <c r="BB25" s="65">
        <f t="shared" si="17"/>
        <v>1.9272894462804935</v>
      </c>
      <c r="BC25" s="65">
        <f t="shared" si="17"/>
        <v>1.9272894462804935</v>
      </c>
      <c r="BD25" s="65">
        <f t="shared" si="17"/>
        <v>1.9272894462804935</v>
      </c>
      <c r="BE25" s="65">
        <f t="shared" si="17"/>
        <v>1.9272894462804935</v>
      </c>
      <c r="BF25" s="65">
        <f t="shared" si="17"/>
        <v>1.9272894462804935</v>
      </c>
      <c r="BG25" s="65">
        <f t="shared" si="17"/>
        <v>1.9272894462804935</v>
      </c>
      <c r="BH25" s="65">
        <f t="shared" si="17"/>
        <v>1.7292056932966022</v>
      </c>
      <c r="BI25" s="65">
        <f t="shared" si="17"/>
        <v>1.7292056932966022</v>
      </c>
      <c r="BJ25" s="65">
        <f t="shared" si="17"/>
        <v>1.7292056932966022</v>
      </c>
      <c r="BK25" s="65">
        <f t="shared" si="17"/>
        <v>1.7292056932966022</v>
      </c>
      <c r="BL25" s="65">
        <f t="shared" si="17"/>
        <v>1.7292056932966022</v>
      </c>
      <c r="BM25" s="65">
        <f t="shared" si="17"/>
        <v>1.7292056932966022</v>
      </c>
      <c r="BN25" s="65">
        <f t="shared" si="17"/>
        <v>1.704843893480257</v>
      </c>
      <c r="BO25" s="65">
        <f t="shared" si="17"/>
        <v>1.704843893480257</v>
      </c>
      <c r="BP25" s="65">
        <f t="shared" si="17"/>
        <v>1.704843893480257</v>
      </c>
      <c r="BQ25" s="65">
        <f t="shared" si="17"/>
        <v>1.704843893480257</v>
      </c>
      <c r="BR25" s="65">
        <f t="shared" si="17"/>
        <v>1.6195775941230486</v>
      </c>
      <c r="BS25" s="65">
        <f t="shared" si="17"/>
        <v>1.6195775941230486</v>
      </c>
      <c r="BT25" s="65">
        <f t="shared" si="17"/>
        <v>1.6195775941230486</v>
      </c>
      <c r="BU25" s="65">
        <f t="shared" si="17"/>
        <v>1.8022910927456381</v>
      </c>
      <c r="BV25" s="65">
        <f t="shared" si="17"/>
        <v>1.8022910927456381</v>
      </c>
      <c r="BW25" s="65">
        <f t="shared" si="17"/>
        <v>1.8022910927456381</v>
      </c>
      <c r="BX25" s="65">
        <f t="shared" si="17"/>
        <v>1.8022910927456381</v>
      </c>
      <c r="BY25" s="65">
        <f t="shared" si="17"/>
        <v>1.8022910927456381</v>
      </c>
      <c r="BZ25" s="65">
        <f t="shared" si="17"/>
        <v>1.8022910927456381</v>
      </c>
      <c r="CA25" s="65">
        <f t="shared" si="17"/>
        <v>1.8022910927456381</v>
      </c>
      <c r="CB25" s="65">
        <f t="shared" si="17"/>
        <v>1.8022910927456381</v>
      </c>
      <c r="CC25" s="65">
        <f t="shared" si="17"/>
        <v>1.8022910927456381</v>
      </c>
      <c r="CD25" s="65">
        <f t="shared" si="17"/>
        <v>1.8022910927456381</v>
      </c>
      <c r="CE25" s="65">
        <f t="shared" si="17"/>
        <v>1.8022910927456381</v>
      </c>
      <c r="CF25" s="65">
        <f t="shared" si="17"/>
        <v>1.8022910927456381</v>
      </c>
      <c r="CG25" s="65">
        <f t="shared" si="17"/>
        <v>1.8022910927456381</v>
      </c>
      <c r="CH25" s="65">
        <f t="shared" si="17"/>
        <v>1.8022910927456381</v>
      </c>
      <c r="CI25" s="65">
        <f t="shared" si="17"/>
        <v>1.8022910927456381</v>
      </c>
      <c r="CJ25" s="65">
        <f t="shared" si="17"/>
        <v>1.7292056932966022</v>
      </c>
      <c r="CK25" s="65">
        <f t="shared" si="17"/>
        <v>1.5708539944903581</v>
      </c>
      <c r="CL25" s="65">
        <f t="shared" si="17"/>
        <v>1.5708539944903581</v>
      </c>
      <c r="CM25" s="65">
        <f t="shared" si="17"/>
        <v>1.5708539944903581</v>
      </c>
      <c r="CN25" s="65">
        <f t="shared" si="17"/>
        <v>1.5708539944903581</v>
      </c>
      <c r="CO25" s="65">
        <f t="shared" ref="CO25:EZ25" si="18">0.84+CO19</f>
        <v>1.5708539944903581</v>
      </c>
      <c r="CP25" s="65">
        <f t="shared" si="18"/>
        <v>1.5708539944903581</v>
      </c>
      <c r="CQ25" s="65">
        <f t="shared" si="18"/>
        <v>1.5708539944903581</v>
      </c>
      <c r="CR25" s="65">
        <f t="shared" si="18"/>
        <v>1.5708539944903581</v>
      </c>
      <c r="CS25" s="65">
        <f t="shared" si="18"/>
        <v>1.5708539944903581</v>
      </c>
      <c r="CT25" s="65">
        <f t="shared" si="18"/>
        <v>1.5708539944903581</v>
      </c>
      <c r="CU25" s="65">
        <f t="shared" si="18"/>
        <v>1.5708539944903581</v>
      </c>
      <c r="CV25" s="65">
        <f t="shared" si="18"/>
        <v>1.5708539944903581</v>
      </c>
      <c r="CW25" s="65">
        <f t="shared" si="18"/>
        <v>1.5708539944903581</v>
      </c>
      <c r="CX25" s="65">
        <f t="shared" si="18"/>
        <v>1.5708539944903581</v>
      </c>
      <c r="CY25" s="65">
        <f t="shared" si="18"/>
        <v>1.5708539944903581</v>
      </c>
      <c r="CZ25" s="65">
        <f t="shared" si="18"/>
        <v>1.5708539944903581</v>
      </c>
      <c r="DA25" s="65">
        <f t="shared" si="18"/>
        <v>1.5708539944903581</v>
      </c>
      <c r="DB25" s="65">
        <f t="shared" si="18"/>
        <v>1.5708539944903581</v>
      </c>
      <c r="DC25" s="65">
        <f t="shared" si="18"/>
        <v>1.5708539944903581</v>
      </c>
      <c r="DD25" s="65">
        <f t="shared" si="18"/>
        <v>1.5708539944903581</v>
      </c>
      <c r="DE25" s="65">
        <f t="shared" si="18"/>
        <v>1.5708539944903581</v>
      </c>
      <c r="DF25" s="65">
        <f t="shared" si="18"/>
        <v>1.5708539944903581</v>
      </c>
      <c r="DG25" s="65">
        <f t="shared" si="18"/>
        <v>1.5708539944903581</v>
      </c>
      <c r="DH25" s="65">
        <f t="shared" si="18"/>
        <v>1.5708539944903581</v>
      </c>
      <c r="DI25" s="65">
        <f t="shared" si="18"/>
        <v>1.5708539944903581</v>
      </c>
      <c r="DJ25" s="65">
        <f t="shared" si="18"/>
        <v>1.5708539944903581</v>
      </c>
      <c r="DK25" s="65">
        <f t="shared" si="18"/>
        <v>1.5708539944903581</v>
      </c>
      <c r="DL25" s="65">
        <f t="shared" si="18"/>
        <v>1.5708539944903581</v>
      </c>
      <c r="DM25" s="65">
        <f t="shared" si="18"/>
        <v>1.5708539944903581</v>
      </c>
      <c r="DN25" s="65">
        <f t="shared" si="18"/>
        <v>1.5708539944903581</v>
      </c>
      <c r="DO25" s="65">
        <f t="shared" si="18"/>
        <v>1.5708539944903581</v>
      </c>
      <c r="DP25" s="65">
        <f t="shared" si="18"/>
        <v>1.5708539944903581</v>
      </c>
      <c r="DQ25" s="65">
        <f t="shared" si="18"/>
        <v>1.5708539944903581</v>
      </c>
      <c r="DR25" s="65">
        <f t="shared" si="18"/>
        <v>1.5708539944903581</v>
      </c>
      <c r="DS25" s="65">
        <f t="shared" si="18"/>
        <v>0.84</v>
      </c>
      <c r="DT25" s="65">
        <f t="shared" si="18"/>
        <v>0.84</v>
      </c>
      <c r="DU25" s="65">
        <f t="shared" si="18"/>
        <v>0.84</v>
      </c>
      <c r="DV25" s="65">
        <f t="shared" si="18"/>
        <v>0.84</v>
      </c>
      <c r="DW25" s="65">
        <f t="shared" si="18"/>
        <v>0.84</v>
      </c>
      <c r="DX25" s="65">
        <f t="shared" si="18"/>
        <v>0.84</v>
      </c>
      <c r="DY25" s="65">
        <f t="shared" si="18"/>
        <v>0.84</v>
      </c>
      <c r="DZ25" s="65">
        <f t="shared" si="18"/>
        <v>0.84</v>
      </c>
      <c r="EA25" s="65">
        <f t="shared" si="18"/>
        <v>0.84</v>
      </c>
      <c r="EB25" s="65">
        <f t="shared" si="18"/>
        <v>0.84</v>
      </c>
      <c r="EC25" s="65">
        <f t="shared" si="18"/>
        <v>0.84</v>
      </c>
      <c r="ED25" s="65">
        <f t="shared" si="18"/>
        <v>0.84</v>
      </c>
      <c r="EE25" s="65">
        <f t="shared" si="18"/>
        <v>0.84</v>
      </c>
      <c r="EF25" s="65">
        <f t="shared" si="18"/>
        <v>0.84</v>
      </c>
      <c r="EG25" s="65">
        <f t="shared" si="18"/>
        <v>0.84</v>
      </c>
      <c r="EH25" s="65">
        <f t="shared" si="18"/>
        <v>0.84</v>
      </c>
      <c r="EI25" s="65">
        <f t="shared" si="18"/>
        <v>0.84</v>
      </c>
      <c r="EJ25" s="65">
        <f t="shared" si="18"/>
        <v>0.84</v>
      </c>
      <c r="EK25" s="65">
        <f t="shared" si="18"/>
        <v>0.84</v>
      </c>
      <c r="EL25" s="65">
        <f t="shared" si="18"/>
        <v>0.84</v>
      </c>
      <c r="EM25" s="65">
        <f t="shared" si="18"/>
        <v>0.84</v>
      </c>
      <c r="EN25" s="65">
        <f t="shared" si="18"/>
        <v>0.84</v>
      </c>
      <c r="EO25" s="65">
        <f t="shared" si="18"/>
        <v>0.84</v>
      </c>
      <c r="EP25" s="65">
        <f t="shared" si="18"/>
        <v>0.84</v>
      </c>
      <c r="EQ25" s="65">
        <f t="shared" si="18"/>
        <v>0.84</v>
      </c>
      <c r="ER25" s="65">
        <f t="shared" si="18"/>
        <v>0.84</v>
      </c>
      <c r="ES25" s="65">
        <f t="shared" si="18"/>
        <v>0.84</v>
      </c>
      <c r="ET25" s="65">
        <f t="shared" si="18"/>
        <v>0.84</v>
      </c>
      <c r="EU25" s="65">
        <f t="shared" si="18"/>
        <v>0.84</v>
      </c>
      <c r="EV25" s="65">
        <f t="shared" si="18"/>
        <v>0.84</v>
      </c>
      <c r="EW25" s="65">
        <f t="shared" si="18"/>
        <v>0.84</v>
      </c>
      <c r="EX25" s="65">
        <f t="shared" si="18"/>
        <v>0.84</v>
      </c>
      <c r="EY25" s="65">
        <f t="shared" si="18"/>
        <v>0.84</v>
      </c>
      <c r="EZ25" s="65">
        <f t="shared" si="18"/>
        <v>0.84</v>
      </c>
      <c r="FA25" s="65">
        <f t="shared" ref="FA25:FF25" si="19">0.84+FA19</f>
        <v>0.84</v>
      </c>
      <c r="FB25" s="65">
        <f t="shared" si="19"/>
        <v>0.84</v>
      </c>
      <c r="FC25" s="65">
        <f t="shared" si="19"/>
        <v>0.84</v>
      </c>
      <c r="FD25" s="65">
        <f t="shared" si="19"/>
        <v>0.84</v>
      </c>
      <c r="FE25" s="65">
        <f t="shared" si="19"/>
        <v>0.84</v>
      </c>
      <c r="FF25" s="65">
        <f t="shared" si="19"/>
        <v>0.84</v>
      </c>
    </row>
  </sheetData>
  <pageMargins left="0.7" right="0.7" top="0.75" bottom="0.75" header="0.3" footer="0.3"/>
  <drawing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CZ24"/>
  <sheetViews>
    <sheetView workbookViewId="0">
      <pane xSplit="11" ySplit="7" topLeftCell="BL8" activePane="bottomRight" state="frozen"/>
      <selection pane="topRight" activeCell="L1" sqref="L1"/>
      <selection pane="bottomLeft" activeCell="A7" sqref="A7"/>
      <selection pane="bottomRight" activeCell="I8" sqref="I8"/>
    </sheetView>
  </sheetViews>
  <sheetFormatPr baseColWidth="10" defaultColWidth="22.6640625" defaultRowHeight="12"/>
  <cols>
    <col min="1" max="1" width="16.1640625" style="60" bestFit="1" customWidth="1"/>
    <col min="2" max="2" width="12.5" style="60" bestFit="1" customWidth="1"/>
    <col min="3" max="3" width="4.83203125" style="60" bestFit="1" customWidth="1"/>
    <col min="4" max="4" width="12.33203125" style="60" bestFit="1" customWidth="1"/>
    <col min="5" max="5" width="18.83203125" style="60" bestFit="1" customWidth="1"/>
    <col min="6" max="6" width="6.5" style="60" bestFit="1" customWidth="1"/>
    <col min="7" max="7" width="4.1640625" style="60" bestFit="1" customWidth="1"/>
    <col min="8" max="8" width="22.83203125" style="60" bestFit="1" customWidth="1"/>
    <col min="9" max="9" width="6.5" style="60" customWidth="1"/>
    <col min="10" max="11" width="6.1640625" style="60" bestFit="1" customWidth="1"/>
    <col min="12" max="12" width="5.5" style="60" bestFit="1" customWidth="1"/>
    <col min="13" max="13" width="5.83203125" style="60" bestFit="1" customWidth="1"/>
    <col min="14" max="18" width="5.5" style="60" bestFit="1" customWidth="1"/>
    <col min="19" max="19" width="5.6640625" style="60" bestFit="1" customWidth="1"/>
    <col min="20" max="20" width="6.1640625" style="60" bestFit="1" customWidth="1"/>
    <col min="21" max="21" width="5.5" style="60" bestFit="1" customWidth="1"/>
    <col min="22" max="26" width="6.1640625" style="60" bestFit="1" customWidth="1"/>
    <col min="27" max="30" width="5.5" style="60" bestFit="1" customWidth="1"/>
    <col min="31" max="31" width="5.6640625" style="60" bestFit="1" customWidth="1"/>
    <col min="32" max="34" width="5.5" style="60" bestFit="1" customWidth="1"/>
    <col min="35" max="35" width="5.6640625" style="60" bestFit="1" customWidth="1"/>
    <col min="36" max="36" width="5.5" style="60" bestFit="1" customWidth="1"/>
    <col min="37" max="37" width="5.83203125" style="60" bestFit="1" customWidth="1"/>
    <col min="38" max="42" width="5.5" style="60" bestFit="1" customWidth="1"/>
    <col min="43" max="43" width="5.6640625" style="60" bestFit="1" customWidth="1"/>
    <col min="44" max="46" width="5.5" style="60" bestFit="1" customWidth="1"/>
    <col min="47" max="47" width="5.6640625" style="60" bestFit="1" customWidth="1"/>
    <col min="48" max="48" width="5.5" style="60" bestFit="1" customWidth="1"/>
    <col min="49" max="49" width="5.83203125" style="60" bestFit="1" customWidth="1"/>
    <col min="50" max="51" width="5.5" style="60" bestFit="1" customWidth="1"/>
    <col min="52" max="54" width="7" style="60" bestFit="1" customWidth="1"/>
    <col min="55" max="56" width="5.5" style="60" bestFit="1" customWidth="1"/>
    <col min="57" max="58" width="5.83203125" style="60" bestFit="1" customWidth="1"/>
    <col min="59" max="70" width="5.6640625" style="60" bestFit="1" customWidth="1"/>
    <col min="71" max="80" width="5.5" style="60" bestFit="1" customWidth="1"/>
    <col min="81" max="90" width="6.1640625" style="60" bestFit="1" customWidth="1"/>
    <col min="91" max="95" width="6.33203125" style="60" bestFit="1" customWidth="1"/>
    <col min="96" max="99" width="6.1640625" style="60" bestFit="1" customWidth="1"/>
    <col min="100" max="104" width="5.1640625" style="60" bestFit="1" customWidth="1"/>
    <col min="105" max="16384" width="22.6640625" style="60"/>
  </cols>
  <sheetData>
    <row r="1" spans="1:104" ht="13">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row>
    <row r="2" spans="1:104">
      <c r="A2" s="59"/>
      <c r="B2" s="59"/>
      <c r="C2" s="59"/>
      <c r="D2" s="98"/>
      <c r="E2" s="98"/>
      <c r="F2" s="59"/>
      <c r="H2" s="99"/>
      <c r="I2" s="99"/>
      <c r="J2" s="99"/>
      <c r="K2" s="99"/>
      <c r="L2" s="99"/>
      <c r="M2" s="99"/>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99"/>
      <c r="AP2" s="99"/>
      <c r="AQ2" s="99"/>
      <c r="AR2" s="99"/>
      <c r="AS2" s="99"/>
      <c r="AT2" s="99"/>
      <c r="AU2" s="99"/>
      <c r="AV2" s="99"/>
      <c r="AW2" s="99"/>
      <c r="AX2" s="99"/>
      <c r="AY2" s="99"/>
      <c r="AZ2" s="99"/>
      <c r="BA2" s="99"/>
      <c r="BB2" s="99"/>
      <c r="BC2" s="99"/>
      <c r="BD2" s="99"/>
      <c r="BE2" s="99"/>
      <c r="BF2" s="99"/>
      <c r="BG2" s="99"/>
      <c r="BH2" s="99"/>
      <c r="BI2" s="99"/>
      <c r="BJ2" s="99"/>
      <c r="BK2" s="99"/>
      <c r="BL2" s="99"/>
      <c r="BM2" s="99"/>
      <c r="BN2" s="99"/>
      <c r="BO2" s="99"/>
      <c r="BP2" s="99"/>
      <c r="BQ2" s="99"/>
      <c r="BR2" s="99"/>
      <c r="BS2" s="99"/>
      <c r="BT2" s="99"/>
      <c r="BU2" s="99"/>
      <c r="BV2" s="99"/>
      <c r="BW2" s="99"/>
      <c r="BX2" s="99"/>
      <c r="BY2" s="99"/>
      <c r="BZ2" s="99"/>
      <c r="CA2" s="99"/>
      <c r="CB2" s="99"/>
      <c r="CC2" s="99"/>
      <c r="CD2" s="99"/>
      <c r="CE2" s="99"/>
      <c r="CF2" s="99"/>
      <c r="CG2" s="99"/>
      <c r="CH2" s="99"/>
      <c r="CI2" s="99"/>
      <c r="CJ2" s="99"/>
      <c r="CK2" s="99"/>
      <c r="CL2" s="99"/>
      <c r="CM2" s="99"/>
      <c r="CN2" s="99"/>
    </row>
    <row r="3" spans="1:104" ht="26">
      <c r="A3" s="107" t="s">
        <v>841</v>
      </c>
      <c r="B3" s="100"/>
      <c r="C3" s="101"/>
      <c r="D3" s="282">
        <v>154.75</v>
      </c>
      <c r="K3" s="102"/>
      <c r="M3" s="102"/>
    </row>
    <row r="4" spans="1:104">
      <c r="A4" s="36"/>
      <c r="B4" s="64"/>
      <c r="D4" s="100"/>
      <c r="E4" s="64"/>
      <c r="F4" s="103"/>
    </row>
    <row r="5" spans="1:104">
      <c r="A5" s="64"/>
      <c r="B5" s="64"/>
      <c r="D5" s="64"/>
      <c r="E5" s="64"/>
      <c r="H5" s="60" t="s">
        <v>387</v>
      </c>
    </row>
    <row r="6" spans="1:104">
      <c r="A6" s="74"/>
      <c r="B6" s="74"/>
    </row>
    <row r="7" spans="1:104">
      <c r="A7" s="59"/>
      <c r="B7" s="59"/>
      <c r="C7" s="59"/>
      <c r="D7" s="98"/>
      <c r="E7" s="98"/>
      <c r="F7" s="59"/>
      <c r="H7" s="59" t="s">
        <v>416</v>
      </c>
      <c r="I7" s="59">
        <v>43831</v>
      </c>
      <c r="J7" s="59">
        <v>43862</v>
      </c>
      <c r="K7" s="59">
        <v>43891</v>
      </c>
      <c r="L7" s="59">
        <v>43922</v>
      </c>
      <c r="M7" s="59">
        <v>43952</v>
      </c>
      <c r="N7" s="59">
        <v>43983</v>
      </c>
      <c r="O7" s="59">
        <v>44013</v>
      </c>
      <c r="P7" s="59">
        <v>44044</v>
      </c>
      <c r="Q7" s="59">
        <v>44075</v>
      </c>
      <c r="R7" s="59">
        <v>44105</v>
      </c>
      <c r="S7" s="59">
        <v>44136</v>
      </c>
      <c r="T7" s="59">
        <v>44166</v>
      </c>
      <c r="U7" s="59">
        <v>44197</v>
      </c>
      <c r="V7" s="59">
        <v>44228</v>
      </c>
      <c r="W7" s="59">
        <v>44256</v>
      </c>
      <c r="X7" s="59">
        <v>44287</v>
      </c>
      <c r="Y7" s="59">
        <v>44317</v>
      </c>
      <c r="Z7" s="59">
        <v>44348</v>
      </c>
      <c r="AA7" s="59">
        <v>44378</v>
      </c>
      <c r="AB7" s="59">
        <v>44409</v>
      </c>
      <c r="AC7" s="59">
        <v>44440</v>
      </c>
      <c r="AD7" s="59">
        <v>44470</v>
      </c>
      <c r="AE7" s="59">
        <v>44501</v>
      </c>
      <c r="AF7" s="59">
        <v>44531</v>
      </c>
      <c r="AG7" s="59">
        <v>44562</v>
      </c>
      <c r="AH7" s="59">
        <v>44593</v>
      </c>
      <c r="AI7" s="59">
        <v>44621</v>
      </c>
      <c r="AJ7" s="59">
        <v>44652</v>
      </c>
      <c r="AK7" s="59">
        <v>44682</v>
      </c>
      <c r="AL7" s="59">
        <v>44713</v>
      </c>
      <c r="AM7" s="59">
        <v>44743</v>
      </c>
      <c r="AN7" s="59">
        <v>44774</v>
      </c>
      <c r="AO7" s="59">
        <v>44805</v>
      </c>
      <c r="AP7" s="59">
        <v>44835</v>
      </c>
      <c r="AQ7" s="59">
        <v>44866</v>
      </c>
      <c r="AR7" s="59">
        <v>44896</v>
      </c>
      <c r="AS7" s="59">
        <v>44927</v>
      </c>
      <c r="AT7" s="59">
        <v>44958</v>
      </c>
      <c r="AU7" s="59">
        <v>44986</v>
      </c>
      <c r="AV7" s="59">
        <v>45017</v>
      </c>
      <c r="AW7" s="59">
        <v>45047</v>
      </c>
      <c r="AX7" s="59">
        <v>45078</v>
      </c>
      <c r="AY7" s="59">
        <v>45108</v>
      </c>
      <c r="AZ7" s="59" t="s">
        <v>530</v>
      </c>
      <c r="BA7" s="59" t="s">
        <v>531</v>
      </c>
      <c r="BB7" s="59" t="s">
        <v>532</v>
      </c>
      <c r="BC7" s="59">
        <v>37104</v>
      </c>
      <c r="BD7" s="59">
        <v>37469</v>
      </c>
      <c r="BE7" s="59" t="s">
        <v>168</v>
      </c>
      <c r="BF7" s="59" t="s">
        <v>169</v>
      </c>
      <c r="BG7" s="59" t="s">
        <v>195</v>
      </c>
      <c r="BH7" s="59" t="s">
        <v>196</v>
      </c>
      <c r="BI7" s="59" t="s">
        <v>197</v>
      </c>
      <c r="BJ7" s="59" t="s">
        <v>198</v>
      </c>
      <c r="BK7" s="59" t="s">
        <v>199</v>
      </c>
      <c r="BL7" s="59" t="s">
        <v>200</v>
      </c>
      <c r="BM7" s="59" t="s">
        <v>201</v>
      </c>
      <c r="BN7" s="59" t="s">
        <v>202</v>
      </c>
      <c r="BO7" s="59">
        <v>37196</v>
      </c>
      <c r="BP7" s="59">
        <v>37561</v>
      </c>
      <c r="BQ7" s="59">
        <v>37926</v>
      </c>
      <c r="BR7" s="59">
        <v>38292</v>
      </c>
      <c r="BS7" s="59">
        <v>37226</v>
      </c>
      <c r="BT7" s="59">
        <v>37591</v>
      </c>
      <c r="BU7" s="59">
        <v>37956</v>
      </c>
      <c r="BV7" s="59">
        <v>38322</v>
      </c>
      <c r="BW7" s="59">
        <v>36892</v>
      </c>
      <c r="BX7" s="59">
        <v>37257</v>
      </c>
      <c r="BY7" s="59">
        <v>37622</v>
      </c>
      <c r="BZ7" s="59">
        <v>37987</v>
      </c>
      <c r="CA7" s="59">
        <v>36923</v>
      </c>
      <c r="CB7" s="59">
        <v>37288</v>
      </c>
      <c r="CC7" s="59">
        <v>37653</v>
      </c>
      <c r="CD7" s="59">
        <v>38018</v>
      </c>
      <c r="CE7" s="59" t="str">
        <f>Sheet8!A15</f>
        <v>Mar-w1</v>
      </c>
      <c r="CF7" s="59">
        <v>37316</v>
      </c>
      <c r="CG7" s="59">
        <v>37681</v>
      </c>
      <c r="CH7" s="59">
        <v>38047</v>
      </c>
      <c r="CI7" s="59" t="str">
        <f>Sheet8!E15</f>
        <v>Apr-w1</v>
      </c>
      <c r="CJ7" s="59" t="str">
        <f>Sheet8!F15</f>
        <v>Apr-w2</v>
      </c>
      <c r="CK7" s="59" t="str">
        <f>Sheet8!G15</f>
        <v>Apr-w3</v>
      </c>
      <c r="CL7" s="59" t="str">
        <f>Sheet8!H15</f>
        <v>Apr-w4</v>
      </c>
      <c r="CM7" s="59" t="str">
        <f>Sheet8!I15</f>
        <v>May-w1</v>
      </c>
      <c r="CN7" s="59" t="str">
        <f>Sheet8!J15</f>
        <v>May-w2</v>
      </c>
      <c r="CO7" s="59" t="str">
        <f>Sheet8!K15</f>
        <v>May-w3</v>
      </c>
      <c r="CP7" s="59" t="str">
        <f>Sheet8!L15</f>
        <v>May-w4</v>
      </c>
      <c r="CQ7" s="59" t="str">
        <f>Sheet8!M15</f>
        <v>May-w5</v>
      </c>
      <c r="CR7" s="59" t="str">
        <f>Sheet8!N15</f>
        <v>june-w1</v>
      </c>
      <c r="CS7" s="59" t="str">
        <f>Sheet8!O15</f>
        <v>june-w2</v>
      </c>
      <c r="CT7" s="59" t="str">
        <f>Sheet8!P15</f>
        <v>june-w3</v>
      </c>
      <c r="CU7" s="59" t="str">
        <f>Sheet8!Q15</f>
        <v>june-w4</v>
      </c>
      <c r="CV7" s="59" t="str">
        <f>Sheet8!R15</f>
        <v>Jul-w1</v>
      </c>
      <c r="CW7" s="59" t="str">
        <f>Sheet8!S15</f>
        <v>Jul-w2</v>
      </c>
      <c r="CX7" s="59" t="str">
        <f>Sheet8!T15</f>
        <v>Jul-w3</v>
      </c>
      <c r="CY7" s="59" t="str">
        <f>Sheet8!U15</f>
        <v>Jul-w4</v>
      </c>
      <c r="CZ7" s="59" t="str">
        <f>Sheet8!V15</f>
        <v>Aug-w1</v>
      </c>
    </row>
    <row r="8" spans="1:104" ht="13">
      <c r="H8" s="107" t="s">
        <v>354</v>
      </c>
      <c r="I8" s="74" t="e">
        <f>VLOOKUP($H$8&amp;$F$1,'Input RM sheet'!$A:$BD,H1,0)</f>
        <v>#N/A</v>
      </c>
      <c r="J8" s="74" t="e">
        <f>VLOOKUP($H$8&amp;$F$1,'Input RM sheet'!$A:$BD,I1,0)</f>
        <v>#N/A</v>
      </c>
      <c r="K8" s="74" t="e">
        <f>VLOOKUP($H$8&amp;$F$1,'Input RM sheet'!$A:$DD,J1,0)</f>
        <v>#N/A</v>
      </c>
      <c r="L8" s="74" t="e">
        <f>VLOOKUP($H$8&amp;$F$1,'Input RM sheet'!$A:$DD,K1,0)</f>
        <v>#N/A</v>
      </c>
      <c r="M8" s="74" t="e">
        <f>VLOOKUP($H$8&amp;$F$1,'Input RM sheet'!$A:$DD,L1,0)</f>
        <v>#N/A</v>
      </c>
      <c r="N8" s="74" t="e">
        <f>VLOOKUP($H$8&amp;$F$1,'Input RM sheet'!$A:$DD,M1,0)</f>
        <v>#N/A</v>
      </c>
      <c r="O8" s="74" t="e">
        <f>VLOOKUP($H$8&amp;$F$1,'Input RM sheet'!$A:$DD,N1,0)</f>
        <v>#N/A</v>
      </c>
      <c r="P8" s="74" t="e">
        <f>VLOOKUP($H$8&amp;$F$1,'Input RM sheet'!$A:$DD,O1,0)</f>
        <v>#N/A</v>
      </c>
      <c r="Q8" s="74" t="e">
        <f>VLOOKUP($H$8&amp;$F$1,'Input RM sheet'!$A:$DD,P1,0)</f>
        <v>#N/A</v>
      </c>
      <c r="R8" s="74" t="e">
        <f>VLOOKUP($H$8&amp;$F$1,'Input RM sheet'!$A:$DD,Q1,0)</f>
        <v>#N/A</v>
      </c>
      <c r="S8" s="74" t="e">
        <f>VLOOKUP($H$8&amp;$F$1,'Input RM sheet'!$A:$DD,R1,0)</f>
        <v>#N/A</v>
      </c>
      <c r="T8" s="74" t="e">
        <f>VLOOKUP($H$8&amp;$F$1,'Input RM sheet'!$A:$DD,S1,0)</f>
        <v>#N/A</v>
      </c>
      <c r="U8" s="74" t="e">
        <f>VLOOKUP($H$8&amp;$F$1,'Input RM sheet'!$A:$DD,T1,0)</f>
        <v>#N/A</v>
      </c>
      <c r="V8" s="74" t="e">
        <f>VLOOKUP($H$8&amp;$F$1,'Input RM sheet'!$A:$DD,U1,0)</f>
        <v>#N/A</v>
      </c>
      <c r="W8" s="74" t="e">
        <f>VLOOKUP($H$8&amp;$F$1,'Input RM sheet'!$A:$DD,V1,0)</f>
        <v>#N/A</v>
      </c>
      <c r="X8" s="74" t="e">
        <f>VLOOKUP($H$8&amp;$F$1,'Input RM sheet'!$A:$DD,W1,0)</f>
        <v>#N/A</v>
      </c>
      <c r="Y8" s="74" t="e">
        <f>VLOOKUP($H$8&amp;$F$1,'Input RM sheet'!$A:$DD,X1,0)</f>
        <v>#N/A</v>
      </c>
      <c r="Z8" s="74" t="e">
        <f>VLOOKUP($H$8&amp;$F$1,'Input RM sheet'!$A:$DD,Y1,0)</f>
        <v>#N/A</v>
      </c>
      <c r="AA8" s="74" t="e">
        <f>VLOOKUP($H$8&amp;$F$1,'Input RM sheet'!$A:$DD,Z1,0)</f>
        <v>#N/A</v>
      </c>
      <c r="AB8" s="74" t="e">
        <f>VLOOKUP($H$8&amp;$F$1,'Input RM sheet'!$A:$DD,AA1,0)</f>
        <v>#N/A</v>
      </c>
      <c r="AC8" s="74" t="e">
        <f>VLOOKUP($H$8&amp;$F$1,'Input RM sheet'!$A:$DD,AB1,0)</f>
        <v>#N/A</v>
      </c>
      <c r="AD8" s="74" t="e">
        <f>VLOOKUP($H$8&amp;$F$1,'Input RM sheet'!$A:$DD,AC1,0)</f>
        <v>#N/A</v>
      </c>
      <c r="AE8" s="74" t="e">
        <f>VLOOKUP($H$8&amp;$F$1,'Input RM sheet'!$A:$DD,AD1,0)</f>
        <v>#N/A</v>
      </c>
      <c r="AF8" s="74" t="e">
        <f>VLOOKUP($H$8&amp;$F$1,'Input RM sheet'!$A:$DD,AE1,0)</f>
        <v>#N/A</v>
      </c>
      <c r="AG8" s="74" t="e">
        <f>VLOOKUP($H$8&amp;$F$1,'Input RM sheet'!$A:$DD,AF1,0)</f>
        <v>#N/A</v>
      </c>
      <c r="AH8" s="74" t="e">
        <f>VLOOKUP($H$8&amp;$F$1,'Input RM sheet'!$A:$DD,AG1,0)</f>
        <v>#N/A</v>
      </c>
      <c r="AI8" s="74" t="e">
        <f>VLOOKUP($H$8&amp;$F$1,'Input RM sheet'!$A:$DD,AH1,0)</f>
        <v>#N/A</v>
      </c>
      <c r="AJ8" s="74" t="e">
        <f>VLOOKUP($H$8&amp;$F$1,'Input RM sheet'!$A:$DD,AI1,0)</f>
        <v>#N/A</v>
      </c>
      <c r="AK8" s="74" t="e">
        <f>VLOOKUP($H$8&amp;$F$1,'Input RM sheet'!$A:$DD,AJ1,0)</f>
        <v>#N/A</v>
      </c>
      <c r="AL8" s="74" t="e">
        <f>VLOOKUP($H$8&amp;$F$1,'Input RM sheet'!$A:$DD,AK1,0)</f>
        <v>#N/A</v>
      </c>
      <c r="AM8" s="74" t="e">
        <f>VLOOKUP($H$8&amp;$F$1,'Input RM sheet'!$A:$DD,AL1,0)</f>
        <v>#N/A</v>
      </c>
      <c r="AN8" s="74" t="e">
        <f>VLOOKUP($H$8&amp;$F$1,'Input RM sheet'!$A:$DD,AM1,0)</f>
        <v>#N/A</v>
      </c>
      <c r="AO8" s="74" t="e">
        <f>VLOOKUP($H$8&amp;$F$1,'Input RM sheet'!$A:$DD,AN1,0)</f>
        <v>#N/A</v>
      </c>
      <c r="AP8" s="74" t="e">
        <f>VLOOKUP($H$8&amp;$F$1,'Input RM sheet'!$A:$DD,AO1,0)</f>
        <v>#N/A</v>
      </c>
      <c r="AQ8" s="74" t="e">
        <f>VLOOKUP($H$8&amp;$F$1,'Input RM sheet'!$A:$DD,AP1,0)</f>
        <v>#N/A</v>
      </c>
      <c r="AR8" s="74" t="e">
        <f>VLOOKUP($H$8&amp;$F$1,'Input RM sheet'!$A:$DD,AQ1,0)</f>
        <v>#N/A</v>
      </c>
      <c r="AS8" s="74" t="e">
        <f>VLOOKUP($H$8&amp;$F$1,'Input RM sheet'!$A:$DD,AR1,0)</f>
        <v>#N/A</v>
      </c>
      <c r="AT8" s="74" t="e">
        <f>VLOOKUP($H$8&amp;$F$1,'Input RM sheet'!$A:$DD,AS1,0)</f>
        <v>#N/A</v>
      </c>
      <c r="AU8" s="74" t="e">
        <f>VLOOKUP($H$8&amp;$F$1,'Input RM sheet'!$A:$DD,AT1,0)</f>
        <v>#N/A</v>
      </c>
      <c r="AV8" s="74" t="e">
        <f>VLOOKUP($H$8&amp;$F$1,'Input RM sheet'!$A:$DD,AU1,0)</f>
        <v>#N/A</v>
      </c>
      <c r="AW8" s="74" t="e">
        <f>VLOOKUP($H$8&amp;$F$1,'Input RM sheet'!$A:$DD,AV1,0)</f>
        <v>#N/A</v>
      </c>
      <c r="AX8" s="74" t="e">
        <f>VLOOKUP($H$8&amp;$F$1,'Input RM sheet'!$A:$DD,AW1,0)</f>
        <v>#N/A</v>
      </c>
      <c r="AY8" s="74" t="e">
        <f>VLOOKUP($H$8&amp;$F$1,'Input RM sheet'!$A:$DD,AX1,0)</f>
        <v>#N/A</v>
      </c>
      <c r="AZ8" s="74" t="e">
        <f>VLOOKUP($H$8&amp;$F$1,'Input RM sheet'!$A:$DD,AY1,0)</f>
        <v>#N/A</v>
      </c>
      <c r="BA8" s="74" t="e">
        <f>VLOOKUP($H$8&amp;$F$1,'Input RM sheet'!$A:$DD,AZ1,0)</f>
        <v>#N/A</v>
      </c>
      <c r="BB8" s="74" t="e">
        <f>VLOOKUP($H$8&amp;$F$1,'Input RM sheet'!$A:$DD,BA1,0)</f>
        <v>#N/A</v>
      </c>
      <c r="BC8" s="74" t="e">
        <f>VLOOKUP($H$8&amp;$F$1,'Input RM sheet'!$A:$DD,BB1,0)</f>
        <v>#N/A</v>
      </c>
      <c r="BD8" s="74" t="e">
        <f>VLOOKUP($H$8&amp;$F$1,'Input RM sheet'!$A:$DD,BC1,0)</f>
        <v>#N/A</v>
      </c>
      <c r="BE8" s="74" t="e">
        <f>VLOOKUP($H$8&amp;$F$1,'Input RM sheet'!$A:$DD,BD1,0)</f>
        <v>#N/A</v>
      </c>
      <c r="BF8" s="74" t="e">
        <f>VLOOKUP($H$8&amp;$F$1,'Input RM sheet'!$A:$DD,BE1,0)</f>
        <v>#N/A</v>
      </c>
      <c r="BG8" s="74" t="e">
        <f>VLOOKUP($H$8&amp;$F$1,'Input RM sheet'!$A:$DD,BF1,0)</f>
        <v>#N/A</v>
      </c>
      <c r="BH8" s="74" t="e">
        <f>VLOOKUP($H$8&amp;$F$1,'Input RM sheet'!$A:$DD,BG1,0)</f>
        <v>#N/A</v>
      </c>
      <c r="BI8" s="74" t="e">
        <f>VLOOKUP($H$8&amp;$F$1,'Input RM sheet'!$A:$DD,BH1,0)</f>
        <v>#N/A</v>
      </c>
      <c r="BJ8" s="74" t="e">
        <f>VLOOKUP($H$8&amp;$F$1,'Input RM sheet'!$A:$DD,BI1,0)</f>
        <v>#N/A</v>
      </c>
      <c r="BK8" s="74" t="e">
        <f>VLOOKUP($H$8&amp;$F$1,'Input RM sheet'!$A:$DD,BJ1,0)</f>
        <v>#N/A</v>
      </c>
      <c r="BL8" s="74" t="e">
        <f>VLOOKUP($H$8&amp;$F$1,'Input RM sheet'!$A:$DD,BK1,0)</f>
        <v>#N/A</v>
      </c>
      <c r="BM8" s="74" t="e">
        <f>VLOOKUP($H$8&amp;$F$1,'Input RM sheet'!$A:$DD,BL1,0)</f>
        <v>#N/A</v>
      </c>
      <c r="BN8" s="74" t="e">
        <f>VLOOKUP($H$8&amp;$F$1,'Input RM sheet'!$A:$DD,BM1,0)</f>
        <v>#N/A</v>
      </c>
      <c r="BO8" s="74" t="e">
        <f>VLOOKUP($H$8&amp;$F$1,'Input RM sheet'!$A:$DD,BN1,0)</f>
        <v>#N/A</v>
      </c>
      <c r="BP8" s="74" t="e">
        <f>VLOOKUP($H$8&amp;$F$1,'Input RM sheet'!$A:$DD,BO1,0)</f>
        <v>#N/A</v>
      </c>
      <c r="BQ8" s="74" t="e">
        <f>VLOOKUP($H$8&amp;$F$1,'Input RM sheet'!$A:$DD,BP1,0)</f>
        <v>#N/A</v>
      </c>
      <c r="BR8" s="74" t="e">
        <f>VLOOKUP($H$8&amp;$F$1,'Input RM sheet'!$A:$DD,BQ1,0)</f>
        <v>#N/A</v>
      </c>
      <c r="BS8" s="74" t="e">
        <f>VLOOKUP($H$8&amp;$F$1,'Input RM sheet'!$A:$DD,BR1,0)</f>
        <v>#N/A</v>
      </c>
      <c r="BT8" s="74" t="e">
        <f>VLOOKUP($H$8&amp;$F$1,'Input RM sheet'!$A:$DD,BS1,0)</f>
        <v>#N/A</v>
      </c>
      <c r="BU8" s="74" t="e">
        <f>VLOOKUP($H$8&amp;$F$1,'Input RM sheet'!$A:$DD,BT1,0)</f>
        <v>#N/A</v>
      </c>
      <c r="BV8" s="74" t="e">
        <f>VLOOKUP($H$8&amp;$F$1,'Input RM sheet'!$A:$DD,BU1,0)</f>
        <v>#N/A</v>
      </c>
      <c r="BW8" s="74" t="e">
        <f>VLOOKUP($H$8&amp;$F$1,'Input RM sheet'!$A:$DD,BV1,0)</f>
        <v>#N/A</v>
      </c>
      <c r="BX8" s="74" t="e">
        <f>VLOOKUP($H$8&amp;$F$1,'Input RM sheet'!$A:$DD,BW1,0)</f>
        <v>#N/A</v>
      </c>
      <c r="BY8" s="74" t="e">
        <f>VLOOKUP($H$8&amp;$F$1,'Input RM sheet'!$A:$DD,BX1,0)</f>
        <v>#N/A</v>
      </c>
      <c r="BZ8" s="74" t="e">
        <f>VLOOKUP($H$8&amp;$F$1,'Input RM sheet'!$A:$DD,BY1,0)</f>
        <v>#N/A</v>
      </c>
      <c r="CA8" s="74" t="e">
        <f>VLOOKUP($H$8&amp;$F$1,'Input RM sheet'!$A:$DD,BZ1,0)</f>
        <v>#N/A</v>
      </c>
      <c r="CB8" s="74" t="e">
        <f>VLOOKUP($H$8&amp;$F$1,'Input RM sheet'!$A:$DD,CA1,0)</f>
        <v>#N/A</v>
      </c>
      <c r="CC8" s="74" t="e">
        <f>VLOOKUP($H$8&amp;$F$1,'Input RM sheet'!$A:$DD,CB1,0)</f>
        <v>#N/A</v>
      </c>
      <c r="CD8" s="74" t="e">
        <f>VLOOKUP($H$8&amp;$F$1,'Input RM sheet'!$A:$DD,CC1,0)</f>
        <v>#N/A</v>
      </c>
      <c r="CE8" s="74" t="e">
        <f>VLOOKUP($H$8&amp;$F$1,'Input RM sheet'!$A:$DD,CD1,0)</f>
        <v>#N/A</v>
      </c>
      <c r="CF8" s="74" t="e">
        <f>VLOOKUP($H$8&amp;$F$1,'Input RM sheet'!$A:$DD,CE1,0)</f>
        <v>#N/A</v>
      </c>
      <c r="CG8" s="74" t="e">
        <f>VLOOKUP($H$8&amp;$F$1,'Input RM sheet'!$A:$DD,CF1,0)</f>
        <v>#N/A</v>
      </c>
      <c r="CH8" s="74" t="e">
        <f>VLOOKUP($H$8&amp;$F$1,'Input RM sheet'!$A:$DD,CG1,0)</f>
        <v>#N/A</v>
      </c>
      <c r="CI8" s="74" t="e">
        <f>VLOOKUP($H$8&amp;$F$1,'Input RM sheet'!$A:$DD,CH1,0)</f>
        <v>#N/A</v>
      </c>
      <c r="CJ8" s="74" t="e">
        <f>VLOOKUP($H$8&amp;$F$1,'Input RM sheet'!$A:$DD,CI1,0)</f>
        <v>#N/A</v>
      </c>
      <c r="CK8" s="74" t="e">
        <f>VLOOKUP($H$8&amp;$F$1,'Input RM sheet'!$A:$DD,CJ1,0)</f>
        <v>#N/A</v>
      </c>
      <c r="CL8" s="74" t="e">
        <f>VLOOKUP($H$8&amp;$F$1,'Input RM sheet'!$A:$DD,CK1,0)</f>
        <v>#N/A</v>
      </c>
      <c r="CM8" s="74" t="e">
        <f>VLOOKUP($H$8&amp;$F$1,'Input RM sheet'!$A:$DD,CL1,0)</f>
        <v>#N/A</v>
      </c>
      <c r="CN8" s="74" t="e">
        <f>VLOOKUP($H$8&amp;$F$1,'Input RM sheet'!$A:$DD,CM1,0)</f>
        <v>#N/A</v>
      </c>
      <c r="CO8" s="74" t="e">
        <f>VLOOKUP($H$8&amp;$F$1,'Input RM sheet'!$A:$DD,CN1,0)</f>
        <v>#N/A</v>
      </c>
      <c r="CP8" s="74" t="e">
        <f>VLOOKUP($H$8&amp;$F$1,'Input RM sheet'!$A:$DD,CO1,0)</f>
        <v>#N/A</v>
      </c>
      <c r="CQ8" s="74" t="e">
        <f>VLOOKUP($H$8&amp;$F$1,'Input RM sheet'!$A:$DD,CP1,0)</f>
        <v>#N/A</v>
      </c>
      <c r="CR8" s="74" t="e">
        <f>VLOOKUP($H$8&amp;$F$1,'Input RM sheet'!$A:$DD,CQ1,0)</f>
        <v>#N/A</v>
      </c>
    </row>
    <row r="9" spans="1:104" ht="13">
      <c r="H9" s="107" t="s">
        <v>830</v>
      </c>
      <c r="I9" s="74"/>
      <c r="J9" s="74"/>
      <c r="K9" s="74"/>
      <c r="L9" s="74"/>
      <c r="M9" s="74"/>
      <c r="N9" s="74"/>
      <c r="O9" s="74"/>
      <c r="P9" s="74"/>
      <c r="Q9" s="74"/>
      <c r="R9" s="74"/>
      <c r="S9" s="74"/>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74"/>
      <c r="BG9" s="74"/>
      <c r="BH9" s="74"/>
      <c r="BI9" s="74"/>
      <c r="BJ9" s="74"/>
      <c r="BK9" s="74"/>
      <c r="BL9" s="74"/>
      <c r="BM9" s="74"/>
      <c r="BN9" s="74"/>
      <c r="BO9" s="74"/>
      <c r="BP9" s="74"/>
      <c r="BQ9" s="74"/>
      <c r="BR9" s="74"/>
      <c r="BS9" s="74"/>
      <c r="BT9" s="74"/>
      <c r="BU9" s="74"/>
      <c r="BV9" s="74"/>
      <c r="BW9" s="74"/>
      <c r="BX9" s="74"/>
      <c r="BY9" s="74"/>
      <c r="BZ9" s="74"/>
      <c r="CA9" s="74"/>
      <c r="CB9" s="74"/>
      <c r="CC9" s="74"/>
      <c r="CD9" s="74"/>
      <c r="CE9" s="74"/>
      <c r="CF9" s="74"/>
      <c r="CG9" s="74"/>
      <c r="CH9" s="74"/>
      <c r="CI9" s="74"/>
      <c r="CJ9" s="74"/>
      <c r="CK9" s="74"/>
      <c r="CL9" s="74"/>
      <c r="CM9" s="74"/>
      <c r="CN9" s="74"/>
      <c r="CO9" s="74"/>
      <c r="CP9" s="74"/>
      <c r="CQ9" s="74"/>
      <c r="CR9" s="74"/>
    </row>
    <row r="10" spans="1:104">
      <c r="H10" s="107"/>
      <c r="I10" s="74"/>
      <c r="J10" s="74"/>
      <c r="K10" s="74"/>
      <c r="L10" s="74"/>
      <c r="M10" s="74"/>
      <c r="N10" s="74"/>
      <c r="O10" s="7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c r="CE10" s="74"/>
      <c r="CF10" s="74"/>
      <c r="CG10" s="74"/>
      <c r="CH10" s="74"/>
      <c r="CI10" s="74"/>
      <c r="CJ10" s="74"/>
      <c r="CK10" s="74"/>
      <c r="CL10" s="74"/>
      <c r="CM10" s="74"/>
      <c r="CN10" s="74"/>
      <c r="CO10" s="74"/>
      <c r="CP10" s="74"/>
      <c r="CQ10" s="74"/>
      <c r="CR10" s="74"/>
    </row>
    <row r="11" spans="1:104">
      <c r="H11" s="107"/>
      <c r="I11" s="74"/>
      <c r="J11" s="74"/>
      <c r="K11" s="74"/>
      <c r="L11" s="74"/>
      <c r="M11" s="74"/>
      <c r="N11" s="74"/>
      <c r="O11" s="74"/>
      <c r="P11" s="74"/>
      <c r="Q11" s="74"/>
      <c r="R11" s="74"/>
      <c r="S11" s="74"/>
      <c r="T11" s="74"/>
      <c r="U11" s="74"/>
      <c r="V11" s="74"/>
      <c r="W11" s="74"/>
      <c r="X11" s="74"/>
      <c r="Y11" s="74"/>
      <c r="Z11" s="74"/>
      <c r="AA11" s="74"/>
      <c r="AB11" s="74"/>
      <c r="AC11" s="74"/>
      <c r="AD11" s="74"/>
      <c r="AE11" s="74"/>
      <c r="AF11" s="74"/>
      <c r="AG11" s="74"/>
      <c r="AH11" s="74"/>
      <c r="AI11" s="74"/>
      <c r="AJ11" s="74"/>
      <c r="AK11" s="74"/>
      <c r="AL11" s="74"/>
      <c r="AM11" s="74"/>
      <c r="AN11" s="74"/>
      <c r="AO11" s="74"/>
      <c r="AP11" s="74"/>
      <c r="AQ11" s="74"/>
      <c r="AR11" s="74"/>
      <c r="AS11" s="74"/>
      <c r="AT11" s="74"/>
      <c r="AU11" s="74"/>
      <c r="AV11" s="74"/>
      <c r="AW11" s="74"/>
      <c r="AX11" s="74"/>
      <c r="AY11" s="74"/>
      <c r="AZ11" s="74"/>
      <c r="BA11" s="74"/>
      <c r="BB11" s="74"/>
      <c r="BC11" s="74"/>
      <c r="BD11" s="74"/>
      <c r="BE11" s="74"/>
      <c r="BF11" s="74"/>
      <c r="BG11" s="74"/>
      <c r="BH11" s="74"/>
      <c r="BI11" s="74"/>
      <c r="BJ11" s="74"/>
      <c r="BK11" s="74"/>
      <c r="BL11" s="74"/>
      <c r="BM11" s="74"/>
      <c r="BN11" s="74"/>
      <c r="BO11" s="74"/>
      <c r="BP11" s="74"/>
      <c r="BQ11" s="74"/>
      <c r="BR11" s="74"/>
      <c r="BS11" s="74"/>
      <c r="BT11" s="74"/>
      <c r="BU11" s="74"/>
      <c r="BV11" s="74"/>
      <c r="BW11" s="74"/>
      <c r="BX11" s="74"/>
      <c r="BY11" s="74"/>
      <c r="BZ11" s="74"/>
      <c r="CA11" s="74"/>
      <c r="CB11" s="74"/>
      <c r="CC11" s="74"/>
      <c r="CD11" s="74"/>
      <c r="CE11" s="74"/>
      <c r="CF11" s="74"/>
      <c r="CG11" s="74"/>
      <c r="CH11" s="74"/>
      <c r="CI11" s="74"/>
      <c r="CJ11" s="74"/>
      <c r="CK11" s="74"/>
      <c r="CL11" s="74"/>
      <c r="CM11" s="74"/>
      <c r="CN11" s="74"/>
      <c r="CO11" s="74"/>
      <c r="CP11" s="74"/>
      <c r="CQ11" s="74"/>
      <c r="CR11" s="74"/>
    </row>
    <row r="12" spans="1:104" ht="13">
      <c r="A12" s="59" t="s">
        <v>395</v>
      </c>
      <c r="B12" s="59"/>
      <c r="C12" s="59" t="s">
        <v>379</v>
      </c>
      <c r="D12" s="98" t="s">
        <v>380</v>
      </c>
      <c r="E12" s="98" t="s">
        <v>381</v>
      </c>
      <c r="F12" s="59" t="s">
        <v>396</v>
      </c>
      <c r="H12" s="107"/>
      <c r="I12" s="84"/>
      <c r="J12" s="84"/>
      <c r="K12" s="84"/>
      <c r="L12" s="84"/>
      <c r="M12" s="84"/>
      <c r="N12" s="84"/>
      <c r="O12" s="84"/>
      <c r="P12" s="84"/>
      <c r="Q12" s="84"/>
      <c r="R12" s="84"/>
      <c r="S12" s="84"/>
      <c r="T12" s="84"/>
      <c r="U12" s="84"/>
      <c r="V12" s="84"/>
      <c r="W12" s="84"/>
      <c r="X12" s="84"/>
      <c r="Y12" s="84"/>
      <c r="Z12" s="84"/>
      <c r="AA12" s="84"/>
      <c r="AB12" s="84"/>
      <c r="AC12" s="84"/>
      <c r="AD12" s="84"/>
      <c r="AE12" s="84"/>
      <c r="AF12" s="84"/>
      <c r="AG12" s="84"/>
      <c r="AH12" s="84"/>
      <c r="AI12" s="84"/>
      <c r="AJ12" s="84"/>
      <c r="AK12" s="84"/>
      <c r="AL12" s="84"/>
      <c r="AM12" s="84"/>
      <c r="AN12" s="84"/>
      <c r="AO12" s="84"/>
      <c r="AP12" s="84"/>
      <c r="AQ12" s="84"/>
      <c r="AR12" s="84"/>
      <c r="AS12" s="84"/>
      <c r="AT12" s="84"/>
      <c r="AU12" s="84"/>
      <c r="AV12" s="84"/>
      <c r="AW12" s="84"/>
      <c r="AX12" s="84"/>
      <c r="AY12" s="84"/>
      <c r="AZ12" s="84"/>
      <c r="BA12" s="84"/>
      <c r="BB12" s="84"/>
      <c r="BC12" s="84"/>
      <c r="BD12" s="84"/>
      <c r="BE12" s="84"/>
      <c r="BF12" s="84"/>
      <c r="BG12" s="84"/>
      <c r="BH12" s="84"/>
      <c r="BI12" s="84"/>
      <c r="BJ12" s="84"/>
      <c r="BK12" s="84"/>
      <c r="BL12" s="84"/>
      <c r="BM12" s="84"/>
      <c r="BN12" s="84"/>
      <c r="BO12" s="84"/>
      <c r="BP12" s="84"/>
      <c r="BQ12" s="84"/>
      <c r="BR12" s="84"/>
      <c r="BS12" s="84"/>
      <c r="BT12" s="84"/>
      <c r="BU12" s="84"/>
      <c r="BV12" s="84"/>
      <c r="BW12" s="84"/>
      <c r="BX12" s="84"/>
      <c r="BY12" s="84"/>
      <c r="BZ12" s="84"/>
      <c r="CA12" s="84"/>
      <c r="CB12" s="84"/>
      <c r="CC12" s="84"/>
      <c r="CD12" s="84"/>
      <c r="CE12" s="84"/>
      <c r="CF12" s="84"/>
      <c r="CG12" s="84"/>
      <c r="CH12" s="84"/>
      <c r="CI12" s="84"/>
      <c r="CJ12" s="84"/>
      <c r="CK12" s="84"/>
      <c r="CL12" s="84"/>
      <c r="CM12" s="84"/>
      <c r="CN12" s="84"/>
      <c r="CO12" s="84"/>
      <c r="CP12" s="84"/>
      <c r="CQ12" s="84"/>
      <c r="CR12" s="84"/>
    </row>
    <row r="13" spans="1:104" ht="13">
      <c r="A13" s="107" t="s">
        <v>397</v>
      </c>
      <c r="B13" s="107" t="s">
        <v>354</v>
      </c>
      <c r="C13" s="60">
        <v>1</v>
      </c>
      <c r="D13" s="65">
        <v>58.69</v>
      </c>
      <c r="E13" s="60">
        <f>D13*C13</f>
        <v>58.69</v>
      </c>
      <c r="F13" s="328">
        <f>E13/D3</f>
        <v>0.37925686591276253</v>
      </c>
      <c r="H13" s="60" t="s">
        <v>399</v>
      </c>
      <c r="I13" s="74" t="e">
        <f>$F$13*(I8/1000)</f>
        <v>#N/A</v>
      </c>
      <c r="J13" s="74" t="e">
        <f t="shared" ref="J13:BU13" si="0">$F$13*(J8/1000)</f>
        <v>#N/A</v>
      </c>
      <c r="K13" s="74" t="e">
        <f t="shared" si="0"/>
        <v>#N/A</v>
      </c>
      <c r="L13" s="74" t="e">
        <f t="shared" si="0"/>
        <v>#N/A</v>
      </c>
      <c r="M13" s="74" t="e">
        <f t="shared" si="0"/>
        <v>#N/A</v>
      </c>
      <c r="N13" s="74" t="e">
        <f t="shared" si="0"/>
        <v>#N/A</v>
      </c>
      <c r="O13" s="74" t="e">
        <f t="shared" si="0"/>
        <v>#N/A</v>
      </c>
      <c r="P13" s="74" t="e">
        <f t="shared" si="0"/>
        <v>#N/A</v>
      </c>
      <c r="Q13" s="74" t="e">
        <f t="shared" si="0"/>
        <v>#N/A</v>
      </c>
      <c r="R13" s="74" t="e">
        <f t="shared" si="0"/>
        <v>#N/A</v>
      </c>
      <c r="S13" s="74" t="e">
        <f t="shared" si="0"/>
        <v>#N/A</v>
      </c>
      <c r="T13" s="74" t="e">
        <f t="shared" si="0"/>
        <v>#N/A</v>
      </c>
      <c r="U13" s="74" t="e">
        <f t="shared" si="0"/>
        <v>#N/A</v>
      </c>
      <c r="V13" s="74" t="e">
        <f t="shared" si="0"/>
        <v>#N/A</v>
      </c>
      <c r="W13" s="74" t="e">
        <f t="shared" si="0"/>
        <v>#N/A</v>
      </c>
      <c r="X13" s="74" t="e">
        <f t="shared" si="0"/>
        <v>#N/A</v>
      </c>
      <c r="Y13" s="74" t="e">
        <f t="shared" si="0"/>
        <v>#N/A</v>
      </c>
      <c r="Z13" s="74" t="e">
        <f t="shared" si="0"/>
        <v>#N/A</v>
      </c>
      <c r="AA13" s="74" t="e">
        <f t="shared" si="0"/>
        <v>#N/A</v>
      </c>
      <c r="AB13" s="74" t="e">
        <f t="shared" si="0"/>
        <v>#N/A</v>
      </c>
      <c r="AC13" s="74" t="e">
        <f t="shared" si="0"/>
        <v>#N/A</v>
      </c>
      <c r="AD13" s="74" t="e">
        <f t="shared" si="0"/>
        <v>#N/A</v>
      </c>
      <c r="AE13" s="74" t="e">
        <f t="shared" si="0"/>
        <v>#N/A</v>
      </c>
      <c r="AF13" s="74" t="e">
        <f t="shared" si="0"/>
        <v>#N/A</v>
      </c>
      <c r="AG13" s="74" t="e">
        <f t="shared" si="0"/>
        <v>#N/A</v>
      </c>
      <c r="AH13" s="74" t="e">
        <f t="shared" si="0"/>
        <v>#N/A</v>
      </c>
      <c r="AI13" s="74" t="e">
        <f t="shared" si="0"/>
        <v>#N/A</v>
      </c>
      <c r="AJ13" s="74" t="e">
        <f t="shared" si="0"/>
        <v>#N/A</v>
      </c>
      <c r="AK13" s="74" t="e">
        <f t="shared" si="0"/>
        <v>#N/A</v>
      </c>
      <c r="AL13" s="74" t="e">
        <f t="shared" si="0"/>
        <v>#N/A</v>
      </c>
      <c r="AM13" s="74" t="e">
        <f t="shared" si="0"/>
        <v>#N/A</v>
      </c>
      <c r="AN13" s="74" t="e">
        <f t="shared" si="0"/>
        <v>#N/A</v>
      </c>
      <c r="AO13" s="74" t="e">
        <f t="shared" si="0"/>
        <v>#N/A</v>
      </c>
      <c r="AP13" s="74" t="e">
        <f t="shared" si="0"/>
        <v>#N/A</v>
      </c>
      <c r="AQ13" s="74" t="e">
        <f t="shared" si="0"/>
        <v>#N/A</v>
      </c>
      <c r="AR13" s="74" t="e">
        <f t="shared" si="0"/>
        <v>#N/A</v>
      </c>
      <c r="AS13" s="74" t="e">
        <f t="shared" si="0"/>
        <v>#N/A</v>
      </c>
      <c r="AT13" s="74" t="e">
        <f t="shared" si="0"/>
        <v>#N/A</v>
      </c>
      <c r="AU13" s="74" t="e">
        <f t="shared" si="0"/>
        <v>#N/A</v>
      </c>
      <c r="AV13" s="74" t="e">
        <f t="shared" si="0"/>
        <v>#N/A</v>
      </c>
      <c r="AW13" s="74" t="e">
        <f t="shared" si="0"/>
        <v>#N/A</v>
      </c>
      <c r="AX13" s="74" t="e">
        <f t="shared" si="0"/>
        <v>#N/A</v>
      </c>
      <c r="AY13" s="74" t="e">
        <f t="shared" si="0"/>
        <v>#N/A</v>
      </c>
      <c r="AZ13" s="74" t="e">
        <f t="shared" si="0"/>
        <v>#N/A</v>
      </c>
      <c r="BA13" s="74" t="e">
        <f t="shared" si="0"/>
        <v>#N/A</v>
      </c>
      <c r="BB13" s="74" t="e">
        <f t="shared" si="0"/>
        <v>#N/A</v>
      </c>
      <c r="BC13" s="74" t="e">
        <f t="shared" si="0"/>
        <v>#N/A</v>
      </c>
      <c r="BD13" s="74" t="e">
        <f t="shared" si="0"/>
        <v>#N/A</v>
      </c>
      <c r="BE13" s="74" t="e">
        <f t="shared" si="0"/>
        <v>#N/A</v>
      </c>
      <c r="BF13" s="74" t="e">
        <f t="shared" si="0"/>
        <v>#N/A</v>
      </c>
      <c r="BG13" s="74" t="e">
        <f t="shared" si="0"/>
        <v>#N/A</v>
      </c>
      <c r="BH13" s="74" t="e">
        <f t="shared" si="0"/>
        <v>#N/A</v>
      </c>
      <c r="BI13" s="74" t="e">
        <f t="shared" si="0"/>
        <v>#N/A</v>
      </c>
      <c r="BJ13" s="74" t="e">
        <f t="shared" si="0"/>
        <v>#N/A</v>
      </c>
      <c r="BK13" s="74" t="e">
        <f t="shared" si="0"/>
        <v>#N/A</v>
      </c>
      <c r="BL13" s="74" t="e">
        <f t="shared" si="0"/>
        <v>#N/A</v>
      </c>
      <c r="BM13" s="74" t="e">
        <f t="shared" si="0"/>
        <v>#N/A</v>
      </c>
      <c r="BN13" s="74" t="e">
        <f t="shared" si="0"/>
        <v>#N/A</v>
      </c>
      <c r="BO13" s="74" t="e">
        <f t="shared" si="0"/>
        <v>#N/A</v>
      </c>
      <c r="BP13" s="74" t="e">
        <f t="shared" si="0"/>
        <v>#N/A</v>
      </c>
      <c r="BQ13" s="74" t="e">
        <f t="shared" si="0"/>
        <v>#N/A</v>
      </c>
      <c r="BR13" s="74" t="e">
        <f t="shared" si="0"/>
        <v>#N/A</v>
      </c>
      <c r="BS13" s="74" t="e">
        <f t="shared" si="0"/>
        <v>#N/A</v>
      </c>
      <c r="BT13" s="74" t="e">
        <f t="shared" si="0"/>
        <v>#N/A</v>
      </c>
      <c r="BU13" s="74" t="e">
        <f t="shared" si="0"/>
        <v>#N/A</v>
      </c>
      <c r="BV13" s="74" t="e">
        <f t="shared" ref="BV13:CR13" si="1">$F$13*(BV8/1000)</f>
        <v>#N/A</v>
      </c>
      <c r="BW13" s="74" t="e">
        <f t="shared" si="1"/>
        <v>#N/A</v>
      </c>
      <c r="BX13" s="74" t="e">
        <f t="shared" si="1"/>
        <v>#N/A</v>
      </c>
      <c r="BY13" s="74" t="e">
        <f t="shared" si="1"/>
        <v>#N/A</v>
      </c>
      <c r="BZ13" s="74" t="e">
        <f t="shared" si="1"/>
        <v>#N/A</v>
      </c>
      <c r="CA13" s="74" t="e">
        <f t="shared" si="1"/>
        <v>#N/A</v>
      </c>
      <c r="CB13" s="74" t="e">
        <f t="shared" si="1"/>
        <v>#N/A</v>
      </c>
      <c r="CC13" s="74" t="e">
        <f t="shared" si="1"/>
        <v>#N/A</v>
      </c>
      <c r="CD13" s="74" t="e">
        <f t="shared" si="1"/>
        <v>#N/A</v>
      </c>
      <c r="CE13" s="74" t="e">
        <f t="shared" si="1"/>
        <v>#N/A</v>
      </c>
      <c r="CF13" s="74" t="e">
        <f t="shared" si="1"/>
        <v>#N/A</v>
      </c>
      <c r="CG13" s="74" t="e">
        <f t="shared" si="1"/>
        <v>#N/A</v>
      </c>
      <c r="CH13" s="74" t="e">
        <f t="shared" si="1"/>
        <v>#N/A</v>
      </c>
      <c r="CI13" s="74" t="e">
        <f t="shared" si="1"/>
        <v>#N/A</v>
      </c>
      <c r="CJ13" s="74" t="e">
        <f t="shared" si="1"/>
        <v>#N/A</v>
      </c>
      <c r="CK13" s="74" t="e">
        <f t="shared" si="1"/>
        <v>#N/A</v>
      </c>
      <c r="CL13" s="74" t="e">
        <f t="shared" si="1"/>
        <v>#N/A</v>
      </c>
      <c r="CM13" s="74" t="e">
        <f t="shared" si="1"/>
        <v>#N/A</v>
      </c>
      <c r="CN13" s="74" t="e">
        <f t="shared" si="1"/>
        <v>#N/A</v>
      </c>
      <c r="CO13" s="74" t="e">
        <f t="shared" si="1"/>
        <v>#N/A</v>
      </c>
      <c r="CP13" s="74" t="e">
        <f t="shared" si="1"/>
        <v>#N/A</v>
      </c>
      <c r="CQ13" s="74" t="e">
        <f t="shared" si="1"/>
        <v>#N/A</v>
      </c>
      <c r="CR13" s="74" t="e">
        <f t="shared" si="1"/>
        <v>#N/A</v>
      </c>
    </row>
    <row r="14" spans="1:104" ht="13">
      <c r="A14" s="67"/>
      <c r="B14" s="107" t="s">
        <v>830</v>
      </c>
      <c r="C14" s="60">
        <v>1</v>
      </c>
      <c r="D14" s="77">
        <v>98.08</v>
      </c>
      <c r="E14" s="60">
        <f>D14*C14</f>
        <v>98.08</v>
      </c>
      <c r="F14" s="328">
        <f>E14/D3</f>
        <v>0.63379644588045236</v>
      </c>
      <c r="I14" s="74"/>
      <c r="J14" s="74"/>
      <c r="K14" s="74"/>
      <c r="L14" s="74"/>
      <c r="M14" s="74"/>
      <c r="N14" s="74"/>
      <c r="O14" s="74"/>
      <c r="P14" s="74"/>
      <c r="Q14" s="74"/>
      <c r="R14" s="74"/>
      <c r="S14" s="74"/>
      <c r="T14" s="74"/>
      <c r="U14" s="74"/>
      <c r="V14" s="74"/>
      <c r="W14" s="74"/>
      <c r="X14" s="74"/>
      <c r="Y14" s="74"/>
      <c r="Z14" s="74"/>
      <c r="AA14" s="74"/>
      <c r="AB14" s="74"/>
      <c r="AC14" s="74"/>
      <c r="AD14" s="74"/>
      <c r="AE14" s="74"/>
      <c r="AF14" s="74"/>
      <c r="AG14" s="74"/>
      <c r="AH14" s="74"/>
      <c r="AI14" s="74"/>
      <c r="AJ14" s="74"/>
      <c r="AK14" s="74"/>
      <c r="AL14" s="74"/>
      <c r="AM14" s="74"/>
      <c r="AN14" s="74"/>
      <c r="AO14" s="74"/>
      <c r="AP14" s="74"/>
      <c r="AQ14" s="74"/>
      <c r="AR14" s="74"/>
      <c r="AS14" s="74"/>
      <c r="AT14" s="74"/>
      <c r="AU14" s="74"/>
      <c r="AV14" s="74"/>
      <c r="AW14" s="74"/>
      <c r="AX14" s="74"/>
      <c r="AY14" s="74"/>
      <c r="AZ14" s="74"/>
      <c r="BA14" s="74"/>
      <c r="BB14" s="74"/>
      <c r="BC14" s="74"/>
      <c r="BD14" s="74"/>
      <c r="BE14" s="74"/>
      <c r="BF14" s="74"/>
      <c r="BG14" s="74"/>
      <c r="BH14" s="74"/>
      <c r="BI14" s="74"/>
      <c r="BJ14" s="74"/>
      <c r="BK14" s="74"/>
      <c r="BL14" s="74"/>
      <c r="BM14" s="74"/>
      <c r="BN14" s="74"/>
      <c r="BO14" s="74"/>
      <c r="BP14" s="74"/>
      <c r="BQ14" s="74"/>
      <c r="BR14" s="74"/>
      <c r="BS14" s="74"/>
      <c r="BT14" s="74"/>
      <c r="BU14" s="74"/>
      <c r="BV14" s="74"/>
      <c r="BW14" s="74"/>
      <c r="BX14" s="74"/>
      <c r="BY14" s="74"/>
      <c r="BZ14" s="74"/>
      <c r="CA14" s="74"/>
      <c r="CB14" s="74"/>
      <c r="CC14" s="74"/>
      <c r="CD14" s="74"/>
      <c r="CE14" s="74"/>
      <c r="CF14" s="74"/>
      <c r="CG14" s="74"/>
      <c r="CH14" s="74"/>
      <c r="CI14" s="74"/>
      <c r="CJ14" s="74"/>
      <c r="CK14" s="74"/>
      <c r="CL14" s="74"/>
      <c r="CM14" s="74"/>
      <c r="CN14" s="74"/>
      <c r="CO14" s="74"/>
      <c r="CP14" s="74"/>
      <c r="CQ14" s="74"/>
      <c r="CR14" s="74"/>
    </row>
    <row r="15" spans="1:104">
      <c r="A15" s="67"/>
      <c r="B15" s="107"/>
      <c r="D15" s="77"/>
      <c r="F15" s="328"/>
      <c r="I15" s="74"/>
      <c r="J15" s="74"/>
      <c r="K15" s="74"/>
      <c r="L15" s="74"/>
      <c r="M15" s="74"/>
      <c r="N15" s="74"/>
      <c r="O15" s="74"/>
      <c r="P15" s="74"/>
      <c r="Q15" s="74"/>
      <c r="R15" s="74"/>
      <c r="S15" s="74"/>
      <c r="T15" s="74"/>
      <c r="U15" s="74"/>
      <c r="V15" s="74"/>
      <c r="W15" s="74"/>
      <c r="X15" s="74"/>
      <c r="Y15" s="74"/>
      <c r="Z15" s="74"/>
      <c r="AA15" s="74"/>
      <c r="AB15" s="74"/>
      <c r="AC15" s="74"/>
      <c r="AD15" s="74"/>
      <c r="AE15" s="74"/>
      <c r="AF15" s="74"/>
      <c r="AG15" s="74"/>
      <c r="AH15" s="74"/>
      <c r="AI15" s="74"/>
      <c r="AJ15" s="74"/>
      <c r="AK15" s="74"/>
      <c r="AL15" s="74"/>
      <c r="AM15" s="74"/>
      <c r="AN15" s="74"/>
      <c r="AO15" s="74"/>
      <c r="AP15" s="74"/>
      <c r="AQ15" s="74"/>
      <c r="AR15" s="74"/>
      <c r="AS15" s="74"/>
      <c r="AT15" s="74"/>
      <c r="AU15" s="74"/>
      <c r="AV15" s="74"/>
      <c r="AW15" s="74"/>
      <c r="AX15" s="74"/>
      <c r="AY15" s="74"/>
      <c r="AZ15" s="74"/>
      <c r="BA15" s="74"/>
      <c r="BB15" s="74"/>
      <c r="BC15" s="74"/>
      <c r="BD15" s="74"/>
      <c r="BE15" s="74"/>
      <c r="BF15" s="74"/>
      <c r="BG15" s="74"/>
      <c r="BH15" s="74"/>
      <c r="BI15" s="74"/>
      <c r="BJ15" s="74"/>
      <c r="BK15" s="74"/>
      <c r="BL15" s="74"/>
      <c r="BM15" s="74"/>
      <c r="BN15" s="74"/>
      <c r="BO15" s="74"/>
      <c r="BP15" s="74"/>
      <c r="BQ15" s="74"/>
      <c r="BR15" s="74"/>
      <c r="BS15" s="74"/>
      <c r="BT15" s="74"/>
      <c r="BU15" s="74"/>
      <c r="BV15" s="74"/>
      <c r="BW15" s="74"/>
      <c r="BX15" s="74"/>
      <c r="BY15" s="74"/>
      <c r="BZ15" s="74"/>
      <c r="CA15" s="74"/>
      <c r="CB15" s="74"/>
      <c r="CC15" s="74"/>
      <c r="CD15" s="74"/>
      <c r="CE15" s="74"/>
      <c r="CF15" s="74"/>
      <c r="CG15" s="74"/>
      <c r="CH15" s="74"/>
      <c r="CI15" s="74"/>
      <c r="CJ15" s="74"/>
      <c r="CK15" s="74"/>
      <c r="CL15" s="74"/>
      <c r="CM15" s="74"/>
      <c r="CN15" s="74"/>
      <c r="CO15" s="74"/>
      <c r="CP15" s="74"/>
      <c r="CQ15" s="74"/>
      <c r="CR15" s="74"/>
    </row>
    <row r="16" spans="1:104">
      <c r="A16" s="67"/>
      <c r="B16" s="107"/>
      <c r="D16" s="77"/>
      <c r="F16" s="328"/>
      <c r="I16" s="74"/>
      <c r="J16" s="74"/>
      <c r="K16" s="74"/>
      <c r="L16" s="74"/>
      <c r="M16" s="74"/>
      <c r="N16" s="74"/>
      <c r="O16" s="74"/>
      <c r="P16" s="74"/>
      <c r="Q16" s="74"/>
      <c r="R16" s="74"/>
      <c r="S16" s="74"/>
      <c r="T16" s="74"/>
      <c r="U16" s="74"/>
      <c r="V16" s="74"/>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c r="BM16" s="74"/>
      <c r="BN16" s="74"/>
      <c r="BO16" s="74"/>
      <c r="BP16" s="74"/>
      <c r="BQ16" s="74"/>
      <c r="BR16" s="74"/>
      <c r="BS16" s="74"/>
      <c r="BT16" s="74"/>
      <c r="BU16" s="74"/>
      <c r="BV16" s="74"/>
      <c r="BW16" s="74"/>
      <c r="BX16" s="74"/>
      <c r="BY16" s="74"/>
      <c r="BZ16" s="74"/>
      <c r="CA16" s="74"/>
      <c r="CB16" s="74"/>
      <c r="CC16" s="74"/>
      <c r="CD16" s="74"/>
      <c r="CE16" s="74"/>
      <c r="CF16" s="74"/>
      <c r="CG16" s="74"/>
      <c r="CH16" s="74"/>
      <c r="CI16" s="74"/>
      <c r="CJ16" s="74"/>
      <c r="CK16" s="74"/>
      <c r="CL16" s="74"/>
      <c r="CM16" s="74"/>
      <c r="CN16" s="74"/>
      <c r="CO16" s="74"/>
      <c r="CP16" s="74"/>
      <c r="CQ16" s="74"/>
      <c r="CR16" s="74"/>
    </row>
    <row r="17" spans="1:96">
      <c r="A17" s="67"/>
      <c r="B17" s="107"/>
      <c r="D17" s="77"/>
      <c r="F17" s="65"/>
      <c r="I17" s="74"/>
      <c r="J17" s="74"/>
      <c r="K17" s="74"/>
      <c r="L17" s="74"/>
      <c r="M17" s="74"/>
      <c r="N17" s="74"/>
      <c r="O17" s="74"/>
      <c r="P17" s="74"/>
      <c r="Q17" s="74"/>
      <c r="R17" s="74"/>
      <c r="S17" s="74"/>
      <c r="T17" s="74"/>
      <c r="U17" s="74"/>
      <c r="V17" s="74"/>
      <c r="W17" s="74"/>
      <c r="X17" s="74"/>
      <c r="Y17" s="74"/>
      <c r="Z17" s="74"/>
      <c r="AA17" s="74"/>
      <c r="AB17" s="74"/>
      <c r="AC17" s="74"/>
      <c r="AD17" s="74"/>
      <c r="AE17" s="74"/>
      <c r="AF17" s="74"/>
      <c r="AG17" s="74"/>
      <c r="AH17" s="74"/>
      <c r="AI17" s="74"/>
      <c r="AJ17" s="74"/>
      <c r="AK17" s="74"/>
      <c r="AL17" s="74"/>
      <c r="AM17" s="74"/>
      <c r="AN17" s="74"/>
      <c r="AO17" s="74"/>
      <c r="AP17" s="74"/>
      <c r="AQ17" s="74"/>
      <c r="AR17" s="74"/>
      <c r="AS17" s="74"/>
      <c r="AT17" s="74"/>
      <c r="AU17" s="74"/>
      <c r="AV17" s="74"/>
      <c r="AW17" s="74"/>
      <c r="AX17" s="74"/>
      <c r="AY17" s="74"/>
      <c r="AZ17" s="74"/>
      <c r="BA17" s="74"/>
      <c r="BB17" s="74"/>
      <c r="BC17" s="74"/>
      <c r="BD17" s="74"/>
      <c r="BE17" s="74"/>
      <c r="BF17" s="74"/>
      <c r="BG17" s="74"/>
      <c r="BH17" s="74"/>
      <c r="BI17" s="74"/>
      <c r="BJ17" s="74"/>
      <c r="BK17" s="74"/>
      <c r="BL17" s="74"/>
      <c r="BM17" s="74"/>
      <c r="BN17" s="74"/>
      <c r="BO17" s="74"/>
      <c r="BP17" s="74"/>
      <c r="BQ17" s="74"/>
      <c r="BR17" s="74"/>
      <c r="BS17" s="74"/>
      <c r="BT17" s="74"/>
      <c r="BU17" s="74"/>
      <c r="BV17" s="74"/>
      <c r="BW17" s="74"/>
      <c r="BX17" s="74"/>
      <c r="BY17" s="74"/>
      <c r="BZ17" s="74"/>
      <c r="CA17" s="74"/>
      <c r="CB17" s="74"/>
      <c r="CC17" s="74"/>
      <c r="CD17" s="74"/>
      <c r="CE17" s="74"/>
      <c r="CF17" s="74"/>
      <c r="CG17" s="74"/>
      <c r="CH17" s="74"/>
      <c r="CI17" s="74"/>
      <c r="CJ17" s="74"/>
      <c r="CK17" s="74"/>
      <c r="CL17" s="74"/>
      <c r="CM17" s="74"/>
      <c r="CN17" s="74"/>
      <c r="CO17" s="74"/>
      <c r="CP17" s="74"/>
      <c r="CQ17" s="74"/>
      <c r="CR17" s="74"/>
    </row>
    <row r="18" spans="1:96" s="104" customFormat="1">
      <c r="H18" s="104" t="s">
        <v>799</v>
      </c>
      <c r="I18" s="105" t="e">
        <f t="shared" ref="I18:AN18" si="2">SUM(I13:I13)</f>
        <v>#N/A</v>
      </c>
      <c r="J18" s="105" t="e">
        <f t="shared" si="2"/>
        <v>#N/A</v>
      </c>
      <c r="K18" s="105" t="e">
        <f t="shared" si="2"/>
        <v>#N/A</v>
      </c>
      <c r="L18" s="105" t="e">
        <f t="shared" si="2"/>
        <v>#N/A</v>
      </c>
      <c r="M18" s="105" t="e">
        <f t="shared" si="2"/>
        <v>#N/A</v>
      </c>
      <c r="N18" s="105" t="e">
        <f t="shared" si="2"/>
        <v>#N/A</v>
      </c>
      <c r="O18" s="105" t="e">
        <f t="shared" si="2"/>
        <v>#N/A</v>
      </c>
      <c r="P18" s="105" t="e">
        <f t="shared" si="2"/>
        <v>#N/A</v>
      </c>
      <c r="Q18" s="105" t="e">
        <f t="shared" si="2"/>
        <v>#N/A</v>
      </c>
      <c r="R18" s="105" t="e">
        <f t="shared" si="2"/>
        <v>#N/A</v>
      </c>
      <c r="S18" s="105" t="e">
        <f t="shared" si="2"/>
        <v>#N/A</v>
      </c>
      <c r="T18" s="105" t="e">
        <f t="shared" si="2"/>
        <v>#N/A</v>
      </c>
      <c r="U18" s="105" t="e">
        <f t="shared" si="2"/>
        <v>#N/A</v>
      </c>
      <c r="V18" s="105" t="e">
        <f t="shared" si="2"/>
        <v>#N/A</v>
      </c>
      <c r="W18" s="105" t="e">
        <f t="shared" si="2"/>
        <v>#N/A</v>
      </c>
      <c r="X18" s="105" t="e">
        <f t="shared" si="2"/>
        <v>#N/A</v>
      </c>
      <c r="Y18" s="105" t="e">
        <f t="shared" si="2"/>
        <v>#N/A</v>
      </c>
      <c r="Z18" s="105" t="e">
        <f t="shared" si="2"/>
        <v>#N/A</v>
      </c>
      <c r="AA18" s="105" t="e">
        <f t="shared" si="2"/>
        <v>#N/A</v>
      </c>
      <c r="AB18" s="105" t="e">
        <f t="shared" si="2"/>
        <v>#N/A</v>
      </c>
      <c r="AC18" s="105" t="e">
        <f t="shared" si="2"/>
        <v>#N/A</v>
      </c>
      <c r="AD18" s="105" t="e">
        <f t="shared" si="2"/>
        <v>#N/A</v>
      </c>
      <c r="AE18" s="105" t="e">
        <f t="shared" si="2"/>
        <v>#N/A</v>
      </c>
      <c r="AF18" s="105" t="e">
        <f t="shared" si="2"/>
        <v>#N/A</v>
      </c>
      <c r="AG18" s="105" t="e">
        <f t="shared" si="2"/>
        <v>#N/A</v>
      </c>
      <c r="AH18" s="105" t="e">
        <f t="shared" si="2"/>
        <v>#N/A</v>
      </c>
      <c r="AI18" s="105" t="e">
        <f t="shared" si="2"/>
        <v>#N/A</v>
      </c>
      <c r="AJ18" s="105" t="e">
        <f t="shared" si="2"/>
        <v>#N/A</v>
      </c>
      <c r="AK18" s="105" t="e">
        <f t="shared" si="2"/>
        <v>#N/A</v>
      </c>
      <c r="AL18" s="105" t="e">
        <f t="shared" si="2"/>
        <v>#N/A</v>
      </c>
      <c r="AM18" s="105" t="e">
        <f t="shared" si="2"/>
        <v>#N/A</v>
      </c>
      <c r="AN18" s="105" t="e">
        <f t="shared" si="2"/>
        <v>#N/A</v>
      </c>
      <c r="AO18" s="105" t="e">
        <f t="shared" ref="AO18:CR18" si="3">SUM(AO13:AO13)</f>
        <v>#N/A</v>
      </c>
      <c r="AP18" s="105" t="e">
        <f t="shared" si="3"/>
        <v>#N/A</v>
      </c>
      <c r="AQ18" s="105" t="e">
        <f t="shared" si="3"/>
        <v>#N/A</v>
      </c>
      <c r="AR18" s="105" t="e">
        <f t="shared" si="3"/>
        <v>#N/A</v>
      </c>
      <c r="AS18" s="105" t="e">
        <f t="shared" si="3"/>
        <v>#N/A</v>
      </c>
      <c r="AT18" s="105" t="e">
        <f t="shared" si="3"/>
        <v>#N/A</v>
      </c>
      <c r="AU18" s="105" t="e">
        <f t="shared" si="3"/>
        <v>#N/A</v>
      </c>
      <c r="AV18" s="105" t="e">
        <f t="shared" si="3"/>
        <v>#N/A</v>
      </c>
      <c r="AW18" s="105" t="e">
        <f t="shared" si="3"/>
        <v>#N/A</v>
      </c>
      <c r="AX18" s="105" t="e">
        <f t="shared" si="3"/>
        <v>#N/A</v>
      </c>
      <c r="AY18" s="105" t="e">
        <f t="shared" si="3"/>
        <v>#N/A</v>
      </c>
      <c r="AZ18" s="105" t="e">
        <f t="shared" si="3"/>
        <v>#N/A</v>
      </c>
      <c r="BA18" s="105" t="e">
        <f t="shared" si="3"/>
        <v>#N/A</v>
      </c>
      <c r="BB18" s="105" t="e">
        <f t="shared" si="3"/>
        <v>#N/A</v>
      </c>
      <c r="BC18" s="105" t="e">
        <f t="shared" si="3"/>
        <v>#N/A</v>
      </c>
      <c r="BD18" s="105" t="e">
        <f t="shared" si="3"/>
        <v>#N/A</v>
      </c>
      <c r="BE18" s="105" t="e">
        <f t="shared" si="3"/>
        <v>#N/A</v>
      </c>
      <c r="BF18" s="105" t="e">
        <f t="shared" si="3"/>
        <v>#N/A</v>
      </c>
      <c r="BG18" s="105" t="e">
        <f t="shared" si="3"/>
        <v>#N/A</v>
      </c>
      <c r="BH18" s="105" t="e">
        <f t="shared" si="3"/>
        <v>#N/A</v>
      </c>
      <c r="BI18" s="105" t="e">
        <f t="shared" si="3"/>
        <v>#N/A</v>
      </c>
      <c r="BJ18" s="105" t="e">
        <f t="shared" si="3"/>
        <v>#N/A</v>
      </c>
      <c r="BK18" s="105" t="e">
        <f t="shared" si="3"/>
        <v>#N/A</v>
      </c>
      <c r="BL18" s="105" t="e">
        <f t="shared" si="3"/>
        <v>#N/A</v>
      </c>
      <c r="BM18" s="105" t="e">
        <f t="shared" si="3"/>
        <v>#N/A</v>
      </c>
      <c r="BN18" s="105" t="e">
        <f t="shared" si="3"/>
        <v>#N/A</v>
      </c>
      <c r="BO18" s="105" t="e">
        <f t="shared" si="3"/>
        <v>#N/A</v>
      </c>
      <c r="BP18" s="105" t="e">
        <f t="shared" si="3"/>
        <v>#N/A</v>
      </c>
      <c r="BQ18" s="105" t="e">
        <f t="shared" si="3"/>
        <v>#N/A</v>
      </c>
      <c r="BR18" s="105" t="e">
        <f t="shared" si="3"/>
        <v>#N/A</v>
      </c>
      <c r="BS18" s="105" t="e">
        <f t="shared" si="3"/>
        <v>#N/A</v>
      </c>
      <c r="BT18" s="105" t="e">
        <f t="shared" si="3"/>
        <v>#N/A</v>
      </c>
      <c r="BU18" s="105" t="e">
        <f t="shared" si="3"/>
        <v>#N/A</v>
      </c>
      <c r="BV18" s="105" t="e">
        <f t="shared" si="3"/>
        <v>#N/A</v>
      </c>
      <c r="BW18" s="105" t="e">
        <f t="shared" si="3"/>
        <v>#N/A</v>
      </c>
      <c r="BX18" s="105" t="e">
        <f t="shared" si="3"/>
        <v>#N/A</v>
      </c>
      <c r="BY18" s="105" t="e">
        <f t="shared" si="3"/>
        <v>#N/A</v>
      </c>
      <c r="BZ18" s="105" t="e">
        <f t="shared" si="3"/>
        <v>#N/A</v>
      </c>
      <c r="CA18" s="105" t="e">
        <f t="shared" si="3"/>
        <v>#N/A</v>
      </c>
      <c r="CB18" s="105" t="e">
        <f t="shared" si="3"/>
        <v>#N/A</v>
      </c>
      <c r="CC18" s="105" t="e">
        <f t="shared" si="3"/>
        <v>#N/A</v>
      </c>
      <c r="CD18" s="105" t="e">
        <f t="shared" si="3"/>
        <v>#N/A</v>
      </c>
      <c r="CE18" s="105" t="e">
        <f t="shared" si="3"/>
        <v>#N/A</v>
      </c>
      <c r="CF18" s="105" t="e">
        <f t="shared" si="3"/>
        <v>#N/A</v>
      </c>
      <c r="CG18" s="105" t="e">
        <f t="shared" si="3"/>
        <v>#N/A</v>
      </c>
      <c r="CH18" s="105" t="e">
        <f t="shared" si="3"/>
        <v>#N/A</v>
      </c>
      <c r="CI18" s="105" t="e">
        <f t="shared" si="3"/>
        <v>#N/A</v>
      </c>
      <c r="CJ18" s="105" t="e">
        <f t="shared" si="3"/>
        <v>#N/A</v>
      </c>
      <c r="CK18" s="105" t="e">
        <f t="shared" si="3"/>
        <v>#N/A</v>
      </c>
      <c r="CL18" s="105" t="e">
        <f t="shared" si="3"/>
        <v>#N/A</v>
      </c>
      <c r="CM18" s="105" t="e">
        <f t="shared" si="3"/>
        <v>#N/A</v>
      </c>
      <c r="CN18" s="105" t="e">
        <f t="shared" si="3"/>
        <v>#N/A</v>
      </c>
      <c r="CO18" s="105" t="e">
        <f t="shared" si="3"/>
        <v>#N/A</v>
      </c>
      <c r="CP18" s="105" t="e">
        <f t="shared" si="3"/>
        <v>#N/A</v>
      </c>
      <c r="CQ18" s="105" t="e">
        <f t="shared" si="3"/>
        <v>#N/A</v>
      </c>
      <c r="CR18" s="105" t="e">
        <f t="shared" si="3"/>
        <v>#N/A</v>
      </c>
    </row>
    <row r="19" spans="1:96" s="104" customFormat="1">
      <c r="H19" s="60"/>
      <c r="I19" s="105"/>
      <c r="J19" s="105"/>
      <c r="K19" s="105"/>
      <c r="L19" s="105"/>
      <c r="M19" s="105"/>
      <c r="N19" s="105"/>
      <c r="O19" s="105"/>
      <c r="P19" s="105"/>
      <c r="Q19" s="105"/>
      <c r="R19" s="105"/>
      <c r="S19" s="105"/>
      <c r="T19" s="105"/>
      <c r="U19" s="105"/>
      <c r="V19" s="105"/>
      <c r="W19" s="105"/>
      <c r="X19" s="105"/>
      <c r="Y19" s="105"/>
      <c r="Z19" s="105"/>
      <c r="AA19" s="105"/>
      <c r="AB19" s="105"/>
      <c r="AC19" s="105"/>
      <c r="AD19" s="105"/>
      <c r="AE19" s="105"/>
      <c r="AF19" s="105"/>
      <c r="AG19" s="105"/>
      <c r="AH19" s="105"/>
      <c r="AI19" s="105"/>
      <c r="AJ19" s="105"/>
      <c r="AK19" s="105"/>
      <c r="AL19" s="105"/>
      <c r="AM19" s="105"/>
      <c r="AN19" s="105"/>
      <c r="AO19" s="105"/>
      <c r="AP19" s="105"/>
      <c r="AQ19" s="105"/>
      <c r="AR19" s="105"/>
      <c r="AS19" s="105"/>
      <c r="AT19" s="105"/>
      <c r="AU19" s="105"/>
      <c r="AV19" s="105"/>
      <c r="AW19" s="105"/>
      <c r="AX19" s="105"/>
      <c r="AY19" s="105"/>
      <c r="AZ19" s="105"/>
      <c r="BA19" s="105"/>
      <c r="BB19" s="105"/>
      <c r="BC19" s="105"/>
      <c r="BD19" s="105"/>
      <c r="BE19" s="105"/>
      <c r="BF19" s="105"/>
      <c r="BG19" s="105"/>
      <c r="BH19" s="105"/>
      <c r="BI19" s="105"/>
      <c r="BJ19" s="105"/>
      <c r="BK19" s="105"/>
      <c r="BL19" s="105"/>
      <c r="BM19" s="105"/>
      <c r="BN19" s="105"/>
      <c r="BO19" s="105"/>
      <c r="BP19" s="105"/>
      <c r="BQ19" s="105"/>
      <c r="BR19" s="105"/>
      <c r="BS19" s="105"/>
      <c r="BT19" s="105"/>
      <c r="BU19" s="105"/>
      <c r="BV19" s="105"/>
      <c r="BW19" s="105"/>
      <c r="BX19" s="105"/>
      <c r="BY19" s="105"/>
      <c r="BZ19" s="105"/>
      <c r="CA19" s="105"/>
      <c r="CB19" s="105"/>
      <c r="CC19" s="105"/>
      <c r="CD19" s="105"/>
      <c r="CE19" s="105"/>
      <c r="CF19" s="105"/>
      <c r="CG19" s="105"/>
      <c r="CH19" s="105"/>
      <c r="CI19" s="105"/>
      <c r="CJ19" s="105"/>
      <c r="CK19" s="105"/>
      <c r="CL19" s="105"/>
      <c r="CM19" s="105"/>
      <c r="CN19" s="105"/>
      <c r="CO19" s="105"/>
      <c r="CP19" s="105"/>
      <c r="CQ19" s="105"/>
      <c r="CR19" s="105"/>
    </row>
    <row r="20" spans="1:96" ht="15">
      <c r="A20"/>
      <c r="H20" s="60" t="s">
        <v>429</v>
      </c>
      <c r="I20" s="74"/>
      <c r="J20" s="74"/>
      <c r="K20" s="74"/>
      <c r="L20" s="74"/>
      <c r="M20" s="74"/>
      <c r="N20" s="74"/>
      <c r="O20" s="74"/>
      <c r="P20" s="74"/>
      <c r="Q20" s="74"/>
      <c r="R20" s="74"/>
      <c r="S20" s="74"/>
      <c r="T20" s="74"/>
      <c r="U20" s="74"/>
      <c r="V20" s="74"/>
      <c r="W20" s="74"/>
      <c r="X20" s="74"/>
      <c r="Y20" s="74"/>
      <c r="Z20" s="74"/>
      <c r="AA20" s="74"/>
      <c r="AB20" s="74"/>
      <c r="AC20" s="74"/>
      <c r="AD20" s="74"/>
      <c r="AE20" s="74"/>
      <c r="AF20" s="74"/>
      <c r="AG20" s="74"/>
      <c r="AH20" s="74"/>
      <c r="AI20" s="74"/>
      <c r="AK20" s="74"/>
      <c r="AL20" s="74"/>
      <c r="AM20" s="74"/>
      <c r="AN20" s="74"/>
      <c r="AO20" s="74"/>
      <c r="AP20" s="74"/>
      <c r="AQ20" s="74"/>
      <c r="AR20" s="74"/>
      <c r="AS20" s="74"/>
      <c r="AT20" s="74"/>
      <c r="AU20" s="74"/>
      <c r="AV20" s="74"/>
      <c r="AW20" s="74"/>
      <c r="AX20" s="74"/>
      <c r="AY20" s="74"/>
      <c r="AZ20" s="74"/>
      <c r="BA20" s="74"/>
      <c r="BB20" s="74"/>
      <c r="BC20" s="74"/>
      <c r="BD20" s="74"/>
      <c r="BE20" s="74"/>
      <c r="BF20" s="74"/>
      <c r="BG20" s="74"/>
      <c r="BH20" s="74"/>
      <c r="BI20" s="74"/>
      <c r="BJ20" s="74"/>
      <c r="BK20" s="74"/>
      <c r="BL20" s="74"/>
      <c r="BM20" s="74"/>
      <c r="BN20" s="74"/>
      <c r="BO20" s="74"/>
      <c r="BP20" s="74"/>
      <c r="BQ20" s="74"/>
      <c r="BR20" s="74"/>
      <c r="BS20" s="74"/>
      <c r="BT20" s="74"/>
      <c r="BU20" s="74"/>
      <c r="BV20" s="74"/>
      <c r="BW20" s="74"/>
      <c r="BX20" s="74"/>
      <c r="BY20" s="74"/>
      <c r="BZ20" s="74"/>
      <c r="CA20" s="74"/>
      <c r="CB20" s="74"/>
      <c r="CC20" s="74"/>
      <c r="CD20" s="74"/>
      <c r="CE20" s="74"/>
      <c r="CF20" s="74"/>
      <c r="CG20" s="74"/>
      <c r="CH20" s="74"/>
      <c r="CI20" s="74"/>
      <c r="CJ20" s="74"/>
      <c r="CK20" s="74"/>
      <c r="CL20" s="74"/>
      <c r="CM20" s="74"/>
      <c r="CN20" s="74"/>
      <c r="CO20" s="74"/>
      <c r="CP20" s="74"/>
      <c r="CQ20" s="74"/>
      <c r="CR20" s="74"/>
    </row>
    <row r="21" spans="1:96">
      <c r="H21" s="60" t="s">
        <v>406</v>
      </c>
      <c r="I21" s="74"/>
      <c r="J21" s="74"/>
      <c r="K21" s="74"/>
      <c r="L21" s="74"/>
      <c r="M21" s="74"/>
      <c r="N21" s="74"/>
      <c r="O21" s="74"/>
      <c r="P21" s="74"/>
      <c r="Q21" s="74"/>
      <c r="R21" s="74"/>
      <c r="S21" s="74"/>
      <c r="T21" s="74"/>
      <c r="U21" s="74"/>
      <c r="V21" s="74"/>
      <c r="W21" s="74"/>
      <c r="X21" s="74"/>
      <c r="Y21" s="74"/>
      <c r="Z21" s="74"/>
      <c r="AA21" s="74"/>
      <c r="AB21" s="74"/>
      <c r="AC21" s="74"/>
      <c r="AD21" s="74"/>
      <c r="AE21" s="74"/>
      <c r="AF21" s="74"/>
      <c r="AG21" s="74"/>
      <c r="AH21" s="74"/>
      <c r="AI21" s="74"/>
      <c r="AK21" s="74"/>
      <c r="AL21" s="74"/>
      <c r="AM21" s="74"/>
      <c r="AN21" s="74"/>
      <c r="AO21" s="74"/>
      <c r="AP21" s="74"/>
      <c r="AQ21" s="74"/>
      <c r="AR21" s="74"/>
      <c r="AS21" s="74"/>
      <c r="AT21" s="74"/>
      <c r="AU21" s="74"/>
      <c r="AV21" s="74"/>
      <c r="AW21" s="74"/>
      <c r="AX21" s="74"/>
      <c r="AY21" s="74"/>
      <c r="AZ21" s="74"/>
      <c r="BA21" s="74"/>
      <c r="BB21" s="74"/>
      <c r="BC21" s="74"/>
      <c r="BD21" s="74"/>
      <c r="BE21" s="74"/>
      <c r="BF21" s="74"/>
      <c r="BG21" s="74"/>
      <c r="BH21" s="74"/>
      <c r="BI21" s="74"/>
      <c r="BJ21" s="74"/>
      <c r="BK21" s="74"/>
      <c r="BL21" s="74"/>
      <c r="BM21" s="74"/>
      <c r="BN21" s="74"/>
      <c r="BO21" s="74"/>
      <c r="BP21" s="74"/>
      <c r="BQ21" s="74"/>
      <c r="BR21" s="74"/>
      <c r="BS21" s="74"/>
      <c r="BT21" s="74"/>
      <c r="BU21" s="74"/>
      <c r="BV21" s="74"/>
      <c r="BW21" s="74"/>
      <c r="BX21" s="74"/>
      <c r="BY21" s="74"/>
      <c r="BZ21" s="74"/>
      <c r="CA21" s="74"/>
      <c r="CB21" s="74"/>
      <c r="CC21" s="74"/>
      <c r="CD21" s="74"/>
      <c r="CE21" s="74"/>
      <c r="CF21" s="74"/>
      <c r="CG21" s="74"/>
      <c r="CH21" s="74"/>
      <c r="CI21" s="74"/>
      <c r="CJ21" s="74"/>
      <c r="CK21" s="74"/>
      <c r="CL21" s="74"/>
      <c r="CM21" s="74"/>
      <c r="CN21" s="74"/>
      <c r="CO21" s="74"/>
      <c r="CP21" s="74"/>
      <c r="CQ21" s="74"/>
      <c r="CR21" s="74"/>
    </row>
    <row r="23" spans="1:96" ht="13" thickBot="1"/>
    <row r="24" spans="1:96" s="73" customFormat="1" ht="13" thickBot="1">
      <c r="H24" s="257" t="s">
        <v>800</v>
      </c>
      <c r="I24" s="258" t="e">
        <f>+I18</f>
        <v>#N/A</v>
      </c>
      <c r="J24" s="258" t="e">
        <f t="shared" ref="J24:BU24" si="4">+J18</f>
        <v>#N/A</v>
      </c>
      <c r="K24" s="258" t="e">
        <f t="shared" si="4"/>
        <v>#N/A</v>
      </c>
      <c r="L24" s="258" t="e">
        <f t="shared" si="4"/>
        <v>#N/A</v>
      </c>
      <c r="M24" s="258" t="e">
        <f t="shared" si="4"/>
        <v>#N/A</v>
      </c>
      <c r="N24" s="258" t="e">
        <f t="shared" si="4"/>
        <v>#N/A</v>
      </c>
      <c r="O24" s="258" t="e">
        <f t="shared" si="4"/>
        <v>#N/A</v>
      </c>
      <c r="P24" s="258" t="e">
        <f t="shared" si="4"/>
        <v>#N/A</v>
      </c>
      <c r="Q24" s="258" t="e">
        <f t="shared" si="4"/>
        <v>#N/A</v>
      </c>
      <c r="R24" s="258" t="e">
        <f t="shared" si="4"/>
        <v>#N/A</v>
      </c>
      <c r="S24" s="258" t="e">
        <f t="shared" si="4"/>
        <v>#N/A</v>
      </c>
      <c r="T24" s="258" t="e">
        <f t="shared" si="4"/>
        <v>#N/A</v>
      </c>
      <c r="U24" s="258" t="e">
        <f t="shared" si="4"/>
        <v>#N/A</v>
      </c>
      <c r="V24" s="258" t="e">
        <f t="shared" si="4"/>
        <v>#N/A</v>
      </c>
      <c r="W24" s="258" t="e">
        <f t="shared" si="4"/>
        <v>#N/A</v>
      </c>
      <c r="X24" s="258" t="e">
        <f t="shared" si="4"/>
        <v>#N/A</v>
      </c>
      <c r="Y24" s="258" t="e">
        <f t="shared" si="4"/>
        <v>#N/A</v>
      </c>
      <c r="Z24" s="258" t="e">
        <f t="shared" si="4"/>
        <v>#N/A</v>
      </c>
      <c r="AA24" s="258" t="e">
        <f t="shared" si="4"/>
        <v>#N/A</v>
      </c>
      <c r="AB24" s="258" t="e">
        <f t="shared" si="4"/>
        <v>#N/A</v>
      </c>
      <c r="AC24" s="258" t="e">
        <f t="shared" si="4"/>
        <v>#N/A</v>
      </c>
      <c r="AD24" s="258" t="e">
        <f t="shared" si="4"/>
        <v>#N/A</v>
      </c>
      <c r="AE24" s="258" t="e">
        <f t="shared" si="4"/>
        <v>#N/A</v>
      </c>
      <c r="AF24" s="258" t="e">
        <f t="shared" si="4"/>
        <v>#N/A</v>
      </c>
      <c r="AG24" s="258" t="e">
        <f t="shared" si="4"/>
        <v>#N/A</v>
      </c>
      <c r="AH24" s="258" t="e">
        <f t="shared" si="4"/>
        <v>#N/A</v>
      </c>
      <c r="AI24" s="258" t="e">
        <f t="shared" si="4"/>
        <v>#N/A</v>
      </c>
      <c r="AJ24" s="258" t="e">
        <f t="shared" si="4"/>
        <v>#N/A</v>
      </c>
      <c r="AK24" s="258" t="e">
        <f t="shared" si="4"/>
        <v>#N/A</v>
      </c>
      <c r="AL24" s="258" t="e">
        <f t="shared" si="4"/>
        <v>#N/A</v>
      </c>
      <c r="AM24" s="258" t="e">
        <f t="shared" si="4"/>
        <v>#N/A</v>
      </c>
      <c r="AN24" s="258" t="e">
        <f t="shared" si="4"/>
        <v>#N/A</v>
      </c>
      <c r="AO24" s="258" t="e">
        <f t="shared" si="4"/>
        <v>#N/A</v>
      </c>
      <c r="AP24" s="258" t="e">
        <f t="shared" si="4"/>
        <v>#N/A</v>
      </c>
      <c r="AQ24" s="258" t="e">
        <f t="shared" si="4"/>
        <v>#N/A</v>
      </c>
      <c r="AR24" s="258" t="e">
        <f t="shared" si="4"/>
        <v>#N/A</v>
      </c>
      <c r="AS24" s="258" t="e">
        <f t="shared" si="4"/>
        <v>#N/A</v>
      </c>
      <c r="AT24" s="258" t="e">
        <f t="shared" si="4"/>
        <v>#N/A</v>
      </c>
      <c r="AU24" s="258" t="e">
        <f t="shared" si="4"/>
        <v>#N/A</v>
      </c>
      <c r="AV24" s="258" t="e">
        <f t="shared" si="4"/>
        <v>#N/A</v>
      </c>
      <c r="AW24" s="258" t="e">
        <f t="shared" si="4"/>
        <v>#N/A</v>
      </c>
      <c r="AX24" s="258" t="e">
        <f t="shared" si="4"/>
        <v>#N/A</v>
      </c>
      <c r="AY24" s="258" t="e">
        <f t="shared" si="4"/>
        <v>#N/A</v>
      </c>
      <c r="AZ24" s="258" t="e">
        <f t="shared" si="4"/>
        <v>#N/A</v>
      </c>
      <c r="BA24" s="258" t="e">
        <f t="shared" si="4"/>
        <v>#N/A</v>
      </c>
      <c r="BB24" s="258" t="e">
        <f t="shared" si="4"/>
        <v>#N/A</v>
      </c>
      <c r="BC24" s="258" t="e">
        <f t="shared" si="4"/>
        <v>#N/A</v>
      </c>
      <c r="BD24" s="258" t="e">
        <f t="shared" si="4"/>
        <v>#N/A</v>
      </c>
      <c r="BE24" s="258" t="e">
        <f t="shared" si="4"/>
        <v>#N/A</v>
      </c>
      <c r="BF24" s="258" t="e">
        <f t="shared" si="4"/>
        <v>#N/A</v>
      </c>
      <c r="BG24" s="258" t="e">
        <f t="shared" si="4"/>
        <v>#N/A</v>
      </c>
      <c r="BH24" s="258" t="e">
        <f t="shared" si="4"/>
        <v>#N/A</v>
      </c>
      <c r="BI24" s="258" t="e">
        <f t="shared" si="4"/>
        <v>#N/A</v>
      </c>
      <c r="BJ24" s="258" t="e">
        <f t="shared" si="4"/>
        <v>#N/A</v>
      </c>
      <c r="BK24" s="258" t="e">
        <f t="shared" si="4"/>
        <v>#N/A</v>
      </c>
      <c r="BL24" s="258" t="e">
        <f t="shared" si="4"/>
        <v>#N/A</v>
      </c>
      <c r="BM24" s="258" t="e">
        <f t="shared" si="4"/>
        <v>#N/A</v>
      </c>
      <c r="BN24" s="258" t="e">
        <f t="shared" si="4"/>
        <v>#N/A</v>
      </c>
      <c r="BO24" s="258" t="e">
        <f t="shared" si="4"/>
        <v>#N/A</v>
      </c>
      <c r="BP24" s="258" t="e">
        <f t="shared" si="4"/>
        <v>#N/A</v>
      </c>
      <c r="BQ24" s="258" t="e">
        <f t="shared" si="4"/>
        <v>#N/A</v>
      </c>
      <c r="BR24" s="258" t="e">
        <f t="shared" si="4"/>
        <v>#N/A</v>
      </c>
      <c r="BS24" s="258" t="e">
        <f t="shared" si="4"/>
        <v>#N/A</v>
      </c>
      <c r="BT24" s="258" t="e">
        <f t="shared" si="4"/>
        <v>#N/A</v>
      </c>
      <c r="BU24" s="258" t="e">
        <f t="shared" si="4"/>
        <v>#N/A</v>
      </c>
      <c r="BV24" s="258" t="e">
        <f t="shared" ref="BV24:CR24" si="5">+BV18</f>
        <v>#N/A</v>
      </c>
      <c r="BW24" s="258" t="e">
        <f t="shared" si="5"/>
        <v>#N/A</v>
      </c>
      <c r="BX24" s="258" t="e">
        <f t="shared" si="5"/>
        <v>#N/A</v>
      </c>
      <c r="BY24" s="258" t="e">
        <f t="shared" si="5"/>
        <v>#N/A</v>
      </c>
      <c r="BZ24" s="258" t="e">
        <f t="shared" si="5"/>
        <v>#N/A</v>
      </c>
      <c r="CA24" s="258" t="e">
        <f t="shared" si="5"/>
        <v>#N/A</v>
      </c>
      <c r="CB24" s="258" t="e">
        <f t="shared" si="5"/>
        <v>#N/A</v>
      </c>
      <c r="CC24" s="258" t="e">
        <f t="shared" si="5"/>
        <v>#N/A</v>
      </c>
      <c r="CD24" s="258" t="e">
        <f t="shared" si="5"/>
        <v>#N/A</v>
      </c>
      <c r="CE24" s="258" t="e">
        <f t="shared" si="5"/>
        <v>#N/A</v>
      </c>
      <c r="CF24" s="258" t="e">
        <f t="shared" si="5"/>
        <v>#N/A</v>
      </c>
      <c r="CG24" s="258" t="e">
        <f t="shared" si="5"/>
        <v>#N/A</v>
      </c>
      <c r="CH24" s="258" t="e">
        <f t="shared" si="5"/>
        <v>#N/A</v>
      </c>
      <c r="CI24" s="258" t="e">
        <f t="shared" si="5"/>
        <v>#N/A</v>
      </c>
      <c r="CJ24" s="258" t="e">
        <f t="shared" si="5"/>
        <v>#N/A</v>
      </c>
      <c r="CK24" s="258" t="e">
        <f t="shared" si="5"/>
        <v>#N/A</v>
      </c>
      <c r="CL24" s="258" t="e">
        <f t="shared" si="5"/>
        <v>#N/A</v>
      </c>
      <c r="CM24" s="258" t="e">
        <f t="shared" si="5"/>
        <v>#N/A</v>
      </c>
      <c r="CN24" s="258" t="e">
        <f t="shared" si="5"/>
        <v>#N/A</v>
      </c>
      <c r="CO24" s="258" t="e">
        <f t="shared" si="5"/>
        <v>#N/A</v>
      </c>
      <c r="CP24" s="258" t="e">
        <f t="shared" si="5"/>
        <v>#N/A</v>
      </c>
      <c r="CQ24" s="258" t="e">
        <f t="shared" si="5"/>
        <v>#N/A</v>
      </c>
      <c r="CR24" s="258" t="e">
        <f t="shared" si="5"/>
        <v>#N/A</v>
      </c>
    </row>
  </sheetData>
  <pageMargins left="0.7" right="0.7" top="0.75" bottom="0.75" header="0.3" footer="0.3"/>
  <drawing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ET24"/>
  <sheetViews>
    <sheetView workbookViewId="0">
      <pane xSplit="11" ySplit="7" topLeftCell="L14" activePane="bottomRight" state="frozen"/>
      <selection pane="topRight" activeCell="L1" sqref="L1"/>
      <selection pane="bottomLeft" activeCell="A7" sqref="A7"/>
      <selection pane="bottomRight" activeCell="V21" sqref="V21"/>
    </sheetView>
  </sheetViews>
  <sheetFormatPr baseColWidth="10" defaultColWidth="22.6640625" defaultRowHeight="12"/>
  <cols>
    <col min="1" max="1" width="13.5" style="60" bestFit="1" customWidth="1"/>
    <col min="2" max="2" width="11.33203125" style="60" bestFit="1" customWidth="1"/>
    <col min="3" max="3" width="4.83203125" style="60" bestFit="1" customWidth="1"/>
    <col min="4" max="4" width="12.33203125" style="60" bestFit="1" customWidth="1"/>
    <col min="5" max="5" width="11.83203125" style="60" bestFit="1" customWidth="1"/>
    <col min="6" max="6" width="6" style="60" bestFit="1" customWidth="1"/>
    <col min="7" max="7" width="4.1640625" style="60" bestFit="1" customWidth="1"/>
    <col min="8" max="8" width="22.83203125" style="60" bestFit="1" customWidth="1"/>
    <col min="9" max="10" width="5.5" style="60" bestFit="1" customWidth="1"/>
    <col min="11" max="11" width="5.6640625" style="60" bestFit="1" customWidth="1"/>
    <col min="12" max="12" width="5.5" style="60" bestFit="1" customWidth="1"/>
    <col min="13" max="13" width="5.83203125" style="60" bestFit="1" customWidth="1"/>
    <col min="14" max="18" width="5.5" style="60" bestFit="1" customWidth="1"/>
    <col min="19" max="19" width="5.6640625" style="60" bestFit="1" customWidth="1"/>
    <col min="20" max="22" width="5.5" style="60" bestFit="1" customWidth="1"/>
    <col min="23" max="43" width="6.1640625" style="60" bestFit="1" customWidth="1"/>
    <col min="44" max="45" width="5.5" style="60" bestFit="1" customWidth="1"/>
    <col min="46" max="46" width="6.1640625" style="60" bestFit="1" customWidth="1"/>
    <col min="47" max="47" width="5.6640625" style="60" bestFit="1" customWidth="1"/>
    <col min="48" max="48" width="5.5" style="60" bestFit="1" customWidth="1"/>
    <col min="49" max="49" width="5.83203125" style="60" bestFit="1" customWidth="1"/>
    <col min="50" max="51" width="5.5" style="60" bestFit="1" customWidth="1"/>
    <col min="52" max="54" width="7" style="60" bestFit="1" customWidth="1"/>
    <col min="55" max="56" width="5.5" style="60" bestFit="1" customWidth="1"/>
    <col min="57" max="58" width="5.83203125" style="60" bestFit="1" customWidth="1"/>
    <col min="59" max="59" width="5.6640625" style="60" bestFit="1" customWidth="1"/>
    <col min="60" max="65" width="6.1640625" style="60" bestFit="1" customWidth="1"/>
    <col min="66" max="70" width="5.6640625" style="60" bestFit="1" customWidth="1"/>
    <col min="71" max="82" width="5.5" style="60" bestFit="1" customWidth="1"/>
    <col min="83" max="83" width="6.1640625" style="60" bestFit="1" customWidth="1"/>
    <col min="84" max="86" width="5.6640625" style="60" bestFit="1" customWidth="1"/>
    <col min="87" max="90" width="5.5" style="60" bestFit="1" customWidth="1"/>
    <col min="91" max="95" width="6.33203125" style="60" bestFit="1" customWidth="1"/>
    <col min="96" max="99" width="6.1640625" style="60" bestFit="1" customWidth="1"/>
    <col min="100" max="103" width="5.5" style="60" bestFit="1" customWidth="1"/>
    <col min="104" max="107" width="5.83203125" style="60" bestFit="1" customWidth="1"/>
    <col min="108" max="115" width="5.6640625" style="60" bestFit="1" customWidth="1"/>
    <col min="116" max="119" width="6.1640625" style="60" bestFit="1" customWidth="1"/>
    <col min="120" max="123" width="5.83203125" style="60" bestFit="1" customWidth="1"/>
    <col min="124" max="144" width="5.1640625" style="60" bestFit="1" customWidth="1"/>
    <col min="145" max="150" width="6.5" style="60" bestFit="1" customWidth="1"/>
    <col min="151" max="16384" width="22.6640625" style="60"/>
  </cols>
  <sheetData>
    <row r="1" spans="1:150" ht="13">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c r="EM1" s="99">
        <v>141</v>
      </c>
    </row>
    <row r="2" spans="1:150">
      <c r="A2" s="59"/>
      <c r="B2" s="59"/>
      <c r="C2" s="59"/>
      <c r="D2" s="98"/>
      <c r="E2" s="98"/>
      <c r="F2" s="59"/>
      <c r="H2" s="99"/>
      <c r="I2" s="99"/>
      <c r="J2" s="99"/>
      <c r="K2" s="99"/>
      <c r="L2" s="99"/>
      <c r="M2" s="99"/>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99"/>
      <c r="AP2" s="99"/>
      <c r="AQ2" s="99"/>
      <c r="AR2" s="99"/>
      <c r="AS2" s="99"/>
      <c r="AT2" s="99"/>
      <c r="AU2" s="99"/>
      <c r="AV2" s="99"/>
      <c r="AW2" s="99"/>
      <c r="AX2" s="99"/>
      <c r="AY2" s="99"/>
      <c r="AZ2" s="99"/>
      <c r="BA2" s="99"/>
      <c r="BB2" s="99"/>
      <c r="BC2" s="99"/>
      <c r="BD2" s="99"/>
      <c r="BE2" s="99"/>
      <c r="BF2" s="99"/>
      <c r="BG2" s="99"/>
      <c r="BH2" s="99"/>
      <c r="BI2" s="99"/>
      <c r="BJ2" s="99"/>
      <c r="BK2" s="99"/>
      <c r="BL2" s="99"/>
      <c r="BM2" s="99"/>
      <c r="BN2" s="99"/>
      <c r="BO2" s="99"/>
      <c r="BP2" s="99"/>
      <c r="BQ2" s="99"/>
      <c r="BR2" s="99"/>
      <c r="BS2" s="99"/>
      <c r="BT2" s="99"/>
      <c r="BU2" s="99"/>
      <c r="BV2" s="99"/>
      <c r="BW2" s="99"/>
      <c r="BX2" s="99"/>
      <c r="BY2" s="99"/>
      <c r="BZ2" s="99"/>
      <c r="CA2" s="99"/>
      <c r="CB2" s="99"/>
      <c r="CC2" s="99"/>
      <c r="CD2" s="99"/>
      <c r="CE2" s="99"/>
      <c r="CF2" s="99"/>
      <c r="CG2" s="99"/>
      <c r="CH2" s="99"/>
      <c r="CI2" s="99"/>
      <c r="CJ2" s="99"/>
      <c r="CK2" s="99"/>
      <c r="CL2" s="99"/>
      <c r="CM2" s="99"/>
      <c r="CN2" s="99"/>
    </row>
    <row r="3" spans="1:150" ht="26">
      <c r="A3" s="107" t="s">
        <v>842</v>
      </c>
      <c r="B3" s="100"/>
      <c r="C3" s="101"/>
      <c r="D3" s="282">
        <v>164.24</v>
      </c>
      <c r="K3" s="102"/>
      <c r="M3" s="102"/>
    </row>
    <row r="4" spans="1:150">
      <c r="A4" s="36"/>
      <c r="B4" s="64"/>
      <c r="D4" s="100"/>
      <c r="E4" s="64"/>
      <c r="F4" s="103"/>
    </row>
    <row r="5" spans="1:150">
      <c r="A5" s="64"/>
      <c r="B5" s="64"/>
      <c r="D5" s="64"/>
      <c r="E5" s="64"/>
      <c r="H5" s="60" t="s">
        <v>387</v>
      </c>
    </row>
    <row r="6" spans="1:150">
      <c r="A6" s="74"/>
      <c r="B6" s="74"/>
    </row>
    <row r="7" spans="1:150">
      <c r="A7" s="59"/>
      <c r="B7" s="59"/>
      <c r="C7" s="59"/>
      <c r="D7" s="98"/>
      <c r="E7" s="98"/>
      <c r="F7" s="59"/>
      <c r="H7" s="59" t="s">
        <v>416</v>
      </c>
      <c r="I7" s="59">
        <v>43831</v>
      </c>
      <c r="J7" s="59">
        <v>43862</v>
      </c>
      <c r="K7" s="59">
        <v>43891</v>
      </c>
      <c r="L7" s="59">
        <v>43922</v>
      </c>
      <c r="M7" s="59">
        <v>43952</v>
      </c>
      <c r="N7" s="59">
        <v>43983</v>
      </c>
      <c r="O7" s="59">
        <v>44013</v>
      </c>
      <c r="P7" s="59">
        <v>44044</v>
      </c>
      <c r="Q7" s="59">
        <v>44075</v>
      </c>
      <c r="R7" s="59">
        <v>44105</v>
      </c>
      <c r="S7" s="59">
        <v>44136</v>
      </c>
      <c r="T7" s="59">
        <v>44166</v>
      </c>
      <c r="U7" s="59">
        <v>44197</v>
      </c>
      <c r="V7" s="59">
        <v>44228</v>
      </c>
      <c r="W7" s="59">
        <v>44256</v>
      </c>
      <c r="X7" s="59">
        <v>44287</v>
      </c>
      <c r="Y7" s="59">
        <v>44317</v>
      </c>
      <c r="Z7" s="59">
        <v>44348</v>
      </c>
      <c r="AA7" s="59">
        <v>44378</v>
      </c>
      <c r="AB7" s="59">
        <v>44409</v>
      </c>
      <c r="AC7" s="59">
        <v>44440</v>
      </c>
      <c r="AD7" s="59">
        <v>44470</v>
      </c>
      <c r="AE7" s="59">
        <v>44501</v>
      </c>
      <c r="AF7" s="59">
        <v>44531</v>
      </c>
      <c r="AG7" s="59">
        <v>44562</v>
      </c>
      <c r="AH7" s="59">
        <v>44593</v>
      </c>
      <c r="AI7" s="59">
        <v>44621</v>
      </c>
      <c r="AJ7" s="59">
        <v>44652</v>
      </c>
      <c r="AK7" s="59">
        <v>44682</v>
      </c>
      <c r="AL7" s="59">
        <v>44713</v>
      </c>
      <c r="AM7" s="59">
        <v>44743</v>
      </c>
      <c r="AN7" s="59">
        <v>44774</v>
      </c>
      <c r="AO7" s="59">
        <v>44805</v>
      </c>
      <c r="AP7" s="59">
        <v>44835</v>
      </c>
      <c r="AQ7" s="59">
        <v>44866</v>
      </c>
      <c r="AR7" s="59">
        <v>44896</v>
      </c>
      <c r="AS7" s="59">
        <v>44927</v>
      </c>
      <c r="AT7" s="59">
        <v>44958</v>
      </c>
      <c r="AU7" s="59">
        <v>44986</v>
      </c>
      <c r="AV7" s="59">
        <v>45017</v>
      </c>
      <c r="AW7" s="59">
        <v>45047</v>
      </c>
      <c r="AX7" s="59">
        <v>45078</v>
      </c>
      <c r="AY7" s="59">
        <v>45108</v>
      </c>
      <c r="AZ7" s="59" t="s">
        <v>530</v>
      </c>
      <c r="BA7" s="59" t="s">
        <v>531</v>
      </c>
      <c r="BB7" s="59" t="s">
        <v>532</v>
      </c>
      <c r="BC7" s="59">
        <v>37104</v>
      </c>
      <c r="BD7" s="59">
        <v>37469</v>
      </c>
      <c r="BE7" s="59" t="s">
        <v>168</v>
      </c>
      <c r="BF7" s="59" t="s">
        <v>169</v>
      </c>
      <c r="BG7" s="59" t="s">
        <v>195</v>
      </c>
      <c r="BH7" s="59" t="s">
        <v>196</v>
      </c>
      <c r="BI7" s="59" t="s">
        <v>197</v>
      </c>
      <c r="BJ7" s="59" t="s">
        <v>198</v>
      </c>
      <c r="BK7" s="59" t="s">
        <v>199</v>
      </c>
      <c r="BL7" s="59" t="s">
        <v>200</v>
      </c>
      <c r="BM7" s="59" t="s">
        <v>201</v>
      </c>
      <c r="BN7" s="59" t="s">
        <v>202</v>
      </c>
      <c r="BO7" s="59">
        <v>37196</v>
      </c>
      <c r="BP7" s="59">
        <v>37561</v>
      </c>
      <c r="BQ7" s="59">
        <v>37926</v>
      </c>
      <c r="BR7" s="59">
        <v>38292</v>
      </c>
      <c r="BS7" s="59">
        <v>37226</v>
      </c>
      <c r="BT7" s="59">
        <v>37591</v>
      </c>
      <c r="BU7" s="59">
        <v>37956</v>
      </c>
      <c r="BV7" s="59">
        <v>38322</v>
      </c>
      <c r="BW7" s="59">
        <v>36892</v>
      </c>
      <c r="BX7" s="59">
        <v>37257</v>
      </c>
      <c r="BY7" s="59">
        <v>37622</v>
      </c>
      <c r="BZ7" s="59">
        <v>37987</v>
      </c>
      <c r="CA7" s="59">
        <v>36923</v>
      </c>
      <c r="CB7" s="59">
        <v>37288</v>
      </c>
      <c r="CC7" s="59">
        <v>37653</v>
      </c>
      <c r="CD7" s="59">
        <v>38018</v>
      </c>
      <c r="CE7" s="59" t="str">
        <f>Sheet8!A15</f>
        <v>Mar-w1</v>
      </c>
      <c r="CF7" s="59">
        <v>37316</v>
      </c>
      <c r="CG7" s="59">
        <v>37681</v>
      </c>
      <c r="CH7" s="59">
        <v>38047</v>
      </c>
      <c r="CI7" s="59" t="str">
        <f>Sheet8!E15</f>
        <v>Apr-w1</v>
      </c>
      <c r="CJ7" s="59" t="str">
        <f>Sheet8!F15</f>
        <v>Apr-w2</v>
      </c>
      <c r="CK7" s="59" t="str">
        <f>Sheet8!G15</f>
        <v>Apr-w3</v>
      </c>
      <c r="CL7" s="59" t="str">
        <f>Sheet8!H15</f>
        <v>Apr-w4</v>
      </c>
      <c r="CM7" s="59" t="str">
        <f>Sheet8!I15</f>
        <v>May-w1</v>
      </c>
      <c r="CN7" s="59" t="str">
        <f>Sheet8!J15</f>
        <v>May-w2</v>
      </c>
      <c r="CO7" s="59" t="str">
        <f>Sheet8!K15</f>
        <v>May-w3</v>
      </c>
      <c r="CP7" s="59" t="str">
        <f>Sheet8!L15</f>
        <v>May-w4</v>
      </c>
      <c r="CQ7" s="59" t="str">
        <f>Sheet8!M15</f>
        <v>May-w5</v>
      </c>
      <c r="CR7" s="59" t="str">
        <f>Sheet8!N15</f>
        <v>june-w1</v>
      </c>
      <c r="CS7" s="59" t="str">
        <f>Sheet8!O15</f>
        <v>june-w2</v>
      </c>
      <c r="CT7" s="59" t="str">
        <f>Sheet8!P15</f>
        <v>june-w3</v>
      </c>
      <c r="CU7" s="59" t="str">
        <f>Sheet8!Q15</f>
        <v>june-w4</v>
      </c>
      <c r="CV7" s="59" t="str">
        <f>Sheet8!R15</f>
        <v>Jul-w1</v>
      </c>
      <c r="CW7" s="59" t="str">
        <f>Sheet8!S15</f>
        <v>Jul-w2</v>
      </c>
      <c r="CX7" s="59" t="str">
        <f>Sheet8!T15</f>
        <v>Jul-w3</v>
      </c>
      <c r="CY7" s="59" t="str">
        <f>Sheet8!U15</f>
        <v>Jul-w4</v>
      </c>
      <c r="CZ7" s="59" t="str">
        <f>Sheet8!V15</f>
        <v>Aug-w1</v>
      </c>
      <c r="DA7" s="59" t="str">
        <f>Sheet8!W15</f>
        <v>Aug-w2</v>
      </c>
      <c r="DB7" s="59" t="str">
        <f>Sheet8!X15</f>
        <v>Aug-w3</v>
      </c>
      <c r="DC7" s="59" t="str">
        <f>Sheet8!Y15</f>
        <v>Aug-w4</v>
      </c>
      <c r="DD7" s="59" t="str">
        <f>Sheet8!Z15</f>
        <v>Sep-w1</v>
      </c>
      <c r="DE7" s="59" t="str">
        <f>Sheet8!AA15</f>
        <v>Sep-w2</v>
      </c>
      <c r="DF7" s="59" t="str">
        <f>Sheet8!AB15</f>
        <v>Sep-w3</v>
      </c>
      <c r="DG7" s="59" t="str">
        <f>Sheet8!AC15</f>
        <v>Sep-w4</v>
      </c>
      <c r="DH7" s="59" t="str">
        <f>Sheet8!AD15</f>
        <v>Oct-w1</v>
      </c>
      <c r="DI7" s="59" t="str">
        <f>Sheet8!AE15</f>
        <v>Oct-w2</v>
      </c>
      <c r="DJ7" s="59" t="str">
        <f>Sheet8!AF15</f>
        <v>Oct-w3</v>
      </c>
      <c r="DK7" s="59" t="str">
        <f>Sheet8!AG15</f>
        <v>Oct-w4</v>
      </c>
      <c r="DL7" s="59" t="str">
        <f>Sheet8!AH15</f>
        <v>Nov-w1</v>
      </c>
      <c r="DM7" s="59" t="str">
        <f>Sheet8!AI15</f>
        <v>Nov-w2</v>
      </c>
      <c r="DN7" s="59" t="str">
        <f>Sheet8!AJ15</f>
        <v>Nov-w3</v>
      </c>
      <c r="DO7" s="59" t="str">
        <f>Sheet8!AK15</f>
        <v>Nov-w4</v>
      </c>
      <c r="DP7" s="59" t="str">
        <f>Sheet8!AL15</f>
        <v>Dec-w1</v>
      </c>
      <c r="DQ7" s="59" t="str">
        <f>Sheet8!AM15</f>
        <v>Dec-w2</v>
      </c>
      <c r="DR7" s="59" t="str">
        <f>Sheet8!AN15</f>
        <v>Dec-w3</v>
      </c>
      <c r="DS7" s="59" t="str">
        <f>Sheet8!AO15</f>
        <v>Dec-w4</v>
      </c>
      <c r="DT7" s="59">
        <f>Sheet8!AP15</f>
        <v>0</v>
      </c>
      <c r="DU7" s="59">
        <f>Sheet8!AQ15</f>
        <v>0</v>
      </c>
      <c r="DV7" s="59">
        <f>Sheet8!AR15</f>
        <v>0</v>
      </c>
      <c r="DW7" s="59">
        <f>Sheet8!AS15</f>
        <v>0</v>
      </c>
      <c r="DX7" s="59">
        <f>Sheet8!AT15</f>
        <v>0</v>
      </c>
      <c r="DY7" s="59">
        <f>Sheet8!AU15</f>
        <v>0</v>
      </c>
      <c r="DZ7" s="59">
        <f>Sheet8!AV15</f>
        <v>0</v>
      </c>
      <c r="EA7" s="59">
        <f>Sheet8!AW15</f>
        <v>0</v>
      </c>
      <c r="EB7" s="59">
        <f>Sheet8!AX15</f>
        <v>0</v>
      </c>
      <c r="EC7" s="59">
        <f>Sheet8!AY15</f>
        <v>0</v>
      </c>
      <c r="ED7" s="59">
        <f>Sheet8!AZ15</f>
        <v>0</v>
      </c>
      <c r="EE7" s="59">
        <f>Sheet8!BA15</f>
        <v>0</v>
      </c>
      <c r="EF7" s="59">
        <f>Sheet8!BB15</f>
        <v>0</v>
      </c>
      <c r="EG7" s="59">
        <f>Sheet8!BC15</f>
        <v>0</v>
      </c>
      <c r="EH7" s="59">
        <f>Sheet8!BD15</f>
        <v>0</v>
      </c>
      <c r="EI7" s="59">
        <f>Sheet8!BE15</f>
        <v>0</v>
      </c>
      <c r="EJ7" s="59">
        <f>Sheet8!BF15</f>
        <v>0</v>
      </c>
      <c r="EK7" s="59">
        <f>Sheet8!BG15</f>
        <v>0</v>
      </c>
      <c r="EL7" s="59">
        <f>Sheet8!BH15</f>
        <v>0</v>
      </c>
      <c r="EM7" s="59">
        <f>Sheet8!BI15</f>
        <v>0</v>
      </c>
      <c r="EN7" s="59">
        <f>Sheet8!BJ15</f>
        <v>0</v>
      </c>
      <c r="EO7" s="59">
        <f>Sheet8!BK15</f>
        <v>0</v>
      </c>
      <c r="EP7" s="59">
        <f>Sheet8!BL15</f>
        <v>0</v>
      </c>
      <c r="EQ7" s="59">
        <f>Sheet8!BM15</f>
        <v>0</v>
      </c>
      <c r="ER7" s="59">
        <f>Sheet8!BN15</f>
        <v>0</v>
      </c>
      <c r="ES7" s="59">
        <f>Sheet8!BO15</f>
        <v>0</v>
      </c>
      <c r="ET7" s="59">
        <f>Sheet8!BP15</f>
        <v>0</v>
      </c>
    </row>
    <row r="8" spans="1:150">
      <c r="H8" s="178" t="s">
        <v>67</v>
      </c>
      <c r="I8" s="74">
        <f>VLOOKUP($H$8&amp;$F$1,'Input RM sheet'!$A:$BD,H1,0)</f>
        <v>865</v>
      </c>
      <c r="J8" s="74">
        <f>VLOOKUP($H$8&amp;$F$1,'Input RM sheet'!$A:$BD,I1,0)</f>
        <v>920</v>
      </c>
      <c r="K8" s="74">
        <f>VLOOKUP($H$8&amp;$F$1,'Input RM sheet'!$A:$DD,J1,0)</f>
        <v>795</v>
      </c>
      <c r="L8" s="74">
        <f>VLOOKUP($H$8&amp;$F$1,'Input RM sheet'!$A:$DD,K1,0)</f>
        <v>665</v>
      </c>
      <c r="M8" s="74">
        <f>VLOOKUP($H$8&amp;$F$1,'Input RM sheet'!$A:$DD,L1,0)</f>
        <v>700</v>
      </c>
      <c r="N8" s="74">
        <f>VLOOKUP($H$8&amp;$F$1,'Input RM sheet'!$A:$DD,M1,0)</f>
        <v>840</v>
      </c>
      <c r="O8" s="74">
        <f>VLOOKUP($H$8&amp;$F$1,'Input RM sheet'!$A:$DD,N1,0)</f>
        <v>630</v>
      </c>
      <c r="P8" s="74">
        <f>VLOOKUP($H$8&amp;$F$1,'Input RM sheet'!$A:$DD,O1,0)</f>
        <v>625</v>
      </c>
      <c r="Q8" s="74">
        <f>VLOOKUP($H$8&amp;$F$1,'Input RM sheet'!$A:$DD,P1,0)</f>
        <v>625</v>
      </c>
      <c r="R8" s="74">
        <f>VLOOKUP($H$8&amp;$F$1,'Input RM sheet'!$A:$DD,Q1,0)</f>
        <v>645</v>
      </c>
      <c r="S8" s="74">
        <f>VLOOKUP($H$8&amp;$F$1,'Input RM sheet'!$A:$DD,R1,0)</f>
        <v>750</v>
      </c>
      <c r="T8" s="74">
        <f>VLOOKUP($H$8&amp;$F$1,'Input RM sheet'!$A:$DD,S1,0)</f>
        <v>850</v>
      </c>
      <c r="U8" s="74">
        <f>VLOOKUP($H$8&amp;$F$1,'Input RM sheet'!$A:$DD,T1,0)</f>
        <v>875</v>
      </c>
      <c r="V8" s="74">
        <f>VLOOKUP($H$8&amp;$F$1,'Input RM sheet'!$A:$DD,U1,0)</f>
        <v>925</v>
      </c>
      <c r="W8" s="74">
        <f>VLOOKUP($H$8&amp;$F$1,'Input RM sheet'!$A:$DD,V1,0)</f>
        <v>1150</v>
      </c>
      <c r="X8" s="74">
        <f>VLOOKUP($H$8&amp;$F$1,'Input RM sheet'!$A:$DD,W1,0)</f>
        <v>1200</v>
      </c>
      <c r="Y8" s="74">
        <f>VLOOKUP($H$8&amp;$F$1,'Input RM sheet'!$A:$DD,X1,0)</f>
        <v>1300</v>
      </c>
      <c r="Z8" s="74">
        <f>VLOOKUP($H$8&amp;$F$1,'Input RM sheet'!$A:$DD,Y1,0)</f>
        <v>1150</v>
      </c>
      <c r="AA8" s="74">
        <f>VLOOKUP($H$8&amp;$F$1,'Input RM sheet'!$A:$DD,Z1,0)</f>
        <v>1230</v>
      </c>
      <c r="AB8" s="74">
        <f>VLOOKUP($H$8&amp;$F$1,'Input RM sheet'!$A:$DD,AA1,0)</f>
        <v>1215</v>
      </c>
      <c r="AC8" s="74">
        <f>VLOOKUP($H$8&amp;$F$1,'Input RM sheet'!$A:$DD,AB1,0)</f>
        <v>1425</v>
      </c>
      <c r="AD8" s="74">
        <f>VLOOKUP($H$8&amp;$F$1,'Input RM sheet'!$A:$DD,AC1,0)</f>
        <v>1375</v>
      </c>
      <c r="AE8" s="74">
        <f>VLOOKUP($H$8&amp;$F$1,'Input RM sheet'!$A:$DD,AD1,0)</f>
        <v>1250</v>
      </c>
      <c r="AF8" s="74">
        <f>VLOOKUP($H$8&amp;$F$1,'Input RM sheet'!$A:$DD,AE1,0)</f>
        <v>1225</v>
      </c>
      <c r="AG8" s="74">
        <f>VLOOKUP($H$8&amp;$F$1,'Input RM sheet'!$A:$DD,AF1,0)</f>
        <v>1475</v>
      </c>
      <c r="AH8" s="74">
        <f>VLOOKUP($H$8&amp;$F$1,'Input RM sheet'!$A:$DD,AG1,0)</f>
        <v>1495</v>
      </c>
      <c r="AI8" s="74">
        <f>VLOOKUP($H$8&amp;$F$1,'Input RM sheet'!$A:$DD,AH1,0)</f>
        <v>1555</v>
      </c>
      <c r="AJ8" s="74">
        <f>VLOOKUP($H$8&amp;$F$1,'Input RM sheet'!$A:$DD,AI1,0)</f>
        <v>1455</v>
      </c>
      <c r="AK8" s="74">
        <f>VLOOKUP($H$8&amp;$F$1,'Input RM sheet'!$A:$DD,AJ1,0)</f>
        <v>1425</v>
      </c>
      <c r="AL8" s="74">
        <f>VLOOKUP($H$8&amp;$F$1,'Input RM sheet'!$A:$DD,AK1,0)</f>
        <v>1475</v>
      </c>
      <c r="AM8" s="74">
        <f>VLOOKUP($H$8&amp;$F$1,'Input RM sheet'!$A:$DD,AL1,0)</f>
        <v>1225</v>
      </c>
      <c r="AN8" s="74">
        <f>VLOOKUP($H$8&amp;$F$1,'Input RM sheet'!$A:$DD,AM1,0)</f>
        <v>1180</v>
      </c>
      <c r="AO8" s="74">
        <f>VLOOKUP($H$8&amp;$F$1,'Input RM sheet'!$A:$DD,AN1,0)</f>
        <v>1240</v>
      </c>
      <c r="AP8" s="74">
        <f>VLOOKUP($H$8&amp;$F$1,'Input RM sheet'!$A:$DD,AO1,0)</f>
        <v>1190</v>
      </c>
      <c r="AQ8" s="74">
        <f>VLOOKUP($H$8&amp;$F$1,'Input RM sheet'!$A:$DD,AP1,0)</f>
        <v>1075</v>
      </c>
      <c r="AR8" s="74">
        <f>VLOOKUP($H$8&amp;$F$1,'Input RM sheet'!$A:$DD,AQ1,0)</f>
        <v>955</v>
      </c>
      <c r="AS8" s="74">
        <f>VLOOKUP($H$8&amp;$F$1,'Input RM sheet'!$A:$DD,AR1,0)</f>
        <v>910</v>
      </c>
      <c r="AT8" s="74">
        <f>VLOOKUP($H$8&amp;$F$1,'Input RM sheet'!$A:$DD,AS1,0)</f>
        <v>1000</v>
      </c>
      <c r="AU8" s="74">
        <f>VLOOKUP($H$8&amp;$F$1,'Input RM sheet'!$A:$DD,AT1,0)</f>
        <v>940</v>
      </c>
      <c r="AV8" s="74">
        <f>VLOOKUP($H$8&amp;$F$1,'Input RM sheet'!$A:$DD,AU1,0)</f>
        <v>900</v>
      </c>
      <c r="AW8" s="74">
        <f>VLOOKUP($H$8&amp;$F$1,'Input RM sheet'!$A:$DD,AV1,0)</f>
        <v>880</v>
      </c>
      <c r="AX8" s="74">
        <f>VLOOKUP($H$8&amp;$F$1,'Input RM sheet'!$A:$DD,AW1,0)</f>
        <v>725</v>
      </c>
      <c r="AY8" s="74">
        <f>VLOOKUP($H$8&amp;$F$1,'Input RM sheet'!$A:$DD,AX1,0)</f>
        <v>725</v>
      </c>
      <c r="AZ8" s="74">
        <f>VLOOKUP($H$8&amp;$F$1,'Input RM sheet'!$A:$DD,AY1,0)</f>
        <v>725</v>
      </c>
      <c r="BA8" s="74">
        <f>VLOOKUP($H$8&amp;$F$1,'Input RM sheet'!$A:$DD,AZ1,0)</f>
        <v>725</v>
      </c>
      <c r="BB8" s="74">
        <f>VLOOKUP($H$8&amp;$F$1,'Input RM sheet'!$A:$DD,BA1,0)</f>
        <v>825</v>
      </c>
      <c r="BC8" s="74">
        <f>VLOOKUP($H$8&amp;$F$1,'Input RM sheet'!$A:$DD,BB1,0)</f>
        <v>825</v>
      </c>
      <c r="BD8" s="74">
        <f>VLOOKUP($H$8&amp;$F$1,'Input RM sheet'!$A:$DD,BC1,0)</f>
        <v>977.04</v>
      </c>
      <c r="BE8" s="74">
        <f>VLOOKUP($H$8&amp;$F$1,'Input RM sheet'!$A:$DD,BD1,0)</f>
        <v>925</v>
      </c>
      <c r="BF8" s="74">
        <f>VLOOKUP($H$8&amp;$F$1,'Input RM sheet'!$A:$DD,BE1,0)</f>
        <v>925</v>
      </c>
      <c r="BG8" s="74">
        <f>VLOOKUP($H$8&amp;$F$1,'Input RM sheet'!$A:$DD,BF1,0)</f>
        <v>925</v>
      </c>
      <c r="BH8" s="74">
        <f>VLOOKUP($H$8&amp;$F$1,'Input RM sheet'!$A:$DD,BG1,0)</f>
        <v>1050</v>
      </c>
      <c r="BI8" s="74">
        <f>VLOOKUP($H$8&amp;$F$1,'Input RM sheet'!$A:$DD,BH1,0)</f>
        <v>1050</v>
      </c>
      <c r="BJ8" s="74">
        <f>VLOOKUP($H$8&amp;$F$1,'Input RM sheet'!$A:$DD,BI1,0)</f>
        <v>1050</v>
      </c>
      <c r="BK8" s="74">
        <f>VLOOKUP($H$8&amp;$F$1,'Input RM sheet'!$A:$DD,BJ1,0)</f>
        <v>1075</v>
      </c>
      <c r="BL8" s="74">
        <f>VLOOKUP($H$8&amp;$F$1,'Input RM sheet'!$A:$DD,BK1,0)</f>
        <v>1075</v>
      </c>
      <c r="BM8" s="74">
        <f>VLOOKUP($H$8&amp;$F$1,'Input RM sheet'!$A:$DD,BL1,0)</f>
        <v>1075</v>
      </c>
      <c r="BN8" s="74">
        <f>VLOOKUP($H$8&amp;$F$1,'Input RM sheet'!$A:$DD,BM1,0)</f>
        <v>975</v>
      </c>
      <c r="BO8" s="74">
        <f>VLOOKUP($H$8&amp;$F$1,'Input RM sheet'!$A:$DD,BN1,0)</f>
        <v>925</v>
      </c>
      <c r="BP8" s="74">
        <f>VLOOKUP($H$8&amp;$F$1,'Input RM sheet'!$A:$DD,BO1,0)</f>
        <v>925</v>
      </c>
      <c r="BQ8" s="74">
        <f>VLOOKUP($H$8&amp;$F$1,'Input RM sheet'!$A:$DD,BP1,0)</f>
        <v>925</v>
      </c>
      <c r="BR8" s="74">
        <f>VLOOKUP($H$8&amp;$F$1,'Input RM sheet'!$A:$DD,BQ1,0)</f>
        <v>925</v>
      </c>
      <c r="BS8" s="74">
        <f>VLOOKUP($H$8&amp;$F$1,'Input RM sheet'!$A:$DD,BR1,0)</f>
        <v>925</v>
      </c>
      <c r="BT8" s="74">
        <f>VLOOKUP($H$8&amp;$F$1,'Input RM sheet'!$A:$DD,BS1,0)</f>
        <v>925</v>
      </c>
      <c r="BU8" s="74">
        <f>VLOOKUP($H$8&amp;$F$1,'Input RM sheet'!$A:$DD,BT1,0)</f>
        <v>905</v>
      </c>
      <c r="BV8" s="74">
        <f>VLOOKUP($H$8&amp;$F$1,'Input RM sheet'!$A:$DD,BU1,0)</f>
        <v>905</v>
      </c>
      <c r="BW8" s="74">
        <f>VLOOKUP($H$8&amp;$F$1,'Input RM sheet'!$A:$DD,BV1,0)</f>
        <v>905</v>
      </c>
      <c r="BX8" s="74">
        <f>VLOOKUP($H$8&amp;$F$1,'Input RM sheet'!$A:$DD,BW1,0)</f>
        <v>905</v>
      </c>
      <c r="BY8" s="74">
        <f>VLOOKUP($H$8&amp;$F$1,'Input RM sheet'!$A:$DD,BX1,0)</f>
        <v>905</v>
      </c>
      <c r="BZ8" s="74">
        <f>VLOOKUP($H$8&amp;$F$1,'Input RM sheet'!$A:$DD,BY1,0)</f>
        <v>865</v>
      </c>
      <c r="CA8" s="74">
        <f>VLOOKUP($H$8&amp;$F$1,'Input RM sheet'!$A:$DD,BZ1,0)</f>
        <v>865</v>
      </c>
      <c r="CB8" s="74">
        <f>VLOOKUP($H$8&amp;$F$1,'Input RM sheet'!$A:$DD,CA1,0)</f>
        <v>865</v>
      </c>
      <c r="CC8" s="74">
        <f>VLOOKUP($H$8&amp;$F$1,'Input RM sheet'!$A:$DD,CB1,0)</f>
        <v>940</v>
      </c>
      <c r="CD8" s="74">
        <f>VLOOKUP($H$8&amp;$F$1,'Input RM sheet'!$A:$DD,CC1,0)</f>
        <v>940</v>
      </c>
      <c r="CE8" s="74">
        <f>VLOOKUP($H$8&amp;$F$1,'Input RM sheet'!$A:$DD,CD1,0)</f>
        <v>940</v>
      </c>
      <c r="CF8" s="74">
        <f>VLOOKUP($H$8&amp;$F$1,'Input RM sheet'!$A:$DD,CE1,0)</f>
        <v>940</v>
      </c>
      <c r="CG8" s="74">
        <f>VLOOKUP($H$8&amp;$F$1,'Input RM sheet'!$A:$DD,CF1,0)</f>
        <v>940</v>
      </c>
      <c r="CH8" s="74">
        <f>VLOOKUP($H$8&amp;$F$1,'Input RM sheet'!$A:$DD,CG1,0)</f>
        <v>910</v>
      </c>
      <c r="CI8" s="74">
        <f>VLOOKUP($H$8&amp;$F$1,'Input RM sheet'!$A:$DD,CH1,0)</f>
        <v>910</v>
      </c>
      <c r="CJ8" s="74">
        <f>VLOOKUP($H$8&amp;$F$1,'Input RM sheet'!$A:$DD,CI1,0)</f>
        <v>910</v>
      </c>
      <c r="CK8" s="74">
        <f>VLOOKUP($H$8&amp;$F$1,'Input RM sheet'!$A:$DD,CJ1,0)</f>
        <v>910</v>
      </c>
      <c r="CL8" s="74">
        <f>VLOOKUP($H$8&amp;$F$1,'Input RM sheet'!$A:$DD,CK1,0)</f>
        <v>945</v>
      </c>
      <c r="CM8" s="74">
        <f>VLOOKUP($H$8&amp;$F$1,'Input RM sheet'!$A:$DD,CL1,0)</f>
        <v>945</v>
      </c>
      <c r="CN8" s="74">
        <f>VLOOKUP($H$8&amp;$F$1,'Input RM sheet'!$A:$DD,CM1,0)</f>
        <v>945</v>
      </c>
      <c r="CO8" s="74">
        <f>VLOOKUP($H$8&amp;$F$1,'Input RM sheet'!$A:$DD,CN1,0)</f>
        <v>945</v>
      </c>
      <c r="CP8" s="74">
        <f>VLOOKUP($H$8&amp;$F$1,'Input RM sheet'!$A:$DD,CO1,0)</f>
        <v>945</v>
      </c>
      <c r="CQ8" s="74">
        <f>VLOOKUP($H$8&amp;$F$1,'Input RM sheet'!$A:$DD,CP1,0)</f>
        <v>945</v>
      </c>
      <c r="CR8" s="74">
        <f>VLOOKUP($H$8&amp;$F$1,'Input RM sheet'!$A:$ZZ,CQ1,0)</f>
        <v>910</v>
      </c>
      <c r="CS8" s="74">
        <f>VLOOKUP($H$8&amp;$F$1,'Input RM sheet'!$A:$ZZ,CR1,0)</f>
        <v>910</v>
      </c>
      <c r="CT8" s="74">
        <f>VLOOKUP($H$8&amp;$F$1,'Input RM sheet'!$A:$ZZ,CS1,0)</f>
        <v>910</v>
      </c>
      <c r="CU8" s="74">
        <f>VLOOKUP($H$8&amp;$F$1,'Input RM sheet'!$A:$ZZ,CT1,0)</f>
        <v>930</v>
      </c>
      <c r="CV8" s="74">
        <f>VLOOKUP($H$8&amp;$F$1,'Input RM sheet'!$A:$ZZ,CU1,0)</f>
        <v>930</v>
      </c>
      <c r="CW8" s="74">
        <f>VLOOKUP($H$8&amp;$F$1,'Input RM sheet'!$A:$ZZ,CV1,0)</f>
        <v>930</v>
      </c>
      <c r="CX8" s="74">
        <f>VLOOKUP($H$8&amp;$F$1,'Input RM sheet'!$A:$ZZ,CW1,0)</f>
        <v>930</v>
      </c>
      <c r="CY8" s="74">
        <f>VLOOKUP($H$8&amp;$F$1,'Input RM sheet'!$A:$ZZ,CX1,0)</f>
        <v>970</v>
      </c>
      <c r="CZ8" s="74">
        <f>VLOOKUP($H$8&amp;$F$1,'Input RM sheet'!$A:$ZZ,CY1,0)</f>
        <v>1015</v>
      </c>
      <c r="DA8" s="74">
        <f>VLOOKUP($H$8&amp;$F$1,'Input RM sheet'!$A:$ZZ,CZ1,0)</f>
        <v>1015</v>
      </c>
      <c r="DB8" s="74">
        <f>VLOOKUP($H$8&amp;$F$1,'Input RM sheet'!$A:$ZZ,DA1,0)</f>
        <v>1010</v>
      </c>
      <c r="DC8" s="74">
        <f>VLOOKUP($H$8&amp;$F$1,'Input RM sheet'!$A:$ZZ,DB1,0)</f>
        <v>1090</v>
      </c>
      <c r="DD8" s="74">
        <f>VLOOKUP($H$8&amp;$F$1,'Input RM sheet'!$A:$ZZ,DC1,0)</f>
        <v>1090</v>
      </c>
      <c r="DE8" s="74">
        <f>VLOOKUP($H$8&amp;$F$1,'Input RM sheet'!$A:$ZZ,DD1,0)</f>
        <v>1090</v>
      </c>
      <c r="DF8" s="74">
        <f>VLOOKUP($H$8&amp;$F$1,'Input RM sheet'!$A:$ZZ,DE1,0)</f>
        <v>1025</v>
      </c>
      <c r="DG8" s="74">
        <f>VLOOKUP($H$8&amp;$F$1,'Input RM sheet'!$A:$ZZ,DF1,0)</f>
        <v>1025</v>
      </c>
      <c r="DH8" s="74">
        <f>VLOOKUP($H$8&amp;$F$1,'Input RM sheet'!$A:$ZZ,DG1,0)</f>
        <v>985</v>
      </c>
      <c r="DI8" s="74">
        <f>VLOOKUP($H$8&amp;$F$1,'Input RM sheet'!$A:$ZZ,DH1,0)</f>
        <v>955</v>
      </c>
      <c r="DJ8" s="74">
        <f>VLOOKUP($H$8&amp;$F$1,'Input RM sheet'!$A:$ZZ,DI1,0)</f>
        <v>905</v>
      </c>
      <c r="DK8" s="74">
        <f>VLOOKUP($H$8&amp;$F$1,'Input RM sheet'!$A:$ZZ,DJ1,0)</f>
        <v>895</v>
      </c>
      <c r="DL8" s="74">
        <f>VLOOKUP($H$8&amp;$F$1,'Input RM sheet'!$A:$ZZ,DK1,0)</f>
        <v>895</v>
      </c>
      <c r="DM8" s="74">
        <f>VLOOKUP($H$8&amp;$F$1,'Input RM sheet'!$A:$ZZ,DL1,0)</f>
        <v>900</v>
      </c>
      <c r="DN8" s="74">
        <f>VLOOKUP($H$8&amp;$F$1,'Input RM sheet'!$A:$ZZ,DM1,0)</f>
        <v>910</v>
      </c>
      <c r="DO8" s="74">
        <f>VLOOKUP($H$8&amp;$F$1,'Input RM sheet'!$A:$ZZ,DN1,0)</f>
        <v>895</v>
      </c>
      <c r="DP8" s="74">
        <f>VLOOKUP($H$8&amp;$F$1,'Input RM sheet'!$A:$ZZ,DO1,0)</f>
        <v>895</v>
      </c>
      <c r="DQ8" s="74">
        <f>VLOOKUP($H$8&amp;$F$1,'Input RM sheet'!$A:$ZZ,DP1,0)</f>
        <v>900</v>
      </c>
      <c r="DR8" s="74">
        <f>VLOOKUP($H$8&amp;$F$1,'Input RM sheet'!$A:$ZZ,DQ1,0)</f>
        <v>900</v>
      </c>
      <c r="DS8" s="74">
        <f>VLOOKUP($H$8&amp;$F$1,'Input RM sheet'!$A:$ZZ,DR1,0)</f>
        <v>900</v>
      </c>
      <c r="DT8" s="74">
        <f>VLOOKUP($H$8&amp;$F$1,'Input RM sheet'!$A:$ZZ,DS1,0)</f>
        <v>0</v>
      </c>
      <c r="DU8" s="74">
        <f>VLOOKUP($H$8&amp;$F$1,'Input RM sheet'!$A:$ZZ,DT1,0)</f>
        <v>0</v>
      </c>
      <c r="DV8" s="74">
        <f>VLOOKUP($H$8&amp;$F$1,'Input RM sheet'!$A:$ZZ,DU1,0)</f>
        <v>0</v>
      </c>
      <c r="DW8" s="74">
        <f>VLOOKUP($H$8&amp;$F$1,'Input RM sheet'!$A:$ZZ,DV1,0)</f>
        <v>0</v>
      </c>
      <c r="DX8" s="74">
        <f>VLOOKUP($H$8&amp;$F$1,'Input RM sheet'!$A:$ZZ,DW1,0)</f>
        <v>0</v>
      </c>
      <c r="DY8" s="74">
        <f>VLOOKUP($H$8&amp;$F$1,'Input RM sheet'!$A:$ZZ,DX1,0)</f>
        <v>0</v>
      </c>
      <c r="DZ8" s="74">
        <f>VLOOKUP($H$8&amp;$F$1,'Input RM sheet'!$A:$ZZ,DY1,0)</f>
        <v>0</v>
      </c>
      <c r="EA8" s="74">
        <f>VLOOKUP($H$8&amp;$F$1,'Input RM sheet'!$A:$ZZ,DZ1,0)</f>
        <v>0</v>
      </c>
      <c r="EB8" s="74">
        <f>VLOOKUP($H$8&amp;$F$1,'Input RM sheet'!$A:$ZZ,EA1,0)</f>
        <v>0</v>
      </c>
      <c r="EC8" s="74">
        <f>VLOOKUP($H$8&amp;$F$1,'Input RM sheet'!$A:$ZZ,EB1,0)</f>
        <v>0</v>
      </c>
      <c r="ED8" s="74">
        <f>VLOOKUP($H$8&amp;$F$1,'Input RM sheet'!$A:$ZZ,EC1,0)</f>
        <v>0</v>
      </c>
      <c r="EE8" s="74">
        <f>VLOOKUP($H$8&amp;$F$1,'Input RM sheet'!$A:$ZZ,ED1,0)</f>
        <v>0</v>
      </c>
      <c r="EF8" s="74">
        <f>VLOOKUP($H$8&amp;$F$1,'Input RM sheet'!$A:$ZZ,EE1,0)</f>
        <v>0</v>
      </c>
      <c r="EG8" s="74">
        <f>VLOOKUP($H$8&amp;$F$1,'Input RM sheet'!$A:$ZZ,EF1,0)</f>
        <v>0</v>
      </c>
      <c r="EH8" s="74">
        <f>VLOOKUP($H$8&amp;$F$1,'Input RM sheet'!$A:$ZZ,EG1,0)</f>
        <v>0</v>
      </c>
      <c r="EI8" s="74">
        <f>VLOOKUP($H$8&amp;$F$1,'Input RM sheet'!$A:$ZZ,EH1,0)</f>
        <v>0</v>
      </c>
      <c r="EJ8" s="74">
        <f>VLOOKUP($H$8&amp;$F$1,'Input RM sheet'!$A:$ZZ,EI1,0)</f>
        <v>0</v>
      </c>
      <c r="EK8" s="74">
        <f>VLOOKUP($H$8&amp;$F$1,'Input RM sheet'!$A:$ZZ,EJ1,0)</f>
        <v>0</v>
      </c>
      <c r="EL8" s="74">
        <f>VLOOKUP($H$8&amp;$F$1,'Input RM sheet'!$A:$ZZ,EK1,0)</f>
        <v>0</v>
      </c>
      <c r="EM8" s="74">
        <f>VLOOKUP($H$8&amp;$F$1,'Input RM sheet'!$A:$ZZ,EL1,0)</f>
        <v>0</v>
      </c>
      <c r="EN8" s="74">
        <f>VLOOKUP($H$8&amp;$F$1,'Input RM sheet'!$A:$ZZ,EM1,0)</f>
        <v>0</v>
      </c>
      <c r="EO8" s="74" t="e" vm="1">
        <f>VLOOKUP($H$8&amp;$F$1,'Input RM sheet'!$A:$ZZ,EN1,0)</f>
        <v>#VALUE!</v>
      </c>
      <c r="EP8" s="74" t="e" vm="1">
        <f>VLOOKUP($H$8&amp;$F$1,'Input RM sheet'!$A:$ZZ,EO1,0)</f>
        <v>#VALUE!</v>
      </c>
      <c r="EQ8" s="74" t="e" vm="1">
        <f>VLOOKUP($H$8&amp;$F$1,'Input RM sheet'!$A:$ZZ,EP1,0)</f>
        <v>#VALUE!</v>
      </c>
      <c r="ER8" s="74" t="e" vm="1">
        <f>VLOOKUP($H$8&amp;$F$1,'Input RM sheet'!$A:$ZZ,EQ1,0)</f>
        <v>#VALUE!</v>
      </c>
      <c r="ES8" s="74" t="e" vm="1">
        <f>VLOOKUP($H$8&amp;$F$1,'Input RM sheet'!$A:$ZZ,ER1,0)</f>
        <v>#VALUE!</v>
      </c>
      <c r="ET8" s="74" t="e" vm="1">
        <f>VLOOKUP($H$8&amp;$F$1,'Input RM sheet'!$A:$ZZ,ES1,0)</f>
        <v>#VALUE!</v>
      </c>
    </row>
    <row r="9" spans="1:150">
      <c r="H9" s="107"/>
      <c r="I9" s="74"/>
      <c r="J9" s="74"/>
      <c r="K9" s="74"/>
      <c r="L9" s="74"/>
      <c r="M9" s="74"/>
      <c r="N9" s="74"/>
      <c r="O9" s="74"/>
      <c r="P9" s="74"/>
      <c r="Q9" s="74"/>
      <c r="R9" s="74"/>
      <c r="S9" s="74"/>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74"/>
      <c r="BG9" s="74"/>
      <c r="BH9" s="74"/>
      <c r="BI9" s="74"/>
      <c r="BJ9" s="74"/>
      <c r="BK9" s="74"/>
      <c r="BL9" s="74"/>
      <c r="BM9" s="74"/>
      <c r="BN9" s="74"/>
      <c r="BO9" s="74"/>
      <c r="BP9" s="74"/>
      <c r="BQ9" s="74"/>
      <c r="BR9" s="74"/>
      <c r="BS9" s="74"/>
      <c r="BT9" s="74"/>
      <c r="BU9" s="74"/>
      <c r="BV9" s="74"/>
      <c r="BW9" s="74"/>
      <c r="BX9" s="74"/>
      <c r="BY9" s="74"/>
      <c r="BZ9" s="74"/>
      <c r="CA9" s="74"/>
      <c r="CB9" s="74"/>
      <c r="CC9" s="74"/>
      <c r="CD9" s="74"/>
      <c r="CE9" s="74"/>
      <c r="CF9" s="74"/>
      <c r="CG9" s="74"/>
      <c r="CH9" s="74"/>
      <c r="CI9" s="74"/>
      <c r="CJ9" s="74"/>
      <c r="CK9" s="74"/>
      <c r="CL9" s="74"/>
      <c r="CM9" s="74"/>
      <c r="CN9" s="74"/>
      <c r="CO9" s="74"/>
      <c r="CP9" s="74"/>
      <c r="CQ9" s="74"/>
      <c r="CR9" s="74"/>
      <c r="CS9" s="74"/>
      <c r="CT9" s="74"/>
      <c r="CU9" s="74"/>
      <c r="CV9" s="74"/>
      <c r="CW9" s="74"/>
      <c r="CX9" s="74"/>
      <c r="CY9" s="74"/>
      <c r="CZ9" s="74"/>
      <c r="DA9" s="74"/>
      <c r="DB9" s="74"/>
      <c r="DC9" s="74"/>
      <c r="DD9" s="74"/>
      <c r="DE9" s="74"/>
      <c r="DF9" s="74"/>
      <c r="DG9" s="74"/>
      <c r="DH9" s="74"/>
      <c r="DI9" s="74"/>
      <c r="DJ9" s="74"/>
      <c r="DK9" s="74"/>
      <c r="DL9" s="74"/>
      <c r="DM9" s="74"/>
      <c r="DN9" s="74"/>
      <c r="DO9" s="74"/>
      <c r="DP9" s="74"/>
      <c r="DQ9" s="74"/>
      <c r="DR9" s="74"/>
      <c r="DS9" s="74"/>
      <c r="DT9" s="74"/>
      <c r="DU9" s="74"/>
      <c r="DV9" s="74"/>
      <c r="DW9" s="74"/>
      <c r="DX9" s="74"/>
      <c r="DY9" s="74"/>
      <c r="DZ9" s="74"/>
      <c r="EA9" s="74"/>
      <c r="EB9" s="74"/>
      <c r="EC9" s="74"/>
      <c r="ED9" s="74"/>
      <c r="EE9" s="74"/>
      <c r="EF9" s="74"/>
      <c r="EG9" s="74"/>
      <c r="EH9" s="74"/>
      <c r="EI9" s="74"/>
      <c r="EJ9" s="74"/>
      <c r="EK9" s="74"/>
      <c r="EL9" s="74"/>
      <c r="EM9" s="74"/>
      <c r="EN9" s="74"/>
      <c r="EO9" s="74"/>
      <c r="EP9" s="74"/>
      <c r="EQ9" s="74"/>
      <c r="ER9" s="74"/>
      <c r="ES9" s="74"/>
      <c r="ET9" s="74"/>
    </row>
    <row r="10" spans="1:150">
      <c r="H10" s="107"/>
      <c r="I10" s="74"/>
      <c r="J10" s="74"/>
      <c r="K10" s="74"/>
      <c r="L10" s="74"/>
      <c r="M10" s="74"/>
      <c r="N10" s="74"/>
      <c r="O10" s="7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c r="CE10" s="74"/>
      <c r="CF10" s="74"/>
      <c r="CG10" s="74"/>
      <c r="CH10" s="74"/>
      <c r="CI10" s="74"/>
      <c r="CJ10" s="74"/>
      <c r="CK10" s="74"/>
      <c r="CL10" s="74"/>
      <c r="CM10" s="74"/>
      <c r="CN10" s="74"/>
      <c r="CO10" s="74"/>
      <c r="CP10" s="74"/>
      <c r="CQ10" s="74"/>
      <c r="CR10" s="74"/>
      <c r="CS10" s="74"/>
      <c r="CT10" s="74"/>
      <c r="CU10" s="74"/>
      <c r="CV10" s="74"/>
      <c r="CW10" s="74"/>
      <c r="CX10" s="74"/>
      <c r="CY10" s="74"/>
      <c r="CZ10" s="74"/>
      <c r="DA10" s="74"/>
      <c r="DB10" s="74"/>
      <c r="DC10" s="74"/>
      <c r="DD10" s="74"/>
      <c r="DE10" s="74"/>
      <c r="DF10" s="74"/>
      <c r="DG10" s="74"/>
      <c r="DH10" s="74"/>
      <c r="DI10" s="74"/>
      <c r="DJ10" s="74"/>
      <c r="DK10" s="74"/>
      <c r="DL10" s="74"/>
      <c r="DM10" s="74"/>
      <c r="DN10" s="74"/>
      <c r="DO10" s="74"/>
      <c r="DP10" s="74"/>
      <c r="DQ10" s="74"/>
      <c r="DR10" s="74"/>
      <c r="DS10" s="74"/>
      <c r="DT10" s="74"/>
      <c r="DU10" s="74"/>
      <c r="DV10" s="74"/>
      <c r="DW10" s="74"/>
      <c r="DX10" s="74"/>
      <c r="DY10" s="74"/>
      <c r="DZ10" s="74"/>
      <c r="EA10" s="74"/>
      <c r="EB10" s="74"/>
      <c r="EC10" s="74"/>
      <c r="ED10" s="74"/>
      <c r="EE10" s="74"/>
      <c r="EF10" s="74"/>
      <c r="EG10" s="74"/>
      <c r="EH10" s="74"/>
      <c r="EI10" s="74"/>
      <c r="EJ10" s="74"/>
      <c r="EK10" s="74"/>
      <c r="EL10" s="74"/>
      <c r="EM10" s="74"/>
      <c r="EN10" s="74"/>
      <c r="EO10" s="74"/>
      <c r="EP10" s="74"/>
      <c r="EQ10" s="74"/>
      <c r="ER10" s="74"/>
      <c r="ES10" s="74"/>
      <c r="ET10" s="74"/>
    </row>
    <row r="11" spans="1:150">
      <c r="H11" s="107"/>
      <c r="I11" s="74"/>
      <c r="J11" s="74"/>
      <c r="K11" s="74"/>
      <c r="L11" s="74"/>
      <c r="M11" s="74"/>
      <c r="N11" s="74"/>
      <c r="O11" s="74"/>
      <c r="P11" s="74"/>
      <c r="Q11" s="74"/>
      <c r="R11" s="74"/>
      <c r="S11" s="74"/>
      <c r="T11" s="74"/>
      <c r="U11" s="74"/>
      <c r="V11" s="74"/>
      <c r="W11" s="74"/>
      <c r="X11" s="74"/>
      <c r="Y11" s="74"/>
      <c r="Z11" s="74"/>
      <c r="AA11" s="74"/>
      <c r="AB11" s="74"/>
      <c r="AC11" s="74"/>
      <c r="AD11" s="74"/>
      <c r="AE11" s="74"/>
      <c r="AF11" s="74"/>
      <c r="AG11" s="74"/>
      <c r="AH11" s="74"/>
      <c r="AI11" s="74"/>
      <c r="AJ11" s="74"/>
      <c r="AK11" s="74"/>
      <c r="AL11" s="74"/>
      <c r="AM11" s="74"/>
      <c r="AN11" s="74"/>
      <c r="AO11" s="74"/>
      <c r="AP11" s="74"/>
      <c r="AQ11" s="74"/>
      <c r="AR11" s="74"/>
      <c r="AS11" s="74"/>
      <c r="AT11" s="74"/>
      <c r="AU11" s="74"/>
      <c r="AV11" s="74"/>
      <c r="AW11" s="74"/>
      <c r="AX11" s="74"/>
      <c r="AY11" s="74"/>
      <c r="AZ11" s="74"/>
      <c r="BA11" s="74"/>
      <c r="BB11" s="74"/>
      <c r="BC11" s="74"/>
      <c r="BD11" s="74"/>
      <c r="BE11" s="74"/>
      <c r="BF11" s="74"/>
      <c r="BG11" s="74"/>
      <c r="BH11" s="74"/>
      <c r="BI11" s="74"/>
      <c r="BJ11" s="74"/>
      <c r="BK11" s="74"/>
      <c r="BL11" s="74"/>
      <c r="BM11" s="74"/>
      <c r="BN11" s="74"/>
      <c r="BO11" s="74"/>
      <c r="BP11" s="74"/>
      <c r="BQ11" s="74"/>
      <c r="BR11" s="74"/>
      <c r="BS11" s="74"/>
      <c r="BT11" s="74"/>
      <c r="BU11" s="74"/>
      <c r="BV11" s="74"/>
      <c r="BW11" s="74"/>
      <c r="BX11" s="74"/>
      <c r="BY11" s="74"/>
      <c r="BZ11" s="74"/>
      <c r="CA11" s="74"/>
      <c r="CB11" s="74"/>
      <c r="CC11" s="74"/>
      <c r="CD11" s="74"/>
      <c r="CE11" s="74"/>
      <c r="CF11" s="74"/>
      <c r="CG11" s="74"/>
      <c r="CH11" s="74"/>
      <c r="CI11" s="74"/>
      <c r="CJ11" s="74"/>
      <c r="CK11" s="74"/>
      <c r="CL11" s="74"/>
      <c r="CM11" s="74"/>
      <c r="CN11" s="74"/>
      <c r="CO11" s="74"/>
      <c r="CP11" s="74"/>
      <c r="CQ11" s="74"/>
      <c r="CR11" s="74"/>
      <c r="CS11" s="74"/>
      <c r="CT11" s="74"/>
      <c r="CU11" s="74"/>
      <c r="CV11" s="74"/>
      <c r="CW11" s="74"/>
      <c r="CX11" s="74"/>
      <c r="CY11" s="74"/>
      <c r="CZ11" s="74"/>
      <c r="DA11" s="74"/>
      <c r="DB11" s="74"/>
      <c r="DC11" s="74"/>
      <c r="DD11" s="74"/>
      <c r="DE11" s="74"/>
      <c r="DF11" s="74"/>
      <c r="DG11" s="74"/>
      <c r="DH11" s="74"/>
      <c r="DI11" s="74"/>
      <c r="DJ11" s="74"/>
      <c r="DK11" s="74"/>
      <c r="DL11" s="74"/>
      <c r="DM11" s="74"/>
      <c r="DN11" s="74"/>
      <c r="DO11" s="74"/>
      <c r="DP11" s="74"/>
      <c r="DQ11" s="74"/>
      <c r="DR11" s="74"/>
      <c r="DS11" s="74"/>
      <c r="DT11" s="74"/>
      <c r="DU11" s="74"/>
      <c r="DV11" s="74"/>
      <c r="DW11" s="74"/>
      <c r="DX11" s="74"/>
      <c r="DY11" s="74"/>
      <c r="DZ11" s="74"/>
      <c r="EA11" s="74"/>
      <c r="EB11" s="74"/>
      <c r="EC11" s="74"/>
      <c r="ED11" s="74"/>
      <c r="EE11" s="74"/>
      <c r="EF11" s="74"/>
      <c r="EG11" s="74"/>
      <c r="EH11" s="74"/>
      <c r="EI11" s="74"/>
      <c r="EJ11" s="74"/>
      <c r="EK11" s="74"/>
      <c r="EL11" s="74"/>
      <c r="EM11" s="74"/>
      <c r="EN11" s="74"/>
      <c r="EO11" s="74"/>
      <c r="EP11" s="74"/>
      <c r="EQ11" s="74"/>
      <c r="ER11" s="74"/>
      <c r="ES11" s="74"/>
      <c r="ET11" s="74"/>
    </row>
    <row r="12" spans="1:150" ht="13">
      <c r="A12" s="59" t="s">
        <v>395</v>
      </c>
      <c r="B12" s="59"/>
      <c r="C12" s="59" t="s">
        <v>379</v>
      </c>
      <c r="D12" s="98" t="s">
        <v>380</v>
      </c>
      <c r="E12" s="98" t="s">
        <v>381</v>
      </c>
      <c r="F12" s="59" t="s">
        <v>396</v>
      </c>
      <c r="H12" s="107"/>
      <c r="I12" s="84"/>
      <c r="J12" s="84"/>
      <c r="K12" s="84"/>
      <c r="L12" s="84"/>
      <c r="M12" s="84"/>
      <c r="N12" s="84"/>
      <c r="O12" s="84"/>
      <c r="P12" s="84"/>
      <c r="Q12" s="84"/>
      <c r="R12" s="84"/>
      <c r="S12" s="84"/>
      <c r="T12" s="84"/>
      <c r="U12" s="84"/>
      <c r="V12" s="84"/>
      <c r="W12" s="84"/>
      <c r="X12" s="84"/>
      <c r="Y12" s="84"/>
      <c r="Z12" s="84"/>
      <c r="AA12" s="84"/>
      <c r="AB12" s="84"/>
      <c r="AC12" s="84"/>
      <c r="AD12" s="84"/>
      <c r="AE12" s="84"/>
      <c r="AF12" s="84"/>
      <c r="AG12" s="84"/>
      <c r="AH12" s="84"/>
      <c r="AI12" s="84"/>
      <c r="AJ12" s="84"/>
      <c r="AK12" s="84"/>
      <c r="AL12" s="84"/>
      <c r="AM12" s="84"/>
      <c r="AN12" s="84"/>
      <c r="AO12" s="84"/>
      <c r="AP12" s="84"/>
      <c r="AQ12" s="84"/>
      <c r="AR12" s="84"/>
      <c r="AS12" s="84"/>
      <c r="AT12" s="84"/>
      <c r="AU12" s="84"/>
      <c r="AV12" s="84"/>
      <c r="AW12" s="84"/>
      <c r="AX12" s="84"/>
      <c r="AY12" s="84"/>
      <c r="AZ12" s="84"/>
      <c r="BA12" s="84"/>
      <c r="BB12" s="84"/>
      <c r="BC12" s="84"/>
      <c r="BD12" s="84"/>
      <c r="BE12" s="84"/>
      <c r="BF12" s="84"/>
      <c r="BG12" s="84"/>
      <c r="BH12" s="84"/>
      <c r="BI12" s="84"/>
      <c r="BJ12" s="84"/>
      <c r="BK12" s="84"/>
      <c r="BL12" s="84"/>
      <c r="BM12" s="84"/>
      <c r="BN12" s="84"/>
      <c r="BO12" s="84"/>
      <c r="BP12" s="84"/>
      <c r="BQ12" s="84"/>
      <c r="BR12" s="84"/>
      <c r="BS12" s="84"/>
      <c r="BT12" s="84"/>
      <c r="BU12" s="84"/>
      <c r="BV12" s="84"/>
      <c r="BW12" s="84"/>
      <c r="BX12" s="84"/>
      <c r="BY12" s="84"/>
      <c r="BZ12" s="84"/>
      <c r="CA12" s="84"/>
      <c r="CB12" s="84"/>
      <c r="CC12" s="84"/>
      <c r="CD12" s="84"/>
      <c r="CE12" s="84"/>
      <c r="CF12" s="84"/>
      <c r="CG12" s="84"/>
      <c r="CH12" s="84"/>
      <c r="CI12" s="84"/>
      <c r="CJ12" s="84"/>
      <c r="CK12" s="84"/>
      <c r="CL12" s="84"/>
      <c r="CM12" s="84"/>
      <c r="CN12" s="84"/>
      <c r="CO12" s="84"/>
      <c r="CP12" s="84"/>
      <c r="CQ12" s="84"/>
      <c r="CR12" s="84"/>
      <c r="CS12" s="84"/>
      <c r="CT12" s="84"/>
      <c r="CU12" s="84"/>
      <c r="CV12" s="84"/>
      <c r="CW12" s="84"/>
      <c r="CX12" s="84"/>
      <c r="CY12" s="84"/>
      <c r="CZ12" s="84"/>
      <c r="DA12" s="84"/>
      <c r="DB12" s="84"/>
      <c r="DC12" s="84"/>
      <c r="DD12" s="84"/>
      <c r="DE12" s="84"/>
      <c r="DF12" s="84"/>
      <c r="DG12" s="84"/>
      <c r="DH12" s="84"/>
      <c r="DI12" s="84"/>
      <c r="DJ12" s="84"/>
      <c r="DK12" s="84"/>
      <c r="DL12" s="84"/>
      <c r="DM12" s="84"/>
      <c r="DN12" s="84"/>
      <c r="DO12" s="84"/>
      <c r="DP12" s="84"/>
      <c r="DQ12" s="84"/>
      <c r="DR12" s="84"/>
      <c r="DS12" s="84"/>
      <c r="DT12" s="84"/>
      <c r="DU12" s="84"/>
      <c r="DV12" s="84"/>
      <c r="DW12" s="84"/>
      <c r="DX12" s="84"/>
      <c r="DY12" s="84"/>
      <c r="DZ12" s="84"/>
      <c r="EA12" s="84"/>
      <c r="EB12" s="84"/>
      <c r="EC12" s="84"/>
      <c r="ED12" s="84"/>
      <c r="EE12" s="84"/>
      <c r="EF12" s="84"/>
      <c r="EG12" s="84"/>
      <c r="EH12" s="84"/>
      <c r="EI12" s="84"/>
      <c r="EJ12" s="84"/>
      <c r="EK12" s="84"/>
      <c r="EL12" s="84"/>
      <c r="EM12" s="84"/>
      <c r="EN12" s="84"/>
      <c r="EO12" s="84"/>
      <c r="EP12" s="84"/>
      <c r="EQ12" s="84"/>
      <c r="ER12" s="84"/>
      <c r="ES12" s="84"/>
      <c r="ET12" s="84"/>
    </row>
    <row r="13" spans="1:150" ht="13">
      <c r="A13" s="107" t="s">
        <v>397</v>
      </c>
      <c r="B13" s="107" t="s">
        <v>301</v>
      </c>
      <c r="C13" s="60">
        <v>1</v>
      </c>
      <c r="D13" s="65">
        <v>94.11</v>
      </c>
      <c r="E13" s="60">
        <f>D13*C13</f>
        <v>94.11</v>
      </c>
      <c r="F13" s="328">
        <f>E13/D3</f>
        <v>0.5730029225523624</v>
      </c>
      <c r="H13" s="60" t="s">
        <v>399</v>
      </c>
      <c r="I13" s="74">
        <f>$F$13*(I8/1000)</f>
        <v>0.49564752800779349</v>
      </c>
      <c r="J13" s="74">
        <f t="shared" ref="J13:BU13" si="0">$F$13*(J8/1000)</f>
        <v>0.5271626887481734</v>
      </c>
      <c r="K13" s="74">
        <f t="shared" si="0"/>
        <v>0.45553732342912812</v>
      </c>
      <c r="L13" s="74">
        <f t="shared" si="0"/>
        <v>0.38104694349732104</v>
      </c>
      <c r="M13" s="74">
        <f t="shared" si="0"/>
        <v>0.40110204578665365</v>
      </c>
      <c r="N13" s="74">
        <f t="shared" si="0"/>
        <v>0.4813224549439844</v>
      </c>
      <c r="O13" s="74">
        <f t="shared" si="0"/>
        <v>0.36099184120798833</v>
      </c>
      <c r="P13" s="74">
        <f t="shared" si="0"/>
        <v>0.35812682659522649</v>
      </c>
      <c r="Q13" s="74">
        <f t="shared" si="0"/>
        <v>0.35812682659522649</v>
      </c>
      <c r="R13" s="74">
        <f t="shared" si="0"/>
        <v>0.36958688504627374</v>
      </c>
      <c r="S13" s="74">
        <f t="shared" si="0"/>
        <v>0.42975219191427183</v>
      </c>
      <c r="T13" s="74">
        <f t="shared" si="0"/>
        <v>0.48705248416950803</v>
      </c>
      <c r="U13" s="74">
        <f t="shared" si="0"/>
        <v>0.50137755723331712</v>
      </c>
      <c r="V13" s="74">
        <f t="shared" si="0"/>
        <v>0.5300277033609353</v>
      </c>
      <c r="W13" s="74">
        <f t="shared" si="0"/>
        <v>0.65895336093521673</v>
      </c>
      <c r="X13" s="74">
        <f t="shared" si="0"/>
        <v>0.68760350706283491</v>
      </c>
      <c r="Y13" s="74">
        <f t="shared" si="0"/>
        <v>0.74490379931807116</v>
      </c>
      <c r="Z13" s="74">
        <f t="shared" si="0"/>
        <v>0.65895336093521673</v>
      </c>
      <c r="AA13" s="74">
        <f t="shared" si="0"/>
        <v>0.70479359473940573</v>
      </c>
      <c r="AB13" s="74">
        <f t="shared" si="0"/>
        <v>0.69619855090112037</v>
      </c>
      <c r="AC13" s="74">
        <f t="shared" si="0"/>
        <v>0.81652916463711644</v>
      </c>
      <c r="AD13" s="74">
        <f t="shared" si="0"/>
        <v>0.78787901850949826</v>
      </c>
      <c r="AE13" s="74">
        <f t="shared" si="0"/>
        <v>0.71625365319045298</v>
      </c>
      <c r="AF13" s="74">
        <f t="shared" si="0"/>
        <v>0.70192858012664394</v>
      </c>
      <c r="AG13" s="74">
        <f t="shared" si="0"/>
        <v>0.84517931076473463</v>
      </c>
      <c r="AH13" s="74">
        <f t="shared" si="0"/>
        <v>0.85663936921578188</v>
      </c>
      <c r="AI13" s="74">
        <f t="shared" si="0"/>
        <v>0.89101954456892352</v>
      </c>
      <c r="AJ13" s="74">
        <f t="shared" si="0"/>
        <v>0.83371925231368738</v>
      </c>
      <c r="AK13" s="74">
        <f t="shared" si="0"/>
        <v>0.81652916463711644</v>
      </c>
      <c r="AL13" s="74">
        <f t="shared" si="0"/>
        <v>0.84517931076473463</v>
      </c>
      <c r="AM13" s="74">
        <f t="shared" si="0"/>
        <v>0.70192858012664394</v>
      </c>
      <c r="AN13" s="74">
        <f t="shared" si="0"/>
        <v>0.67614344861178755</v>
      </c>
      <c r="AO13" s="74">
        <f t="shared" si="0"/>
        <v>0.71052362396492941</v>
      </c>
      <c r="AP13" s="74">
        <f t="shared" si="0"/>
        <v>0.68187347783731123</v>
      </c>
      <c r="AQ13" s="74">
        <f t="shared" si="0"/>
        <v>0.61597814174378951</v>
      </c>
      <c r="AR13" s="74">
        <f t="shared" si="0"/>
        <v>0.54721779103750612</v>
      </c>
      <c r="AS13" s="74">
        <f t="shared" si="0"/>
        <v>0.52143265952264983</v>
      </c>
      <c r="AT13" s="74">
        <f t="shared" si="0"/>
        <v>0.5730029225523624</v>
      </c>
      <c r="AU13" s="74">
        <f t="shared" si="0"/>
        <v>0.53862274719922065</v>
      </c>
      <c r="AV13" s="74">
        <f t="shared" si="0"/>
        <v>0.51570263029712615</v>
      </c>
      <c r="AW13" s="74">
        <f t="shared" si="0"/>
        <v>0.5042425718460789</v>
      </c>
      <c r="AX13" s="74">
        <f t="shared" si="0"/>
        <v>0.41542711885046274</v>
      </c>
      <c r="AY13" s="74">
        <f t="shared" si="0"/>
        <v>0.41542711885046274</v>
      </c>
      <c r="AZ13" s="74">
        <f t="shared" si="0"/>
        <v>0.41542711885046274</v>
      </c>
      <c r="BA13" s="74">
        <f t="shared" si="0"/>
        <v>0.41542711885046274</v>
      </c>
      <c r="BB13" s="74">
        <f t="shared" si="0"/>
        <v>0.47272741110569894</v>
      </c>
      <c r="BC13" s="74">
        <f t="shared" si="0"/>
        <v>0.47272741110569894</v>
      </c>
      <c r="BD13" s="74">
        <f t="shared" si="0"/>
        <v>0.55984677545056016</v>
      </c>
      <c r="BE13" s="74">
        <f t="shared" si="0"/>
        <v>0.5300277033609353</v>
      </c>
      <c r="BF13" s="74">
        <f t="shared" si="0"/>
        <v>0.5300277033609353</v>
      </c>
      <c r="BG13" s="74">
        <f t="shared" si="0"/>
        <v>0.5300277033609353</v>
      </c>
      <c r="BH13" s="74">
        <f t="shared" si="0"/>
        <v>0.60165306867998058</v>
      </c>
      <c r="BI13" s="74">
        <f t="shared" si="0"/>
        <v>0.60165306867998058</v>
      </c>
      <c r="BJ13" s="74">
        <f t="shared" si="0"/>
        <v>0.60165306867998058</v>
      </c>
      <c r="BK13" s="74">
        <f t="shared" si="0"/>
        <v>0.61597814174378951</v>
      </c>
      <c r="BL13" s="74">
        <f t="shared" si="0"/>
        <v>0.61597814174378951</v>
      </c>
      <c r="BM13" s="74">
        <f t="shared" si="0"/>
        <v>0.61597814174378951</v>
      </c>
      <c r="BN13" s="74">
        <f t="shared" si="0"/>
        <v>0.55867784948855337</v>
      </c>
      <c r="BO13" s="74">
        <f t="shared" si="0"/>
        <v>0.5300277033609353</v>
      </c>
      <c r="BP13" s="74">
        <f t="shared" si="0"/>
        <v>0.5300277033609353</v>
      </c>
      <c r="BQ13" s="74">
        <f t="shared" si="0"/>
        <v>0.5300277033609353</v>
      </c>
      <c r="BR13" s="74">
        <f t="shared" si="0"/>
        <v>0.5300277033609353</v>
      </c>
      <c r="BS13" s="74">
        <f t="shared" si="0"/>
        <v>0.5300277033609353</v>
      </c>
      <c r="BT13" s="74">
        <f t="shared" si="0"/>
        <v>0.5300277033609353</v>
      </c>
      <c r="BU13" s="74">
        <f t="shared" si="0"/>
        <v>0.51856764490988794</v>
      </c>
      <c r="BV13" s="74">
        <f t="shared" ref="BV13:CR13" si="1">$F$13*(BV8/1000)</f>
        <v>0.51856764490988794</v>
      </c>
      <c r="BW13" s="74">
        <f t="shared" si="1"/>
        <v>0.51856764490988794</v>
      </c>
      <c r="BX13" s="74">
        <f t="shared" si="1"/>
        <v>0.51856764490988794</v>
      </c>
      <c r="BY13" s="74">
        <f t="shared" si="1"/>
        <v>0.51856764490988794</v>
      </c>
      <c r="BZ13" s="74">
        <f t="shared" si="1"/>
        <v>0.49564752800779349</v>
      </c>
      <c r="CA13" s="74">
        <f t="shared" si="1"/>
        <v>0.49564752800779349</v>
      </c>
      <c r="CB13" s="74">
        <f t="shared" si="1"/>
        <v>0.49564752800779349</v>
      </c>
      <c r="CC13" s="74">
        <f t="shared" si="1"/>
        <v>0.53862274719922065</v>
      </c>
      <c r="CD13" s="74">
        <f t="shared" si="1"/>
        <v>0.53862274719922065</v>
      </c>
      <c r="CE13" s="74">
        <f t="shared" si="1"/>
        <v>0.53862274719922065</v>
      </c>
      <c r="CF13" s="74">
        <f t="shared" si="1"/>
        <v>0.53862274719922065</v>
      </c>
      <c r="CG13" s="74">
        <f t="shared" si="1"/>
        <v>0.53862274719922065</v>
      </c>
      <c r="CH13" s="74">
        <f t="shared" si="1"/>
        <v>0.52143265952264983</v>
      </c>
      <c r="CI13" s="74">
        <f t="shared" si="1"/>
        <v>0.52143265952264983</v>
      </c>
      <c r="CJ13" s="74">
        <f t="shared" si="1"/>
        <v>0.52143265952264983</v>
      </c>
      <c r="CK13" s="74">
        <f t="shared" si="1"/>
        <v>0.52143265952264983</v>
      </c>
      <c r="CL13" s="74">
        <f t="shared" si="1"/>
        <v>0.54148776181198244</v>
      </c>
      <c r="CM13" s="74">
        <f t="shared" si="1"/>
        <v>0.54148776181198244</v>
      </c>
      <c r="CN13" s="74">
        <f t="shared" si="1"/>
        <v>0.54148776181198244</v>
      </c>
      <c r="CO13" s="74">
        <f t="shared" si="1"/>
        <v>0.54148776181198244</v>
      </c>
      <c r="CP13" s="74">
        <f t="shared" si="1"/>
        <v>0.54148776181198244</v>
      </c>
      <c r="CQ13" s="74">
        <f t="shared" si="1"/>
        <v>0.54148776181198244</v>
      </c>
      <c r="CR13" s="74">
        <f t="shared" si="1"/>
        <v>0.52143265952264983</v>
      </c>
      <c r="CS13" s="74">
        <f t="shared" ref="CS13:CZ13" si="2">$F$13*(CS8/1000)</f>
        <v>0.52143265952264983</v>
      </c>
      <c r="CT13" s="74">
        <f t="shared" si="2"/>
        <v>0.52143265952264983</v>
      </c>
      <c r="CU13" s="74">
        <f t="shared" si="2"/>
        <v>0.53289271797369708</v>
      </c>
      <c r="CV13" s="74">
        <f t="shared" si="2"/>
        <v>0.53289271797369708</v>
      </c>
      <c r="CW13" s="74">
        <f t="shared" si="2"/>
        <v>0.53289271797369708</v>
      </c>
      <c r="CX13" s="74">
        <f t="shared" si="2"/>
        <v>0.53289271797369708</v>
      </c>
      <c r="CY13" s="74">
        <f t="shared" si="2"/>
        <v>0.55581283487579147</v>
      </c>
      <c r="CZ13" s="74">
        <f t="shared" si="2"/>
        <v>0.58159796639064776</v>
      </c>
      <c r="DA13" s="74">
        <f t="shared" ref="DA13:ET13" si="3">$F$13*(DA8/1000)</f>
        <v>0.58159796639064776</v>
      </c>
      <c r="DB13" s="74">
        <f t="shared" si="3"/>
        <v>0.57873295177788608</v>
      </c>
      <c r="DC13" s="74">
        <f t="shared" si="3"/>
        <v>0.62457318558207509</v>
      </c>
      <c r="DD13" s="74">
        <f t="shared" si="3"/>
        <v>0.62457318558207509</v>
      </c>
      <c r="DE13" s="74">
        <f t="shared" si="3"/>
        <v>0.62457318558207509</v>
      </c>
      <c r="DF13" s="74">
        <f t="shared" si="3"/>
        <v>0.58732799561617144</v>
      </c>
      <c r="DG13" s="74">
        <f t="shared" si="3"/>
        <v>0.58732799561617144</v>
      </c>
      <c r="DH13" s="74">
        <f t="shared" si="3"/>
        <v>0.56440787871407694</v>
      </c>
      <c r="DI13" s="74">
        <f t="shared" si="3"/>
        <v>0.54721779103750612</v>
      </c>
      <c r="DJ13" s="74">
        <f t="shared" si="3"/>
        <v>0.51856764490988794</v>
      </c>
      <c r="DK13" s="74">
        <f t="shared" si="3"/>
        <v>0.51283761568436437</v>
      </c>
      <c r="DL13" s="74">
        <f t="shared" si="3"/>
        <v>0.51283761568436437</v>
      </c>
      <c r="DM13" s="74">
        <f t="shared" si="3"/>
        <v>0.51570263029712615</v>
      </c>
      <c r="DN13" s="74">
        <f t="shared" si="3"/>
        <v>0.52143265952264983</v>
      </c>
      <c r="DO13" s="74">
        <f t="shared" si="3"/>
        <v>0.51283761568436437</v>
      </c>
      <c r="DP13" s="74">
        <f t="shared" si="3"/>
        <v>0.51283761568436437</v>
      </c>
      <c r="DQ13" s="74">
        <f t="shared" si="3"/>
        <v>0.51570263029712615</v>
      </c>
      <c r="DR13" s="74">
        <f t="shared" si="3"/>
        <v>0.51570263029712615</v>
      </c>
      <c r="DS13" s="74">
        <f t="shared" si="3"/>
        <v>0.51570263029712615</v>
      </c>
      <c r="DT13" s="74">
        <f t="shared" si="3"/>
        <v>0</v>
      </c>
      <c r="DU13" s="74">
        <f t="shared" si="3"/>
        <v>0</v>
      </c>
      <c r="DV13" s="74">
        <f t="shared" si="3"/>
        <v>0</v>
      </c>
      <c r="DW13" s="74">
        <f t="shared" si="3"/>
        <v>0</v>
      </c>
      <c r="DX13" s="74">
        <f t="shared" si="3"/>
        <v>0</v>
      </c>
      <c r="DY13" s="74">
        <f t="shared" si="3"/>
        <v>0</v>
      </c>
      <c r="DZ13" s="74">
        <f t="shared" si="3"/>
        <v>0</v>
      </c>
      <c r="EA13" s="74">
        <f t="shared" si="3"/>
        <v>0</v>
      </c>
      <c r="EB13" s="74">
        <f t="shared" si="3"/>
        <v>0</v>
      </c>
      <c r="EC13" s="74">
        <f t="shared" si="3"/>
        <v>0</v>
      </c>
      <c r="ED13" s="74">
        <f t="shared" si="3"/>
        <v>0</v>
      </c>
      <c r="EE13" s="74">
        <f t="shared" si="3"/>
        <v>0</v>
      </c>
      <c r="EF13" s="74">
        <f t="shared" si="3"/>
        <v>0</v>
      </c>
      <c r="EG13" s="74">
        <f t="shared" si="3"/>
        <v>0</v>
      </c>
      <c r="EH13" s="74">
        <f t="shared" si="3"/>
        <v>0</v>
      </c>
      <c r="EI13" s="74">
        <f t="shared" si="3"/>
        <v>0</v>
      </c>
      <c r="EJ13" s="74">
        <f t="shared" si="3"/>
        <v>0</v>
      </c>
      <c r="EK13" s="74">
        <f t="shared" si="3"/>
        <v>0</v>
      </c>
      <c r="EL13" s="74">
        <f t="shared" si="3"/>
        <v>0</v>
      </c>
      <c r="EM13" s="74">
        <f t="shared" si="3"/>
        <v>0</v>
      </c>
      <c r="EN13" s="74">
        <f t="shared" si="3"/>
        <v>0</v>
      </c>
      <c r="EO13" s="74" t="e" vm="2">
        <f t="shared" si="3"/>
        <v>#VALUE!</v>
      </c>
      <c r="EP13" s="74" t="e" vm="2">
        <f t="shared" si="3"/>
        <v>#VALUE!</v>
      </c>
      <c r="EQ13" s="74" t="e" vm="2">
        <f t="shared" si="3"/>
        <v>#VALUE!</v>
      </c>
      <c r="ER13" s="74" t="e" vm="2">
        <f t="shared" si="3"/>
        <v>#VALUE!</v>
      </c>
      <c r="ES13" s="74" t="e" vm="2">
        <f t="shared" si="3"/>
        <v>#VALUE!</v>
      </c>
      <c r="ET13" s="74" t="e" vm="2">
        <f t="shared" si="3"/>
        <v>#VALUE!</v>
      </c>
    </row>
    <row r="14" spans="1:150">
      <c r="A14" s="67"/>
      <c r="B14" s="107"/>
      <c r="D14" s="77"/>
      <c r="F14" s="328"/>
      <c r="I14" s="74"/>
      <c r="J14" s="74"/>
      <c r="K14" s="74"/>
      <c r="L14" s="74"/>
      <c r="M14" s="74"/>
      <c r="N14" s="74"/>
      <c r="O14" s="74"/>
      <c r="P14" s="74"/>
      <c r="Q14" s="74"/>
      <c r="R14" s="74"/>
      <c r="S14" s="74"/>
      <c r="T14" s="74"/>
      <c r="U14" s="74"/>
      <c r="V14" s="74"/>
      <c r="W14" s="74"/>
      <c r="X14" s="74"/>
      <c r="Y14" s="74"/>
      <c r="Z14" s="74"/>
      <c r="AA14" s="74"/>
      <c r="AB14" s="74"/>
      <c r="AC14" s="74"/>
      <c r="AD14" s="74"/>
      <c r="AE14" s="74"/>
      <c r="AF14" s="74"/>
      <c r="AG14" s="74"/>
      <c r="AH14" s="74"/>
      <c r="AI14" s="74"/>
      <c r="AJ14" s="74"/>
      <c r="AK14" s="74"/>
      <c r="AL14" s="74"/>
      <c r="AM14" s="74"/>
      <c r="AN14" s="74"/>
      <c r="AO14" s="74"/>
      <c r="AP14" s="74"/>
      <c r="AQ14" s="74"/>
      <c r="AR14" s="74"/>
      <c r="AS14" s="74"/>
      <c r="AT14" s="74"/>
      <c r="AU14" s="74"/>
      <c r="AV14" s="74"/>
      <c r="AW14" s="74"/>
      <c r="AX14" s="74"/>
      <c r="AY14" s="74"/>
      <c r="AZ14" s="74"/>
      <c r="BA14" s="74"/>
      <c r="BB14" s="74"/>
      <c r="BC14" s="74"/>
      <c r="BD14" s="74"/>
      <c r="BE14" s="74"/>
      <c r="BF14" s="74"/>
      <c r="BG14" s="74"/>
      <c r="BH14" s="74"/>
      <c r="BI14" s="74"/>
      <c r="BJ14" s="74"/>
      <c r="BK14" s="74"/>
      <c r="BL14" s="74"/>
      <c r="BM14" s="74"/>
      <c r="BN14" s="74"/>
      <c r="BO14" s="74"/>
      <c r="BP14" s="74"/>
      <c r="BQ14" s="74"/>
      <c r="BR14" s="74"/>
      <c r="BS14" s="74"/>
      <c r="BT14" s="74"/>
      <c r="BU14" s="74"/>
      <c r="BV14" s="74"/>
      <c r="BW14" s="74"/>
      <c r="BX14" s="74"/>
      <c r="BY14" s="74"/>
      <c r="BZ14" s="74"/>
      <c r="CA14" s="74"/>
      <c r="CB14" s="74"/>
      <c r="CC14" s="74"/>
      <c r="CD14" s="74"/>
      <c r="CE14" s="74"/>
      <c r="CF14" s="74"/>
      <c r="CG14" s="74"/>
      <c r="CH14" s="74"/>
      <c r="CI14" s="74"/>
      <c r="CJ14" s="74"/>
      <c r="CK14" s="74"/>
      <c r="CL14" s="74"/>
      <c r="CM14" s="74"/>
      <c r="CN14" s="74"/>
      <c r="CO14" s="74"/>
      <c r="CP14" s="74"/>
      <c r="CQ14" s="74"/>
      <c r="CR14" s="74"/>
      <c r="CS14" s="74"/>
      <c r="CT14" s="74"/>
      <c r="CU14" s="74"/>
      <c r="CV14" s="74"/>
      <c r="CW14" s="74"/>
      <c r="CX14" s="74"/>
      <c r="CY14" s="74"/>
      <c r="CZ14" s="74"/>
      <c r="DA14" s="74"/>
      <c r="DB14" s="74"/>
      <c r="DC14" s="74"/>
      <c r="DD14" s="74"/>
      <c r="DE14" s="74"/>
      <c r="DF14" s="74"/>
      <c r="DG14" s="74"/>
      <c r="DH14" s="74"/>
      <c r="DI14" s="74"/>
      <c r="DJ14" s="74"/>
      <c r="DK14" s="74"/>
      <c r="DL14" s="74"/>
      <c r="DM14" s="74"/>
      <c r="DN14" s="74"/>
      <c r="DO14" s="74"/>
      <c r="DP14" s="74"/>
      <c r="DQ14" s="74"/>
      <c r="DR14" s="74"/>
      <c r="DS14" s="74"/>
      <c r="DT14" s="74"/>
      <c r="DU14" s="74"/>
      <c r="DV14" s="74"/>
      <c r="DW14" s="74"/>
      <c r="DX14" s="74"/>
      <c r="DY14" s="74"/>
      <c r="DZ14" s="74"/>
      <c r="EA14" s="74"/>
      <c r="EB14" s="74"/>
      <c r="EC14" s="74"/>
      <c r="ED14" s="74"/>
      <c r="EE14" s="74"/>
      <c r="EF14" s="74"/>
      <c r="EG14" s="74"/>
      <c r="EH14" s="74"/>
      <c r="EI14" s="74"/>
      <c r="EJ14" s="74"/>
      <c r="EK14" s="74"/>
      <c r="EL14" s="74"/>
      <c r="EM14" s="74"/>
      <c r="EN14" s="74"/>
      <c r="EO14" s="74"/>
      <c r="EP14" s="74"/>
      <c r="EQ14" s="74"/>
      <c r="ER14" s="74"/>
      <c r="ES14" s="74"/>
      <c r="ET14" s="74"/>
    </row>
    <row r="15" spans="1:150">
      <c r="A15" s="67"/>
      <c r="B15" s="107"/>
      <c r="D15" s="77"/>
      <c r="F15" s="328"/>
      <c r="I15" s="74"/>
      <c r="J15" s="74"/>
      <c r="K15" s="74"/>
      <c r="L15" s="74"/>
      <c r="M15" s="74"/>
      <c r="N15" s="74"/>
      <c r="O15" s="74"/>
      <c r="P15" s="74"/>
      <c r="Q15" s="74"/>
      <c r="R15" s="74"/>
      <c r="S15" s="74"/>
      <c r="T15" s="74"/>
      <c r="U15" s="74"/>
      <c r="V15" s="74"/>
      <c r="W15" s="74"/>
      <c r="X15" s="74"/>
      <c r="Y15" s="74"/>
      <c r="Z15" s="74"/>
      <c r="AA15" s="74"/>
      <c r="AB15" s="74"/>
      <c r="AC15" s="74"/>
      <c r="AD15" s="74"/>
      <c r="AE15" s="74"/>
      <c r="AF15" s="74"/>
      <c r="AG15" s="74"/>
      <c r="AH15" s="74"/>
      <c r="AI15" s="74"/>
      <c r="AJ15" s="74"/>
      <c r="AK15" s="74"/>
      <c r="AL15" s="74"/>
      <c r="AM15" s="74"/>
      <c r="AN15" s="74"/>
      <c r="AO15" s="74"/>
      <c r="AP15" s="74"/>
      <c r="AQ15" s="74"/>
      <c r="AR15" s="74"/>
      <c r="AS15" s="74"/>
      <c r="AT15" s="74"/>
      <c r="AU15" s="74"/>
      <c r="AV15" s="74"/>
      <c r="AW15" s="74"/>
      <c r="AX15" s="74"/>
      <c r="AY15" s="74"/>
      <c r="AZ15" s="74"/>
      <c r="BA15" s="74"/>
      <c r="BB15" s="74"/>
      <c r="BC15" s="74"/>
      <c r="BD15" s="74"/>
      <c r="BE15" s="74"/>
      <c r="BF15" s="74"/>
      <c r="BG15" s="74"/>
      <c r="BH15" s="74"/>
      <c r="BI15" s="74"/>
      <c r="BJ15" s="74"/>
      <c r="BK15" s="74"/>
      <c r="BL15" s="74"/>
      <c r="BM15" s="74"/>
      <c r="BN15" s="74"/>
      <c r="BO15" s="74"/>
      <c r="BP15" s="74"/>
      <c r="BQ15" s="74"/>
      <c r="BR15" s="74"/>
      <c r="BS15" s="74"/>
      <c r="BT15" s="74"/>
      <c r="BU15" s="74"/>
      <c r="BV15" s="74"/>
      <c r="BW15" s="74"/>
      <c r="BX15" s="74"/>
      <c r="BY15" s="74"/>
      <c r="BZ15" s="74"/>
      <c r="CA15" s="74"/>
      <c r="CB15" s="74"/>
      <c r="CC15" s="74"/>
      <c r="CD15" s="74"/>
      <c r="CE15" s="74"/>
      <c r="CF15" s="74"/>
      <c r="CG15" s="74"/>
      <c r="CH15" s="74"/>
      <c r="CI15" s="74"/>
      <c r="CJ15" s="74"/>
      <c r="CK15" s="74"/>
      <c r="CL15" s="74"/>
      <c r="CM15" s="74"/>
      <c r="CN15" s="74"/>
      <c r="CO15" s="74"/>
      <c r="CP15" s="74"/>
      <c r="CQ15" s="74"/>
      <c r="CR15" s="74"/>
      <c r="CS15" s="74"/>
      <c r="CT15" s="74"/>
      <c r="CU15" s="74"/>
      <c r="CV15" s="74"/>
      <c r="CW15" s="74"/>
      <c r="CX15" s="74"/>
      <c r="CY15" s="74"/>
      <c r="CZ15" s="74"/>
      <c r="DA15" s="74"/>
      <c r="DB15" s="74"/>
      <c r="DC15" s="74"/>
      <c r="DD15" s="74"/>
      <c r="DE15" s="74"/>
      <c r="DF15" s="74"/>
      <c r="DG15" s="74"/>
      <c r="DH15" s="74"/>
      <c r="DI15" s="74"/>
      <c r="DJ15" s="74"/>
      <c r="DK15" s="74"/>
      <c r="DL15" s="74"/>
      <c r="DM15" s="74"/>
      <c r="DN15" s="74"/>
      <c r="DO15" s="74"/>
      <c r="DP15" s="74"/>
      <c r="DQ15" s="74"/>
      <c r="DR15" s="74"/>
      <c r="DS15" s="74"/>
      <c r="DT15" s="74"/>
      <c r="DU15" s="74"/>
      <c r="DV15" s="74"/>
      <c r="DW15" s="74"/>
      <c r="DX15" s="74"/>
      <c r="DY15" s="74"/>
      <c r="DZ15" s="74"/>
      <c r="EA15" s="74"/>
      <c r="EB15" s="74"/>
      <c r="EC15" s="74"/>
      <c r="ED15" s="74"/>
      <c r="EE15" s="74"/>
      <c r="EF15" s="74"/>
      <c r="EG15" s="74"/>
      <c r="EH15" s="74"/>
      <c r="EI15" s="74"/>
      <c r="EJ15" s="74"/>
      <c r="EK15" s="74"/>
      <c r="EL15" s="74"/>
      <c r="EM15" s="74"/>
      <c r="EN15" s="74"/>
      <c r="EO15" s="74"/>
      <c r="EP15" s="74"/>
      <c r="EQ15" s="74"/>
      <c r="ER15" s="74"/>
      <c r="ES15" s="74"/>
      <c r="ET15" s="74"/>
    </row>
    <row r="16" spans="1:150">
      <c r="A16" s="67"/>
      <c r="B16" s="107"/>
      <c r="D16" s="77"/>
      <c r="F16" s="328"/>
      <c r="I16" s="74"/>
      <c r="J16" s="74"/>
      <c r="K16" s="74"/>
      <c r="L16" s="74"/>
      <c r="M16" s="74"/>
      <c r="N16" s="74"/>
      <c r="O16" s="74"/>
      <c r="P16" s="74"/>
      <c r="Q16" s="74"/>
      <c r="R16" s="74"/>
      <c r="S16" s="74"/>
      <c r="T16" s="74"/>
      <c r="U16" s="74"/>
      <c r="V16" s="74"/>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c r="BM16" s="74"/>
      <c r="BN16" s="74"/>
      <c r="BO16" s="74"/>
      <c r="BP16" s="74"/>
      <c r="BQ16" s="74"/>
      <c r="BR16" s="74"/>
      <c r="BS16" s="74"/>
      <c r="BT16" s="74"/>
      <c r="BU16" s="74"/>
      <c r="BV16" s="74"/>
      <c r="BW16" s="74"/>
      <c r="BX16" s="74"/>
      <c r="BY16" s="74"/>
      <c r="BZ16" s="74"/>
      <c r="CA16" s="74"/>
      <c r="CB16" s="74"/>
      <c r="CC16" s="74"/>
      <c r="CD16" s="74"/>
      <c r="CE16" s="74"/>
      <c r="CF16" s="74"/>
      <c r="CG16" s="74"/>
      <c r="CH16" s="74"/>
      <c r="CI16" s="74"/>
      <c r="CJ16" s="74"/>
      <c r="CK16" s="74"/>
      <c r="CL16" s="74"/>
      <c r="CM16" s="74"/>
      <c r="CN16" s="74"/>
      <c r="CO16" s="74"/>
      <c r="CP16" s="74"/>
      <c r="CQ16" s="74"/>
      <c r="CR16" s="74"/>
      <c r="CS16" s="74"/>
      <c r="CT16" s="74"/>
      <c r="CU16" s="74"/>
      <c r="CV16" s="74"/>
      <c r="CW16" s="74"/>
      <c r="CX16" s="74"/>
      <c r="CY16" s="74"/>
      <c r="CZ16" s="74"/>
      <c r="DA16" s="74"/>
      <c r="DB16" s="74"/>
      <c r="DC16" s="74"/>
      <c r="DD16" s="74"/>
      <c r="DE16" s="74"/>
      <c r="DF16" s="74"/>
      <c r="DG16" s="74"/>
      <c r="DH16" s="74"/>
      <c r="DI16" s="74"/>
      <c r="DJ16" s="74"/>
      <c r="DK16" s="74"/>
      <c r="DL16" s="74"/>
      <c r="DM16" s="74"/>
      <c r="DN16" s="74"/>
      <c r="DO16" s="74"/>
      <c r="DP16" s="74"/>
      <c r="DQ16" s="74"/>
      <c r="DR16" s="74"/>
      <c r="DS16" s="74"/>
      <c r="DT16" s="74"/>
      <c r="DU16" s="74"/>
      <c r="DV16" s="74"/>
      <c r="DW16" s="74"/>
      <c r="DX16" s="74"/>
      <c r="DY16" s="74"/>
      <c r="DZ16" s="74"/>
      <c r="EA16" s="74"/>
      <c r="EB16" s="74"/>
      <c r="EC16" s="74"/>
      <c r="ED16" s="74"/>
      <c r="EE16" s="74"/>
      <c r="EF16" s="74"/>
      <c r="EG16" s="74"/>
      <c r="EH16" s="74"/>
      <c r="EI16" s="74"/>
      <c r="EJ16" s="74"/>
      <c r="EK16" s="74"/>
      <c r="EL16" s="74"/>
      <c r="EM16" s="74"/>
      <c r="EN16" s="74"/>
      <c r="EO16" s="74"/>
      <c r="EP16" s="74"/>
      <c r="EQ16" s="74"/>
      <c r="ER16" s="74"/>
      <c r="ES16" s="74"/>
      <c r="ET16" s="74"/>
    </row>
    <row r="17" spans="1:150">
      <c r="A17" s="67"/>
      <c r="B17" s="107"/>
      <c r="D17" s="77"/>
      <c r="F17" s="65"/>
      <c r="I17" s="74"/>
      <c r="J17" s="74"/>
      <c r="K17" s="74"/>
      <c r="L17" s="74"/>
      <c r="M17" s="74"/>
      <c r="N17" s="74"/>
      <c r="O17" s="74"/>
      <c r="P17" s="74"/>
      <c r="Q17" s="74"/>
      <c r="R17" s="74"/>
      <c r="S17" s="74"/>
      <c r="T17" s="74"/>
      <c r="U17" s="74"/>
      <c r="V17" s="74"/>
      <c r="W17" s="74"/>
      <c r="X17" s="74"/>
      <c r="Y17" s="74"/>
      <c r="Z17" s="74"/>
      <c r="AA17" s="74"/>
      <c r="AB17" s="74"/>
      <c r="AC17" s="74"/>
      <c r="AD17" s="74"/>
      <c r="AE17" s="74"/>
      <c r="AF17" s="74"/>
      <c r="AG17" s="74"/>
      <c r="AH17" s="74"/>
      <c r="AI17" s="74"/>
      <c r="AJ17" s="74"/>
      <c r="AK17" s="74"/>
      <c r="AL17" s="74"/>
      <c r="AM17" s="74"/>
      <c r="AN17" s="74"/>
      <c r="AO17" s="74"/>
      <c r="AP17" s="74"/>
      <c r="AQ17" s="74"/>
      <c r="AR17" s="74"/>
      <c r="AS17" s="74"/>
      <c r="AT17" s="74"/>
      <c r="AU17" s="74"/>
      <c r="AV17" s="74"/>
      <c r="AW17" s="74"/>
      <c r="AX17" s="74"/>
      <c r="AY17" s="74"/>
      <c r="AZ17" s="74"/>
      <c r="BA17" s="74"/>
      <c r="BB17" s="74"/>
      <c r="BC17" s="74"/>
      <c r="BD17" s="74"/>
      <c r="BE17" s="74"/>
      <c r="BF17" s="74"/>
      <c r="BG17" s="74"/>
      <c r="BH17" s="74"/>
      <c r="BI17" s="74"/>
      <c r="BJ17" s="74"/>
      <c r="BK17" s="74"/>
      <c r="BL17" s="74"/>
      <c r="BM17" s="74"/>
      <c r="BN17" s="74"/>
      <c r="BO17" s="74"/>
      <c r="BP17" s="74"/>
      <c r="BQ17" s="74"/>
      <c r="BR17" s="74"/>
      <c r="BS17" s="74"/>
      <c r="BT17" s="74"/>
      <c r="BU17" s="74"/>
      <c r="BV17" s="74"/>
      <c r="BW17" s="74"/>
      <c r="BX17" s="74"/>
      <c r="BY17" s="74"/>
      <c r="BZ17" s="74"/>
      <c r="CA17" s="74"/>
      <c r="CB17" s="74"/>
      <c r="CC17" s="74"/>
      <c r="CD17" s="74"/>
      <c r="CE17" s="74"/>
      <c r="CF17" s="74"/>
      <c r="CG17" s="74"/>
      <c r="CH17" s="74"/>
      <c r="CI17" s="74"/>
      <c r="CJ17" s="74"/>
      <c r="CK17" s="74"/>
      <c r="CL17" s="74"/>
      <c r="CM17" s="74"/>
      <c r="CN17" s="74"/>
      <c r="CO17" s="74"/>
      <c r="CP17" s="74"/>
      <c r="CQ17" s="74"/>
      <c r="CR17" s="74"/>
      <c r="CS17" s="74"/>
      <c r="CT17" s="74"/>
      <c r="CU17" s="74"/>
      <c r="CV17" s="74"/>
      <c r="CW17" s="74"/>
      <c r="CX17" s="74"/>
      <c r="CY17" s="74"/>
      <c r="CZ17" s="74"/>
      <c r="DA17" s="74"/>
      <c r="DB17" s="74"/>
      <c r="DC17" s="74"/>
      <c r="DD17" s="74"/>
      <c r="DE17" s="74"/>
      <c r="DF17" s="74"/>
      <c r="DG17" s="74"/>
      <c r="DH17" s="74"/>
      <c r="DI17" s="74"/>
      <c r="DJ17" s="74"/>
      <c r="DK17" s="74"/>
      <c r="DL17" s="74"/>
      <c r="DM17" s="74"/>
      <c r="DN17" s="74"/>
      <c r="DO17" s="74"/>
      <c r="DP17" s="74"/>
      <c r="DQ17" s="74"/>
      <c r="DR17" s="74"/>
      <c r="DS17" s="74"/>
      <c r="DT17" s="74"/>
      <c r="DU17" s="74"/>
      <c r="DV17" s="74"/>
      <c r="DW17" s="74"/>
      <c r="DX17" s="74"/>
      <c r="DY17" s="74"/>
      <c r="DZ17" s="74"/>
      <c r="EA17" s="74"/>
      <c r="EB17" s="74"/>
      <c r="EC17" s="74"/>
      <c r="ED17" s="74"/>
      <c r="EE17" s="74"/>
      <c r="EF17" s="74"/>
      <c r="EG17" s="74"/>
      <c r="EH17" s="74"/>
      <c r="EI17" s="74"/>
      <c r="EJ17" s="74"/>
      <c r="EK17" s="74"/>
      <c r="EL17" s="74"/>
      <c r="EM17" s="74"/>
      <c r="EN17" s="74"/>
      <c r="EO17" s="74"/>
      <c r="EP17" s="74"/>
      <c r="EQ17" s="74"/>
      <c r="ER17" s="74"/>
      <c r="ES17" s="74"/>
      <c r="ET17" s="74"/>
    </row>
    <row r="18" spans="1:150" s="104" customFormat="1">
      <c r="H18" s="104" t="s">
        <v>799</v>
      </c>
      <c r="I18" s="105">
        <f t="shared" ref="I18:AN18" si="4">SUM(I13:I13)</f>
        <v>0.49564752800779349</v>
      </c>
      <c r="J18" s="105">
        <f t="shared" si="4"/>
        <v>0.5271626887481734</v>
      </c>
      <c r="K18" s="105">
        <f t="shared" si="4"/>
        <v>0.45553732342912812</v>
      </c>
      <c r="L18" s="105">
        <f t="shared" si="4"/>
        <v>0.38104694349732104</v>
      </c>
      <c r="M18" s="105">
        <f t="shared" si="4"/>
        <v>0.40110204578665365</v>
      </c>
      <c r="N18" s="105">
        <f t="shared" si="4"/>
        <v>0.4813224549439844</v>
      </c>
      <c r="O18" s="105">
        <f t="shared" si="4"/>
        <v>0.36099184120798833</v>
      </c>
      <c r="P18" s="105">
        <f t="shared" si="4"/>
        <v>0.35812682659522649</v>
      </c>
      <c r="Q18" s="105">
        <f t="shared" si="4"/>
        <v>0.35812682659522649</v>
      </c>
      <c r="R18" s="105">
        <f t="shared" si="4"/>
        <v>0.36958688504627374</v>
      </c>
      <c r="S18" s="105">
        <f t="shared" si="4"/>
        <v>0.42975219191427183</v>
      </c>
      <c r="T18" s="105">
        <f t="shared" si="4"/>
        <v>0.48705248416950803</v>
      </c>
      <c r="U18" s="105">
        <f t="shared" si="4"/>
        <v>0.50137755723331712</v>
      </c>
      <c r="V18" s="105">
        <f t="shared" si="4"/>
        <v>0.5300277033609353</v>
      </c>
      <c r="W18" s="105">
        <f t="shared" si="4"/>
        <v>0.65895336093521673</v>
      </c>
      <c r="X18" s="105">
        <f t="shared" si="4"/>
        <v>0.68760350706283491</v>
      </c>
      <c r="Y18" s="105">
        <f t="shared" si="4"/>
        <v>0.74490379931807116</v>
      </c>
      <c r="Z18" s="105">
        <f t="shared" si="4"/>
        <v>0.65895336093521673</v>
      </c>
      <c r="AA18" s="105">
        <f t="shared" si="4"/>
        <v>0.70479359473940573</v>
      </c>
      <c r="AB18" s="105">
        <f t="shared" si="4"/>
        <v>0.69619855090112037</v>
      </c>
      <c r="AC18" s="105">
        <f t="shared" si="4"/>
        <v>0.81652916463711644</v>
      </c>
      <c r="AD18" s="105">
        <f t="shared" si="4"/>
        <v>0.78787901850949826</v>
      </c>
      <c r="AE18" s="105">
        <f t="shared" si="4"/>
        <v>0.71625365319045298</v>
      </c>
      <c r="AF18" s="105">
        <f t="shared" si="4"/>
        <v>0.70192858012664394</v>
      </c>
      <c r="AG18" s="105">
        <f t="shared" si="4"/>
        <v>0.84517931076473463</v>
      </c>
      <c r="AH18" s="105">
        <f t="shared" si="4"/>
        <v>0.85663936921578188</v>
      </c>
      <c r="AI18" s="105">
        <f t="shared" si="4"/>
        <v>0.89101954456892352</v>
      </c>
      <c r="AJ18" s="105">
        <f t="shared" si="4"/>
        <v>0.83371925231368738</v>
      </c>
      <c r="AK18" s="105">
        <f t="shared" si="4"/>
        <v>0.81652916463711644</v>
      </c>
      <c r="AL18" s="105">
        <f t="shared" si="4"/>
        <v>0.84517931076473463</v>
      </c>
      <c r="AM18" s="105">
        <f t="shared" si="4"/>
        <v>0.70192858012664394</v>
      </c>
      <c r="AN18" s="105">
        <f t="shared" si="4"/>
        <v>0.67614344861178755</v>
      </c>
      <c r="AO18" s="105">
        <f t="shared" ref="AO18:CR18" si="5">SUM(AO13:AO13)</f>
        <v>0.71052362396492941</v>
      </c>
      <c r="AP18" s="105">
        <f t="shared" si="5"/>
        <v>0.68187347783731123</v>
      </c>
      <c r="AQ18" s="105">
        <f t="shared" si="5"/>
        <v>0.61597814174378951</v>
      </c>
      <c r="AR18" s="105">
        <f t="shared" si="5"/>
        <v>0.54721779103750612</v>
      </c>
      <c r="AS18" s="105">
        <f t="shared" si="5"/>
        <v>0.52143265952264983</v>
      </c>
      <c r="AT18" s="105">
        <f t="shared" si="5"/>
        <v>0.5730029225523624</v>
      </c>
      <c r="AU18" s="105">
        <f t="shared" si="5"/>
        <v>0.53862274719922065</v>
      </c>
      <c r="AV18" s="105">
        <f t="shared" si="5"/>
        <v>0.51570263029712615</v>
      </c>
      <c r="AW18" s="105">
        <f t="shared" si="5"/>
        <v>0.5042425718460789</v>
      </c>
      <c r="AX18" s="105">
        <f t="shared" si="5"/>
        <v>0.41542711885046274</v>
      </c>
      <c r="AY18" s="105">
        <f t="shared" si="5"/>
        <v>0.41542711885046274</v>
      </c>
      <c r="AZ18" s="105">
        <f t="shared" si="5"/>
        <v>0.41542711885046274</v>
      </c>
      <c r="BA18" s="105">
        <f t="shared" si="5"/>
        <v>0.41542711885046274</v>
      </c>
      <c r="BB18" s="105">
        <f t="shared" si="5"/>
        <v>0.47272741110569894</v>
      </c>
      <c r="BC18" s="105">
        <f t="shared" si="5"/>
        <v>0.47272741110569894</v>
      </c>
      <c r="BD18" s="105">
        <f t="shared" si="5"/>
        <v>0.55984677545056016</v>
      </c>
      <c r="BE18" s="105">
        <f t="shared" si="5"/>
        <v>0.5300277033609353</v>
      </c>
      <c r="BF18" s="105">
        <f t="shared" si="5"/>
        <v>0.5300277033609353</v>
      </c>
      <c r="BG18" s="105">
        <f t="shared" si="5"/>
        <v>0.5300277033609353</v>
      </c>
      <c r="BH18" s="105">
        <f t="shared" si="5"/>
        <v>0.60165306867998058</v>
      </c>
      <c r="BI18" s="105">
        <f t="shared" si="5"/>
        <v>0.60165306867998058</v>
      </c>
      <c r="BJ18" s="105">
        <f t="shared" si="5"/>
        <v>0.60165306867998058</v>
      </c>
      <c r="BK18" s="105">
        <f t="shared" si="5"/>
        <v>0.61597814174378951</v>
      </c>
      <c r="BL18" s="105">
        <f t="shared" si="5"/>
        <v>0.61597814174378951</v>
      </c>
      <c r="BM18" s="105">
        <f t="shared" si="5"/>
        <v>0.61597814174378951</v>
      </c>
      <c r="BN18" s="105">
        <f t="shared" si="5"/>
        <v>0.55867784948855337</v>
      </c>
      <c r="BO18" s="105">
        <f t="shared" si="5"/>
        <v>0.5300277033609353</v>
      </c>
      <c r="BP18" s="105">
        <f t="shared" si="5"/>
        <v>0.5300277033609353</v>
      </c>
      <c r="BQ18" s="105">
        <f t="shared" si="5"/>
        <v>0.5300277033609353</v>
      </c>
      <c r="BR18" s="105">
        <f t="shared" si="5"/>
        <v>0.5300277033609353</v>
      </c>
      <c r="BS18" s="105">
        <f t="shared" si="5"/>
        <v>0.5300277033609353</v>
      </c>
      <c r="BT18" s="105">
        <f t="shared" si="5"/>
        <v>0.5300277033609353</v>
      </c>
      <c r="BU18" s="105">
        <f t="shared" si="5"/>
        <v>0.51856764490988794</v>
      </c>
      <c r="BV18" s="105">
        <f t="shared" si="5"/>
        <v>0.51856764490988794</v>
      </c>
      <c r="BW18" s="105">
        <f t="shared" si="5"/>
        <v>0.51856764490988794</v>
      </c>
      <c r="BX18" s="105">
        <f t="shared" si="5"/>
        <v>0.51856764490988794</v>
      </c>
      <c r="BY18" s="105">
        <f t="shared" si="5"/>
        <v>0.51856764490988794</v>
      </c>
      <c r="BZ18" s="105">
        <f t="shared" si="5"/>
        <v>0.49564752800779349</v>
      </c>
      <c r="CA18" s="105">
        <f t="shared" si="5"/>
        <v>0.49564752800779349</v>
      </c>
      <c r="CB18" s="105">
        <f t="shared" si="5"/>
        <v>0.49564752800779349</v>
      </c>
      <c r="CC18" s="105">
        <f t="shared" si="5"/>
        <v>0.53862274719922065</v>
      </c>
      <c r="CD18" s="105">
        <f t="shared" si="5"/>
        <v>0.53862274719922065</v>
      </c>
      <c r="CE18" s="105">
        <f t="shared" si="5"/>
        <v>0.53862274719922065</v>
      </c>
      <c r="CF18" s="105">
        <f t="shared" si="5"/>
        <v>0.53862274719922065</v>
      </c>
      <c r="CG18" s="105">
        <f t="shared" si="5"/>
        <v>0.53862274719922065</v>
      </c>
      <c r="CH18" s="105">
        <f t="shared" si="5"/>
        <v>0.52143265952264983</v>
      </c>
      <c r="CI18" s="105">
        <f t="shared" si="5"/>
        <v>0.52143265952264983</v>
      </c>
      <c r="CJ18" s="105">
        <f t="shared" si="5"/>
        <v>0.52143265952264983</v>
      </c>
      <c r="CK18" s="105">
        <f t="shared" si="5"/>
        <v>0.52143265952264983</v>
      </c>
      <c r="CL18" s="105">
        <f t="shared" si="5"/>
        <v>0.54148776181198244</v>
      </c>
      <c r="CM18" s="105">
        <f t="shared" si="5"/>
        <v>0.54148776181198244</v>
      </c>
      <c r="CN18" s="105">
        <f t="shared" si="5"/>
        <v>0.54148776181198244</v>
      </c>
      <c r="CO18" s="105">
        <f t="shared" si="5"/>
        <v>0.54148776181198244</v>
      </c>
      <c r="CP18" s="105">
        <f t="shared" si="5"/>
        <v>0.54148776181198244</v>
      </c>
      <c r="CQ18" s="105">
        <f t="shared" si="5"/>
        <v>0.54148776181198244</v>
      </c>
      <c r="CR18" s="105">
        <f t="shared" si="5"/>
        <v>0.52143265952264983</v>
      </c>
      <c r="CS18" s="105">
        <f t="shared" ref="CS18:CZ18" si="6">SUM(CS13:CS13)</f>
        <v>0.52143265952264983</v>
      </c>
      <c r="CT18" s="105">
        <f t="shared" si="6"/>
        <v>0.52143265952264983</v>
      </c>
      <c r="CU18" s="105">
        <f t="shared" si="6"/>
        <v>0.53289271797369708</v>
      </c>
      <c r="CV18" s="105">
        <f t="shared" si="6"/>
        <v>0.53289271797369708</v>
      </c>
      <c r="CW18" s="105">
        <f t="shared" si="6"/>
        <v>0.53289271797369708</v>
      </c>
      <c r="CX18" s="105">
        <f t="shared" si="6"/>
        <v>0.53289271797369708</v>
      </c>
      <c r="CY18" s="105">
        <f t="shared" si="6"/>
        <v>0.55581283487579147</v>
      </c>
      <c r="CZ18" s="105">
        <f t="shared" si="6"/>
        <v>0.58159796639064776</v>
      </c>
      <c r="DA18" s="105">
        <f t="shared" ref="DA18:ET18" si="7">SUM(DA13:DA13)</f>
        <v>0.58159796639064776</v>
      </c>
      <c r="DB18" s="105">
        <f t="shared" si="7"/>
        <v>0.57873295177788608</v>
      </c>
      <c r="DC18" s="105">
        <f t="shared" si="7"/>
        <v>0.62457318558207509</v>
      </c>
      <c r="DD18" s="105">
        <f t="shared" si="7"/>
        <v>0.62457318558207509</v>
      </c>
      <c r="DE18" s="105">
        <f t="shared" si="7"/>
        <v>0.62457318558207509</v>
      </c>
      <c r="DF18" s="105">
        <f t="shared" si="7"/>
        <v>0.58732799561617144</v>
      </c>
      <c r="DG18" s="105">
        <f t="shared" si="7"/>
        <v>0.58732799561617144</v>
      </c>
      <c r="DH18" s="105">
        <f t="shared" si="7"/>
        <v>0.56440787871407694</v>
      </c>
      <c r="DI18" s="105">
        <f t="shared" si="7"/>
        <v>0.54721779103750612</v>
      </c>
      <c r="DJ18" s="105">
        <f t="shared" si="7"/>
        <v>0.51856764490988794</v>
      </c>
      <c r="DK18" s="105">
        <f t="shared" si="7"/>
        <v>0.51283761568436437</v>
      </c>
      <c r="DL18" s="105">
        <f t="shared" si="7"/>
        <v>0.51283761568436437</v>
      </c>
      <c r="DM18" s="105">
        <f t="shared" si="7"/>
        <v>0.51570263029712615</v>
      </c>
      <c r="DN18" s="105">
        <f t="shared" si="7"/>
        <v>0.52143265952264983</v>
      </c>
      <c r="DO18" s="105">
        <f t="shared" si="7"/>
        <v>0.51283761568436437</v>
      </c>
      <c r="DP18" s="105">
        <f t="shared" si="7"/>
        <v>0.51283761568436437</v>
      </c>
      <c r="DQ18" s="105">
        <f t="shared" si="7"/>
        <v>0.51570263029712615</v>
      </c>
      <c r="DR18" s="105">
        <f t="shared" si="7"/>
        <v>0.51570263029712615</v>
      </c>
      <c r="DS18" s="105">
        <f t="shared" si="7"/>
        <v>0.51570263029712615</v>
      </c>
      <c r="DT18" s="105">
        <f t="shared" si="7"/>
        <v>0</v>
      </c>
      <c r="DU18" s="105">
        <f t="shared" si="7"/>
        <v>0</v>
      </c>
      <c r="DV18" s="105">
        <f t="shared" si="7"/>
        <v>0</v>
      </c>
      <c r="DW18" s="105">
        <f t="shared" si="7"/>
        <v>0</v>
      </c>
      <c r="DX18" s="105">
        <f t="shared" si="7"/>
        <v>0</v>
      </c>
      <c r="DY18" s="105">
        <f t="shared" si="7"/>
        <v>0</v>
      </c>
      <c r="DZ18" s="105">
        <f t="shared" si="7"/>
        <v>0</v>
      </c>
      <c r="EA18" s="105">
        <f t="shared" si="7"/>
        <v>0</v>
      </c>
      <c r="EB18" s="105">
        <f t="shared" si="7"/>
        <v>0</v>
      </c>
      <c r="EC18" s="105">
        <f t="shared" si="7"/>
        <v>0</v>
      </c>
      <c r="ED18" s="105">
        <f t="shared" si="7"/>
        <v>0</v>
      </c>
      <c r="EE18" s="105">
        <f t="shared" si="7"/>
        <v>0</v>
      </c>
      <c r="EF18" s="105">
        <f t="shared" si="7"/>
        <v>0</v>
      </c>
      <c r="EG18" s="105">
        <f t="shared" si="7"/>
        <v>0</v>
      </c>
      <c r="EH18" s="105">
        <f t="shared" si="7"/>
        <v>0</v>
      </c>
      <c r="EI18" s="105">
        <f t="shared" si="7"/>
        <v>0</v>
      </c>
      <c r="EJ18" s="105">
        <f t="shared" si="7"/>
        <v>0</v>
      </c>
      <c r="EK18" s="105">
        <f t="shared" si="7"/>
        <v>0</v>
      </c>
      <c r="EL18" s="105">
        <f t="shared" si="7"/>
        <v>0</v>
      </c>
      <c r="EM18" s="105">
        <f t="shared" si="7"/>
        <v>0</v>
      </c>
      <c r="EN18" s="105">
        <f t="shared" si="7"/>
        <v>0</v>
      </c>
      <c r="EO18" s="105" t="e" vm="2">
        <f t="shared" si="7"/>
        <v>#VALUE!</v>
      </c>
      <c r="EP18" s="105" t="e" vm="2">
        <f t="shared" si="7"/>
        <v>#VALUE!</v>
      </c>
      <c r="EQ18" s="105" t="e" vm="2">
        <f t="shared" si="7"/>
        <v>#VALUE!</v>
      </c>
      <c r="ER18" s="105" t="e" vm="2">
        <f t="shared" si="7"/>
        <v>#VALUE!</v>
      </c>
      <c r="ES18" s="105" t="e" vm="2">
        <f t="shared" si="7"/>
        <v>#VALUE!</v>
      </c>
      <c r="ET18" s="105" t="e" vm="2">
        <f t="shared" si="7"/>
        <v>#VALUE!</v>
      </c>
    </row>
    <row r="19" spans="1:150" s="104" customFormat="1">
      <c r="H19" s="60"/>
      <c r="I19" s="105"/>
      <c r="J19" s="105"/>
      <c r="K19" s="105"/>
      <c r="L19" s="105"/>
      <c r="M19" s="105"/>
      <c r="N19" s="105"/>
      <c r="O19" s="105"/>
      <c r="P19" s="105"/>
      <c r="Q19" s="105"/>
      <c r="R19" s="105"/>
      <c r="S19" s="105"/>
      <c r="T19" s="105"/>
      <c r="U19" s="105"/>
      <c r="V19" s="105"/>
      <c r="W19" s="105"/>
      <c r="X19" s="105"/>
      <c r="Y19" s="105"/>
      <c r="Z19" s="105"/>
      <c r="AA19" s="105"/>
      <c r="AB19" s="105"/>
      <c r="AC19" s="105"/>
      <c r="AD19" s="105"/>
      <c r="AE19" s="105"/>
      <c r="AF19" s="105"/>
      <c r="AG19" s="105"/>
      <c r="AH19" s="105"/>
      <c r="AI19" s="105"/>
      <c r="AJ19" s="105"/>
      <c r="AK19" s="105"/>
      <c r="AL19" s="105"/>
      <c r="AM19" s="105"/>
      <c r="AN19" s="105"/>
      <c r="AO19" s="105"/>
      <c r="AP19" s="105"/>
      <c r="AQ19" s="105"/>
      <c r="AR19" s="105"/>
      <c r="AS19" s="105"/>
      <c r="AT19" s="105"/>
      <c r="AU19" s="105"/>
      <c r="AV19" s="105"/>
      <c r="AW19" s="105"/>
      <c r="AX19" s="105"/>
      <c r="AY19" s="105"/>
      <c r="AZ19" s="105"/>
      <c r="BA19" s="105"/>
      <c r="BB19" s="105"/>
      <c r="BC19" s="105"/>
      <c r="BD19" s="105"/>
      <c r="BE19" s="105"/>
      <c r="BF19" s="105"/>
      <c r="BG19" s="105"/>
      <c r="BH19" s="105"/>
      <c r="BI19" s="105"/>
      <c r="BJ19" s="105"/>
      <c r="BK19" s="105"/>
      <c r="BL19" s="105"/>
      <c r="BM19" s="105"/>
      <c r="BN19" s="105"/>
      <c r="BO19" s="105"/>
      <c r="BP19" s="105"/>
      <c r="BQ19" s="105"/>
      <c r="BR19" s="105"/>
      <c r="BS19" s="105"/>
      <c r="BT19" s="105"/>
      <c r="BU19" s="105"/>
      <c r="BV19" s="105"/>
      <c r="BW19" s="105"/>
      <c r="BX19" s="105"/>
      <c r="BY19" s="105"/>
      <c r="BZ19" s="105"/>
      <c r="CA19" s="105"/>
      <c r="CB19" s="105"/>
      <c r="CC19" s="105"/>
      <c r="CD19" s="105"/>
      <c r="CE19" s="105"/>
      <c r="CF19" s="105"/>
      <c r="CG19" s="105"/>
      <c r="CH19" s="105"/>
      <c r="CI19" s="105"/>
      <c r="CJ19" s="105"/>
      <c r="CK19" s="105"/>
      <c r="CL19" s="105"/>
      <c r="CM19" s="105"/>
      <c r="CN19" s="105"/>
      <c r="CO19" s="105"/>
      <c r="CP19" s="105"/>
      <c r="CQ19" s="105"/>
      <c r="CR19" s="105"/>
    </row>
    <row r="20" spans="1:150" ht="13">
      <c r="A20" s="331" t="s">
        <v>843</v>
      </c>
      <c r="H20" s="60" t="s">
        <v>429</v>
      </c>
      <c r="I20" s="74"/>
      <c r="J20" s="74"/>
      <c r="K20" s="74"/>
      <c r="L20" s="74"/>
      <c r="M20" s="74"/>
      <c r="N20" s="74"/>
      <c r="O20" s="74"/>
      <c r="P20" s="74"/>
      <c r="Q20" s="74"/>
      <c r="R20" s="74"/>
      <c r="S20" s="74"/>
      <c r="T20" s="74"/>
      <c r="U20" s="74"/>
      <c r="V20" s="74">
        <v>3.4</v>
      </c>
      <c r="W20" s="74"/>
      <c r="X20" s="74"/>
      <c r="Y20" s="74"/>
      <c r="Z20" s="74"/>
      <c r="AA20" s="74"/>
      <c r="AB20" s="74">
        <v>3.65</v>
      </c>
      <c r="AC20" s="74"/>
      <c r="AD20" s="74">
        <v>3.75</v>
      </c>
      <c r="AE20" s="74"/>
      <c r="AF20" s="74"/>
      <c r="AG20" s="74"/>
      <c r="AH20" s="74"/>
      <c r="AI20" s="74"/>
      <c r="AK20" s="74">
        <v>5.25</v>
      </c>
      <c r="AL20" s="74"/>
      <c r="AM20" s="74"/>
      <c r="AN20" s="74">
        <v>5.65</v>
      </c>
      <c r="AO20" s="74">
        <v>5.9</v>
      </c>
      <c r="AP20" s="74"/>
      <c r="AQ20" s="74"/>
      <c r="AR20" s="74"/>
      <c r="AS20" s="74">
        <v>5.25</v>
      </c>
      <c r="AT20" s="74"/>
      <c r="AU20" s="74"/>
      <c r="AV20" s="74"/>
      <c r="AW20" s="74">
        <v>5.15</v>
      </c>
      <c r="AX20" s="74"/>
      <c r="AY20" s="74"/>
      <c r="AZ20" s="74"/>
      <c r="BA20" s="74"/>
      <c r="BB20" s="74"/>
      <c r="BC20" s="74"/>
      <c r="BD20" s="74"/>
      <c r="BE20" s="74"/>
      <c r="BF20" s="74"/>
      <c r="BG20" s="74"/>
      <c r="BH20" s="74"/>
      <c r="BI20" s="74"/>
      <c r="BJ20" s="74"/>
      <c r="BK20" s="74"/>
      <c r="BL20" s="74"/>
      <c r="BM20" s="74"/>
      <c r="BN20" s="74"/>
      <c r="BO20" s="74"/>
      <c r="BP20" s="74"/>
      <c r="BQ20" s="74"/>
      <c r="BR20" s="74"/>
      <c r="BS20" s="74"/>
      <c r="BT20" s="74"/>
      <c r="BU20" s="74"/>
      <c r="BV20" s="74"/>
      <c r="BW20" s="74"/>
      <c r="BX20" s="74">
        <v>5.15</v>
      </c>
      <c r="BY20" s="74"/>
      <c r="BZ20" s="74"/>
      <c r="CA20" s="74"/>
      <c r="CB20" s="74"/>
      <c r="CC20" s="74"/>
      <c r="CD20" s="74"/>
      <c r="CE20" s="74"/>
      <c r="CF20" s="74"/>
      <c r="CG20" s="74"/>
      <c r="CH20" s="74"/>
      <c r="CI20" s="74">
        <v>5.5</v>
      </c>
      <c r="CJ20" s="74"/>
      <c r="CK20" s="74"/>
      <c r="CL20" s="74"/>
      <c r="CM20" s="74"/>
      <c r="CN20" s="74"/>
      <c r="CO20" s="74"/>
      <c r="CP20" s="74"/>
      <c r="CQ20" s="74"/>
      <c r="CR20" s="74"/>
      <c r="CV20" s="74">
        <f>465/83.7</f>
        <v>5.5555555555555554</v>
      </c>
    </row>
    <row r="21" spans="1:150">
      <c r="H21" s="60" t="s">
        <v>406</v>
      </c>
      <c r="I21" s="74"/>
      <c r="J21" s="74"/>
      <c r="K21" s="74"/>
      <c r="L21" s="74"/>
      <c r="M21" s="74"/>
      <c r="N21" s="74"/>
      <c r="O21" s="74"/>
      <c r="P21" s="74"/>
      <c r="Q21" s="74"/>
      <c r="R21" s="74"/>
      <c r="S21" s="74"/>
      <c r="T21" s="74"/>
      <c r="U21" s="74"/>
      <c r="V21" s="74">
        <f>V20-V18</f>
        <v>2.8699722966390646</v>
      </c>
      <c r="W21" s="74"/>
      <c r="X21" s="74"/>
      <c r="Y21" s="74"/>
      <c r="Z21" s="74"/>
      <c r="AA21" s="74"/>
      <c r="AB21" s="74">
        <f>AB20-AB18</f>
        <v>2.9538014490988793</v>
      </c>
      <c r="AC21" s="74"/>
      <c r="AD21" s="74">
        <f>AD20-AD18</f>
        <v>2.9621209814905018</v>
      </c>
      <c r="AE21" s="74"/>
      <c r="AF21" s="74"/>
      <c r="AG21" s="74"/>
      <c r="AH21" s="74"/>
      <c r="AI21" s="74"/>
      <c r="AK21" s="74">
        <f>AK20-AK18</f>
        <v>4.4334708353628836</v>
      </c>
      <c r="AL21" s="74"/>
      <c r="AM21" s="74"/>
      <c r="AN21" s="74">
        <f>AN20-AN18</f>
        <v>4.9738565513882129</v>
      </c>
      <c r="AO21" s="74">
        <f>AO20-AO18</f>
        <v>5.1894763760350706</v>
      </c>
      <c r="AP21" s="74"/>
      <c r="AQ21" s="74"/>
      <c r="AR21" s="74"/>
      <c r="AS21" s="74">
        <f>AS20-AS18</f>
        <v>4.7285673404773503</v>
      </c>
      <c r="AT21" s="74"/>
      <c r="AU21" s="74"/>
      <c r="AV21" s="74"/>
      <c r="AW21" s="74">
        <f>AW20-AW18</f>
        <v>4.6457574281539218</v>
      </c>
      <c r="AX21" s="74"/>
      <c r="AY21" s="74"/>
      <c r="AZ21" s="74"/>
      <c r="BA21" s="74"/>
      <c r="BB21" s="74"/>
      <c r="BC21" s="74"/>
      <c r="BD21" s="74"/>
      <c r="BE21" s="74"/>
      <c r="BF21" s="74"/>
      <c r="BG21" s="74"/>
      <c r="BH21" s="74"/>
      <c r="BI21" s="74"/>
      <c r="BJ21" s="74"/>
      <c r="BK21" s="74"/>
      <c r="BL21" s="74"/>
      <c r="BM21" s="74"/>
      <c r="BN21" s="74"/>
      <c r="BO21" s="74"/>
      <c r="BP21" s="74"/>
      <c r="BQ21" s="74"/>
      <c r="BR21" s="74"/>
      <c r="BS21" s="74"/>
      <c r="BT21" s="74"/>
      <c r="BU21" s="74"/>
      <c r="BV21" s="74"/>
      <c r="BW21" s="74"/>
      <c r="BX21" s="74">
        <f>BX20-BX18</f>
        <v>4.6314323550901122</v>
      </c>
      <c r="BY21" s="74"/>
      <c r="BZ21" s="74"/>
      <c r="CA21" s="74"/>
      <c r="CB21" s="74"/>
      <c r="CC21" s="74"/>
      <c r="CD21" s="74"/>
      <c r="CE21" s="74"/>
      <c r="CF21" s="74"/>
      <c r="CG21" s="74"/>
      <c r="CH21" s="74"/>
      <c r="CI21" s="74">
        <f>CI20-CI18</f>
        <v>4.9785673404773503</v>
      </c>
      <c r="CJ21" s="74"/>
      <c r="CK21" s="74"/>
      <c r="CL21" s="74"/>
      <c r="CM21" s="74"/>
      <c r="CN21" s="74"/>
      <c r="CO21" s="74"/>
      <c r="CP21" s="74"/>
      <c r="CQ21" s="74"/>
      <c r="CR21" s="74"/>
      <c r="CV21" s="74">
        <f>CV20-CV18</f>
        <v>5.0226628375818585</v>
      </c>
    </row>
    <row r="23" spans="1:150" ht="13" thickBot="1"/>
    <row r="24" spans="1:150" s="73" customFormat="1" ht="13" thickBot="1">
      <c r="H24" s="257" t="s">
        <v>800</v>
      </c>
      <c r="I24" s="258">
        <f>2.87+I18</f>
        <v>3.3656475280077935</v>
      </c>
      <c r="J24" s="258">
        <f t="shared" ref="J24:BU24" si="8">2.87+J18</f>
        <v>3.3971626887481734</v>
      </c>
      <c r="K24" s="258">
        <f t="shared" si="8"/>
        <v>3.3255373234291281</v>
      </c>
      <c r="L24" s="258">
        <f t="shared" si="8"/>
        <v>3.2510469434973213</v>
      </c>
      <c r="M24" s="258">
        <f t="shared" si="8"/>
        <v>3.2711020457866535</v>
      </c>
      <c r="N24" s="258">
        <f t="shared" si="8"/>
        <v>3.3513224549439844</v>
      </c>
      <c r="O24" s="258">
        <f t="shared" si="8"/>
        <v>3.2309918412079885</v>
      </c>
      <c r="P24" s="258">
        <f t="shared" si="8"/>
        <v>3.2281268265952265</v>
      </c>
      <c r="Q24" s="258">
        <f t="shared" si="8"/>
        <v>3.2281268265952265</v>
      </c>
      <c r="R24" s="258">
        <f t="shared" si="8"/>
        <v>3.2395868850462737</v>
      </c>
      <c r="S24" s="258">
        <f t="shared" si="8"/>
        <v>3.2997521919142718</v>
      </c>
      <c r="T24" s="258">
        <f t="shared" si="8"/>
        <v>3.357052484169508</v>
      </c>
      <c r="U24" s="258">
        <f t="shared" si="8"/>
        <v>3.3713775572333171</v>
      </c>
      <c r="V24" s="258">
        <f t="shared" si="8"/>
        <v>3.4000277033609354</v>
      </c>
      <c r="W24" s="258">
        <f t="shared" si="8"/>
        <v>3.5289533609352168</v>
      </c>
      <c r="X24" s="258">
        <f t="shared" si="8"/>
        <v>3.5576035070628351</v>
      </c>
      <c r="Y24" s="258">
        <f t="shared" si="8"/>
        <v>3.6149037993180713</v>
      </c>
      <c r="Z24" s="258">
        <f t="shared" si="8"/>
        <v>3.5289533609352168</v>
      </c>
      <c r="AA24" s="258">
        <f t="shared" si="8"/>
        <v>3.5747935947394058</v>
      </c>
      <c r="AB24" s="258">
        <f t="shared" si="8"/>
        <v>3.5661985509011203</v>
      </c>
      <c r="AC24" s="258">
        <f t="shared" si="8"/>
        <v>3.6865291646371166</v>
      </c>
      <c r="AD24" s="258">
        <f t="shared" si="8"/>
        <v>3.6578790185094983</v>
      </c>
      <c r="AE24" s="258">
        <f t="shared" si="8"/>
        <v>3.586253653190453</v>
      </c>
      <c r="AF24" s="258">
        <f t="shared" si="8"/>
        <v>3.5719285801266443</v>
      </c>
      <c r="AG24" s="258">
        <f t="shared" si="8"/>
        <v>3.7151793107647348</v>
      </c>
      <c r="AH24" s="258">
        <f t="shared" si="8"/>
        <v>3.726639369215782</v>
      </c>
      <c r="AI24" s="258">
        <f t="shared" si="8"/>
        <v>3.7610195445689234</v>
      </c>
      <c r="AJ24" s="258">
        <f t="shared" si="8"/>
        <v>3.7037192523136877</v>
      </c>
      <c r="AK24" s="258">
        <f t="shared" si="8"/>
        <v>3.6865291646371166</v>
      </c>
      <c r="AL24" s="258">
        <f t="shared" si="8"/>
        <v>3.7151793107647348</v>
      </c>
      <c r="AM24" s="258">
        <f t="shared" si="8"/>
        <v>3.5719285801266443</v>
      </c>
      <c r="AN24" s="258">
        <f t="shared" si="8"/>
        <v>3.5461434486117875</v>
      </c>
      <c r="AO24" s="258">
        <f t="shared" si="8"/>
        <v>3.5805236239649294</v>
      </c>
      <c r="AP24" s="258">
        <f t="shared" si="8"/>
        <v>3.5518734778373116</v>
      </c>
      <c r="AQ24" s="258">
        <f t="shared" si="8"/>
        <v>3.4859781417437894</v>
      </c>
      <c r="AR24" s="258">
        <f t="shared" si="8"/>
        <v>3.4172177910375061</v>
      </c>
      <c r="AS24" s="258">
        <f t="shared" si="8"/>
        <v>3.3914326595226498</v>
      </c>
      <c r="AT24" s="258">
        <f t="shared" si="8"/>
        <v>3.4430029225523624</v>
      </c>
      <c r="AU24" s="258">
        <f t="shared" si="8"/>
        <v>3.408622747199221</v>
      </c>
      <c r="AV24" s="258">
        <f t="shared" si="8"/>
        <v>3.3857026302971263</v>
      </c>
      <c r="AW24" s="258">
        <f t="shared" si="8"/>
        <v>3.3742425718460791</v>
      </c>
      <c r="AX24" s="258">
        <f t="shared" si="8"/>
        <v>3.2854271188504627</v>
      </c>
      <c r="AY24" s="258">
        <f t="shared" si="8"/>
        <v>3.2854271188504627</v>
      </c>
      <c r="AZ24" s="258">
        <f t="shared" si="8"/>
        <v>3.2854271188504627</v>
      </c>
      <c r="BA24" s="258">
        <f t="shared" si="8"/>
        <v>3.2854271188504627</v>
      </c>
      <c r="BB24" s="258">
        <f t="shared" si="8"/>
        <v>3.3427274111056988</v>
      </c>
      <c r="BC24" s="258">
        <f t="shared" si="8"/>
        <v>3.3427274111056988</v>
      </c>
      <c r="BD24" s="258">
        <f t="shared" si="8"/>
        <v>3.4298467754505602</v>
      </c>
      <c r="BE24" s="258">
        <f t="shared" si="8"/>
        <v>3.4000277033609354</v>
      </c>
      <c r="BF24" s="258">
        <f t="shared" si="8"/>
        <v>3.4000277033609354</v>
      </c>
      <c r="BG24" s="258">
        <f t="shared" si="8"/>
        <v>3.4000277033609354</v>
      </c>
      <c r="BH24" s="258">
        <f t="shared" si="8"/>
        <v>3.4716530686799807</v>
      </c>
      <c r="BI24" s="258">
        <f t="shared" si="8"/>
        <v>3.4716530686799807</v>
      </c>
      <c r="BJ24" s="258">
        <f t="shared" si="8"/>
        <v>3.4716530686799807</v>
      </c>
      <c r="BK24" s="258">
        <f t="shared" si="8"/>
        <v>3.4859781417437894</v>
      </c>
      <c r="BL24" s="258">
        <f t="shared" si="8"/>
        <v>3.4859781417437894</v>
      </c>
      <c r="BM24" s="258">
        <f t="shared" si="8"/>
        <v>3.4859781417437894</v>
      </c>
      <c r="BN24" s="258">
        <f t="shared" si="8"/>
        <v>3.4286778494885537</v>
      </c>
      <c r="BO24" s="258">
        <f t="shared" si="8"/>
        <v>3.4000277033609354</v>
      </c>
      <c r="BP24" s="258">
        <f t="shared" si="8"/>
        <v>3.4000277033609354</v>
      </c>
      <c r="BQ24" s="258">
        <f t="shared" si="8"/>
        <v>3.4000277033609354</v>
      </c>
      <c r="BR24" s="258">
        <f t="shared" si="8"/>
        <v>3.4000277033609354</v>
      </c>
      <c r="BS24" s="258">
        <f t="shared" si="8"/>
        <v>3.4000277033609354</v>
      </c>
      <c r="BT24" s="258">
        <f t="shared" si="8"/>
        <v>3.4000277033609354</v>
      </c>
      <c r="BU24" s="258">
        <f t="shared" si="8"/>
        <v>3.3885676449098883</v>
      </c>
      <c r="BV24" s="258">
        <f t="shared" ref="BV24:EG24" si="9">2.87+BV18</f>
        <v>3.3885676449098883</v>
      </c>
      <c r="BW24" s="258">
        <f t="shared" si="9"/>
        <v>3.3885676449098883</v>
      </c>
      <c r="BX24" s="258">
        <f t="shared" si="9"/>
        <v>3.3885676449098883</v>
      </c>
      <c r="BY24" s="258">
        <f t="shared" si="9"/>
        <v>3.3885676449098883</v>
      </c>
      <c r="BZ24" s="258">
        <f t="shared" si="9"/>
        <v>3.3656475280077935</v>
      </c>
      <c r="CA24" s="258">
        <f t="shared" si="9"/>
        <v>3.3656475280077935</v>
      </c>
      <c r="CB24" s="258">
        <f t="shared" si="9"/>
        <v>3.3656475280077935</v>
      </c>
      <c r="CC24" s="258">
        <f t="shared" si="9"/>
        <v>3.408622747199221</v>
      </c>
      <c r="CD24" s="258">
        <f t="shared" si="9"/>
        <v>3.408622747199221</v>
      </c>
      <c r="CE24" s="258">
        <f t="shared" si="9"/>
        <v>3.408622747199221</v>
      </c>
      <c r="CF24" s="258">
        <f t="shared" si="9"/>
        <v>3.408622747199221</v>
      </c>
      <c r="CG24" s="258">
        <f t="shared" si="9"/>
        <v>3.408622747199221</v>
      </c>
      <c r="CH24" s="258">
        <f t="shared" si="9"/>
        <v>3.3914326595226498</v>
      </c>
      <c r="CI24" s="258">
        <f t="shared" si="9"/>
        <v>3.3914326595226498</v>
      </c>
      <c r="CJ24" s="258">
        <f t="shared" si="9"/>
        <v>3.3914326595226498</v>
      </c>
      <c r="CK24" s="258">
        <f t="shared" si="9"/>
        <v>3.3914326595226498</v>
      </c>
      <c r="CL24" s="258">
        <f t="shared" si="9"/>
        <v>3.4114877618119825</v>
      </c>
      <c r="CM24" s="258">
        <f t="shared" si="9"/>
        <v>3.4114877618119825</v>
      </c>
      <c r="CN24" s="258">
        <f t="shared" si="9"/>
        <v>3.4114877618119825</v>
      </c>
      <c r="CO24" s="258">
        <f t="shared" si="9"/>
        <v>3.4114877618119825</v>
      </c>
      <c r="CP24" s="258">
        <f t="shared" si="9"/>
        <v>3.4114877618119825</v>
      </c>
      <c r="CQ24" s="258">
        <f t="shared" si="9"/>
        <v>3.4114877618119825</v>
      </c>
      <c r="CR24" s="258">
        <f t="shared" si="9"/>
        <v>3.3914326595226498</v>
      </c>
      <c r="CS24" s="258">
        <f t="shared" si="9"/>
        <v>3.3914326595226498</v>
      </c>
      <c r="CT24" s="258">
        <f t="shared" si="9"/>
        <v>3.3914326595226498</v>
      </c>
      <c r="CU24" s="258">
        <f t="shared" si="9"/>
        <v>3.402892717973697</v>
      </c>
      <c r="CV24" s="258">
        <f t="shared" si="9"/>
        <v>3.402892717973697</v>
      </c>
      <c r="CW24" s="258">
        <f t="shared" si="9"/>
        <v>3.402892717973697</v>
      </c>
      <c r="CX24" s="258">
        <f t="shared" si="9"/>
        <v>3.402892717973697</v>
      </c>
      <c r="CY24" s="258">
        <f t="shared" si="9"/>
        <v>3.4258128348757917</v>
      </c>
      <c r="CZ24" s="258">
        <f t="shared" si="9"/>
        <v>3.451597966390648</v>
      </c>
      <c r="DA24" s="258">
        <f t="shared" si="9"/>
        <v>3.451597966390648</v>
      </c>
      <c r="DB24" s="258">
        <f t="shared" si="9"/>
        <v>3.4487329517778864</v>
      </c>
      <c r="DC24" s="258">
        <f t="shared" si="9"/>
        <v>3.494573185582075</v>
      </c>
      <c r="DD24" s="258">
        <f t="shared" si="9"/>
        <v>3.494573185582075</v>
      </c>
      <c r="DE24" s="258">
        <f t="shared" si="9"/>
        <v>3.494573185582075</v>
      </c>
      <c r="DF24" s="258">
        <f t="shared" si="9"/>
        <v>3.4573279956161715</v>
      </c>
      <c r="DG24" s="258">
        <f t="shared" si="9"/>
        <v>3.4573279956161715</v>
      </c>
      <c r="DH24" s="258">
        <f t="shared" si="9"/>
        <v>3.4344078787140768</v>
      </c>
      <c r="DI24" s="258">
        <f t="shared" si="9"/>
        <v>3.4172177910375061</v>
      </c>
      <c r="DJ24" s="258">
        <f t="shared" si="9"/>
        <v>3.3885676449098883</v>
      </c>
      <c r="DK24" s="258">
        <f t="shared" si="9"/>
        <v>3.3828376156843643</v>
      </c>
      <c r="DL24" s="258">
        <f t="shared" si="9"/>
        <v>3.3828376156843643</v>
      </c>
      <c r="DM24" s="258">
        <f t="shared" si="9"/>
        <v>3.3857026302971263</v>
      </c>
      <c r="DN24" s="258">
        <f t="shared" si="9"/>
        <v>3.3914326595226498</v>
      </c>
      <c r="DO24" s="258">
        <f t="shared" si="9"/>
        <v>3.3828376156843643</v>
      </c>
      <c r="DP24" s="258">
        <f t="shared" si="9"/>
        <v>3.3828376156843643</v>
      </c>
      <c r="DQ24" s="258">
        <f t="shared" si="9"/>
        <v>3.3857026302971263</v>
      </c>
      <c r="DR24" s="258">
        <f t="shared" si="9"/>
        <v>3.3857026302971263</v>
      </c>
      <c r="DS24" s="258">
        <f t="shared" si="9"/>
        <v>3.3857026302971263</v>
      </c>
      <c r="DT24" s="258">
        <f t="shared" si="9"/>
        <v>2.87</v>
      </c>
      <c r="DU24" s="258">
        <f t="shared" si="9"/>
        <v>2.87</v>
      </c>
      <c r="DV24" s="258">
        <f t="shared" si="9"/>
        <v>2.87</v>
      </c>
      <c r="DW24" s="258">
        <f t="shared" si="9"/>
        <v>2.87</v>
      </c>
      <c r="DX24" s="258">
        <f t="shared" si="9"/>
        <v>2.87</v>
      </c>
      <c r="DY24" s="258">
        <f t="shared" si="9"/>
        <v>2.87</v>
      </c>
      <c r="DZ24" s="258">
        <f t="shared" si="9"/>
        <v>2.87</v>
      </c>
      <c r="EA24" s="258">
        <f t="shared" si="9"/>
        <v>2.87</v>
      </c>
      <c r="EB24" s="258">
        <f t="shared" si="9"/>
        <v>2.87</v>
      </c>
      <c r="EC24" s="258">
        <f t="shared" si="9"/>
        <v>2.87</v>
      </c>
      <c r="ED24" s="258">
        <f t="shared" si="9"/>
        <v>2.87</v>
      </c>
      <c r="EE24" s="258">
        <f t="shared" si="9"/>
        <v>2.87</v>
      </c>
      <c r="EF24" s="258">
        <f t="shared" si="9"/>
        <v>2.87</v>
      </c>
      <c r="EG24" s="258">
        <f t="shared" si="9"/>
        <v>2.87</v>
      </c>
      <c r="EH24" s="258">
        <f t="shared" ref="EH24:ET24" si="10">2.87+EH18</f>
        <v>2.87</v>
      </c>
      <c r="EI24" s="258">
        <f t="shared" si="10"/>
        <v>2.87</v>
      </c>
      <c r="EJ24" s="258">
        <f t="shared" si="10"/>
        <v>2.87</v>
      </c>
      <c r="EK24" s="258">
        <f t="shared" si="10"/>
        <v>2.87</v>
      </c>
      <c r="EL24" s="258">
        <f t="shared" si="10"/>
        <v>2.87</v>
      </c>
      <c r="EM24" s="258">
        <f t="shared" si="10"/>
        <v>2.87</v>
      </c>
      <c r="EN24" s="258">
        <f t="shared" si="10"/>
        <v>2.87</v>
      </c>
      <c r="EO24" s="258" t="e" vm="2">
        <f t="shared" si="10"/>
        <v>#VALUE!</v>
      </c>
      <c r="EP24" s="258" t="e" vm="2">
        <f t="shared" si="10"/>
        <v>#VALUE!</v>
      </c>
      <c r="EQ24" s="258" t="e" vm="2">
        <f t="shared" si="10"/>
        <v>#VALUE!</v>
      </c>
      <c r="ER24" s="258" t="e" vm="2">
        <f t="shared" si="10"/>
        <v>#VALUE!</v>
      </c>
      <c r="ES24" s="258" t="e" vm="2">
        <f t="shared" si="10"/>
        <v>#VALUE!</v>
      </c>
      <c r="ET24" s="258" t="e" vm="2">
        <f t="shared" si="10"/>
        <v>#VALUE!</v>
      </c>
    </row>
  </sheetData>
  <pageMargins left="0.7" right="0.7" top="0.75" bottom="0.75" header="0.3" footer="0.3"/>
  <drawing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EP24"/>
  <sheetViews>
    <sheetView workbookViewId="0">
      <pane xSplit="11" ySplit="7" topLeftCell="N14" activePane="bottomRight" state="frozen"/>
      <selection pane="topRight" activeCell="L1" sqref="L1"/>
      <selection pane="bottomLeft" activeCell="A7" sqref="A7"/>
      <selection pane="bottomRight" activeCell="I24" sqref="I24"/>
    </sheetView>
  </sheetViews>
  <sheetFormatPr baseColWidth="10" defaultColWidth="22.6640625" defaultRowHeight="12"/>
  <cols>
    <col min="1" max="1" width="13.33203125" style="60" bestFit="1" customWidth="1"/>
    <col min="2" max="2" width="11.33203125" style="60" bestFit="1" customWidth="1"/>
    <col min="3" max="3" width="4.83203125" style="60" bestFit="1" customWidth="1"/>
    <col min="4" max="4" width="12.33203125" style="60" bestFit="1" customWidth="1"/>
    <col min="5" max="5" width="11.83203125" style="60" bestFit="1" customWidth="1"/>
    <col min="6" max="6" width="6" style="60" bestFit="1" customWidth="1"/>
    <col min="7" max="7" width="4.1640625" style="60" bestFit="1" customWidth="1"/>
    <col min="8" max="8" width="22.83203125" style="60" bestFit="1" customWidth="1"/>
    <col min="9" max="10" width="5.5" style="60" bestFit="1" customWidth="1"/>
    <col min="11" max="11" width="5.6640625" style="60" bestFit="1" customWidth="1"/>
    <col min="12" max="12" width="5.5" style="60" bestFit="1" customWidth="1"/>
    <col min="13" max="13" width="5.83203125" style="60" bestFit="1" customWidth="1"/>
    <col min="14" max="18" width="5.5" style="60" bestFit="1" customWidth="1"/>
    <col min="19" max="19" width="5.6640625" style="60" bestFit="1" customWidth="1"/>
    <col min="20" max="22" width="5.5" style="60" bestFit="1" customWidth="1"/>
    <col min="23" max="25" width="6.1640625" style="60" bestFit="1" customWidth="1"/>
    <col min="26" max="29" width="5.5" style="60" bestFit="1" customWidth="1"/>
    <col min="30" max="30" width="6.1640625" style="60" bestFit="1" customWidth="1"/>
    <col min="31" max="31" width="5.6640625" style="60" bestFit="1" customWidth="1"/>
    <col min="32" max="33" width="5.5" style="60" bestFit="1" customWidth="1"/>
    <col min="34" max="38" width="6.1640625" style="60" bestFit="1" customWidth="1"/>
    <col min="39" max="42" width="5.5" style="60" bestFit="1" customWidth="1"/>
    <col min="43" max="43" width="5.6640625" style="60" bestFit="1" customWidth="1"/>
    <col min="44" max="46" width="5.5" style="60" bestFit="1" customWidth="1"/>
    <col min="47" max="47" width="5.6640625" style="60" bestFit="1" customWidth="1"/>
    <col min="48" max="48" width="5.5" style="60" bestFit="1" customWidth="1"/>
    <col min="49" max="49" width="5.83203125" style="60" bestFit="1" customWidth="1"/>
    <col min="50" max="51" width="5.5" style="60" bestFit="1" customWidth="1"/>
    <col min="52" max="54" width="7" style="60" bestFit="1" customWidth="1"/>
    <col min="55" max="56" width="5.5" style="60" bestFit="1" customWidth="1"/>
    <col min="57" max="58" width="5.83203125" style="60" bestFit="1" customWidth="1"/>
    <col min="59" max="70" width="5.6640625" style="60" bestFit="1" customWidth="1"/>
    <col min="71" max="82" width="5.5" style="60" bestFit="1" customWidth="1"/>
    <col min="83" max="83" width="6.1640625" style="60" bestFit="1" customWidth="1"/>
    <col min="84" max="86" width="5.6640625" style="60" bestFit="1" customWidth="1"/>
    <col min="87" max="90" width="5.5" style="60" bestFit="1" customWidth="1"/>
    <col min="91" max="95" width="6.33203125" style="60" bestFit="1" customWidth="1"/>
    <col min="96" max="99" width="6.1640625" style="60" bestFit="1" customWidth="1"/>
    <col min="100" max="103" width="5.5" style="60" bestFit="1" customWidth="1"/>
    <col min="104" max="107" width="5.83203125" style="60" bestFit="1" customWidth="1"/>
    <col min="108" max="115" width="5.6640625" style="60" bestFit="1" customWidth="1"/>
    <col min="116" max="119" width="6.1640625" style="60" bestFit="1" customWidth="1"/>
    <col min="120" max="123" width="5.83203125" style="60" bestFit="1" customWidth="1"/>
    <col min="124" max="142" width="5.1640625" style="60" bestFit="1" customWidth="1"/>
    <col min="143" max="144" width="3.6640625" style="60" bestFit="1" customWidth="1"/>
    <col min="145" max="146" width="3.33203125" style="60" bestFit="1" customWidth="1"/>
    <col min="147" max="16384" width="22.6640625" style="60"/>
  </cols>
  <sheetData>
    <row r="1" spans="1:146" ht="13">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c r="EM1" s="99">
        <v>141</v>
      </c>
      <c r="EN1" s="99">
        <v>142</v>
      </c>
      <c r="EO1" s="99">
        <v>143</v>
      </c>
      <c r="EP1" s="99">
        <v>144</v>
      </c>
    </row>
    <row r="2" spans="1:146">
      <c r="A2" s="59"/>
      <c r="B2" s="59"/>
      <c r="C2" s="59"/>
      <c r="D2" s="98"/>
      <c r="E2" s="98"/>
      <c r="F2" s="59"/>
      <c r="H2" s="99"/>
      <c r="I2" s="99"/>
      <c r="J2" s="99"/>
      <c r="K2" s="99"/>
      <c r="L2" s="99"/>
      <c r="M2" s="99"/>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99"/>
      <c r="AP2" s="99"/>
      <c r="AQ2" s="99"/>
      <c r="AR2" s="99"/>
      <c r="AS2" s="99"/>
      <c r="AT2" s="99"/>
      <c r="AU2" s="99"/>
      <c r="AV2" s="99"/>
      <c r="AW2" s="99"/>
      <c r="AX2" s="99"/>
      <c r="AY2" s="99"/>
      <c r="AZ2" s="99"/>
      <c r="BA2" s="99"/>
      <c r="BB2" s="99"/>
      <c r="BC2" s="99"/>
      <c r="BD2" s="99"/>
      <c r="BE2" s="99"/>
      <c r="BF2" s="99"/>
      <c r="BG2" s="99"/>
      <c r="BH2" s="99"/>
      <c r="BI2" s="99"/>
      <c r="BJ2" s="99"/>
      <c r="BK2" s="99"/>
      <c r="BL2" s="99"/>
      <c r="BM2" s="99"/>
      <c r="BN2" s="99"/>
      <c r="BO2" s="99"/>
      <c r="BP2" s="99"/>
      <c r="BQ2" s="99"/>
      <c r="BR2" s="99"/>
      <c r="BS2" s="99"/>
      <c r="BT2" s="99"/>
      <c r="BU2" s="99"/>
      <c r="BV2" s="99"/>
      <c r="BW2" s="99"/>
      <c r="BX2" s="99"/>
      <c r="BY2" s="99"/>
      <c r="BZ2" s="99"/>
      <c r="CA2" s="99"/>
      <c r="CB2" s="99"/>
      <c r="CC2" s="99"/>
      <c r="CD2" s="99"/>
      <c r="CE2" s="99"/>
      <c r="CF2" s="99"/>
      <c r="CG2" s="99"/>
      <c r="CH2" s="99"/>
      <c r="CI2" s="99"/>
      <c r="CJ2" s="99"/>
      <c r="CK2" s="99"/>
      <c r="CL2" s="99"/>
      <c r="CM2" s="99"/>
      <c r="CN2" s="99"/>
    </row>
    <row r="3" spans="1:146" ht="13">
      <c r="A3" s="107" t="s">
        <v>844</v>
      </c>
      <c r="B3" s="100"/>
      <c r="C3" s="101"/>
      <c r="D3" s="282">
        <v>60.1</v>
      </c>
      <c r="K3" s="102"/>
      <c r="M3" s="102"/>
    </row>
    <row r="4" spans="1:146">
      <c r="A4" s="36"/>
      <c r="B4" s="64"/>
      <c r="D4" s="100"/>
      <c r="E4" s="64"/>
      <c r="F4" s="103"/>
    </row>
    <row r="5" spans="1:146">
      <c r="A5" s="64"/>
      <c r="B5" s="64"/>
      <c r="D5" s="64"/>
      <c r="E5" s="64"/>
      <c r="H5" s="60" t="s">
        <v>387</v>
      </c>
    </row>
    <row r="6" spans="1:146">
      <c r="A6" s="74"/>
      <c r="B6" s="74"/>
    </row>
    <row r="7" spans="1:146">
      <c r="A7" s="59"/>
      <c r="B7" s="59"/>
      <c r="C7" s="59"/>
      <c r="D7" s="98"/>
      <c r="E7" s="98"/>
      <c r="F7" s="59"/>
      <c r="H7" s="59" t="s">
        <v>416</v>
      </c>
      <c r="I7" s="59">
        <v>43831</v>
      </c>
      <c r="J7" s="59">
        <v>43862</v>
      </c>
      <c r="K7" s="59">
        <v>43891</v>
      </c>
      <c r="L7" s="59">
        <v>43922</v>
      </c>
      <c r="M7" s="59">
        <v>43952</v>
      </c>
      <c r="N7" s="59">
        <v>43983</v>
      </c>
      <c r="O7" s="59">
        <v>44013</v>
      </c>
      <c r="P7" s="59">
        <v>44044</v>
      </c>
      <c r="Q7" s="59">
        <v>44075</v>
      </c>
      <c r="R7" s="59">
        <v>44105</v>
      </c>
      <c r="S7" s="59">
        <v>44136</v>
      </c>
      <c r="T7" s="59">
        <v>44166</v>
      </c>
      <c r="U7" s="59">
        <v>44197</v>
      </c>
      <c r="V7" s="59">
        <v>44228</v>
      </c>
      <c r="W7" s="59">
        <v>44256</v>
      </c>
      <c r="X7" s="59">
        <v>44287</v>
      </c>
      <c r="Y7" s="59">
        <v>44317</v>
      </c>
      <c r="Z7" s="59">
        <v>44348</v>
      </c>
      <c r="AA7" s="59">
        <v>44378</v>
      </c>
      <c r="AB7" s="59">
        <v>44409</v>
      </c>
      <c r="AC7" s="59">
        <v>44440</v>
      </c>
      <c r="AD7" s="59">
        <v>44470</v>
      </c>
      <c r="AE7" s="59">
        <v>44501</v>
      </c>
      <c r="AF7" s="59">
        <v>44531</v>
      </c>
      <c r="AG7" s="59">
        <v>44562</v>
      </c>
      <c r="AH7" s="59">
        <v>44593</v>
      </c>
      <c r="AI7" s="59">
        <v>44621</v>
      </c>
      <c r="AJ7" s="59">
        <v>44652</v>
      </c>
      <c r="AK7" s="59">
        <v>44682</v>
      </c>
      <c r="AL7" s="59">
        <v>44713</v>
      </c>
      <c r="AM7" s="59">
        <v>44743</v>
      </c>
      <c r="AN7" s="59">
        <v>44774</v>
      </c>
      <c r="AO7" s="59">
        <v>44805</v>
      </c>
      <c r="AP7" s="59">
        <v>44835</v>
      </c>
      <c r="AQ7" s="59">
        <v>44866</v>
      </c>
      <c r="AR7" s="59">
        <v>44896</v>
      </c>
      <c r="AS7" s="59">
        <v>44927</v>
      </c>
      <c r="AT7" s="59">
        <v>44958</v>
      </c>
      <c r="AU7" s="59">
        <v>44986</v>
      </c>
      <c r="AV7" s="59">
        <v>45017</v>
      </c>
      <c r="AW7" s="59">
        <v>45047</v>
      </c>
      <c r="AX7" s="59">
        <v>45078</v>
      </c>
      <c r="AY7" s="59">
        <v>45108</v>
      </c>
      <c r="AZ7" s="59" t="s">
        <v>530</v>
      </c>
      <c r="BA7" s="59" t="s">
        <v>531</v>
      </c>
      <c r="BB7" s="59" t="s">
        <v>532</v>
      </c>
      <c r="BC7" s="59">
        <v>37104</v>
      </c>
      <c r="BD7" s="59">
        <v>37469</v>
      </c>
      <c r="BE7" s="59" t="s">
        <v>168</v>
      </c>
      <c r="BF7" s="59" t="s">
        <v>169</v>
      </c>
      <c r="BG7" s="59" t="s">
        <v>195</v>
      </c>
      <c r="BH7" s="59" t="s">
        <v>196</v>
      </c>
      <c r="BI7" s="59" t="s">
        <v>197</v>
      </c>
      <c r="BJ7" s="59" t="s">
        <v>198</v>
      </c>
      <c r="BK7" s="59" t="s">
        <v>199</v>
      </c>
      <c r="BL7" s="59" t="s">
        <v>200</v>
      </c>
      <c r="BM7" s="59" t="s">
        <v>201</v>
      </c>
      <c r="BN7" s="59" t="s">
        <v>202</v>
      </c>
      <c r="BO7" s="59">
        <v>37196</v>
      </c>
      <c r="BP7" s="59">
        <v>37561</v>
      </c>
      <c r="BQ7" s="59">
        <v>37926</v>
      </c>
      <c r="BR7" s="59">
        <v>38292</v>
      </c>
      <c r="BS7" s="59">
        <v>37226</v>
      </c>
      <c r="BT7" s="59">
        <v>37591</v>
      </c>
      <c r="BU7" s="59">
        <v>37956</v>
      </c>
      <c r="BV7" s="59">
        <v>38322</v>
      </c>
      <c r="BW7" s="59">
        <v>36892</v>
      </c>
      <c r="BX7" s="59">
        <v>37257</v>
      </c>
      <c r="BY7" s="59">
        <v>37622</v>
      </c>
      <c r="BZ7" s="59">
        <v>37987</v>
      </c>
      <c r="CA7" s="59">
        <v>36923</v>
      </c>
      <c r="CB7" s="59">
        <v>37288</v>
      </c>
      <c r="CC7" s="59">
        <v>37653</v>
      </c>
      <c r="CD7" s="59">
        <v>38018</v>
      </c>
      <c r="CE7" s="59" t="str">
        <f>Sheet8!A15</f>
        <v>Mar-w1</v>
      </c>
      <c r="CF7" s="59">
        <v>37316</v>
      </c>
      <c r="CG7" s="59">
        <v>37681</v>
      </c>
      <c r="CH7" s="59">
        <v>38047</v>
      </c>
      <c r="CI7" s="59" t="str">
        <f>Sheet8!E15</f>
        <v>Apr-w1</v>
      </c>
      <c r="CJ7" s="59" t="str">
        <f>Sheet8!F15</f>
        <v>Apr-w2</v>
      </c>
      <c r="CK7" s="59" t="str">
        <f>Sheet8!G15</f>
        <v>Apr-w3</v>
      </c>
      <c r="CL7" s="59" t="str">
        <f>Sheet8!H15</f>
        <v>Apr-w4</v>
      </c>
      <c r="CM7" s="59" t="str">
        <f>Sheet8!I15</f>
        <v>May-w1</v>
      </c>
      <c r="CN7" s="59" t="str">
        <f>Sheet8!J15</f>
        <v>May-w2</v>
      </c>
      <c r="CO7" s="59" t="str">
        <f>Sheet8!K15</f>
        <v>May-w3</v>
      </c>
      <c r="CP7" s="59" t="str">
        <f>Sheet8!L15</f>
        <v>May-w4</v>
      </c>
      <c r="CQ7" s="59" t="str">
        <f>Sheet8!M15</f>
        <v>May-w5</v>
      </c>
      <c r="CR7" s="59" t="str">
        <f>Sheet8!N15</f>
        <v>june-w1</v>
      </c>
      <c r="CS7" s="59" t="str">
        <f>Sheet8!O15</f>
        <v>june-w2</v>
      </c>
      <c r="CT7" s="59" t="str">
        <f>Sheet8!P15</f>
        <v>june-w3</v>
      </c>
      <c r="CU7" s="59" t="str">
        <f>Sheet8!Q15</f>
        <v>june-w4</v>
      </c>
      <c r="CV7" s="59" t="str">
        <f>Sheet8!R15</f>
        <v>Jul-w1</v>
      </c>
      <c r="CW7" s="59" t="str">
        <f>Sheet8!S15</f>
        <v>Jul-w2</v>
      </c>
      <c r="CX7" s="59" t="str">
        <f>Sheet8!T15</f>
        <v>Jul-w3</v>
      </c>
      <c r="CY7" s="59" t="str">
        <f>Sheet8!U15</f>
        <v>Jul-w4</v>
      </c>
      <c r="CZ7" s="59" t="str">
        <f>Sheet8!V15</f>
        <v>Aug-w1</v>
      </c>
      <c r="DA7" s="59" t="str">
        <f>Sheet8!W15</f>
        <v>Aug-w2</v>
      </c>
      <c r="DB7" s="59" t="str">
        <f>Sheet8!X15</f>
        <v>Aug-w3</v>
      </c>
      <c r="DC7" s="59" t="str">
        <f>Sheet8!Y15</f>
        <v>Aug-w4</v>
      </c>
      <c r="DD7" s="59" t="str">
        <f>Sheet8!Z15</f>
        <v>Sep-w1</v>
      </c>
      <c r="DE7" s="59" t="str">
        <f>Sheet8!AA15</f>
        <v>Sep-w2</v>
      </c>
      <c r="DF7" s="59" t="str">
        <f>Sheet8!AB15</f>
        <v>Sep-w3</v>
      </c>
      <c r="DG7" s="59" t="str">
        <f>Sheet8!AC15</f>
        <v>Sep-w4</v>
      </c>
      <c r="DH7" s="59" t="str">
        <f>Sheet8!AD15</f>
        <v>Oct-w1</v>
      </c>
      <c r="DI7" s="59" t="str">
        <f>Sheet8!AE15</f>
        <v>Oct-w2</v>
      </c>
      <c r="DJ7" s="59" t="str">
        <f>Sheet8!AF15</f>
        <v>Oct-w3</v>
      </c>
      <c r="DK7" s="59" t="str">
        <f>Sheet8!AG15</f>
        <v>Oct-w4</v>
      </c>
      <c r="DL7" s="59" t="str">
        <f>Sheet8!AH15</f>
        <v>Nov-w1</v>
      </c>
      <c r="DM7" s="59" t="str">
        <f>Sheet8!AI15</f>
        <v>Nov-w2</v>
      </c>
      <c r="DN7" s="59" t="str">
        <f>Sheet8!AJ15</f>
        <v>Nov-w3</v>
      </c>
      <c r="DO7" s="59" t="str">
        <f>Sheet8!AK15</f>
        <v>Nov-w4</v>
      </c>
      <c r="DP7" s="59" t="str">
        <f>Sheet8!AL15</f>
        <v>Dec-w1</v>
      </c>
      <c r="DQ7" s="59" t="str">
        <f>Sheet8!AM15</f>
        <v>Dec-w2</v>
      </c>
      <c r="DR7" s="59" t="str">
        <f>Sheet8!AN15</f>
        <v>Dec-w3</v>
      </c>
      <c r="DS7" s="59" t="str">
        <f>Sheet8!AO15</f>
        <v>Dec-w4</v>
      </c>
      <c r="DT7" s="59">
        <f>Sheet8!AP15</f>
        <v>0</v>
      </c>
      <c r="DU7" s="59">
        <f>Sheet8!AQ15</f>
        <v>0</v>
      </c>
      <c r="DV7" s="59">
        <f>Sheet8!AR15</f>
        <v>0</v>
      </c>
      <c r="DW7" s="59">
        <f>Sheet8!AS15</f>
        <v>0</v>
      </c>
      <c r="DX7" s="59">
        <f>Sheet8!AT15</f>
        <v>0</v>
      </c>
      <c r="DY7" s="59">
        <f>Sheet8!AU15</f>
        <v>0</v>
      </c>
      <c r="DZ7" s="59">
        <f>Sheet8!AV15</f>
        <v>0</v>
      </c>
      <c r="EA7" s="59">
        <f>Sheet8!AW15</f>
        <v>0</v>
      </c>
      <c r="EB7" s="59">
        <f>Sheet8!AX15</f>
        <v>0</v>
      </c>
      <c r="EC7" s="59">
        <f>Sheet8!AY15</f>
        <v>0</v>
      </c>
      <c r="ED7" s="59">
        <f>Sheet8!AZ15</f>
        <v>0</v>
      </c>
      <c r="EE7" s="59">
        <f>Sheet8!BA15</f>
        <v>0</v>
      </c>
      <c r="EF7" s="59">
        <f>Sheet8!BB15</f>
        <v>0</v>
      </c>
      <c r="EG7" s="59">
        <f>Sheet8!BC15</f>
        <v>0</v>
      </c>
      <c r="EH7" s="59">
        <f>Sheet8!BD15</f>
        <v>0</v>
      </c>
      <c r="EI7" s="59">
        <f>Sheet8!BE15</f>
        <v>0</v>
      </c>
      <c r="EJ7" s="59">
        <f>Sheet8!BF15</f>
        <v>0</v>
      </c>
      <c r="EK7" s="59">
        <f>Sheet8!BG15</f>
        <v>0</v>
      </c>
      <c r="EL7" s="59">
        <f>Sheet8!BH15</f>
        <v>0</v>
      </c>
    </row>
    <row r="8" spans="1:146" ht="13">
      <c r="H8" s="107" t="s">
        <v>114</v>
      </c>
      <c r="I8" s="74">
        <f>VLOOKUP($H$8&amp;$F$1,'Input RM sheet'!$A:$BD,H1,0)</f>
        <v>950</v>
      </c>
      <c r="J8" s="74">
        <f>VLOOKUP($H$8&amp;$F$1,'Input RM sheet'!$A:$BD,I1,0)</f>
        <v>810</v>
      </c>
      <c r="K8" s="74">
        <f>VLOOKUP($H$8&amp;$F$1,'Input RM sheet'!$A:$DD,J1,0)</f>
        <v>780</v>
      </c>
      <c r="L8" s="74">
        <f>VLOOKUP($H$8&amp;$F$1,'Input RM sheet'!$A:$DD,K1,0)</f>
        <v>560</v>
      </c>
      <c r="M8" s="74">
        <f>VLOOKUP($H$8&amp;$F$1,'Input RM sheet'!$A:$DD,L1,0)</f>
        <v>680</v>
      </c>
      <c r="N8" s="74">
        <f>VLOOKUP($H$8&amp;$F$1,'Input RM sheet'!$A:$DD,M1,0)</f>
        <v>720</v>
      </c>
      <c r="O8" s="74">
        <f>VLOOKUP($H$8&amp;$F$1,'Input RM sheet'!$A:$DD,N1,0)</f>
        <v>780</v>
      </c>
      <c r="P8" s="74">
        <f>VLOOKUP($H$8&amp;$F$1,'Input RM sheet'!$A:$DD,O1,0)</f>
        <v>780</v>
      </c>
      <c r="Q8" s="74">
        <f>VLOOKUP($H$8&amp;$F$1,'Input RM sheet'!$A:$DD,P1,0)</f>
        <v>850</v>
      </c>
      <c r="R8" s="74">
        <f>VLOOKUP($H$8&amp;$F$1,'Input RM sheet'!$A:$DD,Q1,0)</f>
        <v>860</v>
      </c>
      <c r="S8" s="74">
        <f>VLOOKUP($H$8&amp;$F$1,'Input RM sheet'!$A:$DD,R1,0)</f>
        <v>850</v>
      </c>
      <c r="T8" s="74">
        <f>VLOOKUP($H$8&amp;$F$1,'Input RM sheet'!$A:$DD,S1,0)</f>
        <v>940</v>
      </c>
      <c r="U8" s="74">
        <f>VLOOKUP($H$8&amp;$F$1,'Input RM sheet'!$A:$DD,T1,0)</f>
        <v>920</v>
      </c>
      <c r="V8" s="74">
        <f>VLOOKUP($H$8&amp;$F$1,'Input RM sheet'!$A:$DD,U1,0)</f>
        <v>930</v>
      </c>
      <c r="W8" s="74">
        <f>VLOOKUP($H$8&amp;$F$1,'Input RM sheet'!$A:$DD,V1,0)</f>
        <v>1150</v>
      </c>
      <c r="X8" s="74">
        <f>VLOOKUP($H$8&amp;$F$1,'Input RM sheet'!$A:$DD,W1,0)</f>
        <v>1060</v>
      </c>
      <c r="Y8" s="74">
        <f>VLOOKUP($H$8&amp;$F$1,'Input RM sheet'!$A:$DD,X1,0)</f>
        <v>1090</v>
      </c>
      <c r="Z8" s="74">
        <f>VLOOKUP($H$8&amp;$F$1,'Input RM sheet'!$A:$DD,Y1,0)</f>
        <v>920</v>
      </c>
      <c r="AA8" s="74">
        <f>VLOOKUP($H$8&amp;$F$1,'Input RM sheet'!$A:$DD,Z1,0)</f>
        <v>940</v>
      </c>
      <c r="AB8" s="74">
        <f>VLOOKUP($H$8&amp;$F$1,'Input RM sheet'!$A:$DD,AA1,0)</f>
        <v>940</v>
      </c>
      <c r="AC8" s="74">
        <f>VLOOKUP($H$8&amp;$F$1,'Input RM sheet'!$A:$DD,AB1,0)</f>
        <v>940</v>
      </c>
      <c r="AD8" s="74">
        <f>VLOOKUP($H$8&amp;$F$1,'Input RM sheet'!$A:$DD,AC1,0)</f>
        <v>1020</v>
      </c>
      <c r="AE8" s="74">
        <f>VLOOKUP($H$8&amp;$F$1,'Input RM sheet'!$A:$DD,AD1,0)</f>
        <v>960</v>
      </c>
      <c r="AF8" s="74">
        <f>VLOOKUP($H$8&amp;$F$1,'Input RM sheet'!$A:$DD,AE1,0)</f>
        <v>900</v>
      </c>
      <c r="AG8" s="74">
        <f>VLOOKUP($H$8&amp;$F$1,'Input RM sheet'!$A:$DD,AF1,0)</f>
        <v>950</v>
      </c>
      <c r="AH8" s="74">
        <f>VLOOKUP($H$8&amp;$F$1,'Input RM sheet'!$A:$DD,AG1,0)</f>
        <v>1200</v>
      </c>
      <c r="AI8" s="74">
        <f>VLOOKUP($H$8&amp;$F$1,'Input RM sheet'!$A:$DD,AH1,0)</f>
        <v>1320</v>
      </c>
      <c r="AJ8" s="74">
        <f>VLOOKUP($H$8&amp;$F$1,'Input RM sheet'!$A:$DD,AI1,0)</f>
        <v>1290</v>
      </c>
      <c r="AK8" s="74">
        <f>VLOOKUP($H$8&amp;$F$1,'Input RM sheet'!$A:$DD,AJ1,0)</f>
        <v>1200</v>
      </c>
      <c r="AL8" s="74">
        <f>VLOOKUP($H$8&amp;$F$1,'Input RM sheet'!$A:$DD,AK1,0)</f>
        <v>1040</v>
      </c>
      <c r="AM8" s="74">
        <f>VLOOKUP($H$8&amp;$F$1,'Input RM sheet'!$A:$DD,AL1,0)</f>
        <v>950</v>
      </c>
      <c r="AN8" s="74">
        <f>VLOOKUP($H$8&amp;$F$1,'Input RM sheet'!$A:$DD,AM1,0)</f>
        <v>890</v>
      </c>
      <c r="AO8" s="74">
        <f>VLOOKUP($H$8&amp;$F$1,'Input RM sheet'!$A:$DD,AN1,0)</f>
        <v>890</v>
      </c>
      <c r="AP8" s="74">
        <f>VLOOKUP($H$8&amp;$F$1,'Input RM sheet'!$A:$DD,AO1,0)</f>
        <v>890</v>
      </c>
      <c r="AQ8" s="74">
        <f>VLOOKUP($H$8&amp;$F$1,'Input RM sheet'!$A:$DD,AP1,0)</f>
        <v>850</v>
      </c>
      <c r="AR8" s="74">
        <f>VLOOKUP($H$8&amp;$F$1,'Input RM sheet'!$A:$DD,AQ1,0)</f>
        <v>880</v>
      </c>
      <c r="AS8" s="74">
        <f>VLOOKUP($H$8&amp;$F$1,'Input RM sheet'!$A:$DD,AR1,0)</f>
        <v>880</v>
      </c>
      <c r="AT8" s="74">
        <f>VLOOKUP($H$8&amp;$F$1,'Input RM sheet'!$A:$DD,AS1,0)</f>
        <v>980</v>
      </c>
      <c r="AU8" s="74">
        <f>VLOOKUP($H$8&amp;$F$1,'Input RM sheet'!$A:$DD,AT1,0)</f>
        <v>920</v>
      </c>
      <c r="AV8" s="74">
        <f>VLOOKUP($H$8&amp;$F$1,'Input RM sheet'!$A:$DD,AU1,0)</f>
        <v>940</v>
      </c>
      <c r="AW8" s="74">
        <f>VLOOKUP($H$8&amp;$F$1,'Input RM sheet'!$A:$DD,AV1,0)</f>
        <v>890</v>
      </c>
      <c r="AX8" s="74">
        <f>VLOOKUP($H$8&amp;$F$1,'Input RM sheet'!$A:$DD,AW1,0)</f>
        <v>750</v>
      </c>
      <c r="AY8" s="74">
        <f>VLOOKUP($H$8&amp;$F$1,'Input RM sheet'!$A:$DD,AX1,0)</f>
        <v>730</v>
      </c>
      <c r="AZ8" s="74">
        <f>VLOOKUP($H$8&amp;$F$1,'Input RM sheet'!$A:$DD,AY1,0)</f>
        <v>730</v>
      </c>
      <c r="BA8" s="74">
        <f>VLOOKUP($H$8&amp;$F$1,'Input RM sheet'!$A:$DD,AZ1,0)</f>
        <v>754</v>
      </c>
      <c r="BB8" s="74">
        <f>VLOOKUP($H$8&amp;$F$1,'Input RM sheet'!$A:$DD,BA1,0)</f>
        <v>778</v>
      </c>
      <c r="BC8" s="74">
        <f>VLOOKUP($H$8&amp;$F$1,'Input RM sheet'!$A:$DD,BB1,0)</f>
        <v>785</v>
      </c>
      <c r="BD8" s="74">
        <f>VLOOKUP($H$8&amp;$F$1,'Input RM sheet'!$A:$DD,BC1,0)</f>
        <v>825</v>
      </c>
      <c r="BE8" s="74">
        <f>VLOOKUP($H$8&amp;$F$1,'Input RM sheet'!$A:$DD,BD1,0)</f>
        <v>854</v>
      </c>
      <c r="BF8" s="74">
        <f>VLOOKUP($H$8&amp;$F$1,'Input RM sheet'!$A:$DD,BE1,0)</f>
        <v>854</v>
      </c>
      <c r="BG8" s="74">
        <f>VLOOKUP($H$8&amp;$F$1,'Input RM sheet'!$A:$DD,BF1,0)</f>
        <v>842</v>
      </c>
      <c r="BH8" s="74">
        <f>VLOOKUP($H$8&amp;$F$1,'Input RM sheet'!$A:$DD,BG1,0)</f>
        <v>830</v>
      </c>
      <c r="BI8" s="74">
        <f>VLOOKUP($H$8&amp;$F$1,'Input RM sheet'!$A:$DD,BH1,0)</f>
        <v>814</v>
      </c>
      <c r="BJ8" s="74">
        <f>VLOOKUP($H$8&amp;$F$1,'Input RM sheet'!$A:$DD,BI1,0)</f>
        <v>805</v>
      </c>
      <c r="BK8" s="74">
        <f>VLOOKUP($H$8&amp;$F$1,'Input RM sheet'!$A:$DD,BJ1,0)</f>
        <v>805</v>
      </c>
      <c r="BL8" s="74">
        <f>VLOOKUP($H$8&amp;$F$1,'Input RM sheet'!$A:$DD,BK1,0)</f>
        <v>799</v>
      </c>
      <c r="BM8" s="74">
        <f>VLOOKUP($H$8&amp;$F$1,'Input RM sheet'!$A:$DD,BL1,0)</f>
        <v>799</v>
      </c>
      <c r="BN8" s="74">
        <f>VLOOKUP($H$8&amp;$F$1,'Input RM sheet'!$A:$DD,BM1,0)</f>
        <v>794</v>
      </c>
      <c r="BO8" s="74">
        <f>VLOOKUP($H$8&amp;$F$1,'Input RM sheet'!$A:$DD,BN1,0)</f>
        <v>794</v>
      </c>
      <c r="BP8" s="74">
        <f>VLOOKUP($H$8&amp;$F$1,'Input RM sheet'!$A:$DD,BO1,0)</f>
        <v>799</v>
      </c>
      <c r="BQ8" s="74">
        <f>VLOOKUP($H$8&amp;$F$1,'Input RM sheet'!$A:$DD,BP1,0)</f>
        <v>799</v>
      </c>
      <c r="BR8" s="74">
        <f>VLOOKUP($H$8&amp;$F$1,'Input RM sheet'!$A:$DD,BQ1,0)</f>
        <v>804</v>
      </c>
      <c r="BS8" s="74">
        <f>VLOOKUP($H$8&amp;$F$1,'Input RM sheet'!$A:$DD,BR1,0)</f>
        <v>799</v>
      </c>
      <c r="BT8" s="74">
        <f>VLOOKUP($H$8&amp;$F$1,'Input RM sheet'!$A:$DD,BS1,0)</f>
        <v>799</v>
      </c>
      <c r="BU8" s="74">
        <f>VLOOKUP($H$8&amp;$F$1,'Input RM sheet'!$A:$DD,BT1,0)</f>
        <v>798</v>
      </c>
      <c r="BV8" s="74">
        <f>VLOOKUP($H$8&amp;$F$1,'Input RM sheet'!$A:$DD,BU1,0)</f>
        <v>804</v>
      </c>
      <c r="BW8" s="74">
        <f>VLOOKUP($H$8&amp;$F$1,'Input RM sheet'!$A:$DD,BV1,0)</f>
        <v>838</v>
      </c>
      <c r="BX8" s="74">
        <f>VLOOKUP($H$8&amp;$F$1,'Input RM sheet'!$A:$DD,BW1,0)</f>
        <v>920</v>
      </c>
      <c r="BY8" s="74">
        <f>VLOOKUP($H$8&amp;$F$1,'Input RM sheet'!$A:$DD,BX1,0)</f>
        <v>940</v>
      </c>
      <c r="BZ8" s="74">
        <f>VLOOKUP($H$8&amp;$F$1,'Input RM sheet'!$A:$DD,BY1,0)</f>
        <v>998</v>
      </c>
      <c r="CA8" s="74">
        <f>VLOOKUP($H$8&amp;$F$1,'Input RM sheet'!$A:$DD,BZ1,0)</f>
        <v>960</v>
      </c>
      <c r="CB8" s="74">
        <f>VLOOKUP($H$8&amp;$F$1,'Input RM sheet'!$A:$DD,CA1,0)</f>
        <v>914</v>
      </c>
      <c r="CC8" s="74">
        <f>VLOOKUP($H$8&amp;$F$1,'Input RM sheet'!$A:$DD,CB1,0)</f>
        <v>870</v>
      </c>
      <c r="CD8" s="74">
        <f>VLOOKUP($H$8&amp;$F$1,'Input RM sheet'!$A:$DD,CC1,0)</f>
        <v>860</v>
      </c>
      <c r="CE8" s="74">
        <f>VLOOKUP($H$8&amp;$F$1,'Input RM sheet'!$A:$DD,CD1,0)</f>
        <v>860</v>
      </c>
      <c r="CF8" s="74">
        <f>VLOOKUP($H$8&amp;$F$1,'Input RM sheet'!$A:$DD,CE1,0)</f>
        <v>867</v>
      </c>
      <c r="CG8" s="74">
        <f>VLOOKUP($H$8&amp;$F$1,'Input RM sheet'!$A:$DD,CF1,0)</f>
        <v>845</v>
      </c>
      <c r="CH8" s="74">
        <f>VLOOKUP($H$8&amp;$F$1,'Input RM sheet'!$A:$DD,CG1,0)</f>
        <v>844</v>
      </c>
      <c r="CI8" s="74">
        <f>VLOOKUP($H$8&amp;$F$1,'Input RM sheet'!$A:$DD,CH1,0)</f>
        <v>844</v>
      </c>
      <c r="CJ8" s="74">
        <f>VLOOKUP($H$8&amp;$F$1,'Input RM sheet'!$A:$DD,CI1,0)</f>
        <v>844</v>
      </c>
      <c r="CK8" s="74">
        <f>VLOOKUP($H$8&amp;$F$1,'Input RM sheet'!$A:$DD,CJ1,0)</f>
        <v>844</v>
      </c>
      <c r="CL8" s="74">
        <f>VLOOKUP($H$8&amp;$F$1,'Input RM sheet'!$A:$DD,CK1,0)</f>
        <v>827</v>
      </c>
      <c r="CM8" s="74">
        <f>VLOOKUP($H$8&amp;$F$1,'Input RM sheet'!$A:$DD,CL1,0)</f>
        <v>818</v>
      </c>
      <c r="CN8" s="74">
        <f>VLOOKUP($H$8&amp;$F$1,'Input RM sheet'!$A:$DD,CM1,0)</f>
        <v>814</v>
      </c>
      <c r="CO8" s="74">
        <f>VLOOKUP($H$8&amp;$F$1,'Input RM sheet'!$A:$DD,CN1,0)</f>
        <v>810</v>
      </c>
      <c r="CP8" s="74">
        <f>VLOOKUP($H$8&amp;$F$1,'Input RM sheet'!$A:$DD,CO1,0)</f>
        <v>827</v>
      </c>
      <c r="CQ8" s="74">
        <f>VLOOKUP($H$8&amp;$F$1,'Input RM sheet'!$A:$DD,CP1,0)</f>
        <v>827</v>
      </c>
      <c r="CR8" s="74">
        <f>VLOOKUP($H$8&amp;$F$1,'Input RM sheet'!$A:$ZZ,CQ1,0)</f>
        <v>827</v>
      </c>
      <c r="CS8" s="74">
        <f>VLOOKUP($H$8&amp;$F$1,'Input RM sheet'!$A:$ZZ,CR1,0)</f>
        <v>818</v>
      </c>
      <c r="CT8" s="74">
        <f>VLOOKUP($H$8&amp;$F$1,'Input RM sheet'!$A:$ZZ,CS1,0)</f>
        <v>818</v>
      </c>
      <c r="CU8" s="74">
        <f>VLOOKUP($H$8&amp;$F$1,'Input RM sheet'!$A:$ZZ,CT1,0)</f>
        <v>818</v>
      </c>
      <c r="CV8" s="74">
        <f>VLOOKUP($H$8&amp;$F$1,'Input RM sheet'!$A:$ZZ,CU1,0)</f>
        <v>850</v>
      </c>
      <c r="CW8" s="74">
        <f>VLOOKUP($H$8&amp;$F$1,'Input RM sheet'!$A:$ZZ,CV1,0)</f>
        <v>909</v>
      </c>
      <c r="CX8" s="74">
        <f>VLOOKUP($H$8&amp;$F$1,'Input RM sheet'!$A:$ZZ,CW1,0)</f>
        <v>909</v>
      </c>
      <c r="CY8" s="74">
        <f>VLOOKUP($H$8&amp;$F$1,'Input RM sheet'!$A:$ZZ,CX1,0)</f>
        <v>918</v>
      </c>
      <c r="CZ8" s="74">
        <f>VLOOKUP($H$8&amp;$F$1,'Input RM sheet'!$A:$ZZ,CY1,0)</f>
        <v>918</v>
      </c>
      <c r="DA8" s="74">
        <f>VLOOKUP($H$8&amp;$F$1,'Input RM sheet'!$A:$ZZ,CZ1,0)</f>
        <v>918</v>
      </c>
      <c r="DB8" s="74">
        <f>VLOOKUP($H$8&amp;$F$1,'Input RM sheet'!$A:$ZZ,DA1,0)</f>
        <v>918</v>
      </c>
      <c r="DC8" s="74">
        <f>VLOOKUP($H$8&amp;$F$1,'Input RM sheet'!$A:$ZZ,DB1,0)</f>
        <v>894</v>
      </c>
      <c r="DD8" s="74">
        <f>VLOOKUP($H$8&amp;$F$1,'Input RM sheet'!$A:$ZZ,DC1,0)</f>
        <v>830</v>
      </c>
      <c r="DE8" s="74">
        <f>VLOOKUP($H$8&amp;$F$1,'Input RM sheet'!$A:$ZZ,DD1,0)</f>
        <v>830</v>
      </c>
      <c r="DF8" s="74">
        <f>VLOOKUP($H$8&amp;$F$1,'Input RM sheet'!$A:$ZZ,DE1,0)</f>
        <v>809</v>
      </c>
      <c r="DG8" s="74">
        <f>VLOOKUP($H$8&amp;$F$1,'Input RM sheet'!$A:$ZZ,DF1,0)</f>
        <v>799</v>
      </c>
      <c r="DH8" s="74">
        <f>VLOOKUP($H$8&amp;$F$1,'Input RM sheet'!$A:$ZZ,DG1,0)</f>
        <v>799</v>
      </c>
      <c r="DI8" s="74">
        <f>VLOOKUP($H$8&amp;$F$1,'Input RM sheet'!$A:$ZZ,DH1,0)</f>
        <v>804</v>
      </c>
      <c r="DJ8" s="74">
        <f>VLOOKUP($H$8&amp;$F$1,'Input RM sheet'!$A:$ZZ,DI1,0)</f>
        <v>820</v>
      </c>
      <c r="DK8" s="74">
        <f>VLOOKUP($H$8&amp;$F$1,'Input RM sheet'!$A:$ZZ,DJ1,0)</f>
        <v>822</v>
      </c>
      <c r="DL8" s="74">
        <f>VLOOKUP($H$8&amp;$F$1,'Input RM sheet'!$A:$ZZ,DK1,0)</f>
        <v>828</v>
      </c>
      <c r="DM8" s="74">
        <f>VLOOKUP($H$8&amp;$F$1,'Input RM sheet'!$A:$ZZ,DL1,0)</f>
        <v>834</v>
      </c>
      <c r="DN8" s="74">
        <f>VLOOKUP($H$8&amp;$F$1,'Input RM sheet'!$A:$ZZ,DM1,0)</f>
        <v>819</v>
      </c>
      <c r="DO8" s="74">
        <f>VLOOKUP($H$8&amp;$F$1,'Input RM sheet'!$A:$ZZ,DN1,0)</f>
        <v>824</v>
      </c>
      <c r="DP8" s="74">
        <f>VLOOKUP($H$8&amp;$F$1,'Input RM sheet'!$A:$ZZ,DO1,0)</f>
        <v>824</v>
      </c>
      <c r="DQ8" s="74">
        <f>VLOOKUP($H$8&amp;$F$1,'Input RM sheet'!$A:$ZZ,DP1,0)</f>
        <v>824</v>
      </c>
      <c r="DR8" s="74">
        <f>VLOOKUP($H$8&amp;$F$1,'Input RM sheet'!$A:$ZZ,DQ1,0)</f>
        <v>824</v>
      </c>
      <c r="DS8" s="74">
        <f>VLOOKUP($H$8&amp;$F$1,'Input RM sheet'!$A:$ZZ,DR1,0)</f>
        <v>829</v>
      </c>
      <c r="DT8" s="74">
        <f>VLOOKUP($H$8&amp;$F$1,'Input RM sheet'!$A:$ZZ,DS1,0)</f>
        <v>0</v>
      </c>
      <c r="DU8" s="74">
        <f>VLOOKUP($H$8&amp;$F$1,'Input RM sheet'!$A:$ZZ,DT1,0)</f>
        <v>0</v>
      </c>
      <c r="DV8" s="74">
        <f>VLOOKUP($H$8&amp;$F$1,'Input RM sheet'!$A:$ZZ,DU1,0)</f>
        <v>0</v>
      </c>
      <c r="DW8" s="74">
        <f>VLOOKUP($H$8&amp;$F$1,'Input RM sheet'!$A:$ZZ,DV1,0)</f>
        <v>0</v>
      </c>
      <c r="DX8" s="74">
        <f>VLOOKUP($H$8&amp;$F$1,'Input RM sheet'!$A:$ZZ,DW1,0)</f>
        <v>0</v>
      </c>
      <c r="DY8" s="74">
        <f>VLOOKUP($H$8&amp;$F$1,'Input RM sheet'!$A:$ZZ,DX1,0)</f>
        <v>0</v>
      </c>
      <c r="DZ8" s="74">
        <f>VLOOKUP($H$8&amp;$F$1,'Input RM sheet'!$A:$ZZ,DY1,0)</f>
        <v>0</v>
      </c>
      <c r="EA8" s="74">
        <f>VLOOKUP($H$8&amp;$F$1,'Input RM sheet'!$A:$ZZ,DZ1,0)</f>
        <v>0</v>
      </c>
      <c r="EB8" s="74">
        <f>VLOOKUP($H$8&amp;$F$1,'Input RM sheet'!$A:$ZZ,EA1,0)</f>
        <v>0</v>
      </c>
      <c r="EC8" s="74">
        <f>VLOOKUP($H$8&amp;$F$1,'Input RM sheet'!$A:$ZZ,EB1,0)</f>
        <v>0</v>
      </c>
      <c r="ED8" s="74">
        <f>VLOOKUP($H$8&amp;$F$1,'Input RM sheet'!$A:$ZZ,EC1,0)</f>
        <v>0</v>
      </c>
      <c r="EE8" s="74">
        <f>VLOOKUP($H$8&amp;$F$1,'Input RM sheet'!$A:$ZZ,ED1,0)</f>
        <v>0</v>
      </c>
      <c r="EF8" s="74">
        <f>VLOOKUP($H$8&amp;$F$1,'Input RM sheet'!$A:$ZZ,EE1,0)</f>
        <v>0</v>
      </c>
      <c r="EG8" s="74">
        <f>VLOOKUP($H$8&amp;$F$1,'Input RM sheet'!$A:$ZZ,EF1,0)</f>
        <v>0</v>
      </c>
      <c r="EH8" s="74">
        <f>VLOOKUP($H$8&amp;$F$1,'Input RM sheet'!$A:$ZZ,EG1,0)</f>
        <v>0</v>
      </c>
    </row>
    <row r="9" spans="1:146">
      <c r="H9" s="107"/>
      <c r="I9" s="74"/>
      <c r="J9" s="74"/>
      <c r="K9" s="74"/>
      <c r="L9" s="74"/>
      <c r="M9" s="74"/>
      <c r="N9" s="74"/>
      <c r="O9" s="74"/>
      <c r="P9" s="74"/>
      <c r="Q9" s="74"/>
      <c r="R9" s="74"/>
      <c r="S9" s="74"/>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74"/>
      <c r="BG9" s="74"/>
      <c r="BH9" s="74"/>
      <c r="BI9" s="74"/>
      <c r="BJ9" s="74"/>
      <c r="BK9" s="74"/>
      <c r="BL9" s="74"/>
      <c r="BM9" s="74"/>
      <c r="BN9" s="74"/>
      <c r="BO9" s="74"/>
      <c r="BP9" s="74"/>
      <c r="BQ9" s="74"/>
      <c r="BR9" s="74"/>
      <c r="BS9" s="74"/>
      <c r="BT9" s="74"/>
      <c r="BU9" s="74"/>
      <c r="BV9" s="74"/>
      <c r="BW9" s="74"/>
      <c r="BX9" s="74"/>
      <c r="BY9" s="74"/>
      <c r="BZ9" s="74"/>
      <c r="CA9" s="74"/>
      <c r="CB9" s="74"/>
      <c r="CC9" s="74"/>
      <c r="CD9" s="74"/>
      <c r="CE9" s="74"/>
      <c r="CF9" s="74"/>
      <c r="CG9" s="74"/>
      <c r="CH9" s="74"/>
      <c r="CI9" s="74"/>
      <c r="CJ9" s="74"/>
      <c r="CK9" s="74"/>
      <c r="CL9" s="74"/>
      <c r="CM9" s="74"/>
      <c r="CN9" s="74"/>
      <c r="CO9" s="74"/>
      <c r="CP9" s="74"/>
      <c r="CQ9" s="74"/>
      <c r="CR9" s="74"/>
    </row>
    <row r="10" spans="1:146">
      <c r="H10" s="107"/>
      <c r="I10" s="74"/>
      <c r="J10" s="74"/>
      <c r="K10" s="74"/>
      <c r="L10" s="74"/>
      <c r="M10" s="74"/>
      <c r="N10" s="74"/>
      <c r="O10" s="7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c r="CE10" s="74"/>
      <c r="CF10" s="74"/>
      <c r="CG10" s="74"/>
      <c r="CH10" s="74"/>
      <c r="CI10" s="74"/>
      <c r="CJ10" s="74"/>
      <c r="CK10" s="74"/>
      <c r="CL10" s="74"/>
      <c r="CM10" s="74"/>
      <c r="CN10" s="74"/>
      <c r="CO10" s="74"/>
      <c r="CP10" s="74"/>
      <c r="CQ10" s="74"/>
      <c r="CR10" s="74"/>
    </row>
    <row r="11" spans="1:146">
      <c r="H11" s="107"/>
      <c r="I11" s="74"/>
      <c r="J11" s="74"/>
      <c r="K11" s="74"/>
      <c r="L11" s="74"/>
      <c r="M11" s="74"/>
      <c r="N11" s="74"/>
      <c r="O11" s="74"/>
      <c r="P11" s="74"/>
      <c r="Q11" s="74"/>
      <c r="R11" s="74"/>
      <c r="S11" s="74"/>
      <c r="T11" s="74"/>
      <c r="U11" s="74"/>
      <c r="V11" s="74"/>
      <c r="W11" s="74"/>
      <c r="X11" s="74"/>
      <c r="Y11" s="74"/>
      <c r="Z11" s="74"/>
      <c r="AA11" s="74"/>
      <c r="AB11" s="74"/>
      <c r="AC11" s="74"/>
      <c r="AD11" s="74"/>
      <c r="AE11" s="74"/>
      <c r="AF11" s="74"/>
      <c r="AG11" s="74"/>
      <c r="AH11" s="74"/>
      <c r="AI11" s="74"/>
      <c r="AJ11" s="74"/>
      <c r="AK11" s="74"/>
      <c r="AL11" s="74"/>
      <c r="AM11" s="74"/>
      <c r="AN11" s="74"/>
      <c r="AO11" s="74"/>
      <c r="AP11" s="74"/>
      <c r="AQ11" s="74"/>
      <c r="AR11" s="74"/>
      <c r="AS11" s="74"/>
      <c r="AT11" s="74"/>
      <c r="AU11" s="74"/>
      <c r="AV11" s="74"/>
      <c r="AW11" s="74"/>
      <c r="AX11" s="74"/>
      <c r="AY11" s="74"/>
      <c r="AZ11" s="74"/>
      <c r="BA11" s="74"/>
      <c r="BB11" s="74"/>
      <c r="BC11" s="74"/>
      <c r="BD11" s="74"/>
      <c r="BE11" s="74"/>
      <c r="BF11" s="74"/>
      <c r="BG11" s="74"/>
      <c r="BH11" s="74"/>
      <c r="BI11" s="74"/>
      <c r="BJ11" s="74"/>
      <c r="BK11" s="74"/>
      <c r="BL11" s="74"/>
      <c r="BM11" s="74"/>
      <c r="BN11" s="74"/>
      <c r="BO11" s="74"/>
      <c r="BP11" s="74"/>
      <c r="BQ11" s="74"/>
      <c r="BR11" s="74"/>
      <c r="BS11" s="74"/>
      <c r="BT11" s="74"/>
      <c r="BU11" s="74"/>
      <c r="BV11" s="74"/>
      <c r="BW11" s="74"/>
      <c r="BX11" s="74"/>
      <c r="BY11" s="74"/>
      <c r="BZ11" s="74"/>
      <c r="CA11" s="74"/>
      <c r="CB11" s="74"/>
      <c r="CC11" s="74"/>
      <c r="CD11" s="74"/>
      <c r="CE11" s="74"/>
      <c r="CF11" s="74"/>
      <c r="CG11" s="74"/>
      <c r="CH11" s="74"/>
      <c r="CI11" s="74"/>
      <c r="CJ11" s="74"/>
      <c r="CK11" s="74"/>
      <c r="CL11" s="74"/>
      <c r="CM11" s="74"/>
      <c r="CN11" s="74"/>
      <c r="CO11" s="74"/>
      <c r="CP11" s="74"/>
      <c r="CQ11" s="74"/>
      <c r="CR11" s="74"/>
    </row>
    <row r="12" spans="1:146" ht="13">
      <c r="A12" s="59" t="s">
        <v>395</v>
      </c>
      <c r="B12" s="59"/>
      <c r="C12" s="59" t="s">
        <v>379</v>
      </c>
      <c r="D12" s="98" t="s">
        <v>380</v>
      </c>
      <c r="E12" s="98" t="s">
        <v>381</v>
      </c>
      <c r="F12" s="59" t="s">
        <v>396</v>
      </c>
      <c r="H12" s="107"/>
      <c r="I12" s="84"/>
      <c r="J12" s="84"/>
      <c r="K12" s="84"/>
      <c r="L12" s="84"/>
      <c r="M12" s="84"/>
      <c r="N12" s="84"/>
      <c r="O12" s="84"/>
      <c r="P12" s="84"/>
      <c r="Q12" s="84"/>
      <c r="R12" s="84"/>
      <c r="S12" s="84"/>
      <c r="T12" s="84"/>
      <c r="U12" s="84"/>
      <c r="V12" s="84"/>
      <c r="W12" s="84"/>
      <c r="X12" s="84"/>
      <c r="Y12" s="84"/>
      <c r="Z12" s="84"/>
      <c r="AA12" s="84"/>
      <c r="AB12" s="84"/>
      <c r="AC12" s="84"/>
      <c r="AD12" s="84"/>
      <c r="AE12" s="84"/>
      <c r="AF12" s="84"/>
      <c r="AG12" s="84"/>
      <c r="AH12" s="84"/>
      <c r="AI12" s="84"/>
      <c r="AJ12" s="84"/>
      <c r="AK12" s="84"/>
      <c r="AL12" s="84"/>
      <c r="AM12" s="84"/>
      <c r="AN12" s="84"/>
      <c r="AO12" s="84"/>
      <c r="AP12" s="84"/>
      <c r="AQ12" s="84"/>
      <c r="AR12" s="84"/>
      <c r="AS12" s="84"/>
      <c r="AT12" s="84"/>
      <c r="AU12" s="84"/>
      <c r="AV12" s="84"/>
      <c r="AW12" s="84"/>
      <c r="AX12" s="84"/>
      <c r="AY12" s="84"/>
      <c r="AZ12" s="84"/>
      <c r="BA12" s="84"/>
      <c r="BB12" s="84"/>
      <c r="BC12" s="84"/>
      <c r="BD12" s="84"/>
      <c r="BE12" s="84"/>
      <c r="BF12" s="84"/>
      <c r="BG12" s="84"/>
      <c r="BH12" s="84"/>
      <c r="BI12" s="84"/>
      <c r="BJ12" s="84"/>
      <c r="BK12" s="84"/>
      <c r="BL12" s="84"/>
      <c r="BM12" s="84"/>
      <c r="BN12" s="84"/>
      <c r="BO12" s="84"/>
      <c r="BP12" s="84"/>
      <c r="BQ12" s="84"/>
      <c r="BR12" s="84"/>
      <c r="BS12" s="84"/>
      <c r="BT12" s="84"/>
      <c r="BU12" s="84"/>
      <c r="BV12" s="84"/>
      <c r="BW12" s="84"/>
      <c r="BX12" s="84"/>
      <c r="BY12" s="84"/>
      <c r="BZ12" s="84"/>
      <c r="CA12" s="84"/>
      <c r="CB12" s="84"/>
      <c r="CC12" s="84"/>
      <c r="CD12" s="84"/>
      <c r="CE12" s="84"/>
      <c r="CF12" s="84"/>
      <c r="CG12" s="84"/>
      <c r="CH12" s="84"/>
      <c r="CI12" s="84"/>
      <c r="CJ12" s="84"/>
      <c r="CK12" s="84"/>
      <c r="CL12" s="84"/>
      <c r="CM12" s="84"/>
      <c r="CN12" s="84"/>
      <c r="CO12" s="84"/>
      <c r="CP12" s="84"/>
      <c r="CQ12" s="84"/>
      <c r="CR12" s="84"/>
    </row>
    <row r="13" spans="1:146" ht="13">
      <c r="A13" s="107" t="s">
        <v>397</v>
      </c>
      <c r="B13" s="107" t="s">
        <v>114</v>
      </c>
      <c r="C13" s="60">
        <v>1</v>
      </c>
      <c r="D13" s="65">
        <v>42.08</v>
      </c>
      <c r="E13" s="60">
        <f>D13*C13</f>
        <v>42.08</v>
      </c>
      <c r="F13" s="328">
        <f>E13/D3</f>
        <v>0.70016638935108144</v>
      </c>
      <c r="H13" s="60" t="s">
        <v>399</v>
      </c>
      <c r="I13" s="74">
        <f>$F$13*(I8/1000)</f>
        <v>0.66515806988352733</v>
      </c>
      <c r="J13" s="74">
        <f t="shared" ref="J13:BU13" si="0">$F$13*(J8/1000)</f>
        <v>0.56713477537437595</v>
      </c>
      <c r="K13" s="74">
        <f t="shared" si="0"/>
        <v>0.54612978369384357</v>
      </c>
      <c r="L13" s="74">
        <f t="shared" si="0"/>
        <v>0.39209317803660565</v>
      </c>
      <c r="M13" s="74">
        <f t="shared" si="0"/>
        <v>0.4761131447587354</v>
      </c>
      <c r="N13" s="74">
        <f t="shared" si="0"/>
        <v>0.50411980033277859</v>
      </c>
      <c r="O13" s="74">
        <f t="shared" si="0"/>
        <v>0.54612978369384357</v>
      </c>
      <c r="P13" s="74">
        <f t="shared" si="0"/>
        <v>0.54612978369384357</v>
      </c>
      <c r="Q13" s="74">
        <f t="shared" si="0"/>
        <v>0.5951414309484192</v>
      </c>
      <c r="R13" s="74">
        <f t="shared" si="0"/>
        <v>0.60214309484193007</v>
      </c>
      <c r="S13" s="74">
        <f t="shared" si="0"/>
        <v>0.5951414309484192</v>
      </c>
      <c r="T13" s="74">
        <f t="shared" si="0"/>
        <v>0.65815640599001657</v>
      </c>
      <c r="U13" s="74">
        <f t="shared" si="0"/>
        <v>0.64415307820299494</v>
      </c>
      <c r="V13" s="74">
        <f t="shared" si="0"/>
        <v>0.65115474209650581</v>
      </c>
      <c r="W13" s="74">
        <f t="shared" si="0"/>
        <v>0.80519134775374357</v>
      </c>
      <c r="X13" s="74">
        <f t="shared" si="0"/>
        <v>0.74217637271214632</v>
      </c>
      <c r="Y13" s="74">
        <f t="shared" si="0"/>
        <v>0.76318136439267881</v>
      </c>
      <c r="Z13" s="74">
        <f t="shared" si="0"/>
        <v>0.64415307820299494</v>
      </c>
      <c r="AA13" s="74">
        <f t="shared" si="0"/>
        <v>0.65815640599001657</v>
      </c>
      <c r="AB13" s="74">
        <f t="shared" si="0"/>
        <v>0.65815640599001657</v>
      </c>
      <c r="AC13" s="74">
        <f t="shared" si="0"/>
        <v>0.65815640599001657</v>
      </c>
      <c r="AD13" s="74">
        <f t="shared" si="0"/>
        <v>0.71416971713810307</v>
      </c>
      <c r="AE13" s="74">
        <f t="shared" si="0"/>
        <v>0.67215973377703819</v>
      </c>
      <c r="AF13" s="74">
        <f t="shared" si="0"/>
        <v>0.63014975041597332</v>
      </c>
      <c r="AG13" s="74">
        <f t="shared" si="0"/>
        <v>0.66515806988352733</v>
      </c>
      <c r="AH13" s="74">
        <f t="shared" si="0"/>
        <v>0.84019966722129769</v>
      </c>
      <c r="AI13" s="74">
        <f t="shared" si="0"/>
        <v>0.92421963394342754</v>
      </c>
      <c r="AJ13" s="74">
        <f t="shared" si="0"/>
        <v>0.90321464226289505</v>
      </c>
      <c r="AK13" s="74">
        <f t="shared" si="0"/>
        <v>0.84019966722129769</v>
      </c>
      <c r="AL13" s="74">
        <f t="shared" si="0"/>
        <v>0.72817304492512469</v>
      </c>
      <c r="AM13" s="74">
        <f t="shared" si="0"/>
        <v>0.66515806988352733</v>
      </c>
      <c r="AN13" s="74">
        <f t="shared" si="0"/>
        <v>0.62314808652246245</v>
      </c>
      <c r="AO13" s="74">
        <f t="shared" si="0"/>
        <v>0.62314808652246245</v>
      </c>
      <c r="AP13" s="74">
        <f t="shared" si="0"/>
        <v>0.62314808652246245</v>
      </c>
      <c r="AQ13" s="74">
        <f t="shared" si="0"/>
        <v>0.5951414309484192</v>
      </c>
      <c r="AR13" s="74">
        <f t="shared" si="0"/>
        <v>0.6161464226289517</v>
      </c>
      <c r="AS13" s="74">
        <f t="shared" si="0"/>
        <v>0.6161464226289517</v>
      </c>
      <c r="AT13" s="74">
        <f t="shared" si="0"/>
        <v>0.68616306156405982</v>
      </c>
      <c r="AU13" s="74">
        <f t="shared" si="0"/>
        <v>0.64415307820299494</v>
      </c>
      <c r="AV13" s="74">
        <f t="shared" si="0"/>
        <v>0.65815640599001657</v>
      </c>
      <c r="AW13" s="74">
        <f t="shared" si="0"/>
        <v>0.62314808652246245</v>
      </c>
      <c r="AX13" s="74">
        <f t="shared" si="0"/>
        <v>0.52512479201331108</v>
      </c>
      <c r="AY13" s="74">
        <f t="shared" si="0"/>
        <v>0.51112146422628946</v>
      </c>
      <c r="AZ13" s="74">
        <f t="shared" si="0"/>
        <v>0.51112146422628946</v>
      </c>
      <c r="BA13" s="74">
        <f t="shared" si="0"/>
        <v>0.52792545757071541</v>
      </c>
      <c r="BB13" s="74">
        <f t="shared" si="0"/>
        <v>0.54472945091514136</v>
      </c>
      <c r="BC13" s="74">
        <f t="shared" si="0"/>
        <v>0.54963061564059901</v>
      </c>
      <c r="BD13" s="74">
        <f t="shared" si="0"/>
        <v>0.57763727121464215</v>
      </c>
      <c r="BE13" s="74">
        <f t="shared" si="0"/>
        <v>0.59794209650582353</v>
      </c>
      <c r="BF13" s="74">
        <f t="shared" si="0"/>
        <v>0.59794209650582353</v>
      </c>
      <c r="BG13" s="74">
        <f t="shared" si="0"/>
        <v>0.58954009983361055</v>
      </c>
      <c r="BH13" s="74">
        <f t="shared" si="0"/>
        <v>0.58113810316139758</v>
      </c>
      <c r="BI13" s="74">
        <f t="shared" si="0"/>
        <v>0.56993544093178028</v>
      </c>
      <c r="BJ13" s="74">
        <f t="shared" si="0"/>
        <v>0.56363394342762063</v>
      </c>
      <c r="BK13" s="74">
        <f t="shared" si="0"/>
        <v>0.56363394342762063</v>
      </c>
      <c r="BL13" s="74">
        <f t="shared" si="0"/>
        <v>0.55943294509151409</v>
      </c>
      <c r="BM13" s="74">
        <f t="shared" si="0"/>
        <v>0.55943294509151409</v>
      </c>
      <c r="BN13" s="74">
        <f t="shared" si="0"/>
        <v>0.55593211314475866</v>
      </c>
      <c r="BO13" s="74">
        <f t="shared" si="0"/>
        <v>0.55593211314475866</v>
      </c>
      <c r="BP13" s="74">
        <f t="shared" si="0"/>
        <v>0.55943294509151409</v>
      </c>
      <c r="BQ13" s="74">
        <f t="shared" si="0"/>
        <v>0.55943294509151409</v>
      </c>
      <c r="BR13" s="74">
        <f t="shared" si="0"/>
        <v>0.56293377703826952</v>
      </c>
      <c r="BS13" s="74">
        <f t="shared" si="0"/>
        <v>0.55943294509151409</v>
      </c>
      <c r="BT13" s="74">
        <f t="shared" si="0"/>
        <v>0.55943294509151409</v>
      </c>
      <c r="BU13" s="74">
        <f t="shared" si="0"/>
        <v>0.55873277870216298</v>
      </c>
      <c r="BV13" s="74">
        <f t="shared" ref="BV13:EG13" si="1">$F$13*(BV8/1000)</f>
        <v>0.56293377703826952</v>
      </c>
      <c r="BW13" s="74">
        <f t="shared" si="1"/>
        <v>0.58673943427620623</v>
      </c>
      <c r="BX13" s="74">
        <f t="shared" si="1"/>
        <v>0.64415307820299494</v>
      </c>
      <c r="BY13" s="74">
        <f t="shared" si="1"/>
        <v>0.65815640599001657</v>
      </c>
      <c r="BZ13" s="74">
        <f t="shared" si="1"/>
        <v>0.69876605657237922</v>
      </c>
      <c r="CA13" s="74">
        <f t="shared" si="1"/>
        <v>0.67215973377703819</v>
      </c>
      <c r="CB13" s="74">
        <f t="shared" si="1"/>
        <v>0.63995207986688851</v>
      </c>
      <c r="CC13" s="74">
        <f t="shared" si="1"/>
        <v>0.60914475873544083</v>
      </c>
      <c r="CD13" s="74">
        <f t="shared" si="1"/>
        <v>0.60214309484193007</v>
      </c>
      <c r="CE13" s="74">
        <f t="shared" si="1"/>
        <v>0.60214309484193007</v>
      </c>
      <c r="CF13" s="74">
        <f t="shared" si="1"/>
        <v>0.60704425956738761</v>
      </c>
      <c r="CG13" s="74">
        <f t="shared" si="1"/>
        <v>0.59164059900166377</v>
      </c>
      <c r="CH13" s="74">
        <f t="shared" si="1"/>
        <v>0.59094043261231277</v>
      </c>
      <c r="CI13" s="74">
        <f t="shared" si="1"/>
        <v>0.59094043261231277</v>
      </c>
      <c r="CJ13" s="74">
        <f t="shared" si="1"/>
        <v>0.59094043261231277</v>
      </c>
      <c r="CK13" s="74">
        <f t="shared" si="1"/>
        <v>0.59094043261231277</v>
      </c>
      <c r="CL13" s="74">
        <f t="shared" si="1"/>
        <v>0.57903760399334436</v>
      </c>
      <c r="CM13" s="74">
        <f t="shared" si="1"/>
        <v>0.5727361064891846</v>
      </c>
      <c r="CN13" s="74">
        <f t="shared" si="1"/>
        <v>0.56993544093178028</v>
      </c>
      <c r="CO13" s="74">
        <f t="shared" si="1"/>
        <v>0.56713477537437595</v>
      </c>
      <c r="CP13" s="74">
        <f t="shared" si="1"/>
        <v>0.57903760399334436</v>
      </c>
      <c r="CQ13" s="74">
        <f t="shared" si="1"/>
        <v>0.57903760399334436</v>
      </c>
      <c r="CR13" s="74">
        <f t="shared" si="1"/>
        <v>0.57903760399334436</v>
      </c>
      <c r="CS13" s="74">
        <f t="shared" si="1"/>
        <v>0.5727361064891846</v>
      </c>
      <c r="CT13" s="74">
        <f t="shared" si="1"/>
        <v>0.5727361064891846</v>
      </c>
      <c r="CU13" s="74">
        <f t="shared" si="1"/>
        <v>0.5727361064891846</v>
      </c>
      <c r="CV13" s="74">
        <f t="shared" si="1"/>
        <v>0.5951414309484192</v>
      </c>
      <c r="CW13" s="74">
        <f t="shared" si="1"/>
        <v>0.63645124792013308</v>
      </c>
      <c r="CX13" s="74">
        <f t="shared" si="1"/>
        <v>0.63645124792013308</v>
      </c>
      <c r="CY13" s="74">
        <f t="shared" si="1"/>
        <v>0.64275274542429284</v>
      </c>
      <c r="CZ13" s="74">
        <f t="shared" si="1"/>
        <v>0.64275274542429284</v>
      </c>
      <c r="DA13" s="74">
        <f t="shared" si="1"/>
        <v>0.64275274542429284</v>
      </c>
      <c r="DB13" s="74">
        <f t="shared" si="1"/>
        <v>0.64275274542429284</v>
      </c>
      <c r="DC13" s="74">
        <f t="shared" si="1"/>
        <v>0.62594875207986678</v>
      </c>
      <c r="DD13" s="74">
        <f t="shared" si="1"/>
        <v>0.58113810316139758</v>
      </c>
      <c r="DE13" s="74">
        <f t="shared" si="1"/>
        <v>0.58113810316139758</v>
      </c>
      <c r="DF13" s="74">
        <f t="shared" si="1"/>
        <v>0.56643460898502496</v>
      </c>
      <c r="DG13" s="74">
        <f t="shared" si="1"/>
        <v>0.55943294509151409</v>
      </c>
      <c r="DH13" s="74">
        <f t="shared" si="1"/>
        <v>0.55943294509151409</v>
      </c>
      <c r="DI13" s="74">
        <f t="shared" si="1"/>
        <v>0.56293377703826952</v>
      </c>
      <c r="DJ13" s="74">
        <f t="shared" si="1"/>
        <v>0.57413643926788671</v>
      </c>
      <c r="DK13" s="74">
        <f t="shared" si="1"/>
        <v>0.57553677204658893</v>
      </c>
      <c r="DL13" s="74">
        <f t="shared" si="1"/>
        <v>0.57973777038269536</v>
      </c>
      <c r="DM13" s="74">
        <f t="shared" si="1"/>
        <v>0.5839387687188019</v>
      </c>
      <c r="DN13" s="74">
        <f t="shared" si="1"/>
        <v>0.57343627287853571</v>
      </c>
      <c r="DO13" s="74">
        <f t="shared" si="1"/>
        <v>0.57693710482529104</v>
      </c>
      <c r="DP13" s="74">
        <f t="shared" si="1"/>
        <v>0.57693710482529104</v>
      </c>
      <c r="DQ13" s="74">
        <f t="shared" si="1"/>
        <v>0.57693710482529104</v>
      </c>
      <c r="DR13" s="74">
        <f t="shared" si="1"/>
        <v>0.57693710482529104</v>
      </c>
      <c r="DS13" s="74">
        <f t="shared" si="1"/>
        <v>0.58043793677204647</v>
      </c>
      <c r="DT13" s="74">
        <f t="shared" si="1"/>
        <v>0</v>
      </c>
      <c r="DU13" s="74">
        <f t="shared" si="1"/>
        <v>0</v>
      </c>
      <c r="DV13" s="74">
        <f t="shared" si="1"/>
        <v>0</v>
      </c>
      <c r="DW13" s="74">
        <f t="shared" si="1"/>
        <v>0</v>
      </c>
      <c r="DX13" s="74">
        <f t="shared" si="1"/>
        <v>0</v>
      </c>
      <c r="DY13" s="74">
        <f t="shared" si="1"/>
        <v>0</v>
      </c>
      <c r="DZ13" s="74">
        <f t="shared" si="1"/>
        <v>0</v>
      </c>
      <c r="EA13" s="74">
        <f t="shared" si="1"/>
        <v>0</v>
      </c>
      <c r="EB13" s="74">
        <f t="shared" si="1"/>
        <v>0</v>
      </c>
      <c r="EC13" s="74">
        <f t="shared" si="1"/>
        <v>0</v>
      </c>
      <c r="ED13" s="74">
        <f t="shared" si="1"/>
        <v>0</v>
      </c>
      <c r="EE13" s="74">
        <f t="shared" si="1"/>
        <v>0</v>
      </c>
      <c r="EF13" s="74">
        <f t="shared" si="1"/>
        <v>0</v>
      </c>
      <c r="EG13" s="74">
        <f t="shared" si="1"/>
        <v>0</v>
      </c>
      <c r="EH13" s="74">
        <f t="shared" ref="EH13:EN13" si="2">$F$13*(EH8/1000)</f>
        <v>0</v>
      </c>
      <c r="EI13" s="74">
        <f t="shared" si="2"/>
        <v>0</v>
      </c>
      <c r="EJ13" s="74">
        <f t="shared" si="2"/>
        <v>0</v>
      </c>
      <c r="EK13" s="74">
        <f t="shared" si="2"/>
        <v>0</v>
      </c>
      <c r="EL13" s="74">
        <f t="shared" si="2"/>
        <v>0</v>
      </c>
      <c r="EM13" s="74">
        <f t="shared" si="2"/>
        <v>0</v>
      </c>
      <c r="EN13" s="74">
        <f t="shared" si="2"/>
        <v>0</v>
      </c>
    </row>
    <row r="14" spans="1:146">
      <c r="A14" s="67"/>
      <c r="B14" s="107"/>
      <c r="D14" s="77"/>
      <c r="F14" s="328"/>
      <c r="I14" s="74"/>
      <c r="J14" s="74"/>
      <c r="K14" s="74"/>
      <c r="L14" s="74"/>
      <c r="M14" s="74"/>
      <c r="N14" s="74"/>
      <c r="O14" s="74"/>
      <c r="P14" s="74"/>
      <c r="Q14" s="74"/>
      <c r="R14" s="74"/>
      <c r="S14" s="74"/>
      <c r="T14" s="74"/>
      <c r="U14" s="74"/>
      <c r="V14" s="74"/>
      <c r="W14" s="74"/>
      <c r="X14" s="74"/>
      <c r="Y14" s="74"/>
      <c r="Z14" s="74"/>
      <c r="AA14" s="74"/>
      <c r="AB14" s="74"/>
      <c r="AC14" s="74"/>
      <c r="AD14" s="74"/>
      <c r="AE14" s="74"/>
      <c r="AF14" s="74"/>
      <c r="AG14" s="74"/>
      <c r="AH14" s="74"/>
      <c r="AI14" s="74"/>
      <c r="AJ14" s="74"/>
      <c r="AK14" s="74"/>
      <c r="AL14" s="74"/>
      <c r="AM14" s="74"/>
      <c r="AN14" s="74"/>
      <c r="AO14" s="74"/>
      <c r="AP14" s="74"/>
      <c r="AQ14" s="74"/>
      <c r="AR14" s="74"/>
      <c r="AS14" s="74"/>
      <c r="AT14" s="74"/>
      <c r="AU14" s="74"/>
      <c r="AV14" s="74"/>
      <c r="AW14" s="74"/>
      <c r="AX14" s="74"/>
      <c r="AY14" s="74"/>
      <c r="AZ14" s="74"/>
      <c r="BA14" s="74"/>
      <c r="BB14" s="74"/>
      <c r="BC14" s="74"/>
      <c r="BD14" s="74"/>
      <c r="BE14" s="74"/>
      <c r="BF14" s="74"/>
      <c r="BG14" s="74"/>
      <c r="BH14" s="74"/>
      <c r="BI14" s="74"/>
      <c r="BJ14" s="74"/>
      <c r="BK14" s="74"/>
      <c r="BL14" s="74"/>
      <c r="BM14" s="74"/>
      <c r="BN14" s="74"/>
      <c r="BO14" s="74"/>
      <c r="BP14" s="74"/>
      <c r="BQ14" s="74"/>
      <c r="BR14" s="74"/>
      <c r="BS14" s="74"/>
      <c r="BT14" s="74"/>
      <c r="BU14" s="74"/>
      <c r="BV14" s="74"/>
      <c r="BW14" s="74"/>
      <c r="BX14" s="74"/>
      <c r="BY14" s="74"/>
      <c r="BZ14" s="74"/>
      <c r="CA14" s="74"/>
      <c r="CB14" s="74"/>
      <c r="CC14" s="74"/>
      <c r="CD14" s="74"/>
      <c r="CE14" s="74"/>
      <c r="CF14" s="74"/>
      <c r="CG14" s="74"/>
      <c r="CH14" s="74"/>
      <c r="CI14" s="74"/>
      <c r="CJ14" s="74"/>
      <c r="CK14" s="74"/>
      <c r="CL14" s="74"/>
      <c r="CM14" s="74"/>
      <c r="CN14" s="74"/>
      <c r="CO14" s="74"/>
      <c r="CP14" s="74"/>
      <c r="CQ14" s="74"/>
      <c r="CR14" s="74"/>
    </row>
    <row r="15" spans="1:146">
      <c r="A15" s="67"/>
      <c r="B15" s="107"/>
      <c r="D15" s="77"/>
      <c r="F15" s="328"/>
      <c r="I15" s="74"/>
      <c r="J15" s="74"/>
      <c r="K15" s="74"/>
      <c r="L15" s="74"/>
      <c r="M15" s="74"/>
      <c r="N15" s="74"/>
      <c r="O15" s="74"/>
      <c r="P15" s="74"/>
      <c r="Q15" s="74"/>
      <c r="R15" s="74"/>
      <c r="S15" s="74"/>
      <c r="T15" s="74"/>
      <c r="U15" s="74"/>
      <c r="V15" s="74"/>
      <c r="W15" s="74"/>
      <c r="X15" s="74"/>
      <c r="Y15" s="74"/>
      <c r="Z15" s="74"/>
      <c r="AA15" s="74"/>
      <c r="AB15" s="74"/>
      <c r="AC15" s="74"/>
      <c r="AD15" s="74"/>
      <c r="AE15" s="74"/>
      <c r="AF15" s="74"/>
      <c r="AG15" s="74"/>
      <c r="AH15" s="74"/>
      <c r="AI15" s="74"/>
      <c r="AJ15" s="74"/>
      <c r="AK15" s="74"/>
      <c r="AL15" s="74"/>
      <c r="AM15" s="74"/>
      <c r="AN15" s="74"/>
      <c r="AO15" s="74"/>
      <c r="AP15" s="74"/>
      <c r="AQ15" s="74"/>
      <c r="AR15" s="74"/>
      <c r="AS15" s="74"/>
      <c r="AT15" s="74"/>
      <c r="AU15" s="74"/>
      <c r="AV15" s="74"/>
      <c r="AW15" s="74"/>
      <c r="AX15" s="74"/>
      <c r="AY15" s="74"/>
      <c r="AZ15" s="74"/>
      <c r="BA15" s="74"/>
      <c r="BB15" s="74"/>
      <c r="BC15" s="74"/>
      <c r="BD15" s="74"/>
      <c r="BE15" s="74"/>
      <c r="BF15" s="74"/>
      <c r="BG15" s="74"/>
      <c r="BH15" s="74"/>
      <c r="BI15" s="74"/>
      <c r="BJ15" s="74"/>
      <c r="BK15" s="74"/>
      <c r="BL15" s="74"/>
      <c r="BM15" s="74"/>
      <c r="BN15" s="74"/>
      <c r="BO15" s="74"/>
      <c r="BP15" s="74"/>
      <c r="BQ15" s="74"/>
      <c r="BR15" s="74"/>
      <c r="BS15" s="74"/>
      <c r="BT15" s="74"/>
      <c r="BU15" s="74"/>
      <c r="BV15" s="74"/>
      <c r="BW15" s="74"/>
      <c r="BX15" s="74"/>
      <c r="BY15" s="74"/>
      <c r="BZ15" s="74"/>
      <c r="CA15" s="74"/>
      <c r="CB15" s="74"/>
      <c r="CC15" s="74"/>
      <c r="CD15" s="74"/>
      <c r="CE15" s="74"/>
      <c r="CF15" s="74"/>
      <c r="CG15" s="74"/>
      <c r="CH15" s="74"/>
      <c r="CI15" s="74"/>
      <c r="CJ15" s="74"/>
      <c r="CK15" s="74"/>
      <c r="CL15" s="74"/>
      <c r="CM15" s="74"/>
      <c r="CN15" s="74"/>
      <c r="CO15" s="74"/>
      <c r="CP15" s="74"/>
      <c r="CQ15" s="74"/>
      <c r="CR15" s="74"/>
    </row>
    <row r="16" spans="1:146">
      <c r="A16" s="67"/>
      <c r="B16" s="107"/>
      <c r="D16" s="77"/>
      <c r="F16" s="328"/>
      <c r="I16" s="74"/>
      <c r="J16" s="74"/>
      <c r="K16" s="74"/>
      <c r="L16" s="74"/>
      <c r="M16" s="74"/>
      <c r="N16" s="74"/>
      <c r="O16" s="74"/>
      <c r="P16" s="74"/>
      <c r="Q16" s="74"/>
      <c r="R16" s="74"/>
      <c r="S16" s="74"/>
      <c r="T16" s="74"/>
      <c r="U16" s="74"/>
      <c r="V16" s="74"/>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c r="BM16" s="74"/>
      <c r="BN16" s="74"/>
      <c r="BO16" s="74"/>
      <c r="BP16" s="74"/>
      <c r="BQ16" s="74"/>
      <c r="BR16" s="74"/>
      <c r="BS16" s="74"/>
      <c r="BT16" s="74"/>
      <c r="BU16" s="74"/>
      <c r="BV16" s="74"/>
      <c r="BW16" s="74"/>
      <c r="BX16" s="74"/>
      <c r="BY16" s="74"/>
      <c r="BZ16" s="74"/>
      <c r="CA16" s="74"/>
      <c r="CB16" s="74"/>
      <c r="CC16" s="74"/>
      <c r="CD16" s="74"/>
      <c r="CE16" s="74"/>
      <c r="CF16" s="74"/>
      <c r="CG16" s="74"/>
      <c r="CH16" s="74"/>
      <c r="CI16" s="74"/>
      <c r="CJ16" s="74"/>
      <c r="CK16" s="74"/>
      <c r="CL16" s="74"/>
      <c r="CM16" s="74"/>
      <c r="CN16" s="74"/>
      <c r="CO16" s="74"/>
      <c r="CP16" s="74"/>
      <c r="CQ16" s="74"/>
      <c r="CR16" s="74"/>
    </row>
    <row r="17" spans="1:146">
      <c r="A17" s="67"/>
      <c r="B17" s="107"/>
      <c r="D17" s="77"/>
      <c r="F17" s="65"/>
      <c r="I17" s="74"/>
      <c r="J17" s="74"/>
      <c r="K17" s="74"/>
      <c r="L17" s="74"/>
      <c r="M17" s="74"/>
      <c r="N17" s="74"/>
      <c r="O17" s="74"/>
      <c r="P17" s="74"/>
      <c r="Q17" s="74"/>
      <c r="R17" s="74"/>
      <c r="S17" s="74"/>
      <c r="T17" s="74"/>
      <c r="U17" s="74"/>
      <c r="V17" s="74"/>
      <c r="W17" s="74"/>
      <c r="X17" s="74"/>
      <c r="Y17" s="74"/>
      <c r="Z17" s="74"/>
      <c r="AA17" s="74"/>
      <c r="AB17" s="74"/>
      <c r="AC17" s="74"/>
      <c r="AD17" s="74"/>
      <c r="AE17" s="74"/>
      <c r="AF17" s="74"/>
      <c r="AG17" s="74"/>
      <c r="AH17" s="74"/>
      <c r="AI17" s="74"/>
      <c r="AJ17" s="74"/>
      <c r="AK17" s="74"/>
      <c r="AL17" s="74"/>
      <c r="AM17" s="74"/>
      <c r="AN17" s="74"/>
      <c r="AO17" s="74"/>
      <c r="AP17" s="74"/>
      <c r="AQ17" s="74"/>
      <c r="AR17" s="74"/>
      <c r="AS17" s="74"/>
      <c r="AT17" s="74"/>
      <c r="AU17" s="74"/>
      <c r="AV17" s="74"/>
      <c r="AW17" s="74"/>
      <c r="AX17" s="74"/>
      <c r="AY17" s="74"/>
      <c r="AZ17" s="74"/>
      <c r="BA17" s="74"/>
      <c r="BB17" s="74"/>
      <c r="BC17" s="74"/>
      <c r="BD17" s="74"/>
      <c r="BE17" s="74"/>
      <c r="BF17" s="74"/>
      <c r="BG17" s="74"/>
      <c r="BH17" s="74"/>
      <c r="BI17" s="74"/>
      <c r="BJ17" s="74"/>
      <c r="BK17" s="74"/>
      <c r="BL17" s="74"/>
      <c r="BM17" s="74"/>
      <c r="BN17" s="74"/>
      <c r="BO17" s="74"/>
      <c r="BP17" s="74"/>
      <c r="BQ17" s="74"/>
      <c r="BR17" s="74"/>
      <c r="BS17" s="74"/>
      <c r="BT17" s="74"/>
      <c r="BU17" s="74"/>
      <c r="BV17" s="74"/>
      <c r="BW17" s="74"/>
      <c r="BX17" s="74"/>
      <c r="BY17" s="74"/>
      <c r="BZ17" s="74"/>
      <c r="CA17" s="74"/>
      <c r="CB17" s="74"/>
      <c r="CC17" s="74"/>
      <c r="CD17" s="74"/>
      <c r="CE17" s="74"/>
      <c r="CF17" s="74"/>
      <c r="CG17" s="74"/>
      <c r="CH17" s="74"/>
      <c r="CI17" s="74"/>
      <c r="CJ17" s="74"/>
      <c r="CK17" s="74"/>
      <c r="CL17" s="74"/>
      <c r="CM17" s="74"/>
      <c r="CN17" s="74"/>
      <c r="CO17" s="74"/>
      <c r="CP17" s="74"/>
      <c r="CQ17" s="74"/>
      <c r="CR17" s="74"/>
    </row>
    <row r="18" spans="1:146" s="104" customFormat="1">
      <c r="H18" s="104" t="s">
        <v>799</v>
      </c>
      <c r="I18" s="105">
        <f t="shared" ref="I18:AN18" si="3">SUM(I13:I13)</f>
        <v>0.66515806988352733</v>
      </c>
      <c r="J18" s="105">
        <f t="shared" si="3"/>
        <v>0.56713477537437595</v>
      </c>
      <c r="K18" s="105">
        <f t="shared" si="3"/>
        <v>0.54612978369384357</v>
      </c>
      <c r="L18" s="105">
        <f t="shared" si="3"/>
        <v>0.39209317803660565</v>
      </c>
      <c r="M18" s="105">
        <f t="shared" si="3"/>
        <v>0.4761131447587354</v>
      </c>
      <c r="N18" s="105">
        <f t="shared" si="3"/>
        <v>0.50411980033277859</v>
      </c>
      <c r="O18" s="105">
        <f t="shared" si="3"/>
        <v>0.54612978369384357</v>
      </c>
      <c r="P18" s="105">
        <f t="shared" si="3"/>
        <v>0.54612978369384357</v>
      </c>
      <c r="Q18" s="105">
        <f t="shared" si="3"/>
        <v>0.5951414309484192</v>
      </c>
      <c r="R18" s="105">
        <f t="shared" si="3"/>
        <v>0.60214309484193007</v>
      </c>
      <c r="S18" s="105">
        <f t="shared" si="3"/>
        <v>0.5951414309484192</v>
      </c>
      <c r="T18" s="105">
        <f t="shared" si="3"/>
        <v>0.65815640599001657</v>
      </c>
      <c r="U18" s="105">
        <f t="shared" si="3"/>
        <v>0.64415307820299494</v>
      </c>
      <c r="V18" s="105">
        <f t="shared" si="3"/>
        <v>0.65115474209650581</v>
      </c>
      <c r="W18" s="105">
        <f t="shared" si="3"/>
        <v>0.80519134775374357</v>
      </c>
      <c r="X18" s="105">
        <f t="shared" si="3"/>
        <v>0.74217637271214632</v>
      </c>
      <c r="Y18" s="105">
        <f t="shared" si="3"/>
        <v>0.76318136439267881</v>
      </c>
      <c r="Z18" s="105">
        <f t="shared" si="3"/>
        <v>0.64415307820299494</v>
      </c>
      <c r="AA18" s="105">
        <f t="shared" si="3"/>
        <v>0.65815640599001657</v>
      </c>
      <c r="AB18" s="105">
        <f t="shared" si="3"/>
        <v>0.65815640599001657</v>
      </c>
      <c r="AC18" s="105">
        <f t="shared" si="3"/>
        <v>0.65815640599001657</v>
      </c>
      <c r="AD18" s="105">
        <f t="shared" si="3"/>
        <v>0.71416971713810307</v>
      </c>
      <c r="AE18" s="105">
        <f t="shared" si="3"/>
        <v>0.67215973377703819</v>
      </c>
      <c r="AF18" s="105">
        <f t="shared" si="3"/>
        <v>0.63014975041597332</v>
      </c>
      <c r="AG18" s="105">
        <f t="shared" si="3"/>
        <v>0.66515806988352733</v>
      </c>
      <c r="AH18" s="105">
        <f t="shared" si="3"/>
        <v>0.84019966722129769</v>
      </c>
      <c r="AI18" s="105">
        <f t="shared" si="3"/>
        <v>0.92421963394342754</v>
      </c>
      <c r="AJ18" s="105">
        <f t="shared" si="3"/>
        <v>0.90321464226289505</v>
      </c>
      <c r="AK18" s="105">
        <f t="shared" si="3"/>
        <v>0.84019966722129769</v>
      </c>
      <c r="AL18" s="105">
        <f t="shared" si="3"/>
        <v>0.72817304492512469</v>
      </c>
      <c r="AM18" s="105">
        <f t="shared" si="3"/>
        <v>0.66515806988352733</v>
      </c>
      <c r="AN18" s="105">
        <f t="shared" si="3"/>
        <v>0.62314808652246245</v>
      </c>
      <c r="AO18" s="105">
        <f t="shared" ref="AO18:DB18" si="4">SUM(AO13:AO13)</f>
        <v>0.62314808652246245</v>
      </c>
      <c r="AP18" s="105">
        <f t="shared" si="4"/>
        <v>0.62314808652246245</v>
      </c>
      <c r="AQ18" s="105">
        <f t="shared" si="4"/>
        <v>0.5951414309484192</v>
      </c>
      <c r="AR18" s="105">
        <f t="shared" si="4"/>
        <v>0.6161464226289517</v>
      </c>
      <c r="AS18" s="105">
        <f t="shared" si="4"/>
        <v>0.6161464226289517</v>
      </c>
      <c r="AT18" s="105">
        <f t="shared" si="4"/>
        <v>0.68616306156405982</v>
      </c>
      <c r="AU18" s="105">
        <f t="shared" si="4"/>
        <v>0.64415307820299494</v>
      </c>
      <c r="AV18" s="105">
        <f t="shared" si="4"/>
        <v>0.65815640599001657</v>
      </c>
      <c r="AW18" s="105">
        <f t="shared" si="4"/>
        <v>0.62314808652246245</v>
      </c>
      <c r="AX18" s="105">
        <f t="shared" si="4"/>
        <v>0.52512479201331108</v>
      </c>
      <c r="AY18" s="105">
        <f t="shared" si="4"/>
        <v>0.51112146422628946</v>
      </c>
      <c r="AZ18" s="105">
        <f t="shared" si="4"/>
        <v>0.51112146422628946</v>
      </c>
      <c r="BA18" s="105">
        <f t="shared" si="4"/>
        <v>0.52792545757071541</v>
      </c>
      <c r="BB18" s="105">
        <f t="shared" si="4"/>
        <v>0.54472945091514136</v>
      </c>
      <c r="BC18" s="105">
        <f t="shared" si="4"/>
        <v>0.54963061564059901</v>
      </c>
      <c r="BD18" s="105">
        <f t="shared" si="4"/>
        <v>0.57763727121464215</v>
      </c>
      <c r="BE18" s="105">
        <f t="shared" si="4"/>
        <v>0.59794209650582353</v>
      </c>
      <c r="BF18" s="105">
        <f t="shared" si="4"/>
        <v>0.59794209650582353</v>
      </c>
      <c r="BG18" s="105">
        <f t="shared" si="4"/>
        <v>0.58954009983361055</v>
      </c>
      <c r="BH18" s="105">
        <f t="shared" si="4"/>
        <v>0.58113810316139758</v>
      </c>
      <c r="BI18" s="105">
        <f t="shared" si="4"/>
        <v>0.56993544093178028</v>
      </c>
      <c r="BJ18" s="105">
        <f t="shared" si="4"/>
        <v>0.56363394342762063</v>
      </c>
      <c r="BK18" s="105">
        <f t="shared" si="4"/>
        <v>0.56363394342762063</v>
      </c>
      <c r="BL18" s="105">
        <f t="shared" si="4"/>
        <v>0.55943294509151409</v>
      </c>
      <c r="BM18" s="105">
        <f t="shared" si="4"/>
        <v>0.55943294509151409</v>
      </c>
      <c r="BN18" s="105">
        <f t="shared" si="4"/>
        <v>0.55593211314475866</v>
      </c>
      <c r="BO18" s="105">
        <f t="shared" si="4"/>
        <v>0.55593211314475866</v>
      </c>
      <c r="BP18" s="105">
        <f t="shared" si="4"/>
        <v>0.55943294509151409</v>
      </c>
      <c r="BQ18" s="105">
        <f t="shared" si="4"/>
        <v>0.55943294509151409</v>
      </c>
      <c r="BR18" s="105">
        <f t="shared" si="4"/>
        <v>0.56293377703826952</v>
      </c>
      <c r="BS18" s="105">
        <f t="shared" si="4"/>
        <v>0.55943294509151409</v>
      </c>
      <c r="BT18" s="105">
        <f t="shared" si="4"/>
        <v>0.55943294509151409</v>
      </c>
      <c r="BU18" s="105">
        <f t="shared" si="4"/>
        <v>0.55873277870216298</v>
      </c>
      <c r="BV18" s="105">
        <f t="shared" si="4"/>
        <v>0.56293377703826952</v>
      </c>
      <c r="BW18" s="105">
        <f t="shared" si="4"/>
        <v>0.58673943427620623</v>
      </c>
      <c r="BX18" s="105">
        <f t="shared" si="4"/>
        <v>0.64415307820299494</v>
      </c>
      <c r="BY18" s="105">
        <f t="shared" si="4"/>
        <v>0.65815640599001657</v>
      </c>
      <c r="BZ18" s="105">
        <f t="shared" si="4"/>
        <v>0.69876605657237922</v>
      </c>
      <c r="CA18" s="105">
        <f t="shared" si="4"/>
        <v>0.67215973377703819</v>
      </c>
      <c r="CB18" s="105">
        <f t="shared" si="4"/>
        <v>0.63995207986688851</v>
      </c>
      <c r="CC18" s="105">
        <f t="shared" si="4"/>
        <v>0.60914475873544083</v>
      </c>
      <c r="CD18" s="105">
        <f t="shared" si="4"/>
        <v>0.60214309484193007</v>
      </c>
      <c r="CE18" s="105">
        <f t="shared" si="4"/>
        <v>0.60214309484193007</v>
      </c>
      <c r="CF18" s="105">
        <f t="shared" si="4"/>
        <v>0.60704425956738761</v>
      </c>
      <c r="CG18" s="105">
        <f t="shared" si="4"/>
        <v>0.59164059900166377</v>
      </c>
      <c r="CH18" s="105">
        <f t="shared" si="4"/>
        <v>0.59094043261231277</v>
      </c>
      <c r="CI18" s="105">
        <f t="shared" si="4"/>
        <v>0.59094043261231277</v>
      </c>
      <c r="CJ18" s="105">
        <f t="shared" si="4"/>
        <v>0.59094043261231277</v>
      </c>
      <c r="CK18" s="105">
        <f t="shared" si="4"/>
        <v>0.59094043261231277</v>
      </c>
      <c r="CL18" s="105">
        <f t="shared" si="4"/>
        <v>0.57903760399334436</v>
      </c>
      <c r="CM18" s="105">
        <f t="shared" si="4"/>
        <v>0.5727361064891846</v>
      </c>
      <c r="CN18" s="105">
        <f t="shared" si="4"/>
        <v>0.56993544093178028</v>
      </c>
      <c r="CO18" s="105">
        <f t="shared" si="4"/>
        <v>0.56713477537437595</v>
      </c>
      <c r="CP18" s="105">
        <f t="shared" si="4"/>
        <v>0.57903760399334436</v>
      </c>
      <c r="CQ18" s="105">
        <f t="shared" si="4"/>
        <v>0.57903760399334436</v>
      </c>
      <c r="CR18" s="105">
        <f t="shared" si="4"/>
        <v>0.57903760399334436</v>
      </c>
      <c r="CS18" s="105">
        <f t="shared" si="4"/>
        <v>0.5727361064891846</v>
      </c>
      <c r="CT18" s="105">
        <f t="shared" si="4"/>
        <v>0.5727361064891846</v>
      </c>
      <c r="CU18" s="105">
        <f t="shared" si="4"/>
        <v>0.5727361064891846</v>
      </c>
      <c r="CV18" s="105">
        <f t="shared" si="4"/>
        <v>0.5951414309484192</v>
      </c>
      <c r="CW18" s="105">
        <f t="shared" si="4"/>
        <v>0.63645124792013308</v>
      </c>
      <c r="CX18" s="105">
        <f t="shared" si="4"/>
        <v>0.63645124792013308</v>
      </c>
      <c r="CY18" s="105">
        <f t="shared" si="4"/>
        <v>0.64275274542429284</v>
      </c>
      <c r="CZ18" s="105">
        <f t="shared" si="4"/>
        <v>0.64275274542429284</v>
      </c>
      <c r="DA18" s="105">
        <f>SUM(DA13:DA13)</f>
        <v>0.64275274542429284</v>
      </c>
      <c r="DB18" s="105">
        <f t="shared" si="4"/>
        <v>0.64275274542429284</v>
      </c>
      <c r="DC18" s="105">
        <f t="shared" ref="DC18:EO18" si="5">SUM(DC13:DC13)</f>
        <v>0.62594875207986678</v>
      </c>
      <c r="DD18" s="105">
        <f t="shared" si="5"/>
        <v>0.58113810316139758</v>
      </c>
      <c r="DE18" s="105">
        <f t="shared" si="5"/>
        <v>0.58113810316139758</v>
      </c>
      <c r="DF18" s="105">
        <f t="shared" si="5"/>
        <v>0.56643460898502496</v>
      </c>
      <c r="DG18" s="105">
        <f t="shared" si="5"/>
        <v>0.55943294509151409</v>
      </c>
      <c r="DH18" s="105">
        <f t="shared" si="5"/>
        <v>0.55943294509151409</v>
      </c>
      <c r="DI18" s="105">
        <f t="shared" si="5"/>
        <v>0.56293377703826952</v>
      </c>
      <c r="DJ18" s="105">
        <f t="shared" si="5"/>
        <v>0.57413643926788671</v>
      </c>
      <c r="DK18" s="105">
        <f t="shared" si="5"/>
        <v>0.57553677204658893</v>
      </c>
      <c r="DL18" s="105">
        <f t="shared" si="5"/>
        <v>0.57973777038269536</v>
      </c>
      <c r="DM18" s="105">
        <f t="shared" si="5"/>
        <v>0.5839387687188019</v>
      </c>
      <c r="DN18" s="105">
        <f t="shared" si="5"/>
        <v>0.57343627287853571</v>
      </c>
      <c r="DO18" s="105">
        <f t="shared" si="5"/>
        <v>0.57693710482529104</v>
      </c>
      <c r="DP18" s="105">
        <f t="shared" si="5"/>
        <v>0.57693710482529104</v>
      </c>
      <c r="DQ18" s="105">
        <f t="shared" si="5"/>
        <v>0.57693710482529104</v>
      </c>
      <c r="DR18" s="105">
        <f t="shared" si="5"/>
        <v>0.57693710482529104</v>
      </c>
      <c r="DS18" s="105">
        <f t="shared" si="5"/>
        <v>0.58043793677204647</v>
      </c>
      <c r="DT18" s="105">
        <f t="shared" si="5"/>
        <v>0</v>
      </c>
      <c r="DU18" s="105">
        <f t="shared" si="5"/>
        <v>0</v>
      </c>
      <c r="DV18" s="105">
        <f t="shared" si="5"/>
        <v>0</v>
      </c>
      <c r="DW18" s="105">
        <f t="shared" si="5"/>
        <v>0</v>
      </c>
      <c r="DX18" s="105">
        <f t="shared" si="5"/>
        <v>0</v>
      </c>
      <c r="DY18" s="105">
        <f t="shared" si="5"/>
        <v>0</v>
      </c>
      <c r="DZ18" s="105">
        <f t="shared" si="5"/>
        <v>0</v>
      </c>
      <c r="EA18" s="105">
        <f t="shared" si="5"/>
        <v>0</v>
      </c>
      <c r="EB18" s="105">
        <f t="shared" si="5"/>
        <v>0</v>
      </c>
      <c r="EC18" s="105">
        <f t="shared" si="5"/>
        <v>0</v>
      </c>
      <c r="ED18" s="105">
        <f t="shared" si="5"/>
        <v>0</v>
      </c>
      <c r="EE18" s="105">
        <f t="shared" si="5"/>
        <v>0</v>
      </c>
      <c r="EF18" s="105">
        <f t="shared" si="5"/>
        <v>0</v>
      </c>
      <c r="EG18" s="105">
        <f t="shared" si="5"/>
        <v>0</v>
      </c>
      <c r="EH18" s="105">
        <f t="shared" si="5"/>
        <v>0</v>
      </c>
      <c r="EI18" s="105">
        <f t="shared" si="5"/>
        <v>0</v>
      </c>
      <c r="EJ18" s="105">
        <f t="shared" si="5"/>
        <v>0</v>
      </c>
      <c r="EK18" s="105">
        <f t="shared" si="5"/>
        <v>0</v>
      </c>
      <c r="EL18" s="105">
        <f t="shared" si="5"/>
        <v>0</v>
      </c>
      <c r="EM18" s="105">
        <f t="shared" si="5"/>
        <v>0</v>
      </c>
      <c r="EN18" s="105">
        <f t="shared" si="5"/>
        <v>0</v>
      </c>
      <c r="EO18" s="105">
        <f t="shared" si="5"/>
        <v>0</v>
      </c>
    </row>
    <row r="19" spans="1:146" s="104" customFormat="1">
      <c r="H19" s="60"/>
      <c r="I19" s="105"/>
      <c r="J19" s="105"/>
      <c r="K19" s="105"/>
      <c r="L19" s="105"/>
      <c r="M19" s="105"/>
      <c r="N19" s="105"/>
      <c r="O19" s="105"/>
      <c r="P19" s="105"/>
      <c r="Q19" s="105"/>
      <c r="R19" s="105"/>
      <c r="S19" s="105"/>
      <c r="T19" s="105"/>
      <c r="U19" s="105"/>
      <c r="V19" s="105"/>
      <c r="W19" s="105"/>
      <c r="X19" s="105"/>
      <c r="Y19" s="105"/>
      <c r="Z19" s="105"/>
      <c r="AA19" s="105"/>
      <c r="AB19" s="105"/>
      <c r="AC19" s="105"/>
      <c r="AD19" s="105"/>
      <c r="AE19" s="105"/>
      <c r="AF19" s="105"/>
      <c r="AG19" s="105"/>
      <c r="AH19" s="105"/>
      <c r="AI19" s="105"/>
      <c r="AJ19" s="105"/>
      <c r="AK19" s="105"/>
      <c r="AL19" s="105"/>
      <c r="AM19" s="105"/>
      <c r="AN19" s="105"/>
      <c r="AO19" s="105"/>
      <c r="AP19" s="105"/>
      <c r="AQ19" s="105"/>
      <c r="AR19" s="105"/>
      <c r="AS19" s="105"/>
      <c r="AT19" s="105"/>
      <c r="AU19" s="105"/>
      <c r="AV19" s="105"/>
      <c r="AW19" s="105"/>
      <c r="AX19" s="105"/>
      <c r="AY19" s="105"/>
      <c r="AZ19" s="105"/>
      <c r="BA19" s="105"/>
      <c r="BB19" s="105"/>
      <c r="BC19" s="105"/>
      <c r="BD19" s="105"/>
      <c r="BE19" s="105"/>
      <c r="BF19" s="105"/>
      <c r="BG19" s="105"/>
      <c r="BH19" s="105"/>
      <c r="BI19" s="105"/>
      <c r="BJ19" s="105"/>
      <c r="BK19" s="105"/>
      <c r="BL19" s="105"/>
      <c r="BM19" s="105"/>
      <c r="BN19" s="105"/>
      <c r="BO19" s="105"/>
      <c r="BP19" s="105"/>
      <c r="BQ19" s="105"/>
      <c r="BR19" s="105"/>
      <c r="BS19" s="105"/>
      <c r="BT19" s="105"/>
      <c r="BU19" s="105"/>
      <c r="BV19" s="105"/>
      <c r="BW19" s="105"/>
      <c r="BX19" s="105"/>
      <c r="BY19" s="105"/>
      <c r="BZ19" s="105"/>
      <c r="CA19" s="105"/>
      <c r="CB19" s="105"/>
      <c r="CC19" s="105"/>
      <c r="CD19" s="105"/>
      <c r="CE19" s="105"/>
      <c r="CF19" s="105"/>
      <c r="CG19" s="105"/>
      <c r="CH19" s="105"/>
      <c r="CI19" s="105"/>
      <c r="CJ19" s="105"/>
      <c r="CK19" s="105"/>
      <c r="CL19" s="105"/>
      <c r="CM19" s="105"/>
      <c r="CN19" s="105"/>
      <c r="CO19" s="105"/>
      <c r="CP19" s="105"/>
      <c r="CQ19" s="105"/>
      <c r="CR19" s="105"/>
    </row>
    <row r="20" spans="1:146" ht="13">
      <c r="A20" s="331" t="s">
        <v>845</v>
      </c>
      <c r="H20" s="60" t="s">
        <v>429</v>
      </c>
      <c r="I20" s="74">
        <f>80/70</f>
        <v>1.1428571428571428</v>
      </c>
      <c r="J20" s="74">
        <v>1.1499999999999999</v>
      </c>
      <c r="K20" s="74"/>
      <c r="L20" s="74"/>
      <c r="M20" s="74"/>
      <c r="N20" s="74"/>
      <c r="O20" s="74"/>
      <c r="P20" s="74"/>
      <c r="Q20" s="74"/>
      <c r="R20" s="74">
        <f>104/70</f>
        <v>1.4857142857142858</v>
      </c>
      <c r="S20" s="74">
        <f>87/70</f>
        <v>1.2428571428571429</v>
      </c>
      <c r="T20" s="74">
        <f>104/70</f>
        <v>1.4857142857142858</v>
      </c>
      <c r="U20" s="74"/>
      <c r="V20" s="74"/>
      <c r="W20" s="74"/>
      <c r="X20" s="74"/>
      <c r="Y20" s="74"/>
      <c r="Z20" s="74"/>
      <c r="AA20" s="74">
        <f>83/72</f>
        <v>1.1527777777777777</v>
      </c>
      <c r="AB20" s="74"/>
      <c r="AC20" s="74"/>
      <c r="AD20" s="74">
        <f>103/72</f>
        <v>1.4305555555555556</v>
      </c>
      <c r="AE20" s="74"/>
      <c r="AF20" s="74"/>
      <c r="AG20" s="74"/>
      <c r="AH20" s="74"/>
      <c r="AI20" s="74">
        <f>113/74</f>
        <v>1.527027027027027</v>
      </c>
      <c r="AK20" s="74"/>
      <c r="AL20" s="74"/>
      <c r="AM20" s="74"/>
      <c r="AN20" s="74">
        <f>120/74</f>
        <v>1.6216216216216217</v>
      </c>
      <c r="AO20" s="74">
        <f>100/74</f>
        <v>1.3513513513513513</v>
      </c>
      <c r="AP20" s="74">
        <f>100/74</f>
        <v>1.3513513513513513</v>
      </c>
      <c r="AQ20" s="74">
        <f>102/74</f>
        <v>1.3783783783783783</v>
      </c>
      <c r="AR20" s="74"/>
      <c r="AS20" s="74"/>
      <c r="AT20" s="74">
        <f>102/80</f>
        <v>1.2749999999999999</v>
      </c>
      <c r="AU20" s="74"/>
      <c r="AV20" s="74"/>
      <c r="AW20" s="74"/>
      <c r="AX20" s="74">
        <f>84/80</f>
        <v>1.05</v>
      </c>
      <c r="AY20" s="74"/>
      <c r="AZ20" s="74"/>
      <c r="BA20" s="74"/>
      <c r="BB20" s="74"/>
      <c r="BC20" s="74"/>
      <c r="BD20" s="74"/>
      <c r="BE20" s="74"/>
      <c r="BF20" s="74"/>
      <c r="BG20" s="74"/>
      <c r="BH20" s="74"/>
      <c r="BI20" s="74"/>
      <c r="BJ20" s="74"/>
      <c r="BK20" s="74"/>
      <c r="BL20" s="74"/>
      <c r="BM20" s="74"/>
      <c r="BN20" s="74"/>
      <c r="BO20" s="74"/>
      <c r="BP20" s="74"/>
      <c r="BQ20" s="74"/>
      <c r="BR20" s="74"/>
      <c r="BS20" s="74"/>
      <c r="BT20" s="74"/>
      <c r="BU20" s="74"/>
      <c r="BV20" s="74"/>
      <c r="BW20" s="74"/>
      <c r="BX20" s="74"/>
      <c r="BY20" s="74"/>
      <c r="BZ20" s="74"/>
      <c r="CA20" s="74"/>
      <c r="CB20" s="74"/>
      <c r="CC20" s="74"/>
      <c r="CD20" s="74"/>
      <c r="CE20" s="74">
        <f>105/83.4</f>
        <v>1.2589928057553956</v>
      </c>
      <c r="CF20" s="74"/>
      <c r="CG20" s="74"/>
      <c r="CH20" s="74"/>
      <c r="CI20" s="74">
        <f>89/83.4</f>
        <v>1.0671462829736211</v>
      </c>
      <c r="CJ20" s="74"/>
      <c r="CK20" s="74"/>
      <c r="CL20" s="74"/>
      <c r="CM20" s="74"/>
      <c r="CN20" s="74"/>
      <c r="CO20" s="74"/>
      <c r="CP20" s="74"/>
      <c r="CQ20" s="74"/>
      <c r="CR20" s="74"/>
      <c r="CZ20" s="74">
        <f>101/83.4</f>
        <v>1.2110311750599521</v>
      </c>
    </row>
    <row r="21" spans="1:146">
      <c r="H21" s="60" t="s">
        <v>406</v>
      </c>
      <c r="I21" s="74">
        <f>I20-I18</f>
        <v>0.47769907297361547</v>
      </c>
      <c r="J21" s="74">
        <f>J20-J18</f>
        <v>0.58286522462562396</v>
      </c>
      <c r="K21" s="74"/>
      <c r="L21" s="74"/>
      <c r="M21" s="74"/>
      <c r="N21" s="74"/>
      <c r="O21" s="74"/>
      <c r="P21" s="74"/>
      <c r="Q21" s="74"/>
      <c r="R21" s="74">
        <f>R20-R18</f>
        <v>0.88357119087235569</v>
      </c>
      <c r="S21" s="74">
        <f>S20-S18</f>
        <v>0.64771571190872368</v>
      </c>
      <c r="T21" s="74">
        <f>T20-T18</f>
        <v>0.8275578797242692</v>
      </c>
      <c r="U21" s="74"/>
      <c r="V21" s="74"/>
      <c r="W21" s="74"/>
      <c r="X21" s="74"/>
      <c r="Y21" s="74"/>
      <c r="Z21" s="74"/>
      <c r="AA21" s="74">
        <f>AA20-AA18</f>
        <v>0.49462137178776111</v>
      </c>
      <c r="AB21" s="74"/>
      <c r="AC21" s="74"/>
      <c r="AD21" s="74">
        <f>AD20-AD18</f>
        <v>0.71638583841745251</v>
      </c>
      <c r="AE21" s="74"/>
      <c r="AF21" s="74"/>
      <c r="AG21" s="74"/>
      <c r="AH21" s="74"/>
      <c r="AI21" s="74">
        <f>AI20-AI18</f>
        <v>0.60280739308359943</v>
      </c>
      <c r="AK21" s="74"/>
      <c r="AL21" s="74"/>
      <c r="AM21" s="74"/>
      <c r="AN21" s="74">
        <f>AN20-AN18</f>
        <v>0.99847353509915926</v>
      </c>
      <c r="AO21" s="74">
        <f>AO20-AO18</f>
        <v>0.72820326482888886</v>
      </c>
      <c r="AP21" s="74">
        <f>AP20-AP18</f>
        <v>0.72820326482888886</v>
      </c>
      <c r="AQ21" s="74">
        <f>AQ20-AQ18</f>
        <v>0.78323694742995909</v>
      </c>
      <c r="AR21" s="74"/>
      <c r="AS21" s="74"/>
      <c r="AT21" s="74">
        <f>AT20-AT18</f>
        <v>0.58883693843594009</v>
      </c>
      <c r="AU21" s="74"/>
      <c r="AV21" s="74"/>
      <c r="AW21" s="74"/>
      <c r="AX21" s="74">
        <f>AX20-AX18</f>
        <v>0.52487520798668896</v>
      </c>
      <c r="AY21" s="74"/>
      <c r="AZ21" s="74"/>
      <c r="BA21" s="74"/>
      <c r="BB21" s="74"/>
      <c r="BC21" s="74"/>
      <c r="BD21" s="74"/>
      <c r="BE21" s="74"/>
      <c r="BF21" s="74"/>
      <c r="BG21" s="74"/>
      <c r="BH21" s="74"/>
      <c r="BI21" s="74"/>
      <c r="BJ21" s="74"/>
      <c r="BK21" s="74"/>
      <c r="BL21" s="74"/>
      <c r="BM21" s="74"/>
      <c r="BN21" s="74"/>
      <c r="BO21" s="74"/>
      <c r="BP21" s="74"/>
      <c r="BQ21" s="74"/>
      <c r="BR21" s="74"/>
      <c r="BS21" s="74"/>
      <c r="BT21" s="74"/>
      <c r="BU21" s="74"/>
      <c r="BV21" s="74"/>
      <c r="BW21" s="74"/>
      <c r="BX21" s="74"/>
      <c r="BY21" s="74"/>
      <c r="BZ21" s="74"/>
      <c r="CA21" s="74"/>
      <c r="CB21" s="74"/>
      <c r="CC21" s="74"/>
      <c r="CD21" s="74"/>
      <c r="CE21" s="74">
        <f>CE20-CE18</f>
        <v>0.65684971091346556</v>
      </c>
      <c r="CF21" s="74"/>
      <c r="CG21" s="74"/>
      <c r="CH21" s="74"/>
      <c r="CI21" s="74">
        <f>CI20-CI18</f>
        <v>0.47620585036130836</v>
      </c>
      <c r="CJ21" s="74"/>
      <c r="CK21" s="74"/>
      <c r="CL21" s="74"/>
      <c r="CM21" s="74"/>
      <c r="CN21" s="74"/>
      <c r="CO21" s="74"/>
      <c r="CP21" s="74"/>
      <c r="CQ21" s="74"/>
      <c r="CR21" s="74"/>
      <c r="CZ21" s="74">
        <f>CZ20-CZ18</f>
        <v>0.56827842963565922</v>
      </c>
    </row>
    <row r="23" spans="1:146" ht="13" thickBot="1"/>
    <row r="24" spans="1:146" s="73" customFormat="1" ht="13" thickBot="1">
      <c r="H24" s="257" t="s">
        <v>800</v>
      </c>
      <c r="I24" s="258">
        <f>0.48+I18</f>
        <v>1.1451580698835273</v>
      </c>
      <c r="J24" s="258">
        <f>0.48+J18</f>
        <v>1.047134775374376</v>
      </c>
      <c r="K24" s="258">
        <f t="shared" ref="K24:R24" si="6">0.48+K18</f>
        <v>1.0261297836938437</v>
      </c>
      <c r="L24" s="258">
        <f t="shared" si="6"/>
        <v>0.87209317803660569</v>
      </c>
      <c r="M24" s="258">
        <f t="shared" si="6"/>
        <v>0.95611314475873543</v>
      </c>
      <c r="N24" s="258">
        <f t="shared" si="6"/>
        <v>0.98411980033277857</v>
      </c>
      <c r="O24" s="258">
        <f t="shared" si="6"/>
        <v>1.0261297836938437</v>
      </c>
      <c r="P24" s="258">
        <f t="shared" si="6"/>
        <v>1.0261297836938437</v>
      </c>
      <c r="Q24" s="258">
        <f t="shared" si="6"/>
        <v>1.0751414309484191</v>
      </c>
      <c r="R24" s="258">
        <f t="shared" si="6"/>
        <v>1.0821430948419302</v>
      </c>
      <c r="S24" s="258">
        <f>0.48+S18</f>
        <v>1.0751414309484191</v>
      </c>
      <c r="T24" s="258">
        <f>0.48+T18</f>
        <v>1.1381564059900167</v>
      </c>
      <c r="U24" s="258">
        <f t="shared" ref="U24:CF24" si="7">0.48+U18</f>
        <v>1.1241530782029949</v>
      </c>
      <c r="V24" s="258">
        <f t="shared" si="7"/>
        <v>1.1311547420965058</v>
      </c>
      <c r="W24" s="258">
        <f t="shared" si="7"/>
        <v>1.2851913477537436</v>
      </c>
      <c r="X24" s="258">
        <f t="shared" si="7"/>
        <v>1.2221763727121462</v>
      </c>
      <c r="Y24" s="258">
        <f t="shared" si="7"/>
        <v>1.2431813643926788</v>
      </c>
      <c r="Z24" s="258">
        <f t="shared" si="7"/>
        <v>1.1241530782029949</v>
      </c>
      <c r="AA24" s="258">
        <f t="shared" si="7"/>
        <v>1.1381564059900167</v>
      </c>
      <c r="AB24" s="258">
        <f t="shared" si="7"/>
        <v>1.1381564059900167</v>
      </c>
      <c r="AC24" s="258">
        <f t="shared" si="7"/>
        <v>1.1381564059900167</v>
      </c>
      <c r="AD24" s="258">
        <f t="shared" si="7"/>
        <v>1.1941697171381032</v>
      </c>
      <c r="AE24" s="258">
        <f t="shared" si="7"/>
        <v>1.1521597337770382</v>
      </c>
      <c r="AF24" s="258">
        <f t="shared" si="7"/>
        <v>1.1101497504159732</v>
      </c>
      <c r="AG24" s="258">
        <f t="shared" si="7"/>
        <v>1.1451580698835273</v>
      </c>
      <c r="AH24" s="258">
        <f t="shared" si="7"/>
        <v>1.3201996672212977</v>
      </c>
      <c r="AI24" s="258">
        <f t="shared" si="7"/>
        <v>1.4042196339434274</v>
      </c>
      <c r="AJ24" s="258">
        <f t="shared" si="7"/>
        <v>1.383214642262895</v>
      </c>
      <c r="AK24" s="258">
        <f t="shared" si="7"/>
        <v>1.3201996672212977</v>
      </c>
      <c r="AL24" s="258">
        <f t="shared" si="7"/>
        <v>1.2081730449251247</v>
      </c>
      <c r="AM24" s="258">
        <f t="shared" si="7"/>
        <v>1.1451580698835273</v>
      </c>
      <c r="AN24" s="258">
        <f t="shared" si="7"/>
        <v>1.1031480865224625</v>
      </c>
      <c r="AO24" s="258">
        <f t="shared" si="7"/>
        <v>1.1031480865224625</v>
      </c>
      <c r="AP24" s="258">
        <f t="shared" si="7"/>
        <v>1.1031480865224625</v>
      </c>
      <c r="AQ24" s="258">
        <f t="shared" si="7"/>
        <v>1.0751414309484191</v>
      </c>
      <c r="AR24" s="258">
        <f t="shared" si="7"/>
        <v>1.0961464226289517</v>
      </c>
      <c r="AS24" s="258">
        <f t="shared" si="7"/>
        <v>1.0961464226289517</v>
      </c>
      <c r="AT24" s="258">
        <f t="shared" si="7"/>
        <v>1.1661630615640597</v>
      </c>
      <c r="AU24" s="258">
        <f t="shared" si="7"/>
        <v>1.1241530782029949</v>
      </c>
      <c r="AV24" s="258">
        <f t="shared" si="7"/>
        <v>1.1381564059900167</v>
      </c>
      <c r="AW24" s="258">
        <f t="shared" si="7"/>
        <v>1.1031480865224625</v>
      </c>
      <c r="AX24" s="258">
        <f t="shared" si="7"/>
        <v>1.0051247920133111</v>
      </c>
      <c r="AY24" s="258">
        <f t="shared" si="7"/>
        <v>0.99112146422628944</v>
      </c>
      <c r="AZ24" s="258">
        <f t="shared" si="7"/>
        <v>0.99112146422628944</v>
      </c>
      <c r="BA24" s="258">
        <f t="shared" si="7"/>
        <v>1.0079254575707153</v>
      </c>
      <c r="BB24" s="258">
        <f t="shared" si="7"/>
        <v>1.0247294509151414</v>
      </c>
      <c r="BC24" s="258">
        <f t="shared" si="7"/>
        <v>1.029630615640599</v>
      </c>
      <c r="BD24" s="258">
        <f t="shared" si="7"/>
        <v>1.057637271214642</v>
      </c>
      <c r="BE24" s="258">
        <f t="shared" si="7"/>
        <v>1.0779420965058235</v>
      </c>
      <c r="BF24" s="258">
        <f t="shared" si="7"/>
        <v>1.0779420965058235</v>
      </c>
      <c r="BG24" s="258">
        <f t="shared" si="7"/>
        <v>1.0695400998336106</v>
      </c>
      <c r="BH24" s="258">
        <f t="shared" si="7"/>
        <v>1.0611381031613976</v>
      </c>
      <c r="BI24" s="258">
        <f t="shared" si="7"/>
        <v>1.0499354409317803</v>
      </c>
      <c r="BJ24" s="258">
        <f t="shared" si="7"/>
        <v>1.0436339434276207</v>
      </c>
      <c r="BK24" s="258">
        <f t="shared" si="7"/>
        <v>1.0436339434276207</v>
      </c>
      <c r="BL24" s="258">
        <f t="shared" si="7"/>
        <v>1.0394329450915141</v>
      </c>
      <c r="BM24" s="258">
        <f t="shared" si="7"/>
        <v>1.0394329450915141</v>
      </c>
      <c r="BN24" s="258">
        <f t="shared" si="7"/>
        <v>1.0359321131447587</v>
      </c>
      <c r="BO24" s="258">
        <f t="shared" si="7"/>
        <v>1.0359321131447587</v>
      </c>
      <c r="BP24" s="258">
        <f t="shared" si="7"/>
        <v>1.0394329450915141</v>
      </c>
      <c r="BQ24" s="258">
        <f t="shared" si="7"/>
        <v>1.0394329450915141</v>
      </c>
      <c r="BR24" s="258">
        <f t="shared" si="7"/>
        <v>1.0429337770382694</v>
      </c>
      <c r="BS24" s="258">
        <f t="shared" si="7"/>
        <v>1.0394329450915141</v>
      </c>
      <c r="BT24" s="258">
        <f t="shared" si="7"/>
        <v>1.0394329450915141</v>
      </c>
      <c r="BU24" s="258">
        <f t="shared" si="7"/>
        <v>1.038732778702163</v>
      </c>
      <c r="BV24" s="258">
        <f t="shared" si="7"/>
        <v>1.0429337770382694</v>
      </c>
      <c r="BW24" s="258">
        <f t="shared" si="7"/>
        <v>1.0667394342762062</v>
      </c>
      <c r="BX24" s="258">
        <f t="shared" si="7"/>
        <v>1.1241530782029949</v>
      </c>
      <c r="BY24" s="258">
        <f t="shared" si="7"/>
        <v>1.1381564059900167</v>
      </c>
      <c r="BZ24" s="258">
        <f t="shared" si="7"/>
        <v>1.1787660565723792</v>
      </c>
      <c r="CA24" s="258">
        <f t="shared" si="7"/>
        <v>1.1521597337770382</v>
      </c>
      <c r="CB24" s="258">
        <f t="shared" si="7"/>
        <v>1.1199520798668885</v>
      </c>
      <c r="CC24" s="258">
        <f t="shared" si="7"/>
        <v>1.0891447587354408</v>
      </c>
      <c r="CD24" s="258">
        <f t="shared" si="7"/>
        <v>1.0821430948419302</v>
      </c>
      <c r="CE24" s="258">
        <f t="shared" si="7"/>
        <v>1.0821430948419302</v>
      </c>
      <c r="CF24" s="258">
        <f t="shared" si="7"/>
        <v>1.0870442595673877</v>
      </c>
      <c r="CG24" s="258">
        <f t="shared" ref="CG24:EP24" si="8">0.48+CG18</f>
        <v>1.0716405990016638</v>
      </c>
      <c r="CH24" s="258">
        <f t="shared" si="8"/>
        <v>1.0709404326123129</v>
      </c>
      <c r="CI24" s="258">
        <f t="shared" si="8"/>
        <v>1.0709404326123129</v>
      </c>
      <c r="CJ24" s="258">
        <f t="shared" si="8"/>
        <v>1.0709404326123129</v>
      </c>
      <c r="CK24" s="258">
        <f t="shared" si="8"/>
        <v>1.0709404326123129</v>
      </c>
      <c r="CL24" s="258">
        <f t="shared" si="8"/>
        <v>1.0590376039933442</v>
      </c>
      <c r="CM24" s="258">
        <f t="shared" si="8"/>
        <v>1.0527361064891845</v>
      </c>
      <c r="CN24" s="258">
        <f t="shared" si="8"/>
        <v>1.0499354409317803</v>
      </c>
      <c r="CO24" s="258">
        <f t="shared" si="8"/>
        <v>1.047134775374376</v>
      </c>
      <c r="CP24" s="258">
        <f t="shared" si="8"/>
        <v>1.0590376039933442</v>
      </c>
      <c r="CQ24" s="258">
        <f t="shared" si="8"/>
        <v>1.0590376039933442</v>
      </c>
      <c r="CR24" s="258">
        <f t="shared" si="8"/>
        <v>1.0590376039933442</v>
      </c>
      <c r="CS24" s="258">
        <f t="shared" si="8"/>
        <v>1.0527361064891845</v>
      </c>
      <c r="CT24" s="258">
        <f t="shared" si="8"/>
        <v>1.0527361064891845</v>
      </c>
      <c r="CU24" s="258">
        <f t="shared" si="8"/>
        <v>1.0527361064891845</v>
      </c>
      <c r="CV24" s="258">
        <f t="shared" si="8"/>
        <v>1.0751414309484191</v>
      </c>
      <c r="CW24" s="258">
        <f t="shared" si="8"/>
        <v>1.1164512479201329</v>
      </c>
      <c r="CX24" s="258">
        <f t="shared" si="8"/>
        <v>1.1164512479201329</v>
      </c>
      <c r="CY24" s="258">
        <f t="shared" si="8"/>
        <v>1.1227527454242927</v>
      </c>
      <c r="CZ24" s="258">
        <f t="shared" si="8"/>
        <v>1.1227527454242927</v>
      </c>
      <c r="DA24" s="258">
        <f t="shared" si="8"/>
        <v>1.1227527454242927</v>
      </c>
      <c r="DB24" s="258">
        <f t="shared" si="8"/>
        <v>1.1227527454242927</v>
      </c>
      <c r="DC24" s="258">
        <f t="shared" si="8"/>
        <v>1.1059487520798668</v>
      </c>
      <c r="DD24" s="258">
        <f t="shared" si="8"/>
        <v>1.0611381031613976</v>
      </c>
      <c r="DE24" s="258">
        <f t="shared" si="8"/>
        <v>1.0611381031613976</v>
      </c>
      <c r="DF24" s="258">
        <f t="shared" si="8"/>
        <v>1.0464346089850249</v>
      </c>
      <c r="DG24" s="258">
        <f t="shared" si="8"/>
        <v>1.0394329450915141</v>
      </c>
      <c r="DH24" s="258">
        <f t="shared" si="8"/>
        <v>1.0394329450915141</v>
      </c>
      <c r="DI24" s="258">
        <f t="shared" si="8"/>
        <v>1.0429337770382694</v>
      </c>
      <c r="DJ24" s="258">
        <f t="shared" si="8"/>
        <v>1.0541364392678867</v>
      </c>
      <c r="DK24" s="258">
        <f t="shared" si="8"/>
        <v>1.0555367720465889</v>
      </c>
      <c r="DL24" s="258">
        <f t="shared" si="8"/>
        <v>1.0597377703826953</v>
      </c>
      <c r="DM24" s="258">
        <f t="shared" si="8"/>
        <v>1.0639387687188018</v>
      </c>
      <c r="DN24" s="258">
        <f t="shared" si="8"/>
        <v>1.0534362728785358</v>
      </c>
      <c r="DO24" s="258">
        <f t="shared" si="8"/>
        <v>1.0569371048252911</v>
      </c>
      <c r="DP24" s="258">
        <f t="shared" si="8"/>
        <v>1.0569371048252911</v>
      </c>
      <c r="DQ24" s="258">
        <f t="shared" si="8"/>
        <v>1.0569371048252911</v>
      </c>
      <c r="DR24" s="258">
        <f t="shared" si="8"/>
        <v>1.0569371048252911</v>
      </c>
      <c r="DS24" s="258">
        <f t="shared" si="8"/>
        <v>1.0604379367720465</v>
      </c>
      <c r="DT24" s="258">
        <f t="shared" si="8"/>
        <v>0.48</v>
      </c>
      <c r="DU24" s="258">
        <f t="shared" si="8"/>
        <v>0.48</v>
      </c>
      <c r="DV24" s="258">
        <f t="shared" si="8"/>
        <v>0.48</v>
      </c>
      <c r="DW24" s="258">
        <f t="shared" si="8"/>
        <v>0.48</v>
      </c>
      <c r="DX24" s="258">
        <f t="shared" si="8"/>
        <v>0.48</v>
      </c>
      <c r="DY24" s="258">
        <f t="shared" si="8"/>
        <v>0.48</v>
      </c>
      <c r="DZ24" s="258">
        <f t="shared" si="8"/>
        <v>0.48</v>
      </c>
      <c r="EA24" s="258">
        <f t="shared" si="8"/>
        <v>0.48</v>
      </c>
      <c r="EB24" s="258">
        <f t="shared" si="8"/>
        <v>0.48</v>
      </c>
      <c r="EC24" s="258">
        <f t="shared" si="8"/>
        <v>0.48</v>
      </c>
      <c r="ED24" s="258">
        <f t="shared" si="8"/>
        <v>0.48</v>
      </c>
      <c r="EE24" s="258">
        <f t="shared" si="8"/>
        <v>0.48</v>
      </c>
      <c r="EF24" s="258">
        <f t="shared" si="8"/>
        <v>0.48</v>
      </c>
      <c r="EG24" s="258">
        <f t="shared" si="8"/>
        <v>0.48</v>
      </c>
      <c r="EH24" s="258">
        <f t="shared" si="8"/>
        <v>0.48</v>
      </c>
      <c r="EI24" s="258">
        <f t="shared" si="8"/>
        <v>0.48</v>
      </c>
      <c r="EJ24" s="258">
        <f t="shared" si="8"/>
        <v>0.48</v>
      </c>
      <c r="EK24" s="258">
        <f t="shared" si="8"/>
        <v>0.48</v>
      </c>
      <c r="EL24" s="258">
        <f t="shared" si="8"/>
        <v>0.48</v>
      </c>
      <c r="EM24" s="258">
        <f t="shared" si="8"/>
        <v>0.48</v>
      </c>
      <c r="EN24" s="258">
        <f t="shared" si="8"/>
        <v>0.48</v>
      </c>
      <c r="EO24" s="258">
        <f t="shared" si="8"/>
        <v>0.48</v>
      </c>
      <c r="EP24" s="258">
        <f t="shared" si="8"/>
        <v>0.48</v>
      </c>
    </row>
  </sheetData>
  <pageMargins left="0.7" right="0.7" top="0.75" bottom="0.75" header="0.3" footer="0.3"/>
  <drawing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ED26"/>
  <sheetViews>
    <sheetView workbookViewId="0">
      <pane xSplit="11" ySplit="7" topLeftCell="AH14" activePane="bottomRight" state="frozen"/>
      <selection pane="topRight" activeCell="L1" sqref="L1"/>
      <selection pane="bottomLeft" activeCell="A7" sqref="A7"/>
      <selection pane="bottomRight" activeCell="AQ20" sqref="AQ20"/>
    </sheetView>
  </sheetViews>
  <sheetFormatPr baseColWidth="10" defaultColWidth="22.6640625" defaultRowHeight="12"/>
  <cols>
    <col min="1" max="1" width="13.83203125" style="60" bestFit="1" customWidth="1"/>
    <col min="2" max="2" width="11.33203125" style="60" bestFit="1" customWidth="1"/>
    <col min="3" max="3" width="4.83203125" style="60" bestFit="1" customWidth="1"/>
    <col min="4" max="4" width="12.33203125" style="60" bestFit="1" customWidth="1"/>
    <col min="5" max="5" width="13.5" style="60" bestFit="1" customWidth="1"/>
    <col min="6" max="6" width="6" style="60" bestFit="1" customWidth="1"/>
    <col min="7" max="7" width="4.1640625" style="60" bestFit="1" customWidth="1"/>
    <col min="8" max="8" width="22.83203125" style="60" bestFit="1" customWidth="1"/>
    <col min="9" max="9" width="5.1640625" style="60" bestFit="1" customWidth="1"/>
    <col min="10" max="10" width="5.5" style="60" bestFit="1" customWidth="1"/>
    <col min="11" max="11" width="5.6640625" style="60" bestFit="1" customWidth="1"/>
    <col min="12" max="12" width="5.33203125" style="60" bestFit="1" customWidth="1"/>
    <col min="13" max="13" width="5.83203125" style="60" bestFit="1" customWidth="1"/>
    <col min="14" max="14" width="5.1640625" style="60" bestFit="1" customWidth="1"/>
    <col min="15" max="15" width="4.6640625" style="60" bestFit="1" customWidth="1"/>
    <col min="16" max="18" width="5.5" style="60" bestFit="1" customWidth="1"/>
    <col min="19" max="19" width="5.6640625" style="60" bestFit="1" customWidth="1"/>
    <col min="20" max="20" width="5.5" style="60" bestFit="1" customWidth="1"/>
    <col min="21" max="21" width="5.1640625" style="60" bestFit="1" customWidth="1"/>
    <col min="22" max="22" width="5.5" style="60" bestFit="1" customWidth="1"/>
    <col min="23" max="23" width="5.6640625" style="60" bestFit="1" customWidth="1"/>
    <col min="24" max="24" width="5.33203125" style="60" bestFit="1" customWidth="1"/>
    <col min="25" max="25" width="5.83203125" style="60" bestFit="1" customWidth="1"/>
    <col min="26" max="26" width="5.1640625" style="60" bestFit="1" customWidth="1"/>
    <col min="27" max="27" width="4.6640625" style="60" bestFit="1" customWidth="1"/>
    <col min="28" max="30" width="5.5" style="60" bestFit="1" customWidth="1"/>
    <col min="31" max="31" width="5.6640625" style="60" bestFit="1" customWidth="1"/>
    <col min="32" max="32" width="5.5" style="60" bestFit="1" customWidth="1"/>
    <col min="33" max="33" width="5.1640625" style="60" bestFit="1" customWidth="1"/>
    <col min="34" max="34" width="5.5" style="60" bestFit="1" customWidth="1"/>
    <col min="35" max="35" width="5.6640625" style="60" bestFit="1" customWidth="1"/>
    <col min="36" max="36" width="5.33203125" style="60" bestFit="1" customWidth="1"/>
    <col min="37" max="37" width="5.83203125" style="60" bestFit="1" customWidth="1"/>
    <col min="38" max="38" width="5.1640625" style="60" bestFit="1" customWidth="1"/>
    <col min="39" max="39" width="4.6640625" style="60" bestFit="1" customWidth="1"/>
    <col min="40" max="42" width="5.5" style="60" bestFit="1" customWidth="1"/>
    <col min="43" max="43" width="5.6640625" style="60" bestFit="1" customWidth="1"/>
    <col min="44" max="44" width="5.5" style="60" bestFit="1" customWidth="1"/>
    <col min="45" max="45" width="5.1640625" style="60" bestFit="1" customWidth="1"/>
    <col min="46" max="46" width="5.5" style="60" bestFit="1" customWidth="1"/>
    <col min="47" max="47" width="5.6640625" style="60" bestFit="1" customWidth="1"/>
    <col min="48" max="48" width="5.33203125" style="60" bestFit="1" customWidth="1"/>
    <col min="49" max="49" width="5.83203125" style="60" bestFit="1" customWidth="1"/>
    <col min="50" max="50" width="5.1640625" style="60" bestFit="1" customWidth="1"/>
    <col min="51" max="51" width="4.6640625" style="60" bestFit="1" customWidth="1"/>
    <col min="52" max="54" width="7" style="60" bestFit="1" customWidth="1"/>
    <col min="55" max="56" width="5.5" style="60" bestFit="1" customWidth="1"/>
    <col min="57" max="58" width="5.83203125" style="60" bestFit="1" customWidth="1"/>
    <col min="59" max="63" width="5.6640625" style="60" bestFit="1" customWidth="1"/>
    <col min="64" max="64" width="6.5" style="60" bestFit="1" customWidth="1"/>
    <col min="65" max="70" width="5.6640625" style="60" bestFit="1" customWidth="1"/>
    <col min="71" max="74" width="5.5" style="60" bestFit="1" customWidth="1"/>
    <col min="75" max="78" width="5.1640625" style="60" bestFit="1" customWidth="1"/>
    <col min="79" max="82" width="5.5" style="60" bestFit="1" customWidth="1"/>
    <col min="83" max="83" width="6.1640625" style="60" bestFit="1" customWidth="1"/>
    <col min="84" max="86" width="5.6640625" style="60" bestFit="1" customWidth="1"/>
    <col min="87" max="90" width="5.5" style="60" bestFit="1" customWidth="1"/>
    <col min="91" max="95" width="6.33203125" style="60" bestFit="1" customWidth="1"/>
    <col min="96" max="99" width="6.1640625" style="60" bestFit="1" customWidth="1"/>
    <col min="100" max="102" width="5.1640625" style="60" bestFit="1" customWidth="1"/>
    <col min="103" max="103" width="5.5" style="60" bestFit="1" customWidth="1"/>
    <col min="104" max="107" width="5.83203125" style="60" bestFit="1" customWidth="1"/>
    <col min="108" max="115" width="5.6640625" style="60" bestFit="1" customWidth="1"/>
    <col min="116" max="119" width="6.1640625" style="60" bestFit="1" customWidth="1"/>
    <col min="120" max="123" width="5.83203125" style="60" bestFit="1" customWidth="1"/>
    <col min="124" max="134" width="5.1640625" style="60" bestFit="1" customWidth="1"/>
    <col min="135" max="16384" width="22.6640625" style="60"/>
  </cols>
  <sheetData>
    <row r="1" spans="1:134" ht="13">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row>
    <row r="2" spans="1:134">
      <c r="A2" s="59"/>
      <c r="B2" s="59"/>
      <c r="C2" s="59"/>
      <c r="D2" s="98"/>
      <c r="E2" s="98"/>
      <c r="F2" s="59"/>
      <c r="H2" s="99"/>
      <c r="I2" s="99"/>
      <c r="J2" s="99"/>
      <c r="K2" s="99"/>
      <c r="L2" s="99"/>
      <c r="M2" s="99"/>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99"/>
      <c r="AP2" s="99"/>
      <c r="AQ2" s="99"/>
      <c r="AR2" s="99"/>
      <c r="AS2" s="99"/>
      <c r="AT2" s="99"/>
      <c r="AU2" s="99"/>
      <c r="AV2" s="99"/>
      <c r="AW2" s="99"/>
      <c r="AX2" s="99"/>
      <c r="AY2" s="99"/>
      <c r="AZ2" s="99"/>
      <c r="BA2" s="99"/>
      <c r="BB2" s="99"/>
      <c r="BC2" s="99"/>
      <c r="BD2" s="99"/>
      <c r="BE2" s="99"/>
      <c r="BF2" s="99"/>
      <c r="BG2" s="99"/>
      <c r="BH2" s="99"/>
      <c r="BI2" s="99"/>
      <c r="BJ2" s="99"/>
      <c r="BK2" s="99"/>
      <c r="BL2" s="99"/>
      <c r="BM2" s="99"/>
      <c r="BN2" s="99"/>
      <c r="BO2" s="99"/>
      <c r="BP2" s="99"/>
      <c r="BQ2" s="99"/>
      <c r="BR2" s="99"/>
      <c r="BS2" s="99"/>
      <c r="BT2" s="99"/>
      <c r="BU2" s="99"/>
      <c r="BV2" s="99"/>
      <c r="BW2" s="99"/>
      <c r="BX2" s="99"/>
      <c r="BY2" s="99"/>
      <c r="BZ2" s="99"/>
      <c r="CA2" s="99"/>
      <c r="CB2" s="99"/>
      <c r="CC2" s="99"/>
      <c r="CD2" s="99"/>
      <c r="CE2" s="99"/>
      <c r="CF2" s="99"/>
      <c r="CG2" s="99"/>
      <c r="CH2" s="99"/>
      <c r="CI2" s="99"/>
      <c r="CJ2" s="99"/>
      <c r="CK2" s="99"/>
      <c r="CL2" s="99"/>
      <c r="CM2" s="99"/>
      <c r="CN2" s="99"/>
    </row>
    <row r="3" spans="1:134" ht="13">
      <c r="A3" s="107" t="s">
        <v>342</v>
      </c>
      <c r="B3" s="100"/>
      <c r="C3" s="101"/>
      <c r="D3" s="282">
        <v>368.37</v>
      </c>
      <c r="K3" s="102"/>
      <c r="M3" s="102"/>
    </row>
    <row r="4" spans="1:134">
      <c r="A4" s="36"/>
      <c r="B4" s="64"/>
      <c r="D4" s="100"/>
      <c r="E4" s="64"/>
      <c r="F4" s="103"/>
    </row>
    <row r="5" spans="1:134">
      <c r="A5" s="64"/>
      <c r="B5" s="64"/>
      <c r="D5" s="64"/>
      <c r="E5" s="64"/>
      <c r="H5" s="60" t="s">
        <v>387</v>
      </c>
    </row>
    <row r="6" spans="1:134">
      <c r="A6" s="74"/>
      <c r="B6" s="74"/>
    </row>
    <row r="7" spans="1:134">
      <c r="A7" s="59"/>
      <c r="B7" s="59"/>
      <c r="C7" s="59"/>
      <c r="D7" s="98"/>
      <c r="E7" s="98"/>
      <c r="F7" s="59"/>
      <c r="H7" s="59" t="s">
        <v>416</v>
      </c>
      <c r="I7" s="59">
        <v>43831</v>
      </c>
      <c r="J7" s="59">
        <v>43862</v>
      </c>
      <c r="K7" s="59">
        <v>43891</v>
      </c>
      <c r="L7" s="59">
        <v>43922</v>
      </c>
      <c r="M7" s="59">
        <v>43952</v>
      </c>
      <c r="N7" s="59">
        <v>43983</v>
      </c>
      <c r="O7" s="59">
        <v>44013</v>
      </c>
      <c r="P7" s="59">
        <v>44044</v>
      </c>
      <c r="Q7" s="59">
        <v>44075</v>
      </c>
      <c r="R7" s="59">
        <v>44105</v>
      </c>
      <c r="S7" s="59">
        <v>44136</v>
      </c>
      <c r="T7" s="59">
        <v>44166</v>
      </c>
      <c r="U7" s="59">
        <v>44197</v>
      </c>
      <c r="V7" s="59">
        <v>44228</v>
      </c>
      <c r="W7" s="59">
        <v>44256</v>
      </c>
      <c r="X7" s="59">
        <v>44287</v>
      </c>
      <c r="Y7" s="59">
        <v>44317</v>
      </c>
      <c r="Z7" s="59">
        <v>44348</v>
      </c>
      <c r="AA7" s="59">
        <v>44378</v>
      </c>
      <c r="AB7" s="59">
        <v>44409</v>
      </c>
      <c r="AC7" s="59">
        <v>44440</v>
      </c>
      <c r="AD7" s="59">
        <v>44470</v>
      </c>
      <c r="AE7" s="59">
        <v>44501</v>
      </c>
      <c r="AF7" s="59">
        <v>44531</v>
      </c>
      <c r="AG7" s="59">
        <v>44562</v>
      </c>
      <c r="AH7" s="59">
        <v>44593</v>
      </c>
      <c r="AI7" s="59">
        <v>44621</v>
      </c>
      <c r="AJ7" s="59">
        <v>44652</v>
      </c>
      <c r="AK7" s="59">
        <v>44682</v>
      </c>
      <c r="AL7" s="59">
        <v>44713</v>
      </c>
      <c r="AM7" s="59">
        <v>44743</v>
      </c>
      <c r="AN7" s="59">
        <v>44774</v>
      </c>
      <c r="AO7" s="59">
        <v>44805</v>
      </c>
      <c r="AP7" s="59">
        <v>44835</v>
      </c>
      <c r="AQ7" s="59">
        <v>44866</v>
      </c>
      <c r="AR7" s="59">
        <v>44896</v>
      </c>
      <c r="AS7" s="59">
        <v>44927</v>
      </c>
      <c r="AT7" s="59">
        <v>44958</v>
      </c>
      <c r="AU7" s="59">
        <v>44986</v>
      </c>
      <c r="AV7" s="59">
        <v>45017</v>
      </c>
      <c r="AW7" s="59">
        <v>45047</v>
      </c>
      <c r="AX7" s="59">
        <v>45078</v>
      </c>
      <c r="AY7" s="59">
        <v>45108</v>
      </c>
      <c r="AZ7" s="59" t="s">
        <v>530</v>
      </c>
      <c r="BA7" s="59" t="s">
        <v>531</v>
      </c>
      <c r="BB7" s="59" t="s">
        <v>532</v>
      </c>
      <c r="BC7" s="59">
        <v>37104</v>
      </c>
      <c r="BD7" s="59">
        <v>37469</v>
      </c>
      <c r="BE7" s="59" t="s">
        <v>168</v>
      </c>
      <c r="BF7" s="59" t="s">
        <v>169</v>
      </c>
      <c r="BG7" s="59" t="s">
        <v>195</v>
      </c>
      <c r="BH7" s="59" t="s">
        <v>196</v>
      </c>
      <c r="BI7" s="59" t="s">
        <v>197</v>
      </c>
      <c r="BJ7" s="59" t="s">
        <v>198</v>
      </c>
      <c r="BK7" s="59" t="s">
        <v>199</v>
      </c>
      <c r="BL7" s="59" t="s">
        <v>200</v>
      </c>
      <c r="BM7" s="59" t="s">
        <v>201</v>
      </c>
      <c r="BN7" s="59" t="s">
        <v>202</v>
      </c>
      <c r="BO7" s="59">
        <v>37196</v>
      </c>
      <c r="BP7" s="59">
        <v>37561</v>
      </c>
      <c r="BQ7" s="59">
        <v>37926</v>
      </c>
      <c r="BR7" s="59">
        <v>38292</v>
      </c>
      <c r="BS7" s="59">
        <v>37226</v>
      </c>
      <c r="BT7" s="59">
        <v>37591</v>
      </c>
      <c r="BU7" s="59">
        <v>37956</v>
      </c>
      <c r="BV7" s="59">
        <v>38322</v>
      </c>
      <c r="BW7" s="59">
        <v>36892</v>
      </c>
      <c r="BX7" s="59">
        <v>37257</v>
      </c>
      <c r="BY7" s="59">
        <v>37622</v>
      </c>
      <c r="BZ7" s="59">
        <v>37987</v>
      </c>
      <c r="CA7" s="59">
        <v>36923</v>
      </c>
      <c r="CB7" s="59">
        <v>37288</v>
      </c>
      <c r="CC7" s="59">
        <v>37653</v>
      </c>
      <c r="CD7" s="59">
        <v>38018</v>
      </c>
      <c r="CE7" s="59" t="str">
        <f>Sheet8!A15</f>
        <v>Mar-w1</v>
      </c>
      <c r="CF7" s="59">
        <v>37316</v>
      </c>
      <c r="CG7" s="59">
        <v>37681</v>
      </c>
      <c r="CH7" s="59">
        <v>38047</v>
      </c>
      <c r="CI7" s="59" t="str">
        <f>Sheet8!E15</f>
        <v>Apr-w1</v>
      </c>
      <c r="CJ7" s="59" t="str">
        <f>Sheet8!F15</f>
        <v>Apr-w2</v>
      </c>
      <c r="CK7" s="59" t="str">
        <f>Sheet8!G15</f>
        <v>Apr-w3</v>
      </c>
      <c r="CL7" s="59" t="str">
        <f>Sheet8!H15</f>
        <v>Apr-w4</v>
      </c>
      <c r="CM7" s="59" t="str">
        <f>Sheet8!I15</f>
        <v>May-w1</v>
      </c>
      <c r="CN7" s="59" t="str">
        <f>Sheet8!J15</f>
        <v>May-w2</v>
      </c>
      <c r="CO7" s="59" t="str">
        <f>Sheet8!K15</f>
        <v>May-w3</v>
      </c>
      <c r="CP7" s="59" t="str">
        <f>Sheet8!L15</f>
        <v>May-w4</v>
      </c>
      <c r="CQ7" s="59" t="str">
        <f>Sheet8!M15</f>
        <v>May-w5</v>
      </c>
      <c r="CR7" s="59" t="str">
        <f>Sheet8!N15</f>
        <v>june-w1</v>
      </c>
      <c r="CS7" s="59" t="str">
        <f>Sheet8!O15</f>
        <v>june-w2</v>
      </c>
      <c r="CT7" s="59" t="str">
        <f>Sheet8!P15</f>
        <v>june-w3</v>
      </c>
      <c r="CU7" s="59" t="str">
        <f>Sheet8!Q15</f>
        <v>june-w4</v>
      </c>
      <c r="CV7" s="59" t="str">
        <f>Sheet8!R15</f>
        <v>Jul-w1</v>
      </c>
      <c r="CW7" s="59" t="str">
        <f>Sheet8!S15</f>
        <v>Jul-w2</v>
      </c>
      <c r="CX7" s="59" t="str">
        <f>Sheet8!T15</f>
        <v>Jul-w3</v>
      </c>
      <c r="CY7" s="59" t="str">
        <f>Sheet8!U15</f>
        <v>Jul-w4</v>
      </c>
      <c r="CZ7" s="59" t="str">
        <f>Sheet8!V15</f>
        <v>Aug-w1</v>
      </c>
      <c r="DA7" s="59" t="str">
        <f>Sheet8!W15</f>
        <v>Aug-w2</v>
      </c>
      <c r="DB7" s="59" t="str">
        <f>Sheet8!X15</f>
        <v>Aug-w3</v>
      </c>
      <c r="DC7" s="59" t="str">
        <f>Sheet8!Y15</f>
        <v>Aug-w4</v>
      </c>
      <c r="DD7" s="59" t="str">
        <f>Sheet8!Z15</f>
        <v>Sep-w1</v>
      </c>
      <c r="DE7" s="59" t="str">
        <f>Sheet8!AA15</f>
        <v>Sep-w2</v>
      </c>
      <c r="DF7" s="59" t="str">
        <f>Sheet8!AB15</f>
        <v>Sep-w3</v>
      </c>
      <c r="DG7" s="59" t="str">
        <f>Sheet8!AC15</f>
        <v>Sep-w4</v>
      </c>
      <c r="DH7" s="59" t="str">
        <f>Sheet8!AD15</f>
        <v>Oct-w1</v>
      </c>
      <c r="DI7" s="59" t="str">
        <f>Sheet8!AE15</f>
        <v>Oct-w2</v>
      </c>
      <c r="DJ7" s="59" t="str">
        <f>Sheet8!AF15</f>
        <v>Oct-w3</v>
      </c>
      <c r="DK7" s="59" t="str">
        <f>Sheet8!AG15</f>
        <v>Oct-w4</v>
      </c>
      <c r="DL7" s="59" t="str">
        <f>Sheet8!AH15</f>
        <v>Nov-w1</v>
      </c>
      <c r="DM7" s="59" t="str">
        <f>Sheet8!AI15</f>
        <v>Nov-w2</v>
      </c>
      <c r="DN7" s="59" t="str">
        <f>Sheet8!AJ15</f>
        <v>Nov-w3</v>
      </c>
      <c r="DO7" s="59" t="str">
        <f>Sheet8!AK15</f>
        <v>Nov-w4</v>
      </c>
      <c r="DP7" s="59" t="str">
        <f>Sheet8!AL15</f>
        <v>Dec-w1</v>
      </c>
      <c r="DQ7" s="59" t="str">
        <f>Sheet8!AM15</f>
        <v>Dec-w2</v>
      </c>
      <c r="DR7" s="59" t="str">
        <f>Sheet8!AN15</f>
        <v>Dec-w3</v>
      </c>
      <c r="DS7" s="59" t="str">
        <f>Sheet8!AO15</f>
        <v>Dec-w4</v>
      </c>
      <c r="DT7" s="59">
        <f>Sheet8!AP15</f>
        <v>0</v>
      </c>
      <c r="DU7" s="59">
        <f>Sheet8!AQ15</f>
        <v>0</v>
      </c>
      <c r="DV7" s="59">
        <f>Sheet8!AR15</f>
        <v>0</v>
      </c>
      <c r="DW7" s="59">
        <f>Sheet8!AS15</f>
        <v>0</v>
      </c>
      <c r="DX7" s="59">
        <f>Sheet8!AT15</f>
        <v>0</v>
      </c>
      <c r="DY7" s="59">
        <f>Sheet8!AU15</f>
        <v>0</v>
      </c>
      <c r="DZ7" s="59">
        <f>Sheet8!AV15</f>
        <v>0</v>
      </c>
      <c r="EA7" s="59">
        <f>Sheet8!AW15</f>
        <v>0</v>
      </c>
      <c r="EB7" s="59">
        <f>Sheet8!AX15</f>
        <v>0</v>
      </c>
      <c r="EC7" s="59">
        <f>Sheet8!AY15</f>
        <v>0</v>
      </c>
      <c r="ED7" s="59">
        <f>Sheet8!AZ15</f>
        <v>0</v>
      </c>
    </row>
    <row r="8" spans="1:134">
      <c r="E8" s="178" t="s">
        <v>152</v>
      </c>
      <c r="H8" s="335" t="s">
        <v>353</v>
      </c>
      <c r="I8" s="74">
        <f>VLOOKUP($H$8&amp;$F$1,'Input RM sheet'!$A:$BD,H1,0)</f>
        <v>2.8627854844295673</v>
      </c>
      <c r="J8" s="74">
        <f>VLOOKUP($H$8&amp;$F$1,'Input RM sheet'!$A:$BD,I1,0)</f>
        <v>3.7243403415287331</v>
      </c>
      <c r="K8" s="74">
        <f>VLOOKUP($H$8&amp;$F$1,'Input RM sheet'!$A:$DD,J1,0)</f>
        <v>3.1660055738988575</v>
      </c>
      <c r="L8" s="74">
        <f>VLOOKUP($H$8&amp;$F$1,'Input RM sheet'!$A:$DD,K1,0)</f>
        <v>3.3477495025243735</v>
      </c>
      <c r="M8" s="74">
        <f>VLOOKUP($H$8&amp;$F$1,'Input RM sheet'!$A:$DD,L1,0)</f>
        <v>3.7160008223748688</v>
      </c>
      <c r="N8" s="74">
        <f>VLOOKUP($H$8&amp;$F$1,'Input RM sheet'!$A:$DD,M1,0)</f>
        <v>5.2571362993830579</v>
      </c>
      <c r="O8" s="74">
        <f>VLOOKUP($H$8&amp;$F$1,'Input RM sheet'!$A:$DD,N1,0)</f>
        <v>5.55490616507472</v>
      </c>
      <c r="P8" s="74">
        <f>VLOOKUP($H$8&amp;$F$1,'Input RM sheet'!$A:$DD,O1,0)</f>
        <v>4.4700350705748697</v>
      </c>
      <c r="Q8" s="74">
        <f>VLOOKUP($H$8&amp;$F$1,'Input RM sheet'!$A:$DD,P1,0)</f>
        <v>5.3882599640373501</v>
      </c>
      <c r="R8" s="74">
        <f>VLOOKUP($H$8&amp;$F$1,'Input RM sheet'!$A:$DD,Q1,0)</f>
        <v>5.1872582968034591</v>
      </c>
      <c r="S8" s="74">
        <f>VLOOKUP($H$8&amp;$F$1,'Input RM sheet'!$A:$DD,R1,0)</f>
        <v>5.1023288239643136</v>
      </c>
      <c r="T8" s="74">
        <f>VLOOKUP($H$8&amp;$F$1,'Input RM sheet'!$A:$DD,S1,0)</f>
        <v>3.9348702374620164</v>
      </c>
      <c r="U8" s="74">
        <f>VLOOKUP($H$8&amp;$F$1,'Input RM sheet'!$A:$DD,T1,0)</f>
        <v>4.3281311935166693</v>
      </c>
      <c r="V8" s="74">
        <f>VLOOKUP($H$8&amp;$F$1,'Input RM sheet'!$A:$DD,U1,0)</f>
        <v>5.1522939852915375</v>
      </c>
      <c r="W8" s="74">
        <f>VLOOKUP($H$8&amp;$F$1,'Input RM sheet'!$A:$DD,V1,0)</f>
        <v>5.0207664125994862</v>
      </c>
      <c r="X8" s="74">
        <f>VLOOKUP($H$8&amp;$F$1,'Input RM sheet'!$A:$DD,W1,0)</f>
        <v>2.6204192617600341</v>
      </c>
      <c r="Y8" s="74">
        <f>VLOOKUP($H$8&amp;$F$1,'Input RM sheet'!$A:$DD,X1,0)</f>
        <v>2.3528105118659663</v>
      </c>
      <c r="Z8" s="74">
        <f>VLOOKUP($H$8&amp;$F$1,'Input RM sheet'!$A:$DD,Y1,0)</f>
        <v>5.0451506539514535</v>
      </c>
      <c r="AA8" s="74">
        <f>VLOOKUP($H$8&amp;$F$1,'Input RM sheet'!$A:$DD,Z1,0)</f>
        <v>4.430199976361239</v>
      </c>
      <c r="AB8" s="74">
        <f>VLOOKUP($H$8&amp;$F$1,'Input RM sheet'!$A:$DD,AA1,0)</f>
        <v>4.8509190287250084</v>
      </c>
      <c r="AC8" s="74">
        <f>VLOOKUP($H$8&amp;$F$1,'Input RM sheet'!$A:$DD,AB1,0)</f>
        <v>4.995171797842735</v>
      </c>
      <c r="AD8" s="74">
        <f>VLOOKUP($H$8&amp;$F$1,'Input RM sheet'!$A:$DD,AC1,0)</f>
        <v>5.7852703717482852</v>
      </c>
      <c r="AE8" s="74">
        <f>VLOOKUP($H$8&amp;$F$1,'Input RM sheet'!$A:$DD,AD1,0)</f>
        <v>6.1304146323904476</v>
      </c>
      <c r="AF8" s="74">
        <f>VLOOKUP($H$8&amp;$F$1,'Input RM sheet'!$A:$DD,AE1,0)</f>
        <v>5.9848873474841859</v>
      </c>
      <c r="AG8" s="74">
        <f>VLOOKUP($H$8&amp;$F$1,'Input RM sheet'!$A:$DD,AF1,0)</f>
        <v>5.5785180274887693</v>
      </c>
      <c r="AH8" s="74">
        <f>VLOOKUP($H$8&amp;$F$1,'Input RM sheet'!$A:$DD,AG1,0)</f>
        <v>4.6914507762823341</v>
      </c>
      <c r="AI8" s="74">
        <f>VLOOKUP($H$8&amp;$F$1,'Input RM sheet'!$A:$DD,AH1,0)</f>
        <v>5.0112507070089167</v>
      </c>
      <c r="AJ8" s="74">
        <f>VLOOKUP($H$8&amp;$F$1,'Input RM sheet'!$A:$DD,AI1,0)</f>
        <v>4.7839904311747974</v>
      </c>
      <c r="AK8" s="74">
        <f>VLOOKUP($H$8&amp;$F$1,'Input RM sheet'!$A:$DD,AJ1,0)</f>
        <v>4.7551530101443857</v>
      </c>
      <c r="AL8" s="74">
        <f>VLOOKUP($H$8&amp;$F$1,'Input RM sheet'!$A:$DD,AK1,0)</f>
        <v>4.6291578247589387</v>
      </c>
      <c r="AM8" s="74">
        <f>VLOOKUP($H$8&amp;$F$1,'Input RM sheet'!$A:$DD,AL1,0)</f>
        <v>4.8453021931212428</v>
      </c>
      <c r="AN8" s="74">
        <f>VLOOKUP($H$8&amp;$F$1,'Input RM sheet'!$A:$DD,AM1,0)</f>
        <v>4.5605089867384949</v>
      </c>
      <c r="AO8" s="74">
        <f>VLOOKUP($H$8&amp;$F$1,'Input RM sheet'!$A:$DD,AN1,0)</f>
        <v>5.2420267853473499</v>
      </c>
      <c r="AP8" s="74">
        <f>VLOOKUP($H$8&amp;$F$1,'Input RM sheet'!$A:$DD,AO1,0)</f>
        <v>5.41575072490369</v>
      </c>
      <c r="AQ8" s="74">
        <f>VLOOKUP($H$8&amp;$F$1,'Input RM sheet'!$A:$DD,AP1,0)</f>
        <v>5.4973399113152297</v>
      </c>
      <c r="AR8" s="74">
        <f>VLOOKUP($H$8&amp;$F$1,'Input RM sheet'!$A:$DD,AQ1,0)</f>
        <v>5.1225527764369323</v>
      </c>
      <c r="AS8" s="74">
        <f>VLOOKUP($H$8&amp;$F$1,'Input RM sheet'!$A:$DD,AR1,0)</f>
        <v>4.7716957827588482</v>
      </c>
      <c r="AT8" s="74">
        <f>VLOOKUP($H$8&amp;$F$1,'Input RM sheet'!$A:$DD,AS1,0)</f>
        <v>4.9760089391691382</v>
      </c>
      <c r="AU8" s="74">
        <f>VLOOKUP($H$8&amp;$F$1,'Input RM sheet'!$A:$DD,AT1,0)</f>
        <v>3.0271760203469542</v>
      </c>
      <c r="AV8" s="74">
        <f>VLOOKUP($H$8&amp;$F$1,'Input RM sheet'!$A:$DD,AU1,0)</f>
        <v>2.7668094503368179</v>
      </c>
      <c r="AW8" s="74">
        <f>VLOOKUP($H$8&amp;$F$1,'Input RM sheet'!$A:$DD,AV1,0)</f>
        <v>3.0626291272440778</v>
      </c>
      <c r="AX8" s="74">
        <f>VLOOKUP($H$8&amp;$F$1,'Input RM sheet'!$A:$DD,AW1,0)</f>
        <v>2.3606938367264467</v>
      </c>
      <c r="AY8" s="74">
        <f>VLOOKUP($H$8&amp;$F$1,'Input RM sheet'!$A:$DD,AX1,0)</f>
        <v>2.4039511159420295</v>
      </c>
      <c r="AZ8" s="74">
        <f>VLOOKUP($H$8&amp;$F$1,'Input RM sheet'!$A:$DD,AY1,0)</f>
        <v>2.4039511159420295</v>
      </c>
      <c r="BA8" s="74">
        <f>VLOOKUP($H$8&amp;$F$1,'Input RM sheet'!$A:$DD,AZ1,0)</f>
        <v>2.4039511159420295</v>
      </c>
      <c r="BB8" s="74">
        <f>VLOOKUP($H$8&amp;$F$1,'Input RM sheet'!$A:$DD,BA1,0)</f>
        <v>2.4039511159420295</v>
      </c>
      <c r="BC8" s="74">
        <f>VLOOKUP($H$8&amp;$F$1,'Input RM sheet'!$A:$DD,BB1,0)</f>
        <v>1.7961832403800773</v>
      </c>
      <c r="BD8" s="74">
        <f>VLOOKUP($H$8&amp;$F$1,'Input RM sheet'!$A:$DD,BC1,0)</f>
        <v>1.7961832403800773</v>
      </c>
      <c r="BE8" s="74">
        <f>VLOOKUP($H$8&amp;$F$1,'Input RM sheet'!$A:$DD,BD1,0)</f>
        <v>1.7961832403800773</v>
      </c>
      <c r="BF8" s="74">
        <f>VLOOKUP($H$8&amp;$F$1,'Input RM sheet'!$A:$DD,BE1,0)</f>
        <v>1.7961832403800773</v>
      </c>
      <c r="BG8" s="74">
        <f>VLOOKUP($H$8&amp;$F$1,'Input RM sheet'!$A:$DD,BF1,0)</f>
        <v>1.7314504735047291</v>
      </c>
      <c r="BH8" s="74">
        <f>VLOOKUP($H$8&amp;$F$1,'Input RM sheet'!$A:$DD,BG1,0)</f>
        <v>1.7314504735047291</v>
      </c>
      <c r="BI8" s="74">
        <f>VLOOKUP($H$8&amp;$F$1,'Input RM sheet'!$A:$DD,BH1,0)</f>
        <v>1.7314504735047291</v>
      </c>
      <c r="BJ8" s="74">
        <f>VLOOKUP($H$8&amp;$F$1,'Input RM sheet'!$A:$DD,BI1,0)</f>
        <v>1.7314504735047291</v>
      </c>
      <c r="BK8" s="74">
        <f>VLOOKUP($H$8&amp;$F$1,'Input RM sheet'!$A:$DD,BJ1,0)</f>
        <v>1.557256252499281</v>
      </c>
      <c r="BL8" s="74">
        <f>VLOOKUP($H$8&amp;$F$1,'Input RM sheet'!$A:$DD,BK1,0)</f>
        <v>1.557256252499281</v>
      </c>
      <c r="BM8" s="74">
        <f>VLOOKUP($H$8&amp;$F$1,'Input RM sheet'!$A:$DD,BL1,0)</f>
        <v>1.557256252499281</v>
      </c>
      <c r="BN8" s="74">
        <f>VLOOKUP($H$8&amp;$F$1,'Input RM sheet'!$A:$DD,BM1,0)</f>
        <v>1.557256252499281</v>
      </c>
      <c r="BO8" s="74">
        <f>VLOOKUP($H$8&amp;$F$1,'Input RM sheet'!$A:$DD,BN1,0)</f>
        <v>1.7170091121809423</v>
      </c>
      <c r="BP8" s="74">
        <f>VLOOKUP($H$8&amp;$F$1,'Input RM sheet'!$A:$DD,BO1,0)</f>
        <v>1.7170091121809423</v>
      </c>
      <c r="BQ8" s="74">
        <f>VLOOKUP($H$8&amp;$F$1,'Input RM sheet'!$A:$DD,BP1,0)</f>
        <v>1.7170091121809423</v>
      </c>
      <c r="BR8" s="74">
        <f>VLOOKUP($H$8&amp;$F$1,'Input RM sheet'!$A:$DD,BQ1,0)</f>
        <v>1.7170091121809423</v>
      </c>
      <c r="BS8" s="74">
        <f>VLOOKUP($H$8&amp;$F$1,'Input RM sheet'!$A:$DD,BR1,0)</f>
        <v>1.6929847056220133</v>
      </c>
      <c r="BT8" s="74">
        <f>VLOOKUP($H$8&amp;$F$1,'Input RM sheet'!$A:$DD,BS1,0)</f>
        <v>1.6929847056220133</v>
      </c>
      <c r="BU8" s="74">
        <f>VLOOKUP($H$8&amp;$F$1,'Input RM sheet'!$A:$DD,BT1,0)</f>
        <v>1.6929847056220133</v>
      </c>
      <c r="BV8" s="74">
        <f>VLOOKUP($H$8&amp;$F$1,'Input RM sheet'!$A:$DD,BU1,0)</f>
        <v>1.6929847056220133</v>
      </c>
      <c r="BW8" s="74">
        <f>VLOOKUP($H$8&amp;$F$1,'Input RM sheet'!$A:$DD,BV1,0)</f>
        <v>1.579885503370384</v>
      </c>
      <c r="BX8" s="74">
        <f>VLOOKUP($H$8&amp;$F$1,'Input RM sheet'!$A:$DD,BW1,0)</f>
        <v>1.579885503370384</v>
      </c>
      <c r="BY8" s="74">
        <f>VLOOKUP($H$8&amp;$F$1,'Input RM sheet'!$A:$DD,BX1,0)</f>
        <v>1.579885503370384</v>
      </c>
      <c r="BZ8" s="74">
        <f>VLOOKUP($H$8&amp;$F$1,'Input RM sheet'!$A:$DD,BY1,0)</f>
        <v>1.579885503370384</v>
      </c>
      <c r="CA8" s="74">
        <f>VLOOKUP($H$8&amp;$F$1,'Input RM sheet'!$A:$DD,BZ1,0)</f>
        <v>1.8120416380087372</v>
      </c>
      <c r="CB8" s="74">
        <f>VLOOKUP($H$8&amp;$F$1,'Input RM sheet'!$A:$DD,CA1,0)</f>
        <v>1.8120416380087372</v>
      </c>
      <c r="CC8" s="74">
        <f>VLOOKUP($H$8&amp;$F$1,'Input RM sheet'!$A:$DD,CB1,0)</f>
        <v>1.8120416380087372</v>
      </c>
      <c r="CD8" s="74">
        <f>VLOOKUP($H$8&amp;$F$1,'Input RM sheet'!$A:$DD,CC1,0)</f>
        <v>1.8120416380087372</v>
      </c>
      <c r="CE8" s="74">
        <f>VLOOKUP($H$8&amp;$F$1,'Input RM sheet'!$A:$DD,CD1,0)</f>
        <v>1.729195451680795</v>
      </c>
      <c r="CF8" s="74">
        <f>VLOOKUP($H$8&amp;$F$1,'Input RM sheet'!$A:$DD,CE1,0)</f>
        <v>1.729195451680795</v>
      </c>
      <c r="CG8" s="74">
        <f>VLOOKUP($H$8&amp;$F$1,'Input RM sheet'!$A:$DD,CF1,0)</f>
        <v>1.729195451680795</v>
      </c>
      <c r="CH8" s="74">
        <f>VLOOKUP($H$8&amp;$F$1,'Input RM sheet'!$A:$DD,CG1,0)</f>
        <v>1.729195451680795</v>
      </c>
      <c r="CI8" s="74">
        <f>VLOOKUP($H$8&amp;$F$1,'Input RM sheet'!$A:$DD,CH1,0)</f>
        <v>1.9360481200408612</v>
      </c>
      <c r="CJ8" s="74">
        <f>VLOOKUP($H$8&amp;$F$1,'Input RM sheet'!$A:$DD,CI1,0)</f>
        <v>1.9360481200408612</v>
      </c>
      <c r="CK8" s="74">
        <f>VLOOKUP($H$8&amp;$F$1,'Input RM sheet'!$A:$DD,CJ1,0)</f>
        <v>1.9360481200408612</v>
      </c>
      <c r="CL8" s="74">
        <f>VLOOKUP($H$8&amp;$F$1,'Input RM sheet'!$A:$DD,CK1,0)</f>
        <v>1.9360481200408612</v>
      </c>
      <c r="CM8" s="74">
        <f>VLOOKUP($H$8&amp;$F$1,'Input RM sheet'!$A:$DD,CL1,0)</f>
        <v>1.8501403955367477</v>
      </c>
      <c r="CN8" s="74">
        <f>VLOOKUP($H$8&amp;$F$1,'Input RM sheet'!$A:$DD,CM1,0)</f>
        <v>1.8501403955367477</v>
      </c>
      <c r="CO8" s="74">
        <f>VLOOKUP($H$8&amp;$F$1,'Input RM sheet'!$A:$DD,CN1,0)</f>
        <v>1.8501403955367477</v>
      </c>
      <c r="CP8" s="74">
        <f>VLOOKUP($H$8&amp;$F$1,'Input RM sheet'!$A:$DD,CO1,0)</f>
        <v>1.8501403955367477</v>
      </c>
      <c r="CQ8" s="74">
        <f>VLOOKUP($H$8&amp;$F$1,'Input RM sheet'!$A:$DD,CP1,0)</f>
        <v>1.8501403955367477</v>
      </c>
      <c r="CR8" s="74">
        <f>VLOOKUP($H$8&amp;$F$1,'Input RM sheet'!$A:$ZZ,CQ1,0)</f>
        <v>2.5543707860996321</v>
      </c>
      <c r="CS8" s="74">
        <f>VLOOKUP($H$8&amp;$F$1,'Input RM sheet'!$A:$ZZ,CR1,0)</f>
        <v>2.5543707860996321</v>
      </c>
      <c r="CT8" s="74">
        <f>VLOOKUP($H$8&amp;$F$1,'Input RM sheet'!$A:$ZZ,CS1,0)</f>
        <v>2.5543707860996321</v>
      </c>
      <c r="CU8" s="74">
        <f>VLOOKUP($H$8&amp;$F$1,'Input RM sheet'!$A:$ZZ,CT1,0)</f>
        <v>2.5543707860996321</v>
      </c>
      <c r="CV8" s="74">
        <f>VLOOKUP($H$8&amp;$F$1,'Input RM sheet'!$A:$ZZ,CU1,0)</f>
        <v>2.0022945126546388</v>
      </c>
      <c r="CW8" s="74">
        <f>VLOOKUP($H$8&amp;$F$1,'Input RM sheet'!$A:$ZZ,CV1,0)</f>
        <v>2.0022945126546388</v>
      </c>
      <c r="CX8" s="74">
        <f>VLOOKUP($H$8&amp;$F$1,'Input RM sheet'!$A:$ZZ,CW1,0)</f>
        <v>2.0022945126546388</v>
      </c>
      <c r="CY8" s="74">
        <f>VLOOKUP($H$8&amp;$F$1,'Input RM sheet'!$A:$ZZ,CX1,0)</f>
        <v>2.0022945126546388</v>
      </c>
      <c r="CZ8" s="74">
        <f>VLOOKUP($H$8&amp;$F$1,'Input RM sheet'!$A:$ZZ,CY1,0)</f>
        <v>2.0022945126546388</v>
      </c>
      <c r="DA8" s="74">
        <f>VLOOKUP($H$8&amp;$F$1,'Input RM sheet'!$A:$ZZ,CZ1,0)</f>
        <v>2.0022945126546388</v>
      </c>
      <c r="DB8" s="74">
        <f>VLOOKUP($H$8&amp;$F$1,'Input RM sheet'!$A:$ZZ,DA1,0)</f>
        <v>2.0022945126546388</v>
      </c>
      <c r="DC8" s="74">
        <f>VLOOKUP($H$8&amp;$F$1,'Input RM sheet'!$A:$ZZ,DB1,0)</f>
        <v>1.71</v>
      </c>
      <c r="DD8" s="74">
        <f>VLOOKUP($H$8&amp;$F$1,'Input RM sheet'!$A:$ZZ,DC1,0)</f>
        <v>1.71</v>
      </c>
      <c r="DE8" s="74">
        <f>VLOOKUP($H$8&amp;$F$1,'Input RM sheet'!$A:$ZZ,DD1,0)</f>
        <v>1.71</v>
      </c>
      <c r="DF8" s="74">
        <f>VLOOKUP($H$8&amp;$F$1,'Input RM sheet'!$A:$ZZ,DE1,0)</f>
        <v>1.71</v>
      </c>
      <c r="DG8" s="74">
        <f>VLOOKUP($H$8&amp;$F$1,'Input RM sheet'!$A:$ZZ,DF1,0)</f>
        <v>1.71</v>
      </c>
      <c r="DH8" s="74">
        <f>VLOOKUP($H$8&amp;$F$1,'Input RM sheet'!$A:$ZZ,DG1,0)</f>
        <v>1.65</v>
      </c>
      <c r="DI8" s="74">
        <f>VLOOKUP($H$8&amp;$F$1,'Input RM sheet'!$A:$ZZ,DH1,0)</f>
        <v>1.65</v>
      </c>
      <c r="DJ8" s="74">
        <f>VLOOKUP($H$8&amp;$F$1,'Input RM sheet'!$A:$ZZ,DI1,0)</f>
        <v>1.65</v>
      </c>
      <c r="DK8" s="74">
        <f>VLOOKUP($H$8&amp;$F$1,'Input RM sheet'!$A:$ZZ,DJ1,0)</f>
        <v>1.65</v>
      </c>
      <c r="DL8" s="74">
        <f>VLOOKUP($H$8&amp;$F$1,'Input RM sheet'!$A:$ZZ,DK1,0)</f>
        <v>1.65</v>
      </c>
      <c r="DM8" s="74">
        <f>VLOOKUP($H$8&amp;$F$1,'Input RM sheet'!$A:$ZZ,DL1,0)</f>
        <v>1.65</v>
      </c>
      <c r="DN8" s="74">
        <f>VLOOKUP($H$8&amp;$F$1,'Input RM sheet'!$A:$ZZ,DM1,0)</f>
        <v>1.65</v>
      </c>
      <c r="DO8" s="74">
        <f>VLOOKUP($H$8&amp;$F$1,'Input RM sheet'!$A:$ZZ,DN1,0)</f>
        <v>1.65</v>
      </c>
      <c r="DP8" s="74">
        <f>VLOOKUP($H$8&amp;$F$1,'Input RM sheet'!$A:$ZZ,DO1,0)</f>
        <v>1.65</v>
      </c>
      <c r="DQ8" s="74">
        <f>VLOOKUP($H$8&amp;$F$1,'Input RM sheet'!$A:$ZZ,DP1,0)</f>
        <v>1.59</v>
      </c>
      <c r="DR8" s="74">
        <f>VLOOKUP($H$8&amp;$F$1,'Input RM sheet'!$A:$ZZ,DQ1,0)</f>
        <v>1.59</v>
      </c>
      <c r="DS8" s="74">
        <f>VLOOKUP($H$8&amp;$F$1,'Input RM sheet'!$A:$ZZ,DR1,0)</f>
        <v>1.5</v>
      </c>
      <c r="DT8" s="74">
        <f>VLOOKUP($H$8&amp;$F$1,'Input RM sheet'!$A:$ZZ,DS1,0)</f>
        <v>0</v>
      </c>
      <c r="DU8" s="74">
        <f>VLOOKUP($H$8&amp;$F$1,'Input RM sheet'!$A:$ZZ,DT1,0)</f>
        <v>0</v>
      </c>
      <c r="DV8" s="74">
        <f>VLOOKUP($H$8&amp;$F$1,'Input RM sheet'!$A:$ZZ,DU1,0)</f>
        <v>0</v>
      </c>
      <c r="DW8" s="74">
        <f>VLOOKUP($H$8&amp;$F$1,'Input RM sheet'!$A:$ZZ,DV1,0)</f>
        <v>0</v>
      </c>
      <c r="DX8" s="74">
        <f>VLOOKUP($H$8&amp;$F$1,'Input RM sheet'!$A:$ZZ,DW1,0)</f>
        <v>0</v>
      </c>
      <c r="DY8" s="74">
        <f>VLOOKUP($H$8&amp;$F$1,'Input RM sheet'!$A:$ZZ,DX1,0)</f>
        <v>0</v>
      </c>
      <c r="DZ8" s="74">
        <f>VLOOKUP($H$8&amp;$F$1,'Input RM sheet'!$A:$ZZ,DY1,0)</f>
        <v>0</v>
      </c>
      <c r="EA8" s="74">
        <f>VLOOKUP($H$8&amp;$F$1,'Input RM sheet'!$A:$ZZ,DZ1,0)</f>
        <v>0</v>
      </c>
      <c r="EB8" s="74">
        <f>VLOOKUP($H$8&amp;$F$1,'Input RM sheet'!$A:$ZZ,EA1,0)</f>
        <v>0</v>
      </c>
      <c r="EC8" s="74">
        <f>VLOOKUP($H$8&amp;$F$1,'Input RM sheet'!$A:$ZZ,EB1,0)</f>
        <v>0</v>
      </c>
      <c r="ED8" s="74">
        <f>VLOOKUP($H$8&amp;$F$1,'Input RM sheet'!$A:$ZZ,EC1,0)</f>
        <v>0</v>
      </c>
    </row>
    <row r="9" spans="1:134">
      <c r="E9" s="178" t="s">
        <v>152</v>
      </c>
      <c r="H9" s="178" t="s">
        <v>846</v>
      </c>
      <c r="I9" s="74" t="e">
        <f>VLOOKUP($H$9&amp;$F$1,'Input RM sheet'!$A:$BD,H1,0)</f>
        <v>#N/A</v>
      </c>
      <c r="J9" s="74"/>
      <c r="K9" s="74"/>
      <c r="L9" s="74"/>
      <c r="M9" s="74"/>
      <c r="N9" s="74"/>
      <c r="O9" s="74"/>
      <c r="P9" s="74"/>
      <c r="Q9" s="74"/>
      <c r="R9" s="74"/>
      <c r="S9" s="74"/>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74"/>
      <c r="BG9" s="74"/>
      <c r="BH9" s="74"/>
      <c r="BI9" s="74"/>
      <c r="BJ9" s="74"/>
      <c r="BK9" s="74"/>
      <c r="BL9" s="74"/>
      <c r="BM9" s="74"/>
      <c r="BN9" s="74"/>
      <c r="BO9" s="74"/>
      <c r="BP9" s="74"/>
      <c r="BQ9" s="74"/>
      <c r="BR9" s="74"/>
      <c r="BS9" s="74"/>
      <c r="BT9" s="74"/>
      <c r="BU9" s="74"/>
      <c r="BV9" s="74"/>
      <c r="BW9" s="74"/>
      <c r="BX9" s="74"/>
      <c r="BY9" s="74"/>
      <c r="BZ9" s="74"/>
      <c r="CA9" s="74"/>
      <c r="CB9" s="74"/>
      <c r="CC9" s="74"/>
      <c r="CD9" s="74"/>
      <c r="CE9" s="74"/>
      <c r="CF9" s="74"/>
      <c r="CG9" s="74"/>
      <c r="CH9" s="74"/>
      <c r="CI9" s="74"/>
      <c r="CJ9" s="74"/>
      <c r="CK9" s="74"/>
      <c r="CL9" s="74"/>
      <c r="CM9" s="74"/>
      <c r="CN9" s="74"/>
      <c r="CO9" s="74"/>
      <c r="CP9" s="74"/>
      <c r="CQ9" s="74"/>
      <c r="CR9" s="74"/>
    </row>
    <row r="10" spans="1:134">
      <c r="H10" s="107"/>
      <c r="I10" s="74"/>
      <c r="J10" s="74"/>
      <c r="K10" s="74"/>
      <c r="L10" s="74"/>
      <c r="M10" s="74"/>
      <c r="N10" s="74"/>
      <c r="O10" s="7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c r="CE10" s="74"/>
      <c r="CF10" s="74"/>
      <c r="CG10" s="74"/>
      <c r="CH10" s="74"/>
      <c r="CI10" s="74"/>
      <c r="CJ10" s="74"/>
      <c r="CK10" s="74"/>
      <c r="CL10" s="74"/>
      <c r="CM10" s="74"/>
      <c r="CN10" s="74"/>
      <c r="CO10" s="74"/>
      <c r="CP10" s="74"/>
      <c r="CQ10" s="74"/>
      <c r="CR10" s="74"/>
    </row>
    <row r="11" spans="1:134">
      <c r="H11" s="107"/>
      <c r="I11" s="74"/>
      <c r="J11" s="74"/>
      <c r="K11" s="74"/>
      <c r="L11" s="74"/>
      <c r="M11" s="74"/>
      <c r="N11" s="74"/>
      <c r="O11" s="74"/>
      <c r="P11" s="74"/>
      <c r="Q11" s="74"/>
      <c r="R11" s="74"/>
      <c r="S11" s="74"/>
      <c r="T11" s="74"/>
      <c r="U11" s="74"/>
      <c r="V11" s="74"/>
      <c r="W11" s="74"/>
      <c r="X11" s="74"/>
      <c r="Y11" s="74"/>
      <c r="Z11" s="74"/>
      <c r="AA11" s="74"/>
      <c r="AB11" s="74"/>
      <c r="AC11" s="74"/>
      <c r="AD11" s="74"/>
      <c r="AE11" s="74"/>
      <c r="AF11" s="74"/>
      <c r="AG11" s="74"/>
      <c r="AH11" s="74"/>
      <c r="AI11" s="74"/>
      <c r="AJ11" s="74"/>
      <c r="AK11" s="74"/>
      <c r="AL11" s="74"/>
      <c r="AM11" s="74"/>
      <c r="AN11" s="74"/>
      <c r="AO11" s="74"/>
      <c r="AP11" s="74"/>
      <c r="AQ11" s="74"/>
      <c r="AR11" s="74"/>
      <c r="AS11" s="74"/>
      <c r="AT11" s="74"/>
      <c r="AU11" s="74"/>
      <c r="AV11" s="74"/>
      <c r="AW11" s="74"/>
      <c r="AX11" s="74"/>
      <c r="AY11" s="74"/>
      <c r="AZ11" s="74"/>
      <c r="BA11" s="74"/>
      <c r="BB11" s="74"/>
      <c r="BC11" s="74"/>
      <c r="BD11" s="74"/>
      <c r="BE11" s="74"/>
      <c r="BF11" s="74"/>
      <c r="BG11" s="74"/>
      <c r="BH11" s="74"/>
      <c r="BI11" s="74"/>
      <c r="BJ11" s="74"/>
      <c r="BK11" s="74"/>
      <c r="BL11" s="74"/>
      <c r="BM11" s="74"/>
      <c r="BN11" s="74"/>
      <c r="BO11" s="74"/>
      <c r="BP11" s="74"/>
      <c r="BQ11" s="74"/>
      <c r="BR11" s="74"/>
      <c r="BS11" s="74"/>
      <c r="BT11" s="74"/>
      <c r="BU11" s="74"/>
      <c r="BV11" s="74"/>
      <c r="BW11" s="74"/>
      <c r="BX11" s="74"/>
      <c r="BY11" s="74"/>
      <c r="BZ11" s="74"/>
      <c r="CA11" s="74"/>
      <c r="CB11" s="74"/>
      <c r="CC11" s="74"/>
      <c r="CD11" s="74"/>
      <c r="CE11" s="74"/>
      <c r="CF11" s="74"/>
      <c r="CG11" s="74"/>
      <c r="CH11" s="74"/>
      <c r="CI11" s="74"/>
      <c r="CJ11" s="74"/>
      <c r="CK11" s="74"/>
      <c r="CL11" s="74"/>
      <c r="CM11" s="74"/>
      <c r="CN11" s="74"/>
      <c r="CO11" s="74"/>
      <c r="CP11" s="74"/>
      <c r="CQ11" s="74"/>
      <c r="CR11" s="74"/>
    </row>
    <row r="12" spans="1:134" ht="13">
      <c r="A12" s="59" t="s">
        <v>395</v>
      </c>
      <c r="B12" s="59"/>
      <c r="C12" s="59" t="s">
        <v>379</v>
      </c>
      <c r="D12" s="98" t="s">
        <v>380</v>
      </c>
      <c r="E12" s="98" t="s">
        <v>381</v>
      </c>
      <c r="F12" s="59" t="s">
        <v>396</v>
      </c>
      <c r="H12" s="107"/>
      <c r="I12" s="84"/>
      <c r="J12" s="84"/>
      <c r="K12" s="84"/>
      <c r="L12" s="84"/>
      <c r="M12" s="84"/>
      <c r="N12" s="84"/>
      <c r="O12" s="84"/>
      <c r="P12" s="84"/>
      <c r="Q12" s="84"/>
      <c r="R12" s="84"/>
      <c r="S12" s="84"/>
      <c r="T12" s="84"/>
      <c r="U12" s="84"/>
      <c r="V12" s="84"/>
      <c r="W12" s="84"/>
      <c r="X12" s="84"/>
      <c r="Y12" s="84"/>
      <c r="Z12" s="84"/>
      <c r="AA12" s="84"/>
      <c r="AB12" s="84"/>
      <c r="AC12" s="84"/>
      <c r="AD12" s="84"/>
      <c r="AE12" s="84"/>
      <c r="AF12" s="84"/>
      <c r="AG12" s="84"/>
      <c r="AH12" s="84"/>
      <c r="AI12" s="84"/>
      <c r="AJ12" s="84"/>
      <c r="AK12" s="84"/>
      <c r="AL12" s="84"/>
      <c r="AM12" s="84"/>
      <c r="AN12" s="84"/>
      <c r="AO12" s="84"/>
      <c r="AP12" s="84"/>
      <c r="AQ12" s="84"/>
      <c r="AR12" s="84"/>
      <c r="AS12" s="84"/>
      <c r="AT12" s="84"/>
      <c r="AU12" s="84"/>
      <c r="AV12" s="84"/>
      <c r="AW12" s="84"/>
      <c r="AX12" s="84"/>
      <c r="AY12" s="84"/>
      <c r="AZ12" s="84"/>
      <c r="BA12" s="84"/>
      <c r="BB12" s="84"/>
      <c r="BC12" s="84"/>
      <c r="BD12" s="84"/>
      <c r="BE12" s="84"/>
      <c r="BF12" s="84"/>
      <c r="BG12" s="84"/>
      <c r="BH12" s="84"/>
      <c r="BI12" s="84"/>
      <c r="BJ12" s="84"/>
      <c r="BK12" s="84"/>
      <c r="BL12" s="84"/>
      <c r="BM12" s="84"/>
      <c r="BN12" s="84"/>
      <c r="BO12" s="84"/>
      <c r="BP12" s="84"/>
      <c r="BQ12" s="84"/>
      <c r="BR12" s="84"/>
      <c r="BS12" s="84"/>
      <c r="BT12" s="84"/>
      <c r="BU12" s="84"/>
      <c r="BV12" s="84"/>
      <c r="BW12" s="84"/>
      <c r="BX12" s="84"/>
      <c r="BY12" s="84"/>
      <c r="BZ12" s="84"/>
      <c r="CA12" s="84"/>
      <c r="CB12" s="84"/>
      <c r="CC12" s="84"/>
      <c r="CD12" s="84"/>
      <c r="CE12" s="84"/>
      <c r="CF12" s="84"/>
      <c r="CG12" s="84"/>
      <c r="CH12" s="84"/>
      <c r="CI12" s="84"/>
      <c r="CJ12" s="84"/>
      <c r="CK12" s="84"/>
      <c r="CL12" s="84"/>
      <c r="CM12" s="84"/>
      <c r="CN12" s="84"/>
      <c r="CO12" s="84"/>
      <c r="CP12" s="84"/>
      <c r="CQ12" s="84"/>
      <c r="CR12" s="84"/>
    </row>
    <row r="13" spans="1:134" ht="13">
      <c r="A13" s="107" t="s">
        <v>397</v>
      </c>
      <c r="B13" s="335" t="s">
        <v>353</v>
      </c>
      <c r="C13" s="60">
        <v>3</v>
      </c>
      <c r="D13" s="65">
        <v>108.14</v>
      </c>
      <c r="E13" s="60">
        <f>D13*C13</f>
        <v>324.42</v>
      </c>
      <c r="F13" s="328">
        <f>E13/D3</f>
        <v>0.88069060998452642</v>
      </c>
      <c r="H13" s="60" t="s">
        <v>399</v>
      </c>
      <c r="I13" s="74">
        <f>$F$13*I8</f>
        <v>2.5212282945371234</v>
      </c>
      <c r="J13" s="74">
        <f t="shared" ref="J13:BU13" si="0">$F$13*J8</f>
        <v>3.2799915671709194</v>
      </c>
      <c r="K13" s="74">
        <f t="shared" si="0"/>
        <v>2.7882713800913956</v>
      </c>
      <c r="L13" s="74">
        <f t="shared" si="0"/>
        <v>2.9483315514535855</v>
      </c>
      <c r="M13" s="74">
        <f t="shared" si="0"/>
        <v>3.2726470309603251</v>
      </c>
      <c r="N13" s="74">
        <f t="shared" si="0"/>
        <v>4.6299105742754616</v>
      </c>
      <c r="O13" s="74">
        <f t="shared" si="0"/>
        <v>4.892153698926462</v>
      </c>
      <c r="P13" s="74">
        <f t="shared" si="0"/>
        <v>3.9367179129568077</v>
      </c>
      <c r="Q13" s="74">
        <f t="shared" si="0"/>
        <v>4.7453899544832563</v>
      </c>
      <c r="R13" s="74">
        <f t="shared" si="0"/>
        <v>4.5683696735591344</v>
      </c>
      <c r="S13" s="74">
        <f t="shared" si="0"/>
        <v>4.4935730843187631</v>
      </c>
      <c r="T13" s="74">
        <f t="shared" si="0"/>
        <v>3.4654032696403814</v>
      </c>
      <c r="U13" s="74">
        <f t="shared" si="0"/>
        <v>3.8117445009112521</v>
      </c>
      <c r="V13" s="74">
        <f t="shared" si="0"/>
        <v>4.5375769327260107</v>
      </c>
      <c r="W13" s="74">
        <f t="shared" si="0"/>
        <v>4.4217418345020638</v>
      </c>
      <c r="X13" s="74">
        <f t="shared" si="0"/>
        <v>2.3077786380546468</v>
      </c>
      <c r="Y13" s="74">
        <f t="shared" si="0"/>
        <v>2.0720981248732437</v>
      </c>
      <c r="Z13" s="74">
        <f t="shared" si="0"/>
        <v>4.4432168068923383</v>
      </c>
      <c r="AA13" s="74">
        <f t="shared" si="0"/>
        <v>3.9016355195350139</v>
      </c>
      <c r="AB13" s="74">
        <f t="shared" si="0"/>
        <v>4.2721588383933744</v>
      </c>
      <c r="AC13" s="74">
        <f t="shared" si="0"/>
        <v>4.3992008976196217</v>
      </c>
      <c r="AD13" s="74">
        <f t="shared" si="0"/>
        <v>5.0950332926204052</v>
      </c>
      <c r="AE13" s="74">
        <f t="shared" si="0"/>
        <v>5.3989986020580094</v>
      </c>
      <c r="AF13" s="74">
        <f t="shared" si="0"/>
        <v>5.2708340887445218</v>
      </c>
      <c r="AG13" s="74">
        <f t="shared" si="0"/>
        <v>4.9129484444387614</v>
      </c>
      <c r="AH13" s="74">
        <f t="shared" si="0"/>
        <v>4.1317166458764687</v>
      </c>
      <c r="AI13" s="74">
        <f t="shared" si="0"/>
        <v>4.4133614419410723</v>
      </c>
      <c r="AJ13" s="74">
        <f t="shared" si="0"/>
        <v>4.2132154509914699</v>
      </c>
      <c r="AK13" s="74">
        <f t="shared" si="0"/>
        <v>4.187818605073816</v>
      </c>
      <c r="AL13" s="74">
        <f t="shared" si="0"/>
        <v>4.0768558284015928</v>
      </c>
      <c r="AM13" s="74">
        <f t="shared" si="0"/>
        <v>4.2672121440193109</v>
      </c>
      <c r="AN13" s="74">
        <f t="shared" si="0"/>
        <v>4.01639744137064</v>
      </c>
      <c r="AO13" s="74">
        <f t="shared" si="0"/>
        <v>4.6166037671427835</v>
      </c>
      <c r="AP13" s="74">
        <f t="shared" si="0"/>
        <v>4.7696008094395719</v>
      </c>
      <c r="AQ13" s="74">
        <f t="shared" si="0"/>
        <v>4.8414556397884922</v>
      </c>
      <c r="AR13" s="74">
        <f t="shared" si="0"/>
        <v>4.5113841293581709</v>
      </c>
      <c r="AS13" s="74">
        <f t="shared" si="0"/>
        <v>4.2023876695784823</v>
      </c>
      <c r="AT13" s="74">
        <f t="shared" si="0"/>
        <v>4.3823243479253247</v>
      </c>
      <c r="AU13" s="74">
        <f t="shared" si="0"/>
        <v>2.6660054958898902</v>
      </c>
      <c r="AV13" s="74">
        <f t="shared" si="0"/>
        <v>2.4367031025280843</v>
      </c>
      <c r="AW13" s="74">
        <f t="shared" si="0"/>
        <v>2.6972287142289648</v>
      </c>
      <c r="AX13" s="74">
        <f t="shared" si="0"/>
        <v>2.0790408950533266</v>
      </c>
      <c r="AY13" s="74">
        <f t="shared" si="0"/>
        <v>2.1171371746719689</v>
      </c>
      <c r="AZ13" s="74">
        <f t="shared" si="0"/>
        <v>2.1171371746719689</v>
      </c>
      <c r="BA13" s="74">
        <f t="shared" si="0"/>
        <v>2.1171371746719689</v>
      </c>
      <c r="BB13" s="74">
        <f t="shared" si="0"/>
        <v>2.1171371746719689</v>
      </c>
      <c r="BC13" s="74">
        <f t="shared" si="0"/>
        <v>1.5818817136143135</v>
      </c>
      <c r="BD13" s="74">
        <f t="shared" si="0"/>
        <v>1.5818817136143135</v>
      </c>
      <c r="BE13" s="74">
        <f t="shared" si="0"/>
        <v>1.5818817136143135</v>
      </c>
      <c r="BF13" s="74">
        <f t="shared" si="0"/>
        <v>1.5818817136143135</v>
      </c>
      <c r="BG13" s="74">
        <f t="shared" si="0"/>
        <v>1.5248721736688771</v>
      </c>
      <c r="BH13" s="74">
        <f t="shared" si="0"/>
        <v>1.5248721736688771</v>
      </c>
      <c r="BI13" s="74">
        <f t="shared" si="0"/>
        <v>1.5248721736688771</v>
      </c>
      <c r="BJ13" s="74">
        <f t="shared" si="0"/>
        <v>1.5248721736688771</v>
      </c>
      <c r="BK13" s="74">
        <f t="shared" si="0"/>
        <v>1.3714609589158095</v>
      </c>
      <c r="BL13" s="74">
        <f t="shared" si="0"/>
        <v>1.3714609589158095</v>
      </c>
      <c r="BM13" s="74">
        <f t="shared" si="0"/>
        <v>1.3714609589158095</v>
      </c>
      <c r="BN13" s="74">
        <f t="shared" si="0"/>
        <v>1.3714609589158095</v>
      </c>
      <c r="BO13" s="74">
        <f t="shared" si="0"/>
        <v>1.5121538023556242</v>
      </c>
      <c r="BP13" s="74">
        <f t="shared" si="0"/>
        <v>1.5121538023556242</v>
      </c>
      <c r="BQ13" s="74">
        <f t="shared" si="0"/>
        <v>1.5121538023556242</v>
      </c>
      <c r="BR13" s="74">
        <f t="shared" si="0"/>
        <v>1.5121538023556242</v>
      </c>
      <c r="BS13" s="74">
        <f t="shared" si="0"/>
        <v>1.4909957330887247</v>
      </c>
      <c r="BT13" s="74">
        <f t="shared" si="0"/>
        <v>1.4909957330887247</v>
      </c>
      <c r="BU13" s="74">
        <f t="shared" si="0"/>
        <v>1.4909957330887247</v>
      </c>
      <c r="BV13" s="74">
        <f t="shared" ref="BV13:CZ13" si="1">$F$13*BV8</f>
        <v>1.4909957330887247</v>
      </c>
      <c r="BW13" s="74">
        <f t="shared" si="1"/>
        <v>1.3913903276689741</v>
      </c>
      <c r="BX13" s="74">
        <f t="shared" si="1"/>
        <v>1.3913903276689741</v>
      </c>
      <c r="BY13" s="74">
        <f t="shared" si="1"/>
        <v>1.3913903276689741</v>
      </c>
      <c r="BZ13" s="74">
        <f t="shared" si="1"/>
        <v>1.3913903276689741</v>
      </c>
      <c r="CA13" s="74">
        <f t="shared" si="1"/>
        <v>1.5958480554952752</v>
      </c>
      <c r="CB13" s="74">
        <f t="shared" si="1"/>
        <v>1.5958480554952752</v>
      </c>
      <c r="CC13" s="74">
        <f t="shared" si="1"/>
        <v>1.5958480554952752</v>
      </c>
      <c r="CD13" s="74">
        <f t="shared" si="1"/>
        <v>1.5958480554952752</v>
      </c>
      <c r="CE13" s="74">
        <f t="shared" si="1"/>
        <v>1.5228861971232281</v>
      </c>
      <c r="CF13" s="74">
        <f t="shared" si="1"/>
        <v>1.5228861971232281</v>
      </c>
      <c r="CG13" s="74">
        <f t="shared" si="1"/>
        <v>1.5228861971232281</v>
      </c>
      <c r="CH13" s="74">
        <f t="shared" si="1"/>
        <v>1.5228861971232281</v>
      </c>
      <c r="CI13" s="74">
        <f t="shared" si="1"/>
        <v>1.7050593997981818</v>
      </c>
      <c r="CJ13" s="74">
        <f t="shared" si="1"/>
        <v>1.7050593997981818</v>
      </c>
      <c r="CK13" s="74">
        <f t="shared" si="1"/>
        <v>1.7050593997981818</v>
      </c>
      <c r="CL13" s="74">
        <f t="shared" si="1"/>
        <v>1.7050593997981818</v>
      </c>
      <c r="CM13" s="74">
        <f t="shared" si="1"/>
        <v>1.6294012735022714</v>
      </c>
      <c r="CN13" s="74">
        <f t="shared" si="1"/>
        <v>1.6294012735022714</v>
      </c>
      <c r="CO13" s="74">
        <f t="shared" si="1"/>
        <v>1.6294012735022714</v>
      </c>
      <c r="CP13" s="74">
        <f t="shared" si="1"/>
        <v>1.6294012735022714</v>
      </c>
      <c r="CQ13" s="74">
        <f t="shared" si="1"/>
        <v>1.6294012735022714</v>
      </c>
      <c r="CR13" s="74">
        <f t="shared" si="1"/>
        <v>2.2496103657367392</v>
      </c>
      <c r="CS13" s="74">
        <f t="shared" si="1"/>
        <v>2.2496103657367392</v>
      </c>
      <c r="CT13" s="74">
        <f t="shared" si="1"/>
        <v>2.2496103657367392</v>
      </c>
      <c r="CU13" s="74">
        <f t="shared" si="1"/>
        <v>2.2496103657367392</v>
      </c>
      <c r="CV13" s="74">
        <f t="shared" si="1"/>
        <v>1.7634019757184838</v>
      </c>
      <c r="CW13" s="74">
        <f t="shared" si="1"/>
        <v>1.7634019757184838</v>
      </c>
      <c r="CX13" s="74">
        <f t="shared" si="1"/>
        <v>1.7634019757184838</v>
      </c>
      <c r="CY13" s="74">
        <f t="shared" si="1"/>
        <v>1.7634019757184838</v>
      </c>
      <c r="CZ13" s="74">
        <f t="shared" si="1"/>
        <v>1.7634019757184838</v>
      </c>
      <c r="DA13" s="74">
        <f t="shared" ref="DA13:ED13" si="2">$F$13*DA8</f>
        <v>1.7634019757184838</v>
      </c>
      <c r="DB13" s="74">
        <f t="shared" si="2"/>
        <v>1.7634019757184838</v>
      </c>
      <c r="DC13" s="74">
        <f t="shared" si="2"/>
        <v>1.5059809430735402</v>
      </c>
      <c r="DD13" s="74">
        <f t="shared" si="2"/>
        <v>1.5059809430735402</v>
      </c>
      <c r="DE13" s="74">
        <f t="shared" si="2"/>
        <v>1.5059809430735402</v>
      </c>
      <c r="DF13" s="74">
        <f t="shared" si="2"/>
        <v>1.5059809430735402</v>
      </c>
      <c r="DG13" s="74">
        <f t="shared" si="2"/>
        <v>1.5059809430735402</v>
      </c>
      <c r="DH13" s="74">
        <f t="shared" si="2"/>
        <v>1.4531395064744685</v>
      </c>
      <c r="DI13" s="74">
        <f t="shared" si="2"/>
        <v>1.4531395064744685</v>
      </c>
      <c r="DJ13" s="74">
        <f t="shared" si="2"/>
        <v>1.4531395064744685</v>
      </c>
      <c r="DK13" s="74">
        <f t="shared" si="2"/>
        <v>1.4531395064744685</v>
      </c>
      <c r="DL13" s="74">
        <f t="shared" si="2"/>
        <v>1.4531395064744685</v>
      </c>
      <c r="DM13" s="74">
        <f t="shared" si="2"/>
        <v>1.4531395064744685</v>
      </c>
      <c r="DN13" s="74">
        <f t="shared" si="2"/>
        <v>1.4531395064744685</v>
      </c>
      <c r="DO13" s="74">
        <f t="shared" si="2"/>
        <v>1.4531395064744685</v>
      </c>
      <c r="DP13" s="74">
        <f t="shared" si="2"/>
        <v>1.4531395064744685</v>
      </c>
      <c r="DQ13" s="74">
        <f t="shared" si="2"/>
        <v>1.4002980698753971</v>
      </c>
      <c r="DR13" s="74">
        <f t="shared" si="2"/>
        <v>1.4002980698753971</v>
      </c>
      <c r="DS13" s="74">
        <f t="shared" si="2"/>
        <v>1.3210359149767896</v>
      </c>
      <c r="DT13" s="74">
        <f t="shared" si="2"/>
        <v>0</v>
      </c>
      <c r="DU13" s="74">
        <f t="shared" si="2"/>
        <v>0</v>
      </c>
      <c r="DV13" s="74">
        <f t="shared" si="2"/>
        <v>0</v>
      </c>
      <c r="DW13" s="74">
        <f t="shared" si="2"/>
        <v>0</v>
      </c>
      <c r="DX13" s="74">
        <f t="shared" si="2"/>
        <v>0</v>
      </c>
      <c r="DY13" s="74">
        <f t="shared" si="2"/>
        <v>0</v>
      </c>
      <c r="DZ13" s="74">
        <f t="shared" si="2"/>
        <v>0</v>
      </c>
      <c r="EA13" s="74">
        <f t="shared" si="2"/>
        <v>0</v>
      </c>
      <c r="EB13" s="74">
        <f t="shared" si="2"/>
        <v>0</v>
      </c>
      <c r="EC13" s="74">
        <f t="shared" si="2"/>
        <v>0</v>
      </c>
      <c r="ED13" s="74">
        <f t="shared" si="2"/>
        <v>0</v>
      </c>
    </row>
    <row r="14" spans="1:134" ht="26">
      <c r="A14" s="67"/>
      <c r="B14" s="107" t="s">
        <v>846</v>
      </c>
      <c r="C14" s="60">
        <v>1</v>
      </c>
      <c r="D14" s="77">
        <v>97.994</v>
      </c>
      <c r="E14" s="60">
        <f>D14*C14</f>
        <v>97.994</v>
      </c>
      <c r="F14" s="328">
        <f>E14/D3</f>
        <v>0.26602057713711758</v>
      </c>
      <c r="I14" s="74"/>
      <c r="J14" s="74"/>
      <c r="K14" s="74"/>
      <c r="L14" s="74"/>
      <c r="M14" s="74"/>
      <c r="N14" s="74"/>
      <c r="O14" s="74"/>
      <c r="P14" s="74"/>
      <c r="Q14" s="74"/>
      <c r="R14" s="74"/>
      <c r="S14" s="74"/>
      <c r="T14" s="74"/>
      <c r="U14" s="74"/>
      <c r="V14" s="74"/>
      <c r="W14" s="74"/>
      <c r="X14" s="74"/>
      <c r="Y14" s="74"/>
      <c r="Z14" s="74"/>
      <c r="AA14" s="74"/>
      <c r="AB14" s="74"/>
      <c r="AC14" s="74"/>
      <c r="AD14" s="74"/>
      <c r="AE14" s="74"/>
      <c r="AF14" s="74"/>
      <c r="AG14" s="74"/>
      <c r="AH14" s="74"/>
      <c r="AI14" s="74"/>
      <c r="AJ14" s="74"/>
      <c r="AK14" s="74"/>
      <c r="AL14" s="74"/>
      <c r="AM14" s="74"/>
      <c r="AN14" s="74"/>
      <c r="AO14" s="74"/>
      <c r="AP14" s="74"/>
      <c r="AQ14" s="74"/>
      <c r="AR14" s="74"/>
      <c r="AS14" s="74"/>
      <c r="AT14" s="74"/>
      <c r="AU14" s="74"/>
      <c r="AV14" s="74"/>
      <c r="AW14" s="74"/>
      <c r="AX14" s="74"/>
      <c r="AY14" s="74"/>
      <c r="AZ14" s="74"/>
      <c r="BA14" s="74"/>
      <c r="BB14" s="74"/>
      <c r="BC14" s="74"/>
      <c r="BD14" s="74"/>
      <c r="BE14" s="74"/>
      <c r="BF14" s="74"/>
      <c r="BG14" s="74"/>
      <c r="BH14" s="74"/>
      <c r="BI14" s="74"/>
      <c r="BJ14" s="74"/>
      <c r="BK14" s="74"/>
      <c r="BL14" s="74"/>
      <c r="BM14" s="74"/>
      <c r="BN14" s="74"/>
      <c r="BO14" s="74"/>
      <c r="BP14" s="74"/>
      <c r="BQ14" s="74"/>
      <c r="BR14" s="74"/>
      <c r="BS14" s="74"/>
      <c r="BT14" s="74"/>
      <c r="BU14" s="74"/>
      <c r="BV14" s="74"/>
      <c r="BW14" s="74"/>
      <c r="BX14" s="74"/>
      <c r="BY14" s="74"/>
      <c r="BZ14" s="74"/>
      <c r="CA14" s="74"/>
      <c r="CB14" s="74"/>
      <c r="CC14" s="74"/>
      <c r="CD14" s="74"/>
      <c r="CE14" s="74"/>
      <c r="CF14" s="74"/>
      <c r="CG14" s="74"/>
      <c r="CH14" s="74"/>
      <c r="CI14" s="74"/>
      <c r="CJ14" s="74"/>
      <c r="CK14" s="74"/>
      <c r="CL14" s="74"/>
      <c r="CM14" s="74"/>
      <c r="CN14" s="74"/>
      <c r="CO14" s="74"/>
      <c r="CP14" s="74"/>
      <c r="CQ14" s="74"/>
      <c r="CR14" s="74"/>
    </row>
    <row r="15" spans="1:134" hidden="1">
      <c r="A15" s="67"/>
      <c r="B15" s="107"/>
      <c r="D15" s="77"/>
      <c r="F15" s="328"/>
      <c r="I15" s="74"/>
      <c r="J15" s="74"/>
      <c r="K15" s="74"/>
      <c r="L15" s="74"/>
      <c r="M15" s="74"/>
      <c r="N15" s="74"/>
      <c r="O15" s="74"/>
      <c r="P15" s="74"/>
      <c r="Q15" s="74"/>
      <c r="R15" s="74"/>
      <c r="S15" s="74"/>
      <c r="T15" s="74"/>
      <c r="U15" s="74"/>
      <c r="V15" s="74"/>
      <c r="W15" s="74"/>
      <c r="X15" s="74"/>
      <c r="Y15" s="74"/>
      <c r="Z15" s="74"/>
      <c r="AA15" s="74"/>
      <c r="AB15" s="74"/>
      <c r="AC15" s="74"/>
      <c r="AD15" s="74"/>
      <c r="AE15" s="74"/>
      <c r="AF15" s="74"/>
      <c r="AG15" s="74"/>
      <c r="AH15" s="74"/>
      <c r="AI15" s="74"/>
      <c r="AJ15" s="74"/>
      <c r="AK15" s="74"/>
      <c r="AL15" s="74"/>
      <c r="AM15" s="74"/>
      <c r="AN15" s="74"/>
      <c r="AO15" s="74"/>
      <c r="AP15" s="74"/>
      <c r="AQ15" s="74"/>
      <c r="AR15" s="74"/>
      <c r="AS15" s="74"/>
      <c r="AT15" s="74"/>
      <c r="AU15" s="74"/>
      <c r="AV15" s="74"/>
      <c r="AW15" s="74"/>
      <c r="AX15" s="74"/>
      <c r="AY15" s="74"/>
      <c r="AZ15" s="74"/>
      <c r="BA15" s="74"/>
      <c r="BB15" s="74"/>
      <c r="BC15" s="74"/>
      <c r="BD15" s="74"/>
      <c r="BE15" s="74"/>
      <c r="BF15" s="74"/>
      <c r="BG15" s="74"/>
      <c r="BH15" s="74"/>
      <c r="BI15" s="74"/>
      <c r="BJ15" s="74"/>
      <c r="BK15" s="74"/>
      <c r="BL15" s="74"/>
      <c r="BM15" s="74"/>
      <c r="BN15" s="74"/>
      <c r="BO15" s="74"/>
      <c r="BP15" s="74"/>
      <c r="BQ15" s="74"/>
      <c r="BR15" s="74"/>
      <c r="BS15" s="74"/>
      <c r="BT15" s="74"/>
      <c r="BU15" s="74"/>
      <c r="BV15" s="74"/>
      <c r="BW15" s="74"/>
      <c r="BX15" s="74"/>
      <c r="BY15" s="74"/>
      <c r="BZ15" s="74"/>
      <c r="CA15" s="74"/>
      <c r="CB15" s="74"/>
      <c r="CC15" s="74"/>
      <c r="CD15" s="74"/>
      <c r="CE15" s="74"/>
      <c r="CF15" s="74"/>
      <c r="CG15" s="74"/>
      <c r="CH15" s="74"/>
      <c r="CI15" s="74"/>
      <c r="CJ15" s="74"/>
      <c r="CK15" s="74"/>
      <c r="CL15" s="74"/>
      <c r="CM15" s="74"/>
      <c r="CN15" s="74"/>
      <c r="CO15" s="74"/>
      <c r="CP15" s="74"/>
      <c r="CQ15" s="74"/>
      <c r="CR15" s="74"/>
    </row>
    <row r="16" spans="1:134" hidden="1">
      <c r="A16" s="67"/>
      <c r="B16" s="107"/>
      <c r="D16" s="77"/>
      <c r="F16" s="328"/>
      <c r="I16" s="74"/>
      <c r="J16" s="74"/>
      <c r="K16" s="74"/>
      <c r="L16" s="74"/>
      <c r="M16" s="74"/>
      <c r="N16" s="74"/>
      <c r="O16" s="74"/>
      <c r="P16" s="74"/>
      <c r="Q16" s="74"/>
      <c r="R16" s="74"/>
      <c r="S16" s="74"/>
      <c r="T16" s="74"/>
      <c r="U16" s="74"/>
      <c r="V16" s="74"/>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c r="BM16" s="74"/>
      <c r="BN16" s="74"/>
      <c r="BO16" s="74"/>
      <c r="BP16" s="74"/>
      <c r="BQ16" s="74"/>
      <c r="BR16" s="74"/>
      <c r="BS16" s="74"/>
      <c r="BT16" s="74"/>
      <c r="BU16" s="74"/>
      <c r="BV16" s="74"/>
      <c r="BW16" s="74"/>
      <c r="BX16" s="74"/>
      <c r="BY16" s="74"/>
      <c r="BZ16" s="74"/>
      <c r="CA16" s="74"/>
      <c r="CB16" s="74"/>
      <c r="CC16" s="74"/>
      <c r="CD16" s="74"/>
      <c r="CE16" s="74"/>
      <c r="CF16" s="74"/>
      <c r="CG16" s="74"/>
      <c r="CH16" s="74"/>
      <c r="CI16" s="74"/>
      <c r="CJ16" s="74"/>
      <c r="CK16" s="74"/>
      <c r="CL16" s="74"/>
      <c r="CM16" s="74"/>
      <c r="CN16" s="74"/>
      <c r="CO16" s="74"/>
      <c r="CP16" s="74"/>
      <c r="CQ16" s="74"/>
      <c r="CR16" s="74"/>
    </row>
    <row r="17" spans="1:134" hidden="1">
      <c r="A17" s="67"/>
      <c r="B17" s="107"/>
      <c r="D17" s="77"/>
      <c r="F17" s="65"/>
      <c r="I17" s="74"/>
      <c r="J17" s="74"/>
      <c r="K17" s="74"/>
      <c r="L17" s="74"/>
      <c r="M17" s="74"/>
      <c r="N17" s="74"/>
      <c r="O17" s="74"/>
      <c r="P17" s="74"/>
      <c r="Q17" s="74"/>
      <c r="R17" s="74"/>
      <c r="S17" s="74"/>
      <c r="T17" s="74"/>
      <c r="U17" s="74"/>
      <c r="V17" s="74"/>
      <c r="W17" s="74"/>
      <c r="X17" s="74"/>
      <c r="Y17" s="74"/>
      <c r="Z17" s="74"/>
      <c r="AA17" s="74"/>
      <c r="AB17" s="74"/>
      <c r="AC17" s="74"/>
      <c r="AD17" s="74"/>
      <c r="AE17" s="74"/>
      <c r="AF17" s="74"/>
      <c r="AG17" s="74"/>
      <c r="AH17" s="74"/>
      <c r="AI17" s="74"/>
      <c r="AJ17" s="74"/>
      <c r="AK17" s="74"/>
      <c r="AL17" s="74"/>
      <c r="AM17" s="74"/>
      <c r="AN17" s="74"/>
      <c r="AO17" s="74"/>
      <c r="AP17" s="74"/>
      <c r="AQ17" s="74"/>
      <c r="AR17" s="74"/>
      <c r="AS17" s="74"/>
      <c r="AT17" s="74"/>
      <c r="AU17" s="74"/>
      <c r="AV17" s="74"/>
      <c r="AW17" s="74"/>
      <c r="AX17" s="74"/>
      <c r="AY17" s="74"/>
      <c r="AZ17" s="74"/>
      <c r="BA17" s="74"/>
      <c r="BB17" s="74"/>
      <c r="BC17" s="74"/>
      <c r="BD17" s="74"/>
      <c r="BE17" s="74"/>
      <c r="BF17" s="74"/>
      <c r="BG17" s="74"/>
      <c r="BH17" s="74"/>
      <c r="BI17" s="74"/>
      <c r="BJ17" s="74"/>
      <c r="BK17" s="74"/>
      <c r="BL17" s="74"/>
      <c r="BM17" s="74"/>
      <c r="BN17" s="74"/>
      <c r="BO17" s="74"/>
      <c r="BP17" s="74"/>
      <c r="BQ17" s="74"/>
      <c r="BR17" s="74"/>
      <c r="BS17" s="74"/>
      <c r="BT17" s="74"/>
      <c r="BU17" s="74"/>
      <c r="BV17" s="74"/>
      <c r="BW17" s="74"/>
      <c r="BX17" s="74"/>
      <c r="BY17" s="74"/>
      <c r="BZ17" s="74"/>
      <c r="CA17" s="74"/>
      <c r="CB17" s="74"/>
      <c r="CC17" s="74"/>
      <c r="CD17" s="74"/>
      <c r="CE17" s="74"/>
      <c r="CF17" s="74"/>
      <c r="CG17" s="74"/>
      <c r="CH17" s="74"/>
      <c r="CI17" s="74"/>
      <c r="CJ17" s="74"/>
      <c r="CK17" s="74"/>
      <c r="CL17" s="74"/>
      <c r="CM17" s="74"/>
      <c r="CN17" s="74"/>
      <c r="CO17" s="74"/>
      <c r="CP17" s="74"/>
      <c r="CQ17" s="74"/>
      <c r="CR17" s="74"/>
    </row>
    <row r="18" spans="1:134" s="104" customFormat="1">
      <c r="H18" s="104" t="s">
        <v>799</v>
      </c>
      <c r="I18" s="105">
        <f t="shared" ref="I18:AN18" si="3">SUM(I13:I13)</f>
        <v>2.5212282945371234</v>
      </c>
      <c r="J18" s="105">
        <f t="shared" si="3"/>
        <v>3.2799915671709194</v>
      </c>
      <c r="K18" s="105">
        <f t="shared" si="3"/>
        <v>2.7882713800913956</v>
      </c>
      <c r="L18" s="105">
        <f t="shared" si="3"/>
        <v>2.9483315514535855</v>
      </c>
      <c r="M18" s="105">
        <f t="shared" si="3"/>
        <v>3.2726470309603251</v>
      </c>
      <c r="N18" s="105">
        <f t="shared" si="3"/>
        <v>4.6299105742754616</v>
      </c>
      <c r="O18" s="105">
        <f t="shared" si="3"/>
        <v>4.892153698926462</v>
      </c>
      <c r="P18" s="105">
        <f t="shared" si="3"/>
        <v>3.9367179129568077</v>
      </c>
      <c r="Q18" s="105">
        <f t="shared" si="3"/>
        <v>4.7453899544832563</v>
      </c>
      <c r="R18" s="105">
        <f t="shared" si="3"/>
        <v>4.5683696735591344</v>
      </c>
      <c r="S18" s="105">
        <f t="shared" si="3"/>
        <v>4.4935730843187631</v>
      </c>
      <c r="T18" s="105">
        <f t="shared" si="3"/>
        <v>3.4654032696403814</v>
      </c>
      <c r="U18" s="105">
        <f t="shared" si="3"/>
        <v>3.8117445009112521</v>
      </c>
      <c r="V18" s="105">
        <f t="shared" si="3"/>
        <v>4.5375769327260107</v>
      </c>
      <c r="W18" s="105">
        <f t="shared" si="3"/>
        <v>4.4217418345020638</v>
      </c>
      <c r="X18" s="105">
        <f t="shared" si="3"/>
        <v>2.3077786380546468</v>
      </c>
      <c r="Y18" s="105">
        <f t="shared" si="3"/>
        <v>2.0720981248732437</v>
      </c>
      <c r="Z18" s="105">
        <f t="shared" si="3"/>
        <v>4.4432168068923383</v>
      </c>
      <c r="AA18" s="105">
        <f t="shared" si="3"/>
        <v>3.9016355195350139</v>
      </c>
      <c r="AB18" s="105">
        <f t="shared" si="3"/>
        <v>4.2721588383933744</v>
      </c>
      <c r="AC18" s="105">
        <f t="shared" si="3"/>
        <v>4.3992008976196217</v>
      </c>
      <c r="AD18" s="105">
        <f t="shared" si="3"/>
        <v>5.0950332926204052</v>
      </c>
      <c r="AE18" s="105">
        <f t="shared" si="3"/>
        <v>5.3989986020580094</v>
      </c>
      <c r="AF18" s="105">
        <f t="shared" si="3"/>
        <v>5.2708340887445218</v>
      </c>
      <c r="AG18" s="105">
        <f t="shared" si="3"/>
        <v>4.9129484444387614</v>
      </c>
      <c r="AH18" s="105">
        <f t="shared" si="3"/>
        <v>4.1317166458764687</v>
      </c>
      <c r="AI18" s="105">
        <f t="shared" si="3"/>
        <v>4.4133614419410723</v>
      </c>
      <c r="AJ18" s="105">
        <f t="shared" si="3"/>
        <v>4.2132154509914699</v>
      </c>
      <c r="AK18" s="105">
        <f t="shared" si="3"/>
        <v>4.187818605073816</v>
      </c>
      <c r="AL18" s="105">
        <f t="shared" si="3"/>
        <v>4.0768558284015928</v>
      </c>
      <c r="AM18" s="105">
        <f t="shared" si="3"/>
        <v>4.2672121440193109</v>
      </c>
      <c r="AN18" s="105">
        <f t="shared" si="3"/>
        <v>4.01639744137064</v>
      </c>
      <c r="AO18" s="105">
        <f t="shared" ref="AO18:DB18" si="4">SUM(AO13:AO13)</f>
        <v>4.6166037671427835</v>
      </c>
      <c r="AP18" s="105">
        <f t="shared" si="4"/>
        <v>4.7696008094395719</v>
      </c>
      <c r="AQ18" s="105">
        <f t="shared" si="4"/>
        <v>4.8414556397884922</v>
      </c>
      <c r="AR18" s="105">
        <f t="shared" si="4"/>
        <v>4.5113841293581709</v>
      </c>
      <c r="AS18" s="105">
        <f t="shared" si="4"/>
        <v>4.2023876695784823</v>
      </c>
      <c r="AT18" s="105">
        <f t="shared" si="4"/>
        <v>4.3823243479253247</v>
      </c>
      <c r="AU18" s="105">
        <f t="shared" si="4"/>
        <v>2.6660054958898902</v>
      </c>
      <c r="AV18" s="105">
        <f t="shared" si="4"/>
        <v>2.4367031025280843</v>
      </c>
      <c r="AW18" s="105">
        <f t="shared" si="4"/>
        <v>2.6972287142289648</v>
      </c>
      <c r="AX18" s="105">
        <f t="shared" si="4"/>
        <v>2.0790408950533266</v>
      </c>
      <c r="AY18" s="105">
        <f t="shared" si="4"/>
        <v>2.1171371746719689</v>
      </c>
      <c r="AZ18" s="105">
        <f t="shared" si="4"/>
        <v>2.1171371746719689</v>
      </c>
      <c r="BA18" s="105">
        <f t="shared" si="4"/>
        <v>2.1171371746719689</v>
      </c>
      <c r="BB18" s="105">
        <f t="shared" si="4"/>
        <v>2.1171371746719689</v>
      </c>
      <c r="BC18" s="105">
        <f t="shared" si="4"/>
        <v>1.5818817136143135</v>
      </c>
      <c r="BD18" s="105">
        <f t="shared" si="4"/>
        <v>1.5818817136143135</v>
      </c>
      <c r="BE18" s="105">
        <f t="shared" si="4"/>
        <v>1.5818817136143135</v>
      </c>
      <c r="BF18" s="105">
        <f t="shared" si="4"/>
        <v>1.5818817136143135</v>
      </c>
      <c r="BG18" s="105">
        <f t="shared" si="4"/>
        <v>1.5248721736688771</v>
      </c>
      <c r="BH18" s="105">
        <f t="shared" si="4"/>
        <v>1.5248721736688771</v>
      </c>
      <c r="BI18" s="105">
        <f t="shared" si="4"/>
        <v>1.5248721736688771</v>
      </c>
      <c r="BJ18" s="105">
        <f t="shared" si="4"/>
        <v>1.5248721736688771</v>
      </c>
      <c r="BK18" s="105">
        <f t="shared" si="4"/>
        <v>1.3714609589158095</v>
      </c>
      <c r="BL18" s="105">
        <f t="shared" si="4"/>
        <v>1.3714609589158095</v>
      </c>
      <c r="BM18" s="105">
        <f t="shared" si="4"/>
        <v>1.3714609589158095</v>
      </c>
      <c r="BN18" s="105">
        <f t="shared" si="4"/>
        <v>1.3714609589158095</v>
      </c>
      <c r="BO18" s="105">
        <f t="shared" si="4"/>
        <v>1.5121538023556242</v>
      </c>
      <c r="BP18" s="105">
        <f t="shared" si="4"/>
        <v>1.5121538023556242</v>
      </c>
      <c r="BQ18" s="105">
        <f t="shared" si="4"/>
        <v>1.5121538023556242</v>
      </c>
      <c r="BR18" s="105">
        <f t="shared" si="4"/>
        <v>1.5121538023556242</v>
      </c>
      <c r="BS18" s="105">
        <f t="shared" si="4"/>
        <v>1.4909957330887247</v>
      </c>
      <c r="BT18" s="105">
        <f t="shared" si="4"/>
        <v>1.4909957330887247</v>
      </c>
      <c r="BU18" s="105">
        <f t="shared" si="4"/>
        <v>1.4909957330887247</v>
      </c>
      <c r="BV18" s="105">
        <f t="shared" si="4"/>
        <v>1.4909957330887247</v>
      </c>
      <c r="BW18" s="105">
        <f t="shared" si="4"/>
        <v>1.3913903276689741</v>
      </c>
      <c r="BX18" s="105">
        <f t="shared" si="4"/>
        <v>1.3913903276689741</v>
      </c>
      <c r="BY18" s="105">
        <f t="shared" si="4"/>
        <v>1.3913903276689741</v>
      </c>
      <c r="BZ18" s="105">
        <f t="shared" si="4"/>
        <v>1.3913903276689741</v>
      </c>
      <c r="CA18" s="105">
        <f t="shared" si="4"/>
        <v>1.5958480554952752</v>
      </c>
      <c r="CB18" s="105">
        <f t="shared" si="4"/>
        <v>1.5958480554952752</v>
      </c>
      <c r="CC18" s="105">
        <f t="shared" si="4"/>
        <v>1.5958480554952752</v>
      </c>
      <c r="CD18" s="105">
        <f t="shared" si="4"/>
        <v>1.5958480554952752</v>
      </c>
      <c r="CE18" s="105">
        <f t="shared" si="4"/>
        <v>1.5228861971232281</v>
      </c>
      <c r="CF18" s="105">
        <f t="shared" si="4"/>
        <v>1.5228861971232281</v>
      </c>
      <c r="CG18" s="105">
        <f t="shared" si="4"/>
        <v>1.5228861971232281</v>
      </c>
      <c r="CH18" s="105">
        <f t="shared" si="4"/>
        <v>1.5228861971232281</v>
      </c>
      <c r="CI18" s="105">
        <f t="shared" si="4"/>
        <v>1.7050593997981818</v>
      </c>
      <c r="CJ18" s="105">
        <f t="shared" si="4"/>
        <v>1.7050593997981818</v>
      </c>
      <c r="CK18" s="105">
        <f t="shared" si="4"/>
        <v>1.7050593997981818</v>
      </c>
      <c r="CL18" s="105">
        <f t="shared" si="4"/>
        <v>1.7050593997981818</v>
      </c>
      <c r="CM18" s="105">
        <f t="shared" si="4"/>
        <v>1.6294012735022714</v>
      </c>
      <c r="CN18" s="105">
        <f t="shared" si="4"/>
        <v>1.6294012735022714</v>
      </c>
      <c r="CO18" s="105">
        <f t="shared" si="4"/>
        <v>1.6294012735022714</v>
      </c>
      <c r="CP18" s="105">
        <f t="shared" si="4"/>
        <v>1.6294012735022714</v>
      </c>
      <c r="CQ18" s="105">
        <f t="shared" si="4"/>
        <v>1.6294012735022714</v>
      </c>
      <c r="CR18" s="105">
        <f t="shared" si="4"/>
        <v>2.2496103657367392</v>
      </c>
      <c r="CS18" s="105">
        <f t="shared" si="4"/>
        <v>2.2496103657367392</v>
      </c>
      <c r="CT18" s="105">
        <f t="shared" si="4"/>
        <v>2.2496103657367392</v>
      </c>
      <c r="CU18" s="105">
        <f t="shared" si="4"/>
        <v>2.2496103657367392</v>
      </c>
      <c r="CV18" s="105">
        <f t="shared" si="4"/>
        <v>1.7634019757184838</v>
      </c>
      <c r="CW18" s="105">
        <f t="shared" si="4"/>
        <v>1.7634019757184838</v>
      </c>
      <c r="CX18" s="105">
        <f t="shared" si="4"/>
        <v>1.7634019757184838</v>
      </c>
      <c r="CY18" s="105">
        <f t="shared" si="4"/>
        <v>1.7634019757184838</v>
      </c>
      <c r="CZ18" s="105">
        <f t="shared" si="4"/>
        <v>1.7634019757184838</v>
      </c>
      <c r="DA18" s="105">
        <f>SUM(DA13:DA13)</f>
        <v>1.7634019757184838</v>
      </c>
      <c r="DB18" s="105">
        <f t="shared" si="4"/>
        <v>1.7634019757184838</v>
      </c>
      <c r="DC18" s="105">
        <f t="shared" ref="DC18:ED18" si="5">SUM(DC13:DC13)</f>
        <v>1.5059809430735402</v>
      </c>
      <c r="DD18" s="105">
        <f t="shared" si="5"/>
        <v>1.5059809430735402</v>
      </c>
      <c r="DE18" s="105">
        <f t="shared" si="5"/>
        <v>1.5059809430735402</v>
      </c>
      <c r="DF18" s="105">
        <f t="shared" si="5"/>
        <v>1.5059809430735402</v>
      </c>
      <c r="DG18" s="105">
        <f t="shared" si="5"/>
        <v>1.5059809430735402</v>
      </c>
      <c r="DH18" s="105">
        <f t="shared" si="5"/>
        <v>1.4531395064744685</v>
      </c>
      <c r="DI18" s="105">
        <f t="shared" si="5"/>
        <v>1.4531395064744685</v>
      </c>
      <c r="DJ18" s="105">
        <f t="shared" si="5"/>
        <v>1.4531395064744685</v>
      </c>
      <c r="DK18" s="105">
        <f t="shared" si="5"/>
        <v>1.4531395064744685</v>
      </c>
      <c r="DL18" s="105">
        <f t="shared" si="5"/>
        <v>1.4531395064744685</v>
      </c>
      <c r="DM18" s="105">
        <f t="shared" si="5"/>
        <v>1.4531395064744685</v>
      </c>
      <c r="DN18" s="105">
        <f t="shared" si="5"/>
        <v>1.4531395064744685</v>
      </c>
      <c r="DO18" s="105">
        <f t="shared" si="5"/>
        <v>1.4531395064744685</v>
      </c>
      <c r="DP18" s="105">
        <f t="shared" si="5"/>
        <v>1.4531395064744685</v>
      </c>
      <c r="DQ18" s="105">
        <f t="shared" si="5"/>
        <v>1.4002980698753971</v>
      </c>
      <c r="DR18" s="105">
        <f t="shared" si="5"/>
        <v>1.4002980698753971</v>
      </c>
      <c r="DS18" s="105">
        <f t="shared" si="5"/>
        <v>1.3210359149767896</v>
      </c>
      <c r="DT18" s="105">
        <f t="shared" si="5"/>
        <v>0</v>
      </c>
      <c r="DU18" s="105">
        <f t="shared" si="5"/>
        <v>0</v>
      </c>
      <c r="DV18" s="105">
        <f t="shared" si="5"/>
        <v>0</v>
      </c>
      <c r="DW18" s="105">
        <f t="shared" si="5"/>
        <v>0</v>
      </c>
      <c r="DX18" s="105">
        <f t="shared" si="5"/>
        <v>0</v>
      </c>
      <c r="DY18" s="105">
        <f t="shared" si="5"/>
        <v>0</v>
      </c>
      <c r="DZ18" s="105">
        <f t="shared" si="5"/>
        <v>0</v>
      </c>
      <c r="EA18" s="105">
        <f t="shared" si="5"/>
        <v>0</v>
      </c>
      <c r="EB18" s="105">
        <f t="shared" si="5"/>
        <v>0</v>
      </c>
      <c r="EC18" s="105">
        <f t="shared" si="5"/>
        <v>0</v>
      </c>
      <c r="ED18" s="105">
        <f t="shared" si="5"/>
        <v>0</v>
      </c>
    </row>
    <row r="19" spans="1:134" s="104" customFormat="1">
      <c r="H19" s="60"/>
      <c r="I19" s="105"/>
      <c r="J19" s="105"/>
      <c r="K19" s="105"/>
      <c r="L19" s="105"/>
      <c r="M19" s="105"/>
      <c r="N19" s="105"/>
      <c r="O19" s="105"/>
      <c r="P19" s="105"/>
      <c r="Q19" s="105"/>
      <c r="R19" s="105"/>
      <c r="S19" s="105"/>
      <c r="T19" s="105"/>
      <c r="U19" s="105"/>
      <c r="V19" s="105"/>
      <c r="W19" s="105"/>
      <c r="X19" s="105"/>
      <c r="Y19" s="105"/>
      <c r="Z19" s="105"/>
      <c r="AA19" s="105"/>
      <c r="AB19" s="105"/>
      <c r="AC19" s="105"/>
      <c r="AD19" s="105"/>
      <c r="AE19" s="105"/>
      <c r="AF19" s="105"/>
      <c r="AG19" s="105"/>
      <c r="AH19" s="105"/>
      <c r="AI19" s="105"/>
      <c r="AJ19" s="105"/>
      <c r="AK19" s="105"/>
      <c r="AL19" s="105"/>
      <c r="AM19" s="105"/>
      <c r="AN19" s="105"/>
      <c r="AO19" s="105"/>
      <c r="AP19" s="105"/>
      <c r="AQ19" s="105"/>
      <c r="AR19" s="105"/>
      <c r="AS19" s="105"/>
      <c r="AT19" s="105"/>
      <c r="AU19" s="105"/>
      <c r="AV19" s="105"/>
      <c r="AW19" s="105"/>
      <c r="AX19" s="105"/>
      <c r="AY19" s="105"/>
      <c r="AZ19" s="105"/>
      <c r="BA19" s="105"/>
      <c r="BB19" s="105"/>
      <c r="BC19" s="105"/>
      <c r="BD19" s="105"/>
      <c r="BE19" s="105"/>
      <c r="BF19" s="105"/>
      <c r="BG19" s="105"/>
      <c r="BH19" s="105"/>
      <c r="BI19" s="105"/>
      <c r="BJ19" s="105"/>
      <c r="BK19" s="105"/>
      <c r="BL19" s="105"/>
      <c r="BM19" s="105"/>
      <c r="BN19" s="105"/>
      <c r="BO19" s="105"/>
      <c r="BP19" s="105"/>
      <c r="BQ19" s="105"/>
      <c r="BR19" s="105"/>
      <c r="BS19" s="105"/>
      <c r="BT19" s="105"/>
      <c r="BU19" s="105"/>
      <c r="BV19" s="105"/>
      <c r="BW19" s="105"/>
      <c r="BX19" s="105"/>
      <c r="BY19" s="105"/>
      <c r="BZ19" s="105"/>
      <c r="CA19" s="105"/>
      <c r="CB19" s="105"/>
      <c r="CC19" s="105"/>
      <c r="CD19" s="105"/>
      <c r="CE19" s="105"/>
      <c r="CF19" s="105"/>
      <c r="CG19" s="105"/>
      <c r="CH19" s="105"/>
      <c r="CI19" s="105"/>
      <c r="CJ19" s="105"/>
      <c r="CK19" s="105"/>
      <c r="CL19" s="105"/>
      <c r="CM19" s="105"/>
      <c r="CN19" s="105"/>
      <c r="CO19" s="105"/>
      <c r="CP19" s="105"/>
      <c r="CQ19" s="105"/>
      <c r="CR19" s="105"/>
    </row>
    <row r="20" spans="1:134" ht="15">
      <c r="A20"/>
      <c r="H20" s="60" t="s">
        <v>429</v>
      </c>
      <c r="I20" s="74"/>
      <c r="J20" s="74"/>
      <c r="K20" s="74"/>
      <c r="L20" s="74"/>
      <c r="M20" s="74"/>
      <c r="N20" s="74"/>
      <c r="O20" s="74"/>
      <c r="P20" s="74"/>
      <c r="Q20" s="74"/>
      <c r="R20" s="74"/>
      <c r="S20" s="74"/>
      <c r="T20" s="74"/>
      <c r="U20" s="74"/>
      <c r="V20" s="74"/>
      <c r="W20" s="74"/>
      <c r="X20" s="74"/>
      <c r="Y20" s="74"/>
      <c r="Z20" s="74"/>
      <c r="AA20" s="74"/>
      <c r="AB20" s="74"/>
      <c r="AC20" s="74"/>
      <c r="AD20" s="74"/>
      <c r="AE20" s="74"/>
      <c r="AF20" s="74"/>
      <c r="AG20" s="74">
        <f>810/82.5</f>
        <v>9.8181818181818183</v>
      </c>
      <c r="AH20" s="74"/>
      <c r="AI20" s="74"/>
      <c r="AK20" s="74"/>
      <c r="AL20" s="74">
        <f>600/82.5</f>
        <v>7.2727272727272725</v>
      </c>
      <c r="AM20" s="74">
        <f>585/82.5</f>
        <v>7.0909090909090908</v>
      </c>
      <c r="AN20" s="74"/>
      <c r="AO20" s="74"/>
      <c r="AP20" s="74">
        <f>434/82.5</f>
        <v>5.2606060606060607</v>
      </c>
      <c r="AQ20" s="74"/>
      <c r="AR20" s="74"/>
      <c r="AS20" s="74"/>
      <c r="AT20" s="74"/>
      <c r="AU20" s="74"/>
      <c r="AV20" s="74"/>
      <c r="AW20" s="74"/>
      <c r="AY20" s="74"/>
      <c r="AZ20" s="74"/>
      <c r="BB20" s="74"/>
      <c r="BC20" s="74"/>
      <c r="BD20" s="74"/>
      <c r="BE20" s="74"/>
      <c r="BF20" s="74"/>
      <c r="BG20" s="74"/>
      <c r="BH20" s="74"/>
      <c r="BI20" s="74"/>
      <c r="BJ20" s="74"/>
      <c r="BK20" s="74"/>
      <c r="BM20" s="74"/>
      <c r="BN20" s="74"/>
      <c r="BO20" s="74"/>
      <c r="BP20" s="74"/>
      <c r="BQ20" s="74"/>
      <c r="BR20" s="74"/>
      <c r="BS20" s="74"/>
      <c r="BT20" s="74"/>
      <c r="BU20" s="74">
        <f>224/83</f>
        <v>2.6987951807228914</v>
      </c>
      <c r="BV20" s="74"/>
      <c r="BW20" s="74"/>
      <c r="BX20" s="74"/>
      <c r="BY20" s="74"/>
      <c r="BZ20" s="74"/>
      <c r="CA20" s="74"/>
      <c r="CB20" s="74"/>
      <c r="CC20" s="74"/>
      <c r="CD20" s="74">
        <f>224/83.3</f>
        <v>2.6890756302521011</v>
      </c>
      <c r="CE20" s="74"/>
      <c r="CF20" s="74"/>
      <c r="CG20" s="74"/>
      <c r="CH20" s="74"/>
      <c r="CI20" s="74"/>
      <c r="CJ20" s="74"/>
      <c r="CK20" s="74"/>
      <c r="CL20" s="74"/>
      <c r="CM20" s="74"/>
      <c r="CN20" s="74"/>
      <c r="CO20" s="74"/>
      <c r="CP20" s="74"/>
      <c r="CQ20" s="74">
        <f>224/83.3</f>
        <v>2.6890756302521011</v>
      </c>
      <c r="CR20" s="74"/>
    </row>
    <row r="21" spans="1:134">
      <c r="H21" s="60" t="s">
        <v>406</v>
      </c>
      <c r="I21" s="74"/>
      <c r="J21" s="74"/>
      <c r="K21" s="74"/>
      <c r="L21" s="74"/>
      <c r="M21" s="74"/>
      <c r="N21" s="74"/>
      <c r="O21" s="74"/>
      <c r="P21" s="74"/>
      <c r="Q21" s="74"/>
      <c r="R21" s="74"/>
      <c r="S21" s="74"/>
      <c r="T21" s="74"/>
      <c r="U21" s="74"/>
      <c r="V21" s="74"/>
      <c r="W21" s="74"/>
      <c r="X21" s="74"/>
      <c r="Y21" s="74"/>
      <c r="Z21" s="74"/>
      <c r="AA21" s="74"/>
      <c r="AB21" s="74"/>
      <c r="AC21" s="74"/>
      <c r="AD21" s="74"/>
      <c r="AE21" s="74"/>
      <c r="AF21" s="74"/>
      <c r="AG21" s="74">
        <f>AG20-AG18</f>
        <v>4.9052333737430569</v>
      </c>
      <c r="AH21" s="74"/>
      <c r="AI21" s="74"/>
      <c r="AK21" s="74"/>
      <c r="AL21" s="74">
        <f>AL20-AL18</f>
        <v>3.1958714443256797</v>
      </c>
      <c r="AM21" s="74">
        <f>AM20-AM18</f>
        <v>2.8236969468897799</v>
      </c>
      <c r="AN21" s="74"/>
      <c r="AO21" s="74"/>
      <c r="AP21" s="74">
        <f>AP20-AP18</f>
        <v>0.49100525116648885</v>
      </c>
      <c r="AQ21" s="74"/>
      <c r="AR21" s="74"/>
      <c r="AS21" s="74"/>
      <c r="AT21" s="74"/>
      <c r="AU21" s="74"/>
      <c r="AV21" s="74"/>
      <c r="AW21" s="74"/>
      <c r="AY21" s="74"/>
      <c r="AZ21" s="74"/>
      <c r="BB21" s="74"/>
      <c r="BC21" s="74"/>
      <c r="BD21" s="74"/>
      <c r="BE21" s="74"/>
      <c r="BF21" s="74"/>
      <c r="BG21" s="74"/>
      <c r="BH21" s="74"/>
      <c r="BI21" s="74"/>
      <c r="BJ21" s="74"/>
      <c r="BK21" s="74"/>
      <c r="BM21" s="74"/>
      <c r="BN21" s="74"/>
      <c r="BO21" s="74"/>
      <c r="BP21" s="74"/>
      <c r="BQ21" s="74"/>
      <c r="BR21" s="74"/>
      <c r="BS21" s="74"/>
      <c r="BT21" s="74"/>
      <c r="BU21" s="74">
        <f>BU20-BU18</f>
        <v>1.2077994476341667</v>
      </c>
      <c r="BV21" s="74"/>
      <c r="BW21" s="74"/>
      <c r="BX21" s="74"/>
      <c r="BY21" s="74"/>
      <c r="BZ21" s="74"/>
      <c r="CA21" s="74"/>
      <c r="CB21" s="74"/>
      <c r="CC21" s="74"/>
      <c r="CD21" s="74">
        <f>CD20-CD18</f>
        <v>1.0932275747568259</v>
      </c>
      <c r="CE21" s="74"/>
      <c r="CF21" s="74"/>
      <c r="CG21" s="74"/>
      <c r="CH21" s="74"/>
      <c r="CI21" s="74"/>
      <c r="CJ21" s="74"/>
      <c r="CK21" s="74"/>
      <c r="CL21" s="74"/>
      <c r="CM21" s="74"/>
      <c r="CN21" s="74"/>
      <c r="CO21" s="74"/>
      <c r="CP21" s="74"/>
      <c r="CQ21" s="74">
        <f>CQ20-CQ18</f>
        <v>1.0596743567498297</v>
      </c>
      <c r="CR21" s="74"/>
    </row>
    <row r="23" spans="1:134" ht="13" thickBot="1"/>
    <row r="24" spans="1:134" s="73" customFormat="1" ht="13" thickBot="1">
      <c r="H24" s="257" t="s">
        <v>800</v>
      </c>
      <c r="I24" s="258">
        <f>0.49+I18</f>
        <v>3.0112282945371236</v>
      </c>
      <c r="J24" s="258">
        <f t="shared" ref="J24:BW24" si="6">0.49+J18</f>
        <v>3.7699915671709192</v>
      </c>
      <c r="K24" s="258">
        <f t="shared" si="6"/>
        <v>3.2782713800913958</v>
      </c>
      <c r="L24" s="258">
        <f t="shared" si="6"/>
        <v>3.4383315514535857</v>
      </c>
      <c r="M24" s="258">
        <f t="shared" si="6"/>
        <v>3.7626470309603253</v>
      </c>
      <c r="N24" s="258">
        <f t="shared" si="6"/>
        <v>5.1199105742754618</v>
      </c>
      <c r="O24" s="258">
        <f t="shared" si="6"/>
        <v>5.3821536989264622</v>
      </c>
      <c r="P24" s="258">
        <f t="shared" si="6"/>
        <v>4.4267179129568079</v>
      </c>
      <c r="Q24" s="258">
        <f t="shared" si="6"/>
        <v>5.2353899544832565</v>
      </c>
      <c r="R24" s="258">
        <f t="shared" si="6"/>
        <v>5.0583696735591346</v>
      </c>
      <c r="S24" s="258">
        <f t="shared" si="6"/>
        <v>4.9835730843187633</v>
      </c>
      <c r="T24" s="258">
        <f t="shared" si="6"/>
        <v>3.9554032696403816</v>
      </c>
      <c r="U24" s="258">
        <f t="shared" si="6"/>
        <v>4.3017445009112523</v>
      </c>
      <c r="V24" s="258">
        <f t="shared" si="6"/>
        <v>5.0275769327260109</v>
      </c>
      <c r="W24" s="258">
        <f t="shared" si="6"/>
        <v>4.911741834502064</v>
      </c>
      <c r="X24" s="258">
        <f t="shared" si="6"/>
        <v>2.7977786380546465</v>
      </c>
      <c r="Y24" s="258">
        <f t="shared" si="6"/>
        <v>2.562098124873244</v>
      </c>
      <c r="Z24" s="258">
        <f t="shared" si="6"/>
        <v>4.9332168068923385</v>
      </c>
      <c r="AA24" s="258">
        <f t="shared" si="6"/>
        <v>4.3916355195350141</v>
      </c>
      <c r="AB24" s="258">
        <f t="shared" si="6"/>
        <v>4.7621588383933746</v>
      </c>
      <c r="AC24" s="258">
        <f t="shared" si="6"/>
        <v>4.889200897619622</v>
      </c>
      <c r="AD24" s="258">
        <f t="shared" si="6"/>
        <v>5.5850332926204054</v>
      </c>
      <c r="AE24" s="258">
        <f t="shared" si="6"/>
        <v>5.8889986020580096</v>
      </c>
      <c r="AF24" s="258">
        <f t="shared" si="6"/>
        <v>5.760834088744522</v>
      </c>
      <c r="AG24" s="258">
        <f t="shared" si="6"/>
        <v>5.4029484444387617</v>
      </c>
      <c r="AH24" s="258">
        <f t="shared" si="6"/>
        <v>4.6217166458764689</v>
      </c>
      <c r="AI24" s="258">
        <f t="shared" si="6"/>
        <v>4.9033614419410725</v>
      </c>
      <c r="AJ24" s="258">
        <f t="shared" si="6"/>
        <v>4.7032154509914701</v>
      </c>
      <c r="AK24" s="258">
        <f t="shared" si="6"/>
        <v>4.6778186050738162</v>
      </c>
      <c r="AL24" s="258">
        <f t="shared" si="6"/>
        <v>4.566855828401593</v>
      </c>
      <c r="AM24" s="258">
        <f t="shared" si="6"/>
        <v>4.7572121440193111</v>
      </c>
      <c r="AN24" s="258">
        <f>0.49+AN18</f>
        <v>4.5063974413706402</v>
      </c>
      <c r="AO24" s="258">
        <f t="shared" si="6"/>
        <v>5.1066037671427837</v>
      </c>
      <c r="AP24" s="258">
        <f t="shared" si="6"/>
        <v>5.2596008094395721</v>
      </c>
      <c r="AQ24" s="258">
        <f>0.49+AQ18</f>
        <v>5.3314556397884925</v>
      </c>
      <c r="AR24" s="258">
        <f t="shared" si="6"/>
        <v>5.0013841293581711</v>
      </c>
      <c r="AS24" s="258">
        <f t="shared" si="6"/>
        <v>4.6923876695784825</v>
      </c>
      <c r="AT24" s="258">
        <f t="shared" si="6"/>
        <v>4.8723243479253249</v>
      </c>
      <c r="AU24" s="258">
        <f t="shared" si="6"/>
        <v>3.1560054958898904</v>
      </c>
      <c r="AV24" s="258">
        <f t="shared" si="6"/>
        <v>2.9267031025280845</v>
      </c>
      <c r="AW24" s="258">
        <f t="shared" si="6"/>
        <v>3.187228714228965</v>
      </c>
      <c r="AX24" s="258">
        <f t="shared" si="6"/>
        <v>2.5690408950533268</v>
      </c>
      <c r="AY24" s="258">
        <f t="shared" si="6"/>
        <v>2.6071371746719691</v>
      </c>
      <c r="AZ24" s="258">
        <f t="shared" si="6"/>
        <v>2.6071371746719691</v>
      </c>
      <c r="BA24" s="258">
        <f t="shared" si="6"/>
        <v>2.6071371746719691</v>
      </c>
      <c r="BB24" s="258">
        <f t="shared" si="6"/>
        <v>2.6071371746719691</v>
      </c>
      <c r="BC24" s="258">
        <f t="shared" si="6"/>
        <v>2.0718817136143137</v>
      </c>
      <c r="BD24" s="258">
        <f t="shared" si="6"/>
        <v>2.0718817136143137</v>
      </c>
      <c r="BE24" s="258">
        <f t="shared" si="6"/>
        <v>2.0718817136143137</v>
      </c>
      <c r="BF24" s="258">
        <f t="shared" si="6"/>
        <v>2.0718817136143137</v>
      </c>
      <c r="BG24" s="258">
        <f t="shared" si="6"/>
        <v>2.0148721736688771</v>
      </c>
      <c r="BH24" s="258">
        <f t="shared" si="6"/>
        <v>2.0148721736688771</v>
      </c>
      <c r="BI24" s="258">
        <f t="shared" si="6"/>
        <v>2.0148721736688771</v>
      </c>
      <c r="BJ24" s="258">
        <f t="shared" si="6"/>
        <v>2.0148721736688771</v>
      </c>
      <c r="BK24" s="258">
        <f t="shared" si="6"/>
        <v>1.8614609589158095</v>
      </c>
      <c r="BL24" s="258">
        <f t="shared" si="6"/>
        <v>1.8614609589158095</v>
      </c>
      <c r="BM24" s="258">
        <f t="shared" si="6"/>
        <v>1.8614609589158095</v>
      </c>
      <c r="BN24" s="258">
        <f t="shared" si="6"/>
        <v>1.8614609589158095</v>
      </c>
      <c r="BO24" s="258">
        <f t="shared" si="6"/>
        <v>2.0021538023556245</v>
      </c>
      <c r="BP24" s="258">
        <f t="shared" si="6"/>
        <v>2.0021538023556245</v>
      </c>
      <c r="BQ24" s="258">
        <f t="shared" si="6"/>
        <v>2.0021538023556245</v>
      </c>
      <c r="BR24" s="258">
        <f t="shared" si="6"/>
        <v>2.0021538023556245</v>
      </c>
      <c r="BS24" s="258">
        <f t="shared" si="6"/>
        <v>1.9809957330887247</v>
      </c>
      <c r="BT24" s="258">
        <f t="shared" si="6"/>
        <v>1.9809957330887247</v>
      </c>
      <c r="BU24" s="258">
        <f t="shared" si="6"/>
        <v>1.9809957330887247</v>
      </c>
      <c r="BV24" s="258">
        <f>0.49+BV18</f>
        <v>1.9809957330887247</v>
      </c>
      <c r="BW24" s="258">
        <f t="shared" si="6"/>
        <v>1.8813903276689741</v>
      </c>
      <c r="BX24" s="258">
        <f t="shared" ref="BX24:CY24" si="7">0.49+BX18</f>
        <v>1.8813903276689741</v>
      </c>
      <c r="BY24" s="258">
        <f t="shared" si="7"/>
        <v>1.8813903276689741</v>
      </c>
      <c r="BZ24" s="258">
        <f t="shared" si="7"/>
        <v>1.8813903276689741</v>
      </c>
      <c r="CA24" s="258">
        <f t="shared" si="7"/>
        <v>2.0858480554952754</v>
      </c>
      <c r="CB24" s="258">
        <f t="shared" si="7"/>
        <v>2.0858480554952754</v>
      </c>
      <c r="CC24" s="258">
        <f t="shared" si="7"/>
        <v>2.0858480554952754</v>
      </c>
      <c r="CD24" s="258">
        <f t="shared" si="7"/>
        <v>2.0858480554952754</v>
      </c>
      <c r="CE24" s="258">
        <f t="shared" si="7"/>
        <v>2.0128861971232279</v>
      </c>
      <c r="CF24" s="258">
        <f t="shared" si="7"/>
        <v>2.0128861971232279</v>
      </c>
      <c r="CG24" s="258">
        <f t="shared" si="7"/>
        <v>2.0128861971232279</v>
      </c>
      <c r="CH24" s="258">
        <f t="shared" si="7"/>
        <v>2.0128861971232279</v>
      </c>
      <c r="CI24" s="258">
        <f t="shared" si="7"/>
        <v>2.1950593997981818</v>
      </c>
      <c r="CJ24" s="258">
        <f t="shared" si="7"/>
        <v>2.1950593997981818</v>
      </c>
      <c r="CK24" s="258">
        <f t="shared" si="7"/>
        <v>2.1950593997981818</v>
      </c>
      <c r="CL24" s="258">
        <f t="shared" si="7"/>
        <v>2.1950593997981818</v>
      </c>
      <c r="CM24" s="258">
        <f t="shared" si="7"/>
        <v>2.1194012735022714</v>
      </c>
      <c r="CN24" s="258">
        <f t="shared" si="7"/>
        <v>2.1194012735022714</v>
      </c>
      <c r="CO24" s="258">
        <f t="shared" si="7"/>
        <v>2.1194012735022714</v>
      </c>
      <c r="CP24" s="258">
        <f t="shared" si="7"/>
        <v>2.1194012735022714</v>
      </c>
      <c r="CQ24" s="258">
        <f t="shared" si="7"/>
        <v>2.1194012735022714</v>
      </c>
      <c r="CR24" s="258">
        <f t="shared" si="7"/>
        <v>2.7396103657367394</v>
      </c>
      <c r="CS24" s="258">
        <f t="shared" si="7"/>
        <v>2.7396103657367394</v>
      </c>
      <c r="CT24" s="258">
        <f t="shared" si="7"/>
        <v>2.7396103657367394</v>
      </c>
      <c r="CU24" s="258">
        <f t="shared" si="7"/>
        <v>2.7396103657367394</v>
      </c>
      <c r="CV24" s="258">
        <f t="shared" si="7"/>
        <v>2.253401975718484</v>
      </c>
      <c r="CW24" s="258">
        <f t="shared" si="7"/>
        <v>2.253401975718484</v>
      </c>
      <c r="CX24" s="258">
        <f t="shared" si="7"/>
        <v>2.253401975718484</v>
      </c>
      <c r="CY24" s="258">
        <f t="shared" si="7"/>
        <v>2.253401975718484</v>
      </c>
      <c r="CZ24" s="258">
        <f>0.49+CZ18</f>
        <v>2.253401975718484</v>
      </c>
      <c r="DA24" s="258">
        <f t="shared" ref="DA24:EB24" si="8">0.49+DA18</f>
        <v>2.253401975718484</v>
      </c>
      <c r="DB24" s="258">
        <f t="shared" si="8"/>
        <v>2.253401975718484</v>
      </c>
      <c r="DC24" s="258">
        <f t="shared" si="8"/>
        <v>1.9959809430735402</v>
      </c>
      <c r="DD24" s="258">
        <f t="shared" si="8"/>
        <v>1.9959809430735402</v>
      </c>
      <c r="DE24" s="258">
        <f t="shared" si="8"/>
        <v>1.9959809430735402</v>
      </c>
      <c r="DF24" s="258">
        <f t="shared" si="8"/>
        <v>1.9959809430735402</v>
      </c>
      <c r="DG24" s="258">
        <f t="shared" si="8"/>
        <v>1.9959809430735402</v>
      </c>
      <c r="DH24" s="258">
        <f t="shared" si="8"/>
        <v>1.9431395064744685</v>
      </c>
      <c r="DI24" s="258">
        <f t="shared" si="8"/>
        <v>1.9431395064744685</v>
      </c>
      <c r="DJ24" s="258">
        <f t="shared" si="8"/>
        <v>1.9431395064744685</v>
      </c>
      <c r="DK24" s="258">
        <f t="shared" si="8"/>
        <v>1.9431395064744685</v>
      </c>
      <c r="DL24" s="258">
        <f t="shared" si="8"/>
        <v>1.9431395064744685</v>
      </c>
      <c r="DM24" s="258">
        <f t="shared" si="8"/>
        <v>1.9431395064744685</v>
      </c>
      <c r="DN24" s="258">
        <f t="shared" si="8"/>
        <v>1.9431395064744685</v>
      </c>
      <c r="DO24" s="258">
        <f t="shared" si="8"/>
        <v>1.9431395064744685</v>
      </c>
      <c r="DP24" s="258">
        <f t="shared" si="8"/>
        <v>1.9431395064744685</v>
      </c>
      <c r="DQ24" s="258">
        <f t="shared" si="8"/>
        <v>1.8902980698753971</v>
      </c>
      <c r="DR24" s="258">
        <f t="shared" si="8"/>
        <v>1.8902980698753971</v>
      </c>
      <c r="DS24" s="258">
        <f t="shared" si="8"/>
        <v>1.8110359149767896</v>
      </c>
      <c r="DT24" s="258">
        <f t="shared" si="8"/>
        <v>0.49</v>
      </c>
      <c r="DU24" s="258">
        <f t="shared" si="8"/>
        <v>0.49</v>
      </c>
      <c r="DV24" s="258">
        <f t="shared" si="8"/>
        <v>0.49</v>
      </c>
      <c r="DW24" s="258">
        <f t="shared" si="8"/>
        <v>0.49</v>
      </c>
      <c r="DX24" s="258">
        <f t="shared" si="8"/>
        <v>0.49</v>
      </c>
      <c r="DY24" s="258">
        <f t="shared" si="8"/>
        <v>0.49</v>
      </c>
      <c r="DZ24" s="258">
        <f t="shared" si="8"/>
        <v>0.49</v>
      </c>
      <c r="EA24" s="258">
        <f t="shared" si="8"/>
        <v>0.49</v>
      </c>
      <c r="EB24" s="258">
        <f t="shared" si="8"/>
        <v>0.49</v>
      </c>
    </row>
    <row r="26" spans="1:134">
      <c r="CY26" s="65"/>
    </row>
  </sheetData>
  <pageMargins left="0.7" right="0.7" top="0.75" bottom="0.75" header="0.3" footer="0.3"/>
  <drawing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FH39"/>
  <sheetViews>
    <sheetView workbookViewId="0">
      <pane xSplit="47" ySplit="6" topLeftCell="BW10" activePane="bottomRight" state="frozen"/>
      <selection pane="topRight" activeCell="AV1" sqref="AV1"/>
      <selection pane="bottomLeft" activeCell="A7" sqref="A7"/>
      <selection pane="bottomRight" activeCell="CK15" sqref="CK15"/>
    </sheetView>
  </sheetViews>
  <sheetFormatPr baseColWidth="10" defaultColWidth="22.6640625" defaultRowHeight="12"/>
  <cols>
    <col min="1" max="1" width="17.5" style="60" bestFit="1" customWidth="1"/>
    <col min="2" max="2" width="11.33203125" style="60" bestFit="1" customWidth="1"/>
    <col min="3" max="3" width="4.83203125" style="60" bestFit="1" customWidth="1"/>
    <col min="4" max="4" width="12.33203125" style="60" bestFit="1" customWidth="1"/>
    <col min="5" max="5" width="7.83203125" style="60" bestFit="1" customWidth="1"/>
    <col min="6" max="6" width="9.5" style="60" bestFit="1" customWidth="1"/>
    <col min="7" max="7" width="4.1640625" style="60" bestFit="1" customWidth="1"/>
    <col min="8" max="8" width="17.5" style="60" bestFit="1" customWidth="1"/>
    <col min="9" max="9" width="5.1640625" style="60" hidden="1" customWidth="1"/>
    <col min="10" max="10" width="5.5" style="60" hidden="1" customWidth="1"/>
    <col min="11" max="11" width="5.6640625" style="60" hidden="1" customWidth="1"/>
    <col min="12" max="12" width="5.33203125" style="60" hidden="1" customWidth="1"/>
    <col min="13" max="13" width="5.83203125" style="60" hidden="1" customWidth="1"/>
    <col min="14" max="14" width="5.1640625" style="60" hidden="1" customWidth="1"/>
    <col min="15" max="15" width="4.6640625" style="60" hidden="1" customWidth="1"/>
    <col min="16" max="18" width="5.5" style="60" hidden="1" customWidth="1"/>
    <col min="19" max="19" width="5.6640625" style="60" hidden="1" customWidth="1"/>
    <col min="20" max="20" width="5.5" style="60" hidden="1" customWidth="1"/>
    <col min="21" max="21" width="5.1640625" style="60" hidden="1" customWidth="1"/>
    <col min="22" max="22" width="5.5" style="60" hidden="1" customWidth="1"/>
    <col min="23" max="23" width="5.6640625" style="60" hidden="1" customWidth="1"/>
    <col min="24" max="24" width="5.33203125" style="60" hidden="1" customWidth="1"/>
    <col min="25" max="25" width="5.83203125" style="60" hidden="1" customWidth="1"/>
    <col min="26" max="26" width="5.1640625" style="60" hidden="1" customWidth="1"/>
    <col min="27" max="27" width="4.6640625" style="60" hidden="1" customWidth="1"/>
    <col min="28" max="30" width="5.5" style="60" hidden="1" customWidth="1"/>
    <col min="31" max="31" width="5.6640625" style="60" hidden="1" customWidth="1"/>
    <col min="32" max="34" width="5.5" style="60" hidden="1" customWidth="1"/>
    <col min="35" max="35" width="5.6640625" style="60" hidden="1" customWidth="1"/>
    <col min="36" max="36" width="5.5" style="60" hidden="1" customWidth="1"/>
    <col min="37" max="37" width="5.83203125" style="60" hidden="1" customWidth="1"/>
    <col min="38" max="38" width="7.5" style="60" hidden="1" customWidth="1"/>
    <col min="39" max="39" width="5.5" style="60" hidden="1" customWidth="1"/>
    <col min="40" max="41" width="5.83203125" style="60" hidden="1" customWidth="1"/>
    <col min="42" max="42" width="5.5" style="60" hidden="1" customWidth="1"/>
    <col min="43" max="43" width="5.6640625" style="60" hidden="1" customWidth="1"/>
    <col min="44" max="46" width="5.5" style="60" hidden="1" customWidth="1"/>
    <col min="47" max="47" width="5.6640625" style="60" hidden="1" customWidth="1"/>
    <col min="48" max="48" width="5.33203125" style="60" customWidth="1"/>
    <col min="49" max="49" width="5.83203125" style="60" customWidth="1"/>
    <col min="50" max="50" width="5.1640625" style="60" customWidth="1"/>
    <col min="51" max="51" width="5.5" style="60" bestFit="1" customWidth="1"/>
    <col min="52" max="54" width="7" style="60" customWidth="1"/>
    <col min="55" max="56" width="5.5" style="60" customWidth="1"/>
    <col min="57" max="58" width="5.83203125" style="60" customWidth="1"/>
    <col min="59" max="70" width="5.6640625" style="60" customWidth="1"/>
    <col min="71" max="74" width="5.5" style="60" customWidth="1"/>
    <col min="75" max="78" width="5.1640625" style="60" customWidth="1"/>
    <col min="79" max="82" width="5.5" style="60" customWidth="1"/>
    <col min="83" max="83" width="6.1640625" style="60" customWidth="1"/>
    <col min="84" max="86" width="5.6640625" style="60" customWidth="1"/>
    <col min="87" max="90" width="5.5" style="60" customWidth="1"/>
    <col min="91" max="95" width="6.33203125" style="60" bestFit="1" customWidth="1"/>
    <col min="96" max="99" width="6.1640625" style="60" bestFit="1" customWidth="1"/>
    <col min="100" max="100" width="5.83203125" style="60" bestFit="1" customWidth="1"/>
    <col min="101" max="111" width="6" style="60" bestFit="1" customWidth="1"/>
    <col min="112" max="115" width="5.6640625" style="60" bestFit="1" customWidth="1"/>
    <col min="116" max="119" width="6.1640625" style="60" bestFit="1" customWidth="1"/>
    <col min="120" max="123" width="5.83203125" style="60" bestFit="1" customWidth="1"/>
    <col min="124" max="161" width="5.1640625" style="60" bestFit="1" customWidth="1"/>
    <col min="162" max="164" width="3.33203125" style="60" bestFit="1" customWidth="1"/>
    <col min="165" max="16384" width="22.6640625" style="60"/>
  </cols>
  <sheetData>
    <row r="1" spans="1:164" ht="26">
      <c r="A1" s="59" t="s">
        <v>377</v>
      </c>
      <c r="B1" s="59" t="s">
        <v>378</v>
      </c>
      <c r="C1" s="59" t="s">
        <v>379</v>
      </c>
      <c r="D1" s="98" t="s">
        <v>380</v>
      </c>
      <c r="E1" s="98" t="s">
        <v>381</v>
      </c>
      <c r="F1" s="59" t="s">
        <v>43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c r="EM1" s="99">
        <v>141</v>
      </c>
      <c r="EN1" s="99">
        <v>142</v>
      </c>
      <c r="EO1" s="99">
        <v>143</v>
      </c>
      <c r="EP1" s="99">
        <v>144</v>
      </c>
      <c r="EQ1" s="99">
        <v>145</v>
      </c>
      <c r="ER1" s="99">
        <v>146</v>
      </c>
      <c r="ES1" s="99">
        <v>147</v>
      </c>
      <c r="ET1" s="99">
        <v>148</v>
      </c>
      <c r="EU1" s="99">
        <v>149</v>
      </c>
      <c r="EV1" s="99">
        <v>150</v>
      </c>
      <c r="EW1" s="99">
        <v>151</v>
      </c>
      <c r="EX1" s="99">
        <v>152</v>
      </c>
      <c r="EY1" s="99">
        <v>153</v>
      </c>
      <c r="EZ1" s="99">
        <v>154</v>
      </c>
      <c r="FA1" s="99">
        <v>155</v>
      </c>
      <c r="FB1" s="99">
        <v>156</v>
      </c>
      <c r="FC1" s="99">
        <v>157</v>
      </c>
      <c r="FD1" s="99">
        <v>158</v>
      </c>
      <c r="FE1" s="99">
        <v>159</v>
      </c>
      <c r="FF1" s="99">
        <v>160</v>
      </c>
      <c r="FG1" s="99">
        <v>161</v>
      </c>
      <c r="FH1" s="99">
        <v>162</v>
      </c>
    </row>
    <row r="2" spans="1:164" ht="15">
      <c r="A2" s="45"/>
      <c r="B2" s="112"/>
      <c r="C2" s="101"/>
      <c r="D2" s="112"/>
      <c r="K2" s="102"/>
      <c r="M2" s="102"/>
      <c r="AT2" s="60">
        <f>51631/1000</f>
        <v>51.631</v>
      </c>
    </row>
    <row r="3" spans="1:164">
      <c r="A3" s="100"/>
      <c r="B3" s="64"/>
      <c r="D3" s="100"/>
      <c r="E3" s="64"/>
      <c r="F3" s="103"/>
    </row>
    <row r="4" spans="1:164">
      <c r="A4" s="64"/>
      <c r="B4" s="64"/>
      <c r="D4" s="64"/>
      <c r="E4" s="64"/>
      <c r="H4" s="60" t="s">
        <v>387</v>
      </c>
    </row>
    <row r="5" spans="1:164" hidden="1">
      <c r="A5" s="74"/>
      <c r="B5" s="74"/>
    </row>
    <row r="6" spans="1:164">
      <c r="A6" s="59"/>
      <c r="B6" s="59"/>
      <c r="C6" s="59"/>
      <c r="D6" s="98"/>
      <c r="E6" s="98"/>
      <c r="F6" s="59"/>
      <c r="H6" s="59" t="s">
        <v>416</v>
      </c>
      <c r="I6" s="59">
        <v>43831</v>
      </c>
      <c r="J6" s="59">
        <v>43862</v>
      </c>
      <c r="K6" s="59">
        <v>43891</v>
      </c>
      <c r="L6" s="59">
        <v>43922</v>
      </c>
      <c r="M6" s="59">
        <v>43952</v>
      </c>
      <c r="N6" s="59">
        <v>43983</v>
      </c>
      <c r="O6" s="59">
        <v>44013</v>
      </c>
      <c r="P6" s="59">
        <v>44044</v>
      </c>
      <c r="Q6" s="59">
        <v>44075</v>
      </c>
      <c r="R6" s="59">
        <v>44105</v>
      </c>
      <c r="S6" s="59">
        <v>44136</v>
      </c>
      <c r="T6" s="59">
        <v>44166</v>
      </c>
      <c r="U6" s="59">
        <v>44197</v>
      </c>
      <c r="V6" s="59">
        <v>44228</v>
      </c>
      <c r="W6" s="59">
        <v>44256</v>
      </c>
      <c r="X6" s="59">
        <v>44287</v>
      </c>
      <c r="Y6" s="59">
        <v>44317</v>
      </c>
      <c r="Z6" s="59">
        <v>44348</v>
      </c>
      <c r="AA6" s="59">
        <v>44378</v>
      </c>
      <c r="AB6" s="59">
        <v>44409</v>
      </c>
      <c r="AC6" s="59">
        <v>44440</v>
      </c>
      <c r="AD6" s="59">
        <v>44470</v>
      </c>
      <c r="AE6" s="59">
        <v>44501</v>
      </c>
      <c r="AF6" s="59">
        <v>44531</v>
      </c>
      <c r="AG6" s="59">
        <v>44562</v>
      </c>
      <c r="AH6" s="59">
        <v>44593</v>
      </c>
      <c r="AI6" s="59">
        <v>44621</v>
      </c>
      <c r="AJ6" s="59">
        <v>44652</v>
      </c>
      <c r="AK6" s="59">
        <v>44682</v>
      </c>
      <c r="AL6" s="59">
        <v>44713</v>
      </c>
      <c r="AM6" s="59">
        <v>44743</v>
      </c>
      <c r="AN6" s="59">
        <v>44774</v>
      </c>
      <c r="AO6" s="59">
        <v>44805</v>
      </c>
      <c r="AP6" s="59">
        <v>44835</v>
      </c>
      <c r="AQ6" s="59">
        <v>44866</v>
      </c>
      <c r="AR6" s="59">
        <v>44896</v>
      </c>
      <c r="AS6" s="59">
        <v>44927</v>
      </c>
      <c r="AT6" s="59">
        <v>44958</v>
      </c>
      <c r="AU6" s="59">
        <v>44986</v>
      </c>
      <c r="AV6" s="59">
        <v>45017</v>
      </c>
      <c r="AW6" s="59">
        <v>45047</v>
      </c>
      <c r="AX6" s="59">
        <v>45078</v>
      </c>
      <c r="AY6" s="59">
        <v>45108</v>
      </c>
      <c r="AZ6" s="59" t="s">
        <v>530</v>
      </c>
      <c r="BA6" s="59" t="s">
        <v>531</v>
      </c>
      <c r="BB6" s="59" t="s">
        <v>532</v>
      </c>
      <c r="BC6" s="59">
        <v>37104</v>
      </c>
      <c r="BD6" s="59">
        <v>37469</v>
      </c>
      <c r="BE6" s="59" t="s">
        <v>168</v>
      </c>
      <c r="BF6" s="59" t="s">
        <v>169</v>
      </c>
      <c r="BG6" s="59" t="s">
        <v>421</v>
      </c>
      <c r="BH6" s="59" t="s">
        <v>422</v>
      </c>
      <c r="BI6" s="59" t="s">
        <v>423</v>
      </c>
      <c r="BJ6" s="59" t="s">
        <v>424</v>
      </c>
      <c r="BK6" s="59" t="s">
        <v>435</v>
      </c>
      <c r="BL6" s="59" t="s">
        <v>436</v>
      </c>
      <c r="BM6" s="59" t="s">
        <v>437</v>
      </c>
      <c r="BN6" s="59" t="s">
        <v>438</v>
      </c>
      <c r="BO6" s="59">
        <v>37196</v>
      </c>
      <c r="BP6" s="59">
        <v>37561</v>
      </c>
      <c r="BQ6" s="59">
        <v>37926</v>
      </c>
      <c r="BR6" s="59">
        <v>38292</v>
      </c>
      <c r="BS6" s="59">
        <v>37226</v>
      </c>
      <c r="BT6" s="59">
        <v>37591</v>
      </c>
      <c r="BU6" s="59">
        <v>37956</v>
      </c>
      <c r="BV6" s="59">
        <v>38322</v>
      </c>
      <c r="BW6" s="59">
        <v>36892</v>
      </c>
      <c r="BX6" s="59">
        <v>37257</v>
      </c>
      <c r="BY6" s="59">
        <v>37622</v>
      </c>
      <c r="BZ6" s="59">
        <v>37987</v>
      </c>
      <c r="CA6" s="59">
        <v>36923</v>
      </c>
      <c r="CB6" s="59">
        <v>37288</v>
      </c>
      <c r="CC6" s="59">
        <v>37653</v>
      </c>
      <c r="CD6" s="59">
        <v>38018</v>
      </c>
      <c r="CE6" s="59" t="str">
        <f>Sheet8!A15</f>
        <v>Mar-w1</v>
      </c>
      <c r="CF6" s="59">
        <v>37316</v>
      </c>
      <c r="CG6" s="59">
        <v>37681</v>
      </c>
      <c r="CH6" s="59">
        <v>38047</v>
      </c>
      <c r="CI6" s="59" t="str">
        <f>Sheet8!E15</f>
        <v>Apr-w1</v>
      </c>
      <c r="CJ6" s="59" t="str">
        <f>Sheet8!F15</f>
        <v>Apr-w2</v>
      </c>
      <c r="CK6" s="59" t="str">
        <f>Sheet8!G15</f>
        <v>Apr-w3</v>
      </c>
      <c r="CL6" s="59" t="str">
        <f>Sheet8!H15</f>
        <v>Apr-w4</v>
      </c>
      <c r="CM6" s="59" t="str">
        <f>Sheet8!I15</f>
        <v>May-w1</v>
      </c>
      <c r="CN6" s="59" t="str">
        <f>Sheet8!J15</f>
        <v>May-w2</v>
      </c>
      <c r="CO6" s="59" t="str">
        <f>Sheet8!K15</f>
        <v>May-w3</v>
      </c>
      <c r="CP6" s="59" t="str">
        <f>Sheet8!L15</f>
        <v>May-w4</v>
      </c>
      <c r="CQ6" s="59" t="str">
        <f>Sheet8!M15</f>
        <v>May-w5</v>
      </c>
      <c r="CR6" s="59" t="str">
        <f>Sheet8!N15</f>
        <v>june-w1</v>
      </c>
      <c r="CS6" s="59" t="str">
        <f>Sheet8!O15</f>
        <v>june-w2</v>
      </c>
      <c r="CT6" s="59" t="str">
        <f>Sheet8!P15</f>
        <v>june-w3</v>
      </c>
      <c r="CU6" s="59" t="str">
        <f>Sheet8!Q15</f>
        <v>june-w4</v>
      </c>
      <c r="CV6" s="59" t="str">
        <f>Sheet8!R15</f>
        <v>Jul-w1</v>
      </c>
      <c r="CW6" s="59" t="str">
        <f>Sheet8!S15</f>
        <v>Jul-w2</v>
      </c>
      <c r="CX6" s="59" t="str">
        <f>Sheet8!T15</f>
        <v>Jul-w3</v>
      </c>
      <c r="CY6" s="59" t="str">
        <f>Sheet8!U15</f>
        <v>Jul-w4</v>
      </c>
      <c r="CZ6" s="59" t="str">
        <f>Sheet8!V15</f>
        <v>Aug-w1</v>
      </c>
      <c r="DA6" s="59" t="str">
        <f>Sheet8!W15</f>
        <v>Aug-w2</v>
      </c>
      <c r="DB6" s="59" t="str">
        <f>Sheet8!X15</f>
        <v>Aug-w3</v>
      </c>
      <c r="DC6" s="59" t="str">
        <f>Sheet8!Y15</f>
        <v>Aug-w4</v>
      </c>
      <c r="DD6" s="59" t="str">
        <f>Sheet8!Z15</f>
        <v>Sep-w1</v>
      </c>
      <c r="DE6" s="59" t="str">
        <f>Sheet8!AA15</f>
        <v>Sep-w2</v>
      </c>
      <c r="DF6" s="59" t="str">
        <f>Sheet8!AB15</f>
        <v>Sep-w3</v>
      </c>
      <c r="DG6" s="59" t="str">
        <f>Sheet8!AC15</f>
        <v>Sep-w4</v>
      </c>
      <c r="DH6" s="59" t="str">
        <f>Sheet8!AD15</f>
        <v>Oct-w1</v>
      </c>
      <c r="DI6" s="59" t="str">
        <f>Sheet8!AE15</f>
        <v>Oct-w2</v>
      </c>
      <c r="DJ6" s="59" t="str">
        <f>Sheet8!AF15</f>
        <v>Oct-w3</v>
      </c>
      <c r="DK6" s="59" t="str">
        <f>Sheet8!AG15</f>
        <v>Oct-w4</v>
      </c>
      <c r="DL6" s="59" t="str">
        <f>Sheet8!AH15</f>
        <v>Nov-w1</v>
      </c>
      <c r="DM6" s="59" t="str">
        <f>Sheet8!AI15</f>
        <v>Nov-w2</v>
      </c>
      <c r="DN6" s="59" t="str">
        <f>Sheet8!AJ15</f>
        <v>Nov-w3</v>
      </c>
      <c r="DO6" s="59" t="str">
        <f>Sheet8!AK15</f>
        <v>Nov-w4</v>
      </c>
      <c r="DP6" s="59" t="str">
        <f>Sheet8!AL15</f>
        <v>Dec-w1</v>
      </c>
      <c r="DQ6" s="59" t="str">
        <f>Sheet8!AM15</f>
        <v>Dec-w2</v>
      </c>
      <c r="DR6" s="59" t="str">
        <f>Sheet8!AN15</f>
        <v>Dec-w3</v>
      </c>
      <c r="DS6" s="59" t="str">
        <f>Sheet8!AO15</f>
        <v>Dec-w4</v>
      </c>
      <c r="DT6" s="59">
        <f>Sheet8!AP15</f>
        <v>0</v>
      </c>
      <c r="DU6" s="59">
        <f>Sheet8!AQ15</f>
        <v>0</v>
      </c>
      <c r="DV6" s="59">
        <f>Sheet8!AR15</f>
        <v>0</v>
      </c>
      <c r="DW6" s="59">
        <f>Sheet8!AS15</f>
        <v>0</v>
      </c>
      <c r="DX6" s="59">
        <f>Sheet8!AT15</f>
        <v>0</v>
      </c>
      <c r="DY6" s="59">
        <f>Sheet8!AU15</f>
        <v>0</v>
      </c>
      <c r="DZ6" s="59">
        <f>Sheet8!AV15</f>
        <v>0</v>
      </c>
      <c r="EA6" s="59">
        <f>Sheet8!AW15</f>
        <v>0</v>
      </c>
      <c r="EB6" s="59">
        <f>Sheet8!AX15</f>
        <v>0</v>
      </c>
      <c r="EC6" s="59">
        <f>Sheet8!AY15</f>
        <v>0</v>
      </c>
      <c r="ED6" s="59">
        <f>Sheet8!AZ15</f>
        <v>0</v>
      </c>
      <c r="EE6" s="59">
        <f>Sheet8!BA15</f>
        <v>0</v>
      </c>
      <c r="EF6" s="59">
        <f>Sheet8!BB15</f>
        <v>0</v>
      </c>
      <c r="EG6" s="59">
        <f>Sheet8!BC15</f>
        <v>0</v>
      </c>
      <c r="EH6" s="59">
        <f>Sheet8!BD15</f>
        <v>0</v>
      </c>
      <c r="EI6" s="59">
        <f>Sheet8!BE15</f>
        <v>0</v>
      </c>
      <c r="EJ6" s="59">
        <f>Sheet8!BF15</f>
        <v>0</v>
      </c>
      <c r="EK6" s="59">
        <f>Sheet8!BG15</f>
        <v>0</v>
      </c>
      <c r="EL6" s="59">
        <f>Sheet8!BH15</f>
        <v>0</v>
      </c>
      <c r="EM6" s="59">
        <f>Sheet8!BI15</f>
        <v>0</v>
      </c>
      <c r="EN6" s="59">
        <f>Sheet8!BJ15</f>
        <v>0</v>
      </c>
      <c r="EO6" s="59">
        <f>Sheet8!BK15</f>
        <v>0</v>
      </c>
      <c r="EP6" s="59">
        <f>Sheet8!BL15</f>
        <v>0</v>
      </c>
      <c r="EQ6" s="59">
        <f>Sheet8!BM15</f>
        <v>0</v>
      </c>
      <c r="ER6" s="59">
        <f>Sheet8!BN15</f>
        <v>0</v>
      </c>
      <c r="ES6" s="59">
        <f>Sheet8!BO15</f>
        <v>0</v>
      </c>
      <c r="ET6" s="59">
        <f>Sheet8!BP15</f>
        <v>0</v>
      </c>
      <c r="EU6" s="59">
        <f>Sheet8!BQ15</f>
        <v>0</v>
      </c>
      <c r="EV6" s="59">
        <f>Sheet8!BR15</f>
        <v>0</v>
      </c>
      <c r="EW6" s="59">
        <f>Sheet8!BS15</f>
        <v>0</v>
      </c>
      <c r="EX6" s="59">
        <f>Sheet8!BT15</f>
        <v>0</v>
      </c>
      <c r="EY6" s="59">
        <f>Sheet8!BU15</f>
        <v>0</v>
      </c>
      <c r="EZ6" s="59">
        <f>Sheet8!BV15</f>
        <v>0</v>
      </c>
      <c r="FA6" s="59">
        <f>Sheet8!BW15</f>
        <v>0</v>
      </c>
      <c r="FB6" s="59">
        <f>Sheet8!BX15</f>
        <v>0</v>
      </c>
      <c r="FC6" s="59">
        <f>Sheet8!BY15</f>
        <v>0</v>
      </c>
      <c r="FD6" s="59">
        <f>Sheet8!BZ15</f>
        <v>0</v>
      </c>
      <c r="FE6" s="59">
        <f>Sheet8!CA15</f>
        <v>0</v>
      </c>
    </row>
    <row r="7" spans="1:164">
      <c r="B7" s="44"/>
      <c r="D7" s="44"/>
      <c r="H7" s="44" t="s">
        <v>369</v>
      </c>
      <c r="I7" s="74">
        <f>VLOOKUP($H$7&amp;$F$1,'Input RM sheet'!$A:$BD,H1,0)</f>
        <v>0</v>
      </c>
      <c r="J7" s="74">
        <f>VLOOKUP($H$7&amp;$F$1,'Input RM sheet'!$A:$BD,I1,0)</f>
        <v>0</v>
      </c>
      <c r="K7" s="74">
        <f>VLOOKUP($H$7&amp;$F$1,'Input RM sheet'!$A:$BD,J1,0)</f>
        <v>0</v>
      </c>
      <c r="L7" s="74">
        <f>VLOOKUP($H$7&amp;$F$1,'Input RM sheet'!$A:$BD,K1,0)</f>
        <v>0</v>
      </c>
      <c r="M7" s="74">
        <f>VLOOKUP($H$7&amp;$F$1,'Input RM sheet'!$A:$BD,L1,0)</f>
        <v>0</v>
      </c>
      <c r="N7" s="74">
        <f>VLOOKUP($H$7&amp;$F$1,'Input RM sheet'!$A:$BD,M1,0)</f>
        <v>0</v>
      </c>
      <c r="O7" s="74">
        <f>VLOOKUP($H$7&amp;$F$1,'Input RM sheet'!$A:$BD,N1,0)</f>
        <v>0</v>
      </c>
      <c r="P7" s="74">
        <f>VLOOKUP($H$7&amp;$F$1,'Input RM sheet'!$A:$BD,O1,0)</f>
        <v>0</v>
      </c>
      <c r="Q7" s="74">
        <f>VLOOKUP($H$7&amp;$F$1,'Input RM sheet'!$A:$BD,P1,0)</f>
        <v>0</v>
      </c>
      <c r="R7" s="74">
        <f>VLOOKUP($H$7&amp;$F$1,'Input RM sheet'!$A:$BD,Q1,0)</f>
        <v>0</v>
      </c>
      <c r="S7" s="74">
        <f>VLOOKUP($H$7&amp;$F$1,'Input RM sheet'!$A:$BD,R1,0)</f>
        <v>0</v>
      </c>
      <c r="T7" s="74">
        <f>VLOOKUP($H$7&amp;$F$1,'Input RM sheet'!$A:$BD,S1,0)</f>
        <v>0</v>
      </c>
      <c r="U7" s="74">
        <f>VLOOKUP($H$7&amp;$F$1,'Input RM sheet'!$A:$BD,T1,0)</f>
        <v>0</v>
      </c>
      <c r="V7" s="74">
        <f>VLOOKUP($H$7&amp;$F$1,'Input RM sheet'!$A:$BD,U1,0)</f>
        <v>0</v>
      </c>
      <c r="W7" s="74">
        <f>VLOOKUP($H$7&amp;$F$1,'Input RM sheet'!$A:$BD,V1,0)</f>
        <v>0</v>
      </c>
      <c r="X7" s="74">
        <f>VLOOKUP($H$7&amp;$F$1,'Input RM sheet'!$A:$BD,W1,0)</f>
        <v>0</v>
      </c>
      <c r="Y7" s="74">
        <f>VLOOKUP($H$7&amp;$F$1,'Input RM sheet'!$A:$BD,X1,0)</f>
        <v>0</v>
      </c>
      <c r="Z7" s="74">
        <f>VLOOKUP($H$7&amp;$F$1,'Input RM sheet'!$A:$BD,Y1,0)</f>
        <v>0</v>
      </c>
      <c r="AA7" s="74">
        <f>VLOOKUP($H$7&amp;$F$1,'Input RM sheet'!$A:$BD,Z1,0)</f>
        <v>0</v>
      </c>
      <c r="AB7" s="74">
        <f>VLOOKUP($H$7&amp;$F$1,'Input RM sheet'!$A:$BD,AA1,0)</f>
        <v>0</v>
      </c>
      <c r="AC7" s="74">
        <f>VLOOKUP($H$7&amp;$F$1,'Input RM sheet'!$A:$BD,AB1,0)</f>
        <v>0</v>
      </c>
      <c r="AD7" s="74">
        <f>VLOOKUP($H$7&amp;$F$1,'Input RM sheet'!$A:$BD,AC1,0)</f>
        <v>0</v>
      </c>
      <c r="AE7" s="74">
        <f>VLOOKUP($H$7&amp;$F$1,'Input RM sheet'!$A:$BD,AD1,0)</f>
        <v>0</v>
      </c>
      <c r="AF7" s="74">
        <f>VLOOKUP($H$7&amp;$F$1,'Input RM sheet'!$A:$BD,AE1,0)</f>
        <v>0</v>
      </c>
      <c r="AG7" s="74">
        <f>VLOOKUP($H$7&amp;$F$1,'Input RM sheet'!$A:$BD,AF1,0)</f>
        <v>0</v>
      </c>
      <c r="AH7" s="74">
        <f>VLOOKUP($H$7&amp;$F$1,'Input RM sheet'!$A:$BD,AG1,0)</f>
        <v>0</v>
      </c>
      <c r="AI7" s="74">
        <f>VLOOKUP($H$7&amp;$F$1,'Input RM sheet'!$A:$BD,AH1,0)</f>
        <v>0</v>
      </c>
      <c r="AJ7" s="74">
        <f>VLOOKUP($H$7&amp;$F$1,'Input RM sheet'!$A:$BD,AI1,0)</f>
        <v>0</v>
      </c>
      <c r="AK7" s="74">
        <f>VLOOKUP($H$7&amp;$F$1,'Input RM sheet'!$A:$BD,AJ1,0)</f>
        <v>0</v>
      </c>
      <c r="AL7" s="74">
        <f>VLOOKUP($H$7&amp;$F$1,'Input RM sheet'!$A:$BD,AK1,0)</f>
        <v>146.5</v>
      </c>
      <c r="AM7" s="74">
        <f>VLOOKUP($H$7&amp;$F$1,'Input RM sheet'!$A:$BD,AL1,0)</f>
        <v>146.5</v>
      </c>
      <c r="AN7" s="74">
        <f>VLOOKUP($H$7&amp;$F$1,'Input RM sheet'!$A:$BD,AM1,0)</f>
        <v>143</v>
      </c>
      <c r="AO7" s="74">
        <f>VLOOKUP($H$7&amp;$F$1,'Input RM sheet'!$A:$BD,AN1,0)</f>
        <v>135</v>
      </c>
      <c r="AP7" s="74">
        <f>VLOOKUP($H$7&amp;$F$1,'Input RM sheet'!$A:$BD,AO1,0)</f>
        <v>141</v>
      </c>
      <c r="AQ7" s="74">
        <f>VLOOKUP($H$7&amp;$F$1,'Input RM sheet'!$A:$BD,AP1,0)</f>
        <v>133</v>
      </c>
      <c r="AR7" s="74">
        <f>VLOOKUP($H$7&amp;$F$1,'Input RM sheet'!$A:$BD,AQ1,0)</f>
        <v>137</v>
      </c>
      <c r="AS7" s="74">
        <f>VLOOKUP($H$7&amp;$F$1,'Input RM sheet'!$A:$BD,AR1,0)</f>
        <v>135</v>
      </c>
      <c r="AT7" s="74">
        <f>VLOOKUP($H$7&amp;$F$1,'Input RM sheet'!$A:$BD,AS1,0)</f>
        <v>118.5</v>
      </c>
      <c r="AU7" s="74">
        <f>VLOOKUP($H$7&amp;$F$1,'Input RM sheet'!$A:$BD,AT1,0)</f>
        <v>110</v>
      </c>
      <c r="AV7" s="74">
        <f>VLOOKUP($H$7&amp;$F$1,'Input RM sheet'!$A:$BD,AU1,0)</f>
        <v>113</v>
      </c>
      <c r="AW7" s="74">
        <f>VLOOKUP($H$7&amp;$F$1,'Input RM sheet'!$A:$BD,AV1,0)</f>
        <v>101</v>
      </c>
      <c r="AX7" s="74">
        <f>VLOOKUP($H$7&amp;$F$1,'Input RM sheet'!$A:$BD,AW1,0)</f>
        <v>98</v>
      </c>
      <c r="AY7" s="74">
        <f>VLOOKUP($H$7&amp;$F$1,'Input RM sheet'!$A:$BD,AX1,0)</f>
        <v>105</v>
      </c>
      <c r="AZ7" s="74">
        <f>VLOOKUP($H$7&amp;$F$1,'Input RM sheet'!$A:$BD,AY1,0)</f>
        <v>105</v>
      </c>
      <c r="BA7" s="74">
        <f>VLOOKUP($H$7&amp;$F$1,'Input RM sheet'!$A:$BD,AZ1,0)</f>
        <v>107</v>
      </c>
      <c r="BB7" s="74">
        <f>VLOOKUP($H$7&amp;$F$1,'Input RM sheet'!$A:$BD,BA1,0)</f>
        <v>110</v>
      </c>
      <c r="BC7" s="74">
        <f>VLOOKUP($H$7&amp;$F$1,'Input RM sheet'!$A:$BD,BB1,0)</f>
        <v>112</v>
      </c>
      <c r="BD7" s="74">
        <f>VLOOKUP($H$7&amp;$F$1,'Input RM sheet'!$A:$BD,BC1,0)</f>
        <v>111</v>
      </c>
      <c r="BE7" s="74">
        <f>VLOOKUP($H$7&amp;$F$1,'Input RM sheet'!$A:$BD,BD1,0)</f>
        <v>110</v>
      </c>
      <c r="BF7" s="74">
        <f>VLOOKUP($H$7&amp;$F$1,'Input RM sheet'!$A:$BD,BE1,0)</f>
        <v>109</v>
      </c>
      <c r="BG7" s="74">
        <f>VLOOKUP($H$7&amp;$F$1,'Input RM sheet'!$A:$BD,BF1,0)</f>
        <v>106</v>
      </c>
      <c r="BH7" s="74">
        <f>VLOOKUP($H$7&amp;$F$1,'Input RM sheet'!$A:$DD,BG1,0)</f>
        <v>102</v>
      </c>
      <c r="BI7" s="74">
        <f>VLOOKUP($H$7&amp;$F$1,'Input RM sheet'!$A:$DD,BH1,0)</f>
        <v>101</v>
      </c>
      <c r="BJ7" s="74">
        <f>VLOOKUP($H$7&amp;$F$1,'Input RM sheet'!$A:$DD,BI1,0)</f>
        <v>100</v>
      </c>
      <c r="BK7" s="74">
        <f>VLOOKUP($H$7&amp;$F$1,'Input RM sheet'!$A:$DD,BJ1,0)</f>
        <v>100</v>
      </c>
      <c r="BL7" s="74">
        <f>VLOOKUP($H$7&amp;$F$1,'Input RM sheet'!$A:$DD,BK1,0)</f>
        <v>100</v>
      </c>
      <c r="BM7" s="74">
        <f>VLOOKUP($H$7&amp;$F$1,'Input RM sheet'!$A:$DD,BL1,0)</f>
        <v>103</v>
      </c>
      <c r="BN7" s="74">
        <f>VLOOKUP($H$7&amp;$F$1,'Input RM sheet'!$A:$DD,BM1,0)</f>
        <v>107</v>
      </c>
      <c r="BO7" s="74">
        <f>VLOOKUP($H$7&amp;$F$1,'Input RM sheet'!$A:$DD,BN1,0)</f>
        <v>105</v>
      </c>
      <c r="BP7" s="74">
        <f>VLOOKUP($H$7&amp;$F$1,'Input RM sheet'!$A:$DD,BO1,0)</f>
        <v>107</v>
      </c>
      <c r="BQ7" s="74">
        <f>VLOOKUP($H$7&amp;$F$1,'Input RM sheet'!$A:$DD,BP1,0)</f>
        <v>106</v>
      </c>
      <c r="BR7" s="74">
        <f>VLOOKUP($H$7&amp;$F$1,'Input RM sheet'!$A:$DD,BQ1,0)</f>
        <v>107</v>
      </c>
      <c r="BS7" s="74">
        <f>VLOOKUP($H$7&amp;$F$1,'Input RM sheet'!$A:$DD,BR1,0)</f>
        <v>105</v>
      </c>
      <c r="BT7" s="74">
        <f>VLOOKUP($H$7&amp;$F$1,'Input RM sheet'!$A:$DD,BS1,0)</f>
        <v>104</v>
      </c>
      <c r="BU7" s="74">
        <f>VLOOKUP($H$7&amp;$F$1,'Input RM sheet'!$A:$DD,BT1,0)</f>
        <v>100</v>
      </c>
      <c r="BV7" s="74">
        <f>VLOOKUP($H$7&amp;$F$1,'Input RM sheet'!$A:$DD,BU1,0)</f>
        <v>99</v>
      </c>
      <c r="BW7" s="74">
        <f>VLOOKUP($H$7&amp;$F$1,'Input RM sheet'!$A:$DD,BV1,0)</f>
        <v>98</v>
      </c>
      <c r="BX7" s="74">
        <f>VLOOKUP($H$7&amp;$F$1,'Input RM sheet'!$A:$DD,BW1,0)</f>
        <v>99</v>
      </c>
      <c r="BY7" s="74">
        <f>VLOOKUP($H$7&amp;$F$1,'Input RM sheet'!$A:$DD,BX1,0)</f>
        <v>100</v>
      </c>
      <c r="BZ7" s="74">
        <f>VLOOKUP($H$7&amp;$F$1,'Input RM sheet'!$A:$DD,BY1,0)</f>
        <v>100</v>
      </c>
      <c r="CA7" s="74">
        <f>VLOOKUP($H$7&amp;$F$1,'Input RM sheet'!$A:$DD,BZ1,0)</f>
        <v>99</v>
      </c>
      <c r="CB7" s="74">
        <f>VLOOKUP($H$7&amp;$F$1,'Input RM sheet'!$A:$DD,CA1,0)</f>
        <v>99</v>
      </c>
      <c r="CC7" s="74">
        <f>VLOOKUP($H$7&amp;$F$1,'Input RM sheet'!$A:$DD,CB1,0)</f>
        <v>99</v>
      </c>
      <c r="CD7" s="74">
        <f>VLOOKUP($H$7&amp;$F$1,'Input RM sheet'!$A:$DD,CC1,0)</f>
        <v>100</v>
      </c>
      <c r="CE7" s="74">
        <f>VLOOKUP($H$7&amp;$F$1,'Input RM sheet'!$A:$DD,CD1,0)</f>
        <v>101</v>
      </c>
      <c r="CF7" s="74">
        <f>VLOOKUP($H$7&amp;$F$1,'Input RM sheet'!$A:$DD,CE1,0)</f>
        <v>102</v>
      </c>
      <c r="CG7" s="74">
        <f>VLOOKUP($H$7&amp;$F$1,'Input RM sheet'!$A:$DD,CF1,0)</f>
        <v>103</v>
      </c>
      <c r="CH7" s="74">
        <f>VLOOKUP($H$7&amp;$F$1,'Input RM sheet'!$A:$DD,CG1,0)</f>
        <v>103</v>
      </c>
      <c r="CI7" s="74">
        <f>VLOOKUP($H$7&amp;$F$1,'Input RM sheet'!$A:$DD,CH1,0)</f>
        <v>105</v>
      </c>
      <c r="CJ7" s="74">
        <f>VLOOKUP($H$7&amp;$F$1,'Input RM sheet'!$A:$DD,CI1,0)</f>
        <v>102</v>
      </c>
      <c r="CK7" s="74">
        <f>VLOOKUP($H$7&amp;$F$1,'Input RM sheet'!$A:$DD,CJ1,0)</f>
        <v>102</v>
      </c>
      <c r="CL7" s="74">
        <f>VLOOKUP($H$7&amp;$F$1,'Input RM sheet'!$A:$DD,CK1,0)</f>
        <v>102</v>
      </c>
      <c r="CM7" s="74">
        <f>VLOOKUP($H$7&amp;$F$1,'Input RM sheet'!$A:$DD,CL1,0)</f>
        <v>101</v>
      </c>
      <c r="CN7" s="74">
        <f>VLOOKUP($H$7&amp;$F$1,'Input RM sheet'!$A:$DD,CM1,0)</f>
        <v>106</v>
      </c>
      <c r="CO7" s="74">
        <f>VLOOKUP($H$7&amp;$F$1,'Input RM sheet'!$A:$DD,CN1,0)</f>
        <v>114</v>
      </c>
      <c r="CP7" s="74">
        <f>VLOOKUP($H$7&amp;$F$1,'Input RM sheet'!$A:$DD,CO1,0)</f>
        <v>117</v>
      </c>
      <c r="CQ7" s="74">
        <f>VLOOKUP($H$7&amp;$F$1,'Input RM sheet'!$A:$DD,CP1,0)</f>
        <v>117</v>
      </c>
      <c r="CR7" s="74">
        <f>VLOOKUP($H$7&amp;$F$1,'Input RM sheet'!$A:$ZZ,CQ1,0)</f>
        <v>116</v>
      </c>
      <c r="CS7" s="74">
        <f>VLOOKUP($H$7&amp;$F$1,'Input RM sheet'!$A:$ZZ,CR1,0)</f>
        <v>117</v>
      </c>
      <c r="CT7" s="74">
        <f>VLOOKUP($H$7&amp;$F$1,'Input RM sheet'!$A:$ZZ,CS1,0)</f>
        <v>117</v>
      </c>
      <c r="CU7" s="74">
        <f>VLOOKUP($H$7&amp;$F$1,'Input RM sheet'!$A:$ZZ,CT1,0)</f>
        <v>117</v>
      </c>
      <c r="CV7" s="74">
        <f>VLOOKUP($H$7&amp;$F$1,'Input RM sheet'!$A:$ZZ,CU1,0)</f>
        <v>119</v>
      </c>
      <c r="CW7" s="74">
        <f>VLOOKUP($H$7&amp;$F$1,'Input RM sheet'!$A:$ZZ,CV1,0)</f>
        <v>119</v>
      </c>
      <c r="CX7" s="74">
        <f>VLOOKUP($H$7&amp;$F$1,'Input RM sheet'!$A:$ZZ,CW1,0)</f>
        <v>119</v>
      </c>
      <c r="CY7" s="74">
        <f>VLOOKUP($H$7&amp;$F$1,'Input RM sheet'!$A:$ZZ,CX1,0)</f>
        <v>119</v>
      </c>
      <c r="CZ7" s="74">
        <f>VLOOKUP($H$7&amp;$F$1,'Input RM sheet'!$A:$ZZ,CY1,0)</f>
        <v>119</v>
      </c>
      <c r="DA7" s="74">
        <f>VLOOKUP($H$7&amp;$F$1,'Input RM sheet'!$A:$ZZ,CZ1,0)</f>
        <v>119</v>
      </c>
      <c r="DB7" s="74">
        <f>VLOOKUP($H$7&amp;$F$1,'Input RM sheet'!$A:$ZZ,DA1,0)</f>
        <v>119</v>
      </c>
      <c r="DC7" s="74">
        <f>VLOOKUP($H$7&amp;$F$1,'Input RM sheet'!$A:$ZZ,DB1,0)</f>
        <v>119</v>
      </c>
      <c r="DD7" s="74">
        <f>VLOOKUP($H$7&amp;$F$1,'Input RM sheet'!$A:$ZZ,DC1,0)</f>
        <v>124</v>
      </c>
      <c r="DE7" s="74">
        <f>VLOOKUP($H$7&amp;$F$1,'Input RM sheet'!$A:$ZZ,DD1,0)</f>
        <v>133</v>
      </c>
      <c r="DF7" s="74">
        <f>VLOOKUP($H$7&amp;$F$1,'Input RM sheet'!$A:$ZZ,DE1,0)</f>
        <v>133</v>
      </c>
      <c r="DG7" s="74">
        <f>VLOOKUP($H$7&amp;$F$1,'Input RM sheet'!$A:$ZZ,DF1,0)</f>
        <v>133</v>
      </c>
      <c r="DH7" s="74">
        <f>VLOOKUP($H$7&amp;$F$1,'Input RM sheet'!$A:$ZZ,DG1,0)</f>
        <v>142</v>
      </c>
      <c r="DI7" s="74">
        <f>VLOOKUP($H$7&amp;$F$1,'Input RM sheet'!$A:$ZZ,DH1,0)</f>
        <v>136.5</v>
      </c>
      <c r="DJ7" s="74">
        <f>VLOOKUP($H$7&amp;$F$1,'Input RM sheet'!$A:$ZZ,DI1,0)</f>
        <v>138</v>
      </c>
      <c r="DK7" s="74">
        <f>VLOOKUP($H$7&amp;$F$1,'Input RM sheet'!$A:$ZZ,DJ1,0)</f>
        <v>136</v>
      </c>
      <c r="DL7" s="74">
        <f>VLOOKUP($H$7&amp;$F$1,'Input RM sheet'!$A:$ZZ,DK1,0)</f>
        <v>136.5</v>
      </c>
      <c r="DM7" s="74">
        <f>VLOOKUP($H$7&amp;$F$1,'Input RM sheet'!$A:$ZZ,DL1,0)</f>
        <v>136.5</v>
      </c>
      <c r="DN7" s="74">
        <f>VLOOKUP($H$7&amp;$F$1,'Input RM sheet'!$A:$ZZ,DM1,0)</f>
        <v>137</v>
      </c>
      <c r="DO7" s="74">
        <f>VLOOKUP($H$7&amp;$F$1,'Input RM sheet'!$A:$ZZ,DN1,0)</f>
        <v>137</v>
      </c>
      <c r="DP7" s="74">
        <f>VLOOKUP($H$7&amp;$F$1,'Input RM sheet'!$A:$ZZ,DO1,0)</f>
        <v>138</v>
      </c>
      <c r="DQ7" s="74">
        <f>VLOOKUP($H$7&amp;$F$1,'Input RM sheet'!$A:$ZZ,DP1,0)</f>
        <v>136</v>
      </c>
      <c r="DR7" s="74">
        <f>VLOOKUP($H$7&amp;$F$1,'Input RM sheet'!$A:$ZZ,DQ1,0)</f>
        <v>135</v>
      </c>
      <c r="DS7" s="74">
        <f>VLOOKUP($H$7&amp;$F$1,'Input RM sheet'!$A:$ZZ,DR1,0)</f>
        <v>132</v>
      </c>
      <c r="DT7" s="74">
        <f>VLOOKUP($H$7&amp;$F$1,'Input RM sheet'!$A:$ZZ,DS1,0)</f>
        <v>0</v>
      </c>
      <c r="DU7" s="74">
        <f>VLOOKUP($H$7&amp;$F$1,'Input RM sheet'!$A:$ZZ,DT1,0)</f>
        <v>0</v>
      </c>
      <c r="DV7" s="74">
        <f>VLOOKUP($H$7&amp;$F$1,'Input RM sheet'!$A:$ZZ,DU1,0)</f>
        <v>0</v>
      </c>
      <c r="DW7" s="74">
        <f>VLOOKUP($H$7&amp;$F$1,'Input RM sheet'!$A:$ZZ,DV1,0)</f>
        <v>0</v>
      </c>
      <c r="DX7" s="74">
        <f>VLOOKUP($H$7&amp;$F$1,'Input RM sheet'!$A:$ZZ,DW1,0)</f>
        <v>0</v>
      </c>
      <c r="DY7" s="74">
        <f>VLOOKUP($H$7&amp;$F$1,'Input RM sheet'!$A:$ZZ,DX1,0)</f>
        <v>0</v>
      </c>
      <c r="DZ7" s="74">
        <f>VLOOKUP($H$7&amp;$F$1,'Input RM sheet'!$A:$ZZ,DY1,0)</f>
        <v>0</v>
      </c>
      <c r="EA7" s="74">
        <f>VLOOKUP($H$7&amp;$F$1,'Input RM sheet'!$A:$ZZ,DZ1,0)</f>
        <v>0</v>
      </c>
      <c r="EB7" s="74">
        <f>VLOOKUP($H$7&amp;$F$1,'Input RM sheet'!$A:$ZZ,EA1,0)</f>
        <v>0</v>
      </c>
      <c r="EC7" s="74">
        <f>VLOOKUP($H$7&amp;$F$1,'Input RM sheet'!$A:$ZZ,EB1,0)</f>
        <v>0</v>
      </c>
      <c r="ED7" s="74">
        <f>VLOOKUP($H$7&amp;$F$1,'Input RM sheet'!$A:$ZZ,EC1,0)</f>
        <v>0</v>
      </c>
      <c r="EE7" s="74">
        <f>VLOOKUP($H$7&amp;$F$1,'Input RM sheet'!$A:$ZZ,ED1,0)</f>
        <v>0</v>
      </c>
      <c r="EF7" s="74">
        <f>VLOOKUP($H$7&amp;$F$1,'Input RM sheet'!$A:$ZZ,EE1,0)</f>
        <v>0</v>
      </c>
      <c r="EG7" s="74">
        <f>VLOOKUP($H$7&amp;$F$1,'Input RM sheet'!$A:$ZZ,EF1,0)</f>
        <v>0</v>
      </c>
      <c r="EH7" s="74">
        <f>VLOOKUP($H$7&amp;$F$1,'Input RM sheet'!$A:$ZZ,EG1,0)</f>
        <v>0</v>
      </c>
      <c r="EI7" s="74">
        <f>VLOOKUP($H$7&amp;$F$1,'Input RM sheet'!$A:$ZZ,EH1,0)</f>
        <v>0</v>
      </c>
      <c r="EJ7" s="74">
        <f>VLOOKUP($H$7&amp;$F$1,'Input RM sheet'!$A:$ZZ,EI1,0)</f>
        <v>0</v>
      </c>
      <c r="EK7" s="74">
        <f>VLOOKUP($H$7&amp;$F$1,'Input RM sheet'!$A:$ZZ,EJ1,0)</f>
        <v>0</v>
      </c>
      <c r="EL7" s="74">
        <f>VLOOKUP($H$7&amp;$F$1,'Input RM sheet'!$A:$ZZ,EK1,0)</f>
        <v>0</v>
      </c>
      <c r="EM7" s="74">
        <f>VLOOKUP($H$7&amp;$F$1,'Input RM sheet'!$A:$ZZ,EL1,0)</f>
        <v>0</v>
      </c>
      <c r="EN7" s="74">
        <f>VLOOKUP($H$7&amp;$F$1,'Input RM sheet'!$A:$ZZ,EM1,0)</f>
        <v>0</v>
      </c>
      <c r="EO7" s="74">
        <f>VLOOKUP($H$7&amp;$F$1,'Input RM sheet'!$A:$ZZ,EN1,0)</f>
        <v>0</v>
      </c>
      <c r="EP7" s="74">
        <f>VLOOKUP($H$7&amp;$F$1,'Input RM sheet'!$A:$ZZ,EO1,0)</f>
        <v>0</v>
      </c>
      <c r="EQ7" s="74">
        <f>VLOOKUP($H$7&amp;$F$1,'Input RM sheet'!$A:$ZZ,EP1,0)</f>
        <v>0</v>
      </c>
      <c r="ER7" s="74">
        <f>VLOOKUP($H$7&amp;$F$1,'Input RM sheet'!$A:$ZZ,EQ1,0)</f>
        <v>0</v>
      </c>
      <c r="ES7" s="74">
        <f>VLOOKUP($H$7&amp;$F$1,'Input RM sheet'!$A:$ZZ,ER1,0)</f>
        <v>0</v>
      </c>
      <c r="ET7" s="74">
        <f>VLOOKUP($H$7&amp;$F$1,'Input RM sheet'!$A:$ZZ,ES1,0)</f>
        <v>0</v>
      </c>
      <c r="EU7" s="74">
        <f>VLOOKUP($H$7&amp;$F$1,'Input RM sheet'!$A:$ZZ,ET1,0)</f>
        <v>0</v>
      </c>
      <c r="EV7" s="74">
        <f>VLOOKUP($H$7&amp;$F$1,'Input RM sheet'!$A:$ZZ,EU1,0)</f>
        <v>0</v>
      </c>
      <c r="EW7" s="74">
        <f>VLOOKUP($H$7&amp;$F$1,'Input RM sheet'!$A:$ZZ,EV1,0)</f>
        <v>0</v>
      </c>
      <c r="EX7" s="74">
        <f>VLOOKUP($H$7&amp;$F$1,'Input RM sheet'!$A:$ZZ,EW1,0)</f>
        <v>0</v>
      </c>
      <c r="EY7" s="74">
        <f>VLOOKUP($H$7&amp;$F$1,'Input RM sheet'!$A:$ZZ,EX1,0)</f>
        <v>0</v>
      </c>
      <c r="EZ7" s="74">
        <f>VLOOKUP($H$7&amp;$F$1,'Input RM sheet'!$A:$ZZ,EY1,0)</f>
        <v>0</v>
      </c>
      <c r="FA7" s="74">
        <f>VLOOKUP($H$7&amp;$F$1,'Input RM sheet'!$A:$ZZ,EZ1,0)</f>
        <v>0</v>
      </c>
      <c r="FB7" s="74">
        <f>VLOOKUP($H$7&amp;$F$1,'Input RM sheet'!$A:$ZZ,FA1,0)</f>
        <v>0</v>
      </c>
      <c r="FC7" s="74">
        <f>VLOOKUP($H$7&amp;$F$1,'Input RM sheet'!$A:$ZZ,FB1,0)</f>
        <v>0</v>
      </c>
      <c r="FD7" s="74">
        <f>VLOOKUP($H$7&amp;$F$1,'Input RM sheet'!$A:$ZZ,FC1,0)</f>
        <v>0</v>
      </c>
      <c r="FE7" s="74">
        <f>VLOOKUP($H$7&amp;$F$1,'Input RM sheet'!$A:$ZZ,FD1,0)</f>
        <v>0</v>
      </c>
    </row>
    <row r="8" spans="1:164">
      <c r="B8" s="44"/>
      <c r="D8" s="44"/>
      <c r="H8" s="178" t="s">
        <v>108</v>
      </c>
      <c r="I8" s="74">
        <f>VLOOKUP($H$8&amp;$F$1,'Input RM sheet'!$A:$ZZ,H1,0)</f>
        <v>36.713647274193548</v>
      </c>
      <c r="J8" s="74">
        <f>VLOOKUP($H$8&amp;$F$1,'Input RM sheet'!$A:$ZZ,I1,0)</f>
        <v>38.101151715517247</v>
      </c>
      <c r="K8" s="74">
        <f>VLOOKUP($H$8&amp;$F$1,'Input RM sheet'!$A:$ZZ,J1,0)</f>
        <v>40.859809940645178</v>
      </c>
      <c r="L8" s="74">
        <f>VLOOKUP($H$8&amp;$F$1,'Input RM sheet'!$A:$ZZ,K1,0)</f>
        <v>66.720167500000002</v>
      </c>
      <c r="M8" s="74">
        <f>VLOOKUP($H$8&amp;$F$1,'Input RM sheet'!$A:$ZZ,L1,0)</f>
        <v>75.724562509999984</v>
      </c>
      <c r="N8" s="74">
        <f>VLOOKUP($H$8&amp;$F$1,'Input RM sheet'!$A:$ZZ,M1,0)</f>
        <v>62.39945594400001</v>
      </c>
      <c r="O8" s="74">
        <f>VLOOKUP($H$8&amp;$F$1,'Input RM sheet'!$A:$ZZ,N1,0)</f>
        <v>45.479012896774179</v>
      </c>
      <c r="P8" s="74">
        <f>VLOOKUP($H$8&amp;$F$1,'Input RM sheet'!$A:$ZZ,O1,0)</f>
        <v>45.498005064516128</v>
      </c>
      <c r="Q8" s="74">
        <f>VLOOKUP($H$8&amp;$F$1,'Input RM sheet'!$A:$ZZ,P1,0)</f>
        <v>47.245505050000006</v>
      </c>
      <c r="R8" s="74">
        <f>VLOOKUP($H$8&amp;$F$1,'Input RM sheet'!$A:$ZZ,Q1,0)</f>
        <v>49.035946580645174</v>
      </c>
      <c r="S8" s="74">
        <f>VLOOKUP($H$8&amp;$F$1,'Input RM sheet'!$A:$ZZ,R1,0)</f>
        <v>52.519279141666651</v>
      </c>
      <c r="T8" s="74">
        <f>VLOOKUP($H$8&amp;$F$1,'Input RM sheet'!$A:$ZZ,S1,0)</f>
        <v>54.00851733928571</v>
      </c>
      <c r="U8" s="74">
        <f>VLOOKUP($H$8&amp;$F$1,'Input RM sheet'!$A:$ZZ,T1,0)</f>
        <v>54.394093999999988</v>
      </c>
      <c r="V8" s="74">
        <f>VLOOKUP($H$8&amp;$F$1,'Input RM sheet'!$A:$ZZ,U1,0)</f>
        <v>55.036799999999999</v>
      </c>
      <c r="W8" s="74">
        <f>VLOOKUP($H$8&amp;$F$1,'Input RM sheet'!$A:$ZZ,V1,0)</f>
        <v>62.171199999999999</v>
      </c>
      <c r="X8" s="74">
        <f>VLOOKUP($H$8&amp;$F$1,'Input RM sheet'!$A:$ZZ,W1,0)</f>
        <v>77.428000000000011</v>
      </c>
      <c r="Y8" s="74">
        <f>VLOOKUP($H$8&amp;$F$1,'Input RM sheet'!$A:$ZZ,X1,0)</f>
        <v>82.04</v>
      </c>
      <c r="Z8" s="74">
        <f>VLOOKUP($H$8&amp;$F$1,'Input RM sheet'!$A:$ZZ,Y1,0)</f>
        <v>81.629400000000018</v>
      </c>
      <c r="AA8" s="74">
        <f>VLOOKUP($H$8&amp;$F$1,'Input RM sheet'!$A:$ZZ,Z1,0)</f>
        <v>79.29992</v>
      </c>
      <c r="AB8" s="74">
        <f>VLOOKUP($H$8&amp;$F$1,'Input RM sheet'!$A:$ZZ,AA1,0)</f>
        <v>88.176240000000007</v>
      </c>
      <c r="AC8" s="74">
        <f>VLOOKUP($H$8&amp;$F$1,'Input RM sheet'!$A:$ZZ,AB1,0)</f>
        <v>101.64609999999999</v>
      </c>
      <c r="AD8" s="74">
        <f>VLOOKUP($H$8&amp;$F$1,'Input RM sheet'!$A:$ZZ,AC1,0)</f>
        <v>130.06623299999998</v>
      </c>
      <c r="AE8" s="74">
        <f>VLOOKUP($H$8&amp;$F$1,'Input RM sheet'!$A:$ZZ,AD1,0)</f>
        <v>145.12713599999998</v>
      </c>
      <c r="AF8" s="74">
        <f>VLOOKUP($H$8&amp;$F$1,'Input RM sheet'!$A:$ZZ,AE1,0)</f>
        <v>136.038825</v>
      </c>
      <c r="AG8" s="74">
        <f>VLOOKUP($H$8&amp;$F$1,'Input RM sheet'!$A:$ZZ,AF1,0)</f>
        <v>121.45028500000001</v>
      </c>
      <c r="AH8" s="74">
        <f>VLOOKUP($H$8&amp;$F$1,'Input RM sheet'!$A:$ZZ,AG1,0)</f>
        <v>129.30599999999998</v>
      </c>
      <c r="AI8" s="74">
        <f>VLOOKUP($H$8&amp;$F$1,'Input RM sheet'!$A:$ZZ,AH1,0)</f>
        <v>149.44781</v>
      </c>
      <c r="AJ8" s="74">
        <f>VLOOKUP($H$8&amp;$F$1,'Input RM sheet'!$A:$ZZ,AI1,0)</f>
        <v>138.49407656250003</v>
      </c>
      <c r="AK8" s="74">
        <f>VLOOKUP($H$8&amp;$F$1,'Input RM sheet'!$A:$ZZ,AJ1,0)</f>
        <v>151.93237537499999</v>
      </c>
      <c r="AL8" s="74">
        <f>VLOOKUP($H$8&amp;$F$1,'Input RM sheet'!$A:$ZZ,AK1,0)</f>
        <v>135.06901868181814</v>
      </c>
      <c r="AM8" s="74">
        <f>VLOOKUP($H$8&amp;$F$1,'Input RM sheet'!$A:$ZZ,AL1,0)</f>
        <v>85.770672690476175</v>
      </c>
      <c r="AN8" s="74">
        <f>VLOOKUP($H$8&amp;$F$1,'Input RM sheet'!$A:$ZZ,AM1,0)</f>
        <v>72.292253013333323</v>
      </c>
      <c r="AO8" s="74">
        <f>VLOOKUP($H$8&amp;$F$1,'Input RM sheet'!$A:$ZZ,AN1,0)</f>
        <v>74.374651063636378</v>
      </c>
      <c r="AP8" s="74">
        <f>VLOOKUP($H$8&amp;$F$1,'Input RM sheet'!$A:$ZZ,AO1,0)</f>
        <v>62.166788083333351</v>
      </c>
      <c r="AQ8" s="74">
        <f>VLOOKUP($H$8&amp;$F$1,'Input RM sheet'!$A:$ZZ,AP1,0)</f>
        <v>51.131574404761906</v>
      </c>
      <c r="AR8" s="74">
        <f>VLOOKUP($H$8&amp;$F$1,'Input RM sheet'!$A:$ZZ,AQ1,0)</f>
        <v>53.601738863636356</v>
      </c>
      <c r="AS8" s="74">
        <f>VLOOKUP($H$8&amp;$F$1,'Input RM sheet'!$A:$ZZ,AR1,0)</f>
        <v>57.329713333333324</v>
      </c>
      <c r="AT8" s="74">
        <f>VLOOKUP($H$8&amp;$F$1,'Input RM sheet'!$A:$ZZ,AS1,0)</f>
        <v>58.306371499999997</v>
      </c>
      <c r="AU8" s="74">
        <f>VLOOKUP($H$8&amp;$F$1,'Input RM sheet'!$A:$ZZ,AT1,0)</f>
        <v>52.557856000000001</v>
      </c>
      <c r="AV8" s="74">
        <f>VLOOKUP($H$8&amp;$F$1,'Input RM sheet'!$A:$ZZ,AU1,0)</f>
        <v>53.379072500000007</v>
      </c>
      <c r="AW8" s="74">
        <f>VLOOKUP($H$8&amp;$F$1,'Input RM sheet'!$A:$ZZ,AV1,0)</f>
        <v>54.200289000000005</v>
      </c>
      <c r="AX8" s="74">
        <f>VLOOKUP($H$8&amp;$F$1,'Input RM sheet'!$A:$ZZ,AW1,0)</f>
        <v>51.975000000000001</v>
      </c>
      <c r="AY8" s="74">
        <f>VLOOKUP($H$8&amp;$F$1,'Input RM sheet'!$A:$ZZ,AX1,0)</f>
        <v>48.639599999999994</v>
      </c>
      <c r="AZ8" s="74">
        <f>VLOOKUP($H$8&amp;$F$1,'Input RM sheet'!$A:$ZZ,AY1,0)</f>
        <v>49.308</v>
      </c>
      <c r="BA8" s="74">
        <f>VLOOKUP($H$8&amp;$F$1,'Input RM sheet'!$A:$ZZ,AZ1,0)</f>
        <v>50.380800000000001</v>
      </c>
      <c r="BB8" s="74">
        <f>VLOOKUP($H$8&amp;$F$1,'Input RM sheet'!$A:$ZZ,BA1,0)</f>
        <v>52.646400000000007</v>
      </c>
      <c r="BC8" s="74">
        <f>VLOOKUP($H$8&amp;$F$1,'Input RM sheet'!$A:$ZZ,BB1,0)</f>
        <v>53.425350000000002</v>
      </c>
      <c r="BD8" s="74">
        <f>VLOOKUP($H$8&amp;$F$1,'Input RM sheet'!$A:$ZZ,BC1,0)</f>
        <v>53.696249999999999</v>
      </c>
      <c r="BE8" s="74">
        <f>VLOOKUP($H$8&amp;$F$1,'Input RM sheet'!$A:$ZZ,BD1,0)</f>
        <v>53.28</v>
      </c>
      <c r="BF8" s="74">
        <f>VLOOKUP($H$8&amp;$F$1,'Input RM sheet'!$A:$ZZ,BE1,0)</f>
        <v>51.65625</v>
      </c>
      <c r="BG8" s="74">
        <f>VLOOKUP($H$8&amp;$F$1,'Input RM sheet'!$A:$ZZ,BF1,0)</f>
        <v>53.152000000000001</v>
      </c>
      <c r="BH8" s="74">
        <f>VLOOKUP($H$8&amp;$F$1,'Input RM sheet'!$A:$ZZ,BG1,0)</f>
        <v>51.422799999999995</v>
      </c>
      <c r="BI8" s="74">
        <f>VLOOKUP($H$8&amp;$F$1,'Input RM sheet'!$A:$ZZ,BH1,0)</f>
        <v>51.001950000000001</v>
      </c>
      <c r="BJ8" s="74">
        <f>VLOOKUP($H$8&amp;$F$1,'Input RM sheet'!$A:$ZZ,BI1,0)</f>
        <v>51.204900000000002</v>
      </c>
      <c r="BK8" s="74">
        <f>VLOOKUP($H$8&amp;$F$1,'Input RM sheet'!$A:$ZZ,BJ1,0)</f>
        <v>51.180299999999995</v>
      </c>
      <c r="BL8" s="74">
        <f>VLOOKUP($H$8&amp;$F$1,'Input RM sheet'!$A:$ZZ,BK1,0)</f>
        <v>50.366250000000001</v>
      </c>
      <c r="BM8" s="74">
        <f>VLOOKUP($H$8&amp;$F$1,'Input RM sheet'!$A:$ZZ,BL1,0)</f>
        <v>50.287600000000005</v>
      </c>
      <c r="BN8" s="74">
        <f>VLOOKUP($H$8&amp;$F$1,'Input RM sheet'!$A:$ZZ,BM1,0)</f>
        <v>49.123400000000004</v>
      </c>
      <c r="BO8" s="74">
        <f>VLOOKUP($H$8&amp;$F$1,'Input RM sheet'!$A:$ZZ,BN1,0)</f>
        <v>48.267599999999995</v>
      </c>
      <c r="BP8" s="74">
        <f>VLOOKUP($H$8&amp;$F$1,'Input RM sheet'!$A:$ZZ,BO1,0)</f>
        <v>47.418299999999995</v>
      </c>
      <c r="BQ8" s="74">
        <f>VLOOKUP($H$8&amp;$F$1,'Input RM sheet'!$A:$ZZ,BP1,0)</f>
        <v>47.418299999999995</v>
      </c>
      <c r="BR8" s="74">
        <f>VLOOKUP($H$8&amp;$F$1,'Input RM sheet'!$A:$ZZ,BQ1,0)</f>
        <v>47.498099999999994</v>
      </c>
      <c r="BS8" s="74">
        <f>VLOOKUP($H$8&amp;$F$1,'Input RM sheet'!$A:$ZZ,BR1,0)</f>
        <v>47.537999999999997</v>
      </c>
      <c r="BT8" s="74">
        <f>VLOOKUP($H$8&amp;$F$1,'Input RM sheet'!$A:$ZZ,BS1,0)</f>
        <v>47.515199999999993</v>
      </c>
      <c r="BU8" s="74">
        <f>VLOOKUP($H$8&amp;$F$1,'Input RM sheet'!$A:$ZZ,BT1,0)</f>
        <v>45.3658</v>
      </c>
      <c r="BV8" s="74">
        <f>VLOOKUP($H$8&amp;$F$1,'Input RM sheet'!$A:$ZZ,BU1,0)</f>
        <v>45.409399999999998</v>
      </c>
      <c r="BW8" s="74">
        <f>VLOOKUP($H$8&amp;$F$1,'Input RM sheet'!$A:$ZZ,BV1,0)</f>
        <v>45.311300000000003</v>
      </c>
      <c r="BX8" s="74">
        <f>VLOOKUP($H$8&amp;$F$1,'Input RM sheet'!$A:$ZZ,BW1,0)</f>
        <v>45.316750000000006</v>
      </c>
      <c r="BY8" s="74">
        <f>VLOOKUP($H$8&amp;$F$1,'Input RM sheet'!$A:$ZZ,BX1,0)</f>
        <v>45.371250000000003</v>
      </c>
      <c r="BZ8" s="74">
        <f>VLOOKUP($H$8&amp;$F$1,'Input RM sheet'!$A:$ZZ,BY1,0)</f>
        <v>47.759499999999996</v>
      </c>
      <c r="CA8" s="74">
        <f>VLOOKUP($H$8&amp;$F$1,'Input RM sheet'!$A:$ZZ,BZ1,0)</f>
        <v>47.724999999999994</v>
      </c>
      <c r="CB8" s="74">
        <f>VLOOKUP($H$8&amp;$F$1,'Input RM sheet'!$A:$ZZ,CA1,0)</f>
        <v>47.73075</v>
      </c>
      <c r="CC8" s="74">
        <f>VLOOKUP($H$8&amp;$F$1,'Input RM sheet'!$A:$ZZ,CB1,0)</f>
        <v>47.667499999999997</v>
      </c>
      <c r="CD8" s="74">
        <f>VLOOKUP($H$8&amp;$F$1,'Input RM sheet'!$A:$ZZ,CC1,0)</f>
        <v>48.496499999999997</v>
      </c>
      <c r="CE8" s="74">
        <f>VLOOKUP($H$8&amp;$F$1,'Input RM sheet'!$A:$ZZ,CD1,0)</f>
        <v>48.3795</v>
      </c>
      <c r="CF8" s="74">
        <f>VLOOKUP($H$8&amp;$F$1,'Input RM sheet'!$A:$ZZ,CE1,0)</f>
        <v>48.4146</v>
      </c>
      <c r="CG8" s="74">
        <f>VLOOKUP($H$8&amp;$F$1,'Input RM sheet'!$A:$ZZ,CF1,0)</f>
        <v>50.372300000000003</v>
      </c>
      <c r="CH8" s="74">
        <f>VLOOKUP($H$8&amp;$F$1,'Input RM sheet'!$A:$ZZ,CG1,0)</f>
        <v>52.118749999999999</v>
      </c>
      <c r="CI8" s="74">
        <f>VLOOKUP($H$8&amp;$F$1,'Input RM sheet'!$A:$ZZ,CH1,0)</f>
        <v>51.590199999999996</v>
      </c>
      <c r="CJ8" s="74">
        <f>VLOOKUP($H$8&amp;$F$1,'Input RM sheet'!$A:$ZZ,CI1,0)</f>
        <v>51.499500000000005</v>
      </c>
      <c r="CK8" s="74">
        <f>VLOOKUP($H$8&amp;$F$1,'Input RM sheet'!$A:$ZZ,CJ1,0)</f>
        <v>51.629175000000004</v>
      </c>
      <c r="CL8" s="74">
        <f>VLOOKUP($H$8&amp;$F$1,'Input RM sheet'!$A:$ZZ,CK1,0)</f>
        <v>50.469099999999997</v>
      </c>
      <c r="CM8" s="74">
        <f>VLOOKUP($H$8&amp;$F$1,'Input RM sheet'!$A:$ZZ,CL1,0)</f>
        <v>50.517499999999998</v>
      </c>
      <c r="CN8" s="74">
        <f>VLOOKUP($H$8&amp;$F$1,'Input RM sheet'!$A:$ZZ,CM1,0)</f>
        <v>49.593249999999998</v>
      </c>
      <c r="CO8" s="74">
        <f>VLOOKUP($H$8&amp;$F$1,'Input RM sheet'!$A:$ZZ,CN1,0)</f>
        <v>49.593249999999998</v>
      </c>
      <c r="CP8" s="74">
        <f>VLOOKUP($H$8&amp;$F$1,'Input RM sheet'!$A:$ZZ,CO1,0)</f>
        <v>49.593249999999998</v>
      </c>
      <c r="CQ8" s="74">
        <f>VLOOKUP($H$8&amp;$F$1,'Input RM sheet'!$A:$ZZ,CP1,0)</f>
        <v>49.593249999999998</v>
      </c>
      <c r="CR8" s="74">
        <f>VLOOKUP($H$8&amp;$F$1,'Input RM sheet'!$A:$ZZ,CQ1,0)</f>
        <v>49.075649999999996</v>
      </c>
      <c r="CS8" s="74">
        <f>VLOOKUP($H$8&amp;$F$1,'Input RM sheet'!$A:$ZZ,CR1,0)</f>
        <v>50.457000000000001</v>
      </c>
      <c r="CT8" s="74">
        <f>VLOOKUP($H$8&amp;$F$1,'Input RM sheet'!$A:$ZZ,CS1,0)</f>
        <v>50.517499999999998</v>
      </c>
      <c r="CU8" s="74">
        <f>VLOOKUP($H$8&amp;$F$1,'Input RM sheet'!$A:$ZZ,CT1,0)</f>
        <v>53.408000000000001</v>
      </c>
      <c r="CV8" s="74">
        <f>VLOOKUP($H$8&amp;$F$1,'Input RM sheet'!$A:$ZZ,CU1,0)</f>
        <v>54.255499999999998</v>
      </c>
      <c r="CW8" s="74">
        <f>VLOOKUP($H$8&amp;$F$1,'Input RM sheet'!$A:$ZZ,CV1,0)</f>
        <v>54.307499999999997</v>
      </c>
      <c r="CX8" s="74">
        <f>VLOOKUP($H$8&amp;$F$1,'Input RM sheet'!$A:$ZZ,CW1,0)</f>
        <v>56.497500000000002</v>
      </c>
      <c r="CY8" s="74">
        <f>VLOOKUP($H$8&amp;$F$1,'Input RM sheet'!$A:$ZZ,CX1,0)</f>
        <v>56.517750000000007</v>
      </c>
      <c r="CZ8" s="74">
        <f>VLOOKUP($H$8&amp;$F$1,'Input RM sheet'!$A:$ZZ,CY1,0)</f>
        <v>57.505750000000006</v>
      </c>
      <c r="DA8" s="74">
        <f>VLOOKUP($H$8&amp;$F$1,'Input RM sheet'!$A:$ZZ,CZ1,0)</f>
        <v>57.512599999999999</v>
      </c>
      <c r="DB8" s="74">
        <f>VLOOKUP($H$8&amp;$F$1,'Input RM sheet'!$A:$ZZ,DA1,0)</f>
        <v>56.632500000000007</v>
      </c>
      <c r="DC8" s="74">
        <f>VLOOKUP($H$8&amp;$F$1,'Input RM sheet'!$A:$ZZ,DB1,0)</f>
        <v>56.625750000000004</v>
      </c>
      <c r="DD8" s="74">
        <f>VLOOKUP($H$8&amp;$F$1,'Input RM sheet'!$A:$ZZ,DC1,0)</f>
        <v>56.673000000000002</v>
      </c>
      <c r="DE8" s="74">
        <f>VLOOKUP($H$8&amp;$F$1,'Input RM sheet'!$A:$ZZ,DD1,0)</f>
        <v>56.673000000000002</v>
      </c>
      <c r="DF8" s="74">
        <f>VLOOKUP($H$8&amp;$F$1,'Input RM sheet'!$A:$ZZ,DE1,0)</f>
        <v>55.998600000000003</v>
      </c>
      <c r="DG8" s="74">
        <f>VLOOKUP($H$8&amp;$F$1,'Input RM sheet'!$A:$ZZ,DF1,0)</f>
        <v>56.888800000000003</v>
      </c>
      <c r="DH8" s="74">
        <f>VLOOKUP($H$8&amp;$F$1,'Input RM sheet'!$A:$ZZ,DG1,0)</f>
        <v>57.939299999999996</v>
      </c>
      <c r="DI8" s="74">
        <f>VLOOKUP($H$8&amp;$F$1,'Input RM sheet'!$A:$ZZ,DH1,0)</f>
        <v>59.269349999999989</v>
      </c>
      <c r="DJ8" s="74">
        <f>VLOOKUP($H$8&amp;$F$1,'Input RM sheet'!$A:$ZZ,DI1,0)</f>
        <v>66.415300000000002</v>
      </c>
      <c r="DK8" s="74">
        <f>VLOOKUP($H$8&amp;$F$1,'Input RM sheet'!$A:$ZZ,DJ1,0)</f>
        <v>66.423200000000008</v>
      </c>
      <c r="DL8" s="74">
        <f>VLOOKUP($H$8&amp;$F$1,'Input RM sheet'!$A:$ZZ,DK1,0)</f>
        <v>67.296000000000006</v>
      </c>
      <c r="DM8" s="74">
        <f>VLOOKUP($H$8&amp;$F$1,'Input RM sheet'!$A:$ZZ,DL1,0)</f>
        <v>66.676000000000002</v>
      </c>
      <c r="DN8" s="74"/>
      <c r="DO8" s="74"/>
      <c r="DP8" s="74"/>
      <c r="DQ8" s="74"/>
      <c r="DR8" s="74"/>
      <c r="DS8" s="74"/>
      <c r="DT8" s="74"/>
      <c r="DU8" s="74"/>
      <c r="DV8" s="74"/>
      <c r="DW8" s="74"/>
      <c r="DX8" s="74"/>
      <c r="DY8" s="74"/>
      <c r="DZ8" s="74"/>
      <c r="EA8" s="74"/>
      <c r="EB8" s="74"/>
      <c r="EC8" s="74"/>
      <c r="ED8" s="74"/>
      <c r="EE8" s="74"/>
      <c r="EF8" s="74"/>
      <c r="EG8" s="74"/>
      <c r="EH8" s="74"/>
      <c r="EI8" s="74"/>
      <c r="EJ8" s="74"/>
      <c r="EK8" s="74"/>
      <c r="EL8" s="74"/>
      <c r="EM8" s="74"/>
      <c r="EN8" s="74"/>
      <c r="EO8" s="74"/>
      <c r="EP8" s="74"/>
      <c r="EQ8" s="74"/>
      <c r="ER8" s="74"/>
      <c r="ES8" s="74"/>
      <c r="ET8" s="74"/>
      <c r="EU8" s="74"/>
      <c r="EV8" s="74"/>
      <c r="EW8" s="74"/>
      <c r="EX8" s="74"/>
      <c r="EY8" s="74"/>
      <c r="EZ8" s="74"/>
      <c r="FA8" s="74"/>
      <c r="FB8" s="74"/>
      <c r="FC8" s="74"/>
      <c r="FD8" s="74"/>
      <c r="FE8" s="74"/>
    </row>
    <row r="9" spans="1:164">
      <c r="B9" s="44"/>
      <c r="D9" s="44"/>
      <c r="H9" s="178" t="s">
        <v>372</v>
      </c>
      <c r="I9" s="74">
        <f>VLOOKUP($H$9&amp;$F$1,'Input RM sheet'!$A:$BD,H1,0)</f>
        <v>0</v>
      </c>
      <c r="J9" s="74">
        <f>VLOOKUP($H$9&amp;$F$1,'Input RM sheet'!$A:$BD,I1,0)</f>
        <v>0</v>
      </c>
      <c r="K9" s="74">
        <f>VLOOKUP($H$9&amp;$F$1,'Input RM sheet'!$A:$BD,J1,0)</f>
        <v>0</v>
      </c>
      <c r="L9" s="74">
        <f>VLOOKUP($H$9&amp;$F$1,'Input RM sheet'!$A:$BD,K1,0)</f>
        <v>0</v>
      </c>
      <c r="M9" s="74">
        <f>VLOOKUP($H$9&amp;$F$1,'Input RM sheet'!$A:$BD,L1,0)</f>
        <v>0</v>
      </c>
      <c r="N9" s="74">
        <f>VLOOKUP($H$9&amp;$F$1,'Input RM sheet'!$A:$BD,M1,0)</f>
        <v>0</v>
      </c>
      <c r="O9" s="74">
        <f>VLOOKUP($H$9&amp;$F$1,'Input RM sheet'!$A:$BD,N1,0)</f>
        <v>0</v>
      </c>
      <c r="P9" s="74">
        <f>VLOOKUP($H$9&amp;$F$1,'Input RM sheet'!$A:$BD,O1,0)</f>
        <v>0</v>
      </c>
      <c r="Q9" s="74">
        <f>VLOOKUP($H$9&amp;$F$1,'Input RM sheet'!$A:$BD,P1,0)</f>
        <v>0</v>
      </c>
      <c r="R9" s="74">
        <f>VLOOKUP($H$9&amp;$F$1,'Input RM sheet'!$A:$BD,Q1,0)</f>
        <v>0</v>
      </c>
      <c r="S9" s="74">
        <f>VLOOKUP($H$9&amp;$F$1,'Input RM sheet'!$A:$BD,R1,0)</f>
        <v>0</v>
      </c>
      <c r="T9" s="74">
        <f>VLOOKUP($H$9&amp;$F$1,'Input RM sheet'!$A:$BD,S1,0)</f>
        <v>0</v>
      </c>
      <c r="U9" s="74">
        <f>VLOOKUP($H$9&amp;$F$1,'Input RM sheet'!$A:$BD,T1,0)</f>
        <v>0</v>
      </c>
      <c r="V9" s="74">
        <f>VLOOKUP($H$9&amp;$F$1,'Input RM sheet'!$A:$BD,U1,0)</f>
        <v>0</v>
      </c>
      <c r="W9" s="74">
        <f>VLOOKUP($H$9&amp;$F$1,'Input RM sheet'!$A:$BD,V1,0)</f>
        <v>0</v>
      </c>
      <c r="X9" s="74">
        <f>VLOOKUP($H$9&amp;$F$1,'Input RM sheet'!$A:$BD,W1,0)</f>
        <v>0</v>
      </c>
      <c r="Y9" s="74">
        <f>VLOOKUP($H$9&amp;$F$1,'Input RM sheet'!$A:$BD,X1,0)</f>
        <v>0</v>
      </c>
      <c r="Z9" s="74">
        <f>VLOOKUP($H$9&amp;$F$1,'Input RM sheet'!$A:$BD,Y1,0)</f>
        <v>0</v>
      </c>
      <c r="AA9" s="74">
        <f>VLOOKUP($H$9&amp;$F$1,'Input RM sheet'!$A:$BD,Z1,0)</f>
        <v>0</v>
      </c>
      <c r="AB9" s="74">
        <f>VLOOKUP($H$9&amp;$F$1,'Input RM sheet'!$A:$BD,AA1,0)</f>
        <v>0</v>
      </c>
      <c r="AC9" s="74">
        <f>VLOOKUP($H$9&amp;$F$1,'Input RM sheet'!$A:$BD,AB1,0)</f>
        <v>0</v>
      </c>
      <c r="AD9" s="74">
        <f>VLOOKUP($H$9&amp;$F$1,'Input RM sheet'!$A:$BD,AC1,0)</f>
        <v>0</v>
      </c>
      <c r="AE9" s="74">
        <f>VLOOKUP($H$9&amp;$F$1,'Input RM sheet'!$A:$BD,AD1,0)</f>
        <v>0</v>
      </c>
      <c r="AF9" s="74">
        <f>VLOOKUP($H$9&amp;$F$1,'Input RM sheet'!$A:$BD,AE1,0)</f>
        <v>0</v>
      </c>
      <c r="AG9" s="74">
        <f>VLOOKUP($H$9&amp;$F$1,'Input RM sheet'!$A:$BD,AF1,0)</f>
        <v>0</v>
      </c>
      <c r="AH9" s="74">
        <f>VLOOKUP($H$9&amp;$F$1,'Input RM sheet'!$A:$BD,AG1,0)</f>
        <v>0</v>
      </c>
      <c r="AI9" s="74">
        <f>VLOOKUP($H$9&amp;$F$1,'Input RM sheet'!$A:$BD,AH1,0)</f>
        <v>0</v>
      </c>
      <c r="AJ9" s="74">
        <f>VLOOKUP($H$9&amp;$F$1,'Input RM sheet'!$A:$BD,AI1,0)</f>
        <v>0</v>
      </c>
      <c r="AK9" s="74">
        <f>VLOOKUP($H$9&amp;$F$1,'Input RM sheet'!$A:$BD,AJ1,0)</f>
        <v>0</v>
      </c>
      <c r="AL9" s="74">
        <v>86</v>
      </c>
      <c r="AM9" s="74">
        <f>VLOOKUP($H$9&amp;$F$1,'Input RM sheet'!$A:$BD,AL1,0)</f>
        <v>0</v>
      </c>
      <c r="AN9" s="74">
        <f>VLOOKUP($H$9&amp;$F$1,'Input RM sheet'!$A:$BD,AM1,0)</f>
        <v>0</v>
      </c>
      <c r="AO9" s="74">
        <f>VLOOKUP($H$9&amp;$F$1,'Input RM sheet'!$A:$BD,AN1,0)</f>
        <v>0</v>
      </c>
      <c r="AP9" s="74">
        <f>VLOOKUP($H$9&amp;$F$1,'Input RM sheet'!$A:$BD,AO1,0)</f>
        <v>0</v>
      </c>
      <c r="AQ9" s="74">
        <f>VLOOKUP($H$9&amp;$F$1,'Input RM sheet'!$A:$BD,AP1,0)</f>
        <v>0</v>
      </c>
      <c r="AR9" s="74">
        <f>VLOOKUP($H$9&amp;$F$1,'Input RM sheet'!$A:$BD,AQ1,0)</f>
        <v>0</v>
      </c>
      <c r="AS9" s="74">
        <f>VLOOKUP($H$9&amp;$F$1,'Input RM sheet'!$A:$BD,AR1,0)</f>
        <v>0</v>
      </c>
      <c r="AT9" s="74">
        <f>VLOOKUP($H$9&amp;$F$1,'Input RM sheet'!$A:$BD,AS1,0)</f>
        <v>0</v>
      </c>
      <c r="AU9" s="74">
        <f>VLOOKUP($H$9&amp;$F$1,'Input RM sheet'!$A:$BD,AT1,0)</f>
        <v>0</v>
      </c>
      <c r="AV9" s="74">
        <f>VLOOKUP($H$9&amp;$F$1,'Input RM sheet'!$A:$BD,AU1,0)</f>
        <v>111</v>
      </c>
      <c r="AW9" s="74">
        <f>VLOOKUP($H$9&amp;$F$1,'Input RM sheet'!$A:$BD,AV1,0)</f>
        <v>111</v>
      </c>
      <c r="AX9" s="74">
        <f>VLOOKUP($H$9&amp;$F$1,'Input RM sheet'!$A:$BD,AW1,0)</f>
        <v>96.5</v>
      </c>
      <c r="AY9" s="74">
        <f>VLOOKUP($H$9&amp;$F$1,'Input RM sheet'!$A:$BD,AX1,0)</f>
        <v>104</v>
      </c>
      <c r="AZ9" s="74">
        <f>VLOOKUP($H$9&amp;$F$1,'Input RM sheet'!$A:$BD,AY1,0)</f>
        <v>104</v>
      </c>
      <c r="BA9" s="74">
        <f>VLOOKUP($H$9&amp;$F$1,'Input RM sheet'!$A:$BD,AZ1,0)</f>
        <v>104</v>
      </c>
      <c r="BB9" s="74">
        <f>VLOOKUP($H$9&amp;$F$1,'Input RM sheet'!$A:$BD,BA1,0)</f>
        <v>104</v>
      </c>
      <c r="BC9" s="74">
        <f>VLOOKUP($H$9&amp;$F$1,'Input RM sheet'!$A:$BD,BB1,0)</f>
        <v>104</v>
      </c>
      <c r="BD9" s="74">
        <f>VLOOKUP($H$9&amp;$F$1,'Input RM sheet'!$A:$BD,BC1,0)</f>
        <v>104</v>
      </c>
      <c r="BE9" s="74">
        <f>VLOOKUP($H$9&amp;$F$1,'Input RM sheet'!$A:$BD,BD1,0)</f>
        <v>104</v>
      </c>
      <c r="BF9" s="74">
        <f>VLOOKUP($H$9&amp;$F$1,'Input RM sheet'!$A:$BD,BE1,0)</f>
        <v>104</v>
      </c>
      <c r="BG9" s="74">
        <f>VLOOKUP($H$9&amp;$F$1,'Input RM sheet'!$A:$BD,BF1,0)</f>
        <v>104</v>
      </c>
      <c r="BH9" s="74">
        <f>VLOOKUP($H$9&amp;$F$1,'Input RM sheet'!$A:$DD,BG1,0)</f>
        <v>104</v>
      </c>
      <c r="BI9" s="74">
        <f>VLOOKUP($H$9&amp;$F$1,'Input RM sheet'!$A:$DD,BH1,0)</f>
        <v>104</v>
      </c>
      <c r="BJ9" s="74">
        <f>VLOOKUP($H$9&amp;$F$1,'Input RM sheet'!$A:$DD,BI1,0)</f>
        <v>104</v>
      </c>
      <c r="BK9" s="74">
        <f>VLOOKUP($H$9&amp;$F$1,'Input RM sheet'!$A:$DD,BJ1,0)</f>
        <v>104</v>
      </c>
      <c r="BL9" s="74">
        <f>VLOOKUP($H$9&amp;$F$1,'Input RM sheet'!$A:$DD,BK1,0)</f>
        <v>104</v>
      </c>
      <c r="BM9" s="74">
        <f>VLOOKUP($H$9&amp;$F$1,'Input RM sheet'!$A:$DD,BL1,0)</f>
        <v>104</v>
      </c>
      <c r="BN9" s="74">
        <f>VLOOKUP($H$9&amp;$F$1,'Input RM sheet'!$A:$DD,BM1,0)</f>
        <v>104</v>
      </c>
      <c r="BO9" s="74">
        <f>VLOOKUP($H$9&amp;$F$1,'Input RM sheet'!$A:$DD,BN1,0)</f>
        <v>112</v>
      </c>
      <c r="BP9" s="74">
        <f>VLOOKUP($H$9&amp;$F$1,'Input RM sheet'!$A:$DD,BO1,0)</f>
        <v>112</v>
      </c>
      <c r="BQ9" s="74">
        <f>VLOOKUP($H$9&amp;$F$1,'Input RM sheet'!$A:$DD,BP1,0)</f>
        <v>112</v>
      </c>
      <c r="BR9" s="74">
        <f>VLOOKUP($H$9&amp;$F$1,'Input RM sheet'!$A:$DD,BQ1,0)</f>
        <v>112</v>
      </c>
      <c r="BS9" s="74">
        <f>VLOOKUP($H$9&amp;$F$1,'Input RM sheet'!$A:$DD,BR1,0)</f>
        <v>120</v>
      </c>
      <c r="BT9" s="74">
        <f>VLOOKUP($H$9&amp;$F$1,'Input RM sheet'!$A:$DD,BS1,0)</f>
        <v>120</v>
      </c>
      <c r="BU9" s="74">
        <f>VLOOKUP($H$9&amp;$F$1,'Input RM sheet'!$A:$DD,BT1,0)</f>
        <v>120</v>
      </c>
      <c r="BV9" s="74">
        <f>VLOOKUP($H$9&amp;$F$1,'Input RM sheet'!$A:$DD,BU1,0)</f>
        <v>120</v>
      </c>
      <c r="BW9" s="74">
        <f>VLOOKUP($H$9&amp;$F$1,'Input RM sheet'!$A:$DD,BV1,0)</f>
        <v>120</v>
      </c>
      <c r="BX9" s="74">
        <f>VLOOKUP($H$9&amp;$F$1,'Input RM sheet'!$A:$DD,BW1,0)</f>
        <v>120</v>
      </c>
      <c r="BY9" s="74">
        <f>VLOOKUP($H$9&amp;$F$1,'Input RM sheet'!$A:$DD,BX1,0)</f>
        <v>120</v>
      </c>
      <c r="BZ9" s="74">
        <f>VLOOKUP($H$9&amp;$F$1,'Input RM sheet'!$A:$DD,BY1,0)</f>
        <v>120</v>
      </c>
      <c r="CA9" s="74">
        <f>VLOOKUP($H$9&amp;$F$1,'Input RM sheet'!$A:$DD,BZ1,0)</f>
        <v>118</v>
      </c>
      <c r="CB9" s="74">
        <f>VLOOKUP($H$9&amp;$F$1,'Input RM sheet'!$A:$DD,CA1,0)</f>
        <v>118</v>
      </c>
      <c r="CC9" s="74">
        <f>VLOOKUP($H$9&amp;$F$1,'Input RM sheet'!$A:$DD,CB1,0)</f>
        <v>118</v>
      </c>
      <c r="CD9" s="74">
        <f>VLOOKUP($H$9&amp;$F$1,'Input RM sheet'!$A:$DD,CC1,0)</f>
        <v>118</v>
      </c>
      <c r="CE9" s="74">
        <f>VLOOKUP($H$9&amp;$F$1,'Input RM sheet'!$A:$DD,CD1,0)</f>
        <v>118</v>
      </c>
      <c r="CF9" s="74">
        <f>VLOOKUP($H$9&amp;$F$1,'Input RM sheet'!$A:$DD,CE1,0)</f>
        <v>118</v>
      </c>
      <c r="CG9" s="74">
        <f>VLOOKUP($H$9&amp;$F$1,'Input RM sheet'!$A:$DD,CF1,0)</f>
        <v>118</v>
      </c>
      <c r="CH9" s="74">
        <f>VLOOKUP($H$9&amp;$F$1,'Input RM sheet'!$A:$DD,CG1,0)</f>
        <v>118</v>
      </c>
      <c r="CI9" s="74">
        <f>VLOOKUP($H$9&amp;$F$1,'Input RM sheet'!$A:$DD,CH1,0)</f>
        <v>108</v>
      </c>
      <c r="CJ9" s="74">
        <f>VLOOKUP($H$9&amp;$F$1,'Input RM sheet'!$A:$DD,CI1,0)</f>
        <v>108</v>
      </c>
      <c r="CK9" s="74">
        <f>VLOOKUP($H$9&amp;$F$1,'Input RM sheet'!$A:$DD,CJ1,0)</f>
        <v>108</v>
      </c>
      <c r="CL9" s="74">
        <f>VLOOKUP($H$9&amp;$F$1,'Input RM sheet'!$A:$DD,CK1,0)</f>
        <v>108</v>
      </c>
      <c r="CM9" s="74">
        <f>VLOOKUP($H$9&amp;$F$1,'Input RM sheet'!$A:$DD,CL1,0)</f>
        <v>108</v>
      </c>
      <c r="CN9" s="74">
        <f>VLOOKUP($H$9&amp;$F$1,'Input RM sheet'!$A:$DD,CM1,0)</f>
        <v>108</v>
      </c>
      <c r="CO9" s="74">
        <f>VLOOKUP($H$9&amp;$F$1,'Input RM sheet'!$A:$DD,CN1,0)</f>
        <v>108</v>
      </c>
      <c r="CP9" s="74">
        <f>VLOOKUP($H$9&amp;$F$1,'Input RM sheet'!$A:$DD,CO1,0)</f>
        <v>108</v>
      </c>
      <c r="CQ9" s="74">
        <f>VLOOKUP($H$9&amp;$F$1,'Input RM sheet'!$A:$DD,CP1,0)</f>
        <v>108</v>
      </c>
      <c r="CR9" s="74">
        <f>VLOOKUP($H$9&amp;$F$1,'Input RM sheet'!$A:$DD,CQ1,0)</f>
        <v>108</v>
      </c>
      <c r="CS9" s="74">
        <f>VLOOKUP($H$9&amp;$F$1,'Input RM sheet'!$A:$DD,CR1,0)</f>
        <v>108</v>
      </c>
      <c r="CT9" s="74">
        <f>VLOOKUP($H$9&amp;$F$1,'Input RM sheet'!$A:$DD,CS1,0)</f>
        <v>108</v>
      </c>
      <c r="CU9" s="74">
        <f>VLOOKUP($H$9&amp;$F$1,'Input RM sheet'!$A:$DD,CT1,0)</f>
        <v>108</v>
      </c>
      <c r="CV9" s="74">
        <f>VLOOKUP($H$9&amp;$F$1,'Input RM sheet'!$A:$DD,CU1,0)</f>
        <v>97</v>
      </c>
      <c r="CW9" s="74">
        <f>VLOOKUP($H$9&amp;$F$1,'Input RM sheet'!$A:$DD,CV1,0)</f>
        <v>97</v>
      </c>
      <c r="CX9" s="74">
        <f>VLOOKUP($H$9&amp;$F$1,'Input RM sheet'!$A:$DD,CW1,0)</f>
        <v>94</v>
      </c>
      <c r="CY9" s="74">
        <f>VLOOKUP($H$9&amp;$F$1,'Input RM sheet'!$A:$DD,CX1,0)</f>
        <v>94</v>
      </c>
      <c r="CZ9" s="74">
        <f>VLOOKUP($H$9&amp;$F$1,'Input RM sheet'!$A:$DD,CY1,0)</f>
        <v>94</v>
      </c>
      <c r="DA9" s="74">
        <f>VLOOKUP($H$9&amp;$F$1,'Input RM sheet'!$A:$DD,CZ1,0)</f>
        <v>94</v>
      </c>
      <c r="DB9" s="74">
        <f>VLOOKUP($H$9&amp;$F$1,'Input RM sheet'!$A:$DD,DA1,0)</f>
        <v>94</v>
      </c>
      <c r="DC9" s="74">
        <f>VLOOKUP($H$9&amp;$F$1,'Input RM sheet'!$A:$DD,DB1,0)</f>
        <v>94</v>
      </c>
      <c r="DD9" s="74">
        <f>VLOOKUP($H$9&amp;$F$1,'Input RM sheet'!$A:$DD,DC1,0)</f>
        <v>94</v>
      </c>
      <c r="DE9" s="74">
        <f>VLOOKUP($H$9&amp;$F$1,'Input RM sheet'!$A:$DD,DD1,0)</f>
        <v>105</v>
      </c>
      <c r="DF9" s="74">
        <f>VLOOKUP($H$9&amp;$F$1,'Input RM sheet'!$A:$DD,DE1,0)</f>
        <v>105</v>
      </c>
      <c r="DG9" s="74">
        <f>VLOOKUP($H$9&amp;$F$1,'Input RM sheet'!$A:$DD,DF1,0)</f>
        <v>105</v>
      </c>
      <c r="DH9" s="74">
        <f>VLOOKUP($H$9&amp;$F$1,'Input RM sheet'!$A:$ZZ,DG1,0)</f>
        <v>105</v>
      </c>
      <c r="DI9" s="74">
        <f>VLOOKUP($H$9&amp;$F$1,'Input RM sheet'!$A:$ZZ,DH1,0)</f>
        <v>110</v>
      </c>
      <c r="DJ9" s="74">
        <f>VLOOKUP($H$9&amp;$F$1,'Input RM sheet'!$A:$ZZ,DI1,0)</f>
        <v>110</v>
      </c>
      <c r="DK9" s="74">
        <f>VLOOKUP($H$9&amp;$F$1,'Input RM sheet'!$A:$ZZ,DJ1,0)</f>
        <v>132</v>
      </c>
      <c r="DL9" s="74">
        <f>VLOOKUP($H$9&amp;$F$1,'Input RM sheet'!$A:$ZZ,DK1,0)</f>
        <v>132</v>
      </c>
      <c r="DM9" s="74">
        <f>VLOOKUP($H$9&amp;$F$1,'Input RM sheet'!$A:$ZZ,DL1,0)</f>
        <v>132</v>
      </c>
      <c r="DN9" s="74">
        <f>VLOOKUP($H$9&amp;$F$1,'Input RM sheet'!$A:$ZZ,DM1,0)</f>
        <v>115</v>
      </c>
      <c r="DO9" s="74">
        <f>VLOOKUP($H$9&amp;$F$1,'Input RM sheet'!$A:$ZZ,DN1,0)</f>
        <v>115</v>
      </c>
      <c r="DP9" s="74">
        <f>VLOOKUP($H$9&amp;$F$1,'Input RM sheet'!$A:$ZZ,DO1,0)</f>
        <v>115</v>
      </c>
      <c r="DQ9" s="74">
        <f>VLOOKUP($H$9&amp;$F$1,'Input RM sheet'!$A:$ZZ,DP1,0)</f>
        <v>115</v>
      </c>
      <c r="DR9" s="74">
        <f>VLOOKUP($H$9&amp;$F$1,'Input RM sheet'!$A:$ZZ,DQ1,0)</f>
        <v>108</v>
      </c>
      <c r="DS9" s="74">
        <f>VLOOKUP($H$9&amp;$F$1,'Input RM sheet'!$A:$ZZ,DR1,0)</f>
        <v>108</v>
      </c>
      <c r="DT9" s="74">
        <f>VLOOKUP($H$9&amp;$F$1,'Input RM sheet'!$A:$ZZ,DS1,0)</f>
        <v>0</v>
      </c>
      <c r="DU9" s="74" t="e">
        <f>VLOOKUP($H$9&amp;$F$1,'Input RM sheet'!$A:$DD,DT1,0)</f>
        <v>#REF!</v>
      </c>
      <c r="DV9" s="74" t="e">
        <f>VLOOKUP($H$9&amp;$F$1,'Input RM sheet'!$A:$DD,DU1,0)</f>
        <v>#REF!</v>
      </c>
      <c r="DW9" s="74" t="e">
        <f>VLOOKUP($H$9&amp;$F$1,'Input RM sheet'!$A:$DD,DV1,0)</f>
        <v>#REF!</v>
      </c>
      <c r="DX9" s="74" t="e">
        <f>VLOOKUP($H$9&amp;$F$1,'Input RM sheet'!$A:$DD,DW1,0)</f>
        <v>#REF!</v>
      </c>
      <c r="DY9" s="74" t="e">
        <f>VLOOKUP($H$9&amp;$F$1,'Input RM sheet'!$A:$DD,DX1,0)</f>
        <v>#REF!</v>
      </c>
      <c r="DZ9" s="74" t="e">
        <f>VLOOKUP($H$9&amp;$F$1,'Input RM sheet'!$A:$DD,DY1,0)</f>
        <v>#REF!</v>
      </c>
      <c r="EA9" s="74" t="e">
        <f>VLOOKUP($H$9&amp;$F$1,'Input RM sheet'!$A:$DD,DZ1,0)</f>
        <v>#REF!</v>
      </c>
      <c r="EB9" s="74" t="e">
        <f>VLOOKUP($H$9&amp;$F$1,'Input RM sheet'!$A:$DD,EA1,0)</f>
        <v>#REF!</v>
      </c>
      <c r="EC9" s="74" t="e">
        <f>VLOOKUP($H$9&amp;$F$1,'Input RM sheet'!$A:$DD,EB1,0)</f>
        <v>#REF!</v>
      </c>
      <c r="ED9" s="74" t="e">
        <f>VLOOKUP($H$9&amp;$F$1,'Input RM sheet'!$A:$DD,EC1,0)</f>
        <v>#REF!</v>
      </c>
      <c r="EE9" s="74" t="e">
        <f>VLOOKUP($H$9&amp;$F$1,'Input RM sheet'!$A:$DD,ED1,0)</f>
        <v>#REF!</v>
      </c>
      <c r="EF9" s="74" t="e">
        <f>VLOOKUP($H$9&amp;$F$1,'Input RM sheet'!$A:$DD,EE1,0)</f>
        <v>#REF!</v>
      </c>
      <c r="EG9" s="74" t="e">
        <f>VLOOKUP($H$9&amp;$F$1,'Input RM sheet'!$A:$DD,EF1,0)</f>
        <v>#REF!</v>
      </c>
      <c r="EH9" s="74" t="e">
        <f>VLOOKUP($H$9&amp;$F$1,'Input RM sheet'!$A:$DD,EG1,0)</f>
        <v>#REF!</v>
      </c>
      <c r="EI9" s="74" t="e">
        <f>VLOOKUP($H$9&amp;$F$1,'Input RM sheet'!$A:$DD,EH1,0)</f>
        <v>#REF!</v>
      </c>
      <c r="EJ9" s="74" t="e">
        <f>VLOOKUP($H$9&amp;$F$1,'Input RM sheet'!$A:$DD,EI1,0)</f>
        <v>#REF!</v>
      </c>
      <c r="EK9" s="74" t="e">
        <f>VLOOKUP($H$9&amp;$F$1,'Input RM sheet'!$A:$DD,EJ1,0)</f>
        <v>#REF!</v>
      </c>
      <c r="EL9" s="74" t="e">
        <f>VLOOKUP($H$9&amp;$F$1,'Input RM sheet'!$A:$DD,EK1,0)</f>
        <v>#REF!</v>
      </c>
      <c r="EM9" s="74" t="e">
        <f>VLOOKUP($H$9&amp;$F$1,'Input RM sheet'!$A:$DD,EL1,0)</f>
        <v>#REF!</v>
      </c>
      <c r="EN9" s="74" t="e">
        <f>VLOOKUP($H$9&amp;$F$1,'Input RM sheet'!$A:$DD,EM1,0)</f>
        <v>#REF!</v>
      </c>
      <c r="EO9" s="74" t="e">
        <f>VLOOKUP($H$9&amp;$F$1,'Input RM sheet'!$A:$DD,EN1,0)</f>
        <v>#REF!</v>
      </c>
      <c r="EP9" s="74" t="e">
        <f>VLOOKUP($H$9&amp;$F$1,'Input RM sheet'!$A:$DD,EO1,0)</f>
        <v>#REF!</v>
      </c>
      <c r="EQ9" s="74" t="e">
        <f>VLOOKUP($H$9&amp;$F$1,'Input RM sheet'!$A:$DD,EP1,0)</f>
        <v>#REF!</v>
      </c>
      <c r="ER9" s="74" t="e">
        <f>VLOOKUP($H$9&amp;$F$1,'Input RM sheet'!$A:$DD,EQ1,0)</f>
        <v>#REF!</v>
      </c>
      <c r="ES9" s="74" t="e">
        <f>VLOOKUP($H$9&amp;$F$1,'Input RM sheet'!$A:$DD,ER1,0)</f>
        <v>#REF!</v>
      </c>
      <c r="ET9" s="74" t="e">
        <f>VLOOKUP($H$9&amp;$F$1,'Input RM sheet'!$A:$DD,ES1,0)</f>
        <v>#REF!</v>
      </c>
      <c r="EU9" s="74" t="e">
        <f>VLOOKUP($H$9&amp;$F$1,'Input RM sheet'!$A:$DD,ET1,0)</f>
        <v>#REF!</v>
      </c>
      <c r="EV9" s="74" t="e">
        <f>VLOOKUP($H$9&amp;$F$1,'Input RM sheet'!$A:$DD,EU1,0)</f>
        <v>#REF!</v>
      </c>
      <c r="EW9" s="74" t="e">
        <f>VLOOKUP($H$9&amp;$F$1,'Input RM sheet'!$A:$DD,EV1,0)</f>
        <v>#REF!</v>
      </c>
      <c r="EX9" s="74" t="e">
        <f>VLOOKUP($H$9&amp;$F$1,'Input RM sheet'!$A:$DD,EW1,0)</f>
        <v>#REF!</v>
      </c>
      <c r="EY9" s="74" t="e">
        <f>VLOOKUP($H$9&amp;$F$1,'Input RM sheet'!$A:$DD,EX1,0)</f>
        <v>#REF!</v>
      </c>
      <c r="EZ9" s="74" t="e">
        <f>VLOOKUP($H$9&amp;$F$1,'Input RM sheet'!$A:$DD,EY1,0)</f>
        <v>#REF!</v>
      </c>
      <c r="FA9" s="74" t="e">
        <f>VLOOKUP($H$9&amp;$F$1,'Input RM sheet'!$A:$DD,EZ1,0)</f>
        <v>#REF!</v>
      </c>
      <c r="FB9" s="74" t="e">
        <f>VLOOKUP($H$9&amp;$F$1,'Input RM sheet'!$A:$DD,FA1,0)</f>
        <v>#REF!</v>
      </c>
      <c r="FC9" s="74" t="e">
        <f>VLOOKUP($H$9&amp;$F$1,'Input RM sheet'!$A:$DD,FB1,0)</f>
        <v>#REF!</v>
      </c>
      <c r="FD9" s="74" t="e">
        <f>VLOOKUP($H$9&amp;$F$1,'Input RM sheet'!$A:$DD,FC1,0)</f>
        <v>#REF!</v>
      </c>
      <c r="FE9" s="74" t="e">
        <f>VLOOKUP($H$9&amp;$F$1,'Input RM sheet'!$A:$DD,FD1,0)</f>
        <v>#REF!</v>
      </c>
    </row>
    <row r="10" spans="1:164">
      <c r="B10" s="44"/>
      <c r="D10" s="44"/>
      <c r="H10" s="44" t="s">
        <v>751</v>
      </c>
      <c r="I10" s="74"/>
      <c r="J10" s="74"/>
      <c r="K10" s="74"/>
      <c r="L10" s="74"/>
      <c r="M10" s="74"/>
      <c r="N10" s="74"/>
      <c r="O10" s="74"/>
      <c r="P10" s="74"/>
      <c r="Q10" s="74"/>
      <c r="R10" s="74"/>
      <c r="S10" s="74"/>
      <c r="T10" s="74"/>
      <c r="U10" s="74"/>
      <c r="V10" s="74"/>
      <c r="W10" s="74"/>
      <c r="X10" s="74"/>
      <c r="Y10" s="74"/>
      <c r="Z10" s="74"/>
      <c r="AA10" s="74"/>
      <c r="AB10" s="74"/>
      <c r="AC10" s="74"/>
      <c r="AD10" s="74">
        <f t="shared" ref="AD10:AK10" si="0">AD9/3</f>
        <v>0</v>
      </c>
      <c r="AE10" s="74">
        <f t="shared" si="0"/>
        <v>0</v>
      </c>
      <c r="AF10" s="74">
        <f t="shared" si="0"/>
        <v>0</v>
      </c>
      <c r="AG10" s="74">
        <f t="shared" si="0"/>
        <v>0</v>
      </c>
      <c r="AH10" s="74">
        <f t="shared" si="0"/>
        <v>0</v>
      </c>
      <c r="AI10" s="74">
        <f t="shared" si="0"/>
        <v>0</v>
      </c>
      <c r="AJ10" s="74">
        <f t="shared" si="0"/>
        <v>0</v>
      </c>
      <c r="AK10" s="74">
        <f t="shared" si="0"/>
        <v>0</v>
      </c>
      <c r="AL10" s="74">
        <v>50</v>
      </c>
      <c r="AM10" s="74"/>
      <c r="AN10" s="74"/>
      <c r="AO10" s="74"/>
      <c r="AP10" s="74"/>
      <c r="AQ10" s="74"/>
      <c r="AR10" s="74"/>
      <c r="AS10" s="74"/>
      <c r="AT10" s="74"/>
      <c r="AU10" s="74"/>
      <c r="AV10" s="74">
        <f>AV9*70%</f>
        <v>77.699999999999989</v>
      </c>
      <c r="AW10" s="74">
        <f t="shared" ref="AW10:CW10" si="1">AW9*70%</f>
        <v>77.699999999999989</v>
      </c>
      <c r="AX10" s="74">
        <f t="shared" si="1"/>
        <v>67.55</v>
      </c>
      <c r="AY10" s="74">
        <f t="shared" si="1"/>
        <v>72.8</v>
      </c>
      <c r="AZ10" s="74">
        <f t="shared" si="1"/>
        <v>72.8</v>
      </c>
      <c r="BA10" s="74">
        <f t="shared" si="1"/>
        <v>72.8</v>
      </c>
      <c r="BB10" s="74">
        <f t="shared" si="1"/>
        <v>72.8</v>
      </c>
      <c r="BC10" s="74">
        <f t="shared" si="1"/>
        <v>72.8</v>
      </c>
      <c r="BD10" s="74">
        <f t="shared" si="1"/>
        <v>72.8</v>
      </c>
      <c r="BE10" s="74">
        <f t="shared" si="1"/>
        <v>72.8</v>
      </c>
      <c r="BF10" s="74">
        <f t="shared" si="1"/>
        <v>72.8</v>
      </c>
      <c r="BG10" s="74">
        <f t="shared" si="1"/>
        <v>72.8</v>
      </c>
      <c r="BH10" s="74">
        <f t="shared" si="1"/>
        <v>72.8</v>
      </c>
      <c r="BI10" s="74">
        <f t="shared" si="1"/>
        <v>72.8</v>
      </c>
      <c r="BJ10" s="74">
        <f t="shared" si="1"/>
        <v>72.8</v>
      </c>
      <c r="BK10" s="74">
        <f t="shared" si="1"/>
        <v>72.8</v>
      </c>
      <c r="BL10" s="74">
        <f t="shared" si="1"/>
        <v>72.8</v>
      </c>
      <c r="BM10" s="74">
        <f t="shared" si="1"/>
        <v>72.8</v>
      </c>
      <c r="BN10" s="74">
        <f t="shared" si="1"/>
        <v>72.8</v>
      </c>
      <c r="BO10" s="74">
        <f t="shared" si="1"/>
        <v>78.399999999999991</v>
      </c>
      <c r="BP10" s="74">
        <f t="shared" si="1"/>
        <v>78.399999999999991</v>
      </c>
      <c r="BQ10" s="74">
        <f t="shared" si="1"/>
        <v>78.399999999999991</v>
      </c>
      <c r="BR10" s="74">
        <f t="shared" si="1"/>
        <v>78.399999999999991</v>
      </c>
      <c r="BS10" s="74">
        <f t="shared" si="1"/>
        <v>84</v>
      </c>
      <c r="BT10" s="74">
        <f t="shared" si="1"/>
        <v>84</v>
      </c>
      <c r="BU10" s="74">
        <f t="shared" si="1"/>
        <v>84</v>
      </c>
      <c r="BV10" s="74">
        <f t="shared" si="1"/>
        <v>84</v>
      </c>
      <c r="BW10" s="74">
        <f t="shared" si="1"/>
        <v>84</v>
      </c>
      <c r="BX10" s="74">
        <f t="shared" si="1"/>
        <v>84</v>
      </c>
      <c r="BY10" s="74">
        <f t="shared" si="1"/>
        <v>84</v>
      </c>
      <c r="BZ10" s="74">
        <f t="shared" si="1"/>
        <v>84</v>
      </c>
      <c r="CA10" s="74">
        <f t="shared" si="1"/>
        <v>82.6</v>
      </c>
      <c r="CB10" s="74">
        <f t="shared" si="1"/>
        <v>82.6</v>
      </c>
      <c r="CC10" s="74">
        <f t="shared" si="1"/>
        <v>82.6</v>
      </c>
      <c r="CD10" s="74">
        <f t="shared" si="1"/>
        <v>82.6</v>
      </c>
      <c r="CE10" s="74">
        <f t="shared" si="1"/>
        <v>82.6</v>
      </c>
      <c r="CF10" s="74">
        <f t="shared" si="1"/>
        <v>82.6</v>
      </c>
      <c r="CG10" s="74">
        <f t="shared" si="1"/>
        <v>82.6</v>
      </c>
      <c r="CH10" s="74">
        <f t="shared" si="1"/>
        <v>82.6</v>
      </c>
      <c r="CI10" s="74">
        <f t="shared" si="1"/>
        <v>75.599999999999994</v>
      </c>
      <c r="CJ10" s="74">
        <f t="shared" si="1"/>
        <v>75.599999999999994</v>
      </c>
      <c r="CK10" s="74">
        <f t="shared" si="1"/>
        <v>75.599999999999994</v>
      </c>
      <c r="CL10" s="74">
        <f t="shared" si="1"/>
        <v>75.599999999999994</v>
      </c>
      <c r="CM10" s="74">
        <f t="shared" si="1"/>
        <v>75.599999999999994</v>
      </c>
      <c r="CN10" s="74">
        <f t="shared" si="1"/>
        <v>75.599999999999994</v>
      </c>
      <c r="CO10" s="74">
        <f t="shared" si="1"/>
        <v>75.599999999999994</v>
      </c>
      <c r="CP10" s="74">
        <f t="shared" si="1"/>
        <v>75.599999999999994</v>
      </c>
      <c r="CQ10" s="74">
        <f t="shared" si="1"/>
        <v>75.599999999999994</v>
      </c>
      <c r="CR10" s="74">
        <f t="shared" si="1"/>
        <v>75.599999999999994</v>
      </c>
      <c r="CS10" s="74">
        <f t="shared" si="1"/>
        <v>75.599999999999994</v>
      </c>
      <c r="CT10" s="74">
        <f t="shared" si="1"/>
        <v>75.599999999999994</v>
      </c>
      <c r="CU10" s="74">
        <f t="shared" si="1"/>
        <v>75.599999999999994</v>
      </c>
      <c r="CV10" s="74">
        <f t="shared" si="1"/>
        <v>67.899999999999991</v>
      </c>
      <c r="CW10" s="74">
        <f t="shared" si="1"/>
        <v>67.899999999999991</v>
      </c>
      <c r="CX10" s="74">
        <f t="shared" ref="CX10:FA10" si="2">CX9/3</f>
        <v>31.333333333333332</v>
      </c>
      <c r="CY10" s="74">
        <f t="shared" si="2"/>
        <v>31.333333333333332</v>
      </c>
      <c r="CZ10" s="74">
        <f t="shared" si="2"/>
        <v>31.333333333333332</v>
      </c>
      <c r="DA10" s="74">
        <f t="shared" si="2"/>
        <v>31.333333333333332</v>
      </c>
      <c r="DB10" s="74">
        <f t="shared" si="2"/>
        <v>31.333333333333332</v>
      </c>
      <c r="DC10" s="74">
        <f t="shared" si="2"/>
        <v>31.333333333333332</v>
      </c>
      <c r="DD10" s="74">
        <f t="shared" si="2"/>
        <v>31.333333333333332</v>
      </c>
      <c r="DE10" s="74">
        <f t="shared" si="2"/>
        <v>35</v>
      </c>
      <c r="DF10" s="74">
        <f t="shared" si="2"/>
        <v>35</v>
      </c>
      <c r="DG10" s="74">
        <f t="shared" si="2"/>
        <v>35</v>
      </c>
      <c r="DH10" s="74">
        <v>30</v>
      </c>
      <c r="DI10" s="74">
        <v>30</v>
      </c>
      <c r="DJ10" s="74">
        <v>30</v>
      </c>
      <c r="DK10" s="74">
        <v>30</v>
      </c>
      <c r="DL10" s="74">
        <v>30</v>
      </c>
      <c r="DM10" s="74">
        <v>30</v>
      </c>
      <c r="DN10" s="74">
        <f t="shared" si="2"/>
        <v>38.333333333333336</v>
      </c>
      <c r="DO10" s="74">
        <f t="shared" si="2"/>
        <v>38.333333333333336</v>
      </c>
      <c r="DP10" s="74">
        <f t="shared" si="2"/>
        <v>38.333333333333336</v>
      </c>
      <c r="DQ10" s="74">
        <f t="shared" si="2"/>
        <v>38.333333333333336</v>
      </c>
      <c r="DR10" s="74">
        <f t="shared" si="2"/>
        <v>36</v>
      </c>
      <c r="DS10" s="74">
        <f t="shared" si="2"/>
        <v>36</v>
      </c>
      <c r="DT10" s="74">
        <f t="shared" si="2"/>
        <v>0</v>
      </c>
      <c r="DU10" s="74" t="e">
        <f t="shared" si="2"/>
        <v>#REF!</v>
      </c>
      <c r="DV10" s="74" t="e">
        <f t="shared" si="2"/>
        <v>#REF!</v>
      </c>
      <c r="DW10" s="74" t="e">
        <f t="shared" si="2"/>
        <v>#REF!</v>
      </c>
      <c r="DX10" s="74" t="e">
        <f t="shared" si="2"/>
        <v>#REF!</v>
      </c>
      <c r="DY10" s="74" t="e">
        <f t="shared" si="2"/>
        <v>#REF!</v>
      </c>
      <c r="DZ10" s="74" t="e">
        <f t="shared" si="2"/>
        <v>#REF!</v>
      </c>
      <c r="EA10" s="74" t="e">
        <f t="shared" si="2"/>
        <v>#REF!</v>
      </c>
      <c r="EB10" s="74" t="e">
        <f t="shared" si="2"/>
        <v>#REF!</v>
      </c>
      <c r="EC10" s="74" t="e">
        <f t="shared" si="2"/>
        <v>#REF!</v>
      </c>
      <c r="ED10" s="74" t="e">
        <f t="shared" si="2"/>
        <v>#REF!</v>
      </c>
      <c r="EE10" s="74" t="e">
        <f t="shared" si="2"/>
        <v>#REF!</v>
      </c>
      <c r="EF10" s="74" t="e">
        <f t="shared" si="2"/>
        <v>#REF!</v>
      </c>
      <c r="EG10" s="74" t="e">
        <f t="shared" si="2"/>
        <v>#REF!</v>
      </c>
      <c r="EH10" s="74" t="e">
        <f t="shared" si="2"/>
        <v>#REF!</v>
      </c>
      <c r="EI10" s="74" t="e">
        <f t="shared" si="2"/>
        <v>#REF!</v>
      </c>
      <c r="EJ10" s="74" t="e">
        <f t="shared" si="2"/>
        <v>#REF!</v>
      </c>
      <c r="EK10" s="74" t="e">
        <f t="shared" si="2"/>
        <v>#REF!</v>
      </c>
      <c r="EL10" s="74" t="e">
        <f t="shared" si="2"/>
        <v>#REF!</v>
      </c>
      <c r="EM10" s="74" t="e">
        <f t="shared" si="2"/>
        <v>#REF!</v>
      </c>
      <c r="EN10" s="74" t="e">
        <f t="shared" si="2"/>
        <v>#REF!</v>
      </c>
      <c r="EO10" s="74" t="e">
        <f t="shared" si="2"/>
        <v>#REF!</v>
      </c>
      <c r="EP10" s="74" t="e">
        <f t="shared" si="2"/>
        <v>#REF!</v>
      </c>
      <c r="EQ10" s="74" t="e">
        <f t="shared" si="2"/>
        <v>#REF!</v>
      </c>
      <c r="ER10" s="74" t="e">
        <f t="shared" si="2"/>
        <v>#REF!</v>
      </c>
      <c r="ES10" s="74" t="e">
        <f t="shared" si="2"/>
        <v>#REF!</v>
      </c>
      <c r="ET10" s="74" t="e">
        <f t="shared" si="2"/>
        <v>#REF!</v>
      </c>
      <c r="EU10" s="74" t="e">
        <f t="shared" si="2"/>
        <v>#REF!</v>
      </c>
      <c r="EV10" s="74" t="e">
        <f t="shared" si="2"/>
        <v>#REF!</v>
      </c>
      <c r="EW10" s="74" t="e">
        <f t="shared" si="2"/>
        <v>#REF!</v>
      </c>
      <c r="EX10" s="74" t="e">
        <f t="shared" si="2"/>
        <v>#REF!</v>
      </c>
      <c r="EY10" s="74" t="e">
        <f t="shared" si="2"/>
        <v>#REF!</v>
      </c>
      <c r="EZ10" s="74" t="e">
        <f t="shared" si="2"/>
        <v>#REF!</v>
      </c>
      <c r="FA10" s="74" t="e">
        <f t="shared" si="2"/>
        <v>#REF!</v>
      </c>
      <c r="FB10" s="74" t="e">
        <f>FB9/3</f>
        <v>#REF!</v>
      </c>
      <c r="FC10" s="74" t="e">
        <f>FC9/3</f>
        <v>#REF!</v>
      </c>
      <c r="FD10" s="74" t="e">
        <f>FD9/3</f>
        <v>#REF!</v>
      </c>
      <c r="FE10" s="74" t="e">
        <f>FE9/3</f>
        <v>#REF!</v>
      </c>
    </row>
    <row r="11" spans="1:164" hidden="1">
      <c r="B11" s="44"/>
      <c r="D11" s="44"/>
      <c r="H11" s="44" t="s">
        <v>146</v>
      </c>
      <c r="I11" s="74">
        <f>VLOOKUP($H$11&amp;$F$1,'Input RM sheet'!$A:$BD,H1,0)</f>
        <v>0</v>
      </c>
      <c r="J11" s="74">
        <f>VLOOKUP($H$11&amp;$F$1,'Input RM sheet'!$A:$BD,I1,0)</f>
        <v>0</v>
      </c>
      <c r="K11" s="74">
        <f>VLOOKUP($H$11&amp;$F$1,'Input RM sheet'!$A:$BD,J1,0)</f>
        <v>0</v>
      </c>
      <c r="L11" s="74">
        <f>VLOOKUP($H$11&amp;$F$1,'Input RM sheet'!$A:$BD,K1,0)</f>
        <v>0</v>
      </c>
      <c r="M11" s="74">
        <f>VLOOKUP($H$11&amp;$F$1,'Input RM sheet'!$A:$BD,L1,0)</f>
        <v>0</v>
      </c>
      <c r="N11" s="74">
        <f>VLOOKUP($H$11&amp;$F$1,'Input RM sheet'!$A:$BD,M1,0)</f>
        <v>0</v>
      </c>
      <c r="O11" s="74">
        <f>VLOOKUP($H$11&amp;$F$1,'Input RM sheet'!$A:$BD,N1,0)</f>
        <v>0</v>
      </c>
      <c r="P11" s="74">
        <f>VLOOKUP($H$11&amp;$F$1,'Input RM sheet'!$A:$BD,O1,0)</f>
        <v>0</v>
      </c>
      <c r="Q11" s="74">
        <f>VLOOKUP($H$11&amp;$F$1,'Input RM sheet'!$A:$BD,P1,0)</f>
        <v>0</v>
      </c>
      <c r="R11" s="74">
        <f>VLOOKUP($H$11&amp;$F$1,'Input RM sheet'!$A:$BD,Q1,0)</f>
        <v>0</v>
      </c>
      <c r="S11" s="74">
        <f>VLOOKUP($H$11&amp;$F$1,'Input RM sheet'!$A:$BD,R1,0)</f>
        <v>0</v>
      </c>
      <c r="T11" s="74">
        <f>VLOOKUP($H$11&amp;$F$1,'Input RM sheet'!$A:$BD,S1,0)</f>
        <v>0</v>
      </c>
      <c r="U11" s="74">
        <f>VLOOKUP($H$11&amp;$F$1,'Input RM sheet'!$A:$BD,T1,0)</f>
        <v>0</v>
      </c>
      <c r="V11" s="74">
        <f>VLOOKUP($H$11&amp;$F$1,'Input RM sheet'!$A:$BD,U1,0)</f>
        <v>0</v>
      </c>
      <c r="W11" s="74">
        <f>VLOOKUP($H$11&amp;$F$1,'Input RM sheet'!$A:$BD,V1,0)</f>
        <v>0</v>
      </c>
      <c r="X11" s="74">
        <f>VLOOKUP($H$11&amp;$F$1,'Input RM sheet'!$A:$BD,W1,0)</f>
        <v>0</v>
      </c>
      <c r="Y11" s="74">
        <f>VLOOKUP($H$11&amp;$F$1,'Input RM sheet'!$A:$BD,X1,0)</f>
        <v>0</v>
      </c>
      <c r="Z11" s="74">
        <f>VLOOKUP($H$11&amp;$F$1,'Input RM sheet'!$A:$BD,Y1,0)</f>
        <v>0</v>
      </c>
      <c r="AA11" s="74">
        <f>VLOOKUP($H$11&amp;$F$1,'Input RM sheet'!$A:$BD,Z1,0)</f>
        <v>0</v>
      </c>
      <c r="AB11" s="74">
        <f>VLOOKUP($H$11&amp;$F$1,'Input RM sheet'!$A:$BD,AA1,0)</f>
        <v>0</v>
      </c>
      <c r="AC11" s="74">
        <f>VLOOKUP($H$11&amp;$F$1,'Input RM sheet'!$A:$BD,AB1,0)</f>
        <v>0</v>
      </c>
      <c r="AD11" s="74">
        <f>VLOOKUP($H$11&amp;$F$1,'Input RM sheet'!$A:$BD,AC1,0)</f>
        <v>68.168099999999995</v>
      </c>
      <c r="AE11" s="74">
        <f>VLOOKUP($H$11&amp;$F$1,'Input RM sheet'!$A:$BD,AD1,0)</f>
        <v>69.303643750000006</v>
      </c>
      <c r="AF11" s="74">
        <f>VLOOKUP($H$11&amp;$F$1,'Input RM sheet'!$A:$BD,AE1,0)</f>
        <v>59.204700000000003</v>
      </c>
      <c r="AG11" s="74">
        <f>VLOOKUP($H$11&amp;$F$1,'Input RM sheet'!$A:$BD,AF1,0)</f>
        <v>55.279125000000008</v>
      </c>
      <c r="AH11" s="74">
        <f>VLOOKUP($H$11&amp;$F$1,'Input RM sheet'!$A:$BD,AG1,0)</f>
        <v>64.090799999999987</v>
      </c>
      <c r="AI11" s="74">
        <f>VLOOKUP($H$11&amp;$F$1,'Input RM sheet'!$A:$BD,AH1,0)</f>
        <v>77.962829999999983</v>
      </c>
      <c r="AJ11" s="74">
        <f>VLOOKUP($H$11&amp;$F$1,'Input RM sheet'!$A:$BD,AI1,0)</f>
        <v>73.163077687500007</v>
      </c>
      <c r="AK11" s="74">
        <f>VLOOKUP($H$11&amp;$F$1,'Input RM sheet'!$A:$BD,AJ1,0)</f>
        <v>74.516451281249985</v>
      </c>
      <c r="AL11" s="74">
        <v>25.47</v>
      </c>
      <c r="AM11" s="74">
        <f>VLOOKUP($H$11&amp;$F$1,'Input RM sheet'!$A:$BD,AL1,0)</f>
        <v>42.7858344047619</v>
      </c>
      <c r="AN11" s="74">
        <f>VLOOKUP($H$11&amp;$F$1,'Input RM sheet'!$A:$BD,AM1,0)</f>
        <v>34.503482333333331</v>
      </c>
      <c r="AO11" s="74">
        <f>VLOOKUP($H$11&amp;$F$1,'Input RM sheet'!$A:$BD,AN1,0)</f>
        <v>34.499568454545461</v>
      </c>
      <c r="AP11" s="74">
        <f>VLOOKUP($H$11&amp;$F$1,'Input RM sheet'!$A:$BD,AO1,0)</f>
        <v>27.944177093750007</v>
      </c>
      <c r="AQ11" s="74">
        <f>VLOOKUP($H$11&amp;$F$1,'Input RM sheet'!$A:$BD,AP1,0)</f>
        <v>21.62865597321429</v>
      </c>
      <c r="AR11" s="74">
        <f>VLOOKUP($H$11&amp;$F$1,'Input RM sheet'!$A:$BD,AQ1,0)</f>
        <v>23.089979818181817</v>
      </c>
      <c r="AS11" s="74">
        <f>VLOOKUP($H$11&amp;$F$1,'Input RM sheet'!$A:$BD,AR1,0)</f>
        <v>24.877000607142858</v>
      </c>
      <c r="AT11" s="74">
        <f>VLOOKUP($H$11&amp;$F$1,'Input RM sheet'!$A:$BD,AS1,0)</f>
        <v>26.586884187500001</v>
      </c>
      <c r="AU11" s="74">
        <f>VLOOKUP($H$11&amp;$F$1,'Input RM sheet'!$A:$BD,AT1,0)</f>
        <v>22.747697050000003</v>
      </c>
      <c r="AV11" s="74">
        <f>VLOOKUP($H$11&amp;$F$1,'Input RM sheet'!$A:$BD,AU1,0)</f>
        <v>25.765667687499999</v>
      </c>
      <c r="AW11" s="74">
        <f>VLOOKUP($H$11&amp;$F$1,'Input RM sheet'!$A:$BD,AV1,0)</f>
        <v>26.946166406250001</v>
      </c>
      <c r="AX11" s="74">
        <f>VLOOKUP($H$11&amp;$F$1,'Input RM sheet'!$A:$BD,AW1,0)</f>
        <v>22.357500000000002</v>
      </c>
      <c r="AY11" s="74">
        <f>VLOOKUP($H$11&amp;$F$1,'Input RM sheet'!$A:$BD,AX1,0)</f>
        <v>20.197799999999997</v>
      </c>
      <c r="AZ11" s="74">
        <f>VLOOKUP($H$11&amp;$F$1,'Input RM sheet'!$A:$BD,AY1,0)</f>
        <v>21.366800000000001</v>
      </c>
      <c r="BA11" s="74">
        <f>VLOOKUP($H$11&amp;$F$1,'Input RM sheet'!$A:$BD,AZ1,0)</f>
        <v>23.142399999999999</v>
      </c>
      <c r="BB11" s="74">
        <f>VLOOKUP($H$11&amp;$F$1,'Input RM sheet'!$A:$BD,BA1,0)</f>
        <v>24.2667</v>
      </c>
      <c r="BC11" s="74">
        <f>VLOOKUP($H$11&amp;$F$1,'Input RM sheet'!$A:$BD,BB1,0)</f>
        <v>24.849</v>
      </c>
      <c r="BD11" s="74">
        <f>VLOOKUP($H$11&amp;$F$1,'Input RM sheet'!$A:$BD,BC1,0)</f>
        <v>24.974999999999998</v>
      </c>
      <c r="BE11" s="74">
        <f>VLOOKUP($H$11&amp;$F$1,'Input RM sheet'!$A:$BD,BD1,0)</f>
        <v>24.142499999999998</v>
      </c>
      <c r="BF11" s="74">
        <f>VLOOKUP($H$11&amp;$F$1,'Input RM sheet'!$A:$BD,BE1,0)</f>
        <v>23.142000000000003</v>
      </c>
      <c r="BG11" s="74">
        <f>VLOOKUP($H$11&amp;$F$1,'Input RM sheet'!$A:$BD,BF1,0)</f>
        <v>22.838750000000001</v>
      </c>
      <c r="BH11" s="74">
        <f>VLOOKUP($H$11&amp;$F$1,'Input RM sheet'!$A:$DD,BG1,0)</f>
        <v>22.808500000000002</v>
      </c>
      <c r="BI11" s="74">
        <f>VLOOKUP($H$11&amp;$F$1,'Input RM sheet'!$A:$DD,BH1,0)</f>
        <v>22.391100000000002</v>
      </c>
      <c r="BJ11" s="74">
        <f>VLOOKUP($H$11&amp;$F$1,'Input RM sheet'!$A:$DD,BI1,0)</f>
        <v>22.480200000000004</v>
      </c>
      <c r="BK11" s="74">
        <f>VLOOKUP($H$11&amp;$F$1,'Input RM sheet'!$A:$DD,BJ1,0)</f>
        <v>22.4694</v>
      </c>
      <c r="BL11" s="74">
        <f>VLOOKUP($H$11&amp;$F$1,'Input RM sheet'!$A:$DD,BK1,0)</f>
        <v>22.477500000000003</v>
      </c>
      <c r="BM11" s="74">
        <f>VLOOKUP($H$11&amp;$F$1,'Input RM sheet'!$A:$DD,BL1,0)</f>
        <v>22.442400000000003</v>
      </c>
      <c r="BN11" s="74">
        <f>VLOOKUP($H$11&amp;$F$1,'Input RM sheet'!$A:$DD,BM1,0)</f>
        <v>22.480200000000004</v>
      </c>
      <c r="BO11" s="74">
        <f>VLOOKUP($H$11&amp;$F$1,'Input RM sheet'!$A:$DD,BN1,0)</f>
        <v>22.26135</v>
      </c>
      <c r="BP11" s="74">
        <f>VLOOKUP($H$11&amp;$F$1,'Input RM sheet'!$A:$DD,BO1,0)</f>
        <v>22.253325</v>
      </c>
      <c r="BQ11" s="74">
        <f>VLOOKUP($H$11&amp;$F$1,'Input RM sheet'!$A:$DD,BP1,0)</f>
        <v>22.253325</v>
      </c>
      <c r="BR11" s="74">
        <f>VLOOKUP($H$11&amp;$F$1,'Input RM sheet'!$A:$DD,BQ1,0)</f>
        <v>22.082450000000001</v>
      </c>
      <c r="BS11" s="74">
        <f>VLOOKUP($H$11&amp;$F$1,'Input RM sheet'!$A:$DD,BR1,0)</f>
        <v>22.101000000000003</v>
      </c>
      <c r="BT11" s="74">
        <f>VLOOKUP($H$11&amp;$F$1,'Input RM sheet'!$A:$DD,BS1,0)</f>
        <v>22.090400000000002</v>
      </c>
      <c r="BU11" s="74">
        <f>VLOOKUP($H$11&amp;$F$1,'Input RM sheet'!$A:$DD,BT1,0)</f>
        <v>20.81</v>
      </c>
      <c r="BV11" s="74">
        <f>VLOOKUP($H$11&amp;$F$1,'Input RM sheet'!$A:$DD,BU1,0)</f>
        <v>20.83</v>
      </c>
      <c r="BW11" s="74">
        <f>VLOOKUP($H$11&amp;$F$1,'Input RM sheet'!$A:$DD,BV1,0)</f>
        <v>21.200700000000001</v>
      </c>
      <c r="BX11" s="74">
        <f>VLOOKUP($H$11&amp;$F$1,'Input RM sheet'!$A:$DD,BW1,0)</f>
        <v>22.034750000000003</v>
      </c>
      <c r="BY11" s="74">
        <f>VLOOKUP($H$11&amp;$F$1,'Input RM sheet'!$A:$DD,BX1,0)</f>
        <v>22.269375</v>
      </c>
      <c r="BZ11" s="74">
        <f>VLOOKUP($H$11&amp;$F$1,'Input RM sheet'!$A:$DD,BY1,0)</f>
        <v>22.841500000000003</v>
      </c>
      <c r="CA11" s="74">
        <f>VLOOKUP($H$11&amp;$F$1,'Input RM sheet'!$A:$DD,BZ1,0)</f>
        <v>22.825000000000003</v>
      </c>
      <c r="CB11" s="74">
        <f>VLOOKUP($H$11&amp;$F$1,'Input RM sheet'!$A:$DD,CA1,0)</f>
        <v>22.827750000000002</v>
      </c>
      <c r="CC11" s="74">
        <f>VLOOKUP($H$11&amp;$F$1,'Input RM sheet'!$A:$DD,CB1,0)</f>
        <v>22.797500000000003</v>
      </c>
      <c r="CD11" s="74">
        <f>VLOOKUP($H$11&amp;$F$1,'Input RM sheet'!$A:$DD,CC1,0)</f>
        <v>24.041</v>
      </c>
      <c r="CE11" s="74">
        <f>VLOOKUP($H$11&amp;$F$1,'Input RM sheet'!$A:$DD,CD1,0)</f>
        <v>23.983000000000001</v>
      </c>
      <c r="CF11" s="74">
        <f>VLOOKUP($H$11&amp;$F$1,'Input RM sheet'!$A:$DD,CE1,0)</f>
        <v>24.000399999999999</v>
      </c>
      <c r="CG11" s="74">
        <f>VLOOKUP($H$11&amp;$F$1,'Input RM sheet'!$A:$DD,CF1,0)</f>
        <v>24.353549999999998</v>
      </c>
      <c r="CH11" s="74">
        <f>VLOOKUP($H$11&amp;$F$1,'Input RM sheet'!$A:$DD,CG1,0)</f>
        <v>24.808524999999999</v>
      </c>
      <c r="CI11" s="74">
        <f>VLOOKUP($H$11&amp;$F$1,'Input RM sheet'!$A:$DD,CH1,0)</f>
        <v>24.130899999999997</v>
      </c>
      <c r="CJ11" s="74">
        <f>VLOOKUP($H$11&amp;$F$1,'Input RM sheet'!$A:$DD,CI1,0)</f>
        <v>23.977499999999999</v>
      </c>
      <c r="CK11" s="74">
        <f>VLOOKUP($H$11&amp;$F$1,'Input RM sheet'!$A:$DD,CJ1,0)</f>
        <v>24.037875</v>
      </c>
      <c r="CL11" s="74">
        <f>VLOOKUP($H$11&amp;$F$1,'Input RM sheet'!$A:$DD,CK1,0)</f>
        <v>23.566149999999997</v>
      </c>
      <c r="CM11" s="74">
        <f>VLOOKUP($H$11&amp;$F$1,'Input RM sheet'!$A:$DD,CL1,0)</f>
        <v>23.588749999999997</v>
      </c>
      <c r="CN11" s="74">
        <f>VLOOKUP($H$11&amp;$F$1,'Input RM sheet'!$A:$DD,CM1,0)</f>
        <v>23.546374999999998</v>
      </c>
      <c r="CO11" s="74">
        <f>VLOOKUP($H$11&amp;$F$1,'Input RM sheet'!$A:$DD,CN1,0)</f>
        <v>23.546374999999998</v>
      </c>
      <c r="CP11" s="74">
        <f>VLOOKUP($H$11&amp;$F$1,'Input RM sheet'!$A:$DD,CO1,0)</f>
        <v>23.546374999999998</v>
      </c>
      <c r="CQ11" s="74">
        <f>VLOOKUP($H$11&amp;$F$1,'Input RM sheet'!$A:$DD,CP1,0)</f>
        <v>23.754749999999998</v>
      </c>
      <c r="CR11" s="74">
        <f>VLOOKUP($H$11&amp;$F$1,'Input RM sheet'!$A:$ZZ,CQ1,0)</f>
        <v>23.908649999999998</v>
      </c>
      <c r="CS11" s="74">
        <f>VLOOKUP($H$11&amp;$F$1,'Input RM sheet'!$A:$ZZ,CR1,0)</f>
        <v>24.186</v>
      </c>
      <c r="CT11" s="74">
        <f>VLOOKUP($H$11&amp;$F$1,'Input RM sheet'!$A:$ZZ,CS1,0)</f>
        <v>24.841249999999999</v>
      </c>
      <c r="CU11" s="74">
        <f>VLOOKUP($H$11&amp;$F$1,'Input RM sheet'!$A:$ZZ,CT1,0)</f>
        <v>25.035</v>
      </c>
      <c r="CV11" s="74">
        <f>VLOOKUP($H$11&amp;$F$1,'Input RM sheet'!$A:$ZZ,CU1,0)</f>
        <v>25.458349999999999</v>
      </c>
      <c r="CW11" s="74">
        <f>VLOOKUP($H$11&amp;$F$1,'Input RM sheet'!$A:$ZZ,CV1,0)</f>
        <v>25.482749999999999</v>
      </c>
      <c r="CX11" s="74">
        <f>VLOOKUP($H$11&amp;$F$1,'Input RM sheet'!$A:$ZZ,CW1,0)</f>
        <v>26.784000000000002</v>
      </c>
      <c r="CY11" s="74">
        <f>VLOOKUP($H$11&amp;$F$1,'Input RM sheet'!$A:$ZZ,CX1,0)</f>
        <v>26.793600000000001</v>
      </c>
      <c r="CZ11" s="74">
        <f>VLOOKUP($H$11&amp;$F$1,'Input RM sheet'!$A:$ZZ,CY1,0)</f>
        <v>28.123250000000002</v>
      </c>
      <c r="DA11" s="74">
        <f>VLOOKUP($H$11&amp;$F$1,'Input RM sheet'!$A:$ZZ,CZ1,0)</f>
        <v>28.966199999999997</v>
      </c>
      <c r="DB11" s="74">
        <f>VLOOKUP($H$11&amp;$F$1,'Input RM sheet'!$A:$ZZ,DA1,0)</f>
        <v>29.364999999999998</v>
      </c>
      <c r="DC11" s="74">
        <f>VLOOKUP($H$11&amp;$F$1,'Input RM sheet'!$A:$ZZ,DB1,0)</f>
        <v>29.361499999999999</v>
      </c>
      <c r="DD11" s="74">
        <f>VLOOKUP($H$11&amp;$F$1,'Input RM sheet'!$A:$ZZ,DC1,0)</f>
        <v>29.385999999999996</v>
      </c>
      <c r="DE11" s="74">
        <f>VLOOKUP($H$11&amp;$F$1,'Input RM sheet'!$A:$ZZ,DD1,0)</f>
        <v>29.385999999999996</v>
      </c>
      <c r="DF11" s="74">
        <f>VLOOKUP($H$11&amp;$F$1,'Input RM sheet'!$A:$ZZ,DE1,0)</f>
        <v>28.835099999999997</v>
      </c>
      <c r="DG11" s="74">
        <f>VLOOKUP($H$11&amp;$F$1,'Input RM sheet'!$A:$ZZ,DF1,0)</f>
        <v>29.699299999999997</v>
      </c>
      <c r="DH11" s="74">
        <f>VLOOKUP($H$11&amp;$F$1,'Input RM sheet'!$A:$ZZ,DG1,0)</f>
        <v>30.649049999999999</v>
      </c>
      <c r="DI11" s="74">
        <f>VLOOKUP($H$11&amp;$F$1,'Input RM sheet'!$A:$ZZ,DH1,0)</f>
        <v>31.946599999999997</v>
      </c>
      <c r="DJ11" s="74">
        <f>VLOOKUP($H$11&amp;$F$1,'Input RM sheet'!$A:$ZZ,DI1,0)</f>
        <v>34.048349999999999</v>
      </c>
      <c r="DK11" s="74">
        <f>VLOOKUP($H$11&amp;$F$1,'Input RM sheet'!$A:$ZZ,DJ1,0)</f>
        <v>34.052399999999999</v>
      </c>
      <c r="DL11" s="74">
        <f>VLOOKUP($H$11&amp;$F$1,'Input RM sheet'!$A:$ZZ,DK1,0)</f>
        <v>34.489199999999997</v>
      </c>
      <c r="DM11" s="74">
        <f>VLOOKUP($H$11&amp;$F$1,'Input RM sheet'!$A:$ZZ,DL1,0)</f>
        <v>34.182000000000002</v>
      </c>
      <c r="DN11" s="74">
        <f>VLOOKUP($H$11&amp;$F$1,'Input RM sheet'!$A:$ZZ,DM1,0)</f>
        <v>33.707999999999998</v>
      </c>
      <c r="DO11" s="74">
        <f>VLOOKUP($H$11&amp;$F$1,'Input RM sheet'!$A:$ZZ,DN1,0)</f>
        <v>34.275150000000004</v>
      </c>
      <c r="DP11" s="74">
        <f>VLOOKUP($H$11&amp;$F$1,'Input RM sheet'!$A:$ZZ,DO1,0)</f>
        <v>34.29945</v>
      </c>
      <c r="DQ11" s="74">
        <f>VLOOKUP($H$11&amp;$F$1,'Input RM sheet'!$A:$ZZ,DP1,0)</f>
        <v>34.780299999999997</v>
      </c>
      <c r="DR11" s="74">
        <f>VLOOKUP($H$11&amp;$F$1,'Input RM sheet'!$A:$ZZ,DQ1,0)</f>
        <v>36.515599999999999</v>
      </c>
      <c r="DS11" s="74">
        <f>VLOOKUP($H$11&amp;$F$1,'Input RM sheet'!$A:$ZZ,DR1,0)</f>
        <v>37.692150000000005</v>
      </c>
      <c r="DT11" s="74">
        <f>VLOOKUP($H$11&amp;$F$1,'Input RM sheet'!$A:$ZZ,DS1,0)</f>
        <v>0</v>
      </c>
      <c r="DU11" s="74">
        <f>VLOOKUP($H$11&amp;$F$1,'Input RM sheet'!$A:$ZZ,DT1,0)</f>
        <v>0</v>
      </c>
      <c r="DV11" s="74">
        <f>VLOOKUP($H$11&amp;$F$1,'Input RM sheet'!$A:$ZZ,DU1,0)</f>
        <v>0</v>
      </c>
      <c r="DW11" s="74">
        <f>VLOOKUP($H$11&amp;$F$1,'Input RM sheet'!$A:$ZZ,DV1,0)</f>
        <v>0</v>
      </c>
      <c r="DX11" s="74">
        <f>VLOOKUP($H$11&amp;$F$1,'Input RM sheet'!$A:$ZZ,DW1,0)</f>
        <v>0</v>
      </c>
      <c r="DY11" s="74">
        <f>VLOOKUP($H$11&amp;$F$1,'Input RM sheet'!$A:$ZZ,DX1,0)</f>
        <v>0</v>
      </c>
      <c r="DZ11" s="74">
        <f>VLOOKUP($H$11&amp;$F$1,'Input RM sheet'!$A:$ZZ,DY1,0)</f>
        <v>0</v>
      </c>
      <c r="EA11" s="74">
        <f>VLOOKUP($H$11&amp;$F$1,'Input RM sheet'!$A:$ZZ,DZ1,0)</f>
        <v>0</v>
      </c>
      <c r="EB11" s="74">
        <f>VLOOKUP($H$11&amp;$F$1,'Input RM sheet'!$A:$ZZ,EA1,0)</f>
        <v>0</v>
      </c>
      <c r="EC11" s="74">
        <f>VLOOKUP($H$11&amp;$F$1,'Input RM sheet'!$A:$ZZ,EB1,0)</f>
        <v>0</v>
      </c>
      <c r="ED11" s="74">
        <f>VLOOKUP($H$11&amp;$F$1,'Input RM sheet'!$A:$ZZ,EC1,0)</f>
        <v>0</v>
      </c>
      <c r="EE11" s="74">
        <f>VLOOKUP($H$11&amp;$F$1,'Input RM sheet'!$A:$ZZ,ED1,0)</f>
        <v>0</v>
      </c>
      <c r="EF11" s="74">
        <f>VLOOKUP($H$11&amp;$F$1,'Input RM sheet'!$A:$ZZ,EE1,0)</f>
        <v>0</v>
      </c>
      <c r="EG11" s="74">
        <f>VLOOKUP($H$11&amp;$F$1,'Input RM sheet'!$A:$ZZ,EF1,0)</f>
        <v>0</v>
      </c>
      <c r="EH11" s="74">
        <f>VLOOKUP($H$11&amp;$F$1,'Input RM sheet'!$A:$ZZ,EG1,0)</f>
        <v>0</v>
      </c>
      <c r="EI11" s="74">
        <f>VLOOKUP($H$11&amp;$F$1,'Input RM sheet'!$A:$ZZ,EH1,0)</f>
        <v>0</v>
      </c>
      <c r="EJ11" s="74">
        <f>VLOOKUP($H$11&amp;$F$1,'Input RM sheet'!$A:$ZZ,EI1,0)</f>
        <v>0</v>
      </c>
      <c r="EK11" s="74">
        <f>VLOOKUP($H$11&amp;$F$1,'Input RM sheet'!$A:$ZZ,EJ1,0)</f>
        <v>0</v>
      </c>
      <c r="EL11" s="74">
        <f>VLOOKUP($H$11&amp;$F$1,'Input RM sheet'!$A:$ZZ,EK1,0)</f>
        <v>0</v>
      </c>
      <c r="EM11" s="74">
        <f>VLOOKUP($H$11&amp;$F$1,'Input RM sheet'!$A:$ZZ,EL1,0)</f>
        <v>0</v>
      </c>
      <c r="EN11" s="74">
        <f>VLOOKUP($H$11&amp;$F$1,'Input RM sheet'!$A:$ZZ,EM1,0)</f>
        <v>0</v>
      </c>
      <c r="EO11" s="74">
        <f>VLOOKUP($H$11&amp;$F$1,'Input RM sheet'!$A:$ZZ,EN1,0)</f>
        <v>0</v>
      </c>
      <c r="EP11" s="74">
        <f>VLOOKUP($H$11&amp;$F$1,'Input RM sheet'!$A:$ZZ,EO1,0)</f>
        <v>0</v>
      </c>
      <c r="EQ11" s="74">
        <f>VLOOKUP($H$11&amp;$F$1,'Input RM sheet'!$A:$ZZ,EP1,0)</f>
        <v>0</v>
      </c>
      <c r="ER11" s="74">
        <f>VLOOKUP($H$11&amp;$F$1,'Input RM sheet'!$A:$ZZ,EQ1,0)</f>
        <v>0</v>
      </c>
      <c r="ES11" s="74">
        <f>VLOOKUP($H$11&amp;$F$1,'Input RM sheet'!$A:$ZZ,ER1,0)</f>
        <v>0</v>
      </c>
      <c r="ET11" s="74">
        <f>VLOOKUP($H$11&amp;$F$1,'Input RM sheet'!$A:$ZZ,ES1,0)</f>
        <v>0</v>
      </c>
      <c r="EU11" s="74">
        <f>VLOOKUP($H$11&amp;$F$1,'Input RM sheet'!$A:$ZZ,ET1,0)</f>
        <v>0</v>
      </c>
      <c r="EV11" s="74">
        <f>VLOOKUP($H$11&amp;$F$1,'Input RM sheet'!$A:$ZZ,EU1,0)</f>
        <v>0</v>
      </c>
      <c r="EW11" s="74">
        <f>VLOOKUP($H$11&amp;$F$1,'Input RM sheet'!$A:$ZZ,EV1,0)</f>
        <v>0</v>
      </c>
      <c r="EX11" s="74">
        <f>VLOOKUP($H$11&amp;$F$1,'Input RM sheet'!$A:$ZZ,EW1,0)</f>
        <v>0</v>
      </c>
      <c r="EY11" s="74">
        <f>VLOOKUP($H$11&amp;$F$1,'Input RM sheet'!$A:$ZZ,EX1,0)</f>
        <v>0</v>
      </c>
      <c r="EZ11" s="74">
        <f>VLOOKUP($H$11&amp;$F$1,'Input RM sheet'!$A:$ZZ,EY1,0)</f>
        <v>0</v>
      </c>
      <c r="FA11" s="74">
        <f>VLOOKUP($H$11&amp;$F$1,'Input RM sheet'!$A:$ZZ,EZ1,0)</f>
        <v>0</v>
      </c>
      <c r="FB11" s="74">
        <f>VLOOKUP($H$11&amp;$F$1,'Input RM sheet'!$A:$ZZ,FA1,0)</f>
        <v>0</v>
      </c>
      <c r="FC11" s="74">
        <f>VLOOKUP($H$11&amp;$F$1,'Input RM sheet'!$A:$ZZ,FB1,0)</f>
        <v>0</v>
      </c>
      <c r="FD11" s="74">
        <f>VLOOKUP($H$11&amp;$F$1,'Input RM sheet'!$A:$ZZ,FC1,0)</f>
        <v>0</v>
      </c>
      <c r="FE11" s="74">
        <f>VLOOKUP($H$11&amp;$F$1,'Input RM sheet'!$A:$ZZ,FD1,0)</f>
        <v>0</v>
      </c>
    </row>
    <row r="12" spans="1:164">
      <c r="B12" s="44"/>
      <c r="D12" s="44"/>
      <c r="H12" s="44" t="s">
        <v>370</v>
      </c>
      <c r="I12" s="74"/>
      <c r="J12" s="74"/>
      <c r="K12" s="74"/>
      <c r="L12" s="74"/>
      <c r="M12" s="74"/>
      <c r="N12" s="74"/>
      <c r="O12" s="74"/>
      <c r="P12" s="74"/>
      <c r="Q12" s="74"/>
      <c r="R12" s="74"/>
      <c r="S12" s="74"/>
      <c r="T12" s="74"/>
      <c r="U12" s="74"/>
      <c r="V12" s="74"/>
      <c r="W12" s="74"/>
      <c r="X12" s="74"/>
      <c r="Y12" s="74"/>
      <c r="Z12" s="74"/>
      <c r="AA12" s="74"/>
      <c r="AB12" s="74"/>
      <c r="AC12" s="74"/>
      <c r="AD12" s="74">
        <f>VLOOKUP($H$12&amp;$F$1,'Input RM sheet'!$A:$DD,AC1,0)</f>
        <v>377.33368834575629</v>
      </c>
      <c r="AE12" s="74">
        <f>VLOOKUP($H$12&amp;$F$1,'Input RM sheet'!$A:$DD,AD1,0)</f>
        <v>414.53161529412063</v>
      </c>
      <c r="AF12" s="74">
        <f>VLOOKUP($H$12&amp;$F$1,'Input RM sheet'!$A:$DD,AE1,0)</f>
        <v>414.09526610869602</v>
      </c>
      <c r="AG12" s="74">
        <f>VLOOKUP($H$12&amp;$F$1,'Input RM sheet'!$A:$DD,AF1,0)</f>
        <v>407.71580372916037</v>
      </c>
      <c r="AH12" s="74">
        <f>VLOOKUP($H$12&amp;$F$1,'Input RM sheet'!$A:$DD,AG1,0)</f>
        <v>409.63369159851686</v>
      </c>
      <c r="AI12" s="74">
        <f>VLOOKUP($H$12&amp;$F$1,'Input RM sheet'!$A:$DD,AH1,0)</f>
        <v>402.56079730015648</v>
      </c>
      <c r="AJ12" s="74">
        <f>VLOOKUP($H$12&amp;$F$1,'Input RM sheet'!$A:$DD,AI1,0)</f>
        <v>386.4982929812349</v>
      </c>
      <c r="AK12" s="74">
        <f>VLOOKUP($H$12&amp;$F$1,'Input RM sheet'!$A:$DD,AJ1,0)</f>
        <v>375.04159624123827</v>
      </c>
      <c r="AL12" s="74">
        <v>245</v>
      </c>
      <c r="AM12" s="74">
        <f>VLOOKUP($H$12&amp;$F$1,'Input RM sheet'!$A:$DD,AL1,0)</f>
        <v>430.11195416813047</v>
      </c>
      <c r="AN12" s="74">
        <f>VLOOKUP($H$12&amp;$F$1,'Input RM sheet'!$A:$DD,AM1,0)</f>
        <v>428.2955050669139</v>
      </c>
      <c r="AO12" s="74">
        <f>VLOOKUP($H$12&amp;$F$1,'Input RM sheet'!$A:$DD,AN1,0)</f>
        <v>445.27776332554004</v>
      </c>
      <c r="AP12" s="74">
        <f>VLOOKUP($H$12&amp;$F$1,'Input RM sheet'!$A:$DD,AO1,0)</f>
        <v>488.46694076939912</v>
      </c>
      <c r="AQ12" s="74">
        <f>VLOOKUP($H$12&amp;$F$1,'Input RM sheet'!$A:$DD,AP1,0)</f>
        <v>466.84508353392636</v>
      </c>
      <c r="AR12" s="74">
        <f>VLOOKUP($H$12&amp;$F$1,'Input RM sheet'!$A:$DD,AQ1,0)</f>
        <v>451.08447411157556</v>
      </c>
      <c r="AS12" s="74">
        <f>VLOOKUP($H$12&amp;$F$1,'Input RM sheet'!$A:$DD,AR1,0)</f>
        <v>432.70456428816425</v>
      </c>
      <c r="AT12" s="74">
        <f>VLOOKUP($H$12&amp;$F$1,'Input RM sheet'!$A:$DD,AS1,0)</f>
        <v>407.58867935662209</v>
      </c>
      <c r="AU12" s="74">
        <f>VLOOKUP($H$12&amp;$F$1,'Input RM sheet'!$A:$DD,AT1,0)</f>
        <v>372.7567895665407</v>
      </c>
      <c r="AV12" s="74">
        <f>VLOOKUP($H$12&amp;$F$1,'Input RM sheet'!$A:$DD,AU1,0)</f>
        <v>359.9481085205324</v>
      </c>
      <c r="AW12" s="74">
        <f>VLOOKUP($H$12&amp;$F$1,'Input RM sheet'!$A:$DD,AV1,0)</f>
        <v>306.21576724239407</v>
      </c>
      <c r="AX12" s="74">
        <f>VLOOKUP($H$12&amp;$F$1,'Input RM sheet'!$A:$DD,AW1,0)</f>
        <v>313.76374959923061</v>
      </c>
      <c r="AY12" s="74">
        <f>VLOOKUP($H$12&amp;$F$1,'Input RM sheet'!$A:$DD,AX1,0)</f>
        <v>298.95442046399518</v>
      </c>
      <c r="AZ12" s="74">
        <f>VLOOKUP($H$12&amp;$F$1,'Input RM sheet'!$A:$DD,AY1,0)</f>
        <v>298.01157537276958</v>
      </c>
      <c r="BA12" s="74">
        <f>VLOOKUP($H$12&amp;$F$1,'Input RM sheet'!$A:$DD,AZ1,0)</f>
        <v>297.06873028154399</v>
      </c>
      <c r="BB12" s="74">
        <f>VLOOKUP($H$12&amp;$F$1,'Input RM sheet'!$A:$DD,BA1,0)</f>
        <v>298.30168155468516</v>
      </c>
      <c r="BC12" s="74">
        <f>VLOOKUP($H$12&amp;$F$1,'Input RM sheet'!$A:$DD,BB1,0)</f>
        <v>314.89423288645855</v>
      </c>
      <c r="BD12" s="74">
        <f>VLOOKUP($H$12&amp;$F$1,'Input RM sheet'!$A:$DD,BC1,0)</f>
        <v>316.49094395506063</v>
      </c>
      <c r="BE12" s="74">
        <f>VLOOKUP($H$12&amp;$F$1,'Input RM sheet'!$A:$DD,BD1,0)</f>
        <v>316.49094395506063</v>
      </c>
      <c r="BF12" s="74">
        <f>VLOOKUP($H$12&amp;$F$1,'Input RM sheet'!$A:$DD,BE1,0)</f>
        <v>314.20992814277196</v>
      </c>
      <c r="BG12" s="74">
        <f>VLOOKUP($H$12&amp;$F$1,'Input RM sheet'!$A:$DD,BF1,0)</f>
        <v>278.59664506677427</v>
      </c>
      <c r="BH12" s="74">
        <f>VLOOKUP($H$12&amp;$F$1,'Input RM sheet'!$A:$DD,BG1,0)</f>
        <v>278.22764288787789</v>
      </c>
      <c r="BI12" s="74">
        <f>VLOOKUP($H$12&amp;$F$1,'Input RM sheet'!$A:$DD,BH1,0)</f>
        <v>278.19409723525098</v>
      </c>
      <c r="BJ12" s="74">
        <f>VLOOKUP($H$12&amp;$F$1,'Input RM sheet'!$A:$DD,BI1,0)</f>
        <v>279.30110377194012</v>
      </c>
      <c r="BK12" s="74">
        <f>VLOOKUP($H$12&amp;$F$1,'Input RM sheet'!$A:$DD,BJ1,0)</f>
        <v>256.8477991470786</v>
      </c>
      <c r="BL12" s="74">
        <f>VLOOKUP($H$12&amp;$F$1,'Input RM sheet'!$A:$DD,BK1,0)</f>
        <v>256.94039027871054</v>
      </c>
      <c r="BM12" s="74">
        <f>VLOOKUP($H$12&amp;$F$1,'Input RM sheet'!$A:$DD,BL1,0)</f>
        <v>256.53916204163869</v>
      </c>
      <c r="BN12" s="74">
        <f>VLOOKUP($H$12&amp;$F$1,'Input RM sheet'!$A:$DD,BM1,0)</f>
        <v>256.97125398925454</v>
      </c>
      <c r="BO12" s="74">
        <f>VLOOKUP($H$12&amp;$F$1,'Input RM sheet'!$A:$DD,BN1,0)</f>
        <v>243.16348463888886</v>
      </c>
      <c r="BP12" s="74">
        <f>VLOOKUP($H$12&amp;$F$1,'Input RM sheet'!$A:$DD,BO1,0)</f>
        <v>243.07582656944442</v>
      </c>
      <c r="BQ12" s="74">
        <f>VLOOKUP($H$12&amp;$F$1,'Input RM sheet'!$A:$DD,BP1,0)</f>
        <v>243.07582656944442</v>
      </c>
      <c r="BR12" s="74">
        <f>VLOOKUP($H$12&amp;$F$1,'Input RM sheet'!$A:$DD,BQ1,0)</f>
        <v>243.48489756018517</v>
      </c>
      <c r="BS12" s="74">
        <f>VLOOKUP($H$12&amp;$F$1,'Input RM sheet'!$A:$DD,BR1,0)</f>
        <v>242.12960137540267</v>
      </c>
      <c r="BT12" s="74">
        <f>VLOOKUP($H$12&amp;$F$1,'Input RM sheet'!$A:$DD,BS1,0)</f>
        <v>242.01347207018662</v>
      </c>
      <c r="BU12" s="74">
        <f>VLOOKUP($H$12&amp;$F$1,'Input RM sheet'!$A:$DD,BT1,0)</f>
        <v>241.66508415453856</v>
      </c>
      <c r="BV12" s="74">
        <f>VLOOKUP($H$12&amp;$F$1,'Input RM sheet'!$A:$DD,BU1,0)</f>
        <v>241.8973427649706</v>
      </c>
      <c r="BW12" s="74">
        <f>VLOOKUP($H$12&amp;$F$1,'Input RM sheet'!$A:$DD,BV1,0)</f>
        <v>243.48343786504739</v>
      </c>
      <c r="BX12" s="74">
        <f>VLOOKUP($H$12&amp;$F$1,'Input RM sheet'!$A:$DD,BW1,0)</f>
        <v>243.51272382100905</v>
      </c>
      <c r="BY12" s="74">
        <f>VLOOKUP($H$12&amp;$F$1,'Input RM sheet'!$A:$DD,BX1,0)</f>
        <v>243.80558338062539</v>
      </c>
      <c r="BZ12" s="74">
        <f>VLOOKUP($H$12&amp;$F$1,'Input RM sheet'!$A:$DD,BY1,0)</f>
        <v>243.2491502173543</v>
      </c>
      <c r="CA12" s="74">
        <f>VLOOKUP($H$12&amp;$F$1,'Input RM sheet'!$A:$DD,BZ1,0)</f>
        <v>250.38036658787101</v>
      </c>
      <c r="CB12" s="74">
        <f>VLOOKUP($H$12&amp;$F$1,'Input RM sheet'!$A:$DD,CA1,0)</f>
        <v>250.41053289709848</v>
      </c>
      <c r="CC12" s="74">
        <f>VLOOKUP($H$12&amp;$F$1,'Input RM sheet'!$A:$DD,CB1,0)</f>
        <v>250.0787034955965</v>
      </c>
      <c r="CD12" s="74">
        <f>VLOOKUP($H$12&amp;$F$1,'Input RM sheet'!$A:$DD,CC1,0)</f>
        <v>250.0787034955965</v>
      </c>
      <c r="CE12" s="74">
        <f>VLOOKUP($H$12&amp;$F$1,'Input RM sheet'!$A:$DD,CD1,0)</f>
        <v>233.77467764950936</v>
      </c>
      <c r="CF12" s="74">
        <f>VLOOKUP($H$12&amp;$F$1,'Input RM sheet'!$A:$DD,CE1,0)</f>
        <v>233.94428442894068</v>
      </c>
      <c r="CG12" s="74">
        <f>VLOOKUP($H$12&amp;$F$1,'Input RM sheet'!$A:$DD,CF1,0)</f>
        <v>235.35767425753505</v>
      </c>
      <c r="CH12" s="74">
        <f>VLOOKUP($H$12&amp;$F$1,'Input RM sheet'!$A:$DD,CG1,0)</f>
        <v>235.72515561296959</v>
      </c>
      <c r="CI12" s="74">
        <f>VLOOKUP($H$12&amp;$F$1,'Input RM sheet'!$A:$DD,CH1,0)</f>
        <v>232.08197421434861</v>
      </c>
      <c r="CJ12" s="74">
        <f>VLOOKUP($H$12&amp;$F$1,'Input RM sheet'!$A:$DD,CI1,0)</f>
        <v>232.61190541373244</v>
      </c>
      <c r="CK12" s="74">
        <f>VLOOKUP($H$12&amp;$F$1,'Input RM sheet'!$A:$DD,CJ1,0)</f>
        <v>233.19761884463031</v>
      </c>
      <c r="CL12" s="74">
        <f>VLOOKUP($H$12&amp;$F$1,'Input RM sheet'!$A:$DD,CK1,0)</f>
        <v>232.6676876452465</v>
      </c>
      <c r="CM12" s="74">
        <f>VLOOKUP($H$12&amp;$F$1,'Input RM sheet'!$A:$DD,CL1,0)</f>
        <v>238.60566436260265</v>
      </c>
      <c r="CN12" s="74">
        <f>VLOOKUP($H$12&amp;$F$1,'Input RM sheet'!$A:$DD,CM1,0)</f>
        <v>238.17703143260994</v>
      </c>
      <c r="CO12" s="74">
        <f>VLOOKUP($H$12&amp;$F$1,'Input RM sheet'!$A:$DD,CN1,0)</f>
        <v>238.17703143260994</v>
      </c>
      <c r="CP12" s="74">
        <f>VLOOKUP($H$12&amp;$F$1,'Input RM sheet'!$A:$DD,CO1,0)</f>
        <v>238.17703143260994</v>
      </c>
      <c r="CQ12" s="74">
        <f>VLOOKUP($H$12&amp;$F$1,'Input RM sheet'!$A:$DD,CP1,0)</f>
        <v>238.17703143260994</v>
      </c>
      <c r="CR12" s="74">
        <f>VLOOKUP($H$12&amp;$F$1,'Input RM sheet'!$A:$ZZ,CQ1,0)</f>
        <v>239.72010998058366</v>
      </c>
      <c r="CS12" s="74">
        <f>VLOOKUP($H$12&amp;$F$1,'Input RM sheet'!$A:$ZZ,CR1,0)</f>
        <v>238.31990907594084</v>
      </c>
      <c r="CT12" s="74">
        <f>VLOOKUP($H$12&amp;$F$1,'Input RM sheet'!$A:$ZZ,CS1,0)</f>
        <v>238.60566436260265</v>
      </c>
      <c r="CU12" s="74">
        <f>VLOOKUP($H$12&amp;$F$1,'Input RM sheet'!$A:$ZZ,CT1,0)</f>
        <v>238.46278671927175</v>
      </c>
      <c r="CV12" s="74">
        <f>VLOOKUP($H$12&amp;$F$1,'Input RM sheet'!$A:$ZZ,CU1,0)</f>
        <v>238.51993777660411</v>
      </c>
      <c r="CW12" s="74">
        <f>VLOOKUP($H$12&amp;$F$1,'Input RM sheet'!$A:$ZZ,CV1,0)</f>
        <v>238.74854200593353</v>
      </c>
      <c r="CX12" s="108">
        <f>VLOOKUP($H$12&amp;$F$1,'Input RM sheet'!$A:$ZZ,CW1,0)</f>
        <v>241.89300000000003</v>
      </c>
      <c r="CY12" s="108">
        <f>VLOOKUP($H$12&amp;$F$1,'Input RM sheet'!$A:$ZZ,CX1,0)</f>
        <v>241.97970000000001</v>
      </c>
      <c r="CZ12" s="108">
        <f>VLOOKUP($H$12&amp;$F$1,'Input RM sheet'!$A:$ZZ,CY1,0)</f>
        <v>242.61550000000003</v>
      </c>
      <c r="DA12" s="108">
        <f>VLOOKUP($H$12&amp;$F$1,'Input RM sheet'!$A:$ZZ,CZ1,0)</f>
        <v>242.64439999999999</v>
      </c>
      <c r="DB12" s="108">
        <f>VLOOKUP($H$12&amp;$F$1,'Input RM sheet'!$A:$ZZ,DA1,0)</f>
        <v>242.47100000000003</v>
      </c>
      <c r="DC12" s="108">
        <f>VLOOKUP($H$12&amp;$F$1,'Input RM sheet'!$A:$ZZ,DB1,0)</f>
        <v>242.44210000000001</v>
      </c>
      <c r="DD12" s="108">
        <f>VLOOKUP($H$12&amp;$F$1,'Input RM sheet'!$A:$ZZ,DC1,0)</f>
        <v>242.64439999999999</v>
      </c>
      <c r="DE12" s="108">
        <f>VLOOKUP($H$12&amp;$F$1,'Input RM sheet'!$A:$ZZ,DD1,0)</f>
        <v>242.64439999999999</v>
      </c>
      <c r="DF12" s="108">
        <f>VLOOKUP($H$12&amp;$F$1,'Input RM sheet'!$A:$ZZ,DE1,0)</f>
        <v>241.5462</v>
      </c>
      <c r="DG12" s="108">
        <f>VLOOKUP($H$12&amp;$F$1,'Input RM sheet'!$A:$ZZ,DF1,0)</f>
        <v>241.7774</v>
      </c>
      <c r="DH12" s="108">
        <f>VLOOKUP($H$12&amp;$F$1,'Input RM sheet'!$A:$ZZ,DG1,0)</f>
        <v>242.67330000000001</v>
      </c>
      <c r="DI12" s="108">
        <f>VLOOKUP($H$12&amp;$F$1,'Input RM sheet'!$A:$ZZ,DH1,0)</f>
        <v>0</v>
      </c>
      <c r="DJ12" s="108">
        <f>VLOOKUP($H$12&amp;$F$1,'Input RM sheet'!$A:$ZZ,DI1,0)</f>
        <v>0</v>
      </c>
      <c r="DK12" s="108">
        <f>VLOOKUP($H$12&amp;$F$1,'Input RM sheet'!$A:$ZZ,DJ1,0)</f>
        <v>0</v>
      </c>
      <c r="DL12" s="108">
        <f>VLOOKUP($H$12&amp;$F$1,'Input RM sheet'!$A:$ZZ,DK1,0)</f>
        <v>0</v>
      </c>
      <c r="DM12" s="108">
        <f>VLOOKUP($H$12&amp;$F$1,'Input RM sheet'!$A:$ZZ,DL1,0)</f>
        <v>0</v>
      </c>
      <c r="DN12" s="108">
        <f>VLOOKUP($H$12&amp;$F$1,'Input RM sheet'!$A:$ZZ,DM1,0)</f>
        <v>0</v>
      </c>
      <c r="DO12" s="108">
        <f>VLOOKUP($H$12&amp;$F$1,'Input RM sheet'!$A:$ZZ,DN1,0)</f>
        <v>0</v>
      </c>
      <c r="DP12" s="108">
        <f>VLOOKUP($H$12&amp;$F$1,'Input RM sheet'!$A:$ZZ,DO1,0)</f>
        <v>0</v>
      </c>
      <c r="DQ12" s="108">
        <f>VLOOKUP($H$12&amp;$F$1,'Input RM sheet'!$A:$ZZ,DP1,0)</f>
        <v>0</v>
      </c>
      <c r="DR12" s="108">
        <f>VLOOKUP($H$12&amp;$F$1,'Input RM sheet'!$A:$ZZ,DQ1,0)</f>
        <v>0</v>
      </c>
      <c r="DS12" s="108">
        <f>VLOOKUP($H$12&amp;$F$1,'Input RM sheet'!$A:$ZZ,DR1,0)</f>
        <v>0</v>
      </c>
      <c r="DT12" s="108">
        <f>VLOOKUP($H$12&amp;$F$1,'Input RM sheet'!$A:$ZZ,DS1,0)</f>
        <v>0</v>
      </c>
      <c r="DU12" s="108">
        <f>VLOOKUP($H$12&amp;$F$1,'Input RM sheet'!$A:$ZZ,DT1,0)</f>
        <v>0</v>
      </c>
      <c r="DV12" s="108">
        <f>VLOOKUP($H$12&amp;$F$1,'Input RM sheet'!$A:$ZZ,DU1,0)</f>
        <v>0</v>
      </c>
      <c r="DW12" s="108">
        <f>VLOOKUP($H$12&amp;$F$1,'Input RM sheet'!$A:$ZZ,DV1,0)</f>
        <v>0</v>
      </c>
      <c r="DX12" s="108">
        <f>VLOOKUP($H$12&amp;$F$1,'Input RM sheet'!$A:$ZZ,DW1,0)</f>
        <v>0</v>
      </c>
      <c r="DY12" s="108">
        <f>VLOOKUP($H$12&amp;$F$1,'Input RM sheet'!$A:$ZZ,DX1,0)</f>
        <v>0</v>
      </c>
      <c r="DZ12" s="108">
        <f>VLOOKUP($H$12&amp;$F$1,'Input RM sheet'!$A:$ZZ,DY1,0)</f>
        <v>0</v>
      </c>
      <c r="EA12" s="108">
        <f>VLOOKUP($H$12&amp;$F$1,'Input RM sheet'!$A:$ZZ,DZ1,0)</f>
        <v>0</v>
      </c>
      <c r="EB12" s="108">
        <f>VLOOKUP($H$12&amp;$F$1,'Input RM sheet'!$A:$ZZ,EA1,0)</f>
        <v>0</v>
      </c>
      <c r="EC12" s="108">
        <f>VLOOKUP($H$12&amp;$F$1,'Input RM sheet'!$A:$ZZ,EB1,0)</f>
        <v>0</v>
      </c>
      <c r="ED12" s="108">
        <f>VLOOKUP($H$12&amp;$F$1,'Input RM sheet'!$A:$ZZ,EC1,0)</f>
        <v>0</v>
      </c>
      <c r="EE12" s="108">
        <f>VLOOKUP($H$12&amp;$F$1,'Input RM sheet'!$A:$ZZ,ED1,0)</f>
        <v>0</v>
      </c>
      <c r="EF12" s="108">
        <f>VLOOKUP($H$12&amp;$F$1,'Input RM sheet'!$A:$ZZ,EE1,0)</f>
        <v>0</v>
      </c>
      <c r="EG12" s="108">
        <f>VLOOKUP($H$12&amp;$F$1,'Input RM sheet'!$A:$ZZ,EF1,0)</f>
        <v>0</v>
      </c>
      <c r="EH12" s="108">
        <f>VLOOKUP($H$12&amp;$F$1,'Input RM sheet'!$A:$ZZ,EG1,0)</f>
        <v>0</v>
      </c>
      <c r="EI12" s="108">
        <f>VLOOKUP($H$12&amp;$F$1,'Input RM sheet'!$A:$ZZ,EH1,0)</f>
        <v>0</v>
      </c>
      <c r="EJ12" s="108">
        <f>VLOOKUP($H$12&amp;$F$1,'Input RM sheet'!$A:$ZZ,EI1,0)</f>
        <v>0</v>
      </c>
      <c r="EK12" s="108">
        <f>VLOOKUP($H$12&amp;$F$1,'Input RM sheet'!$A:$ZZ,EJ1,0)</f>
        <v>0</v>
      </c>
      <c r="EL12" s="108">
        <f>VLOOKUP($H$12&amp;$F$1,'Input RM sheet'!$A:$ZZ,EK1,0)</f>
        <v>0</v>
      </c>
      <c r="EM12" s="108">
        <f>VLOOKUP($H$12&amp;$F$1,'Input RM sheet'!$A:$ZZ,EL1,0)</f>
        <v>0</v>
      </c>
      <c r="EN12" s="108">
        <f>VLOOKUP($H$12&amp;$F$1,'Input RM sheet'!$A:$ZZ,EM1,0)</f>
        <v>0</v>
      </c>
      <c r="EO12" s="108">
        <f>VLOOKUP($H$12&amp;$F$1,'Input RM sheet'!$A:$ZZ,EN1,0)</f>
        <v>0</v>
      </c>
      <c r="EP12" s="108">
        <f>VLOOKUP($H$12&amp;$F$1,'Input RM sheet'!$A:$ZZ,EO1,0)</f>
        <v>0</v>
      </c>
      <c r="EQ12" s="108">
        <f>VLOOKUP($H$12&amp;$F$1,'Input RM sheet'!$A:$ZZ,EP1,0)</f>
        <v>0</v>
      </c>
      <c r="ER12" s="108">
        <f>VLOOKUP($H$12&amp;$F$1,'Input RM sheet'!$A:$ZZ,EQ1,0)</f>
        <v>0</v>
      </c>
      <c r="ES12" s="108">
        <f>VLOOKUP($H$12&amp;$F$1,'Input RM sheet'!$A:$ZZ,ER1,0)</f>
        <v>0</v>
      </c>
      <c r="ET12" s="108">
        <f>VLOOKUP($H$12&amp;$F$1,'Input RM sheet'!$A:$ZZ,ES1,0)</f>
        <v>0</v>
      </c>
      <c r="EU12" s="108">
        <f>VLOOKUP($H$12&amp;$F$1,'Input RM sheet'!$A:$ZZ,ET1,0)</f>
        <v>0</v>
      </c>
      <c r="EV12" s="108">
        <f>VLOOKUP($H$12&amp;$F$1,'Input RM sheet'!$A:$ZZ,EU1,0)</f>
        <v>0</v>
      </c>
      <c r="EW12" s="108">
        <f>VLOOKUP($H$12&amp;$F$1,'Input RM sheet'!$A:$ZZ,EV1,0)</f>
        <v>0</v>
      </c>
      <c r="EX12" s="108">
        <f>VLOOKUP($H$12&amp;$F$1,'Input RM sheet'!$A:$ZZ,EW1,0)</f>
        <v>0</v>
      </c>
      <c r="EY12" s="108">
        <f>VLOOKUP($H$12&amp;$F$1,'Input RM sheet'!$A:$ZZ,EX1,0)</f>
        <v>0</v>
      </c>
      <c r="EZ12" s="108">
        <f>VLOOKUP($H$12&amp;$F$1,'Input RM sheet'!$A:$ZZ,EY1,0)</f>
        <v>0</v>
      </c>
      <c r="FA12" s="108">
        <f>VLOOKUP($H$12&amp;$F$1,'Input RM sheet'!$A:$ZZ,EZ1,0)</f>
        <v>0</v>
      </c>
      <c r="FB12" s="108">
        <f>VLOOKUP($H$12&amp;$F$1,'Input RM sheet'!$A:$ZZ,FA1,0)</f>
        <v>0</v>
      </c>
      <c r="FC12" s="108">
        <f>VLOOKUP($H$12&amp;$F$1,'Input RM sheet'!$A:$ZZ,FB1,0)</f>
        <v>0</v>
      </c>
      <c r="FD12" s="108">
        <f>VLOOKUP($H$12&amp;$F$1,'Input RM sheet'!$A:$ZZ,FC1,0)</f>
        <v>0</v>
      </c>
      <c r="FE12" s="108">
        <f>VLOOKUP($H$12&amp;$F$1,'Input RM sheet'!$A:$ZZ,FD1,0)</f>
        <v>0</v>
      </c>
    </row>
    <row r="13" spans="1:164" ht="26">
      <c r="A13" s="59" t="s">
        <v>395</v>
      </c>
      <c r="B13" s="59"/>
      <c r="C13" s="59" t="s">
        <v>379</v>
      </c>
      <c r="D13" s="98" t="s">
        <v>380</v>
      </c>
      <c r="E13" s="98" t="s">
        <v>381</v>
      </c>
      <c r="F13" s="59" t="s">
        <v>396</v>
      </c>
      <c r="H13" s="60" t="s">
        <v>399</v>
      </c>
      <c r="I13" s="74">
        <f t="shared" ref="I13:AC13" si="3">I7*1/100</f>
        <v>0</v>
      </c>
      <c r="J13" s="74">
        <f t="shared" si="3"/>
        <v>0</v>
      </c>
      <c r="K13" s="74">
        <f t="shared" si="3"/>
        <v>0</v>
      </c>
      <c r="L13" s="74">
        <f t="shared" si="3"/>
        <v>0</v>
      </c>
      <c r="M13" s="74">
        <f t="shared" si="3"/>
        <v>0</v>
      </c>
      <c r="N13" s="74">
        <f t="shared" si="3"/>
        <v>0</v>
      </c>
      <c r="O13" s="74">
        <f t="shared" si="3"/>
        <v>0</v>
      </c>
      <c r="P13" s="74">
        <f t="shared" si="3"/>
        <v>0</v>
      </c>
      <c r="Q13" s="74">
        <f t="shared" si="3"/>
        <v>0</v>
      </c>
      <c r="R13" s="74">
        <f t="shared" si="3"/>
        <v>0</v>
      </c>
      <c r="S13" s="74">
        <f t="shared" si="3"/>
        <v>0</v>
      </c>
      <c r="T13" s="74">
        <f t="shared" si="3"/>
        <v>0</v>
      </c>
      <c r="U13" s="74">
        <f t="shared" si="3"/>
        <v>0</v>
      </c>
      <c r="V13" s="74">
        <f t="shared" si="3"/>
        <v>0</v>
      </c>
      <c r="W13" s="74">
        <f t="shared" si="3"/>
        <v>0</v>
      </c>
      <c r="X13" s="74">
        <f t="shared" si="3"/>
        <v>0</v>
      </c>
      <c r="Y13" s="74">
        <f t="shared" si="3"/>
        <v>0</v>
      </c>
      <c r="Z13" s="74">
        <f t="shared" si="3"/>
        <v>0</v>
      </c>
      <c r="AA13" s="74">
        <f t="shared" si="3"/>
        <v>0</v>
      </c>
      <c r="AB13" s="74">
        <f t="shared" si="3"/>
        <v>0</v>
      </c>
      <c r="AC13" s="74">
        <f t="shared" si="3"/>
        <v>0</v>
      </c>
    </row>
    <row r="14" spans="1:164">
      <c r="A14" s="178"/>
      <c r="B14" s="178"/>
      <c r="C14" s="178"/>
      <c r="D14" s="178"/>
      <c r="E14" s="178"/>
      <c r="F14" s="178"/>
      <c r="H14" s="44" t="s">
        <v>847</v>
      </c>
      <c r="I14" s="74"/>
      <c r="J14" s="74"/>
      <c r="K14" s="74"/>
      <c r="L14" s="74"/>
      <c r="M14" s="74"/>
      <c r="N14" s="74"/>
      <c r="O14" s="74"/>
      <c r="P14" s="74"/>
      <c r="Q14" s="74"/>
      <c r="R14" s="74"/>
      <c r="S14" s="74"/>
      <c r="T14" s="74"/>
      <c r="U14" s="74"/>
      <c r="V14" s="74"/>
      <c r="W14" s="74"/>
      <c r="X14" s="74"/>
      <c r="Y14" s="74"/>
      <c r="Z14" s="74"/>
      <c r="AA14" s="74"/>
      <c r="AB14" s="74"/>
      <c r="AC14" s="74"/>
      <c r="AD14" s="65"/>
      <c r="AE14" s="65"/>
      <c r="AF14" s="65"/>
      <c r="AG14" s="65"/>
      <c r="AH14" s="65"/>
      <c r="AI14" s="65"/>
      <c r="AJ14" s="65"/>
      <c r="AK14" s="65"/>
      <c r="AL14" s="74">
        <f>AL7+3</f>
        <v>149.5</v>
      </c>
      <c r="AM14" s="74">
        <f>AM7</f>
        <v>146.5</v>
      </c>
      <c r="AN14" s="74">
        <f t="shared" ref="AN14:CX14" si="4">AN7+3</f>
        <v>146</v>
      </c>
      <c r="AO14" s="74">
        <f t="shared" si="4"/>
        <v>138</v>
      </c>
      <c r="AP14" s="74">
        <f t="shared" si="4"/>
        <v>144</v>
      </c>
      <c r="AQ14" s="74">
        <f t="shared" si="4"/>
        <v>136</v>
      </c>
      <c r="AR14" s="74">
        <f t="shared" si="4"/>
        <v>140</v>
      </c>
      <c r="AS14" s="74">
        <f t="shared" si="4"/>
        <v>138</v>
      </c>
      <c r="AT14" s="74">
        <f t="shared" si="4"/>
        <v>121.5</v>
      </c>
      <c r="AU14" s="74">
        <f t="shared" si="4"/>
        <v>113</v>
      </c>
      <c r="AV14" s="74">
        <f t="shared" si="4"/>
        <v>116</v>
      </c>
      <c r="AW14" s="74">
        <f t="shared" si="4"/>
        <v>104</v>
      </c>
      <c r="AX14" s="74">
        <f t="shared" si="4"/>
        <v>101</v>
      </c>
      <c r="AY14" s="74">
        <f t="shared" si="4"/>
        <v>108</v>
      </c>
      <c r="AZ14" s="74">
        <f t="shared" si="4"/>
        <v>108</v>
      </c>
      <c r="BA14" s="74">
        <f t="shared" si="4"/>
        <v>110</v>
      </c>
      <c r="BB14" s="74">
        <f t="shared" si="4"/>
        <v>113</v>
      </c>
      <c r="BC14" s="74">
        <f t="shared" si="4"/>
        <v>115</v>
      </c>
      <c r="BD14" s="74">
        <f t="shared" si="4"/>
        <v>114</v>
      </c>
      <c r="BE14" s="74">
        <f t="shared" si="4"/>
        <v>113</v>
      </c>
      <c r="BF14" s="74">
        <f t="shared" si="4"/>
        <v>112</v>
      </c>
      <c r="BG14" s="74">
        <f t="shared" si="4"/>
        <v>109</v>
      </c>
      <c r="BH14" s="74">
        <f t="shared" si="4"/>
        <v>105</v>
      </c>
      <c r="BI14" s="74">
        <f t="shared" si="4"/>
        <v>104</v>
      </c>
      <c r="BJ14" s="74">
        <f t="shared" si="4"/>
        <v>103</v>
      </c>
      <c r="BK14" s="74">
        <f t="shared" si="4"/>
        <v>103</v>
      </c>
      <c r="BL14" s="74">
        <f t="shared" si="4"/>
        <v>103</v>
      </c>
      <c r="BM14" s="74">
        <f t="shared" si="4"/>
        <v>106</v>
      </c>
      <c r="BN14" s="74">
        <f t="shared" si="4"/>
        <v>110</v>
      </c>
      <c r="BO14" s="74">
        <f t="shared" si="4"/>
        <v>108</v>
      </c>
      <c r="BP14" s="74">
        <f t="shared" si="4"/>
        <v>110</v>
      </c>
      <c r="BQ14" s="74">
        <f t="shared" si="4"/>
        <v>109</v>
      </c>
      <c r="BR14" s="74">
        <f t="shared" si="4"/>
        <v>110</v>
      </c>
      <c r="BS14" s="74">
        <f t="shared" si="4"/>
        <v>108</v>
      </c>
      <c r="BT14" s="74">
        <f t="shared" si="4"/>
        <v>107</v>
      </c>
      <c r="BU14" s="74">
        <f t="shared" si="4"/>
        <v>103</v>
      </c>
      <c r="BV14" s="74">
        <f t="shared" si="4"/>
        <v>102</v>
      </c>
      <c r="BW14" s="74">
        <f t="shared" si="4"/>
        <v>101</v>
      </c>
      <c r="BX14" s="74">
        <f t="shared" si="4"/>
        <v>102</v>
      </c>
      <c r="BY14" s="74">
        <f t="shared" si="4"/>
        <v>103</v>
      </c>
      <c r="BZ14" s="74">
        <f t="shared" si="4"/>
        <v>103</v>
      </c>
      <c r="CA14" s="74">
        <f t="shared" si="4"/>
        <v>102</v>
      </c>
      <c r="CB14" s="74">
        <f t="shared" si="4"/>
        <v>102</v>
      </c>
      <c r="CC14" s="74">
        <f t="shared" si="4"/>
        <v>102</v>
      </c>
      <c r="CD14" s="74">
        <f t="shared" si="4"/>
        <v>103</v>
      </c>
      <c r="CE14" s="74">
        <f t="shared" si="4"/>
        <v>104</v>
      </c>
      <c r="CF14" s="74">
        <f t="shared" si="4"/>
        <v>105</v>
      </c>
      <c r="CG14" s="74">
        <f t="shared" si="4"/>
        <v>106</v>
      </c>
      <c r="CH14" s="74">
        <f t="shared" si="4"/>
        <v>106</v>
      </c>
      <c r="CI14" s="74">
        <f t="shared" si="4"/>
        <v>108</v>
      </c>
      <c r="CJ14" s="74">
        <f t="shared" si="4"/>
        <v>105</v>
      </c>
      <c r="CK14" s="74">
        <f t="shared" si="4"/>
        <v>105</v>
      </c>
      <c r="CL14" s="74">
        <f t="shared" si="4"/>
        <v>105</v>
      </c>
      <c r="CM14" s="74">
        <f t="shared" si="4"/>
        <v>104</v>
      </c>
      <c r="CN14" s="74">
        <f t="shared" si="4"/>
        <v>109</v>
      </c>
      <c r="CO14" s="74">
        <f t="shared" si="4"/>
        <v>117</v>
      </c>
      <c r="CP14" s="74">
        <f t="shared" si="4"/>
        <v>120</v>
      </c>
      <c r="CQ14" s="74">
        <f t="shared" si="4"/>
        <v>120</v>
      </c>
      <c r="CR14" s="74">
        <f t="shared" si="4"/>
        <v>119</v>
      </c>
      <c r="CS14" s="74">
        <f t="shared" si="4"/>
        <v>120</v>
      </c>
      <c r="CT14" s="74">
        <f t="shared" si="4"/>
        <v>120</v>
      </c>
      <c r="CU14" s="74">
        <f t="shared" si="4"/>
        <v>120</v>
      </c>
      <c r="CV14" s="74">
        <f t="shared" si="4"/>
        <v>122</v>
      </c>
      <c r="CW14" s="74">
        <f>CW7</f>
        <v>119</v>
      </c>
      <c r="CX14" s="74">
        <f t="shared" si="4"/>
        <v>122</v>
      </c>
      <c r="CY14" s="74">
        <f t="shared" ref="CY14:FE14" si="5">CY7+3</f>
        <v>122</v>
      </c>
      <c r="CZ14" s="74">
        <f t="shared" si="5"/>
        <v>122</v>
      </c>
      <c r="DA14" s="74">
        <f t="shared" si="5"/>
        <v>122</v>
      </c>
      <c r="DB14" s="74">
        <f t="shared" si="5"/>
        <v>122</v>
      </c>
      <c r="DC14" s="74">
        <f t="shared" si="5"/>
        <v>122</v>
      </c>
      <c r="DD14" s="74">
        <f t="shared" si="5"/>
        <v>127</v>
      </c>
      <c r="DE14" s="74">
        <f t="shared" si="5"/>
        <v>136</v>
      </c>
      <c r="DF14" s="74">
        <f t="shared" si="5"/>
        <v>136</v>
      </c>
      <c r="DG14" s="74">
        <f t="shared" si="5"/>
        <v>136</v>
      </c>
      <c r="DH14" s="74">
        <f t="shared" si="5"/>
        <v>145</v>
      </c>
      <c r="DI14" s="74">
        <f t="shared" si="5"/>
        <v>139.5</v>
      </c>
      <c r="DJ14" s="74">
        <f t="shared" si="5"/>
        <v>141</v>
      </c>
      <c r="DK14" s="74">
        <f t="shared" si="5"/>
        <v>139</v>
      </c>
      <c r="DL14" s="74">
        <f t="shared" si="5"/>
        <v>139.5</v>
      </c>
      <c r="DM14" s="74">
        <f t="shared" si="5"/>
        <v>139.5</v>
      </c>
      <c r="DN14" s="74">
        <f t="shared" si="5"/>
        <v>140</v>
      </c>
      <c r="DO14" s="74">
        <f t="shared" si="5"/>
        <v>140</v>
      </c>
      <c r="DP14" s="74">
        <f t="shared" si="5"/>
        <v>141</v>
      </c>
      <c r="DQ14" s="74">
        <f t="shared" si="5"/>
        <v>139</v>
      </c>
      <c r="DR14" s="74">
        <f t="shared" si="5"/>
        <v>138</v>
      </c>
      <c r="DS14" s="74">
        <f t="shared" si="5"/>
        <v>135</v>
      </c>
      <c r="DT14" s="74">
        <f t="shared" si="5"/>
        <v>3</v>
      </c>
      <c r="DU14" s="74">
        <f t="shared" si="5"/>
        <v>3</v>
      </c>
      <c r="DV14" s="74">
        <f t="shared" si="5"/>
        <v>3</v>
      </c>
      <c r="DW14" s="74">
        <f t="shared" si="5"/>
        <v>3</v>
      </c>
      <c r="DX14" s="74">
        <f t="shared" si="5"/>
        <v>3</v>
      </c>
      <c r="DY14" s="74">
        <f t="shared" si="5"/>
        <v>3</v>
      </c>
      <c r="DZ14" s="74">
        <f t="shared" si="5"/>
        <v>3</v>
      </c>
      <c r="EA14" s="74">
        <f t="shared" si="5"/>
        <v>3</v>
      </c>
      <c r="EB14" s="74">
        <f t="shared" si="5"/>
        <v>3</v>
      </c>
      <c r="EC14" s="74">
        <f t="shared" si="5"/>
        <v>3</v>
      </c>
      <c r="ED14" s="74">
        <f t="shared" si="5"/>
        <v>3</v>
      </c>
      <c r="EE14" s="74">
        <f t="shared" si="5"/>
        <v>3</v>
      </c>
      <c r="EF14" s="74">
        <f t="shared" si="5"/>
        <v>3</v>
      </c>
      <c r="EG14" s="74">
        <f t="shared" si="5"/>
        <v>3</v>
      </c>
      <c r="EH14" s="74">
        <f t="shared" si="5"/>
        <v>3</v>
      </c>
      <c r="EI14" s="74">
        <f t="shared" si="5"/>
        <v>3</v>
      </c>
      <c r="EJ14" s="74">
        <f t="shared" si="5"/>
        <v>3</v>
      </c>
      <c r="EK14" s="74">
        <f t="shared" si="5"/>
        <v>3</v>
      </c>
      <c r="EL14" s="74">
        <f t="shared" si="5"/>
        <v>3</v>
      </c>
      <c r="EM14" s="74">
        <f t="shared" si="5"/>
        <v>3</v>
      </c>
      <c r="EN14" s="74">
        <f t="shared" si="5"/>
        <v>3</v>
      </c>
      <c r="EO14" s="74">
        <f t="shared" si="5"/>
        <v>3</v>
      </c>
      <c r="EP14" s="74">
        <f t="shared" si="5"/>
        <v>3</v>
      </c>
      <c r="EQ14" s="74">
        <f t="shared" si="5"/>
        <v>3</v>
      </c>
      <c r="ER14" s="74">
        <f t="shared" si="5"/>
        <v>3</v>
      </c>
      <c r="ES14" s="74">
        <f t="shared" si="5"/>
        <v>3</v>
      </c>
      <c r="ET14" s="74">
        <f t="shared" si="5"/>
        <v>3</v>
      </c>
      <c r="EU14" s="74">
        <f t="shared" si="5"/>
        <v>3</v>
      </c>
      <c r="EV14" s="74">
        <f t="shared" si="5"/>
        <v>3</v>
      </c>
      <c r="EW14" s="74">
        <f t="shared" si="5"/>
        <v>3</v>
      </c>
      <c r="EX14" s="74">
        <f t="shared" si="5"/>
        <v>3</v>
      </c>
      <c r="EY14" s="74">
        <f t="shared" si="5"/>
        <v>3</v>
      </c>
      <c r="EZ14" s="74">
        <f t="shared" si="5"/>
        <v>3</v>
      </c>
      <c r="FA14" s="74">
        <f t="shared" si="5"/>
        <v>3</v>
      </c>
      <c r="FB14" s="74">
        <f t="shared" si="5"/>
        <v>3</v>
      </c>
      <c r="FC14" s="74">
        <f t="shared" si="5"/>
        <v>3</v>
      </c>
      <c r="FD14" s="74">
        <f t="shared" si="5"/>
        <v>3</v>
      </c>
      <c r="FE14" s="74">
        <f t="shared" si="5"/>
        <v>3</v>
      </c>
    </row>
    <row r="15" spans="1:164">
      <c r="A15" s="60" t="s">
        <v>718</v>
      </c>
      <c r="B15" s="44"/>
      <c r="C15" s="44"/>
      <c r="D15" s="44"/>
      <c r="E15" s="44"/>
      <c r="F15" s="44"/>
      <c r="H15" s="60" t="s">
        <v>848</v>
      </c>
      <c r="I15" s="74"/>
      <c r="J15" s="74"/>
      <c r="K15" s="74"/>
      <c r="L15" s="74"/>
      <c r="M15" s="74"/>
      <c r="N15" s="74"/>
      <c r="O15" s="74"/>
      <c r="P15" s="74"/>
      <c r="Q15" s="74"/>
      <c r="R15" s="74"/>
      <c r="S15" s="74"/>
      <c r="T15" s="74"/>
      <c r="U15" s="74"/>
      <c r="V15" s="74"/>
      <c r="W15" s="74"/>
      <c r="X15" s="74"/>
      <c r="Y15" s="74"/>
      <c r="Z15" s="74"/>
      <c r="AA15" s="74"/>
      <c r="AB15" s="74"/>
      <c r="AC15" s="74"/>
      <c r="AD15" s="65">
        <v>10</v>
      </c>
      <c r="AE15" s="65">
        <v>10</v>
      </c>
      <c r="AF15" s="65">
        <v>10</v>
      </c>
      <c r="AG15" s="65">
        <v>10</v>
      </c>
      <c r="AH15" s="65">
        <v>10</v>
      </c>
      <c r="AI15" s="65">
        <v>10</v>
      </c>
      <c r="AJ15" s="65">
        <v>10</v>
      </c>
      <c r="AK15" s="65">
        <v>10</v>
      </c>
      <c r="AL15" s="74">
        <v>10</v>
      </c>
      <c r="AM15" s="65">
        <f>52070/1000</f>
        <v>52.07</v>
      </c>
      <c r="AN15" s="65">
        <f>52070/1000</f>
        <v>52.07</v>
      </c>
      <c r="AO15" s="65">
        <f t="shared" ref="AO15:AU15" si="6">52070/1000</f>
        <v>52.07</v>
      </c>
      <c r="AP15" s="65">
        <f t="shared" si="6"/>
        <v>52.07</v>
      </c>
      <c r="AQ15" s="65">
        <f t="shared" si="6"/>
        <v>52.07</v>
      </c>
      <c r="AR15" s="65">
        <f t="shared" si="6"/>
        <v>52.07</v>
      </c>
      <c r="AS15" s="65">
        <f t="shared" si="6"/>
        <v>52.07</v>
      </c>
      <c r="AT15" s="65">
        <f t="shared" si="6"/>
        <v>52.07</v>
      </c>
      <c r="AU15" s="65">
        <f t="shared" si="6"/>
        <v>52.07</v>
      </c>
      <c r="AV15" s="65">
        <v>30</v>
      </c>
      <c r="AW15" s="65">
        <v>30</v>
      </c>
      <c r="AX15" s="65">
        <v>30</v>
      </c>
      <c r="AY15" s="65">
        <v>30</v>
      </c>
      <c r="AZ15" s="65">
        <v>30</v>
      </c>
      <c r="BA15" s="65">
        <v>30</v>
      </c>
      <c r="BB15" s="65">
        <v>30</v>
      </c>
      <c r="BC15" s="65">
        <v>30</v>
      </c>
      <c r="BD15" s="65">
        <v>30</v>
      </c>
      <c r="BE15" s="65">
        <v>30</v>
      </c>
      <c r="BF15" s="65">
        <v>30</v>
      </c>
      <c r="BG15" s="65">
        <v>30</v>
      </c>
      <c r="BH15" s="65">
        <v>30</v>
      </c>
      <c r="BI15" s="65">
        <v>30</v>
      </c>
      <c r="BJ15" s="65">
        <v>30</v>
      </c>
      <c r="BK15" s="65">
        <v>30</v>
      </c>
      <c r="BL15" s="65">
        <v>30</v>
      </c>
      <c r="BM15" s="65">
        <v>30</v>
      </c>
      <c r="BN15" s="65">
        <v>30</v>
      </c>
      <c r="BO15" s="65">
        <v>30</v>
      </c>
      <c r="BP15" s="65">
        <v>30</v>
      </c>
      <c r="BQ15" s="65">
        <v>30</v>
      </c>
      <c r="BR15" s="65">
        <v>30</v>
      </c>
      <c r="BS15" s="65">
        <v>30</v>
      </c>
      <c r="BT15" s="65">
        <v>30</v>
      </c>
      <c r="BU15" s="65">
        <v>30</v>
      </c>
      <c r="BV15" s="65">
        <v>30</v>
      </c>
      <c r="BW15" s="65">
        <v>30</v>
      </c>
      <c r="BX15" s="65">
        <v>30</v>
      </c>
      <c r="BY15" s="65">
        <v>30</v>
      </c>
      <c r="BZ15" s="65">
        <v>30</v>
      </c>
      <c r="CA15" s="65">
        <v>30</v>
      </c>
      <c r="CB15" s="65">
        <v>30</v>
      </c>
      <c r="CC15" s="65">
        <v>30</v>
      </c>
      <c r="CD15" s="65">
        <v>30</v>
      </c>
      <c r="CE15" s="65">
        <v>30</v>
      </c>
      <c r="CF15" s="65">
        <v>30</v>
      </c>
      <c r="CG15" s="65">
        <v>30</v>
      </c>
      <c r="CH15" s="65">
        <v>30</v>
      </c>
      <c r="CI15" s="65">
        <v>30</v>
      </c>
      <c r="CJ15" s="65">
        <v>30</v>
      </c>
      <c r="CK15" s="65">
        <v>30</v>
      </c>
      <c r="CL15" s="65">
        <v>30</v>
      </c>
      <c r="CM15" s="65">
        <v>30</v>
      </c>
      <c r="CN15" s="65">
        <v>30</v>
      </c>
      <c r="CO15" s="65">
        <v>30</v>
      </c>
      <c r="CP15" s="65">
        <v>30</v>
      </c>
      <c r="CQ15" s="65">
        <v>30</v>
      </c>
      <c r="CR15" s="65">
        <v>30</v>
      </c>
      <c r="CS15" s="65">
        <v>30</v>
      </c>
      <c r="CT15" s="65">
        <v>30</v>
      </c>
      <c r="CU15" s="65">
        <v>30</v>
      </c>
      <c r="CV15" s="65">
        <v>30</v>
      </c>
      <c r="CW15" s="65">
        <v>30</v>
      </c>
      <c r="CX15" s="65">
        <v>30</v>
      </c>
      <c r="CY15" s="65">
        <v>30</v>
      </c>
      <c r="CZ15" s="65">
        <v>30</v>
      </c>
      <c r="DA15" s="65">
        <v>30</v>
      </c>
      <c r="DB15" s="65">
        <v>30</v>
      </c>
      <c r="DC15" s="65">
        <v>30</v>
      </c>
      <c r="DD15" s="65">
        <v>30</v>
      </c>
      <c r="DE15" s="65">
        <v>30</v>
      </c>
      <c r="DF15" s="65">
        <v>30</v>
      </c>
      <c r="DG15" s="65">
        <v>30</v>
      </c>
      <c r="DH15" s="65">
        <v>30</v>
      </c>
      <c r="DI15" s="65">
        <v>30</v>
      </c>
      <c r="DJ15" s="65">
        <v>30</v>
      </c>
      <c r="DK15" s="65">
        <v>30</v>
      </c>
      <c r="DL15" s="65">
        <v>30</v>
      </c>
      <c r="DM15" s="65">
        <v>30</v>
      </c>
      <c r="DN15" s="65">
        <v>30</v>
      </c>
      <c r="DO15" s="65">
        <v>30</v>
      </c>
      <c r="DP15" s="65">
        <v>30</v>
      </c>
      <c r="DQ15" s="65">
        <v>30</v>
      </c>
      <c r="DR15" s="65">
        <v>30</v>
      </c>
      <c r="DS15" s="65">
        <v>30</v>
      </c>
      <c r="DT15" s="65">
        <v>30</v>
      </c>
      <c r="DU15" s="65">
        <v>30</v>
      </c>
      <c r="DV15" s="65">
        <v>30</v>
      </c>
      <c r="DW15" s="65">
        <v>30</v>
      </c>
      <c r="DX15" s="65">
        <v>30</v>
      </c>
      <c r="DY15" s="65">
        <v>30</v>
      </c>
      <c r="DZ15" s="65">
        <v>30</v>
      </c>
      <c r="EA15" s="65">
        <v>30</v>
      </c>
      <c r="EB15" s="65">
        <v>30</v>
      </c>
      <c r="EC15" s="65">
        <v>30</v>
      </c>
      <c r="ED15" s="65">
        <v>30</v>
      </c>
      <c r="EE15" s="65">
        <v>30</v>
      </c>
      <c r="EF15" s="65">
        <v>30</v>
      </c>
      <c r="EG15" s="65">
        <v>30</v>
      </c>
      <c r="EH15" s="65">
        <v>30</v>
      </c>
      <c r="EI15" s="65">
        <v>30</v>
      </c>
      <c r="EJ15" s="65">
        <v>30</v>
      </c>
      <c r="EK15" s="65">
        <v>30</v>
      </c>
      <c r="EL15" s="65">
        <v>30</v>
      </c>
      <c r="EM15" s="65">
        <v>30</v>
      </c>
      <c r="EN15" s="65">
        <v>30</v>
      </c>
      <c r="EO15" s="65">
        <v>30</v>
      </c>
      <c r="EP15" s="65">
        <v>30</v>
      </c>
      <c r="EQ15" s="65">
        <v>30</v>
      </c>
      <c r="ER15" s="65">
        <v>30</v>
      </c>
      <c r="ES15" s="65">
        <v>30</v>
      </c>
      <c r="ET15" s="65">
        <v>30</v>
      </c>
      <c r="EU15" s="65">
        <v>30</v>
      </c>
      <c r="EV15" s="65">
        <v>30</v>
      </c>
      <c r="EW15" s="65">
        <v>30</v>
      </c>
      <c r="EX15" s="65">
        <v>30</v>
      </c>
      <c r="EY15" s="65">
        <v>30</v>
      </c>
      <c r="EZ15" s="65">
        <v>30</v>
      </c>
      <c r="FA15" s="65">
        <v>30</v>
      </c>
      <c r="FB15" s="65">
        <v>30</v>
      </c>
      <c r="FC15" s="65">
        <v>30</v>
      </c>
      <c r="FD15" s="65">
        <v>30</v>
      </c>
      <c r="FE15" s="65">
        <v>30</v>
      </c>
    </row>
    <row r="16" spans="1:164">
      <c r="A16" s="178" t="s">
        <v>728</v>
      </c>
      <c r="B16" s="44"/>
      <c r="C16" s="44"/>
      <c r="D16" s="44"/>
      <c r="E16" s="44"/>
      <c r="F16" s="67"/>
      <c r="H16" s="178" t="s">
        <v>849</v>
      </c>
      <c r="I16" s="74"/>
      <c r="J16" s="74"/>
      <c r="K16" s="74"/>
      <c r="L16" s="74"/>
      <c r="M16" s="74"/>
      <c r="N16" s="74"/>
      <c r="O16" s="74"/>
      <c r="P16" s="74"/>
      <c r="Q16" s="74"/>
      <c r="R16" s="74"/>
      <c r="S16" s="74"/>
      <c r="T16" s="74"/>
      <c r="U16" s="74"/>
      <c r="V16" s="74"/>
      <c r="W16" s="74"/>
      <c r="X16" s="74"/>
      <c r="Y16" s="74"/>
      <c r="Z16" s="74"/>
      <c r="AA16" s="74"/>
      <c r="AB16" s="74"/>
      <c r="AC16" s="74"/>
      <c r="AL16" s="74">
        <f t="shared" ref="AL16:BQ16" si="7">AL14+AL15</f>
        <v>159.5</v>
      </c>
      <c r="AM16" s="74">
        <f t="shared" si="7"/>
        <v>198.57</v>
      </c>
      <c r="AN16" s="74">
        <f t="shared" si="7"/>
        <v>198.07</v>
      </c>
      <c r="AO16" s="74">
        <f t="shared" si="7"/>
        <v>190.07</v>
      </c>
      <c r="AP16" s="74">
        <f t="shared" si="7"/>
        <v>196.07</v>
      </c>
      <c r="AQ16" s="74">
        <f t="shared" si="7"/>
        <v>188.07</v>
      </c>
      <c r="AR16" s="74">
        <f t="shared" si="7"/>
        <v>192.07</v>
      </c>
      <c r="AS16" s="74">
        <f t="shared" si="7"/>
        <v>190.07</v>
      </c>
      <c r="AT16" s="74">
        <f t="shared" si="7"/>
        <v>173.57</v>
      </c>
      <c r="AU16" s="74">
        <f t="shared" si="7"/>
        <v>165.07</v>
      </c>
      <c r="AV16" s="74">
        <f t="shared" si="7"/>
        <v>146</v>
      </c>
      <c r="AW16" s="74">
        <f t="shared" si="7"/>
        <v>134</v>
      </c>
      <c r="AX16" s="74">
        <f t="shared" si="7"/>
        <v>131</v>
      </c>
      <c r="AY16" s="74">
        <f t="shared" si="7"/>
        <v>138</v>
      </c>
      <c r="AZ16" s="74">
        <f t="shared" si="7"/>
        <v>138</v>
      </c>
      <c r="BA16" s="74">
        <f t="shared" si="7"/>
        <v>140</v>
      </c>
      <c r="BB16" s="74">
        <f t="shared" si="7"/>
        <v>143</v>
      </c>
      <c r="BC16" s="74">
        <f t="shared" si="7"/>
        <v>145</v>
      </c>
      <c r="BD16" s="74">
        <f t="shared" si="7"/>
        <v>144</v>
      </c>
      <c r="BE16" s="74">
        <f t="shared" si="7"/>
        <v>143</v>
      </c>
      <c r="BF16" s="74">
        <f t="shared" si="7"/>
        <v>142</v>
      </c>
      <c r="BG16" s="74">
        <f t="shared" si="7"/>
        <v>139</v>
      </c>
      <c r="BH16" s="74">
        <f t="shared" si="7"/>
        <v>135</v>
      </c>
      <c r="BI16" s="74">
        <f t="shared" si="7"/>
        <v>134</v>
      </c>
      <c r="BJ16" s="74">
        <f t="shared" si="7"/>
        <v>133</v>
      </c>
      <c r="BK16" s="74">
        <f t="shared" si="7"/>
        <v>133</v>
      </c>
      <c r="BL16" s="74">
        <f t="shared" si="7"/>
        <v>133</v>
      </c>
      <c r="BM16" s="74">
        <f t="shared" si="7"/>
        <v>136</v>
      </c>
      <c r="BN16" s="74">
        <f t="shared" si="7"/>
        <v>140</v>
      </c>
      <c r="BO16" s="74">
        <f t="shared" si="7"/>
        <v>138</v>
      </c>
      <c r="BP16" s="74">
        <f t="shared" si="7"/>
        <v>140</v>
      </c>
      <c r="BQ16" s="74">
        <f t="shared" si="7"/>
        <v>139</v>
      </c>
      <c r="BR16" s="74">
        <f t="shared" ref="BR16:CW16" si="8">BR14+BR15</f>
        <v>140</v>
      </c>
      <c r="BS16" s="74">
        <f t="shared" si="8"/>
        <v>138</v>
      </c>
      <c r="BT16" s="74">
        <f t="shared" si="8"/>
        <v>137</v>
      </c>
      <c r="BU16" s="74">
        <f t="shared" si="8"/>
        <v>133</v>
      </c>
      <c r="BV16" s="74">
        <f t="shared" si="8"/>
        <v>132</v>
      </c>
      <c r="BW16" s="74">
        <f t="shared" si="8"/>
        <v>131</v>
      </c>
      <c r="BX16" s="74">
        <f t="shared" si="8"/>
        <v>132</v>
      </c>
      <c r="BY16" s="74">
        <f t="shared" si="8"/>
        <v>133</v>
      </c>
      <c r="BZ16" s="74">
        <f t="shared" si="8"/>
        <v>133</v>
      </c>
      <c r="CA16" s="74">
        <f t="shared" si="8"/>
        <v>132</v>
      </c>
      <c r="CB16" s="74">
        <f t="shared" si="8"/>
        <v>132</v>
      </c>
      <c r="CC16" s="74">
        <f t="shared" si="8"/>
        <v>132</v>
      </c>
      <c r="CD16" s="74">
        <f t="shared" si="8"/>
        <v>133</v>
      </c>
      <c r="CE16" s="74">
        <f t="shared" si="8"/>
        <v>134</v>
      </c>
      <c r="CF16" s="74">
        <f t="shared" si="8"/>
        <v>135</v>
      </c>
      <c r="CG16" s="74">
        <f t="shared" si="8"/>
        <v>136</v>
      </c>
      <c r="CH16" s="74">
        <f t="shared" si="8"/>
        <v>136</v>
      </c>
      <c r="CI16" s="74">
        <f t="shared" si="8"/>
        <v>138</v>
      </c>
      <c r="CJ16" s="74">
        <f t="shared" si="8"/>
        <v>135</v>
      </c>
      <c r="CK16" s="74">
        <f t="shared" si="8"/>
        <v>135</v>
      </c>
      <c r="CL16" s="74">
        <f t="shared" si="8"/>
        <v>135</v>
      </c>
      <c r="CM16" s="74">
        <f t="shared" si="8"/>
        <v>134</v>
      </c>
      <c r="CN16" s="74">
        <f t="shared" si="8"/>
        <v>139</v>
      </c>
      <c r="CO16" s="74">
        <f t="shared" si="8"/>
        <v>147</v>
      </c>
      <c r="CP16" s="74">
        <f t="shared" si="8"/>
        <v>150</v>
      </c>
      <c r="CQ16" s="74">
        <f t="shared" si="8"/>
        <v>150</v>
      </c>
      <c r="CR16" s="74">
        <f t="shared" si="8"/>
        <v>149</v>
      </c>
      <c r="CS16" s="74">
        <f t="shared" si="8"/>
        <v>150</v>
      </c>
      <c r="CT16" s="74">
        <f t="shared" si="8"/>
        <v>150</v>
      </c>
      <c r="CU16" s="74">
        <f t="shared" si="8"/>
        <v>150</v>
      </c>
      <c r="CV16" s="74">
        <f t="shared" si="8"/>
        <v>152</v>
      </c>
      <c r="CW16" s="74">
        <f t="shared" si="8"/>
        <v>149</v>
      </c>
      <c r="CX16" s="74">
        <f t="shared" ref="CX16:DA16" si="9">CX14+CX15</f>
        <v>152</v>
      </c>
      <c r="CY16" s="74">
        <f t="shared" si="9"/>
        <v>152</v>
      </c>
      <c r="CZ16" s="74">
        <f t="shared" si="9"/>
        <v>152</v>
      </c>
      <c r="DA16" s="74">
        <f t="shared" si="9"/>
        <v>152</v>
      </c>
      <c r="DB16" s="65">
        <f t="shared" ref="DB16:EX16" si="10">DB14+DB15</f>
        <v>152</v>
      </c>
      <c r="DC16" s="65">
        <f t="shared" si="10"/>
        <v>152</v>
      </c>
      <c r="DD16" s="65">
        <f t="shared" si="10"/>
        <v>157</v>
      </c>
      <c r="DE16" s="65">
        <f t="shared" si="10"/>
        <v>166</v>
      </c>
      <c r="DF16" s="65">
        <f t="shared" si="10"/>
        <v>166</v>
      </c>
      <c r="DG16" s="65">
        <f t="shared" si="10"/>
        <v>166</v>
      </c>
      <c r="DH16" s="65">
        <f t="shared" si="10"/>
        <v>175</v>
      </c>
      <c r="DI16" s="65">
        <f t="shared" si="10"/>
        <v>169.5</v>
      </c>
      <c r="DJ16" s="65">
        <f t="shared" si="10"/>
        <v>171</v>
      </c>
      <c r="DK16" s="65">
        <f t="shared" si="10"/>
        <v>169</v>
      </c>
      <c r="DL16" s="65">
        <f t="shared" si="10"/>
        <v>169.5</v>
      </c>
      <c r="DM16" s="65">
        <f t="shared" si="10"/>
        <v>169.5</v>
      </c>
      <c r="DN16" s="65">
        <f t="shared" si="10"/>
        <v>170</v>
      </c>
      <c r="DO16" s="65">
        <f t="shared" si="10"/>
        <v>170</v>
      </c>
      <c r="DP16" s="65">
        <f t="shared" si="10"/>
        <v>171</v>
      </c>
      <c r="DQ16" s="65">
        <f t="shared" si="10"/>
        <v>169</v>
      </c>
      <c r="DR16" s="65">
        <f t="shared" si="10"/>
        <v>168</v>
      </c>
      <c r="DS16" s="65">
        <f t="shared" si="10"/>
        <v>165</v>
      </c>
      <c r="DT16" s="65">
        <f t="shared" si="10"/>
        <v>33</v>
      </c>
      <c r="DU16" s="65">
        <f t="shared" si="10"/>
        <v>33</v>
      </c>
      <c r="DV16" s="65">
        <f t="shared" si="10"/>
        <v>33</v>
      </c>
      <c r="DW16" s="65">
        <f t="shared" si="10"/>
        <v>33</v>
      </c>
      <c r="DX16" s="65">
        <f t="shared" si="10"/>
        <v>33</v>
      </c>
      <c r="DY16" s="65">
        <f t="shared" si="10"/>
        <v>33</v>
      </c>
      <c r="DZ16" s="65">
        <f t="shared" si="10"/>
        <v>33</v>
      </c>
      <c r="EA16" s="65">
        <f t="shared" si="10"/>
        <v>33</v>
      </c>
      <c r="EB16" s="65">
        <f t="shared" si="10"/>
        <v>33</v>
      </c>
      <c r="EC16" s="65">
        <f t="shared" si="10"/>
        <v>33</v>
      </c>
      <c r="ED16" s="65">
        <f t="shared" si="10"/>
        <v>33</v>
      </c>
      <c r="EE16" s="65">
        <f t="shared" si="10"/>
        <v>33</v>
      </c>
      <c r="EF16" s="65">
        <f t="shared" si="10"/>
        <v>33</v>
      </c>
      <c r="EG16" s="65">
        <f t="shared" si="10"/>
        <v>33</v>
      </c>
      <c r="EH16" s="65">
        <f t="shared" si="10"/>
        <v>33</v>
      </c>
      <c r="EI16" s="65">
        <f t="shared" si="10"/>
        <v>33</v>
      </c>
      <c r="EJ16" s="65">
        <f t="shared" si="10"/>
        <v>33</v>
      </c>
      <c r="EK16" s="65">
        <f t="shared" si="10"/>
        <v>33</v>
      </c>
      <c r="EL16" s="65">
        <f t="shared" si="10"/>
        <v>33</v>
      </c>
      <c r="EM16" s="65">
        <f t="shared" si="10"/>
        <v>33</v>
      </c>
      <c r="EN16" s="65">
        <f t="shared" si="10"/>
        <v>33</v>
      </c>
      <c r="EO16" s="65">
        <f t="shared" si="10"/>
        <v>33</v>
      </c>
      <c r="EP16" s="65">
        <f t="shared" si="10"/>
        <v>33</v>
      </c>
      <c r="EQ16" s="65">
        <f t="shared" si="10"/>
        <v>33</v>
      </c>
      <c r="ER16" s="65">
        <f t="shared" si="10"/>
        <v>33</v>
      </c>
      <c r="ES16" s="65">
        <f t="shared" si="10"/>
        <v>33</v>
      </c>
      <c r="ET16" s="65">
        <f t="shared" si="10"/>
        <v>33</v>
      </c>
      <c r="EU16" s="65">
        <f t="shared" si="10"/>
        <v>33</v>
      </c>
      <c r="EV16" s="65">
        <f t="shared" si="10"/>
        <v>33</v>
      </c>
      <c r="EW16" s="65">
        <f t="shared" si="10"/>
        <v>33</v>
      </c>
      <c r="EX16" s="65">
        <f t="shared" si="10"/>
        <v>33</v>
      </c>
      <c r="EY16" s="65">
        <f t="shared" ref="EY16:FE16" si="11">EY14+EY15</f>
        <v>33</v>
      </c>
      <c r="EZ16" s="65">
        <f t="shared" si="11"/>
        <v>33</v>
      </c>
      <c r="FA16" s="65">
        <f t="shared" si="11"/>
        <v>33</v>
      </c>
      <c r="FB16" s="65">
        <f t="shared" si="11"/>
        <v>33</v>
      </c>
      <c r="FC16" s="65">
        <f t="shared" si="11"/>
        <v>33</v>
      </c>
      <c r="FD16" s="65">
        <f t="shared" si="11"/>
        <v>33</v>
      </c>
      <c r="FE16" s="65">
        <f t="shared" si="11"/>
        <v>33</v>
      </c>
    </row>
    <row r="17" spans="1:162" hidden="1">
      <c r="A17" s="178" t="s">
        <v>148</v>
      </c>
      <c r="B17" s="67"/>
      <c r="C17" s="67"/>
      <c r="D17" s="67"/>
      <c r="E17" s="67">
        <v>0</v>
      </c>
      <c r="G17" s="67"/>
      <c r="H17" s="178" t="s">
        <v>148</v>
      </c>
      <c r="I17" s="84"/>
      <c r="J17" s="84"/>
      <c r="K17" s="84"/>
      <c r="L17" s="84"/>
      <c r="M17" s="84"/>
      <c r="N17" s="84"/>
      <c r="O17" s="84"/>
      <c r="P17" s="84"/>
      <c r="Q17" s="84"/>
      <c r="R17" s="84"/>
      <c r="S17" s="84"/>
      <c r="T17" s="84"/>
      <c r="U17" s="84"/>
      <c r="V17" s="84"/>
      <c r="W17" s="84"/>
      <c r="X17" s="84"/>
      <c r="Y17" s="84"/>
      <c r="Z17" s="84"/>
      <c r="AA17" s="84"/>
      <c r="AB17" s="84"/>
      <c r="AC17" s="84"/>
      <c r="AD17" s="74">
        <f t="shared" ref="AD17:AK17" si="12">AD7*$E$17/100</f>
        <v>0</v>
      </c>
      <c r="AE17" s="74">
        <f t="shared" si="12"/>
        <v>0</v>
      </c>
      <c r="AF17" s="74">
        <f t="shared" si="12"/>
        <v>0</v>
      </c>
      <c r="AG17" s="74">
        <f t="shared" si="12"/>
        <v>0</v>
      </c>
      <c r="AH17" s="74">
        <f t="shared" si="12"/>
        <v>0</v>
      </c>
      <c r="AI17" s="74">
        <f t="shared" si="12"/>
        <v>0</v>
      </c>
      <c r="AJ17" s="74">
        <f t="shared" si="12"/>
        <v>0</v>
      </c>
      <c r="AK17" s="74">
        <f t="shared" si="12"/>
        <v>0</v>
      </c>
      <c r="AL17" s="74">
        <f>AL9*$E$17/1000</f>
        <v>0</v>
      </c>
      <c r="AM17" s="74">
        <f t="shared" ref="AM17:CW17" si="13">AM9*$E$17/100</f>
        <v>0</v>
      </c>
      <c r="AN17" s="74">
        <f t="shared" si="13"/>
        <v>0</v>
      </c>
      <c r="AO17" s="74">
        <f t="shared" si="13"/>
        <v>0</v>
      </c>
      <c r="AP17" s="74">
        <f t="shared" si="13"/>
        <v>0</v>
      </c>
      <c r="AQ17" s="74">
        <f t="shared" si="13"/>
        <v>0</v>
      </c>
      <c r="AR17" s="74">
        <f t="shared" si="13"/>
        <v>0</v>
      </c>
      <c r="AS17" s="74">
        <f t="shared" si="13"/>
        <v>0</v>
      </c>
      <c r="AT17" s="74">
        <f t="shared" si="13"/>
        <v>0</v>
      </c>
      <c r="AU17" s="74">
        <f t="shared" si="13"/>
        <v>0</v>
      </c>
      <c r="AV17" s="74">
        <f t="shared" si="13"/>
        <v>0</v>
      </c>
      <c r="AW17" s="74">
        <f t="shared" si="13"/>
        <v>0</v>
      </c>
      <c r="AX17" s="74">
        <f t="shared" si="13"/>
        <v>0</v>
      </c>
      <c r="AY17" s="74">
        <f t="shared" si="13"/>
        <v>0</v>
      </c>
      <c r="AZ17" s="74">
        <f t="shared" si="13"/>
        <v>0</v>
      </c>
      <c r="BA17" s="74">
        <f t="shared" si="13"/>
        <v>0</v>
      </c>
      <c r="BB17" s="74">
        <f t="shared" si="13"/>
        <v>0</v>
      </c>
      <c r="BC17" s="74">
        <f t="shared" si="13"/>
        <v>0</v>
      </c>
      <c r="BD17" s="74">
        <f t="shared" si="13"/>
        <v>0</v>
      </c>
      <c r="BE17" s="74">
        <f t="shared" si="13"/>
        <v>0</v>
      </c>
      <c r="BF17" s="74">
        <f t="shared" si="13"/>
        <v>0</v>
      </c>
      <c r="BG17" s="74">
        <f t="shared" si="13"/>
        <v>0</v>
      </c>
      <c r="BH17" s="74">
        <f t="shared" si="13"/>
        <v>0</v>
      </c>
      <c r="BI17" s="74">
        <f t="shared" si="13"/>
        <v>0</v>
      </c>
      <c r="BJ17" s="74">
        <f t="shared" si="13"/>
        <v>0</v>
      </c>
      <c r="BK17" s="74">
        <f t="shared" si="13"/>
        <v>0</v>
      </c>
      <c r="BL17" s="74">
        <f t="shared" si="13"/>
        <v>0</v>
      </c>
      <c r="BM17" s="74">
        <f t="shared" si="13"/>
        <v>0</v>
      </c>
      <c r="BN17" s="74">
        <f t="shared" si="13"/>
        <v>0</v>
      </c>
      <c r="BO17" s="74">
        <f t="shared" si="13"/>
        <v>0</v>
      </c>
      <c r="BP17" s="74">
        <f t="shared" si="13"/>
        <v>0</v>
      </c>
      <c r="BQ17" s="74">
        <f t="shared" si="13"/>
        <v>0</v>
      </c>
      <c r="BR17" s="74">
        <f t="shared" si="13"/>
        <v>0</v>
      </c>
      <c r="BS17" s="74">
        <f t="shared" si="13"/>
        <v>0</v>
      </c>
      <c r="BT17" s="74">
        <f t="shared" si="13"/>
        <v>0</v>
      </c>
      <c r="BU17" s="74">
        <f t="shared" si="13"/>
        <v>0</v>
      </c>
      <c r="BV17" s="74">
        <f t="shared" si="13"/>
        <v>0</v>
      </c>
      <c r="BW17" s="74">
        <f t="shared" si="13"/>
        <v>0</v>
      </c>
      <c r="BX17" s="74">
        <f t="shared" si="13"/>
        <v>0</v>
      </c>
      <c r="BY17" s="74">
        <f t="shared" si="13"/>
        <v>0</v>
      </c>
      <c r="BZ17" s="74">
        <f t="shared" si="13"/>
        <v>0</v>
      </c>
      <c r="CA17" s="74">
        <f t="shared" si="13"/>
        <v>0</v>
      </c>
      <c r="CB17" s="74">
        <f t="shared" si="13"/>
        <v>0</v>
      </c>
      <c r="CC17" s="74">
        <f t="shared" si="13"/>
        <v>0</v>
      </c>
      <c r="CD17" s="74">
        <f t="shared" si="13"/>
        <v>0</v>
      </c>
      <c r="CE17" s="74">
        <f t="shared" si="13"/>
        <v>0</v>
      </c>
      <c r="CF17" s="74">
        <f t="shared" si="13"/>
        <v>0</v>
      </c>
      <c r="CG17" s="74">
        <f t="shared" si="13"/>
        <v>0</v>
      </c>
      <c r="CH17" s="74">
        <f t="shared" si="13"/>
        <v>0</v>
      </c>
      <c r="CI17" s="74">
        <f t="shared" si="13"/>
        <v>0</v>
      </c>
      <c r="CJ17" s="74">
        <f t="shared" si="13"/>
        <v>0</v>
      </c>
      <c r="CK17" s="74">
        <f t="shared" si="13"/>
        <v>0</v>
      </c>
      <c r="CL17" s="74">
        <f t="shared" si="13"/>
        <v>0</v>
      </c>
      <c r="CM17" s="74">
        <f t="shared" si="13"/>
        <v>0</v>
      </c>
      <c r="CN17" s="74">
        <f t="shared" si="13"/>
        <v>0</v>
      </c>
      <c r="CO17" s="74">
        <f t="shared" si="13"/>
        <v>0</v>
      </c>
      <c r="CP17" s="74">
        <f t="shared" si="13"/>
        <v>0</v>
      </c>
      <c r="CQ17" s="74">
        <f t="shared" si="13"/>
        <v>0</v>
      </c>
      <c r="CR17" s="74">
        <f t="shared" si="13"/>
        <v>0</v>
      </c>
      <c r="CS17" s="74">
        <f t="shared" si="13"/>
        <v>0</v>
      </c>
      <c r="CT17" s="74">
        <f t="shared" si="13"/>
        <v>0</v>
      </c>
      <c r="CU17" s="74">
        <f t="shared" si="13"/>
        <v>0</v>
      </c>
      <c r="CV17" s="74">
        <f t="shared" si="13"/>
        <v>0</v>
      </c>
      <c r="CW17" s="74">
        <f t="shared" si="13"/>
        <v>0</v>
      </c>
      <c r="CX17" s="65">
        <f t="shared" ref="CX17:FA17" si="14">CX7*$E$17/100</f>
        <v>0</v>
      </c>
      <c r="CY17" s="65">
        <f t="shared" si="14"/>
        <v>0</v>
      </c>
      <c r="CZ17" s="65">
        <f t="shared" si="14"/>
        <v>0</v>
      </c>
      <c r="DA17" s="65">
        <f t="shared" si="14"/>
        <v>0</v>
      </c>
      <c r="DB17" s="65">
        <f t="shared" si="14"/>
        <v>0</v>
      </c>
      <c r="DC17" s="65">
        <f t="shared" si="14"/>
        <v>0</v>
      </c>
      <c r="DD17" s="65">
        <f t="shared" si="14"/>
        <v>0</v>
      </c>
      <c r="DE17" s="65">
        <f t="shared" si="14"/>
        <v>0</v>
      </c>
      <c r="DF17" s="65">
        <f t="shared" si="14"/>
        <v>0</v>
      </c>
      <c r="DG17" s="65">
        <f t="shared" si="14"/>
        <v>0</v>
      </c>
      <c r="DH17" s="65">
        <f t="shared" si="14"/>
        <v>0</v>
      </c>
      <c r="DI17" s="65">
        <f t="shared" si="14"/>
        <v>0</v>
      </c>
      <c r="DJ17" s="65">
        <f t="shared" si="14"/>
        <v>0</v>
      </c>
      <c r="DK17" s="65">
        <f t="shared" si="14"/>
        <v>0</v>
      </c>
      <c r="DL17" s="65">
        <f t="shared" si="14"/>
        <v>0</v>
      </c>
      <c r="DM17" s="65">
        <f t="shared" si="14"/>
        <v>0</v>
      </c>
      <c r="DN17" s="65">
        <f t="shared" si="14"/>
        <v>0</v>
      </c>
      <c r="DO17" s="65">
        <f t="shared" si="14"/>
        <v>0</v>
      </c>
      <c r="DP17" s="65">
        <f t="shared" si="14"/>
        <v>0</v>
      </c>
      <c r="DQ17" s="65">
        <f t="shared" si="14"/>
        <v>0</v>
      </c>
      <c r="DR17" s="65">
        <f t="shared" si="14"/>
        <v>0</v>
      </c>
      <c r="DS17" s="65">
        <f t="shared" si="14"/>
        <v>0</v>
      </c>
      <c r="DT17" s="65">
        <f t="shared" si="14"/>
        <v>0</v>
      </c>
      <c r="DU17" s="65">
        <f t="shared" si="14"/>
        <v>0</v>
      </c>
      <c r="DV17" s="65">
        <f t="shared" si="14"/>
        <v>0</v>
      </c>
      <c r="DW17" s="65">
        <f t="shared" si="14"/>
        <v>0</v>
      </c>
      <c r="DX17" s="65">
        <f t="shared" si="14"/>
        <v>0</v>
      </c>
      <c r="DY17" s="65">
        <f t="shared" si="14"/>
        <v>0</v>
      </c>
      <c r="DZ17" s="65">
        <f t="shared" si="14"/>
        <v>0</v>
      </c>
      <c r="EA17" s="65">
        <f t="shared" si="14"/>
        <v>0</v>
      </c>
      <c r="EB17" s="65">
        <f t="shared" si="14"/>
        <v>0</v>
      </c>
      <c r="EC17" s="65">
        <f t="shared" si="14"/>
        <v>0</v>
      </c>
      <c r="ED17" s="65">
        <f t="shared" si="14"/>
        <v>0</v>
      </c>
      <c r="EE17" s="65">
        <f t="shared" si="14"/>
        <v>0</v>
      </c>
      <c r="EF17" s="65">
        <f t="shared" si="14"/>
        <v>0</v>
      </c>
      <c r="EG17" s="65">
        <f t="shared" si="14"/>
        <v>0</v>
      </c>
      <c r="EH17" s="65">
        <f t="shared" si="14"/>
        <v>0</v>
      </c>
      <c r="EI17" s="65">
        <f t="shared" si="14"/>
        <v>0</v>
      </c>
      <c r="EJ17" s="65">
        <f t="shared" si="14"/>
        <v>0</v>
      </c>
      <c r="EK17" s="65">
        <f t="shared" si="14"/>
        <v>0</v>
      </c>
      <c r="EL17" s="65">
        <f t="shared" si="14"/>
        <v>0</v>
      </c>
      <c r="EM17" s="65">
        <f t="shared" si="14"/>
        <v>0</v>
      </c>
      <c r="EN17" s="65">
        <f t="shared" si="14"/>
        <v>0</v>
      </c>
      <c r="EO17" s="65">
        <f t="shared" si="14"/>
        <v>0</v>
      </c>
      <c r="EP17" s="65">
        <f t="shared" si="14"/>
        <v>0</v>
      </c>
      <c r="EQ17" s="65">
        <f t="shared" si="14"/>
        <v>0</v>
      </c>
      <c r="ER17" s="65">
        <f t="shared" si="14"/>
        <v>0</v>
      </c>
      <c r="ES17" s="65">
        <f t="shared" si="14"/>
        <v>0</v>
      </c>
      <c r="ET17" s="65">
        <f t="shared" si="14"/>
        <v>0</v>
      </c>
      <c r="EU17" s="65">
        <f t="shared" si="14"/>
        <v>0</v>
      </c>
      <c r="EV17" s="65">
        <f t="shared" si="14"/>
        <v>0</v>
      </c>
      <c r="EW17" s="65">
        <f t="shared" si="14"/>
        <v>0</v>
      </c>
      <c r="EX17" s="65">
        <f t="shared" si="14"/>
        <v>0</v>
      </c>
      <c r="EY17" s="65">
        <f t="shared" si="14"/>
        <v>0</v>
      </c>
      <c r="EZ17" s="65">
        <f t="shared" si="14"/>
        <v>0</v>
      </c>
      <c r="FA17" s="65">
        <f t="shared" si="14"/>
        <v>0</v>
      </c>
      <c r="FB17" s="65">
        <f>FB7*$E$17/100</f>
        <v>0</v>
      </c>
      <c r="FC17" s="65">
        <f>FC7*$E$17/100</f>
        <v>0</v>
      </c>
      <c r="FD17" s="65">
        <f>FD7*$E$17/100</f>
        <v>0</v>
      </c>
      <c r="FE17" s="65">
        <f>FE7*$E$17/100</f>
        <v>0</v>
      </c>
    </row>
    <row r="18" spans="1:162">
      <c r="A18" s="44"/>
      <c r="B18" s="67"/>
      <c r="C18" s="67"/>
      <c r="D18" s="67"/>
      <c r="E18" s="67"/>
      <c r="F18" s="67"/>
      <c r="G18" s="67"/>
      <c r="H18" s="44"/>
      <c r="I18" s="84"/>
      <c r="J18" s="84"/>
      <c r="K18" s="84"/>
      <c r="L18" s="84"/>
      <c r="M18" s="84"/>
      <c r="N18" s="84"/>
      <c r="O18" s="84"/>
      <c r="P18" s="84"/>
      <c r="Q18" s="84"/>
      <c r="R18" s="84"/>
      <c r="S18" s="84"/>
      <c r="T18" s="84"/>
      <c r="U18" s="84"/>
      <c r="V18" s="84"/>
      <c r="W18" s="84"/>
      <c r="X18" s="84"/>
      <c r="Y18" s="84"/>
      <c r="Z18" s="84"/>
      <c r="AA18" s="84"/>
      <c r="AB18" s="84"/>
      <c r="AC18" s="8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c r="BE18" s="74"/>
      <c r="BF18" s="74"/>
      <c r="BG18" s="74"/>
      <c r="BH18" s="74"/>
      <c r="BI18" s="74"/>
      <c r="BJ18" s="74"/>
      <c r="BK18" s="74"/>
      <c r="BL18" s="74"/>
      <c r="BM18" s="74"/>
      <c r="BN18" s="74"/>
      <c r="BO18" s="74"/>
      <c r="BP18" s="74"/>
      <c r="BQ18" s="74"/>
      <c r="BR18" s="74"/>
      <c r="BS18" s="74"/>
      <c r="BT18" s="74"/>
      <c r="BU18" s="74"/>
      <c r="BV18" s="74"/>
      <c r="BW18" s="74"/>
      <c r="BX18" s="74"/>
      <c r="BY18" s="74"/>
      <c r="BZ18" s="74"/>
      <c r="CA18" s="74"/>
      <c r="CB18" s="74"/>
      <c r="CC18" s="74"/>
      <c r="CD18" s="74"/>
      <c r="CE18" s="74"/>
      <c r="CF18" s="74"/>
      <c r="CG18" s="74"/>
      <c r="CH18" s="74"/>
      <c r="CI18" s="74"/>
      <c r="CJ18" s="74"/>
      <c r="CK18" s="74"/>
      <c r="CL18" s="74"/>
      <c r="CM18" s="65"/>
      <c r="CN18" s="65"/>
      <c r="CO18" s="65"/>
      <c r="CP18" s="65"/>
      <c r="CQ18" s="65"/>
      <c r="CR18" s="65"/>
      <c r="CS18" s="65"/>
      <c r="CT18" s="65"/>
      <c r="CU18" s="65"/>
      <c r="CV18" s="65"/>
      <c r="CW18" s="65"/>
      <c r="CX18" s="65"/>
      <c r="CY18" s="65"/>
      <c r="CZ18" s="65"/>
      <c r="DA18" s="65"/>
      <c r="DB18" s="65"/>
      <c r="DC18" s="65"/>
      <c r="DD18" s="65"/>
      <c r="DE18" s="65"/>
      <c r="DF18" s="65"/>
      <c r="DG18" s="65"/>
      <c r="DH18" s="65"/>
      <c r="DI18" s="65"/>
      <c r="DJ18" s="65"/>
      <c r="DK18" s="65"/>
      <c r="DL18" s="65"/>
      <c r="DM18" s="65"/>
      <c r="DN18" s="65"/>
      <c r="DO18" s="65"/>
      <c r="DP18" s="65"/>
      <c r="DQ18" s="65"/>
      <c r="DR18" s="65"/>
      <c r="DS18" s="65"/>
      <c r="DT18" s="65"/>
      <c r="DU18" s="65"/>
      <c r="DV18" s="65"/>
      <c r="DW18" s="65"/>
      <c r="DX18" s="65"/>
      <c r="DY18" s="65"/>
      <c r="DZ18" s="65"/>
      <c r="EA18" s="65"/>
      <c r="EB18" s="65"/>
      <c r="EC18" s="65"/>
      <c r="ED18" s="65"/>
      <c r="EE18" s="65"/>
      <c r="EF18" s="65"/>
      <c r="EG18" s="65"/>
      <c r="EH18" s="65"/>
      <c r="EI18" s="65"/>
      <c r="EJ18" s="65"/>
      <c r="EK18" s="65"/>
      <c r="EL18" s="65"/>
      <c r="EM18" s="65"/>
      <c r="EN18" s="65"/>
      <c r="EO18" s="65"/>
      <c r="EP18" s="65"/>
      <c r="EQ18" s="65"/>
      <c r="ER18" s="65"/>
      <c r="ES18" s="65"/>
      <c r="ET18" s="65"/>
      <c r="EU18" s="65"/>
      <c r="EV18" s="65"/>
      <c r="EW18" s="65"/>
      <c r="EX18" s="65"/>
      <c r="EY18" s="65"/>
      <c r="EZ18" s="65"/>
      <c r="FA18" s="65"/>
      <c r="FB18" s="65"/>
      <c r="FC18" s="65"/>
      <c r="FD18" s="65"/>
      <c r="FE18" s="65"/>
    </row>
    <row r="19" spans="1:162">
      <c r="A19" s="44" t="s">
        <v>751</v>
      </c>
      <c r="B19" s="67"/>
      <c r="C19" s="67"/>
      <c r="D19" s="67"/>
      <c r="E19" s="67">
        <v>141</v>
      </c>
      <c r="F19" s="67"/>
      <c r="G19" s="67"/>
      <c r="H19" s="44" t="s">
        <v>751</v>
      </c>
      <c r="I19" s="84"/>
      <c r="J19" s="84"/>
      <c r="K19" s="84"/>
      <c r="L19" s="84"/>
      <c r="M19" s="84"/>
      <c r="N19" s="84"/>
      <c r="O19" s="84"/>
      <c r="P19" s="84"/>
      <c r="Q19" s="84"/>
      <c r="R19" s="84"/>
      <c r="S19" s="84"/>
      <c r="T19" s="84"/>
      <c r="U19" s="84"/>
      <c r="V19" s="84"/>
      <c r="W19" s="84"/>
      <c r="X19" s="84"/>
      <c r="Y19" s="84"/>
      <c r="Z19" s="84"/>
      <c r="AA19" s="84"/>
      <c r="AB19" s="84"/>
      <c r="AC19" s="84"/>
      <c r="AD19" s="74">
        <f>AD10*$E$19/100</f>
        <v>0</v>
      </c>
      <c r="AE19" s="74">
        <f t="shared" ref="AE19:AK19" si="15">AE10*$E$19/100</f>
        <v>0</v>
      </c>
      <c r="AF19" s="74">
        <f t="shared" si="15"/>
        <v>0</v>
      </c>
      <c r="AG19" s="74">
        <f t="shared" si="15"/>
        <v>0</v>
      </c>
      <c r="AH19" s="74">
        <f t="shared" si="15"/>
        <v>0</v>
      </c>
      <c r="AI19" s="74">
        <f t="shared" si="15"/>
        <v>0</v>
      </c>
      <c r="AJ19" s="74">
        <f t="shared" si="15"/>
        <v>0</v>
      </c>
      <c r="AK19" s="74">
        <f t="shared" si="15"/>
        <v>0</v>
      </c>
      <c r="AL19" s="74">
        <f>AL10*$E$19/1000</f>
        <v>7.05</v>
      </c>
      <c r="AM19" s="74">
        <f t="shared" ref="AM19:CV19" si="16">AM10*$E$19/1000</f>
        <v>0</v>
      </c>
      <c r="AN19" s="74">
        <f t="shared" si="16"/>
        <v>0</v>
      </c>
      <c r="AO19" s="74">
        <f t="shared" si="16"/>
        <v>0</v>
      </c>
      <c r="AP19" s="74">
        <f t="shared" si="16"/>
        <v>0</v>
      </c>
      <c r="AQ19" s="74">
        <f t="shared" si="16"/>
        <v>0</v>
      </c>
      <c r="AR19" s="74">
        <f t="shared" si="16"/>
        <v>0</v>
      </c>
      <c r="AS19" s="74">
        <f t="shared" si="16"/>
        <v>0</v>
      </c>
      <c r="AT19" s="74">
        <f t="shared" si="16"/>
        <v>0</v>
      </c>
      <c r="AU19" s="74">
        <f t="shared" si="16"/>
        <v>0</v>
      </c>
      <c r="AV19" s="74">
        <f t="shared" si="16"/>
        <v>10.955699999999998</v>
      </c>
      <c r="AW19" s="74">
        <f t="shared" si="16"/>
        <v>10.955699999999998</v>
      </c>
      <c r="AX19" s="74">
        <f t="shared" si="16"/>
        <v>9.5245499999999996</v>
      </c>
      <c r="AY19" s="74">
        <f t="shared" si="16"/>
        <v>10.264799999999999</v>
      </c>
      <c r="AZ19" s="74">
        <f t="shared" si="16"/>
        <v>10.264799999999999</v>
      </c>
      <c r="BA19" s="74">
        <f t="shared" si="16"/>
        <v>10.264799999999999</v>
      </c>
      <c r="BB19" s="74">
        <f t="shared" si="16"/>
        <v>10.264799999999999</v>
      </c>
      <c r="BC19" s="74">
        <f t="shared" si="16"/>
        <v>10.264799999999999</v>
      </c>
      <c r="BD19" s="74">
        <f t="shared" si="16"/>
        <v>10.264799999999999</v>
      </c>
      <c r="BE19" s="74">
        <f t="shared" si="16"/>
        <v>10.264799999999999</v>
      </c>
      <c r="BF19" s="74">
        <f t="shared" si="16"/>
        <v>10.264799999999999</v>
      </c>
      <c r="BG19" s="74">
        <f t="shared" si="16"/>
        <v>10.264799999999999</v>
      </c>
      <c r="BH19" s="74">
        <f t="shared" si="16"/>
        <v>10.264799999999999</v>
      </c>
      <c r="BI19" s="74">
        <f t="shared" si="16"/>
        <v>10.264799999999999</v>
      </c>
      <c r="BJ19" s="74">
        <f t="shared" si="16"/>
        <v>10.264799999999999</v>
      </c>
      <c r="BK19" s="74">
        <f t="shared" si="16"/>
        <v>10.264799999999999</v>
      </c>
      <c r="BL19" s="74">
        <f t="shared" si="16"/>
        <v>10.264799999999999</v>
      </c>
      <c r="BM19" s="74">
        <f t="shared" si="16"/>
        <v>10.264799999999999</v>
      </c>
      <c r="BN19" s="74">
        <f t="shared" si="16"/>
        <v>10.264799999999999</v>
      </c>
      <c r="BO19" s="74">
        <f t="shared" si="16"/>
        <v>11.054399999999999</v>
      </c>
      <c r="BP19" s="74">
        <f t="shared" si="16"/>
        <v>11.054399999999999</v>
      </c>
      <c r="BQ19" s="74">
        <f t="shared" si="16"/>
        <v>11.054399999999999</v>
      </c>
      <c r="BR19" s="74">
        <f t="shared" si="16"/>
        <v>11.054399999999999</v>
      </c>
      <c r="BS19" s="74">
        <f t="shared" si="16"/>
        <v>11.843999999999999</v>
      </c>
      <c r="BT19" s="74">
        <f t="shared" si="16"/>
        <v>11.843999999999999</v>
      </c>
      <c r="BU19" s="74">
        <f t="shared" si="16"/>
        <v>11.843999999999999</v>
      </c>
      <c r="BV19" s="74">
        <f t="shared" si="16"/>
        <v>11.843999999999999</v>
      </c>
      <c r="BW19" s="74">
        <f t="shared" si="16"/>
        <v>11.843999999999999</v>
      </c>
      <c r="BX19" s="74">
        <f t="shared" si="16"/>
        <v>11.843999999999999</v>
      </c>
      <c r="BY19" s="74">
        <f t="shared" si="16"/>
        <v>11.843999999999999</v>
      </c>
      <c r="BZ19" s="74">
        <f t="shared" si="16"/>
        <v>11.843999999999999</v>
      </c>
      <c r="CA19" s="74">
        <f t="shared" si="16"/>
        <v>11.646599999999999</v>
      </c>
      <c r="CB19" s="74">
        <f t="shared" si="16"/>
        <v>11.646599999999999</v>
      </c>
      <c r="CC19" s="74">
        <f t="shared" si="16"/>
        <v>11.646599999999999</v>
      </c>
      <c r="CD19" s="74">
        <f t="shared" si="16"/>
        <v>11.646599999999999</v>
      </c>
      <c r="CE19" s="74">
        <f t="shared" si="16"/>
        <v>11.646599999999999</v>
      </c>
      <c r="CF19" s="74">
        <f t="shared" si="16"/>
        <v>11.646599999999999</v>
      </c>
      <c r="CG19" s="74">
        <f t="shared" si="16"/>
        <v>11.646599999999999</v>
      </c>
      <c r="CH19" s="74">
        <f t="shared" si="16"/>
        <v>11.646599999999999</v>
      </c>
      <c r="CI19" s="74">
        <f t="shared" si="16"/>
        <v>10.659599999999999</v>
      </c>
      <c r="CJ19" s="74">
        <f t="shared" si="16"/>
        <v>10.659599999999999</v>
      </c>
      <c r="CK19" s="74">
        <f t="shared" si="16"/>
        <v>10.659599999999999</v>
      </c>
      <c r="CL19" s="74">
        <f t="shared" si="16"/>
        <v>10.659599999999999</v>
      </c>
      <c r="CM19" s="74">
        <f t="shared" si="16"/>
        <v>10.659599999999999</v>
      </c>
      <c r="CN19" s="74">
        <f t="shared" si="16"/>
        <v>10.659599999999999</v>
      </c>
      <c r="CO19" s="74">
        <f t="shared" si="16"/>
        <v>10.659599999999999</v>
      </c>
      <c r="CP19" s="74">
        <f t="shared" si="16"/>
        <v>10.659599999999999</v>
      </c>
      <c r="CQ19" s="74">
        <f t="shared" si="16"/>
        <v>10.659599999999999</v>
      </c>
      <c r="CR19" s="74">
        <f t="shared" si="16"/>
        <v>10.659599999999999</v>
      </c>
      <c r="CS19" s="74">
        <f t="shared" si="16"/>
        <v>10.659599999999999</v>
      </c>
      <c r="CT19" s="74">
        <f t="shared" si="16"/>
        <v>10.659599999999999</v>
      </c>
      <c r="CU19" s="74">
        <f t="shared" si="16"/>
        <v>10.659599999999999</v>
      </c>
      <c r="CV19" s="74">
        <f t="shared" si="16"/>
        <v>9.5739000000000001</v>
      </c>
      <c r="CW19" s="74">
        <f t="shared" ref="CW19:DB19" si="17">CW10*$E$19/1000</f>
        <v>9.5739000000000001</v>
      </c>
      <c r="CX19" s="74">
        <f t="shared" si="17"/>
        <v>4.4180000000000001</v>
      </c>
      <c r="CY19" s="74">
        <f t="shared" si="17"/>
        <v>4.4180000000000001</v>
      </c>
      <c r="CZ19" s="74">
        <f t="shared" si="17"/>
        <v>4.4180000000000001</v>
      </c>
      <c r="DA19" s="74">
        <f t="shared" si="17"/>
        <v>4.4180000000000001</v>
      </c>
      <c r="DB19" s="74">
        <f t="shared" si="17"/>
        <v>4.4180000000000001</v>
      </c>
      <c r="DC19" s="74">
        <f t="shared" ref="DC19:FE19" si="18">DC10*$E$19/1000</f>
        <v>4.4180000000000001</v>
      </c>
      <c r="DD19" s="74">
        <f t="shared" si="18"/>
        <v>4.4180000000000001</v>
      </c>
      <c r="DE19" s="74">
        <f t="shared" si="18"/>
        <v>4.9349999999999996</v>
      </c>
      <c r="DF19" s="74">
        <f t="shared" si="18"/>
        <v>4.9349999999999996</v>
      </c>
      <c r="DG19" s="74">
        <f>DG10*$E$19/1000</f>
        <v>4.9349999999999996</v>
      </c>
      <c r="DH19" s="74">
        <f t="shared" si="18"/>
        <v>4.2300000000000004</v>
      </c>
      <c r="DI19" s="74">
        <f t="shared" si="18"/>
        <v>4.2300000000000004</v>
      </c>
      <c r="DJ19" s="74">
        <f t="shared" si="18"/>
        <v>4.2300000000000004</v>
      </c>
      <c r="DK19" s="74">
        <f t="shared" si="18"/>
        <v>4.2300000000000004</v>
      </c>
      <c r="DL19" s="74">
        <f t="shared" si="18"/>
        <v>4.2300000000000004</v>
      </c>
      <c r="DM19" s="74">
        <f t="shared" si="18"/>
        <v>4.2300000000000004</v>
      </c>
      <c r="DN19" s="74">
        <f t="shared" si="18"/>
        <v>5.4050000000000002</v>
      </c>
      <c r="DO19" s="74">
        <f t="shared" si="18"/>
        <v>5.4050000000000002</v>
      </c>
      <c r="DP19" s="74">
        <f t="shared" si="18"/>
        <v>5.4050000000000002</v>
      </c>
      <c r="DQ19" s="74">
        <f t="shared" si="18"/>
        <v>5.4050000000000002</v>
      </c>
      <c r="DR19" s="74">
        <f t="shared" si="18"/>
        <v>5.0759999999999996</v>
      </c>
      <c r="DS19" s="74">
        <f t="shared" si="18"/>
        <v>5.0759999999999996</v>
      </c>
      <c r="DT19" s="74">
        <f t="shared" si="18"/>
        <v>0</v>
      </c>
      <c r="DU19" s="74" t="e">
        <f t="shared" si="18"/>
        <v>#REF!</v>
      </c>
      <c r="DV19" s="74" t="e">
        <f t="shared" si="18"/>
        <v>#REF!</v>
      </c>
      <c r="DW19" s="74" t="e">
        <f t="shared" si="18"/>
        <v>#REF!</v>
      </c>
      <c r="DX19" s="74" t="e">
        <f t="shared" si="18"/>
        <v>#REF!</v>
      </c>
      <c r="DY19" s="74" t="e">
        <f t="shared" si="18"/>
        <v>#REF!</v>
      </c>
      <c r="DZ19" s="74" t="e">
        <f t="shared" si="18"/>
        <v>#REF!</v>
      </c>
      <c r="EA19" s="74" t="e">
        <f t="shared" si="18"/>
        <v>#REF!</v>
      </c>
      <c r="EB19" s="74" t="e">
        <f t="shared" si="18"/>
        <v>#REF!</v>
      </c>
      <c r="EC19" s="74" t="e">
        <f t="shared" si="18"/>
        <v>#REF!</v>
      </c>
      <c r="ED19" s="74" t="e">
        <f t="shared" si="18"/>
        <v>#REF!</v>
      </c>
      <c r="EE19" s="74" t="e">
        <f t="shared" si="18"/>
        <v>#REF!</v>
      </c>
      <c r="EF19" s="74" t="e">
        <f t="shared" si="18"/>
        <v>#REF!</v>
      </c>
      <c r="EG19" s="74" t="e">
        <f t="shared" si="18"/>
        <v>#REF!</v>
      </c>
      <c r="EH19" s="74" t="e">
        <f t="shared" si="18"/>
        <v>#REF!</v>
      </c>
      <c r="EI19" s="74" t="e">
        <f t="shared" si="18"/>
        <v>#REF!</v>
      </c>
      <c r="EJ19" s="74" t="e">
        <f t="shared" si="18"/>
        <v>#REF!</v>
      </c>
      <c r="EK19" s="74" t="e">
        <f t="shared" si="18"/>
        <v>#REF!</v>
      </c>
      <c r="EL19" s="74" t="e">
        <f t="shared" si="18"/>
        <v>#REF!</v>
      </c>
      <c r="EM19" s="74" t="e">
        <f t="shared" si="18"/>
        <v>#REF!</v>
      </c>
      <c r="EN19" s="74" t="e">
        <f t="shared" si="18"/>
        <v>#REF!</v>
      </c>
      <c r="EO19" s="74" t="e">
        <f t="shared" si="18"/>
        <v>#REF!</v>
      </c>
      <c r="EP19" s="74" t="e">
        <f t="shared" si="18"/>
        <v>#REF!</v>
      </c>
      <c r="EQ19" s="74" t="e">
        <f t="shared" si="18"/>
        <v>#REF!</v>
      </c>
      <c r="ER19" s="74" t="e">
        <f t="shared" si="18"/>
        <v>#REF!</v>
      </c>
      <c r="ES19" s="74" t="e">
        <f t="shared" si="18"/>
        <v>#REF!</v>
      </c>
      <c r="ET19" s="74" t="e">
        <f t="shared" si="18"/>
        <v>#REF!</v>
      </c>
      <c r="EU19" s="74" t="e">
        <f t="shared" si="18"/>
        <v>#REF!</v>
      </c>
      <c r="EV19" s="74" t="e">
        <f t="shared" si="18"/>
        <v>#REF!</v>
      </c>
      <c r="EW19" s="74" t="e">
        <f t="shared" si="18"/>
        <v>#REF!</v>
      </c>
      <c r="EX19" s="74" t="e">
        <f t="shared" si="18"/>
        <v>#REF!</v>
      </c>
      <c r="EY19" s="74" t="e">
        <f t="shared" si="18"/>
        <v>#REF!</v>
      </c>
      <c r="EZ19" s="74" t="e">
        <f t="shared" si="18"/>
        <v>#REF!</v>
      </c>
      <c r="FA19" s="74" t="e">
        <f t="shared" si="18"/>
        <v>#REF!</v>
      </c>
      <c r="FB19" s="74" t="e">
        <f t="shared" si="18"/>
        <v>#REF!</v>
      </c>
      <c r="FC19" s="74" t="e">
        <f t="shared" si="18"/>
        <v>#REF!</v>
      </c>
      <c r="FD19" s="74" t="e">
        <f t="shared" si="18"/>
        <v>#REF!</v>
      </c>
      <c r="FE19" s="74" t="e">
        <f t="shared" si="18"/>
        <v>#REF!</v>
      </c>
    </row>
    <row r="20" spans="1:162">
      <c r="A20" s="44" t="s">
        <v>146</v>
      </c>
      <c r="B20" s="67"/>
      <c r="C20" s="67"/>
      <c r="D20" s="67"/>
      <c r="E20" s="338">
        <v>86</v>
      </c>
      <c r="F20" s="67"/>
      <c r="G20" s="67"/>
      <c r="H20" s="44" t="s">
        <v>146</v>
      </c>
      <c r="I20" s="84"/>
      <c r="J20" s="84"/>
      <c r="K20" s="84"/>
      <c r="L20" s="84"/>
      <c r="M20" s="84"/>
      <c r="N20" s="84"/>
      <c r="O20" s="84"/>
      <c r="P20" s="84"/>
      <c r="Q20" s="84"/>
      <c r="R20" s="84"/>
      <c r="S20" s="84"/>
      <c r="T20" s="84"/>
      <c r="U20" s="84"/>
      <c r="V20" s="84"/>
      <c r="W20" s="84"/>
      <c r="X20" s="84"/>
      <c r="Y20" s="84"/>
      <c r="Z20" s="84"/>
      <c r="AA20" s="84"/>
      <c r="AB20" s="84"/>
      <c r="AC20" s="84"/>
      <c r="AD20" s="74">
        <f>AD11*$E$20/100</f>
        <v>58.624565999999994</v>
      </c>
      <c r="AE20" s="74">
        <f t="shared" ref="AE20:AK20" si="19">AE11*$E$20/100</f>
        <v>59.601133625000003</v>
      </c>
      <c r="AF20" s="74">
        <f t="shared" si="19"/>
        <v>50.916041999999997</v>
      </c>
      <c r="AG20" s="74">
        <f t="shared" si="19"/>
        <v>47.540047500000007</v>
      </c>
      <c r="AH20" s="74">
        <f t="shared" si="19"/>
        <v>55.118087999999986</v>
      </c>
      <c r="AI20" s="74">
        <f t="shared" si="19"/>
        <v>67.048033799999985</v>
      </c>
      <c r="AJ20" s="74">
        <f t="shared" si="19"/>
        <v>62.92024681125001</v>
      </c>
      <c r="AK20" s="74">
        <f t="shared" si="19"/>
        <v>64.084148101874987</v>
      </c>
      <c r="AL20" s="74">
        <f>AL11*$E$20/1000</f>
        <v>2.19042</v>
      </c>
      <c r="AM20" s="74">
        <f>AM8*$E$20/1000</f>
        <v>7.3762778513809506</v>
      </c>
      <c r="AN20" s="74">
        <f t="shared" ref="AN20:CV20" si="20">AN8*$E$20/1000</f>
        <v>6.2171337591466651</v>
      </c>
      <c r="AO20" s="74">
        <f t="shared" si="20"/>
        <v>6.3962199914727291</v>
      </c>
      <c r="AP20" s="74">
        <f t="shared" si="20"/>
        <v>5.3463437751666678</v>
      </c>
      <c r="AQ20" s="74">
        <f>AQ8*$E$20/1000</f>
        <v>4.3973153988095239</v>
      </c>
      <c r="AR20" s="74">
        <f t="shared" si="20"/>
        <v>4.609749542272727</v>
      </c>
      <c r="AS20" s="74">
        <f t="shared" si="20"/>
        <v>4.9303553466666665</v>
      </c>
      <c r="AT20" s="74">
        <f t="shared" si="20"/>
        <v>5.0143479490000002</v>
      </c>
      <c r="AU20" s="74">
        <f>AU8*$E$20/1000</f>
        <v>4.519975616</v>
      </c>
      <c r="AV20" s="74">
        <f t="shared" si="20"/>
        <v>4.590600235000001</v>
      </c>
      <c r="AW20" s="74">
        <f t="shared" si="20"/>
        <v>4.6612248540000003</v>
      </c>
      <c r="AX20" s="74">
        <f t="shared" si="20"/>
        <v>4.4698500000000001</v>
      </c>
      <c r="AY20" s="74">
        <f t="shared" si="20"/>
        <v>4.1830055999999995</v>
      </c>
      <c r="AZ20" s="74">
        <f t="shared" si="20"/>
        <v>4.240488</v>
      </c>
      <c r="BA20" s="74">
        <f t="shared" si="20"/>
        <v>4.3327488000000001</v>
      </c>
      <c r="BB20" s="74">
        <f t="shared" si="20"/>
        <v>4.5275904000000011</v>
      </c>
      <c r="BC20" s="74">
        <f t="shared" si="20"/>
        <v>4.5945800999999999</v>
      </c>
      <c r="BD20" s="74">
        <f t="shared" si="20"/>
        <v>4.6178774999999996</v>
      </c>
      <c r="BE20" s="74">
        <f t="shared" si="20"/>
        <v>4.5820799999999995</v>
      </c>
      <c r="BF20" s="74">
        <f t="shared" si="20"/>
        <v>4.4424374999999996</v>
      </c>
      <c r="BG20" s="74">
        <f t="shared" si="20"/>
        <v>4.571072</v>
      </c>
      <c r="BH20" s="74">
        <f t="shared" si="20"/>
        <v>4.4223607999999999</v>
      </c>
      <c r="BI20" s="74">
        <f t="shared" si="20"/>
        <v>4.3861676999999997</v>
      </c>
      <c r="BJ20" s="74">
        <f t="shared" si="20"/>
        <v>4.4036213999999996</v>
      </c>
      <c r="BK20" s="74">
        <f t="shared" si="20"/>
        <v>4.4015057999999998</v>
      </c>
      <c r="BL20" s="74">
        <f t="shared" si="20"/>
        <v>4.3314975000000002</v>
      </c>
      <c r="BM20" s="74">
        <f t="shared" si="20"/>
        <v>4.3247336000000001</v>
      </c>
      <c r="BN20" s="74">
        <f t="shared" si="20"/>
        <v>4.2246123999999998</v>
      </c>
      <c r="BO20" s="74">
        <f t="shared" si="20"/>
        <v>4.1510135999999997</v>
      </c>
      <c r="BP20" s="74">
        <f t="shared" si="20"/>
        <v>4.0779737999999996</v>
      </c>
      <c r="BQ20" s="74">
        <f t="shared" si="20"/>
        <v>4.0779737999999996</v>
      </c>
      <c r="BR20" s="74">
        <f t="shared" si="20"/>
        <v>4.0848366</v>
      </c>
      <c r="BS20" s="74">
        <f t="shared" si="20"/>
        <v>4.0882679999999993</v>
      </c>
      <c r="BT20" s="74">
        <f t="shared" si="20"/>
        <v>4.0863071999999994</v>
      </c>
      <c r="BU20" s="74">
        <f t="shared" si="20"/>
        <v>3.9014587999999999</v>
      </c>
      <c r="BV20" s="74">
        <f t="shared" si="20"/>
        <v>3.9052083999999998</v>
      </c>
      <c r="BW20" s="74">
        <f t="shared" si="20"/>
        <v>3.8967718000000002</v>
      </c>
      <c r="BX20" s="74">
        <f t="shared" si="20"/>
        <v>3.8972405000000006</v>
      </c>
      <c r="BY20" s="74">
        <f t="shared" si="20"/>
        <v>3.9019275000000002</v>
      </c>
      <c r="BZ20" s="74">
        <f t="shared" si="20"/>
        <v>4.1073170000000001</v>
      </c>
      <c r="CA20" s="74">
        <f t="shared" si="20"/>
        <v>4.1043499999999993</v>
      </c>
      <c r="CB20" s="74">
        <f t="shared" si="20"/>
        <v>4.1048445000000005</v>
      </c>
      <c r="CC20" s="74">
        <f t="shared" si="20"/>
        <v>4.099405</v>
      </c>
      <c r="CD20" s="74">
        <f t="shared" si="20"/>
        <v>4.1706989999999999</v>
      </c>
      <c r="CE20" s="74">
        <f t="shared" si="20"/>
        <v>4.1606369999999995</v>
      </c>
      <c r="CF20" s="74">
        <f t="shared" si="20"/>
        <v>4.1636556000000002</v>
      </c>
      <c r="CG20" s="74">
        <f t="shared" si="20"/>
        <v>4.3320178000000009</v>
      </c>
      <c r="CH20" s="74">
        <f t="shared" si="20"/>
        <v>4.4822124999999993</v>
      </c>
      <c r="CI20" s="74">
        <f t="shared" si="20"/>
        <v>4.4367571999999997</v>
      </c>
      <c r="CJ20" s="74">
        <f t="shared" si="20"/>
        <v>4.4289570000000005</v>
      </c>
      <c r="CK20" s="74">
        <f t="shared" si="20"/>
        <v>4.4401090500000002</v>
      </c>
      <c r="CL20" s="74">
        <f t="shared" si="20"/>
        <v>4.3403425999999996</v>
      </c>
      <c r="CM20" s="74">
        <f t="shared" si="20"/>
        <v>4.3445049999999998</v>
      </c>
      <c r="CN20" s="74">
        <f t="shared" si="20"/>
        <v>4.2650194999999993</v>
      </c>
      <c r="CO20" s="74">
        <f t="shared" si="20"/>
        <v>4.2650194999999993</v>
      </c>
      <c r="CP20" s="74">
        <f t="shared" si="20"/>
        <v>4.2650194999999993</v>
      </c>
      <c r="CQ20" s="74">
        <f t="shared" si="20"/>
        <v>4.2650194999999993</v>
      </c>
      <c r="CR20" s="74">
        <f t="shared" si="20"/>
        <v>4.2205059</v>
      </c>
      <c r="CS20" s="74">
        <f t="shared" si="20"/>
        <v>4.339302</v>
      </c>
      <c r="CT20" s="74">
        <f t="shared" si="20"/>
        <v>4.3445049999999998</v>
      </c>
      <c r="CU20" s="74">
        <f t="shared" si="20"/>
        <v>4.5930879999999998</v>
      </c>
      <c r="CV20" s="74">
        <f t="shared" si="20"/>
        <v>4.6659730000000001</v>
      </c>
      <c r="CW20" s="74">
        <f>CW8*$E$20/1000</f>
        <v>4.670445</v>
      </c>
      <c r="CX20" s="74">
        <f>CX11*$E$20/1000</f>
        <v>2.3034240000000006</v>
      </c>
      <c r="CY20" s="74">
        <f>CY11*$E$20/1000</f>
        <v>2.3042495999999999</v>
      </c>
      <c r="CZ20" s="74">
        <f>CZ11*$E$20/1000</f>
        <v>2.4185995000000005</v>
      </c>
      <c r="DA20" s="74">
        <f>DA11*$E$20/1000</f>
        <v>2.4910931999999999</v>
      </c>
      <c r="DB20" s="74">
        <f>DB11*$E$20/1000</f>
        <v>2.5253899999999998</v>
      </c>
      <c r="DC20" s="74">
        <f t="shared" ref="DC20:FE20" si="21">DC11*$E$20/100</f>
        <v>25.250889999999998</v>
      </c>
      <c r="DD20" s="74">
        <f t="shared" si="21"/>
        <v>25.271959999999993</v>
      </c>
      <c r="DE20" s="74">
        <f t="shared" si="21"/>
        <v>25.271959999999993</v>
      </c>
      <c r="DF20" s="74">
        <f t="shared" si="21"/>
        <v>24.798185999999998</v>
      </c>
      <c r="DG20" s="74">
        <f t="shared" si="21"/>
        <v>25.541398000000001</v>
      </c>
      <c r="DH20" s="74">
        <f t="shared" si="21"/>
        <v>26.358183</v>
      </c>
      <c r="DI20" s="74">
        <f t="shared" si="21"/>
        <v>27.474075999999997</v>
      </c>
      <c r="DJ20" s="74">
        <f t="shared" si="21"/>
        <v>29.281581000000003</v>
      </c>
      <c r="DK20" s="74">
        <f t="shared" si="21"/>
        <v>29.285063999999998</v>
      </c>
      <c r="DL20" s="74">
        <f t="shared" si="21"/>
        <v>29.660712</v>
      </c>
      <c r="DM20" s="74">
        <f t="shared" si="21"/>
        <v>29.396519999999999</v>
      </c>
      <c r="DN20" s="74">
        <f t="shared" si="21"/>
        <v>28.988879999999998</v>
      </c>
      <c r="DO20" s="74">
        <f t="shared" si="21"/>
        <v>29.476629000000003</v>
      </c>
      <c r="DP20" s="74">
        <f t="shared" si="21"/>
        <v>29.497527000000002</v>
      </c>
      <c r="DQ20" s="74">
        <f t="shared" si="21"/>
        <v>29.911057999999997</v>
      </c>
      <c r="DR20" s="74">
        <f t="shared" si="21"/>
        <v>31.403415999999996</v>
      </c>
      <c r="DS20" s="74">
        <f t="shared" si="21"/>
        <v>32.415249000000003</v>
      </c>
      <c r="DT20" s="74">
        <f t="shared" si="21"/>
        <v>0</v>
      </c>
      <c r="DU20" s="74">
        <f t="shared" si="21"/>
        <v>0</v>
      </c>
      <c r="DV20" s="74">
        <f t="shared" si="21"/>
        <v>0</v>
      </c>
      <c r="DW20" s="74">
        <f t="shared" si="21"/>
        <v>0</v>
      </c>
      <c r="DX20" s="74">
        <f t="shared" si="21"/>
        <v>0</v>
      </c>
      <c r="DY20" s="74">
        <f t="shared" si="21"/>
        <v>0</v>
      </c>
      <c r="DZ20" s="74">
        <f t="shared" si="21"/>
        <v>0</v>
      </c>
      <c r="EA20" s="74">
        <f t="shared" si="21"/>
        <v>0</v>
      </c>
      <c r="EB20" s="74">
        <f t="shared" si="21"/>
        <v>0</v>
      </c>
      <c r="EC20" s="74">
        <f t="shared" si="21"/>
        <v>0</v>
      </c>
      <c r="ED20" s="74">
        <f t="shared" si="21"/>
        <v>0</v>
      </c>
      <c r="EE20" s="74">
        <f t="shared" si="21"/>
        <v>0</v>
      </c>
      <c r="EF20" s="74">
        <f t="shared" si="21"/>
        <v>0</v>
      </c>
      <c r="EG20" s="74">
        <f t="shared" si="21"/>
        <v>0</v>
      </c>
      <c r="EH20" s="74">
        <f t="shared" si="21"/>
        <v>0</v>
      </c>
      <c r="EI20" s="74">
        <f t="shared" si="21"/>
        <v>0</v>
      </c>
      <c r="EJ20" s="74">
        <f t="shared" si="21"/>
        <v>0</v>
      </c>
      <c r="EK20" s="74">
        <f t="shared" si="21"/>
        <v>0</v>
      </c>
      <c r="EL20" s="74">
        <f t="shared" si="21"/>
        <v>0</v>
      </c>
      <c r="EM20" s="74">
        <f t="shared" si="21"/>
        <v>0</v>
      </c>
      <c r="EN20" s="74">
        <f t="shared" si="21"/>
        <v>0</v>
      </c>
      <c r="EO20" s="74">
        <f t="shared" si="21"/>
        <v>0</v>
      </c>
      <c r="EP20" s="74">
        <f t="shared" si="21"/>
        <v>0</v>
      </c>
      <c r="EQ20" s="74">
        <f t="shared" si="21"/>
        <v>0</v>
      </c>
      <c r="ER20" s="74">
        <f t="shared" si="21"/>
        <v>0</v>
      </c>
      <c r="ES20" s="74">
        <f t="shared" si="21"/>
        <v>0</v>
      </c>
      <c r="ET20" s="74">
        <f t="shared" si="21"/>
        <v>0</v>
      </c>
      <c r="EU20" s="74">
        <f t="shared" si="21"/>
        <v>0</v>
      </c>
      <c r="EV20" s="74">
        <f t="shared" si="21"/>
        <v>0</v>
      </c>
      <c r="EW20" s="74">
        <f t="shared" si="21"/>
        <v>0</v>
      </c>
      <c r="EX20" s="74">
        <f t="shared" si="21"/>
        <v>0</v>
      </c>
      <c r="EY20" s="74">
        <f t="shared" si="21"/>
        <v>0</v>
      </c>
      <c r="EZ20" s="74">
        <f t="shared" si="21"/>
        <v>0</v>
      </c>
      <c r="FA20" s="74">
        <f t="shared" si="21"/>
        <v>0</v>
      </c>
      <c r="FB20" s="74">
        <f t="shared" si="21"/>
        <v>0</v>
      </c>
      <c r="FC20" s="74">
        <f t="shared" si="21"/>
        <v>0</v>
      </c>
      <c r="FD20" s="74">
        <f t="shared" si="21"/>
        <v>0</v>
      </c>
      <c r="FE20" s="74">
        <f t="shared" si="21"/>
        <v>0</v>
      </c>
    </row>
    <row r="21" spans="1:162">
      <c r="A21" s="178" t="s">
        <v>370</v>
      </c>
      <c r="B21" s="67"/>
      <c r="C21" s="67"/>
      <c r="D21" s="67"/>
      <c r="E21" s="67">
        <v>413</v>
      </c>
      <c r="F21" s="67"/>
      <c r="G21" s="67"/>
      <c r="H21" s="44"/>
      <c r="I21" s="84"/>
      <c r="J21" s="84"/>
      <c r="K21" s="84"/>
      <c r="L21" s="84"/>
      <c r="M21" s="84"/>
      <c r="N21" s="84"/>
      <c r="O21" s="84"/>
      <c r="P21" s="84"/>
      <c r="Q21" s="84"/>
      <c r="R21" s="84"/>
      <c r="S21" s="84"/>
      <c r="T21" s="84"/>
      <c r="U21" s="84"/>
      <c r="V21" s="84"/>
      <c r="W21" s="84"/>
      <c r="X21" s="84"/>
      <c r="Y21" s="84"/>
      <c r="Z21" s="84"/>
      <c r="AA21" s="84"/>
      <c r="AB21" s="84"/>
      <c r="AC21" s="84"/>
      <c r="AD21" s="74"/>
      <c r="AE21" s="84"/>
      <c r="AF21" s="84"/>
      <c r="AG21" s="84"/>
      <c r="AH21" s="84"/>
      <c r="AI21" s="84"/>
      <c r="AJ21" s="84"/>
      <c r="AK21" s="84"/>
      <c r="AL21" s="74">
        <f>AL12*$E$21/1000</f>
        <v>101.185</v>
      </c>
      <c r="AM21" s="74">
        <f t="shared" ref="AM21:AU21" si="22">AM12*$E$21/1000</f>
        <v>177.63623707143788</v>
      </c>
      <c r="AN21" s="74">
        <f t="shared" si="22"/>
        <v>176.88604359263545</v>
      </c>
      <c r="AO21" s="74">
        <f t="shared" si="22"/>
        <v>183.89971625344805</v>
      </c>
      <c r="AP21" s="74">
        <f t="shared" si="22"/>
        <v>201.73684653776183</v>
      </c>
      <c r="AQ21" s="74">
        <f t="shared" si="22"/>
        <v>192.80701949951157</v>
      </c>
      <c r="AR21" s="74">
        <f t="shared" si="22"/>
        <v>186.2978878080807</v>
      </c>
      <c r="AS21" s="74">
        <f t="shared" si="22"/>
        <v>178.70698505101183</v>
      </c>
      <c r="AT21" s="74">
        <f t="shared" si="22"/>
        <v>168.33412457428491</v>
      </c>
      <c r="AU21" s="74">
        <f t="shared" si="22"/>
        <v>153.9485540909813</v>
      </c>
      <c r="AV21" s="74">
        <f t="shared" ref="AV21:DB21" si="23">AV12*$E$21/1000</f>
        <v>148.65856881897986</v>
      </c>
      <c r="AW21" s="74">
        <f t="shared" si="23"/>
        <v>126.46711187110874</v>
      </c>
      <c r="AX21" s="74">
        <f t="shared" si="23"/>
        <v>129.58442858448225</v>
      </c>
      <c r="AY21" s="74">
        <f t="shared" si="23"/>
        <v>123.46817565163001</v>
      </c>
      <c r="AZ21" s="74">
        <f t="shared" si="23"/>
        <v>123.07878062895384</v>
      </c>
      <c r="BA21" s="74">
        <f t="shared" si="23"/>
        <v>122.68938560627768</v>
      </c>
      <c r="BB21" s="74">
        <f t="shared" si="23"/>
        <v>123.19859448208497</v>
      </c>
      <c r="BC21" s="74">
        <f t="shared" si="23"/>
        <v>130.05131818210739</v>
      </c>
      <c r="BD21" s="74">
        <f t="shared" si="23"/>
        <v>130.71075985344004</v>
      </c>
      <c r="BE21" s="74">
        <f t="shared" si="23"/>
        <v>130.71075985344004</v>
      </c>
      <c r="BF21" s="74">
        <f t="shared" si="23"/>
        <v>129.76870032296483</v>
      </c>
      <c r="BG21" s="74">
        <f t="shared" si="23"/>
        <v>115.06041441257777</v>
      </c>
      <c r="BH21" s="74">
        <f t="shared" si="23"/>
        <v>114.90801651269358</v>
      </c>
      <c r="BI21" s="74">
        <f t="shared" si="23"/>
        <v>114.89416215815865</v>
      </c>
      <c r="BJ21" s="74">
        <f t="shared" si="23"/>
        <v>115.35135585781127</v>
      </c>
      <c r="BK21" s="74">
        <f t="shared" si="23"/>
        <v>106.07814104774347</v>
      </c>
      <c r="BL21" s="74">
        <f t="shared" si="23"/>
        <v>106.11638118510746</v>
      </c>
      <c r="BM21" s="74">
        <f t="shared" si="23"/>
        <v>105.95067392319677</v>
      </c>
      <c r="BN21" s="74">
        <f t="shared" si="23"/>
        <v>106.12912789756213</v>
      </c>
      <c r="BO21" s="74">
        <f t="shared" si="23"/>
        <v>100.4265191558611</v>
      </c>
      <c r="BP21" s="74">
        <f t="shared" si="23"/>
        <v>100.39031637318054</v>
      </c>
      <c r="BQ21" s="74">
        <f t="shared" si="23"/>
        <v>100.39031637318054</v>
      </c>
      <c r="BR21" s="74">
        <f t="shared" si="23"/>
        <v>100.55926269235648</v>
      </c>
      <c r="BS21" s="74">
        <f t="shared" si="23"/>
        <v>99.999525368041304</v>
      </c>
      <c r="BT21" s="74">
        <f t="shared" si="23"/>
        <v>99.951563964987074</v>
      </c>
      <c r="BU21" s="74">
        <f t="shared" si="23"/>
        <v>99.807679755824424</v>
      </c>
      <c r="BV21" s="74">
        <f t="shared" si="23"/>
        <v>99.903602561932857</v>
      </c>
      <c r="BW21" s="74">
        <f t="shared" si="23"/>
        <v>100.55865983826457</v>
      </c>
      <c r="BX21" s="74">
        <f t="shared" si="23"/>
        <v>100.57075493807673</v>
      </c>
      <c r="BY21" s="74">
        <f t="shared" si="23"/>
        <v>100.69170593619829</v>
      </c>
      <c r="BZ21" s="74">
        <f t="shared" si="23"/>
        <v>100.46189903976732</v>
      </c>
      <c r="CA21" s="74">
        <f t="shared" si="23"/>
        <v>103.40709140079073</v>
      </c>
      <c r="CB21" s="74">
        <f t="shared" si="23"/>
        <v>103.41955008650167</v>
      </c>
      <c r="CC21" s="74">
        <f t="shared" si="23"/>
        <v>103.28250454368136</v>
      </c>
      <c r="CD21" s="74">
        <f t="shared" si="23"/>
        <v>103.28250454368136</v>
      </c>
      <c r="CE21" s="74">
        <f t="shared" si="23"/>
        <v>96.548941869247372</v>
      </c>
      <c r="CF21" s="74">
        <f t="shared" si="23"/>
        <v>96.618989469152496</v>
      </c>
      <c r="CG21" s="74">
        <f t="shared" si="23"/>
        <v>97.202719468361977</v>
      </c>
      <c r="CH21" s="74">
        <f t="shared" si="23"/>
        <v>97.354489268156442</v>
      </c>
      <c r="CI21" s="74">
        <f t="shared" si="23"/>
        <v>95.849855350525971</v>
      </c>
      <c r="CJ21" s="74">
        <f t="shared" si="23"/>
        <v>96.068716935871507</v>
      </c>
      <c r="CK21" s="74">
        <f t="shared" si="23"/>
        <v>96.31061658283231</v>
      </c>
      <c r="CL21" s="74">
        <f t="shared" si="23"/>
        <v>96.091754997486802</v>
      </c>
      <c r="CM21" s="74">
        <f t="shared" si="23"/>
        <v>98.544139381754903</v>
      </c>
      <c r="CN21" s="74">
        <f t="shared" si="23"/>
        <v>98.367113981667913</v>
      </c>
      <c r="CO21" s="74">
        <f t="shared" si="23"/>
        <v>98.367113981667913</v>
      </c>
      <c r="CP21" s="74">
        <f t="shared" si="23"/>
        <v>98.367113981667913</v>
      </c>
      <c r="CQ21" s="74">
        <f t="shared" si="23"/>
        <v>98.367113981667913</v>
      </c>
      <c r="CR21" s="74">
        <f t="shared" si="23"/>
        <v>99.004405421981048</v>
      </c>
      <c r="CS21" s="74">
        <f t="shared" si="23"/>
        <v>98.426122448363571</v>
      </c>
      <c r="CT21" s="74">
        <f t="shared" si="23"/>
        <v>98.544139381754903</v>
      </c>
      <c r="CU21" s="74">
        <f t="shared" si="23"/>
        <v>98.48513091505923</v>
      </c>
      <c r="CV21" s="74">
        <f t="shared" si="23"/>
        <v>98.508734301737491</v>
      </c>
      <c r="CW21" s="74">
        <f t="shared" si="23"/>
        <v>98.603147848450547</v>
      </c>
      <c r="CX21" s="74">
        <f t="shared" si="23"/>
        <v>99.901809000000014</v>
      </c>
      <c r="CY21" s="74">
        <f t="shared" si="23"/>
        <v>99.9376161</v>
      </c>
      <c r="CZ21" s="74">
        <f t="shared" si="23"/>
        <v>100.20020150000001</v>
      </c>
      <c r="DA21" s="74">
        <f t="shared" si="23"/>
        <v>100.2121372</v>
      </c>
      <c r="DB21" s="74">
        <f t="shared" si="23"/>
        <v>100.14052300000002</v>
      </c>
      <c r="DC21" s="74">
        <f t="shared" ref="DC21:FE21" si="24">DC12*$E$21/1000</f>
        <v>100.12858729999999</v>
      </c>
      <c r="DD21" s="74">
        <f t="shared" si="24"/>
        <v>100.2121372</v>
      </c>
      <c r="DE21" s="74">
        <f t="shared" si="24"/>
        <v>100.2121372</v>
      </c>
      <c r="DF21" s="74">
        <f t="shared" si="24"/>
        <v>99.758580600000002</v>
      </c>
      <c r="DG21" s="74">
        <f t="shared" si="24"/>
        <v>99.854066200000005</v>
      </c>
      <c r="DH21" s="74">
        <f t="shared" si="24"/>
        <v>100.2240729</v>
      </c>
      <c r="DI21" s="74">
        <f t="shared" si="24"/>
        <v>0</v>
      </c>
      <c r="DJ21" s="74">
        <f t="shared" si="24"/>
        <v>0</v>
      </c>
      <c r="DK21" s="74">
        <f t="shared" si="24"/>
        <v>0</v>
      </c>
      <c r="DL21" s="74">
        <f t="shared" si="24"/>
        <v>0</v>
      </c>
      <c r="DM21" s="74">
        <f t="shared" si="24"/>
        <v>0</v>
      </c>
      <c r="DN21" s="74">
        <f t="shared" si="24"/>
        <v>0</v>
      </c>
      <c r="DO21" s="74">
        <f t="shared" si="24"/>
        <v>0</v>
      </c>
      <c r="DP21" s="74">
        <f t="shared" si="24"/>
        <v>0</v>
      </c>
      <c r="DQ21" s="74">
        <f t="shared" si="24"/>
        <v>0</v>
      </c>
      <c r="DR21" s="74">
        <f t="shared" si="24"/>
        <v>0</v>
      </c>
      <c r="DS21" s="74">
        <f t="shared" si="24"/>
        <v>0</v>
      </c>
      <c r="DT21" s="74">
        <f t="shared" si="24"/>
        <v>0</v>
      </c>
      <c r="DU21" s="74">
        <f t="shared" si="24"/>
        <v>0</v>
      </c>
      <c r="DV21" s="74">
        <f t="shared" si="24"/>
        <v>0</v>
      </c>
      <c r="DW21" s="74">
        <f t="shared" si="24"/>
        <v>0</v>
      </c>
      <c r="DX21" s="74">
        <f t="shared" si="24"/>
        <v>0</v>
      </c>
      <c r="DY21" s="74">
        <f t="shared" si="24"/>
        <v>0</v>
      </c>
      <c r="DZ21" s="74">
        <f t="shared" si="24"/>
        <v>0</v>
      </c>
      <c r="EA21" s="74">
        <f t="shared" si="24"/>
        <v>0</v>
      </c>
      <c r="EB21" s="74">
        <f t="shared" si="24"/>
        <v>0</v>
      </c>
      <c r="EC21" s="74">
        <f t="shared" si="24"/>
        <v>0</v>
      </c>
      <c r="ED21" s="74">
        <f t="shared" si="24"/>
        <v>0</v>
      </c>
      <c r="EE21" s="74">
        <f t="shared" si="24"/>
        <v>0</v>
      </c>
      <c r="EF21" s="74">
        <f t="shared" si="24"/>
        <v>0</v>
      </c>
      <c r="EG21" s="74">
        <f t="shared" si="24"/>
        <v>0</v>
      </c>
      <c r="EH21" s="74">
        <f t="shared" si="24"/>
        <v>0</v>
      </c>
      <c r="EI21" s="74">
        <f t="shared" si="24"/>
        <v>0</v>
      </c>
      <c r="EJ21" s="74">
        <f t="shared" si="24"/>
        <v>0</v>
      </c>
      <c r="EK21" s="74">
        <f t="shared" si="24"/>
        <v>0</v>
      </c>
      <c r="EL21" s="74">
        <f t="shared" si="24"/>
        <v>0</v>
      </c>
      <c r="EM21" s="74">
        <f t="shared" si="24"/>
        <v>0</v>
      </c>
      <c r="EN21" s="74">
        <f t="shared" si="24"/>
        <v>0</v>
      </c>
      <c r="EO21" s="74">
        <f t="shared" si="24"/>
        <v>0</v>
      </c>
      <c r="EP21" s="74">
        <f t="shared" si="24"/>
        <v>0</v>
      </c>
      <c r="EQ21" s="74">
        <f t="shared" si="24"/>
        <v>0</v>
      </c>
      <c r="ER21" s="74">
        <f t="shared" si="24"/>
        <v>0</v>
      </c>
      <c r="ES21" s="74">
        <f t="shared" si="24"/>
        <v>0</v>
      </c>
      <c r="ET21" s="74">
        <f t="shared" si="24"/>
        <v>0</v>
      </c>
      <c r="EU21" s="74">
        <f t="shared" si="24"/>
        <v>0</v>
      </c>
      <c r="EV21" s="74">
        <f t="shared" si="24"/>
        <v>0</v>
      </c>
      <c r="EW21" s="74">
        <f t="shared" si="24"/>
        <v>0</v>
      </c>
      <c r="EX21" s="74">
        <f t="shared" si="24"/>
        <v>0</v>
      </c>
      <c r="EY21" s="74">
        <f t="shared" si="24"/>
        <v>0</v>
      </c>
      <c r="EZ21" s="74">
        <f t="shared" si="24"/>
        <v>0</v>
      </c>
      <c r="FA21" s="74">
        <f t="shared" si="24"/>
        <v>0</v>
      </c>
      <c r="FB21" s="74">
        <f t="shared" si="24"/>
        <v>0</v>
      </c>
      <c r="FC21" s="74">
        <f t="shared" si="24"/>
        <v>0</v>
      </c>
      <c r="FD21" s="74">
        <f t="shared" si="24"/>
        <v>0</v>
      </c>
      <c r="FE21" s="74">
        <f t="shared" si="24"/>
        <v>0</v>
      </c>
      <c r="FF21" s="74">
        <f>FF12*$E$21/1000</f>
        <v>0</v>
      </c>
    </row>
    <row r="22" spans="1:162">
      <c r="A22" s="44" t="s">
        <v>850</v>
      </c>
      <c r="B22" s="67"/>
      <c r="C22" s="67"/>
      <c r="D22" s="67"/>
      <c r="E22" s="67"/>
      <c r="F22" s="67"/>
      <c r="G22" s="67"/>
      <c r="H22" s="44"/>
      <c r="I22" s="84"/>
      <c r="J22" s="84"/>
      <c r="K22" s="84"/>
      <c r="L22" s="84"/>
      <c r="M22" s="84"/>
      <c r="N22" s="84"/>
      <c r="O22" s="84"/>
      <c r="P22" s="84"/>
      <c r="Q22" s="84"/>
      <c r="R22" s="84"/>
      <c r="S22" s="84"/>
      <c r="T22" s="84"/>
      <c r="U22" s="84"/>
      <c r="V22" s="84"/>
      <c r="W22" s="84"/>
      <c r="X22" s="84"/>
      <c r="Y22" s="84"/>
      <c r="Z22" s="84"/>
      <c r="AA22" s="84"/>
      <c r="AB22" s="84"/>
      <c r="AC22" s="84"/>
      <c r="AD22" s="74"/>
      <c r="AE22" s="84"/>
      <c r="AF22" s="84"/>
      <c r="AG22" s="84"/>
      <c r="AH22" s="84"/>
      <c r="AI22" s="84"/>
      <c r="AJ22" s="84"/>
      <c r="AK22" s="84"/>
      <c r="AL22" s="74">
        <f>(AL17+AL19+AL20+AL21)-AL16</f>
        <v>-49.074579999999997</v>
      </c>
      <c r="AM22" s="74">
        <f>AM16-AM19-AM20-AM21</f>
        <v>13.557485077181155</v>
      </c>
      <c r="AN22" s="74">
        <f t="shared" ref="AN22:AU22" si="25">AN16-AN19-AN20-AN21</f>
        <v>14.966822648217885</v>
      </c>
      <c r="AO22" s="74">
        <f t="shared" si="25"/>
        <v>-0.22593624492077424</v>
      </c>
      <c r="AP22" s="74">
        <f t="shared" si="25"/>
        <v>-11.013190312928515</v>
      </c>
      <c r="AQ22" s="74">
        <f t="shared" si="25"/>
        <v>-9.1343348983211001</v>
      </c>
      <c r="AR22" s="74">
        <f t="shared" si="25"/>
        <v>1.1623626496465533</v>
      </c>
      <c r="AS22" s="74">
        <f t="shared" si="25"/>
        <v>6.4326596023215075</v>
      </c>
      <c r="AT22" s="74">
        <f t="shared" si="25"/>
        <v>0.22152747671506745</v>
      </c>
      <c r="AU22" s="74">
        <f t="shared" si="25"/>
        <v>6.6014702930186786</v>
      </c>
      <c r="AV22" s="74">
        <f t="shared" ref="AV22:CA22" si="26">AV16-AV19-AV20-AV21</f>
        <v>-18.204869053979877</v>
      </c>
      <c r="AW22" s="74">
        <f t="shared" si="26"/>
        <v>-8.0840367251087315</v>
      </c>
      <c r="AX22" s="74">
        <f t="shared" si="26"/>
        <v>-12.578828584482252</v>
      </c>
      <c r="AY22" s="74">
        <f t="shared" si="26"/>
        <v>8.401874836999923E-2</v>
      </c>
      <c r="AZ22" s="74">
        <f t="shared" si="26"/>
        <v>0.41593137104617028</v>
      </c>
      <c r="BA22" s="74">
        <f t="shared" si="26"/>
        <v>2.7130655937223054</v>
      </c>
      <c r="BB22" s="74">
        <f t="shared" si="26"/>
        <v>5.0090151179150126</v>
      </c>
      <c r="BC22" s="74">
        <f t="shared" si="26"/>
        <v>8.9301717892595889E-2</v>
      </c>
      <c r="BD22" s="74">
        <f t="shared" si="26"/>
        <v>-1.5934373534400379</v>
      </c>
      <c r="BE22" s="74">
        <f t="shared" si="26"/>
        <v>-2.5576398534400369</v>
      </c>
      <c r="BF22" s="74">
        <f t="shared" si="26"/>
        <v>-2.4759378229648377</v>
      </c>
      <c r="BG22" s="74">
        <f t="shared" si="26"/>
        <v>9.1037135874222201</v>
      </c>
      <c r="BH22" s="74">
        <f t="shared" si="26"/>
        <v>5.4048226873064351</v>
      </c>
      <c r="BI22" s="74">
        <f t="shared" si="26"/>
        <v>4.4548701418413543</v>
      </c>
      <c r="BJ22" s="74">
        <f t="shared" si="26"/>
        <v>2.9802227421887295</v>
      </c>
      <c r="BK22" s="74">
        <f t="shared" si="26"/>
        <v>12.255553152256539</v>
      </c>
      <c r="BL22" s="74">
        <f t="shared" si="26"/>
        <v>12.287321314892552</v>
      </c>
      <c r="BM22" s="74">
        <f t="shared" si="26"/>
        <v>15.45979247680323</v>
      </c>
      <c r="BN22" s="74">
        <f t="shared" si="26"/>
        <v>19.381459702437866</v>
      </c>
      <c r="BO22" s="74">
        <f t="shared" si="26"/>
        <v>22.368067244138899</v>
      </c>
      <c r="BP22" s="74">
        <f t="shared" si="26"/>
        <v>24.477309826819479</v>
      </c>
      <c r="BQ22" s="74">
        <f t="shared" si="26"/>
        <v>23.477309826819464</v>
      </c>
      <c r="BR22" s="74">
        <f t="shared" si="26"/>
        <v>24.301500707643527</v>
      </c>
      <c r="BS22" s="74">
        <f t="shared" si="26"/>
        <v>22.068206631958702</v>
      </c>
      <c r="BT22" s="74">
        <f t="shared" si="26"/>
        <v>21.118128835012939</v>
      </c>
      <c r="BU22" s="74">
        <f t="shared" si="26"/>
        <v>17.446861444175582</v>
      </c>
      <c r="BV22" s="74">
        <f t="shared" si="26"/>
        <v>16.347189038067143</v>
      </c>
      <c r="BW22" s="74">
        <f t="shared" si="26"/>
        <v>14.700568361735435</v>
      </c>
      <c r="BX22" s="74">
        <f t="shared" si="26"/>
        <v>15.688004561923279</v>
      </c>
      <c r="BY22" s="74">
        <f t="shared" si="26"/>
        <v>16.562366563801717</v>
      </c>
      <c r="BZ22" s="74">
        <f t="shared" si="26"/>
        <v>16.586783960232694</v>
      </c>
      <c r="CA22" s="74">
        <f t="shared" si="26"/>
        <v>12.841958599209264</v>
      </c>
      <c r="CB22" s="74">
        <f t="shared" ref="CB22:CW22" si="27">CB16-CB19-CB20-CB21</f>
        <v>12.829005413498322</v>
      </c>
      <c r="CC22" s="74">
        <f t="shared" si="27"/>
        <v>12.971490456318634</v>
      </c>
      <c r="CD22" s="74">
        <f t="shared" si="27"/>
        <v>13.900196456318639</v>
      </c>
      <c r="CE22" s="74">
        <f t="shared" si="27"/>
        <v>21.643821130752627</v>
      </c>
      <c r="CF22" s="74">
        <f t="shared" si="27"/>
        <v>22.5707549308475</v>
      </c>
      <c r="CG22" s="74">
        <f t="shared" si="27"/>
        <v>22.818662731638014</v>
      </c>
      <c r="CH22" s="74">
        <f t="shared" si="27"/>
        <v>22.516698231843549</v>
      </c>
      <c r="CI22" s="74">
        <f t="shared" si="27"/>
        <v>27.053787449474029</v>
      </c>
      <c r="CJ22" s="74">
        <f t="shared" si="27"/>
        <v>23.842726064128499</v>
      </c>
      <c r="CK22" s="74">
        <f t="shared" si="27"/>
        <v>23.589674367167689</v>
      </c>
      <c r="CL22" s="74">
        <f t="shared" si="27"/>
        <v>23.9083024025132</v>
      </c>
      <c r="CM22" s="74">
        <f t="shared" si="27"/>
        <v>20.451755618245102</v>
      </c>
      <c r="CN22" s="74">
        <f t="shared" si="27"/>
        <v>25.708266518332081</v>
      </c>
      <c r="CO22" s="74">
        <f t="shared" si="27"/>
        <v>33.708266518332081</v>
      </c>
      <c r="CP22" s="74">
        <f t="shared" si="27"/>
        <v>36.708266518332081</v>
      </c>
      <c r="CQ22" s="74">
        <f t="shared" si="27"/>
        <v>36.708266518332081</v>
      </c>
      <c r="CR22" s="74">
        <f t="shared" si="27"/>
        <v>35.115488678018934</v>
      </c>
      <c r="CS22" s="74">
        <f t="shared" si="27"/>
        <v>36.574975551636413</v>
      </c>
      <c r="CT22" s="74">
        <f t="shared" si="27"/>
        <v>36.451755618245087</v>
      </c>
      <c r="CU22" s="74">
        <f t="shared" si="27"/>
        <v>36.262181084940764</v>
      </c>
      <c r="CV22" s="74">
        <f t="shared" si="27"/>
        <v>39.251392698262492</v>
      </c>
      <c r="CW22" s="74">
        <f t="shared" si="27"/>
        <v>36.152507151549443</v>
      </c>
      <c r="CX22" s="74">
        <f t="shared" ref="CX22:EC22" si="28">(CX17+CX19+CX20+CX21)-CX16</f>
        <v>-45.376766999999987</v>
      </c>
      <c r="CY22" s="74">
        <f t="shared" si="28"/>
        <v>-45.340134300000003</v>
      </c>
      <c r="CZ22" s="74">
        <f t="shared" si="28"/>
        <v>-44.963198999999989</v>
      </c>
      <c r="DA22" s="74">
        <f t="shared" si="28"/>
        <v>-44.878769599999998</v>
      </c>
      <c r="DB22" s="74">
        <f t="shared" si="28"/>
        <v>-44.91608699999999</v>
      </c>
      <c r="DC22" s="74">
        <f t="shared" si="28"/>
        <v>-22.202522700000003</v>
      </c>
      <c r="DD22" s="74">
        <f t="shared" si="28"/>
        <v>-27.097902800000014</v>
      </c>
      <c r="DE22" s="74">
        <f t="shared" si="28"/>
        <v>-35.580902800000018</v>
      </c>
      <c r="DF22" s="74">
        <f t="shared" si="28"/>
        <v>-36.508233399999995</v>
      </c>
      <c r="DG22" s="74">
        <f t="shared" si="28"/>
        <v>-35.669535800000006</v>
      </c>
      <c r="DH22" s="74">
        <f t="shared" si="28"/>
        <v>-44.187744100000003</v>
      </c>
      <c r="DI22" s="74">
        <f t="shared" si="28"/>
        <v>-137.79592400000001</v>
      </c>
      <c r="DJ22" s="74">
        <f t="shared" si="28"/>
        <v>-137.48841899999999</v>
      </c>
      <c r="DK22" s="74">
        <f t="shared" si="28"/>
        <v>-135.484936</v>
      </c>
      <c r="DL22" s="74">
        <f t="shared" si="28"/>
        <v>-135.60928799999999</v>
      </c>
      <c r="DM22" s="74">
        <f t="shared" si="28"/>
        <v>-135.87348</v>
      </c>
      <c r="DN22" s="74">
        <f t="shared" si="28"/>
        <v>-135.60612</v>
      </c>
      <c r="DO22" s="74">
        <f t="shared" si="28"/>
        <v>-135.118371</v>
      </c>
      <c r="DP22" s="74">
        <f t="shared" si="28"/>
        <v>-136.09747300000001</v>
      </c>
      <c r="DQ22" s="74">
        <f t="shared" si="28"/>
        <v>-133.683942</v>
      </c>
      <c r="DR22" s="74">
        <f t="shared" si="28"/>
        <v>-131.52058400000001</v>
      </c>
      <c r="DS22" s="74">
        <f t="shared" si="28"/>
        <v>-127.50875099999999</v>
      </c>
      <c r="DT22" s="74">
        <f t="shared" si="28"/>
        <v>-33</v>
      </c>
      <c r="DU22" s="74" t="e">
        <f t="shared" si="28"/>
        <v>#REF!</v>
      </c>
      <c r="DV22" s="74" t="e">
        <f t="shared" si="28"/>
        <v>#REF!</v>
      </c>
      <c r="DW22" s="74" t="e">
        <f t="shared" si="28"/>
        <v>#REF!</v>
      </c>
      <c r="DX22" s="74" t="e">
        <f t="shared" si="28"/>
        <v>#REF!</v>
      </c>
      <c r="DY22" s="74" t="e">
        <f t="shared" si="28"/>
        <v>#REF!</v>
      </c>
      <c r="DZ22" s="74" t="e">
        <f t="shared" si="28"/>
        <v>#REF!</v>
      </c>
      <c r="EA22" s="74" t="e">
        <f t="shared" si="28"/>
        <v>#REF!</v>
      </c>
      <c r="EB22" s="74" t="e">
        <f t="shared" si="28"/>
        <v>#REF!</v>
      </c>
      <c r="EC22" s="74" t="e">
        <f t="shared" si="28"/>
        <v>#REF!</v>
      </c>
      <c r="ED22" s="74" t="e">
        <f t="shared" ref="ED22:FF22" si="29">(ED17+ED19+ED20+ED21)-ED16</f>
        <v>#REF!</v>
      </c>
      <c r="EE22" s="74" t="e">
        <f t="shared" si="29"/>
        <v>#REF!</v>
      </c>
      <c r="EF22" s="74" t="e">
        <f t="shared" si="29"/>
        <v>#REF!</v>
      </c>
      <c r="EG22" s="74" t="e">
        <f t="shared" si="29"/>
        <v>#REF!</v>
      </c>
      <c r="EH22" s="74" t="e">
        <f t="shared" si="29"/>
        <v>#REF!</v>
      </c>
      <c r="EI22" s="74" t="e">
        <f t="shared" si="29"/>
        <v>#REF!</v>
      </c>
      <c r="EJ22" s="74" t="e">
        <f t="shared" si="29"/>
        <v>#REF!</v>
      </c>
      <c r="EK22" s="74" t="e">
        <f t="shared" si="29"/>
        <v>#REF!</v>
      </c>
      <c r="EL22" s="74" t="e">
        <f t="shared" si="29"/>
        <v>#REF!</v>
      </c>
      <c r="EM22" s="74" t="e">
        <f t="shared" si="29"/>
        <v>#REF!</v>
      </c>
      <c r="EN22" s="74" t="e">
        <f t="shared" si="29"/>
        <v>#REF!</v>
      </c>
      <c r="EO22" s="74" t="e">
        <f t="shared" si="29"/>
        <v>#REF!</v>
      </c>
      <c r="EP22" s="74" t="e">
        <f t="shared" si="29"/>
        <v>#REF!</v>
      </c>
      <c r="EQ22" s="74" t="e">
        <f t="shared" si="29"/>
        <v>#REF!</v>
      </c>
      <c r="ER22" s="74" t="e">
        <f t="shared" si="29"/>
        <v>#REF!</v>
      </c>
      <c r="ES22" s="74" t="e">
        <f t="shared" si="29"/>
        <v>#REF!</v>
      </c>
      <c r="ET22" s="74" t="e">
        <f t="shared" si="29"/>
        <v>#REF!</v>
      </c>
      <c r="EU22" s="74" t="e">
        <f t="shared" si="29"/>
        <v>#REF!</v>
      </c>
      <c r="EV22" s="74" t="e">
        <f t="shared" si="29"/>
        <v>#REF!</v>
      </c>
      <c r="EW22" s="74" t="e">
        <f t="shared" si="29"/>
        <v>#REF!</v>
      </c>
      <c r="EX22" s="74" t="e">
        <f t="shared" si="29"/>
        <v>#REF!</v>
      </c>
      <c r="EY22" s="74" t="e">
        <f t="shared" si="29"/>
        <v>#REF!</v>
      </c>
      <c r="EZ22" s="74" t="e">
        <f t="shared" si="29"/>
        <v>#REF!</v>
      </c>
      <c r="FA22" s="74" t="e">
        <f t="shared" si="29"/>
        <v>#REF!</v>
      </c>
      <c r="FB22" s="74" t="e">
        <f t="shared" si="29"/>
        <v>#REF!</v>
      </c>
      <c r="FC22" s="74" t="e">
        <f t="shared" si="29"/>
        <v>#REF!</v>
      </c>
      <c r="FD22" s="74" t="e">
        <f t="shared" si="29"/>
        <v>#REF!</v>
      </c>
      <c r="FE22" s="74" t="e">
        <f t="shared" si="29"/>
        <v>#REF!</v>
      </c>
      <c r="FF22" s="74">
        <f t="shared" si="29"/>
        <v>0</v>
      </c>
    </row>
    <row r="23" spans="1:162" s="73" customFormat="1" ht="16" customHeight="1">
      <c r="A23" s="73" t="s">
        <v>400</v>
      </c>
      <c r="D23" s="332" t="s">
        <v>747</v>
      </c>
      <c r="E23" s="333">
        <v>0.4</v>
      </c>
      <c r="F23" s="93"/>
      <c r="I23" s="94">
        <v>1.04</v>
      </c>
      <c r="J23" s="94">
        <v>1.04</v>
      </c>
      <c r="K23" s="94">
        <v>1.04</v>
      </c>
      <c r="L23" s="94">
        <v>1.04</v>
      </c>
      <c r="M23" s="94">
        <v>1.04</v>
      </c>
      <c r="N23" s="94">
        <v>1.04</v>
      </c>
      <c r="O23" s="94">
        <v>1.04</v>
      </c>
      <c r="P23" s="94">
        <v>1.04</v>
      </c>
      <c r="Q23" s="94">
        <v>1.04</v>
      </c>
      <c r="R23" s="94">
        <v>1.04</v>
      </c>
      <c r="S23" s="94">
        <v>1.04</v>
      </c>
      <c r="T23" s="94">
        <v>1.04</v>
      </c>
      <c r="U23" s="94">
        <v>1.04</v>
      </c>
      <c r="V23" s="94">
        <v>0.95</v>
      </c>
      <c r="W23" s="94">
        <v>0.95</v>
      </c>
      <c r="X23" s="94">
        <v>0.95</v>
      </c>
      <c r="Y23" s="94">
        <v>0.95</v>
      </c>
      <c r="Z23" s="94">
        <v>0.95</v>
      </c>
      <c r="AA23" s="94">
        <v>0.95</v>
      </c>
      <c r="AB23" s="94">
        <v>0.95</v>
      </c>
      <c r="AC23" s="94">
        <v>0.95</v>
      </c>
      <c r="AD23" s="94">
        <v>10</v>
      </c>
      <c r="AE23" s="94">
        <v>10</v>
      </c>
      <c r="AF23" s="94">
        <v>10</v>
      </c>
      <c r="AG23" s="94">
        <v>10</v>
      </c>
      <c r="AH23" s="94">
        <v>10</v>
      </c>
      <c r="AI23" s="94">
        <v>10</v>
      </c>
      <c r="AJ23" s="94">
        <v>10</v>
      </c>
      <c r="AK23" s="94">
        <v>10</v>
      </c>
      <c r="AL23" s="94">
        <f t="shared" ref="AL23:BQ23" si="30">AL22/0.4</f>
        <v>-122.68644999999999</v>
      </c>
      <c r="AM23" s="94">
        <f t="shared" si="30"/>
        <v>33.893712692952889</v>
      </c>
      <c r="AN23" s="94">
        <f t="shared" si="30"/>
        <v>37.417056620544713</v>
      </c>
      <c r="AO23" s="94">
        <f t="shared" si="30"/>
        <v>-0.56484061230193561</v>
      </c>
      <c r="AP23" s="94">
        <f t="shared" si="30"/>
        <v>-27.532975782321287</v>
      </c>
      <c r="AQ23" s="94">
        <f t="shared" si="30"/>
        <v>-22.83583724580275</v>
      </c>
      <c r="AR23" s="94">
        <f t="shared" si="30"/>
        <v>2.9059066241163833</v>
      </c>
      <c r="AS23" s="94">
        <f t="shared" si="30"/>
        <v>16.081649005803769</v>
      </c>
      <c r="AT23" s="94">
        <f t="shared" si="30"/>
        <v>0.55381869178766863</v>
      </c>
      <c r="AU23" s="94">
        <f t="shared" si="30"/>
        <v>16.503675732546697</v>
      </c>
      <c r="AV23" s="94">
        <f t="shared" si="30"/>
        <v>-45.512172634949692</v>
      </c>
      <c r="AW23" s="94">
        <f t="shared" si="30"/>
        <v>-20.210091812771829</v>
      </c>
      <c r="AX23" s="94">
        <f t="shared" si="30"/>
        <v>-31.447071461205631</v>
      </c>
      <c r="AY23" s="94">
        <f t="shared" si="30"/>
        <v>0.21004687092499807</v>
      </c>
      <c r="AZ23" s="94">
        <f t="shared" si="30"/>
        <v>1.0398284276154257</v>
      </c>
      <c r="BA23" s="94">
        <f t="shared" si="30"/>
        <v>6.7826639843057634</v>
      </c>
      <c r="BB23" s="94">
        <f t="shared" si="30"/>
        <v>12.522537794787532</v>
      </c>
      <c r="BC23" s="94">
        <f t="shared" si="30"/>
        <v>0.22325429473148972</v>
      </c>
      <c r="BD23" s="94">
        <f t="shared" si="30"/>
        <v>-3.9835933836000947</v>
      </c>
      <c r="BE23" s="94">
        <f t="shared" si="30"/>
        <v>-6.3940996336000921</v>
      </c>
      <c r="BF23" s="94">
        <f t="shared" si="30"/>
        <v>-6.1898445574120942</v>
      </c>
      <c r="BG23" s="94">
        <f t="shared" si="30"/>
        <v>22.75928396855555</v>
      </c>
      <c r="BH23" s="94">
        <f t="shared" si="30"/>
        <v>13.512056718266088</v>
      </c>
      <c r="BI23" s="94">
        <f t="shared" si="30"/>
        <v>11.137175354603386</v>
      </c>
      <c r="BJ23" s="94">
        <f t="shared" si="30"/>
        <v>7.4505568554718238</v>
      </c>
      <c r="BK23" s="94">
        <f t="shared" si="30"/>
        <v>30.638882880641347</v>
      </c>
      <c r="BL23" s="94">
        <f t="shared" si="30"/>
        <v>30.718303287231379</v>
      </c>
      <c r="BM23" s="94">
        <f t="shared" si="30"/>
        <v>38.649481192008075</v>
      </c>
      <c r="BN23" s="94">
        <f t="shared" si="30"/>
        <v>48.453649256094664</v>
      </c>
      <c r="BO23" s="94">
        <f t="shared" si="30"/>
        <v>55.920168110347248</v>
      </c>
      <c r="BP23" s="94">
        <f t="shared" si="30"/>
        <v>61.193274567048697</v>
      </c>
      <c r="BQ23" s="94">
        <f t="shared" si="30"/>
        <v>58.693274567048661</v>
      </c>
      <c r="BR23" s="94">
        <f t="shared" ref="BR23:CW23" si="31">BR22/0.4</f>
        <v>60.753751769108817</v>
      </c>
      <c r="BS23" s="94">
        <f t="shared" si="31"/>
        <v>55.170516579896756</v>
      </c>
      <c r="BT23" s="94">
        <f t="shared" si="31"/>
        <v>52.795322087532348</v>
      </c>
      <c r="BU23" s="94">
        <f t="shared" si="31"/>
        <v>43.617153610438955</v>
      </c>
      <c r="BV23" s="94">
        <f t="shared" si="31"/>
        <v>40.867972595167856</v>
      </c>
      <c r="BW23" s="94">
        <f t="shared" si="31"/>
        <v>36.751420904338588</v>
      </c>
      <c r="BX23" s="94">
        <f t="shared" si="31"/>
        <v>39.220011404808197</v>
      </c>
      <c r="BY23" s="94">
        <f t="shared" si="31"/>
        <v>41.405916409504293</v>
      </c>
      <c r="BZ23" s="94">
        <f t="shared" si="31"/>
        <v>41.466959900581735</v>
      </c>
      <c r="CA23" s="94">
        <f t="shared" si="31"/>
        <v>32.104896498023159</v>
      </c>
      <c r="CB23" s="94">
        <f t="shared" si="31"/>
        <v>32.072513533745806</v>
      </c>
      <c r="CC23" s="94">
        <f t="shared" si="31"/>
        <v>32.428726140796584</v>
      </c>
      <c r="CD23" s="94">
        <f t="shared" si="31"/>
        <v>34.750491140796598</v>
      </c>
      <c r="CE23" s="94">
        <f t="shared" si="31"/>
        <v>54.109552826881568</v>
      </c>
      <c r="CF23" s="94">
        <f t="shared" si="31"/>
        <v>56.426887327118749</v>
      </c>
      <c r="CG23" s="94">
        <f t="shared" si="31"/>
        <v>57.046656829095035</v>
      </c>
      <c r="CH23" s="94">
        <f t="shared" si="31"/>
        <v>56.291745579608872</v>
      </c>
      <c r="CI23" s="94">
        <f t="shared" si="31"/>
        <v>67.634468623685066</v>
      </c>
      <c r="CJ23" s="94">
        <f t="shared" si="31"/>
        <v>59.606815160321247</v>
      </c>
      <c r="CK23" s="94">
        <f t="shared" si="31"/>
        <v>58.974185917919222</v>
      </c>
      <c r="CL23" s="94">
        <f t="shared" si="31"/>
        <v>59.770756006283001</v>
      </c>
      <c r="CM23" s="94">
        <f t="shared" si="31"/>
        <v>51.129389045612754</v>
      </c>
      <c r="CN23" s="94">
        <f t="shared" si="31"/>
        <v>64.270666295830196</v>
      </c>
      <c r="CO23" s="94">
        <f t="shared" si="31"/>
        <v>84.270666295830196</v>
      </c>
      <c r="CP23" s="94">
        <f t="shared" si="31"/>
        <v>91.770666295830196</v>
      </c>
      <c r="CQ23" s="94">
        <f t="shared" si="31"/>
        <v>91.770666295830196</v>
      </c>
      <c r="CR23" s="94">
        <f t="shared" si="31"/>
        <v>87.788721695047329</v>
      </c>
      <c r="CS23" s="94">
        <f t="shared" si="31"/>
        <v>91.437438879091033</v>
      </c>
      <c r="CT23" s="94">
        <f t="shared" si="31"/>
        <v>91.129389045612712</v>
      </c>
      <c r="CU23" s="94">
        <f t="shared" si="31"/>
        <v>90.655452712351902</v>
      </c>
      <c r="CV23" s="94">
        <f t="shared" si="31"/>
        <v>98.128481745656231</v>
      </c>
      <c r="CW23" s="94">
        <f t="shared" si="31"/>
        <v>90.381267878873601</v>
      </c>
      <c r="CX23" s="94">
        <f t="shared" ref="CX23:EC23" si="32">CX22/0.4</f>
        <v>-113.44191749999996</v>
      </c>
      <c r="CY23" s="94">
        <f t="shared" si="32"/>
        <v>-113.35033575</v>
      </c>
      <c r="CZ23" s="94">
        <f t="shared" si="32"/>
        <v>-112.40799749999996</v>
      </c>
      <c r="DA23" s="94">
        <f t="shared" si="32"/>
        <v>-112.196924</v>
      </c>
      <c r="DB23" s="94">
        <f t="shared" si="32"/>
        <v>-112.29021749999997</v>
      </c>
      <c r="DC23" s="94">
        <f t="shared" si="32"/>
        <v>-55.506306750000007</v>
      </c>
      <c r="DD23" s="94">
        <f t="shared" si="32"/>
        <v>-67.744757000000035</v>
      </c>
      <c r="DE23" s="94">
        <f t="shared" si="32"/>
        <v>-88.952257000000046</v>
      </c>
      <c r="DF23" s="94">
        <f t="shared" si="32"/>
        <v>-91.270583499999987</v>
      </c>
      <c r="DG23" s="94">
        <f t="shared" si="32"/>
        <v>-89.173839500000014</v>
      </c>
      <c r="DH23" s="94">
        <f t="shared" si="32"/>
        <v>-110.46936025000001</v>
      </c>
      <c r="DI23" s="94">
        <f t="shared" si="32"/>
        <v>-344.48981000000003</v>
      </c>
      <c r="DJ23" s="94">
        <f t="shared" si="32"/>
        <v>-343.72104749999994</v>
      </c>
      <c r="DK23" s="94">
        <f t="shared" si="32"/>
        <v>-338.71233999999998</v>
      </c>
      <c r="DL23" s="94">
        <f t="shared" si="32"/>
        <v>-339.02321999999998</v>
      </c>
      <c r="DM23" s="94">
        <f t="shared" si="32"/>
        <v>-339.68369999999999</v>
      </c>
      <c r="DN23" s="94">
        <f t="shared" si="32"/>
        <v>-339.01529999999997</v>
      </c>
      <c r="DO23" s="94">
        <f t="shared" si="32"/>
        <v>-337.79592749999995</v>
      </c>
      <c r="DP23" s="94">
        <f t="shared" si="32"/>
        <v>-340.24368249999998</v>
      </c>
      <c r="DQ23" s="94">
        <f t="shared" si="32"/>
        <v>-334.209855</v>
      </c>
      <c r="DR23" s="94">
        <f t="shared" si="32"/>
        <v>-328.80146000000002</v>
      </c>
      <c r="DS23" s="94">
        <f t="shared" si="32"/>
        <v>-318.77187749999996</v>
      </c>
      <c r="DT23" s="94">
        <f t="shared" si="32"/>
        <v>-82.5</v>
      </c>
      <c r="DU23" s="94" t="e">
        <f t="shared" si="32"/>
        <v>#REF!</v>
      </c>
      <c r="DV23" s="94" t="e">
        <f t="shared" si="32"/>
        <v>#REF!</v>
      </c>
      <c r="DW23" s="94" t="e">
        <f t="shared" si="32"/>
        <v>#REF!</v>
      </c>
      <c r="DX23" s="94" t="e">
        <f t="shared" si="32"/>
        <v>#REF!</v>
      </c>
      <c r="DY23" s="94" t="e">
        <f t="shared" si="32"/>
        <v>#REF!</v>
      </c>
      <c r="DZ23" s="94" t="e">
        <f t="shared" si="32"/>
        <v>#REF!</v>
      </c>
      <c r="EA23" s="94" t="e">
        <f t="shared" si="32"/>
        <v>#REF!</v>
      </c>
      <c r="EB23" s="94" t="e">
        <f t="shared" si="32"/>
        <v>#REF!</v>
      </c>
      <c r="EC23" s="94" t="e">
        <f t="shared" si="32"/>
        <v>#REF!</v>
      </c>
      <c r="ED23" s="94" t="e">
        <f t="shared" ref="ED23:FF23" si="33">ED22/0.4</f>
        <v>#REF!</v>
      </c>
      <c r="EE23" s="94" t="e">
        <f t="shared" si="33"/>
        <v>#REF!</v>
      </c>
      <c r="EF23" s="94" t="e">
        <f t="shared" si="33"/>
        <v>#REF!</v>
      </c>
      <c r="EG23" s="94" t="e">
        <f t="shared" si="33"/>
        <v>#REF!</v>
      </c>
      <c r="EH23" s="94" t="e">
        <f t="shared" si="33"/>
        <v>#REF!</v>
      </c>
      <c r="EI23" s="94" t="e">
        <f t="shared" si="33"/>
        <v>#REF!</v>
      </c>
      <c r="EJ23" s="94" t="e">
        <f t="shared" si="33"/>
        <v>#REF!</v>
      </c>
      <c r="EK23" s="94" t="e">
        <f t="shared" si="33"/>
        <v>#REF!</v>
      </c>
      <c r="EL23" s="94" t="e">
        <f t="shared" si="33"/>
        <v>#REF!</v>
      </c>
      <c r="EM23" s="94" t="e">
        <f t="shared" si="33"/>
        <v>#REF!</v>
      </c>
      <c r="EN23" s="94" t="e">
        <f t="shared" si="33"/>
        <v>#REF!</v>
      </c>
      <c r="EO23" s="94" t="e">
        <f t="shared" si="33"/>
        <v>#REF!</v>
      </c>
      <c r="EP23" s="94" t="e">
        <f t="shared" si="33"/>
        <v>#REF!</v>
      </c>
      <c r="EQ23" s="94" t="e">
        <f t="shared" si="33"/>
        <v>#REF!</v>
      </c>
      <c r="ER23" s="94" t="e">
        <f t="shared" si="33"/>
        <v>#REF!</v>
      </c>
      <c r="ES23" s="94" t="e">
        <f t="shared" si="33"/>
        <v>#REF!</v>
      </c>
      <c r="ET23" s="94" t="e">
        <f t="shared" si="33"/>
        <v>#REF!</v>
      </c>
      <c r="EU23" s="94" t="e">
        <f t="shared" si="33"/>
        <v>#REF!</v>
      </c>
      <c r="EV23" s="94" t="e">
        <f t="shared" si="33"/>
        <v>#REF!</v>
      </c>
      <c r="EW23" s="94" t="e">
        <f t="shared" si="33"/>
        <v>#REF!</v>
      </c>
      <c r="EX23" s="94" t="e">
        <f t="shared" si="33"/>
        <v>#REF!</v>
      </c>
      <c r="EY23" s="94" t="e">
        <f t="shared" si="33"/>
        <v>#REF!</v>
      </c>
      <c r="EZ23" s="94" t="e">
        <f t="shared" si="33"/>
        <v>#REF!</v>
      </c>
      <c r="FA23" s="94" t="e">
        <f t="shared" si="33"/>
        <v>#REF!</v>
      </c>
      <c r="FB23" s="94" t="e">
        <f t="shared" si="33"/>
        <v>#REF!</v>
      </c>
      <c r="FC23" s="94" t="e">
        <f t="shared" si="33"/>
        <v>#REF!</v>
      </c>
      <c r="FD23" s="94" t="e">
        <f t="shared" si="33"/>
        <v>#REF!</v>
      </c>
      <c r="FE23" s="94" t="e">
        <f t="shared" si="33"/>
        <v>#REF!</v>
      </c>
      <c r="FF23" s="94">
        <f t="shared" si="33"/>
        <v>0</v>
      </c>
    </row>
    <row r="24" spans="1:162" ht="16" customHeight="1">
      <c r="A24" s="67"/>
      <c r="B24" s="100"/>
      <c r="F24" s="65"/>
      <c r="H24" s="60" t="s">
        <v>753</v>
      </c>
      <c r="I24" s="74"/>
      <c r="J24" s="74"/>
      <c r="K24" s="74"/>
      <c r="L24" s="74"/>
      <c r="M24" s="74"/>
      <c r="N24" s="74"/>
      <c r="O24" s="74"/>
      <c r="P24" s="74"/>
      <c r="Q24" s="74"/>
      <c r="R24" s="74"/>
      <c r="S24" s="74"/>
      <c r="T24" s="74"/>
      <c r="U24" s="74"/>
      <c r="V24" s="74"/>
      <c r="W24" s="74"/>
      <c r="X24" s="74"/>
      <c r="Y24" s="74"/>
      <c r="Z24" s="74"/>
      <c r="AA24" s="74"/>
      <c r="AB24" s="74"/>
      <c r="AC24" s="74"/>
      <c r="AD24" s="65">
        <v>1</v>
      </c>
      <c r="AE24" s="65">
        <v>1</v>
      </c>
      <c r="AF24" s="65">
        <v>1</v>
      </c>
      <c r="AG24" s="65">
        <v>1</v>
      </c>
      <c r="AH24" s="65">
        <v>1</v>
      </c>
      <c r="AI24" s="65">
        <v>1</v>
      </c>
      <c r="AJ24" s="65">
        <v>1</v>
      </c>
      <c r="AK24" s="65">
        <v>1</v>
      </c>
      <c r="AL24" s="65">
        <v>4</v>
      </c>
      <c r="AM24" s="65">
        <v>1</v>
      </c>
      <c r="AN24" s="65">
        <v>1</v>
      </c>
      <c r="AO24" s="65">
        <v>1</v>
      </c>
      <c r="AP24" s="65">
        <v>1</v>
      </c>
      <c r="AQ24" s="65">
        <v>1</v>
      </c>
      <c r="AR24" s="65">
        <v>1</v>
      </c>
      <c r="AS24" s="65">
        <v>1</v>
      </c>
      <c r="AT24" s="65">
        <v>1</v>
      </c>
      <c r="AU24" s="65">
        <v>1</v>
      </c>
      <c r="AV24" s="65">
        <v>1</v>
      </c>
      <c r="AW24" s="65">
        <v>1</v>
      </c>
      <c r="AX24" s="65">
        <v>1</v>
      </c>
      <c r="AY24" s="65">
        <v>1</v>
      </c>
      <c r="AZ24" s="65">
        <v>1</v>
      </c>
      <c r="BA24" s="65">
        <v>1</v>
      </c>
      <c r="BB24" s="65">
        <v>1</v>
      </c>
      <c r="BC24" s="65">
        <v>1</v>
      </c>
      <c r="BD24" s="65">
        <v>1</v>
      </c>
      <c r="BE24" s="65">
        <v>1</v>
      </c>
      <c r="BF24" s="65">
        <v>1</v>
      </c>
      <c r="BG24" s="65">
        <v>1</v>
      </c>
      <c r="BH24" s="65">
        <v>1</v>
      </c>
      <c r="BI24" s="65">
        <v>1</v>
      </c>
      <c r="BJ24" s="65">
        <v>1</v>
      </c>
      <c r="BK24" s="65">
        <v>1</v>
      </c>
      <c r="BL24" s="65">
        <v>1</v>
      </c>
      <c r="BM24" s="65">
        <v>1</v>
      </c>
      <c r="BN24" s="65">
        <v>1</v>
      </c>
      <c r="BO24" s="65">
        <v>1</v>
      </c>
      <c r="BP24" s="65">
        <v>1</v>
      </c>
      <c r="BQ24" s="65">
        <v>1</v>
      </c>
      <c r="BR24" s="65">
        <v>1</v>
      </c>
      <c r="BS24" s="65">
        <v>1</v>
      </c>
      <c r="BT24" s="65">
        <v>1</v>
      </c>
      <c r="BU24" s="65">
        <v>1</v>
      </c>
      <c r="BV24" s="65">
        <v>1</v>
      </c>
      <c r="BW24" s="65">
        <v>1</v>
      </c>
      <c r="BX24" s="65">
        <v>1</v>
      </c>
      <c r="BY24" s="65">
        <v>1</v>
      </c>
      <c r="BZ24" s="65">
        <v>1</v>
      </c>
      <c r="CA24" s="65">
        <v>1</v>
      </c>
      <c r="CB24" s="65">
        <v>1</v>
      </c>
      <c r="CC24" s="65">
        <v>1</v>
      </c>
      <c r="CD24" s="65">
        <v>1</v>
      </c>
      <c r="CE24" s="65">
        <v>1</v>
      </c>
      <c r="CF24" s="65">
        <v>1</v>
      </c>
      <c r="CG24" s="65">
        <v>1</v>
      </c>
      <c r="CH24" s="65">
        <v>1</v>
      </c>
      <c r="CI24" s="65">
        <v>1</v>
      </c>
      <c r="CJ24" s="65">
        <v>1</v>
      </c>
      <c r="CK24" s="65">
        <v>1</v>
      </c>
      <c r="CL24" s="65">
        <v>1</v>
      </c>
      <c r="CM24" s="65">
        <v>1</v>
      </c>
      <c r="CN24" s="65">
        <v>1</v>
      </c>
      <c r="CO24" s="65">
        <v>1</v>
      </c>
      <c r="CP24" s="65">
        <v>1</v>
      </c>
      <c r="CQ24" s="65">
        <v>1</v>
      </c>
      <c r="CR24" s="65">
        <v>1</v>
      </c>
      <c r="CS24" s="65">
        <v>1</v>
      </c>
      <c r="CT24" s="65">
        <v>1</v>
      </c>
      <c r="CU24" s="65">
        <v>1</v>
      </c>
      <c r="CV24" s="65">
        <v>1</v>
      </c>
      <c r="CW24" s="65">
        <v>1</v>
      </c>
      <c r="CX24" s="65">
        <v>1</v>
      </c>
      <c r="CY24" s="65">
        <v>1</v>
      </c>
      <c r="CZ24" s="65">
        <v>1</v>
      </c>
      <c r="DA24" s="65">
        <v>1</v>
      </c>
      <c r="DB24" s="65">
        <v>1</v>
      </c>
      <c r="DC24" s="65">
        <v>1</v>
      </c>
      <c r="DD24" s="65">
        <v>1</v>
      </c>
      <c r="DE24" s="65">
        <v>1</v>
      </c>
      <c r="DF24" s="65">
        <v>1</v>
      </c>
      <c r="DG24" s="65">
        <v>1</v>
      </c>
      <c r="DH24" s="65">
        <v>1</v>
      </c>
      <c r="DI24" s="65">
        <v>1</v>
      </c>
      <c r="DJ24" s="65">
        <v>1</v>
      </c>
      <c r="DK24" s="65">
        <v>1</v>
      </c>
      <c r="DL24" s="65">
        <v>1</v>
      </c>
      <c r="DM24" s="65">
        <v>1</v>
      </c>
      <c r="DN24" s="65">
        <v>1</v>
      </c>
      <c r="DO24" s="65">
        <v>1</v>
      </c>
      <c r="DP24" s="65">
        <v>1</v>
      </c>
      <c r="DQ24" s="65">
        <v>1</v>
      </c>
      <c r="DR24" s="65">
        <v>1</v>
      </c>
      <c r="DS24" s="65">
        <v>1</v>
      </c>
      <c r="DT24" s="65">
        <v>1</v>
      </c>
      <c r="DU24" s="65">
        <v>1</v>
      </c>
      <c r="DV24" s="65">
        <v>1</v>
      </c>
      <c r="DW24" s="65">
        <v>1</v>
      </c>
      <c r="DX24" s="65">
        <v>1</v>
      </c>
      <c r="DY24" s="65">
        <v>1</v>
      </c>
      <c r="DZ24" s="65">
        <v>1</v>
      </c>
      <c r="EA24" s="65">
        <v>1</v>
      </c>
      <c r="EB24" s="65">
        <v>1</v>
      </c>
      <c r="EC24" s="65">
        <v>1</v>
      </c>
      <c r="ED24" s="65">
        <v>1</v>
      </c>
      <c r="EE24" s="65">
        <v>1</v>
      </c>
      <c r="EF24" s="65">
        <v>1</v>
      </c>
      <c r="EG24" s="65">
        <v>1</v>
      </c>
      <c r="EH24" s="65">
        <v>1</v>
      </c>
      <c r="EI24" s="65">
        <v>1</v>
      </c>
      <c r="EJ24" s="65">
        <v>1</v>
      </c>
      <c r="EK24" s="65">
        <v>1</v>
      </c>
      <c r="EL24" s="65">
        <v>1</v>
      </c>
      <c r="EM24" s="65">
        <v>1</v>
      </c>
      <c r="EN24" s="65">
        <v>1</v>
      </c>
      <c r="EO24" s="65">
        <v>1</v>
      </c>
      <c r="EP24" s="65">
        <v>1</v>
      </c>
      <c r="EQ24" s="65">
        <v>1</v>
      </c>
      <c r="ER24" s="65">
        <v>1</v>
      </c>
      <c r="ES24" s="65">
        <v>1</v>
      </c>
      <c r="ET24" s="65">
        <v>1</v>
      </c>
      <c r="EU24" s="65">
        <v>1</v>
      </c>
      <c r="EV24" s="65">
        <v>1</v>
      </c>
      <c r="EW24" s="65">
        <v>1</v>
      </c>
      <c r="EX24" s="65">
        <v>1</v>
      </c>
      <c r="EY24" s="65">
        <v>1</v>
      </c>
      <c r="EZ24" s="65">
        <v>1</v>
      </c>
      <c r="FA24" s="65">
        <v>1</v>
      </c>
      <c r="FB24" s="65">
        <v>1</v>
      </c>
      <c r="FC24" s="65">
        <v>1</v>
      </c>
      <c r="FD24" s="65">
        <v>1</v>
      </c>
      <c r="FE24" s="65">
        <v>1</v>
      </c>
    </row>
    <row r="25" spans="1:162" hidden="1">
      <c r="I25" s="74"/>
      <c r="J25" s="74"/>
      <c r="K25" s="74"/>
      <c r="L25" s="74"/>
      <c r="M25" s="74"/>
      <c r="N25" s="74"/>
      <c r="O25" s="74"/>
      <c r="P25" s="74"/>
      <c r="Q25" s="74"/>
      <c r="R25" s="74"/>
      <c r="S25" s="74"/>
      <c r="T25" s="74"/>
      <c r="U25" s="74"/>
      <c r="V25" s="74"/>
      <c r="W25" s="74"/>
      <c r="X25" s="74"/>
      <c r="Y25" s="74"/>
      <c r="Z25" s="74"/>
      <c r="AA25" s="74"/>
      <c r="AB25" s="74"/>
      <c r="AC25" s="74"/>
      <c r="AD25" s="74"/>
      <c r="AE25" s="74"/>
      <c r="AF25" s="74"/>
      <c r="AG25" s="74"/>
      <c r="AH25" s="74"/>
      <c r="AI25" s="74"/>
      <c r="AJ25" s="74"/>
      <c r="AK25" s="74"/>
      <c r="AL25" s="74"/>
      <c r="AM25" s="74"/>
      <c r="AN25" s="74"/>
      <c r="AO25" s="74"/>
      <c r="AP25" s="74"/>
      <c r="AQ25" s="74"/>
      <c r="AR25" s="74"/>
      <c r="AS25" s="74"/>
      <c r="AT25" s="74"/>
      <c r="AU25" s="74"/>
      <c r="AV25" s="74"/>
      <c r="AW25" s="74"/>
      <c r="AX25" s="74"/>
      <c r="AY25" s="74"/>
      <c r="AZ25" s="74"/>
      <c r="BA25" s="74"/>
      <c r="BB25" s="74"/>
      <c r="BC25" s="74"/>
      <c r="BD25" s="74"/>
      <c r="BE25" s="74"/>
      <c r="BF25" s="74"/>
      <c r="BG25" s="74"/>
      <c r="BH25" s="74"/>
      <c r="BI25" s="74"/>
      <c r="BJ25" s="74"/>
      <c r="BK25" s="74"/>
      <c r="BL25" s="74"/>
      <c r="BM25" s="74"/>
      <c r="BN25" s="74"/>
      <c r="BO25" s="74"/>
      <c r="BP25" s="74"/>
      <c r="BQ25" s="74"/>
      <c r="BR25" s="74"/>
      <c r="BS25" s="74"/>
      <c r="BT25" s="74"/>
      <c r="BU25" s="74"/>
      <c r="BV25" s="74"/>
      <c r="BW25" s="74"/>
      <c r="BX25" s="74"/>
      <c r="BY25" s="74"/>
      <c r="BZ25" s="74"/>
      <c r="CA25" s="74"/>
      <c r="CB25" s="74"/>
      <c r="CC25" s="74"/>
      <c r="CD25" s="74"/>
      <c r="CE25" s="74"/>
      <c r="CF25" s="74"/>
      <c r="CG25" s="74"/>
      <c r="CH25" s="74"/>
      <c r="CI25" s="74"/>
      <c r="CJ25" s="74"/>
      <c r="CK25" s="74"/>
      <c r="CL25" s="74"/>
      <c r="CM25" s="74"/>
      <c r="CN25" s="74"/>
      <c r="CO25" s="74"/>
      <c r="CP25" s="74"/>
    </row>
    <row r="26" spans="1:162" hidden="1">
      <c r="I26" s="74"/>
      <c r="J26" s="74"/>
      <c r="K26" s="74"/>
      <c r="L26" s="74"/>
      <c r="M26" s="74"/>
      <c r="N26" s="74"/>
      <c r="O26" s="74"/>
      <c r="P26" s="74"/>
      <c r="Q26" s="74"/>
      <c r="R26" s="74"/>
      <c r="S26" s="74"/>
      <c r="T26" s="74"/>
      <c r="U26" s="74"/>
      <c r="V26" s="74"/>
      <c r="W26" s="74"/>
      <c r="X26" s="74"/>
      <c r="Y26" s="74"/>
      <c r="Z26" s="74"/>
      <c r="AA26" s="74"/>
      <c r="AB26" s="74"/>
      <c r="AC26" s="74"/>
      <c r="AD26" s="74"/>
      <c r="AE26" s="74"/>
      <c r="AF26" s="74"/>
      <c r="AG26" s="74"/>
      <c r="AH26" s="74"/>
      <c r="AI26" s="74"/>
      <c r="AJ26" s="74"/>
      <c r="AK26" s="74"/>
      <c r="AL26" s="74"/>
      <c r="AM26" s="74"/>
      <c r="AN26" s="74"/>
      <c r="AO26" s="74"/>
      <c r="AP26" s="74"/>
      <c r="AQ26" s="74"/>
      <c r="AR26" s="74"/>
      <c r="AS26" s="74"/>
      <c r="AT26" s="74"/>
      <c r="AU26" s="74"/>
      <c r="AV26" s="74"/>
    </row>
    <row r="27" spans="1:162" hidden="1">
      <c r="I27" s="74"/>
      <c r="J27" s="74"/>
      <c r="K27" s="74"/>
      <c r="L27" s="74"/>
      <c r="M27" s="74"/>
      <c r="N27" s="74"/>
      <c r="O27" s="74"/>
      <c r="P27" s="65"/>
      <c r="Q27" s="74"/>
      <c r="R27" s="74"/>
      <c r="S27" s="74"/>
      <c r="T27" s="74"/>
      <c r="U27" s="74"/>
      <c r="V27" s="74"/>
      <c r="W27" s="74"/>
      <c r="X27" s="74"/>
      <c r="Y27" s="74"/>
      <c r="Z27" s="74"/>
      <c r="AA27" s="74"/>
      <c r="AB27" s="74"/>
      <c r="AC27" s="65"/>
      <c r="AD27" s="195"/>
      <c r="AE27" s="195"/>
      <c r="AF27" s="195"/>
      <c r="AG27" s="195"/>
      <c r="AH27" s="195"/>
      <c r="AI27" s="195"/>
      <c r="AJ27" s="195"/>
      <c r="AK27" s="195"/>
      <c r="BL27" s="195"/>
      <c r="CM27" s="77"/>
      <c r="CN27" s="77"/>
      <c r="CO27" s="77"/>
      <c r="CP27" s="77"/>
    </row>
    <row r="28" spans="1:162">
      <c r="H28" s="60" t="s">
        <v>851</v>
      </c>
      <c r="AL28" s="195"/>
      <c r="AM28" s="195"/>
      <c r="AN28" s="195"/>
      <c r="AO28" s="195"/>
      <c r="AP28" s="195"/>
      <c r="AQ28" s="195"/>
      <c r="AR28" s="195"/>
      <c r="AS28" s="195"/>
      <c r="AT28" s="195"/>
      <c r="AU28" s="195"/>
      <c r="AV28" s="195"/>
      <c r="AW28" s="60">
        <v>96.5</v>
      </c>
      <c r="AX28" s="195"/>
      <c r="AY28" s="195"/>
      <c r="AZ28" s="195"/>
      <c r="BA28" s="60">
        <v>96.5</v>
      </c>
      <c r="BB28" s="195"/>
      <c r="BC28" s="195"/>
      <c r="BD28" s="60">
        <v>96.5</v>
      </c>
      <c r="BE28" s="195"/>
      <c r="BF28" s="195"/>
      <c r="BG28" s="195"/>
      <c r="BH28" s="195"/>
      <c r="BI28" s="195"/>
      <c r="BJ28" s="195"/>
      <c r="BK28" s="195"/>
      <c r="BQ28" s="60">
        <v>112</v>
      </c>
      <c r="BT28" s="60">
        <v>120</v>
      </c>
      <c r="BY28" s="60">
        <v>120</v>
      </c>
      <c r="CD28" s="60">
        <v>118</v>
      </c>
      <c r="CG28" s="60">
        <v>106.74</v>
      </c>
      <c r="CP28" s="60">
        <v>97</v>
      </c>
    </row>
    <row r="29" spans="1:162" ht="13" thickBot="1">
      <c r="AW29" s="65">
        <f>AW28-AW30</f>
        <v>115.71009181277182</v>
      </c>
      <c r="BA29" s="65">
        <f>BA28-BA30</f>
        <v>88.717336015694229</v>
      </c>
      <c r="BD29" s="65">
        <f>BD28-BD30</f>
        <v>99.483593383600095</v>
      </c>
      <c r="BQ29" s="65">
        <f>BQ28-BQ30</f>
        <v>52.306725432951339</v>
      </c>
      <c r="BT29" s="65">
        <f>BT28-BT30</f>
        <v>66.204677912467645</v>
      </c>
      <c r="BY29" s="65">
        <f>BY28-BY30</f>
        <v>77.5940835904957</v>
      </c>
      <c r="CD29" s="65">
        <f>CD28-CD30</f>
        <v>82.249508859203402</v>
      </c>
      <c r="CG29" s="65">
        <f>CG28-CG30</f>
        <v>48.69334317090496</v>
      </c>
      <c r="CP29" s="65">
        <f>CP28-CP30</f>
        <v>4.2293337041698038</v>
      </c>
    </row>
    <row r="30" spans="1:162" ht="13" thickBot="1">
      <c r="D30" s="259"/>
      <c r="H30" s="106" t="s">
        <v>407</v>
      </c>
      <c r="I30" s="109">
        <f t="shared" ref="I30:AC30" si="34">I25</f>
        <v>0</v>
      </c>
      <c r="J30" s="109">
        <f t="shared" si="34"/>
        <v>0</v>
      </c>
      <c r="K30" s="109">
        <f t="shared" si="34"/>
        <v>0</v>
      </c>
      <c r="L30" s="109">
        <f t="shared" si="34"/>
        <v>0</v>
      </c>
      <c r="M30" s="109">
        <f t="shared" si="34"/>
        <v>0</v>
      </c>
      <c r="N30" s="109">
        <f t="shared" si="34"/>
        <v>0</v>
      </c>
      <c r="O30" s="109">
        <f t="shared" si="34"/>
        <v>0</v>
      </c>
      <c r="P30" s="109">
        <f t="shared" si="34"/>
        <v>0</v>
      </c>
      <c r="Q30" s="109">
        <f t="shared" si="34"/>
        <v>0</v>
      </c>
      <c r="R30" s="109">
        <f t="shared" si="34"/>
        <v>0</v>
      </c>
      <c r="S30" s="109">
        <f t="shared" si="34"/>
        <v>0</v>
      </c>
      <c r="T30" s="109">
        <f t="shared" si="34"/>
        <v>0</v>
      </c>
      <c r="U30" s="109">
        <f t="shared" si="34"/>
        <v>0</v>
      </c>
      <c r="V30" s="109">
        <f t="shared" si="34"/>
        <v>0</v>
      </c>
      <c r="W30" s="109">
        <f t="shared" si="34"/>
        <v>0</v>
      </c>
      <c r="X30" s="109">
        <f t="shared" si="34"/>
        <v>0</v>
      </c>
      <c r="Y30" s="109">
        <f t="shared" si="34"/>
        <v>0</v>
      </c>
      <c r="Z30" s="109">
        <f t="shared" si="34"/>
        <v>0</v>
      </c>
      <c r="AA30" s="109">
        <f t="shared" si="34"/>
        <v>0</v>
      </c>
      <c r="AB30" s="109">
        <f t="shared" si="34"/>
        <v>0</v>
      </c>
      <c r="AC30" s="109">
        <f t="shared" si="34"/>
        <v>0</v>
      </c>
      <c r="AD30" s="109">
        <f t="shared" ref="AD30:AK30" si="35">AD12+AD23+AD24</f>
        <v>388.33368834575629</v>
      </c>
      <c r="AE30" s="109">
        <f t="shared" si="35"/>
        <v>425.53161529412063</v>
      </c>
      <c r="AF30" s="109">
        <f t="shared" si="35"/>
        <v>425.09526610869602</v>
      </c>
      <c r="AG30" s="109">
        <f t="shared" si="35"/>
        <v>418.71580372916037</v>
      </c>
      <c r="AH30" s="109">
        <f t="shared" si="35"/>
        <v>420.63369159851686</v>
      </c>
      <c r="AI30" s="109">
        <f t="shared" si="35"/>
        <v>413.56079730015648</v>
      </c>
      <c r="AJ30" s="109">
        <f t="shared" si="35"/>
        <v>397.4982929812349</v>
      </c>
      <c r="AK30" s="109">
        <f t="shared" si="35"/>
        <v>386.04159624123827</v>
      </c>
      <c r="AL30" s="109">
        <f>AL23+AL24</f>
        <v>-118.68644999999999</v>
      </c>
      <c r="AM30" s="109">
        <f>AM23+AM24</f>
        <v>34.893712692952889</v>
      </c>
      <c r="AN30" s="109">
        <f t="shared" ref="AN30:CY30" si="36">AN23+AN24</f>
        <v>38.417056620544713</v>
      </c>
      <c r="AO30" s="109">
        <f t="shared" si="36"/>
        <v>0.43515938769806439</v>
      </c>
      <c r="AP30" s="109">
        <f t="shared" si="36"/>
        <v>-26.532975782321287</v>
      </c>
      <c r="AQ30" s="109">
        <f t="shared" si="36"/>
        <v>-21.83583724580275</v>
      </c>
      <c r="AR30" s="109">
        <f t="shared" si="36"/>
        <v>3.9059066241163833</v>
      </c>
      <c r="AS30" s="109">
        <f t="shared" si="36"/>
        <v>17.081649005803769</v>
      </c>
      <c r="AT30" s="109">
        <f t="shared" si="36"/>
        <v>1.5538186917876686</v>
      </c>
      <c r="AU30" s="109">
        <f t="shared" si="36"/>
        <v>17.503675732546697</v>
      </c>
      <c r="AV30" s="109">
        <f>AV23+AV24</f>
        <v>-44.512172634949692</v>
      </c>
      <c r="AW30" s="109">
        <f t="shared" si="36"/>
        <v>-19.210091812771829</v>
      </c>
      <c r="AX30" s="109">
        <f t="shared" si="36"/>
        <v>-30.447071461205631</v>
      </c>
      <c r="AY30" s="109">
        <f t="shared" si="36"/>
        <v>1.2100468709249981</v>
      </c>
      <c r="AZ30" s="109">
        <f t="shared" si="36"/>
        <v>2.0398284276154257</v>
      </c>
      <c r="BA30" s="109">
        <f t="shared" si="36"/>
        <v>7.7826639843057634</v>
      </c>
      <c r="BB30" s="109">
        <f t="shared" si="36"/>
        <v>13.522537794787532</v>
      </c>
      <c r="BC30" s="109">
        <f t="shared" si="36"/>
        <v>1.2232542947314897</v>
      </c>
      <c r="BD30" s="109">
        <f t="shared" si="36"/>
        <v>-2.9835933836000947</v>
      </c>
      <c r="BE30" s="109">
        <f t="shared" si="36"/>
        <v>-5.3940996336000921</v>
      </c>
      <c r="BF30" s="109">
        <f t="shared" si="36"/>
        <v>-5.1898445574120942</v>
      </c>
      <c r="BG30" s="109">
        <f t="shared" si="36"/>
        <v>23.75928396855555</v>
      </c>
      <c r="BH30" s="109">
        <f t="shared" si="36"/>
        <v>14.512056718266088</v>
      </c>
      <c r="BI30" s="109">
        <f t="shared" si="36"/>
        <v>12.137175354603386</v>
      </c>
      <c r="BJ30" s="109">
        <f t="shared" si="36"/>
        <v>8.4505568554718238</v>
      </c>
      <c r="BK30" s="109">
        <f t="shared" si="36"/>
        <v>31.638882880641347</v>
      </c>
      <c r="BL30" s="109">
        <f t="shared" si="36"/>
        <v>31.718303287231379</v>
      </c>
      <c r="BM30" s="109">
        <f t="shared" si="36"/>
        <v>39.649481192008075</v>
      </c>
      <c r="BN30" s="109">
        <f t="shared" si="36"/>
        <v>49.453649256094664</v>
      </c>
      <c r="BO30" s="109">
        <f t="shared" si="36"/>
        <v>56.920168110347248</v>
      </c>
      <c r="BP30" s="109">
        <f t="shared" si="36"/>
        <v>62.193274567048697</v>
      </c>
      <c r="BQ30" s="109">
        <f t="shared" si="36"/>
        <v>59.693274567048661</v>
      </c>
      <c r="BR30" s="109">
        <f t="shared" si="36"/>
        <v>61.753751769108817</v>
      </c>
      <c r="BS30" s="109">
        <f t="shared" si="36"/>
        <v>56.170516579896756</v>
      </c>
      <c r="BT30" s="109">
        <f t="shared" si="36"/>
        <v>53.795322087532348</v>
      </c>
      <c r="BU30" s="109">
        <f t="shared" si="36"/>
        <v>44.617153610438955</v>
      </c>
      <c r="BV30" s="109">
        <f t="shared" si="36"/>
        <v>41.867972595167856</v>
      </c>
      <c r="BW30" s="109">
        <f t="shared" si="36"/>
        <v>37.751420904338588</v>
      </c>
      <c r="BX30" s="109">
        <f t="shared" si="36"/>
        <v>40.220011404808197</v>
      </c>
      <c r="BY30" s="109">
        <f t="shared" si="36"/>
        <v>42.405916409504293</v>
      </c>
      <c r="BZ30" s="109">
        <f t="shared" si="36"/>
        <v>42.466959900581735</v>
      </c>
      <c r="CA30" s="109">
        <f t="shared" si="36"/>
        <v>33.104896498023159</v>
      </c>
      <c r="CB30" s="109">
        <f t="shared" si="36"/>
        <v>33.072513533745806</v>
      </c>
      <c r="CC30" s="109">
        <f t="shared" si="36"/>
        <v>33.428726140796584</v>
      </c>
      <c r="CD30" s="109">
        <f t="shared" si="36"/>
        <v>35.750491140796598</v>
      </c>
      <c r="CE30" s="109">
        <f t="shared" si="36"/>
        <v>55.109552826881568</v>
      </c>
      <c r="CF30" s="109">
        <f t="shared" si="36"/>
        <v>57.426887327118749</v>
      </c>
      <c r="CG30" s="109">
        <f t="shared" si="36"/>
        <v>58.046656829095035</v>
      </c>
      <c r="CH30" s="109">
        <f t="shared" si="36"/>
        <v>57.291745579608872</v>
      </c>
      <c r="CI30" s="109">
        <f t="shared" si="36"/>
        <v>68.634468623685066</v>
      </c>
      <c r="CJ30" s="109">
        <f t="shared" si="36"/>
        <v>60.606815160321247</v>
      </c>
      <c r="CK30" s="109">
        <f t="shared" si="36"/>
        <v>59.974185917919222</v>
      </c>
      <c r="CL30" s="109">
        <f t="shared" si="36"/>
        <v>60.770756006283001</v>
      </c>
      <c r="CM30" s="109">
        <f t="shared" si="36"/>
        <v>52.129389045612754</v>
      </c>
      <c r="CN30" s="109">
        <f>CN23+CN24</f>
        <v>65.270666295830196</v>
      </c>
      <c r="CO30" s="109">
        <f t="shared" si="36"/>
        <v>85.270666295830196</v>
      </c>
      <c r="CP30" s="109">
        <f t="shared" si="36"/>
        <v>92.770666295830196</v>
      </c>
      <c r="CQ30" s="109">
        <f t="shared" si="36"/>
        <v>92.770666295830196</v>
      </c>
      <c r="CR30" s="109">
        <f t="shared" si="36"/>
        <v>88.788721695047329</v>
      </c>
      <c r="CS30" s="109">
        <f t="shared" si="36"/>
        <v>92.437438879091033</v>
      </c>
      <c r="CT30" s="109">
        <f>CT23+CT24</f>
        <v>92.129389045612712</v>
      </c>
      <c r="CU30" s="109">
        <f t="shared" si="36"/>
        <v>91.655452712351902</v>
      </c>
      <c r="CV30" s="109">
        <f t="shared" si="36"/>
        <v>99.128481745656231</v>
      </c>
      <c r="CW30" s="109">
        <f>CW23+CW24</f>
        <v>91.381267878873601</v>
      </c>
      <c r="CX30" s="109">
        <f t="shared" si="36"/>
        <v>-112.44191749999996</v>
      </c>
      <c r="CY30" s="109">
        <f t="shared" si="36"/>
        <v>-112.35033575</v>
      </c>
      <c r="CZ30" s="109">
        <f>CZ23+CZ24</f>
        <v>-111.40799749999996</v>
      </c>
      <c r="DA30" s="109">
        <f>DA23+DA24</f>
        <v>-111.196924</v>
      </c>
      <c r="DB30" s="109">
        <f>(DB23+DB24)/'Input RM sheet'!CY1</f>
        <v>-1.3264626638855777</v>
      </c>
      <c r="DC30" s="109">
        <f>(DC23+DC24)/'Input RM sheet'!CZ1</f>
        <v>-0.64973544820598406</v>
      </c>
      <c r="DD30" s="109">
        <f>(DD23+DD24)/'Input RM sheet'!DA1</f>
        <v>-0.79495899237732304</v>
      </c>
      <c r="DE30" s="109">
        <f>(DE23+DE24)/'Input RM sheet'!DB1</f>
        <v>-1.0475495116722255</v>
      </c>
      <c r="DF30" s="109">
        <f>(DF23+DF24)/'Input RM sheet'!DC1</f>
        <v>-1.0800500538406317</v>
      </c>
      <c r="DG30" s="109">
        <f>(DG23+DG24)/'Input RM sheet'!DD1</f>
        <v>-1.0539545720774566</v>
      </c>
      <c r="DH30" s="109">
        <f>(DH23+DH24)/'Input RM sheet'!DE1</f>
        <v>-1.303672266881029</v>
      </c>
      <c r="DI30" s="109">
        <f>(DI23+DI24)/'Input RM sheet'!DF1</f>
        <v>-4.0857596050909963</v>
      </c>
      <c r="DJ30" s="109">
        <f>(DJ23+DJ24)/'Input RM sheet'!DG1</f>
        <v>-4.0766152908290705</v>
      </c>
      <c r="DK30" s="109">
        <f>(DK23+DK24)/'Input RM sheet'!DH1</f>
        <v>-4.0165597050428161</v>
      </c>
      <c r="DL30" s="109">
        <f>(DL23+DL24)/'Input RM sheet'!DI1</f>
        <v>-4.018345458868283</v>
      </c>
      <c r="DM30" s="109">
        <f>(DM23+DM24)/'Input RM sheet'!DJ1</f>
        <v>-4.0128400473933645</v>
      </c>
      <c r="DN30" s="109">
        <f>(DN23+DN24)/'Input RM sheet'!DK1</f>
        <v>-4.0110988489379373</v>
      </c>
      <c r="DO30" s="109">
        <f>(DO23+DO24)/'Input RM sheet'!DL1</f>
        <v>-3.9796281165071483</v>
      </c>
      <c r="DP30" s="109">
        <f>(DP23+DP24)/'Input RM sheet'!DM1</f>
        <v>-4.005711211477152</v>
      </c>
      <c r="DQ30" s="109">
        <f>(DQ23+DQ24)/'Input RM sheet'!DN1</f>
        <v>-3.9279718849463636</v>
      </c>
      <c r="DR30" s="109">
        <f>(DR23+DR24)/'Input RM sheet'!DO1</f>
        <v>-3.860120819594913</v>
      </c>
      <c r="DS30" s="109">
        <f>(DS23+DS24)/'Input RM sheet'!DP1</f>
        <v>-3.7305925980277053</v>
      </c>
      <c r="DT30" s="109" t="e">
        <f>(DT23+DT24)/'Input RM sheet'!DQ1</f>
        <v>#DIV/0!</v>
      </c>
      <c r="DU30" s="109" t="e">
        <f>(DU23+DU24)/'Input RM sheet'!DR1</f>
        <v>#REF!</v>
      </c>
      <c r="DV30" s="109" t="e">
        <f>(DV23+DV24)/'Input RM sheet'!DS1</f>
        <v>#REF!</v>
      </c>
      <c r="DW30" s="109" t="e">
        <f>(DW23+DW24)/'Input RM sheet'!DT1</f>
        <v>#REF!</v>
      </c>
      <c r="DX30" s="109" t="e">
        <f>(DX23+DX24)/'Input RM sheet'!DU1</f>
        <v>#REF!</v>
      </c>
      <c r="DY30" s="109" t="e">
        <f>(DY23+DY24)/'Input RM sheet'!DV1</f>
        <v>#REF!</v>
      </c>
      <c r="DZ30" s="109" t="e">
        <f>(DZ23+DZ24)/'Input RM sheet'!DW1</f>
        <v>#REF!</v>
      </c>
      <c r="EA30" s="109" t="e">
        <f>(EA23+EA24)/'Input RM sheet'!DX1</f>
        <v>#REF!</v>
      </c>
      <c r="EB30" s="109" t="e">
        <f>(EB23+EB24)/'Input RM sheet'!DY1</f>
        <v>#REF!</v>
      </c>
      <c r="EC30" s="109" t="e">
        <f>(EC23+EC24)/'Input RM sheet'!DZ1</f>
        <v>#REF!</v>
      </c>
      <c r="ED30" s="109" t="e">
        <f>(ED23+ED24)/'Input RM sheet'!EA1</f>
        <v>#REF!</v>
      </c>
      <c r="EE30" s="109" t="e">
        <f>(EE23+EE24)/'Input RM sheet'!EB1</f>
        <v>#REF!</v>
      </c>
      <c r="EF30" s="109" t="e">
        <f>(EF23+EF24)/'Input RM sheet'!EC1</f>
        <v>#REF!</v>
      </c>
      <c r="EG30" s="109" t="e">
        <f>(EG23+EG24)/'Input RM sheet'!ED1</f>
        <v>#REF!</v>
      </c>
      <c r="EH30" s="109" t="e">
        <f>(EH23+EH24)/'Input RM sheet'!EE1</f>
        <v>#REF!</v>
      </c>
      <c r="EI30" s="109" t="e">
        <f>(EI23+EI24)/'Input RM sheet'!EF1</f>
        <v>#REF!</v>
      </c>
      <c r="EJ30" s="109" t="e">
        <f>(EJ23+EJ24)/'Input RM sheet'!EG1</f>
        <v>#REF!</v>
      </c>
      <c r="EK30" s="109" t="e">
        <f>(EK23+EK24)/'Input RM sheet'!EH1</f>
        <v>#REF!</v>
      </c>
      <c r="EL30" s="109" t="e">
        <f>(EL23+EL24)/'Input RM sheet'!EI1</f>
        <v>#REF!</v>
      </c>
      <c r="EM30" s="109" t="e">
        <f>(EM23+EM24)/'Input RM sheet'!EJ1</f>
        <v>#REF!</v>
      </c>
      <c r="EN30" s="109" t="e">
        <f>(EN23+EN24)/'Input RM sheet'!EK1</f>
        <v>#REF!</v>
      </c>
      <c r="EO30" s="109" t="e">
        <f>(EO23+EO24)/'Input RM sheet'!EL1</f>
        <v>#REF!</v>
      </c>
      <c r="EP30" s="109" t="e">
        <f>(EP23+EP24)/'Input RM sheet'!EM1</f>
        <v>#REF!</v>
      </c>
      <c r="EQ30" s="109" t="e">
        <f>(EQ23+EQ24)/'Input RM sheet'!EN1</f>
        <v>#REF!</v>
      </c>
      <c r="ER30" s="109" t="e">
        <f>(ER23+ER24)/'Input RM sheet'!EO1</f>
        <v>#REF!</v>
      </c>
      <c r="ES30" s="109" t="e">
        <f>(ES23+ES24)/'Input RM sheet'!EP1</f>
        <v>#REF!</v>
      </c>
      <c r="ET30" s="109" t="e">
        <f>(ET23+ET24)/'Input RM sheet'!EQ1</f>
        <v>#REF!</v>
      </c>
      <c r="EU30" s="109" t="e">
        <f>(EU23+EU24)/'Input RM sheet'!ER1</f>
        <v>#REF!</v>
      </c>
      <c r="EV30" s="109" t="e">
        <f>(EV23+EV24)/'Input RM sheet'!ES1</f>
        <v>#REF!</v>
      </c>
      <c r="EW30" s="109" t="e">
        <f>(EW23+EW24)/'Input RM sheet'!ET1</f>
        <v>#REF!</v>
      </c>
      <c r="EX30" s="109" t="e">
        <f>(EX23+EX24)/'Input RM sheet'!EU1</f>
        <v>#REF!</v>
      </c>
      <c r="EY30" s="109" t="e">
        <f>(EY23+EY24)/'Input RM sheet'!EV1</f>
        <v>#REF!</v>
      </c>
      <c r="EZ30" s="109" t="e">
        <f>(EZ23+EZ24)/'Input RM sheet'!EW1</f>
        <v>#REF!</v>
      </c>
      <c r="FA30" s="109" t="e">
        <f>(FA23+FA24)/'Input RM sheet'!EX1</f>
        <v>#REF!</v>
      </c>
      <c r="FB30" s="109" t="e">
        <f>(FB23+FB24)/'Input RM sheet'!EY1</f>
        <v>#REF!</v>
      </c>
      <c r="FC30" s="109" t="e">
        <f>(FC23+FC24)/'Input RM sheet'!EZ1</f>
        <v>#REF!</v>
      </c>
      <c r="FD30" s="109" t="e">
        <f>(FD23+FD24)/'Input RM sheet'!FA1</f>
        <v>#REF!</v>
      </c>
      <c r="FE30" s="109" t="e">
        <f>(FE23+FE24)/'Input RM sheet'!FB1</f>
        <v>#REF!</v>
      </c>
    </row>
    <row r="31" spans="1:162">
      <c r="CF31" s="77"/>
      <c r="CG31" s="77"/>
      <c r="CH31" s="77"/>
      <c r="CI31" s="77"/>
      <c r="CJ31" s="77"/>
      <c r="CK31" s="77"/>
      <c r="CL31" s="77"/>
      <c r="CM31" s="77"/>
    </row>
    <row r="32" spans="1:162">
      <c r="B32" s="65"/>
    </row>
    <row r="37" spans="44:44" ht="15">
      <c r="AR37" s="11"/>
    </row>
    <row r="38" spans="44:44" ht="15">
      <c r="AR38" s="11"/>
    </row>
    <row r="39" spans="44:44" ht="15">
      <c r="AR39" s="260"/>
    </row>
  </sheetData>
  <conditionalFormatting sqref="I27:O27 Z27:AB27 Q27:X27">
    <cfRule type="top10" dxfId="2" priority="1" bottom="1" rank="1"/>
  </conditionalFormatting>
  <pageMargins left="0.7" right="0.7" top="0.75" bottom="0.75" header="0.3" footer="0.3"/>
  <pageSetup orientation="portrait" r:id="rId1"/>
  <drawing r:id="rId2"/>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EZ25"/>
  <sheetViews>
    <sheetView workbookViewId="0">
      <pane xSplit="8" ySplit="6" topLeftCell="I17" activePane="bottomRight" state="frozen"/>
      <selection pane="topRight" activeCell="I1" sqref="I1"/>
      <selection pane="bottomLeft" activeCell="A7" sqref="A7"/>
      <selection pane="bottomRight" activeCell="DR25" sqref="DR25:DS25"/>
    </sheetView>
  </sheetViews>
  <sheetFormatPr baseColWidth="10" defaultColWidth="22.6640625" defaultRowHeight="12"/>
  <cols>
    <col min="1" max="1" width="13.33203125" style="60" bestFit="1" customWidth="1"/>
    <col min="2" max="2" width="11.33203125" style="60" bestFit="1" customWidth="1"/>
    <col min="3" max="3" width="4.83203125" style="60" bestFit="1" customWidth="1"/>
    <col min="4" max="4" width="12.33203125" style="60" bestFit="1" customWidth="1"/>
    <col min="5" max="5" width="7.6640625" style="60" bestFit="1" customWidth="1"/>
    <col min="6" max="6" width="6" style="60" bestFit="1" customWidth="1"/>
    <col min="7" max="7" width="4.1640625" style="60" bestFit="1" customWidth="1"/>
    <col min="8" max="8" width="26.1640625" style="60" bestFit="1" customWidth="1"/>
    <col min="9" max="100" width="7.83203125" style="60" bestFit="1" customWidth="1"/>
    <col min="101" max="143" width="7" style="60" bestFit="1" customWidth="1"/>
    <col min="144" max="156" width="3.33203125" style="60" bestFit="1" customWidth="1"/>
    <col min="157" max="16384" width="22.6640625" style="60"/>
  </cols>
  <sheetData>
    <row r="1" spans="1:156" ht="26">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c r="EM1" s="99">
        <v>141</v>
      </c>
      <c r="EN1" s="99">
        <v>142</v>
      </c>
      <c r="EO1" s="99">
        <v>143</v>
      </c>
      <c r="EP1" s="99">
        <v>144</v>
      </c>
      <c r="EQ1" s="99">
        <v>145</v>
      </c>
      <c r="ER1" s="99">
        <v>146</v>
      </c>
      <c r="ES1" s="99">
        <v>147</v>
      </c>
      <c r="ET1" s="99">
        <v>148</v>
      </c>
      <c r="EU1" s="99">
        <v>149</v>
      </c>
      <c r="EV1" s="99">
        <v>150</v>
      </c>
      <c r="EW1" s="99">
        <v>151</v>
      </c>
      <c r="EX1" s="99">
        <v>152</v>
      </c>
      <c r="EY1" s="99">
        <v>153</v>
      </c>
      <c r="EZ1" s="99">
        <v>154</v>
      </c>
    </row>
    <row r="2" spans="1:156" ht="26">
      <c r="A2" s="100" t="s">
        <v>707</v>
      </c>
      <c r="B2" s="100"/>
      <c r="C2" s="101">
        <v>1</v>
      </c>
      <c r="D2" s="112"/>
      <c r="K2" s="102"/>
      <c r="M2" s="102"/>
    </row>
    <row r="3" spans="1:156">
      <c r="A3" s="100"/>
      <c r="B3" s="100"/>
      <c r="D3" s="100"/>
      <c r="E3" s="64"/>
      <c r="F3" s="103"/>
    </row>
    <row r="4" spans="1:156">
      <c r="A4" s="64"/>
      <c r="B4" s="64"/>
      <c r="D4" s="64"/>
      <c r="E4" s="64"/>
      <c r="H4" s="60" t="s">
        <v>387</v>
      </c>
    </row>
    <row r="5" spans="1:156">
      <c r="A5" s="74"/>
      <c r="B5" s="74"/>
    </row>
    <row r="6" spans="1:156">
      <c r="A6" s="59"/>
      <c r="B6" s="59"/>
      <c r="C6" s="59"/>
      <c r="D6" s="98"/>
      <c r="E6" s="98"/>
      <c r="F6" s="59"/>
      <c r="H6" s="59" t="s">
        <v>416</v>
      </c>
      <c r="I6" s="59">
        <v>43831</v>
      </c>
      <c r="J6" s="59">
        <v>43862</v>
      </c>
      <c r="K6" s="59">
        <v>43891</v>
      </c>
      <c r="L6" s="59">
        <v>43922</v>
      </c>
      <c r="M6" s="59">
        <v>43952</v>
      </c>
      <c r="N6" s="59">
        <v>43983</v>
      </c>
      <c r="O6" s="59">
        <v>44013</v>
      </c>
      <c r="P6" s="59">
        <v>44044</v>
      </c>
      <c r="Q6" s="59">
        <v>44075</v>
      </c>
      <c r="R6" s="59">
        <v>44105</v>
      </c>
      <c r="S6" s="59">
        <v>44136</v>
      </c>
      <c r="T6" s="59">
        <v>44166</v>
      </c>
      <c r="U6" s="59">
        <v>44197</v>
      </c>
      <c r="V6" s="59">
        <v>44228</v>
      </c>
      <c r="W6" s="59">
        <v>44256</v>
      </c>
      <c r="X6" s="59">
        <v>44287</v>
      </c>
      <c r="Y6" s="59">
        <v>44317</v>
      </c>
      <c r="Z6" s="59">
        <v>44348</v>
      </c>
      <c r="AA6" s="59">
        <v>44378</v>
      </c>
      <c r="AB6" s="59">
        <v>44409</v>
      </c>
      <c r="AC6" s="59">
        <v>44440</v>
      </c>
      <c r="AD6" s="59">
        <v>44470</v>
      </c>
      <c r="AE6" s="59">
        <v>44501</v>
      </c>
      <c r="AF6" s="59">
        <v>44531</v>
      </c>
      <c r="AG6" s="59">
        <v>44562</v>
      </c>
      <c r="AH6" s="59">
        <v>44593</v>
      </c>
      <c r="AI6" s="59">
        <v>44621</v>
      </c>
      <c r="AJ6" s="59">
        <v>44652</v>
      </c>
      <c r="AK6" s="59">
        <v>44682</v>
      </c>
      <c r="AL6" s="59">
        <v>44713</v>
      </c>
      <c r="AM6" s="59">
        <v>44743</v>
      </c>
      <c r="AN6" s="59">
        <v>44774</v>
      </c>
      <c r="AO6" s="59">
        <v>44805</v>
      </c>
      <c r="AP6" s="59">
        <v>44835</v>
      </c>
      <c r="AQ6" s="59">
        <v>44866</v>
      </c>
      <c r="AR6" s="59">
        <v>44896</v>
      </c>
      <c r="AS6" s="59">
        <v>44927</v>
      </c>
      <c r="AT6" s="59">
        <v>44958</v>
      </c>
      <c r="AU6" s="59">
        <v>44986</v>
      </c>
      <c r="AV6" s="59">
        <v>45017</v>
      </c>
      <c r="AW6" s="59">
        <v>45047</v>
      </c>
      <c r="AX6" s="59">
        <v>45078</v>
      </c>
      <c r="AY6" s="59">
        <v>45108</v>
      </c>
      <c r="AZ6" s="59" t="s">
        <v>530</v>
      </c>
      <c r="BA6" s="59" t="s">
        <v>531</v>
      </c>
      <c r="BB6" s="59" t="s">
        <v>532</v>
      </c>
      <c r="BC6" s="59">
        <v>37104</v>
      </c>
      <c r="BD6" s="59">
        <v>37469</v>
      </c>
      <c r="BE6" s="59" t="s">
        <v>168</v>
      </c>
      <c r="BF6" s="59" t="s">
        <v>169</v>
      </c>
      <c r="BG6" s="59" t="s">
        <v>393</v>
      </c>
      <c r="BH6" s="59" t="s">
        <v>458</v>
      </c>
      <c r="BI6" s="59" t="s">
        <v>459</v>
      </c>
      <c r="BJ6" s="59" t="s">
        <v>460</v>
      </c>
      <c r="BK6" s="59" t="s">
        <v>461</v>
      </c>
      <c r="BL6" s="59" t="s">
        <v>462</v>
      </c>
      <c r="BM6" s="59" t="s">
        <v>463</v>
      </c>
      <c r="BN6" s="59" t="s">
        <v>464</v>
      </c>
      <c r="BO6" s="59">
        <v>37196</v>
      </c>
      <c r="BP6" s="59">
        <v>37561</v>
      </c>
      <c r="BQ6" s="59">
        <v>37926</v>
      </c>
      <c r="BR6" s="59">
        <v>38292</v>
      </c>
      <c r="BS6" s="59">
        <v>37226</v>
      </c>
      <c r="BT6" s="59">
        <v>37591</v>
      </c>
      <c r="BU6" s="59">
        <v>37956</v>
      </c>
      <c r="BV6" s="59">
        <v>38322</v>
      </c>
      <c r="BW6" s="59">
        <v>36892</v>
      </c>
      <c r="BX6" s="59">
        <v>37257</v>
      </c>
      <c r="BY6" s="59">
        <v>37622</v>
      </c>
      <c r="BZ6" s="59">
        <v>37987</v>
      </c>
      <c r="CA6" s="59">
        <v>36923</v>
      </c>
      <c r="CB6" s="59">
        <v>37288</v>
      </c>
      <c r="CC6" s="59">
        <v>37653</v>
      </c>
      <c r="CD6" s="59">
        <v>38018</v>
      </c>
      <c r="CE6" s="59" t="str">
        <f>Sheet8!A15</f>
        <v>Mar-w1</v>
      </c>
      <c r="CF6" s="59">
        <v>37316</v>
      </c>
      <c r="CG6" s="59">
        <v>37681</v>
      </c>
      <c r="CH6" s="59">
        <v>38047</v>
      </c>
      <c r="CI6" s="59" t="str">
        <f>Sheet8!E15</f>
        <v>Apr-w1</v>
      </c>
      <c r="CJ6" s="59" t="str">
        <f>Sheet8!F15</f>
        <v>Apr-w2</v>
      </c>
      <c r="CK6" s="59" t="str">
        <f>Sheet8!G15</f>
        <v>Apr-w3</v>
      </c>
      <c r="CL6" s="59" t="str">
        <f>Sheet8!H15</f>
        <v>Apr-w4</v>
      </c>
      <c r="CM6" s="59" t="str">
        <f>Sheet8!I15</f>
        <v>May-w1</v>
      </c>
      <c r="CN6" s="59" t="str">
        <f>Sheet8!J15</f>
        <v>May-w2</v>
      </c>
      <c r="CO6" s="59" t="str">
        <f>Sheet8!K15</f>
        <v>May-w3</v>
      </c>
      <c r="CP6" s="59" t="str">
        <f>Sheet8!L15</f>
        <v>May-w4</v>
      </c>
      <c r="CQ6" s="59" t="str">
        <f>Sheet8!M15</f>
        <v>May-w5</v>
      </c>
      <c r="CR6" s="59" t="str">
        <f>Sheet8!N15</f>
        <v>june-w1</v>
      </c>
      <c r="CS6" s="59" t="str">
        <f>Sheet8!O15</f>
        <v>june-w2</v>
      </c>
      <c r="CT6" s="59" t="str">
        <f>Sheet8!P15</f>
        <v>june-w3</v>
      </c>
      <c r="CU6" s="59" t="str">
        <f>Sheet8!Q15</f>
        <v>june-w4</v>
      </c>
      <c r="CV6" s="59" t="str">
        <f>Sheet8!R15</f>
        <v>Jul-w1</v>
      </c>
      <c r="CW6" s="59" t="str">
        <f>Sheet8!S15</f>
        <v>Jul-w2</v>
      </c>
      <c r="CX6" s="59" t="str">
        <f>Sheet8!T15</f>
        <v>Jul-w3</v>
      </c>
      <c r="CY6" s="59" t="str">
        <f>Sheet8!U15</f>
        <v>Jul-w4</v>
      </c>
      <c r="CZ6" s="59" t="str">
        <f>Sheet8!V15</f>
        <v>Aug-w1</v>
      </c>
      <c r="DA6" s="59" t="str">
        <f>Sheet8!W15</f>
        <v>Aug-w2</v>
      </c>
      <c r="DB6" s="59" t="str">
        <f>Sheet8!X15</f>
        <v>Aug-w3</v>
      </c>
      <c r="DC6" s="59" t="str">
        <f>Sheet8!Y15</f>
        <v>Aug-w4</v>
      </c>
      <c r="DD6" s="59" t="str">
        <f>Sheet8!Z15</f>
        <v>Sep-w1</v>
      </c>
      <c r="DE6" s="59" t="str">
        <f>Sheet8!AA15</f>
        <v>Sep-w2</v>
      </c>
      <c r="DF6" s="59" t="str">
        <f>Sheet8!AB15</f>
        <v>Sep-w3</v>
      </c>
      <c r="DG6" s="59" t="str">
        <f>Sheet8!AC15</f>
        <v>Sep-w4</v>
      </c>
      <c r="DH6" s="59" t="str">
        <f>Sheet8!AD15</f>
        <v>Oct-w1</v>
      </c>
      <c r="DI6" s="59" t="str">
        <f>Sheet8!AE15</f>
        <v>Oct-w2</v>
      </c>
      <c r="DJ6" s="59" t="str">
        <f>Sheet8!AF15</f>
        <v>Oct-w3</v>
      </c>
      <c r="DK6" s="59" t="str">
        <f>Sheet8!AG15</f>
        <v>Oct-w4</v>
      </c>
      <c r="DL6" s="59" t="str">
        <f>Sheet8!AH15</f>
        <v>Nov-w1</v>
      </c>
      <c r="DM6" s="59" t="str">
        <f>Sheet8!AI15</f>
        <v>Nov-w2</v>
      </c>
      <c r="DN6" s="59" t="str">
        <f>Sheet8!AJ15</f>
        <v>Nov-w3</v>
      </c>
      <c r="DO6" s="59" t="str">
        <f>Sheet8!AK15</f>
        <v>Nov-w4</v>
      </c>
      <c r="DP6" s="59" t="str">
        <f>Sheet8!AL15</f>
        <v>Dec-w1</v>
      </c>
      <c r="DQ6" s="59" t="str">
        <f>Sheet8!AM15</f>
        <v>Dec-w2</v>
      </c>
      <c r="DR6" s="59" t="str">
        <f>Sheet8!AN15</f>
        <v>Dec-w3</v>
      </c>
      <c r="DS6" s="59" t="str">
        <f>Sheet8!AO15</f>
        <v>Dec-w4</v>
      </c>
      <c r="DT6" s="59">
        <f>Sheet8!AP15</f>
        <v>0</v>
      </c>
      <c r="DU6" s="59">
        <f>Sheet8!AQ15</f>
        <v>0</v>
      </c>
      <c r="DV6" s="59">
        <f>Sheet8!AR15</f>
        <v>0</v>
      </c>
      <c r="DW6" s="59">
        <f>Sheet8!AS15</f>
        <v>0</v>
      </c>
      <c r="DX6" s="59">
        <f>Sheet8!AT15</f>
        <v>0</v>
      </c>
      <c r="DY6" s="59">
        <f>Sheet8!AU15</f>
        <v>0</v>
      </c>
      <c r="DZ6" s="59">
        <f>Sheet8!AV15</f>
        <v>0</v>
      </c>
      <c r="EA6" s="59">
        <f>Sheet8!AW15</f>
        <v>0</v>
      </c>
      <c r="EB6" s="59">
        <f>Sheet8!AX15</f>
        <v>0</v>
      </c>
      <c r="EC6" s="59">
        <f>Sheet8!AY15</f>
        <v>0</v>
      </c>
      <c r="ED6" s="59">
        <f>Sheet8!AZ15</f>
        <v>0</v>
      </c>
      <c r="EE6" s="59">
        <f>Sheet8!BA15</f>
        <v>0</v>
      </c>
      <c r="EF6" s="59">
        <f>Sheet8!BB15</f>
        <v>0</v>
      </c>
      <c r="EG6" s="59">
        <f>Sheet8!BC15</f>
        <v>0</v>
      </c>
      <c r="EH6" s="59">
        <f>Sheet8!BD15</f>
        <v>0</v>
      </c>
      <c r="EI6" s="59">
        <f>Sheet8!BE15</f>
        <v>0</v>
      </c>
      <c r="EJ6" s="59">
        <f>Sheet8!BF15</f>
        <v>0</v>
      </c>
      <c r="EK6" s="59">
        <f>Sheet8!BG15</f>
        <v>0</v>
      </c>
      <c r="EL6" s="59">
        <f>Sheet8!BH15</f>
        <v>0</v>
      </c>
      <c r="EM6" s="59">
        <f>Sheet8!BI15</f>
        <v>0</v>
      </c>
    </row>
    <row r="7" spans="1:156" ht="26">
      <c r="A7" s="84"/>
      <c r="B7" s="84"/>
      <c r="C7" s="84"/>
      <c r="D7" s="246"/>
      <c r="E7" s="246" t="s">
        <v>708</v>
      </c>
      <c r="F7" s="84"/>
      <c r="H7" s="44" t="s">
        <v>97</v>
      </c>
      <c r="I7" s="247">
        <f>VLOOKUP($H$7&amp;$F$1,'Input RM sheet'!$A:$BD,H1,0)</f>
        <v>2357.27</v>
      </c>
      <c r="J7" s="247">
        <f>VLOOKUP($H$7&amp;$F$1,'Input RM sheet'!$A:$BD,I1,0)</f>
        <v>2120.48</v>
      </c>
      <c r="K7" s="247">
        <f>VLOOKUP($H$7&amp;$F$1,'Input RM sheet'!$A:$BD,J1,0)</f>
        <v>1905.61</v>
      </c>
      <c r="L7" s="247">
        <f>VLOOKUP($H$7&amp;$F$1,'Input RM sheet'!$A:$BD,K1,0)</f>
        <v>1894.08</v>
      </c>
      <c r="M7" s="247">
        <f>VLOOKUP($H$7&amp;$F$1,'Input RM sheet'!$A:$BD,L1,0)</f>
        <v>1963.39</v>
      </c>
      <c r="N7" s="247">
        <f>VLOOKUP($H$7&amp;$F$1,'Input RM sheet'!$A:$BD,M1,0)</f>
        <v>2020.61</v>
      </c>
      <c r="O7" s="247">
        <f>VLOOKUP($H$7&amp;$F$1,'Input RM sheet'!$A:$BD,N1,0)</f>
        <v>2162.2399999999998</v>
      </c>
      <c r="P7" s="247">
        <f>VLOOKUP($H$7&amp;$F$1,'Input RM sheet'!$A:$BD,O1,0)</f>
        <v>2406.83</v>
      </c>
      <c r="Q7" s="247">
        <f>VLOOKUP($H$7&amp;$F$1,'Input RM sheet'!$A:$BD,P1,0)</f>
        <v>2450.5</v>
      </c>
      <c r="R7" s="247">
        <f>VLOOKUP($H$7&amp;$F$1,'Input RM sheet'!$A:$BD,Q1,0)</f>
        <v>2441.5500000000002</v>
      </c>
      <c r="S7" s="247">
        <f>VLOOKUP($H$7&amp;$F$1,'Input RM sheet'!$A:$BD,R1,0)</f>
        <v>2669.69</v>
      </c>
      <c r="T7" s="247">
        <f>VLOOKUP($H$7&amp;$F$1,'Input RM sheet'!$A:$BD,S1,0)</f>
        <v>2782.36</v>
      </c>
      <c r="U7" s="247">
        <f>VLOOKUP($H$7&amp;$F$1,'Input RM sheet'!$A:$BD,T1,0)</f>
        <v>2707.7</v>
      </c>
      <c r="V7" s="247">
        <f>VLOOKUP($H$7&amp;$F$1,'Input RM sheet'!$A:$BD,U1,0)</f>
        <v>2730.47</v>
      </c>
      <c r="W7" s="247">
        <f>VLOOKUP($H$7&amp;$F$1,'Input RM sheet'!$A:$BD,V1,0)</f>
        <v>2791.65</v>
      </c>
      <c r="X7" s="247">
        <f>VLOOKUP($H$7&amp;$F$1,'Input RM sheet'!$A:$BD,W1,0)</f>
        <v>2827.35</v>
      </c>
      <c r="Y7" s="247">
        <f>VLOOKUP($H$7&amp;$F$1,'Input RM sheet'!$A:$BD,X1,0)</f>
        <v>2970.29</v>
      </c>
      <c r="Z7" s="247">
        <f>VLOOKUP($H$7&amp;$F$1,'Input RM sheet'!$A:$BD,Y1,0)</f>
        <v>2950.07</v>
      </c>
      <c r="AA7" s="247">
        <f>VLOOKUP($H$7&amp;$F$1,'Input RM sheet'!$A:$BD,Z1,0)</f>
        <v>2950.07</v>
      </c>
      <c r="AB7" s="247">
        <f>VLOOKUP($H$7&amp;$F$1,'Input RM sheet'!$A:$BD,AA1,0)</f>
        <v>2950.07</v>
      </c>
      <c r="AC7" s="247">
        <f>VLOOKUP($H$7&amp;$F$1,'Input RM sheet'!$A:$BD,AB1,0)</f>
        <v>2950.07</v>
      </c>
      <c r="AD7" s="247">
        <f>VLOOKUP($H$7&amp;$F$1,'Input RM sheet'!$A:$BD,AC1,0)</f>
        <v>2950.07</v>
      </c>
      <c r="AE7" s="247">
        <f>VLOOKUP($H$7&amp;$F$1,'Input RM sheet'!$A:$BD,AD1,0)</f>
        <v>2950.07</v>
      </c>
      <c r="AF7" s="247">
        <f>VLOOKUP($H$7&amp;$F$1,'Input RM sheet'!$A:$BD,AE1,0)</f>
        <v>3153</v>
      </c>
      <c r="AG7" s="247">
        <f>VLOOKUP($H$7&amp;$F$1,'Input RM sheet'!$A:$BD,AF1,0)</f>
        <v>3609.95</v>
      </c>
      <c r="AH7" s="247">
        <f>VLOOKUP($H$7&amp;$F$1,'Input RM sheet'!$A:$BD,AG1,0)</f>
        <v>3643</v>
      </c>
      <c r="AI7" s="247">
        <f>VLOOKUP($H$7&amp;$F$1,'Input RM sheet'!$A:$BD,AH1,0)</f>
        <v>3974.3</v>
      </c>
      <c r="AJ7" s="247">
        <f>VLOOKUP($H$7&amp;$F$1,'Input RM sheet'!$A:$BD,AI1,0)</f>
        <v>4371.03</v>
      </c>
      <c r="AK7" s="247">
        <f>VLOOKUP($H$7&amp;$F$1,'Input RM sheet'!$A:$BD,AJ1,0)</f>
        <v>3759.45</v>
      </c>
      <c r="AL7" s="247">
        <f>VLOOKUP($H$7&amp;$F$1,'Input RM sheet'!$A:$BD,AK1,0)</f>
        <v>3543.95</v>
      </c>
      <c r="AM7" s="247">
        <f>VLOOKUP($H$7&amp;$F$1,'Input RM sheet'!$A:$BD,AL1,0)</f>
        <v>3097.21</v>
      </c>
      <c r="AN7" s="247">
        <f>VLOOKUP($H$7&amp;$F$1,'Input RM sheet'!$A:$BD,AM1,0)</f>
        <v>3572.91</v>
      </c>
      <c r="AO7" s="247">
        <f>VLOOKUP($H$7&amp;$F$1,'Input RM sheet'!$A:$BD,AN1,0)</f>
        <v>3136.43</v>
      </c>
      <c r="AP7" s="247">
        <f>VLOOKUP($H$7&amp;$F$1,'Input RM sheet'!$A:$BD,AO1,0)</f>
        <v>2959.05</v>
      </c>
      <c r="AQ7" s="247">
        <f>VLOOKUP($H$7&amp;$F$1,'Input RM sheet'!$A:$BD,AP1,0)</f>
        <v>3144</v>
      </c>
      <c r="AR7" s="247">
        <f>VLOOKUP($H$7&amp;$F$1,'Input RM sheet'!$A:$BD,AQ1,0)</f>
        <v>2685</v>
      </c>
      <c r="AS7" s="247">
        <f>VLOOKUP($H$7&amp;$F$1,'Input RM sheet'!$A:$BD,AR1,0)</f>
        <v>3287</v>
      </c>
      <c r="AT7" s="247">
        <f>VLOOKUP($H$7&amp;$F$1,'Input RM sheet'!$A:$BD,AS1,0)</f>
        <v>3142</v>
      </c>
      <c r="AU7" s="247">
        <f>VLOOKUP($H$7&amp;$F$1,'Input RM sheet'!$A:$BD,AT1,0)</f>
        <v>2924</v>
      </c>
      <c r="AV7" s="247">
        <f>VLOOKUP($H$7&amp;$F$1,'Input RM sheet'!$A:$BD,AU1,0)</f>
        <v>2771.31</v>
      </c>
      <c r="AW7" s="247">
        <f>VLOOKUP($H$7&amp;$F$1,'Input RM sheet'!$A:$BD,AV1,0)</f>
        <v>2230</v>
      </c>
      <c r="AX7" s="247">
        <f>VLOOKUP($H$7&amp;$F$1,'Input RM sheet'!$A:$BD,AW1,0)</f>
        <v>2346</v>
      </c>
      <c r="AY7" s="247">
        <f>VLOOKUP($H$7&amp;$F$1,'Input RM sheet'!$A:$BD,AX1,0)</f>
        <v>2355</v>
      </c>
      <c r="AZ7" s="247">
        <f>VLOOKUP($H$7&amp;$F$1,'Input RM sheet'!$A:$BD,AY1,0)</f>
        <v>2412</v>
      </c>
      <c r="BA7" s="247">
        <f>VLOOKUP($H$7&amp;$F$1,'Input RM sheet'!$A:$BD,AZ1,0)</f>
        <v>2366</v>
      </c>
      <c r="BB7" s="247">
        <f>VLOOKUP($H$7&amp;$F$1,'Input RM sheet'!$A:$BD,BA1,0)</f>
        <v>2484.5</v>
      </c>
      <c r="BC7" s="247">
        <f>VLOOKUP($H$7&amp;$F$1,'Input RM sheet'!$A:$BD,BB1,0)</f>
        <v>2498</v>
      </c>
      <c r="BD7" s="247">
        <f>VLOOKUP($H$7&amp;$F$1,'Input RM sheet'!$A:$BD,BC1,0)</f>
        <v>2311</v>
      </c>
      <c r="BE7" s="247">
        <f>VLOOKUP($H$7&amp;$F$1,'Input RM sheet'!$A:$BD,BD1,0)</f>
        <v>2394</v>
      </c>
      <c r="BF7" s="247">
        <f>VLOOKUP($H$7&amp;$F$1,'Input RM sheet'!$A:$BD,BE1,0)</f>
        <v>2394</v>
      </c>
      <c r="BG7" s="247">
        <f>VLOOKUP($H$7&amp;$F$1,'Input RM sheet'!$A:$DD,BF1,0)</f>
        <v>2472.5</v>
      </c>
      <c r="BH7" s="247">
        <f>VLOOKUP($H$7&amp;$F$1,'Input RM sheet'!$A:$DD,BG1,0)</f>
        <v>2511.5</v>
      </c>
      <c r="BI7" s="247">
        <f>VLOOKUP($H$7&amp;$F$1,'Input RM sheet'!$A:$DD,BH1,0)</f>
        <v>2508</v>
      </c>
      <c r="BJ7" s="247">
        <f>VLOOKUP($H$7&amp;$F$1,'Input RM sheet'!$A:$DD,BI1,0)</f>
        <v>2640</v>
      </c>
      <c r="BK7" s="247">
        <f>VLOOKUP($H$7&amp;$F$1,'Input RM sheet'!$A:$DD,BJ1,0)</f>
        <v>2509</v>
      </c>
      <c r="BL7" s="247">
        <f>VLOOKUP($H$7&amp;$F$1,'Input RM sheet'!$A:$DD,BK1,0)</f>
        <v>2446</v>
      </c>
      <c r="BM7" s="247">
        <f>VLOOKUP($H$7&amp;$F$1,'Input RM sheet'!$A:$DD,BL1,0)</f>
        <v>2442.5</v>
      </c>
      <c r="BN7" s="247">
        <f>VLOOKUP($H$7&amp;$F$1,'Input RM sheet'!$A:$DD,BM1,0)</f>
        <v>2465.5</v>
      </c>
      <c r="BO7" s="247">
        <f>VLOOKUP($H$7&amp;$F$1,'Input RM sheet'!$A:$DD,BN1,0)</f>
        <v>2524.5</v>
      </c>
      <c r="BP7" s="247">
        <f>VLOOKUP($H$7&amp;$F$1,'Input RM sheet'!$A:$DD,BO1,0)</f>
        <v>2600</v>
      </c>
      <c r="BQ7" s="247">
        <f>VLOOKUP($H$7&amp;$F$1,'Input RM sheet'!$A:$DD,BP1,0)</f>
        <v>2600</v>
      </c>
      <c r="BR7" s="247">
        <f>VLOOKUP($H$7&amp;$F$1,'Input RM sheet'!$A:$DD,BQ1,0)</f>
        <v>2537.5</v>
      </c>
      <c r="BS7" s="247">
        <f>VLOOKUP($H$7&amp;$F$1,'Input RM sheet'!$A:$DD,BR1,0)</f>
        <v>2421.5</v>
      </c>
      <c r="BT7" s="247">
        <f>VLOOKUP($H$7&amp;$F$1,'Input RM sheet'!$A:$DD,BS1,0)</f>
        <v>2426.5</v>
      </c>
      <c r="BU7" s="247">
        <f>VLOOKUP($H$7&amp;$F$1,'Input RM sheet'!$A:$DD,BT1,0)</f>
        <v>2547</v>
      </c>
      <c r="BV7" s="247">
        <f>VLOOKUP($H$7&amp;$F$1,'Input RM sheet'!$A:$DD,BU1,0)</f>
        <v>2658</v>
      </c>
      <c r="BW7" s="247">
        <f>VLOOKUP($H$7&amp;$F$1,'Input RM sheet'!$A:$DD,BV1,0)</f>
        <v>2562.5</v>
      </c>
      <c r="BX7" s="247">
        <f>VLOOKUP($H$7&amp;$F$1,'Input RM sheet'!$A:$DD,BW1,0)</f>
        <v>2462</v>
      </c>
      <c r="BY7" s="247">
        <f>VLOOKUP($H$7&amp;$F$1,'Input RM sheet'!$A:$DD,BX1,0)</f>
        <v>2462</v>
      </c>
      <c r="BZ7" s="247">
        <f>VLOOKUP($H$7&amp;$F$1,'Input RM sheet'!$A:$DD,BY1,0)</f>
        <v>2451</v>
      </c>
      <c r="CA7" s="247">
        <f>VLOOKUP($H$7&amp;$F$1,'Input RM sheet'!$A:$DD,BZ1,0)</f>
        <v>2320</v>
      </c>
      <c r="CB7" s="247">
        <f>VLOOKUP($H$7&amp;$F$1,'Input RM sheet'!$A:$DD,CA1,0)</f>
        <v>2320</v>
      </c>
      <c r="CC7" s="247">
        <f>VLOOKUP($H$7&amp;$F$1,'Input RM sheet'!$A:$DD,CB1,0)</f>
        <v>2378</v>
      </c>
      <c r="CD7" s="247">
        <f>VLOOKUP($H$7&amp;$F$1,'Input RM sheet'!$A:$DD,CC1,0)</f>
        <v>2422</v>
      </c>
      <c r="CE7" s="247">
        <f>VLOOKUP($H$7&amp;$F$1,'Input RM sheet'!$A:$DD,CD1,0)</f>
        <v>2567</v>
      </c>
      <c r="CF7" s="247">
        <f>VLOOKUP($H$7&amp;$F$1,'Input RM sheet'!$A:$DD,CE1,0)</f>
        <v>2567</v>
      </c>
      <c r="CG7" s="247">
        <f>VLOOKUP($H$7&amp;$F$1,'Input RM sheet'!$A:$DD,CF1,0)</f>
        <v>2508</v>
      </c>
      <c r="CH7" s="247">
        <f>VLOOKUP($H$7&amp;$F$1,'Input RM sheet'!$A:$DD,CG1,0)</f>
        <v>2439</v>
      </c>
      <c r="CI7" s="247">
        <f>VLOOKUP($H$7&amp;$F$1,'Input RM sheet'!$A:$DD,CH1,0)</f>
        <v>2731</v>
      </c>
      <c r="CJ7" s="247">
        <f>VLOOKUP($H$7&amp;$F$1,'Input RM sheet'!$A:$DD,CI1,0)</f>
        <v>2847</v>
      </c>
      <c r="CK7" s="247">
        <f>VLOOKUP($H$7&amp;$F$1,'Input RM sheet'!$A:$DD,CJ1,0)</f>
        <v>2788</v>
      </c>
      <c r="CL7" s="247">
        <f>VLOOKUP($H$7&amp;$F$1,'Input RM sheet'!$A:$DD,CK1,0)</f>
        <v>2882</v>
      </c>
      <c r="CM7" s="247">
        <f>VLOOKUP($H$7&amp;$F$1,'Input RM sheet'!$A:$DD,CL1,0)</f>
        <v>2889</v>
      </c>
      <c r="CN7" s="247">
        <f>VLOOKUP($H$7&amp;$F$1,'Input RM sheet'!$A:$DD,CM1,0)</f>
        <v>2960</v>
      </c>
      <c r="CO7" s="247">
        <f>VLOOKUP($H$7&amp;$F$1,'Input RM sheet'!$A:$DD,CN1,0)</f>
        <v>3093</v>
      </c>
      <c r="CP7" s="247">
        <f>VLOOKUP($H$7&amp;$F$1,'Input RM sheet'!$A:$DD,CO1,0)</f>
        <v>3012</v>
      </c>
      <c r="CQ7" s="247">
        <f>VLOOKUP($H$7&amp;$F$1,'Input RM sheet'!$A:$DD,CP1,0)</f>
        <v>2985</v>
      </c>
      <c r="CR7" s="247">
        <f>VLOOKUP($H$7&amp;$F$1,'Input RM sheet'!$A:$ZZ,CQ1,0)</f>
        <v>2889</v>
      </c>
      <c r="CS7" s="247">
        <f>VLOOKUP($H$7&amp;$F$1,'Input RM sheet'!$A:$ZZ,CR1,0)</f>
        <v>2817</v>
      </c>
      <c r="CT7" s="247">
        <f>VLOOKUP($H$7&amp;$F$1,'Input RM sheet'!$A:$ZZ,CS1,0)</f>
        <v>2846</v>
      </c>
      <c r="CU7" s="247">
        <f>VLOOKUP($H$7&amp;$F$1,'Input RM sheet'!$A:$ZZ,CT1,0)</f>
        <v>2861</v>
      </c>
      <c r="CV7" s="247">
        <f>VLOOKUP($H$7&amp;$F$1,'Input RM sheet'!$A:$ZZ,CU1,0)</f>
        <v>3001</v>
      </c>
      <c r="CW7" s="247">
        <f>VLOOKUP($H$7&amp;$F$1,'Input RM sheet'!$A:$ZZ,CV1,0)</f>
        <v>2885</v>
      </c>
      <c r="CX7" s="247">
        <f>VLOOKUP($H$7&amp;$F$1,'Input RM sheet'!$A:$ZZ,CW1,0)</f>
        <v>2688.5</v>
      </c>
      <c r="CY7" s="247">
        <f>VLOOKUP($H$7&amp;$F$1,'Input RM sheet'!$A:$ZZ,CX1,0)</f>
        <v>2707</v>
      </c>
      <c r="CZ7" s="247">
        <f>VLOOKUP($H$7&amp;$F$1,'Input RM sheet'!$A:$ZZ,CY1,0)</f>
        <v>2697</v>
      </c>
      <c r="DA7" s="247">
        <f>VLOOKUP($H$7&amp;$F$1,'Input RM sheet'!$A:$ZZ,CZ1,0)</f>
        <v>2714</v>
      </c>
      <c r="DB7" s="247">
        <f>VLOOKUP($H$7&amp;$F$1,'Input RM sheet'!$A:$ZZ,DA1,0)</f>
        <v>2694</v>
      </c>
      <c r="DC7" s="247">
        <f>VLOOKUP($H$7&amp;$F$1,'Input RM sheet'!$A:$ZZ,DB1,0)</f>
        <v>2813</v>
      </c>
      <c r="DD7" s="247">
        <f>VLOOKUP($H$7&amp;$F$1,'Input RM sheet'!$A:$ZZ,DC1,0)</f>
        <v>2714</v>
      </c>
      <c r="DE7" s="247">
        <f>VLOOKUP($H$7&amp;$F$1,'Input RM sheet'!$A:$ZZ,DD1,0)</f>
        <v>2726</v>
      </c>
      <c r="DF7" s="247">
        <f>VLOOKUP($H$7&amp;$F$1,'Input RM sheet'!$A:$ZZ,DE1,0)</f>
        <v>2888</v>
      </c>
      <c r="DG7" s="247">
        <f>VLOOKUP($H$7&amp;$F$1,'Input RM sheet'!$A:$ZZ,DF1,0)</f>
        <v>3130</v>
      </c>
      <c r="DH7" s="247">
        <f>VLOOKUP($H$7&amp;$F$1,'Input RM sheet'!$A:$ZZ,DG1,0)</f>
        <v>3082</v>
      </c>
      <c r="DI7" s="247">
        <f>VLOOKUP($H$7&amp;$F$1,'Input RM sheet'!$A:$ZZ,DH1,0)</f>
        <v>3046</v>
      </c>
      <c r="DJ7" s="247">
        <f>VLOOKUP($H$7&amp;$F$1,'Input RM sheet'!$A:$ZZ,DI1,0)</f>
        <v>3237</v>
      </c>
      <c r="DK7" s="247">
        <f>VLOOKUP($H$7&amp;$F$1,'Input RM sheet'!$A:$ZZ,DJ1,0)</f>
        <v>3105</v>
      </c>
      <c r="DL7" s="247">
        <f>VLOOKUP($H$7&amp;$F$1,'Input RM sheet'!$A:$ZZ,DK1,0)</f>
        <v>3028</v>
      </c>
      <c r="DM7" s="247">
        <f>VLOOKUP($H$7&amp;$F$1,'Input RM sheet'!$A:$ZZ,DL1,0)</f>
        <v>2980</v>
      </c>
      <c r="DN7" s="247">
        <f>VLOOKUP($H$7&amp;$F$1,'Input RM sheet'!$A:$ZZ,DM1,0)</f>
        <v>2964</v>
      </c>
      <c r="DO7" s="247">
        <f>VLOOKUP($H$7&amp;$F$1,'Input RM sheet'!$A:$ZZ,DN1,0)</f>
        <v>3090</v>
      </c>
      <c r="DP7" s="247">
        <f>VLOOKUP($H$7&amp;$F$1,'Input RM sheet'!$A:$ZZ,DO1,0)</f>
        <v>3079</v>
      </c>
      <c r="DQ7" s="247">
        <f>VLOOKUP($H$7&amp;$F$1,'Input RM sheet'!$A:$ZZ,DP1,0)</f>
        <v>3060</v>
      </c>
      <c r="DR7" s="247">
        <f>VLOOKUP($H$7&amp;$F$1,'Input RM sheet'!$A:$ZZ,DQ1,0)</f>
        <v>3035</v>
      </c>
      <c r="DS7" s="247">
        <f>VLOOKUP($H$7&amp;$F$1,'Input RM sheet'!$A:$ZZ,DR1,0)</f>
        <v>2984</v>
      </c>
      <c r="DT7" s="247">
        <f>VLOOKUP($H$7&amp;$F$1,'Input RM sheet'!$A:$ZZ,DS1,0)</f>
        <v>0</v>
      </c>
      <c r="DU7" s="247">
        <f>VLOOKUP($H$7&amp;$F$1,'Input RM sheet'!$A:$ZZ,DT1,0)</f>
        <v>0</v>
      </c>
      <c r="DV7" s="247">
        <f>VLOOKUP($H$7&amp;$F$1,'Input RM sheet'!$A:$ZZ,DU1,0)</f>
        <v>0</v>
      </c>
      <c r="DW7" s="247">
        <f>VLOOKUP($H$7&amp;$F$1,'Input RM sheet'!$A:$ZZ,DV1,0)</f>
        <v>0</v>
      </c>
      <c r="DX7" s="247">
        <f>VLOOKUP($H$7&amp;$F$1,'Input RM sheet'!$A:$ZZ,DW1,0)</f>
        <v>0</v>
      </c>
      <c r="DY7" s="247">
        <f>VLOOKUP($H$7&amp;$F$1,'Input RM sheet'!$A:$ZZ,DX1,0)</f>
        <v>0</v>
      </c>
      <c r="DZ7" s="247">
        <f>VLOOKUP($H$7&amp;$F$1,'Input RM sheet'!$A:$ZZ,DY1,0)</f>
        <v>0</v>
      </c>
      <c r="EA7" s="247">
        <f>VLOOKUP($H$7&amp;$F$1,'Input RM sheet'!$A:$ZZ,DZ1,0)</f>
        <v>0</v>
      </c>
      <c r="EB7" s="247">
        <f>VLOOKUP($H$7&amp;$F$1,'Input RM sheet'!$A:$ZZ,EA1,0)</f>
        <v>0</v>
      </c>
      <c r="EC7" s="247">
        <f>VLOOKUP($H$7&amp;$F$1,'Input RM sheet'!$A:$ZZ,EB1,0)</f>
        <v>0</v>
      </c>
      <c r="ED7" s="247">
        <f>VLOOKUP($H$7&amp;$F$1,'Input RM sheet'!$A:$ZZ,EC1,0)</f>
        <v>0</v>
      </c>
      <c r="EE7" s="247">
        <f>VLOOKUP($H$7&amp;$F$1,'Input RM sheet'!$A:$ZZ,ED1,0)</f>
        <v>0</v>
      </c>
      <c r="EF7" s="247">
        <f>VLOOKUP($H$7&amp;$F$1,'Input RM sheet'!$A:$ZZ,EE1,0)</f>
        <v>0</v>
      </c>
      <c r="EG7" s="247">
        <f>VLOOKUP($H$7&amp;$F$1,'Input RM sheet'!$A:$ZZ,EF1,0)</f>
        <v>0</v>
      </c>
      <c r="EH7" s="247">
        <f>VLOOKUP($H$7&amp;$F$1,'Input RM sheet'!$A:$ZZ,EG1,0)</f>
        <v>0</v>
      </c>
      <c r="EI7" s="247">
        <f>VLOOKUP($H$7&amp;$F$1,'Input RM sheet'!$A:$ZZ,EH1,0)</f>
        <v>0</v>
      </c>
      <c r="EJ7" s="247">
        <f>VLOOKUP($H$7&amp;$F$1,'Input RM sheet'!$A:$ZZ,EI1,0)</f>
        <v>0</v>
      </c>
      <c r="EK7" s="247">
        <f>VLOOKUP($H$7&amp;$F$1,'Input RM sheet'!$A:$ZZ,EJ1,0)</f>
        <v>0</v>
      </c>
      <c r="EL7" s="247">
        <f>VLOOKUP($H$7&amp;$F$1,'Input RM sheet'!$A:$ZZ,EK1,0)</f>
        <v>0</v>
      </c>
      <c r="EM7" s="247">
        <f>VLOOKUP($H$7&amp;$F$1,'Input RM sheet'!$A:$ZZ,EL1,0)</f>
        <v>0</v>
      </c>
    </row>
    <row r="8" spans="1:156">
      <c r="H8" s="178"/>
      <c r="I8" s="74"/>
      <c r="J8" s="74"/>
      <c r="K8" s="74"/>
      <c r="L8" s="74"/>
      <c r="M8" s="74"/>
      <c r="N8" s="74"/>
      <c r="O8" s="74"/>
      <c r="P8" s="74"/>
      <c r="Q8" s="74"/>
      <c r="R8" s="74"/>
      <c r="S8" s="74"/>
      <c r="T8" s="74"/>
      <c r="U8" s="74"/>
      <c r="V8" s="74"/>
      <c r="W8" s="74"/>
      <c r="X8" s="74"/>
      <c r="Y8" s="74"/>
      <c r="Z8" s="74"/>
      <c r="AA8" s="74"/>
      <c r="AB8" s="74"/>
      <c r="AC8" s="74"/>
      <c r="AD8" s="74"/>
      <c r="AE8" s="74"/>
      <c r="AF8" s="74"/>
      <c r="AG8" s="74"/>
      <c r="AH8" s="74"/>
      <c r="AI8" s="74"/>
      <c r="AJ8" s="74"/>
      <c r="AK8" s="74"/>
      <c r="AL8" s="74"/>
      <c r="AM8" s="74"/>
      <c r="AN8" s="74"/>
      <c r="AO8" s="74"/>
      <c r="AP8" s="74"/>
      <c r="AQ8" s="74"/>
      <c r="AR8" s="74"/>
      <c r="AS8" s="74"/>
      <c r="AT8" s="74"/>
      <c r="AU8" s="74"/>
      <c r="AV8" s="103"/>
      <c r="AW8" s="65"/>
    </row>
    <row r="9" spans="1:156" ht="26">
      <c r="A9" s="59" t="s">
        <v>395</v>
      </c>
      <c r="B9" s="59"/>
      <c r="C9" s="59" t="s">
        <v>379</v>
      </c>
      <c r="D9" s="98" t="s">
        <v>380</v>
      </c>
      <c r="E9" s="98" t="s">
        <v>381</v>
      </c>
      <c r="F9" s="59" t="s">
        <v>396</v>
      </c>
      <c r="H9" s="60" t="s">
        <v>399</v>
      </c>
      <c r="I9" s="84"/>
      <c r="J9" s="84"/>
      <c r="K9" s="84"/>
      <c r="L9" s="84"/>
      <c r="M9" s="84"/>
      <c r="N9" s="84"/>
      <c r="O9" s="84"/>
      <c r="P9" s="84"/>
      <c r="Q9" s="84"/>
      <c r="R9" s="84"/>
      <c r="S9" s="84"/>
      <c r="T9" s="84"/>
      <c r="U9" s="84"/>
      <c r="V9" s="84"/>
      <c r="W9" s="84"/>
      <c r="X9" s="84"/>
      <c r="Y9" s="84"/>
      <c r="Z9" s="84"/>
      <c r="AA9" s="84"/>
      <c r="AB9" s="84"/>
      <c r="AC9" s="84"/>
      <c r="AD9" s="84"/>
      <c r="AE9" s="84"/>
      <c r="AF9" s="84"/>
      <c r="AG9" s="84"/>
      <c r="AH9" s="84"/>
      <c r="AI9" s="84"/>
      <c r="AJ9" s="84"/>
      <c r="AK9" s="84"/>
      <c r="AL9" s="84"/>
      <c r="AM9" s="84"/>
      <c r="AN9" s="84"/>
      <c r="AO9" s="84"/>
      <c r="AP9" s="84"/>
      <c r="AQ9" s="84"/>
      <c r="AR9" s="84"/>
      <c r="AS9" s="84"/>
      <c r="AT9" s="84"/>
      <c r="AU9" s="84"/>
    </row>
    <row r="10" spans="1:156" ht="13">
      <c r="A10" s="107" t="s">
        <v>397</v>
      </c>
      <c r="B10" s="44" t="s">
        <v>97</v>
      </c>
      <c r="C10" s="60">
        <v>1</v>
      </c>
      <c r="D10" s="74">
        <v>44.05</v>
      </c>
      <c r="E10" s="65">
        <f>D10*C10</f>
        <v>44.05</v>
      </c>
      <c r="F10" s="65" t="e">
        <f>E10/E2</f>
        <v>#DIV/0!</v>
      </c>
      <c r="H10" s="60" t="s">
        <v>709</v>
      </c>
      <c r="I10" s="74">
        <f>I7</f>
        <v>2357.27</v>
      </c>
      <c r="J10" s="74">
        <f t="shared" ref="J10:BU10" si="0">J7</f>
        <v>2120.48</v>
      </c>
      <c r="K10" s="74">
        <f t="shared" si="0"/>
        <v>1905.61</v>
      </c>
      <c r="L10" s="74">
        <f t="shared" si="0"/>
        <v>1894.08</v>
      </c>
      <c r="M10" s="74">
        <f t="shared" si="0"/>
        <v>1963.39</v>
      </c>
      <c r="N10" s="74">
        <f t="shared" si="0"/>
        <v>2020.61</v>
      </c>
      <c r="O10" s="74">
        <f t="shared" si="0"/>
        <v>2162.2399999999998</v>
      </c>
      <c r="P10" s="74">
        <f t="shared" si="0"/>
        <v>2406.83</v>
      </c>
      <c r="Q10" s="74">
        <f t="shared" si="0"/>
        <v>2450.5</v>
      </c>
      <c r="R10" s="74">
        <f t="shared" si="0"/>
        <v>2441.5500000000002</v>
      </c>
      <c r="S10" s="74">
        <f t="shared" si="0"/>
        <v>2669.69</v>
      </c>
      <c r="T10" s="74">
        <f t="shared" si="0"/>
        <v>2782.36</v>
      </c>
      <c r="U10" s="74">
        <f t="shared" si="0"/>
        <v>2707.7</v>
      </c>
      <c r="V10" s="74">
        <f t="shared" si="0"/>
        <v>2730.47</v>
      </c>
      <c r="W10" s="74">
        <f t="shared" si="0"/>
        <v>2791.65</v>
      </c>
      <c r="X10" s="74">
        <f t="shared" si="0"/>
        <v>2827.35</v>
      </c>
      <c r="Y10" s="74">
        <f t="shared" si="0"/>
        <v>2970.29</v>
      </c>
      <c r="Z10" s="74">
        <f t="shared" si="0"/>
        <v>2950.07</v>
      </c>
      <c r="AA10" s="74">
        <f t="shared" si="0"/>
        <v>2950.07</v>
      </c>
      <c r="AB10" s="74">
        <f t="shared" si="0"/>
        <v>2950.07</v>
      </c>
      <c r="AC10" s="74">
        <f t="shared" si="0"/>
        <v>2950.07</v>
      </c>
      <c r="AD10" s="74">
        <f t="shared" si="0"/>
        <v>2950.07</v>
      </c>
      <c r="AE10" s="74">
        <f t="shared" si="0"/>
        <v>2950.07</v>
      </c>
      <c r="AF10" s="74">
        <f t="shared" si="0"/>
        <v>3153</v>
      </c>
      <c r="AG10" s="74">
        <f t="shared" si="0"/>
        <v>3609.95</v>
      </c>
      <c r="AH10" s="74">
        <f t="shared" si="0"/>
        <v>3643</v>
      </c>
      <c r="AI10" s="74">
        <f t="shared" si="0"/>
        <v>3974.3</v>
      </c>
      <c r="AJ10" s="74">
        <f t="shared" si="0"/>
        <v>4371.03</v>
      </c>
      <c r="AK10" s="74">
        <f t="shared" si="0"/>
        <v>3759.45</v>
      </c>
      <c r="AL10" s="74">
        <f t="shared" si="0"/>
        <v>3543.95</v>
      </c>
      <c r="AM10" s="74">
        <f t="shared" si="0"/>
        <v>3097.21</v>
      </c>
      <c r="AN10" s="74">
        <f t="shared" si="0"/>
        <v>3572.91</v>
      </c>
      <c r="AO10" s="74">
        <f t="shared" si="0"/>
        <v>3136.43</v>
      </c>
      <c r="AP10" s="74">
        <f t="shared" si="0"/>
        <v>2959.05</v>
      </c>
      <c r="AQ10" s="74">
        <f t="shared" si="0"/>
        <v>3144</v>
      </c>
      <c r="AR10" s="74">
        <f t="shared" si="0"/>
        <v>2685</v>
      </c>
      <c r="AS10" s="74">
        <f t="shared" si="0"/>
        <v>3287</v>
      </c>
      <c r="AT10" s="74">
        <f t="shared" si="0"/>
        <v>3142</v>
      </c>
      <c r="AU10" s="74">
        <f t="shared" si="0"/>
        <v>2924</v>
      </c>
      <c r="AV10" s="74">
        <f t="shared" si="0"/>
        <v>2771.31</v>
      </c>
      <c r="AW10" s="74">
        <f t="shared" si="0"/>
        <v>2230</v>
      </c>
      <c r="AX10" s="74">
        <f t="shared" si="0"/>
        <v>2346</v>
      </c>
      <c r="AY10" s="74">
        <f t="shared" si="0"/>
        <v>2355</v>
      </c>
      <c r="AZ10" s="74">
        <f t="shared" si="0"/>
        <v>2412</v>
      </c>
      <c r="BA10" s="74">
        <f t="shared" si="0"/>
        <v>2366</v>
      </c>
      <c r="BB10" s="74">
        <f t="shared" si="0"/>
        <v>2484.5</v>
      </c>
      <c r="BC10" s="74">
        <f t="shared" si="0"/>
        <v>2498</v>
      </c>
      <c r="BD10" s="74">
        <f t="shared" si="0"/>
        <v>2311</v>
      </c>
      <c r="BE10" s="74">
        <f t="shared" si="0"/>
        <v>2394</v>
      </c>
      <c r="BF10" s="74">
        <f t="shared" si="0"/>
        <v>2394</v>
      </c>
      <c r="BG10" s="74">
        <f t="shared" si="0"/>
        <v>2472.5</v>
      </c>
      <c r="BH10" s="74">
        <f t="shared" si="0"/>
        <v>2511.5</v>
      </c>
      <c r="BI10" s="74">
        <f t="shared" si="0"/>
        <v>2508</v>
      </c>
      <c r="BJ10" s="74">
        <f t="shared" si="0"/>
        <v>2640</v>
      </c>
      <c r="BK10" s="74">
        <f t="shared" si="0"/>
        <v>2509</v>
      </c>
      <c r="BL10" s="74">
        <f t="shared" si="0"/>
        <v>2446</v>
      </c>
      <c r="BM10" s="74">
        <f t="shared" si="0"/>
        <v>2442.5</v>
      </c>
      <c r="BN10" s="74">
        <f t="shared" si="0"/>
        <v>2465.5</v>
      </c>
      <c r="BO10" s="74">
        <f t="shared" si="0"/>
        <v>2524.5</v>
      </c>
      <c r="BP10" s="74">
        <f t="shared" si="0"/>
        <v>2600</v>
      </c>
      <c r="BQ10" s="74">
        <f t="shared" si="0"/>
        <v>2600</v>
      </c>
      <c r="BR10" s="74">
        <f t="shared" si="0"/>
        <v>2537.5</v>
      </c>
      <c r="BS10" s="74">
        <f t="shared" si="0"/>
        <v>2421.5</v>
      </c>
      <c r="BT10" s="74">
        <f t="shared" si="0"/>
        <v>2426.5</v>
      </c>
      <c r="BU10" s="74">
        <f t="shared" si="0"/>
        <v>2547</v>
      </c>
      <c r="BV10" s="74">
        <f t="shared" ref="BV10:CH10" si="1">BV7</f>
        <v>2658</v>
      </c>
      <c r="BW10" s="74">
        <f t="shared" si="1"/>
        <v>2562.5</v>
      </c>
      <c r="BX10" s="74">
        <f t="shared" si="1"/>
        <v>2462</v>
      </c>
      <c r="BY10" s="74">
        <f t="shared" si="1"/>
        <v>2462</v>
      </c>
      <c r="BZ10" s="74">
        <f t="shared" si="1"/>
        <v>2451</v>
      </c>
      <c r="CA10" s="74">
        <f t="shared" si="1"/>
        <v>2320</v>
      </c>
      <c r="CB10" s="74">
        <f t="shared" si="1"/>
        <v>2320</v>
      </c>
      <c r="CC10" s="74">
        <f t="shared" si="1"/>
        <v>2378</v>
      </c>
      <c r="CD10" s="74">
        <f t="shared" si="1"/>
        <v>2422</v>
      </c>
      <c r="CE10" s="74">
        <f t="shared" si="1"/>
        <v>2567</v>
      </c>
      <c r="CF10" s="74">
        <f t="shared" si="1"/>
        <v>2567</v>
      </c>
      <c r="CG10" s="74">
        <f t="shared" si="1"/>
        <v>2508</v>
      </c>
      <c r="CH10" s="74">
        <f t="shared" si="1"/>
        <v>2439</v>
      </c>
      <c r="CI10" s="74">
        <f>CI7</f>
        <v>2731</v>
      </c>
      <c r="CJ10" s="74">
        <f>CJ7</f>
        <v>2847</v>
      </c>
      <c r="CK10" s="74">
        <f>CK7</f>
        <v>2788</v>
      </c>
      <c r="CL10" s="74">
        <f t="shared" ref="CL10:CQ10" si="2">CL7</f>
        <v>2882</v>
      </c>
      <c r="CM10" s="74">
        <f t="shared" si="2"/>
        <v>2889</v>
      </c>
      <c r="CN10" s="74">
        <f t="shared" si="2"/>
        <v>2960</v>
      </c>
      <c r="CO10" s="74">
        <f t="shared" si="2"/>
        <v>3093</v>
      </c>
      <c r="CP10" s="74">
        <f t="shared" si="2"/>
        <v>3012</v>
      </c>
      <c r="CQ10" s="74">
        <f t="shared" si="2"/>
        <v>2985</v>
      </c>
      <c r="CR10" s="74">
        <f>CR7</f>
        <v>2889</v>
      </c>
      <c r="CS10" s="74">
        <f>CS7</f>
        <v>2817</v>
      </c>
      <c r="CT10" s="74">
        <f>CT7</f>
        <v>2846</v>
      </c>
      <c r="CU10" s="74">
        <f>CU7</f>
        <v>2861</v>
      </c>
      <c r="CV10" s="74">
        <f>CV7</f>
        <v>3001</v>
      </c>
      <c r="CW10" s="74">
        <f t="shared" ref="CW10:EM10" si="3">CW7</f>
        <v>2885</v>
      </c>
      <c r="CX10" s="74">
        <f t="shared" si="3"/>
        <v>2688.5</v>
      </c>
      <c r="CY10" s="74">
        <f t="shared" si="3"/>
        <v>2707</v>
      </c>
      <c r="CZ10" s="74">
        <f t="shared" si="3"/>
        <v>2697</v>
      </c>
      <c r="DA10" s="74">
        <f t="shared" si="3"/>
        <v>2714</v>
      </c>
      <c r="DB10" s="74">
        <f t="shared" si="3"/>
        <v>2694</v>
      </c>
      <c r="DC10" s="74">
        <f t="shared" si="3"/>
        <v>2813</v>
      </c>
      <c r="DD10" s="74">
        <f t="shared" si="3"/>
        <v>2714</v>
      </c>
      <c r="DE10" s="74">
        <f t="shared" si="3"/>
        <v>2726</v>
      </c>
      <c r="DF10" s="74">
        <f t="shared" si="3"/>
        <v>2888</v>
      </c>
      <c r="DG10" s="74">
        <f t="shared" si="3"/>
        <v>3130</v>
      </c>
      <c r="DH10" s="74">
        <f t="shared" si="3"/>
        <v>3082</v>
      </c>
      <c r="DI10" s="74">
        <f t="shared" si="3"/>
        <v>3046</v>
      </c>
      <c r="DJ10" s="74">
        <f t="shared" si="3"/>
        <v>3237</v>
      </c>
      <c r="DK10" s="74">
        <f t="shared" si="3"/>
        <v>3105</v>
      </c>
      <c r="DL10" s="74">
        <f t="shared" si="3"/>
        <v>3028</v>
      </c>
      <c r="DM10" s="74">
        <f t="shared" si="3"/>
        <v>2980</v>
      </c>
      <c r="DN10" s="74">
        <f t="shared" si="3"/>
        <v>2964</v>
      </c>
      <c r="DO10" s="74">
        <f t="shared" si="3"/>
        <v>3090</v>
      </c>
      <c r="DP10" s="74">
        <f t="shared" si="3"/>
        <v>3079</v>
      </c>
      <c r="DQ10" s="74">
        <f t="shared" si="3"/>
        <v>3060</v>
      </c>
      <c r="DR10" s="74">
        <f t="shared" si="3"/>
        <v>3035</v>
      </c>
      <c r="DS10" s="74">
        <f t="shared" si="3"/>
        <v>2984</v>
      </c>
      <c r="DT10" s="74">
        <f t="shared" si="3"/>
        <v>0</v>
      </c>
      <c r="DU10" s="74">
        <f t="shared" si="3"/>
        <v>0</v>
      </c>
      <c r="DV10" s="74">
        <f t="shared" si="3"/>
        <v>0</v>
      </c>
      <c r="DW10" s="74">
        <f t="shared" si="3"/>
        <v>0</v>
      </c>
      <c r="DX10" s="74">
        <f t="shared" si="3"/>
        <v>0</v>
      </c>
      <c r="DY10" s="74">
        <f t="shared" si="3"/>
        <v>0</v>
      </c>
      <c r="DZ10" s="74">
        <f t="shared" si="3"/>
        <v>0</v>
      </c>
      <c r="EA10" s="74">
        <f t="shared" si="3"/>
        <v>0</v>
      </c>
      <c r="EB10" s="74">
        <f t="shared" si="3"/>
        <v>0</v>
      </c>
      <c r="EC10" s="74">
        <f t="shared" si="3"/>
        <v>0</v>
      </c>
      <c r="ED10" s="74">
        <f t="shared" si="3"/>
        <v>0</v>
      </c>
      <c r="EE10" s="74">
        <f t="shared" si="3"/>
        <v>0</v>
      </c>
      <c r="EF10" s="74">
        <f t="shared" si="3"/>
        <v>0</v>
      </c>
      <c r="EG10" s="74">
        <f t="shared" si="3"/>
        <v>0</v>
      </c>
      <c r="EH10" s="74">
        <f t="shared" si="3"/>
        <v>0</v>
      </c>
      <c r="EI10" s="74">
        <f t="shared" si="3"/>
        <v>0</v>
      </c>
      <c r="EJ10" s="74">
        <f t="shared" si="3"/>
        <v>0</v>
      </c>
      <c r="EK10" s="74">
        <f t="shared" si="3"/>
        <v>0</v>
      </c>
      <c r="EL10" s="74">
        <f t="shared" si="3"/>
        <v>0</v>
      </c>
      <c r="EM10" s="74">
        <f t="shared" si="3"/>
        <v>0</v>
      </c>
    </row>
    <row r="11" spans="1:156">
      <c r="A11" s="67"/>
      <c r="B11" s="100"/>
      <c r="D11" s="74"/>
      <c r="E11" s="65"/>
      <c r="F11" s="65"/>
      <c r="H11" s="60" t="s">
        <v>710</v>
      </c>
      <c r="I11" s="74">
        <v>100</v>
      </c>
      <c r="J11" s="74">
        <v>100</v>
      </c>
      <c r="K11" s="74">
        <v>100</v>
      </c>
      <c r="L11" s="74">
        <v>100</v>
      </c>
      <c r="M11" s="74">
        <v>100</v>
      </c>
      <c r="N11" s="74">
        <v>100</v>
      </c>
      <c r="O11" s="74">
        <v>100</v>
      </c>
      <c r="P11" s="74">
        <v>100</v>
      </c>
      <c r="Q11" s="74">
        <v>100</v>
      </c>
      <c r="R11" s="74">
        <v>100</v>
      </c>
      <c r="S11" s="74">
        <v>100</v>
      </c>
      <c r="T11" s="74">
        <v>100</v>
      </c>
      <c r="U11" s="74">
        <v>100</v>
      </c>
      <c r="V11" s="74">
        <v>100</v>
      </c>
      <c r="W11" s="74">
        <v>100</v>
      </c>
      <c r="X11" s="74">
        <v>100</v>
      </c>
      <c r="Y11" s="74">
        <v>100</v>
      </c>
      <c r="Z11" s="74">
        <v>100</v>
      </c>
      <c r="AA11" s="74">
        <v>100</v>
      </c>
      <c r="AB11" s="74">
        <v>100</v>
      </c>
      <c r="AC11" s="74">
        <v>100</v>
      </c>
      <c r="AD11" s="74">
        <v>100</v>
      </c>
      <c r="AE11" s="74">
        <v>100</v>
      </c>
      <c r="AF11" s="74">
        <v>100</v>
      </c>
      <c r="AG11" s="74">
        <v>100</v>
      </c>
      <c r="AH11" s="74">
        <v>100</v>
      </c>
      <c r="AI11" s="74">
        <v>100</v>
      </c>
      <c r="AJ11" s="74">
        <v>100</v>
      </c>
      <c r="AK11" s="74">
        <v>100</v>
      </c>
      <c r="AL11" s="74">
        <v>100</v>
      </c>
      <c r="AM11" s="74">
        <v>100</v>
      </c>
      <c r="AN11" s="74">
        <v>100</v>
      </c>
      <c r="AO11" s="74">
        <v>100</v>
      </c>
      <c r="AP11" s="74">
        <v>100</v>
      </c>
      <c r="AQ11" s="74">
        <v>100</v>
      </c>
      <c r="AR11" s="74">
        <v>100</v>
      </c>
      <c r="AS11" s="74">
        <v>100</v>
      </c>
      <c r="AT11" s="74">
        <v>100</v>
      </c>
      <c r="AU11" s="74">
        <v>100</v>
      </c>
      <c r="AV11" s="74">
        <v>100</v>
      </c>
      <c r="AW11" s="74">
        <v>100</v>
      </c>
      <c r="AX11" s="74">
        <v>100</v>
      </c>
      <c r="AY11" s="74">
        <v>100</v>
      </c>
      <c r="AZ11" s="74">
        <v>100</v>
      </c>
      <c r="BA11" s="74">
        <v>100</v>
      </c>
      <c r="BB11" s="74">
        <v>100</v>
      </c>
      <c r="BC11" s="74">
        <v>100</v>
      </c>
      <c r="BD11" s="74">
        <v>100</v>
      </c>
      <c r="BE11" s="74">
        <v>100</v>
      </c>
      <c r="BF11" s="74">
        <v>100</v>
      </c>
      <c r="BG11" s="74">
        <v>100</v>
      </c>
      <c r="BH11" s="74">
        <v>100</v>
      </c>
      <c r="BI11" s="74">
        <v>100</v>
      </c>
      <c r="BJ11" s="74">
        <v>100</v>
      </c>
      <c r="BK11" s="74">
        <v>100</v>
      </c>
      <c r="BL11" s="74">
        <v>100</v>
      </c>
      <c r="BM11" s="74">
        <v>100</v>
      </c>
      <c r="BN11" s="74">
        <v>100</v>
      </c>
      <c r="BO11" s="74">
        <v>100</v>
      </c>
      <c r="BP11" s="74">
        <v>100</v>
      </c>
      <c r="BQ11" s="74">
        <v>100</v>
      </c>
      <c r="BR11" s="74">
        <v>100</v>
      </c>
      <c r="BS11" s="74">
        <v>100</v>
      </c>
      <c r="BT11" s="74">
        <v>100</v>
      </c>
      <c r="BU11" s="74">
        <v>100</v>
      </c>
      <c r="BV11" s="74">
        <v>100</v>
      </c>
      <c r="BW11" s="74">
        <v>100</v>
      </c>
      <c r="BX11" s="74">
        <v>100</v>
      </c>
      <c r="BY11" s="74">
        <v>100</v>
      </c>
      <c r="BZ11" s="74">
        <v>100</v>
      </c>
      <c r="CA11" s="74">
        <v>100</v>
      </c>
      <c r="CB11" s="74">
        <v>100</v>
      </c>
      <c r="CC11" s="74">
        <v>100</v>
      </c>
      <c r="CD11" s="74">
        <v>100</v>
      </c>
      <c r="CE11" s="74">
        <v>100</v>
      </c>
      <c r="CF11" s="74">
        <v>100</v>
      </c>
      <c r="CG11" s="74">
        <v>100</v>
      </c>
      <c r="CH11" s="74">
        <v>100</v>
      </c>
      <c r="CI11" s="74">
        <v>100</v>
      </c>
      <c r="CJ11" s="74">
        <v>100</v>
      </c>
      <c r="CK11" s="74">
        <v>100</v>
      </c>
      <c r="CL11" s="74">
        <v>100</v>
      </c>
      <c r="CM11" s="74">
        <v>100</v>
      </c>
      <c r="CN11" s="74">
        <v>100</v>
      </c>
      <c r="CO11" s="74">
        <v>100</v>
      </c>
      <c r="CP11" s="74">
        <v>100</v>
      </c>
      <c r="CQ11" s="74">
        <v>100</v>
      </c>
      <c r="CR11" s="74">
        <v>100</v>
      </c>
      <c r="CS11" s="74">
        <v>100</v>
      </c>
      <c r="CT11" s="74">
        <v>100</v>
      </c>
      <c r="CU11" s="74">
        <v>100</v>
      </c>
      <c r="CV11" s="74">
        <v>100</v>
      </c>
      <c r="CW11" s="74">
        <v>100</v>
      </c>
      <c r="CX11" s="74">
        <v>100</v>
      </c>
      <c r="CY11" s="74">
        <v>100</v>
      </c>
      <c r="CZ11" s="74">
        <v>100</v>
      </c>
      <c r="DA11" s="74">
        <v>100</v>
      </c>
      <c r="DB11" s="74">
        <v>100</v>
      </c>
      <c r="DC11" s="74">
        <v>100</v>
      </c>
      <c r="DD11" s="74">
        <v>100</v>
      </c>
      <c r="DE11" s="74">
        <v>100</v>
      </c>
      <c r="DF11" s="74">
        <v>100</v>
      </c>
      <c r="DG11" s="74">
        <v>100</v>
      </c>
      <c r="DH11" s="74">
        <v>100</v>
      </c>
      <c r="DI11" s="74">
        <v>100</v>
      </c>
      <c r="DJ11" s="74">
        <v>100</v>
      </c>
      <c r="DK11" s="74">
        <v>100</v>
      </c>
      <c r="DL11" s="74">
        <v>100</v>
      </c>
      <c r="DM11" s="74">
        <v>100</v>
      </c>
      <c r="DN11" s="74">
        <v>100</v>
      </c>
      <c r="DO11" s="74">
        <v>100</v>
      </c>
      <c r="DP11" s="74">
        <v>100</v>
      </c>
      <c r="DQ11" s="74">
        <v>100</v>
      </c>
      <c r="DR11" s="74">
        <v>100</v>
      </c>
      <c r="DS11" s="74">
        <v>100</v>
      </c>
      <c r="DT11" s="74">
        <v>100</v>
      </c>
      <c r="DU11" s="74">
        <v>100</v>
      </c>
      <c r="DV11" s="74">
        <v>100</v>
      </c>
      <c r="DW11" s="74">
        <v>100</v>
      </c>
      <c r="DX11" s="74">
        <v>100</v>
      </c>
      <c r="DY11" s="74">
        <v>100</v>
      </c>
      <c r="DZ11" s="74">
        <v>100</v>
      </c>
      <c r="EA11" s="74">
        <v>100</v>
      </c>
      <c r="EB11" s="74">
        <v>100</v>
      </c>
      <c r="EC11" s="74">
        <v>100</v>
      </c>
      <c r="ED11" s="74">
        <v>100</v>
      </c>
      <c r="EE11" s="74">
        <v>100</v>
      </c>
      <c r="EF11" s="74">
        <v>100</v>
      </c>
      <c r="EG11" s="74">
        <v>100</v>
      </c>
      <c r="EH11" s="74">
        <v>100</v>
      </c>
      <c r="EI11" s="74">
        <v>100</v>
      </c>
      <c r="EJ11" s="74">
        <v>100</v>
      </c>
      <c r="EK11" s="74">
        <v>100</v>
      </c>
      <c r="EL11" s="74">
        <v>100</v>
      </c>
      <c r="EM11" s="74">
        <v>100</v>
      </c>
    </row>
    <row r="12" spans="1:156">
      <c r="A12" s="67"/>
      <c r="B12" s="100"/>
      <c r="D12" s="74"/>
      <c r="E12" s="65"/>
      <c r="F12" s="65"/>
      <c r="H12" s="60" t="s">
        <v>711</v>
      </c>
      <c r="I12" s="70">
        <f>(I10+I11)*'Input RM sheet'!F1</f>
        <v>175175.4253154516</v>
      </c>
      <c r="J12" s="70">
        <f>(J10+J11)*'Input RM sheet'!G1</f>
        <v>158878.58283806901</v>
      </c>
      <c r="K12" s="70">
        <f>(K10+K11)*'Input RM sheet'!H1</f>
        <v>149323.69426941941</v>
      </c>
      <c r="L12" s="70">
        <f>(L10+L11)*'Input RM sheet'!I1</f>
        <v>152051.83040959999</v>
      </c>
      <c r="M12" s="70">
        <f>(M10+M11)*'Input RM sheet'!J1</f>
        <v>156046.44465945163</v>
      </c>
      <c r="N12" s="70">
        <f>(N10+N11)*'Input RM sheet'!K1</f>
        <v>160627.47058680002</v>
      </c>
      <c r="O12" s="70">
        <f>(O10+O11)*'Input RM sheet'!L1</f>
        <v>169496.60977858058</v>
      </c>
      <c r="P12" s="70">
        <f>(P10+P11)*'Input RM sheet'!M1</f>
        <v>186976.66235390323</v>
      </c>
      <c r="Q12" s="70">
        <f>(Q10+Q11)*'Input RM sheet'!N1</f>
        <v>187548.10993000004</v>
      </c>
      <c r="R12" s="70">
        <f>(R10+R11)*'Input RM sheet'!O1</f>
        <v>186847.5412774194</v>
      </c>
      <c r="S12" s="70">
        <f>(S10+S11)*'Input RM sheet'!P1</f>
        <v>205600.17278569992</v>
      </c>
      <c r="T12" s="70">
        <f>(T10+T11)*'Input RM sheet'!Q1</f>
        <v>212521.4881065714</v>
      </c>
      <c r="U12" s="70">
        <f>(U10+U11)*'Input RM sheet'!R1</f>
        <v>205327.10099999997</v>
      </c>
      <c r="V12" s="70">
        <f>(V10+V11)*'Input RM sheet'!S1</f>
        <v>206058.21599999999</v>
      </c>
      <c r="W12" s="70">
        <f>(W10+W11)*'Input RM sheet'!T1</f>
        <v>210512.12</v>
      </c>
      <c r="X12" s="70">
        <f>(X10+X11)*'Input RM sheet'!U1</f>
        <v>217941.20749999999</v>
      </c>
      <c r="Y12" s="70">
        <f>(Y10+Y11)*'Input RM sheet'!V1</f>
        <v>224898.74249999999</v>
      </c>
      <c r="Z12" s="70">
        <f>(Z10+Z11)*'Input RM sheet'!W1</f>
        <v>224302.14780000004</v>
      </c>
      <c r="AA12" s="70">
        <f>(AA10+AA11)*'Input RM sheet'!X1</f>
        <v>227321.71710000001</v>
      </c>
      <c r="AB12" s="70">
        <f>(AB10+AB11)*'Input RM sheet'!Y1</f>
        <v>226193.1912</v>
      </c>
      <c r="AC12" s="70">
        <f>(AC10+AC11)*'Input RM sheet'!Z1</f>
        <v>224332.64850000001</v>
      </c>
      <c r="AD12" s="70">
        <f>(AD10+AD11)*'Input RM sheet'!AA1</f>
        <v>228480.74369999999</v>
      </c>
      <c r="AE12" s="70">
        <f>(AE10+AE11)*'Input RM sheet'!AB1</f>
        <v>227138.71290000001</v>
      </c>
      <c r="AF12" s="70">
        <f>(AF10+AF11)*'Input RM sheet'!AC1</f>
        <v>245341.26</v>
      </c>
      <c r="AG12" s="70">
        <f>(AG10+AG11)*'Input RM sheet'!AD1</f>
        <v>276205.77750000003</v>
      </c>
      <c r="AH12" s="70">
        <f>(AH10+AH11)*'Input RM sheet'!AE1</f>
        <v>280575.27999999997</v>
      </c>
      <c r="AI12" s="70">
        <f>(AI10+AI11)*'Input RM sheet'!AF1</f>
        <v>310502.40299999999</v>
      </c>
      <c r="AJ12" s="70">
        <f>(AJ10+AJ11)*'Input RM sheet'!AG1</f>
        <v>341633.74959075003</v>
      </c>
      <c r="AK12" s="70">
        <f>(AK10+AK11)*'Input RM sheet'!AH1</f>
        <v>298409.87589874998</v>
      </c>
      <c r="AL12" s="70">
        <f>(AL10+AL11)*'Input RM sheet'!AI1</f>
        <v>284499.85585295444</v>
      </c>
      <c r="AM12" s="70">
        <f>(AM10+AM11)*'Input RM sheet'!AJ1</f>
        <v>254502.87928790474</v>
      </c>
      <c r="AN12" s="70">
        <f>(AN10+AN11)*'Input RM sheet'!AK1</f>
        <v>292168.72690933332</v>
      </c>
      <c r="AO12" s="70">
        <f>(AO10+AO11)*'Input RM sheet'!AL1</f>
        <v>259663.81007754547</v>
      </c>
      <c r="AP12" s="70">
        <f>(AP10+AP11)*'Input RM sheet'!AM1</f>
        <v>251882.53388916675</v>
      </c>
      <c r="AQ12" s="70">
        <f>(AQ10+AQ11)*'Input RM sheet'!AN1</f>
        <v>265393.32379047619</v>
      </c>
      <c r="AR12" s="70">
        <f>(AR10+AR11)*'Input RM sheet'!AO1</f>
        <v>229662.83497727269</v>
      </c>
      <c r="AS12" s="70">
        <f>(AS10+AS11)*'Input RM sheet'!AP1</f>
        <v>277393.91294285713</v>
      </c>
      <c r="AT12" s="70">
        <f>(AT10+AT11)*'Input RM sheet'!AQ1</f>
        <v>266238.38929999998</v>
      </c>
      <c r="AU12" s="70">
        <f>(AU10+AU11)*'Input RM sheet'!AR1</f>
        <v>248335.86960000001</v>
      </c>
      <c r="AV12" s="70">
        <f>(AV10+AV11)*'Input RM sheet'!AS1</f>
        <v>235796.71486149999</v>
      </c>
      <c r="AW12" s="70">
        <f>(AW10+AW11)*'Input RM sheet'!AT1</f>
        <v>191343.44450000001</v>
      </c>
      <c r="AX12" s="70">
        <f>(AX10+AX11)*'Input RM sheet'!AU1</f>
        <v>201795</v>
      </c>
      <c r="AY12" s="70">
        <f>(AY10+AY11)*'Input RM sheet'!AV1</f>
        <v>202390.19999999998</v>
      </c>
      <c r="AZ12" s="70">
        <f>(AZ10+AZ11)*'Input RM sheet'!AW1</f>
        <v>206436.16</v>
      </c>
      <c r="BA12" s="70">
        <f>(BA10+BA11)*'Input RM sheet'!AX1</f>
        <v>202014.72</v>
      </c>
      <c r="BB12" s="70">
        <f>(BB10+BB11)*'Input RM sheet'!AY1</f>
        <v>212600.97</v>
      </c>
      <c r="BC12" s="70">
        <f>(BC10+BC11)*'Input RM sheet'!AZ1</f>
        <v>215192.34</v>
      </c>
      <c r="BD12" s="70">
        <f>(BD10+BD11)*'Input RM sheet'!BA1</f>
        <v>200715.75</v>
      </c>
      <c r="BE12" s="70">
        <f>(BE10+BE11)*'Input RM sheet'!BB1</f>
        <v>207625.5</v>
      </c>
      <c r="BF12" s="70">
        <f>(BF10+BF11)*'Input RM sheet'!BC1</f>
        <v>206129.1</v>
      </c>
      <c r="BG12" s="70">
        <f>(BG10+BG11)*'Input RM sheet'!BD1</f>
        <v>213646.125</v>
      </c>
      <c r="BH12" s="70">
        <f>(BH10+BH11)*'Input RM sheet'!BE1</f>
        <v>216597.81</v>
      </c>
      <c r="BI12" s="70">
        <f>(BI10+BI11)*'Input RM sheet'!BF1</f>
        <v>216281.44000000003</v>
      </c>
      <c r="BJ12" s="70">
        <f>(BJ10+BJ11)*'Input RM sheet'!BG1</f>
        <v>228132.40000000002</v>
      </c>
      <c r="BK12" s="70">
        <f>(BK10+BK11)*'Input RM sheet'!BH1</f>
        <v>217120.98</v>
      </c>
      <c r="BL12" s="70">
        <f>(BL10+BL11)*'Input RM sheet'!BI1</f>
        <v>211954.5</v>
      </c>
      <c r="BM12" s="70">
        <f>(BM10+BM11)*'Input RM sheet'!BJ1</f>
        <v>211332.6</v>
      </c>
      <c r="BN12" s="70">
        <f>(BN10+BN11)*'Input RM sheet'!BK1</f>
        <v>213603.53</v>
      </c>
      <c r="BO12" s="70">
        <f>(BO10+BO11)*'Input RM sheet'!BL1</f>
        <v>218410.88999999998</v>
      </c>
      <c r="BP12" s="70">
        <f>(BP10+BP11)*'Input RM sheet'!BM1</f>
        <v>224613</v>
      </c>
      <c r="BQ12" s="70">
        <f>(BQ10+BQ11)*'Input RM sheet'!BN1</f>
        <v>224613</v>
      </c>
      <c r="BR12" s="70">
        <f>(BR10+BR11)*'Input RM sheet'!BO1</f>
        <v>219782.875</v>
      </c>
      <c r="BS12" s="70">
        <f>(BS10+BS11)*'Input RM sheet'!BP1</f>
        <v>210293.1</v>
      </c>
      <c r="BT12" s="70">
        <f>(BT10+BT11)*'Input RM sheet'!BQ1</f>
        <v>210609.04</v>
      </c>
      <c r="BU12" s="70">
        <f>(BU10+BU11)*'Input RM sheet'!BR1</f>
        <v>220336.28</v>
      </c>
      <c r="BV12" s="70">
        <f>(BV10+BV11)*'Input RM sheet'!BS1</f>
        <v>229796.55999999997</v>
      </c>
      <c r="BW12" s="70">
        <f>(BW10+BW11)*'Input RM sheet'!BT1</f>
        <v>221360.25</v>
      </c>
      <c r="BX12" s="70">
        <f>(BX10+BX11)*'Input RM sheet'!BU1</f>
        <v>213030.30000000002</v>
      </c>
      <c r="BY12" s="70">
        <f>(BY10+BY11)*'Input RM sheet'!BV1</f>
        <v>213286.5</v>
      </c>
      <c r="BZ12" s="70">
        <f>(BZ10+BZ11)*'Input RM sheet'!BW1</f>
        <v>211886.06</v>
      </c>
      <c r="CA12" s="70">
        <f>(CA10+CA11)*'Input RM sheet'!BX1</f>
        <v>200860</v>
      </c>
      <c r="CB12" s="70">
        <f>(CB10+CB11)*'Input RM sheet'!BY1</f>
        <v>200884.2</v>
      </c>
      <c r="CC12" s="70">
        <f>(CC10+CC11)*'Input RM sheet'!BZ1</f>
        <v>205426.2</v>
      </c>
      <c r="CD12" s="70">
        <f>(CD10+CD11)*'Input RM sheet'!CA1</f>
        <v>209073.80000000002</v>
      </c>
      <c r="CE12" s="70">
        <f>(CE10+CE11)*'Input RM sheet'!CB1</f>
        <v>220560.9</v>
      </c>
      <c r="CF12" s="70">
        <f>(CF10+CF11)*'Input RM sheet'!CC1</f>
        <v>220720.92</v>
      </c>
      <c r="CG12" s="70">
        <f>(CG10+CG11)*'Input RM sheet'!CD1</f>
        <v>217142.08000000002</v>
      </c>
      <c r="CH12" s="70">
        <f>(CH10+CH11)*'Input RM sheet'!CE1</f>
        <v>211727.21</v>
      </c>
      <c r="CI12" s="70">
        <f>(CI10+CI11)*'Input RM sheet'!CF1</f>
        <v>235567.50999999998</v>
      </c>
      <c r="CJ12" s="70">
        <f>(CJ10+CJ11)*'Input RM sheet'!CG1</f>
        <v>245779.80000000002</v>
      </c>
      <c r="CK12" s="70">
        <f>(CK10+CK11)*'Input RM sheet'!CH1</f>
        <v>241465.68</v>
      </c>
      <c r="CL12" s="70">
        <f>(CL10+CL11)*'Input RM sheet'!CI1</f>
        <v>248758.44</v>
      </c>
      <c r="CM12" s="70">
        <f>(CM10+CM11)*'Input RM sheet'!CJ1</f>
        <v>249581.5</v>
      </c>
      <c r="CN12" s="70">
        <f>(CN10+CN11)*'Input RM sheet'!CK1</f>
        <v>255050.99999999997</v>
      </c>
      <c r="CO12" s="70">
        <f>(CO10+CO11)*'Input RM sheet'!CL1</f>
        <v>266136.55</v>
      </c>
      <c r="CP12" s="70">
        <f>(CP10+CP11)*'Input RM sheet'!CM1</f>
        <v>259385.19999999998</v>
      </c>
      <c r="CQ12" s="70">
        <f>(CQ10+CQ11)*'Input RM sheet'!CN1</f>
        <v>257134.74999999997</v>
      </c>
      <c r="CR12" s="70">
        <f>(CR10+CR11)*'Input RM sheet'!CO1</f>
        <v>250747.21</v>
      </c>
      <c r="CS12" s="70">
        <f>(CS10+CS11)*'Input RM sheet'!CP1</f>
        <v>243277.80000000002</v>
      </c>
      <c r="CT12" s="70">
        <f>(CT10+CT11)*'Input RM sheet'!CQ1</f>
        <v>245991</v>
      </c>
      <c r="CU12" s="70">
        <f>(CU10+CU11)*'Input RM sheet'!CR1</f>
        <v>247095.45</v>
      </c>
      <c r="CV12" s="70">
        <f>(CV10+CV11)*'Input RM sheet'!CS1</f>
        <v>258840.47</v>
      </c>
      <c r="CW12" s="70">
        <f>(CW10+CW11)*'Input RM sheet'!CT1</f>
        <v>249396.75</v>
      </c>
      <c r="CX12" s="70">
        <f>(CX10+CX11)*'Input RM sheet'!CU1</f>
        <v>233397.45</v>
      </c>
      <c r="CY12" s="70">
        <f>(CY10+CY11)*'Input RM sheet'!CV1</f>
        <v>235030.11000000002</v>
      </c>
      <c r="CZ12" s="70">
        <f>(CZ10+CZ11)*'Input RM sheet'!CW1</f>
        <v>234808.15</v>
      </c>
      <c r="DA12" s="70">
        <f>(DA10+DA11)*'Input RM sheet'!CX1</f>
        <v>236263.43999999997</v>
      </c>
      <c r="DB12" s="70">
        <f>(DB10+DB11)*'Input RM sheet'!CY1</f>
        <v>234416.6</v>
      </c>
      <c r="DC12" s="70">
        <f>(DC10+DC11)*'Input RM sheet'!CZ1</f>
        <v>244371.57</v>
      </c>
      <c r="DD12" s="70">
        <f>(DD10+DD11)*'Input RM sheet'!DA1</f>
        <v>236263.43999999997</v>
      </c>
      <c r="DE12" s="70">
        <f>(DE10+DE11)*'Input RM sheet'!DB1</f>
        <v>237270.96</v>
      </c>
      <c r="DF12" s="70">
        <f>(DF10+DF11)*'Input RM sheet'!DC1</f>
        <v>249737.04</v>
      </c>
      <c r="DG12" s="70">
        <f>(DG10+DG11)*'Input RM sheet'!DD1</f>
        <v>270221.8</v>
      </c>
      <c r="DH12" s="70">
        <f>(DH10+DH11)*'Input RM sheet'!DE1</f>
        <v>267192.53999999998</v>
      </c>
      <c r="DI12" s="70">
        <f>(DI10+DI11)*'Input RM sheet'!DF1</f>
        <v>264484.21999999997</v>
      </c>
      <c r="DJ12" s="70">
        <f>(DJ10+DJ11)*'Input RM sheet'!DG1</f>
        <v>280541.58999999997</v>
      </c>
      <c r="DK12" s="70">
        <f>(DK10+DK11)*'Input RM sheet'!DH1</f>
        <v>269476.40000000002</v>
      </c>
      <c r="DL12" s="70">
        <f>(DL10+DL11)*'Input RM sheet'!DI1</f>
        <v>263127.36</v>
      </c>
      <c r="DM12" s="70">
        <f>(DM10+DM11)*'Input RM sheet'!DJ1</f>
        <v>259952.00000000003</v>
      </c>
      <c r="DN12" s="70">
        <f>(DN10+DN11)*'Input RM sheet'!DK1</f>
        <v>258203.28</v>
      </c>
      <c r="DO12" s="70">
        <f>(DO10+DO11)*'Input RM sheet'!DL1</f>
        <v>269969.7</v>
      </c>
      <c r="DP12" s="70">
        <f>(DP10+DP11)*'Input RM sheet'!DM1</f>
        <v>269229.51</v>
      </c>
      <c r="DQ12" s="70">
        <f>(DQ10+DQ11)*'Input RM sheet'!DN1</f>
        <v>268062.8</v>
      </c>
      <c r="DR12" s="70">
        <f>(DR10+DR11)*'Input RM sheet'!DO1</f>
        <v>266224.2</v>
      </c>
      <c r="DS12" s="70">
        <f>(DS10+DS11)*'Input RM sheet'!DP1</f>
        <v>262695.12</v>
      </c>
      <c r="DT12" s="70">
        <f>(DT10+DT11)*'Input RM sheet'!DQ1</f>
        <v>0</v>
      </c>
      <c r="DU12" s="70">
        <f>(DU10+DU11)*'Input RM sheet'!DR1</f>
        <v>0</v>
      </c>
      <c r="DV12" s="70">
        <f>(DV10+DV11)*'Input RM sheet'!DS1</f>
        <v>0</v>
      </c>
      <c r="DW12" s="70">
        <f>(DW10+DW11)*'Input RM sheet'!DT1</f>
        <v>0</v>
      </c>
      <c r="DX12" s="70">
        <f>(DX10+DX11)*'Input RM sheet'!DU1</f>
        <v>0</v>
      </c>
      <c r="DY12" s="70">
        <f>(DY10+DY11)*'Input RM sheet'!DV1</f>
        <v>0</v>
      </c>
      <c r="DZ12" s="70">
        <f>(DZ10+DZ11)*'Input RM sheet'!DW1</f>
        <v>0</v>
      </c>
      <c r="EA12" s="70">
        <f>(EA10+EA11)*'Input RM sheet'!DX1</f>
        <v>0</v>
      </c>
      <c r="EB12" s="70">
        <f>(EB10+EB11)*'Input RM sheet'!DY1</f>
        <v>0</v>
      </c>
      <c r="EC12" s="70">
        <f>(EC10+EC11)*'Input RM sheet'!DZ1</f>
        <v>0</v>
      </c>
      <c r="ED12" s="70">
        <f>(ED10+ED11)*'Input RM sheet'!EA1</f>
        <v>0</v>
      </c>
      <c r="EE12" s="70">
        <f>(EE10+EE11)*'Input RM sheet'!EB1</f>
        <v>0</v>
      </c>
      <c r="EF12" s="70">
        <f>(EF10+EF11)*'Input RM sheet'!EC1</f>
        <v>0</v>
      </c>
      <c r="EG12" s="70">
        <f>(EG10+EG11)*'Input RM sheet'!ED1</f>
        <v>0</v>
      </c>
      <c r="EH12" s="70">
        <f>(EH10+EH11)*'Input RM sheet'!EE1</f>
        <v>0</v>
      </c>
      <c r="EI12" s="70">
        <f>(EI10+EI11)*'Input RM sheet'!EF1</f>
        <v>0</v>
      </c>
      <c r="EJ12" s="70">
        <f>(EJ10+EJ11)*'Input RM sheet'!EG1</f>
        <v>0</v>
      </c>
      <c r="EK12" s="70">
        <f>(EK10+EK11)*'Input RM sheet'!EH1</f>
        <v>0</v>
      </c>
      <c r="EL12" s="70">
        <f>(EL10+EL11)*'Input RM sheet'!EI1</f>
        <v>0</v>
      </c>
      <c r="EM12" s="70">
        <f>(EM10+EM11)*'Input RM sheet'!EJ1</f>
        <v>0</v>
      </c>
    </row>
    <row r="13" spans="1:156">
      <c r="A13" s="67"/>
      <c r="B13" s="100"/>
      <c r="D13" s="74"/>
      <c r="E13" s="65"/>
      <c r="F13" s="65"/>
      <c r="H13" s="60" t="s">
        <v>712</v>
      </c>
      <c r="I13" s="70">
        <f t="shared" ref="I13:BT13" si="4">I12*105%</f>
        <v>183934.19658122418</v>
      </c>
      <c r="J13" s="70">
        <f t="shared" si="4"/>
        <v>166822.51197997248</v>
      </c>
      <c r="K13" s="70">
        <f t="shared" si="4"/>
        <v>156789.8789828904</v>
      </c>
      <c r="L13" s="70">
        <f t="shared" si="4"/>
        <v>159654.42193007999</v>
      </c>
      <c r="M13" s="70">
        <f t="shared" si="4"/>
        <v>163848.76689242423</v>
      </c>
      <c r="N13" s="70">
        <f t="shared" si="4"/>
        <v>168658.84411614001</v>
      </c>
      <c r="O13" s="70">
        <f t="shared" si="4"/>
        <v>177971.44026750961</v>
      </c>
      <c r="P13" s="70">
        <f t="shared" si="4"/>
        <v>196325.49547159841</v>
      </c>
      <c r="Q13" s="70">
        <f t="shared" si="4"/>
        <v>196925.51542650003</v>
      </c>
      <c r="R13" s="70">
        <f t="shared" si="4"/>
        <v>196189.91834129038</v>
      </c>
      <c r="S13" s="70">
        <f t="shared" si="4"/>
        <v>215880.18142498491</v>
      </c>
      <c r="T13" s="70">
        <f t="shared" si="4"/>
        <v>223147.56251189997</v>
      </c>
      <c r="U13" s="70">
        <f t="shared" si="4"/>
        <v>215593.45604999998</v>
      </c>
      <c r="V13" s="70">
        <f t="shared" si="4"/>
        <v>216361.1268</v>
      </c>
      <c r="W13" s="70">
        <f t="shared" si="4"/>
        <v>221037.726</v>
      </c>
      <c r="X13" s="70">
        <f t="shared" si="4"/>
        <v>228838.26787499999</v>
      </c>
      <c r="Y13" s="70">
        <f t="shared" si="4"/>
        <v>236143.67962499999</v>
      </c>
      <c r="Z13" s="70">
        <f t="shared" si="4"/>
        <v>235517.25519000005</v>
      </c>
      <c r="AA13" s="70">
        <f t="shared" si="4"/>
        <v>238687.80295500002</v>
      </c>
      <c r="AB13" s="70">
        <f t="shared" si="4"/>
        <v>237502.85076</v>
      </c>
      <c r="AC13" s="70">
        <f t="shared" si="4"/>
        <v>235549.28092500003</v>
      </c>
      <c r="AD13" s="70">
        <f t="shared" si="4"/>
        <v>239904.78088500001</v>
      </c>
      <c r="AE13" s="70">
        <f t="shared" si="4"/>
        <v>238495.64854500003</v>
      </c>
      <c r="AF13" s="70">
        <f t="shared" si="4"/>
        <v>257608.32300000003</v>
      </c>
      <c r="AG13" s="70">
        <f t="shared" si="4"/>
        <v>290016.06637500005</v>
      </c>
      <c r="AH13" s="70">
        <f t="shared" si="4"/>
        <v>294604.04399999999</v>
      </c>
      <c r="AI13" s="70">
        <f t="shared" si="4"/>
        <v>326027.52315000002</v>
      </c>
      <c r="AJ13" s="70">
        <f t="shared" si="4"/>
        <v>358715.43707028753</v>
      </c>
      <c r="AK13" s="70">
        <f t="shared" si="4"/>
        <v>313330.36969368748</v>
      </c>
      <c r="AL13" s="70">
        <f t="shared" si="4"/>
        <v>298724.84864560218</v>
      </c>
      <c r="AM13" s="70">
        <f t="shared" si="4"/>
        <v>267228.02325229999</v>
      </c>
      <c r="AN13" s="70">
        <f t="shared" si="4"/>
        <v>306777.16325480002</v>
      </c>
      <c r="AO13" s="70">
        <f t="shared" si="4"/>
        <v>272647.00058142276</v>
      </c>
      <c r="AP13" s="70">
        <f t="shared" si="4"/>
        <v>264476.66058362508</v>
      </c>
      <c r="AQ13" s="70">
        <f t="shared" si="4"/>
        <v>278662.98998000001</v>
      </c>
      <c r="AR13" s="70">
        <f t="shared" si="4"/>
        <v>241145.97672613634</v>
      </c>
      <c r="AS13" s="70">
        <f t="shared" si="4"/>
        <v>291263.60859000002</v>
      </c>
      <c r="AT13" s="70">
        <f t="shared" si="4"/>
        <v>279550.30876499997</v>
      </c>
      <c r="AU13" s="70">
        <f t="shared" si="4"/>
        <v>260752.66308000003</v>
      </c>
      <c r="AV13" s="70">
        <f t="shared" si="4"/>
        <v>247586.55060457499</v>
      </c>
      <c r="AW13" s="70">
        <f t="shared" si="4"/>
        <v>200910.61672500003</v>
      </c>
      <c r="AX13" s="70">
        <f t="shared" si="4"/>
        <v>211884.75</v>
      </c>
      <c r="AY13" s="70">
        <f t="shared" si="4"/>
        <v>212509.71</v>
      </c>
      <c r="AZ13" s="70">
        <f t="shared" si="4"/>
        <v>216757.96800000002</v>
      </c>
      <c r="BA13" s="70">
        <f t="shared" si="4"/>
        <v>212115.45600000001</v>
      </c>
      <c r="BB13" s="70">
        <f t="shared" si="4"/>
        <v>223231.01850000001</v>
      </c>
      <c r="BC13" s="70">
        <f t="shared" si="4"/>
        <v>225951.95699999999</v>
      </c>
      <c r="BD13" s="70">
        <f t="shared" si="4"/>
        <v>210751.53750000001</v>
      </c>
      <c r="BE13" s="70">
        <f t="shared" si="4"/>
        <v>218006.77500000002</v>
      </c>
      <c r="BF13" s="70">
        <f t="shared" si="4"/>
        <v>216435.55500000002</v>
      </c>
      <c r="BG13" s="70">
        <f t="shared" si="4"/>
        <v>224328.43125000002</v>
      </c>
      <c r="BH13" s="70">
        <f t="shared" si="4"/>
        <v>227427.70050000001</v>
      </c>
      <c r="BI13" s="70">
        <f t="shared" si="4"/>
        <v>227095.51200000005</v>
      </c>
      <c r="BJ13" s="70">
        <f t="shared" si="4"/>
        <v>239539.02000000005</v>
      </c>
      <c r="BK13" s="70">
        <f t="shared" si="4"/>
        <v>227977.02900000001</v>
      </c>
      <c r="BL13" s="70">
        <f t="shared" si="4"/>
        <v>222552.22500000001</v>
      </c>
      <c r="BM13" s="70">
        <f t="shared" si="4"/>
        <v>221899.23</v>
      </c>
      <c r="BN13" s="70">
        <f t="shared" si="4"/>
        <v>224283.7065</v>
      </c>
      <c r="BO13" s="70">
        <f t="shared" si="4"/>
        <v>229331.4345</v>
      </c>
      <c r="BP13" s="70">
        <f t="shared" si="4"/>
        <v>235843.65000000002</v>
      </c>
      <c r="BQ13" s="70">
        <f t="shared" si="4"/>
        <v>235843.65000000002</v>
      </c>
      <c r="BR13" s="70">
        <f t="shared" si="4"/>
        <v>230772.01875000002</v>
      </c>
      <c r="BS13" s="70">
        <f t="shared" si="4"/>
        <v>220807.755</v>
      </c>
      <c r="BT13" s="70">
        <f t="shared" si="4"/>
        <v>221139.49200000003</v>
      </c>
      <c r="BU13" s="70">
        <f t="shared" ref="BU13:CH13" si="5">BU12*105%</f>
        <v>231353.09400000001</v>
      </c>
      <c r="BV13" s="70">
        <f t="shared" si="5"/>
        <v>241286.38799999998</v>
      </c>
      <c r="BW13" s="70">
        <f t="shared" si="5"/>
        <v>232428.26250000001</v>
      </c>
      <c r="BX13" s="70">
        <f t="shared" si="5"/>
        <v>223681.81500000003</v>
      </c>
      <c r="BY13" s="70">
        <f t="shared" si="5"/>
        <v>223950.82500000001</v>
      </c>
      <c r="BZ13" s="70">
        <f t="shared" si="5"/>
        <v>222480.36300000001</v>
      </c>
      <c r="CA13" s="70">
        <f t="shared" si="5"/>
        <v>210903</v>
      </c>
      <c r="CB13" s="70">
        <f t="shared" si="5"/>
        <v>210928.41000000003</v>
      </c>
      <c r="CC13" s="70">
        <f t="shared" si="5"/>
        <v>215697.51</v>
      </c>
      <c r="CD13" s="70">
        <f t="shared" si="5"/>
        <v>219527.49000000002</v>
      </c>
      <c r="CE13" s="70">
        <f t="shared" si="5"/>
        <v>231588.94500000001</v>
      </c>
      <c r="CF13" s="70">
        <f t="shared" si="5"/>
        <v>231756.96600000001</v>
      </c>
      <c r="CG13" s="70">
        <f t="shared" si="5"/>
        <v>227999.18400000004</v>
      </c>
      <c r="CH13" s="70">
        <f t="shared" si="5"/>
        <v>222313.5705</v>
      </c>
      <c r="CI13" s="70">
        <f>CI12*105%</f>
        <v>247345.8855</v>
      </c>
      <c r="CJ13" s="70">
        <f>CJ12*105%</f>
        <v>258068.79000000004</v>
      </c>
      <c r="CK13" s="70">
        <f>CK12*105%</f>
        <v>253538.96400000001</v>
      </c>
      <c r="CL13" s="70">
        <f t="shared" ref="CL13:CQ13" si="6">CL12*105%</f>
        <v>261196.36200000002</v>
      </c>
      <c r="CM13" s="70">
        <f t="shared" si="6"/>
        <v>262060.57500000001</v>
      </c>
      <c r="CN13" s="70">
        <f t="shared" si="6"/>
        <v>267803.55</v>
      </c>
      <c r="CO13" s="70">
        <f t="shared" si="6"/>
        <v>279443.3775</v>
      </c>
      <c r="CP13" s="70">
        <f t="shared" si="6"/>
        <v>272354.46000000002</v>
      </c>
      <c r="CQ13" s="70">
        <f t="shared" si="6"/>
        <v>269991.48749999999</v>
      </c>
      <c r="CR13" s="70">
        <f>CR12*105%</f>
        <v>263284.57050000003</v>
      </c>
      <c r="CS13" s="70">
        <f>CS12*105%</f>
        <v>255441.69000000003</v>
      </c>
      <c r="CT13" s="70">
        <f>CT12*105%</f>
        <v>258290.55000000002</v>
      </c>
      <c r="CU13" s="70">
        <f>CU12*105%</f>
        <v>259450.22250000003</v>
      </c>
      <c r="CV13" s="70">
        <f>CV12*105%</f>
        <v>271782.49350000004</v>
      </c>
      <c r="CW13" s="70">
        <f t="shared" ref="CW13:EM13" si="7">CW12*105%</f>
        <v>261866.58750000002</v>
      </c>
      <c r="CX13" s="70">
        <f t="shared" si="7"/>
        <v>245067.32250000001</v>
      </c>
      <c r="CY13" s="70">
        <f t="shared" si="7"/>
        <v>246781.61550000001</v>
      </c>
      <c r="CZ13" s="70">
        <f t="shared" si="7"/>
        <v>246548.5575</v>
      </c>
      <c r="DA13" s="70">
        <f t="shared" si="7"/>
        <v>248076.61199999999</v>
      </c>
      <c r="DB13" s="70">
        <f t="shared" si="7"/>
        <v>246137.43000000002</v>
      </c>
      <c r="DC13" s="70">
        <f t="shared" si="7"/>
        <v>256590.14850000001</v>
      </c>
      <c r="DD13" s="70">
        <f t="shared" si="7"/>
        <v>248076.61199999999</v>
      </c>
      <c r="DE13" s="70">
        <f t="shared" si="7"/>
        <v>249134.508</v>
      </c>
      <c r="DF13" s="70">
        <f t="shared" si="7"/>
        <v>262223.89199999999</v>
      </c>
      <c r="DG13" s="70">
        <f t="shared" si="7"/>
        <v>283732.89</v>
      </c>
      <c r="DH13" s="70">
        <f t="shared" si="7"/>
        <v>280552.16700000002</v>
      </c>
      <c r="DI13" s="70">
        <f t="shared" si="7"/>
        <v>277708.43099999998</v>
      </c>
      <c r="DJ13" s="70">
        <f t="shared" si="7"/>
        <v>294568.66949999996</v>
      </c>
      <c r="DK13" s="70">
        <f t="shared" si="7"/>
        <v>282950.22000000003</v>
      </c>
      <c r="DL13" s="70">
        <f t="shared" si="7"/>
        <v>276283.728</v>
      </c>
      <c r="DM13" s="70">
        <f t="shared" si="7"/>
        <v>272949.60000000003</v>
      </c>
      <c r="DN13" s="70">
        <f t="shared" si="7"/>
        <v>271113.44400000002</v>
      </c>
      <c r="DO13" s="70">
        <f t="shared" si="7"/>
        <v>283468.185</v>
      </c>
      <c r="DP13" s="70">
        <f t="shared" si="7"/>
        <v>282690.98550000001</v>
      </c>
      <c r="DQ13" s="70">
        <f t="shared" si="7"/>
        <v>281465.94</v>
      </c>
      <c r="DR13" s="70">
        <f t="shared" si="7"/>
        <v>279535.41000000003</v>
      </c>
      <c r="DS13" s="70">
        <f t="shared" si="7"/>
        <v>275829.87599999999</v>
      </c>
      <c r="DT13" s="70">
        <f t="shared" si="7"/>
        <v>0</v>
      </c>
      <c r="DU13" s="70">
        <f t="shared" si="7"/>
        <v>0</v>
      </c>
      <c r="DV13" s="70">
        <f t="shared" si="7"/>
        <v>0</v>
      </c>
      <c r="DW13" s="70">
        <f t="shared" si="7"/>
        <v>0</v>
      </c>
      <c r="DX13" s="70">
        <f t="shared" si="7"/>
        <v>0</v>
      </c>
      <c r="DY13" s="70">
        <f t="shared" si="7"/>
        <v>0</v>
      </c>
      <c r="DZ13" s="70">
        <f t="shared" si="7"/>
        <v>0</v>
      </c>
      <c r="EA13" s="70">
        <f t="shared" si="7"/>
        <v>0</v>
      </c>
      <c r="EB13" s="70">
        <f t="shared" si="7"/>
        <v>0</v>
      </c>
      <c r="EC13" s="70">
        <f t="shared" si="7"/>
        <v>0</v>
      </c>
      <c r="ED13" s="70">
        <f t="shared" si="7"/>
        <v>0</v>
      </c>
      <c r="EE13" s="70">
        <f t="shared" si="7"/>
        <v>0</v>
      </c>
      <c r="EF13" s="70">
        <f t="shared" si="7"/>
        <v>0</v>
      </c>
      <c r="EG13" s="70">
        <f t="shared" si="7"/>
        <v>0</v>
      </c>
      <c r="EH13" s="70">
        <f t="shared" si="7"/>
        <v>0</v>
      </c>
      <c r="EI13" s="70">
        <f t="shared" si="7"/>
        <v>0</v>
      </c>
      <c r="EJ13" s="70">
        <f t="shared" si="7"/>
        <v>0</v>
      </c>
      <c r="EK13" s="70">
        <f t="shared" si="7"/>
        <v>0</v>
      </c>
      <c r="EL13" s="70">
        <f t="shared" si="7"/>
        <v>0</v>
      </c>
      <c r="EM13" s="70">
        <f t="shared" si="7"/>
        <v>0</v>
      </c>
    </row>
    <row r="14" spans="1:156">
      <c r="A14" s="67"/>
      <c r="B14" s="100"/>
      <c r="D14" s="74"/>
      <c r="E14" s="65"/>
      <c r="F14" s="65"/>
      <c r="H14" s="60" t="s">
        <v>713</v>
      </c>
      <c r="I14" s="70">
        <f>I13*101%</f>
        <v>185773.53854703641</v>
      </c>
      <c r="J14" s="70">
        <f t="shared" ref="J14:BU14" si="8">J13*101%</f>
        <v>168490.7370997722</v>
      </c>
      <c r="K14" s="70">
        <f t="shared" si="8"/>
        <v>158357.7777727193</v>
      </c>
      <c r="L14" s="70">
        <f t="shared" si="8"/>
        <v>161250.96614938078</v>
      </c>
      <c r="M14" s="70">
        <f t="shared" si="8"/>
        <v>165487.25456134847</v>
      </c>
      <c r="N14" s="70">
        <f t="shared" si="8"/>
        <v>170345.43255730142</v>
      </c>
      <c r="O14" s="70">
        <f t="shared" si="8"/>
        <v>179751.15467018471</v>
      </c>
      <c r="P14" s="70">
        <f t="shared" si="8"/>
        <v>198288.75042631439</v>
      </c>
      <c r="Q14" s="70">
        <f t="shared" si="8"/>
        <v>198894.77058076503</v>
      </c>
      <c r="R14" s="70">
        <f t="shared" si="8"/>
        <v>198151.81752470328</v>
      </c>
      <c r="S14" s="70">
        <f t="shared" si="8"/>
        <v>218038.98323923477</v>
      </c>
      <c r="T14" s="70">
        <f t="shared" si="8"/>
        <v>225379.03813701897</v>
      </c>
      <c r="U14" s="70">
        <f t="shared" si="8"/>
        <v>217749.39061049998</v>
      </c>
      <c r="V14" s="70">
        <f t="shared" si="8"/>
        <v>218524.73806800001</v>
      </c>
      <c r="W14" s="70">
        <f t="shared" si="8"/>
        <v>223248.10326</v>
      </c>
      <c r="X14" s="70">
        <f t="shared" si="8"/>
        <v>231126.65055374999</v>
      </c>
      <c r="Y14" s="70">
        <f t="shared" si="8"/>
        <v>238505.11642124999</v>
      </c>
      <c r="Z14" s="70">
        <f t="shared" si="8"/>
        <v>237872.42774190006</v>
      </c>
      <c r="AA14" s="70">
        <f t="shared" si="8"/>
        <v>241074.68098455001</v>
      </c>
      <c r="AB14" s="70">
        <f t="shared" si="8"/>
        <v>239877.87926760002</v>
      </c>
      <c r="AC14" s="70">
        <f t="shared" si="8"/>
        <v>237904.77373425002</v>
      </c>
      <c r="AD14" s="70">
        <f t="shared" si="8"/>
        <v>242303.82869385002</v>
      </c>
      <c r="AE14" s="70">
        <f t="shared" si="8"/>
        <v>240880.60503045004</v>
      </c>
      <c r="AF14" s="70">
        <f t="shared" si="8"/>
        <v>260184.40623000002</v>
      </c>
      <c r="AG14" s="70">
        <f t="shared" si="8"/>
        <v>292916.22703875008</v>
      </c>
      <c r="AH14" s="70">
        <f t="shared" si="8"/>
        <v>297550.08444000001</v>
      </c>
      <c r="AI14" s="70">
        <f t="shared" si="8"/>
        <v>329287.7983815</v>
      </c>
      <c r="AJ14" s="70">
        <f t="shared" si="8"/>
        <v>362302.59144099039</v>
      </c>
      <c r="AK14" s="70">
        <f t="shared" si="8"/>
        <v>316463.67339062435</v>
      </c>
      <c r="AL14" s="70">
        <f t="shared" si="8"/>
        <v>301712.09713205817</v>
      </c>
      <c r="AM14" s="70">
        <f t="shared" si="8"/>
        <v>269900.30348482297</v>
      </c>
      <c r="AN14" s="70">
        <f t="shared" si="8"/>
        <v>309844.93488734803</v>
      </c>
      <c r="AO14" s="70">
        <f t="shared" si="8"/>
        <v>275373.47058723698</v>
      </c>
      <c r="AP14" s="70">
        <f t="shared" si="8"/>
        <v>267121.42718946136</v>
      </c>
      <c r="AQ14" s="70">
        <f t="shared" si="8"/>
        <v>281449.61987980001</v>
      </c>
      <c r="AR14" s="70">
        <f t="shared" si="8"/>
        <v>243557.43649339772</v>
      </c>
      <c r="AS14" s="70">
        <f t="shared" si="8"/>
        <v>294176.24467590003</v>
      </c>
      <c r="AT14" s="70">
        <f t="shared" si="8"/>
        <v>282345.81185264996</v>
      </c>
      <c r="AU14" s="70">
        <f t="shared" si="8"/>
        <v>263360.18971080001</v>
      </c>
      <c r="AV14" s="70">
        <f t="shared" si="8"/>
        <v>250062.41611062075</v>
      </c>
      <c r="AW14" s="70">
        <f t="shared" si="8"/>
        <v>202919.72289225002</v>
      </c>
      <c r="AX14" s="70">
        <f t="shared" si="8"/>
        <v>214003.5975</v>
      </c>
      <c r="AY14" s="70">
        <f t="shared" si="8"/>
        <v>214634.80710000001</v>
      </c>
      <c r="AZ14" s="70">
        <f t="shared" si="8"/>
        <v>218925.54768000002</v>
      </c>
      <c r="BA14" s="70">
        <f t="shared" si="8"/>
        <v>214236.61056</v>
      </c>
      <c r="BB14" s="70">
        <f t="shared" si="8"/>
        <v>225463.32868500001</v>
      </c>
      <c r="BC14" s="70">
        <f t="shared" si="8"/>
        <v>228211.47657</v>
      </c>
      <c r="BD14" s="70">
        <f t="shared" si="8"/>
        <v>212859.05287499999</v>
      </c>
      <c r="BE14" s="70">
        <f t="shared" si="8"/>
        <v>220186.84275000004</v>
      </c>
      <c r="BF14" s="70">
        <f t="shared" si="8"/>
        <v>218599.91055000003</v>
      </c>
      <c r="BG14" s="70">
        <f t="shared" si="8"/>
        <v>226571.71556250003</v>
      </c>
      <c r="BH14" s="70">
        <f t="shared" si="8"/>
        <v>229701.97750500002</v>
      </c>
      <c r="BI14" s="70">
        <f t="shared" si="8"/>
        <v>229366.46712000004</v>
      </c>
      <c r="BJ14" s="70">
        <f t="shared" si="8"/>
        <v>241934.41020000004</v>
      </c>
      <c r="BK14" s="70">
        <f t="shared" si="8"/>
        <v>230256.79929000002</v>
      </c>
      <c r="BL14" s="70">
        <f t="shared" si="8"/>
        <v>224777.74725000001</v>
      </c>
      <c r="BM14" s="70">
        <f t="shared" si="8"/>
        <v>224118.22230000002</v>
      </c>
      <c r="BN14" s="70">
        <f t="shared" si="8"/>
        <v>226526.543565</v>
      </c>
      <c r="BO14" s="70">
        <f t="shared" si="8"/>
        <v>231624.74884499999</v>
      </c>
      <c r="BP14" s="70">
        <f t="shared" si="8"/>
        <v>238202.08650000003</v>
      </c>
      <c r="BQ14" s="70">
        <f t="shared" si="8"/>
        <v>238202.08650000003</v>
      </c>
      <c r="BR14" s="70">
        <f t="shared" si="8"/>
        <v>233079.73893750002</v>
      </c>
      <c r="BS14" s="70">
        <f t="shared" si="8"/>
        <v>223015.83255000002</v>
      </c>
      <c r="BT14" s="70">
        <f t="shared" si="8"/>
        <v>223350.88692000002</v>
      </c>
      <c r="BU14" s="70">
        <f t="shared" si="8"/>
        <v>233666.62494000001</v>
      </c>
      <c r="BV14" s="70">
        <f t="shared" ref="BV14:CH14" si="9">BV13*101%</f>
        <v>243699.25187999997</v>
      </c>
      <c r="BW14" s="70">
        <f t="shared" si="9"/>
        <v>234752.545125</v>
      </c>
      <c r="BX14" s="70">
        <f t="shared" si="9"/>
        <v>225918.63315000004</v>
      </c>
      <c r="BY14" s="70">
        <f t="shared" si="9"/>
        <v>226190.33325000003</v>
      </c>
      <c r="BZ14" s="70">
        <f t="shared" si="9"/>
        <v>224705.16663000002</v>
      </c>
      <c r="CA14" s="70">
        <f t="shared" si="9"/>
        <v>213012.03</v>
      </c>
      <c r="CB14" s="70">
        <f t="shared" si="9"/>
        <v>213037.69410000002</v>
      </c>
      <c r="CC14" s="70">
        <f t="shared" si="9"/>
        <v>217854.48510000002</v>
      </c>
      <c r="CD14" s="70">
        <f t="shared" si="9"/>
        <v>221722.76490000001</v>
      </c>
      <c r="CE14" s="70">
        <f t="shared" si="9"/>
        <v>233904.83444999999</v>
      </c>
      <c r="CF14" s="70">
        <f t="shared" si="9"/>
        <v>234074.53566000002</v>
      </c>
      <c r="CG14" s="70">
        <f t="shared" si="9"/>
        <v>230279.17584000004</v>
      </c>
      <c r="CH14" s="70">
        <f t="shared" si="9"/>
        <v>224536.70620499999</v>
      </c>
      <c r="CI14" s="70">
        <f>CI13*101%</f>
        <v>249819.34435500001</v>
      </c>
      <c r="CJ14" s="70">
        <f>CJ13*101%</f>
        <v>260649.47790000003</v>
      </c>
      <c r="CK14" s="70">
        <f>CK13*101%</f>
        <v>256074.35364000002</v>
      </c>
      <c r="CL14" s="70">
        <f t="shared" ref="CL14:CQ14" si="10">CL13*101%</f>
        <v>263808.32562000002</v>
      </c>
      <c r="CM14" s="70">
        <f t="shared" si="10"/>
        <v>264681.18075</v>
      </c>
      <c r="CN14" s="70">
        <f t="shared" si="10"/>
        <v>270481.58549999999</v>
      </c>
      <c r="CO14" s="70">
        <f t="shared" si="10"/>
        <v>282237.81127499999</v>
      </c>
      <c r="CP14" s="70">
        <f t="shared" si="10"/>
        <v>275078.00460000004</v>
      </c>
      <c r="CQ14" s="70">
        <f t="shared" si="10"/>
        <v>272691.40237500001</v>
      </c>
      <c r="CR14" s="70">
        <f>CR13*101%</f>
        <v>265917.41620500002</v>
      </c>
      <c r="CS14" s="70">
        <f>CS13*101%</f>
        <v>257996.10690000004</v>
      </c>
      <c r="CT14" s="70">
        <f>CT13*101%</f>
        <v>260873.45550000001</v>
      </c>
      <c r="CU14" s="70">
        <f>CU13*101%</f>
        <v>262044.72472500004</v>
      </c>
      <c r="CV14" s="70">
        <f>CV13*101%</f>
        <v>274500.31843500002</v>
      </c>
      <c r="CW14" s="70">
        <f t="shared" ref="CW14:EM14" si="11">CW13*101%</f>
        <v>264485.25337500003</v>
      </c>
      <c r="CX14" s="70">
        <f t="shared" si="11"/>
        <v>247517.99572500002</v>
      </c>
      <c r="CY14" s="70">
        <f t="shared" si="11"/>
        <v>249249.43165500002</v>
      </c>
      <c r="CZ14" s="70">
        <f t="shared" si="11"/>
        <v>249014.04307499999</v>
      </c>
      <c r="DA14" s="70">
        <f t="shared" si="11"/>
        <v>250557.37812000001</v>
      </c>
      <c r="DB14" s="70">
        <f t="shared" si="11"/>
        <v>248598.80430000002</v>
      </c>
      <c r="DC14" s="70">
        <f t="shared" si="11"/>
        <v>259156.04998500002</v>
      </c>
      <c r="DD14" s="70">
        <f t="shared" si="11"/>
        <v>250557.37812000001</v>
      </c>
      <c r="DE14" s="70">
        <f t="shared" si="11"/>
        <v>251625.85308</v>
      </c>
      <c r="DF14" s="70">
        <f t="shared" si="11"/>
        <v>264846.13091999997</v>
      </c>
      <c r="DG14" s="70">
        <f t="shared" si="11"/>
        <v>286570.21890000004</v>
      </c>
      <c r="DH14" s="70">
        <f t="shared" si="11"/>
        <v>283357.68867</v>
      </c>
      <c r="DI14" s="70">
        <f t="shared" si="11"/>
        <v>280485.51530999999</v>
      </c>
      <c r="DJ14" s="70">
        <f t="shared" si="11"/>
        <v>297514.35619499994</v>
      </c>
      <c r="DK14" s="70">
        <f t="shared" si="11"/>
        <v>285779.72220000002</v>
      </c>
      <c r="DL14" s="70">
        <f t="shared" si="11"/>
        <v>279046.56527999998</v>
      </c>
      <c r="DM14" s="70">
        <f t="shared" si="11"/>
        <v>275679.09600000002</v>
      </c>
      <c r="DN14" s="70">
        <f t="shared" si="11"/>
        <v>273824.57844000001</v>
      </c>
      <c r="DO14" s="70">
        <f t="shared" si="11"/>
        <v>286302.86684999999</v>
      </c>
      <c r="DP14" s="70">
        <f t="shared" si="11"/>
        <v>285517.89535499999</v>
      </c>
      <c r="DQ14" s="70">
        <f t="shared" si="11"/>
        <v>284280.59940000001</v>
      </c>
      <c r="DR14" s="70">
        <f t="shared" si="11"/>
        <v>282330.76410000003</v>
      </c>
      <c r="DS14" s="70">
        <f t="shared" si="11"/>
        <v>278588.17475999997</v>
      </c>
      <c r="DT14" s="70">
        <f t="shared" si="11"/>
        <v>0</v>
      </c>
      <c r="DU14" s="70">
        <f t="shared" si="11"/>
        <v>0</v>
      </c>
      <c r="DV14" s="70">
        <f t="shared" si="11"/>
        <v>0</v>
      </c>
      <c r="DW14" s="70">
        <f t="shared" si="11"/>
        <v>0</v>
      </c>
      <c r="DX14" s="70">
        <f t="shared" si="11"/>
        <v>0</v>
      </c>
      <c r="DY14" s="70">
        <f t="shared" si="11"/>
        <v>0</v>
      </c>
      <c r="DZ14" s="70">
        <f t="shared" si="11"/>
        <v>0</v>
      </c>
      <c r="EA14" s="70">
        <f t="shared" si="11"/>
        <v>0</v>
      </c>
      <c r="EB14" s="70">
        <f t="shared" si="11"/>
        <v>0</v>
      </c>
      <c r="EC14" s="70">
        <f t="shared" si="11"/>
        <v>0</v>
      </c>
      <c r="ED14" s="70">
        <f t="shared" si="11"/>
        <v>0</v>
      </c>
      <c r="EE14" s="70">
        <f t="shared" si="11"/>
        <v>0</v>
      </c>
      <c r="EF14" s="70">
        <f t="shared" si="11"/>
        <v>0</v>
      </c>
      <c r="EG14" s="70">
        <f t="shared" si="11"/>
        <v>0</v>
      </c>
      <c r="EH14" s="70">
        <f t="shared" si="11"/>
        <v>0</v>
      </c>
      <c r="EI14" s="70">
        <f t="shared" si="11"/>
        <v>0</v>
      </c>
      <c r="EJ14" s="70">
        <f t="shared" si="11"/>
        <v>0</v>
      </c>
      <c r="EK14" s="70">
        <f t="shared" si="11"/>
        <v>0</v>
      </c>
      <c r="EL14" s="70">
        <f t="shared" si="11"/>
        <v>0</v>
      </c>
      <c r="EM14" s="70">
        <f t="shared" si="11"/>
        <v>0</v>
      </c>
    </row>
    <row r="15" spans="1:156">
      <c r="A15" s="67"/>
      <c r="B15" s="100"/>
      <c r="D15" s="74"/>
      <c r="E15" s="65"/>
      <c r="F15" s="65"/>
      <c r="H15" s="60" t="s">
        <v>852</v>
      </c>
      <c r="I15" s="70">
        <f>I14*80%</f>
        <v>148618.83083762912</v>
      </c>
      <c r="J15" s="70">
        <f t="shared" ref="J15:BU15" si="12">J14*80%</f>
        <v>134792.58967981776</v>
      </c>
      <c r="K15" s="70">
        <f t="shared" si="12"/>
        <v>126686.22221817545</v>
      </c>
      <c r="L15" s="70">
        <f t="shared" si="12"/>
        <v>129000.77291950463</v>
      </c>
      <c r="M15" s="70">
        <f t="shared" si="12"/>
        <v>132389.80364907879</v>
      </c>
      <c r="N15" s="70">
        <f t="shared" si="12"/>
        <v>136276.34604584114</v>
      </c>
      <c r="O15" s="70">
        <f t="shared" si="12"/>
        <v>143800.92373614779</v>
      </c>
      <c r="P15" s="70">
        <f t="shared" si="12"/>
        <v>158631.00034105152</v>
      </c>
      <c r="Q15" s="70">
        <f t="shared" si="12"/>
        <v>159115.81646461203</v>
      </c>
      <c r="R15" s="70">
        <f t="shared" si="12"/>
        <v>158521.45401976263</v>
      </c>
      <c r="S15" s="70">
        <f t="shared" si="12"/>
        <v>174431.18659138784</v>
      </c>
      <c r="T15" s="70">
        <f t="shared" si="12"/>
        <v>180303.23050961518</v>
      </c>
      <c r="U15" s="70">
        <f t="shared" si="12"/>
        <v>174199.51248839998</v>
      </c>
      <c r="V15" s="70">
        <f t="shared" si="12"/>
        <v>174819.7904544</v>
      </c>
      <c r="W15" s="70">
        <f t="shared" si="12"/>
        <v>178598.48260800002</v>
      </c>
      <c r="X15" s="70">
        <f t="shared" si="12"/>
        <v>184901.320443</v>
      </c>
      <c r="Y15" s="70">
        <f t="shared" si="12"/>
        <v>190804.09313699999</v>
      </c>
      <c r="Z15" s="70">
        <f t="shared" si="12"/>
        <v>190297.94219352005</v>
      </c>
      <c r="AA15" s="70">
        <f t="shared" si="12"/>
        <v>192859.74478764003</v>
      </c>
      <c r="AB15" s="70">
        <f t="shared" si="12"/>
        <v>191902.30341408003</v>
      </c>
      <c r="AC15" s="70">
        <f t="shared" si="12"/>
        <v>190323.81898740004</v>
      </c>
      <c r="AD15" s="70">
        <f t="shared" si="12"/>
        <v>193843.06295508004</v>
      </c>
      <c r="AE15" s="70">
        <f t="shared" si="12"/>
        <v>192704.48402436005</v>
      </c>
      <c r="AF15" s="70">
        <f t="shared" si="12"/>
        <v>208147.52498400002</v>
      </c>
      <c r="AG15" s="70">
        <f t="shared" si="12"/>
        <v>234332.98163100006</v>
      </c>
      <c r="AH15" s="70">
        <f t="shared" si="12"/>
        <v>238040.06755200002</v>
      </c>
      <c r="AI15" s="70">
        <f t="shared" si="12"/>
        <v>263430.23870520003</v>
      </c>
      <c r="AJ15" s="70">
        <f t="shared" si="12"/>
        <v>289842.07315279235</v>
      </c>
      <c r="AK15" s="70">
        <f t="shared" si="12"/>
        <v>253170.93871249948</v>
      </c>
      <c r="AL15" s="70">
        <f t="shared" si="12"/>
        <v>241369.67770564655</v>
      </c>
      <c r="AM15" s="70">
        <f t="shared" si="12"/>
        <v>215920.24278785838</v>
      </c>
      <c r="AN15" s="70">
        <f t="shared" si="12"/>
        <v>247875.94790987845</v>
      </c>
      <c r="AO15" s="70">
        <f t="shared" si="12"/>
        <v>220298.77646978959</v>
      </c>
      <c r="AP15" s="70">
        <f t="shared" si="12"/>
        <v>213697.14175156911</v>
      </c>
      <c r="AQ15" s="70">
        <f t="shared" si="12"/>
        <v>225159.69590384001</v>
      </c>
      <c r="AR15" s="70">
        <f t="shared" si="12"/>
        <v>194845.94919471818</v>
      </c>
      <c r="AS15" s="70">
        <f t="shared" si="12"/>
        <v>235340.99574072004</v>
      </c>
      <c r="AT15" s="70">
        <f t="shared" si="12"/>
        <v>225876.64948211997</v>
      </c>
      <c r="AU15" s="70">
        <f t="shared" si="12"/>
        <v>210688.15176864003</v>
      </c>
      <c r="AV15" s="70">
        <f t="shared" si="12"/>
        <v>200049.93288849661</v>
      </c>
      <c r="AW15" s="70">
        <f t="shared" si="12"/>
        <v>162335.77831380002</v>
      </c>
      <c r="AX15" s="70">
        <f t="shared" si="12"/>
        <v>171202.87800000003</v>
      </c>
      <c r="AY15" s="70">
        <f t="shared" si="12"/>
        <v>171707.84568000003</v>
      </c>
      <c r="AZ15" s="70">
        <f t="shared" si="12"/>
        <v>175140.43814400001</v>
      </c>
      <c r="BA15" s="70">
        <f t="shared" si="12"/>
        <v>171389.28844800001</v>
      </c>
      <c r="BB15" s="70">
        <f t="shared" si="12"/>
        <v>180370.66294800001</v>
      </c>
      <c r="BC15" s="70">
        <f t="shared" si="12"/>
        <v>182569.18125600001</v>
      </c>
      <c r="BD15" s="70">
        <f t="shared" si="12"/>
        <v>170287.24230000001</v>
      </c>
      <c r="BE15" s="70">
        <f t="shared" si="12"/>
        <v>176149.47420000006</v>
      </c>
      <c r="BF15" s="70">
        <f t="shared" si="12"/>
        <v>174879.92844000005</v>
      </c>
      <c r="BG15" s="70">
        <f t="shared" si="12"/>
        <v>181257.37245000002</v>
      </c>
      <c r="BH15" s="70">
        <f t="shared" si="12"/>
        <v>183761.58200400003</v>
      </c>
      <c r="BI15" s="70">
        <f t="shared" si="12"/>
        <v>183493.17369600004</v>
      </c>
      <c r="BJ15" s="70">
        <f t="shared" si="12"/>
        <v>193547.52816000005</v>
      </c>
      <c r="BK15" s="70">
        <f t="shared" si="12"/>
        <v>184205.43943200004</v>
      </c>
      <c r="BL15" s="70">
        <f t="shared" si="12"/>
        <v>179822.19780000002</v>
      </c>
      <c r="BM15" s="70">
        <f t="shared" si="12"/>
        <v>179294.57784000004</v>
      </c>
      <c r="BN15" s="70">
        <f t="shared" si="12"/>
        <v>181221.23485200002</v>
      </c>
      <c r="BO15" s="70">
        <f t="shared" si="12"/>
        <v>185299.799076</v>
      </c>
      <c r="BP15" s="70">
        <f t="shared" si="12"/>
        <v>190561.66920000003</v>
      </c>
      <c r="BQ15" s="70">
        <f t="shared" si="12"/>
        <v>190561.66920000003</v>
      </c>
      <c r="BR15" s="70">
        <f t="shared" si="12"/>
        <v>186463.79115000003</v>
      </c>
      <c r="BS15" s="70">
        <f t="shared" si="12"/>
        <v>178412.66604000004</v>
      </c>
      <c r="BT15" s="70">
        <f t="shared" si="12"/>
        <v>178680.70953600004</v>
      </c>
      <c r="BU15" s="70">
        <f t="shared" si="12"/>
        <v>186933.29995200003</v>
      </c>
      <c r="BV15" s="70">
        <f t="shared" ref="BV15:EG15" si="13">BV14*80%</f>
        <v>194959.40150399998</v>
      </c>
      <c r="BW15" s="70">
        <f t="shared" si="13"/>
        <v>187802.03610000003</v>
      </c>
      <c r="BX15" s="70">
        <f t="shared" si="13"/>
        <v>180734.90652000005</v>
      </c>
      <c r="BY15" s="70">
        <f t="shared" si="13"/>
        <v>180952.26660000003</v>
      </c>
      <c r="BZ15" s="70">
        <f t="shared" si="13"/>
        <v>179764.13330400002</v>
      </c>
      <c r="CA15" s="70">
        <f t="shared" si="13"/>
        <v>170409.62400000001</v>
      </c>
      <c r="CB15" s="70">
        <f t="shared" si="13"/>
        <v>170430.15528000004</v>
      </c>
      <c r="CC15" s="70">
        <f t="shared" si="13"/>
        <v>174283.58808000002</v>
      </c>
      <c r="CD15" s="70">
        <f t="shared" si="13"/>
        <v>177378.21192000003</v>
      </c>
      <c r="CE15" s="70">
        <f t="shared" si="13"/>
        <v>187123.86756000001</v>
      </c>
      <c r="CF15" s="70">
        <f t="shared" si="13"/>
        <v>187259.62852800003</v>
      </c>
      <c r="CG15" s="70">
        <f t="shared" si="13"/>
        <v>184223.34067200005</v>
      </c>
      <c r="CH15" s="70">
        <f t="shared" si="13"/>
        <v>179629.36496400001</v>
      </c>
      <c r="CI15" s="70">
        <f t="shared" si="13"/>
        <v>199855.47548400002</v>
      </c>
      <c r="CJ15" s="70">
        <f t="shared" si="13"/>
        <v>208519.58232000005</v>
      </c>
      <c r="CK15" s="70">
        <f t="shared" si="13"/>
        <v>204859.48291200004</v>
      </c>
      <c r="CL15" s="70">
        <f t="shared" si="13"/>
        <v>211046.66049600003</v>
      </c>
      <c r="CM15" s="70">
        <f t="shared" si="13"/>
        <v>211744.94460000002</v>
      </c>
      <c r="CN15" s="70">
        <f t="shared" si="13"/>
        <v>216385.2684</v>
      </c>
      <c r="CO15" s="70">
        <f t="shared" si="13"/>
        <v>225790.24901999999</v>
      </c>
      <c r="CP15" s="70">
        <f t="shared" si="13"/>
        <v>220062.40368000005</v>
      </c>
      <c r="CQ15" s="70">
        <f t="shared" si="13"/>
        <v>218153.12190000003</v>
      </c>
      <c r="CR15" s="70">
        <f t="shared" si="13"/>
        <v>212733.93296400004</v>
      </c>
      <c r="CS15" s="70">
        <f t="shared" si="13"/>
        <v>206396.88552000004</v>
      </c>
      <c r="CT15" s="70">
        <f t="shared" si="13"/>
        <v>208698.76440000001</v>
      </c>
      <c r="CU15" s="70">
        <f t="shared" si="13"/>
        <v>209635.77978000004</v>
      </c>
      <c r="CV15" s="70">
        <f t="shared" si="13"/>
        <v>219600.25474800004</v>
      </c>
      <c r="CW15" s="70">
        <f t="shared" si="13"/>
        <v>211588.20270000002</v>
      </c>
      <c r="CX15" s="70">
        <f t="shared" si="13"/>
        <v>198014.39658000003</v>
      </c>
      <c r="CY15" s="70">
        <f t="shared" si="13"/>
        <v>199399.54532400004</v>
      </c>
      <c r="CZ15" s="70">
        <f t="shared" si="13"/>
        <v>199211.23446000001</v>
      </c>
      <c r="DA15" s="70">
        <f t="shared" si="13"/>
        <v>200445.90249600002</v>
      </c>
      <c r="DB15" s="70">
        <f t="shared" si="13"/>
        <v>198879.04344000004</v>
      </c>
      <c r="DC15" s="70">
        <f t="shared" si="13"/>
        <v>207324.83998800002</v>
      </c>
      <c r="DD15" s="70">
        <f t="shared" si="13"/>
        <v>200445.90249600002</v>
      </c>
      <c r="DE15" s="70">
        <f t="shared" si="13"/>
        <v>201300.68246400001</v>
      </c>
      <c r="DF15" s="70">
        <f t="shared" si="13"/>
        <v>211876.904736</v>
      </c>
      <c r="DG15" s="70">
        <f t="shared" si="13"/>
        <v>229256.17512000003</v>
      </c>
      <c r="DH15" s="70">
        <f t="shared" si="13"/>
        <v>226686.15093600002</v>
      </c>
      <c r="DI15" s="70">
        <f t="shared" si="13"/>
        <v>224388.41224800001</v>
      </c>
      <c r="DJ15" s="70">
        <f t="shared" si="13"/>
        <v>238011.48495599997</v>
      </c>
      <c r="DK15" s="70">
        <f t="shared" si="13"/>
        <v>228623.77776000003</v>
      </c>
      <c r="DL15" s="70">
        <f t="shared" si="13"/>
        <v>223237.252224</v>
      </c>
      <c r="DM15" s="70">
        <f t="shared" si="13"/>
        <v>220543.27680000002</v>
      </c>
      <c r="DN15" s="70">
        <f t="shared" si="13"/>
        <v>219059.66275200003</v>
      </c>
      <c r="DO15" s="70">
        <f t="shared" si="13"/>
        <v>229042.29347999999</v>
      </c>
      <c r="DP15" s="70">
        <f t="shared" si="13"/>
        <v>228414.316284</v>
      </c>
      <c r="DQ15" s="70">
        <f t="shared" si="13"/>
        <v>227424.47952000002</v>
      </c>
      <c r="DR15" s="70">
        <f t="shared" si="13"/>
        <v>225864.61128000004</v>
      </c>
      <c r="DS15" s="70">
        <f t="shared" si="13"/>
        <v>222870.53980799997</v>
      </c>
      <c r="DT15" s="70">
        <f t="shared" si="13"/>
        <v>0</v>
      </c>
      <c r="DU15" s="70">
        <f t="shared" si="13"/>
        <v>0</v>
      </c>
      <c r="DV15" s="70">
        <f t="shared" si="13"/>
        <v>0</v>
      </c>
      <c r="DW15" s="70">
        <f t="shared" si="13"/>
        <v>0</v>
      </c>
      <c r="DX15" s="70">
        <f t="shared" si="13"/>
        <v>0</v>
      </c>
      <c r="DY15" s="70">
        <f t="shared" si="13"/>
        <v>0</v>
      </c>
      <c r="DZ15" s="70">
        <f t="shared" si="13"/>
        <v>0</v>
      </c>
      <c r="EA15" s="70">
        <f t="shared" si="13"/>
        <v>0</v>
      </c>
      <c r="EB15" s="70">
        <f t="shared" si="13"/>
        <v>0</v>
      </c>
      <c r="EC15" s="70">
        <f t="shared" si="13"/>
        <v>0</v>
      </c>
      <c r="ED15" s="70">
        <f t="shared" si="13"/>
        <v>0</v>
      </c>
      <c r="EE15" s="70">
        <f t="shared" si="13"/>
        <v>0</v>
      </c>
      <c r="EF15" s="70">
        <f t="shared" si="13"/>
        <v>0</v>
      </c>
      <c r="EG15" s="70">
        <f t="shared" si="13"/>
        <v>0</v>
      </c>
      <c r="EH15" s="70">
        <f t="shared" ref="EH15:EM15" si="14">EH14*80%</f>
        <v>0</v>
      </c>
      <c r="EI15" s="70">
        <f t="shared" si="14"/>
        <v>0</v>
      </c>
      <c r="EJ15" s="70">
        <f t="shared" si="14"/>
        <v>0</v>
      </c>
      <c r="EK15" s="70">
        <f t="shared" si="14"/>
        <v>0</v>
      </c>
      <c r="EL15" s="70">
        <f t="shared" si="14"/>
        <v>0</v>
      </c>
      <c r="EM15" s="70">
        <f t="shared" si="14"/>
        <v>0</v>
      </c>
    </row>
    <row r="16" spans="1:156">
      <c r="A16" s="67"/>
      <c r="B16" s="100"/>
      <c r="D16" s="74"/>
      <c r="E16" s="65"/>
      <c r="F16" s="65"/>
      <c r="I16" s="70"/>
      <c r="J16" s="70"/>
      <c r="K16" s="70"/>
      <c r="L16" s="70"/>
      <c r="M16" s="70"/>
      <c r="N16" s="70"/>
      <c r="O16" s="70"/>
      <c r="P16" s="70"/>
      <c r="Q16" s="70"/>
      <c r="R16" s="70"/>
      <c r="S16" s="70"/>
      <c r="T16" s="70"/>
      <c r="U16" s="70"/>
      <c r="V16" s="70"/>
      <c r="W16" s="70"/>
      <c r="X16" s="70"/>
      <c r="Y16" s="70"/>
      <c r="Z16" s="70"/>
      <c r="AA16" s="70"/>
      <c r="AB16" s="70"/>
      <c r="AC16" s="70"/>
      <c r="AD16" s="70"/>
      <c r="AE16" s="70"/>
      <c r="AF16" s="70"/>
      <c r="AG16" s="70"/>
      <c r="AH16" s="70"/>
      <c r="AI16" s="70"/>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0"/>
      <c r="DD16" s="70"/>
      <c r="DE16" s="70"/>
      <c r="DF16" s="70"/>
      <c r="DG16" s="70"/>
      <c r="DH16" s="70"/>
      <c r="DI16" s="70"/>
      <c r="DJ16" s="70"/>
      <c r="DK16" s="70"/>
      <c r="DL16" s="70"/>
      <c r="DM16" s="70"/>
      <c r="DN16" s="70"/>
      <c r="DO16" s="70"/>
      <c r="DP16" s="70"/>
      <c r="DQ16" s="70"/>
      <c r="DR16" s="70"/>
      <c r="DS16" s="70"/>
      <c r="DT16" s="70"/>
      <c r="DU16" s="70"/>
      <c r="DV16" s="70"/>
      <c r="DW16" s="70"/>
      <c r="DX16" s="70"/>
      <c r="DY16" s="70"/>
      <c r="DZ16" s="70"/>
      <c r="EA16" s="70"/>
      <c r="EB16" s="70"/>
      <c r="EC16" s="70"/>
      <c r="ED16" s="70"/>
      <c r="EE16" s="70"/>
      <c r="EF16" s="70"/>
      <c r="EG16" s="70"/>
      <c r="EH16" s="70"/>
      <c r="EI16" s="70"/>
      <c r="EJ16" s="70"/>
      <c r="EK16" s="70"/>
      <c r="EL16" s="70"/>
      <c r="EM16" s="70"/>
    </row>
    <row r="17" spans="1:143">
      <c r="A17" s="67"/>
      <c r="B17" s="100"/>
      <c r="D17" s="74"/>
      <c r="E17" s="65"/>
      <c r="F17" s="65"/>
      <c r="I17" s="70"/>
      <c r="J17" s="70"/>
      <c r="K17" s="70"/>
      <c r="L17" s="70"/>
      <c r="M17" s="70"/>
      <c r="N17" s="70"/>
      <c r="O17" s="70"/>
      <c r="P17" s="70"/>
      <c r="Q17" s="70"/>
      <c r="R17" s="70"/>
      <c r="S17" s="70"/>
      <c r="T17" s="70"/>
      <c r="U17" s="70"/>
      <c r="V17" s="70"/>
      <c r="W17" s="70"/>
      <c r="X17" s="70"/>
      <c r="Y17" s="70"/>
      <c r="Z17" s="70"/>
      <c r="AA17" s="70"/>
      <c r="AB17" s="70"/>
      <c r="AC17" s="70"/>
      <c r="AD17" s="70"/>
      <c r="AE17" s="70"/>
      <c r="AF17" s="70"/>
      <c r="AG17" s="70"/>
      <c r="AH17" s="70"/>
      <c r="AI17" s="70"/>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0"/>
      <c r="DD17" s="70"/>
      <c r="DE17" s="70"/>
      <c r="DF17" s="70"/>
      <c r="DG17" s="70"/>
      <c r="DH17" s="70"/>
      <c r="DI17" s="70"/>
      <c r="DJ17" s="70"/>
      <c r="DK17" s="70"/>
      <c r="DL17" s="70"/>
      <c r="DM17" s="70"/>
      <c r="DN17" s="70"/>
      <c r="DO17" s="70"/>
      <c r="DP17" s="70"/>
      <c r="DQ17" s="70"/>
      <c r="DR17" s="70"/>
      <c r="DS17" s="70"/>
      <c r="DT17" s="70"/>
      <c r="DU17" s="70"/>
      <c r="DV17" s="70"/>
      <c r="DW17" s="70"/>
      <c r="DX17" s="70"/>
      <c r="DY17" s="70"/>
      <c r="DZ17" s="70"/>
      <c r="EA17" s="70"/>
      <c r="EB17" s="70"/>
      <c r="EC17" s="70"/>
      <c r="ED17" s="70"/>
      <c r="EE17" s="70"/>
      <c r="EF17" s="70"/>
      <c r="EG17" s="70"/>
      <c r="EH17" s="70"/>
      <c r="EI17" s="70"/>
      <c r="EJ17" s="70"/>
      <c r="EK17" s="70"/>
      <c r="EL17" s="70"/>
      <c r="EM17" s="70"/>
    </row>
    <row r="18" spans="1:143" s="104" customFormat="1">
      <c r="A18" s="104" t="s">
        <v>400</v>
      </c>
      <c r="H18" s="104" t="s">
        <v>853</v>
      </c>
      <c r="I18" s="105">
        <f>SUM(I15:I17)/1000</f>
        <v>148.61883083762913</v>
      </c>
      <c r="J18" s="105">
        <f t="shared" ref="J18:BU18" si="15">SUM(J15:J17)/1000</f>
        <v>134.79258967981775</v>
      </c>
      <c r="K18" s="105">
        <f t="shared" si="15"/>
        <v>126.68622221817544</v>
      </c>
      <c r="L18" s="105">
        <f t="shared" si="15"/>
        <v>129.00077291950464</v>
      </c>
      <c r="M18" s="105">
        <f t="shared" si="15"/>
        <v>132.3898036490788</v>
      </c>
      <c r="N18" s="105">
        <f t="shared" si="15"/>
        <v>136.27634604584114</v>
      </c>
      <c r="O18" s="105">
        <f t="shared" si="15"/>
        <v>143.80092373614778</v>
      </c>
      <c r="P18" s="105">
        <f t="shared" si="15"/>
        <v>158.63100034105153</v>
      </c>
      <c r="Q18" s="105">
        <f t="shared" si="15"/>
        <v>159.11581646461204</v>
      </c>
      <c r="R18" s="105">
        <f t="shared" si="15"/>
        <v>158.52145401976264</v>
      </c>
      <c r="S18" s="105">
        <f t="shared" si="15"/>
        <v>174.43118659138784</v>
      </c>
      <c r="T18" s="105">
        <f t="shared" si="15"/>
        <v>180.30323050961519</v>
      </c>
      <c r="U18" s="105">
        <f t="shared" si="15"/>
        <v>174.19951248839999</v>
      </c>
      <c r="V18" s="105">
        <f t="shared" si="15"/>
        <v>174.81979045439999</v>
      </c>
      <c r="W18" s="105">
        <f t="shared" si="15"/>
        <v>178.59848260800001</v>
      </c>
      <c r="X18" s="105">
        <f t="shared" si="15"/>
        <v>184.901320443</v>
      </c>
      <c r="Y18" s="105">
        <f t="shared" si="15"/>
        <v>190.804093137</v>
      </c>
      <c r="Z18" s="105">
        <f t="shared" si="15"/>
        <v>190.29794219352004</v>
      </c>
      <c r="AA18" s="105">
        <f t="shared" si="15"/>
        <v>192.85974478764004</v>
      </c>
      <c r="AB18" s="105">
        <f t="shared" si="15"/>
        <v>191.90230341408002</v>
      </c>
      <c r="AC18" s="105">
        <f t="shared" si="15"/>
        <v>190.32381898740005</v>
      </c>
      <c r="AD18" s="105">
        <f t="shared" si="15"/>
        <v>193.84306295508003</v>
      </c>
      <c r="AE18" s="105">
        <f t="shared" si="15"/>
        <v>192.70448402436006</v>
      </c>
      <c r="AF18" s="105">
        <f t="shared" si="15"/>
        <v>208.14752498400003</v>
      </c>
      <c r="AG18" s="105">
        <f t="shared" si="15"/>
        <v>234.33298163100005</v>
      </c>
      <c r="AH18" s="105">
        <f t="shared" si="15"/>
        <v>238.04006755200001</v>
      </c>
      <c r="AI18" s="105">
        <f t="shared" si="15"/>
        <v>263.43023870520005</v>
      </c>
      <c r="AJ18" s="105">
        <f t="shared" si="15"/>
        <v>289.84207315279235</v>
      </c>
      <c r="AK18" s="105">
        <f t="shared" si="15"/>
        <v>253.17093871249949</v>
      </c>
      <c r="AL18" s="105">
        <f t="shared" si="15"/>
        <v>241.36967770564655</v>
      </c>
      <c r="AM18" s="105">
        <f t="shared" si="15"/>
        <v>215.92024278785837</v>
      </c>
      <c r="AN18" s="105">
        <f t="shared" si="15"/>
        <v>247.87594790987845</v>
      </c>
      <c r="AO18" s="105">
        <f t="shared" si="15"/>
        <v>220.2987764697896</v>
      </c>
      <c r="AP18" s="105">
        <f t="shared" si="15"/>
        <v>213.69714175156912</v>
      </c>
      <c r="AQ18" s="105">
        <f t="shared" si="15"/>
        <v>225.15969590384</v>
      </c>
      <c r="AR18" s="105">
        <f t="shared" si="15"/>
        <v>194.84594919471817</v>
      </c>
      <c r="AS18" s="105">
        <f t="shared" si="15"/>
        <v>235.34099574072005</v>
      </c>
      <c r="AT18" s="105">
        <f t="shared" si="15"/>
        <v>225.87664948211997</v>
      </c>
      <c r="AU18" s="105">
        <f t="shared" si="15"/>
        <v>210.68815176864004</v>
      </c>
      <c r="AV18" s="105">
        <f t="shared" si="15"/>
        <v>200.04993288849661</v>
      </c>
      <c r="AW18" s="105">
        <f t="shared" si="15"/>
        <v>162.33577831380003</v>
      </c>
      <c r="AX18" s="105">
        <f t="shared" si="15"/>
        <v>171.20287800000003</v>
      </c>
      <c r="AY18" s="105">
        <f t="shared" si="15"/>
        <v>171.70784568000002</v>
      </c>
      <c r="AZ18" s="105">
        <f t="shared" si="15"/>
        <v>175.140438144</v>
      </c>
      <c r="BA18" s="105">
        <f t="shared" si="15"/>
        <v>171.389288448</v>
      </c>
      <c r="BB18" s="105">
        <f t="shared" si="15"/>
        <v>180.37066294800002</v>
      </c>
      <c r="BC18" s="105">
        <f t="shared" si="15"/>
        <v>182.56918125600001</v>
      </c>
      <c r="BD18" s="105">
        <f t="shared" si="15"/>
        <v>170.2872423</v>
      </c>
      <c r="BE18" s="105">
        <f t="shared" si="15"/>
        <v>176.14947420000004</v>
      </c>
      <c r="BF18" s="105">
        <f t="shared" si="15"/>
        <v>174.87992844000004</v>
      </c>
      <c r="BG18" s="105">
        <f t="shared" si="15"/>
        <v>181.25737245000002</v>
      </c>
      <c r="BH18" s="105">
        <f t="shared" si="15"/>
        <v>183.76158200400002</v>
      </c>
      <c r="BI18" s="105">
        <f t="shared" si="15"/>
        <v>183.49317369600004</v>
      </c>
      <c r="BJ18" s="105">
        <f t="shared" si="15"/>
        <v>193.54752816000004</v>
      </c>
      <c r="BK18" s="105">
        <f t="shared" si="15"/>
        <v>184.20543943200005</v>
      </c>
      <c r="BL18" s="105">
        <f t="shared" si="15"/>
        <v>179.82219780000003</v>
      </c>
      <c r="BM18" s="105">
        <f t="shared" si="15"/>
        <v>179.29457784000004</v>
      </c>
      <c r="BN18" s="105">
        <f t="shared" si="15"/>
        <v>181.22123485200001</v>
      </c>
      <c r="BO18" s="105">
        <f t="shared" si="15"/>
        <v>185.299799076</v>
      </c>
      <c r="BP18" s="105">
        <f t="shared" si="15"/>
        <v>190.56166920000004</v>
      </c>
      <c r="BQ18" s="105">
        <f t="shared" si="15"/>
        <v>190.56166920000004</v>
      </c>
      <c r="BR18" s="105">
        <f t="shared" si="15"/>
        <v>186.46379115000002</v>
      </c>
      <c r="BS18" s="105">
        <f t="shared" si="15"/>
        <v>178.41266604000003</v>
      </c>
      <c r="BT18" s="105">
        <f t="shared" si="15"/>
        <v>178.68070953600005</v>
      </c>
      <c r="BU18" s="105">
        <f t="shared" si="15"/>
        <v>186.93329995200003</v>
      </c>
      <c r="BV18" s="105">
        <f t="shared" ref="BV18:EG18" si="16">SUM(BV15:BV17)/1000</f>
        <v>194.95940150399997</v>
      </c>
      <c r="BW18" s="105">
        <f t="shared" si="16"/>
        <v>187.80203610000004</v>
      </c>
      <c r="BX18" s="105">
        <f t="shared" si="16"/>
        <v>180.73490652000004</v>
      </c>
      <c r="BY18" s="105">
        <f t="shared" si="16"/>
        <v>180.95226660000003</v>
      </c>
      <c r="BZ18" s="105">
        <f t="shared" si="16"/>
        <v>179.76413330400001</v>
      </c>
      <c r="CA18" s="105">
        <f t="shared" si="16"/>
        <v>170.40962400000001</v>
      </c>
      <c r="CB18" s="105">
        <f t="shared" si="16"/>
        <v>170.43015528000004</v>
      </c>
      <c r="CC18" s="105">
        <f t="shared" si="16"/>
        <v>174.28358808000002</v>
      </c>
      <c r="CD18" s="105">
        <f t="shared" si="16"/>
        <v>177.37821192000004</v>
      </c>
      <c r="CE18" s="105">
        <f t="shared" si="16"/>
        <v>187.12386756000001</v>
      </c>
      <c r="CF18" s="105">
        <f t="shared" si="16"/>
        <v>187.25962852800004</v>
      </c>
      <c r="CG18" s="105">
        <f t="shared" si="16"/>
        <v>184.22334067200006</v>
      </c>
      <c r="CH18" s="105">
        <f t="shared" si="16"/>
        <v>179.62936496400002</v>
      </c>
      <c r="CI18" s="105">
        <f t="shared" si="16"/>
        <v>199.85547548400001</v>
      </c>
      <c r="CJ18" s="105">
        <f t="shared" si="16"/>
        <v>208.51958232000004</v>
      </c>
      <c r="CK18" s="105">
        <f t="shared" si="16"/>
        <v>204.85948291200003</v>
      </c>
      <c r="CL18" s="105">
        <f t="shared" si="16"/>
        <v>211.04666049600002</v>
      </c>
      <c r="CM18" s="105">
        <f t="shared" si="16"/>
        <v>211.74494460000003</v>
      </c>
      <c r="CN18" s="105">
        <f t="shared" si="16"/>
        <v>216.3852684</v>
      </c>
      <c r="CO18" s="105">
        <f t="shared" si="16"/>
        <v>225.79024901999998</v>
      </c>
      <c r="CP18" s="105">
        <f t="shared" si="16"/>
        <v>220.06240368000005</v>
      </c>
      <c r="CQ18" s="105">
        <f t="shared" si="16"/>
        <v>218.15312190000003</v>
      </c>
      <c r="CR18" s="105">
        <f t="shared" si="16"/>
        <v>212.73393296400005</v>
      </c>
      <c r="CS18" s="105">
        <f t="shared" si="16"/>
        <v>206.39688552000004</v>
      </c>
      <c r="CT18" s="105">
        <f t="shared" si="16"/>
        <v>208.69876440000002</v>
      </c>
      <c r="CU18" s="105">
        <f t="shared" si="16"/>
        <v>209.63577978000004</v>
      </c>
      <c r="CV18" s="105">
        <f t="shared" si="16"/>
        <v>219.60025474800003</v>
      </c>
      <c r="CW18" s="105">
        <f t="shared" si="16"/>
        <v>211.58820270000001</v>
      </c>
      <c r="CX18" s="105">
        <f t="shared" si="16"/>
        <v>198.01439658000004</v>
      </c>
      <c r="CY18" s="105">
        <f t="shared" si="16"/>
        <v>199.39954532400003</v>
      </c>
      <c r="CZ18" s="105">
        <f t="shared" si="16"/>
        <v>199.21123446000001</v>
      </c>
      <c r="DA18" s="105">
        <f t="shared" si="16"/>
        <v>200.44590249600003</v>
      </c>
      <c r="DB18" s="105">
        <f t="shared" si="16"/>
        <v>198.87904344000003</v>
      </c>
      <c r="DC18" s="105">
        <f t="shared" si="16"/>
        <v>207.32483998800001</v>
      </c>
      <c r="DD18" s="105">
        <f t="shared" si="16"/>
        <v>200.44590249600003</v>
      </c>
      <c r="DE18" s="105">
        <f t="shared" si="16"/>
        <v>201.300682464</v>
      </c>
      <c r="DF18" s="105">
        <f t="shared" si="16"/>
        <v>211.876904736</v>
      </c>
      <c r="DG18" s="105">
        <f t="shared" si="16"/>
        <v>229.25617512000002</v>
      </c>
      <c r="DH18" s="105">
        <f t="shared" si="16"/>
        <v>226.68615093600002</v>
      </c>
      <c r="DI18" s="105">
        <f t="shared" si="16"/>
        <v>224.38841224800001</v>
      </c>
      <c r="DJ18" s="105">
        <f t="shared" si="16"/>
        <v>238.01148495599998</v>
      </c>
      <c r="DK18" s="105">
        <f t="shared" si="16"/>
        <v>228.62377776000002</v>
      </c>
      <c r="DL18" s="105">
        <f t="shared" si="16"/>
        <v>223.237252224</v>
      </c>
      <c r="DM18" s="105">
        <f t="shared" si="16"/>
        <v>220.54327680000003</v>
      </c>
      <c r="DN18" s="105">
        <f t="shared" si="16"/>
        <v>219.05966275200004</v>
      </c>
      <c r="DO18" s="105">
        <f t="shared" si="16"/>
        <v>229.04229347999998</v>
      </c>
      <c r="DP18" s="105">
        <f t="shared" si="16"/>
        <v>228.41431628399999</v>
      </c>
      <c r="DQ18" s="105">
        <f t="shared" si="16"/>
        <v>227.42447952000003</v>
      </c>
      <c r="DR18" s="105">
        <f t="shared" si="16"/>
        <v>225.86461128000005</v>
      </c>
      <c r="DS18" s="105">
        <f t="shared" si="16"/>
        <v>222.87053980799996</v>
      </c>
      <c r="DT18" s="105">
        <f t="shared" si="16"/>
        <v>0</v>
      </c>
      <c r="DU18" s="105">
        <f t="shared" si="16"/>
        <v>0</v>
      </c>
      <c r="DV18" s="105">
        <f t="shared" si="16"/>
        <v>0</v>
      </c>
      <c r="DW18" s="105">
        <f t="shared" si="16"/>
        <v>0</v>
      </c>
      <c r="DX18" s="105">
        <f t="shared" si="16"/>
        <v>0</v>
      </c>
      <c r="DY18" s="105">
        <f t="shared" si="16"/>
        <v>0</v>
      </c>
      <c r="DZ18" s="105">
        <f t="shared" si="16"/>
        <v>0</v>
      </c>
      <c r="EA18" s="105">
        <f t="shared" si="16"/>
        <v>0</v>
      </c>
      <c r="EB18" s="105">
        <f t="shared" si="16"/>
        <v>0</v>
      </c>
      <c r="EC18" s="105">
        <f t="shared" si="16"/>
        <v>0</v>
      </c>
      <c r="ED18" s="105">
        <f t="shared" si="16"/>
        <v>0</v>
      </c>
      <c r="EE18" s="105">
        <f t="shared" si="16"/>
        <v>0</v>
      </c>
      <c r="EF18" s="105">
        <f t="shared" si="16"/>
        <v>0</v>
      </c>
      <c r="EG18" s="105">
        <f t="shared" si="16"/>
        <v>0</v>
      </c>
      <c r="EH18" s="105">
        <f t="shared" ref="EH18:EM18" si="17">SUM(EH15:EH17)</f>
        <v>0</v>
      </c>
      <c r="EI18" s="105">
        <f t="shared" si="17"/>
        <v>0</v>
      </c>
      <c r="EJ18" s="105">
        <f t="shared" si="17"/>
        <v>0</v>
      </c>
      <c r="EK18" s="105">
        <f t="shared" si="17"/>
        <v>0</v>
      </c>
      <c r="EL18" s="105">
        <f t="shared" si="17"/>
        <v>0</v>
      </c>
      <c r="EM18" s="105">
        <f t="shared" si="17"/>
        <v>0</v>
      </c>
    </row>
    <row r="20" spans="1:143">
      <c r="H20" s="60" t="s">
        <v>429</v>
      </c>
      <c r="N20" s="60">
        <v>150</v>
      </c>
      <c r="O20" s="60">
        <v>158</v>
      </c>
      <c r="P20" s="60">
        <v>156</v>
      </c>
      <c r="S20" s="60">
        <v>400</v>
      </c>
      <c r="V20" s="60">
        <v>175</v>
      </c>
      <c r="W20" s="60">
        <v>187</v>
      </c>
      <c r="Y20" s="60">
        <v>186</v>
      </c>
      <c r="AX20" s="60">
        <v>204</v>
      </c>
      <c r="AZ20" s="60">
        <v>196</v>
      </c>
      <c r="BG20" s="60">
        <v>199</v>
      </c>
      <c r="BL20" s="60">
        <v>195</v>
      </c>
      <c r="BP20" s="60">
        <v>202</v>
      </c>
      <c r="BX20" s="60">
        <v>200</v>
      </c>
      <c r="CE20" s="60">
        <v>196</v>
      </c>
    </row>
    <row r="21" spans="1:143" ht="13" thickBot="1">
      <c r="H21" s="60" t="s">
        <v>406</v>
      </c>
      <c r="N21" s="65">
        <f>N20-N18</f>
        <v>13.723653954158863</v>
      </c>
      <c r="O21" s="65">
        <f>O20-O18</f>
        <v>14.19907626385222</v>
      </c>
      <c r="P21" s="65">
        <f>P20-P18</f>
        <v>-2.6310003410515321</v>
      </c>
      <c r="S21" s="65">
        <f>S20-S18</f>
        <v>225.56881340861216</v>
      </c>
      <c r="V21" s="65">
        <f>V20-V18</f>
        <v>0.18020954560000746</v>
      </c>
      <c r="W21" s="65">
        <f>W20-W18</f>
        <v>8.4015173919999881</v>
      </c>
      <c r="Y21" s="65">
        <f>Y20-Y18</f>
        <v>-4.8040931369999953</v>
      </c>
      <c r="AX21" s="65">
        <f>AX20-AX18</f>
        <v>32.797121999999973</v>
      </c>
      <c r="AZ21" s="65">
        <f>AZ20-AZ18</f>
        <v>20.859561855999999</v>
      </c>
      <c r="BG21" s="65">
        <f>BG20-BG18</f>
        <v>17.74262754999998</v>
      </c>
      <c r="BL21" s="65">
        <f>BL20-BL18</f>
        <v>15.177802199999974</v>
      </c>
      <c r="BP21" s="65">
        <f>BP20-BP18</f>
        <v>11.43833079999996</v>
      </c>
      <c r="BX21" s="65">
        <f>BX20-BX18</f>
        <v>19.265093479999962</v>
      </c>
      <c r="CE21" s="65">
        <f>CE20-CE18</f>
        <v>8.8761324399999921</v>
      </c>
    </row>
    <row r="22" spans="1:143" hidden="1"/>
    <row r="23" spans="1:143" hidden="1"/>
    <row r="24" spans="1:143" ht="13" hidden="1" thickBot="1"/>
    <row r="25" spans="1:143" ht="13" thickBot="1">
      <c r="H25" s="106" t="s">
        <v>407</v>
      </c>
      <c r="I25" s="109">
        <f>I18/'Input RM sheet'!F1</f>
        <v>2.084747868</v>
      </c>
      <c r="J25" s="109">
        <f>J18/'Input RM sheet'!G1</f>
        <v>1.8838552320000002</v>
      </c>
      <c r="K25" s="109">
        <f>K18/'Input RM sheet'!H1</f>
        <v>1.7015595240000001</v>
      </c>
      <c r="L25" s="109">
        <f>L18/'Input RM sheet'!I1</f>
        <v>1.6917774720000001</v>
      </c>
      <c r="M25" s="109">
        <f>M18/'Input RM sheet'!J1</f>
        <v>1.750580076000001</v>
      </c>
      <c r="N25" s="109">
        <f>N18/'Input RM sheet'!K1</f>
        <v>1.7991255239999999</v>
      </c>
      <c r="O25" s="109">
        <f>O18/'Input RM sheet'!L1</f>
        <v>1.919284416</v>
      </c>
      <c r="P25" s="109">
        <f>P18/'Input RM sheet'!M1</f>
        <v>2.1267945720000005</v>
      </c>
      <c r="Q25" s="109">
        <f>Q18/'Input RM sheet'!N1</f>
        <v>2.1638441999999998</v>
      </c>
      <c r="R25" s="109">
        <f>R18/'Input RM sheet'!O1</f>
        <v>2.1562510200000005</v>
      </c>
      <c r="S25" s="109">
        <f>S18/'Input RM sheet'!P1</f>
        <v>2.3498049960000005</v>
      </c>
      <c r="T25" s="109">
        <f>T18/'Input RM sheet'!Q1</f>
        <v>2.4453942240000002</v>
      </c>
      <c r="U25" s="109">
        <f>U18/'Input RM sheet'!R1</f>
        <v>2.3820526800000001</v>
      </c>
      <c r="V25" s="109">
        <f>V18/'Input RM sheet'!S1</f>
        <v>2.4013707480000002</v>
      </c>
      <c r="W25" s="109">
        <f>W18/'Input RM sheet'!T1</f>
        <v>2.4532758600000002</v>
      </c>
      <c r="X25" s="109">
        <f>X18/'Input RM sheet'!U1</f>
        <v>2.4835637400000001</v>
      </c>
      <c r="Y25" s="109">
        <f>Y18/'Input RM sheet'!V1</f>
        <v>2.6048340359999997</v>
      </c>
      <c r="Z25" s="109">
        <f>Z18/'Input RM sheet'!W1</f>
        <v>2.5876793880000002</v>
      </c>
      <c r="AA25" s="109">
        <f>AA18/'Input RM sheet'!X1</f>
        <v>2.5876793880000006</v>
      </c>
      <c r="AB25" s="109">
        <f>AB18/'Input RM sheet'!Y1</f>
        <v>2.5876793880000006</v>
      </c>
      <c r="AC25" s="109">
        <f>AC18/'Input RM sheet'!Z1</f>
        <v>2.5876793880000006</v>
      </c>
      <c r="AD25" s="109">
        <f>AD18/'Input RM sheet'!AA1</f>
        <v>2.5876793880000006</v>
      </c>
      <c r="AE25" s="109">
        <f>AE18/'Input RM sheet'!AB1</f>
        <v>2.5876793880000006</v>
      </c>
      <c r="AF25" s="109">
        <f>AF18/'Input RM sheet'!AC1</f>
        <v>2.7598452000000004</v>
      </c>
      <c r="AG25" s="109">
        <f>AG18/'Input RM sheet'!AD1</f>
        <v>3.1475215800000007</v>
      </c>
      <c r="AH25" s="109">
        <f>AH18/'Input RM sheet'!AE1</f>
        <v>3.1755612000000002</v>
      </c>
      <c r="AI25" s="109">
        <f>AI18/'Input RM sheet'!AF1</f>
        <v>3.4566361200000011</v>
      </c>
      <c r="AJ25" s="109">
        <f>AJ18/'Input RM sheet'!AG1</f>
        <v>3.7932218520000003</v>
      </c>
      <c r="AK25" s="109">
        <f>AK18/'Input RM sheet'!AH1</f>
        <v>3.2743573800000001</v>
      </c>
      <c r="AL25" s="109">
        <f>AL18/'Input RM sheet'!AI1</f>
        <v>3.0915271799999995</v>
      </c>
      <c r="AM25" s="109">
        <f>AM18/'Input RM sheet'!AJ1</f>
        <v>2.7125129640000001</v>
      </c>
      <c r="AN25" s="109">
        <f>AN18/'Input RM sheet'!AK1</f>
        <v>3.1160968440000008</v>
      </c>
      <c r="AO25" s="109">
        <f>AO18/'Input RM sheet'!AL1</f>
        <v>2.7457872120000002</v>
      </c>
      <c r="AP25" s="109">
        <f>AP18/'Input RM sheet'!AM1</f>
        <v>2.5952980200000009</v>
      </c>
      <c r="AQ25" s="109">
        <f>AQ18/'Input RM sheet'!AN1</f>
        <v>2.7522096</v>
      </c>
      <c r="AR25" s="109">
        <f>AR18/'Input RM sheet'!AO1</f>
        <v>2.3627940000000001</v>
      </c>
      <c r="AS25" s="109">
        <f>AS18/'Input RM sheet'!AP1</f>
        <v>2.8735308000000011</v>
      </c>
      <c r="AT25" s="109">
        <f>AT18/'Input RM sheet'!AQ1</f>
        <v>2.7505127999999996</v>
      </c>
      <c r="AU25" s="109">
        <f>AU18/'Input RM sheet'!AR1</f>
        <v>2.5655616000000006</v>
      </c>
      <c r="AV25" s="109">
        <f>AV18/'Input RM sheet'!AS1</f>
        <v>2.4360194040000001</v>
      </c>
      <c r="AW25" s="109">
        <f>AW18/'Input RM sheet'!AT1</f>
        <v>1.9767720000000004</v>
      </c>
      <c r="AX25" s="109">
        <f>AX18/'Input RM sheet'!AU1</f>
        <v>2.0751864000000002</v>
      </c>
      <c r="AY25" s="109">
        <f>AY18/'Input RM sheet'!AV1</f>
        <v>2.0828220000000002</v>
      </c>
      <c r="AZ25" s="109">
        <f>AZ18/'Input RM sheet'!AW1</f>
        <v>2.1311807999999997</v>
      </c>
      <c r="BA25" s="109">
        <f>BA18/'Input RM sheet'!AX1</f>
        <v>2.0921544000000001</v>
      </c>
      <c r="BB25" s="109">
        <f>BB18/'Input RM sheet'!AY1</f>
        <v>2.1926898000000001</v>
      </c>
      <c r="BC25" s="109">
        <f>BC18/'Input RM sheet'!AZ1</f>
        <v>2.2041432000000003</v>
      </c>
      <c r="BD25" s="109">
        <f>BD18/'Input RM sheet'!BA1</f>
        <v>2.0454924000000001</v>
      </c>
      <c r="BE25" s="109">
        <f>BE18/'Input RM sheet'!BB1</f>
        <v>2.1159096000000006</v>
      </c>
      <c r="BF25" s="109">
        <f>BF18/'Input RM sheet'!BC1</f>
        <v>2.1159096000000002</v>
      </c>
      <c r="BG25" s="109">
        <f>BG18/'Input RM sheet'!BD1</f>
        <v>2.1825090000000005</v>
      </c>
      <c r="BH25" s="109">
        <f>BH18/'Input RM sheet'!BE1</f>
        <v>2.2155966000000005</v>
      </c>
      <c r="BI25" s="109">
        <f>BI18/'Input RM sheet'!BF1</f>
        <v>2.2126272000000005</v>
      </c>
      <c r="BJ25" s="109">
        <f>BJ18/'Input RM sheet'!BG1</f>
        <v>2.3246160000000002</v>
      </c>
      <c r="BK25" s="109">
        <f>BK18/'Input RM sheet'!BH1</f>
        <v>2.2134756000000007</v>
      </c>
      <c r="BL25" s="109">
        <f>BL18/'Input RM sheet'!BI1</f>
        <v>2.1600264000000005</v>
      </c>
      <c r="BM25" s="109">
        <f>BM18/'Input RM sheet'!BJ1</f>
        <v>2.1570570000000004</v>
      </c>
      <c r="BN25" s="109">
        <f>BN18/'Input RM sheet'!BK1</f>
        <v>2.1765702</v>
      </c>
      <c r="BO25" s="109">
        <f>BO18/'Input RM sheet'!BL1</f>
        <v>2.2266257999999999</v>
      </c>
      <c r="BP25" s="109">
        <f>BP18/'Input RM sheet'!BM1</f>
        <v>2.2906800000000005</v>
      </c>
      <c r="BQ25" s="109">
        <f>BQ18/'Input RM sheet'!BN1</f>
        <v>2.2906800000000005</v>
      </c>
      <c r="BR25" s="109">
        <f>BR18/'Input RM sheet'!BO1</f>
        <v>2.2376550000000002</v>
      </c>
      <c r="BS25" s="109">
        <f>BS18/'Input RM sheet'!BP1</f>
        <v>2.1392406000000004</v>
      </c>
      <c r="BT25" s="109">
        <f>BT18/'Input RM sheet'!BQ1</f>
        <v>2.1434826000000005</v>
      </c>
      <c r="BU25" s="109">
        <f>BU18/'Input RM sheet'!BR1</f>
        <v>2.2457148000000005</v>
      </c>
      <c r="BV25" s="109">
        <f>BV18/'Input RM sheet'!BS1</f>
        <v>2.3398871999999997</v>
      </c>
      <c r="BW25" s="109">
        <f>BW18/'Input RM sheet'!BT1</f>
        <v>2.2588650000000006</v>
      </c>
      <c r="BX25" s="109">
        <f>BX18/'Input RM sheet'!BU1</f>
        <v>2.1736008000000004</v>
      </c>
      <c r="BY25" s="109">
        <f>BY18/'Input RM sheet'!BV1</f>
        <v>2.1736008000000004</v>
      </c>
      <c r="BZ25" s="109">
        <f>BZ18/'Input RM sheet'!BW1</f>
        <v>2.1642684000000001</v>
      </c>
      <c r="CA25" s="109">
        <f>CA18/'Input RM sheet'!BX1</f>
        <v>2.0531280000000001</v>
      </c>
      <c r="CB25" s="109">
        <f>CB18/'Input RM sheet'!BY1</f>
        <v>2.0531280000000005</v>
      </c>
      <c r="CC25" s="109">
        <f>CC18/'Input RM sheet'!BZ1</f>
        <v>2.1023352000000002</v>
      </c>
      <c r="CD25" s="109">
        <f>CD18/'Input RM sheet'!CA1</f>
        <v>2.1396648000000003</v>
      </c>
      <c r="CE25" s="109">
        <f>CE18/'Input RM sheet'!CB1</f>
        <v>2.2626827999999999</v>
      </c>
      <c r="CF25" s="109">
        <f>CF18/'Input RM sheet'!CC1</f>
        <v>2.2626828000000003</v>
      </c>
      <c r="CG25" s="109">
        <f>CG18/'Input RM sheet'!CD1</f>
        <v>2.2126272000000005</v>
      </c>
      <c r="CH25" s="109">
        <f>CH18/'Input RM sheet'!CE1</f>
        <v>2.1540876</v>
      </c>
      <c r="CI25" s="109">
        <f>CI18/'Input RM sheet'!CF1</f>
        <v>2.4018204000000005</v>
      </c>
      <c r="CJ25" s="109">
        <f>CJ18/'Input RM sheet'!CG1</f>
        <v>2.5002348000000003</v>
      </c>
      <c r="CK25" s="109">
        <f>CK18/'Input RM sheet'!CH1</f>
        <v>2.4501792000000004</v>
      </c>
      <c r="CL25" s="109">
        <f>CL18/'Input RM sheet'!CI1</f>
        <v>2.5299288</v>
      </c>
      <c r="CM25" s="109">
        <f>CM18/'Input RM sheet'!CJ1</f>
        <v>2.5358676000000004</v>
      </c>
      <c r="CN25" s="109">
        <f>CN18/'Input RM sheet'!CK1</f>
        <v>2.5961040000000004</v>
      </c>
      <c r="CO25" s="109">
        <f>CO18/'Input RM sheet'!CL1</f>
        <v>2.7089411999999999</v>
      </c>
      <c r="CP25" s="109">
        <f>CP18/'Input RM sheet'!CM1</f>
        <v>2.6402208000000007</v>
      </c>
      <c r="CQ25" s="109">
        <f>CQ18/'Input RM sheet'!CN1</f>
        <v>2.6173140000000004</v>
      </c>
      <c r="CR25" s="109">
        <f>CR18/'Input RM sheet'!CO1</f>
        <v>2.5358676000000004</v>
      </c>
      <c r="CS25" s="109">
        <f>CS18/'Input RM sheet'!CP1</f>
        <v>2.4747828000000003</v>
      </c>
      <c r="CT25" s="109">
        <f>CT18/'Input RM sheet'!CQ1</f>
        <v>2.4993864000000001</v>
      </c>
      <c r="CU25" s="109">
        <f>CU18/'Input RM sheet'!CR1</f>
        <v>2.5121124000000004</v>
      </c>
      <c r="CV25" s="109">
        <f>CV18/'Input RM sheet'!CS1</f>
        <v>2.6308884000000003</v>
      </c>
      <c r="CW25" s="109">
        <f>CW18/'Input RM sheet'!CT1</f>
        <v>2.5324740000000001</v>
      </c>
      <c r="CX25" s="109">
        <f>CX18/'Input RM sheet'!CU1</f>
        <v>2.3657634000000005</v>
      </c>
      <c r="CY25" s="109">
        <f>CY18/'Input RM sheet'!CV1</f>
        <v>2.3814588000000003</v>
      </c>
      <c r="CZ25" s="109">
        <f>CZ18/'Input RM sheet'!CW1</f>
        <v>2.3729748000000002</v>
      </c>
      <c r="DA25" s="109">
        <f>DA18/'Input RM sheet'!CX1</f>
        <v>2.3873976000000003</v>
      </c>
      <c r="DB25" s="109">
        <f>DB18/'Input RM sheet'!CY1</f>
        <v>2.3704296</v>
      </c>
      <c r="DC25" s="109">
        <f>DC18/'Input RM sheet'!CZ1</f>
        <v>2.4713892</v>
      </c>
      <c r="DD25" s="109">
        <f>DD18/'Input RM sheet'!DA1</f>
        <v>2.3873976000000003</v>
      </c>
      <c r="DE25" s="109">
        <f>DE18/'Input RM sheet'!DB1</f>
        <v>2.3975784000000004</v>
      </c>
      <c r="DF25" s="109">
        <f>DF18/'Input RM sheet'!DC1</f>
        <v>2.5350192000000003</v>
      </c>
      <c r="DG25" s="109">
        <f>DG18/'Input RM sheet'!DD1</f>
        <v>2.7403320000000004</v>
      </c>
      <c r="DH25" s="109">
        <f>DH18/'Input RM sheet'!DE1</f>
        <v>2.6996088000000005</v>
      </c>
      <c r="DI25" s="109">
        <f>DI18/'Input RM sheet'!DF1</f>
        <v>2.6690664000000002</v>
      </c>
      <c r="DJ25" s="109">
        <f>DJ18/'Input RM sheet'!DG1</f>
        <v>2.8311107999999998</v>
      </c>
      <c r="DK25" s="109">
        <f>DK18/'Input RM sheet'!DH1</f>
        <v>2.7191220000000005</v>
      </c>
      <c r="DL25" s="109">
        <f>DL18/'Input RM sheet'!DI1</f>
        <v>2.6537951999999998</v>
      </c>
      <c r="DM25" s="109">
        <f>DM18/'Input RM sheet'!DJ1</f>
        <v>2.6130720000000003</v>
      </c>
      <c r="DN25" s="109">
        <f>DN18/'Input RM sheet'!DK1</f>
        <v>2.5994976000000007</v>
      </c>
      <c r="DO25" s="109">
        <f>DO18/'Input RM sheet'!DL1</f>
        <v>2.7063959999999998</v>
      </c>
      <c r="DP25" s="109">
        <f>DP18/'Input RM sheet'!DM1</f>
        <v>2.6970635999999999</v>
      </c>
      <c r="DQ25" s="109">
        <f>DQ18/'Input RM sheet'!DN1</f>
        <v>2.6809440000000007</v>
      </c>
      <c r="DR25" s="109">
        <f>DR18/'Input RM sheet'!DO1</f>
        <v>2.6597340000000007</v>
      </c>
      <c r="DS25" s="109">
        <f>DS18/'Input RM sheet'!DP1</f>
        <v>2.6164655999999993</v>
      </c>
      <c r="DT25" s="109">
        <f t="shared" ref="DT25:EG25" si="18">DT18</f>
        <v>0</v>
      </c>
      <c r="DU25" s="109">
        <f t="shared" si="18"/>
        <v>0</v>
      </c>
      <c r="DV25" s="109">
        <f t="shared" si="18"/>
        <v>0</v>
      </c>
      <c r="DW25" s="109">
        <f t="shared" si="18"/>
        <v>0</v>
      </c>
      <c r="DX25" s="109">
        <f t="shared" si="18"/>
        <v>0</v>
      </c>
      <c r="DY25" s="109">
        <f t="shared" si="18"/>
        <v>0</v>
      </c>
      <c r="DZ25" s="109">
        <f t="shared" si="18"/>
        <v>0</v>
      </c>
      <c r="EA25" s="109">
        <f t="shared" si="18"/>
        <v>0</v>
      </c>
      <c r="EB25" s="109">
        <f t="shared" si="18"/>
        <v>0</v>
      </c>
      <c r="EC25" s="109">
        <f t="shared" si="18"/>
        <v>0</v>
      </c>
      <c r="ED25" s="109">
        <f t="shared" si="18"/>
        <v>0</v>
      </c>
      <c r="EE25" s="109">
        <f t="shared" si="18"/>
        <v>0</v>
      </c>
      <c r="EF25" s="109">
        <f t="shared" si="18"/>
        <v>0</v>
      </c>
      <c r="EG25" s="109">
        <f t="shared" si="18"/>
        <v>0</v>
      </c>
      <c r="EH25" s="109">
        <f t="shared" ref="EH25:EM25" si="19">EH18</f>
        <v>0</v>
      </c>
      <c r="EI25" s="109">
        <f t="shared" si="19"/>
        <v>0</v>
      </c>
      <c r="EJ25" s="109">
        <f t="shared" si="19"/>
        <v>0</v>
      </c>
      <c r="EK25" s="109">
        <f t="shared" si="19"/>
        <v>0</v>
      </c>
      <c r="EL25" s="109">
        <f t="shared" si="19"/>
        <v>0</v>
      </c>
      <c r="EM25" s="109">
        <f t="shared" si="19"/>
        <v>0</v>
      </c>
    </row>
  </sheetData>
  <pageMargins left="0.7" right="0.7" top="0.75" bottom="0.75" header="0.3" footer="0.3"/>
  <drawing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EF26"/>
  <sheetViews>
    <sheetView workbookViewId="0">
      <pane xSplit="11" ySplit="7" topLeftCell="BR11" activePane="bottomRight" state="frozen"/>
      <selection pane="topRight" activeCell="L1" sqref="L1"/>
      <selection pane="bottomLeft" activeCell="A7" sqref="A7"/>
      <selection pane="bottomRight" activeCell="CA21" sqref="CA21"/>
    </sheetView>
  </sheetViews>
  <sheetFormatPr baseColWidth="10" defaultColWidth="22.6640625" defaultRowHeight="12"/>
  <cols>
    <col min="1" max="1" width="19.1640625" style="60" customWidth="1"/>
    <col min="2" max="2" width="11.33203125" style="60" bestFit="1" customWidth="1"/>
    <col min="3" max="3" width="4.83203125" style="60" bestFit="1" customWidth="1"/>
    <col min="4" max="4" width="12.33203125" style="60" bestFit="1" customWidth="1"/>
    <col min="5" max="5" width="13.5" style="60" bestFit="1" customWidth="1"/>
    <col min="6" max="6" width="6" style="60" bestFit="1" customWidth="1"/>
    <col min="7" max="7" width="4.1640625" style="60" bestFit="1" customWidth="1"/>
    <col min="8" max="8" width="22.83203125" style="60" bestFit="1" customWidth="1"/>
    <col min="9" max="9" width="5.1640625" style="60" bestFit="1" customWidth="1"/>
    <col min="10" max="10" width="5.5" style="60" bestFit="1" customWidth="1"/>
    <col min="11" max="11" width="5.6640625" style="60" bestFit="1" customWidth="1"/>
    <col min="12" max="12" width="5.33203125" style="60" bestFit="1" customWidth="1"/>
    <col min="13" max="13" width="5.83203125" style="60" bestFit="1" customWidth="1"/>
    <col min="14" max="14" width="5.1640625" style="60" bestFit="1" customWidth="1"/>
    <col min="15" max="15" width="4.6640625" style="60" bestFit="1" customWidth="1"/>
    <col min="16" max="18" width="5.5" style="60" bestFit="1" customWidth="1"/>
    <col min="19" max="19" width="5.6640625" style="60" bestFit="1" customWidth="1"/>
    <col min="20" max="20" width="5.5" style="60" bestFit="1" customWidth="1"/>
    <col min="21" max="21" width="5.1640625" style="60" bestFit="1" customWidth="1"/>
    <col min="22" max="22" width="5.5" style="60" bestFit="1" customWidth="1"/>
    <col min="23" max="23" width="5.6640625" style="60" bestFit="1" customWidth="1"/>
    <col min="24" max="24" width="5.33203125" style="60" bestFit="1" customWidth="1"/>
    <col min="25" max="25" width="5.83203125" style="60" bestFit="1" customWidth="1"/>
    <col min="26" max="26" width="5.1640625" style="60" bestFit="1" customWidth="1"/>
    <col min="27" max="27" width="4.6640625" style="60" bestFit="1" customWidth="1"/>
    <col min="28" max="30" width="5.5" style="60" bestFit="1" customWidth="1"/>
    <col min="31" max="31" width="5.6640625" style="60" bestFit="1" customWidth="1"/>
    <col min="32" max="32" width="5.5" style="60" bestFit="1" customWidth="1"/>
    <col min="33" max="33" width="5.1640625" style="60" bestFit="1" customWidth="1"/>
    <col min="34" max="34" width="5.5" style="60" bestFit="1" customWidth="1"/>
    <col min="35" max="35" width="5.6640625" style="60" bestFit="1" customWidth="1"/>
    <col min="36" max="36" width="5.33203125" style="60" bestFit="1" customWidth="1"/>
    <col min="37" max="37" width="5.83203125" style="60" bestFit="1" customWidth="1"/>
    <col min="38" max="38" width="5.1640625" style="60" bestFit="1" customWidth="1"/>
    <col min="39" max="39" width="4.6640625" style="60" bestFit="1" customWidth="1"/>
    <col min="40" max="42" width="5.5" style="60" bestFit="1" customWidth="1"/>
    <col min="43" max="43" width="5.6640625" style="60" bestFit="1" customWidth="1"/>
    <col min="44" max="44" width="5.5" style="60" bestFit="1" customWidth="1"/>
    <col min="45" max="45" width="5.1640625" style="60" bestFit="1" customWidth="1"/>
    <col min="46" max="46" width="5.5" style="60" bestFit="1" customWidth="1"/>
    <col min="47" max="47" width="5.6640625" style="60" bestFit="1" customWidth="1"/>
    <col min="48" max="48" width="5.33203125" style="60" bestFit="1" customWidth="1"/>
    <col min="49" max="49" width="5.83203125" style="60" bestFit="1" customWidth="1"/>
    <col min="50" max="50" width="5.1640625" style="60" bestFit="1" customWidth="1"/>
    <col min="51" max="51" width="4.6640625" style="60" bestFit="1" customWidth="1"/>
    <col min="52" max="54" width="7" style="60" bestFit="1" customWidth="1"/>
    <col min="55" max="56" width="5.5" style="60" bestFit="1" customWidth="1"/>
    <col min="57" max="58" width="5.83203125" style="60" bestFit="1" customWidth="1"/>
    <col min="59" max="63" width="5.6640625" style="60" bestFit="1" customWidth="1"/>
    <col min="64" max="64" width="6.5" style="60" bestFit="1" customWidth="1"/>
    <col min="65" max="70" width="5.6640625" style="60" bestFit="1" customWidth="1"/>
    <col min="71" max="74" width="5.5" style="60" bestFit="1" customWidth="1"/>
    <col min="75" max="78" width="5.1640625" style="60" bestFit="1" customWidth="1"/>
    <col min="79" max="82" width="5.5" style="60" bestFit="1" customWidth="1"/>
    <col min="83" max="83" width="6.1640625" style="60" bestFit="1" customWidth="1"/>
    <col min="84" max="86" width="5.6640625" style="60" bestFit="1" customWidth="1"/>
    <col min="87" max="90" width="5.5" style="60" bestFit="1" customWidth="1"/>
    <col min="91" max="95" width="6.33203125" style="60" bestFit="1" customWidth="1"/>
    <col min="96" max="99" width="6.1640625" style="60" bestFit="1" customWidth="1"/>
    <col min="100" max="102" width="5.1640625" style="60" bestFit="1" customWidth="1"/>
    <col min="103" max="103" width="5.5" style="60" bestFit="1" customWidth="1"/>
    <col min="104" max="107" width="5.83203125" style="60" bestFit="1" customWidth="1"/>
    <col min="108" max="115" width="5.6640625" style="60" bestFit="1" customWidth="1"/>
    <col min="116" max="119" width="6.1640625" style="60" bestFit="1" customWidth="1"/>
    <col min="120" max="123" width="5.83203125" style="60" bestFit="1" customWidth="1"/>
    <col min="124" max="134" width="5.1640625" style="60" bestFit="1" customWidth="1"/>
    <col min="135" max="16384" width="22.6640625" style="60"/>
  </cols>
  <sheetData>
    <row r="1" spans="1:134" ht="13">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row>
    <row r="2" spans="1:134">
      <c r="A2" s="59"/>
      <c r="B2" s="59"/>
      <c r="C2" s="59"/>
      <c r="D2" s="98"/>
      <c r="E2" s="98"/>
      <c r="F2" s="59"/>
      <c r="H2" s="99"/>
      <c r="I2" s="99"/>
      <c r="J2" s="99"/>
      <c r="K2" s="99"/>
      <c r="L2" s="99"/>
      <c r="M2" s="99"/>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99"/>
      <c r="AP2" s="99"/>
      <c r="AQ2" s="99"/>
      <c r="AR2" s="99"/>
      <c r="AS2" s="99"/>
      <c r="AT2" s="99"/>
      <c r="AU2" s="99"/>
      <c r="AV2" s="99"/>
      <c r="AW2" s="99"/>
      <c r="AX2" s="99"/>
      <c r="AY2" s="99"/>
      <c r="AZ2" s="99"/>
      <c r="BA2" s="99"/>
      <c r="BB2" s="99"/>
      <c r="BC2" s="99"/>
      <c r="BD2" s="99"/>
      <c r="BE2" s="99"/>
      <c r="BF2" s="99"/>
      <c r="BG2" s="99"/>
      <c r="BH2" s="99"/>
      <c r="BI2" s="99"/>
      <c r="BJ2" s="99"/>
      <c r="BK2" s="99"/>
      <c r="BL2" s="99"/>
      <c r="BM2" s="99"/>
      <c r="BN2" s="99"/>
      <c r="BO2" s="99"/>
      <c r="BP2" s="99"/>
      <c r="BQ2" s="99"/>
      <c r="BR2" s="99"/>
      <c r="BS2" s="99"/>
      <c r="BT2" s="99"/>
      <c r="BU2" s="99"/>
      <c r="BV2" s="99"/>
      <c r="BW2" s="99"/>
      <c r="BX2" s="99"/>
      <c r="BY2" s="99"/>
      <c r="BZ2" s="99"/>
      <c r="CA2" s="99"/>
      <c r="CB2" s="99"/>
      <c r="CC2" s="99"/>
      <c r="CD2" s="99"/>
      <c r="CE2" s="99"/>
      <c r="CF2" s="99"/>
      <c r="CG2" s="99"/>
      <c r="CH2" s="99"/>
      <c r="CI2" s="99"/>
      <c r="CJ2" s="99"/>
      <c r="CK2" s="99"/>
      <c r="CL2" s="99"/>
      <c r="CM2" s="99"/>
      <c r="CN2" s="99"/>
    </row>
    <row r="3" spans="1:134" ht="13">
      <c r="A3" s="107" t="s">
        <v>854</v>
      </c>
      <c r="B3" s="100"/>
      <c r="C3" s="101"/>
      <c r="D3" s="282">
        <v>133.16</v>
      </c>
      <c r="K3" s="102"/>
      <c r="M3" s="102"/>
    </row>
    <row r="4" spans="1:134">
      <c r="A4" s="36"/>
      <c r="B4" s="64"/>
      <c r="D4" s="100"/>
      <c r="E4" s="64"/>
      <c r="F4" s="103"/>
    </row>
    <row r="5" spans="1:134">
      <c r="A5" s="64"/>
      <c r="B5" s="64"/>
      <c r="D5" s="64"/>
      <c r="E5" s="64"/>
      <c r="H5" s="60" t="s">
        <v>387</v>
      </c>
    </row>
    <row r="6" spans="1:134">
      <c r="A6" s="74"/>
      <c r="B6" s="74"/>
    </row>
    <row r="7" spans="1:134">
      <c r="A7" s="59"/>
      <c r="B7" s="59"/>
      <c r="C7" s="59"/>
      <c r="D7" s="98"/>
      <c r="E7" s="98"/>
      <c r="F7" s="59"/>
      <c r="H7" s="59" t="s">
        <v>416</v>
      </c>
      <c r="I7" s="59">
        <v>43831</v>
      </c>
      <c r="J7" s="59">
        <v>43862</v>
      </c>
      <c r="K7" s="59">
        <v>43891</v>
      </c>
      <c r="L7" s="59">
        <v>43922</v>
      </c>
      <c r="M7" s="59">
        <v>43952</v>
      </c>
      <c r="N7" s="59">
        <v>43983</v>
      </c>
      <c r="O7" s="59">
        <v>44013</v>
      </c>
      <c r="P7" s="59">
        <v>44044</v>
      </c>
      <c r="Q7" s="59">
        <v>44075</v>
      </c>
      <c r="R7" s="59">
        <v>44105</v>
      </c>
      <c r="S7" s="59">
        <v>44136</v>
      </c>
      <c r="T7" s="59">
        <v>44166</v>
      </c>
      <c r="U7" s="59">
        <v>44197</v>
      </c>
      <c r="V7" s="59">
        <v>44228</v>
      </c>
      <c r="W7" s="59">
        <v>44256</v>
      </c>
      <c r="X7" s="59">
        <v>44287</v>
      </c>
      <c r="Y7" s="59">
        <v>44317</v>
      </c>
      <c r="Z7" s="59">
        <v>44348</v>
      </c>
      <c r="AA7" s="59">
        <v>44378</v>
      </c>
      <c r="AB7" s="59">
        <v>44409</v>
      </c>
      <c r="AC7" s="59">
        <v>44440</v>
      </c>
      <c r="AD7" s="59">
        <v>44470</v>
      </c>
      <c r="AE7" s="59">
        <v>44501</v>
      </c>
      <c r="AF7" s="59">
        <v>44531</v>
      </c>
      <c r="AG7" s="59">
        <v>44562</v>
      </c>
      <c r="AH7" s="59">
        <v>44593</v>
      </c>
      <c r="AI7" s="59">
        <v>44621</v>
      </c>
      <c r="AJ7" s="59">
        <v>44652</v>
      </c>
      <c r="AK7" s="59">
        <v>44682</v>
      </c>
      <c r="AL7" s="59">
        <v>44713</v>
      </c>
      <c r="AM7" s="59">
        <v>44743</v>
      </c>
      <c r="AN7" s="59">
        <v>44774</v>
      </c>
      <c r="AO7" s="59">
        <v>44805</v>
      </c>
      <c r="AP7" s="59">
        <v>44835</v>
      </c>
      <c r="AQ7" s="59">
        <v>44866</v>
      </c>
      <c r="AR7" s="59">
        <v>44896</v>
      </c>
      <c r="AS7" s="59">
        <v>44927</v>
      </c>
      <c r="AT7" s="59">
        <v>44958</v>
      </c>
      <c r="AU7" s="59">
        <v>44986</v>
      </c>
      <c r="AV7" s="59">
        <v>45017</v>
      </c>
      <c r="AW7" s="59">
        <v>45047</v>
      </c>
      <c r="AX7" s="59">
        <v>45078</v>
      </c>
      <c r="AY7" s="59">
        <v>45108</v>
      </c>
      <c r="AZ7" s="59" t="s">
        <v>530</v>
      </c>
      <c r="BA7" s="59" t="s">
        <v>531</v>
      </c>
      <c r="BB7" s="59" t="s">
        <v>532</v>
      </c>
      <c r="BC7" s="59">
        <v>37104</v>
      </c>
      <c r="BD7" s="59">
        <v>37469</v>
      </c>
      <c r="BE7" s="59" t="s">
        <v>168</v>
      </c>
      <c r="BF7" s="59" t="s">
        <v>169</v>
      </c>
      <c r="BG7" s="59" t="s">
        <v>195</v>
      </c>
      <c r="BH7" s="59" t="s">
        <v>196</v>
      </c>
      <c r="BI7" s="59" t="s">
        <v>197</v>
      </c>
      <c r="BJ7" s="59" t="s">
        <v>198</v>
      </c>
      <c r="BK7" s="59" t="s">
        <v>199</v>
      </c>
      <c r="BL7" s="59" t="s">
        <v>200</v>
      </c>
      <c r="BM7" s="59" t="s">
        <v>201</v>
      </c>
      <c r="BN7" s="59" t="s">
        <v>202</v>
      </c>
      <c r="BO7" s="59">
        <v>37196</v>
      </c>
      <c r="BP7" s="59">
        <v>37561</v>
      </c>
      <c r="BQ7" s="59">
        <v>37926</v>
      </c>
      <c r="BR7" s="59">
        <v>38292</v>
      </c>
      <c r="BS7" s="59">
        <v>37226</v>
      </c>
      <c r="BT7" s="59">
        <v>37591</v>
      </c>
      <c r="BU7" s="59">
        <v>37956</v>
      </c>
      <c r="BV7" s="59">
        <v>38322</v>
      </c>
      <c r="BW7" s="59">
        <v>36892</v>
      </c>
      <c r="BX7" s="59">
        <v>37257</v>
      </c>
      <c r="BY7" s="59">
        <v>37622</v>
      </c>
      <c r="BZ7" s="59">
        <v>37987</v>
      </c>
      <c r="CA7" s="59">
        <v>36923</v>
      </c>
      <c r="CB7" s="59">
        <v>37288</v>
      </c>
      <c r="CC7" s="59">
        <v>37653</v>
      </c>
      <c r="CD7" s="59">
        <v>38018</v>
      </c>
      <c r="CE7" s="59" t="str">
        <f>Sheet8!A15</f>
        <v>Mar-w1</v>
      </c>
      <c r="CF7" s="59">
        <v>37316</v>
      </c>
      <c r="CG7" s="59">
        <v>37681</v>
      </c>
      <c r="CH7" s="59">
        <v>38047</v>
      </c>
      <c r="CI7" s="59" t="str">
        <f>Sheet8!E15</f>
        <v>Apr-w1</v>
      </c>
      <c r="CJ7" s="59" t="str">
        <f>Sheet8!F15</f>
        <v>Apr-w2</v>
      </c>
      <c r="CK7" s="59" t="str">
        <f>Sheet8!G15</f>
        <v>Apr-w3</v>
      </c>
      <c r="CL7" s="59" t="str">
        <f>Sheet8!H15</f>
        <v>Apr-w4</v>
      </c>
      <c r="CM7" s="59" t="str">
        <f>Sheet8!I15</f>
        <v>May-w1</v>
      </c>
      <c r="CN7" s="59" t="str">
        <f>Sheet8!J15</f>
        <v>May-w2</v>
      </c>
      <c r="CO7" s="59" t="str">
        <f>Sheet8!K15</f>
        <v>May-w3</v>
      </c>
      <c r="CP7" s="59" t="str">
        <f>Sheet8!L15</f>
        <v>May-w4</v>
      </c>
      <c r="CQ7" s="59" t="str">
        <f>Sheet8!M15</f>
        <v>May-w5</v>
      </c>
      <c r="CR7" s="59" t="str">
        <f>Sheet8!N15</f>
        <v>june-w1</v>
      </c>
      <c r="CS7" s="59" t="str">
        <f>Sheet8!O15</f>
        <v>june-w2</v>
      </c>
      <c r="CT7" s="59" t="str">
        <f>Sheet8!P15</f>
        <v>june-w3</v>
      </c>
      <c r="CU7" s="59" t="str">
        <f>Sheet8!Q15</f>
        <v>june-w4</v>
      </c>
      <c r="CV7" s="59" t="str">
        <f>Sheet8!R15</f>
        <v>Jul-w1</v>
      </c>
      <c r="CW7" s="59" t="str">
        <f>Sheet8!S15</f>
        <v>Jul-w2</v>
      </c>
      <c r="CX7" s="59" t="str">
        <f>Sheet8!T15</f>
        <v>Jul-w3</v>
      </c>
      <c r="CY7" s="59" t="str">
        <f>Sheet8!U15</f>
        <v>Jul-w4</v>
      </c>
      <c r="CZ7" s="59" t="str">
        <f>Sheet8!V15</f>
        <v>Aug-w1</v>
      </c>
      <c r="DA7" s="59" t="str">
        <f>Sheet8!W15</f>
        <v>Aug-w2</v>
      </c>
      <c r="DB7" s="59" t="str">
        <f>Sheet8!X15</f>
        <v>Aug-w3</v>
      </c>
      <c r="DC7" s="59" t="str">
        <f>Sheet8!Y15</f>
        <v>Aug-w4</v>
      </c>
      <c r="DD7" s="59" t="str">
        <f>Sheet8!Z15</f>
        <v>Sep-w1</v>
      </c>
      <c r="DE7" s="59" t="str">
        <f>Sheet8!AA15</f>
        <v>Sep-w2</v>
      </c>
      <c r="DF7" s="59" t="str">
        <f>Sheet8!AB15</f>
        <v>Sep-w3</v>
      </c>
      <c r="DG7" s="59" t="str">
        <f>Sheet8!AC15</f>
        <v>Sep-w4</v>
      </c>
      <c r="DH7" s="59" t="str">
        <f>Sheet8!AD15</f>
        <v>Oct-w1</v>
      </c>
      <c r="DI7" s="59" t="str">
        <f>Sheet8!AE15</f>
        <v>Oct-w2</v>
      </c>
      <c r="DJ7" s="59" t="str">
        <f>Sheet8!AF15</f>
        <v>Oct-w3</v>
      </c>
      <c r="DK7" s="59" t="str">
        <f>Sheet8!AG15</f>
        <v>Oct-w4</v>
      </c>
      <c r="DL7" s="59" t="str">
        <f>Sheet8!AH15</f>
        <v>Nov-w1</v>
      </c>
      <c r="DM7" s="59" t="str">
        <f>Sheet8!AI15</f>
        <v>Nov-w2</v>
      </c>
      <c r="DN7" s="59" t="str">
        <f>Sheet8!AJ15</f>
        <v>Nov-w3</v>
      </c>
      <c r="DO7" s="59" t="str">
        <f>Sheet8!AK15</f>
        <v>Nov-w4</v>
      </c>
      <c r="DP7" s="59" t="str">
        <f>Sheet8!AL15</f>
        <v>Dec-w1</v>
      </c>
      <c r="DQ7" s="59" t="str">
        <f>Sheet8!AM15</f>
        <v>Dec-w2</v>
      </c>
      <c r="DR7" s="59" t="str">
        <f>Sheet8!AN15</f>
        <v>Dec-w3</v>
      </c>
      <c r="DS7" s="59" t="str">
        <f>Sheet8!AO15</f>
        <v>Dec-w4</v>
      </c>
      <c r="DT7" s="59">
        <f>Sheet8!AP15</f>
        <v>0</v>
      </c>
      <c r="DU7" s="59">
        <f>Sheet8!AQ15</f>
        <v>0</v>
      </c>
      <c r="DV7" s="59">
        <f>Sheet8!AR15</f>
        <v>0</v>
      </c>
      <c r="DW7" s="59">
        <f>Sheet8!AS15</f>
        <v>0</v>
      </c>
      <c r="DX7" s="59">
        <f>Sheet8!AT15</f>
        <v>0</v>
      </c>
      <c r="DY7" s="59">
        <f>Sheet8!AU15</f>
        <v>0</v>
      </c>
      <c r="DZ7" s="59">
        <f>Sheet8!AV15</f>
        <v>0</v>
      </c>
      <c r="EA7" s="59">
        <f>Sheet8!AW15</f>
        <v>0</v>
      </c>
      <c r="EB7" s="59">
        <f>Sheet8!AX15</f>
        <v>0</v>
      </c>
      <c r="EC7" s="59">
        <f>Sheet8!AY15</f>
        <v>0</v>
      </c>
      <c r="ED7" s="59">
        <f>Sheet8!AZ15</f>
        <v>0</v>
      </c>
    </row>
    <row r="8" spans="1:134" ht="13">
      <c r="E8" s="178" t="s">
        <v>373</v>
      </c>
      <c r="H8" s="107" t="s">
        <v>374</v>
      </c>
      <c r="I8" s="74">
        <f>VLOOKUP($H$8&amp;$F$1,'Input RM sheet'!$A:$BD,H1,0)</f>
        <v>2.2297335381695409</v>
      </c>
      <c r="J8" s="74">
        <f>VLOOKUP($H$8&amp;$F$1,'Input RM sheet'!$A:$BD,I1,0)</f>
        <v>2.2479098729525266</v>
      </c>
      <c r="K8" s="74">
        <f>VLOOKUP($H$8&amp;$F$1,'Input RM sheet'!$A:$DD,J1,0)</f>
        <v>2.2070627705207233</v>
      </c>
      <c r="L8" s="74">
        <f>VLOOKUP($H$8&amp;$F$1,'Input RM sheet'!$A:$DD,K1,0)</f>
        <v>2.0964957208689929</v>
      </c>
      <c r="M8" s="74">
        <f>VLOOKUP($H$8&amp;$F$1,'Input RM sheet'!$A:$DD,L1,0)</f>
        <v>2.0507986006623278</v>
      </c>
      <c r="N8" s="74">
        <f>VLOOKUP($H$8&amp;$F$1,'Input RM sheet'!$A:$DD,M1,0)</f>
        <v>1.8662726662189386</v>
      </c>
      <c r="O8" s="74">
        <f>VLOOKUP($H$8&amp;$F$1,'Input RM sheet'!$A:$DD,N1,0)</f>
        <v>1.9815126416739322</v>
      </c>
      <c r="P8" s="74">
        <f>VLOOKUP($H$8&amp;$F$1,'Input RM sheet'!$A:$DD,O1,0)</f>
        <v>1.9887659224154668</v>
      </c>
      <c r="Q8" s="74">
        <f>VLOOKUP($H$8&amp;$F$1,'Input RM sheet'!$A:$DD,P1,0)</f>
        <v>1.942136760752688</v>
      </c>
      <c r="R8" s="74">
        <f>VLOOKUP($H$8&amp;$F$1,'Input RM sheet'!$A:$DD,Q1,0)</f>
        <v>1.9956188912432782</v>
      </c>
      <c r="S8" s="74">
        <f>VLOOKUP($H$8&amp;$F$1,'Input RM sheet'!$A:$DD,R1,0)</f>
        <v>2.0790445233358001</v>
      </c>
      <c r="T8" s="74">
        <f>VLOOKUP($H$8&amp;$F$1,'Input RM sheet'!$A:$DD,S1,0)</f>
        <v>2.0128897709390796</v>
      </c>
      <c r="U8" s="74">
        <f>VLOOKUP($H$8&amp;$F$1,'Input RM sheet'!$A:$DD,T1,0)</f>
        <v>2.1225128205128203</v>
      </c>
      <c r="V8" s="74">
        <f>VLOOKUP($H$8&amp;$F$1,'Input RM sheet'!$A:$DD,U1,0)</f>
        <v>1.8384130819879612</v>
      </c>
      <c r="W8" s="74">
        <f>VLOOKUP($H$8&amp;$F$1,'Input RM sheet'!$A:$DD,V1,0)</f>
        <v>2.1143866802571964</v>
      </c>
      <c r="X8" s="74">
        <f>VLOOKUP($H$8&amp;$F$1,'Input RM sheet'!$A:$DD,W1,0)</f>
        <v>2.0534748092740931</v>
      </c>
      <c r="Y8" s="74">
        <f>VLOOKUP($H$8&amp;$F$1,'Input RM sheet'!$A:$DD,X1,0)</f>
        <v>2.2839222055741915</v>
      </c>
      <c r="Z8" s="74">
        <f>VLOOKUP($H$8&amp;$F$1,'Input RM sheet'!$A:$DD,Y1,0)</f>
        <v>2.1605527914269125</v>
      </c>
      <c r="AA8" s="74">
        <f>VLOOKUP($H$8&amp;$F$1,'Input RM sheet'!$A:$DD,Z1,0)</f>
        <v>2.2252994663051764</v>
      </c>
      <c r="AB8" s="74">
        <f>VLOOKUP($H$8&amp;$F$1,'Input RM sheet'!$A:$DD,AA1,0)</f>
        <v>2.1940421847661562</v>
      </c>
      <c r="AC8" s="74">
        <f>VLOOKUP($H$8&amp;$F$1,'Input RM sheet'!$A:$DD,AB1,0)</f>
        <v>2.1811449160766805</v>
      </c>
      <c r="AD8" s="74">
        <f>VLOOKUP($H$8&amp;$F$1,'Input RM sheet'!$A:$DD,AC1,0)</f>
        <v>2.2024170028278474</v>
      </c>
      <c r="AE8" s="74">
        <f>VLOOKUP($H$8&amp;$F$1,'Input RM sheet'!$A:$DD,AD1,0)</f>
        <v>2.1913789647006379</v>
      </c>
      <c r="AF8" s="74">
        <f>VLOOKUP($H$8&amp;$F$1,'Input RM sheet'!$A:$DD,AE1,0)</f>
        <v>2.4395459583935004</v>
      </c>
      <c r="AG8" s="74">
        <f>VLOOKUP($H$8&amp;$F$1,'Input RM sheet'!$A:$DD,AF1,0)</f>
        <v>2.4275642762656302</v>
      </c>
      <c r="AH8" s="74">
        <f>VLOOKUP($H$8&amp;$F$1,'Input RM sheet'!$A:$DD,AG1,0)</f>
        <v>2.5841923113168122</v>
      </c>
      <c r="AI8" s="74">
        <f>VLOOKUP($H$8&amp;$F$1,'Input RM sheet'!$A:$DD,AH1,0)</f>
        <v>2.5521267304169641</v>
      </c>
      <c r="AJ8" s="74">
        <f>VLOOKUP($H$8&amp;$F$1,'Input RM sheet'!$A:$DD,AI1,0)</f>
        <v>2.738656758163132</v>
      </c>
      <c r="AK8" s="74">
        <f>VLOOKUP($H$8&amp;$F$1,'Input RM sheet'!$A:$DD,AJ1,0)</f>
        <v>3.0676208246763621</v>
      </c>
      <c r="AL8" s="74">
        <f>VLOOKUP($H$8&amp;$F$1,'Input RM sheet'!$A:$DD,AK1,0)</f>
        <v>2.567404013157895</v>
      </c>
      <c r="AM8" s="74">
        <f>VLOOKUP($H$8&amp;$F$1,'Input RM sheet'!$A:$DD,AL1,0)</f>
        <v>2.7300442682926827</v>
      </c>
      <c r="AN8" s="74">
        <f>VLOOKUP($H$8&amp;$F$1,'Input RM sheet'!$A:$DD,AM1,0)</f>
        <v>2.8958413474698435</v>
      </c>
      <c r="AO8" s="74">
        <f>VLOOKUP($H$8&amp;$F$1,'Input RM sheet'!$A:$DD,AN1,0)</f>
        <v>2.8252878037459794</v>
      </c>
      <c r="AP8" s="74">
        <f>VLOOKUP($H$8&amp;$F$1,'Input RM sheet'!$A:$DD,AO1,0)</f>
        <v>2.7931551685445006</v>
      </c>
      <c r="AQ8" s="74">
        <f>VLOOKUP($H$8&amp;$F$1,'Input RM sheet'!$A:$DD,AP1,0)</f>
        <v>2.9845114045060317</v>
      </c>
      <c r="AR8" s="74">
        <f>VLOOKUP($H$8&amp;$F$1,'Input RM sheet'!$A:$DD,AQ1,0)</f>
        <v>3.023686402438122</v>
      </c>
      <c r="AS8" s="74">
        <f>VLOOKUP($H$8&amp;$F$1,'Input RM sheet'!$A:$DD,AR1,0)</f>
        <v>2.6067559073306614</v>
      </c>
      <c r="AT8" s="74">
        <f>VLOOKUP($H$8&amp;$F$1,'Input RM sheet'!$A:$DD,AS1,0)</f>
        <v>2.580018328877006</v>
      </c>
      <c r="AU8" s="74">
        <f>VLOOKUP($H$8&amp;$F$1,'Input RM sheet'!$A:$DD,AT1,0)</f>
        <v>2.6103170187165783</v>
      </c>
      <c r="AV8" s="74">
        <f>VLOOKUP($H$8&amp;$F$1,'Input RM sheet'!$A:$DD,AU1,0)</f>
        <v>2.6132818880074824</v>
      </c>
      <c r="AW8" s="74">
        <f>VLOOKUP($H$8&amp;$F$1,'Input RM sheet'!$A:$DD,AV1,0)</f>
        <v>2.697447664233577</v>
      </c>
      <c r="AX8" s="74">
        <f>VLOOKUP($H$8&amp;$F$1,'Input RM sheet'!$A:$DD,AW1,0)</f>
        <v>2.680341746086508</v>
      </c>
      <c r="AY8" s="74">
        <f>VLOOKUP($H$8&amp;$F$1,'Input RM sheet'!$A:$DD,AX1,0)</f>
        <v>2.7773224563500638</v>
      </c>
      <c r="AZ8" s="74">
        <f>VLOOKUP($H$8&amp;$F$1,'Input RM sheet'!$A:$DD,AY1,0)</f>
        <v>2.7773224563500638</v>
      </c>
      <c r="BA8" s="74">
        <f>VLOOKUP($H$8&amp;$F$1,'Input RM sheet'!$A:$DD,AZ1,0)</f>
        <v>2.7773224563500638</v>
      </c>
      <c r="BB8" s="74">
        <f>VLOOKUP($H$8&amp;$F$1,'Input RM sheet'!$A:$DD,BA1,0)</f>
        <v>2.7773224563500638</v>
      </c>
      <c r="BC8" s="74">
        <f>VLOOKUP($H$8&amp;$F$1,'Input RM sheet'!$A:$DD,BB1,0)</f>
        <v>2.6884376555461045</v>
      </c>
      <c r="BD8" s="74">
        <f>VLOOKUP($H$8&amp;$F$1,'Input RM sheet'!$A:$DD,BC1,0)</f>
        <v>2.6884376555461045</v>
      </c>
      <c r="BE8" s="74">
        <f>VLOOKUP($H$8&amp;$F$1,'Input RM sheet'!$A:$DD,BD1,0)</f>
        <v>2.6884376555461045</v>
      </c>
      <c r="BF8" s="74">
        <f>VLOOKUP($H$8&amp;$F$1,'Input RM sheet'!$A:$DD,BE1,0)</f>
        <v>2.6884376555461045</v>
      </c>
      <c r="BG8" s="74">
        <f>VLOOKUP($H$8&amp;$F$1,'Input RM sheet'!$A:$DD,BF1,0)</f>
        <v>2.8643460011217061</v>
      </c>
      <c r="BH8" s="74">
        <f>VLOOKUP($H$8&amp;$F$1,'Input RM sheet'!$A:$DD,BG1,0)</f>
        <v>2.8643460011217061</v>
      </c>
      <c r="BI8" s="74">
        <f>VLOOKUP($H$8&amp;$F$1,'Input RM sheet'!$A:$DD,BH1,0)</f>
        <v>2.8643460011217061</v>
      </c>
      <c r="BJ8" s="74">
        <f>VLOOKUP($H$8&amp;$F$1,'Input RM sheet'!$A:$DD,BI1,0)</f>
        <v>2.8643460011217061</v>
      </c>
      <c r="BK8" s="74">
        <f>VLOOKUP($H$8&amp;$F$1,'Input RM sheet'!$A:$DD,BJ1,0)</f>
        <v>2.8380273754407779</v>
      </c>
      <c r="BL8" s="74">
        <f>VLOOKUP($H$8&amp;$F$1,'Input RM sheet'!$A:$DD,BK1,0)</f>
        <v>2.8380273754407779</v>
      </c>
      <c r="BM8" s="74">
        <f>VLOOKUP($H$8&amp;$F$1,'Input RM sheet'!$A:$DD,BL1,0)</f>
        <v>2.8380273754407779</v>
      </c>
      <c r="BN8" s="74">
        <f>VLOOKUP($H$8&amp;$F$1,'Input RM sheet'!$A:$DD,BM1,0)</f>
        <v>2.8380273754407779</v>
      </c>
      <c r="BO8" s="74">
        <f>VLOOKUP($H$8&amp;$F$1,'Input RM sheet'!$A:$DD,BN1,0)</f>
        <v>2.7990803869865553</v>
      </c>
      <c r="BP8" s="74">
        <f>VLOOKUP($H$8&amp;$F$1,'Input RM sheet'!$A:$DD,BO1,0)</f>
        <v>2.7990803869865553</v>
      </c>
      <c r="BQ8" s="74">
        <f>VLOOKUP($H$8&amp;$F$1,'Input RM sheet'!$A:$DD,BP1,0)</f>
        <v>2.7990803869865553</v>
      </c>
      <c r="BR8" s="74">
        <f>VLOOKUP($H$8&amp;$F$1,'Input RM sheet'!$A:$DD,BQ1,0)</f>
        <v>2.7990803869865553</v>
      </c>
      <c r="BS8" s="74">
        <f>VLOOKUP($H$8&amp;$F$1,'Input RM sheet'!$A:$DD,BR1,0)</f>
        <v>2.4983713241864063</v>
      </c>
      <c r="BT8" s="74">
        <f>VLOOKUP($H$8&amp;$F$1,'Input RM sheet'!$A:$DD,BS1,0)</f>
        <v>2.4983713241864063</v>
      </c>
      <c r="BU8" s="74">
        <f>VLOOKUP($H$8&amp;$F$1,'Input RM sheet'!$A:$DD,BT1,0)</f>
        <v>2.4983713241864063</v>
      </c>
      <c r="BV8" s="74">
        <f>VLOOKUP($H$8&amp;$F$1,'Input RM sheet'!$A:$DD,BU1,0)</f>
        <v>2.4983713241864063</v>
      </c>
      <c r="BW8" s="74">
        <f>VLOOKUP($H$8&amp;$F$1,'Input RM sheet'!$A:$DD,BV1,0)</f>
        <v>2.5234402801634781</v>
      </c>
      <c r="BX8" s="74">
        <f>VLOOKUP($H$8&amp;$F$1,'Input RM sheet'!$A:$DD,BW1,0)</f>
        <v>2.5234402801634781</v>
      </c>
      <c r="BY8" s="74">
        <f>VLOOKUP($H$8&amp;$F$1,'Input RM sheet'!$A:$DD,BX1,0)</f>
        <v>2.5234402801634781</v>
      </c>
      <c r="BZ8" s="74">
        <f>VLOOKUP($H$8&amp;$F$1,'Input RM sheet'!$A:$DD,BY1,0)</f>
        <v>2.5234402801634781</v>
      </c>
      <c r="CA8" s="74">
        <f>VLOOKUP($H$8&amp;$F$1,'Input RM sheet'!$A:$DD,BZ1,0)</f>
        <v>2.5575903526338712</v>
      </c>
      <c r="CB8" s="74">
        <f>VLOOKUP($H$8&amp;$F$1,'Input RM sheet'!$A:$DD,CA1,0)</f>
        <v>2.5575903526338712</v>
      </c>
      <c r="CC8" s="74">
        <f>VLOOKUP($H$8&amp;$F$1,'Input RM sheet'!$A:$DD,CB1,0)</f>
        <v>2.5575903526338712</v>
      </c>
      <c r="CD8" s="74">
        <f>VLOOKUP($H$8&amp;$F$1,'Input RM sheet'!$A:$DD,CC1,0)</f>
        <v>2.5575903526338712</v>
      </c>
      <c r="CE8" s="74">
        <f>VLOOKUP($H$8&amp;$F$1,'Input RM sheet'!$A:$DD,CD1,0)</f>
        <v>2.7424266911764699</v>
      </c>
      <c r="CF8" s="74">
        <f>VLOOKUP($H$8&amp;$F$1,'Input RM sheet'!$A:$DD,CE1,0)</f>
        <v>2.7424266911764699</v>
      </c>
      <c r="CG8" s="74">
        <f>VLOOKUP($H$8&amp;$F$1,'Input RM sheet'!$A:$DD,CF1,0)</f>
        <v>2.7424266911764699</v>
      </c>
      <c r="CH8" s="74">
        <f>VLOOKUP($H$8&amp;$F$1,'Input RM sheet'!$A:$DD,CG1,0)</f>
        <v>2.7424266911764699</v>
      </c>
      <c r="CI8" s="74">
        <f>VLOOKUP($H$8&amp;$F$1,'Input RM sheet'!$A:$DD,CH1,0)</f>
        <v>2.5410588815789477</v>
      </c>
      <c r="CJ8" s="74">
        <f>VLOOKUP($H$8&amp;$F$1,'Input RM sheet'!$A:$DD,CI1,0)</f>
        <v>2.5410588815789477</v>
      </c>
      <c r="CK8" s="74">
        <f>VLOOKUP($H$8&amp;$F$1,'Input RM sheet'!$A:$DD,CJ1,0)</f>
        <v>2.5410588815789477</v>
      </c>
      <c r="CL8" s="74">
        <f>VLOOKUP($H$8&amp;$F$1,'Input RM sheet'!$A:$DD,CK1,0)</f>
        <v>2.5410588815789477</v>
      </c>
      <c r="CM8" s="74">
        <f>VLOOKUP($H$8&amp;$F$1,'Input RM sheet'!$A:$DD,CL1,0)</f>
        <v>2.4702037499999996</v>
      </c>
      <c r="CN8" s="74">
        <f>VLOOKUP($H$8&amp;$F$1,'Input RM sheet'!$A:$DD,CM1,0)</f>
        <v>2.4702037499999996</v>
      </c>
      <c r="CO8" s="74">
        <f>VLOOKUP($H$8&amp;$F$1,'Input RM sheet'!$A:$DD,CN1,0)</f>
        <v>2.4702037499999996</v>
      </c>
      <c r="CP8" s="74">
        <f>VLOOKUP($H$8&amp;$F$1,'Input RM sheet'!$A:$DD,CO1,0)</f>
        <v>2.4702037499999996</v>
      </c>
      <c r="CQ8" s="74">
        <f>VLOOKUP($H$8&amp;$F$1,'Input RM sheet'!$A:$DD,CP1,0)</f>
        <v>2.4702037499999996</v>
      </c>
      <c r="CR8" s="74">
        <f>VLOOKUP($H$8&amp;$F$1,'Input RM sheet'!$A:$ZZ,CQ1,0)</f>
        <v>3.1117332608695647</v>
      </c>
      <c r="CS8" s="74">
        <f>VLOOKUP($H$8&amp;$F$1,'Input RM sheet'!$A:$ZZ,CR1,0)</f>
        <v>3.1117332608695647</v>
      </c>
      <c r="CT8" s="74">
        <f>VLOOKUP($H$8&amp;$F$1,'Input RM sheet'!$A:$ZZ,CS1,0)</f>
        <v>3.1117332608695647</v>
      </c>
      <c r="CU8" s="74">
        <f>VLOOKUP($H$8&amp;$F$1,'Input RM sheet'!$A:$ZZ,CT1,0)</f>
        <v>3.1117332608695647</v>
      </c>
      <c r="CV8" s="74">
        <f>VLOOKUP($H$8&amp;$F$1,'Input RM sheet'!$A:$ZZ,CU1,0)</f>
        <v>2.2412543478260867</v>
      </c>
      <c r="CW8" s="74">
        <f>VLOOKUP($H$8&amp;$F$1,'Input RM sheet'!$A:$ZZ,CV1,0)</f>
        <v>2.2412543478260867</v>
      </c>
      <c r="CX8" s="74">
        <f>VLOOKUP($H$8&amp;$F$1,'Input RM sheet'!$A:$ZZ,CW1,0)</f>
        <v>2.2412543478260867</v>
      </c>
      <c r="CY8" s="74">
        <f>VLOOKUP($H$8&amp;$F$1,'Input RM sheet'!$A:$ZZ,CX1,0)</f>
        <v>2.2412543478260867</v>
      </c>
      <c r="CZ8" s="74">
        <f>VLOOKUP($H$8&amp;$F$1,'Input RM sheet'!$A:$ZZ,CY1,0)</f>
        <v>2.2412543478260867</v>
      </c>
      <c r="DA8" s="74">
        <f>VLOOKUP($H$8&amp;$F$1,'Input RM sheet'!$A:$ZZ,CZ1,0)</f>
        <v>2.2412543478260867</v>
      </c>
      <c r="DB8" s="74">
        <f>VLOOKUP($H$8&amp;$F$1,'Input RM sheet'!$A:$ZZ,DA1,0)</f>
        <v>2.2412543478260867</v>
      </c>
      <c r="DC8" s="74">
        <f>VLOOKUP($H$8&amp;$F$1,'Input RM sheet'!$A:$ZZ,DB1,0)</f>
        <v>2.2412543478260867</v>
      </c>
      <c r="DD8" s="74">
        <f>VLOOKUP($H$8&amp;$F$1,'Input RM sheet'!$A:$ZZ,DC1,0)</f>
        <v>2.2412543478260867</v>
      </c>
      <c r="DE8" s="74">
        <f>VLOOKUP($H$8&amp;$F$1,'Input RM sheet'!$A:$ZZ,DD1,0)</f>
        <v>2.2412543478260867</v>
      </c>
      <c r="DF8" s="74">
        <f>VLOOKUP($H$8&amp;$F$1,'Input RM sheet'!$A:$ZZ,DE1,0)</f>
        <v>2.2412543478260867</v>
      </c>
      <c r="DG8" s="74">
        <f>VLOOKUP($H$8&amp;$F$1,'Input RM sheet'!$A:$ZZ,DF1,0)</f>
        <v>2.2412543478260867</v>
      </c>
      <c r="DH8" s="74">
        <f>VLOOKUP($H$8&amp;$F$1,'Input RM sheet'!$A:$ZZ,DG1,0)</f>
        <v>1.85</v>
      </c>
      <c r="DI8" s="74">
        <f>VLOOKUP($H$8&amp;$F$1,'Input RM sheet'!$A:$ZZ,DH1,0)</f>
        <v>1.85</v>
      </c>
      <c r="DJ8" s="74">
        <f>VLOOKUP($H$8&amp;$F$1,'Input RM sheet'!$A:$ZZ,DI1,0)</f>
        <v>1.85</v>
      </c>
      <c r="DK8" s="74">
        <f>VLOOKUP($H$8&amp;$F$1,'Input RM sheet'!$A:$ZZ,DJ1,0)</f>
        <v>1.85</v>
      </c>
      <c r="DL8" s="74">
        <f>VLOOKUP($H$8&amp;$F$1,'Input RM sheet'!$A:$ZZ,DK1,0)</f>
        <v>1.85</v>
      </c>
      <c r="DM8" s="74">
        <f>VLOOKUP($H$8&amp;$F$1,'Input RM sheet'!$A:$ZZ,DL1,0)</f>
        <v>1.85</v>
      </c>
      <c r="DN8" s="74">
        <f>VLOOKUP($H$8&amp;$F$1,'Input RM sheet'!$A:$ZZ,DM1,0)</f>
        <v>1.85</v>
      </c>
      <c r="DO8" s="74">
        <f>VLOOKUP($H$8&amp;$F$1,'Input RM sheet'!$A:$ZZ,DN1,0)</f>
        <v>1.85</v>
      </c>
      <c r="DP8" s="74">
        <f>VLOOKUP($H$8&amp;$F$1,'Input RM sheet'!$A:$ZZ,DO1,0)</f>
        <v>1.85</v>
      </c>
      <c r="DQ8" s="74">
        <f>VLOOKUP($H$8&amp;$F$1,'Input RM sheet'!$A:$ZZ,DP1,0)</f>
        <v>1.85</v>
      </c>
      <c r="DR8" s="74">
        <f>VLOOKUP($H$8&amp;$F$1,'Input RM sheet'!$A:$ZZ,DQ1,0)</f>
        <v>1.85</v>
      </c>
      <c r="DS8" s="74">
        <f>VLOOKUP($H$8&amp;$F$1,'Input RM sheet'!$A:$ZZ,DR1,0)</f>
        <v>1.85</v>
      </c>
      <c r="DT8" s="74">
        <f>VLOOKUP($H$8&amp;$F$1,'Input RM sheet'!$A:$ZZ,DS1,0)</f>
        <v>0</v>
      </c>
      <c r="DU8" s="74">
        <f>VLOOKUP($H$8&amp;$F$1,'Input RM sheet'!$A:$ZZ,DT1,0)</f>
        <v>0</v>
      </c>
      <c r="DV8" s="74">
        <f>VLOOKUP($H$8&amp;$F$1,'Input RM sheet'!$A:$ZZ,DU1,0)</f>
        <v>0</v>
      </c>
      <c r="DW8" s="74">
        <f>VLOOKUP($H$8&amp;$F$1,'Input RM sheet'!$A:$ZZ,DV1,0)</f>
        <v>0</v>
      </c>
      <c r="DX8" s="74">
        <f>VLOOKUP($H$8&amp;$F$1,'Input RM sheet'!$A:$ZZ,DW1,0)</f>
        <v>0</v>
      </c>
      <c r="DY8" s="74">
        <f>VLOOKUP($H$8&amp;$F$1,'Input RM sheet'!$A:$ZZ,DX1,0)</f>
        <v>0</v>
      </c>
      <c r="DZ8" s="74">
        <f>VLOOKUP($H$8&amp;$F$1,'Input RM sheet'!$A:$ZZ,DY1,0)</f>
        <v>0</v>
      </c>
      <c r="EA8" s="74">
        <f>VLOOKUP($H$8&amp;$F$1,'Input RM sheet'!$A:$ZZ,DZ1,0)</f>
        <v>0</v>
      </c>
      <c r="EB8" s="74">
        <f>VLOOKUP($H$8&amp;$F$1,'Input RM sheet'!$A:$ZZ,EA1,0)</f>
        <v>0</v>
      </c>
      <c r="EC8" s="74">
        <f>VLOOKUP($H$8&amp;$F$1,'Input RM sheet'!$A:$ZZ,EB1,0)</f>
        <v>0</v>
      </c>
      <c r="ED8" s="74">
        <f>VLOOKUP($H$8&amp;$F$1,'Input RM sheet'!$A:$ZZ,EC1,0)</f>
        <v>0</v>
      </c>
    </row>
    <row r="9" spans="1:134">
      <c r="E9" s="178"/>
      <c r="H9" s="178"/>
      <c r="I9" s="74"/>
      <c r="J9" s="74"/>
      <c r="K9" s="74"/>
      <c r="L9" s="74"/>
      <c r="M9" s="74"/>
      <c r="N9" s="74"/>
      <c r="O9" s="74"/>
      <c r="P9" s="74"/>
      <c r="Q9" s="74"/>
      <c r="R9" s="74"/>
      <c r="S9" s="74"/>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74"/>
      <c r="BG9" s="74"/>
      <c r="BH9" s="74"/>
      <c r="BI9" s="74"/>
      <c r="BJ9" s="74"/>
      <c r="BK9" s="74"/>
      <c r="BL9" s="74"/>
      <c r="BM9" s="74"/>
      <c r="BN9" s="74"/>
      <c r="BO9" s="74"/>
      <c r="BP9" s="74"/>
      <c r="BQ9" s="74"/>
      <c r="BR9" s="74"/>
      <c r="BS9" s="74"/>
      <c r="BT9" s="74"/>
      <c r="BU9" s="74"/>
      <c r="BV9" s="74"/>
      <c r="BW9" s="74"/>
      <c r="BX9" s="74"/>
      <c r="BY9" s="74"/>
      <c r="BZ9" s="74"/>
      <c r="CA9" s="74"/>
      <c r="CB9" s="74"/>
      <c r="CC9" s="74"/>
      <c r="CD9" s="74"/>
      <c r="CE9" s="74"/>
      <c r="CF9" s="74"/>
      <c r="CG9" s="74"/>
      <c r="CH9" s="74"/>
      <c r="CI9" s="74"/>
      <c r="CJ9" s="74"/>
      <c r="CK9" s="74"/>
      <c r="CL9" s="74"/>
      <c r="CM9" s="74"/>
      <c r="CN9" s="74"/>
      <c r="CO9" s="74"/>
      <c r="CP9" s="74"/>
      <c r="CQ9" s="74"/>
      <c r="CR9" s="74"/>
    </row>
    <row r="10" spans="1:134">
      <c r="H10" s="107"/>
      <c r="I10" s="74"/>
      <c r="J10" s="74"/>
      <c r="K10" s="74"/>
      <c r="L10" s="74"/>
      <c r="M10" s="74"/>
      <c r="N10" s="74"/>
      <c r="O10" s="7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c r="CE10" s="74"/>
      <c r="CF10" s="74"/>
      <c r="CG10" s="74"/>
      <c r="CH10" s="74"/>
      <c r="CI10" s="74"/>
      <c r="CJ10" s="74"/>
      <c r="CK10" s="74"/>
      <c r="CL10" s="74"/>
      <c r="CM10" s="74"/>
      <c r="CN10" s="74"/>
      <c r="CO10" s="74"/>
      <c r="CP10" s="74"/>
      <c r="CQ10" s="74"/>
      <c r="CR10" s="74"/>
    </row>
    <row r="11" spans="1:134">
      <c r="H11" s="107"/>
      <c r="I11" s="74"/>
      <c r="J11" s="74"/>
      <c r="K11" s="74"/>
      <c r="L11" s="74"/>
      <c r="M11" s="74"/>
      <c r="N11" s="74"/>
      <c r="O11" s="74"/>
      <c r="P11" s="74"/>
      <c r="Q11" s="74"/>
      <c r="R11" s="74"/>
      <c r="S11" s="74"/>
      <c r="T11" s="74"/>
      <c r="U11" s="74"/>
      <c r="V11" s="74"/>
      <c r="W11" s="74"/>
      <c r="X11" s="74"/>
      <c r="Y11" s="74"/>
      <c r="Z11" s="74"/>
      <c r="AA11" s="74"/>
      <c r="AB11" s="74"/>
      <c r="AC11" s="74"/>
      <c r="AD11" s="74"/>
      <c r="AE11" s="74"/>
      <c r="AF11" s="74"/>
      <c r="AG11" s="74"/>
      <c r="AH11" s="74"/>
      <c r="AI11" s="74"/>
      <c r="AJ11" s="74"/>
      <c r="AK11" s="74"/>
      <c r="AL11" s="74"/>
      <c r="AM11" s="74"/>
      <c r="AN11" s="74"/>
      <c r="AO11" s="74"/>
      <c r="AP11" s="74"/>
      <c r="AQ11" s="74"/>
      <c r="AR11" s="74"/>
      <c r="AS11" s="74"/>
      <c r="AT11" s="74"/>
      <c r="AU11" s="74"/>
      <c r="AV11" s="74"/>
      <c r="AW11" s="74"/>
      <c r="AX11" s="74"/>
      <c r="AY11" s="74"/>
      <c r="AZ11" s="74"/>
      <c r="BA11" s="74"/>
      <c r="BB11" s="74"/>
      <c r="BC11" s="74"/>
      <c r="BD11" s="74"/>
      <c r="BE11" s="74"/>
      <c r="BF11" s="74"/>
      <c r="BG11" s="74"/>
      <c r="BH11" s="74"/>
      <c r="BI11" s="74"/>
      <c r="BJ11" s="74"/>
      <c r="BK11" s="74"/>
      <c r="BL11" s="74"/>
      <c r="BM11" s="74"/>
      <c r="BN11" s="74"/>
      <c r="BO11" s="74"/>
      <c r="BP11" s="74"/>
      <c r="BQ11" s="74"/>
      <c r="BR11" s="74"/>
      <c r="BS11" s="74"/>
      <c r="BT11" s="74"/>
      <c r="BU11" s="74"/>
      <c r="BV11" s="74"/>
      <c r="BW11" s="74"/>
      <c r="BX11" s="74"/>
      <c r="BY11" s="74"/>
      <c r="BZ11" s="74"/>
      <c r="CA11" s="74"/>
      <c r="CB11" s="74"/>
      <c r="CC11" s="74"/>
      <c r="CD11" s="74"/>
      <c r="CE11" s="74"/>
      <c r="CF11" s="74"/>
      <c r="CG11" s="74"/>
      <c r="CH11" s="74"/>
      <c r="CI11" s="74"/>
      <c r="CJ11" s="74"/>
      <c r="CK11" s="74"/>
      <c r="CL11" s="74"/>
      <c r="CM11" s="74"/>
      <c r="CN11" s="74"/>
      <c r="CO11" s="74"/>
      <c r="CP11" s="74"/>
      <c r="CQ11" s="74"/>
      <c r="CR11" s="74"/>
    </row>
    <row r="12" spans="1:134" ht="13">
      <c r="A12" s="59" t="s">
        <v>395</v>
      </c>
      <c r="B12" s="59"/>
      <c r="C12" s="59" t="s">
        <v>379</v>
      </c>
      <c r="D12" s="98" t="s">
        <v>380</v>
      </c>
      <c r="E12" s="98" t="s">
        <v>381</v>
      </c>
      <c r="F12" s="59" t="s">
        <v>396</v>
      </c>
      <c r="H12" s="107"/>
      <c r="I12" s="84"/>
      <c r="J12" s="84"/>
      <c r="K12" s="84"/>
      <c r="L12" s="84"/>
      <c r="M12" s="84"/>
      <c r="N12" s="84"/>
      <c r="O12" s="84"/>
      <c r="P12" s="84"/>
      <c r="Q12" s="84"/>
      <c r="R12" s="84"/>
      <c r="S12" s="84"/>
      <c r="T12" s="84"/>
      <c r="U12" s="84"/>
      <c r="V12" s="84"/>
      <c r="W12" s="84"/>
      <c r="X12" s="84"/>
      <c r="Y12" s="84"/>
      <c r="Z12" s="84"/>
      <c r="AA12" s="84"/>
      <c r="AB12" s="84"/>
      <c r="AC12" s="84"/>
      <c r="AD12" s="84"/>
      <c r="AE12" s="84"/>
      <c r="AF12" s="84"/>
      <c r="AG12" s="84"/>
      <c r="AH12" s="84"/>
      <c r="AI12" s="84"/>
      <c r="AJ12" s="84"/>
      <c r="AK12" s="84"/>
      <c r="AL12" s="84"/>
      <c r="AM12" s="84"/>
      <c r="AN12" s="84"/>
      <c r="AO12" s="84"/>
      <c r="AP12" s="84"/>
      <c r="AQ12" s="84"/>
      <c r="AR12" s="84"/>
      <c r="AS12" s="84"/>
      <c r="AT12" s="84"/>
      <c r="AU12" s="84"/>
      <c r="AV12" s="84"/>
      <c r="AW12" s="84"/>
      <c r="AX12" s="84"/>
      <c r="AY12" s="84"/>
      <c r="AZ12" s="84"/>
      <c r="BA12" s="84"/>
      <c r="BB12" s="84"/>
      <c r="BC12" s="84"/>
      <c r="BD12" s="84"/>
      <c r="BE12" s="84"/>
      <c r="BF12" s="84"/>
      <c r="BG12" s="84"/>
      <c r="BH12" s="84"/>
      <c r="BI12" s="84"/>
      <c r="BJ12" s="84"/>
      <c r="BK12" s="84"/>
      <c r="BL12" s="84"/>
      <c r="BM12" s="84"/>
      <c r="BN12" s="84"/>
      <c r="BO12" s="84"/>
      <c r="BP12" s="84"/>
      <c r="BQ12" s="84"/>
      <c r="BR12" s="84"/>
      <c r="BS12" s="84"/>
      <c r="BT12" s="84"/>
      <c r="BU12" s="84"/>
      <c r="BV12" s="84"/>
      <c r="BW12" s="84"/>
      <c r="BX12" s="84"/>
      <c r="BY12" s="84"/>
      <c r="BZ12" s="84"/>
      <c r="CA12" s="84"/>
      <c r="CB12" s="84"/>
      <c r="CC12" s="84"/>
      <c r="CD12" s="84"/>
      <c r="CE12" s="84"/>
      <c r="CF12" s="84"/>
      <c r="CG12" s="84"/>
      <c r="CH12" s="84"/>
      <c r="CI12" s="84"/>
      <c r="CJ12" s="84"/>
      <c r="CK12" s="84"/>
      <c r="CL12" s="84"/>
      <c r="CM12" s="84"/>
      <c r="CN12" s="84"/>
      <c r="CO12" s="84"/>
      <c r="CP12" s="84"/>
      <c r="CQ12" s="84"/>
      <c r="CR12" s="84"/>
    </row>
    <row r="13" spans="1:134" ht="13">
      <c r="A13" s="107" t="s">
        <v>397</v>
      </c>
      <c r="B13" s="352" t="s">
        <v>374</v>
      </c>
      <c r="C13" s="60">
        <v>1</v>
      </c>
      <c r="D13" s="65">
        <v>107.15</v>
      </c>
      <c r="E13" s="60">
        <f>D13*C13</f>
        <v>107.15</v>
      </c>
      <c r="F13" s="65">
        <f>E13/D3</f>
        <v>0.8046710723941124</v>
      </c>
      <c r="H13" s="60" t="s">
        <v>399</v>
      </c>
      <c r="I13" s="74">
        <f>$F$13*I8</f>
        <v>1.7942020773120031</v>
      </c>
      <c r="J13" s="74">
        <f t="shared" ref="J13:BU13" si="0">$F$13*J8</f>
        <v>1.8088280481140226</v>
      </c>
      <c r="K13" s="74">
        <f t="shared" si="0"/>
        <v>1.7759595663960313</v>
      </c>
      <c r="L13" s="74">
        <f t="shared" si="0"/>
        <v>1.6869894599813202</v>
      </c>
      <c r="M13" s="74">
        <f t="shared" si="0"/>
        <v>1.6502183092593004</v>
      </c>
      <c r="N13" s="74">
        <f t="shared" si="0"/>
        <v>1.5017356277062126</v>
      </c>
      <c r="O13" s="74">
        <f t="shared" si="0"/>
        <v>1.5944659023382535</v>
      </c>
      <c r="P13" s="74">
        <f t="shared" si="0"/>
        <v>1.6003024075309198</v>
      </c>
      <c r="Q13" s="74">
        <f t="shared" si="0"/>
        <v>1.5627812700108932</v>
      </c>
      <c r="R13" s="74">
        <f t="shared" si="0"/>
        <v>1.6058167933066783</v>
      </c>
      <c r="S13" s="74">
        <f t="shared" si="0"/>
        <v>1.6729469861477246</v>
      </c>
      <c r="T13" s="74">
        <f t="shared" si="0"/>
        <v>1.6197141705926885</v>
      </c>
      <c r="U13" s="74">
        <f t="shared" si="0"/>
        <v>1.7079246674523034</v>
      </c>
      <c r="V13" s="74">
        <f t="shared" si="0"/>
        <v>1.479317826186618</v>
      </c>
      <c r="W13" s="74">
        <f t="shared" si="0"/>
        <v>1.7013857974583855</v>
      </c>
      <c r="X13" s="74">
        <f t="shared" si="0"/>
        <v>1.6523717769128798</v>
      </c>
      <c r="Y13" s="74">
        <f t="shared" si="0"/>
        <v>1.8378061304241111</v>
      </c>
      <c r="Z13" s="74">
        <f t="shared" si="0"/>
        <v>1.7385343316415867</v>
      </c>
      <c r="AA13" s="74">
        <f t="shared" si="0"/>
        <v>1.7906341079498322</v>
      </c>
      <c r="AB13" s="74">
        <f t="shared" si="0"/>
        <v>1.7654822776937042</v>
      </c>
      <c r="AC13" s="74">
        <f t="shared" si="0"/>
        <v>1.7551042186663888</v>
      </c>
      <c r="AD13" s="74">
        <f t="shared" si="0"/>
        <v>1.7722212515245108</v>
      </c>
      <c r="AE13" s="74">
        <f t="shared" si="0"/>
        <v>1.763339261547562</v>
      </c>
      <c r="AF13" s="74">
        <f t="shared" si="0"/>
        <v>1.9630320624952207</v>
      </c>
      <c r="AG13" s="74">
        <f t="shared" si="0"/>
        <v>1.953390749488302</v>
      </c>
      <c r="AH13" s="74">
        <f t="shared" si="0"/>
        <v>2.079424798419919</v>
      </c>
      <c r="AI13" s="74">
        <f t="shared" si="0"/>
        <v>2.0536225530502983</v>
      </c>
      <c r="AJ13" s="74">
        <f t="shared" si="0"/>
        <v>2.2037178705105109</v>
      </c>
      <c r="AK13" s="74">
        <f t="shared" si="0"/>
        <v>2.4684257386908399</v>
      </c>
      <c r="AL13" s="74">
        <f t="shared" si="0"/>
        <v>2.0659157405367115</v>
      </c>
      <c r="AM13" s="74">
        <f t="shared" si="0"/>
        <v>2.196787649050473</v>
      </c>
      <c r="AN13" s="74">
        <f t="shared" si="0"/>
        <v>2.3301997625517705</v>
      </c>
      <c r="AO13" s="74">
        <f t="shared" si="0"/>
        <v>2.273427366862284</v>
      </c>
      <c r="AP13" s="74">
        <f t="shared" si="0"/>
        <v>2.2475711648358612</v>
      </c>
      <c r="AQ13" s="74">
        <f t="shared" si="0"/>
        <v>2.4015499924363271</v>
      </c>
      <c r="AR13" s="74">
        <f t="shared" si="0"/>
        <v>2.4330729800333795</v>
      </c>
      <c r="AS13" s="74">
        <f t="shared" si="0"/>
        <v>2.0975810714214509</v>
      </c>
      <c r="AT13" s="74">
        <f t="shared" si="0"/>
        <v>2.0760661154939264</v>
      </c>
      <c r="AU13" s="74">
        <f t="shared" si="0"/>
        <v>2.1004465947392714</v>
      </c>
      <c r="AV13" s="74">
        <f t="shared" si="0"/>
        <v>2.1028323392910915</v>
      </c>
      <c r="AW13" s="74">
        <f t="shared" si="0"/>
        <v>2.170558104705826</v>
      </c>
      <c r="AX13" s="74">
        <f t="shared" si="0"/>
        <v>2.1567934672061382</v>
      </c>
      <c r="AY13" s="74">
        <f t="shared" si="0"/>
        <v>2.2348310393354565</v>
      </c>
      <c r="AZ13" s="74">
        <f t="shared" si="0"/>
        <v>2.2348310393354565</v>
      </c>
      <c r="BA13" s="74">
        <f t="shared" si="0"/>
        <v>2.2348310393354565</v>
      </c>
      <c r="BB13" s="74">
        <f t="shared" si="0"/>
        <v>2.2348310393354565</v>
      </c>
      <c r="BC13" s="74">
        <f t="shared" si="0"/>
        <v>2.1633080113529974</v>
      </c>
      <c r="BD13" s="74">
        <f t="shared" si="0"/>
        <v>2.1633080113529974</v>
      </c>
      <c r="BE13" s="74">
        <f t="shared" si="0"/>
        <v>2.1633080113529974</v>
      </c>
      <c r="BF13" s="74">
        <f t="shared" si="0"/>
        <v>2.1633080113529974</v>
      </c>
      <c r="BG13" s="74">
        <f t="shared" si="0"/>
        <v>2.3048563684303907</v>
      </c>
      <c r="BH13" s="74">
        <f t="shared" si="0"/>
        <v>2.3048563684303907</v>
      </c>
      <c r="BI13" s="74">
        <f t="shared" si="0"/>
        <v>2.3048563684303907</v>
      </c>
      <c r="BJ13" s="74">
        <f t="shared" si="0"/>
        <v>2.3048563684303907</v>
      </c>
      <c r="BK13" s="74">
        <f t="shared" si="0"/>
        <v>2.283678531679779</v>
      </c>
      <c r="BL13" s="74">
        <f t="shared" si="0"/>
        <v>2.283678531679779</v>
      </c>
      <c r="BM13" s="74">
        <f t="shared" si="0"/>
        <v>2.283678531679779</v>
      </c>
      <c r="BN13" s="74">
        <f t="shared" si="0"/>
        <v>2.283678531679779</v>
      </c>
      <c r="BO13" s="74">
        <f t="shared" si="0"/>
        <v>2.2523390167137984</v>
      </c>
      <c r="BP13" s="74">
        <f t="shared" si="0"/>
        <v>2.2523390167137984</v>
      </c>
      <c r="BQ13" s="74">
        <f t="shared" si="0"/>
        <v>2.2523390167137984</v>
      </c>
      <c r="BR13" s="74">
        <f t="shared" si="0"/>
        <v>2.2523390167137984</v>
      </c>
      <c r="BS13" s="74">
        <f t="shared" si="0"/>
        <v>2.010367132671774</v>
      </c>
      <c r="BT13" s="74">
        <f t="shared" si="0"/>
        <v>2.010367132671774</v>
      </c>
      <c r="BU13" s="74">
        <f t="shared" si="0"/>
        <v>2.010367132671774</v>
      </c>
      <c r="BV13" s="74">
        <f t="shared" ref="BV13:ED13" si="1">$F$13*BV8</f>
        <v>2.010367132671774</v>
      </c>
      <c r="BW13" s="74">
        <f t="shared" si="1"/>
        <v>2.0305393963616454</v>
      </c>
      <c r="BX13" s="74">
        <f t="shared" si="1"/>
        <v>2.0305393963616454</v>
      </c>
      <c r="BY13" s="74">
        <f t="shared" si="1"/>
        <v>2.0305393963616454</v>
      </c>
      <c r="BZ13" s="74">
        <f t="shared" si="1"/>
        <v>2.0305393963616454</v>
      </c>
      <c r="CA13" s="74">
        <f t="shared" si="1"/>
        <v>2.0580189717987332</v>
      </c>
      <c r="CB13" s="74">
        <f t="shared" si="1"/>
        <v>2.0580189717987332</v>
      </c>
      <c r="CC13" s="74">
        <f t="shared" si="1"/>
        <v>2.0580189717987332</v>
      </c>
      <c r="CD13" s="74">
        <f t="shared" si="1"/>
        <v>2.0580189717987332</v>
      </c>
      <c r="CE13" s="74">
        <f t="shared" si="1"/>
        <v>2.2067514265512074</v>
      </c>
      <c r="CF13" s="74">
        <f t="shared" si="1"/>
        <v>2.2067514265512074</v>
      </c>
      <c r="CG13" s="74">
        <f t="shared" si="1"/>
        <v>2.2067514265512074</v>
      </c>
      <c r="CH13" s="74">
        <f t="shared" si="1"/>
        <v>2.2067514265512074</v>
      </c>
      <c r="CI13" s="74">
        <f t="shared" si="1"/>
        <v>2.0447165752567158</v>
      </c>
      <c r="CJ13" s="74">
        <f t="shared" si="1"/>
        <v>2.0447165752567158</v>
      </c>
      <c r="CK13" s="74">
        <f t="shared" si="1"/>
        <v>2.0447165752567158</v>
      </c>
      <c r="CL13" s="74">
        <f t="shared" si="1"/>
        <v>2.0447165752567158</v>
      </c>
      <c r="CM13" s="74">
        <f t="shared" si="1"/>
        <v>1.9877015005444576</v>
      </c>
      <c r="CN13" s="74">
        <f t="shared" si="1"/>
        <v>1.9877015005444576</v>
      </c>
      <c r="CO13" s="74">
        <f t="shared" si="1"/>
        <v>1.9877015005444576</v>
      </c>
      <c r="CP13" s="74">
        <f t="shared" si="1"/>
        <v>1.9877015005444576</v>
      </c>
      <c r="CQ13" s="74">
        <f t="shared" si="1"/>
        <v>1.9877015005444576</v>
      </c>
      <c r="CR13" s="74">
        <f t="shared" si="1"/>
        <v>2.5039217400283409</v>
      </c>
      <c r="CS13" s="74">
        <f t="shared" si="1"/>
        <v>2.5039217400283409</v>
      </c>
      <c r="CT13" s="74">
        <f t="shared" si="1"/>
        <v>2.5039217400283409</v>
      </c>
      <c r="CU13" s="74">
        <f t="shared" si="1"/>
        <v>2.5039217400283409</v>
      </c>
      <c r="CV13" s="74">
        <f t="shared" si="1"/>
        <v>1.8034725395731841</v>
      </c>
      <c r="CW13" s="74">
        <f t="shared" si="1"/>
        <v>1.8034725395731841</v>
      </c>
      <c r="CX13" s="74">
        <f t="shared" si="1"/>
        <v>1.8034725395731841</v>
      </c>
      <c r="CY13" s="74">
        <f t="shared" si="1"/>
        <v>1.8034725395731841</v>
      </c>
      <c r="CZ13" s="74">
        <f t="shared" si="1"/>
        <v>1.8034725395731841</v>
      </c>
      <c r="DA13" s="74">
        <f t="shared" si="1"/>
        <v>1.8034725395731841</v>
      </c>
      <c r="DB13" s="74">
        <f t="shared" si="1"/>
        <v>1.8034725395731841</v>
      </c>
      <c r="DC13" s="74">
        <f t="shared" si="1"/>
        <v>1.8034725395731841</v>
      </c>
      <c r="DD13" s="74">
        <f t="shared" si="1"/>
        <v>1.8034725395731841</v>
      </c>
      <c r="DE13" s="74">
        <f t="shared" si="1"/>
        <v>1.8034725395731841</v>
      </c>
      <c r="DF13" s="74">
        <f t="shared" si="1"/>
        <v>1.8034725395731841</v>
      </c>
      <c r="DG13" s="74">
        <f t="shared" si="1"/>
        <v>1.8034725395731841</v>
      </c>
      <c r="DH13" s="74">
        <f t="shared" si="1"/>
        <v>1.488641483929108</v>
      </c>
      <c r="DI13" s="74">
        <f t="shared" si="1"/>
        <v>1.488641483929108</v>
      </c>
      <c r="DJ13" s="74">
        <f t="shared" si="1"/>
        <v>1.488641483929108</v>
      </c>
      <c r="DK13" s="74">
        <f t="shared" si="1"/>
        <v>1.488641483929108</v>
      </c>
      <c r="DL13" s="74">
        <f t="shared" si="1"/>
        <v>1.488641483929108</v>
      </c>
      <c r="DM13" s="74">
        <f t="shared" si="1"/>
        <v>1.488641483929108</v>
      </c>
      <c r="DN13" s="74">
        <f t="shared" si="1"/>
        <v>1.488641483929108</v>
      </c>
      <c r="DO13" s="74">
        <f t="shared" si="1"/>
        <v>1.488641483929108</v>
      </c>
      <c r="DP13" s="74">
        <f t="shared" si="1"/>
        <v>1.488641483929108</v>
      </c>
      <c r="DQ13" s="74">
        <f t="shared" si="1"/>
        <v>1.488641483929108</v>
      </c>
      <c r="DR13" s="74">
        <f t="shared" si="1"/>
        <v>1.488641483929108</v>
      </c>
      <c r="DS13" s="74">
        <f t="shared" si="1"/>
        <v>1.488641483929108</v>
      </c>
      <c r="DT13" s="74">
        <f t="shared" si="1"/>
        <v>0</v>
      </c>
      <c r="DU13" s="74">
        <f t="shared" si="1"/>
        <v>0</v>
      </c>
      <c r="DV13" s="74">
        <f t="shared" si="1"/>
        <v>0</v>
      </c>
      <c r="DW13" s="74">
        <f t="shared" si="1"/>
        <v>0</v>
      </c>
      <c r="DX13" s="74">
        <f t="shared" si="1"/>
        <v>0</v>
      </c>
      <c r="DY13" s="74">
        <f t="shared" si="1"/>
        <v>0</v>
      </c>
      <c r="DZ13" s="74">
        <f t="shared" si="1"/>
        <v>0</v>
      </c>
      <c r="EA13" s="74">
        <f t="shared" si="1"/>
        <v>0</v>
      </c>
      <c r="EB13" s="74">
        <f t="shared" si="1"/>
        <v>0</v>
      </c>
      <c r="EC13" s="74">
        <f t="shared" si="1"/>
        <v>0</v>
      </c>
      <c r="ED13" s="74">
        <f t="shared" si="1"/>
        <v>0</v>
      </c>
    </row>
    <row r="14" spans="1:134">
      <c r="A14" s="67"/>
      <c r="B14" s="107"/>
      <c r="D14" s="77"/>
      <c r="F14" s="328"/>
      <c r="I14" s="74"/>
      <c r="J14" s="74"/>
      <c r="K14" s="74"/>
      <c r="L14" s="74"/>
      <c r="M14" s="74"/>
      <c r="N14" s="74"/>
      <c r="O14" s="74"/>
      <c r="P14" s="74"/>
      <c r="Q14" s="74"/>
      <c r="R14" s="74"/>
      <c r="S14" s="74"/>
      <c r="T14" s="74"/>
      <c r="U14" s="74"/>
      <c r="V14" s="74"/>
      <c r="W14" s="74"/>
      <c r="X14" s="74"/>
      <c r="Y14" s="74"/>
      <c r="Z14" s="74"/>
      <c r="AA14" s="74"/>
      <c r="AB14" s="74"/>
      <c r="AC14" s="74"/>
      <c r="AD14" s="74"/>
      <c r="AE14" s="74"/>
      <c r="AF14" s="74"/>
      <c r="AG14" s="74"/>
      <c r="AH14" s="74"/>
      <c r="AI14" s="74"/>
      <c r="AJ14" s="74"/>
      <c r="AK14" s="74"/>
      <c r="AL14" s="74"/>
      <c r="AM14" s="74"/>
      <c r="AN14" s="74"/>
      <c r="AO14" s="74"/>
      <c r="AP14" s="74"/>
      <c r="AQ14" s="74"/>
      <c r="AR14" s="74"/>
      <c r="AS14" s="74"/>
      <c r="AT14" s="74"/>
      <c r="AU14" s="74"/>
      <c r="AV14" s="74"/>
      <c r="AW14" s="74"/>
      <c r="AX14" s="74"/>
      <c r="AY14" s="74"/>
      <c r="AZ14" s="74"/>
      <c r="BA14" s="74"/>
      <c r="BB14" s="74"/>
      <c r="BC14" s="74"/>
      <c r="BD14" s="74"/>
      <c r="BE14" s="74"/>
      <c r="BF14" s="74"/>
      <c r="BG14" s="74"/>
      <c r="BH14" s="74"/>
      <c r="BI14" s="74"/>
      <c r="BJ14" s="74"/>
      <c r="BK14" s="74"/>
      <c r="BL14" s="74"/>
      <c r="BM14" s="74"/>
      <c r="BN14" s="74"/>
      <c r="BO14" s="74"/>
      <c r="BP14" s="74"/>
      <c r="BQ14" s="74"/>
      <c r="BR14" s="74"/>
      <c r="BS14" s="74"/>
      <c r="BT14" s="74"/>
      <c r="BU14" s="74"/>
      <c r="BV14" s="74"/>
      <c r="BW14" s="74"/>
      <c r="BX14" s="74"/>
      <c r="BY14" s="74"/>
      <c r="BZ14" s="74"/>
      <c r="CA14" s="74"/>
      <c r="CB14" s="74"/>
      <c r="CC14" s="74"/>
      <c r="CD14" s="74"/>
      <c r="CE14" s="74"/>
      <c r="CF14" s="74"/>
      <c r="CG14" s="74"/>
      <c r="CH14" s="74"/>
      <c r="CI14" s="74"/>
      <c r="CJ14" s="74"/>
      <c r="CK14" s="74"/>
      <c r="CL14" s="74"/>
      <c r="CM14" s="74"/>
      <c r="CN14" s="74"/>
      <c r="CO14" s="74"/>
      <c r="CP14" s="74"/>
      <c r="CQ14" s="74"/>
      <c r="CR14" s="74"/>
    </row>
    <row r="15" spans="1:134" hidden="1">
      <c r="A15" s="67"/>
      <c r="B15" s="107"/>
      <c r="D15" s="77"/>
      <c r="F15" s="328"/>
      <c r="I15" s="74"/>
      <c r="J15" s="74"/>
      <c r="K15" s="74"/>
      <c r="L15" s="74"/>
      <c r="M15" s="74"/>
      <c r="N15" s="74"/>
      <c r="O15" s="74"/>
      <c r="P15" s="74"/>
      <c r="Q15" s="74"/>
      <c r="R15" s="74"/>
      <c r="S15" s="74"/>
      <c r="T15" s="74"/>
      <c r="U15" s="74"/>
      <c r="V15" s="74"/>
      <c r="W15" s="74"/>
      <c r="X15" s="74"/>
      <c r="Y15" s="74"/>
      <c r="Z15" s="74"/>
      <c r="AA15" s="74"/>
      <c r="AB15" s="74"/>
      <c r="AC15" s="74"/>
      <c r="AD15" s="74"/>
      <c r="AE15" s="74"/>
      <c r="AF15" s="74"/>
      <c r="AG15" s="74"/>
      <c r="AH15" s="74"/>
      <c r="AI15" s="74"/>
      <c r="AJ15" s="74"/>
      <c r="AK15" s="74"/>
      <c r="AL15" s="74"/>
      <c r="AM15" s="74"/>
      <c r="AN15" s="74"/>
      <c r="AO15" s="74"/>
      <c r="AP15" s="74"/>
      <c r="AQ15" s="74"/>
      <c r="AR15" s="74"/>
      <c r="AS15" s="74"/>
      <c r="AT15" s="74"/>
      <c r="AU15" s="74"/>
      <c r="AV15" s="74"/>
      <c r="AW15" s="74"/>
      <c r="AX15" s="74"/>
      <c r="AY15" s="74"/>
      <c r="AZ15" s="74"/>
      <c r="BA15" s="74"/>
      <c r="BB15" s="74"/>
      <c r="BC15" s="74"/>
      <c r="BD15" s="74"/>
      <c r="BE15" s="74"/>
      <c r="BF15" s="74"/>
      <c r="BG15" s="74"/>
      <c r="BH15" s="74"/>
      <c r="BI15" s="74"/>
      <c r="BJ15" s="74"/>
      <c r="BK15" s="74"/>
      <c r="BL15" s="74"/>
      <c r="BM15" s="74"/>
      <c r="BN15" s="74"/>
      <c r="BO15" s="74"/>
      <c r="BP15" s="74"/>
      <c r="BQ15" s="74"/>
      <c r="BR15" s="74"/>
      <c r="BS15" s="74"/>
      <c r="BT15" s="74"/>
      <c r="BU15" s="74"/>
      <c r="BV15" s="74"/>
      <c r="BW15" s="74"/>
      <c r="BX15" s="74"/>
      <c r="BY15" s="74"/>
      <c r="BZ15" s="74"/>
      <c r="CA15" s="74"/>
      <c r="CB15" s="74"/>
      <c r="CC15" s="74"/>
      <c r="CD15" s="74"/>
      <c r="CE15" s="74"/>
      <c r="CF15" s="74"/>
      <c r="CG15" s="74"/>
      <c r="CH15" s="74"/>
      <c r="CI15" s="74"/>
      <c r="CJ15" s="74"/>
      <c r="CK15" s="74"/>
      <c r="CL15" s="74"/>
      <c r="CM15" s="74"/>
      <c r="CN15" s="74"/>
      <c r="CO15" s="74"/>
      <c r="CP15" s="74"/>
      <c r="CQ15" s="74"/>
      <c r="CR15" s="74"/>
    </row>
    <row r="16" spans="1:134" hidden="1">
      <c r="A16" s="67"/>
      <c r="B16" s="107"/>
      <c r="D16" s="77"/>
      <c r="F16" s="328"/>
      <c r="I16" s="74"/>
      <c r="J16" s="74"/>
      <c r="K16" s="74"/>
      <c r="L16" s="74"/>
      <c r="M16" s="74"/>
      <c r="N16" s="74"/>
      <c r="O16" s="74"/>
      <c r="P16" s="74"/>
      <c r="Q16" s="74"/>
      <c r="R16" s="74"/>
      <c r="S16" s="74"/>
      <c r="T16" s="74"/>
      <c r="U16" s="74"/>
      <c r="V16" s="74"/>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c r="BM16" s="74"/>
      <c r="BN16" s="74"/>
      <c r="BO16" s="74"/>
      <c r="BP16" s="74"/>
      <c r="BQ16" s="74"/>
      <c r="BR16" s="74"/>
      <c r="BS16" s="74"/>
      <c r="BT16" s="74"/>
      <c r="BU16" s="74"/>
      <c r="BV16" s="74"/>
      <c r="BW16" s="74"/>
      <c r="BX16" s="74"/>
      <c r="BY16" s="74"/>
      <c r="BZ16" s="74"/>
      <c r="CA16" s="74"/>
      <c r="CB16" s="74"/>
      <c r="CC16" s="74"/>
      <c r="CD16" s="74"/>
      <c r="CE16" s="74"/>
      <c r="CF16" s="74"/>
      <c r="CG16" s="74"/>
      <c r="CH16" s="74"/>
      <c r="CI16" s="74"/>
      <c r="CJ16" s="74"/>
      <c r="CK16" s="74"/>
      <c r="CL16" s="74"/>
      <c r="CM16" s="74"/>
      <c r="CN16" s="74"/>
      <c r="CO16" s="74"/>
      <c r="CP16" s="74"/>
      <c r="CQ16" s="74"/>
      <c r="CR16" s="74"/>
    </row>
    <row r="17" spans="1:136" hidden="1">
      <c r="A17" s="67"/>
      <c r="B17" s="107"/>
      <c r="D17" s="77"/>
      <c r="F17" s="65"/>
      <c r="I17" s="74"/>
      <c r="J17" s="74"/>
      <c r="K17" s="74"/>
      <c r="L17" s="74"/>
      <c r="M17" s="74"/>
      <c r="N17" s="74"/>
      <c r="O17" s="74"/>
      <c r="P17" s="74"/>
      <c r="Q17" s="74"/>
      <c r="R17" s="74"/>
      <c r="S17" s="74"/>
      <c r="T17" s="74"/>
      <c r="U17" s="74"/>
      <c r="V17" s="74"/>
      <c r="W17" s="74"/>
      <c r="X17" s="74"/>
      <c r="Y17" s="74"/>
      <c r="Z17" s="74"/>
      <c r="AA17" s="74"/>
      <c r="AB17" s="74"/>
      <c r="AC17" s="74"/>
      <c r="AD17" s="74"/>
      <c r="AE17" s="74"/>
      <c r="AF17" s="74"/>
      <c r="AG17" s="74"/>
      <c r="AH17" s="74"/>
      <c r="AI17" s="74"/>
      <c r="AJ17" s="74"/>
      <c r="AK17" s="74"/>
      <c r="AL17" s="74"/>
      <c r="AM17" s="74"/>
      <c r="AN17" s="74"/>
      <c r="AO17" s="74"/>
      <c r="AP17" s="74"/>
      <c r="AQ17" s="74"/>
      <c r="AR17" s="74"/>
      <c r="AS17" s="74"/>
      <c r="AT17" s="74"/>
      <c r="AU17" s="74"/>
      <c r="AV17" s="74"/>
      <c r="AW17" s="74"/>
      <c r="AX17" s="74"/>
      <c r="AY17" s="74"/>
      <c r="AZ17" s="74"/>
      <c r="BA17" s="74"/>
      <c r="BB17" s="74"/>
      <c r="BC17" s="74"/>
      <c r="BD17" s="74"/>
      <c r="BE17" s="74"/>
      <c r="BF17" s="74"/>
      <c r="BG17" s="74"/>
      <c r="BH17" s="74"/>
      <c r="BI17" s="74"/>
      <c r="BJ17" s="74"/>
      <c r="BK17" s="74"/>
      <c r="BL17" s="74"/>
      <c r="BM17" s="74"/>
      <c r="BN17" s="74"/>
      <c r="BO17" s="74"/>
      <c r="BP17" s="74"/>
      <c r="BQ17" s="74"/>
      <c r="BR17" s="74"/>
      <c r="BS17" s="74"/>
      <c r="BT17" s="74"/>
      <c r="BU17" s="74"/>
      <c r="BV17" s="74"/>
      <c r="BW17" s="74"/>
      <c r="BX17" s="74"/>
      <c r="BY17" s="74"/>
      <c r="BZ17" s="74"/>
      <c r="CA17" s="74"/>
      <c r="CB17" s="74"/>
      <c r="CC17" s="74"/>
      <c r="CD17" s="74"/>
      <c r="CE17" s="74"/>
      <c r="CF17" s="74"/>
      <c r="CG17" s="74"/>
      <c r="CH17" s="74"/>
      <c r="CI17" s="74"/>
      <c r="CJ17" s="74"/>
      <c r="CK17" s="74"/>
      <c r="CL17" s="74"/>
      <c r="CM17" s="74"/>
      <c r="CN17" s="74"/>
      <c r="CO17" s="74"/>
      <c r="CP17" s="74"/>
      <c r="CQ17" s="74"/>
      <c r="CR17" s="74"/>
    </row>
    <row r="18" spans="1:136" s="104" customFormat="1">
      <c r="H18" s="104" t="s">
        <v>799</v>
      </c>
      <c r="I18" s="105">
        <f t="shared" ref="I18:AN18" si="2">SUM(I13:I13)</f>
        <v>1.7942020773120031</v>
      </c>
      <c r="J18" s="105">
        <f t="shared" si="2"/>
        <v>1.8088280481140226</v>
      </c>
      <c r="K18" s="105">
        <f t="shared" si="2"/>
        <v>1.7759595663960313</v>
      </c>
      <c r="L18" s="105">
        <f t="shared" si="2"/>
        <v>1.6869894599813202</v>
      </c>
      <c r="M18" s="105">
        <f t="shared" si="2"/>
        <v>1.6502183092593004</v>
      </c>
      <c r="N18" s="105">
        <f t="shared" si="2"/>
        <v>1.5017356277062126</v>
      </c>
      <c r="O18" s="105">
        <f t="shared" si="2"/>
        <v>1.5944659023382535</v>
      </c>
      <c r="P18" s="105">
        <f t="shared" si="2"/>
        <v>1.6003024075309198</v>
      </c>
      <c r="Q18" s="105">
        <f t="shared" si="2"/>
        <v>1.5627812700108932</v>
      </c>
      <c r="R18" s="105">
        <f t="shared" si="2"/>
        <v>1.6058167933066783</v>
      </c>
      <c r="S18" s="105">
        <f t="shared" si="2"/>
        <v>1.6729469861477246</v>
      </c>
      <c r="T18" s="105">
        <f t="shared" si="2"/>
        <v>1.6197141705926885</v>
      </c>
      <c r="U18" s="105">
        <f t="shared" si="2"/>
        <v>1.7079246674523034</v>
      </c>
      <c r="V18" s="105">
        <f t="shared" si="2"/>
        <v>1.479317826186618</v>
      </c>
      <c r="W18" s="105">
        <f t="shared" si="2"/>
        <v>1.7013857974583855</v>
      </c>
      <c r="X18" s="105">
        <f t="shared" si="2"/>
        <v>1.6523717769128798</v>
      </c>
      <c r="Y18" s="105">
        <f t="shared" si="2"/>
        <v>1.8378061304241111</v>
      </c>
      <c r="Z18" s="105">
        <f t="shared" si="2"/>
        <v>1.7385343316415867</v>
      </c>
      <c r="AA18" s="105">
        <f t="shared" si="2"/>
        <v>1.7906341079498322</v>
      </c>
      <c r="AB18" s="105">
        <f t="shared" si="2"/>
        <v>1.7654822776937042</v>
      </c>
      <c r="AC18" s="105">
        <f t="shared" si="2"/>
        <v>1.7551042186663888</v>
      </c>
      <c r="AD18" s="105">
        <f t="shared" si="2"/>
        <v>1.7722212515245108</v>
      </c>
      <c r="AE18" s="105">
        <f t="shared" si="2"/>
        <v>1.763339261547562</v>
      </c>
      <c r="AF18" s="105">
        <f t="shared" si="2"/>
        <v>1.9630320624952207</v>
      </c>
      <c r="AG18" s="105">
        <f t="shared" si="2"/>
        <v>1.953390749488302</v>
      </c>
      <c r="AH18" s="105">
        <f t="shared" si="2"/>
        <v>2.079424798419919</v>
      </c>
      <c r="AI18" s="105">
        <f t="shared" si="2"/>
        <v>2.0536225530502983</v>
      </c>
      <c r="AJ18" s="105">
        <f t="shared" si="2"/>
        <v>2.2037178705105109</v>
      </c>
      <c r="AK18" s="105">
        <f t="shared" si="2"/>
        <v>2.4684257386908399</v>
      </c>
      <c r="AL18" s="105">
        <f t="shared" si="2"/>
        <v>2.0659157405367115</v>
      </c>
      <c r="AM18" s="105">
        <f t="shared" si="2"/>
        <v>2.196787649050473</v>
      </c>
      <c r="AN18" s="105">
        <f t="shared" si="2"/>
        <v>2.3301997625517705</v>
      </c>
      <c r="AO18" s="105">
        <f t="shared" ref="AO18:DB18" si="3">SUM(AO13:AO13)</f>
        <v>2.273427366862284</v>
      </c>
      <c r="AP18" s="105">
        <f t="shared" si="3"/>
        <v>2.2475711648358612</v>
      </c>
      <c r="AQ18" s="105">
        <f t="shared" si="3"/>
        <v>2.4015499924363271</v>
      </c>
      <c r="AR18" s="105">
        <f t="shared" si="3"/>
        <v>2.4330729800333795</v>
      </c>
      <c r="AS18" s="105">
        <f t="shared" si="3"/>
        <v>2.0975810714214509</v>
      </c>
      <c r="AT18" s="105">
        <f t="shared" si="3"/>
        <v>2.0760661154939264</v>
      </c>
      <c r="AU18" s="105">
        <f t="shared" si="3"/>
        <v>2.1004465947392714</v>
      </c>
      <c r="AV18" s="105">
        <f t="shared" si="3"/>
        <v>2.1028323392910915</v>
      </c>
      <c r="AW18" s="105">
        <f t="shared" si="3"/>
        <v>2.170558104705826</v>
      </c>
      <c r="AX18" s="105">
        <f t="shared" si="3"/>
        <v>2.1567934672061382</v>
      </c>
      <c r="AY18" s="105">
        <f t="shared" si="3"/>
        <v>2.2348310393354565</v>
      </c>
      <c r="AZ18" s="105">
        <f t="shared" si="3"/>
        <v>2.2348310393354565</v>
      </c>
      <c r="BA18" s="105">
        <f t="shared" si="3"/>
        <v>2.2348310393354565</v>
      </c>
      <c r="BB18" s="105">
        <f t="shared" si="3"/>
        <v>2.2348310393354565</v>
      </c>
      <c r="BC18" s="105">
        <f t="shared" si="3"/>
        <v>2.1633080113529974</v>
      </c>
      <c r="BD18" s="105">
        <f t="shared" si="3"/>
        <v>2.1633080113529974</v>
      </c>
      <c r="BE18" s="105">
        <f t="shared" si="3"/>
        <v>2.1633080113529974</v>
      </c>
      <c r="BF18" s="105">
        <f t="shared" si="3"/>
        <v>2.1633080113529974</v>
      </c>
      <c r="BG18" s="105">
        <f t="shared" si="3"/>
        <v>2.3048563684303907</v>
      </c>
      <c r="BH18" s="105">
        <f t="shared" si="3"/>
        <v>2.3048563684303907</v>
      </c>
      <c r="BI18" s="105">
        <f t="shared" si="3"/>
        <v>2.3048563684303907</v>
      </c>
      <c r="BJ18" s="105">
        <f t="shared" si="3"/>
        <v>2.3048563684303907</v>
      </c>
      <c r="BK18" s="105">
        <f t="shared" si="3"/>
        <v>2.283678531679779</v>
      </c>
      <c r="BL18" s="105">
        <f t="shared" si="3"/>
        <v>2.283678531679779</v>
      </c>
      <c r="BM18" s="105">
        <f t="shared" si="3"/>
        <v>2.283678531679779</v>
      </c>
      <c r="BN18" s="105">
        <f t="shared" si="3"/>
        <v>2.283678531679779</v>
      </c>
      <c r="BO18" s="105">
        <f t="shared" si="3"/>
        <v>2.2523390167137984</v>
      </c>
      <c r="BP18" s="105">
        <f t="shared" si="3"/>
        <v>2.2523390167137984</v>
      </c>
      <c r="BQ18" s="105">
        <f t="shared" si="3"/>
        <v>2.2523390167137984</v>
      </c>
      <c r="BR18" s="105">
        <f t="shared" si="3"/>
        <v>2.2523390167137984</v>
      </c>
      <c r="BS18" s="105">
        <f t="shared" si="3"/>
        <v>2.010367132671774</v>
      </c>
      <c r="BT18" s="105">
        <f t="shared" si="3"/>
        <v>2.010367132671774</v>
      </c>
      <c r="BU18" s="105">
        <f t="shared" si="3"/>
        <v>2.010367132671774</v>
      </c>
      <c r="BV18" s="105">
        <f t="shared" si="3"/>
        <v>2.010367132671774</v>
      </c>
      <c r="BW18" s="105">
        <f t="shared" si="3"/>
        <v>2.0305393963616454</v>
      </c>
      <c r="BX18" s="105">
        <f t="shared" si="3"/>
        <v>2.0305393963616454</v>
      </c>
      <c r="BY18" s="105">
        <f t="shared" si="3"/>
        <v>2.0305393963616454</v>
      </c>
      <c r="BZ18" s="105">
        <f t="shared" si="3"/>
        <v>2.0305393963616454</v>
      </c>
      <c r="CA18" s="105">
        <f t="shared" si="3"/>
        <v>2.0580189717987332</v>
      </c>
      <c r="CB18" s="105">
        <f t="shared" si="3"/>
        <v>2.0580189717987332</v>
      </c>
      <c r="CC18" s="105">
        <f t="shared" si="3"/>
        <v>2.0580189717987332</v>
      </c>
      <c r="CD18" s="105">
        <f t="shared" si="3"/>
        <v>2.0580189717987332</v>
      </c>
      <c r="CE18" s="105">
        <f t="shared" si="3"/>
        <v>2.2067514265512074</v>
      </c>
      <c r="CF18" s="105">
        <f t="shared" si="3"/>
        <v>2.2067514265512074</v>
      </c>
      <c r="CG18" s="105">
        <f t="shared" si="3"/>
        <v>2.2067514265512074</v>
      </c>
      <c r="CH18" s="105">
        <f t="shared" si="3"/>
        <v>2.2067514265512074</v>
      </c>
      <c r="CI18" s="105">
        <f t="shared" si="3"/>
        <v>2.0447165752567158</v>
      </c>
      <c r="CJ18" s="105">
        <f t="shared" si="3"/>
        <v>2.0447165752567158</v>
      </c>
      <c r="CK18" s="105">
        <f t="shared" si="3"/>
        <v>2.0447165752567158</v>
      </c>
      <c r="CL18" s="105">
        <f t="shared" si="3"/>
        <v>2.0447165752567158</v>
      </c>
      <c r="CM18" s="105">
        <f t="shared" si="3"/>
        <v>1.9877015005444576</v>
      </c>
      <c r="CN18" s="105">
        <f t="shared" si="3"/>
        <v>1.9877015005444576</v>
      </c>
      <c r="CO18" s="105">
        <f t="shared" si="3"/>
        <v>1.9877015005444576</v>
      </c>
      <c r="CP18" s="105">
        <f t="shared" si="3"/>
        <v>1.9877015005444576</v>
      </c>
      <c r="CQ18" s="105">
        <f t="shared" si="3"/>
        <v>1.9877015005444576</v>
      </c>
      <c r="CR18" s="105">
        <f t="shared" si="3"/>
        <v>2.5039217400283409</v>
      </c>
      <c r="CS18" s="105">
        <f t="shared" si="3"/>
        <v>2.5039217400283409</v>
      </c>
      <c r="CT18" s="105">
        <f t="shared" si="3"/>
        <v>2.5039217400283409</v>
      </c>
      <c r="CU18" s="105">
        <f t="shared" si="3"/>
        <v>2.5039217400283409</v>
      </c>
      <c r="CV18" s="105">
        <f t="shared" si="3"/>
        <v>1.8034725395731841</v>
      </c>
      <c r="CW18" s="105">
        <f t="shared" si="3"/>
        <v>1.8034725395731841</v>
      </c>
      <c r="CX18" s="105">
        <f t="shared" si="3"/>
        <v>1.8034725395731841</v>
      </c>
      <c r="CY18" s="105">
        <f t="shared" si="3"/>
        <v>1.8034725395731841</v>
      </c>
      <c r="CZ18" s="105">
        <f t="shared" si="3"/>
        <v>1.8034725395731841</v>
      </c>
      <c r="DA18" s="105">
        <f t="shared" si="3"/>
        <v>1.8034725395731841</v>
      </c>
      <c r="DB18" s="105">
        <f t="shared" si="3"/>
        <v>1.8034725395731841</v>
      </c>
      <c r="DC18" s="105">
        <f t="shared" ref="DC18:ED18" si="4">SUM(DC13:DC13)</f>
        <v>1.8034725395731841</v>
      </c>
      <c r="DD18" s="105">
        <f t="shared" si="4"/>
        <v>1.8034725395731841</v>
      </c>
      <c r="DE18" s="105">
        <f t="shared" si="4"/>
        <v>1.8034725395731841</v>
      </c>
      <c r="DF18" s="105">
        <f t="shared" si="4"/>
        <v>1.8034725395731841</v>
      </c>
      <c r="DG18" s="105">
        <f t="shared" si="4"/>
        <v>1.8034725395731841</v>
      </c>
      <c r="DH18" s="105">
        <f t="shared" si="4"/>
        <v>1.488641483929108</v>
      </c>
      <c r="DI18" s="105">
        <f t="shared" si="4"/>
        <v>1.488641483929108</v>
      </c>
      <c r="DJ18" s="105">
        <f t="shared" si="4"/>
        <v>1.488641483929108</v>
      </c>
      <c r="DK18" s="105">
        <f t="shared" si="4"/>
        <v>1.488641483929108</v>
      </c>
      <c r="DL18" s="105">
        <f t="shared" si="4"/>
        <v>1.488641483929108</v>
      </c>
      <c r="DM18" s="105">
        <f t="shared" si="4"/>
        <v>1.488641483929108</v>
      </c>
      <c r="DN18" s="105">
        <f t="shared" si="4"/>
        <v>1.488641483929108</v>
      </c>
      <c r="DO18" s="105">
        <f t="shared" si="4"/>
        <v>1.488641483929108</v>
      </c>
      <c r="DP18" s="105">
        <f t="shared" si="4"/>
        <v>1.488641483929108</v>
      </c>
      <c r="DQ18" s="105">
        <f t="shared" si="4"/>
        <v>1.488641483929108</v>
      </c>
      <c r="DR18" s="105">
        <f t="shared" si="4"/>
        <v>1.488641483929108</v>
      </c>
      <c r="DS18" s="105">
        <f t="shared" si="4"/>
        <v>1.488641483929108</v>
      </c>
      <c r="DT18" s="105">
        <f t="shared" si="4"/>
        <v>0</v>
      </c>
      <c r="DU18" s="105">
        <f t="shared" si="4"/>
        <v>0</v>
      </c>
      <c r="DV18" s="105">
        <f t="shared" si="4"/>
        <v>0</v>
      </c>
      <c r="DW18" s="105">
        <f t="shared" si="4"/>
        <v>0</v>
      </c>
      <c r="DX18" s="105">
        <f t="shared" si="4"/>
        <v>0</v>
      </c>
      <c r="DY18" s="105">
        <f t="shared" si="4"/>
        <v>0</v>
      </c>
      <c r="DZ18" s="105">
        <f t="shared" si="4"/>
        <v>0</v>
      </c>
      <c r="EA18" s="105">
        <f t="shared" si="4"/>
        <v>0</v>
      </c>
      <c r="EB18" s="105">
        <f t="shared" si="4"/>
        <v>0</v>
      </c>
      <c r="EC18" s="105">
        <f t="shared" si="4"/>
        <v>0</v>
      </c>
      <c r="ED18" s="105">
        <f t="shared" si="4"/>
        <v>0</v>
      </c>
    </row>
    <row r="19" spans="1:136" s="104" customFormat="1">
      <c r="H19" s="60"/>
      <c r="I19" s="105"/>
      <c r="J19" s="105"/>
      <c r="K19" s="105"/>
      <c r="L19" s="105"/>
      <c r="M19" s="105"/>
      <c r="N19" s="105"/>
      <c r="O19" s="105"/>
      <c r="P19" s="105"/>
      <c r="Q19" s="105"/>
      <c r="R19" s="105"/>
      <c r="S19" s="105"/>
      <c r="T19" s="105"/>
      <c r="U19" s="105"/>
      <c r="V19" s="105"/>
      <c r="W19" s="105"/>
      <c r="X19" s="105"/>
      <c r="Y19" s="105"/>
      <c r="Z19" s="105"/>
      <c r="AA19" s="105"/>
      <c r="AB19" s="105"/>
      <c r="AC19" s="105"/>
      <c r="AD19" s="105"/>
      <c r="AE19" s="105"/>
      <c r="AF19" s="105"/>
      <c r="AG19" s="105"/>
      <c r="AH19" s="105"/>
      <c r="AI19" s="105"/>
      <c r="AJ19" s="105"/>
      <c r="AK19" s="105"/>
      <c r="AL19" s="105"/>
      <c r="AM19" s="105"/>
      <c r="AN19" s="105"/>
      <c r="AO19" s="105"/>
      <c r="AP19" s="105"/>
      <c r="AQ19" s="105"/>
      <c r="AR19" s="105"/>
      <c r="AS19" s="105"/>
      <c r="AT19" s="105"/>
      <c r="AU19" s="105"/>
      <c r="AV19" s="105"/>
      <c r="AW19" s="105"/>
      <c r="AX19" s="105"/>
      <c r="AY19" s="105"/>
      <c r="AZ19" s="105"/>
      <c r="BA19" s="105"/>
      <c r="BB19" s="105"/>
      <c r="BC19" s="105"/>
      <c r="BD19" s="105"/>
      <c r="BE19" s="105"/>
      <c r="BF19" s="105"/>
      <c r="BG19" s="105"/>
      <c r="BH19" s="105"/>
      <c r="BI19" s="105"/>
      <c r="BJ19" s="105"/>
      <c r="BK19" s="105"/>
      <c r="BL19" s="105"/>
      <c r="BM19" s="105"/>
      <c r="BN19" s="105"/>
      <c r="BO19" s="105"/>
      <c r="BP19" s="105"/>
      <c r="BQ19" s="105"/>
      <c r="BR19" s="105"/>
      <c r="BS19" s="105"/>
      <c r="BT19" s="105"/>
      <c r="BU19" s="105"/>
      <c r="BV19" s="105"/>
      <c r="BW19" s="105"/>
      <c r="BX19" s="105"/>
      <c r="BY19" s="105"/>
      <c r="BZ19" s="105"/>
      <c r="CA19" s="105"/>
      <c r="CB19" s="105"/>
      <c r="CC19" s="105"/>
      <c r="CD19" s="105"/>
      <c r="CE19" s="105"/>
      <c r="CF19" s="105"/>
      <c r="CG19" s="105"/>
      <c r="CH19" s="105"/>
      <c r="CI19" s="105"/>
      <c r="CJ19" s="105"/>
      <c r="CK19" s="105"/>
      <c r="CL19" s="105"/>
      <c r="CM19" s="105"/>
      <c r="CN19" s="105"/>
      <c r="CO19" s="105"/>
      <c r="CP19" s="105"/>
      <c r="CQ19" s="105"/>
      <c r="CR19" s="105"/>
    </row>
    <row r="20" spans="1:136" ht="15">
      <c r="A20"/>
      <c r="H20" s="60" t="s">
        <v>429</v>
      </c>
      <c r="I20" s="74"/>
      <c r="J20" s="74"/>
      <c r="K20" s="74"/>
      <c r="L20" s="74"/>
      <c r="M20" s="74"/>
      <c r="N20" s="74"/>
      <c r="O20" s="74"/>
      <c r="P20" s="74"/>
      <c r="Q20" s="74"/>
      <c r="R20" s="74"/>
      <c r="S20" s="74"/>
      <c r="T20" s="74"/>
      <c r="U20" s="74"/>
      <c r="V20" s="74"/>
      <c r="W20" s="74">
        <v>4.45</v>
      </c>
      <c r="X20" s="74"/>
      <c r="Y20" s="74"/>
      <c r="Z20" s="74">
        <v>3.77</v>
      </c>
      <c r="AA20" s="74"/>
      <c r="AB20" s="74"/>
      <c r="AC20" s="74">
        <v>7</v>
      </c>
      <c r="AD20" s="74"/>
      <c r="AE20" s="74">
        <v>7.5</v>
      </c>
      <c r="AF20" s="74"/>
      <c r="AG20" s="74"/>
      <c r="AH20" s="74"/>
      <c r="AI20" s="74">
        <v>9.1999999999999993</v>
      </c>
      <c r="AK20" s="74"/>
      <c r="AL20" s="74">
        <v>8.3000000000000007</v>
      </c>
      <c r="AM20" s="74"/>
      <c r="AN20" s="74"/>
      <c r="AO20" s="74">
        <v>6.2</v>
      </c>
      <c r="AP20" s="74"/>
      <c r="AQ20" s="74">
        <v>6.2</v>
      </c>
      <c r="AR20" s="74">
        <v>7.45</v>
      </c>
      <c r="AS20" s="74"/>
      <c r="AT20" s="74"/>
      <c r="AU20" s="74"/>
      <c r="AV20" s="74"/>
      <c r="AW20" s="74"/>
      <c r="AY20" s="74">
        <v>2</v>
      </c>
      <c r="AZ20" s="74"/>
      <c r="BB20" s="74"/>
      <c r="BC20" s="74"/>
      <c r="BD20" s="74"/>
      <c r="BE20" s="74"/>
      <c r="BF20" s="74"/>
      <c r="BG20" s="74"/>
      <c r="BH20" s="74"/>
      <c r="BI20" s="74"/>
      <c r="BJ20" s="74"/>
      <c r="BK20" s="74"/>
      <c r="BM20" s="74"/>
      <c r="BN20" s="74"/>
      <c r="BO20" s="74"/>
      <c r="BP20" s="74"/>
      <c r="BQ20" s="74"/>
      <c r="BR20" s="74"/>
      <c r="BS20" s="74"/>
      <c r="BT20" s="74"/>
      <c r="BU20" s="74"/>
      <c r="BV20" s="74"/>
      <c r="BW20" s="74"/>
      <c r="BX20" s="74"/>
      <c r="BY20" s="74"/>
      <c r="BZ20" s="74"/>
      <c r="CA20" s="74"/>
      <c r="CB20" s="74"/>
      <c r="CC20" s="74"/>
      <c r="CD20" s="74"/>
      <c r="CE20" s="74"/>
      <c r="CF20" s="74"/>
      <c r="CG20" s="74"/>
      <c r="CH20" s="74"/>
      <c r="CI20" s="74"/>
      <c r="CJ20" s="74"/>
      <c r="CK20" s="74"/>
      <c r="CL20" s="74"/>
      <c r="CM20" s="74"/>
      <c r="CN20" s="74"/>
      <c r="CO20" s="74"/>
      <c r="CP20" s="74"/>
      <c r="CQ20" s="74"/>
      <c r="CR20" s="74"/>
      <c r="CV20" s="60">
        <v>2.68</v>
      </c>
      <c r="DA20" s="60">
        <v>2.68</v>
      </c>
    </row>
    <row r="21" spans="1:136">
      <c r="H21" s="60" t="s">
        <v>406</v>
      </c>
      <c r="I21" s="74"/>
      <c r="J21" s="74"/>
      <c r="K21" s="74"/>
      <c r="L21" s="74"/>
      <c r="M21" s="74"/>
      <c r="N21" s="74"/>
      <c r="O21" s="74"/>
      <c r="P21" s="74"/>
      <c r="Q21" s="74"/>
      <c r="R21" s="74"/>
      <c r="S21" s="74"/>
      <c r="T21" s="74"/>
      <c r="U21" s="74"/>
      <c r="V21" s="74"/>
      <c r="W21" s="74">
        <f>W20-W18</f>
        <v>2.7486142025416145</v>
      </c>
      <c r="X21" s="74"/>
      <c r="Y21" s="74"/>
      <c r="Z21" s="74">
        <f>Z20-Z18</f>
        <v>2.0314656683584134</v>
      </c>
      <c r="AA21" s="74"/>
      <c r="AB21" s="74"/>
      <c r="AC21" s="74">
        <f>AC20-AC18</f>
        <v>5.2448957813336108</v>
      </c>
      <c r="AD21" s="74"/>
      <c r="AE21" s="74">
        <f>AE20-AE18</f>
        <v>5.7366607384524375</v>
      </c>
      <c r="AF21" s="74"/>
      <c r="AG21" s="74"/>
      <c r="AH21" s="74"/>
      <c r="AI21" s="74">
        <f>AI20-AI18</f>
        <v>7.1463774469497015</v>
      </c>
      <c r="AK21" s="74"/>
      <c r="AL21" s="74">
        <f>AL20-AL18</f>
        <v>6.2340842594632893</v>
      </c>
      <c r="AM21" s="74"/>
      <c r="AN21" s="74"/>
      <c r="AO21" s="74">
        <f>AO20-AO18</f>
        <v>3.9265726331377162</v>
      </c>
      <c r="AP21" s="74"/>
      <c r="AQ21" s="74">
        <f>AQ20-AQ18</f>
        <v>3.7984500075636731</v>
      </c>
      <c r="AR21" s="74">
        <f>AR20-AR18</f>
        <v>5.0169270199666212</v>
      </c>
      <c r="AS21" s="74"/>
      <c r="AT21" s="74"/>
      <c r="AU21" s="74"/>
      <c r="AV21" s="74"/>
      <c r="AW21" s="74"/>
      <c r="AY21" s="74">
        <f>AY20-AY18</f>
        <v>-0.23483103933545646</v>
      </c>
      <c r="AZ21" s="74"/>
      <c r="BB21" s="74"/>
      <c r="BC21" s="74"/>
      <c r="BD21" s="74"/>
      <c r="BE21" s="74"/>
      <c r="BF21" s="74"/>
      <c r="BG21" s="74"/>
      <c r="BH21" s="74"/>
      <c r="BI21" s="74"/>
      <c r="BJ21" s="74"/>
      <c r="BK21" s="74"/>
      <c r="BM21" s="74"/>
      <c r="BN21" s="74"/>
      <c r="BO21" s="74"/>
      <c r="BP21" s="74"/>
      <c r="BQ21" s="74"/>
      <c r="BR21" s="74"/>
      <c r="BS21" s="74"/>
      <c r="BT21" s="74"/>
      <c r="BU21" s="74"/>
      <c r="BV21" s="74"/>
      <c r="BW21" s="74"/>
      <c r="BX21" s="74"/>
      <c r="BY21" s="74"/>
      <c r="BZ21" s="74"/>
      <c r="CA21" s="74"/>
      <c r="CB21" s="74"/>
      <c r="CC21" s="74"/>
      <c r="CD21" s="74"/>
      <c r="CE21" s="74"/>
      <c r="CF21" s="74"/>
      <c r="CG21" s="74"/>
      <c r="CH21" s="74"/>
      <c r="CI21" s="74"/>
      <c r="CJ21" s="74"/>
      <c r="CK21" s="74"/>
      <c r="CL21" s="74"/>
      <c r="CM21" s="74"/>
      <c r="CN21" s="74"/>
      <c r="CO21" s="74"/>
      <c r="CP21" s="74"/>
      <c r="CQ21" s="74"/>
      <c r="CR21" s="74"/>
      <c r="CV21" s="65">
        <f>CV20-CV18</f>
        <v>0.87652746042681606</v>
      </c>
      <c r="DA21" s="65">
        <f>DA20-DA18</f>
        <v>0.87652746042681606</v>
      </c>
    </row>
    <row r="23" spans="1:136" ht="13" thickBot="1"/>
    <row r="24" spans="1:136" s="73" customFormat="1" ht="13" thickBot="1">
      <c r="H24" s="257" t="s">
        <v>800</v>
      </c>
      <c r="I24" s="258">
        <f>0.88+I18</f>
        <v>2.6742020773120032</v>
      </c>
      <c r="J24" s="258">
        <f t="shared" ref="J24:BU24" si="5">0.88+J18</f>
        <v>2.6888280481140225</v>
      </c>
      <c r="K24" s="258">
        <f t="shared" si="5"/>
        <v>2.6559595663960311</v>
      </c>
      <c r="L24" s="258">
        <f t="shared" si="5"/>
        <v>2.5669894599813201</v>
      </c>
      <c r="M24" s="258">
        <f t="shared" si="5"/>
        <v>2.5302183092593005</v>
      </c>
      <c r="N24" s="258">
        <f t="shared" si="5"/>
        <v>2.3817356277062127</v>
      </c>
      <c r="O24" s="258">
        <f t="shared" si="5"/>
        <v>2.4744659023382534</v>
      </c>
      <c r="P24" s="258">
        <f t="shared" si="5"/>
        <v>2.4803024075309197</v>
      </c>
      <c r="Q24" s="258">
        <f t="shared" si="5"/>
        <v>2.4427812700108933</v>
      </c>
      <c r="R24" s="258">
        <f t="shared" si="5"/>
        <v>2.4858167933066784</v>
      </c>
      <c r="S24" s="258">
        <f t="shared" si="5"/>
        <v>2.5529469861477248</v>
      </c>
      <c r="T24" s="258">
        <f t="shared" si="5"/>
        <v>2.4997141705926884</v>
      </c>
      <c r="U24" s="258">
        <f t="shared" si="5"/>
        <v>2.5879246674523033</v>
      </c>
      <c r="V24" s="258">
        <f t="shared" si="5"/>
        <v>2.3593178261866181</v>
      </c>
      <c r="W24" s="258">
        <f t="shared" si="5"/>
        <v>2.5813857974583856</v>
      </c>
      <c r="X24" s="258">
        <f t="shared" si="5"/>
        <v>2.5323717769128797</v>
      </c>
      <c r="Y24" s="258">
        <f t="shared" si="5"/>
        <v>2.717806130424111</v>
      </c>
      <c r="Z24" s="258">
        <f t="shared" si="5"/>
        <v>2.6185343316415866</v>
      </c>
      <c r="AA24" s="258">
        <f t="shared" si="5"/>
        <v>2.6706341079498324</v>
      </c>
      <c r="AB24" s="258">
        <f t="shared" si="5"/>
        <v>2.6454822776937044</v>
      </c>
      <c r="AC24" s="258">
        <f t="shared" si="5"/>
        <v>2.6351042186663887</v>
      </c>
      <c r="AD24" s="258">
        <f t="shared" si="5"/>
        <v>2.6522212515245109</v>
      </c>
      <c r="AE24" s="258">
        <f t="shared" si="5"/>
        <v>2.6433392615475619</v>
      </c>
      <c r="AF24" s="258">
        <f t="shared" si="5"/>
        <v>2.8430320624952206</v>
      </c>
      <c r="AG24" s="258">
        <f t="shared" si="5"/>
        <v>2.8333907494883022</v>
      </c>
      <c r="AH24" s="258">
        <f t="shared" si="5"/>
        <v>2.9594247984199189</v>
      </c>
      <c r="AI24" s="258">
        <f t="shared" si="5"/>
        <v>2.9336225530502982</v>
      </c>
      <c r="AJ24" s="258">
        <f t="shared" si="5"/>
        <v>3.0837178705105108</v>
      </c>
      <c r="AK24" s="258">
        <f t="shared" si="5"/>
        <v>3.3484257386908398</v>
      </c>
      <c r="AL24" s="258">
        <f t="shared" si="5"/>
        <v>2.9459157405367113</v>
      </c>
      <c r="AM24" s="258">
        <f t="shared" si="5"/>
        <v>3.0767876490504729</v>
      </c>
      <c r="AN24" s="258">
        <f t="shared" si="5"/>
        <v>3.2101997625517704</v>
      </c>
      <c r="AO24" s="258">
        <f t="shared" si="5"/>
        <v>3.1534273668622839</v>
      </c>
      <c r="AP24" s="258">
        <f t="shared" si="5"/>
        <v>3.1275711648358611</v>
      </c>
      <c r="AQ24" s="258">
        <f t="shared" si="5"/>
        <v>3.2815499924363269</v>
      </c>
      <c r="AR24" s="258">
        <f t="shared" si="5"/>
        <v>3.3130729800333794</v>
      </c>
      <c r="AS24" s="258">
        <f t="shared" si="5"/>
        <v>2.9775810714214508</v>
      </c>
      <c r="AT24" s="258">
        <f t="shared" si="5"/>
        <v>2.9560661154939263</v>
      </c>
      <c r="AU24" s="258">
        <f t="shared" si="5"/>
        <v>2.9804465947392713</v>
      </c>
      <c r="AV24" s="258">
        <f t="shared" si="5"/>
        <v>2.9828323392910914</v>
      </c>
      <c r="AW24" s="258">
        <f t="shared" si="5"/>
        <v>3.0505581047058259</v>
      </c>
      <c r="AX24" s="258">
        <f t="shared" si="5"/>
        <v>3.0367934672061381</v>
      </c>
      <c r="AY24" s="258">
        <f t="shared" si="5"/>
        <v>3.1148310393354564</v>
      </c>
      <c r="AZ24" s="258">
        <f t="shared" si="5"/>
        <v>3.1148310393354564</v>
      </c>
      <c r="BA24" s="258">
        <f t="shared" si="5"/>
        <v>3.1148310393354564</v>
      </c>
      <c r="BB24" s="258">
        <f t="shared" si="5"/>
        <v>3.1148310393354564</v>
      </c>
      <c r="BC24" s="258">
        <f t="shared" si="5"/>
        <v>3.0433080113529973</v>
      </c>
      <c r="BD24" s="258">
        <f t="shared" si="5"/>
        <v>3.0433080113529973</v>
      </c>
      <c r="BE24" s="258">
        <f t="shared" si="5"/>
        <v>3.0433080113529973</v>
      </c>
      <c r="BF24" s="258">
        <f t="shared" si="5"/>
        <v>3.0433080113529973</v>
      </c>
      <c r="BG24" s="258">
        <f t="shared" si="5"/>
        <v>3.1848563684303905</v>
      </c>
      <c r="BH24" s="258">
        <f t="shared" si="5"/>
        <v>3.1848563684303905</v>
      </c>
      <c r="BI24" s="258">
        <f t="shared" si="5"/>
        <v>3.1848563684303905</v>
      </c>
      <c r="BJ24" s="258">
        <f t="shared" si="5"/>
        <v>3.1848563684303905</v>
      </c>
      <c r="BK24" s="258">
        <f t="shared" si="5"/>
        <v>3.1636785316797789</v>
      </c>
      <c r="BL24" s="258">
        <f t="shared" si="5"/>
        <v>3.1636785316797789</v>
      </c>
      <c r="BM24" s="258">
        <f t="shared" si="5"/>
        <v>3.1636785316797789</v>
      </c>
      <c r="BN24" s="258">
        <f t="shared" si="5"/>
        <v>3.1636785316797789</v>
      </c>
      <c r="BO24" s="258">
        <f t="shared" si="5"/>
        <v>3.1323390167137983</v>
      </c>
      <c r="BP24" s="258">
        <f t="shared" si="5"/>
        <v>3.1323390167137983</v>
      </c>
      <c r="BQ24" s="258">
        <f t="shared" si="5"/>
        <v>3.1323390167137983</v>
      </c>
      <c r="BR24" s="258">
        <f t="shared" si="5"/>
        <v>3.1323390167137983</v>
      </c>
      <c r="BS24" s="258">
        <f t="shared" si="5"/>
        <v>2.8903671326717739</v>
      </c>
      <c r="BT24" s="258">
        <f t="shared" si="5"/>
        <v>2.8903671326717739</v>
      </c>
      <c r="BU24" s="258">
        <f t="shared" si="5"/>
        <v>2.8903671326717739</v>
      </c>
      <c r="BV24" s="258">
        <f>0.88+BV18</f>
        <v>2.8903671326717739</v>
      </c>
      <c r="BW24" s="258">
        <f>0.88+BW18</f>
        <v>2.9105393963616453</v>
      </c>
      <c r="BX24" s="258">
        <f>0.88+BX18</f>
        <v>2.9105393963616453</v>
      </c>
      <c r="BY24" s="258">
        <f>0.88+BY18</f>
        <v>2.9105393963616453</v>
      </c>
      <c r="BZ24" s="258">
        <f t="shared" ref="BZ24:CT24" si="6">0.88+BZ18</f>
        <v>2.9105393963616453</v>
      </c>
      <c r="CA24" s="258">
        <f t="shared" si="6"/>
        <v>2.9380189717987331</v>
      </c>
      <c r="CB24" s="258">
        <f t="shared" si="6"/>
        <v>2.9380189717987331</v>
      </c>
      <c r="CC24" s="258">
        <f t="shared" si="6"/>
        <v>2.9380189717987331</v>
      </c>
      <c r="CD24" s="258">
        <f t="shared" si="6"/>
        <v>2.9380189717987331</v>
      </c>
      <c r="CE24" s="258">
        <f t="shared" si="6"/>
        <v>3.0867514265512073</v>
      </c>
      <c r="CF24" s="258">
        <f t="shared" si="6"/>
        <v>3.0867514265512073</v>
      </c>
      <c r="CG24" s="258">
        <f t="shared" si="6"/>
        <v>3.0867514265512073</v>
      </c>
      <c r="CH24" s="258">
        <f t="shared" si="6"/>
        <v>3.0867514265512073</v>
      </c>
      <c r="CI24" s="258">
        <f t="shared" si="6"/>
        <v>2.9247165752567157</v>
      </c>
      <c r="CJ24" s="258">
        <f t="shared" si="6"/>
        <v>2.9247165752567157</v>
      </c>
      <c r="CK24" s="258">
        <f t="shared" si="6"/>
        <v>2.9247165752567157</v>
      </c>
      <c r="CL24" s="258">
        <f t="shared" si="6"/>
        <v>2.9247165752567157</v>
      </c>
      <c r="CM24" s="258">
        <f t="shared" si="6"/>
        <v>2.8677015005444577</v>
      </c>
      <c r="CN24" s="258">
        <f t="shared" si="6"/>
        <v>2.8677015005444577</v>
      </c>
      <c r="CO24" s="258">
        <f t="shared" si="6"/>
        <v>2.8677015005444577</v>
      </c>
      <c r="CP24" s="258">
        <f t="shared" si="6"/>
        <v>2.8677015005444577</v>
      </c>
      <c r="CQ24" s="258">
        <f t="shared" si="6"/>
        <v>2.8677015005444577</v>
      </c>
      <c r="CR24" s="258">
        <f t="shared" si="6"/>
        <v>3.3839217400283408</v>
      </c>
      <c r="CS24" s="258">
        <f t="shared" si="6"/>
        <v>3.3839217400283408</v>
      </c>
      <c r="CT24" s="258">
        <f t="shared" si="6"/>
        <v>3.3839217400283408</v>
      </c>
      <c r="CU24" s="258">
        <f>0.88+CU18</f>
        <v>3.3839217400283408</v>
      </c>
      <c r="CV24" s="258">
        <f t="shared" ref="CV24:DA24" si="7">0.88+CV18</f>
        <v>2.683472539573184</v>
      </c>
      <c r="CW24" s="258">
        <f t="shared" si="7"/>
        <v>2.683472539573184</v>
      </c>
      <c r="CX24" s="258">
        <f t="shared" si="7"/>
        <v>2.683472539573184</v>
      </c>
      <c r="CY24" s="258">
        <f t="shared" si="7"/>
        <v>2.683472539573184</v>
      </c>
      <c r="CZ24" s="258">
        <f t="shared" si="7"/>
        <v>2.683472539573184</v>
      </c>
      <c r="DA24" s="258">
        <f t="shared" si="7"/>
        <v>2.683472539573184</v>
      </c>
      <c r="DB24" s="258">
        <f>0.88+DB18</f>
        <v>2.683472539573184</v>
      </c>
      <c r="DC24" s="258">
        <f t="shared" ref="DC24:EF24" si="8">0.88+DC18</f>
        <v>2.683472539573184</v>
      </c>
      <c r="DD24" s="258">
        <f t="shared" si="8"/>
        <v>2.683472539573184</v>
      </c>
      <c r="DE24" s="258">
        <f t="shared" si="8"/>
        <v>2.683472539573184</v>
      </c>
      <c r="DF24" s="258">
        <f t="shared" si="8"/>
        <v>2.683472539573184</v>
      </c>
      <c r="DG24" s="258">
        <f t="shared" si="8"/>
        <v>2.683472539573184</v>
      </c>
      <c r="DH24" s="258">
        <f t="shared" si="8"/>
        <v>2.3686414839291081</v>
      </c>
      <c r="DI24" s="258">
        <f t="shared" si="8"/>
        <v>2.3686414839291081</v>
      </c>
      <c r="DJ24" s="258">
        <f t="shared" si="8"/>
        <v>2.3686414839291081</v>
      </c>
      <c r="DK24" s="258">
        <f t="shared" si="8"/>
        <v>2.3686414839291081</v>
      </c>
      <c r="DL24" s="258">
        <f t="shared" si="8"/>
        <v>2.3686414839291081</v>
      </c>
      <c r="DM24" s="258">
        <f t="shared" si="8"/>
        <v>2.3686414839291081</v>
      </c>
      <c r="DN24" s="258">
        <f t="shared" si="8"/>
        <v>2.3686414839291081</v>
      </c>
      <c r="DO24" s="258">
        <f t="shared" si="8"/>
        <v>2.3686414839291081</v>
      </c>
      <c r="DP24" s="258">
        <f t="shared" si="8"/>
        <v>2.3686414839291081</v>
      </c>
      <c r="DQ24" s="258">
        <f t="shared" si="8"/>
        <v>2.3686414839291081</v>
      </c>
      <c r="DR24" s="258">
        <f t="shared" si="8"/>
        <v>2.3686414839291081</v>
      </c>
      <c r="DS24" s="258">
        <f t="shared" si="8"/>
        <v>2.3686414839291081</v>
      </c>
      <c r="DT24" s="258">
        <f t="shared" si="8"/>
        <v>0.88</v>
      </c>
      <c r="DU24" s="258">
        <f t="shared" si="8"/>
        <v>0.88</v>
      </c>
      <c r="DV24" s="258">
        <f t="shared" si="8"/>
        <v>0.88</v>
      </c>
      <c r="DW24" s="258">
        <f t="shared" si="8"/>
        <v>0.88</v>
      </c>
      <c r="DX24" s="258">
        <f t="shared" si="8"/>
        <v>0.88</v>
      </c>
      <c r="DY24" s="258">
        <f t="shared" si="8"/>
        <v>0.88</v>
      </c>
      <c r="DZ24" s="258">
        <f t="shared" si="8"/>
        <v>0.88</v>
      </c>
      <c r="EA24" s="258">
        <f t="shared" si="8"/>
        <v>0.88</v>
      </c>
      <c r="EB24" s="258">
        <f t="shared" si="8"/>
        <v>0.88</v>
      </c>
      <c r="EC24" s="258">
        <f t="shared" si="8"/>
        <v>0.88</v>
      </c>
      <c r="ED24" s="258">
        <f t="shared" si="8"/>
        <v>0.88</v>
      </c>
      <c r="EE24" s="258">
        <f t="shared" si="8"/>
        <v>0.88</v>
      </c>
      <c r="EF24" s="258">
        <f t="shared" si="8"/>
        <v>0.88</v>
      </c>
    </row>
    <row r="26" spans="1:136">
      <c r="CY26" s="65"/>
    </row>
  </sheetData>
  <pageMargins left="0.7" right="0.7" top="0.75" bottom="0.75" header="0.3" footer="0.3"/>
  <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6976C-1E39-4189-B92D-6F3D1FECD711}">
  <dimension ref="A1:ET24"/>
  <sheetViews>
    <sheetView workbookViewId="0">
      <pane xSplit="11" ySplit="7" topLeftCell="CZ14" activePane="bottomRight" state="frozen"/>
      <selection pane="topRight" activeCell="L1" sqref="L1"/>
      <selection pane="bottomLeft" activeCell="A7" sqref="A7"/>
      <selection pane="bottomRight" activeCell="I24" sqref="I24"/>
    </sheetView>
  </sheetViews>
  <sheetFormatPr baseColWidth="10" defaultColWidth="22.6640625" defaultRowHeight="12"/>
  <cols>
    <col min="1" max="1" width="13.5" style="60" bestFit="1" customWidth="1"/>
    <col min="2" max="2" width="11.33203125" style="60" bestFit="1" customWidth="1"/>
    <col min="3" max="3" width="4.83203125" style="60" bestFit="1" customWidth="1"/>
    <col min="4" max="4" width="12.33203125" style="60" bestFit="1" customWidth="1"/>
    <col min="5" max="5" width="11.83203125" style="60" bestFit="1" customWidth="1"/>
    <col min="6" max="6" width="6" style="60" bestFit="1" customWidth="1"/>
    <col min="7" max="7" width="4.1640625" style="60" bestFit="1" customWidth="1"/>
    <col min="8" max="8" width="22.83203125" style="60" bestFit="1" customWidth="1"/>
    <col min="9" max="10" width="5.5" style="60" bestFit="1" customWidth="1"/>
    <col min="11" max="11" width="5.6640625" style="60" bestFit="1" customWidth="1"/>
    <col min="12" max="12" width="5.5" style="60" bestFit="1" customWidth="1"/>
    <col min="13" max="13" width="5.83203125" style="60" bestFit="1" customWidth="1"/>
    <col min="14" max="18" width="5.5" style="60" bestFit="1" customWidth="1"/>
    <col min="19" max="19" width="5.6640625" style="60" bestFit="1" customWidth="1"/>
    <col min="20" max="22" width="5.5" style="60" bestFit="1" customWidth="1"/>
    <col min="23" max="43" width="6.1640625" style="60" bestFit="1" customWidth="1"/>
    <col min="44" max="45" width="5.5" style="60" bestFit="1" customWidth="1"/>
    <col min="46" max="46" width="6.1640625" style="60" bestFit="1" customWidth="1"/>
    <col min="47" max="47" width="5.6640625" style="60" bestFit="1" customWidth="1"/>
    <col min="48" max="48" width="5.5" style="60" bestFit="1" customWidth="1"/>
    <col min="49" max="49" width="5.83203125" style="60" bestFit="1" customWidth="1"/>
    <col min="50" max="51" width="5.5" style="60" bestFit="1" customWidth="1"/>
    <col min="52" max="54" width="7" style="60" bestFit="1" customWidth="1"/>
    <col min="55" max="56" width="5.5" style="60" bestFit="1" customWidth="1"/>
    <col min="57" max="58" width="5.83203125" style="60" bestFit="1" customWidth="1"/>
    <col min="59" max="59" width="5.6640625" style="60" bestFit="1" customWidth="1"/>
    <col min="60" max="65" width="6.1640625" style="60" bestFit="1" customWidth="1"/>
    <col min="66" max="70" width="5.6640625" style="60" bestFit="1" customWidth="1"/>
    <col min="71" max="82" width="5.5" style="60" bestFit="1" customWidth="1"/>
    <col min="83" max="83" width="6.1640625" style="60" bestFit="1" customWidth="1"/>
    <col min="84" max="86" width="5.6640625" style="60" bestFit="1" customWidth="1"/>
    <col min="87" max="90" width="5.5" style="60" bestFit="1" customWidth="1"/>
    <col min="91" max="95" width="6.33203125" style="60" bestFit="1" customWidth="1"/>
    <col min="96" max="99" width="6.1640625" style="60" bestFit="1" customWidth="1"/>
    <col min="100" max="103" width="5.5" style="60" bestFit="1" customWidth="1"/>
    <col min="104" max="104" width="6.1640625" style="60" bestFit="1" customWidth="1"/>
    <col min="105" max="107" width="5.83203125" style="60" bestFit="1" customWidth="1"/>
    <col min="108" max="109" width="5.6640625" style="60" bestFit="1" customWidth="1"/>
    <col min="110" max="111" width="6.1640625" style="60" bestFit="1" customWidth="1"/>
    <col min="112" max="115" width="5.6640625" style="60" bestFit="1" customWidth="1"/>
    <col min="116" max="119" width="6.1640625" style="60" bestFit="1" customWidth="1"/>
    <col min="120" max="123" width="5.83203125" style="60" bestFit="1" customWidth="1"/>
    <col min="124" max="144" width="5.1640625" style="60" bestFit="1" customWidth="1"/>
    <col min="145" max="150" width="6.5" style="60" bestFit="1" customWidth="1"/>
    <col min="151" max="16384" width="22.6640625" style="60"/>
  </cols>
  <sheetData>
    <row r="1" spans="1:150" ht="13">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c r="EM1" s="99">
        <v>141</v>
      </c>
    </row>
    <row r="2" spans="1:150">
      <c r="A2" s="59"/>
      <c r="B2" s="59"/>
      <c r="C2" s="59"/>
      <c r="D2" s="98"/>
      <c r="E2" s="98"/>
      <c r="F2" s="59"/>
      <c r="H2" s="99"/>
      <c r="I2" s="99"/>
      <c r="J2" s="99"/>
      <c r="K2" s="99"/>
      <c r="L2" s="99"/>
      <c r="M2" s="99"/>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99"/>
      <c r="AP2" s="99"/>
      <c r="AQ2" s="99"/>
      <c r="AR2" s="99"/>
      <c r="AS2" s="99"/>
      <c r="AT2" s="99"/>
      <c r="AU2" s="99"/>
      <c r="AV2" s="99"/>
      <c r="AW2" s="99"/>
      <c r="AX2" s="99"/>
      <c r="AY2" s="99"/>
      <c r="AZ2" s="99"/>
      <c r="BA2" s="99"/>
      <c r="BB2" s="99"/>
      <c r="BC2" s="99"/>
      <c r="BD2" s="99"/>
      <c r="BE2" s="99"/>
      <c r="BF2" s="99"/>
      <c r="BG2" s="99"/>
      <c r="BH2" s="99"/>
      <c r="BI2" s="99"/>
      <c r="BJ2" s="99"/>
      <c r="BK2" s="99"/>
      <c r="BL2" s="99"/>
      <c r="BM2" s="99"/>
      <c r="BN2" s="99"/>
      <c r="BO2" s="99"/>
      <c r="BP2" s="99"/>
      <c r="BQ2" s="99"/>
      <c r="BR2" s="99"/>
      <c r="BS2" s="99"/>
      <c r="BT2" s="99"/>
      <c r="BU2" s="99"/>
      <c r="BV2" s="99"/>
      <c r="BW2" s="99"/>
      <c r="BX2" s="99"/>
      <c r="BY2" s="99"/>
      <c r="BZ2" s="99"/>
      <c r="CA2" s="99"/>
      <c r="CB2" s="99"/>
      <c r="CC2" s="99"/>
      <c r="CD2" s="99"/>
      <c r="CE2" s="99"/>
      <c r="CF2" s="99"/>
      <c r="CG2" s="99"/>
      <c r="CH2" s="99"/>
      <c r="CI2" s="99"/>
      <c r="CJ2" s="99"/>
      <c r="CK2" s="99"/>
      <c r="CL2" s="99"/>
      <c r="CM2" s="99"/>
      <c r="CN2" s="99"/>
    </row>
    <row r="3" spans="1:150" ht="13">
      <c r="A3" s="107" t="s">
        <v>855</v>
      </c>
      <c r="B3" s="100"/>
      <c r="C3" s="101"/>
      <c r="D3" s="282">
        <v>122.12</v>
      </c>
      <c r="K3" s="102"/>
      <c r="M3" s="102"/>
    </row>
    <row r="4" spans="1:150">
      <c r="A4" s="36"/>
      <c r="B4" s="64"/>
      <c r="D4" s="100"/>
      <c r="E4" s="64"/>
      <c r="F4" s="103"/>
    </row>
    <row r="5" spans="1:150">
      <c r="A5" s="64"/>
      <c r="B5" s="64"/>
      <c r="D5" s="64"/>
      <c r="E5" s="64"/>
      <c r="H5" s="60" t="s">
        <v>387</v>
      </c>
    </row>
    <row r="6" spans="1:150">
      <c r="A6" s="74"/>
      <c r="B6" s="74"/>
    </row>
    <row r="7" spans="1:150">
      <c r="A7" s="59"/>
      <c r="B7" s="59"/>
      <c r="C7" s="59"/>
      <c r="D7" s="98"/>
      <c r="E7" s="98"/>
      <c r="F7" s="59"/>
      <c r="H7" s="59" t="s">
        <v>416</v>
      </c>
      <c r="I7" s="59">
        <v>43831</v>
      </c>
      <c r="J7" s="59">
        <v>43862</v>
      </c>
      <c r="K7" s="59">
        <v>43891</v>
      </c>
      <c r="L7" s="59">
        <v>43922</v>
      </c>
      <c r="M7" s="59">
        <v>43952</v>
      </c>
      <c r="N7" s="59">
        <v>43983</v>
      </c>
      <c r="O7" s="59">
        <v>44013</v>
      </c>
      <c r="P7" s="59">
        <v>44044</v>
      </c>
      <c r="Q7" s="59">
        <v>44075</v>
      </c>
      <c r="R7" s="59">
        <v>44105</v>
      </c>
      <c r="S7" s="59">
        <v>44136</v>
      </c>
      <c r="T7" s="59">
        <v>44166</v>
      </c>
      <c r="U7" s="59">
        <v>44197</v>
      </c>
      <c r="V7" s="59">
        <v>44228</v>
      </c>
      <c r="W7" s="59">
        <v>44256</v>
      </c>
      <c r="X7" s="59">
        <v>44287</v>
      </c>
      <c r="Y7" s="59">
        <v>44317</v>
      </c>
      <c r="Z7" s="59">
        <v>44348</v>
      </c>
      <c r="AA7" s="59">
        <v>44378</v>
      </c>
      <c r="AB7" s="59">
        <v>44409</v>
      </c>
      <c r="AC7" s="59">
        <v>44440</v>
      </c>
      <c r="AD7" s="59">
        <v>44470</v>
      </c>
      <c r="AE7" s="59">
        <v>44501</v>
      </c>
      <c r="AF7" s="59">
        <v>44531</v>
      </c>
      <c r="AG7" s="59">
        <v>44562</v>
      </c>
      <c r="AH7" s="59">
        <v>44593</v>
      </c>
      <c r="AI7" s="59">
        <v>44621</v>
      </c>
      <c r="AJ7" s="59">
        <v>44652</v>
      </c>
      <c r="AK7" s="59">
        <v>44682</v>
      </c>
      <c r="AL7" s="59">
        <v>44713</v>
      </c>
      <c r="AM7" s="59">
        <v>44743</v>
      </c>
      <c r="AN7" s="59">
        <v>44774</v>
      </c>
      <c r="AO7" s="59">
        <v>44805</v>
      </c>
      <c r="AP7" s="59">
        <v>44835</v>
      </c>
      <c r="AQ7" s="59">
        <v>44866</v>
      </c>
      <c r="AR7" s="59">
        <v>44896</v>
      </c>
      <c r="AS7" s="59">
        <v>44927</v>
      </c>
      <c r="AT7" s="59">
        <v>44958</v>
      </c>
      <c r="AU7" s="59">
        <v>44986</v>
      </c>
      <c r="AV7" s="59">
        <v>45017</v>
      </c>
      <c r="AW7" s="59">
        <v>45047</v>
      </c>
      <c r="AX7" s="59">
        <v>45078</v>
      </c>
      <c r="AY7" s="59">
        <v>45108</v>
      </c>
      <c r="AZ7" s="59" t="s">
        <v>530</v>
      </c>
      <c r="BA7" s="59" t="s">
        <v>531</v>
      </c>
      <c r="BB7" s="59" t="s">
        <v>532</v>
      </c>
      <c r="BC7" s="59">
        <v>37104</v>
      </c>
      <c r="BD7" s="59">
        <v>37469</v>
      </c>
      <c r="BE7" s="59" t="s">
        <v>168</v>
      </c>
      <c r="BF7" s="59" t="s">
        <v>169</v>
      </c>
      <c r="BG7" s="59" t="s">
        <v>195</v>
      </c>
      <c r="BH7" s="59" t="s">
        <v>196</v>
      </c>
      <c r="BI7" s="59" t="s">
        <v>197</v>
      </c>
      <c r="BJ7" s="59" t="s">
        <v>198</v>
      </c>
      <c r="BK7" s="59" t="s">
        <v>199</v>
      </c>
      <c r="BL7" s="59" t="s">
        <v>200</v>
      </c>
      <c r="BM7" s="59" t="s">
        <v>201</v>
      </c>
      <c r="BN7" s="59" t="s">
        <v>202</v>
      </c>
      <c r="BO7" s="59">
        <v>37196</v>
      </c>
      <c r="BP7" s="59">
        <v>37561</v>
      </c>
      <c r="BQ7" s="59">
        <v>37926</v>
      </c>
      <c r="BR7" s="59">
        <v>38292</v>
      </c>
      <c r="BS7" s="59">
        <v>37226</v>
      </c>
      <c r="BT7" s="59">
        <v>37591</v>
      </c>
      <c r="BU7" s="59">
        <v>37956</v>
      </c>
      <c r="BV7" s="59">
        <v>38322</v>
      </c>
      <c r="BW7" s="59">
        <v>36892</v>
      </c>
      <c r="BX7" s="59">
        <v>37257</v>
      </c>
      <c r="BY7" s="59">
        <v>37622</v>
      </c>
      <c r="BZ7" s="59">
        <v>37987</v>
      </c>
      <c r="CA7" s="59">
        <v>36923</v>
      </c>
      <c r="CB7" s="59">
        <v>37288</v>
      </c>
      <c r="CC7" s="59">
        <v>37653</v>
      </c>
      <c r="CD7" s="59">
        <v>38018</v>
      </c>
      <c r="CE7" s="59" t="str">
        <f>Sheet8!A15</f>
        <v>Mar-w1</v>
      </c>
      <c r="CF7" s="59">
        <v>37316</v>
      </c>
      <c r="CG7" s="59">
        <v>37681</v>
      </c>
      <c r="CH7" s="59">
        <v>38047</v>
      </c>
      <c r="CI7" s="59" t="str">
        <f>Sheet8!E15</f>
        <v>Apr-w1</v>
      </c>
      <c r="CJ7" s="59" t="str">
        <f>Sheet8!F15</f>
        <v>Apr-w2</v>
      </c>
      <c r="CK7" s="59" t="str">
        <f>Sheet8!G15</f>
        <v>Apr-w3</v>
      </c>
      <c r="CL7" s="59" t="str">
        <f>Sheet8!H15</f>
        <v>Apr-w4</v>
      </c>
      <c r="CM7" s="59" t="str">
        <f>Sheet8!I15</f>
        <v>May-w1</v>
      </c>
      <c r="CN7" s="59" t="str">
        <f>Sheet8!J15</f>
        <v>May-w2</v>
      </c>
      <c r="CO7" s="59" t="str">
        <f>Sheet8!K15</f>
        <v>May-w3</v>
      </c>
      <c r="CP7" s="59" t="str">
        <f>Sheet8!L15</f>
        <v>May-w4</v>
      </c>
      <c r="CQ7" s="59" t="str">
        <f>Sheet8!M15</f>
        <v>May-w5</v>
      </c>
      <c r="CR7" s="59" t="str">
        <f>Sheet8!N15</f>
        <v>june-w1</v>
      </c>
      <c r="CS7" s="59" t="str">
        <f>Sheet8!O15</f>
        <v>june-w2</v>
      </c>
      <c r="CT7" s="59" t="str">
        <f>Sheet8!P15</f>
        <v>june-w3</v>
      </c>
      <c r="CU7" s="59" t="str">
        <f>Sheet8!Q15</f>
        <v>june-w4</v>
      </c>
      <c r="CV7" s="59" t="str">
        <f>Sheet8!R15</f>
        <v>Jul-w1</v>
      </c>
      <c r="CW7" s="59" t="str">
        <f>Sheet8!S15</f>
        <v>Jul-w2</v>
      </c>
      <c r="CX7" s="59" t="str">
        <f>Sheet8!T15</f>
        <v>Jul-w3</v>
      </c>
      <c r="CY7" s="59" t="str">
        <f>Sheet8!U15</f>
        <v>Jul-w4</v>
      </c>
      <c r="CZ7" s="59" t="str">
        <f>Sheet8!V15</f>
        <v>Aug-w1</v>
      </c>
      <c r="DA7" s="59" t="str">
        <f>Sheet8!W15</f>
        <v>Aug-w2</v>
      </c>
      <c r="DB7" s="59" t="str">
        <f>Sheet8!X15</f>
        <v>Aug-w3</v>
      </c>
      <c r="DC7" s="59" t="str">
        <f>Sheet8!Y15</f>
        <v>Aug-w4</v>
      </c>
      <c r="DD7" s="59" t="str">
        <f>Sheet8!Z15</f>
        <v>Sep-w1</v>
      </c>
      <c r="DE7" s="59" t="str">
        <f>Sheet8!AA15</f>
        <v>Sep-w2</v>
      </c>
      <c r="DF7" s="59" t="str">
        <f>Sheet8!AB15</f>
        <v>Sep-w3</v>
      </c>
      <c r="DG7" s="59" t="str">
        <f>Sheet8!AC15</f>
        <v>Sep-w4</v>
      </c>
      <c r="DH7" s="59" t="str">
        <f>Sheet8!AD15</f>
        <v>Oct-w1</v>
      </c>
      <c r="DI7" s="59" t="str">
        <f>Sheet8!AE15</f>
        <v>Oct-w2</v>
      </c>
      <c r="DJ7" s="59" t="str">
        <f>Sheet8!AF15</f>
        <v>Oct-w3</v>
      </c>
      <c r="DK7" s="59" t="str">
        <f>Sheet8!AG15</f>
        <v>Oct-w4</v>
      </c>
      <c r="DL7" s="59" t="str">
        <f>Sheet8!AH15</f>
        <v>Nov-w1</v>
      </c>
      <c r="DM7" s="59" t="str">
        <f>Sheet8!AI15</f>
        <v>Nov-w2</v>
      </c>
      <c r="DN7" s="59" t="str">
        <f>Sheet8!AJ15</f>
        <v>Nov-w3</v>
      </c>
      <c r="DO7" s="59" t="str">
        <f>Sheet8!AK15</f>
        <v>Nov-w4</v>
      </c>
      <c r="DP7" s="59" t="str">
        <f>Sheet8!AL15</f>
        <v>Dec-w1</v>
      </c>
      <c r="DQ7" s="59" t="str">
        <f>Sheet8!AM15</f>
        <v>Dec-w2</v>
      </c>
      <c r="DR7" s="59" t="str">
        <f>Sheet8!AN15</f>
        <v>Dec-w3</v>
      </c>
      <c r="DS7" s="59" t="str">
        <f>Sheet8!AO15</f>
        <v>Dec-w4</v>
      </c>
      <c r="DT7" s="59">
        <f>Sheet8!AP15</f>
        <v>0</v>
      </c>
      <c r="DU7" s="59">
        <f>Sheet8!AQ15</f>
        <v>0</v>
      </c>
      <c r="DV7" s="59">
        <f>Sheet8!AR15</f>
        <v>0</v>
      </c>
      <c r="DW7" s="59">
        <f>Sheet8!AS15</f>
        <v>0</v>
      </c>
      <c r="DX7" s="59">
        <f>Sheet8!AT15</f>
        <v>0</v>
      </c>
      <c r="DY7" s="59">
        <f>Sheet8!AU15</f>
        <v>0</v>
      </c>
      <c r="DZ7" s="59">
        <f>Sheet8!AV15</f>
        <v>0</v>
      </c>
      <c r="EA7" s="59">
        <f>Sheet8!AW15</f>
        <v>0</v>
      </c>
      <c r="EB7" s="59">
        <f>Sheet8!AX15</f>
        <v>0</v>
      </c>
      <c r="EC7" s="59">
        <f>Sheet8!AY15</f>
        <v>0</v>
      </c>
      <c r="ED7" s="59">
        <f>Sheet8!AZ15</f>
        <v>0</v>
      </c>
      <c r="EE7" s="59">
        <f>Sheet8!BA15</f>
        <v>0</v>
      </c>
      <c r="EF7" s="59">
        <f>Sheet8!BB15</f>
        <v>0</v>
      </c>
      <c r="EG7" s="59">
        <f>Sheet8!BC15</f>
        <v>0</v>
      </c>
      <c r="EH7" s="59">
        <f>Sheet8!BD15</f>
        <v>0</v>
      </c>
      <c r="EI7" s="59">
        <f>Sheet8!BE15</f>
        <v>0</v>
      </c>
      <c r="EJ7" s="59">
        <f>Sheet8!BF15</f>
        <v>0</v>
      </c>
      <c r="EK7" s="59">
        <f>Sheet8!BG15</f>
        <v>0</v>
      </c>
      <c r="EL7" s="59">
        <f>Sheet8!BH15</f>
        <v>0</v>
      </c>
      <c r="EM7" s="59">
        <f>Sheet8!BI15</f>
        <v>0</v>
      </c>
      <c r="EN7" s="59">
        <f>Sheet8!BJ15</f>
        <v>0</v>
      </c>
      <c r="EO7" s="59">
        <f>Sheet8!BK15</f>
        <v>0</v>
      </c>
      <c r="EP7" s="59">
        <f>Sheet8!BL15</f>
        <v>0</v>
      </c>
      <c r="EQ7" s="59">
        <f>Sheet8!BM15</f>
        <v>0</v>
      </c>
      <c r="ER7" s="59">
        <f>Sheet8!BN15</f>
        <v>0</v>
      </c>
      <c r="ES7" s="59">
        <f>Sheet8!BO15</f>
        <v>0</v>
      </c>
      <c r="ET7" s="59">
        <f>Sheet8!BP15</f>
        <v>0</v>
      </c>
    </row>
    <row r="8" spans="1:150">
      <c r="H8" s="178" t="s">
        <v>67</v>
      </c>
      <c r="I8" s="74">
        <f>VLOOKUP($H$8&amp;$F$1,'Input RM sheet'!$A:$BD,H1,0)</f>
        <v>865</v>
      </c>
      <c r="J8" s="74">
        <f>VLOOKUP($H$8&amp;$F$1,'Input RM sheet'!$A:$BD,I1,0)</f>
        <v>920</v>
      </c>
      <c r="K8" s="74">
        <f>VLOOKUP($H$8&amp;$F$1,'Input RM sheet'!$A:$DD,J1,0)</f>
        <v>795</v>
      </c>
      <c r="L8" s="74">
        <f>VLOOKUP($H$8&amp;$F$1,'Input RM sheet'!$A:$DD,K1,0)</f>
        <v>665</v>
      </c>
      <c r="M8" s="74">
        <f>VLOOKUP($H$8&amp;$F$1,'Input RM sheet'!$A:$DD,L1,0)</f>
        <v>700</v>
      </c>
      <c r="N8" s="74">
        <f>VLOOKUP($H$8&amp;$F$1,'Input RM sheet'!$A:$DD,M1,0)</f>
        <v>840</v>
      </c>
      <c r="O8" s="74">
        <f>VLOOKUP($H$8&amp;$F$1,'Input RM sheet'!$A:$DD,N1,0)</f>
        <v>630</v>
      </c>
      <c r="P8" s="74">
        <f>VLOOKUP($H$8&amp;$F$1,'Input RM sheet'!$A:$DD,O1,0)</f>
        <v>625</v>
      </c>
      <c r="Q8" s="74">
        <f>VLOOKUP($H$8&amp;$F$1,'Input RM sheet'!$A:$DD,P1,0)</f>
        <v>625</v>
      </c>
      <c r="R8" s="74">
        <f>VLOOKUP($H$8&amp;$F$1,'Input RM sheet'!$A:$DD,Q1,0)</f>
        <v>645</v>
      </c>
      <c r="S8" s="74">
        <f>VLOOKUP($H$8&amp;$F$1,'Input RM sheet'!$A:$DD,R1,0)</f>
        <v>750</v>
      </c>
      <c r="T8" s="74">
        <f>VLOOKUP($H$8&amp;$F$1,'Input RM sheet'!$A:$DD,S1,0)</f>
        <v>850</v>
      </c>
      <c r="U8" s="74">
        <f>VLOOKUP($H$8&amp;$F$1,'Input RM sheet'!$A:$DD,T1,0)</f>
        <v>875</v>
      </c>
      <c r="V8" s="74">
        <f>VLOOKUP($H$8&amp;$F$1,'Input RM sheet'!$A:$DD,U1,0)</f>
        <v>925</v>
      </c>
      <c r="W8" s="74">
        <f>VLOOKUP($H$8&amp;$F$1,'Input RM sheet'!$A:$DD,V1,0)</f>
        <v>1150</v>
      </c>
      <c r="X8" s="74">
        <f>VLOOKUP($H$8&amp;$F$1,'Input RM sheet'!$A:$DD,W1,0)</f>
        <v>1200</v>
      </c>
      <c r="Y8" s="74">
        <f>VLOOKUP($H$8&amp;$F$1,'Input RM sheet'!$A:$DD,X1,0)</f>
        <v>1300</v>
      </c>
      <c r="Z8" s="74">
        <f>VLOOKUP($H$8&amp;$F$1,'Input RM sheet'!$A:$DD,Y1,0)</f>
        <v>1150</v>
      </c>
      <c r="AA8" s="74">
        <f>VLOOKUP($H$8&amp;$F$1,'Input RM sheet'!$A:$DD,Z1,0)</f>
        <v>1230</v>
      </c>
      <c r="AB8" s="74">
        <f>VLOOKUP($H$8&amp;$F$1,'Input RM sheet'!$A:$DD,AA1,0)</f>
        <v>1215</v>
      </c>
      <c r="AC8" s="74">
        <f>VLOOKUP($H$8&amp;$F$1,'Input RM sheet'!$A:$DD,AB1,0)</f>
        <v>1425</v>
      </c>
      <c r="AD8" s="74">
        <f>VLOOKUP($H$8&amp;$F$1,'Input RM sheet'!$A:$DD,AC1,0)</f>
        <v>1375</v>
      </c>
      <c r="AE8" s="74">
        <f>VLOOKUP($H$8&amp;$F$1,'Input RM sheet'!$A:$DD,AD1,0)</f>
        <v>1250</v>
      </c>
      <c r="AF8" s="74">
        <f>VLOOKUP($H$8&amp;$F$1,'Input RM sheet'!$A:$DD,AE1,0)</f>
        <v>1225</v>
      </c>
      <c r="AG8" s="74">
        <f>VLOOKUP($H$8&amp;$F$1,'Input RM sheet'!$A:$DD,AF1,0)</f>
        <v>1475</v>
      </c>
      <c r="AH8" s="74">
        <f>VLOOKUP($H$8&amp;$F$1,'Input RM sheet'!$A:$DD,AG1,0)</f>
        <v>1495</v>
      </c>
      <c r="AI8" s="74">
        <f>VLOOKUP($H$8&amp;$F$1,'Input RM sheet'!$A:$DD,AH1,0)</f>
        <v>1555</v>
      </c>
      <c r="AJ8" s="74">
        <f>VLOOKUP($H$8&amp;$F$1,'Input RM sheet'!$A:$DD,AI1,0)</f>
        <v>1455</v>
      </c>
      <c r="AK8" s="74">
        <f>VLOOKUP($H$8&amp;$F$1,'Input RM sheet'!$A:$DD,AJ1,0)</f>
        <v>1425</v>
      </c>
      <c r="AL8" s="74">
        <f>VLOOKUP($H$8&amp;$F$1,'Input RM sheet'!$A:$DD,AK1,0)</f>
        <v>1475</v>
      </c>
      <c r="AM8" s="74">
        <f>VLOOKUP($H$8&amp;$F$1,'Input RM sheet'!$A:$DD,AL1,0)</f>
        <v>1225</v>
      </c>
      <c r="AN8" s="74">
        <f>VLOOKUP($H$8&amp;$F$1,'Input RM sheet'!$A:$DD,AM1,0)</f>
        <v>1180</v>
      </c>
      <c r="AO8" s="74">
        <f>VLOOKUP($H$8&amp;$F$1,'Input RM sheet'!$A:$DD,AN1,0)</f>
        <v>1240</v>
      </c>
      <c r="AP8" s="74">
        <f>VLOOKUP($H$8&amp;$F$1,'Input RM sheet'!$A:$DD,AO1,0)</f>
        <v>1190</v>
      </c>
      <c r="AQ8" s="74">
        <f>VLOOKUP($H$8&amp;$F$1,'Input RM sheet'!$A:$DD,AP1,0)</f>
        <v>1075</v>
      </c>
      <c r="AR8" s="74">
        <f>VLOOKUP($H$8&amp;$F$1,'Input RM sheet'!$A:$DD,AQ1,0)</f>
        <v>955</v>
      </c>
      <c r="AS8" s="74">
        <f>VLOOKUP($H$8&amp;$F$1,'Input RM sheet'!$A:$DD,AR1,0)</f>
        <v>910</v>
      </c>
      <c r="AT8" s="74">
        <f>VLOOKUP($H$8&amp;$F$1,'Input RM sheet'!$A:$DD,AS1,0)</f>
        <v>1000</v>
      </c>
      <c r="AU8" s="74">
        <f>VLOOKUP($H$8&amp;$F$1,'Input RM sheet'!$A:$DD,AT1,0)</f>
        <v>940</v>
      </c>
      <c r="AV8" s="74">
        <f>VLOOKUP($H$8&amp;$F$1,'Input RM sheet'!$A:$DD,AU1,0)</f>
        <v>900</v>
      </c>
      <c r="AW8" s="74">
        <f>VLOOKUP($H$8&amp;$F$1,'Input RM sheet'!$A:$DD,AV1,0)</f>
        <v>880</v>
      </c>
      <c r="AX8" s="74">
        <f>VLOOKUP($H$8&amp;$F$1,'Input RM sheet'!$A:$DD,AW1,0)</f>
        <v>725</v>
      </c>
      <c r="AY8" s="74">
        <f>VLOOKUP($H$8&amp;$F$1,'Input RM sheet'!$A:$DD,AX1,0)</f>
        <v>725</v>
      </c>
      <c r="AZ8" s="74">
        <f>VLOOKUP($H$8&amp;$F$1,'Input RM sheet'!$A:$DD,AY1,0)</f>
        <v>725</v>
      </c>
      <c r="BA8" s="74">
        <f>VLOOKUP($H$8&amp;$F$1,'Input RM sheet'!$A:$DD,AZ1,0)</f>
        <v>725</v>
      </c>
      <c r="BB8" s="74">
        <f>VLOOKUP($H$8&amp;$F$1,'Input RM sheet'!$A:$DD,BA1,0)</f>
        <v>825</v>
      </c>
      <c r="BC8" s="74">
        <f>VLOOKUP($H$8&amp;$F$1,'Input RM sheet'!$A:$DD,BB1,0)</f>
        <v>825</v>
      </c>
      <c r="BD8" s="74">
        <f>VLOOKUP($H$8&amp;$F$1,'Input RM sheet'!$A:$DD,BC1,0)</f>
        <v>977.04</v>
      </c>
      <c r="BE8" s="74">
        <f>VLOOKUP($H$8&amp;$F$1,'Input RM sheet'!$A:$DD,BD1,0)</f>
        <v>925</v>
      </c>
      <c r="BF8" s="74">
        <f>VLOOKUP($H$8&amp;$F$1,'Input RM sheet'!$A:$DD,BE1,0)</f>
        <v>925</v>
      </c>
      <c r="BG8" s="74">
        <f>VLOOKUP($H$8&amp;$F$1,'Input RM sheet'!$A:$DD,BF1,0)</f>
        <v>925</v>
      </c>
      <c r="BH8" s="74">
        <f>VLOOKUP($H$8&amp;$F$1,'Input RM sheet'!$A:$DD,BG1,0)</f>
        <v>1050</v>
      </c>
      <c r="BI8" s="74">
        <f>VLOOKUP($H$8&amp;$F$1,'Input RM sheet'!$A:$DD,BH1,0)</f>
        <v>1050</v>
      </c>
      <c r="BJ8" s="74">
        <f>VLOOKUP($H$8&amp;$F$1,'Input RM sheet'!$A:$DD,BI1,0)</f>
        <v>1050</v>
      </c>
      <c r="BK8" s="74">
        <f>VLOOKUP($H$8&amp;$F$1,'Input RM sheet'!$A:$DD,BJ1,0)</f>
        <v>1075</v>
      </c>
      <c r="BL8" s="74">
        <f>VLOOKUP($H$8&amp;$F$1,'Input RM sheet'!$A:$DD,BK1,0)</f>
        <v>1075</v>
      </c>
      <c r="BM8" s="74">
        <f>VLOOKUP($H$8&amp;$F$1,'Input RM sheet'!$A:$DD,BL1,0)</f>
        <v>1075</v>
      </c>
      <c r="BN8" s="74">
        <f>VLOOKUP($H$8&amp;$F$1,'Input RM sheet'!$A:$DD,BM1,0)</f>
        <v>975</v>
      </c>
      <c r="BO8" s="74">
        <f>VLOOKUP($H$8&amp;$F$1,'Input RM sheet'!$A:$DD,BN1,0)</f>
        <v>925</v>
      </c>
      <c r="BP8" s="74">
        <f>VLOOKUP($H$8&amp;$F$1,'Input RM sheet'!$A:$DD,BO1,0)</f>
        <v>925</v>
      </c>
      <c r="BQ8" s="74">
        <f>VLOOKUP($H$8&amp;$F$1,'Input RM sheet'!$A:$DD,BP1,0)</f>
        <v>925</v>
      </c>
      <c r="BR8" s="74">
        <f>VLOOKUP($H$8&amp;$F$1,'Input RM sheet'!$A:$DD,BQ1,0)</f>
        <v>925</v>
      </c>
      <c r="BS8" s="74">
        <f>VLOOKUP($H$8&amp;$F$1,'Input RM sheet'!$A:$DD,BR1,0)</f>
        <v>925</v>
      </c>
      <c r="BT8" s="74">
        <f>VLOOKUP($H$8&amp;$F$1,'Input RM sheet'!$A:$DD,BS1,0)</f>
        <v>925</v>
      </c>
      <c r="BU8" s="74">
        <f>VLOOKUP($H$8&amp;$F$1,'Input RM sheet'!$A:$DD,BT1,0)</f>
        <v>905</v>
      </c>
      <c r="BV8" s="74">
        <f>VLOOKUP($H$8&amp;$F$1,'Input RM sheet'!$A:$DD,BU1,0)</f>
        <v>905</v>
      </c>
      <c r="BW8" s="74">
        <f>VLOOKUP($H$8&amp;$F$1,'Input RM sheet'!$A:$DD,BV1,0)</f>
        <v>905</v>
      </c>
      <c r="BX8" s="74">
        <f>VLOOKUP($H$8&amp;$F$1,'Input RM sheet'!$A:$DD,BW1,0)</f>
        <v>905</v>
      </c>
      <c r="BY8" s="74">
        <f>VLOOKUP($H$8&amp;$F$1,'Input RM sheet'!$A:$DD,BX1,0)</f>
        <v>905</v>
      </c>
      <c r="BZ8" s="74">
        <f>VLOOKUP($H$8&amp;$F$1,'Input RM sheet'!$A:$DD,BY1,0)</f>
        <v>865</v>
      </c>
      <c r="CA8" s="74">
        <f>VLOOKUP($H$8&amp;$F$1,'Input RM sheet'!$A:$DD,BZ1,0)</f>
        <v>865</v>
      </c>
      <c r="CB8" s="74">
        <f>VLOOKUP($H$8&amp;$F$1,'Input RM sheet'!$A:$DD,CA1,0)</f>
        <v>865</v>
      </c>
      <c r="CC8" s="74">
        <f>VLOOKUP($H$8&amp;$F$1,'Input RM sheet'!$A:$DD,CB1,0)</f>
        <v>940</v>
      </c>
      <c r="CD8" s="74">
        <f>VLOOKUP($H$8&amp;$F$1,'Input RM sheet'!$A:$DD,CC1,0)</f>
        <v>940</v>
      </c>
      <c r="CE8" s="74">
        <f>VLOOKUP($H$8&amp;$F$1,'Input RM sheet'!$A:$DD,CD1,0)</f>
        <v>940</v>
      </c>
      <c r="CF8" s="74">
        <f>VLOOKUP($H$8&amp;$F$1,'Input RM sheet'!$A:$DD,CE1,0)</f>
        <v>940</v>
      </c>
      <c r="CG8" s="74">
        <f>VLOOKUP($H$8&amp;$F$1,'Input RM sheet'!$A:$DD,CF1,0)</f>
        <v>940</v>
      </c>
      <c r="CH8" s="74">
        <f>VLOOKUP($H$8&amp;$F$1,'Input RM sheet'!$A:$DD,CG1,0)</f>
        <v>910</v>
      </c>
      <c r="CI8" s="74">
        <f>VLOOKUP($H$8&amp;$F$1,'Input RM sheet'!$A:$DD,CH1,0)</f>
        <v>910</v>
      </c>
      <c r="CJ8" s="74">
        <f>VLOOKUP($H$8&amp;$F$1,'Input RM sheet'!$A:$DD,CI1,0)</f>
        <v>910</v>
      </c>
      <c r="CK8" s="74">
        <f>VLOOKUP($H$8&amp;$F$1,'Input RM sheet'!$A:$DD,CJ1,0)</f>
        <v>910</v>
      </c>
      <c r="CL8" s="74">
        <f>VLOOKUP($H$8&amp;$F$1,'Input RM sheet'!$A:$DD,CK1,0)</f>
        <v>945</v>
      </c>
      <c r="CM8" s="74">
        <f>VLOOKUP($H$8&amp;$F$1,'Input RM sheet'!$A:$DD,CL1,0)</f>
        <v>945</v>
      </c>
      <c r="CN8" s="74">
        <f>VLOOKUP($H$8&amp;$F$1,'Input RM sheet'!$A:$DD,CM1,0)</f>
        <v>945</v>
      </c>
      <c r="CO8" s="74">
        <f>VLOOKUP($H$8&amp;$F$1,'Input RM sheet'!$A:$DD,CN1,0)</f>
        <v>945</v>
      </c>
      <c r="CP8" s="74">
        <f>VLOOKUP($H$8&amp;$F$1,'Input RM sheet'!$A:$DD,CO1,0)</f>
        <v>945</v>
      </c>
      <c r="CQ8" s="74">
        <f>VLOOKUP($H$8&amp;$F$1,'Input RM sheet'!$A:$DD,CP1,0)</f>
        <v>945</v>
      </c>
      <c r="CR8" s="74">
        <f>VLOOKUP($H$8&amp;$F$1,'Input RM sheet'!$A:$ZZ,CQ1,0)</f>
        <v>910</v>
      </c>
      <c r="CS8" s="74">
        <f>VLOOKUP($H$8&amp;$F$1,'Input RM sheet'!$A:$ZZ,CR1,0)</f>
        <v>910</v>
      </c>
      <c r="CT8" s="74">
        <f>VLOOKUP($H$8&amp;$F$1,'Input RM sheet'!$A:$ZZ,CS1,0)</f>
        <v>910</v>
      </c>
      <c r="CU8" s="74">
        <f>VLOOKUP($H$8&amp;$F$1,'Input RM sheet'!$A:$ZZ,CT1,0)</f>
        <v>930</v>
      </c>
      <c r="CV8" s="74">
        <f>VLOOKUP($H$8&amp;$F$1,'Input RM sheet'!$A:$ZZ,CU1,0)</f>
        <v>930</v>
      </c>
      <c r="CW8" s="74">
        <f>VLOOKUP($H$8&amp;$F$1,'Input RM sheet'!$A:$ZZ,CV1,0)</f>
        <v>930</v>
      </c>
      <c r="CX8" s="74">
        <f>VLOOKUP($H$8&amp;$F$1,'Input RM sheet'!$A:$ZZ,CW1,0)</f>
        <v>930</v>
      </c>
      <c r="CY8" s="74">
        <f>VLOOKUP($H$8&amp;$F$1,'Input RM sheet'!$A:$ZZ,CX1,0)</f>
        <v>970</v>
      </c>
      <c r="CZ8" s="74">
        <f>VLOOKUP($H$8&amp;$F$1,'Input RM sheet'!$A:$ZZ,CY1,0)</f>
        <v>1015</v>
      </c>
      <c r="DA8" s="74">
        <f>VLOOKUP($H$8&amp;$F$1,'Input RM sheet'!$A:$ZZ,CZ1,0)</f>
        <v>1015</v>
      </c>
      <c r="DB8" s="74">
        <f>VLOOKUP($H$8&amp;$F$1,'Input RM sheet'!$A:$ZZ,DA1,0)</f>
        <v>1010</v>
      </c>
      <c r="DC8" s="74">
        <f>VLOOKUP($H$8&amp;$F$1,'Input RM sheet'!$A:$ZZ,DB1,0)</f>
        <v>1090</v>
      </c>
      <c r="DD8" s="74">
        <f>VLOOKUP($H$8&amp;$F$1,'Input RM sheet'!$A:$ZZ,DC1,0)</f>
        <v>1090</v>
      </c>
      <c r="DE8" s="74">
        <f>VLOOKUP($H$8&amp;$F$1,'Input RM sheet'!$A:$ZZ,DD1,0)</f>
        <v>1090</v>
      </c>
      <c r="DF8" s="74">
        <f>VLOOKUP($H$8&amp;$F$1,'Input RM sheet'!$A:$ZZ,DE1,0)</f>
        <v>1025</v>
      </c>
      <c r="DG8" s="74">
        <f>VLOOKUP($H$8&amp;$F$1,'Input RM sheet'!$A:$ZZ,DF1,0)</f>
        <v>1025</v>
      </c>
      <c r="DH8" s="74">
        <f>VLOOKUP($H$8&amp;$F$1,'Input RM sheet'!$A:$ZZ,DG1,0)</f>
        <v>985</v>
      </c>
      <c r="DI8" s="74">
        <f>VLOOKUP($H$8&amp;$F$1,'Input RM sheet'!$A:$ZZ,DH1,0)</f>
        <v>955</v>
      </c>
      <c r="DJ8" s="74">
        <f>VLOOKUP($H$8&amp;$F$1,'Input RM sheet'!$A:$ZZ,DI1,0)</f>
        <v>905</v>
      </c>
      <c r="DK8" s="74">
        <f>VLOOKUP($H$8&amp;$F$1,'Input RM sheet'!$A:$ZZ,DJ1,0)</f>
        <v>895</v>
      </c>
      <c r="DL8" s="74">
        <f>VLOOKUP($H$8&amp;$F$1,'Input RM sheet'!$A:$ZZ,DK1,0)</f>
        <v>895</v>
      </c>
      <c r="DM8" s="74">
        <f>VLOOKUP($H$8&amp;$F$1,'Input RM sheet'!$A:$ZZ,DL1,0)</f>
        <v>900</v>
      </c>
      <c r="DN8" s="74">
        <f>VLOOKUP($H$8&amp;$F$1,'Input RM sheet'!$A:$ZZ,DM1,0)</f>
        <v>910</v>
      </c>
      <c r="DO8" s="74">
        <f>VLOOKUP($H$8&amp;$F$1,'Input RM sheet'!$A:$ZZ,DN1,0)</f>
        <v>895</v>
      </c>
      <c r="DP8" s="74">
        <f>VLOOKUP($H$8&amp;$F$1,'Input RM sheet'!$A:$ZZ,DO1,0)</f>
        <v>895</v>
      </c>
      <c r="DQ8" s="74">
        <f>VLOOKUP($H$8&amp;$F$1,'Input RM sheet'!$A:$ZZ,DP1,0)</f>
        <v>900</v>
      </c>
      <c r="DR8" s="74">
        <f>VLOOKUP($H$8&amp;$F$1,'Input RM sheet'!$A:$ZZ,DQ1,0)</f>
        <v>900</v>
      </c>
      <c r="DS8" s="74">
        <f>VLOOKUP($H$8&amp;$F$1,'Input RM sheet'!$A:$ZZ,DR1,0)</f>
        <v>900</v>
      </c>
      <c r="DT8" s="74">
        <f>VLOOKUP($H$8&amp;$F$1,'Input RM sheet'!$A:$ZZ,DS1,0)</f>
        <v>0</v>
      </c>
      <c r="DU8" s="74">
        <f>VLOOKUP($H$8&amp;$F$1,'Input RM sheet'!$A:$ZZ,DT1,0)</f>
        <v>0</v>
      </c>
      <c r="DV8" s="74">
        <f>VLOOKUP($H$8&amp;$F$1,'Input RM sheet'!$A:$ZZ,DU1,0)</f>
        <v>0</v>
      </c>
      <c r="DW8" s="74">
        <f>VLOOKUP($H$8&amp;$F$1,'Input RM sheet'!$A:$ZZ,DV1,0)</f>
        <v>0</v>
      </c>
      <c r="DX8" s="74">
        <f>VLOOKUP($H$8&amp;$F$1,'Input RM sheet'!$A:$ZZ,DW1,0)</f>
        <v>0</v>
      </c>
      <c r="DY8" s="74">
        <f>VLOOKUP($H$8&amp;$F$1,'Input RM sheet'!$A:$ZZ,DX1,0)</f>
        <v>0</v>
      </c>
      <c r="DZ8" s="74">
        <f>VLOOKUP($H$8&amp;$F$1,'Input RM sheet'!$A:$ZZ,DY1,0)</f>
        <v>0</v>
      </c>
      <c r="EA8" s="74">
        <f>VLOOKUP($H$8&amp;$F$1,'Input RM sheet'!$A:$ZZ,DZ1,0)</f>
        <v>0</v>
      </c>
      <c r="EB8" s="74">
        <f>VLOOKUP($H$8&amp;$F$1,'Input RM sheet'!$A:$ZZ,EA1,0)</f>
        <v>0</v>
      </c>
      <c r="EC8" s="74">
        <f>VLOOKUP($H$8&amp;$F$1,'Input RM sheet'!$A:$ZZ,EB1,0)</f>
        <v>0</v>
      </c>
      <c r="ED8" s="74">
        <f>VLOOKUP($H$8&amp;$F$1,'Input RM sheet'!$A:$ZZ,EC1,0)</f>
        <v>0</v>
      </c>
      <c r="EE8" s="74">
        <f>VLOOKUP($H$8&amp;$F$1,'Input RM sheet'!$A:$ZZ,ED1,0)</f>
        <v>0</v>
      </c>
      <c r="EF8" s="74">
        <f>VLOOKUP($H$8&amp;$F$1,'Input RM sheet'!$A:$ZZ,EE1,0)</f>
        <v>0</v>
      </c>
      <c r="EG8" s="74">
        <f>VLOOKUP($H$8&amp;$F$1,'Input RM sheet'!$A:$ZZ,EF1,0)</f>
        <v>0</v>
      </c>
      <c r="EH8" s="74">
        <f>VLOOKUP($H$8&amp;$F$1,'Input RM sheet'!$A:$ZZ,EG1,0)</f>
        <v>0</v>
      </c>
      <c r="EI8" s="74">
        <f>VLOOKUP($H$8&amp;$F$1,'Input RM sheet'!$A:$ZZ,EH1,0)</f>
        <v>0</v>
      </c>
      <c r="EJ8" s="74">
        <f>VLOOKUP($H$8&amp;$F$1,'Input RM sheet'!$A:$ZZ,EI1,0)</f>
        <v>0</v>
      </c>
      <c r="EK8" s="74">
        <f>VLOOKUP($H$8&amp;$F$1,'Input RM sheet'!$A:$ZZ,EJ1,0)</f>
        <v>0</v>
      </c>
      <c r="EL8" s="74">
        <f>VLOOKUP($H$8&amp;$F$1,'Input RM sheet'!$A:$ZZ,EK1,0)</f>
        <v>0</v>
      </c>
      <c r="EM8" s="74">
        <f>VLOOKUP($H$8&amp;$F$1,'Input RM sheet'!$A:$ZZ,EL1,0)</f>
        <v>0</v>
      </c>
      <c r="EN8" s="74">
        <f>VLOOKUP($H$8&amp;$F$1,'Input RM sheet'!$A:$ZZ,EM1,0)</f>
        <v>0</v>
      </c>
      <c r="EO8" s="74" t="e" vm="1">
        <f>VLOOKUP($H$8&amp;$F$1,'Input RM sheet'!$A:$ZZ,EN1,0)</f>
        <v>#VALUE!</v>
      </c>
      <c r="EP8" s="74" t="e" vm="1">
        <f>VLOOKUP($H$8&amp;$F$1,'Input RM sheet'!$A:$ZZ,EO1,0)</f>
        <v>#VALUE!</v>
      </c>
      <c r="EQ8" s="74" t="e" vm="1">
        <f>VLOOKUP($H$8&amp;$F$1,'Input RM sheet'!$A:$ZZ,EP1,0)</f>
        <v>#VALUE!</v>
      </c>
      <c r="ER8" s="74" t="e" vm="1">
        <f>VLOOKUP($H$8&amp;$F$1,'Input RM sheet'!$A:$ZZ,EQ1,0)</f>
        <v>#VALUE!</v>
      </c>
      <c r="ES8" s="74" t="e" vm="1">
        <f>VLOOKUP($H$8&amp;$F$1,'Input RM sheet'!$A:$ZZ,ER1,0)</f>
        <v>#VALUE!</v>
      </c>
      <c r="ET8" s="74" t="e" vm="1">
        <f>VLOOKUP($H$8&amp;$F$1,'Input RM sheet'!$A:$ZZ,ES1,0)</f>
        <v>#VALUE!</v>
      </c>
    </row>
    <row r="9" spans="1:150">
      <c r="H9" s="107"/>
      <c r="I9" s="74"/>
      <c r="J9" s="74"/>
      <c r="K9" s="74"/>
      <c r="L9" s="74"/>
      <c r="M9" s="74"/>
      <c r="N9" s="74"/>
      <c r="O9" s="74"/>
      <c r="P9" s="74"/>
      <c r="Q9" s="74"/>
      <c r="R9" s="74"/>
      <c r="S9" s="74"/>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74"/>
      <c r="BG9" s="74"/>
      <c r="BH9" s="74"/>
      <c r="BI9" s="74"/>
      <c r="BJ9" s="74"/>
      <c r="BK9" s="74"/>
      <c r="BL9" s="74"/>
      <c r="BM9" s="74"/>
      <c r="BN9" s="74"/>
      <c r="BO9" s="74"/>
      <c r="BP9" s="74"/>
      <c r="BQ9" s="74"/>
      <c r="BR9" s="74"/>
      <c r="BS9" s="74"/>
      <c r="BT9" s="74"/>
      <c r="BU9" s="74"/>
      <c r="BV9" s="74"/>
      <c r="BW9" s="74"/>
      <c r="BX9" s="74"/>
      <c r="BY9" s="74"/>
      <c r="BZ9" s="74"/>
      <c r="CA9" s="74"/>
      <c r="CB9" s="74"/>
      <c r="CC9" s="74"/>
      <c r="CD9" s="74"/>
      <c r="CE9" s="74"/>
      <c r="CF9" s="74"/>
      <c r="CG9" s="74"/>
      <c r="CH9" s="74"/>
      <c r="CI9" s="74"/>
      <c r="CJ9" s="74"/>
      <c r="CK9" s="74"/>
      <c r="CL9" s="74"/>
      <c r="CM9" s="74"/>
      <c r="CN9" s="74"/>
      <c r="CO9" s="74"/>
      <c r="CP9" s="74"/>
      <c r="CQ9" s="74"/>
      <c r="CR9" s="74"/>
      <c r="CS9" s="74"/>
      <c r="CT9" s="74"/>
      <c r="CU9" s="74"/>
      <c r="CV9" s="74"/>
      <c r="CW9" s="74"/>
      <c r="CX9" s="74"/>
      <c r="CY9" s="74"/>
      <c r="CZ9" s="74"/>
      <c r="DA9" s="74"/>
      <c r="DB9" s="74"/>
      <c r="DC9" s="74"/>
      <c r="DD9" s="74"/>
      <c r="DE9" s="74"/>
      <c r="DF9" s="74"/>
      <c r="DG9" s="74"/>
      <c r="DH9" s="74"/>
      <c r="DI9" s="74"/>
      <c r="DJ9" s="74"/>
      <c r="DK9" s="74"/>
      <c r="DL9" s="74"/>
      <c r="DM9" s="74"/>
      <c r="DN9" s="74"/>
      <c r="DO9" s="74"/>
      <c r="DP9" s="74"/>
      <c r="DQ9" s="74"/>
      <c r="DR9" s="74"/>
      <c r="DS9" s="74"/>
      <c r="DT9" s="74"/>
      <c r="DU9" s="74"/>
      <c r="DV9" s="74"/>
      <c r="DW9" s="74"/>
      <c r="DX9" s="74"/>
      <c r="DY9" s="74"/>
      <c r="DZ9" s="74"/>
      <c r="EA9" s="74"/>
      <c r="EB9" s="74"/>
      <c r="EC9" s="74"/>
      <c r="ED9" s="74"/>
      <c r="EE9" s="74"/>
      <c r="EF9" s="74"/>
      <c r="EG9" s="74"/>
      <c r="EH9" s="74"/>
      <c r="EI9" s="74"/>
      <c r="EJ9" s="74"/>
      <c r="EK9" s="74"/>
      <c r="EL9" s="74"/>
      <c r="EM9" s="74"/>
      <c r="EN9" s="74"/>
      <c r="EO9" s="74"/>
      <c r="EP9" s="74"/>
      <c r="EQ9" s="74"/>
      <c r="ER9" s="74"/>
      <c r="ES9" s="74"/>
      <c r="ET9" s="74"/>
    </row>
    <row r="10" spans="1:150">
      <c r="H10" s="107"/>
      <c r="I10" s="74"/>
      <c r="J10" s="74"/>
      <c r="K10" s="74"/>
      <c r="L10" s="74"/>
      <c r="M10" s="74"/>
      <c r="N10" s="74"/>
      <c r="O10" s="7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c r="CE10" s="74"/>
      <c r="CF10" s="74"/>
      <c r="CG10" s="74"/>
      <c r="CH10" s="74"/>
      <c r="CI10" s="74"/>
      <c r="CJ10" s="74"/>
      <c r="CK10" s="74"/>
      <c r="CL10" s="74"/>
      <c r="CM10" s="74"/>
      <c r="CN10" s="74"/>
      <c r="CO10" s="74"/>
      <c r="CP10" s="74"/>
      <c r="CQ10" s="74"/>
      <c r="CR10" s="74"/>
      <c r="CS10" s="74"/>
      <c r="CT10" s="74"/>
      <c r="CU10" s="74"/>
      <c r="CV10" s="74"/>
      <c r="CW10" s="74"/>
      <c r="CX10" s="74"/>
      <c r="CY10" s="74"/>
      <c r="CZ10" s="74"/>
      <c r="DA10" s="74"/>
      <c r="DB10" s="74"/>
      <c r="DC10" s="74"/>
      <c r="DD10" s="74"/>
      <c r="DE10" s="74"/>
      <c r="DF10" s="74"/>
      <c r="DG10" s="74"/>
      <c r="DH10" s="74"/>
      <c r="DI10" s="74"/>
      <c r="DJ10" s="74"/>
      <c r="DK10" s="74"/>
      <c r="DL10" s="74"/>
      <c r="DM10" s="74"/>
      <c r="DN10" s="74"/>
      <c r="DO10" s="74"/>
      <c r="DP10" s="74"/>
      <c r="DQ10" s="74"/>
      <c r="DR10" s="74"/>
      <c r="DS10" s="74"/>
      <c r="DT10" s="74"/>
      <c r="DU10" s="74"/>
      <c r="DV10" s="74"/>
      <c r="DW10" s="74"/>
      <c r="DX10" s="74"/>
      <c r="DY10" s="74"/>
      <c r="DZ10" s="74"/>
      <c r="EA10" s="74"/>
      <c r="EB10" s="74"/>
      <c r="EC10" s="74"/>
      <c r="ED10" s="74"/>
      <c r="EE10" s="74"/>
      <c r="EF10" s="74"/>
      <c r="EG10" s="74"/>
      <c r="EH10" s="74"/>
      <c r="EI10" s="74"/>
      <c r="EJ10" s="74"/>
      <c r="EK10" s="74"/>
      <c r="EL10" s="74"/>
      <c r="EM10" s="74"/>
      <c r="EN10" s="74"/>
      <c r="EO10" s="74"/>
      <c r="EP10" s="74"/>
      <c r="EQ10" s="74"/>
      <c r="ER10" s="74"/>
      <c r="ES10" s="74"/>
      <c r="ET10" s="74"/>
    </row>
    <row r="11" spans="1:150">
      <c r="H11" s="107"/>
      <c r="I11" s="74"/>
      <c r="J11" s="74"/>
      <c r="K11" s="74"/>
      <c r="L11" s="74"/>
      <c r="M11" s="74"/>
      <c r="N11" s="74"/>
      <c r="O11" s="74"/>
      <c r="P11" s="74"/>
      <c r="Q11" s="74"/>
      <c r="R11" s="74"/>
      <c r="S11" s="74"/>
      <c r="T11" s="74"/>
      <c r="U11" s="74"/>
      <c r="V11" s="74"/>
      <c r="W11" s="74"/>
      <c r="X11" s="74"/>
      <c r="Y11" s="74"/>
      <c r="Z11" s="74"/>
      <c r="AA11" s="74"/>
      <c r="AB11" s="74"/>
      <c r="AC11" s="74"/>
      <c r="AD11" s="74"/>
      <c r="AE11" s="74"/>
      <c r="AF11" s="74"/>
      <c r="AG11" s="74"/>
      <c r="AH11" s="74"/>
      <c r="AI11" s="74"/>
      <c r="AJ11" s="74"/>
      <c r="AK11" s="74"/>
      <c r="AL11" s="74"/>
      <c r="AM11" s="74"/>
      <c r="AN11" s="74"/>
      <c r="AO11" s="74"/>
      <c r="AP11" s="74"/>
      <c r="AQ11" s="74"/>
      <c r="AR11" s="74"/>
      <c r="AS11" s="74"/>
      <c r="AT11" s="74"/>
      <c r="AU11" s="74"/>
      <c r="AV11" s="74"/>
      <c r="AW11" s="74"/>
      <c r="AX11" s="74"/>
      <c r="AY11" s="74"/>
      <c r="AZ11" s="74"/>
      <c r="BA11" s="74"/>
      <c r="BB11" s="74"/>
      <c r="BC11" s="74"/>
      <c r="BD11" s="74"/>
      <c r="BE11" s="74"/>
      <c r="BF11" s="74"/>
      <c r="BG11" s="74"/>
      <c r="BH11" s="74"/>
      <c r="BI11" s="74"/>
      <c r="BJ11" s="74"/>
      <c r="BK11" s="74"/>
      <c r="BL11" s="74"/>
      <c r="BM11" s="74"/>
      <c r="BN11" s="74"/>
      <c r="BO11" s="74"/>
      <c r="BP11" s="74"/>
      <c r="BQ11" s="74"/>
      <c r="BR11" s="74"/>
      <c r="BS11" s="74"/>
      <c r="BT11" s="74"/>
      <c r="BU11" s="74"/>
      <c r="BV11" s="74"/>
      <c r="BW11" s="74"/>
      <c r="BX11" s="74"/>
      <c r="BY11" s="74"/>
      <c r="BZ11" s="74"/>
      <c r="CA11" s="74"/>
      <c r="CB11" s="74"/>
      <c r="CC11" s="74"/>
      <c r="CD11" s="74"/>
      <c r="CE11" s="74"/>
      <c r="CF11" s="74"/>
      <c r="CG11" s="74"/>
      <c r="CH11" s="74"/>
      <c r="CI11" s="74"/>
      <c r="CJ11" s="74"/>
      <c r="CK11" s="74"/>
      <c r="CL11" s="74"/>
      <c r="CM11" s="74"/>
      <c r="CN11" s="74"/>
      <c r="CO11" s="74"/>
      <c r="CP11" s="74"/>
      <c r="CQ11" s="74"/>
      <c r="CR11" s="74"/>
      <c r="CS11" s="74"/>
      <c r="CT11" s="74"/>
      <c r="CU11" s="74"/>
      <c r="CV11" s="74"/>
      <c r="CW11" s="74"/>
      <c r="CX11" s="74"/>
      <c r="CY11" s="74"/>
      <c r="CZ11" s="74"/>
      <c r="DA11" s="74"/>
      <c r="DB11" s="74"/>
      <c r="DC11" s="74"/>
      <c r="DD11" s="74"/>
      <c r="DE11" s="74"/>
      <c r="DF11" s="74"/>
      <c r="DG11" s="74"/>
      <c r="DH11" s="74"/>
      <c r="DI11" s="74"/>
      <c r="DJ11" s="74"/>
      <c r="DK11" s="74"/>
      <c r="DL11" s="74"/>
      <c r="DM11" s="74"/>
      <c r="DN11" s="74"/>
      <c r="DO11" s="74"/>
      <c r="DP11" s="74"/>
      <c r="DQ11" s="74"/>
      <c r="DR11" s="74"/>
      <c r="DS11" s="74"/>
      <c r="DT11" s="74"/>
      <c r="DU11" s="74"/>
      <c r="DV11" s="74"/>
      <c r="DW11" s="74"/>
      <c r="DX11" s="74"/>
      <c r="DY11" s="74"/>
      <c r="DZ11" s="74"/>
      <c r="EA11" s="74"/>
      <c r="EB11" s="74"/>
      <c r="EC11" s="74"/>
      <c r="ED11" s="74"/>
      <c r="EE11" s="74"/>
      <c r="EF11" s="74"/>
      <c r="EG11" s="74"/>
      <c r="EH11" s="74"/>
      <c r="EI11" s="74"/>
      <c r="EJ11" s="74"/>
      <c r="EK11" s="74"/>
      <c r="EL11" s="74"/>
      <c r="EM11" s="74"/>
      <c r="EN11" s="74"/>
      <c r="EO11" s="74"/>
      <c r="EP11" s="74"/>
      <c r="EQ11" s="74"/>
      <c r="ER11" s="74"/>
      <c r="ES11" s="74"/>
      <c r="ET11" s="74"/>
    </row>
    <row r="12" spans="1:150" ht="13">
      <c r="A12" s="59" t="s">
        <v>395</v>
      </c>
      <c r="B12" s="59"/>
      <c r="C12" s="59" t="s">
        <v>379</v>
      </c>
      <c r="D12" s="98" t="s">
        <v>380</v>
      </c>
      <c r="E12" s="98" t="s">
        <v>381</v>
      </c>
      <c r="F12" s="59" t="s">
        <v>396</v>
      </c>
      <c r="H12" s="107"/>
      <c r="I12" s="84"/>
      <c r="J12" s="84"/>
      <c r="K12" s="84"/>
      <c r="L12" s="84"/>
      <c r="M12" s="84"/>
      <c r="N12" s="84"/>
      <c r="O12" s="84"/>
      <c r="P12" s="84"/>
      <c r="Q12" s="84"/>
      <c r="R12" s="84"/>
      <c r="S12" s="84"/>
      <c r="T12" s="84"/>
      <c r="U12" s="84"/>
      <c r="V12" s="84"/>
      <c r="W12" s="84"/>
      <c r="X12" s="84"/>
      <c r="Y12" s="84"/>
      <c r="Z12" s="84"/>
      <c r="AA12" s="84"/>
      <c r="AB12" s="84"/>
      <c r="AC12" s="84"/>
      <c r="AD12" s="84"/>
      <c r="AE12" s="84"/>
      <c r="AF12" s="84"/>
      <c r="AG12" s="84"/>
      <c r="AH12" s="84"/>
      <c r="AI12" s="84"/>
      <c r="AJ12" s="84"/>
      <c r="AK12" s="84"/>
      <c r="AL12" s="84"/>
      <c r="AM12" s="84"/>
      <c r="AN12" s="84"/>
      <c r="AO12" s="84"/>
      <c r="AP12" s="84"/>
      <c r="AQ12" s="84"/>
      <c r="AR12" s="84"/>
      <c r="AS12" s="84"/>
      <c r="AT12" s="84"/>
      <c r="AU12" s="84"/>
      <c r="AV12" s="84"/>
      <c r="AW12" s="84"/>
      <c r="AX12" s="84"/>
      <c r="AY12" s="84"/>
      <c r="AZ12" s="84"/>
      <c r="BA12" s="84"/>
      <c r="BB12" s="84"/>
      <c r="BC12" s="84"/>
      <c r="BD12" s="84"/>
      <c r="BE12" s="84"/>
      <c r="BF12" s="84"/>
      <c r="BG12" s="84"/>
      <c r="BH12" s="84"/>
      <c r="BI12" s="84"/>
      <c r="BJ12" s="84"/>
      <c r="BK12" s="84"/>
      <c r="BL12" s="84"/>
      <c r="BM12" s="84"/>
      <c r="BN12" s="84"/>
      <c r="BO12" s="84"/>
      <c r="BP12" s="84"/>
      <c r="BQ12" s="84"/>
      <c r="BR12" s="84"/>
      <c r="BS12" s="84"/>
      <c r="BT12" s="84"/>
      <c r="BU12" s="84"/>
      <c r="BV12" s="84"/>
      <c r="BW12" s="84"/>
      <c r="BX12" s="84"/>
      <c r="BY12" s="84"/>
      <c r="BZ12" s="84"/>
      <c r="CA12" s="84"/>
      <c r="CB12" s="84"/>
      <c r="CC12" s="84"/>
      <c r="CD12" s="84"/>
      <c r="CE12" s="84"/>
      <c r="CF12" s="84"/>
      <c r="CG12" s="84"/>
      <c r="CH12" s="84"/>
      <c r="CI12" s="84"/>
      <c r="CJ12" s="84"/>
      <c r="CK12" s="84"/>
      <c r="CL12" s="84"/>
      <c r="CM12" s="84"/>
      <c r="CN12" s="84"/>
      <c r="CO12" s="84"/>
      <c r="CP12" s="84"/>
      <c r="CQ12" s="84"/>
      <c r="CR12" s="84"/>
      <c r="CS12" s="84"/>
      <c r="CT12" s="84"/>
      <c r="CU12" s="84"/>
      <c r="CV12" s="84"/>
      <c r="CW12" s="84"/>
      <c r="CX12" s="84"/>
      <c r="CY12" s="84"/>
      <c r="CZ12" s="84"/>
      <c r="DA12" s="84"/>
      <c r="DB12" s="84"/>
      <c r="DC12" s="84"/>
      <c r="DD12" s="84"/>
      <c r="DE12" s="84"/>
      <c r="DF12" s="84"/>
      <c r="DG12" s="84"/>
      <c r="DH12" s="84"/>
      <c r="DI12" s="84"/>
      <c r="DJ12" s="84"/>
      <c r="DK12" s="84"/>
      <c r="DL12" s="84"/>
      <c r="DM12" s="84"/>
      <c r="DN12" s="84"/>
      <c r="DO12" s="84"/>
      <c r="DP12" s="84"/>
      <c r="DQ12" s="84"/>
      <c r="DR12" s="84"/>
      <c r="DS12" s="84"/>
      <c r="DT12" s="84"/>
      <c r="DU12" s="84"/>
      <c r="DV12" s="84"/>
      <c r="DW12" s="84"/>
      <c r="DX12" s="84"/>
      <c r="DY12" s="84"/>
      <c r="DZ12" s="84"/>
      <c r="EA12" s="84"/>
      <c r="EB12" s="84"/>
      <c r="EC12" s="84"/>
      <c r="ED12" s="84"/>
      <c r="EE12" s="84"/>
      <c r="EF12" s="84"/>
      <c r="EG12" s="84"/>
      <c r="EH12" s="84"/>
      <c r="EI12" s="84"/>
      <c r="EJ12" s="84"/>
      <c r="EK12" s="84"/>
      <c r="EL12" s="84"/>
      <c r="EM12" s="84"/>
      <c r="EN12" s="84"/>
      <c r="EO12" s="84"/>
      <c r="EP12" s="84"/>
      <c r="EQ12" s="84"/>
      <c r="ER12" s="84"/>
      <c r="ES12" s="84"/>
      <c r="ET12" s="84"/>
    </row>
    <row r="13" spans="1:150" ht="13">
      <c r="A13" s="107" t="s">
        <v>397</v>
      </c>
      <c r="B13" s="107" t="s">
        <v>301</v>
      </c>
      <c r="C13" s="60">
        <v>1</v>
      </c>
      <c r="D13" s="65">
        <v>94.11</v>
      </c>
      <c r="E13" s="60">
        <f>D13*C13</f>
        <v>94.11</v>
      </c>
      <c r="F13" s="328">
        <v>1.2</v>
      </c>
      <c r="H13" s="60" t="s">
        <v>399</v>
      </c>
      <c r="I13" s="74">
        <f>$F$13*(I8/1000)</f>
        <v>1.038</v>
      </c>
      <c r="J13" s="74">
        <f t="shared" ref="J13:BU13" si="0">$F$13*(J8/1000)</f>
        <v>1.1040000000000001</v>
      </c>
      <c r="K13" s="74">
        <f t="shared" si="0"/>
        <v>0.95399999999999996</v>
      </c>
      <c r="L13" s="74">
        <f t="shared" si="0"/>
        <v>0.79800000000000004</v>
      </c>
      <c r="M13" s="74">
        <f t="shared" si="0"/>
        <v>0.84</v>
      </c>
      <c r="N13" s="74">
        <f t="shared" si="0"/>
        <v>1.008</v>
      </c>
      <c r="O13" s="74">
        <f t="shared" si="0"/>
        <v>0.75600000000000001</v>
      </c>
      <c r="P13" s="74">
        <f t="shared" si="0"/>
        <v>0.75</v>
      </c>
      <c r="Q13" s="74">
        <f t="shared" si="0"/>
        <v>0.75</v>
      </c>
      <c r="R13" s="74">
        <f t="shared" si="0"/>
        <v>0.77400000000000002</v>
      </c>
      <c r="S13" s="74">
        <f t="shared" si="0"/>
        <v>0.89999999999999991</v>
      </c>
      <c r="T13" s="74">
        <f t="shared" si="0"/>
        <v>1.02</v>
      </c>
      <c r="U13" s="74">
        <f t="shared" si="0"/>
        <v>1.05</v>
      </c>
      <c r="V13" s="74">
        <f t="shared" si="0"/>
        <v>1.1100000000000001</v>
      </c>
      <c r="W13" s="74">
        <f t="shared" si="0"/>
        <v>1.38</v>
      </c>
      <c r="X13" s="74">
        <f t="shared" si="0"/>
        <v>1.44</v>
      </c>
      <c r="Y13" s="74">
        <f t="shared" si="0"/>
        <v>1.56</v>
      </c>
      <c r="Z13" s="74">
        <f t="shared" si="0"/>
        <v>1.38</v>
      </c>
      <c r="AA13" s="74">
        <f t="shared" si="0"/>
        <v>1.476</v>
      </c>
      <c r="AB13" s="74">
        <f t="shared" si="0"/>
        <v>1.458</v>
      </c>
      <c r="AC13" s="74">
        <f t="shared" si="0"/>
        <v>1.71</v>
      </c>
      <c r="AD13" s="74">
        <f t="shared" si="0"/>
        <v>1.65</v>
      </c>
      <c r="AE13" s="74">
        <f t="shared" si="0"/>
        <v>1.5</v>
      </c>
      <c r="AF13" s="74">
        <f t="shared" si="0"/>
        <v>1.47</v>
      </c>
      <c r="AG13" s="74">
        <f t="shared" si="0"/>
        <v>1.77</v>
      </c>
      <c r="AH13" s="74">
        <f t="shared" si="0"/>
        <v>1.794</v>
      </c>
      <c r="AI13" s="74">
        <f t="shared" si="0"/>
        <v>1.8659999999999999</v>
      </c>
      <c r="AJ13" s="74">
        <f t="shared" si="0"/>
        <v>1.746</v>
      </c>
      <c r="AK13" s="74">
        <f t="shared" si="0"/>
        <v>1.71</v>
      </c>
      <c r="AL13" s="74">
        <f t="shared" si="0"/>
        <v>1.77</v>
      </c>
      <c r="AM13" s="74">
        <f t="shared" si="0"/>
        <v>1.47</v>
      </c>
      <c r="AN13" s="74">
        <f t="shared" si="0"/>
        <v>1.4159999999999999</v>
      </c>
      <c r="AO13" s="74">
        <f t="shared" si="0"/>
        <v>1.488</v>
      </c>
      <c r="AP13" s="74">
        <f t="shared" si="0"/>
        <v>1.4279999999999999</v>
      </c>
      <c r="AQ13" s="74">
        <f t="shared" si="0"/>
        <v>1.2899999999999998</v>
      </c>
      <c r="AR13" s="74">
        <f t="shared" si="0"/>
        <v>1.1459999999999999</v>
      </c>
      <c r="AS13" s="74">
        <f t="shared" si="0"/>
        <v>1.0920000000000001</v>
      </c>
      <c r="AT13" s="74">
        <f t="shared" si="0"/>
        <v>1.2</v>
      </c>
      <c r="AU13" s="74">
        <f t="shared" si="0"/>
        <v>1.1279999999999999</v>
      </c>
      <c r="AV13" s="74">
        <f t="shared" si="0"/>
        <v>1.08</v>
      </c>
      <c r="AW13" s="74">
        <f t="shared" si="0"/>
        <v>1.056</v>
      </c>
      <c r="AX13" s="74">
        <f t="shared" si="0"/>
        <v>0.87</v>
      </c>
      <c r="AY13" s="74">
        <f t="shared" si="0"/>
        <v>0.87</v>
      </c>
      <c r="AZ13" s="74">
        <f t="shared" si="0"/>
        <v>0.87</v>
      </c>
      <c r="BA13" s="74">
        <f t="shared" si="0"/>
        <v>0.87</v>
      </c>
      <c r="BB13" s="74">
        <f t="shared" si="0"/>
        <v>0.98999999999999988</v>
      </c>
      <c r="BC13" s="74">
        <f t="shared" si="0"/>
        <v>0.98999999999999988</v>
      </c>
      <c r="BD13" s="74">
        <f t="shared" si="0"/>
        <v>1.1724479999999999</v>
      </c>
      <c r="BE13" s="74">
        <f t="shared" si="0"/>
        <v>1.1100000000000001</v>
      </c>
      <c r="BF13" s="74">
        <f t="shared" si="0"/>
        <v>1.1100000000000001</v>
      </c>
      <c r="BG13" s="74">
        <f t="shared" si="0"/>
        <v>1.1100000000000001</v>
      </c>
      <c r="BH13" s="74">
        <f t="shared" si="0"/>
        <v>1.26</v>
      </c>
      <c r="BI13" s="74">
        <f t="shared" si="0"/>
        <v>1.26</v>
      </c>
      <c r="BJ13" s="74">
        <f t="shared" si="0"/>
        <v>1.26</v>
      </c>
      <c r="BK13" s="74">
        <f t="shared" si="0"/>
        <v>1.2899999999999998</v>
      </c>
      <c r="BL13" s="74">
        <f t="shared" si="0"/>
        <v>1.2899999999999998</v>
      </c>
      <c r="BM13" s="74">
        <f t="shared" si="0"/>
        <v>1.2899999999999998</v>
      </c>
      <c r="BN13" s="74">
        <f t="shared" si="0"/>
        <v>1.17</v>
      </c>
      <c r="BO13" s="74">
        <f t="shared" si="0"/>
        <v>1.1100000000000001</v>
      </c>
      <c r="BP13" s="74">
        <f t="shared" si="0"/>
        <v>1.1100000000000001</v>
      </c>
      <c r="BQ13" s="74">
        <f t="shared" si="0"/>
        <v>1.1100000000000001</v>
      </c>
      <c r="BR13" s="74">
        <f t="shared" si="0"/>
        <v>1.1100000000000001</v>
      </c>
      <c r="BS13" s="74">
        <f t="shared" si="0"/>
        <v>1.1100000000000001</v>
      </c>
      <c r="BT13" s="74">
        <f t="shared" si="0"/>
        <v>1.1100000000000001</v>
      </c>
      <c r="BU13" s="74">
        <f t="shared" si="0"/>
        <v>1.0860000000000001</v>
      </c>
      <c r="BV13" s="74">
        <f t="shared" ref="BV13:EG13" si="1">$F$13*(BV8/1000)</f>
        <v>1.0860000000000001</v>
      </c>
      <c r="BW13" s="74">
        <f t="shared" si="1"/>
        <v>1.0860000000000001</v>
      </c>
      <c r="BX13" s="74">
        <f t="shared" si="1"/>
        <v>1.0860000000000001</v>
      </c>
      <c r="BY13" s="74">
        <f t="shared" si="1"/>
        <v>1.0860000000000001</v>
      </c>
      <c r="BZ13" s="74">
        <f t="shared" si="1"/>
        <v>1.038</v>
      </c>
      <c r="CA13" s="74">
        <f t="shared" si="1"/>
        <v>1.038</v>
      </c>
      <c r="CB13" s="74">
        <f t="shared" si="1"/>
        <v>1.038</v>
      </c>
      <c r="CC13" s="74">
        <f t="shared" si="1"/>
        <v>1.1279999999999999</v>
      </c>
      <c r="CD13" s="74">
        <f t="shared" si="1"/>
        <v>1.1279999999999999</v>
      </c>
      <c r="CE13" s="74">
        <f t="shared" si="1"/>
        <v>1.1279999999999999</v>
      </c>
      <c r="CF13" s="74">
        <f t="shared" si="1"/>
        <v>1.1279999999999999</v>
      </c>
      <c r="CG13" s="74">
        <f t="shared" si="1"/>
        <v>1.1279999999999999</v>
      </c>
      <c r="CH13" s="74">
        <f t="shared" si="1"/>
        <v>1.0920000000000001</v>
      </c>
      <c r="CI13" s="74">
        <f t="shared" si="1"/>
        <v>1.0920000000000001</v>
      </c>
      <c r="CJ13" s="74">
        <f t="shared" si="1"/>
        <v>1.0920000000000001</v>
      </c>
      <c r="CK13" s="74">
        <f t="shared" si="1"/>
        <v>1.0920000000000001</v>
      </c>
      <c r="CL13" s="74">
        <f t="shared" si="1"/>
        <v>1.1339999999999999</v>
      </c>
      <c r="CM13" s="74">
        <f t="shared" si="1"/>
        <v>1.1339999999999999</v>
      </c>
      <c r="CN13" s="74">
        <f t="shared" si="1"/>
        <v>1.1339999999999999</v>
      </c>
      <c r="CO13" s="74">
        <f t="shared" si="1"/>
        <v>1.1339999999999999</v>
      </c>
      <c r="CP13" s="74">
        <f t="shared" si="1"/>
        <v>1.1339999999999999</v>
      </c>
      <c r="CQ13" s="74">
        <f t="shared" si="1"/>
        <v>1.1339999999999999</v>
      </c>
      <c r="CR13" s="74">
        <f t="shared" si="1"/>
        <v>1.0920000000000001</v>
      </c>
      <c r="CS13" s="74">
        <f t="shared" si="1"/>
        <v>1.0920000000000001</v>
      </c>
      <c r="CT13" s="74">
        <f t="shared" si="1"/>
        <v>1.0920000000000001</v>
      </c>
      <c r="CU13" s="74">
        <f t="shared" si="1"/>
        <v>1.1160000000000001</v>
      </c>
      <c r="CV13" s="74">
        <f t="shared" si="1"/>
        <v>1.1160000000000001</v>
      </c>
      <c r="CW13" s="74">
        <f t="shared" si="1"/>
        <v>1.1160000000000001</v>
      </c>
      <c r="CX13" s="74">
        <f t="shared" si="1"/>
        <v>1.1160000000000001</v>
      </c>
      <c r="CY13" s="74">
        <f t="shared" si="1"/>
        <v>1.1639999999999999</v>
      </c>
      <c r="CZ13" s="74">
        <f t="shared" si="1"/>
        <v>1.2179999999999997</v>
      </c>
      <c r="DA13" s="74">
        <f t="shared" si="1"/>
        <v>1.2179999999999997</v>
      </c>
      <c r="DB13" s="74">
        <f t="shared" si="1"/>
        <v>1.212</v>
      </c>
      <c r="DC13" s="74">
        <f t="shared" si="1"/>
        <v>1.3080000000000001</v>
      </c>
      <c r="DD13" s="74">
        <f t="shared" si="1"/>
        <v>1.3080000000000001</v>
      </c>
      <c r="DE13" s="74">
        <f t="shared" si="1"/>
        <v>1.3080000000000001</v>
      </c>
      <c r="DF13" s="74">
        <f t="shared" si="1"/>
        <v>1.2299999999999998</v>
      </c>
      <c r="DG13" s="74">
        <f t="shared" si="1"/>
        <v>1.2299999999999998</v>
      </c>
      <c r="DH13" s="74">
        <f t="shared" si="1"/>
        <v>1.1819999999999999</v>
      </c>
      <c r="DI13" s="74">
        <f t="shared" si="1"/>
        <v>1.1459999999999999</v>
      </c>
      <c r="DJ13" s="74">
        <f t="shared" si="1"/>
        <v>1.0860000000000001</v>
      </c>
      <c r="DK13" s="74">
        <f t="shared" si="1"/>
        <v>1.0740000000000001</v>
      </c>
      <c r="DL13" s="74">
        <f t="shared" si="1"/>
        <v>1.0740000000000001</v>
      </c>
      <c r="DM13" s="74">
        <f t="shared" si="1"/>
        <v>1.08</v>
      </c>
      <c r="DN13" s="74">
        <f t="shared" si="1"/>
        <v>1.0920000000000001</v>
      </c>
      <c r="DO13" s="74">
        <f t="shared" si="1"/>
        <v>1.0740000000000001</v>
      </c>
      <c r="DP13" s="74">
        <f t="shared" si="1"/>
        <v>1.0740000000000001</v>
      </c>
      <c r="DQ13" s="74">
        <f t="shared" si="1"/>
        <v>1.08</v>
      </c>
      <c r="DR13" s="74">
        <f t="shared" si="1"/>
        <v>1.08</v>
      </c>
      <c r="DS13" s="74">
        <f t="shared" si="1"/>
        <v>1.08</v>
      </c>
      <c r="DT13" s="74">
        <f t="shared" si="1"/>
        <v>0</v>
      </c>
      <c r="DU13" s="74">
        <f t="shared" si="1"/>
        <v>0</v>
      </c>
      <c r="DV13" s="74">
        <f t="shared" si="1"/>
        <v>0</v>
      </c>
      <c r="DW13" s="74">
        <f t="shared" si="1"/>
        <v>0</v>
      </c>
      <c r="DX13" s="74">
        <f t="shared" si="1"/>
        <v>0</v>
      </c>
      <c r="DY13" s="74">
        <f t="shared" si="1"/>
        <v>0</v>
      </c>
      <c r="DZ13" s="74">
        <f t="shared" si="1"/>
        <v>0</v>
      </c>
      <c r="EA13" s="74">
        <f t="shared" si="1"/>
        <v>0</v>
      </c>
      <c r="EB13" s="74">
        <f t="shared" si="1"/>
        <v>0</v>
      </c>
      <c r="EC13" s="74">
        <f t="shared" si="1"/>
        <v>0</v>
      </c>
      <c r="ED13" s="74">
        <f t="shared" si="1"/>
        <v>0</v>
      </c>
      <c r="EE13" s="74">
        <f t="shared" si="1"/>
        <v>0</v>
      </c>
      <c r="EF13" s="74">
        <f t="shared" si="1"/>
        <v>0</v>
      </c>
      <c r="EG13" s="74">
        <f t="shared" si="1"/>
        <v>0</v>
      </c>
      <c r="EH13" s="74">
        <f t="shared" ref="EH13:ET13" si="2">$F$13*(EH8/1000)</f>
        <v>0</v>
      </c>
      <c r="EI13" s="74">
        <f t="shared" si="2"/>
        <v>0</v>
      </c>
      <c r="EJ13" s="74">
        <f t="shared" si="2"/>
        <v>0</v>
      </c>
      <c r="EK13" s="74">
        <f t="shared" si="2"/>
        <v>0</v>
      </c>
      <c r="EL13" s="74">
        <f t="shared" si="2"/>
        <v>0</v>
      </c>
      <c r="EM13" s="74">
        <f t="shared" si="2"/>
        <v>0</v>
      </c>
      <c r="EN13" s="74">
        <f t="shared" si="2"/>
        <v>0</v>
      </c>
      <c r="EO13" s="74" t="e" vm="2">
        <f t="shared" si="2"/>
        <v>#VALUE!</v>
      </c>
      <c r="EP13" s="74" t="e" vm="2">
        <f t="shared" si="2"/>
        <v>#VALUE!</v>
      </c>
      <c r="EQ13" s="74" t="e" vm="2">
        <f t="shared" si="2"/>
        <v>#VALUE!</v>
      </c>
      <c r="ER13" s="74" t="e" vm="2">
        <f t="shared" si="2"/>
        <v>#VALUE!</v>
      </c>
      <c r="ES13" s="74" t="e" vm="2">
        <f t="shared" si="2"/>
        <v>#VALUE!</v>
      </c>
      <c r="ET13" s="74" t="e" vm="2">
        <f t="shared" si="2"/>
        <v>#VALUE!</v>
      </c>
    </row>
    <row r="14" spans="1:150">
      <c r="A14" s="67"/>
      <c r="B14" s="107"/>
      <c r="D14" s="77"/>
      <c r="F14" s="328"/>
      <c r="I14" s="74"/>
      <c r="J14" s="74"/>
      <c r="K14" s="74"/>
      <c r="L14" s="74"/>
      <c r="M14" s="74"/>
      <c r="N14" s="74"/>
      <c r="O14" s="74"/>
      <c r="P14" s="74"/>
      <c r="Q14" s="74"/>
      <c r="R14" s="74"/>
      <c r="S14" s="74"/>
      <c r="T14" s="74"/>
      <c r="U14" s="74"/>
      <c r="V14" s="74"/>
      <c r="W14" s="74"/>
      <c r="X14" s="74"/>
      <c r="Y14" s="74"/>
      <c r="Z14" s="74"/>
      <c r="AA14" s="74"/>
      <c r="AB14" s="74"/>
      <c r="AC14" s="74"/>
      <c r="AD14" s="74"/>
      <c r="AE14" s="74"/>
      <c r="AF14" s="74"/>
      <c r="AG14" s="74"/>
      <c r="AH14" s="74"/>
      <c r="AI14" s="74"/>
      <c r="AJ14" s="74"/>
      <c r="AK14" s="74"/>
      <c r="AL14" s="74"/>
      <c r="AM14" s="74"/>
      <c r="AN14" s="74"/>
      <c r="AO14" s="74"/>
      <c r="AP14" s="74"/>
      <c r="AQ14" s="74"/>
      <c r="AR14" s="74"/>
      <c r="AS14" s="74"/>
      <c r="AT14" s="74"/>
      <c r="AU14" s="74"/>
      <c r="AV14" s="74"/>
      <c r="AW14" s="74"/>
      <c r="AX14" s="74"/>
      <c r="AY14" s="74"/>
      <c r="AZ14" s="74"/>
      <c r="BA14" s="74"/>
      <c r="BB14" s="74"/>
      <c r="BC14" s="74"/>
      <c r="BD14" s="74"/>
      <c r="BE14" s="74"/>
      <c r="BF14" s="74"/>
      <c r="BG14" s="74"/>
      <c r="BH14" s="74"/>
      <c r="BI14" s="74"/>
      <c r="BJ14" s="74"/>
      <c r="BK14" s="74"/>
      <c r="BL14" s="74"/>
      <c r="BM14" s="74"/>
      <c r="BN14" s="74"/>
      <c r="BO14" s="74"/>
      <c r="BP14" s="74"/>
      <c r="BQ14" s="74"/>
      <c r="BR14" s="74"/>
      <c r="BS14" s="74"/>
      <c r="BT14" s="74"/>
      <c r="BU14" s="74"/>
      <c r="BV14" s="74"/>
      <c r="BW14" s="74"/>
      <c r="BX14" s="74"/>
      <c r="BY14" s="74"/>
      <c r="BZ14" s="74"/>
      <c r="CA14" s="74"/>
      <c r="CB14" s="74"/>
      <c r="CC14" s="74"/>
      <c r="CD14" s="74"/>
      <c r="CE14" s="74"/>
      <c r="CF14" s="74"/>
      <c r="CG14" s="74"/>
      <c r="CH14" s="74"/>
      <c r="CI14" s="74"/>
      <c r="CJ14" s="74"/>
      <c r="CK14" s="74"/>
      <c r="CL14" s="74"/>
      <c r="CM14" s="74"/>
      <c r="CN14" s="74"/>
      <c r="CO14" s="74"/>
      <c r="CP14" s="74"/>
      <c r="CQ14" s="74"/>
      <c r="CR14" s="74"/>
      <c r="CS14" s="74"/>
      <c r="CT14" s="74"/>
      <c r="CU14" s="74"/>
      <c r="CV14" s="74"/>
      <c r="CW14" s="74"/>
      <c r="CX14" s="74"/>
      <c r="CY14" s="74"/>
      <c r="CZ14" s="74"/>
      <c r="DA14" s="74"/>
      <c r="DB14" s="74"/>
      <c r="DC14" s="74"/>
      <c r="DD14" s="74"/>
      <c r="DE14" s="74"/>
      <c r="DF14" s="74"/>
      <c r="DG14" s="74"/>
      <c r="DH14" s="74"/>
      <c r="DI14" s="74"/>
      <c r="DJ14" s="74"/>
      <c r="DK14" s="74"/>
      <c r="DL14" s="74"/>
      <c r="DM14" s="74"/>
      <c r="DN14" s="74"/>
      <c r="DO14" s="74"/>
      <c r="DP14" s="74"/>
      <c r="DQ14" s="74"/>
      <c r="DR14" s="74"/>
      <c r="DS14" s="74"/>
      <c r="DT14" s="74"/>
      <c r="DU14" s="74"/>
      <c r="DV14" s="74"/>
      <c r="DW14" s="74"/>
      <c r="DX14" s="74"/>
      <c r="DY14" s="74"/>
      <c r="DZ14" s="74"/>
      <c r="EA14" s="74"/>
      <c r="EB14" s="74"/>
      <c r="EC14" s="74"/>
      <c r="ED14" s="74"/>
      <c r="EE14" s="74"/>
      <c r="EF14" s="74"/>
      <c r="EG14" s="74"/>
      <c r="EH14" s="74"/>
      <c r="EI14" s="74"/>
      <c r="EJ14" s="74"/>
      <c r="EK14" s="74"/>
      <c r="EL14" s="74"/>
      <c r="EM14" s="74"/>
      <c r="EN14" s="74"/>
      <c r="EO14" s="74"/>
      <c r="EP14" s="74"/>
      <c r="EQ14" s="74"/>
      <c r="ER14" s="74"/>
      <c r="ES14" s="74"/>
      <c r="ET14" s="74"/>
    </row>
    <row r="15" spans="1:150">
      <c r="A15" s="67"/>
      <c r="B15" s="107"/>
      <c r="D15" s="77"/>
      <c r="F15" s="328"/>
      <c r="I15" s="74"/>
      <c r="J15" s="74"/>
      <c r="K15" s="74"/>
      <c r="L15" s="74"/>
      <c r="M15" s="74"/>
      <c r="N15" s="74"/>
      <c r="O15" s="74"/>
      <c r="P15" s="74"/>
      <c r="Q15" s="74"/>
      <c r="R15" s="74"/>
      <c r="S15" s="74"/>
      <c r="T15" s="74"/>
      <c r="U15" s="74"/>
      <c r="V15" s="74"/>
      <c r="W15" s="74"/>
      <c r="X15" s="74"/>
      <c r="Y15" s="74"/>
      <c r="Z15" s="74"/>
      <c r="AA15" s="74"/>
      <c r="AB15" s="74"/>
      <c r="AC15" s="74"/>
      <c r="AD15" s="74"/>
      <c r="AE15" s="74"/>
      <c r="AF15" s="74"/>
      <c r="AG15" s="74"/>
      <c r="AH15" s="74"/>
      <c r="AI15" s="74"/>
      <c r="AJ15" s="74"/>
      <c r="AK15" s="74"/>
      <c r="AL15" s="74"/>
      <c r="AM15" s="74"/>
      <c r="AN15" s="74"/>
      <c r="AO15" s="74"/>
      <c r="AP15" s="74"/>
      <c r="AQ15" s="74"/>
      <c r="AR15" s="74"/>
      <c r="AS15" s="74"/>
      <c r="AT15" s="74"/>
      <c r="AU15" s="74"/>
      <c r="AV15" s="74"/>
      <c r="AW15" s="74"/>
      <c r="AX15" s="74"/>
      <c r="AY15" s="74"/>
      <c r="AZ15" s="74"/>
      <c r="BA15" s="74"/>
      <c r="BB15" s="74"/>
      <c r="BC15" s="74"/>
      <c r="BD15" s="74"/>
      <c r="BE15" s="74"/>
      <c r="BF15" s="74"/>
      <c r="BG15" s="74"/>
      <c r="BH15" s="74"/>
      <c r="BI15" s="74"/>
      <c r="BJ15" s="74"/>
      <c r="BK15" s="74"/>
      <c r="BL15" s="74"/>
      <c r="BM15" s="74"/>
      <c r="BN15" s="74"/>
      <c r="BO15" s="74"/>
      <c r="BP15" s="74"/>
      <c r="BQ15" s="74"/>
      <c r="BR15" s="74"/>
      <c r="BS15" s="74"/>
      <c r="BT15" s="74"/>
      <c r="BU15" s="74"/>
      <c r="BV15" s="74"/>
      <c r="BW15" s="74"/>
      <c r="BX15" s="74"/>
      <c r="BY15" s="74"/>
      <c r="BZ15" s="74"/>
      <c r="CA15" s="74"/>
      <c r="CB15" s="74"/>
      <c r="CC15" s="74"/>
      <c r="CD15" s="74"/>
      <c r="CE15" s="74"/>
      <c r="CF15" s="74"/>
      <c r="CG15" s="74"/>
      <c r="CH15" s="74"/>
      <c r="CI15" s="74"/>
      <c r="CJ15" s="74"/>
      <c r="CK15" s="74"/>
      <c r="CL15" s="74"/>
      <c r="CM15" s="74"/>
      <c r="CN15" s="74"/>
      <c r="CO15" s="74"/>
      <c r="CP15" s="74"/>
      <c r="CQ15" s="74"/>
      <c r="CR15" s="74"/>
      <c r="CS15" s="74"/>
      <c r="CT15" s="74"/>
      <c r="CU15" s="74"/>
      <c r="CV15" s="74"/>
      <c r="CW15" s="74"/>
      <c r="CX15" s="74"/>
      <c r="CY15" s="74"/>
      <c r="CZ15" s="74"/>
      <c r="DA15" s="74"/>
      <c r="DB15" s="74"/>
      <c r="DC15" s="74"/>
      <c r="DD15" s="74"/>
      <c r="DE15" s="74"/>
      <c r="DF15" s="74"/>
      <c r="DG15" s="74"/>
      <c r="DH15" s="74"/>
      <c r="DI15" s="74"/>
      <c r="DJ15" s="74"/>
      <c r="DK15" s="74"/>
      <c r="DL15" s="74"/>
      <c r="DM15" s="74"/>
      <c r="DN15" s="74"/>
      <c r="DO15" s="74"/>
      <c r="DP15" s="74"/>
      <c r="DQ15" s="74"/>
      <c r="DR15" s="74"/>
      <c r="DS15" s="74"/>
      <c r="DT15" s="74"/>
      <c r="DU15" s="74"/>
      <c r="DV15" s="74"/>
      <c r="DW15" s="74"/>
      <c r="DX15" s="74"/>
      <c r="DY15" s="74"/>
      <c r="DZ15" s="74"/>
      <c r="EA15" s="74"/>
      <c r="EB15" s="74"/>
      <c r="EC15" s="74"/>
      <c r="ED15" s="74"/>
      <c r="EE15" s="74"/>
      <c r="EF15" s="74"/>
      <c r="EG15" s="74"/>
      <c r="EH15" s="74"/>
      <c r="EI15" s="74"/>
      <c r="EJ15" s="74"/>
      <c r="EK15" s="74"/>
      <c r="EL15" s="74"/>
      <c r="EM15" s="74"/>
      <c r="EN15" s="74"/>
      <c r="EO15" s="74"/>
      <c r="EP15" s="74"/>
      <c r="EQ15" s="74"/>
      <c r="ER15" s="74"/>
      <c r="ES15" s="74"/>
      <c r="ET15" s="74"/>
    </row>
    <row r="16" spans="1:150">
      <c r="A16" s="67"/>
      <c r="B16" s="107"/>
      <c r="D16" s="77"/>
      <c r="F16" s="328"/>
      <c r="I16" s="74"/>
      <c r="J16" s="74"/>
      <c r="K16" s="74"/>
      <c r="L16" s="74"/>
      <c r="M16" s="74"/>
      <c r="N16" s="74"/>
      <c r="O16" s="74"/>
      <c r="P16" s="74"/>
      <c r="Q16" s="74"/>
      <c r="R16" s="74"/>
      <c r="S16" s="74"/>
      <c r="T16" s="74"/>
      <c r="U16" s="74"/>
      <c r="V16" s="74"/>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c r="BM16" s="74"/>
      <c r="BN16" s="74"/>
      <c r="BO16" s="74"/>
      <c r="BP16" s="74"/>
      <c r="BQ16" s="74"/>
      <c r="BR16" s="74"/>
      <c r="BS16" s="74"/>
      <c r="BT16" s="74"/>
      <c r="BU16" s="74"/>
      <c r="BV16" s="74"/>
      <c r="BW16" s="74"/>
      <c r="BX16" s="74"/>
      <c r="BY16" s="74"/>
      <c r="BZ16" s="74"/>
      <c r="CA16" s="74"/>
      <c r="CB16" s="74"/>
      <c r="CC16" s="74"/>
      <c r="CD16" s="74"/>
      <c r="CE16" s="74"/>
      <c r="CF16" s="74"/>
      <c r="CG16" s="74"/>
      <c r="CH16" s="74"/>
      <c r="CI16" s="74"/>
      <c r="CJ16" s="74"/>
      <c r="CK16" s="74"/>
      <c r="CL16" s="74"/>
      <c r="CM16" s="74"/>
      <c r="CN16" s="74"/>
      <c r="CO16" s="74"/>
      <c r="CP16" s="74"/>
      <c r="CQ16" s="74"/>
      <c r="CR16" s="74"/>
      <c r="CS16" s="74"/>
      <c r="CT16" s="74"/>
      <c r="CU16" s="74"/>
      <c r="CV16" s="74"/>
      <c r="CW16" s="74"/>
      <c r="CX16" s="74"/>
      <c r="CY16" s="74"/>
      <c r="CZ16" s="74"/>
      <c r="DA16" s="74"/>
      <c r="DB16" s="74"/>
      <c r="DC16" s="74"/>
      <c r="DD16" s="74"/>
      <c r="DE16" s="74"/>
      <c r="DF16" s="74"/>
      <c r="DG16" s="74"/>
      <c r="DH16" s="74"/>
      <c r="DI16" s="74"/>
      <c r="DJ16" s="74"/>
      <c r="DK16" s="74"/>
      <c r="DL16" s="74"/>
      <c r="DM16" s="74"/>
      <c r="DN16" s="74"/>
      <c r="DO16" s="74"/>
      <c r="DP16" s="74"/>
      <c r="DQ16" s="74"/>
      <c r="DR16" s="74"/>
      <c r="DS16" s="74"/>
      <c r="DT16" s="74"/>
      <c r="DU16" s="74"/>
      <c r="DV16" s="74"/>
      <c r="DW16" s="74"/>
      <c r="DX16" s="74"/>
      <c r="DY16" s="74"/>
      <c r="DZ16" s="74"/>
      <c r="EA16" s="74"/>
      <c r="EB16" s="74"/>
      <c r="EC16" s="74"/>
      <c r="ED16" s="74"/>
      <c r="EE16" s="74"/>
      <c r="EF16" s="74"/>
      <c r="EG16" s="74"/>
      <c r="EH16" s="74"/>
      <c r="EI16" s="74"/>
      <c r="EJ16" s="74"/>
      <c r="EK16" s="74"/>
      <c r="EL16" s="74"/>
      <c r="EM16" s="74"/>
      <c r="EN16" s="74"/>
      <c r="EO16" s="74"/>
      <c r="EP16" s="74"/>
      <c r="EQ16" s="74"/>
      <c r="ER16" s="74"/>
      <c r="ES16" s="74"/>
      <c r="ET16" s="74"/>
    </row>
    <row r="17" spans="1:150">
      <c r="A17" s="67"/>
      <c r="B17" s="107"/>
      <c r="D17" s="77"/>
      <c r="F17" s="65"/>
      <c r="I17" s="74"/>
      <c r="J17" s="74"/>
      <c r="K17" s="74"/>
      <c r="L17" s="74"/>
      <c r="M17" s="74"/>
      <c r="N17" s="74"/>
      <c r="O17" s="74"/>
      <c r="P17" s="74"/>
      <c r="Q17" s="74"/>
      <c r="R17" s="74"/>
      <c r="S17" s="74"/>
      <c r="T17" s="74"/>
      <c r="U17" s="74"/>
      <c r="V17" s="74"/>
      <c r="W17" s="74"/>
      <c r="X17" s="74"/>
      <c r="Y17" s="74"/>
      <c r="Z17" s="74"/>
      <c r="AA17" s="74"/>
      <c r="AB17" s="74"/>
      <c r="AC17" s="74"/>
      <c r="AD17" s="74"/>
      <c r="AE17" s="74"/>
      <c r="AF17" s="74"/>
      <c r="AG17" s="74"/>
      <c r="AH17" s="74"/>
      <c r="AI17" s="74"/>
      <c r="AJ17" s="74"/>
      <c r="AK17" s="74"/>
      <c r="AL17" s="74"/>
      <c r="AM17" s="74"/>
      <c r="AN17" s="74"/>
      <c r="AO17" s="74"/>
      <c r="AP17" s="74"/>
      <c r="AQ17" s="74"/>
      <c r="AR17" s="74"/>
      <c r="AS17" s="74"/>
      <c r="AT17" s="74"/>
      <c r="AU17" s="74"/>
      <c r="AV17" s="74"/>
      <c r="AW17" s="74"/>
      <c r="AX17" s="74"/>
      <c r="AY17" s="74"/>
      <c r="AZ17" s="74"/>
      <c r="BA17" s="74"/>
      <c r="BB17" s="74"/>
      <c r="BC17" s="74"/>
      <c r="BD17" s="74"/>
      <c r="BE17" s="74"/>
      <c r="BF17" s="74"/>
      <c r="BG17" s="74"/>
      <c r="BH17" s="74"/>
      <c r="BI17" s="74"/>
      <c r="BJ17" s="74"/>
      <c r="BK17" s="74"/>
      <c r="BL17" s="74"/>
      <c r="BM17" s="74"/>
      <c r="BN17" s="74"/>
      <c r="BO17" s="74"/>
      <c r="BP17" s="74"/>
      <c r="BQ17" s="74"/>
      <c r="BR17" s="74"/>
      <c r="BS17" s="74"/>
      <c r="BT17" s="74"/>
      <c r="BU17" s="74"/>
      <c r="BV17" s="74"/>
      <c r="BW17" s="74"/>
      <c r="BX17" s="74"/>
      <c r="BY17" s="74"/>
      <c r="BZ17" s="74"/>
      <c r="CA17" s="74"/>
      <c r="CB17" s="74"/>
      <c r="CC17" s="74"/>
      <c r="CD17" s="74"/>
      <c r="CE17" s="74"/>
      <c r="CF17" s="74"/>
      <c r="CG17" s="74"/>
      <c r="CH17" s="74"/>
      <c r="CI17" s="74"/>
      <c r="CJ17" s="74"/>
      <c r="CK17" s="74"/>
      <c r="CL17" s="74"/>
      <c r="CM17" s="74"/>
      <c r="CN17" s="74"/>
      <c r="CO17" s="74"/>
      <c r="CP17" s="74"/>
      <c r="CQ17" s="74"/>
      <c r="CR17" s="74"/>
      <c r="CS17" s="74"/>
      <c r="CT17" s="74"/>
      <c r="CU17" s="74"/>
      <c r="CV17" s="74"/>
      <c r="CW17" s="74"/>
      <c r="CX17" s="74"/>
      <c r="CY17" s="74"/>
      <c r="CZ17" s="74"/>
      <c r="DA17" s="74"/>
      <c r="DB17" s="74"/>
      <c r="DC17" s="74"/>
      <c r="DD17" s="74"/>
      <c r="DE17" s="74"/>
      <c r="DF17" s="74"/>
      <c r="DG17" s="74"/>
      <c r="DH17" s="74"/>
      <c r="DI17" s="74"/>
      <c r="DJ17" s="74"/>
      <c r="DK17" s="74"/>
      <c r="DL17" s="74"/>
      <c r="DM17" s="74"/>
      <c r="DN17" s="74"/>
      <c r="DO17" s="74"/>
      <c r="DP17" s="74"/>
      <c r="DQ17" s="74"/>
      <c r="DR17" s="74"/>
      <c r="DS17" s="74"/>
      <c r="DT17" s="74"/>
      <c r="DU17" s="74"/>
      <c r="DV17" s="74"/>
      <c r="DW17" s="74"/>
      <c r="DX17" s="74"/>
      <c r="DY17" s="74"/>
      <c r="DZ17" s="74"/>
      <c r="EA17" s="74"/>
      <c r="EB17" s="74"/>
      <c r="EC17" s="74"/>
      <c r="ED17" s="74"/>
      <c r="EE17" s="74"/>
      <c r="EF17" s="74"/>
      <c r="EG17" s="74"/>
      <c r="EH17" s="74"/>
      <c r="EI17" s="74"/>
      <c r="EJ17" s="74"/>
      <c r="EK17" s="74"/>
      <c r="EL17" s="74"/>
      <c r="EM17" s="74"/>
      <c r="EN17" s="74"/>
      <c r="EO17" s="74"/>
      <c r="EP17" s="74"/>
      <c r="EQ17" s="74"/>
      <c r="ER17" s="74"/>
      <c r="ES17" s="74"/>
      <c r="ET17" s="74"/>
    </row>
    <row r="18" spans="1:150" s="104" customFormat="1">
      <c r="H18" s="104" t="s">
        <v>799</v>
      </c>
      <c r="I18" s="105">
        <f t="shared" ref="I18:AN18" si="3">SUM(I13:I13)</f>
        <v>1.038</v>
      </c>
      <c r="J18" s="105">
        <f t="shared" si="3"/>
        <v>1.1040000000000001</v>
      </c>
      <c r="K18" s="105">
        <f t="shared" si="3"/>
        <v>0.95399999999999996</v>
      </c>
      <c r="L18" s="105">
        <f t="shared" si="3"/>
        <v>0.79800000000000004</v>
      </c>
      <c r="M18" s="105">
        <f t="shared" si="3"/>
        <v>0.84</v>
      </c>
      <c r="N18" s="105">
        <f t="shared" si="3"/>
        <v>1.008</v>
      </c>
      <c r="O18" s="105">
        <f t="shared" si="3"/>
        <v>0.75600000000000001</v>
      </c>
      <c r="P18" s="105">
        <f t="shared" si="3"/>
        <v>0.75</v>
      </c>
      <c r="Q18" s="105">
        <f t="shared" si="3"/>
        <v>0.75</v>
      </c>
      <c r="R18" s="105">
        <f t="shared" si="3"/>
        <v>0.77400000000000002</v>
      </c>
      <c r="S18" s="105">
        <f t="shared" si="3"/>
        <v>0.89999999999999991</v>
      </c>
      <c r="T18" s="105">
        <f t="shared" si="3"/>
        <v>1.02</v>
      </c>
      <c r="U18" s="105">
        <f t="shared" si="3"/>
        <v>1.05</v>
      </c>
      <c r="V18" s="105">
        <f t="shared" si="3"/>
        <v>1.1100000000000001</v>
      </c>
      <c r="W18" s="105">
        <f t="shared" si="3"/>
        <v>1.38</v>
      </c>
      <c r="X18" s="105">
        <f t="shared" si="3"/>
        <v>1.44</v>
      </c>
      <c r="Y18" s="105">
        <f t="shared" si="3"/>
        <v>1.56</v>
      </c>
      <c r="Z18" s="105">
        <f t="shared" si="3"/>
        <v>1.38</v>
      </c>
      <c r="AA18" s="105">
        <f t="shared" si="3"/>
        <v>1.476</v>
      </c>
      <c r="AB18" s="105">
        <f t="shared" si="3"/>
        <v>1.458</v>
      </c>
      <c r="AC18" s="105">
        <f t="shared" si="3"/>
        <v>1.71</v>
      </c>
      <c r="AD18" s="105">
        <f t="shared" si="3"/>
        <v>1.65</v>
      </c>
      <c r="AE18" s="105">
        <f t="shared" si="3"/>
        <v>1.5</v>
      </c>
      <c r="AF18" s="105">
        <f t="shared" si="3"/>
        <v>1.47</v>
      </c>
      <c r="AG18" s="105">
        <f t="shared" si="3"/>
        <v>1.77</v>
      </c>
      <c r="AH18" s="105">
        <f t="shared" si="3"/>
        <v>1.794</v>
      </c>
      <c r="AI18" s="105">
        <f t="shared" si="3"/>
        <v>1.8659999999999999</v>
      </c>
      <c r="AJ18" s="105">
        <f t="shared" si="3"/>
        <v>1.746</v>
      </c>
      <c r="AK18" s="105">
        <f t="shared" si="3"/>
        <v>1.71</v>
      </c>
      <c r="AL18" s="105">
        <f t="shared" si="3"/>
        <v>1.77</v>
      </c>
      <c r="AM18" s="105">
        <f t="shared" si="3"/>
        <v>1.47</v>
      </c>
      <c r="AN18" s="105">
        <f t="shared" si="3"/>
        <v>1.4159999999999999</v>
      </c>
      <c r="AO18" s="105">
        <f t="shared" ref="AO18:CZ18" si="4">SUM(AO13:AO13)</f>
        <v>1.488</v>
      </c>
      <c r="AP18" s="105">
        <f t="shared" si="4"/>
        <v>1.4279999999999999</v>
      </c>
      <c r="AQ18" s="105">
        <f t="shared" si="4"/>
        <v>1.2899999999999998</v>
      </c>
      <c r="AR18" s="105">
        <f t="shared" si="4"/>
        <v>1.1459999999999999</v>
      </c>
      <c r="AS18" s="105">
        <f t="shared" si="4"/>
        <v>1.0920000000000001</v>
      </c>
      <c r="AT18" s="105">
        <f t="shared" si="4"/>
        <v>1.2</v>
      </c>
      <c r="AU18" s="105">
        <f t="shared" si="4"/>
        <v>1.1279999999999999</v>
      </c>
      <c r="AV18" s="105">
        <f t="shared" si="4"/>
        <v>1.08</v>
      </c>
      <c r="AW18" s="105">
        <f t="shared" si="4"/>
        <v>1.056</v>
      </c>
      <c r="AX18" s="105">
        <f t="shared" si="4"/>
        <v>0.87</v>
      </c>
      <c r="AY18" s="105">
        <f t="shared" si="4"/>
        <v>0.87</v>
      </c>
      <c r="AZ18" s="105">
        <f t="shared" si="4"/>
        <v>0.87</v>
      </c>
      <c r="BA18" s="105">
        <f t="shared" si="4"/>
        <v>0.87</v>
      </c>
      <c r="BB18" s="105">
        <f t="shared" si="4"/>
        <v>0.98999999999999988</v>
      </c>
      <c r="BC18" s="105">
        <f t="shared" si="4"/>
        <v>0.98999999999999988</v>
      </c>
      <c r="BD18" s="105">
        <f t="shared" si="4"/>
        <v>1.1724479999999999</v>
      </c>
      <c r="BE18" s="105">
        <f t="shared" si="4"/>
        <v>1.1100000000000001</v>
      </c>
      <c r="BF18" s="105">
        <f t="shared" si="4"/>
        <v>1.1100000000000001</v>
      </c>
      <c r="BG18" s="105">
        <f t="shared" si="4"/>
        <v>1.1100000000000001</v>
      </c>
      <c r="BH18" s="105">
        <f t="shared" si="4"/>
        <v>1.26</v>
      </c>
      <c r="BI18" s="105">
        <f t="shared" si="4"/>
        <v>1.26</v>
      </c>
      <c r="BJ18" s="105">
        <f t="shared" si="4"/>
        <v>1.26</v>
      </c>
      <c r="BK18" s="105">
        <f t="shared" si="4"/>
        <v>1.2899999999999998</v>
      </c>
      <c r="BL18" s="105">
        <f t="shared" si="4"/>
        <v>1.2899999999999998</v>
      </c>
      <c r="BM18" s="105">
        <f t="shared" si="4"/>
        <v>1.2899999999999998</v>
      </c>
      <c r="BN18" s="105">
        <f t="shared" si="4"/>
        <v>1.17</v>
      </c>
      <c r="BO18" s="105">
        <f t="shared" si="4"/>
        <v>1.1100000000000001</v>
      </c>
      <c r="BP18" s="105">
        <f t="shared" si="4"/>
        <v>1.1100000000000001</v>
      </c>
      <c r="BQ18" s="105">
        <f t="shared" si="4"/>
        <v>1.1100000000000001</v>
      </c>
      <c r="BR18" s="105">
        <f t="shared" si="4"/>
        <v>1.1100000000000001</v>
      </c>
      <c r="BS18" s="105">
        <f t="shared" si="4"/>
        <v>1.1100000000000001</v>
      </c>
      <c r="BT18" s="105">
        <f t="shared" si="4"/>
        <v>1.1100000000000001</v>
      </c>
      <c r="BU18" s="105">
        <f t="shared" si="4"/>
        <v>1.0860000000000001</v>
      </c>
      <c r="BV18" s="105">
        <f t="shared" si="4"/>
        <v>1.0860000000000001</v>
      </c>
      <c r="BW18" s="105">
        <f t="shared" si="4"/>
        <v>1.0860000000000001</v>
      </c>
      <c r="BX18" s="105">
        <f t="shared" si="4"/>
        <v>1.0860000000000001</v>
      </c>
      <c r="BY18" s="105">
        <f t="shared" si="4"/>
        <v>1.0860000000000001</v>
      </c>
      <c r="BZ18" s="105">
        <f t="shared" si="4"/>
        <v>1.038</v>
      </c>
      <c r="CA18" s="105">
        <f t="shared" si="4"/>
        <v>1.038</v>
      </c>
      <c r="CB18" s="105">
        <f t="shared" si="4"/>
        <v>1.038</v>
      </c>
      <c r="CC18" s="105">
        <f t="shared" si="4"/>
        <v>1.1279999999999999</v>
      </c>
      <c r="CD18" s="105">
        <f t="shared" si="4"/>
        <v>1.1279999999999999</v>
      </c>
      <c r="CE18" s="105">
        <f t="shared" si="4"/>
        <v>1.1279999999999999</v>
      </c>
      <c r="CF18" s="105">
        <f t="shared" si="4"/>
        <v>1.1279999999999999</v>
      </c>
      <c r="CG18" s="105">
        <f t="shared" si="4"/>
        <v>1.1279999999999999</v>
      </c>
      <c r="CH18" s="105">
        <f t="shared" si="4"/>
        <v>1.0920000000000001</v>
      </c>
      <c r="CI18" s="105">
        <f t="shared" si="4"/>
        <v>1.0920000000000001</v>
      </c>
      <c r="CJ18" s="105">
        <f t="shared" si="4"/>
        <v>1.0920000000000001</v>
      </c>
      <c r="CK18" s="105">
        <f t="shared" si="4"/>
        <v>1.0920000000000001</v>
      </c>
      <c r="CL18" s="105">
        <f t="shared" si="4"/>
        <v>1.1339999999999999</v>
      </c>
      <c r="CM18" s="105">
        <f t="shared" si="4"/>
        <v>1.1339999999999999</v>
      </c>
      <c r="CN18" s="105">
        <f t="shared" si="4"/>
        <v>1.1339999999999999</v>
      </c>
      <c r="CO18" s="105">
        <f t="shared" si="4"/>
        <v>1.1339999999999999</v>
      </c>
      <c r="CP18" s="105">
        <f t="shared" si="4"/>
        <v>1.1339999999999999</v>
      </c>
      <c r="CQ18" s="105">
        <f t="shared" si="4"/>
        <v>1.1339999999999999</v>
      </c>
      <c r="CR18" s="105">
        <f t="shared" si="4"/>
        <v>1.0920000000000001</v>
      </c>
      <c r="CS18" s="105">
        <f t="shared" si="4"/>
        <v>1.0920000000000001</v>
      </c>
      <c r="CT18" s="105">
        <f t="shared" si="4"/>
        <v>1.0920000000000001</v>
      </c>
      <c r="CU18" s="105">
        <f t="shared" si="4"/>
        <v>1.1160000000000001</v>
      </c>
      <c r="CV18" s="105">
        <f t="shared" si="4"/>
        <v>1.1160000000000001</v>
      </c>
      <c r="CW18" s="105">
        <f t="shared" si="4"/>
        <v>1.1160000000000001</v>
      </c>
      <c r="CX18" s="105">
        <f t="shared" si="4"/>
        <v>1.1160000000000001</v>
      </c>
      <c r="CY18" s="105">
        <f t="shared" si="4"/>
        <v>1.1639999999999999</v>
      </c>
      <c r="CZ18" s="105">
        <f t="shared" si="4"/>
        <v>1.2179999999999997</v>
      </c>
      <c r="DA18" s="105">
        <f t="shared" ref="DA18:ET18" si="5">SUM(DA13:DA13)</f>
        <v>1.2179999999999997</v>
      </c>
      <c r="DB18" s="105">
        <f t="shared" si="5"/>
        <v>1.212</v>
      </c>
      <c r="DC18" s="105">
        <f t="shared" si="5"/>
        <v>1.3080000000000001</v>
      </c>
      <c r="DD18" s="105">
        <f t="shared" si="5"/>
        <v>1.3080000000000001</v>
      </c>
      <c r="DE18" s="105">
        <f t="shared" si="5"/>
        <v>1.3080000000000001</v>
      </c>
      <c r="DF18" s="105">
        <f t="shared" si="5"/>
        <v>1.2299999999999998</v>
      </c>
      <c r="DG18" s="105">
        <f t="shared" si="5"/>
        <v>1.2299999999999998</v>
      </c>
      <c r="DH18" s="105">
        <f t="shared" si="5"/>
        <v>1.1819999999999999</v>
      </c>
      <c r="DI18" s="105">
        <f t="shared" si="5"/>
        <v>1.1459999999999999</v>
      </c>
      <c r="DJ18" s="105">
        <f t="shared" si="5"/>
        <v>1.0860000000000001</v>
      </c>
      <c r="DK18" s="105">
        <f t="shared" si="5"/>
        <v>1.0740000000000001</v>
      </c>
      <c r="DL18" s="105">
        <f t="shared" si="5"/>
        <v>1.0740000000000001</v>
      </c>
      <c r="DM18" s="105">
        <f t="shared" si="5"/>
        <v>1.08</v>
      </c>
      <c r="DN18" s="105">
        <f t="shared" si="5"/>
        <v>1.0920000000000001</v>
      </c>
      <c r="DO18" s="105">
        <f t="shared" si="5"/>
        <v>1.0740000000000001</v>
      </c>
      <c r="DP18" s="105">
        <f t="shared" si="5"/>
        <v>1.0740000000000001</v>
      </c>
      <c r="DQ18" s="105">
        <f t="shared" si="5"/>
        <v>1.08</v>
      </c>
      <c r="DR18" s="105">
        <f t="shared" si="5"/>
        <v>1.08</v>
      </c>
      <c r="DS18" s="105">
        <f t="shared" si="5"/>
        <v>1.08</v>
      </c>
      <c r="DT18" s="105">
        <f t="shared" si="5"/>
        <v>0</v>
      </c>
      <c r="DU18" s="105">
        <f t="shared" si="5"/>
        <v>0</v>
      </c>
      <c r="DV18" s="105">
        <f t="shared" si="5"/>
        <v>0</v>
      </c>
      <c r="DW18" s="105">
        <f t="shared" si="5"/>
        <v>0</v>
      </c>
      <c r="DX18" s="105">
        <f t="shared" si="5"/>
        <v>0</v>
      </c>
      <c r="DY18" s="105">
        <f t="shared" si="5"/>
        <v>0</v>
      </c>
      <c r="DZ18" s="105">
        <f t="shared" si="5"/>
        <v>0</v>
      </c>
      <c r="EA18" s="105">
        <f t="shared" si="5"/>
        <v>0</v>
      </c>
      <c r="EB18" s="105">
        <f t="shared" si="5"/>
        <v>0</v>
      </c>
      <c r="EC18" s="105">
        <f t="shared" si="5"/>
        <v>0</v>
      </c>
      <c r="ED18" s="105">
        <f t="shared" si="5"/>
        <v>0</v>
      </c>
      <c r="EE18" s="105">
        <f t="shared" si="5"/>
        <v>0</v>
      </c>
      <c r="EF18" s="105">
        <f t="shared" si="5"/>
        <v>0</v>
      </c>
      <c r="EG18" s="105">
        <f t="shared" si="5"/>
        <v>0</v>
      </c>
      <c r="EH18" s="105">
        <f t="shared" si="5"/>
        <v>0</v>
      </c>
      <c r="EI18" s="105">
        <f t="shared" si="5"/>
        <v>0</v>
      </c>
      <c r="EJ18" s="105">
        <f t="shared" si="5"/>
        <v>0</v>
      </c>
      <c r="EK18" s="105">
        <f t="shared" si="5"/>
        <v>0</v>
      </c>
      <c r="EL18" s="105">
        <f t="shared" si="5"/>
        <v>0</v>
      </c>
      <c r="EM18" s="105">
        <f t="shared" si="5"/>
        <v>0</v>
      </c>
      <c r="EN18" s="105">
        <f t="shared" si="5"/>
        <v>0</v>
      </c>
      <c r="EO18" s="105" t="e" vm="2">
        <f t="shared" si="5"/>
        <v>#VALUE!</v>
      </c>
      <c r="EP18" s="105" t="e" vm="2">
        <f t="shared" si="5"/>
        <v>#VALUE!</v>
      </c>
      <c r="EQ18" s="105" t="e" vm="2">
        <f t="shared" si="5"/>
        <v>#VALUE!</v>
      </c>
      <c r="ER18" s="105" t="e" vm="2">
        <f t="shared" si="5"/>
        <v>#VALUE!</v>
      </c>
      <c r="ES18" s="105" t="e" vm="2">
        <f t="shared" si="5"/>
        <v>#VALUE!</v>
      </c>
      <c r="ET18" s="105" t="e" vm="2">
        <f t="shared" si="5"/>
        <v>#VALUE!</v>
      </c>
    </row>
    <row r="19" spans="1:150" s="104" customFormat="1">
      <c r="H19" s="60"/>
      <c r="I19" s="105"/>
      <c r="J19" s="105"/>
      <c r="K19" s="105"/>
      <c r="L19" s="105"/>
      <c r="M19" s="105"/>
      <c r="N19" s="105"/>
      <c r="O19" s="105"/>
      <c r="P19" s="105"/>
      <c r="Q19" s="105"/>
      <c r="R19" s="105"/>
      <c r="S19" s="105"/>
      <c r="T19" s="105"/>
      <c r="U19" s="105"/>
      <c r="V19" s="105"/>
      <c r="W19" s="105"/>
      <c r="X19" s="105"/>
      <c r="Y19" s="105"/>
      <c r="Z19" s="105"/>
      <c r="AA19" s="105"/>
      <c r="AB19" s="105"/>
      <c r="AC19" s="105"/>
      <c r="AD19" s="105"/>
      <c r="AE19" s="105"/>
      <c r="AF19" s="105"/>
      <c r="AG19" s="105"/>
      <c r="AH19" s="105"/>
      <c r="AI19" s="105"/>
      <c r="AJ19" s="105"/>
      <c r="AK19" s="105"/>
      <c r="AL19" s="105"/>
      <c r="AM19" s="105"/>
      <c r="AN19" s="105"/>
      <c r="AO19" s="105"/>
      <c r="AP19" s="105"/>
      <c r="AQ19" s="105"/>
      <c r="AR19" s="105"/>
      <c r="AS19" s="105"/>
      <c r="AT19" s="105"/>
      <c r="AU19" s="105"/>
      <c r="AV19" s="105"/>
      <c r="AW19" s="105"/>
      <c r="AX19" s="105"/>
      <c r="AY19" s="105"/>
      <c r="AZ19" s="105"/>
      <c r="BA19" s="105"/>
      <c r="BB19" s="105"/>
      <c r="BC19" s="105"/>
      <c r="BD19" s="105"/>
      <c r="BE19" s="105"/>
      <c r="BF19" s="105"/>
      <c r="BG19" s="105"/>
      <c r="BH19" s="105"/>
      <c r="BI19" s="105"/>
      <c r="BJ19" s="105"/>
      <c r="BK19" s="105"/>
      <c r="BL19" s="105"/>
      <c r="BM19" s="105"/>
      <c r="BN19" s="105"/>
      <c r="BO19" s="105"/>
      <c r="BP19" s="105"/>
      <c r="BQ19" s="105"/>
      <c r="BR19" s="105"/>
      <c r="BS19" s="105"/>
      <c r="BT19" s="105"/>
      <c r="BU19" s="105"/>
      <c r="BV19" s="105"/>
      <c r="BW19" s="105"/>
      <c r="BX19" s="105"/>
      <c r="BY19" s="105"/>
      <c r="BZ19" s="105"/>
      <c r="CA19" s="105"/>
      <c r="CB19" s="105"/>
      <c r="CC19" s="105"/>
      <c r="CD19" s="105"/>
      <c r="CE19" s="105"/>
      <c r="CF19" s="105"/>
      <c r="CG19" s="105"/>
      <c r="CH19" s="105"/>
      <c r="CI19" s="105"/>
      <c r="CJ19" s="105"/>
      <c r="CK19" s="105"/>
      <c r="CL19" s="105"/>
      <c r="CM19" s="105"/>
      <c r="CN19" s="105"/>
      <c r="CO19" s="105"/>
      <c r="CP19" s="105"/>
      <c r="CQ19" s="105"/>
      <c r="CR19" s="105"/>
    </row>
    <row r="20" spans="1:150" ht="13">
      <c r="A20" s="331" t="s">
        <v>856</v>
      </c>
      <c r="H20" s="60" t="s">
        <v>429</v>
      </c>
      <c r="I20" s="74"/>
      <c r="J20" s="74"/>
      <c r="K20" s="74"/>
      <c r="L20" s="74"/>
      <c r="M20" s="74"/>
      <c r="N20" s="74"/>
      <c r="O20" s="74"/>
      <c r="P20" s="74"/>
      <c r="Q20" s="74"/>
      <c r="R20" s="74"/>
      <c r="S20" s="74"/>
      <c r="T20" s="74"/>
      <c r="U20" s="74"/>
      <c r="V20" s="74"/>
      <c r="W20" s="74"/>
      <c r="X20" s="74"/>
      <c r="Y20" s="74"/>
      <c r="Z20" s="74"/>
      <c r="AA20" s="74"/>
      <c r="AB20" s="74"/>
      <c r="AC20" s="74"/>
      <c r="AD20" s="74"/>
      <c r="AE20" s="74"/>
      <c r="AF20" s="74"/>
      <c r="AG20" s="74"/>
      <c r="AH20" s="74"/>
      <c r="AI20" s="74"/>
      <c r="AK20" s="74"/>
      <c r="AL20" s="74"/>
      <c r="AM20" s="74"/>
      <c r="AN20" s="74"/>
      <c r="AO20" s="74"/>
      <c r="AP20" s="74"/>
      <c r="AQ20" s="74"/>
      <c r="AR20" s="74"/>
      <c r="AS20" s="74"/>
      <c r="AT20" s="74"/>
      <c r="AU20" s="74"/>
      <c r="AV20" s="74"/>
      <c r="AW20" s="74"/>
      <c r="AX20" s="74"/>
      <c r="AY20" s="74"/>
      <c r="AZ20" s="74"/>
      <c r="BA20" s="74"/>
      <c r="BB20" s="74"/>
      <c r="BC20" s="74"/>
      <c r="BD20" s="74"/>
      <c r="BE20" s="74"/>
      <c r="BF20" s="74"/>
      <c r="BG20" s="74"/>
      <c r="BH20" s="74"/>
      <c r="BI20" s="74"/>
      <c r="BJ20" s="74"/>
      <c r="BK20" s="74"/>
      <c r="BL20" s="74"/>
      <c r="BM20" s="74"/>
      <c r="BN20" s="74"/>
      <c r="BO20" s="74"/>
      <c r="BP20" s="74"/>
      <c r="BQ20" s="74"/>
      <c r="BR20" s="74"/>
      <c r="BS20" s="74"/>
      <c r="BT20" s="74"/>
      <c r="BU20" s="74"/>
      <c r="BV20" s="74"/>
      <c r="BW20" s="74"/>
      <c r="BX20" s="74"/>
      <c r="BY20" s="74"/>
      <c r="BZ20" s="74"/>
      <c r="CA20" s="74"/>
      <c r="CB20" s="74"/>
      <c r="CC20" s="74"/>
      <c r="CD20" s="74"/>
      <c r="CE20" s="74"/>
      <c r="CF20" s="74"/>
      <c r="CG20" s="74"/>
      <c r="CH20" s="74"/>
      <c r="CI20" s="74"/>
      <c r="CJ20" s="74"/>
      <c r="CK20" s="74"/>
      <c r="CL20" s="74"/>
      <c r="CM20" s="74">
        <v>4.5999999999999996</v>
      </c>
      <c r="CN20" s="74"/>
      <c r="CO20" s="74"/>
      <c r="CP20" s="74"/>
      <c r="CQ20" s="74"/>
      <c r="CR20" s="74"/>
      <c r="CV20" s="74"/>
      <c r="CZ20" s="60">
        <v>4.7</v>
      </c>
    </row>
    <row r="21" spans="1:150">
      <c r="H21" s="60" t="s">
        <v>406</v>
      </c>
      <c r="I21" s="74"/>
      <c r="J21" s="74"/>
      <c r="K21" s="74"/>
      <c r="L21" s="74"/>
      <c r="M21" s="74"/>
      <c r="N21" s="74"/>
      <c r="O21" s="74"/>
      <c r="P21" s="74"/>
      <c r="Q21" s="74"/>
      <c r="R21" s="74"/>
      <c r="S21" s="74"/>
      <c r="T21" s="74"/>
      <c r="U21" s="74"/>
      <c r="V21" s="74"/>
      <c r="W21" s="74"/>
      <c r="X21" s="74"/>
      <c r="Y21" s="74"/>
      <c r="Z21" s="74"/>
      <c r="AA21" s="74"/>
      <c r="AB21" s="74"/>
      <c r="AC21" s="74"/>
      <c r="AD21" s="74"/>
      <c r="AE21" s="74"/>
      <c r="AF21" s="74"/>
      <c r="AG21" s="74"/>
      <c r="AH21" s="74"/>
      <c r="AI21" s="74"/>
      <c r="AK21" s="74"/>
      <c r="AL21" s="74"/>
      <c r="AM21" s="74"/>
      <c r="AN21" s="74"/>
      <c r="AO21" s="74"/>
      <c r="AP21" s="74"/>
      <c r="AQ21" s="74"/>
      <c r="AR21" s="74"/>
      <c r="AS21" s="74"/>
      <c r="AT21" s="74"/>
      <c r="AU21" s="74"/>
      <c r="AV21" s="74"/>
      <c r="AW21" s="74"/>
      <c r="AX21" s="74"/>
      <c r="AY21" s="74"/>
      <c r="AZ21" s="74"/>
      <c r="BA21" s="74"/>
      <c r="BB21" s="74"/>
      <c r="BC21" s="74"/>
      <c r="BD21" s="74"/>
      <c r="BE21" s="74"/>
      <c r="BF21" s="74"/>
      <c r="BG21" s="74"/>
      <c r="BH21" s="74"/>
      <c r="BI21" s="74"/>
      <c r="BJ21" s="74"/>
      <c r="BK21" s="74"/>
      <c r="BL21" s="74"/>
      <c r="BM21" s="74"/>
      <c r="BN21" s="74"/>
      <c r="BO21" s="74"/>
      <c r="BP21" s="74"/>
      <c r="BQ21" s="74"/>
      <c r="BR21" s="74"/>
      <c r="BS21" s="74"/>
      <c r="BT21" s="74"/>
      <c r="BU21" s="74"/>
      <c r="BV21" s="74"/>
      <c r="BW21" s="74"/>
      <c r="BX21" s="74"/>
      <c r="BY21" s="74"/>
      <c r="BZ21" s="74"/>
      <c r="CA21" s="74"/>
      <c r="CB21" s="74"/>
      <c r="CC21" s="74"/>
      <c r="CD21" s="74"/>
      <c r="CE21" s="74"/>
      <c r="CF21" s="74"/>
      <c r="CG21" s="74"/>
      <c r="CH21" s="74"/>
      <c r="CI21" s="74"/>
      <c r="CJ21" s="74"/>
      <c r="CK21" s="74"/>
      <c r="CL21" s="74"/>
      <c r="CM21" s="74">
        <f>CM20-CM18</f>
        <v>3.4659999999999997</v>
      </c>
      <c r="CN21" s="74"/>
      <c r="CO21" s="74"/>
      <c r="CP21" s="74"/>
      <c r="CQ21" s="74"/>
      <c r="CR21" s="74"/>
      <c r="CV21" s="74"/>
      <c r="CZ21" s="65">
        <f>CZ20-CZ18</f>
        <v>3.4820000000000002</v>
      </c>
    </row>
    <row r="23" spans="1:150" ht="13" thickBot="1"/>
    <row r="24" spans="1:150" s="73" customFormat="1" ht="13" thickBot="1">
      <c r="H24" s="257" t="s">
        <v>800</v>
      </c>
      <c r="I24" s="258">
        <f>3.47+I18</f>
        <v>4.508</v>
      </c>
      <c r="J24" s="258">
        <f t="shared" ref="J24:BU24" si="6">3.47+J18</f>
        <v>4.5739999999999998</v>
      </c>
      <c r="K24" s="258">
        <f t="shared" si="6"/>
        <v>4.4240000000000004</v>
      </c>
      <c r="L24" s="258">
        <f t="shared" si="6"/>
        <v>4.2680000000000007</v>
      </c>
      <c r="M24" s="258">
        <f t="shared" si="6"/>
        <v>4.3100000000000005</v>
      </c>
      <c r="N24" s="258">
        <f t="shared" si="6"/>
        <v>4.4779999999999998</v>
      </c>
      <c r="O24" s="258">
        <f t="shared" si="6"/>
        <v>4.226</v>
      </c>
      <c r="P24" s="258">
        <f t="shared" si="6"/>
        <v>4.2200000000000006</v>
      </c>
      <c r="Q24" s="258">
        <f t="shared" si="6"/>
        <v>4.2200000000000006</v>
      </c>
      <c r="R24" s="258">
        <f t="shared" si="6"/>
        <v>4.2439999999999998</v>
      </c>
      <c r="S24" s="258">
        <f t="shared" si="6"/>
        <v>4.37</v>
      </c>
      <c r="T24" s="258">
        <f t="shared" si="6"/>
        <v>4.49</v>
      </c>
      <c r="U24" s="258">
        <f t="shared" si="6"/>
        <v>4.5200000000000005</v>
      </c>
      <c r="V24" s="258">
        <f t="shared" si="6"/>
        <v>4.58</v>
      </c>
      <c r="W24" s="258">
        <f t="shared" si="6"/>
        <v>4.8499999999999996</v>
      </c>
      <c r="X24" s="258">
        <f t="shared" si="6"/>
        <v>4.91</v>
      </c>
      <c r="Y24" s="258">
        <f t="shared" si="6"/>
        <v>5.03</v>
      </c>
      <c r="Z24" s="258">
        <f t="shared" si="6"/>
        <v>4.8499999999999996</v>
      </c>
      <c r="AA24" s="258">
        <f t="shared" si="6"/>
        <v>4.9459999999999997</v>
      </c>
      <c r="AB24" s="258">
        <f t="shared" si="6"/>
        <v>4.9279999999999999</v>
      </c>
      <c r="AC24" s="258">
        <f t="shared" si="6"/>
        <v>5.18</v>
      </c>
      <c r="AD24" s="258">
        <f t="shared" si="6"/>
        <v>5.12</v>
      </c>
      <c r="AE24" s="258">
        <f t="shared" si="6"/>
        <v>4.9700000000000006</v>
      </c>
      <c r="AF24" s="258">
        <f t="shared" si="6"/>
        <v>4.9400000000000004</v>
      </c>
      <c r="AG24" s="258">
        <f t="shared" si="6"/>
        <v>5.24</v>
      </c>
      <c r="AH24" s="258">
        <f t="shared" si="6"/>
        <v>5.2640000000000002</v>
      </c>
      <c r="AI24" s="258">
        <f t="shared" si="6"/>
        <v>5.3360000000000003</v>
      </c>
      <c r="AJ24" s="258">
        <f t="shared" si="6"/>
        <v>5.2160000000000002</v>
      </c>
      <c r="AK24" s="258">
        <f t="shared" si="6"/>
        <v>5.18</v>
      </c>
      <c r="AL24" s="258">
        <f t="shared" si="6"/>
        <v>5.24</v>
      </c>
      <c r="AM24" s="258">
        <f t="shared" si="6"/>
        <v>4.9400000000000004</v>
      </c>
      <c r="AN24" s="258">
        <f t="shared" si="6"/>
        <v>4.8860000000000001</v>
      </c>
      <c r="AO24" s="258">
        <f t="shared" si="6"/>
        <v>4.9580000000000002</v>
      </c>
      <c r="AP24" s="258">
        <f t="shared" si="6"/>
        <v>4.8979999999999997</v>
      </c>
      <c r="AQ24" s="258">
        <f t="shared" si="6"/>
        <v>4.76</v>
      </c>
      <c r="AR24" s="258">
        <f t="shared" si="6"/>
        <v>4.6159999999999997</v>
      </c>
      <c r="AS24" s="258">
        <f t="shared" si="6"/>
        <v>4.5620000000000003</v>
      </c>
      <c r="AT24" s="258">
        <f t="shared" si="6"/>
        <v>4.67</v>
      </c>
      <c r="AU24" s="258">
        <f t="shared" si="6"/>
        <v>4.5979999999999999</v>
      </c>
      <c r="AV24" s="258">
        <f t="shared" si="6"/>
        <v>4.5500000000000007</v>
      </c>
      <c r="AW24" s="258">
        <f t="shared" si="6"/>
        <v>4.5259999999999998</v>
      </c>
      <c r="AX24" s="258">
        <f t="shared" si="6"/>
        <v>4.34</v>
      </c>
      <c r="AY24" s="258">
        <f t="shared" si="6"/>
        <v>4.34</v>
      </c>
      <c r="AZ24" s="258">
        <f t="shared" si="6"/>
        <v>4.34</v>
      </c>
      <c r="BA24" s="258">
        <f t="shared" si="6"/>
        <v>4.34</v>
      </c>
      <c r="BB24" s="258">
        <f t="shared" si="6"/>
        <v>4.46</v>
      </c>
      <c r="BC24" s="258">
        <f t="shared" si="6"/>
        <v>4.46</v>
      </c>
      <c r="BD24" s="258">
        <f t="shared" si="6"/>
        <v>4.6424479999999999</v>
      </c>
      <c r="BE24" s="258">
        <f t="shared" si="6"/>
        <v>4.58</v>
      </c>
      <c r="BF24" s="258">
        <f t="shared" si="6"/>
        <v>4.58</v>
      </c>
      <c r="BG24" s="258">
        <f t="shared" si="6"/>
        <v>4.58</v>
      </c>
      <c r="BH24" s="258">
        <f t="shared" si="6"/>
        <v>4.7300000000000004</v>
      </c>
      <c r="BI24" s="258">
        <f t="shared" si="6"/>
        <v>4.7300000000000004</v>
      </c>
      <c r="BJ24" s="258">
        <f t="shared" si="6"/>
        <v>4.7300000000000004</v>
      </c>
      <c r="BK24" s="258">
        <f t="shared" si="6"/>
        <v>4.76</v>
      </c>
      <c r="BL24" s="258">
        <f t="shared" si="6"/>
        <v>4.76</v>
      </c>
      <c r="BM24" s="258">
        <f t="shared" si="6"/>
        <v>4.76</v>
      </c>
      <c r="BN24" s="258">
        <f t="shared" si="6"/>
        <v>4.6400000000000006</v>
      </c>
      <c r="BO24" s="258">
        <f t="shared" si="6"/>
        <v>4.58</v>
      </c>
      <c r="BP24" s="258">
        <f t="shared" si="6"/>
        <v>4.58</v>
      </c>
      <c r="BQ24" s="258">
        <f t="shared" si="6"/>
        <v>4.58</v>
      </c>
      <c r="BR24" s="258">
        <f t="shared" si="6"/>
        <v>4.58</v>
      </c>
      <c r="BS24" s="258">
        <f t="shared" si="6"/>
        <v>4.58</v>
      </c>
      <c r="BT24" s="258">
        <f t="shared" si="6"/>
        <v>4.58</v>
      </c>
      <c r="BU24" s="258">
        <f t="shared" si="6"/>
        <v>4.556</v>
      </c>
      <c r="BV24" s="258">
        <f t="shared" ref="BV24:EG24" si="7">3.47+BV18</f>
        <v>4.556</v>
      </c>
      <c r="BW24" s="258">
        <f t="shared" si="7"/>
        <v>4.556</v>
      </c>
      <c r="BX24" s="258">
        <f t="shared" si="7"/>
        <v>4.556</v>
      </c>
      <c r="BY24" s="258">
        <f t="shared" si="7"/>
        <v>4.556</v>
      </c>
      <c r="BZ24" s="258">
        <f t="shared" si="7"/>
        <v>4.508</v>
      </c>
      <c r="CA24" s="258">
        <f t="shared" si="7"/>
        <v>4.508</v>
      </c>
      <c r="CB24" s="258">
        <f t="shared" si="7"/>
        <v>4.508</v>
      </c>
      <c r="CC24" s="258">
        <f t="shared" si="7"/>
        <v>4.5979999999999999</v>
      </c>
      <c r="CD24" s="258">
        <f t="shared" si="7"/>
        <v>4.5979999999999999</v>
      </c>
      <c r="CE24" s="258">
        <f t="shared" si="7"/>
        <v>4.5979999999999999</v>
      </c>
      <c r="CF24" s="258">
        <f t="shared" si="7"/>
        <v>4.5979999999999999</v>
      </c>
      <c r="CG24" s="258">
        <f t="shared" si="7"/>
        <v>4.5979999999999999</v>
      </c>
      <c r="CH24" s="258">
        <f t="shared" si="7"/>
        <v>4.5620000000000003</v>
      </c>
      <c r="CI24" s="258">
        <f t="shared" si="7"/>
        <v>4.5620000000000003</v>
      </c>
      <c r="CJ24" s="258">
        <f t="shared" si="7"/>
        <v>4.5620000000000003</v>
      </c>
      <c r="CK24" s="258">
        <f t="shared" si="7"/>
        <v>4.5620000000000003</v>
      </c>
      <c r="CL24" s="258">
        <f t="shared" si="7"/>
        <v>4.6040000000000001</v>
      </c>
      <c r="CM24" s="258">
        <f t="shared" si="7"/>
        <v>4.6040000000000001</v>
      </c>
      <c r="CN24" s="258">
        <f t="shared" si="7"/>
        <v>4.6040000000000001</v>
      </c>
      <c r="CO24" s="258">
        <f t="shared" si="7"/>
        <v>4.6040000000000001</v>
      </c>
      <c r="CP24" s="258">
        <f t="shared" si="7"/>
        <v>4.6040000000000001</v>
      </c>
      <c r="CQ24" s="258">
        <f t="shared" si="7"/>
        <v>4.6040000000000001</v>
      </c>
      <c r="CR24" s="258">
        <f t="shared" si="7"/>
        <v>4.5620000000000003</v>
      </c>
      <c r="CS24" s="258">
        <f t="shared" si="7"/>
        <v>4.5620000000000003</v>
      </c>
      <c r="CT24" s="258">
        <f t="shared" si="7"/>
        <v>4.5620000000000003</v>
      </c>
      <c r="CU24" s="258">
        <f t="shared" si="7"/>
        <v>4.5860000000000003</v>
      </c>
      <c r="CV24" s="258">
        <f t="shared" si="7"/>
        <v>4.5860000000000003</v>
      </c>
      <c r="CW24" s="258">
        <f t="shared" si="7"/>
        <v>4.5860000000000003</v>
      </c>
      <c r="CX24" s="258">
        <f t="shared" si="7"/>
        <v>4.5860000000000003</v>
      </c>
      <c r="CY24" s="258">
        <f t="shared" si="7"/>
        <v>4.6340000000000003</v>
      </c>
      <c r="CZ24" s="258">
        <f t="shared" si="7"/>
        <v>4.6879999999999997</v>
      </c>
      <c r="DA24" s="258">
        <f t="shared" si="7"/>
        <v>4.6879999999999997</v>
      </c>
      <c r="DB24" s="258">
        <f t="shared" si="7"/>
        <v>4.6820000000000004</v>
      </c>
      <c r="DC24" s="258">
        <f t="shared" si="7"/>
        <v>4.7780000000000005</v>
      </c>
      <c r="DD24" s="258">
        <f t="shared" si="7"/>
        <v>4.7780000000000005</v>
      </c>
      <c r="DE24" s="258">
        <f t="shared" si="7"/>
        <v>4.7780000000000005</v>
      </c>
      <c r="DF24" s="258">
        <f t="shared" si="7"/>
        <v>4.7</v>
      </c>
      <c r="DG24" s="258">
        <f t="shared" si="7"/>
        <v>4.7</v>
      </c>
      <c r="DH24" s="258">
        <f t="shared" si="7"/>
        <v>4.6520000000000001</v>
      </c>
      <c r="DI24" s="258">
        <f t="shared" si="7"/>
        <v>4.6159999999999997</v>
      </c>
      <c r="DJ24" s="258">
        <f t="shared" si="7"/>
        <v>4.556</v>
      </c>
      <c r="DK24" s="258">
        <f t="shared" si="7"/>
        <v>4.5440000000000005</v>
      </c>
      <c r="DL24" s="258">
        <f t="shared" si="7"/>
        <v>4.5440000000000005</v>
      </c>
      <c r="DM24" s="258">
        <f t="shared" si="7"/>
        <v>4.5500000000000007</v>
      </c>
      <c r="DN24" s="258">
        <f t="shared" si="7"/>
        <v>4.5620000000000003</v>
      </c>
      <c r="DO24" s="258">
        <f t="shared" si="7"/>
        <v>4.5440000000000005</v>
      </c>
      <c r="DP24" s="258">
        <f t="shared" si="7"/>
        <v>4.5440000000000005</v>
      </c>
      <c r="DQ24" s="258">
        <f t="shared" si="7"/>
        <v>4.5500000000000007</v>
      </c>
      <c r="DR24" s="258">
        <f t="shared" si="7"/>
        <v>4.5500000000000007</v>
      </c>
      <c r="DS24" s="258">
        <f t="shared" si="7"/>
        <v>4.5500000000000007</v>
      </c>
      <c r="DT24" s="258">
        <f t="shared" si="7"/>
        <v>3.47</v>
      </c>
      <c r="DU24" s="258">
        <f t="shared" si="7"/>
        <v>3.47</v>
      </c>
      <c r="DV24" s="258">
        <f t="shared" si="7"/>
        <v>3.47</v>
      </c>
      <c r="DW24" s="258">
        <f t="shared" si="7"/>
        <v>3.47</v>
      </c>
      <c r="DX24" s="258">
        <f t="shared" si="7"/>
        <v>3.47</v>
      </c>
      <c r="DY24" s="258">
        <f t="shared" si="7"/>
        <v>3.47</v>
      </c>
      <c r="DZ24" s="258">
        <f t="shared" si="7"/>
        <v>3.47</v>
      </c>
      <c r="EA24" s="258">
        <f t="shared" si="7"/>
        <v>3.47</v>
      </c>
      <c r="EB24" s="258">
        <f t="shared" si="7"/>
        <v>3.47</v>
      </c>
      <c r="EC24" s="258">
        <f t="shared" si="7"/>
        <v>3.47</v>
      </c>
      <c r="ED24" s="258">
        <f t="shared" si="7"/>
        <v>3.47</v>
      </c>
      <c r="EE24" s="258">
        <f t="shared" si="7"/>
        <v>3.47</v>
      </c>
      <c r="EF24" s="258">
        <f t="shared" si="7"/>
        <v>3.47</v>
      </c>
      <c r="EG24" s="258">
        <f t="shared" si="7"/>
        <v>3.47</v>
      </c>
      <c r="EH24" s="258">
        <f t="shared" ref="EH24:ER24" si="8">3.47+EH18</f>
        <v>3.47</v>
      </c>
      <c r="EI24" s="258">
        <f t="shared" si="8"/>
        <v>3.47</v>
      </c>
      <c r="EJ24" s="258">
        <f t="shared" si="8"/>
        <v>3.47</v>
      </c>
      <c r="EK24" s="258">
        <f t="shared" si="8"/>
        <v>3.47</v>
      </c>
      <c r="EL24" s="258">
        <f t="shared" si="8"/>
        <v>3.47</v>
      </c>
      <c r="EM24" s="258">
        <f t="shared" si="8"/>
        <v>3.47</v>
      </c>
      <c r="EN24" s="258">
        <f t="shared" si="8"/>
        <v>3.47</v>
      </c>
      <c r="EO24" s="258" t="e" vm="2">
        <f t="shared" si="8"/>
        <v>#VALUE!</v>
      </c>
      <c r="EP24" s="258" t="e" vm="2">
        <f t="shared" si="8"/>
        <v>#VALUE!</v>
      </c>
      <c r="EQ24" s="258" t="e" vm="2">
        <f t="shared" si="8"/>
        <v>#VALUE!</v>
      </c>
      <c r="ER24" s="258" t="e" vm="2">
        <f t="shared" si="8"/>
        <v>#VALUE!</v>
      </c>
      <c r="ES24" s="258" t="e" vm="2">
        <f>2.87+ES18</f>
        <v>#VALUE!</v>
      </c>
      <c r="ET24" s="258" t="e" vm="2">
        <f>2.87+ET18</f>
        <v>#VALUE!</v>
      </c>
    </row>
  </sheetData>
  <pageMargins left="0.7" right="0.7" top="0.75" bottom="0.75" header="0.3" footer="0.3"/>
  <drawing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50A59-9D49-4949-A6A9-CC0CB9B52FA8}">
  <dimension ref="A1:FE26"/>
  <sheetViews>
    <sheetView workbookViewId="0">
      <pane xSplit="8" ySplit="6" topLeftCell="I8" activePane="bottomRight" state="frozen"/>
      <selection pane="topRight" activeCell="I1" sqref="I1"/>
      <selection pane="bottomLeft" activeCell="A7" sqref="A7"/>
      <selection pane="bottomRight" activeCell="I10" sqref="I10"/>
    </sheetView>
  </sheetViews>
  <sheetFormatPr baseColWidth="10" defaultColWidth="22.6640625" defaultRowHeight="12"/>
  <cols>
    <col min="1" max="1" width="13.33203125" style="60" bestFit="1" customWidth="1"/>
    <col min="2" max="2" width="11.33203125" style="60" bestFit="1" customWidth="1"/>
    <col min="3" max="3" width="4.83203125" style="60" bestFit="1" customWidth="1"/>
    <col min="4" max="4" width="12.33203125" style="60" bestFit="1" customWidth="1"/>
    <col min="5" max="5" width="7.5" style="60" bestFit="1" customWidth="1"/>
    <col min="6" max="6" width="6.5" style="60" bestFit="1" customWidth="1"/>
    <col min="7" max="7" width="3.33203125" style="60" bestFit="1" customWidth="1"/>
    <col min="8" max="8" width="14.5" style="60" bestFit="1" customWidth="1"/>
    <col min="9" max="10" width="5.5" style="60" bestFit="1" customWidth="1"/>
    <col min="11" max="11" width="5.6640625" style="60" bestFit="1" customWidth="1"/>
    <col min="12" max="12" width="5.5" style="60" bestFit="1" customWidth="1"/>
    <col min="13" max="13" width="5.83203125" style="60" bestFit="1" customWidth="1"/>
    <col min="14" max="18" width="5.5" style="60" bestFit="1" customWidth="1"/>
    <col min="19" max="19" width="5.6640625" style="60" bestFit="1" customWidth="1"/>
    <col min="20" max="22" width="5.5" style="60" bestFit="1" customWidth="1"/>
    <col min="23" max="23" width="5.6640625" style="60" bestFit="1" customWidth="1"/>
    <col min="24" max="24" width="5.5" style="60" bestFit="1" customWidth="1"/>
    <col min="25" max="25" width="5.83203125" style="60" bestFit="1" customWidth="1"/>
    <col min="26" max="30" width="5.5" style="60" bestFit="1" customWidth="1"/>
    <col min="31" max="31" width="5.6640625" style="60" bestFit="1" customWidth="1"/>
    <col min="32" max="34" width="5.5" style="60" bestFit="1" customWidth="1"/>
    <col min="35" max="35" width="5.6640625" style="60" bestFit="1" customWidth="1"/>
    <col min="36" max="36" width="5.5" style="60" bestFit="1" customWidth="1"/>
    <col min="37" max="37" width="5.83203125" style="60" bestFit="1" customWidth="1"/>
    <col min="38" max="42" width="5.5" style="60" bestFit="1" customWidth="1"/>
    <col min="43" max="43" width="5.6640625" style="60" bestFit="1" customWidth="1"/>
    <col min="44" max="46" width="5.5" style="60" bestFit="1" customWidth="1"/>
    <col min="47" max="47" width="5.6640625" style="60" bestFit="1" customWidth="1"/>
    <col min="48" max="48" width="5.5" style="60" bestFit="1" customWidth="1"/>
    <col min="49" max="49" width="5.83203125" style="60" bestFit="1" customWidth="1"/>
    <col min="50" max="51" width="5.5" style="60" bestFit="1" customWidth="1"/>
    <col min="52" max="54" width="7" style="60" bestFit="1" customWidth="1"/>
    <col min="55" max="56" width="5.5" style="60" bestFit="1" customWidth="1"/>
    <col min="57" max="58" width="5.83203125" style="60" bestFit="1" customWidth="1"/>
    <col min="59" max="70" width="5.6640625" style="60" bestFit="1" customWidth="1"/>
    <col min="71" max="82" width="5.5" style="60" bestFit="1" customWidth="1"/>
    <col min="83" max="83" width="6.1640625" style="60" bestFit="1" customWidth="1"/>
    <col min="84" max="86" width="5.6640625" style="60" bestFit="1" customWidth="1"/>
    <col min="87" max="90" width="5.5" style="60" bestFit="1" customWidth="1"/>
    <col min="91" max="95" width="6.33203125" style="60" bestFit="1" customWidth="1"/>
    <col min="96" max="99" width="6.1640625" style="60" bestFit="1" customWidth="1"/>
    <col min="100" max="100" width="5.5" style="60" bestFit="1" customWidth="1"/>
    <col min="101" max="103" width="5.1640625" style="60" bestFit="1" customWidth="1"/>
    <col min="104" max="107" width="5.83203125" style="60" bestFit="1" customWidth="1"/>
    <col min="108" max="115" width="5.6640625" style="60" bestFit="1" customWidth="1"/>
    <col min="116" max="160" width="6.5" style="60" bestFit="1" customWidth="1"/>
    <col min="161" max="16384" width="22.6640625" style="60"/>
  </cols>
  <sheetData>
    <row r="1" spans="1:161" ht="26">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c r="BW1" s="99">
        <v>73</v>
      </c>
      <c r="BX1" s="99">
        <v>74</v>
      </c>
      <c r="BY1" s="99">
        <v>75</v>
      </c>
      <c r="BZ1" s="99">
        <v>76</v>
      </c>
      <c r="CA1" s="99">
        <v>77</v>
      </c>
      <c r="CB1" s="99">
        <v>78</v>
      </c>
      <c r="CC1" s="99">
        <v>79</v>
      </c>
      <c r="CD1" s="99">
        <v>80</v>
      </c>
      <c r="CE1" s="99">
        <v>81</v>
      </c>
      <c r="CF1" s="99">
        <v>82</v>
      </c>
      <c r="CG1" s="99">
        <v>83</v>
      </c>
      <c r="CH1" s="99">
        <v>84</v>
      </c>
      <c r="CI1" s="99">
        <v>85</v>
      </c>
      <c r="CJ1" s="99">
        <v>86</v>
      </c>
      <c r="CK1" s="99">
        <v>87</v>
      </c>
      <c r="CL1" s="99">
        <v>88</v>
      </c>
      <c r="CM1" s="99">
        <v>89</v>
      </c>
      <c r="CN1" s="99">
        <v>90</v>
      </c>
      <c r="CO1" s="99">
        <v>91</v>
      </c>
      <c r="CP1" s="99">
        <v>92</v>
      </c>
      <c r="CQ1" s="99">
        <v>93</v>
      </c>
      <c r="CR1" s="99">
        <v>94</v>
      </c>
      <c r="CS1" s="99">
        <v>95</v>
      </c>
      <c r="CT1" s="99">
        <v>96</v>
      </c>
      <c r="CU1" s="99">
        <v>97</v>
      </c>
      <c r="CV1" s="99">
        <v>98</v>
      </c>
      <c r="CW1" s="99">
        <v>99</v>
      </c>
      <c r="CX1" s="99">
        <v>100</v>
      </c>
      <c r="CY1" s="99">
        <v>101</v>
      </c>
      <c r="CZ1" s="99">
        <v>102</v>
      </c>
      <c r="DA1" s="99">
        <v>103</v>
      </c>
      <c r="DB1" s="99">
        <v>104</v>
      </c>
      <c r="DC1" s="99">
        <v>105</v>
      </c>
      <c r="DD1" s="99">
        <v>106</v>
      </c>
      <c r="DE1" s="99">
        <v>107</v>
      </c>
      <c r="DF1" s="99">
        <v>108</v>
      </c>
      <c r="DG1" s="99">
        <v>109</v>
      </c>
      <c r="DH1" s="99">
        <v>110</v>
      </c>
      <c r="DI1" s="99">
        <v>111</v>
      </c>
      <c r="DJ1" s="99">
        <v>112</v>
      </c>
      <c r="DK1" s="99">
        <v>113</v>
      </c>
      <c r="DL1" s="99">
        <v>114</v>
      </c>
      <c r="DM1" s="99">
        <v>115</v>
      </c>
      <c r="DN1" s="99">
        <v>116</v>
      </c>
      <c r="DO1" s="99">
        <v>117</v>
      </c>
      <c r="DP1" s="99">
        <v>118</v>
      </c>
      <c r="DQ1" s="99">
        <v>119</v>
      </c>
      <c r="DR1" s="99">
        <v>120</v>
      </c>
      <c r="DS1" s="99">
        <v>121</v>
      </c>
      <c r="DT1" s="99">
        <v>122</v>
      </c>
      <c r="DU1" s="99">
        <v>123</v>
      </c>
      <c r="DV1" s="99">
        <v>124</v>
      </c>
      <c r="DW1" s="99">
        <v>125</v>
      </c>
      <c r="DX1" s="99">
        <v>126</v>
      </c>
      <c r="DY1" s="99">
        <v>127</v>
      </c>
      <c r="DZ1" s="99">
        <v>128</v>
      </c>
      <c r="EA1" s="99">
        <v>129</v>
      </c>
      <c r="EB1" s="99">
        <v>130</v>
      </c>
      <c r="EC1" s="99">
        <v>131</v>
      </c>
      <c r="ED1" s="99">
        <v>132</v>
      </c>
      <c r="EE1" s="99">
        <v>133</v>
      </c>
      <c r="EF1" s="99">
        <v>134</v>
      </c>
      <c r="EG1" s="99">
        <v>135</v>
      </c>
      <c r="EH1" s="99">
        <v>136</v>
      </c>
      <c r="EI1" s="99">
        <v>137</v>
      </c>
      <c r="EJ1" s="99">
        <v>138</v>
      </c>
      <c r="EK1" s="99">
        <v>139</v>
      </c>
      <c r="EL1" s="99">
        <v>140</v>
      </c>
      <c r="EM1" s="99">
        <v>141</v>
      </c>
      <c r="EN1" s="99">
        <v>142</v>
      </c>
      <c r="EO1" s="99">
        <v>143</v>
      </c>
      <c r="EP1" s="99">
        <v>144</v>
      </c>
      <c r="EQ1" s="99">
        <v>145</v>
      </c>
      <c r="ER1" s="99">
        <v>146</v>
      </c>
      <c r="ES1" s="99">
        <v>147</v>
      </c>
      <c r="ET1" s="99">
        <v>148</v>
      </c>
      <c r="EU1" s="99">
        <v>149</v>
      </c>
      <c r="EV1" s="99">
        <v>150</v>
      </c>
      <c r="EW1" s="99">
        <v>151</v>
      </c>
      <c r="EX1" s="99">
        <v>152</v>
      </c>
      <c r="EY1" s="99">
        <v>153</v>
      </c>
      <c r="EZ1" s="99">
        <v>154</v>
      </c>
      <c r="FA1" s="99">
        <v>155</v>
      </c>
      <c r="FB1" s="99">
        <v>156</v>
      </c>
      <c r="FC1" s="99">
        <v>157</v>
      </c>
      <c r="FD1" s="99">
        <v>158</v>
      </c>
      <c r="FE1" s="99">
        <v>159</v>
      </c>
    </row>
    <row r="2" spans="1:161" ht="15">
      <c r="A2" t="s">
        <v>857</v>
      </c>
      <c r="B2" s="112"/>
      <c r="C2" s="101">
        <v>1</v>
      </c>
      <c r="D2" s="282">
        <v>50.49</v>
      </c>
      <c r="E2" s="60">
        <f>D2*C2</f>
        <v>50.49</v>
      </c>
      <c r="K2" s="102"/>
      <c r="M2" s="102"/>
    </row>
    <row r="3" spans="1:161">
      <c r="A3" s="100"/>
      <c r="B3" s="64"/>
      <c r="D3" s="100"/>
      <c r="E3" s="64"/>
      <c r="F3" s="103"/>
    </row>
    <row r="4" spans="1:161">
      <c r="A4" s="64"/>
      <c r="B4" s="64"/>
      <c r="D4" s="64"/>
      <c r="E4" s="64"/>
      <c r="H4" s="60" t="s">
        <v>387</v>
      </c>
    </row>
    <row r="5" spans="1:161">
      <c r="A5" s="74"/>
      <c r="B5" s="74"/>
    </row>
    <row r="6" spans="1:161">
      <c r="A6" s="59"/>
      <c r="B6" s="59"/>
      <c r="C6" s="59"/>
      <c r="D6" s="98"/>
      <c r="E6" s="98"/>
      <c r="F6" s="59"/>
      <c r="H6" s="59" t="s">
        <v>416</v>
      </c>
      <c r="I6" s="59">
        <v>43831</v>
      </c>
      <c r="J6" s="59">
        <v>43862</v>
      </c>
      <c r="K6" s="59">
        <v>43891</v>
      </c>
      <c r="L6" s="59">
        <v>43922</v>
      </c>
      <c r="M6" s="59">
        <v>43952</v>
      </c>
      <c r="N6" s="59">
        <v>43983</v>
      </c>
      <c r="O6" s="59">
        <v>44013</v>
      </c>
      <c r="P6" s="59">
        <v>44044</v>
      </c>
      <c r="Q6" s="59">
        <v>44075</v>
      </c>
      <c r="R6" s="59">
        <v>44105</v>
      </c>
      <c r="S6" s="59">
        <v>44136</v>
      </c>
      <c r="T6" s="59">
        <v>44166</v>
      </c>
      <c r="U6" s="59">
        <v>44197</v>
      </c>
      <c r="V6" s="59">
        <v>44228</v>
      </c>
      <c r="W6" s="59">
        <v>44256</v>
      </c>
      <c r="X6" s="59">
        <v>44287</v>
      </c>
      <c r="Y6" s="59">
        <v>44317</v>
      </c>
      <c r="Z6" s="59">
        <v>44348</v>
      </c>
      <c r="AA6" s="59">
        <v>44378</v>
      </c>
      <c r="AB6" s="59">
        <v>44409</v>
      </c>
      <c r="AC6" s="59">
        <v>44440</v>
      </c>
      <c r="AD6" s="59">
        <v>44470</v>
      </c>
      <c r="AE6" s="59">
        <v>44501</v>
      </c>
      <c r="AF6" s="59">
        <v>44531</v>
      </c>
      <c r="AG6" s="59">
        <v>44562</v>
      </c>
      <c r="AH6" s="59">
        <v>44593</v>
      </c>
      <c r="AI6" s="59">
        <v>44621</v>
      </c>
      <c r="AJ6" s="59">
        <v>44652</v>
      </c>
      <c r="AK6" s="59">
        <v>44682</v>
      </c>
      <c r="AL6" s="59">
        <v>44713</v>
      </c>
      <c r="AM6" s="59">
        <v>44743</v>
      </c>
      <c r="AN6" s="59">
        <v>44774</v>
      </c>
      <c r="AO6" s="59">
        <v>44805</v>
      </c>
      <c r="AP6" s="59">
        <v>44835</v>
      </c>
      <c r="AQ6" s="59">
        <v>44866</v>
      </c>
      <c r="AR6" s="59">
        <v>44896</v>
      </c>
      <c r="AS6" s="59">
        <v>44927</v>
      </c>
      <c r="AT6" s="59">
        <v>44958</v>
      </c>
      <c r="AU6" s="59">
        <v>44986</v>
      </c>
      <c r="AV6" s="59">
        <v>45017</v>
      </c>
      <c r="AW6" s="59">
        <v>45047</v>
      </c>
      <c r="AX6" s="59">
        <v>45078</v>
      </c>
      <c r="AY6" s="59">
        <v>45108</v>
      </c>
      <c r="AZ6" s="59" t="s">
        <v>530</v>
      </c>
      <c r="BA6" s="59" t="s">
        <v>531</v>
      </c>
      <c r="BB6" s="59" t="s">
        <v>532</v>
      </c>
      <c r="BC6" s="59">
        <v>37104</v>
      </c>
      <c r="BD6" s="59">
        <v>37469</v>
      </c>
      <c r="BE6" s="59" t="s">
        <v>168</v>
      </c>
      <c r="BF6" s="59" t="s">
        <v>169</v>
      </c>
      <c r="BG6" s="59" t="s">
        <v>421</v>
      </c>
      <c r="BH6" s="59" t="s">
        <v>422</v>
      </c>
      <c r="BI6" s="59" t="s">
        <v>423</v>
      </c>
      <c r="BJ6" s="59" t="s">
        <v>424</v>
      </c>
      <c r="BK6" s="59" t="s">
        <v>435</v>
      </c>
      <c r="BL6" s="59" t="s">
        <v>436</v>
      </c>
      <c r="BM6" s="59" t="s">
        <v>437</v>
      </c>
      <c r="BN6" s="59" t="s">
        <v>438</v>
      </c>
      <c r="BO6" s="59">
        <v>37196</v>
      </c>
      <c r="BP6" s="59">
        <v>37561</v>
      </c>
      <c r="BQ6" s="59">
        <v>37926</v>
      </c>
      <c r="BR6" s="59">
        <v>38292</v>
      </c>
      <c r="BS6" s="59">
        <v>37226</v>
      </c>
      <c r="BT6" s="59">
        <v>37591</v>
      </c>
      <c r="BU6" s="59">
        <v>37956</v>
      </c>
      <c r="BV6" s="59">
        <v>38322</v>
      </c>
      <c r="BW6" s="59">
        <v>36892</v>
      </c>
      <c r="BX6" s="59">
        <v>37257</v>
      </c>
      <c r="BY6" s="59">
        <v>37622</v>
      </c>
      <c r="BZ6" s="59">
        <v>37987</v>
      </c>
      <c r="CA6" s="59">
        <v>36923</v>
      </c>
      <c r="CB6" s="59">
        <v>37288</v>
      </c>
      <c r="CC6" s="59">
        <v>37653</v>
      </c>
      <c r="CD6" s="59">
        <v>38018</v>
      </c>
      <c r="CE6" s="59" t="str">
        <f>Sheet8!A15</f>
        <v>Mar-w1</v>
      </c>
      <c r="CF6" s="59">
        <v>37316</v>
      </c>
      <c r="CG6" s="59">
        <v>37681</v>
      </c>
      <c r="CH6" s="59">
        <v>38047</v>
      </c>
      <c r="CI6" s="59" t="str">
        <f>Sheet8!E15</f>
        <v>Apr-w1</v>
      </c>
      <c r="CJ6" s="59" t="str">
        <f>Sheet8!F15</f>
        <v>Apr-w2</v>
      </c>
      <c r="CK6" s="59" t="str">
        <f>Sheet8!G15</f>
        <v>Apr-w3</v>
      </c>
      <c r="CL6" s="59" t="str">
        <f>Sheet8!H15</f>
        <v>Apr-w4</v>
      </c>
      <c r="CM6" s="59" t="str">
        <f>Sheet8!I15</f>
        <v>May-w1</v>
      </c>
      <c r="CN6" s="59" t="str">
        <f>Sheet8!J15</f>
        <v>May-w2</v>
      </c>
      <c r="CO6" s="59" t="str">
        <f>Sheet8!K15</f>
        <v>May-w3</v>
      </c>
      <c r="CP6" s="59" t="str">
        <f>Sheet8!L15</f>
        <v>May-w4</v>
      </c>
      <c r="CQ6" s="59" t="str">
        <f>Sheet8!M15</f>
        <v>May-w5</v>
      </c>
      <c r="CR6" s="59" t="str">
        <f>Sheet8!N15</f>
        <v>june-w1</v>
      </c>
      <c r="CS6" s="59" t="str">
        <f>Sheet8!O15</f>
        <v>june-w2</v>
      </c>
      <c r="CT6" s="59" t="str">
        <f>Sheet8!P15</f>
        <v>june-w3</v>
      </c>
      <c r="CU6" s="59" t="str">
        <f>Sheet8!Q15</f>
        <v>june-w4</v>
      </c>
      <c r="CV6" s="59" t="str">
        <f>Sheet8!R15</f>
        <v>Jul-w1</v>
      </c>
      <c r="CW6" s="59" t="str">
        <f>Sheet8!S15</f>
        <v>Jul-w2</v>
      </c>
      <c r="CX6" s="59" t="str">
        <f>Sheet8!T15</f>
        <v>Jul-w3</v>
      </c>
      <c r="CY6" s="59" t="str">
        <f>Sheet8!U15</f>
        <v>Jul-w4</v>
      </c>
      <c r="CZ6" s="59" t="str">
        <f>Sheet8!V15</f>
        <v>Aug-w1</v>
      </c>
      <c r="DA6" s="59" t="str">
        <f>Sheet8!W15</f>
        <v>Aug-w2</v>
      </c>
      <c r="DB6" s="59" t="str">
        <f>Sheet8!X15</f>
        <v>Aug-w3</v>
      </c>
      <c r="DC6" s="59" t="str">
        <f>Sheet8!Y15</f>
        <v>Aug-w4</v>
      </c>
      <c r="DD6" s="59" t="str">
        <f>Sheet8!Z15</f>
        <v>Sep-w1</v>
      </c>
      <c r="DE6" s="59" t="str">
        <f>Sheet8!AA15</f>
        <v>Sep-w2</v>
      </c>
      <c r="DF6" s="59" t="str">
        <f>Sheet8!AB15</f>
        <v>Sep-w3</v>
      </c>
      <c r="DG6" s="59" t="str">
        <f>Sheet8!AC15</f>
        <v>Sep-w4</v>
      </c>
      <c r="DH6" s="59" t="str">
        <f>Sheet8!AD15</f>
        <v>Oct-w1</v>
      </c>
      <c r="DI6" s="59" t="str">
        <f>Sheet8!AE15</f>
        <v>Oct-w2</v>
      </c>
      <c r="DJ6" s="59" t="str">
        <f>Sheet8!AF15</f>
        <v>Oct-w3</v>
      </c>
      <c r="DK6" s="59" t="str">
        <f>Sheet8!AG15</f>
        <v>Oct-w4</v>
      </c>
      <c r="DL6" s="59" t="str">
        <f>Sheet8!AH15</f>
        <v>Nov-w1</v>
      </c>
      <c r="DM6" s="59" t="str">
        <f>Sheet8!AI15</f>
        <v>Nov-w2</v>
      </c>
      <c r="DN6" s="59" t="str">
        <f>Sheet8!AJ15</f>
        <v>Nov-w3</v>
      </c>
      <c r="DO6" s="59" t="str">
        <f>Sheet8!AK15</f>
        <v>Nov-w4</v>
      </c>
      <c r="DP6" s="59" t="str">
        <f>Sheet8!AL15</f>
        <v>Dec-w1</v>
      </c>
      <c r="DQ6" s="59" t="str">
        <f>Sheet8!AM15</f>
        <v>Dec-w2</v>
      </c>
      <c r="DR6" s="59" t="str">
        <f>Sheet8!AN15</f>
        <v>Dec-w3</v>
      </c>
      <c r="DS6" s="59" t="str">
        <f>Sheet8!AO15</f>
        <v>Dec-w4</v>
      </c>
      <c r="DT6" s="59">
        <f>Sheet8!AP15</f>
        <v>0</v>
      </c>
      <c r="DU6" s="59">
        <f>Sheet8!AQ15</f>
        <v>0</v>
      </c>
      <c r="DV6" s="59">
        <f>Sheet8!AR15</f>
        <v>0</v>
      </c>
      <c r="DW6" s="59">
        <f>Sheet8!AS15</f>
        <v>0</v>
      </c>
      <c r="DX6" s="59">
        <f>Sheet8!AT15</f>
        <v>0</v>
      </c>
      <c r="DY6" s="59">
        <f>Sheet8!AU15</f>
        <v>0</v>
      </c>
      <c r="DZ6" s="59">
        <f>Sheet8!AV15</f>
        <v>0</v>
      </c>
      <c r="EA6" s="59">
        <f>Sheet8!AW15</f>
        <v>0</v>
      </c>
      <c r="EB6" s="59">
        <f>Sheet8!AX15</f>
        <v>0</v>
      </c>
      <c r="EC6" s="59">
        <f>Sheet8!AY15</f>
        <v>0</v>
      </c>
      <c r="ED6" s="59">
        <f>Sheet8!AZ15</f>
        <v>0</v>
      </c>
      <c r="EE6" s="59">
        <f>Sheet8!BA15</f>
        <v>0</v>
      </c>
      <c r="EF6" s="59">
        <f>Sheet8!BB15</f>
        <v>0</v>
      </c>
      <c r="EG6" s="59">
        <f>Sheet8!BC15</f>
        <v>0</v>
      </c>
      <c r="EH6" s="59">
        <f>Sheet8!BD15</f>
        <v>0</v>
      </c>
      <c r="EI6" s="59">
        <f>Sheet8!BE15</f>
        <v>0</v>
      </c>
      <c r="EJ6" s="59">
        <f>Sheet8!BF15</f>
        <v>0</v>
      </c>
      <c r="EK6" s="59">
        <f>Sheet8!BG15</f>
        <v>0</v>
      </c>
      <c r="EL6" s="59">
        <f>Sheet8!BH15</f>
        <v>0</v>
      </c>
      <c r="EM6" s="59">
        <f>Sheet8!BI15</f>
        <v>0</v>
      </c>
      <c r="EN6" s="59">
        <f>Sheet8!BJ15</f>
        <v>0</v>
      </c>
      <c r="EO6" s="59">
        <f>Sheet8!BK15</f>
        <v>0</v>
      </c>
      <c r="EP6" s="59">
        <f>Sheet8!BL15</f>
        <v>0</v>
      </c>
      <c r="EQ6" s="59">
        <f>Sheet8!BM15</f>
        <v>0</v>
      </c>
      <c r="ER6" s="59">
        <f>Sheet8!BN15</f>
        <v>0</v>
      </c>
      <c r="ES6" s="59">
        <f>Sheet8!BO15</f>
        <v>0</v>
      </c>
      <c r="ET6" s="59">
        <f>Sheet8!BP15</f>
        <v>0</v>
      </c>
      <c r="EU6" s="59">
        <f>Sheet8!BQ15</f>
        <v>0</v>
      </c>
      <c r="EV6" s="59">
        <f>Sheet8!BR15</f>
        <v>0</v>
      </c>
      <c r="EW6" s="59">
        <f>Sheet8!BS15</f>
        <v>0</v>
      </c>
      <c r="EX6" s="59">
        <f>Sheet8!BT15</f>
        <v>0</v>
      </c>
      <c r="EY6" s="59">
        <f>Sheet8!BU15</f>
        <v>0</v>
      </c>
      <c r="EZ6" s="59">
        <f>Sheet8!BV15</f>
        <v>0</v>
      </c>
      <c r="FA6" s="59">
        <f>Sheet8!BW15</f>
        <v>0</v>
      </c>
      <c r="FB6" s="59">
        <f>Sheet8!BX15</f>
        <v>0</v>
      </c>
      <c r="FC6" s="59">
        <f>Sheet8!BY15</f>
        <v>0</v>
      </c>
      <c r="FD6" s="59">
        <f>Sheet8!BZ15</f>
        <v>0</v>
      </c>
    </row>
    <row r="7" spans="1:161">
      <c r="B7" s="44"/>
      <c r="D7" s="44"/>
      <c r="H7" s="178"/>
      <c r="I7" s="74"/>
      <c r="J7" s="74"/>
      <c r="K7" s="74"/>
      <c r="L7" s="74"/>
      <c r="M7" s="74"/>
      <c r="N7" s="74"/>
      <c r="O7" s="74"/>
      <c r="P7" s="74"/>
      <c r="Q7" s="74"/>
      <c r="R7" s="74"/>
      <c r="S7" s="74"/>
      <c r="T7" s="74"/>
      <c r="U7" s="74"/>
      <c r="V7" s="74"/>
      <c r="W7" s="74"/>
      <c r="X7" s="74"/>
      <c r="Y7" s="74"/>
      <c r="Z7" s="74"/>
      <c r="AA7" s="74"/>
      <c r="AB7" s="74"/>
      <c r="AC7" s="74"/>
      <c r="AD7" s="74"/>
      <c r="AE7" s="74"/>
      <c r="AF7" s="74"/>
      <c r="AG7" s="74"/>
      <c r="AH7" s="74"/>
      <c r="AI7" s="74"/>
      <c r="AJ7" s="74"/>
      <c r="AK7" s="74"/>
      <c r="AL7" s="74"/>
      <c r="AM7" s="74"/>
      <c r="AN7" s="74"/>
      <c r="AO7" s="74"/>
      <c r="AP7" s="74"/>
      <c r="AQ7" s="74"/>
      <c r="AR7" s="74"/>
      <c r="AS7" s="74"/>
      <c r="AT7" s="74"/>
      <c r="AU7" s="74"/>
      <c r="AV7" s="74"/>
      <c r="AW7" s="74"/>
      <c r="AX7" s="74"/>
      <c r="AY7" s="74"/>
      <c r="AZ7" s="74"/>
      <c r="BA7" s="74"/>
      <c r="BB7" s="74"/>
      <c r="BC7" s="74"/>
      <c r="BD7" s="74"/>
      <c r="BE7" s="74"/>
      <c r="BF7" s="74"/>
      <c r="BG7" s="74"/>
      <c r="BH7" s="74"/>
      <c r="BI7" s="74"/>
      <c r="BJ7" s="74"/>
      <c r="BK7" s="74"/>
      <c r="BL7" s="74"/>
      <c r="BM7" s="74"/>
      <c r="BN7" s="74"/>
      <c r="BO7" s="74"/>
      <c r="BP7" s="74"/>
      <c r="BQ7" s="74"/>
      <c r="BR7" s="74"/>
      <c r="BS7" s="74"/>
      <c r="BT7" s="74"/>
      <c r="BU7" s="74"/>
      <c r="BV7" s="74"/>
      <c r="BW7" s="74"/>
      <c r="BX7" s="74"/>
      <c r="BY7" s="74"/>
      <c r="BZ7" s="74"/>
      <c r="CA7" s="74"/>
      <c r="CB7" s="74"/>
      <c r="CC7" s="74"/>
      <c r="CD7" s="74"/>
      <c r="CE7" s="74"/>
      <c r="CF7" s="74"/>
      <c r="CG7" s="74"/>
      <c r="CH7" s="74"/>
      <c r="CI7" s="74"/>
      <c r="CJ7" s="74"/>
      <c r="CK7" s="74"/>
      <c r="CL7" s="74"/>
      <c r="CM7" s="74"/>
      <c r="CN7" s="74"/>
      <c r="CO7" s="74"/>
      <c r="CP7" s="74"/>
      <c r="CQ7" s="74"/>
      <c r="CR7" s="74"/>
      <c r="CS7" s="74"/>
      <c r="CT7" s="74"/>
      <c r="CU7" s="74"/>
      <c r="CV7" s="74"/>
      <c r="CW7" s="74"/>
      <c r="CX7" s="74"/>
      <c r="CY7" s="74"/>
      <c r="CZ7" s="74"/>
      <c r="DA7" s="74"/>
      <c r="DB7" s="74"/>
      <c r="DC7" s="74"/>
      <c r="DD7" s="74"/>
      <c r="DE7" s="74"/>
      <c r="DF7" s="74"/>
      <c r="DG7" s="74"/>
      <c r="DH7" s="74"/>
      <c r="DI7" s="74"/>
      <c r="DJ7" s="74"/>
      <c r="DK7" s="74"/>
      <c r="DL7" s="74"/>
      <c r="DM7" s="74"/>
      <c r="DN7" s="74"/>
      <c r="DO7" s="74"/>
      <c r="DP7" s="74"/>
      <c r="DQ7" s="74"/>
      <c r="DR7" s="74"/>
      <c r="DS7" s="74"/>
      <c r="DT7" s="74"/>
      <c r="DU7" s="74"/>
      <c r="DV7" s="74"/>
      <c r="DW7" s="74"/>
      <c r="DX7" s="74"/>
      <c r="DY7" s="74"/>
      <c r="DZ7" s="74"/>
      <c r="EA7" s="74"/>
      <c r="EB7" s="74"/>
      <c r="EC7" s="74"/>
      <c r="ED7" s="74"/>
      <c r="EE7" s="74"/>
      <c r="EF7" s="74"/>
      <c r="EG7" s="74"/>
      <c r="EH7" s="74"/>
      <c r="EI7" s="74"/>
      <c r="EJ7" s="74"/>
      <c r="EK7" s="74"/>
      <c r="EL7" s="74"/>
      <c r="EM7" s="74"/>
      <c r="EN7" s="74"/>
      <c r="EO7" s="74"/>
      <c r="EP7" s="74"/>
      <c r="EQ7" s="74"/>
      <c r="ER7" s="74"/>
      <c r="ES7" s="74"/>
      <c r="ET7" s="74"/>
      <c r="EU7" s="74"/>
      <c r="EV7" s="74"/>
      <c r="EW7" s="74"/>
      <c r="EX7" s="74"/>
      <c r="EY7" s="74"/>
      <c r="EZ7" s="74"/>
      <c r="FA7" s="74"/>
      <c r="FB7" s="74"/>
      <c r="FC7" s="74"/>
      <c r="FD7" s="74"/>
    </row>
    <row r="8" spans="1:161">
      <c r="B8" s="44"/>
      <c r="D8" s="44"/>
      <c r="F8" s="60" t="s">
        <v>651</v>
      </c>
      <c r="H8" s="178" t="s">
        <v>36</v>
      </c>
      <c r="I8" s="74">
        <f>VLOOKUP($H$8&amp;$F$1,'Input RM sheet'!$A:$BD,H1,0)</f>
        <v>262.5</v>
      </c>
      <c r="J8" s="74">
        <f>VLOOKUP($H$8&amp;$F$1,'Input RM sheet'!$A:$BD,I1,0)</f>
        <v>322.5</v>
      </c>
      <c r="K8" s="74">
        <f>VLOOKUP($H$8&amp;$F$1,'Input RM sheet'!$A:$BD,J1,0)</f>
        <v>285</v>
      </c>
      <c r="L8" s="74">
        <f>VLOOKUP($H$8&amp;$F$1,'Input RM sheet'!$A:$BD,K1,0)</f>
        <v>210</v>
      </c>
      <c r="M8" s="74">
        <f>VLOOKUP($H$8&amp;$F$1,'Input RM sheet'!$A:$BD,L1,0)</f>
        <v>175</v>
      </c>
      <c r="N8" s="74">
        <f>VLOOKUP($H$8&amp;$F$1,'Input RM sheet'!$A:$BD,M1,0)</f>
        <v>167.5</v>
      </c>
      <c r="O8" s="74">
        <f>VLOOKUP($H$8&amp;$F$1,'Input RM sheet'!$A:$BD,N1,0)</f>
        <v>180</v>
      </c>
      <c r="P8" s="74">
        <f>VLOOKUP($H$8&amp;$F$1,'Input RM sheet'!$A:$BD,O1,0)</f>
        <v>220</v>
      </c>
      <c r="Q8" s="74">
        <f>VLOOKUP($H$8&amp;$F$1,'Input RM sheet'!$A:$BD,P1,0)</f>
        <v>230</v>
      </c>
      <c r="R8" s="74">
        <f>VLOOKUP($H$8&amp;$F$1,'Input RM sheet'!$A:$BD,Q1,0)</f>
        <v>240</v>
      </c>
      <c r="S8" s="74">
        <f>VLOOKUP($H$8&amp;$F$1,'Input RM sheet'!$A:$BD,R1,0)</f>
        <v>270</v>
      </c>
      <c r="T8" s="74">
        <f>VLOOKUP($H$8&amp;$F$1,'Input RM sheet'!$A:$BD,S1,0)</f>
        <v>300</v>
      </c>
      <c r="U8" s="74">
        <f>VLOOKUP($H$8&amp;$F$1,'Input RM sheet'!$A:$BD,T1,0)</f>
        <v>360</v>
      </c>
      <c r="V8" s="74">
        <f>VLOOKUP($H$8&amp;$F$1,'Input RM sheet'!$A:$BD,U1,0)</f>
        <v>365</v>
      </c>
      <c r="W8" s="74">
        <f>VLOOKUP($H$8&amp;$F$1,'Input RM sheet'!$A:$BD,V1,0)</f>
        <v>355</v>
      </c>
      <c r="X8" s="74">
        <f>VLOOKUP($H$8&amp;$F$1,'Input RM sheet'!$A:$BD,W1,0)</f>
        <v>340</v>
      </c>
      <c r="Y8" s="74">
        <f>VLOOKUP($H$8&amp;$F$1,'Input RM sheet'!$A:$BD,X1,0)</f>
        <v>347.5</v>
      </c>
      <c r="Z8" s="74">
        <f>VLOOKUP($H$8&amp;$F$1,'Input RM sheet'!$A:$BD,Y1,0)</f>
        <v>357.5</v>
      </c>
      <c r="AA8" s="74">
        <f>VLOOKUP($H$8&amp;$F$1,'Input RM sheet'!$A:$BD,Z1,0)</f>
        <v>360</v>
      </c>
      <c r="AB8" s="74">
        <f>VLOOKUP($H$8&amp;$F$1,'Input RM sheet'!$A:$BD,AA1,0)</f>
        <v>370</v>
      </c>
      <c r="AC8" s="74">
        <f>VLOOKUP($H$8&amp;$F$1,'Input RM sheet'!$A:$BD,AB1,0)</f>
        <v>390</v>
      </c>
      <c r="AD8" s="74">
        <f>VLOOKUP($H$8&amp;$F$1,'Input RM sheet'!$A:$BD,AC1,0)</f>
        <v>467.5</v>
      </c>
      <c r="AE8" s="74">
        <f>VLOOKUP($H$8&amp;$F$1,'Input RM sheet'!$A:$BD,AD1,0)</f>
        <v>392.5</v>
      </c>
      <c r="AF8" s="74">
        <f>VLOOKUP($H$8&amp;$F$1,'Input RM sheet'!$A:$BD,AE1,0)</f>
        <v>340</v>
      </c>
      <c r="AG8" s="74">
        <f>VLOOKUP($H$8&amp;$F$1,'Input RM sheet'!$A:$BD,AF1,0)</f>
        <v>310</v>
      </c>
      <c r="AH8" s="74">
        <f>VLOOKUP($H$8&amp;$F$1,'Input RM sheet'!$A:$BD,AG1,0)</f>
        <v>390</v>
      </c>
      <c r="AI8" s="74">
        <f>VLOOKUP($H$8&amp;$F$1,'Input RM sheet'!$A:$BD,AH1,0)</f>
        <v>430</v>
      </c>
      <c r="AJ8" s="74">
        <f>VLOOKUP($H$8&amp;$F$1,'Input RM sheet'!$A:$BD,AI1,0)</f>
        <v>390</v>
      </c>
      <c r="AK8" s="74">
        <f>VLOOKUP($H$8&amp;$F$1,'Input RM sheet'!$A:$BD,AJ1,0)</f>
        <v>350</v>
      </c>
      <c r="AL8" s="74">
        <f>VLOOKUP($H$8&amp;$F$1,'Input RM sheet'!$A:$BD,AK1,0)</f>
        <v>340</v>
      </c>
      <c r="AM8" s="74">
        <f>VLOOKUP($H$8&amp;$F$1,'Input RM sheet'!$A:$BD,AL1,0)</f>
        <v>315</v>
      </c>
      <c r="AN8" s="74">
        <f>VLOOKUP($H$8&amp;$F$1,'Input RM sheet'!$A:$BD,AM1,0)</f>
        <v>315</v>
      </c>
      <c r="AO8" s="74">
        <f>VLOOKUP($H$8&amp;$F$1,'Input RM sheet'!$A:$BD,AN1,0)</f>
        <v>315</v>
      </c>
      <c r="AP8" s="74">
        <f>VLOOKUP($H$8&amp;$F$1,'Input RM sheet'!$A:$BD,AO1,0)</f>
        <v>325</v>
      </c>
      <c r="AQ8" s="74">
        <f>VLOOKUP($H$8&amp;$F$1,'Input RM sheet'!$A:$BD,AP1,0)</f>
        <v>325</v>
      </c>
      <c r="AR8" s="74">
        <f>VLOOKUP($H$8&amp;$F$1,'Input RM sheet'!$A:$BD,AQ1,0)</f>
        <v>315</v>
      </c>
      <c r="AS8" s="74">
        <f>VLOOKUP($H$8&amp;$F$1,'Input RM sheet'!$A:$BD,AR1,0)</f>
        <v>325</v>
      </c>
      <c r="AT8" s="74">
        <f>VLOOKUP($H$8&amp;$F$1,'Input RM sheet'!$A:$BD,AS1,0)</f>
        <v>347.5</v>
      </c>
      <c r="AU8" s="74">
        <f>VLOOKUP($H$8&amp;$F$1,'Input RM sheet'!$A:$BD,AT1,0)</f>
        <v>362.5</v>
      </c>
      <c r="AV8" s="74">
        <f>VLOOKUP($H$8&amp;$F$1,'Input RM sheet'!$A:$BD,AU1,0)</f>
        <v>335</v>
      </c>
      <c r="AW8" s="74">
        <f>VLOOKUP($H$8&amp;$F$1,'Input RM sheet'!$A:$BD,AV1,0)</f>
        <v>310</v>
      </c>
      <c r="AX8" s="74">
        <f>VLOOKUP($H$8&amp;$F$1,'Input RM sheet'!$A:$BD,AW1,0)</f>
        <v>300</v>
      </c>
      <c r="AY8" s="74">
        <f>VLOOKUP($H$8&amp;$F$1,'Input RM sheet'!$A:$BD,AX1,0)</f>
        <v>300</v>
      </c>
      <c r="AZ8" s="74">
        <f>VLOOKUP($H$8&amp;$F$1,'Input RM sheet'!$A:$BD,AY1,0)</f>
        <v>290</v>
      </c>
      <c r="BA8" s="74">
        <f>VLOOKUP($H$8&amp;$F$1,'Input RM sheet'!$A:$BD,AZ1,0)</f>
        <v>290</v>
      </c>
      <c r="BB8" s="74">
        <f>VLOOKUP($H$8&amp;$F$1,'Input RM sheet'!$A:$BD,BA1,0)</f>
        <v>290</v>
      </c>
      <c r="BC8" s="74">
        <f>VLOOKUP($H$8&amp;$F$1,'Input RM sheet'!$A:$BD,BB1,0)</f>
        <v>290</v>
      </c>
      <c r="BD8" s="74">
        <f>VLOOKUP($H$8&amp;$F$1,'Input RM sheet'!$A:$BD,BC1,0)</f>
        <v>310</v>
      </c>
      <c r="BE8" s="74">
        <f>VLOOKUP($H$8&amp;$F$1,'Input RM sheet'!$A:$BD,BD1,0)</f>
        <v>310</v>
      </c>
      <c r="BF8" s="74">
        <f>VLOOKUP($H$8&amp;$F$1,'Input RM sheet'!$A:$BD,BE1,0)</f>
        <v>310</v>
      </c>
      <c r="BG8" s="74">
        <f>VLOOKUP($H$8&amp;$F$1,'Input RM sheet'!$A:$DD,BF1,0)</f>
        <v>310</v>
      </c>
      <c r="BH8" s="74">
        <f>VLOOKUP($H$8&amp;$F$1,'Input RM sheet'!$A:$DD,BG1,0)</f>
        <v>310</v>
      </c>
      <c r="BI8" s="74">
        <f>VLOOKUP($H$8&amp;$F$1,'Input RM sheet'!$A:$DD,BH1,0)</f>
        <v>330</v>
      </c>
      <c r="BJ8" s="74">
        <f>VLOOKUP($H$8&amp;$F$1,'Input RM sheet'!$A:$DD,BI1,0)</f>
        <v>330</v>
      </c>
      <c r="BK8" s="74">
        <f>VLOOKUP($H$8&amp;$F$1,'Input RM sheet'!$A:$DD,BJ1,0)</f>
        <v>330</v>
      </c>
      <c r="BL8" s="74">
        <f>VLOOKUP($H$8&amp;$F$1,'Input RM sheet'!$A:$DD,BK1,0)</f>
        <v>330</v>
      </c>
      <c r="BM8" s="74">
        <f>VLOOKUP($H$8&amp;$F$1,'Input RM sheet'!$A:$DD,BL1,0)</f>
        <v>330</v>
      </c>
      <c r="BN8" s="74">
        <f>VLOOKUP($H$8&amp;$F$1,'Input RM sheet'!$A:$DD,BM1,0)</f>
        <v>330</v>
      </c>
      <c r="BO8" s="74">
        <f>VLOOKUP($H$8&amp;$F$1,'Input RM sheet'!$A:$DD,BN1,0)</f>
        <v>330</v>
      </c>
      <c r="BP8" s="74">
        <f>VLOOKUP($H$8&amp;$F$1,'Input RM sheet'!$A:$DD,BO1,0)</f>
        <v>315</v>
      </c>
      <c r="BQ8" s="74">
        <f>VLOOKUP($H$8&amp;$F$1,'Input RM sheet'!$A:$DD,BP1,0)</f>
        <v>315</v>
      </c>
      <c r="BR8" s="74">
        <f>VLOOKUP($H$8&amp;$F$1,'Input RM sheet'!$A:$DD,BQ1,0)</f>
        <v>315</v>
      </c>
      <c r="BS8" s="74">
        <f>VLOOKUP($H$8&amp;$F$1,'Input RM sheet'!$A:$DD,BR1,0)</f>
        <v>315</v>
      </c>
      <c r="BT8" s="74">
        <f>VLOOKUP($H$8&amp;$F$1,'Input RM sheet'!$A:$DD,BS1,0)</f>
        <v>335</v>
      </c>
      <c r="BU8" s="74">
        <f>VLOOKUP($H$8&amp;$F$1,'Input RM sheet'!$A:$DD,BT1,0)</f>
        <v>335</v>
      </c>
      <c r="BV8" s="74">
        <f>VLOOKUP($H$8&amp;$F$1,'Input RM sheet'!$A:$DD,BU1,0)</f>
        <v>335</v>
      </c>
      <c r="BW8" s="74">
        <f>VLOOKUP($H$8&amp;$F$1,'Input RM sheet'!$A:$DD,BV1,0)</f>
        <v>337.5</v>
      </c>
      <c r="BX8" s="74">
        <f>VLOOKUP($H$8&amp;$F$1,'Input RM sheet'!$A:$DD,BW1,0)</f>
        <v>337.5</v>
      </c>
      <c r="BY8" s="74">
        <f>VLOOKUP($H$8&amp;$F$1,'Input RM sheet'!$A:$DD,BX1,0)</f>
        <v>337.5</v>
      </c>
      <c r="BZ8" s="74">
        <f>VLOOKUP($H$8&amp;$F$1,'Input RM sheet'!$A:$DD,BY1,0)</f>
        <v>347.5</v>
      </c>
      <c r="CA8" s="74">
        <f>VLOOKUP($H$8&amp;$F$1,'Input RM sheet'!$A:$DD,BZ1,0)</f>
        <v>347.5</v>
      </c>
      <c r="CB8" s="74">
        <f>VLOOKUP($H$8&amp;$F$1,'Input RM sheet'!$A:$DD,CA1,0)</f>
        <v>347.5</v>
      </c>
      <c r="CC8" s="74">
        <f>VLOOKUP($H$8&amp;$F$1,'Input RM sheet'!$A:$DD,CB1,0)</f>
        <v>347.5</v>
      </c>
      <c r="CD8" s="74">
        <f>VLOOKUP($H$8&amp;$F$1,'Input RM sheet'!$A:$DD,CC1,0)</f>
        <v>347.5</v>
      </c>
      <c r="CE8" s="74">
        <f>VLOOKUP($H$8&amp;$F$1,'Input RM sheet'!$A:$DD,CD1,0)</f>
        <v>347.5</v>
      </c>
      <c r="CF8" s="74">
        <f>VLOOKUP($H$8&amp;$F$1,'Input RM sheet'!$A:$DD,CE1,0)</f>
        <v>347.5</v>
      </c>
      <c r="CG8" s="74">
        <f>VLOOKUP($H$8&amp;$F$1,'Input RM sheet'!$A:$DD,CF1,0)</f>
        <v>355</v>
      </c>
      <c r="CH8" s="74">
        <f>VLOOKUP($H$8&amp;$F$1,'Input RM sheet'!$A:$DD,CG1,0)</f>
        <v>355</v>
      </c>
      <c r="CI8" s="74">
        <f>VLOOKUP($H$8&amp;$F$1,'Input RM sheet'!$A:$DD,CH1,0)</f>
        <v>345</v>
      </c>
      <c r="CJ8" s="74">
        <f>VLOOKUP($H$8&amp;$F$1,'Input RM sheet'!$A:$DD,CI1,0)</f>
        <v>345</v>
      </c>
      <c r="CK8" s="74">
        <f>VLOOKUP($H$8&amp;$F$1,'Input RM sheet'!$A:$DD,CJ1,0)</f>
        <v>345</v>
      </c>
      <c r="CL8" s="74">
        <f>VLOOKUP($H$8&amp;$F$1,'Input RM sheet'!$A:$DD,CK1,0)</f>
        <v>345</v>
      </c>
      <c r="CM8" s="74">
        <f>VLOOKUP($H$8&amp;$F$1,'Input RM sheet'!$A:$DD,CL1,0)</f>
        <v>342.5</v>
      </c>
      <c r="CN8" s="74">
        <f>VLOOKUP($H$8&amp;$F$1,'Input RM sheet'!$A:$DD,CM1,0)</f>
        <v>342.5</v>
      </c>
      <c r="CO8" s="74">
        <f>VLOOKUP($H$8&amp;$F$1,'Input RM sheet'!$A:$DD,CN1,0)</f>
        <v>342.5</v>
      </c>
      <c r="CP8" s="74">
        <f>VLOOKUP($H$8&amp;$F$1,'Input RM sheet'!$A:$DD,CO1,0)</f>
        <v>342.5</v>
      </c>
      <c r="CQ8" s="74">
        <f>VLOOKUP($H$8&amp;$F$1,'Input RM sheet'!$A:$DD,CP1,0)</f>
        <v>342.5</v>
      </c>
      <c r="CR8" s="74">
        <f>VLOOKUP($H$8&amp;$F$1,'Input RM sheet'!$A:$DD,CQ1,0)</f>
        <v>342.5</v>
      </c>
      <c r="CS8" s="74">
        <f>VLOOKUP($H$8&amp;$F$1,'Input RM sheet'!$A:$DD,CR1,0)</f>
        <v>340</v>
      </c>
      <c r="CT8" s="74">
        <f>VLOOKUP($H$8&amp;$F$1,'Input RM sheet'!$A:$DD,CS1,0)</f>
        <v>340</v>
      </c>
      <c r="CU8" s="74">
        <f>VLOOKUP($H$8&amp;$F$1,'Input RM sheet'!$A:$DD,CT1,0)</f>
        <v>340</v>
      </c>
      <c r="CV8" s="74">
        <f>VLOOKUP($H$8&amp;$F$1,'Input RM sheet'!$A:$DD,CU1,0)</f>
        <v>340</v>
      </c>
      <c r="CW8" s="74">
        <f>VLOOKUP($H$8&amp;$F$1,'Input RM sheet'!$A:$DD,CV1,0)</f>
        <v>335</v>
      </c>
      <c r="CX8" s="74">
        <f>VLOOKUP($H$8&amp;$F$1,'Input RM sheet'!$A:$DD,CW1,0)</f>
        <v>335</v>
      </c>
      <c r="CY8" s="74">
        <f>VLOOKUP($H$8&amp;$F$1,'Input RM sheet'!$A:$DD,CX1,0)</f>
        <v>335</v>
      </c>
      <c r="CZ8" s="74">
        <f>VLOOKUP($H$8&amp;$F$1,'Input RM sheet'!$A:$DD,CY1,0)</f>
        <v>335</v>
      </c>
      <c r="DA8" s="74">
        <f>VLOOKUP($H$8&amp;$F$1,'Input RM sheet'!$A:$DD,CZ1,0)</f>
        <v>335</v>
      </c>
      <c r="DB8" s="74">
        <f>VLOOKUP($H$8&amp;$F$1,'Input RM sheet'!$A:$DD,DA1,0)</f>
        <v>335</v>
      </c>
      <c r="DC8" s="74">
        <f>VLOOKUP($H$8&amp;$F$1,'Input RM sheet'!$A:$ZZ,DB1,0)</f>
        <v>335</v>
      </c>
      <c r="DD8" s="74">
        <f>VLOOKUP($H$8&amp;$F$1,'Input RM sheet'!$A:$ZZ,DC1,0)</f>
        <v>335</v>
      </c>
      <c r="DE8" s="74">
        <f>VLOOKUP($H$8&amp;$F$1,'Input RM sheet'!$A:$ZZ,DD1,0)</f>
        <v>335</v>
      </c>
      <c r="DF8" s="74">
        <f>VLOOKUP($H$8&amp;$F$1,'Input RM sheet'!$A:$ZZ,DE1,0)</f>
        <v>335</v>
      </c>
      <c r="DG8" s="74">
        <f>VLOOKUP($H$8&amp;$F$1,'Input RM sheet'!$A:$ZZ,DF1,0)</f>
        <v>335</v>
      </c>
      <c r="DH8" s="74">
        <f>VLOOKUP($H$8&amp;$F$1,'Input RM sheet'!$A:$ZZ,DG1,0)</f>
        <v>335</v>
      </c>
      <c r="DI8" s="74">
        <f>VLOOKUP($H$8&amp;$F$1,'Input RM sheet'!$A:$ZZ,DH1,0)</f>
        <v>335</v>
      </c>
      <c r="DJ8" s="74">
        <f>VLOOKUP($H$8&amp;$F$1,'Input RM sheet'!$A:$ZZ,DI1,0)</f>
        <v>345</v>
      </c>
      <c r="DK8" s="74">
        <f>VLOOKUP($H$8&amp;$F$1,'Input RM sheet'!$A:$ZZ,DJ1,0)</f>
        <v>345</v>
      </c>
      <c r="DL8" s="74">
        <f>VLOOKUP($H$8&amp;$F$1,'Input RM sheet'!$A:$ZZ,DK1,0)</f>
        <v>345</v>
      </c>
      <c r="DM8" s="74">
        <f>VLOOKUP($H$8&amp;$F$1,'Input RM sheet'!$A:$ZZ,DL1,0)</f>
        <v>345</v>
      </c>
      <c r="DN8" s="74">
        <f>VLOOKUP($H$8&amp;$F$1,'Input RM sheet'!$A:$ZZ,DM1,0)</f>
        <v>330</v>
      </c>
      <c r="DO8" s="74">
        <f>VLOOKUP($H$8&amp;$F$1,'Input RM sheet'!$A:$ZZ,DN1,0)</f>
        <v>330</v>
      </c>
      <c r="DP8" s="74">
        <f>VLOOKUP($H$8&amp;$F$1,'Input RM sheet'!$A:$ZZ,DO1,0)</f>
        <v>330</v>
      </c>
      <c r="DQ8" s="74">
        <f>VLOOKUP($H$8&amp;$F$1,'Input RM sheet'!$A:$ZZ,DP1,0)</f>
        <v>330</v>
      </c>
      <c r="DR8" s="74">
        <f>VLOOKUP($H$8&amp;$F$1,'Input RM sheet'!$A:$ZZ,DQ1,0)</f>
        <v>330</v>
      </c>
      <c r="DS8" s="74">
        <f>VLOOKUP($H$8&amp;$F$1,'Input RM sheet'!$A:$ZZ,DR1,0)</f>
        <v>347.5</v>
      </c>
      <c r="DT8" s="74">
        <f>VLOOKUP($H$8&amp;$F$1,'Input RM sheet'!$A:$ZZ,DS1,0)</f>
        <v>0</v>
      </c>
      <c r="DU8" s="74">
        <f>VLOOKUP($H$8&amp;$F$1,'Input RM sheet'!$A:$ZZ,DT1,0)</f>
        <v>0</v>
      </c>
      <c r="DV8" s="74">
        <f>VLOOKUP($H$8&amp;$F$1,'Input RM sheet'!$A:$ZZ,DU1,0)</f>
        <v>0</v>
      </c>
      <c r="DW8" s="74">
        <f>VLOOKUP($H$8&amp;$F$1,'Input RM sheet'!$A:$ZZ,DV1,0)</f>
        <v>0</v>
      </c>
      <c r="DX8" s="74">
        <f>VLOOKUP($H$8&amp;$F$1,'Input RM sheet'!$A:$ZZ,DW1,0)</f>
        <v>0</v>
      </c>
      <c r="DY8" s="74">
        <f>VLOOKUP($H$8&amp;$F$1,'Input RM sheet'!$A:$ZZ,DX1,0)</f>
        <v>0</v>
      </c>
      <c r="DZ8" s="74">
        <f>VLOOKUP($H$8&amp;$F$1,'Input RM sheet'!$A:$ZZ,DY1,0)</f>
        <v>0</v>
      </c>
      <c r="EA8" s="74">
        <f>VLOOKUP($H$8&amp;$F$1,'Input RM sheet'!$A:$ZZ,DZ1,0)</f>
        <v>0</v>
      </c>
      <c r="EB8" s="74">
        <f>VLOOKUP($H$8&amp;$F$1,'Input RM sheet'!$A:$ZZ,EA1,0)</f>
        <v>0</v>
      </c>
      <c r="EC8" s="74">
        <f>VLOOKUP($H$8&amp;$F$1,'Input RM sheet'!$A:$ZZ,EB1,0)</f>
        <v>0</v>
      </c>
      <c r="ED8" s="74">
        <f>VLOOKUP($H$8&amp;$F$1,'Input RM sheet'!$A:$ZZ,EC1,0)</f>
        <v>0</v>
      </c>
      <c r="EE8" s="74">
        <f>VLOOKUP($H$8&amp;$F$1,'Input RM sheet'!$A:$ZZ,ED1,0)</f>
        <v>0</v>
      </c>
      <c r="EF8" s="74">
        <f>VLOOKUP($H$8&amp;$F$1,'Input RM sheet'!$A:$ZZ,EE1,0)</f>
        <v>0</v>
      </c>
      <c r="EG8" s="74">
        <f>VLOOKUP($H$8&amp;$F$1,'Input RM sheet'!$A:$ZZ,EF1,0)</f>
        <v>0</v>
      </c>
      <c r="EH8" s="74">
        <f>VLOOKUP($H$8&amp;$F$1,'Input RM sheet'!$A:$ZZ,EG1,0)</f>
        <v>0</v>
      </c>
      <c r="EI8" s="74">
        <f>VLOOKUP($H$8&amp;$F$1,'Input RM sheet'!$A:$ZZ,EH1,0)</f>
        <v>0</v>
      </c>
      <c r="EJ8" s="74">
        <f>VLOOKUP($H$8&amp;$F$1,'Input RM sheet'!$A:$ZZ,EI1,0)</f>
        <v>0</v>
      </c>
      <c r="EK8" s="74">
        <f>VLOOKUP($H$8&amp;$F$1,'Input RM sheet'!$A:$ZZ,EJ1,0)</f>
        <v>0</v>
      </c>
      <c r="EL8" s="74">
        <f>VLOOKUP($H$8&amp;$F$1,'Input RM sheet'!$A:$ZZ,EK1,0)</f>
        <v>0</v>
      </c>
      <c r="EM8" s="74">
        <f>VLOOKUP($H$8&amp;$F$1,'Input RM sheet'!$A:$ZZ,EL1,0)</f>
        <v>0</v>
      </c>
      <c r="EN8" s="74">
        <f>VLOOKUP($H$8&amp;$F$1,'Input RM sheet'!$A:$ZZ,EM1,0)</f>
        <v>0</v>
      </c>
      <c r="EO8" s="74">
        <f>VLOOKUP($H$8&amp;$F$1,'Input RM sheet'!$A:$ZZ,EN1,0)</f>
        <v>0</v>
      </c>
      <c r="EP8" s="74">
        <f>VLOOKUP($H$8&amp;$F$1,'Input RM sheet'!$A:$ZZ,EO1,0)</f>
        <v>0</v>
      </c>
      <c r="EQ8" s="74">
        <f>VLOOKUP($H$8&amp;$F$1,'Input RM sheet'!$A:$ZZ,EP1,0)</f>
        <v>0</v>
      </c>
      <c r="ER8" s="74">
        <f>VLOOKUP($H$8&amp;$F$1,'Input RM sheet'!$A:$ZZ,EQ1,0)</f>
        <v>0</v>
      </c>
      <c r="ES8" s="74">
        <f>VLOOKUP($H$8&amp;$F$1,'Input RM sheet'!$A:$ZZ,ER1,0)</f>
        <v>0</v>
      </c>
      <c r="ET8" s="74">
        <f>VLOOKUP($H$8&amp;$F$1,'Input RM sheet'!$A:$ZZ,ES1,0)</f>
        <v>0</v>
      </c>
      <c r="EU8" s="74">
        <f>VLOOKUP($H$8&amp;$F$1,'Input RM sheet'!$A:$ZZ,ET1,0)</f>
        <v>0</v>
      </c>
      <c r="EV8" s="74">
        <f>VLOOKUP($H$8&amp;$F$1,'Input RM sheet'!$A:$ZZ,EU1,0)</f>
        <v>0</v>
      </c>
      <c r="EW8" s="74">
        <f>VLOOKUP($H$8&amp;$F$1,'Input RM sheet'!$A:$ZZ,EV1,0)</f>
        <v>0</v>
      </c>
      <c r="EX8" s="74">
        <f>VLOOKUP($H$8&amp;$F$1,'Input RM sheet'!$A:$ZZ,EW1,0)</f>
        <v>0</v>
      </c>
      <c r="EY8" s="74">
        <f>VLOOKUP($H$8&amp;$F$1,'Input RM sheet'!$A:$ZZ,EX1,0)</f>
        <v>0</v>
      </c>
      <c r="EZ8" s="74">
        <f>VLOOKUP($H$8&amp;$F$1,'Input RM sheet'!$A:$ZZ,EY1,0)</f>
        <v>0</v>
      </c>
      <c r="FA8" s="74">
        <f>VLOOKUP($H$8&amp;$F$1,'Input RM sheet'!$A:$ZZ,EZ1,0)</f>
        <v>0</v>
      </c>
      <c r="FB8" s="74">
        <f>VLOOKUP($H$8&amp;$F$1,'Input RM sheet'!$A:$ZZ,FA1,0)</f>
        <v>0</v>
      </c>
      <c r="FC8" s="74">
        <f>VLOOKUP($H$8&amp;$F$1,'Input RM sheet'!$A:$ZZ,FB1,0)</f>
        <v>0</v>
      </c>
      <c r="FD8" s="74">
        <f>VLOOKUP($H$8&amp;$F$1,'Input RM sheet'!$A:$ZZ,FC1,0)</f>
        <v>0</v>
      </c>
    </row>
    <row r="9" spans="1:161" ht="26">
      <c r="A9" s="59" t="s">
        <v>395</v>
      </c>
      <c r="B9" s="59"/>
      <c r="C9" s="59" t="s">
        <v>379</v>
      </c>
      <c r="D9" s="98" t="s">
        <v>380</v>
      </c>
      <c r="E9" s="98" t="s">
        <v>381</v>
      </c>
      <c r="F9" s="59" t="s">
        <v>396</v>
      </c>
      <c r="H9" s="60" t="s">
        <v>399</v>
      </c>
      <c r="I9" s="84"/>
      <c r="J9" s="84"/>
      <c r="K9" s="84"/>
      <c r="L9" s="84"/>
      <c r="M9" s="84"/>
      <c r="N9" s="84"/>
      <c r="O9" s="84"/>
      <c r="P9" s="84"/>
      <c r="Q9" s="84"/>
      <c r="R9" s="84"/>
      <c r="S9" s="84"/>
      <c r="T9" s="84"/>
      <c r="U9" s="84"/>
      <c r="V9" s="84"/>
      <c r="W9" s="84"/>
      <c r="X9" s="84"/>
      <c r="Y9" s="84"/>
      <c r="Z9" s="84"/>
      <c r="AA9" s="84"/>
      <c r="AB9" s="84"/>
      <c r="AC9" s="84"/>
      <c r="AD9" s="84"/>
      <c r="AE9" s="84"/>
      <c r="AF9" s="84"/>
      <c r="AG9" s="84"/>
      <c r="AH9" s="84"/>
      <c r="AI9" s="84"/>
      <c r="AJ9" s="84"/>
      <c r="AK9" s="84"/>
      <c r="AL9" s="84"/>
      <c r="AM9" s="84"/>
      <c r="AN9" s="84"/>
      <c r="AO9" s="84"/>
      <c r="AP9" s="84"/>
      <c r="AQ9" s="84"/>
      <c r="AR9" s="84"/>
      <c r="AS9" s="84"/>
      <c r="AT9" s="84"/>
      <c r="AU9" s="84"/>
    </row>
    <row r="10" spans="1:161" ht="13">
      <c r="A10" s="107" t="s">
        <v>397</v>
      </c>
      <c r="B10" s="280" t="s">
        <v>765</v>
      </c>
      <c r="C10" s="60">
        <v>1</v>
      </c>
      <c r="D10" s="65">
        <v>32.020000000000003</v>
      </c>
      <c r="E10" s="60">
        <f>D10*C10</f>
        <v>32.020000000000003</v>
      </c>
      <c r="F10" s="65">
        <f>E10/E2</f>
        <v>0.63418498712616367</v>
      </c>
      <c r="I10" s="74">
        <f>$F$10*(I8/1000)</f>
        <v>0.16647355912061798</v>
      </c>
      <c r="J10" s="74">
        <f t="shared" ref="J10:AH10" si="0">$F$10*(J8/1000)</f>
        <v>0.20452465834818778</v>
      </c>
      <c r="K10" s="74">
        <f t="shared" si="0"/>
        <v>0.18074272133095662</v>
      </c>
      <c r="L10" s="74">
        <f t="shared" si="0"/>
        <v>0.13317884729649437</v>
      </c>
      <c r="M10" s="74">
        <f t="shared" si="0"/>
        <v>0.11098237274707863</v>
      </c>
      <c r="N10" s="74">
        <f t="shared" si="0"/>
        <v>0.10622598534363242</v>
      </c>
      <c r="O10" s="74">
        <f t="shared" si="0"/>
        <v>0.11415329768270946</v>
      </c>
      <c r="P10" s="74">
        <f t="shared" si="0"/>
        <v>0.139520697167756</v>
      </c>
      <c r="Q10" s="74">
        <f t="shared" si="0"/>
        <v>0.14586254703901766</v>
      </c>
      <c r="R10" s="74">
        <f t="shared" si="0"/>
        <v>0.15220439691027929</v>
      </c>
      <c r="S10" s="74">
        <f t="shared" si="0"/>
        <v>0.1712299465240642</v>
      </c>
      <c r="T10" s="74">
        <f t="shared" si="0"/>
        <v>0.19025549613784909</v>
      </c>
      <c r="U10" s="74">
        <f>$F$10*(U8/1000)</f>
        <v>0.22830659536541892</v>
      </c>
      <c r="V10" s="74">
        <f t="shared" si="0"/>
        <v>0.23147752030104973</v>
      </c>
      <c r="W10" s="74">
        <f t="shared" si="0"/>
        <v>0.2251356704297881</v>
      </c>
      <c r="X10" s="74">
        <f t="shared" si="0"/>
        <v>0.21562289562289566</v>
      </c>
      <c r="Y10" s="74">
        <f t="shared" si="0"/>
        <v>0.22037928302634185</v>
      </c>
      <c r="Z10" s="74">
        <f t="shared" si="0"/>
        <v>0.22672113289760351</v>
      </c>
      <c r="AA10" s="74">
        <f t="shared" si="0"/>
        <v>0.22830659536541892</v>
      </c>
      <c r="AB10" s="74">
        <f>$F$10*(AB8/1000)</f>
        <v>0.23464844523668055</v>
      </c>
      <c r="AC10" s="74">
        <f t="shared" si="0"/>
        <v>0.24733214497920383</v>
      </c>
      <c r="AD10" s="74">
        <f t="shared" si="0"/>
        <v>0.29648148148148151</v>
      </c>
      <c r="AE10" s="74">
        <f t="shared" si="0"/>
        <v>0.24891760744701924</v>
      </c>
      <c r="AF10" s="74">
        <f t="shared" si="0"/>
        <v>0.21562289562289566</v>
      </c>
      <c r="AG10" s="74">
        <f t="shared" si="0"/>
        <v>0.19659734600911075</v>
      </c>
      <c r="AH10" s="74">
        <f t="shared" si="0"/>
        <v>0.24733214497920383</v>
      </c>
      <c r="AI10" s="74">
        <f t="shared" ref="AI10:CS10" si="1">$F$10*(AI8/1000)</f>
        <v>0.27269954446425038</v>
      </c>
      <c r="AJ10" s="74">
        <f t="shared" si="1"/>
        <v>0.24733214497920383</v>
      </c>
      <c r="AK10" s="74">
        <f t="shared" si="1"/>
        <v>0.22196474549415726</v>
      </c>
      <c r="AL10" s="74">
        <f t="shared" si="1"/>
        <v>0.21562289562289566</v>
      </c>
      <c r="AM10" s="74">
        <f t="shared" si="1"/>
        <v>0.19976827094474156</v>
      </c>
      <c r="AN10" s="74">
        <f t="shared" si="1"/>
        <v>0.19976827094474156</v>
      </c>
      <c r="AO10" s="74">
        <f t="shared" si="1"/>
        <v>0.19976827094474156</v>
      </c>
      <c r="AP10" s="74">
        <f t="shared" si="1"/>
        <v>0.20611012081600319</v>
      </c>
      <c r="AQ10" s="74">
        <f t="shared" si="1"/>
        <v>0.20611012081600319</v>
      </c>
      <c r="AR10" s="74">
        <f t="shared" si="1"/>
        <v>0.19976827094474156</v>
      </c>
      <c r="AS10" s="74">
        <f t="shared" si="1"/>
        <v>0.20611012081600319</v>
      </c>
      <c r="AT10" s="74">
        <f t="shared" si="1"/>
        <v>0.22037928302634185</v>
      </c>
      <c r="AU10" s="74">
        <f t="shared" si="1"/>
        <v>0.22989205783323433</v>
      </c>
      <c r="AV10" s="74">
        <f t="shared" si="1"/>
        <v>0.21245197068726485</v>
      </c>
      <c r="AW10" s="74">
        <f t="shared" si="1"/>
        <v>0.19659734600911075</v>
      </c>
      <c r="AX10" s="74">
        <f t="shared" si="1"/>
        <v>0.19025549613784909</v>
      </c>
      <c r="AY10" s="74">
        <f t="shared" si="1"/>
        <v>0.19025549613784909</v>
      </c>
      <c r="AZ10" s="74">
        <f t="shared" si="1"/>
        <v>0.18391364626658746</v>
      </c>
      <c r="BA10" s="74">
        <f t="shared" si="1"/>
        <v>0.18391364626658746</v>
      </c>
      <c r="BB10" s="74">
        <f t="shared" si="1"/>
        <v>0.18391364626658746</v>
      </c>
      <c r="BC10" s="74">
        <f t="shared" si="1"/>
        <v>0.18391364626658746</v>
      </c>
      <c r="BD10" s="74">
        <f t="shared" si="1"/>
        <v>0.19659734600911075</v>
      </c>
      <c r="BE10" s="74">
        <f t="shared" si="1"/>
        <v>0.19659734600911075</v>
      </c>
      <c r="BF10" s="74">
        <f t="shared" si="1"/>
        <v>0.19659734600911075</v>
      </c>
      <c r="BG10" s="74">
        <f t="shared" si="1"/>
        <v>0.19659734600911075</v>
      </c>
      <c r="BH10" s="74">
        <f t="shared" si="1"/>
        <v>0.19659734600911075</v>
      </c>
      <c r="BI10" s="74">
        <f t="shared" si="1"/>
        <v>0.20928104575163403</v>
      </c>
      <c r="BJ10" s="74">
        <f t="shared" si="1"/>
        <v>0.20928104575163403</v>
      </c>
      <c r="BK10" s="74">
        <f t="shared" si="1"/>
        <v>0.20928104575163403</v>
      </c>
      <c r="BL10" s="74">
        <f t="shared" si="1"/>
        <v>0.20928104575163403</v>
      </c>
      <c r="BM10" s="74">
        <f t="shared" si="1"/>
        <v>0.20928104575163403</v>
      </c>
      <c r="BN10" s="74">
        <f t="shared" si="1"/>
        <v>0.20928104575163403</v>
      </c>
      <c r="BO10" s="74">
        <f t="shared" si="1"/>
        <v>0.20928104575163403</v>
      </c>
      <c r="BP10" s="74">
        <f t="shared" si="1"/>
        <v>0.19976827094474156</v>
      </c>
      <c r="BQ10" s="74">
        <f t="shared" si="1"/>
        <v>0.19976827094474156</v>
      </c>
      <c r="BR10" s="74">
        <f t="shared" si="1"/>
        <v>0.19976827094474156</v>
      </c>
      <c r="BS10" s="74">
        <f t="shared" si="1"/>
        <v>0.19976827094474156</v>
      </c>
      <c r="BT10" s="74">
        <f t="shared" si="1"/>
        <v>0.21245197068726485</v>
      </c>
      <c r="BU10" s="74">
        <f t="shared" si="1"/>
        <v>0.21245197068726485</v>
      </c>
      <c r="BV10" s="74">
        <f t="shared" si="1"/>
        <v>0.21245197068726485</v>
      </c>
      <c r="BW10" s="74">
        <f t="shared" si="1"/>
        <v>0.21403743315508025</v>
      </c>
      <c r="BX10" s="74">
        <f t="shared" si="1"/>
        <v>0.21403743315508025</v>
      </c>
      <c r="BY10" s="74">
        <f t="shared" si="1"/>
        <v>0.21403743315508025</v>
      </c>
      <c r="BZ10" s="74">
        <f t="shared" si="1"/>
        <v>0.22037928302634185</v>
      </c>
      <c r="CA10" s="74">
        <f t="shared" si="1"/>
        <v>0.22037928302634185</v>
      </c>
      <c r="CB10" s="74">
        <f t="shared" si="1"/>
        <v>0.22037928302634185</v>
      </c>
      <c r="CC10" s="74">
        <f t="shared" si="1"/>
        <v>0.22037928302634185</v>
      </c>
      <c r="CD10" s="74">
        <f t="shared" si="1"/>
        <v>0.22037928302634185</v>
      </c>
      <c r="CE10" s="74">
        <f t="shared" si="1"/>
        <v>0.22037928302634185</v>
      </c>
      <c r="CF10" s="74">
        <f t="shared" si="1"/>
        <v>0.22037928302634185</v>
      </c>
      <c r="CG10" s="74">
        <f t="shared" si="1"/>
        <v>0.2251356704297881</v>
      </c>
      <c r="CH10" s="74">
        <f t="shared" si="1"/>
        <v>0.2251356704297881</v>
      </c>
      <c r="CI10" s="74">
        <f t="shared" si="1"/>
        <v>0.21879382055852645</v>
      </c>
      <c r="CJ10" s="74">
        <f t="shared" si="1"/>
        <v>0.21879382055852645</v>
      </c>
      <c r="CK10" s="74">
        <f t="shared" si="1"/>
        <v>0.21879382055852645</v>
      </c>
      <c r="CL10" s="74">
        <f t="shared" si="1"/>
        <v>0.21879382055852645</v>
      </c>
      <c r="CM10" s="74">
        <f t="shared" si="1"/>
        <v>0.21720835809071107</v>
      </c>
      <c r="CN10" s="74">
        <f t="shared" si="1"/>
        <v>0.21720835809071107</v>
      </c>
      <c r="CO10" s="74">
        <f t="shared" si="1"/>
        <v>0.21720835809071107</v>
      </c>
      <c r="CP10" s="74">
        <f t="shared" si="1"/>
        <v>0.21720835809071107</v>
      </c>
      <c r="CQ10" s="74">
        <f t="shared" si="1"/>
        <v>0.21720835809071107</v>
      </c>
      <c r="CR10" s="74">
        <f t="shared" si="1"/>
        <v>0.21720835809071107</v>
      </c>
      <c r="CS10" s="74">
        <f t="shared" si="1"/>
        <v>0.21562289562289566</v>
      </c>
      <c r="CT10" s="74">
        <f t="shared" ref="CT10:FD10" si="2">$F$10*(CT8/1000)</f>
        <v>0.21562289562289566</v>
      </c>
      <c r="CU10" s="74">
        <f t="shared" si="2"/>
        <v>0.21562289562289566</v>
      </c>
      <c r="CV10" s="74">
        <f t="shared" si="2"/>
        <v>0.21562289562289566</v>
      </c>
      <c r="CW10" s="74">
        <f t="shared" si="2"/>
        <v>0.21245197068726485</v>
      </c>
      <c r="CX10" s="74">
        <f t="shared" si="2"/>
        <v>0.21245197068726485</v>
      </c>
      <c r="CY10" s="74">
        <f t="shared" si="2"/>
        <v>0.21245197068726485</v>
      </c>
      <c r="CZ10" s="74">
        <f t="shared" si="2"/>
        <v>0.21245197068726485</v>
      </c>
      <c r="DA10" s="74">
        <f t="shared" si="2"/>
        <v>0.21245197068726485</v>
      </c>
      <c r="DB10" s="74">
        <f t="shared" si="2"/>
        <v>0.21245197068726485</v>
      </c>
      <c r="DC10" s="74">
        <f t="shared" si="2"/>
        <v>0.21245197068726485</v>
      </c>
      <c r="DD10" s="74">
        <f t="shared" si="2"/>
        <v>0.21245197068726485</v>
      </c>
      <c r="DE10" s="74">
        <f t="shared" si="2"/>
        <v>0.21245197068726485</v>
      </c>
      <c r="DF10" s="74">
        <f t="shared" si="2"/>
        <v>0.21245197068726485</v>
      </c>
      <c r="DG10" s="74">
        <f t="shared" si="2"/>
        <v>0.21245197068726485</v>
      </c>
      <c r="DH10" s="74">
        <f t="shared" si="2"/>
        <v>0.21245197068726485</v>
      </c>
      <c r="DI10" s="74">
        <f t="shared" si="2"/>
        <v>0.21245197068726485</v>
      </c>
      <c r="DJ10" s="74">
        <f t="shared" si="2"/>
        <v>0.21879382055852645</v>
      </c>
      <c r="DK10" s="74">
        <f t="shared" si="2"/>
        <v>0.21879382055852645</v>
      </c>
      <c r="DL10" s="74">
        <f t="shared" si="2"/>
        <v>0.21879382055852645</v>
      </c>
      <c r="DM10" s="74">
        <f t="shared" si="2"/>
        <v>0.21879382055852645</v>
      </c>
      <c r="DN10" s="74">
        <f t="shared" si="2"/>
        <v>0.20928104575163403</v>
      </c>
      <c r="DO10" s="74">
        <f t="shared" si="2"/>
        <v>0.20928104575163403</v>
      </c>
      <c r="DP10" s="74">
        <f t="shared" si="2"/>
        <v>0.20928104575163403</v>
      </c>
      <c r="DQ10" s="74">
        <f t="shared" si="2"/>
        <v>0.20928104575163403</v>
      </c>
      <c r="DR10" s="74">
        <f t="shared" si="2"/>
        <v>0.20928104575163403</v>
      </c>
      <c r="DS10" s="74">
        <f t="shared" si="2"/>
        <v>0.22037928302634185</v>
      </c>
      <c r="DT10" s="74">
        <f t="shared" si="2"/>
        <v>0</v>
      </c>
      <c r="DU10" s="74">
        <f t="shared" si="2"/>
        <v>0</v>
      </c>
      <c r="DV10" s="74">
        <f t="shared" si="2"/>
        <v>0</v>
      </c>
      <c r="DW10" s="74">
        <f t="shared" si="2"/>
        <v>0</v>
      </c>
      <c r="DX10" s="74">
        <f t="shared" si="2"/>
        <v>0</v>
      </c>
      <c r="DY10" s="74">
        <f t="shared" si="2"/>
        <v>0</v>
      </c>
      <c r="DZ10" s="74">
        <f t="shared" si="2"/>
        <v>0</v>
      </c>
      <c r="EA10" s="74">
        <f t="shared" si="2"/>
        <v>0</v>
      </c>
      <c r="EB10" s="74">
        <f t="shared" si="2"/>
        <v>0</v>
      </c>
      <c r="EC10" s="74">
        <f t="shared" si="2"/>
        <v>0</v>
      </c>
      <c r="ED10" s="74">
        <f t="shared" si="2"/>
        <v>0</v>
      </c>
      <c r="EE10" s="74">
        <f t="shared" si="2"/>
        <v>0</v>
      </c>
      <c r="EF10" s="74">
        <f t="shared" si="2"/>
        <v>0</v>
      </c>
      <c r="EG10" s="74">
        <f t="shared" si="2"/>
        <v>0</v>
      </c>
      <c r="EH10" s="74">
        <f t="shared" si="2"/>
        <v>0</v>
      </c>
      <c r="EI10" s="74">
        <f t="shared" si="2"/>
        <v>0</v>
      </c>
      <c r="EJ10" s="74">
        <f t="shared" si="2"/>
        <v>0</v>
      </c>
      <c r="EK10" s="74">
        <f t="shared" si="2"/>
        <v>0</v>
      </c>
      <c r="EL10" s="74">
        <f t="shared" si="2"/>
        <v>0</v>
      </c>
      <c r="EM10" s="74">
        <f t="shared" si="2"/>
        <v>0</v>
      </c>
      <c r="EN10" s="74">
        <f t="shared" si="2"/>
        <v>0</v>
      </c>
      <c r="EO10" s="74">
        <f t="shared" si="2"/>
        <v>0</v>
      </c>
      <c r="EP10" s="74">
        <f t="shared" si="2"/>
        <v>0</v>
      </c>
      <c r="EQ10" s="74">
        <f t="shared" si="2"/>
        <v>0</v>
      </c>
      <c r="ER10" s="74">
        <f t="shared" si="2"/>
        <v>0</v>
      </c>
      <c r="ES10" s="74">
        <f t="shared" si="2"/>
        <v>0</v>
      </c>
      <c r="ET10" s="74">
        <f t="shared" si="2"/>
        <v>0</v>
      </c>
      <c r="EU10" s="74">
        <f t="shared" si="2"/>
        <v>0</v>
      </c>
      <c r="EV10" s="74">
        <f t="shared" si="2"/>
        <v>0</v>
      </c>
      <c r="EW10" s="74">
        <f t="shared" si="2"/>
        <v>0</v>
      </c>
      <c r="EX10" s="74">
        <f t="shared" si="2"/>
        <v>0</v>
      </c>
      <c r="EY10" s="74">
        <f t="shared" si="2"/>
        <v>0</v>
      </c>
      <c r="EZ10" s="74">
        <f t="shared" si="2"/>
        <v>0</v>
      </c>
      <c r="FA10" s="74">
        <f t="shared" si="2"/>
        <v>0</v>
      </c>
      <c r="FB10" s="74">
        <f t="shared" si="2"/>
        <v>0</v>
      </c>
      <c r="FC10" s="74">
        <f t="shared" si="2"/>
        <v>0</v>
      </c>
      <c r="FD10" s="74">
        <f t="shared" si="2"/>
        <v>0</v>
      </c>
    </row>
    <row r="11" spans="1:161">
      <c r="A11" s="67"/>
      <c r="B11" s="280"/>
      <c r="D11" s="65"/>
      <c r="F11" s="65"/>
      <c r="I11" s="74"/>
      <c r="J11" s="74"/>
      <c r="K11" s="74"/>
      <c r="L11" s="74"/>
      <c r="M11" s="74"/>
      <c r="N11" s="74"/>
      <c r="O11" s="74"/>
      <c r="P11" s="74"/>
      <c r="Q11" s="74"/>
      <c r="R11" s="74"/>
      <c r="S11" s="74"/>
      <c r="T11" s="74"/>
      <c r="U11" s="74"/>
      <c r="V11" s="74"/>
      <c r="W11" s="74"/>
      <c r="X11" s="74"/>
      <c r="Y11" s="74"/>
      <c r="Z11" s="74"/>
      <c r="AA11" s="74"/>
      <c r="AB11" s="74"/>
      <c r="AC11" s="74"/>
      <c r="AD11" s="74"/>
      <c r="AE11" s="74"/>
      <c r="AF11" s="74"/>
      <c r="AG11" s="74"/>
      <c r="AH11" s="74"/>
      <c r="AI11" s="74"/>
      <c r="AJ11" s="74"/>
      <c r="AK11" s="74"/>
      <c r="AL11" s="74"/>
      <c r="AM11" s="74"/>
      <c r="AN11" s="74"/>
      <c r="AO11" s="74"/>
      <c r="AP11" s="74"/>
      <c r="AQ11" s="74"/>
      <c r="AR11" s="74"/>
      <c r="AS11" s="74"/>
      <c r="AT11" s="74"/>
      <c r="AU11" s="74"/>
      <c r="AV11" s="74"/>
      <c r="AW11" s="74"/>
      <c r="AX11" s="74"/>
      <c r="AY11" s="74"/>
      <c r="AZ11" s="74"/>
      <c r="BA11" s="74"/>
      <c r="BB11" s="74"/>
      <c r="BC11" s="74"/>
      <c r="BD11" s="74"/>
      <c r="BE11" s="74"/>
      <c r="BF11" s="74"/>
      <c r="BG11" s="74"/>
      <c r="BH11" s="74"/>
      <c r="BI11" s="74"/>
      <c r="BJ11" s="74"/>
      <c r="BK11" s="74"/>
      <c r="BL11" s="74"/>
      <c r="BM11" s="74"/>
      <c r="BN11" s="74"/>
      <c r="BO11" s="74"/>
      <c r="BP11" s="74"/>
      <c r="BQ11" s="74"/>
      <c r="BR11" s="74"/>
      <c r="BS11" s="74"/>
      <c r="BT11" s="74"/>
      <c r="BU11" s="74"/>
      <c r="BV11" s="74"/>
      <c r="BW11" s="74"/>
      <c r="BX11" s="74"/>
      <c r="BY11" s="74"/>
      <c r="BZ11" s="74"/>
      <c r="CA11" s="74"/>
      <c r="CB11" s="74"/>
      <c r="CC11" s="74"/>
      <c r="CD11" s="74"/>
      <c r="CE11" s="74"/>
      <c r="CF11" s="74"/>
      <c r="CG11" s="74"/>
      <c r="CH11" s="74"/>
      <c r="CI11" s="74"/>
      <c r="CJ11" s="74"/>
      <c r="CK11" s="74"/>
      <c r="CL11" s="74"/>
      <c r="CM11" s="74"/>
      <c r="CN11" s="74"/>
      <c r="CO11" s="74"/>
      <c r="CP11" s="74"/>
      <c r="CQ11" s="74"/>
      <c r="CR11" s="74"/>
      <c r="CS11" s="74"/>
      <c r="CT11" s="74"/>
      <c r="CU11" s="74"/>
      <c r="CV11" s="74"/>
      <c r="CW11" s="74"/>
      <c r="CX11" s="74"/>
      <c r="CY11" s="74"/>
      <c r="CZ11" s="74"/>
      <c r="DA11" s="74"/>
      <c r="DB11" s="74"/>
      <c r="DC11" s="74"/>
      <c r="DD11" s="74"/>
      <c r="DE11" s="74"/>
      <c r="DF11" s="74"/>
      <c r="DG11" s="74"/>
      <c r="DH11" s="74"/>
      <c r="DI11" s="74"/>
      <c r="DJ11" s="74"/>
      <c r="DK11" s="74"/>
      <c r="DL11" s="74"/>
      <c r="DM11" s="74"/>
      <c r="DN11" s="74"/>
      <c r="DO11" s="74"/>
      <c r="DP11" s="74"/>
      <c r="DQ11" s="74"/>
      <c r="DR11" s="74"/>
      <c r="DS11" s="74"/>
      <c r="DT11" s="74"/>
      <c r="DU11" s="74"/>
      <c r="DV11" s="74"/>
      <c r="DW11" s="74"/>
      <c r="DX11" s="74"/>
      <c r="DY11" s="74"/>
      <c r="DZ11" s="74"/>
      <c r="EA11" s="74"/>
      <c r="EB11" s="74"/>
      <c r="EC11" s="74"/>
      <c r="ED11" s="74"/>
      <c r="EE11" s="74"/>
      <c r="EF11" s="74"/>
      <c r="EG11" s="74"/>
      <c r="EH11" s="74"/>
      <c r="EI11" s="74"/>
      <c r="EJ11" s="74"/>
      <c r="EK11" s="74"/>
      <c r="EL11" s="74"/>
      <c r="EM11" s="74"/>
      <c r="EN11" s="74"/>
      <c r="EO11" s="74"/>
      <c r="EP11" s="74"/>
      <c r="EQ11" s="74"/>
      <c r="ER11" s="74"/>
      <c r="ES11" s="74"/>
      <c r="ET11" s="74"/>
      <c r="EU11" s="74"/>
      <c r="EV11" s="74"/>
      <c r="EW11" s="74"/>
      <c r="EX11" s="74"/>
      <c r="EY11" s="74"/>
      <c r="EZ11" s="74"/>
      <c r="FA11" s="74"/>
      <c r="FB11" s="74"/>
      <c r="FC11" s="74"/>
      <c r="FD11" s="74"/>
    </row>
    <row r="12" spans="1:161" s="104" customFormat="1">
      <c r="A12" s="104" t="s">
        <v>400</v>
      </c>
      <c r="H12" s="60"/>
      <c r="I12" s="105">
        <f>SUM(I10:I11)</f>
        <v>0.16647355912061798</v>
      </c>
      <c r="J12" s="105">
        <f t="shared" ref="J12:BU12" si="3">SUM(J10:J11)</f>
        <v>0.20452465834818778</v>
      </c>
      <c r="K12" s="105">
        <f t="shared" si="3"/>
        <v>0.18074272133095662</v>
      </c>
      <c r="L12" s="105">
        <f t="shared" si="3"/>
        <v>0.13317884729649437</v>
      </c>
      <c r="M12" s="105">
        <f t="shared" si="3"/>
        <v>0.11098237274707863</v>
      </c>
      <c r="N12" s="105">
        <f t="shared" si="3"/>
        <v>0.10622598534363242</v>
      </c>
      <c r="O12" s="105">
        <f t="shared" si="3"/>
        <v>0.11415329768270946</v>
      </c>
      <c r="P12" s="105">
        <f t="shared" si="3"/>
        <v>0.139520697167756</v>
      </c>
      <c r="Q12" s="105">
        <f t="shared" si="3"/>
        <v>0.14586254703901766</v>
      </c>
      <c r="R12" s="105">
        <f t="shared" si="3"/>
        <v>0.15220439691027929</v>
      </c>
      <c r="S12" s="105">
        <f t="shared" si="3"/>
        <v>0.1712299465240642</v>
      </c>
      <c r="T12" s="105">
        <f t="shared" si="3"/>
        <v>0.19025549613784909</v>
      </c>
      <c r="U12" s="105">
        <f t="shared" si="3"/>
        <v>0.22830659536541892</v>
      </c>
      <c r="V12" s="105">
        <f t="shared" si="3"/>
        <v>0.23147752030104973</v>
      </c>
      <c r="W12" s="105">
        <f t="shared" si="3"/>
        <v>0.2251356704297881</v>
      </c>
      <c r="X12" s="105">
        <f t="shared" si="3"/>
        <v>0.21562289562289566</v>
      </c>
      <c r="Y12" s="105">
        <f t="shared" si="3"/>
        <v>0.22037928302634185</v>
      </c>
      <c r="Z12" s="105">
        <f t="shared" si="3"/>
        <v>0.22672113289760351</v>
      </c>
      <c r="AA12" s="105">
        <f t="shared" si="3"/>
        <v>0.22830659536541892</v>
      </c>
      <c r="AB12" s="105">
        <f t="shared" si="3"/>
        <v>0.23464844523668055</v>
      </c>
      <c r="AC12" s="105">
        <f t="shared" si="3"/>
        <v>0.24733214497920383</v>
      </c>
      <c r="AD12" s="105">
        <f t="shared" si="3"/>
        <v>0.29648148148148151</v>
      </c>
      <c r="AE12" s="105">
        <f t="shared" si="3"/>
        <v>0.24891760744701924</v>
      </c>
      <c r="AF12" s="105">
        <f t="shared" si="3"/>
        <v>0.21562289562289566</v>
      </c>
      <c r="AG12" s="105">
        <f t="shared" si="3"/>
        <v>0.19659734600911075</v>
      </c>
      <c r="AH12" s="105">
        <f t="shared" si="3"/>
        <v>0.24733214497920383</v>
      </c>
      <c r="AI12" s="105">
        <f t="shared" si="3"/>
        <v>0.27269954446425038</v>
      </c>
      <c r="AJ12" s="105">
        <f t="shared" si="3"/>
        <v>0.24733214497920383</v>
      </c>
      <c r="AK12" s="105">
        <f t="shared" si="3"/>
        <v>0.22196474549415726</v>
      </c>
      <c r="AL12" s="105">
        <f t="shared" si="3"/>
        <v>0.21562289562289566</v>
      </c>
      <c r="AM12" s="105">
        <f t="shared" si="3"/>
        <v>0.19976827094474156</v>
      </c>
      <c r="AN12" s="105">
        <f t="shared" si="3"/>
        <v>0.19976827094474156</v>
      </c>
      <c r="AO12" s="105">
        <f t="shared" si="3"/>
        <v>0.19976827094474156</v>
      </c>
      <c r="AP12" s="105">
        <f t="shared" si="3"/>
        <v>0.20611012081600319</v>
      </c>
      <c r="AQ12" s="105">
        <f t="shared" si="3"/>
        <v>0.20611012081600319</v>
      </c>
      <c r="AR12" s="105">
        <f t="shared" si="3"/>
        <v>0.19976827094474156</v>
      </c>
      <c r="AS12" s="105">
        <f t="shared" si="3"/>
        <v>0.20611012081600319</v>
      </c>
      <c r="AT12" s="105">
        <f t="shared" si="3"/>
        <v>0.22037928302634185</v>
      </c>
      <c r="AU12" s="105">
        <f t="shared" si="3"/>
        <v>0.22989205783323433</v>
      </c>
      <c r="AV12" s="105">
        <f t="shared" si="3"/>
        <v>0.21245197068726485</v>
      </c>
      <c r="AW12" s="105">
        <f t="shared" si="3"/>
        <v>0.19659734600911075</v>
      </c>
      <c r="AX12" s="105">
        <f t="shared" si="3"/>
        <v>0.19025549613784909</v>
      </c>
      <c r="AY12" s="105">
        <f t="shared" si="3"/>
        <v>0.19025549613784909</v>
      </c>
      <c r="AZ12" s="105">
        <f t="shared" si="3"/>
        <v>0.18391364626658746</v>
      </c>
      <c r="BA12" s="105">
        <f t="shared" si="3"/>
        <v>0.18391364626658746</v>
      </c>
      <c r="BB12" s="105">
        <f t="shared" si="3"/>
        <v>0.18391364626658746</v>
      </c>
      <c r="BC12" s="105">
        <f t="shared" si="3"/>
        <v>0.18391364626658746</v>
      </c>
      <c r="BD12" s="105">
        <f t="shared" si="3"/>
        <v>0.19659734600911075</v>
      </c>
      <c r="BE12" s="105">
        <f t="shared" si="3"/>
        <v>0.19659734600911075</v>
      </c>
      <c r="BF12" s="105">
        <f t="shared" si="3"/>
        <v>0.19659734600911075</v>
      </c>
      <c r="BG12" s="105">
        <f t="shared" si="3"/>
        <v>0.19659734600911075</v>
      </c>
      <c r="BH12" s="105">
        <f t="shared" si="3"/>
        <v>0.19659734600911075</v>
      </c>
      <c r="BI12" s="105">
        <f t="shared" si="3"/>
        <v>0.20928104575163403</v>
      </c>
      <c r="BJ12" s="105">
        <f t="shared" si="3"/>
        <v>0.20928104575163403</v>
      </c>
      <c r="BK12" s="105">
        <f t="shared" si="3"/>
        <v>0.20928104575163403</v>
      </c>
      <c r="BL12" s="105">
        <f t="shared" si="3"/>
        <v>0.20928104575163403</v>
      </c>
      <c r="BM12" s="105">
        <f t="shared" si="3"/>
        <v>0.20928104575163403</v>
      </c>
      <c r="BN12" s="105">
        <f t="shared" si="3"/>
        <v>0.20928104575163403</v>
      </c>
      <c r="BO12" s="105">
        <f t="shared" si="3"/>
        <v>0.20928104575163403</v>
      </c>
      <c r="BP12" s="105">
        <f t="shared" si="3"/>
        <v>0.19976827094474156</v>
      </c>
      <c r="BQ12" s="105">
        <f t="shared" si="3"/>
        <v>0.19976827094474156</v>
      </c>
      <c r="BR12" s="105">
        <f t="shared" si="3"/>
        <v>0.19976827094474156</v>
      </c>
      <c r="BS12" s="105">
        <f t="shared" si="3"/>
        <v>0.19976827094474156</v>
      </c>
      <c r="BT12" s="105">
        <f t="shared" si="3"/>
        <v>0.21245197068726485</v>
      </c>
      <c r="BU12" s="105">
        <f t="shared" si="3"/>
        <v>0.21245197068726485</v>
      </c>
      <c r="BV12" s="105">
        <f t="shared" ref="BV12:CH12" si="4">SUM(BV10:BV11)</f>
        <v>0.21245197068726485</v>
      </c>
      <c r="BW12" s="105">
        <f t="shared" si="4"/>
        <v>0.21403743315508025</v>
      </c>
      <c r="BX12" s="105">
        <f t="shared" si="4"/>
        <v>0.21403743315508025</v>
      </c>
      <c r="BY12" s="105">
        <f t="shared" si="4"/>
        <v>0.21403743315508025</v>
      </c>
      <c r="BZ12" s="105">
        <f t="shared" si="4"/>
        <v>0.22037928302634185</v>
      </c>
      <c r="CA12" s="105">
        <f t="shared" si="4"/>
        <v>0.22037928302634185</v>
      </c>
      <c r="CB12" s="105">
        <f t="shared" si="4"/>
        <v>0.22037928302634185</v>
      </c>
      <c r="CC12" s="105">
        <f t="shared" si="4"/>
        <v>0.22037928302634185</v>
      </c>
      <c r="CD12" s="105">
        <f t="shared" si="4"/>
        <v>0.22037928302634185</v>
      </c>
      <c r="CE12" s="105">
        <f t="shared" si="4"/>
        <v>0.22037928302634185</v>
      </c>
      <c r="CF12" s="105">
        <f t="shared" si="4"/>
        <v>0.22037928302634185</v>
      </c>
      <c r="CG12" s="105">
        <f t="shared" si="4"/>
        <v>0.2251356704297881</v>
      </c>
      <c r="CH12" s="105">
        <f t="shared" si="4"/>
        <v>0.2251356704297881</v>
      </c>
      <c r="CI12" s="105">
        <f>SUM(CI10:CI11)</f>
        <v>0.21879382055852645</v>
      </c>
      <c r="CJ12" s="105">
        <f>SUM(CJ10:CJ11)</f>
        <v>0.21879382055852645</v>
      </c>
      <c r="CK12" s="105">
        <f>SUM(CK10:CK11)</f>
        <v>0.21879382055852645</v>
      </c>
      <c r="CL12" s="105">
        <f t="shared" ref="CL12:EW12" si="5">SUM(CL10:CL11)</f>
        <v>0.21879382055852645</v>
      </c>
      <c r="CM12" s="105">
        <f t="shared" si="5"/>
        <v>0.21720835809071107</v>
      </c>
      <c r="CN12" s="105">
        <f t="shared" si="5"/>
        <v>0.21720835809071107</v>
      </c>
      <c r="CO12" s="105">
        <f t="shared" si="5"/>
        <v>0.21720835809071107</v>
      </c>
      <c r="CP12" s="105">
        <f t="shared" si="5"/>
        <v>0.21720835809071107</v>
      </c>
      <c r="CQ12" s="105">
        <f t="shared" si="5"/>
        <v>0.21720835809071107</v>
      </c>
      <c r="CR12" s="105">
        <f t="shared" si="5"/>
        <v>0.21720835809071107</v>
      </c>
      <c r="CS12" s="105">
        <f t="shared" si="5"/>
        <v>0.21562289562289566</v>
      </c>
      <c r="CT12" s="105">
        <f t="shared" si="5"/>
        <v>0.21562289562289566</v>
      </c>
      <c r="CU12" s="105">
        <f t="shared" si="5"/>
        <v>0.21562289562289566</v>
      </c>
      <c r="CV12" s="105">
        <f t="shared" si="5"/>
        <v>0.21562289562289566</v>
      </c>
      <c r="CW12" s="105">
        <f t="shared" si="5"/>
        <v>0.21245197068726485</v>
      </c>
      <c r="CX12" s="105">
        <f t="shared" si="5"/>
        <v>0.21245197068726485</v>
      </c>
      <c r="CY12" s="105">
        <f t="shared" si="5"/>
        <v>0.21245197068726485</v>
      </c>
      <c r="CZ12" s="105">
        <f t="shared" si="5"/>
        <v>0.21245197068726485</v>
      </c>
      <c r="DA12" s="105">
        <f t="shared" si="5"/>
        <v>0.21245197068726485</v>
      </c>
      <c r="DB12" s="105">
        <f t="shared" si="5"/>
        <v>0.21245197068726485</v>
      </c>
      <c r="DC12" s="105">
        <f t="shared" si="5"/>
        <v>0.21245197068726485</v>
      </c>
      <c r="DD12" s="105">
        <f t="shared" si="5"/>
        <v>0.21245197068726485</v>
      </c>
      <c r="DE12" s="105">
        <f t="shared" si="5"/>
        <v>0.21245197068726485</v>
      </c>
      <c r="DF12" s="105">
        <f t="shared" si="5"/>
        <v>0.21245197068726485</v>
      </c>
      <c r="DG12" s="105">
        <f t="shared" si="5"/>
        <v>0.21245197068726485</v>
      </c>
      <c r="DH12" s="105">
        <f t="shared" si="5"/>
        <v>0.21245197068726485</v>
      </c>
      <c r="DI12" s="105">
        <f t="shared" si="5"/>
        <v>0.21245197068726485</v>
      </c>
      <c r="DJ12" s="105">
        <f t="shared" si="5"/>
        <v>0.21879382055852645</v>
      </c>
      <c r="DK12" s="105">
        <f t="shared" si="5"/>
        <v>0.21879382055852645</v>
      </c>
      <c r="DL12" s="105">
        <f t="shared" si="5"/>
        <v>0.21879382055852645</v>
      </c>
      <c r="DM12" s="105">
        <f t="shared" si="5"/>
        <v>0.21879382055852645</v>
      </c>
      <c r="DN12" s="105">
        <f t="shared" si="5"/>
        <v>0.20928104575163403</v>
      </c>
      <c r="DO12" s="105">
        <f t="shared" si="5"/>
        <v>0.20928104575163403</v>
      </c>
      <c r="DP12" s="105">
        <f t="shared" si="5"/>
        <v>0.20928104575163403</v>
      </c>
      <c r="DQ12" s="105">
        <f t="shared" si="5"/>
        <v>0.20928104575163403</v>
      </c>
      <c r="DR12" s="105">
        <f t="shared" si="5"/>
        <v>0.20928104575163403</v>
      </c>
      <c r="DS12" s="105">
        <f t="shared" si="5"/>
        <v>0.22037928302634185</v>
      </c>
      <c r="DT12" s="105">
        <f t="shared" si="5"/>
        <v>0</v>
      </c>
      <c r="DU12" s="105">
        <f t="shared" si="5"/>
        <v>0</v>
      </c>
      <c r="DV12" s="105">
        <f t="shared" si="5"/>
        <v>0</v>
      </c>
      <c r="DW12" s="105">
        <f t="shared" si="5"/>
        <v>0</v>
      </c>
      <c r="DX12" s="105">
        <f t="shared" si="5"/>
        <v>0</v>
      </c>
      <c r="DY12" s="105">
        <f t="shared" si="5"/>
        <v>0</v>
      </c>
      <c r="DZ12" s="105">
        <f t="shared" si="5"/>
        <v>0</v>
      </c>
      <c r="EA12" s="105">
        <f t="shared" si="5"/>
        <v>0</v>
      </c>
      <c r="EB12" s="105">
        <f t="shared" si="5"/>
        <v>0</v>
      </c>
      <c r="EC12" s="105">
        <f t="shared" si="5"/>
        <v>0</v>
      </c>
      <c r="ED12" s="105">
        <f t="shared" si="5"/>
        <v>0</v>
      </c>
      <c r="EE12" s="105">
        <f t="shared" si="5"/>
        <v>0</v>
      </c>
      <c r="EF12" s="105">
        <f t="shared" si="5"/>
        <v>0</v>
      </c>
      <c r="EG12" s="105">
        <f t="shared" si="5"/>
        <v>0</v>
      </c>
      <c r="EH12" s="105">
        <f t="shared" si="5"/>
        <v>0</v>
      </c>
      <c r="EI12" s="105">
        <f t="shared" si="5"/>
        <v>0</v>
      </c>
      <c r="EJ12" s="105">
        <f t="shared" si="5"/>
        <v>0</v>
      </c>
      <c r="EK12" s="105">
        <f t="shared" si="5"/>
        <v>0</v>
      </c>
      <c r="EL12" s="105">
        <f t="shared" si="5"/>
        <v>0</v>
      </c>
      <c r="EM12" s="105">
        <f t="shared" si="5"/>
        <v>0</v>
      </c>
      <c r="EN12" s="105">
        <f t="shared" si="5"/>
        <v>0</v>
      </c>
      <c r="EO12" s="105">
        <f t="shared" si="5"/>
        <v>0</v>
      </c>
      <c r="EP12" s="105">
        <f t="shared" si="5"/>
        <v>0</v>
      </c>
      <c r="EQ12" s="105">
        <f t="shared" si="5"/>
        <v>0</v>
      </c>
      <c r="ER12" s="105">
        <f t="shared" si="5"/>
        <v>0</v>
      </c>
      <c r="ES12" s="105">
        <f t="shared" si="5"/>
        <v>0</v>
      </c>
      <c r="ET12" s="105">
        <f t="shared" si="5"/>
        <v>0</v>
      </c>
      <c r="EU12" s="105">
        <f t="shared" si="5"/>
        <v>0</v>
      </c>
      <c r="EV12" s="105">
        <f t="shared" si="5"/>
        <v>0</v>
      </c>
      <c r="EW12" s="105">
        <f t="shared" si="5"/>
        <v>0</v>
      </c>
      <c r="EX12" s="105">
        <f t="shared" ref="EX12:FD12" si="6">SUM(EX10:EX11)</f>
        <v>0</v>
      </c>
      <c r="EY12" s="105">
        <f t="shared" si="6"/>
        <v>0</v>
      </c>
      <c r="EZ12" s="105">
        <f t="shared" si="6"/>
        <v>0</v>
      </c>
      <c r="FA12" s="105">
        <f t="shared" si="6"/>
        <v>0</v>
      </c>
      <c r="FB12" s="105">
        <f t="shared" si="6"/>
        <v>0</v>
      </c>
      <c r="FC12" s="105">
        <f t="shared" si="6"/>
        <v>0</v>
      </c>
      <c r="FD12" s="105">
        <f t="shared" si="6"/>
        <v>0</v>
      </c>
    </row>
    <row r="13" spans="1:161" ht="13" customHeight="1">
      <c r="H13" s="60" t="s">
        <v>858</v>
      </c>
      <c r="I13" s="74">
        <v>0.69</v>
      </c>
      <c r="J13" s="74">
        <v>0.7</v>
      </c>
      <c r="K13" s="74">
        <v>0.69</v>
      </c>
      <c r="L13" s="74">
        <v>0.69</v>
      </c>
      <c r="M13" s="74"/>
      <c r="N13" s="74">
        <v>0.68</v>
      </c>
      <c r="O13" s="74">
        <v>0.66</v>
      </c>
      <c r="P13" s="70">
        <v>1.75</v>
      </c>
      <c r="Q13" s="74">
        <v>0.67</v>
      </c>
      <c r="R13" s="74"/>
      <c r="S13" s="74">
        <v>0.71</v>
      </c>
      <c r="T13" s="74"/>
      <c r="U13" s="74">
        <v>0.8</v>
      </c>
      <c r="V13" s="74">
        <v>0.80590650498462912</v>
      </c>
      <c r="W13" s="74">
        <v>0.8069999991695842</v>
      </c>
      <c r="Y13" s="74">
        <v>0.85</v>
      </c>
      <c r="Z13" s="74">
        <v>0.83164485981308411</v>
      </c>
      <c r="AA13" s="74">
        <v>0.83343470373823858</v>
      </c>
      <c r="AB13" s="74">
        <v>0.85</v>
      </c>
      <c r="AC13" s="74">
        <v>0.87</v>
      </c>
      <c r="AD13" s="74">
        <v>0.87</v>
      </c>
      <c r="AE13" s="74">
        <v>1.0786181244456514</v>
      </c>
      <c r="AF13" s="74">
        <v>1.1733242931724184</v>
      </c>
      <c r="AG13" s="74">
        <v>1.2072081637342122</v>
      </c>
      <c r="AJ13" s="74">
        <v>1.1200000000000001</v>
      </c>
      <c r="AK13" s="74">
        <v>1.1199999999999999</v>
      </c>
      <c r="AL13" s="74">
        <v>1.18</v>
      </c>
      <c r="AM13" s="74">
        <v>1.22</v>
      </c>
      <c r="AN13" s="74">
        <v>1.198615374168138</v>
      </c>
      <c r="AO13" s="74">
        <v>1.2499999999999998</v>
      </c>
      <c r="AP13" s="74">
        <v>1.0999999999999999</v>
      </c>
      <c r="AQ13" s="74">
        <v>1.0012407082038113</v>
      </c>
      <c r="AR13" s="74">
        <v>0.87</v>
      </c>
      <c r="AS13" s="74"/>
      <c r="AT13" s="74"/>
      <c r="AU13" s="74"/>
      <c r="AV13" s="74"/>
      <c r="BD13" s="65"/>
      <c r="BR13" s="65"/>
      <c r="CI13" s="60">
        <v>0.94</v>
      </c>
    </row>
    <row r="14" spans="1:161" s="64" customFormat="1">
      <c r="H14" s="64" t="s">
        <v>859</v>
      </c>
      <c r="I14" s="74">
        <f>I13-I12</f>
        <v>0.52352644087938194</v>
      </c>
      <c r="J14" s="74">
        <f>J13-J12</f>
        <v>0.49547534165181217</v>
      </c>
      <c r="K14" s="74">
        <f>K13-K12</f>
        <v>0.50925727866904336</v>
      </c>
      <c r="L14" s="74">
        <f>L13-L12</f>
        <v>0.55682115270350563</v>
      </c>
      <c r="M14" s="74"/>
      <c r="N14" s="74">
        <f>N13-N12</f>
        <v>0.57377401465636768</v>
      </c>
      <c r="O14" s="74">
        <f>O13-O12</f>
        <v>0.5458467023172906</v>
      </c>
      <c r="P14" s="74">
        <f>P13-P12</f>
        <v>1.6104793028322439</v>
      </c>
      <c r="Q14" s="74">
        <f>Q13-Q12</f>
        <v>0.52413745296098235</v>
      </c>
      <c r="R14" s="74"/>
      <c r="S14" s="74">
        <f>S13-S12</f>
        <v>0.53877005347593576</v>
      </c>
      <c r="T14" s="74"/>
      <c r="U14" s="74">
        <f>U13-U12</f>
        <v>0.57169340463458118</v>
      </c>
      <c r="V14" s="74">
        <f>V13-V12</f>
        <v>0.57442898468357939</v>
      </c>
      <c r="W14" s="74">
        <f>W13-W12</f>
        <v>0.5818643287397961</v>
      </c>
      <c r="X14" s="74"/>
      <c r="Y14" s="74">
        <f t="shared" ref="Y14:AG14" si="7">Y13-Y12</f>
        <v>0.62962071697365807</v>
      </c>
      <c r="Z14" s="74">
        <f t="shared" si="7"/>
        <v>0.60492372691548058</v>
      </c>
      <c r="AA14" s="74">
        <f t="shared" si="7"/>
        <v>0.60512810837281972</v>
      </c>
      <c r="AB14" s="74">
        <f t="shared" si="7"/>
        <v>0.61535155476331949</v>
      </c>
      <c r="AC14" s="74">
        <f t="shared" si="7"/>
        <v>0.62266785502079613</v>
      </c>
      <c r="AD14" s="74">
        <f t="shared" si="7"/>
        <v>0.57351851851851854</v>
      </c>
      <c r="AE14" s="74">
        <f t="shared" si="7"/>
        <v>0.82970051699863223</v>
      </c>
      <c r="AF14" s="74">
        <f t="shared" si="7"/>
        <v>0.95770139754952277</v>
      </c>
      <c r="AG14" s="74">
        <f t="shared" si="7"/>
        <v>1.0106108177251014</v>
      </c>
      <c r="AH14" s="74"/>
      <c r="AI14" s="74"/>
      <c r="AJ14" s="74">
        <f t="shared" ref="AJ14:AR14" si="8">AJ13-AJ12</f>
        <v>0.87266785502079625</v>
      </c>
      <c r="AK14" s="74">
        <f t="shared" si="8"/>
        <v>0.89803525450584265</v>
      </c>
      <c r="AL14" s="74">
        <f t="shared" si="8"/>
        <v>0.96437710437710433</v>
      </c>
      <c r="AM14" s="74">
        <f t="shared" si="8"/>
        <v>1.0202317290552585</v>
      </c>
      <c r="AN14" s="74">
        <f t="shared" si="8"/>
        <v>0.99884710322339643</v>
      </c>
      <c r="AO14" s="74">
        <f t="shared" si="8"/>
        <v>1.0502317290552583</v>
      </c>
      <c r="AP14" s="74">
        <f t="shared" si="8"/>
        <v>0.89388987918399665</v>
      </c>
      <c r="AQ14" s="74">
        <f t="shared" si="8"/>
        <v>0.79513058738780806</v>
      </c>
      <c r="AR14" s="74">
        <f t="shared" si="8"/>
        <v>0.67023172905525841</v>
      </c>
      <c r="AS14" s="74"/>
      <c r="AT14" s="74"/>
      <c r="AU14" s="74"/>
      <c r="AW14" s="74"/>
      <c r="AX14" s="74"/>
      <c r="BQ14" s="74"/>
      <c r="CI14" s="74">
        <f>CI13-CI12</f>
        <v>0.72120617944147347</v>
      </c>
    </row>
    <row r="15" spans="1:161">
      <c r="P15" s="74"/>
      <c r="AC15" s="74"/>
      <c r="AE15" s="74"/>
      <c r="AO15" s="74"/>
      <c r="AQ15" s="74"/>
      <c r="AT15" s="74"/>
      <c r="BD15" s="65"/>
      <c r="BM15" s="74"/>
    </row>
    <row r="16" spans="1:161" ht="13" thickBot="1"/>
    <row r="17" spans="2:160" ht="13" thickBot="1">
      <c r="D17" s="259"/>
      <c r="H17" s="106" t="s">
        <v>800</v>
      </c>
      <c r="I17" s="109">
        <f t="shared" ref="I17:U17" si="9">I12+0.5</f>
        <v>0.66647355912061801</v>
      </c>
      <c r="J17" s="109">
        <f t="shared" si="9"/>
        <v>0.70452465834818778</v>
      </c>
      <c r="K17" s="109">
        <f t="shared" si="9"/>
        <v>0.68074272133095659</v>
      </c>
      <c r="L17" s="109">
        <f t="shared" si="9"/>
        <v>0.63317884729649432</v>
      </c>
      <c r="M17" s="109">
        <f t="shared" si="9"/>
        <v>0.61098237274707867</v>
      </c>
      <c r="N17" s="109">
        <f t="shared" si="9"/>
        <v>0.60622598534363248</v>
      </c>
      <c r="O17" s="109">
        <f t="shared" si="9"/>
        <v>0.61415329768270943</v>
      </c>
      <c r="P17" s="109">
        <f t="shared" si="9"/>
        <v>0.63952069716775606</v>
      </c>
      <c r="Q17" s="109">
        <f t="shared" si="9"/>
        <v>0.64586254703901769</v>
      </c>
      <c r="R17" s="109">
        <f t="shared" si="9"/>
        <v>0.65220439691027932</v>
      </c>
      <c r="S17" s="109">
        <f t="shared" si="9"/>
        <v>0.6712299465240642</v>
      </c>
      <c r="T17" s="109">
        <f t="shared" si="9"/>
        <v>0.69025549613784909</v>
      </c>
      <c r="U17" s="109">
        <f t="shared" si="9"/>
        <v>0.72830659536541886</v>
      </c>
      <c r="V17" s="109">
        <f t="shared" ref="V17:CG17" si="10">V12+0.5</f>
        <v>0.73147752030104973</v>
      </c>
      <c r="W17" s="109">
        <f t="shared" si="10"/>
        <v>0.7251356704297881</v>
      </c>
      <c r="X17" s="109">
        <f t="shared" si="10"/>
        <v>0.71562289562289561</v>
      </c>
      <c r="Y17" s="109">
        <f t="shared" si="10"/>
        <v>0.7203792830263418</v>
      </c>
      <c r="Z17" s="109">
        <f t="shared" si="10"/>
        <v>0.72672113289760354</v>
      </c>
      <c r="AA17" s="109">
        <f t="shared" si="10"/>
        <v>0.72830659536541886</v>
      </c>
      <c r="AB17" s="109">
        <f t="shared" si="10"/>
        <v>0.7346484452366806</v>
      </c>
      <c r="AC17" s="109">
        <f t="shared" si="10"/>
        <v>0.74733214497920386</v>
      </c>
      <c r="AD17" s="109">
        <f t="shared" si="10"/>
        <v>0.79648148148148157</v>
      </c>
      <c r="AE17" s="109">
        <f t="shared" si="10"/>
        <v>0.74891760744701918</v>
      </c>
      <c r="AF17" s="109">
        <f t="shared" si="10"/>
        <v>0.71562289562289561</v>
      </c>
      <c r="AG17" s="109">
        <f t="shared" si="10"/>
        <v>0.69659734600911072</v>
      </c>
      <c r="AH17" s="109">
        <f t="shared" si="10"/>
        <v>0.74733214497920386</v>
      </c>
      <c r="AI17" s="109">
        <f t="shared" si="10"/>
        <v>0.77269954446425038</v>
      </c>
      <c r="AJ17" s="109">
        <f t="shared" si="10"/>
        <v>0.74733214497920386</v>
      </c>
      <c r="AK17" s="109">
        <f t="shared" si="10"/>
        <v>0.72196474549415723</v>
      </c>
      <c r="AL17" s="109">
        <f t="shared" si="10"/>
        <v>0.71562289562289561</v>
      </c>
      <c r="AM17" s="109">
        <f t="shared" si="10"/>
        <v>0.69976827094474159</v>
      </c>
      <c r="AN17" s="109">
        <f t="shared" si="10"/>
        <v>0.69976827094474159</v>
      </c>
      <c r="AO17" s="109">
        <f t="shared" si="10"/>
        <v>0.69976827094474159</v>
      </c>
      <c r="AP17" s="109">
        <f t="shared" si="10"/>
        <v>0.70611012081600322</v>
      </c>
      <c r="AQ17" s="109">
        <f t="shared" si="10"/>
        <v>0.70611012081600322</v>
      </c>
      <c r="AR17" s="109">
        <f t="shared" si="10"/>
        <v>0.69976827094474159</v>
      </c>
      <c r="AS17" s="109">
        <f t="shared" si="10"/>
        <v>0.70611012081600322</v>
      </c>
      <c r="AT17" s="109">
        <f t="shared" si="10"/>
        <v>0.7203792830263418</v>
      </c>
      <c r="AU17" s="109">
        <f t="shared" si="10"/>
        <v>0.7298920578332343</v>
      </c>
      <c r="AV17" s="109">
        <f t="shared" si="10"/>
        <v>0.71245197068726485</v>
      </c>
      <c r="AW17" s="109">
        <f t="shared" si="10"/>
        <v>0.69659734600911072</v>
      </c>
      <c r="AX17" s="109">
        <f t="shared" si="10"/>
        <v>0.69025549613784909</v>
      </c>
      <c r="AY17" s="109">
        <f t="shared" si="10"/>
        <v>0.69025549613784909</v>
      </c>
      <c r="AZ17" s="109">
        <f t="shared" si="10"/>
        <v>0.68391364626658746</v>
      </c>
      <c r="BA17" s="109">
        <f t="shared" si="10"/>
        <v>0.68391364626658746</v>
      </c>
      <c r="BB17" s="109">
        <f t="shared" si="10"/>
        <v>0.68391364626658746</v>
      </c>
      <c r="BC17" s="109">
        <f t="shared" si="10"/>
        <v>0.68391364626658746</v>
      </c>
      <c r="BD17" s="109">
        <f t="shared" si="10"/>
        <v>0.69659734600911072</v>
      </c>
      <c r="BE17" s="109">
        <f t="shared" si="10"/>
        <v>0.69659734600911072</v>
      </c>
      <c r="BF17" s="109">
        <f t="shared" si="10"/>
        <v>0.69659734600911072</v>
      </c>
      <c r="BG17" s="109">
        <f t="shared" si="10"/>
        <v>0.69659734600911072</v>
      </c>
      <c r="BH17" s="109">
        <f t="shared" si="10"/>
        <v>0.69659734600911072</v>
      </c>
      <c r="BI17" s="109">
        <f t="shared" si="10"/>
        <v>0.70928104575163409</v>
      </c>
      <c r="BJ17" s="109">
        <f t="shared" si="10"/>
        <v>0.70928104575163409</v>
      </c>
      <c r="BK17" s="109">
        <f t="shared" si="10"/>
        <v>0.70928104575163409</v>
      </c>
      <c r="BL17" s="109">
        <f t="shared" si="10"/>
        <v>0.70928104575163409</v>
      </c>
      <c r="BM17" s="109">
        <f t="shared" si="10"/>
        <v>0.70928104575163409</v>
      </c>
      <c r="BN17" s="109">
        <f t="shared" si="10"/>
        <v>0.70928104575163409</v>
      </c>
      <c r="BO17" s="109">
        <f t="shared" si="10"/>
        <v>0.70928104575163409</v>
      </c>
      <c r="BP17" s="109">
        <f t="shared" si="10"/>
        <v>0.69976827094474159</v>
      </c>
      <c r="BQ17" s="109">
        <f t="shared" si="10"/>
        <v>0.69976827094474159</v>
      </c>
      <c r="BR17" s="109">
        <f t="shared" si="10"/>
        <v>0.69976827094474159</v>
      </c>
      <c r="BS17" s="109">
        <f t="shared" si="10"/>
        <v>0.69976827094474159</v>
      </c>
      <c r="BT17" s="109">
        <f t="shared" si="10"/>
        <v>0.71245197068726485</v>
      </c>
      <c r="BU17" s="109">
        <f t="shared" si="10"/>
        <v>0.71245197068726485</v>
      </c>
      <c r="BV17" s="109">
        <f t="shared" si="10"/>
        <v>0.71245197068726485</v>
      </c>
      <c r="BW17" s="109">
        <f t="shared" si="10"/>
        <v>0.71403743315508028</v>
      </c>
      <c r="BX17" s="109">
        <f t="shared" si="10"/>
        <v>0.71403743315508028</v>
      </c>
      <c r="BY17" s="109">
        <f t="shared" si="10"/>
        <v>0.71403743315508028</v>
      </c>
      <c r="BZ17" s="109">
        <f t="shared" si="10"/>
        <v>0.7203792830263418</v>
      </c>
      <c r="CA17" s="109">
        <f t="shared" si="10"/>
        <v>0.7203792830263418</v>
      </c>
      <c r="CB17" s="109">
        <f t="shared" si="10"/>
        <v>0.7203792830263418</v>
      </c>
      <c r="CC17" s="109">
        <f t="shared" si="10"/>
        <v>0.7203792830263418</v>
      </c>
      <c r="CD17" s="109">
        <f t="shared" si="10"/>
        <v>0.7203792830263418</v>
      </c>
      <c r="CE17" s="109">
        <f t="shared" si="10"/>
        <v>0.7203792830263418</v>
      </c>
      <c r="CF17" s="109">
        <f t="shared" si="10"/>
        <v>0.7203792830263418</v>
      </c>
      <c r="CG17" s="109">
        <f t="shared" si="10"/>
        <v>0.7251356704297881</v>
      </c>
      <c r="CH17" s="109">
        <f t="shared" ref="CH17:EL17" si="11">CH12+0.5</f>
        <v>0.7251356704297881</v>
      </c>
      <c r="CI17" s="109">
        <f t="shared" si="11"/>
        <v>0.71879382055852648</v>
      </c>
      <c r="CJ17" s="109">
        <f t="shared" si="11"/>
        <v>0.71879382055852648</v>
      </c>
      <c r="CK17" s="109">
        <f t="shared" si="11"/>
        <v>0.71879382055852648</v>
      </c>
      <c r="CL17" s="109">
        <f t="shared" si="11"/>
        <v>0.71879382055852648</v>
      </c>
      <c r="CM17" s="109">
        <f t="shared" si="11"/>
        <v>0.71720835809071104</v>
      </c>
      <c r="CN17" s="109">
        <f t="shared" si="11"/>
        <v>0.71720835809071104</v>
      </c>
      <c r="CO17" s="109">
        <f t="shared" si="11"/>
        <v>0.71720835809071104</v>
      </c>
      <c r="CP17" s="109">
        <f t="shared" si="11"/>
        <v>0.71720835809071104</v>
      </c>
      <c r="CQ17" s="109">
        <f t="shared" si="11"/>
        <v>0.71720835809071104</v>
      </c>
      <c r="CR17" s="109">
        <f t="shared" si="11"/>
        <v>0.71720835809071104</v>
      </c>
      <c r="CS17" s="109">
        <f t="shared" si="11"/>
        <v>0.71562289562289561</v>
      </c>
      <c r="CT17" s="109">
        <f t="shared" si="11"/>
        <v>0.71562289562289561</v>
      </c>
      <c r="CU17" s="109">
        <f t="shared" si="11"/>
        <v>0.71562289562289561</v>
      </c>
      <c r="CV17" s="109">
        <f t="shared" si="11"/>
        <v>0.71562289562289561</v>
      </c>
      <c r="CW17" s="109">
        <f t="shared" si="11"/>
        <v>0.71245197068726485</v>
      </c>
      <c r="CX17" s="109">
        <f t="shared" si="11"/>
        <v>0.71245197068726485</v>
      </c>
      <c r="CY17" s="109">
        <f t="shared" si="11"/>
        <v>0.71245197068726485</v>
      </c>
      <c r="CZ17" s="109">
        <f t="shared" si="11"/>
        <v>0.71245197068726485</v>
      </c>
      <c r="DA17" s="109">
        <f t="shared" si="11"/>
        <v>0.71245197068726485</v>
      </c>
      <c r="DB17" s="109">
        <f t="shared" si="11"/>
        <v>0.71245197068726485</v>
      </c>
      <c r="DC17" s="109">
        <f t="shared" si="11"/>
        <v>0.71245197068726485</v>
      </c>
      <c r="DD17" s="109">
        <f t="shared" si="11"/>
        <v>0.71245197068726485</v>
      </c>
      <c r="DE17" s="109">
        <f t="shared" si="11"/>
        <v>0.71245197068726485</v>
      </c>
      <c r="DF17" s="109">
        <f t="shared" si="11"/>
        <v>0.71245197068726485</v>
      </c>
      <c r="DG17" s="109">
        <f t="shared" si="11"/>
        <v>0.71245197068726485</v>
      </c>
      <c r="DH17" s="109">
        <f t="shared" si="11"/>
        <v>0.71245197068726485</v>
      </c>
      <c r="DI17" s="109">
        <f t="shared" si="11"/>
        <v>0.71245197068726485</v>
      </c>
      <c r="DJ17" s="109">
        <f t="shared" si="11"/>
        <v>0.71879382055852648</v>
      </c>
      <c r="DK17" s="109">
        <f t="shared" si="11"/>
        <v>0.71879382055852648</v>
      </c>
      <c r="DL17" s="109">
        <f t="shared" si="11"/>
        <v>0.71879382055852648</v>
      </c>
      <c r="DM17" s="109">
        <f t="shared" si="11"/>
        <v>0.71879382055852648</v>
      </c>
      <c r="DN17" s="109">
        <f t="shared" si="11"/>
        <v>0.70928104575163409</v>
      </c>
      <c r="DO17" s="109">
        <f t="shared" si="11"/>
        <v>0.70928104575163409</v>
      </c>
      <c r="DP17" s="109">
        <f t="shared" si="11"/>
        <v>0.70928104575163409</v>
      </c>
      <c r="DQ17" s="109">
        <f t="shared" si="11"/>
        <v>0.70928104575163409</v>
      </c>
      <c r="DR17" s="109">
        <f t="shared" si="11"/>
        <v>0.70928104575163409</v>
      </c>
      <c r="DS17" s="109">
        <f t="shared" si="11"/>
        <v>0.7203792830263418</v>
      </c>
      <c r="DT17" s="109">
        <f t="shared" si="11"/>
        <v>0.5</v>
      </c>
      <c r="DU17" s="109">
        <f t="shared" si="11"/>
        <v>0.5</v>
      </c>
      <c r="DV17" s="109">
        <f t="shared" si="11"/>
        <v>0.5</v>
      </c>
      <c r="DW17" s="109">
        <f t="shared" si="11"/>
        <v>0.5</v>
      </c>
      <c r="DX17" s="109">
        <f t="shared" si="11"/>
        <v>0.5</v>
      </c>
      <c r="DY17" s="109">
        <f t="shared" si="11"/>
        <v>0.5</v>
      </c>
      <c r="DZ17" s="109">
        <f t="shared" si="11"/>
        <v>0.5</v>
      </c>
      <c r="EA17" s="109">
        <f t="shared" si="11"/>
        <v>0.5</v>
      </c>
      <c r="EB17" s="109">
        <f t="shared" si="11"/>
        <v>0.5</v>
      </c>
      <c r="EC17" s="109">
        <f t="shared" si="11"/>
        <v>0.5</v>
      </c>
      <c r="ED17" s="109">
        <f t="shared" si="11"/>
        <v>0.5</v>
      </c>
      <c r="EE17" s="109">
        <f t="shared" si="11"/>
        <v>0.5</v>
      </c>
      <c r="EF17" s="109">
        <f t="shared" si="11"/>
        <v>0.5</v>
      </c>
      <c r="EG17" s="109">
        <f t="shared" si="11"/>
        <v>0.5</v>
      </c>
      <c r="EH17" s="109">
        <f t="shared" si="11"/>
        <v>0.5</v>
      </c>
      <c r="EI17" s="109">
        <f t="shared" si="11"/>
        <v>0.5</v>
      </c>
      <c r="EJ17" s="109">
        <f t="shared" si="11"/>
        <v>0.5</v>
      </c>
      <c r="EK17" s="109">
        <f t="shared" si="11"/>
        <v>0.5</v>
      </c>
      <c r="EL17" s="109">
        <f t="shared" si="11"/>
        <v>0.5</v>
      </c>
      <c r="EM17" s="109">
        <f t="shared" ref="EM17:FD17" si="12">EM12+0.5</f>
        <v>0.5</v>
      </c>
      <c r="EN17" s="109">
        <f t="shared" si="12"/>
        <v>0.5</v>
      </c>
      <c r="EO17" s="109">
        <f t="shared" si="12"/>
        <v>0.5</v>
      </c>
      <c r="EP17" s="109">
        <f t="shared" si="12"/>
        <v>0.5</v>
      </c>
      <c r="EQ17" s="109">
        <f t="shared" si="12"/>
        <v>0.5</v>
      </c>
      <c r="ER17" s="109">
        <f t="shared" si="12"/>
        <v>0.5</v>
      </c>
      <c r="ES17" s="109">
        <f t="shared" si="12"/>
        <v>0.5</v>
      </c>
      <c r="ET17" s="109">
        <f t="shared" si="12"/>
        <v>0.5</v>
      </c>
      <c r="EU17" s="109">
        <f t="shared" si="12"/>
        <v>0.5</v>
      </c>
      <c r="EV17" s="109">
        <f t="shared" si="12"/>
        <v>0.5</v>
      </c>
      <c r="EW17" s="109">
        <f t="shared" si="12"/>
        <v>0.5</v>
      </c>
      <c r="EX17" s="109">
        <f t="shared" si="12"/>
        <v>0.5</v>
      </c>
      <c r="EY17" s="109">
        <f t="shared" si="12"/>
        <v>0.5</v>
      </c>
      <c r="EZ17" s="109">
        <f t="shared" si="12"/>
        <v>0.5</v>
      </c>
      <c r="FA17" s="109">
        <f t="shared" si="12"/>
        <v>0.5</v>
      </c>
      <c r="FB17" s="109">
        <f t="shared" si="12"/>
        <v>0.5</v>
      </c>
      <c r="FC17" s="109">
        <f t="shared" si="12"/>
        <v>0.5</v>
      </c>
      <c r="FD17" s="109">
        <f t="shared" si="12"/>
        <v>0.5</v>
      </c>
    </row>
    <row r="19" spans="2:160">
      <c r="B19" s="65"/>
      <c r="BL19" s="65"/>
    </row>
    <row r="24" spans="2:160" ht="15">
      <c r="AR24" s="11"/>
    </row>
    <row r="25" spans="2:160" ht="15">
      <c r="AR25" s="11"/>
    </row>
    <row r="26" spans="2:160" ht="15">
      <c r="AR26" s="260"/>
    </row>
  </sheetData>
  <conditionalFormatting sqref="AU14 I14:L14 N14:AS14">
    <cfRule type="top10" dxfId="1" priority="1" bottom="1" rank="1"/>
  </conditionalFormatting>
  <pageMargins left="0.7" right="0.7" top="0.75" bottom="0.75" header="0.3" footer="0.3"/>
  <pageSetup orientation="portrait" r:id="rId1"/>
  <drawing r:id="rId2"/>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BV26"/>
  <sheetViews>
    <sheetView workbookViewId="0"/>
  </sheetViews>
  <sheetFormatPr baseColWidth="10" defaultColWidth="22.6640625" defaultRowHeight="12"/>
  <cols>
    <col min="1" max="1" width="13.33203125" style="60" bestFit="1" customWidth="1"/>
    <col min="2" max="2" width="11.33203125" style="60" bestFit="1" customWidth="1"/>
    <col min="3" max="3" width="4.83203125" style="60" bestFit="1" customWidth="1"/>
    <col min="4" max="4" width="12.33203125" style="60" bestFit="1" customWidth="1"/>
    <col min="5" max="5" width="7.5" style="60" bestFit="1" customWidth="1"/>
    <col min="6" max="6" width="6.5" style="60" bestFit="1" customWidth="1"/>
    <col min="7" max="7" width="3.33203125" style="60" bestFit="1" customWidth="1"/>
    <col min="8" max="8" width="17.1640625" style="60" bestFit="1" customWidth="1"/>
    <col min="9" max="12" width="6.1640625" style="60" bestFit="1" customWidth="1"/>
    <col min="13" max="13" width="5.83203125" style="60" bestFit="1" customWidth="1"/>
    <col min="14" max="51" width="6.1640625" style="60" bestFit="1" customWidth="1"/>
    <col min="52" max="54" width="7" style="60" bestFit="1" customWidth="1"/>
    <col min="55" max="69" width="6.1640625" style="60" bestFit="1" customWidth="1"/>
    <col min="70" max="70" width="5.6640625" style="60" bestFit="1" customWidth="1"/>
    <col min="71" max="74" width="5.5" style="60" bestFit="1" customWidth="1"/>
    <col min="75" max="16384" width="22.6640625" style="60"/>
  </cols>
  <sheetData>
    <row r="1" spans="1:74" ht="26">
      <c r="A1" s="59" t="s">
        <v>377</v>
      </c>
      <c r="B1" s="59" t="s">
        <v>378</v>
      </c>
      <c r="C1" s="59" t="s">
        <v>379</v>
      </c>
      <c r="D1" s="98" t="s">
        <v>380</v>
      </c>
      <c r="E1" s="98" t="s">
        <v>381</v>
      </c>
      <c r="F1" s="59" t="s">
        <v>33</v>
      </c>
      <c r="H1" s="99">
        <v>6</v>
      </c>
      <c r="I1" s="99">
        <v>7</v>
      </c>
      <c r="J1" s="99">
        <v>8</v>
      </c>
      <c r="K1" s="99">
        <v>9</v>
      </c>
      <c r="L1" s="99">
        <v>10</v>
      </c>
      <c r="M1" s="99">
        <v>11</v>
      </c>
      <c r="N1" s="99">
        <v>12</v>
      </c>
      <c r="O1" s="99">
        <v>13</v>
      </c>
      <c r="P1" s="99">
        <v>14</v>
      </c>
      <c r="Q1" s="99">
        <v>15</v>
      </c>
      <c r="R1" s="99">
        <v>16</v>
      </c>
      <c r="S1" s="99">
        <v>17</v>
      </c>
      <c r="T1" s="99">
        <v>18</v>
      </c>
      <c r="U1" s="99">
        <v>19</v>
      </c>
      <c r="V1" s="99">
        <v>20</v>
      </c>
      <c r="W1" s="99">
        <v>21</v>
      </c>
      <c r="X1" s="99">
        <v>22</v>
      </c>
      <c r="Y1" s="99">
        <v>23</v>
      </c>
      <c r="Z1" s="99">
        <v>24</v>
      </c>
      <c r="AA1" s="99">
        <v>25</v>
      </c>
      <c r="AB1" s="99">
        <v>26</v>
      </c>
      <c r="AC1" s="99">
        <v>27</v>
      </c>
      <c r="AD1" s="99">
        <v>28</v>
      </c>
      <c r="AE1" s="99">
        <v>29</v>
      </c>
      <c r="AF1" s="99">
        <v>30</v>
      </c>
      <c r="AG1" s="99">
        <v>31</v>
      </c>
      <c r="AH1" s="99">
        <v>32</v>
      </c>
      <c r="AI1" s="99">
        <v>33</v>
      </c>
      <c r="AJ1" s="99">
        <v>34</v>
      </c>
      <c r="AK1" s="99">
        <v>35</v>
      </c>
      <c r="AL1" s="99">
        <v>36</v>
      </c>
      <c r="AM1" s="99">
        <v>37</v>
      </c>
      <c r="AN1" s="99">
        <v>38</v>
      </c>
      <c r="AO1" s="99">
        <v>39</v>
      </c>
      <c r="AP1" s="99">
        <v>40</v>
      </c>
      <c r="AQ1" s="99">
        <v>41</v>
      </c>
      <c r="AR1" s="99">
        <v>42</v>
      </c>
      <c r="AS1" s="99">
        <v>43</v>
      </c>
      <c r="AT1" s="99">
        <v>44</v>
      </c>
      <c r="AU1" s="99">
        <v>45</v>
      </c>
      <c r="AV1" s="99">
        <v>46</v>
      </c>
      <c r="AW1" s="99">
        <v>47</v>
      </c>
      <c r="AX1" s="99">
        <v>48</v>
      </c>
      <c r="AY1" s="99">
        <v>49</v>
      </c>
      <c r="AZ1" s="99">
        <v>50</v>
      </c>
      <c r="BA1" s="99">
        <v>51</v>
      </c>
      <c r="BB1" s="99">
        <v>52</v>
      </c>
      <c r="BC1" s="99">
        <v>53</v>
      </c>
      <c r="BD1" s="99">
        <v>54</v>
      </c>
      <c r="BE1" s="99">
        <v>55</v>
      </c>
      <c r="BF1" s="99">
        <v>56</v>
      </c>
      <c r="BG1" s="99">
        <v>57</v>
      </c>
      <c r="BH1" s="99">
        <v>58</v>
      </c>
      <c r="BI1" s="99">
        <v>59</v>
      </c>
      <c r="BJ1" s="99">
        <v>60</v>
      </c>
      <c r="BK1" s="99">
        <v>61</v>
      </c>
      <c r="BL1" s="99">
        <v>62</v>
      </c>
      <c r="BM1" s="99">
        <v>63</v>
      </c>
      <c r="BN1" s="99">
        <v>64</v>
      </c>
      <c r="BO1" s="99">
        <v>65</v>
      </c>
      <c r="BP1" s="99">
        <v>66</v>
      </c>
      <c r="BQ1" s="99">
        <v>67</v>
      </c>
      <c r="BR1" s="99">
        <v>68</v>
      </c>
      <c r="BS1" s="99">
        <v>69</v>
      </c>
      <c r="BT1" s="99">
        <v>70</v>
      </c>
      <c r="BU1" s="99">
        <v>71</v>
      </c>
      <c r="BV1" s="99">
        <v>72</v>
      </c>
    </row>
    <row r="2" spans="1:74">
      <c r="A2" s="112" t="s">
        <v>268</v>
      </c>
      <c r="B2" s="112"/>
      <c r="C2" s="101">
        <v>1</v>
      </c>
      <c r="D2" s="282">
        <v>118.1742</v>
      </c>
      <c r="E2" s="60">
        <f>D2*C2</f>
        <v>118.1742</v>
      </c>
      <c r="K2" s="102"/>
      <c r="M2" s="102"/>
    </row>
    <row r="3" spans="1:74">
      <c r="A3" s="100"/>
      <c r="B3" s="64"/>
      <c r="D3" s="100"/>
      <c r="E3" s="64"/>
      <c r="F3" s="103"/>
    </row>
    <row r="4" spans="1:74">
      <c r="A4" s="64"/>
      <c r="B4" s="64"/>
      <c r="D4" s="64"/>
      <c r="E4" s="64"/>
      <c r="H4" s="60" t="s">
        <v>387</v>
      </c>
    </row>
    <row r="5" spans="1:74">
      <c r="A5" s="74"/>
      <c r="B5" s="74"/>
    </row>
    <row r="6" spans="1:74">
      <c r="A6" s="59"/>
      <c r="B6" s="59"/>
      <c r="C6" s="59"/>
      <c r="D6" s="98"/>
      <c r="E6" s="98"/>
      <c r="F6" s="59"/>
      <c r="H6" s="59" t="s">
        <v>416</v>
      </c>
      <c r="I6" s="59">
        <v>43831</v>
      </c>
      <c r="J6" s="59">
        <v>43862</v>
      </c>
      <c r="K6" s="59">
        <v>43891</v>
      </c>
      <c r="L6" s="59">
        <v>43922</v>
      </c>
      <c r="M6" s="59">
        <v>43952</v>
      </c>
      <c r="N6" s="59">
        <v>43983</v>
      </c>
      <c r="O6" s="59">
        <v>44013</v>
      </c>
      <c r="P6" s="59">
        <v>44044</v>
      </c>
      <c r="Q6" s="59">
        <v>44075</v>
      </c>
      <c r="R6" s="59">
        <v>44105</v>
      </c>
      <c r="S6" s="59">
        <v>44136</v>
      </c>
      <c r="T6" s="59">
        <v>44166</v>
      </c>
      <c r="U6" s="59">
        <v>44197</v>
      </c>
      <c r="V6" s="59">
        <v>44228</v>
      </c>
      <c r="W6" s="59">
        <v>44256</v>
      </c>
      <c r="X6" s="59">
        <v>44287</v>
      </c>
      <c r="Y6" s="59">
        <v>44317</v>
      </c>
      <c r="Z6" s="59">
        <v>44348</v>
      </c>
      <c r="AA6" s="59">
        <v>44378</v>
      </c>
      <c r="AB6" s="59">
        <v>44409</v>
      </c>
      <c r="AC6" s="59">
        <v>44440</v>
      </c>
      <c r="AD6" s="59">
        <v>44470</v>
      </c>
      <c r="AE6" s="59">
        <v>44501</v>
      </c>
      <c r="AF6" s="59">
        <v>44531</v>
      </c>
      <c r="AG6" s="59">
        <v>44562</v>
      </c>
      <c r="AH6" s="59">
        <v>44593</v>
      </c>
      <c r="AI6" s="59">
        <v>44621</v>
      </c>
      <c r="AJ6" s="59">
        <v>44652</v>
      </c>
      <c r="AK6" s="59">
        <v>44682</v>
      </c>
      <c r="AL6" s="59">
        <v>44713</v>
      </c>
      <c r="AM6" s="59">
        <v>44743</v>
      </c>
      <c r="AN6" s="59">
        <v>44774</v>
      </c>
      <c r="AO6" s="59">
        <v>44805</v>
      </c>
      <c r="AP6" s="59">
        <v>44835</v>
      </c>
      <c r="AQ6" s="59">
        <v>44866</v>
      </c>
      <c r="AR6" s="59">
        <v>44896</v>
      </c>
      <c r="AS6" s="59">
        <v>44927</v>
      </c>
      <c r="AT6" s="59">
        <v>44958</v>
      </c>
      <c r="AU6" s="59">
        <v>44986</v>
      </c>
      <c r="AV6" s="59">
        <v>45017</v>
      </c>
      <c r="AW6" s="59">
        <v>45047</v>
      </c>
      <c r="AX6" s="59">
        <v>45078</v>
      </c>
      <c r="AY6" s="59">
        <v>45108</v>
      </c>
      <c r="AZ6" s="59" t="s">
        <v>530</v>
      </c>
      <c r="BA6" s="59" t="s">
        <v>531</v>
      </c>
      <c r="BB6" s="59" t="s">
        <v>532</v>
      </c>
      <c r="BC6" s="59">
        <v>37104</v>
      </c>
      <c r="BD6" s="59">
        <v>37469</v>
      </c>
      <c r="BE6" s="59" t="s">
        <v>168</v>
      </c>
      <c r="BF6" s="59" t="s">
        <v>169</v>
      </c>
      <c r="BG6" s="59" t="s">
        <v>421</v>
      </c>
      <c r="BH6" s="59" t="s">
        <v>422</v>
      </c>
      <c r="BI6" s="59" t="s">
        <v>423</v>
      </c>
      <c r="BJ6" s="59" t="s">
        <v>424</v>
      </c>
      <c r="BK6" s="59" t="s">
        <v>435</v>
      </c>
      <c r="BL6" s="59" t="s">
        <v>436</v>
      </c>
      <c r="BM6" s="59" t="s">
        <v>437</v>
      </c>
      <c r="BN6" s="59" t="s">
        <v>438</v>
      </c>
      <c r="BO6" s="59">
        <v>37196</v>
      </c>
      <c r="BP6" s="59">
        <v>37561</v>
      </c>
      <c r="BQ6" s="59">
        <v>37926</v>
      </c>
      <c r="BR6" s="59">
        <v>38292</v>
      </c>
      <c r="BS6" s="59">
        <v>37226</v>
      </c>
      <c r="BT6" s="59">
        <v>37591</v>
      </c>
      <c r="BU6" s="59">
        <v>37956</v>
      </c>
      <c r="BV6" s="59">
        <v>38322</v>
      </c>
    </row>
    <row r="7" spans="1:74">
      <c r="B7" s="44"/>
      <c r="D7" s="44"/>
      <c r="F7" s="60" t="s">
        <v>651</v>
      </c>
      <c r="H7" s="178" t="s">
        <v>78</v>
      </c>
      <c r="I7" s="74">
        <f>VLOOKUP($H$7&amp;$F$1,'Input RM sheet'!$A:$BD,H1,0)</f>
        <v>691.5</v>
      </c>
      <c r="J7" s="74">
        <f>VLOOKUP($H$7&amp;$F$1,'Input RM sheet'!$A:$BD,I1,0)</f>
        <v>666.25</v>
      </c>
      <c r="K7" s="74">
        <f>VLOOKUP($H$7&amp;$F$1,'Input RM sheet'!$A:$BD,J1,0)</f>
        <v>650</v>
      </c>
      <c r="L7" s="74">
        <f>VLOOKUP($H$7&amp;$F$1,'Input RM sheet'!$A:$BD,K1,0)</f>
        <v>603</v>
      </c>
      <c r="M7" s="74">
        <f>VLOOKUP($H$7&amp;$F$1,'Input RM sheet'!$A:$BD,L1,0)</f>
        <v>602.5</v>
      </c>
      <c r="N7" s="74">
        <f>VLOOKUP($H$7&amp;$F$1,'Input RM sheet'!$A:$BD,M1,0)</f>
        <v>612.5</v>
      </c>
      <c r="O7" s="74">
        <f>VLOOKUP($H$7&amp;$F$1,'Input RM sheet'!$A:$BD,N1,0)</f>
        <v>627</v>
      </c>
      <c r="P7" s="74">
        <f>VLOOKUP($H$7&amp;$F$1,'Input RM sheet'!$A:$BD,O1,0)</f>
        <v>617.5</v>
      </c>
      <c r="Q7" s="74">
        <f>VLOOKUP($H$7&amp;$F$1,'Input RM sheet'!$A:$BD,P1,0)</f>
        <v>638.75</v>
      </c>
      <c r="R7" s="74">
        <f>VLOOKUP($H$7&amp;$F$1,'Input RM sheet'!$A:$BD,Q1,0)</f>
        <v>696</v>
      </c>
      <c r="S7" s="74">
        <f>VLOOKUP($H$7&amp;$F$1,'Input RM sheet'!$A:$BD,R1,0)</f>
        <v>933.75</v>
      </c>
      <c r="T7" s="74">
        <f>VLOOKUP($H$7&amp;$F$1,'Input RM sheet'!$A:$BD,S1,0)</f>
        <v>1078.75</v>
      </c>
      <c r="U7" s="74">
        <f>VLOOKUP($H$7&amp;$F$1,'Input RM sheet'!$A:$BD,T1,0)</f>
        <v>1238.75</v>
      </c>
      <c r="V7" s="74">
        <f>VLOOKUP($H$7&amp;$F$1,'Input RM sheet'!$A:$BD,U1,0)</f>
        <v>1370</v>
      </c>
      <c r="W7" s="74">
        <f>VLOOKUP($H$7&amp;$F$1,'Input RM sheet'!$A:$BD,V1,0)</f>
        <v>1862.5</v>
      </c>
      <c r="X7" s="74">
        <f>VLOOKUP($H$7&amp;$F$1,'Input RM sheet'!$A:$BD,W1,0)</f>
        <v>1655</v>
      </c>
      <c r="Y7" s="74">
        <f>VLOOKUP($H$7&amp;$F$1,'Input RM sheet'!$A:$BD,X1,0)</f>
        <v>1793.75</v>
      </c>
      <c r="Z7" s="74">
        <f>VLOOKUP($H$7&amp;$F$1,'Input RM sheet'!$A:$BD,Y1,0)</f>
        <v>1843.75</v>
      </c>
      <c r="AA7" s="74">
        <f>VLOOKUP($H$7&amp;$F$1,'Input RM sheet'!$A:$BD,Z1,0)</f>
        <v>1880</v>
      </c>
      <c r="AB7" s="74">
        <f>VLOOKUP($H$7&amp;$F$1,'Input RM sheet'!$A:$BD,AA1,0)</f>
        <v>1950</v>
      </c>
      <c r="AC7" s="74">
        <f>VLOOKUP($H$7&amp;$F$1,'Input RM sheet'!$A:$BD,AB1,0)</f>
        <v>1940</v>
      </c>
      <c r="AD7" s="74">
        <f>VLOOKUP($H$7&amp;$F$1,'Input RM sheet'!$A:$BD,AC1,0)</f>
        <v>1750</v>
      </c>
      <c r="AE7" s="74">
        <f>VLOOKUP($H$7&amp;$F$1,'Input RM sheet'!$A:$BD,AD1,0)</f>
        <v>1662.5</v>
      </c>
      <c r="AF7" s="74">
        <f>VLOOKUP($H$7&amp;$F$1,'Input RM sheet'!$A:$BD,AE1,0)</f>
        <v>1371.25</v>
      </c>
      <c r="AG7" s="74">
        <f>VLOOKUP($H$7&amp;$F$1,'Input RM sheet'!$A:$BD,AF1,0)</f>
        <v>1275</v>
      </c>
      <c r="AH7" s="74">
        <f>VLOOKUP($H$7&amp;$F$1,'Input RM sheet'!$A:$BD,AG1,0)</f>
        <v>1362.5</v>
      </c>
      <c r="AI7" s="74">
        <f>VLOOKUP($H$7&amp;$F$1,'Input RM sheet'!$A:$BD,AH1,0)</f>
        <v>1470</v>
      </c>
      <c r="AJ7" s="74">
        <f>VLOOKUP($H$7&amp;$F$1,'Input RM sheet'!$A:$BD,AI1,0)</f>
        <v>1462.5</v>
      </c>
      <c r="AK7" s="74">
        <f>VLOOKUP($H$7&amp;$F$1,'Input RM sheet'!$A:$BD,AJ1,0)</f>
        <v>1487.5</v>
      </c>
      <c r="AL7" s="74">
        <f>VLOOKUP($H$7&amp;$F$1,'Input RM sheet'!$A:$BD,AK1,0)</f>
        <v>1418</v>
      </c>
      <c r="AM7" s="74">
        <f>VLOOKUP($H$7&amp;$F$1,'Input RM sheet'!$A:$BD,AL1,0)</f>
        <v>1118.75</v>
      </c>
      <c r="AN7" s="74">
        <f>VLOOKUP($H$7&amp;$F$1,'Input RM sheet'!$A:$BD,AM1,0)</f>
        <v>962.5</v>
      </c>
      <c r="AO7" s="74">
        <f>VLOOKUP($H$7&amp;$F$1,'Input RM sheet'!$A:$BD,AN1,0)</f>
        <v>934</v>
      </c>
      <c r="AP7" s="74">
        <f>VLOOKUP($H$7&amp;$F$1,'Input RM sheet'!$A:$BD,AO1,0)</f>
        <v>950</v>
      </c>
      <c r="AQ7" s="74">
        <f>VLOOKUP($H$7&amp;$F$1,'Input RM sheet'!$A:$BD,AP1,0)</f>
        <v>950</v>
      </c>
      <c r="AR7" s="74">
        <f>VLOOKUP($H$7&amp;$F$1,'Input RM sheet'!$A:$BD,AQ1,0)</f>
        <v>935</v>
      </c>
      <c r="AS7" s="74">
        <f>VLOOKUP($H$7&amp;$F$1,'Input RM sheet'!$A:$BD,AR1,0)</f>
        <v>975</v>
      </c>
      <c r="AT7" s="74">
        <f>VLOOKUP($H$7&amp;$F$1,'Input RM sheet'!$A:$BD,AS1,0)</f>
        <v>1005</v>
      </c>
      <c r="AU7" s="74">
        <f>VLOOKUP($H$7&amp;$F$1,'Input RM sheet'!$A:$BD,AT1,0)</f>
        <v>975</v>
      </c>
      <c r="AV7" s="74">
        <f>VLOOKUP($H$7&amp;$F$1,'Input RM sheet'!$A:$BD,AU1,0)</f>
        <v>980</v>
      </c>
      <c r="AW7" s="74">
        <f>VLOOKUP($H$7&amp;$F$1,'Input RM sheet'!$A:$BD,AV1,0)</f>
        <v>975</v>
      </c>
      <c r="AX7" s="74">
        <f>VLOOKUP($H$7&amp;$F$1,'Input RM sheet'!$A:$BD,AW1,0)</f>
        <v>900</v>
      </c>
      <c r="AY7" s="74">
        <f>VLOOKUP($H$7&amp;$F$1,'Input RM sheet'!$A:$BD,AX1,0)</f>
        <v>880</v>
      </c>
      <c r="AZ7" s="74">
        <f>VLOOKUP($H$7&amp;$F$1,'Input RM sheet'!$A:$BD,AY1,0)</f>
        <v>870</v>
      </c>
      <c r="BA7" s="74">
        <f>VLOOKUP($H$7&amp;$F$1,'Input RM sheet'!$A:$BD,AZ1,0)</f>
        <v>870</v>
      </c>
      <c r="BB7" s="74">
        <f>VLOOKUP($H$7&amp;$F$1,'Input RM sheet'!$A:$BD,BA1,0)</f>
        <v>870</v>
      </c>
      <c r="BC7" s="74">
        <f>VLOOKUP($H$7&amp;$F$1,'Input RM sheet'!$A:$BD,BB1,0)</f>
        <v>890</v>
      </c>
      <c r="BD7" s="74">
        <f>VLOOKUP($H$7&amp;$F$1,'Input RM sheet'!$A:$BD,BC1,0)</f>
        <v>900</v>
      </c>
      <c r="BE7" s="74">
        <f>VLOOKUP($H$7&amp;$F$1,'Input RM sheet'!$A:$BD,BD1,0)</f>
        <v>900</v>
      </c>
      <c r="BF7" s="74">
        <f>VLOOKUP($H$7&amp;$F$1,'Input RM sheet'!$A:$BD,BE1,0)</f>
        <v>900</v>
      </c>
      <c r="BG7" s="74">
        <f>VLOOKUP($H$7&amp;$F$1,'Input RM sheet'!$A:$DD,BF1,0)</f>
        <v>1050</v>
      </c>
      <c r="BH7" s="74">
        <f>VLOOKUP($H$7&amp;$F$1,'Input RM sheet'!$A:$DD,BG1,0)</f>
        <v>1050</v>
      </c>
      <c r="BI7" s="74">
        <f>VLOOKUP($H$7&amp;$F$1,'Input RM sheet'!$A:$DD,BH1,0)</f>
        <v>1050</v>
      </c>
      <c r="BJ7" s="74">
        <f>VLOOKUP($H$7&amp;$F$1,'Input RM sheet'!$A:$DD,BI1,0)</f>
        <v>1050</v>
      </c>
      <c r="BK7" s="74">
        <f>VLOOKUP($H$7&amp;$F$1,'Input RM sheet'!$A:$DD,BJ1,0)</f>
        <v>1050</v>
      </c>
      <c r="BL7" s="74">
        <f>VLOOKUP($H$7&amp;$F$1,'Input RM sheet'!$A:$DD,BK1,0)</f>
        <v>1075</v>
      </c>
      <c r="BM7" s="74">
        <f>VLOOKUP($H$7&amp;$F$1,'Input RM sheet'!$A:$DD,BL1,0)</f>
        <v>1050</v>
      </c>
      <c r="BN7" s="74">
        <f>VLOOKUP($H$7&amp;$F$1,'Input RM sheet'!$A:$DD,BM1,0)</f>
        <v>1000</v>
      </c>
      <c r="BO7" s="74">
        <f>VLOOKUP($H$7&amp;$F$1,'Input RM sheet'!$A:$DD,BN1,0)</f>
        <v>975</v>
      </c>
      <c r="BP7" s="74">
        <f>VLOOKUP($H$7&amp;$F$1,'Input RM sheet'!$A:$DD,BO1,0)</f>
        <v>975</v>
      </c>
      <c r="BQ7" s="74">
        <f>VLOOKUP($H$7&amp;$F$1,'Input RM sheet'!$A:$DD,BP1,0)</f>
        <v>975</v>
      </c>
      <c r="BR7" s="74">
        <f>VLOOKUP($H$7&amp;$F$1,'Input RM sheet'!$A:$DD,BQ1,0)</f>
        <v>975</v>
      </c>
      <c r="BS7" s="74">
        <f>VLOOKUP($H$7&amp;$F$1,'Input RM sheet'!$A:$DD,BR1,0)</f>
        <v>975</v>
      </c>
      <c r="BT7" s="74">
        <f>VLOOKUP($H$7&amp;$F$1,'Input RM sheet'!$A:$DD,BS1,0)</f>
        <v>975</v>
      </c>
      <c r="BU7" s="74">
        <f>VLOOKUP($H$7&amp;$F$1,'Input RM sheet'!$A:$DD,BT1,0)</f>
        <v>1000</v>
      </c>
      <c r="BV7" s="74">
        <f>VLOOKUP($H$7&amp;$F$1,'Input RM sheet'!$A:$DD,BU1,0)</f>
        <v>1000</v>
      </c>
    </row>
    <row r="8" spans="1:74">
      <c r="B8" s="44"/>
      <c r="D8" s="44"/>
      <c r="H8" s="178" t="s">
        <v>759</v>
      </c>
      <c r="I8" s="74">
        <f>VLOOKUP($H$8&amp;$F$1,'Input RM sheet'!$A:$BD,H1,0)</f>
        <v>1317</v>
      </c>
      <c r="J8" s="74">
        <f>VLOOKUP($H$8&amp;$F$1,'Input RM sheet'!$A:$BD,I1,0)</f>
        <v>1295</v>
      </c>
      <c r="K8" s="74">
        <f>VLOOKUP($H$8&amp;$F$1,'Input RM sheet'!$A:$BD,J1,0)</f>
        <v>1269</v>
      </c>
      <c r="L8" s="74">
        <f>VLOOKUP($H$8&amp;$F$1,'Input RM sheet'!$A:$BD,K1,0)</f>
        <v>1072</v>
      </c>
      <c r="M8" s="74">
        <f>VLOOKUP($H$8&amp;$F$1,'Input RM sheet'!$A:$BD,L1,0)</f>
        <v>990.17</v>
      </c>
      <c r="N8" s="74">
        <f>VLOOKUP($H$8&amp;$F$1,'Input RM sheet'!$A:$BD,M1,0)</f>
        <v>1074</v>
      </c>
      <c r="O8" s="74">
        <f>VLOOKUP($H$8&amp;$F$1,'Input RM sheet'!$A:$BD,N1,0)</f>
        <v>1170</v>
      </c>
      <c r="P8" s="74">
        <f>VLOOKUP($H$8&amp;$F$1,'Input RM sheet'!$A:$BD,O1,0)</f>
        <v>1228</v>
      </c>
      <c r="Q8" s="74">
        <f>VLOOKUP($H$8&amp;$F$1,'Input RM sheet'!$A:$BD,P1,0)</f>
        <v>1223</v>
      </c>
      <c r="R8" s="74">
        <f>VLOOKUP($H$8&amp;$F$1,'Input RM sheet'!$A:$BD,Q1,0)</f>
        <v>1212</v>
      </c>
      <c r="S8" s="74">
        <f>VLOOKUP($H$8&amp;$F$1,'Input RM sheet'!$A:$BD,R1,0)</f>
        <v>1220</v>
      </c>
      <c r="T8" s="74">
        <f>VLOOKUP($H$8&amp;$F$1,'Input RM sheet'!$A:$BD,S1,0)</f>
        <v>1273</v>
      </c>
      <c r="U8" s="74">
        <f>VLOOKUP($H$8&amp;$F$1,'Input RM sheet'!$A:$BD,T1,0)</f>
        <v>1312</v>
      </c>
      <c r="V8" s="74">
        <f>VLOOKUP($H$8&amp;$F$1,'Input RM sheet'!$A:$BD,U1,0)</f>
        <v>1371</v>
      </c>
      <c r="W8" s="74">
        <f>VLOOKUP($H$8&amp;$F$1,'Input RM sheet'!$A:$BD,V1,0)</f>
        <v>1421</v>
      </c>
      <c r="X8" s="74">
        <f>VLOOKUP($H$8&amp;$F$1,'Input RM sheet'!$A:$BD,W1,0)</f>
        <v>1466</v>
      </c>
      <c r="Y8" s="74">
        <f>VLOOKUP($H$8&amp;$F$1,'Input RM sheet'!$A:$BD,X1,0)</f>
        <v>1494</v>
      </c>
      <c r="Z8" s="74">
        <f>VLOOKUP($H$8&amp;$F$1,'Input RM sheet'!$A:$BD,Y1,0)</f>
        <v>1509</v>
      </c>
      <c r="AA8" s="74">
        <f>VLOOKUP($H$8&amp;$F$1,'Input RM sheet'!$A:$BD,Z1,0)</f>
        <v>1521</v>
      </c>
      <c r="AB8" s="74">
        <f>VLOOKUP($H$8&amp;$F$1,'Input RM sheet'!$A:$BD,AA1,0)</f>
        <v>1563</v>
      </c>
      <c r="AC8" s="74">
        <f>VLOOKUP($H$8&amp;$F$1,'Input RM sheet'!$A:$BD,AB1,0)</f>
        <v>1556</v>
      </c>
      <c r="AD8" s="74">
        <f>VLOOKUP($H$8&amp;$F$1,'Input RM sheet'!$A:$BD,AC1,0)</f>
        <v>1556</v>
      </c>
      <c r="AE8" s="74">
        <f>VLOOKUP($H$8&amp;$F$1,'Input RM sheet'!$A:$BD,AD1,0)</f>
        <v>1615</v>
      </c>
      <c r="AF8" s="74">
        <f>VLOOKUP($H$8&amp;$F$1,'Input RM sheet'!$A:$BD,AE1,0)</f>
        <v>1592</v>
      </c>
      <c r="AG8" s="74">
        <f>VLOOKUP($H$8&amp;$F$1,'Input RM sheet'!$A:$BD,AF1,0)</f>
        <v>1594</v>
      </c>
      <c r="AH8" s="74">
        <f>VLOOKUP($H$8&amp;$F$1,'Input RM sheet'!$A:$BD,AG1,0)</f>
        <v>1658</v>
      </c>
      <c r="AI8" s="74">
        <f>VLOOKUP($H$8&amp;$F$1,'Input RM sheet'!$A:$BD,AH1,0)</f>
        <v>1693</v>
      </c>
      <c r="AJ8" s="74">
        <f>VLOOKUP($H$8&amp;$F$1,'Input RM sheet'!$A:$BD,AI1,0)</f>
        <v>1916</v>
      </c>
      <c r="AK8" s="74">
        <f>VLOOKUP($H$8&amp;$F$1,'Input RM sheet'!$A:$BD,AJ1,0)</f>
        <v>1815</v>
      </c>
      <c r="AL8" s="74">
        <f>VLOOKUP($H$8&amp;$F$1,'Input RM sheet'!$A:$BD,AK1,0)</f>
        <v>1813</v>
      </c>
      <c r="AM8" s="74">
        <f>VLOOKUP($H$8&amp;$F$1,'Input RM sheet'!$A:$BD,AL1,0)</f>
        <v>1668</v>
      </c>
      <c r="AN8" s="74">
        <f>VLOOKUP($H$8&amp;$F$1,'Input RM sheet'!$A:$BD,AM1,0)</f>
        <v>1599</v>
      </c>
      <c r="AO8" s="74">
        <f>VLOOKUP($H$8&amp;$F$1,'Input RM sheet'!$A:$BD,AN1,0)</f>
        <v>1472</v>
      </c>
      <c r="AP8" s="74">
        <f>VLOOKUP($H$8&amp;$F$1,'Input RM sheet'!$A:$BD,AO1,0)</f>
        <v>1423</v>
      </c>
      <c r="AQ8" s="74">
        <f>VLOOKUP($H$8&amp;$F$1,'Input RM sheet'!$A:$BD,AP1,0)</f>
        <v>1507</v>
      </c>
      <c r="AR8" s="74">
        <f>VLOOKUP($H$8&amp;$F$1,'Input RM sheet'!$A:$BD,AQ1,0)</f>
        <v>1542</v>
      </c>
      <c r="AS8" s="74">
        <f>VLOOKUP($H$8&amp;$F$1,'Input RM sheet'!$A:$BD,AR1,0)</f>
        <v>1488</v>
      </c>
      <c r="AT8" s="74">
        <f>VLOOKUP($H$8&amp;$F$1,'Input RM sheet'!$A:$BD,AS1,0)</f>
        <v>1549</v>
      </c>
      <c r="AU8" s="74">
        <f>VLOOKUP($H$8&amp;$F$1,'Input RM sheet'!$A:$BD,AT1,0)</f>
        <v>1574</v>
      </c>
      <c r="AV8" s="74">
        <f>VLOOKUP($H$8&amp;$F$1,'Input RM sheet'!$A:$BD,AU1,0)</f>
        <v>1561</v>
      </c>
      <c r="AW8" s="74">
        <f>VLOOKUP($H$8&amp;$F$1,'Input RM sheet'!$A:$BD,AV1,0)</f>
        <v>1537</v>
      </c>
      <c r="AX8" s="74">
        <f>VLOOKUP($H$8&amp;$F$1,'Input RM sheet'!$A:$BD,AW1,0)</f>
        <v>1460</v>
      </c>
      <c r="AY8" s="74">
        <f>VLOOKUP($H$8&amp;$F$1,'Input RM sheet'!$A:$BD,AX1,0)</f>
        <v>1460</v>
      </c>
      <c r="AZ8" s="74">
        <f>VLOOKUP($H$8&amp;$F$1,'Input RM sheet'!$A:$BD,AY1,0)</f>
        <v>1460</v>
      </c>
      <c r="BA8" s="74">
        <f>VLOOKUP($H$8&amp;$F$1,'Input RM sheet'!$A:$BD,AZ1,0)</f>
        <v>1460</v>
      </c>
      <c r="BB8" s="74">
        <f>VLOOKUP($H$8&amp;$F$1,'Input RM sheet'!$A:$BD,BA1,0)</f>
        <v>1433</v>
      </c>
      <c r="BC8" s="74">
        <f>VLOOKUP($H$8&amp;$F$1,'Input RM sheet'!$A:$BD,BB1,0)</f>
        <v>1433</v>
      </c>
      <c r="BD8" s="74">
        <f>VLOOKUP($H$8&amp;$F$1,'Input RM sheet'!$A:$BD,BC1,0)</f>
        <v>1433</v>
      </c>
      <c r="BE8" s="74">
        <f>VLOOKUP($H$8&amp;$F$1,'Input RM sheet'!$A:$BD,BD1,0)</f>
        <v>1433</v>
      </c>
      <c r="BF8" s="74">
        <f>VLOOKUP($H$8&amp;$F$1,'Input RM sheet'!$A:$BD,BE1,0)</f>
        <v>1433</v>
      </c>
      <c r="BG8" s="74">
        <f>VLOOKUP($H$8&amp;$F$1,'Input RM sheet'!$A:$DD,BF1,0)</f>
        <v>1414</v>
      </c>
      <c r="BH8" s="74">
        <f>VLOOKUP($H$8&amp;$F$1,'Input RM sheet'!$A:$DD,BG1,0)</f>
        <v>1414</v>
      </c>
      <c r="BI8" s="74">
        <f>VLOOKUP($H$8&amp;$F$1,'Input RM sheet'!$A:$DD,BH1,0)</f>
        <v>1449</v>
      </c>
      <c r="BJ8" s="74">
        <f>VLOOKUP($H$8&amp;$F$1,'Input RM sheet'!$A:$DD,BI1,0)</f>
        <v>1449</v>
      </c>
      <c r="BK8" s="74">
        <f>VLOOKUP($H$8&amp;$F$1,'Input RM sheet'!$A:$DD,BJ1,0)</f>
        <v>1449</v>
      </c>
      <c r="BL8" s="74">
        <f>VLOOKUP($H$8&amp;$F$1,'Input RM sheet'!$A:$DD,BK1,0)</f>
        <v>1449</v>
      </c>
      <c r="BM8" s="74">
        <f>VLOOKUP($H$8&amp;$F$1,'Input RM sheet'!$A:$DD,BL1,0)</f>
        <v>1449</v>
      </c>
      <c r="BN8" s="74">
        <f>VLOOKUP($H$8&amp;$F$1,'Input RM sheet'!$A:$DD,BM1,0)</f>
        <v>1488</v>
      </c>
      <c r="BO8" s="74">
        <f>VLOOKUP($H$8&amp;$F$1,'Input RM sheet'!$A:$DD,BN1,0)</f>
        <v>1488</v>
      </c>
      <c r="BP8" s="74">
        <f>VLOOKUP($H$8&amp;$F$1,'Input RM sheet'!$A:$DD,BO1,0)</f>
        <v>1488</v>
      </c>
      <c r="BQ8" s="74">
        <f>VLOOKUP($H$8&amp;$F$1,'Input RM sheet'!$A:$DD,BP1,0)</f>
        <v>1488</v>
      </c>
      <c r="BR8" s="74">
        <f>VLOOKUP($H$8&amp;$F$1,'Input RM sheet'!$A:$DD,BQ1,0)</f>
        <v>1488</v>
      </c>
      <c r="BS8" s="74">
        <f>VLOOKUP($H$8&amp;$F$1,'Input RM sheet'!$A:$DD,BR1,0)</f>
        <v>1470</v>
      </c>
      <c r="BT8" s="74">
        <f>VLOOKUP($H$8&amp;$F$1,'Input RM sheet'!$A:$DD,BS1,0)</f>
        <v>1463</v>
      </c>
      <c r="BU8" s="74">
        <f>VLOOKUP($H$8&amp;$F$1,'Input RM sheet'!$A:$DD,BT1,0)</f>
        <v>1466</v>
      </c>
      <c r="BV8" s="74">
        <f>VLOOKUP($H$8&amp;$F$1,'Input RM sheet'!$A:$DD,BU1,0)</f>
        <v>1472</v>
      </c>
    </row>
    <row r="9" spans="1:74" ht="26">
      <c r="A9" s="59" t="s">
        <v>395</v>
      </c>
      <c r="B9" s="59"/>
      <c r="C9" s="59" t="s">
        <v>379</v>
      </c>
      <c r="D9" s="98" t="s">
        <v>380</v>
      </c>
      <c r="E9" s="98" t="s">
        <v>381</v>
      </c>
      <c r="F9" s="59" t="s">
        <v>396</v>
      </c>
      <c r="H9" s="60" t="s">
        <v>399</v>
      </c>
      <c r="I9" s="84"/>
      <c r="J9" s="84"/>
      <c r="K9" s="84"/>
      <c r="L9" s="84"/>
      <c r="M9" s="84"/>
      <c r="N9" s="84"/>
      <c r="O9" s="84"/>
      <c r="P9" s="84"/>
      <c r="Q9" s="84"/>
      <c r="R9" s="84"/>
      <c r="S9" s="84"/>
      <c r="T9" s="84"/>
      <c r="U9" s="84"/>
      <c r="V9" s="84"/>
      <c r="W9" s="84"/>
      <c r="X9" s="84"/>
      <c r="Y9" s="84"/>
      <c r="Z9" s="84"/>
      <c r="AA9" s="84"/>
      <c r="AB9" s="84"/>
      <c r="AC9" s="84"/>
      <c r="AD9" s="84"/>
      <c r="AE9" s="84"/>
      <c r="AF9" s="84"/>
      <c r="AG9" s="84"/>
      <c r="AH9" s="84"/>
      <c r="AI9" s="84"/>
      <c r="AJ9" s="84"/>
      <c r="AK9" s="84"/>
      <c r="AL9" s="84"/>
      <c r="AM9" s="84"/>
      <c r="AN9" s="84"/>
      <c r="AO9" s="84"/>
      <c r="AP9" s="84"/>
      <c r="AQ9" s="84"/>
      <c r="AR9" s="84"/>
      <c r="AS9" s="84"/>
      <c r="AT9" s="84"/>
      <c r="AU9" s="84"/>
    </row>
    <row r="10" spans="1:74" ht="13">
      <c r="A10" s="107" t="s">
        <v>397</v>
      </c>
      <c r="B10" s="178" t="s">
        <v>78</v>
      </c>
      <c r="C10" s="60">
        <v>1</v>
      </c>
      <c r="D10" s="65">
        <v>74.12</v>
      </c>
      <c r="E10" s="60">
        <f>D10*C10</f>
        <v>74.12</v>
      </c>
      <c r="F10" s="65">
        <f>E10/E2</f>
        <v>0.62720966166895997</v>
      </c>
      <c r="I10" s="74">
        <f>$F$10*(I7/1000)</f>
        <v>0.4337154810440858</v>
      </c>
      <c r="J10" s="74">
        <f t="shared" ref="J10:BU10" si="0">$F$10*(J7/1000)</f>
        <v>0.41787843708694461</v>
      </c>
      <c r="K10" s="74">
        <f t="shared" si="0"/>
        <v>0.40768628008482399</v>
      </c>
      <c r="L10" s="74">
        <f t="shared" si="0"/>
        <v>0.37820742598638285</v>
      </c>
      <c r="M10" s="74">
        <f t="shared" si="0"/>
        <v>0.37789382115554843</v>
      </c>
      <c r="N10" s="74">
        <f t="shared" si="0"/>
        <v>0.38416591777223802</v>
      </c>
      <c r="O10" s="74">
        <f t="shared" si="0"/>
        <v>0.39326045786643793</v>
      </c>
      <c r="P10" s="74">
        <f t="shared" si="0"/>
        <v>0.38730196608058282</v>
      </c>
      <c r="Q10" s="74">
        <f t="shared" si="0"/>
        <v>0.40063017139104823</v>
      </c>
      <c r="R10" s="74">
        <f t="shared" si="0"/>
        <v>0.43653792452159612</v>
      </c>
      <c r="S10" s="74">
        <f t="shared" si="0"/>
        <v>0.58565702158339139</v>
      </c>
      <c r="T10" s="74">
        <f t="shared" si="0"/>
        <v>0.6766024225253906</v>
      </c>
      <c r="U10" s="74">
        <f t="shared" si="0"/>
        <v>0.7769559683924242</v>
      </c>
      <c r="V10" s="74">
        <f t="shared" si="0"/>
        <v>0.85927723648647525</v>
      </c>
      <c r="W10" s="74">
        <f t="shared" si="0"/>
        <v>1.1681779948584379</v>
      </c>
      <c r="X10" s="74">
        <f t="shared" si="0"/>
        <v>1.0380319900621289</v>
      </c>
      <c r="Y10" s="74">
        <f t="shared" si="0"/>
        <v>1.1250573306186968</v>
      </c>
      <c r="Z10" s="74">
        <f t="shared" si="0"/>
        <v>1.156417813702145</v>
      </c>
      <c r="AA10" s="74">
        <f t="shared" si="0"/>
        <v>1.1791541639376446</v>
      </c>
      <c r="AB10" s="74">
        <f t="shared" si="0"/>
        <v>1.223058840254472</v>
      </c>
      <c r="AC10" s="74">
        <f t="shared" si="0"/>
        <v>1.2167867436377824</v>
      </c>
      <c r="AD10" s="74">
        <f t="shared" si="0"/>
        <v>1.0976169079206799</v>
      </c>
      <c r="AE10" s="74">
        <f t="shared" si="0"/>
        <v>1.042736062524646</v>
      </c>
      <c r="AF10" s="74">
        <f t="shared" si="0"/>
        <v>0.86006124856356136</v>
      </c>
      <c r="AG10" s="74">
        <f t="shared" si="0"/>
        <v>0.79969231862792389</v>
      </c>
      <c r="AH10" s="74">
        <f t="shared" si="0"/>
        <v>0.854573164023958</v>
      </c>
      <c r="AI10" s="74">
        <f t="shared" si="0"/>
        <v>0.92199820265337118</v>
      </c>
      <c r="AJ10" s="74">
        <f t="shared" si="0"/>
        <v>0.91729413019085393</v>
      </c>
      <c r="AK10" s="74">
        <f t="shared" si="0"/>
        <v>0.93297437173257802</v>
      </c>
      <c r="AL10" s="74">
        <f t="shared" si="0"/>
        <v>0.88938330024658518</v>
      </c>
      <c r="AM10" s="74">
        <f t="shared" si="0"/>
        <v>0.70169080899214886</v>
      </c>
      <c r="AN10" s="74">
        <f t="shared" si="0"/>
        <v>0.60368929935637394</v>
      </c>
      <c r="AO10" s="74">
        <f t="shared" si="0"/>
        <v>0.58581382399880866</v>
      </c>
      <c r="AP10" s="74">
        <f t="shared" si="0"/>
        <v>0.5958491785855119</v>
      </c>
      <c r="AQ10" s="74">
        <f t="shared" si="0"/>
        <v>0.5958491785855119</v>
      </c>
      <c r="AR10" s="74">
        <f t="shared" si="0"/>
        <v>0.58644103366047762</v>
      </c>
      <c r="AS10" s="74">
        <f t="shared" si="0"/>
        <v>0.61152942012723599</v>
      </c>
      <c r="AT10" s="74">
        <f t="shared" si="0"/>
        <v>0.63034570997730466</v>
      </c>
      <c r="AU10" s="74">
        <f t="shared" si="0"/>
        <v>0.61152942012723599</v>
      </c>
      <c r="AV10" s="74">
        <f t="shared" si="0"/>
        <v>0.61466546843558079</v>
      </c>
      <c r="AW10" s="74">
        <f t="shared" si="0"/>
        <v>0.61152942012723599</v>
      </c>
      <c r="AX10" s="74">
        <f t="shared" si="0"/>
        <v>0.56448869550206404</v>
      </c>
      <c r="AY10" s="74">
        <f t="shared" si="0"/>
        <v>0.55194450226868474</v>
      </c>
      <c r="AZ10" s="74">
        <f t="shared" si="0"/>
        <v>0.54567240565199515</v>
      </c>
      <c r="BA10" s="74">
        <f t="shared" si="0"/>
        <v>0.54567240565199515</v>
      </c>
      <c r="BB10" s="74">
        <f t="shared" si="0"/>
        <v>0.54567240565199515</v>
      </c>
      <c r="BC10" s="74">
        <f t="shared" si="0"/>
        <v>0.55821659888537434</v>
      </c>
      <c r="BD10" s="74">
        <f t="shared" si="0"/>
        <v>0.56448869550206404</v>
      </c>
      <c r="BE10" s="74">
        <f t="shared" si="0"/>
        <v>0.56448869550206404</v>
      </c>
      <c r="BF10" s="74">
        <f t="shared" si="0"/>
        <v>0.56448869550206404</v>
      </c>
      <c r="BG10" s="74">
        <f t="shared" si="0"/>
        <v>0.65857014475240805</v>
      </c>
      <c r="BH10" s="74">
        <f t="shared" si="0"/>
        <v>0.65857014475240805</v>
      </c>
      <c r="BI10" s="74">
        <f t="shared" si="0"/>
        <v>0.65857014475240805</v>
      </c>
      <c r="BJ10" s="74">
        <f t="shared" si="0"/>
        <v>0.65857014475240805</v>
      </c>
      <c r="BK10" s="74">
        <f t="shared" si="0"/>
        <v>0.65857014475240805</v>
      </c>
      <c r="BL10" s="74">
        <f t="shared" si="0"/>
        <v>0.67425038629413192</v>
      </c>
      <c r="BM10" s="74">
        <f t="shared" si="0"/>
        <v>0.65857014475240805</v>
      </c>
      <c r="BN10" s="74">
        <f t="shared" si="0"/>
        <v>0.62720966166895997</v>
      </c>
      <c r="BO10" s="74">
        <f t="shared" si="0"/>
        <v>0.61152942012723599</v>
      </c>
      <c r="BP10" s="74">
        <f t="shared" si="0"/>
        <v>0.61152942012723599</v>
      </c>
      <c r="BQ10" s="74">
        <f t="shared" si="0"/>
        <v>0.61152942012723599</v>
      </c>
      <c r="BR10" s="74">
        <f t="shared" si="0"/>
        <v>0.61152942012723599</v>
      </c>
      <c r="BS10" s="74">
        <f t="shared" si="0"/>
        <v>0.61152942012723599</v>
      </c>
      <c r="BT10" s="74">
        <f t="shared" si="0"/>
        <v>0.61152942012723599</v>
      </c>
      <c r="BU10" s="74">
        <f t="shared" si="0"/>
        <v>0.62720966166895997</v>
      </c>
      <c r="BV10" s="74">
        <f>$F$10*(BV7/1000)</f>
        <v>0.62720966166895997</v>
      </c>
    </row>
    <row r="11" spans="1:74" ht="16" customHeight="1">
      <c r="A11" s="67"/>
      <c r="B11" s="178" t="s">
        <v>548</v>
      </c>
      <c r="C11" s="60">
        <v>1</v>
      </c>
      <c r="D11" s="60">
        <v>44.05</v>
      </c>
      <c r="E11" s="60">
        <f>D11*C11</f>
        <v>44.05</v>
      </c>
      <c r="F11" s="65">
        <f>E11/E2</f>
        <v>0.37275479757849006</v>
      </c>
      <c r="H11" s="60" t="s">
        <v>718</v>
      </c>
      <c r="I11" s="74">
        <f>$F$11*(I8/1000)</f>
        <v>0.49091806841087138</v>
      </c>
      <c r="J11" s="74">
        <f t="shared" ref="J11:BU11" si="1">$F$11*(J8/1000)</f>
        <v>0.48271746286414458</v>
      </c>
      <c r="K11" s="74">
        <f t="shared" si="1"/>
        <v>0.47302583812710386</v>
      </c>
      <c r="L11" s="74">
        <f t="shared" si="1"/>
        <v>0.39959314300414139</v>
      </c>
      <c r="M11" s="74">
        <f t="shared" si="1"/>
        <v>0.36909061791829351</v>
      </c>
      <c r="N11" s="74">
        <f t="shared" si="1"/>
        <v>0.40033865259929835</v>
      </c>
      <c r="O11" s="74">
        <f t="shared" si="1"/>
        <v>0.43612311316683333</v>
      </c>
      <c r="P11" s="74">
        <f t="shared" si="1"/>
        <v>0.4577428914263858</v>
      </c>
      <c r="Q11" s="74">
        <f t="shared" si="1"/>
        <v>0.45587911743849335</v>
      </c>
      <c r="R11" s="74">
        <f t="shared" si="1"/>
        <v>0.45177881466512992</v>
      </c>
      <c r="S11" s="74">
        <f t="shared" si="1"/>
        <v>0.45476085304575786</v>
      </c>
      <c r="T11" s="74">
        <f t="shared" si="1"/>
        <v>0.47451685731741783</v>
      </c>
      <c r="U11" s="74">
        <f t="shared" si="1"/>
        <v>0.48905429442297899</v>
      </c>
      <c r="V11" s="74">
        <f t="shared" si="1"/>
        <v>0.51104682748010988</v>
      </c>
      <c r="W11" s="74">
        <f t="shared" si="1"/>
        <v>0.52968456735903435</v>
      </c>
      <c r="X11" s="74">
        <f t="shared" si="1"/>
        <v>0.54645853325006644</v>
      </c>
      <c r="Y11" s="74">
        <f t="shared" si="1"/>
        <v>0.55689566758226416</v>
      </c>
      <c r="Z11" s="74">
        <f t="shared" si="1"/>
        <v>0.56248698954594145</v>
      </c>
      <c r="AA11" s="74">
        <f t="shared" si="1"/>
        <v>0.5669600471168833</v>
      </c>
      <c r="AB11" s="74">
        <f t="shared" si="1"/>
        <v>0.58261574861517995</v>
      </c>
      <c r="AC11" s="74">
        <f t="shared" si="1"/>
        <v>0.5800064650321306</v>
      </c>
      <c r="AD11" s="74">
        <f t="shared" si="1"/>
        <v>0.5800064650321306</v>
      </c>
      <c r="AE11" s="74">
        <f t="shared" si="1"/>
        <v>0.60199899808926149</v>
      </c>
      <c r="AF11" s="74">
        <f t="shared" si="1"/>
        <v>0.59342563774495616</v>
      </c>
      <c r="AG11" s="74">
        <f t="shared" si="1"/>
        <v>0.59417114734011323</v>
      </c>
      <c r="AH11" s="74">
        <f t="shared" si="1"/>
        <v>0.61802745438513651</v>
      </c>
      <c r="AI11" s="74">
        <f t="shared" si="1"/>
        <v>0.6310738723003837</v>
      </c>
      <c r="AJ11" s="74">
        <f t="shared" si="1"/>
        <v>0.71419819216038694</v>
      </c>
      <c r="AK11" s="74">
        <f t="shared" si="1"/>
        <v>0.6765499576049594</v>
      </c>
      <c r="AL11" s="74">
        <f t="shared" si="1"/>
        <v>0.67580444800980244</v>
      </c>
      <c r="AM11" s="74">
        <f t="shared" si="1"/>
        <v>0.6217550023609214</v>
      </c>
      <c r="AN11" s="74">
        <f t="shared" si="1"/>
        <v>0.59603492132800562</v>
      </c>
      <c r="AO11" s="74">
        <f t="shared" si="1"/>
        <v>0.54869506203553731</v>
      </c>
      <c r="AP11" s="74">
        <f t="shared" si="1"/>
        <v>0.53043007695419142</v>
      </c>
      <c r="AQ11" s="74">
        <f t="shared" si="1"/>
        <v>0.56174147995078449</v>
      </c>
      <c r="AR11" s="74">
        <f t="shared" si="1"/>
        <v>0.57478789786603168</v>
      </c>
      <c r="AS11" s="74">
        <f t="shared" si="1"/>
        <v>0.55465913879679318</v>
      </c>
      <c r="AT11" s="74">
        <f t="shared" si="1"/>
        <v>0.57739718144908103</v>
      </c>
      <c r="AU11" s="74">
        <f t="shared" si="1"/>
        <v>0.58671605138854332</v>
      </c>
      <c r="AV11" s="74">
        <f t="shared" si="1"/>
        <v>0.58187023902002299</v>
      </c>
      <c r="AW11" s="74">
        <f t="shared" si="1"/>
        <v>0.57292412387813918</v>
      </c>
      <c r="AX11" s="74">
        <f t="shared" si="1"/>
        <v>0.54422200446459545</v>
      </c>
      <c r="AY11" s="74">
        <f t="shared" si="1"/>
        <v>0.54422200446459545</v>
      </c>
      <c r="AZ11" s="74">
        <f t="shared" si="1"/>
        <v>0.54422200446459545</v>
      </c>
      <c r="BA11" s="74">
        <f t="shared" si="1"/>
        <v>0.54422200446459545</v>
      </c>
      <c r="BB11" s="74">
        <f t="shared" si="1"/>
        <v>0.53415762492997632</v>
      </c>
      <c r="BC11" s="74">
        <f t="shared" si="1"/>
        <v>0.53415762492997632</v>
      </c>
      <c r="BD11" s="74">
        <f t="shared" si="1"/>
        <v>0.53415762492997632</v>
      </c>
      <c r="BE11" s="74">
        <f t="shared" si="1"/>
        <v>0.53415762492997632</v>
      </c>
      <c r="BF11" s="74">
        <f t="shared" si="1"/>
        <v>0.53415762492997632</v>
      </c>
      <c r="BG11" s="74">
        <f t="shared" si="1"/>
        <v>0.52707528377598489</v>
      </c>
      <c r="BH11" s="74">
        <f t="shared" si="1"/>
        <v>0.52707528377598489</v>
      </c>
      <c r="BI11" s="74">
        <f t="shared" si="1"/>
        <v>0.54012170169123208</v>
      </c>
      <c r="BJ11" s="74">
        <f t="shared" si="1"/>
        <v>0.54012170169123208</v>
      </c>
      <c r="BK11" s="74">
        <f t="shared" si="1"/>
        <v>0.54012170169123208</v>
      </c>
      <c r="BL11" s="74">
        <f t="shared" si="1"/>
        <v>0.54012170169123208</v>
      </c>
      <c r="BM11" s="74">
        <f t="shared" si="1"/>
        <v>0.54012170169123208</v>
      </c>
      <c r="BN11" s="74">
        <f t="shared" si="1"/>
        <v>0.55465913879679318</v>
      </c>
      <c r="BO11" s="74">
        <f t="shared" si="1"/>
        <v>0.55465913879679318</v>
      </c>
      <c r="BP11" s="74">
        <f t="shared" si="1"/>
        <v>0.55465913879679318</v>
      </c>
      <c r="BQ11" s="74">
        <f t="shared" si="1"/>
        <v>0.55465913879679318</v>
      </c>
      <c r="BR11" s="74">
        <f t="shared" si="1"/>
        <v>0.55465913879679318</v>
      </c>
      <c r="BS11" s="74">
        <f t="shared" si="1"/>
        <v>0.54794955244038035</v>
      </c>
      <c r="BT11" s="74">
        <f t="shared" si="1"/>
        <v>0.545340268857331</v>
      </c>
      <c r="BU11" s="74">
        <f t="shared" si="1"/>
        <v>0.54645853325006644</v>
      </c>
      <c r="BV11" s="74">
        <f>$F$11*(BV8/1000)</f>
        <v>0.54869506203553731</v>
      </c>
    </row>
    <row r="12" spans="1:74" s="104" customFormat="1">
      <c r="A12" s="104" t="s">
        <v>400</v>
      </c>
      <c r="H12" s="60"/>
      <c r="I12" s="105">
        <f t="shared" ref="I12:BT12" si="2">SUM(I10:I11)</f>
        <v>0.92463354945495713</v>
      </c>
      <c r="J12" s="105">
        <f t="shared" si="2"/>
        <v>0.90059589995108924</v>
      </c>
      <c r="K12" s="105">
        <f t="shared" si="2"/>
        <v>0.88071211821192785</v>
      </c>
      <c r="L12" s="105">
        <f t="shared" si="2"/>
        <v>0.7778005689905243</v>
      </c>
      <c r="M12" s="105">
        <f t="shared" si="2"/>
        <v>0.74698443907384193</v>
      </c>
      <c r="N12" s="105">
        <f t="shared" si="2"/>
        <v>0.78450457037153631</v>
      </c>
      <c r="O12" s="105">
        <f t="shared" si="2"/>
        <v>0.82938357103327132</v>
      </c>
      <c r="P12" s="105">
        <f t="shared" si="2"/>
        <v>0.84504485750696867</v>
      </c>
      <c r="Q12" s="105">
        <f t="shared" si="2"/>
        <v>0.85650928882954158</v>
      </c>
      <c r="R12" s="105">
        <f t="shared" si="2"/>
        <v>0.88831673918672605</v>
      </c>
      <c r="S12" s="105">
        <f t="shared" si="2"/>
        <v>1.0404178746291493</v>
      </c>
      <c r="T12" s="105">
        <f t="shared" si="2"/>
        <v>1.1511192798428085</v>
      </c>
      <c r="U12" s="105">
        <f t="shared" si="2"/>
        <v>1.2660102628154033</v>
      </c>
      <c r="V12" s="105">
        <f t="shared" si="2"/>
        <v>1.370324063966585</v>
      </c>
      <c r="W12" s="105">
        <f t="shared" si="2"/>
        <v>1.6978625622174723</v>
      </c>
      <c r="X12" s="105">
        <f t="shared" si="2"/>
        <v>1.5844905233121953</v>
      </c>
      <c r="Y12" s="105">
        <f t="shared" si="2"/>
        <v>1.6819529982009609</v>
      </c>
      <c r="Z12" s="105">
        <f t="shared" si="2"/>
        <v>1.7189048032480865</v>
      </c>
      <c r="AA12" s="105">
        <f t="shared" si="2"/>
        <v>1.746114211054528</v>
      </c>
      <c r="AB12" s="105">
        <f t="shared" si="2"/>
        <v>1.8056745888696519</v>
      </c>
      <c r="AC12" s="105">
        <f t="shared" si="2"/>
        <v>1.796793208669913</v>
      </c>
      <c r="AD12" s="105">
        <f t="shared" si="2"/>
        <v>1.6776233729528105</v>
      </c>
      <c r="AE12" s="105">
        <f t="shared" si="2"/>
        <v>1.6447350606139075</v>
      </c>
      <c r="AF12" s="105">
        <f t="shared" si="2"/>
        <v>1.4534868863085175</v>
      </c>
      <c r="AG12" s="105">
        <f t="shared" si="2"/>
        <v>1.3938634659680371</v>
      </c>
      <c r="AH12" s="105">
        <f t="shared" si="2"/>
        <v>1.4726006184090945</v>
      </c>
      <c r="AI12" s="105">
        <f t="shared" si="2"/>
        <v>1.553072074953755</v>
      </c>
      <c r="AJ12" s="105">
        <f t="shared" si="2"/>
        <v>1.631492322351241</v>
      </c>
      <c r="AK12" s="105">
        <f t="shared" si="2"/>
        <v>1.6095243293375374</v>
      </c>
      <c r="AL12" s="105">
        <f t="shared" si="2"/>
        <v>1.5651877482563876</v>
      </c>
      <c r="AM12" s="105">
        <f t="shared" si="2"/>
        <v>1.3234458113530703</v>
      </c>
      <c r="AN12" s="105">
        <f t="shared" si="2"/>
        <v>1.1997242206843794</v>
      </c>
      <c r="AO12" s="105">
        <f t="shared" si="2"/>
        <v>1.134508886034346</v>
      </c>
      <c r="AP12" s="105">
        <f t="shared" si="2"/>
        <v>1.1262792555397034</v>
      </c>
      <c r="AQ12" s="105">
        <f t="shared" si="2"/>
        <v>1.1575906585362965</v>
      </c>
      <c r="AR12" s="105">
        <f t="shared" si="2"/>
        <v>1.1612289315265092</v>
      </c>
      <c r="AS12" s="105">
        <f t="shared" si="2"/>
        <v>1.1661885589240293</v>
      </c>
      <c r="AT12" s="105">
        <f t="shared" si="2"/>
        <v>1.2077428914263857</v>
      </c>
      <c r="AU12" s="105">
        <f t="shared" si="2"/>
        <v>1.1982454715157793</v>
      </c>
      <c r="AV12" s="105">
        <f t="shared" si="2"/>
        <v>1.1965357074556038</v>
      </c>
      <c r="AW12" s="105">
        <f t="shared" si="2"/>
        <v>1.1844535440053752</v>
      </c>
      <c r="AX12" s="105">
        <f t="shared" si="2"/>
        <v>1.1087106999666596</v>
      </c>
      <c r="AY12" s="105">
        <f t="shared" si="2"/>
        <v>1.0961665067332802</v>
      </c>
      <c r="AZ12" s="105">
        <f t="shared" si="2"/>
        <v>1.0898944101165906</v>
      </c>
      <c r="BA12" s="105">
        <f t="shared" si="2"/>
        <v>1.0898944101165906</v>
      </c>
      <c r="BB12" s="105">
        <f t="shared" si="2"/>
        <v>1.0798300305819715</v>
      </c>
      <c r="BC12" s="105">
        <f t="shared" si="2"/>
        <v>1.0923742238153507</v>
      </c>
      <c r="BD12" s="105">
        <f t="shared" si="2"/>
        <v>1.0986463204320405</v>
      </c>
      <c r="BE12" s="105">
        <f t="shared" si="2"/>
        <v>1.0986463204320405</v>
      </c>
      <c r="BF12" s="105">
        <f t="shared" si="2"/>
        <v>1.0986463204320405</v>
      </c>
      <c r="BG12" s="105">
        <f t="shared" si="2"/>
        <v>1.1856454285283928</v>
      </c>
      <c r="BH12" s="105">
        <f t="shared" si="2"/>
        <v>1.1856454285283928</v>
      </c>
      <c r="BI12" s="105">
        <f t="shared" si="2"/>
        <v>1.1986918464436402</v>
      </c>
      <c r="BJ12" s="105">
        <f t="shared" si="2"/>
        <v>1.1986918464436402</v>
      </c>
      <c r="BK12" s="105">
        <f t="shared" si="2"/>
        <v>1.1986918464436402</v>
      </c>
      <c r="BL12" s="105">
        <f t="shared" si="2"/>
        <v>1.2143720879853639</v>
      </c>
      <c r="BM12" s="105">
        <f t="shared" si="2"/>
        <v>1.1986918464436402</v>
      </c>
      <c r="BN12" s="105">
        <f t="shared" si="2"/>
        <v>1.1818688004657532</v>
      </c>
      <c r="BO12" s="105">
        <f t="shared" si="2"/>
        <v>1.1661885589240293</v>
      </c>
      <c r="BP12" s="105">
        <f t="shared" si="2"/>
        <v>1.1661885589240293</v>
      </c>
      <c r="BQ12" s="105">
        <f t="shared" si="2"/>
        <v>1.1661885589240293</v>
      </c>
      <c r="BR12" s="105">
        <f t="shared" si="2"/>
        <v>1.1661885589240293</v>
      </c>
      <c r="BS12" s="105">
        <f t="shared" si="2"/>
        <v>1.1594789725676162</v>
      </c>
      <c r="BT12" s="105">
        <f t="shared" si="2"/>
        <v>1.1568696889845671</v>
      </c>
      <c r="BU12" s="105">
        <f>SUM(BU10:BU11)</f>
        <v>1.1736681949190264</v>
      </c>
      <c r="BV12" s="105">
        <f>SUM(BV10:BV11)</f>
        <v>1.1759047237044973</v>
      </c>
    </row>
    <row r="13" spans="1:74">
      <c r="I13" s="74"/>
      <c r="J13" s="74"/>
      <c r="K13" s="74"/>
      <c r="L13" s="74"/>
      <c r="M13" s="74"/>
      <c r="N13" s="74"/>
      <c r="O13" s="74"/>
      <c r="P13" s="74"/>
      <c r="Q13" s="74"/>
      <c r="R13" s="74"/>
      <c r="S13" s="74"/>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row>
    <row r="14" spans="1:74" s="64" customFormat="1">
      <c r="I14" s="74"/>
      <c r="J14" s="74"/>
      <c r="K14" s="74"/>
      <c r="L14" s="74"/>
      <c r="M14" s="74"/>
      <c r="N14" s="74"/>
      <c r="O14" s="74"/>
      <c r="P14" s="74"/>
      <c r="Q14" s="74"/>
      <c r="R14" s="74"/>
      <c r="S14" s="74"/>
      <c r="T14" s="74"/>
      <c r="U14" s="74"/>
      <c r="V14" s="74"/>
      <c r="W14" s="74"/>
      <c r="X14" s="74"/>
      <c r="Y14" s="74"/>
      <c r="Z14" s="74"/>
      <c r="AA14" s="74"/>
      <c r="AB14" s="74"/>
      <c r="AC14" s="74"/>
      <c r="AD14" s="74"/>
      <c r="AE14" s="74"/>
      <c r="AF14" s="74"/>
      <c r="AG14" s="74"/>
      <c r="AH14" s="74"/>
      <c r="AI14" s="74"/>
      <c r="AJ14" s="74"/>
      <c r="AK14" s="74"/>
      <c r="AL14" s="74"/>
      <c r="AM14" s="74"/>
      <c r="AN14" s="74"/>
      <c r="AO14" s="74"/>
      <c r="AP14" s="74"/>
      <c r="AQ14" s="74"/>
      <c r="AR14" s="74"/>
      <c r="AS14" s="74"/>
      <c r="AT14" s="74"/>
      <c r="AU14" s="74"/>
      <c r="AW14" s="74"/>
      <c r="AX14" s="74"/>
      <c r="BQ14" s="74"/>
    </row>
    <row r="16" spans="1:74" ht="13" thickBot="1"/>
    <row r="17" spans="1:74" ht="13" thickBot="1">
      <c r="D17" s="259"/>
      <c r="H17" s="106" t="s">
        <v>407</v>
      </c>
      <c r="I17" s="109">
        <f>I12+0</f>
        <v>0.92463354945495713</v>
      </c>
      <c r="J17" s="109">
        <f t="shared" ref="J17:BU17" si="3">J12+0</f>
        <v>0.90059589995108924</v>
      </c>
      <c r="K17" s="109">
        <f t="shared" si="3"/>
        <v>0.88071211821192785</v>
      </c>
      <c r="L17" s="109">
        <f t="shared" si="3"/>
        <v>0.7778005689905243</v>
      </c>
      <c r="M17" s="109">
        <f t="shared" si="3"/>
        <v>0.74698443907384193</v>
      </c>
      <c r="N17" s="109">
        <f t="shared" si="3"/>
        <v>0.78450457037153631</v>
      </c>
      <c r="O17" s="109">
        <f t="shared" si="3"/>
        <v>0.82938357103327132</v>
      </c>
      <c r="P17" s="109">
        <f t="shared" si="3"/>
        <v>0.84504485750696867</v>
      </c>
      <c r="Q17" s="109">
        <f t="shared" si="3"/>
        <v>0.85650928882954158</v>
      </c>
      <c r="R17" s="109">
        <f t="shared" si="3"/>
        <v>0.88831673918672605</v>
      </c>
      <c r="S17" s="109">
        <f t="shared" si="3"/>
        <v>1.0404178746291493</v>
      </c>
      <c r="T17" s="109">
        <f t="shared" si="3"/>
        <v>1.1511192798428085</v>
      </c>
      <c r="U17" s="109">
        <f t="shared" si="3"/>
        <v>1.2660102628154033</v>
      </c>
      <c r="V17" s="109">
        <f t="shared" si="3"/>
        <v>1.370324063966585</v>
      </c>
      <c r="W17" s="109">
        <f t="shared" si="3"/>
        <v>1.6978625622174723</v>
      </c>
      <c r="X17" s="109">
        <f t="shared" si="3"/>
        <v>1.5844905233121953</v>
      </c>
      <c r="Y17" s="109">
        <f t="shared" si="3"/>
        <v>1.6819529982009609</v>
      </c>
      <c r="Z17" s="109">
        <f t="shared" si="3"/>
        <v>1.7189048032480865</v>
      </c>
      <c r="AA17" s="109">
        <f t="shared" si="3"/>
        <v>1.746114211054528</v>
      </c>
      <c r="AB17" s="109">
        <f t="shared" si="3"/>
        <v>1.8056745888696519</v>
      </c>
      <c r="AC17" s="109">
        <f t="shared" si="3"/>
        <v>1.796793208669913</v>
      </c>
      <c r="AD17" s="109">
        <f t="shared" si="3"/>
        <v>1.6776233729528105</v>
      </c>
      <c r="AE17" s="109">
        <f t="shared" si="3"/>
        <v>1.6447350606139075</v>
      </c>
      <c r="AF17" s="109">
        <f t="shared" si="3"/>
        <v>1.4534868863085175</v>
      </c>
      <c r="AG17" s="109">
        <f t="shared" si="3"/>
        <v>1.3938634659680371</v>
      </c>
      <c r="AH17" s="109">
        <f t="shared" si="3"/>
        <v>1.4726006184090945</v>
      </c>
      <c r="AI17" s="109">
        <f t="shared" si="3"/>
        <v>1.553072074953755</v>
      </c>
      <c r="AJ17" s="109">
        <f t="shared" si="3"/>
        <v>1.631492322351241</v>
      </c>
      <c r="AK17" s="109">
        <f t="shared" si="3"/>
        <v>1.6095243293375374</v>
      </c>
      <c r="AL17" s="109">
        <f t="shared" si="3"/>
        <v>1.5651877482563876</v>
      </c>
      <c r="AM17" s="109">
        <f t="shared" si="3"/>
        <v>1.3234458113530703</v>
      </c>
      <c r="AN17" s="109">
        <f t="shared" si="3"/>
        <v>1.1997242206843794</v>
      </c>
      <c r="AO17" s="109">
        <f t="shared" si="3"/>
        <v>1.134508886034346</v>
      </c>
      <c r="AP17" s="109">
        <f t="shared" si="3"/>
        <v>1.1262792555397034</v>
      </c>
      <c r="AQ17" s="109">
        <f t="shared" si="3"/>
        <v>1.1575906585362965</v>
      </c>
      <c r="AR17" s="109">
        <f t="shared" si="3"/>
        <v>1.1612289315265092</v>
      </c>
      <c r="AS17" s="109">
        <f t="shared" si="3"/>
        <v>1.1661885589240293</v>
      </c>
      <c r="AT17" s="109">
        <f t="shared" si="3"/>
        <v>1.2077428914263857</v>
      </c>
      <c r="AU17" s="109">
        <f t="shared" si="3"/>
        <v>1.1982454715157793</v>
      </c>
      <c r="AV17" s="109">
        <f t="shared" si="3"/>
        <v>1.1965357074556038</v>
      </c>
      <c r="AW17" s="109">
        <f t="shared" si="3"/>
        <v>1.1844535440053752</v>
      </c>
      <c r="AX17" s="109">
        <f t="shared" si="3"/>
        <v>1.1087106999666596</v>
      </c>
      <c r="AY17" s="109">
        <f t="shared" si="3"/>
        <v>1.0961665067332802</v>
      </c>
      <c r="AZ17" s="109">
        <f t="shared" si="3"/>
        <v>1.0898944101165906</v>
      </c>
      <c r="BA17" s="109">
        <f t="shared" si="3"/>
        <v>1.0898944101165906</v>
      </c>
      <c r="BB17" s="109">
        <f t="shared" si="3"/>
        <v>1.0798300305819715</v>
      </c>
      <c r="BC17" s="109">
        <f t="shared" si="3"/>
        <v>1.0923742238153507</v>
      </c>
      <c r="BD17" s="109">
        <f t="shared" si="3"/>
        <v>1.0986463204320405</v>
      </c>
      <c r="BE17" s="109">
        <f t="shared" si="3"/>
        <v>1.0986463204320405</v>
      </c>
      <c r="BF17" s="109">
        <f t="shared" si="3"/>
        <v>1.0986463204320405</v>
      </c>
      <c r="BG17" s="109">
        <f t="shared" si="3"/>
        <v>1.1856454285283928</v>
      </c>
      <c r="BH17" s="109">
        <f t="shared" si="3"/>
        <v>1.1856454285283928</v>
      </c>
      <c r="BI17" s="109">
        <f t="shared" si="3"/>
        <v>1.1986918464436402</v>
      </c>
      <c r="BJ17" s="109">
        <f t="shared" si="3"/>
        <v>1.1986918464436402</v>
      </c>
      <c r="BK17" s="109">
        <f t="shared" si="3"/>
        <v>1.1986918464436402</v>
      </c>
      <c r="BL17" s="109">
        <f t="shared" si="3"/>
        <v>1.2143720879853639</v>
      </c>
      <c r="BM17" s="109">
        <f t="shared" si="3"/>
        <v>1.1986918464436402</v>
      </c>
      <c r="BN17" s="109">
        <f t="shared" si="3"/>
        <v>1.1818688004657532</v>
      </c>
      <c r="BO17" s="109">
        <f t="shared" si="3"/>
        <v>1.1661885589240293</v>
      </c>
      <c r="BP17" s="109">
        <f t="shared" si="3"/>
        <v>1.1661885589240293</v>
      </c>
      <c r="BQ17" s="109">
        <f t="shared" si="3"/>
        <v>1.1661885589240293</v>
      </c>
      <c r="BR17" s="109">
        <f t="shared" si="3"/>
        <v>1.1661885589240293</v>
      </c>
      <c r="BS17" s="109">
        <f t="shared" si="3"/>
        <v>1.1594789725676162</v>
      </c>
      <c r="BT17" s="109">
        <f t="shared" si="3"/>
        <v>1.1568696889845671</v>
      </c>
      <c r="BU17" s="109">
        <f t="shared" si="3"/>
        <v>1.1736681949190264</v>
      </c>
      <c r="BV17" s="109">
        <f>BV12+0</f>
        <v>1.1759047237044973</v>
      </c>
    </row>
    <row r="19" spans="1:74">
      <c r="B19" s="65"/>
      <c r="BL19" s="65"/>
    </row>
    <row r="22" spans="1:74">
      <c r="A22" s="60" t="s">
        <v>761</v>
      </c>
    </row>
    <row r="24" spans="1:74" ht="15">
      <c r="AR24" s="11"/>
    </row>
    <row r="25" spans="1:74" ht="15">
      <c r="AR25" s="11"/>
    </row>
    <row r="26" spans="1:74" ht="15">
      <c r="AR26" s="260"/>
    </row>
  </sheetData>
  <conditionalFormatting sqref="I14 Z14:AB14 AE14:AF14 AH14:AJ14 AL14 AP14 AR14:AS14 AU14 Q14:X14 O14 K14:L14">
    <cfRule type="top10" dxfId="0" priority="1" bottom="1" rank="1"/>
  </conditionalFormatting>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75FD1EF89098842B5B821D5FDDDFB1F" ma:contentTypeVersion="12" ma:contentTypeDescription="Create a new document." ma:contentTypeScope="" ma:versionID="0f93eb5483bab0d433570e2d51086993">
  <xsd:schema xmlns:xsd="http://www.w3.org/2001/XMLSchema" xmlns:xs="http://www.w3.org/2001/XMLSchema" xmlns:p="http://schemas.microsoft.com/office/2006/metadata/properties" xmlns:ns2="d46fc063-1c13-4327-9466-b3469520b026" xmlns:ns3="386ab153-6b5c-4f6c-be07-5a3d1a858720" targetNamespace="http://schemas.microsoft.com/office/2006/metadata/properties" ma:root="true" ma:fieldsID="cc39912581d9f037f1357a12aea96d25" ns2:_="" ns3:_="">
    <xsd:import namespace="d46fc063-1c13-4327-9466-b3469520b026"/>
    <xsd:import namespace="386ab153-6b5c-4f6c-be07-5a3d1a858720"/>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46fc063-1c13-4327-9466-b3469520b02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182dfbc8-14fe-4914-9f6a-334fe734c075"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386ab153-6b5c-4f6c-be07-5a3d1a858720"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8a3478ce-a9d2-4b22-b61c-bf677220083a}" ma:internalName="TaxCatchAll" ma:showField="CatchAllData" ma:web="386ab153-6b5c-4f6c-be07-5a3d1a85872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d46fc063-1c13-4327-9466-b3469520b026">
      <Terms xmlns="http://schemas.microsoft.com/office/infopath/2007/PartnerControls"/>
    </lcf76f155ced4ddcb4097134ff3c332f>
    <TaxCatchAll xmlns="386ab153-6b5c-4f6c-be07-5a3d1a858720" xsi:nil="true"/>
  </documentManagement>
</p:properties>
</file>

<file path=customXml/itemProps1.xml><?xml version="1.0" encoding="utf-8"?>
<ds:datastoreItem xmlns:ds="http://schemas.openxmlformats.org/officeDocument/2006/customXml" ds:itemID="{E5FFCF19-B8EC-4A4F-AA0E-56298B0CC18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46fc063-1c13-4327-9466-b3469520b026"/>
    <ds:schemaRef ds:uri="386ab153-6b5c-4f6c-be07-5a3d1a85872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1AC8119-BB1F-451E-9CA4-1896EAA30541}">
  <ds:schemaRefs>
    <ds:schemaRef ds:uri="http://schemas.microsoft.com/sharepoint/v3/contenttype/forms"/>
  </ds:schemaRefs>
</ds:datastoreItem>
</file>

<file path=customXml/itemProps3.xml><?xml version="1.0" encoding="utf-8"?>
<ds:datastoreItem xmlns:ds="http://schemas.openxmlformats.org/officeDocument/2006/customXml" ds:itemID="{8A750AEF-8E98-4370-9ECE-3FCAA40E4B96}">
  <ds:schemaRefs>
    <ds:schemaRef ds:uri="386ab153-6b5c-4f6c-be07-5a3d1a858720"/>
    <ds:schemaRef ds:uri="http://purl.org/dc/terms/"/>
    <ds:schemaRef ds:uri="http://purl.org/dc/elements/1.1/"/>
    <ds:schemaRef ds:uri="http://schemas.microsoft.com/office/2006/metadata/properties"/>
    <ds:schemaRef ds:uri="http://schemas.microsoft.com/office/infopath/2007/PartnerControls"/>
    <ds:schemaRef ds:uri="http://purl.org/dc/dcmitype/"/>
    <ds:schemaRef ds:uri="http://www.w3.org/XML/1998/namespace"/>
    <ds:schemaRef ds:uri="http://schemas.microsoft.com/office/2006/documentManagement/types"/>
    <ds:schemaRef ds:uri="http://schemas.openxmlformats.org/package/2006/metadata/core-properties"/>
    <ds:schemaRef ds:uri="d46fc063-1c13-4327-9466-b3469520b026"/>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116</vt:i4>
      </vt:variant>
    </vt:vector>
  </HeadingPairs>
  <TitlesOfParts>
    <vt:vector size="116" baseType="lpstr">
      <vt:lpstr>Input RM sheet (2)</vt:lpstr>
      <vt:lpstr>Clean sheet dashboard (2)</vt:lpstr>
      <vt:lpstr>Index </vt:lpstr>
      <vt:lpstr>Clean sheet dashboard</vt:lpstr>
      <vt:lpstr>Input RM sheet</vt:lpstr>
      <vt:lpstr>EDC</vt:lpstr>
      <vt:lpstr>EDA</vt:lpstr>
      <vt:lpstr>EDA (2)</vt:lpstr>
      <vt:lpstr>TEPA</vt:lpstr>
      <vt:lpstr>CHROMIC ACID FLAKES</vt:lpstr>
      <vt:lpstr>Copper II Nitrate trihydrate</vt:lpstr>
      <vt:lpstr>DIETHANOL AMINE</vt:lpstr>
      <vt:lpstr>AEEA</vt:lpstr>
      <vt:lpstr>MonoEthanolamine</vt:lpstr>
      <vt:lpstr>MTMS</vt:lpstr>
      <vt:lpstr>ISOPHORONE</vt:lpstr>
      <vt:lpstr>ISOPHORONENITRILE</vt:lpstr>
      <vt:lpstr>IPDA</vt:lpstr>
      <vt:lpstr>P2O5</vt:lpstr>
      <vt:lpstr>DIMETHYLAMINE</vt:lpstr>
      <vt:lpstr>Dimethylethanolamine</vt:lpstr>
      <vt:lpstr>Nonyl phenol</vt:lpstr>
      <vt:lpstr>Phosphonic acid</vt:lpstr>
      <vt:lpstr>TEA</vt:lpstr>
      <vt:lpstr>Ethyl benzene</vt:lpstr>
      <vt:lpstr>Sheet1</vt:lpstr>
      <vt:lpstr>Maleic Anhydride</vt:lpstr>
      <vt:lpstr>MDA</vt:lpstr>
      <vt:lpstr>DETA EDA</vt:lpstr>
      <vt:lpstr>DETA</vt:lpstr>
      <vt:lpstr>PNCB</vt:lpstr>
      <vt:lpstr>Chloro Benzene</vt:lpstr>
      <vt:lpstr>PNA</vt:lpstr>
      <vt:lpstr>PANA</vt:lpstr>
      <vt:lpstr>Alpha Naphthylamine</vt:lpstr>
      <vt:lpstr>Hexylene Glycol-vendor</vt:lpstr>
      <vt:lpstr>Hexylene Glycol</vt:lpstr>
      <vt:lpstr>Diacetone alcohol </vt:lpstr>
      <vt:lpstr>DBNPA</vt:lpstr>
      <vt:lpstr>DNBA</vt:lpstr>
      <vt:lpstr>DTBP</vt:lpstr>
      <vt:lpstr>Paraformaldehyde</vt:lpstr>
      <vt:lpstr>60000CST</vt:lpstr>
      <vt:lpstr>Dichlorodimethylsilane</vt:lpstr>
      <vt:lpstr>CMIT</vt:lpstr>
      <vt:lpstr>IPA</vt:lpstr>
      <vt:lpstr>Ethyl Acetoacetate</vt:lpstr>
      <vt:lpstr>Acetylacetone</vt:lpstr>
      <vt:lpstr>TICL4</vt:lpstr>
      <vt:lpstr>Benzaldehyde</vt:lpstr>
      <vt:lpstr>Zirconium tetrachloride</vt:lpstr>
      <vt:lpstr>PIB</vt:lpstr>
      <vt:lpstr>PVA</vt:lpstr>
      <vt:lpstr>PEG</vt:lpstr>
      <vt:lpstr>ZINC OXIDE  -  ACTIVE</vt:lpstr>
      <vt:lpstr>DDSA TPSA</vt:lpstr>
      <vt:lpstr>Copper Sulphate </vt:lpstr>
      <vt:lpstr>Dodiflow 57501</vt:lpstr>
      <vt:lpstr>1-Decene</vt:lpstr>
      <vt:lpstr>Sheet4</vt:lpstr>
      <vt:lpstr>SOFA</vt:lpstr>
      <vt:lpstr>n-methylaniline</vt:lpstr>
      <vt:lpstr>N butanol</vt:lpstr>
      <vt:lpstr>2EH</vt:lpstr>
      <vt:lpstr>Butyl cellosolve</vt:lpstr>
      <vt:lpstr>Phthalic Anhydride</vt:lpstr>
      <vt:lpstr>Dimethyl sebacate </vt:lpstr>
      <vt:lpstr>Sheet8</vt:lpstr>
      <vt:lpstr>Sheet6</vt:lpstr>
      <vt:lpstr>tertiary butyl hydroquinone</vt:lpstr>
      <vt:lpstr>Butyl Acetate</vt:lpstr>
      <vt:lpstr>Glyoxal 40</vt:lpstr>
      <vt:lpstr>4-Dodecylphenol</vt:lpstr>
      <vt:lpstr>Methyl Carbitol</vt:lpstr>
      <vt:lpstr>2-Ethyl hexyl nitrate</vt:lpstr>
      <vt:lpstr>Butyl acrylate</vt:lpstr>
      <vt:lpstr>Formaldehyde 37%</vt:lpstr>
      <vt:lpstr>2-Ethylhexyl Amine (2EHA)</vt:lpstr>
      <vt:lpstr>DEHA 85 % </vt:lpstr>
      <vt:lpstr>4 HT</vt:lpstr>
      <vt:lpstr>linoleic acid</vt:lpstr>
      <vt:lpstr>ARMEEN 2HT</vt:lpstr>
      <vt:lpstr>Ethylene Oxide</vt:lpstr>
      <vt:lpstr>Calcium Stearate</vt:lpstr>
      <vt:lpstr>3 Methoxy Propylamine</vt:lpstr>
      <vt:lpstr>acetic acid</vt:lpstr>
      <vt:lpstr>toluene</vt:lpstr>
      <vt:lpstr>BRONOPOL</vt:lpstr>
      <vt:lpstr>Phenol</vt:lpstr>
      <vt:lpstr>2-Ethyl-1,3-hexanediol</vt:lpstr>
      <vt:lpstr>2 Mercapto Ethanol</vt:lpstr>
      <vt:lpstr>2-ethylhexanoic acid</vt:lpstr>
      <vt:lpstr>propylene oxide</vt:lpstr>
      <vt:lpstr>Acetone</vt:lpstr>
      <vt:lpstr>Phosphorus Pentasulfide</vt:lpstr>
      <vt:lpstr>Octanethiol </vt:lpstr>
      <vt:lpstr>Mignol</vt:lpstr>
      <vt:lpstr>Triisopropanolamine</vt:lpstr>
      <vt:lpstr>Sodium Borohydride</vt:lpstr>
      <vt:lpstr>Camphor Synthetic</vt:lpstr>
      <vt:lpstr>Caprolactam</vt:lpstr>
      <vt:lpstr>Tallow Diamine</vt:lpstr>
      <vt:lpstr>Boron Trifluoride Etherate</vt:lpstr>
      <vt:lpstr>THPS 75</vt:lpstr>
      <vt:lpstr>di-n-propylamine</vt:lpstr>
      <vt:lpstr>Morpholine</vt:lpstr>
      <vt:lpstr>Nickel Sulphate Anhydrous</vt:lpstr>
      <vt:lpstr>Para-tertiary amyl phenol (PTAP</vt:lpstr>
      <vt:lpstr>npropyl Alcohol</vt:lpstr>
      <vt:lpstr>Tricresyl phosphate</vt:lpstr>
      <vt:lpstr>ROFA</vt:lpstr>
      <vt:lpstr>ZINC OXIDE  -  WHITE R</vt:lpstr>
      <vt:lpstr>Tolytriazole</vt:lpstr>
      <vt:lpstr>Salicylaldehyde</vt:lpstr>
      <vt:lpstr>methyl chloride</vt:lpstr>
      <vt:lpstr>Butyl cellosolve (3)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2015-06-05T18:17:20Z</dcterms:created>
  <dcterms:modified xsi:type="dcterms:W3CDTF">2025-05-14T07:20:04Z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0x010100075FD1EF89098842B5B821D5FDDDFB1F</vt:lpwstr>
  </property>
  <property fmtid="{D5CDD505-2E9C-101B-9397-08002B2CF9AE}" pid="3" name="MediaServiceImageTags">
    <vt:lpwstr/>
  </property>
</Properties>
</file>